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 PartName="/xl/activeX/activeX1.bin"/>
  <Override ContentType="application/vnd.ms-office.activeX+xml" PartName="/xl/activeX/activeX1.xml"/>
  <Override ContentType="application/vnd.ms-office.activeX" PartName="/xl/activeX/activeX2.bin"/>
  <Override ContentType="application/vnd.ms-office.activeX+xml" PartName="/xl/activeX/activeX2.xml"/>
  <Override ContentType="application/vnd.ms-office.activeX" PartName="/xl/activeX/activeX3.bin"/>
  <Override ContentType="application/vnd.ms-office.activeX+xml" PartName="/xl/activeX/activeX3.xml"/>
  <Override ContentType="application/vnd.ms-office.activeX" PartName="/xl/activeX/activeX4.bin"/>
  <Override ContentType="application/vnd.ms-office.activeX+xml" PartName="/xl/activeX/activeX4.xml"/>
  <Override ContentType="application/vnd.openxmlformats-officedocument.spreadsheetml.calcChain+xml" PartName="/xl/calcChain.xml"/>
  <Override ContentType="application/vnd.openxmlformats-officedocument.drawingml.chart+xml" PartName="/xl/charts/chart1.xml"/>
  <Override ContentType="application/vnd.openxmlformats-officedocument.drawingml.chart+xml" PartName="/xl/charts/chart10.xml"/>
  <Override ContentType="application/vnd.openxmlformats-officedocument.drawingml.chart+xml" PartName="/xl/charts/chart11.xml"/>
  <Override ContentType="application/vnd.openxmlformats-officedocument.drawingml.chart+xml" PartName="/xl/charts/chart12.xml"/>
  <Override ContentType="application/vnd.openxmlformats-officedocument.drawingml.chart+xml" PartName="/xl/charts/chart13.xml"/>
  <Override ContentType="application/vnd.openxmlformats-officedocument.drawingml.chart+xml" PartName="/xl/charts/chart14.xml"/>
  <Override ContentType="application/vnd.openxmlformats-officedocument.drawingml.chart+xml" PartName="/xl/charts/chart15.xml"/>
  <Override ContentType="application/vnd.openxmlformats-officedocument.drawingml.chart+xml" PartName="/xl/charts/chart16.xml"/>
  <Override ContentType="application/vnd.openxmlformats-officedocument.drawingml.chart+xml" PartName="/xl/charts/chart17.xml"/>
  <Override ContentType="application/vnd.openxmlformats-officedocument.drawingml.chart+xml" PartName="/xl/charts/chart18.xml"/>
  <Override ContentType="application/vnd.openxmlformats-officedocument.drawingml.chart+xml" PartName="/xl/charts/chart19.xml"/>
  <Override ContentType="application/vnd.openxmlformats-officedocument.drawingml.chart+xml" PartName="/xl/charts/chart2.xml"/>
  <Override ContentType="application/vnd.openxmlformats-officedocument.drawingml.chart+xml" PartName="/xl/charts/chart20.xml"/>
  <Override ContentType="application/vnd.openxmlformats-officedocument.drawingml.chart+xml" PartName="/xl/charts/chart21.xml"/>
  <Override ContentType="application/vnd.openxmlformats-officedocument.drawingml.chart+xml" PartName="/xl/charts/chart22.xml"/>
  <Override ContentType="application/vnd.openxmlformats-officedocument.drawingml.chart+xml" PartName="/xl/charts/chart23.xml"/>
  <Override ContentType="application/vnd.openxmlformats-officedocument.drawingml.chart+xml" PartName="/xl/charts/chart24.xml"/>
  <Override ContentType="application/vnd.openxmlformats-officedocument.drawingml.chart+xml" PartName="/xl/charts/chart25.xml"/>
  <Override ContentType="application/vnd.openxmlformats-officedocument.drawingml.chart+xml" PartName="/xl/charts/chart26.xml"/>
  <Override ContentType="application/vnd.openxmlformats-officedocument.drawingml.chart+xml" PartName="/xl/charts/chart27.xml"/>
  <Override ContentType="application/vnd.openxmlformats-officedocument.drawingml.chart+xml" PartName="/xl/charts/chart28.xml"/>
  <Override ContentType="application/vnd.openxmlformats-officedocument.drawingml.chart+xml" PartName="/xl/charts/chart29.xml"/>
  <Override ContentType="application/vnd.openxmlformats-officedocument.drawingml.chart+xml" PartName="/xl/charts/chart3.xml"/>
  <Override ContentType="application/vnd.openxmlformats-officedocument.drawingml.chart+xml" PartName="/xl/charts/chart30.xml"/>
  <Override ContentType="application/vnd.openxmlformats-officedocument.drawingml.chart+xml" PartName="/xl/charts/chart31.xml"/>
  <Override ContentType="application/vnd.openxmlformats-officedocument.drawingml.chart+xml" PartName="/xl/charts/chart32.xml"/>
  <Override ContentType="application/vnd.openxmlformats-officedocument.drawingml.chart+xml" PartName="/xl/charts/chart33.xml"/>
  <Override ContentType="application/vnd.openxmlformats-officedocument.drawingml.chart+xml" PartName="/xl/charts/chart34.xml"/>
  <Override ContentType="application/vnd.openxmlformats-officedocument.drawingml.chart+xml" PartName="/xl/charts/chart35.xml"/>
  <Override ContentType="application/vnd.openxmlformats-officedocument.drawingml.chart+xml" PartName="/xl/charts/chart36.xml"/>
  <Override ContentType="application/vnd.openxmlformats-officedocument.drawingml.chart+xml" PartName="/xl/charts/chart37.xml"/>
  <Override ContentType="application/vnd.openxmlformats-officedocument.drawingml.chart+xml" PartName="/xl/charts/chart38.xml"/>
  <Override ContentType="application/vnd.openxmlformats-officedocument.drawingml.chart+xml" PartName="/xl/charts/chart39.xml"/>
  <Override ContentType="application/vnd.openxmlformats-officedocument.drawingml.chart+xml" PartName="/xl/charts/chart4.xml"/>
  <Override ContentType="application/vnd.openxmlformats-officedocument.drawingml.chart+xml" PartName="/xl/charts/chart40.xml"/>
  <Override ContentType="application/vnd.openxmlformats-officedocument.drawingml.chart+xml" PartName="/xl/charts/chart41.xml"/>
  <Override ContentType="application/vnd.openxmlformats-officedocument.drawingml.chart+xml" PartName="/xl/charts/chart42.xml"/>
  <Override ContentType="application/vnd.openxmlformats-officedocument.drawingml.chart+xml" PartName="/xl/charts/chart43.xml"/>
  <Override ContentType="application/vnd.openxmlformats-officedocument.drawingml.chart+xml" PartName="/xl/charts/chart44.xml"/>
  <Override ContentType="application/vnd.openxmlformats-officedocument.drawingml.chart+xml" PartName="/xl/charts/chart45.xml"/>
  <Override ContentType="application/vnd.openxmlformats-officedocument.drawingml.chart+xml" PartName="/xl/charts/chart46.xml"/>
  <Override ContentType="application/vnd.openxmlformats-officedocument.drawingml.chart+xml" PartName="/xl/charts/chart47.xml"/>
  <Override ContentType="application/vnd.openxmlformats-officedocument.drawingml.chart+xml" PartName="/xl/charts/chart48.xml"/>
  <Override ContentType="application/vnd.openxmlformats-officedocument.drawingml.chart+xml" PartName="/xl/charts/chart49.xml"/>
  <Override ContentType="application/vnd.openxmlformats-officedocument.drawingml.chart+xml" PartName="/xl/charts/chart5.xml"/>
  <Override ContentType="application/vnd.openxmlformats-officedocument.drawingml.chart+xml" PartName="/xl/charts/chart50.xml"/>
  <Override ContentType="application/vnd.openxmlformats-officedocument.drawingml.chart+xml" PartName="/xl/charts/chart51.xml"/>
  <Override ContentType="application/vnd.openxmlformats-officedocument.drawingml.chart+xml" PartName="/xl/charts/chart52.xml"/>
  <Override ContentType="application/vnd.openxmlformats-officedocument.drawingml.chart+xml" PartName="/xl/charts/chart53.xml"/>
  <Override ContentType="application/vnd.openxmlformats-officedocument.drawingml.chart+xml" PartName="/xl/charts/chart54.xml"/>
  <Override ContentType="application/vnd.openxmlformats-officedocument.drawingml.chart+xml" PartName="/xl/charts/chart55.xml"/>
  <Override ContentType="application/vnd.openxmlformats-officedocument.drawingml.chart+xml" PartName="/xl/charts/chart56.xml"/>
  <Override ContentType="application/vnd.openxmlformats-officedocument.drawingml.chart+xml" PartName="/xl/charts/chart57.xml"/>
  <Override ContentType="application/vnd.openxmlformats-officedocument.drawingml.chart+xml" PartName="/xl/charts/chart58.xml"/>
  <Override ContentType="application/vnd.openxmlformats-officedocument.drawingml.chart+xml" PartName="/xl/charts/chart59.xml"/>
  <Override ContentType="application/vnd.openxmlformats-officedocument.drawingml.chart+xml" PartName="/xl/charts/chart6.xml"/>
  <Override ContentType="application/vnd.openxmlformats-officedocument.drawingml.chart+xml" PartName="/xl/charts/chart60.xml"/>
  <Override ContentType="application/vnd.openxmlformats-officedocument.drawingml.chart+xml" PartName="/xl/charts/chart61.xml"/>
  <Override ContentType="application/vnd.openxmlformats-officedocument.drawingml.chart+xml" PartName="/xl/charts/chart62.xml"/>
  <Override ContentType="application/vnd.openxmlformats-officedocument.drawingml.chart+xml" PartName="/xl/charts/chart63.xml"/>
  <Override ContentType="application/vnd.openxmlformats-officedocument.drawingml.chart+xml" PartName="/xl/charts/chart64.xml"/>
  <Override ContentType="application/vnd.openxmlformats-officedocument.drawingml.chart+xml" PartName="/xl/charts/chart65.xml"/>
  <Override ContentType="application/vnd.openxmlformats-officedocument.drawingml.chart+xml" PartName="/xl/charts/chart66.xml"/>
  <Override ContentType="application/vnd.openxmlformats-officedocument.drawingml.chart+xml" PartName="/xl/charts/chart67.xml"/>
  <Override ContentType="application/vnd.openxmlformats-officedocument.drawingml.chart+xml" PartName="/xl/charts/chart68.xml"/>
  <Override ContentType="application/vnd.openxmlformats-officedocument.drawingml.chart+xml" PartName="/xl/charts/chart69.xml"/>
  <Override ContentType="application/vnd.openxmlformats-officedocument.drawingml.chart+xml" PartName="/xl/charts/chart7.xml"/>
  <Override ContentType="application/vnd.openxmlformats-officedocument.drawingml.chart+xml" PartName="/xl/charts/chart70.xml"/>
  <Override ContentType="application/vnd.openxmlformats-officedocument.drawingml.chart+xml" PartName="/xl/charts/chart71.xml"/>
  <Override ContentType="application/vnd.openxmlformats-officedocument.drawingml.chart+xml" PartName="/xl/charts/chart72.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ml.chart+xml" PartName="/xl/charts/chart88.xml"/>
  <Override ContentType="application/vnd.openxmlformats-officedocument.drawingml.chart+xml" PartName="/xl/charts/chart89.xml"/>
  <Override ContentType="application/vnd.openxmlformats-officedocument.drawingml.chart+xml" PartName="/xl/charts/chart9.xml"/>
  <Override ContentType="application/vnd.openxmlformats-officedocument.spreadsheetml.comments+xml" PartName="/xl/comments1.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spreadsheetml.comments+xml" PartName="/xl/comments14.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drawing+xml" PartName="/xl/drawings/drawing1.xml"/>
  <Override ContentType="application/vnd.openxmlformats-officedocument.drawing+xml" PartName="/xl/drawings/drawing10.xml"/>
  <Override ContentType="application/vnd.openxmlformats-officedocument.drawingml.chartshapes+xml" PartName="/xl/drawings/drawing11.xml"/>
  <Override ContentType="application/vnd.openxmlformats-officedocument.drawingml.chartshapes+xml" PartName="/xl/drawings/drawing12.xml"/>
  <Override ContentType="application/vnd.openxmlformats-officedocument.drawingml.chartshapes+xml" PartName="/xl/drawings/drawing13.xml"/>
  <Override ContentType="application/vnd.openxmlformats-officedocument.drawingml.chartshapes+xml" PartName="/xl/drawings/drawing14.xml"/>
  <Override ContentType="application/vnd.openxmlformats-officedocument.drawingml.chartshapes+xml" PartName="/xl/drawings/drawing15.xml"/>
  <Override ContentType="application/vnd.openxmlformats-officedocument.drawingml.chartshapes+xml" PartName="/xl/drawings/drawing16.xml"/>
  <Override ContentType="application/vnd.openxmlformats-officedocument.drawingml.chartshapes+xml" PartName="/xl/drawings/drawing17.xml"/>
  <Override ContentType="application/vnd.openxmlformats-officedocument.drawing+xml" PartName="/xl/drawings/drawing18.xml"/>
  <Override ContentType="application/vnd.openxmlformats-officedocument.drawing+xml" PartName="/xl/drawings/drawing19.xml"/>
  <Override ContentType="application/vnd.openxmlformats-officedocument.drawingml.chartshapes+xml" PartName="/xl/drawings/drawing2.xml"/>
  <Override ContentType="application/vnd.openxmlformats-officedocument.drawing+xml" PartName="/xl/drawings/drawing20.xml"/>
  <Override ContentType="application/vnd.openxmlformats-officedocument.drawing+xml" PartName="/xl/drawings/drawing21.xml"/>
  <Override ContentType="application/vnd.openxmlformats-officedocument.drawing+xml" PartName="/xl/drawings/drawing22.xml"/>
  <Override ContentType="application/vnd.openxmlformats-officedocument.drawing+xml" PartName="/xl/drawings/drawing23.xml"/>
  <Override ContentType="application/vnd.openxmlformats-officedocument.drawing+xml" PartName="/xl/drawings/drawing24.xml"/>
  <Override ContentType="application/vnd.openxmlformats-officedocument.drawing+xml" PartName="/xl/drawings/drawing25.xml"/>
  <Override ContentType="application/vnd.openxmlformats-officedocument.drawing+xml" PartName="/xl/drawings/drawing26.xml"/>
  <Override ContentType="application/vnd.openxmlformats-officedocument.drawing+xml" PartName="/xl/drawings/drawing27.xml"/>
  <Override ContentType="application/vnd.openxmlformats-officedocument.drawingml.chartshapes+xml" PartName="/xl/drawings/drawing28.xml"/>
  <Override ContentType="application/vnd.openxmlformats-officedocument.drawingml.chartshapes+xml" PartName="/xl/drawings/drawing29.xml"/>
  <Override ContentType="application/vnd.openxmlformats-officedocument.drawingml.chartshapes+xml" PartName="/xl/drawings/drawing3.xml"/>
  <Override ContentType="application/vnd.openxmlformats-officedocument.drawingml.chartshapes+xml" PartName="/xl/drawings/drawing30.xml"/>
  <Override ContentType="application/vnd.openxmlformats-officedocument.drawing+xml" PartName="/xl/drawings/drawing31.xml"/>
  <Override ContentType="application/vnd.openxmlformats-officedocument.drawingml.chartshapes+xml" PartName="/xl/drawings/drawing4.xml"/>
  <Override ContentType="application/vnd.openxmlformats-officedocument.drawingml.chartshapes+xml" PartName="/xl/drawings/drawing5.xml"/>
  <Override ContentType="application/vnd.openxmlformats-officedocument.drawingml.chartshapes+xml" PartName="/xl/drawings/drawing6.xml"/>
  <Override ContentType="application/vnd.openxmlformats-officedocument.drawingml.chartshapes+xml" PartName="/xl/drawings/drawing7.xml"/>
  <Override ContentType="application/vnd.openxmlformats-officedocument.drawingml.chartshapes+xml" PartName="/xl/drawings/drawing8.xml"/>
  <Override ContentType="application/vnd.openxmlformats-officedocument.drawing+xml" PartName="/xl/drawings/drawing9.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spreadsheetml.externalLink+xml" PartName="/xl/externalLinks/externalLink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xml"/>
  <Override ContentType="application/vnd.openxmlformats-officedocument.spreadsheetml.worksheet+xml" PartName="/xl/worksheets/sheet30.xml"/>
  <Override ContentType="application/vnd.openxmlformats-officedocument.spreadsheetml.worksheet+xml" PartName="/xl/worksheets/sheet31.xml"/>
  <Override ContentType="application/vnd.openxmlformats-officedocument.spreadsheetml.worksheet+xml" PartName="/xl/worksheets/sheet32.xml"/>
  <Override ContentType="application/vnd.openxmlformats-officedocument.spreadsheetml.worksheet+xml" PartName="/xl/worksheets/sheet33.xml"/>
  <Override ContentType="application/vnd.openxmlformats-officedocument.spreadsheetml.worksheet+xml" PartName="/xl/worksheets/sheet34.xml"/>
  <Override ContentType="application/vnd.openxmlformats-officedocument.spreadsheetml.worksheet+xml" PartName="/xl/worksheets/sheet35.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900" yWindow="2355" windowWidth="7590" windowHeight="2295" firstSheet="14" activeTab="14"/>
  </bookViews>
  <sheets>
    <sheet name="MWA ROE - Qtr" sheetId="66" state="hidden" r:id="rId1"/>
    <sheet name="Capex Tracking" sheetId="63" state="hidden" r:id="rId2"/>
    <sheet name="Capex" sheetId="62" state="hidden" r:id="rId3"/>
    <sheet name="Stats" sheetId="64" state="hidden" r:id="rId4"/>
    <sheet name="MWA ROE - Annual" sheetId="65" state="hidden" r:id="rId5"/>
    <sheet name="SDXC" sheetId="70" state="hidden" r:id="rId6"/>
    <sheet name="Illustrative" sheetId="78" state="hidden" r:id="rId7"/>
    <sheet name="Charts - Qtr" sheetId="58" state="hidden" r:id="rId8"/>
    <sheet name="Q - old" sheetId="57" state="hidden" r:id="rId9"/>
    <sheet name="Estimate Changes" sheetId="74" state="hidden" r:id="rId10"/>
    <sheet name="Guidance" sheetId="56" state="hidden" r:id="rId11"/>
    <sheet name="Charts - Annual" sheetId="71" state="hidden" r:id="rId12"/>
    <sheet name="FX" sheetId="79" state="hidden" r:id="rId13"/>
    <sheet name="Q" sheetId="77" state="hidden" r:id="rId14"/>
    <sheet name="ImportantDisclosures" sheetId="96" r:id="rId15"/>
    <sheet name="CircularReferenceAlert" sheetId="99" r:id="rId16"/>
    <sheet name="Rev" sheetId="12" r:id="rId17"/>
    <sheet name="IS" sheetId="33" r:id="rId18"/>
    <sheet name="BS" sheetId="14" r:id="rId19"/>
    <sheet name="CF" sheetId="15" r:id="rId20"/>
    <sheet name="Lease" sheetId="52" state="hidden" r:id="rId21"/>
    <sheet name="FFO-AFFO" sheetId="73" state="hidden" r:id="rId22"/>
    <sheet name="Metrics" sheetId="80" state="hidden" r:id="rId23"/>
    <sheet name="Capital" sheetId="90" r:id="rId24"/>
    <sheet name="Valuation - REIT" sheetId="84" r:id="rId25"/>
    <sheet name="IndexInformation" sheetId="97" r:id="rId26"/>
    <sheet name="ModPubIndex" sheetId="98" r:id="rId27"/>
    <sheet name="TCY" sheetId="91" state="hidden" r:id="rId28"/>
    <sheet name="Peering" sheetId="92" state="hidden" r:id="rId29"/>
    <sheet name="Valuation" sheetId="53" state="hidden" r:id="rId30"/>
    <sheet name="Consensus" sheetId="75" state="hidden" r:id="rId31"/>
    <sheet name="Link" sheetId="48" state="hidden" r:id="rId32"/>
    <sheet name="Sheet1" sheetId="59" state="hidden" r:id="rId33"/>
    <sheet name="MW-Cache" sheetId="22" state="veryHidden" r:id="rId34"/>
    <sheet name="__FDSCACHE__" sheetId="49" state="veryHidden" r:id="rId35"/>
  </sheets>
  <functionGroups builtInGroupCount="17"/>
  <externalReferences>
    <externalReference r:id="rId36"/>
    <externalReference r:id="rId37"/>
    <externalReference r:id="rId38"/>
    <externalReference r:id="rId39"/>
    <externalReference r:id="rId40"/>
    <externalReference r:id="rId41"/>
    <externalReference r:id="rId42"/>
  </externalReferences>
  <definedNames>
    <definedName name="__FDS_HYPERLINK_TOGGLE_STATE__" hidden="1">"ON"</definedName>
    <definedName name="_bdm.005AEB3C152A41A4A649E8CABAA03131.edm" hidden="1" xml:space="preserve">          IS!$1:$1048576</definedName>
    <definedName name="_bdm.0228E40CF28A4F1AA586588118810047.edm" localSheetId="0" hidden="1">'MWA ROE - Qtr'!$B$34:$N$62</definedName>
    <definedName name="_bdm.04501D7E852C40A2BB8104705B5B41F9.edm" localSheetId="8" hidden="1">'Q - old'!$C$4:$M$30</definedName>
    <definedName name="_bdm.0504A061A46946209D909557C026FF01.edm" hidden="1" xml:space="preserve">          CF!$1:$1048576</definedName>
    <definedName name="_bdm.0514D223973E47038DDB816B626BC40E.edm" hidden="1" xml:space="preserve">          CF!$1:$1048576</definedName>
    <definedName name="_bdm.05A84E90725143F4AB53B3C3BDE534F1.edm" hidden="1" xml:space="preserve">          CF!$1:$1048576</definedName>
    <definedName name="_bdm.05B56A43F6104081BBBBC1D4CEC601EE.edm" hidden="1" xml:space="preserve">          IS!$1:$1048576</definedName>
    <definedName name="_bdm.05BC07BF2B9D48EEB38CBF3787E35641.edm" hidden="1" xml:space="preserve">          Rev!$1:$1048576</definedName>
    <definedName name="_bdm.06246520539C4E29815CA17E05B466BF.edm" localSheetId="1" hidden="1">'Capex Tracking'!$B$27:$E$44</definedName>
    <definedName name="_bdm.06540DB221054243AB3A1DFA6FD7841C.edm" hidden="1">Stats!$1:$1048576</definedName>
    <definedName name="_bdm.0736D91EFE5F430F9C7A1802B4FE5DD1.edm" localSheetId="19" hidden="1">CF!$B$5:$BS$76</definedName>
    <definedName name="_bdm.074E0CAC42244E50BB87A8813648E5A7.edm" localSheetId="31" hidden="1">Link!$EM$331:$EN$354</definedName>
    <definedName name="_bdm.08EB7BB6469A469686578B6F1D6BB301.edm" localSheetId="10" hidden="1">Guidance!$K$50:$T$62</definedName>
    <definedName name="_bdm.0CA76C34373144BC900F0047A734ABCA.edm" localSheetId="11" hidden="1">'Charts - Annual'!$1:$1048576</definedName>
    <definedName name="_bdm.0CA76C34373144BC900F0047A734ABCA.edm" hidden="1">'Charts - Qtr'!$1:$1048576</definedName>
    <definedName name="_bdm.0D51745E252949468C456DBBC7834D0B.edm" localSheetId="24" hidden="1">[1]WACC!$A:$IV</definedName>
    <definedName name="_bdm.0D51745E252949468C456DBBC7834D0B.edm" hidden="1">[2]WACC!$A:$IV</definedName>
    <definedName name="_bdm.0E0276A96F604B6F802407AE55CDA776.edm" localSheetId="8" hidden="1">'Q - old'!$C$4:$O$28</definedName>
    <definedName name="_bdm.0F052A9F659445F9AA7665130EF2812D.edm" hidden="1" xml:space="preserve">          Rev!$1:$1048576</definedName>
    <definedName name="_bdm.10D2059068A54089BB425CF8D1B937A7.edm" hidden="1" xml:space="preserve">          IS!$1:$1048576</definedName>
    <definedName name="_bdm.11650C26E5BA4E0D923A8B8C02E001D3.edm" localSheetId="17" hidden="1">IS!$B$6:$CR$80</definedName>
    <definedName name="_bdm.12C3E89515AA4F41AFAD5B0FA26EE6B6.edm" localSheetId="24" hidden="1" xml:space="preserve">          '[3]Diff - OLD'!$A:$IV</definedName>
    <definedName name="_bdm.13C8160B55F348C19125EFF4AE2CE05C.edm" localSheetId="31" hidden="1">Link!$FE$400:$FK$413</definedName>
    <definedName name="_bdm.147D76AD40234E26956B15D9925D2487.edm" localSheetId="19" hidden="1">CF!$B$5:$BW$73</definedName>
    <definedName name="_bdm.14B766FD76B742709886B41436D1CA73.edm" localSheetId="31" hidden="1">Link!$DR$207:$EF$259</definedName>
    <definedName name="_bdm.14EF108C18EC4A6ABB6B4C991A2C98F5.edm" hidden="1" xml:space="preserve">          IS!$1:$1048576</definedName>
    <definedName name="_bdm.14F8FA66303C44E692078177D330A359.edm" localSheetId="10" hidden="1">Guidance!$K$50:$T$67</definedName>
    <definedName name="_bdm.15389F785C3545C0AB6A4407ED51D9AA.edm" hidden="1" xml:space="preserve">          Link!$1:$1048576</definedName>
    <definedName name="_bdm.154F77AA95074FCE93800FE67D39AF22.edm" hidden="1" xml:space="preserve">          IS!$1:$1048576</definedName>
    <definedName name="_bdm.1720FAAB2FCC4CE4820FB0DC495868D9.edm" hidden="1" xml:space="preserve">          IS!$1:$1048576</definedName>
    <definedName name="_bdm.1920528D0CE149F0AA974AF7AC192BEC.edm" localSheetId="1" hidden="1">'Capex Tracking'!$B$4:$E$25</definedName>
    <definedName name="_bdm.1CD095BD4E7F4A03B49ABD88FF62A793.edm" localSheetId="24" hidden="1" xml:space="preserve">          '[3]Diff - OLD'!$A:$IV</definedName>
    <definedName name="_bdm.21664A2FAFEF422685C26B6801A9D007.edm" localSheetId="10" hidden="1">Guidance!$K$49:$T$66</definedName>
    <definedName name="_bdm.22278B9230174FEE9DB15D7D99D5B99C.edm" localSheetId="24" hidden="1" xml:space="preserve">          '[3]Diff - OLD'!$A:$IV</definedName>
    <definedName name="_bdm.243D381C568747959D2839B4582AD274.edm" hidden="1" xml:space="preserve">          BS!$1:$1048576</definedName>
    <definedName name="_bdm.24DF32F10D8541F6AC97A681E903AC40.edm" localSheetId="16" hidden="1">SDXC!$BZ$8:$CB$43</definedName>
    <definedName name="_bdm.252AFD87DB0A4283A1AD9119734AF49C.edm" hidden="1" xml:space="preserve">          '[4]Est. TableP'!$A:$IV</definedName>
    <definedName name="_bdm.264AD6600B8248E2A3585CE636EB2C1F.edm" hidden="1" xml:space="preserve">          CF!$1:$1048576</definedName>
    <definedName name="_bdm.26C3961E80FC43CF926B1195D06A8AB8.edm" hidden="1">'Capex Tracking'!$1:$1048576</definedName>
    <definedName name="_bdm.28262F8856B44AEB8B094C2E369EDC61.edm" localSheetId="31" hidden="1">Link!$EM$330:$EN$355</definedName>
    <definedName name="_bdm.2B1DC9055ADB40C5944EA8086F767E88.edm" localSheetId="29" hidden="1">Valuation!$A$24:$P$81</definedName>
    <definedName name="_bdm.2B22599F0B21428A86CEFE633F15F422.edm" hidden="1" xml:space="preserve">          IS!$1:$1048576</definedName>
    <definedName name="_bdm.2B74344C11CB4CD8B4236C11098FDA7E.edm" hidden="1" xml:space="preserve">          Rev!$1:$1048576</definedName>
    <definedName name="_bdm.2DD11D0BAC73406C803B32036247BD36.edm" localSheetId="17" hidden="1" xml:space="preserve">          IS!$1:$1048576</definedName>
    <definedName name="_bdm.2FBCF0FE25384B32A6218989C953E7ED.edm" localSheetId="17" hidden="1" xml:space="preserve">          IS!$1:$1048576</definedName>
    <definedName name="_bdm.2FE8AB300DE24692B08E7AF1090E80C6.edm" hidden="1" xml:space="preserve">          IS!$1:$1048576</definedName>
    <definedName name="_bdm.3108832765E1463CB3882E60CE58EF33.edm" localSheetId="19" hidden="1">CF!$B$5:$CA$97</definedName>
    <definedName name="_bdm.323B1AB47F434992A968822835F9A06F.edm" hidden="1">CF!$1:$1048576</definedName>
    <definedName name="_bdm.334D9D45E6F04F3E9D32D46AE18612C1.edm" hidden="1" xml:space="preserve">          Link!$1:$1048576</definedName>
    <definedName name="_bdm.33922F28F7B948E8A2C24B2467FA0AE9.edm" hidden="1" xml:space="preserve">          Link!$1:$1048576</definedName>
    <definedName name="_bdm.34B2CA9281774B398CAB19E1B76CC0DD.edm" localSheetId="8" hidden="1">'Q - old'!$AN$63:$AW$85</definedName>
    <definedName name="_bdm.34F505A903914711A1CBAF22B6AF7A17.edm" hidden="1">Rev!$1:$1048576</definedName>
    <definedName name="_bdm.365230E1A5BA4D218C3CCDD17EC47A96.edm" hidden="1" xml:space="preserve">          Rev!$1:$1048576</definedName>
    <definedName name="_bdm.3799C04A47DB4FD0ADB91B8C2D46AADE.edm" localSheetId="24" hidden="1" xml:space="preserve">          '[3]Diff - OLD'!$A:$IV</definedName>
    <definedName name="_bdm.37E2227B6FEE4E77A41757248C8A650E.edm" hidden="1" xml:space="preserve">          CF!$1:$1048576</definedName>
    <definedName name="_bdm.37F4AD9B2200435F9A28D01D0229DDB3.edm" localSheetId="17" hidden="1">IS!$B$6:$CN$85</definedName>
    <definedName name="_bdm.384CC894ACA74D9CBA17AE27774923E5.edm" hidden="1" xml:space="preserve">          Link!$1:$1048576</definedName>
    <definedName name="_bdm.389ADFC9B7B34D548547348F5505EC5C.edm" localSheetId="8" hidden="1">'Q - old'!$C$4:$M$30</definedName>
    <definedName name="_bdm.38BE7551C2DA491A8C4F9B5ED9E7E3B4.edm" localSheetId="24" hidden="1">'[1]CSCO Report'!$A:$IV</definedName>
    <definedName name="_bdm.38BE7551C2DA491A8C4F9B5ED9E7E3B4.edm" hidden="1">'[2]CSCO Report'!$A:$IV</definedName>
    <definedName name="_bdm.38ED8598CBBB4581A667DDD9680B7D06.edm" localSheetId="8" hidden="1">'Q - old'!$C$4:$M$56</definedName>
    <definedName name="_bdm.39284F1E2366443093AE4D037F732D5C.edm" localSheetId="19" hidden="1">CF!$B$5:$CA$101</definedName>
    <definedName name="_bdm.39DA98D3D1A54A6A9801D0BDF82CC764.edm" localSheetId="19" hidden="1">CF!$B$5:$BW$73</definedName>
    <definedName name="_bdm.3C3D837185414ECEB4D754C73C3D6B68.edm" localSheetId="17" hidden="1">IS!$B$6:$CM$86</definedName>
    <definedName name="_bdm.3C45D3FCC33543ADAE892922D1F1A74B.edm" localSheetId="31" hidden="1">Link!$DR$263:$EG$315</definedName>
    <definedName name="_bdm.3C53AFC3D52F41D59C263C8D34A2E226.edm" localSheetId="24" hidden="1">[1]Sheet1!$A:$IV</definedName>
    <definedName name="_bdm.3C53AFC3D52F41D59C263C8D34A2E226.edm" hidden="1">[2]Sheet1!$A:$IV</definedName>
    <definedName name="_bdm.3D964D8BEF5D4721978E051BA6AD26D4.edm" hidden="1" xml:space="preserve">          IS!$1:$1048576</definedName>
    <definedName name="_bdm.3DA76350AE81423585D5C0191FBE949C.edm" hidden="1" xml:space="preserve">          [4]BS!$A:$IV</definedName>
    <definedName name="_bdm.3E4BF2543E084B9E92265B165A611817.edm" localSheetId="19" hidden="1">CF!$B$5:$BW$116</definedName>
    <definedName name="_bdm.3EBCF56095D24EC1A0ED0C866F2AC86A.edm" hidden="1" xml:space="preserve">          CF!$1:$1048576</definedName>
    <definedName name="_bdm.414B4D3A37DE4A1E838BAB1DF929B99C.edm" hidden="1" xml:space="preserve">          BS!$1:$1048576</definedName>
    <definedName name="_bdm.416B06274B874B1FAACE0F45C235DABA.edm" hidden="1" xml:space="preserve">          CF!$1:$1048576</definedName>
    <definedName name="_bdm.42A9BEAC316E457B990C16DA53D93241.edm" localSheetId="19" hidden="1">CF!$B$5:$BW$77</definedName>
    <definedName name="_bdm.42E07BC113D343DDBC424C32F65DB055.edm" localSheetId="17" hidden="1">IS!$B$6:$CR$100</definedName>
    <definedName name="_bdm.45C160A2108B4E6EAEEFD0F86A9FE062.edm" hidden="1" xml:space="preserve">          BS!$1:$1048576</definedName>
    <definedName name="_bdm.45E443FA843243BF9478FF7C5E3E7ABE.edm" localSheetId="16" hidden="1">Rev!$B$5:$BW$343</definedName>
    <definedName name="_bdm.470BCA0A637E40C1AB73E28EA6CF934A.edm" hidden="1">Link!$1:$1048576</definedName>
    <definedName name="_bdm.471B8D8E75E044939BA9EA205D929BFB.edm" hidden="1" xml:space="preserve">          Rev!$1:$1048576</definedName>
    <definedName name="_bdm.47ED40B46B2144F990FAF54C5A32A5CC.edm" localSheetId="10" hidden="1">Guidance!$K$50:$S$65</definedName>
    <definedName name="_bdm.481B51D671674B54ACBF814414F02820.edm" hidden="1" xml:space="preserve">          '[4]Est. TableP'!$A:$IV</definedName>
    <definedName name="_bdm.48615D3B63764800BF675236C5A16759.edm" hidden="1">Guidance!$1:$1048576</definedName>
    <definedName name="_bdm.486678435DF04F82963131150F3B5CAD.edm" localSheetId="17" hidden="1" xml:space="preserve">          IS!$1:$1048576</definedName>
    <definedName name="_bdm.49ED839033814DE98792BDF2BF7FD95F.edm" localSheetId="31" hidden="1">Link!$EM$330:$EN$380</definedName>
    <definedName name="_bdm.4B5FF516D1584694A0A796ADCA86C891.edm" localSheetId="1" hidden="1">'Capex Tracking'!$B$46:$E$60</definedName>
    <definedName name="_bdm.4B6341825A614125A0D1F1BB26A4A5F3.edm" hidden="1" xml:space="preserve">          CF!$1:$1048576</definedName>
    <definedName name="_bdm.4BD0F76333AF45A08AD8B8A7CE37916D.edm" localSheetId="19" hidden="1">CF!$B$5:$BW$88</definedName>
    <definedName name="_bdm.4BEE04D1185F42598C94D493441F2F4E.edm" hidden="1" xml:space="preserve">          '[4]Est. TableP'!$A:$IV</definedName>
    <definedName name="_bdm.4D1A6D7B788E47A48DFE58E3E0C85575.edm" hidden="1" xml:space="preserve">          BS!$1:$1048576</definedName>
    <definedName name="_bdm.4F7C460D5AC14FD187695DB3B0FB54F0.edm" localSheetId="24" hidden="1">[1]Leverage!$A:$IV</definedName>
    <definedName name="_bdm.4F7C460D5AC14FD187695DB3B0FB54F0.edm" hidden="1">[2]Leverage!$A:$IV</definedName>
    <definedName name="_bdm.5075D30347E446F4A3604C6FAF9F1C9C.edm" hidden="1" xml:space="preserve">          Link!$1:$1048576</definedName>
    <definedName name="_bdm.50A074EBEBC94C66959384EC589405AC.edm" localSheetId="18" hidden="1">BS!$B$5:$CA$117</definedName>
    <definedName name="_bdm.513FD34DB8624FEA951030DFDD5B251A.edm" localSheetId="10" hidden="1">Guidance!$K$27:$P$40</definedName>
    <definedName name="_bdm.525EB44FA38E45E9A2BFB733B851E933.edm" hidden="1" xml:space="preserve">          BS!$1:$1048576</definedName>
    <definedName name="_bdm.52C83E0B94D0437C963216D70107C2EE.edm" localSheetId="31" hidden="1">Link!$DR$206:$EG$260</definedName>
    <definedName name="_bdm.5312F12816914C9FB365583A344FDFC1.edm" hidden="1" xml:space="preserve">          CF!$1:$1048576</definedName>
    <definedName name="_bdm.5316029C9650431FACDF249ABF129640.edm" localSheetId="18" hidden="1">BS!$B$5:$BS$73</definedName>
    <definedName name="_bdm.558D60C295944256A0129B1C1322CFFF.edm" hidden="1" xml:space="preserve">          IS!$1:$1048576</definedName>
    <definedName name="_bdm.55BB2E3307F84B888FB30C080B9878AE.edm" hidden="1">'Q - old'!$1:$1048576</definedName>
    <definedName name="_bdm.56E9BDC5FBE04725AE88D441A1CF027A.edm" hidden="1">BS!$1:$1048576</definedName>
    <definedName name="_bdm.585ED2767D0E4B2A97CB7FC959C53EE3.edm" localSheetId="24" hidden="1" xml:space="preserve">          '[3]Diff - OLD'!$A:$IV</definedName>
    <definedName name="_bdm.58F9229DEBCE489A94F56CCE01B7A437.edm" hidden="1" xml:space="preserve">          '[4]Est. TableP'!$A:$IV</definedName>
    <definedName name="_bdm.59263007BF0141E6AF2B270FCCBA7EC2.edm" hidden="1" xml:space="preserve">          BS!$1:$1048576</definedName>
    <definedName name="_bdm.5A0DE77FB64340348DFD17536A6FF279.edm" localSheetId="31" hidden="1">Link!$DR$205:$EG$315</definedName>
    <definedName name="_bdm.5A3E2E568C824661B0AC88891CDB43E4.edm" hidden="1" xml:space="preserve">          BS!$1:$1048576</definedName>
    <definedName name="_bdm.5B43F233B584495DADFC3822A981696E.edm" localSheetId="16" hidden="1">Rev!$B$5:$BW$786</definedName>
    <definedName name="_bdm.5C25F85F1C794AE1B2A83CE7644ACD41.edm" localSheetId="31" hidden="1">Link!$DR$207:$EG$259</definedName>
    <definedName name="_bdm.5C2BE4A24569426FB0729FDC8883B3DE.edm" hidden="1" xml:space="preserve">          Link!$1:$1048576</definedName>
    <definedName name="_bdm.5CA2A0298B4F4AF4AB72B69AF46665DA.edm" localSheetId="17" hidden="1" xml:space="preserve">          IS!$1:$1048576</definedName>
    <definedName name="_bdm.5DBA6A20B6864DB59EB302EC098E820F.edm" hidden="1" xml:space="preserve">          BS!$1:$1048576</definedName>
    <definedName name="_bdm.5DC01D893A8F451E84A2F16869110084.edm" localSheetId="17" hidden="1">IS!$B$6:$CH$152</definedName>
    <definedName name="_bdm.5E823412EF174565906A2F2A81F7233F.edm" localSheetId="24" hidden="1">[1]Revs!$A:$IV</definedName>
    <definedName name="_bdm.5E823412EF174565906A2F2A81F7233F.edm" hidden="1">[2]Revs!$A:$IV</definedName>
    <definedName name="_bdm.5EC0F453A8014E1BB469F76BFBDE951E.edm" localSheetId="24" hidden="1" xml:space="preserve">          '[3]Diff - OLD'!$A:$IV</definedName>
    <definedName name="_bdm.5EE89341539C4D2CA06A1ED1A0EFF6FC.edm" hidden="1" xml:space="preserve">          IS!$1:$1048576</definedName>
    <definedName name="_bdm.5FA13BD785604BFEA57115E5DF3B1C3B.edm" hidden="1">Capex!$1:$1048576</definedName>
    <definedName name="_bdm.61F864B18ABA4307906CED7CE3EDE1E9.edm" hidden="1" xml:space="preserve">          Rev!$1:$1048576</definedName>
    <definedName name="_bdm.622DD1FCD8FC4DCB917667D0678F5D52.edm" hidden="1" xml:space="preserve">          BS!$1:$1048576</definedName>
    <definedName name="_bdm.63DF7B5E354C45A9A40EA600B7DA524E.edm" hidden="1" xml:space="preserve">          BS!$1:$1048576</definedName>
    <definedName name="_bdm.63EAF960B8B54E2CA64743BCC5DC5F58.edm" localSheetId="19" hidden="1">CF!$B$5:$CA$101</definedName>
    <definedName name="_bdm.646A898CE9DE42B8A9C23B00628316E4.edm" localSheetId="24" hidden="1">[1]Guidance!$A:$IV</definedName>
    <definedName name="_bdm.646A898CE9DE42B8A9C23B00628316E4.edm" hidden="1">[2]Guidance!$A:$IV</definedName>
    <definedName name="_bdm.65176BFF33314A458BD28B4F5F0FF9F0.edm" localSheetId="19" hidden="1">CF!$B$5:$CE$97</definedName>
    <definedName name="_bdm.6611EB5903214A45B627EC81E5E8FAEF.edm" localSheetId="24" hidden="1">'[1]LVLT M&amp;A'!$A:$IV</definedName>
    <definedName name="_bdm.6611EB5903214A45B627EC81E5E8FAEF.edm" hidden="1">'[2]LVLT M&amp;A'!$A:$IV</definedName>
    <definedName name="_bdm.672DE8232E82437787E53F2D9219AE39.edm" hidden="1" xml:space="preserve">          BS!$1:$1048576</definedName>
    <definedName name="_bdm.6776449B6ED1488AA6375DB3566B21B5.edm" hidden="1" xml:space="preserve">          '[4]Est. TableP'!$A:$IV</definedName>
    <definedName name="_bdm.67991745484E4A5B8058551D71B5B112.edm" localSheetId="2" hidden="1">Capex!$B$5:$C$24</definedName>
    <definedName name="_bdm.68CDE13C00874B7BA244F8D2DDD46783.edm" localSheetId="17" hidden="1">IS!$B$6:$CM$85</definedName>
    <definedName name="_bdm.68EB123EC22849F695F330794EAD5F28.edm" localSheetId="18" hidden="1">BS!$B$5:$BW$73</definedName>
    <definedName name="_bdm.6A0F8805938E43DDA17C2178616D48F8.edm" hidden="1" xml:space="preserve">          BS!$1:$1048576</definedName>
    <definedName name="_bdm.6C09CD911F614239A299D6506DF56198.edm" hidden="1" xml:space="preserve">          Rev!$1:$1048576</definedName>
    <definedName name="_bdm.6C371E462C194971AA2CAF687483BD05.edm" localSheetId="31" hidden="1">Link!$EM$330:$EN$379</definedName>
    <definedName name="_bdm.6D543028941947A88DFE4E1436176DD6.edm" localSheetId="24" hidden="1" xml:space="preserve">          '[3]Diff - OLD'!$A:$IV</definedName>
    <definedName name="_bdm.6FA08FEA47DB46A7A87E03348DA1ACC0.edm" hidden="1" xml:space="preserve">          Rev!$1:$1048576</definedName>
    <definedName name="_bdm.709E7BA5F6284304B37C709F1BB1EF9B.edm" localSheetId="24" hidden="1">[1]GLBC!$A:$IV</definedName>
    <definedName name="_bdm.709E7BA5F6284304B37C709F1BB1EF9B.edm" hidden="1">[2]GLBC!$A:$IV</definedName>
    <definedName name="_bdm.70D17B1AA44C4BC5AB94CBA00BD39FD7.edm" localSheetId="24" hidden="1">[1]Summary!$A:$IV</definedName>
    <definedName name="_bdm.70D17B1AA44C4BC5AB94CBA00BD39FD7.edm" hidden="1">[2]Summary!$A:$IV</definedName>
    <definedName name="_bdm.70F5CF6B5E8F4136A1B412510D3530CA.edm" hidden="1" xml:space="preserve">          Link!$1:$1048576</definedName>
    <definedName name="_bdm.7274D56C5197421C990B6F665567F7AD.edm" localSheetId="24" hidden="1">[1]Timing!$A:$IV</definedName>
    <definedName name="_bdm.7274D56C5197421C990B6F665567F7AD.edm" hidden="1">[2]Timing!$A:$IV</definedName>
    <definedName name="_bdm.7296B2909C924BB18B6CD7DAADEE8671.edm" localSheetId="16" hidden="1">Rev!$B$693:$S$786</definedName>
    <definedName name="_bdm.729C7A2B57E84AA0AAB63A59AFAAFA06.edm" localSheetId="10" hidden="1">Guidance!$K$27:$Q$39</definedName>
    <definedName name="_bdm.74D9C0B09C504365A2341EDE51474F85.edm" hidden="1" xml:space="preserve">          CF!$1:$1048576</definedName>
    <definedName name="_bdm.75492CB59A7D4712A79618AEDA42CC32.edm" localSheetId="16" hidden="1">Rev!$B$5:$BW$521</definedName>
    <definedName name="_bdm.75D2E674B2864A0F9BDCC79D51016A58.edm" localSheetId="18" hidden="1">BS!$B$4:$BW$117</definedName>
    <definedName name="_bdm.774A034CEF3F4CE88490A3F336ABE3C0.edm" hidden="1" xml:space="preserve">          BS!$1:$1048576</definedName>
    <definedName name="_bdm.779EEBC6FEC548698577F0FF89AC3221.edm" localSheetId="17" hidden="1">IS!$B$6:$CS$100</definedName>
    <definedName name="_bdm.77AA58651DD449F29ABC0EEDFD9FE5E5.edm" hidden="1" xml:space="preserve">          IS!$1:$1048576</definedName>
    <definedName name="_bdm.77BAEADBA91B41728B455E6D353A0F42.edm" localSheetId="24" hidden="1">'[1]Fiber &amp; Clec'!$A:$IV</definedName>
    <definedName name="_bdm.77BAEADBA91B41728B455E6D353A0F42.edm" hidden="1">'[2]Fiber &amp; Clec'!$A:$IV</definedName>
    <definedName name="_bdm.782A2665D6BB4F268BDABEE3405743B6.edm" localSheetId="19" hidden="1">CF!$B$5:$BW$75</definedName>
    <definedName name="_bdm.7BD42FFA44724E7696DE2DF7BB4B6B6E.edm" hidden="1" xml:space="preserve">          Rev!$1:$1048576</definedName>
    <definedName name="_bdm.7C07089CCA6B41A4A80C550FD2092E45.edm" localSheetId="17" hidden="1" xml:space="preserve">          IS!$1:$1048576</definedName>
    <definedName name="_bdm.7C4E7EA2B1334AB4B97D7924F6848902.edm" hidden="1" xml:space="preserve">          Rev!$1:$1048576</definedName>
    <definedName name="_bdm.7DE75DD0C3F0490D947922CB156B24E8.edm" localSheetId="19" hidden="1">CF!$B$5:$BW$76</definedName>
    <definedName name="_bdm.7E626F6257A342D5A91EC945A98DB472.edm" hidden="1" xml:space="preserve">          IS!$1:$1048576</definedName>
    <definedName name="_bdm.7ECC679FBA5043E0B681FB4194EE3B24.edm" localSheetId="17" hidden="1">IS!$B$6:$CR$75</definedName>
    <definedName name="_bdm.7F12E38AF0D14EB49A07A3B5B22C97BB.edm" hidden="1" xml:space="preserve">          BS!$1:$1048576</definedName>
    <definedName name="_bdm.7F5C9127166D4DF6B6D3FDA9E7961539.edm" hidden="1" xml:space="preserve">          Rev!$1:$1048576</definedName>
    <definedName name="_bdm.812DD8247E474C73AC02F2B895EC3F2A.edm" hidden="1">IS!$1:$1048576</definedName>
    <definedName name="_bdm.814BDA0C5F52457ABB2B95A29E135983.edm" localSheetId="29" hidden="1">Valuation!$A$24:$P$91</definedName>
    <definedName name="_bdm.816ED3371BD34BB2BE9F6894D639E56A.edm" localSheetId="17" hidden="1" xml:space="preserve">          IS!$1:$1048576</definedName>
    <definedName name="_bdm.81BD50222C9B491FB3DB5DC77F591475.edm" localSheetId="18" hidden="1">BS!$B$5:$BS$116</definedName>
    <definedName name="_bdm.820E5BAF8D3C451EB998FABF6D8B17E0.edm" localSheetId="31" hidden="1">Link!$DR$207:$ED$259</definedName>
    <definedName name="_bdm.82F2721786D0438C83CA000ADE7A888D.edm" hidden="1" xml:space="preserve">          Link!$1:$1048576</definedName>
    <definedName name="_bdm.8535B8B0287640939BBA9F4FF69FF0DF.edm" hidden="1">'MWA ROE - Annual'!$1:$1048576</definedName>
    <definedName name="_bdm.87F522B4F7904447AA520C1211FA1EA7.edm" hidden="1" xml:space="preserve">          Rev!$1:$1048576</definedName>
    <definedName name="_bdm.88D4A21546BE48FEA536AD3A6AC517D8.edm" localSheetId="18" hidden="1">BS!$B$5:$CA$116</definedName>
    <definedName name="_bdm.8C3E252CA6FC4E0BA585838D2212310E.edm" hidden="1" xml:space="preserve">          Rev!$1:$1048576</definedName>
    <definedName name="_bdm.8C8599FA34BA4F6F85DBA7206090DB52.edm" localSheetId="18" hidden="1">BS!$B$4:$CA$116</definedName>
    <definedName name="_bdm.8CA45E7AABF04E62A3A61FD45DD9A8EF.edm" hidden="1" xml:space="preserve">          IS!$1:$1048576</definedName>
    <definedName name="_bdm.8D32C947C89B4E28B219CD913C796E01.edm" hidden="1">Lease!$1:$1048576</definedName>
    <definedName name="_bdm.8D77154854B842609956847E2577F5F5.edm" hidden="1" xml:space="preserve">          Rev!$1:$1048576</definedName>
    <definedName name="_bdm.8D8B4AF90F464B64B8C23DB614A49C27.edm" localSheetId="24" hidden="1">[1]transactionCTL_SVVS!$A:$IV</definedName>
    <definedName name="_bdm.8D8B4AF90F464B64B8C23DB614A49C27.edm" hidden="1">[2]transactionCTL_SVVS!$A:$IV</definedName>
    <definedName name="_bdm.8F22DF6F39874ACA85EA7CE246DE4565.edm" hidden="1" xml:space="preserve">          Link!$1:$1048576</definedName>
    <definedName name="_bdm.8F7C4151980B4A1ABFB745E1CE9EA5F6.edm" hidden="1" xml:space="preserve">          CF!$1:$1048576</definedName>
    <definedName name="_bdm.90372A28E01E41458137C46E17345D45.edm" hidden="1" xml:space="preserve">          BS!$1:$1048576</definedName>
    <definedName name="_bdm.904372DE79C44ECDB5B6883FF1D072D1.edm" hidden="1" xml:space="preserve">          Link!$1:$1048576</definedName>
    <definedName name="_bdm.907C8AA8834C450B98F7C98CDA0D730F.edm" hidden="1" xml:space="preserve">          Rev!$1:$1048576</definedName>
    <definedName name="_bdm.9147F7970EF649D18BA5CED2F73F1D85.edm" localSheetId="16" hidden="1">Rev!$B$5:$BS$786</definedName>
    <definedName name="_bdm.937AF3FA3AFA4FC4BAD05F0643445046.edm" localSheetId="16" hidden="1">Rev!$B$693:$Q$786</definedName>
    <definedName name="_bdm.98CCC25EF61648A8B0C733DAD57EAB40.edm" hidden="1" xml:space="preserve">          Link!$1:$1048576</definedName>
    <definedName name="_bdm.993F53D2423C42C6A0F96EB490002F15.edm" localSheetId="17" hidden="1">IS!$B$6:$CN$84</definedName>
    <definedName name="_bdm.997C7AAF26E149E982EDA57B1A24CA3C.edm" hidden="1" xml:space="preserve">          CF!$1:$1048576</definedName>
    <definedName name="_bdm.9A34EEF0A6AB496F9D7BB750B2056764.edm" hidden="1" xml:space="preserve">          BS!$1:$1048576</definedName>
    <definedName name="_bdm.9A5C04A62A704EF09CFE327DDCB1F465.edm" localSheetId="24" hidden="1">'[1]LVLT M&amp;A - FactSet'!$A:$IV</definedName>
    <definedName name="_bdm.9A5C04A62A704EF09CFE327DDCB1F465.edm" hidden="1">'[2]LVLT M&amp;A - FactSet'!$A:$IV</definedName>
    <definedName name="_bdm.9B667DED8D9E495BA1997DF99F150260.edm" localSheetId="18" hidden="1">BS!$B$5:$CE$116</definedName>
    <definedName name="_bdm.9BF7054B4708482BB5C4016B22291451.edm" localSheetId="31" hidden="1">Link!$FE$400:$FO$413</definedName>
    <definedName name="_bdm.9C7944E39548452EA9C925A823DD74BA.edm" hidden="1" xml:space="preserve">         IS!$1:$1048576</definedName>
    <definedName name="_bdm.9C99DD74B3AF4B418C0DFE5B9A9140C6.edm" hidden="1" xml:space="preserve">          BS!$1:$1048576</definedName>
    <definedName name="_bdm.9DEE5875020C47A1BA18AD4AE65BD9F1.edm" hidden="1" xml:space="preserve">          Rev!$1:$1048576</definedName>
    <definedName name="_bdm.9E4FB92786A54CEEA822119C99B91000.edm" localSheetId="31" hidden="1">Link!$EP$389:$EU$421</definedName>
    <definedName name="_bdm.9F14F3221ECB4E358C5C91CA836DEBCE.edm" localSheetId="4" hidden="1">'MWA ROE - Annual'!$B$34:$L$62</definedName>
    <definedName name="_bdm.A0A7CD633D134AC5B77E2911B9F00B75.edm" localSheetId="16" hidden="1">SDXC!$BZ$8:$CB$22</definedName>
    <definedName name="_bdm.A1443C833870495B9B7F13CCE64864D8.edm" hidden="1" xml:space="preserve">          BS!$1:$1048576</definedName>
    <definedName name="_bdm.A257A12D83464F5385BF1EF11F1E0B98.edm" localSheetId="31" hidden="1">Link!$CA$59:$CG$72</definedName>
    <definedName name="_bdm.A311EA740F6442FC9DEB0DEA6F8F8E18.edm" hidden="1" xml:space="preserve">          IS!$1:$1048576</definedName>
    <definedName name="_bdm.A43801AC6A9A48BF9A82D8934700EE23.edm" hidden="1" xml:space="preserve">          Link!$1:$1048576</definedName>
    <definedName name="_bdm.A4E240A4BBC1454DB985CD03EB35245D.edm" localSheetId="31" hidden="1">Link!$EM$357:$EN$379</definedName>
    <definedName name="_bdm.A5A82238C5FD405EA5F0C8F0354AF6D4.edm" localSheetId="31" hidden="1">Link!$EM$331:$EN$379</definedName>
    <definedName name="_bdm.A5BDA22DFAA841F9ACCE4A3A54B478B0.edm" hidden="1" xml:space="preserve">          IS!$1:$1048576</definedName>
    <definedName name="_bdm.A6AEFCDCC54E4B66842DF6548081EA15.edm" localSheetId="17" hidden="1" xml:space="preserve">          IS!$1:$1048576</definedName>
    <definedName name="_bdm.A76EE780BE744C67B3B04DBB400FA66C.edm" localSheetId="24" hidden="1">[1]Approvals!$A:$IV</definedName>
    <definedName name="_bdm.A76EE780BE744C67B3B04DBB400FA66C.edm" hidden="1">[2]Approvals!$A:$IV</definedName>
    <definedName name="_bdm.A9CC32D971BB47E18A4DC6BFFF239258.edm" localSheetId="17" hidden="1">IS!$B$6:$CH$119</definedName>
    <definedName name="_bdm.AC6DF45B512C481D991B2D82DDDD8CF7.edm" localSheetId="4" hidden="1">'MWA ROE - Annual'!$B$38:$L$62</definedName>
    <definedName name="_bdm.AD74742EA4214C7382D5291601C2CA8B.edm" localSheetId="16" hidden="1">Rev!$B$5:$BW$786</definedName>
    <definedName name="_bdm.ADD68007852C406FAD6353BB847DB43A.edm" hidden="1" xml:space="preserve">          Rev!$1:$1048576</definedName>
    <definedName name="_bdm.AE748A2C203A40C4A22CB04CC12BC9CF.edm" localSheetId="17" hidden="1">IS!$B$6:$CH$85</definedName>
    <definedName name="_bdm.AE7A86B9255D4926AB65711CFB1C4DDA.edm" localSheetId="17" hidden="1">IS!$CJ$45</definedName>
    <definedName name="_bdm.AF6B1A6F461545D5B042F9EFF4703B91.edm" localSheetId="10" hidden="1">Guidance!$K$49:$W$65</definedName>
    <definedName name="_bdm.B06D75418A24450184BFA8C22B610F48.edm" localSheetId="24" hidden="1" xml:space="preserve">          '[3]Diff - OLD'!$A:$IV</definedName>
    <definedName name="_bdm.B1A36DBA92164DAAB826EBA45C1AF227.edm" localSheetId="24" hidden="1" xml:space="preserve">          '[3]Diff - OLD'!$A:$IV</definedName>
    <definedName name="_bdm.B429EF2B7D844F93B6CD37A4237777EB.edm" localSheetId="2" hidden="1">Capex!$B$4:$C$24</definedName>
    <definedName name="_bdm.B491B9BF03524513BEB2187994D05B58.edm" hidden="1" xml:space="preserve">          BS!$1:$1048576</definedName>
    <definedName name="_bdm.B4FD487B53B245CCA0F946AEBAA41139.edm" hidden="1" xml:space="preserve">          Link!$1:$1048576</definedName>
    <definedName name="_bdm.B6C452949DCC4FD99B42520AE2696071.edm" localSheetId="17" hidden="1">IS!$B$6:$CN$85</definedName>
    <definedName name="_bdm.B8B5D20A17794DEC936909A33EBF4BCC.edm" hidden="1" xml:space="preserve">          CF!$1:$1048576</definedName>
    <definedName name="_bdm.BA8CDD3F8D4147D692D9F93152E3B9F1.edm" hidden="1" xml:space="preserve">          IS!$1:$1048576</definedName>
    <definedName name="_bdm.BABF000C8E504602B912B3E042CD9012.edm" localSheetId="19" hidden="1">CF!$B$5:$BS$77</definedName>
    <definedName name="_bdm.BBCE9269139F444EB79253F4A6C8A00C.edm" hidden="1" xml:space="preserve">          '[4]Est. TableP'!$A:$IV</definedName>
    <definedName name="_bdm.BD7F4AA4F11D4BF1A49E50CC0AF5EE44.edm" localSheetId="19" hidden="1">CF!$B$5:$BS$70</definedName>
    <definedName name="_bdm.BF04D01D902F4F13AAE7F4E3962CC9AB.edm" localSheetId="17" hidden="1" xml:space="preserve">          IS!$1:$1048576</definedName>
    <definedName name="_bdm.BF46778842284FDC8A7B2007238DE717.edm" localSheetId="8" hidden="1">'Q - old'!$AN$62:$AW$85</definedName>
    <definedName name="_bdm.BFC51BF067CD4D7DA98530D29C45E249.edm" hidden="1" xml:space="preserve">          BS!$1:$1048576</definedName>
    <definedName name="_bdm.C1A589230FD54EEB877260791F946DE6.edm" hidden="1" xml:space="preserve">          [4]BS!$A:$IV</definedName>
    <definedName name="_bdm.C20F8E94B2004A0B8646B159B00C7AD2.edm" hidden="1" xml:space="preserve">          CF!$1:$1048576</definedName>
    <definedName name="_bdm.C25A093A39024CF3B9F842EB7496D9B9.edm" hidden="1" xml:space="preserve">          Rev!$1:$1048576</definedName>
    <definedName name="_bdm.C3AA4F2CA7AE48139B38ED2ADA8E9EA4.edm" localSheetId="8" hidden="1">'Q - old'!$C$4:$M$30</definedName>
    <definedName name="_bdm.C3F8CA3FB73A4988A8E9A9199D8CB30B.edm" localSheetId="16" hidden="1">Rev!$B$5:$BW$813</definedName>
    <definedName name="_bdm.C558A17A3F5740E5879EAB3F6182C9AA.edm" localSheetId="18" hidden="1">BS!$B$5:$BW$117</definedName>
    <definedName name="_bdm.C55D7809710A476B8FA0C18EE8BEFEB8.edm" localSheetId="8" hidden="1">'Q - old'!$C$4:$M$58</definedName>
    <definedName name="_bdm.C58CBA60EA6A4EE6A7854EED551EF080.edm" localSheetId="19" hidden="1">CF!$B$5:$CA$81</definedName>
    <definedName name="_bdm.C738A2EB435F4A5DB4C40FDE2F7CF061.edm" localSheetId="29" hidden="1">Valuation!$A$24:$P$95</definedName>
    <definedName name="_bdm.C80B876DDF8946DABA0B64B583CD7DF4.edm" hidden="1" xml:space="preserve">          BS!$1:$1048576</definedName>
    <definedName name="_bdm.C828CBF4EA56454D952E3FB3E2A126E7.edm" hidden="1" xml:space="preserve">          BS!$1:$1048576</definedName>
    <definedName name="_bdm.CA6DCB4AC0434C8188A25DFB236C6BDC.edm" localSheetId="17" hidden="1" xml:space="preserve">          IS!$1:$1048576</definedName>
    <definedName name="_bdm.CB7AA81102EC48D5B52B9F656007C013.edm" hidden="1" xml:space="preserve">          Rev!$1:$1048576</definedName>
    <definedName name="_bdm.CD115E24A0374FC1AEFF5118F5E329E9.edm" localSheetId="8" hidden="1">'Q - old'!$C$4:$M$28</definedName>
    <definedName name="_bdm.CD583C90D58441E0A9B0A9015EC1B7C1.edm" localSheetId="17" hidden="1">IS!$B$6:$CM$84</definedName>
    <definedName name="_bdm.CDCEB672A7524BF9B862E7F35BBA5B0E.edm" hidden="1" xml:space="preserve">          IS!$1:$1048576</definedName>
    <definedName name="_bdm.CE0804BD747B44E3898F8C239BE44281.edm" hidden="1">Q!$1:$1048576</definedName>
    <definedName name="_bdm.CEEE1307C4D74248BC11D958DCF2CE20.edm" hidden="1" xml:space="preserve">          BS!$1:$1048576</definedName>
    <definedName name="_bdm.CEF4C150D31A44A6893DD5C51E9D8DEC.edm" hidden="1" xml:space="preserve">          [4]CF!$A:$IV</definedName>
    <definedName name="_bdm.D0A360FB19C54275881FE0286A9660EE.edm" hidden="1" xml:space="preserve">          '[4]Est. TableP'!$A:$IV</definedName>
    <definedName name="_bdm.D11AFB32630C489FA7F0DC5B386C8F37.edm" hidden="1">[5]Sheet1!$A:$IV</definedName>
    <definedName name="_bdm.D1FC334264A74DECBFD3C7E3504B6CD2.edm" localSheetId="10" hidden="1">Guidance!$K$27:$R$40</definedName>
    <definedName name="_bdm.D259C2A602CC44BBA50B2599B9E93B86.edm" localSheetId="31" hidden="1">Link!$EP$389:$ET$419</definedName>
    <definedName name="_bdm.D2A9D6BCC9904B3CB2D45A13A3CF9417.edm" localSheetId="18" hidden="1">BS!$B$4:$CA$117</definedName>
    <definedName name="_bdm.D343415CE5E14CFB93CC9C2EAF7B36F5.edm" hidden="1" xml:space="preserve">          [4]CF!$A:$IV</definedName>
    <definedName name="_bdm.D3B7A2190D94493CACDBE1A3D4E6FFC2.edm" hidden="1" xml:space="preserve">          Link!$1:$1048576</definedName>
    <definedName name="_bdm.D40BF45CAAB24A2F817E75454B2C61BB.edm" localSheetId="10" hidden="1">Guidance!$K$49:$T$65</definedName>
    <definedName name="_bdm.D424EAB1D07845C086BDB9F72BACC812.edm" hidden="1" xml:space="preserve">          BS!$1:$1048576</definedName>
    <definedName name="_bdm.D476A610DE7D4033A8E36C0C6ABBFECD.edm" localSheetId="31" hidden="1">Link!$EW$425:$FC$432</definedName>
    <definedName name="_bdm.D4A153B5D8564E70A50E4B74872964CC.edm" localSheetId="24" hidden="1" xml:space="preserve">          '[3]Diff - OLD'!$A:$IV</definedName>
    <definedName name="_bdm.D7713BE436DE4CE4A278B5B662190A79.edm" localSheetId="16" hidden="1">Rev!$B$5:$BW$811</definedName>
    <definedName name="_bdm.D7C4B6625012449EB87961C5D481D385.edm" localSheetId="16" hidden="1">SDXC!$BZ$8:$CB$21</definedName>
    <definedName name="_bdm.D99FBA2544E64358AF206EC7637F95AC.edm" hidden="1" xml:space="preserve">          BS!$1:$1048576</definedName>
    <definedName name="_bdm.DABB4CFA6EFC44859DF7B1F9A23E02A0.edm" localSheetId="8" hidden="1">'Q - old'!$C$4:$O$28</definedName>
    <definedName name="_bdm.DD22A7751C2040E3897FDF6AAC8696E7.edm" hidden="1" xml:space="preserve">          '[4]Est. TableP'!$A:$IV</definedName>
    <definedName name="_bdm.DD36A2E3424344C3825C9A59EF8D1246.edm" hidden="1" xml:space="preserve">          CF!$1:$1048576</definedName>
    <definedName name="_bdm.DD4B795243234E8DA4D0353BD8D63FF7.edm" hidden="1">'MWA ROE - Qtr'!$1:$1048576</definedName>
    <definedName name="_bdm.DDAC4604027347E8BE3B98F15D86B9AB.edm" hidden="1" xml:space="preserve">          CF!$1:$1048576</definedName>
    <definedName name="_bdm.DDDA8D871E0C49F2804DF189C38D23FC.edm" localSheetId="17" hidden="1">IS!$B$6:$CW$100</definedName>
    <definedName name="_bdm.DEE9EC4396F64C6ABEFED7375F25C7FB.edm" localSheetId="18" hidden="1">BS!$B$5:$BS$117</definedName>
    <definedName name="_bdm.E0B6B9C7D08243ACB4D3C3AE22DD60F5.edm" localSheetId="17" hidden="1">IS!$B$6:$CN$86</definedName>
    <definedName name="_bdm.E160BBD84A054B79BD8BFE70FC0FB515.edm" localSheetId="19" hidden="1">CF!$B$5:$BS$89</definedName>
    <definedName name="_bdm.E163FA62384540689AE89ABC93CA15FE.edm" hidden="1" xml:space="preserve">          IS!$1:$1048576</definedName>
    <definedName name="_bdm.E1D02269F33E4F56B89AACF0B07B4234.edm" localSheetId="24" hidden="1" xml:space="preserve">          '[3]Diff - OLD'!$A:$IV</definedName>
    <definedName name="_bdm.E23EC9B0689543D199863E24EA35ACBD.edm" localSheetId="8" hidden="1">'Q - old'!$C$4:$M$57</definedName>
    <definedName name="_bdm.E2F7F4BE723D40F1BAB23E5357571E6C.edm" localSheetId="31" hidden="1">Link!$DR$263:$EF$315</definedName>
    <definedName name="_bdm.E388B61047CB4F4DA621C8EEB12A014B.edm" localSheetId="31" hidden="1">Link!$BS$59:$BY$76</definedName>
    <definedName name="_bdm.E398B1BC61554EF192672B4FC6829D87.edm" hidden="1" xml:space="preserve">          Link!$1:$1048576</definedName>
    <definedName name="_bdm.E3A5F6F81D81488C9E4E9777435CFFF1.edm" hidden="1" xml:space="preserve">          CF!$1:$1048576</definedName>
    <definedName name="_bdm.E4CD4B9794924F0E80FB1F195F11497D.edm" hidden="1">[5]Sheet2!$A:$IV</definedName>
    <definedName name="_bdm.E54E65158B774221BC0B9397DB223B25.edm" localSheetId="24" hidden="1" xml:space="preserve">          '[3]Diff - OLD'!$A:$IV</definedName>
    <definedName name="_bdm.E5B71E7B74D44038A72D7ACBC30B280A.edm" hidden="1" xml:space="preserve">          IS!$1:$1048576</definedName>
    <definedName name="_bdm.E6523BD888A04092A74356B8BB1803C7.edm" hidden="1" xml:space="preserve">          Rev!$1:$1048576</definedName>
    <definedName name="_bdm.E6DEDE2CEB524EBDA1D45DD7CA3FD170.edm" localSheetId="29" hidden="1">Valuation!$A$24:$P$80</definedName>
    <definedName name="_bdm.E76E7422A4824CCD89E5AFE4836F82D8.edm" hidden="1" xml:space="preserve">          CF!$1:$1048576</definedName>
    <definedName name="_bdm.E7A15AF665E448CAB27C6F1C8D70D19A.edm" hidden="1">Valuation!$1:$1048576</definedName>
    <definedName name="_bdm.E7EE8038F6A9403E91B244110A127B22.edm" localSheetId="29" hidden="1">Valuation!$A$24:$P$92</definedName>
    <definedName name="_bdm.E96D94F7E358423C98680FDC5A3C1709.edm" localSheetId="17" hidden="1">IS!$B$6:$CH$168</definedName>
    <definedName name="_bdm.EA7980491CC549EEB98F023569F86A36.edm" localSheetId="16" hidden="1">Rev!$B$5:$BW$786</definedName>
    <definedName name="_bdm.ECB8D92E2D0B40F382E0CB443047BC5F.edm" hidden="1" xml:space="preserve">          CF!$1:$1048576</definedName>
    <definedName name="_bdm.EE07EA9768A54C4F9159C27E2F8487B4.edm" hidden="1" xml:space="preserve">          BS!$1:$1048576</definedName>
    <definedName name="_bdm.EF24D72AB6664FBB9A3ED5A60E4D9636.edm" localSheetId="24" hidden="1" xml:space="preserve">          '[3]Diff - OLD'!$A:$IV</definedName>
    <definedName name="_bdm.EF33672F8CB74180A9FBD4EC16EEE3A5.edm" localSheetId="17" hidden="1">IS!$B$6:$CH$82</definedName>
    <definedName name="_bdm.F1165A2740864743BD7375C21E80EC37.edm" hidden="1" xml:space="preserve">          Link!$1:$1048576</definedName>
    <definedName name="_bdm.F204690DCB6240D68335A49B3390459D.edm" localSheetId="31" hidden="1">Link!$DR$263:$ED$315</definedName>
    <definedName name="_bdm.F2C8F36DFE9E4958BF0DC281160F0A3A.edm" localSheetId="24" hidden="1">[1]Synergies!$A:$IV</definedName>
    <definedName name="_bdm.F2C8F36DFE9E4958BF0DC281160F0A3A.edm" hidden="1">[2]Synergies!$A:$IV</definedName>
    <definedName name="_bdm.F383F67A6E7B4D489D14E00995710D5F.edm" hidden="1" xml:space="preserve">          CF!$1:$1048576</definedName>
    <definedName name="_bdm.F3DF94629BFF460A9CC4DEC8BD68D9C2.edm" localSheetId="24" hidden="1" xml:space="preserve">          '[3]Diff - OLD'!$A:$IV</definedName>
    <definedName name="_bdm.F4C40D184D5E4F3C8886E23545459413.edm" localSheetId="17" hidden="1" xml:space="preserve">          IS!$1:$1048576</definedName>
    <definedName name="_bdm.F504818B85CA42149D4CF773D96FC0FE.edm" localSheetId="29" hidden="1">Valuation!$A$24:$P$96</definedName>
    <definedName name="_bdm.F5C1AA073873411C88745E57763291CC.edm" localSheetId="16" hidden="1">Rev!$B$5:$BS$817</definedName>
    <definedName name="_bdm.F630ED011E1041D1A0198885A578B3F4.edm" hidden="1" xml:space="preserve">          Link!$1:$1048576</definedName>
    <definedName name="_bdm.F66789601DEB4BF4974059115BC1F278.edm" hidden="1" xml:space="preserve">          Link!$1:$1048576</definedName>
    <definedName name="_bdm.F7D1B4DCB2BB4FE1BCF983B92D092884.edm" localSheetId="19" hidden="1">CF!$B$5:$BW$92</definedName>
    <definedName name="_bdm.F7DB67EAC91B488AAFB81932101B0A13.edm" hidden="1" xml:space="preserve">          Rev!$1:$1048576</definedName>
    <definedName name="_bdm.F83D8073089440B9998A504F9EB03364.edm" hidden="1" xml:space="preserve">          Rev!$1:$1048576</definedName>
    <definedName name="_bdm.FBC03688D5884DD9BBED24BD53894500.edm" localSheetId="24" hidden="1">'[1]PF Mix'!$A:$IV</definedName>
    <definedName name="_bdm.FBC03688D5884DD9BBED24BD53894500.edm" hidden="1">'[2]PF Mix'!$A:$IV</definedName>
    <definedName name="_bdm.FC1B133406594FA8AD320CD1CD84C9E4.edm" localSheetId="29" hidden="1">Valuation!$A$24:$P$93</definedName>
    <definedName name="_bdm.FC814BDDC13546BFAC98F99FB89A0197.edm" localSheetId="24" hidden="1" xml:space="preserve">          '[3]Diff - OLD'!$A:$IV</definedName>
    <definedName name="_bdm.FCB54A7B6E374CC48C596973189081DF.edm" hidden="1" xml:space="preserve">          Rev!$1:$1048576</definedName>
    <definedName name="_bdm.FEA31E3F414C461A8BCED361F4D348E1.edm" localSheetId="31" hidden="1">Link!$FE$400:$FN$413</definedName>
    <definedName name="_bdm.FF4D809BF6AA4D999680D56F87D7A80E.edm" localSheetId="16" hidden="1">Rev!$B$694:$R$786</definedName>
    <definedName name="_bdm.FF67C7623BA44223869F994FBD73FCB5.edm" hidden="1" xml:space="preserve">          BS!$1:$1048576</definedName>
    <definedName name="_bdm.FFAEB93C428948B2A85638E504601E9C.edm" localSheetId="31" hidden="1">Link!$DR$205:$EF$316</definedName>
    <definedName name="_bdm.FFD0CDEF3BDF4056BDF26F908A83C3ED.edm" localSheetId="18" hidden="1">BS!$S$6:$S$73</definedName>
    <definedName name="_Exp1" localSheetId="0">'MWA ROE - Qtr'!$B$7:$E$14</definedName>
    <definedName name="_Exp1">'MWA ROE - Annual'!$B$7:$E$14</definedName>
    <definedName name="_Exp2" localSheetId="0">'MWA ROE - Qtr'!$F$7:$L$14</definedName>
    <definedName name="_Exp2">'MWA ROE - Annual'!$F$7:$L$14</definedName>
    <definedName name="_Exp3" localSheetId="0">'MWA ROE - Qtr'!$B$15:$E$22</definedName>
    <definedName name="_Exp3">'MWA ROE - Annual'!$B$15:$E$22</definedName>
    <definedName name="_Exp4" localSheetId="0">'MWA ROE - Qtr'!$F$15:$L$22</definedName>
    <definedName name="_Exp4">'MWA ROE - Annual'!$F$15:$L$22</definedName>
    <definedName name="_Exp5" localSheetId="0">'MWA ROE - Qtr'!$B$23:$E$30</definedName>
    <definedName name="_Exp5">'MWA ROE - Annual'!$B$23:$E$30</definedName>
    <definedName name="_Exp6" localSheetId="0">'MWA ROE - Qtr'!$F$23:$L$30</definedName>
    <definedName name="_Exp6">'MWA ROE - Annual'!$F$23:$L$30</definedName>
    <definedName name="_Exp7" localSheetId="0">'MWA ROE - Qtr'!$B$7:$L$30</definedName>
    <definedName name="_Exp7">'MWA ROE - Annual'!$B$7:$L$30</definedName>
    <definedName name="_Exp8" localSheetId="0">'MWA ROE - Qtr'!$B$3:$L$148</definedName>
    <definedName name="_Exp8">'MWA ROE - Annual'!$B$3:$L$149</definedName>
    <definedName name="_xlnm._FilterDatabase" localSheetId="8" hidden="1">'Q - old'!$N$2:$O$85</definedName>
    <definedName name="_Order1" localSheetId="20" hidden="1">255</definedName>
    <definedName name="_Order1" localSheetId="29" hidden="1">0</definedName>
    <definedName name="_Order1">0</definedName>
    <definedName name="abc" localSheetId="1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 localSheetId="0"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dditionalInstructions">IndexInformation!$B$42</definedName>
    <definedName name="Address" localSheetId="14">ImportantDisclosures!$A$2:$A$2</definedName>
    <definedName name="ANA" localSheetId="26">ModPubIndex!$A$7</definedName>
    <definedName name="anscount" hidden="1">1</definedName>
    <definedName name="AssetsCurrentAccountsReceivableGross">0</definedName>
    <definedName name="AssetsCurrentDeferredIncomeTaxes">0</definedName>
    <definedName name="AssetsCurrentOther">0</definedName>
    <definedName name="AssetsCurrentPrepaidExpenses">0</definedName>
    <definedName name="AssetsCurrentShortTermInvestments">0</definedName>
    <definedName name="AssetsIntangiblesAccumulatedAmortization">0</definedName>
    <definedName name="AssetsIntangiblesGross">0</definedName>
    <definedName name="AssetsOtherAccumulatedAmortization">0</definedName>
    <definedName name="AssetsOtherGross">0</definedName>
    <definedName name="AssetsOtherNet">0</definedName>
    <definedName name="Authors" localSheetId="14">ImportantDisclosures!$A$7</definedName>
    <definedName name="Authors" localSheetId="25">IndexInformation!$B$18</definedName>
    <definedName name="BRO" localSheetId="26">ModPubIndex!$A$1</definedName>
    <definedName name="Buttons" localSheetId="15">CircularReferenceAlert!$B$13:$B$15</definedName>
    <definedName name="CashFlowCapitalExpenditureCellular">0</definedName>
    <definedName name="CashFlowCapitalExpenditureOther">0</definedName>
    <definedName name="CashFlowCapitalExpenditurePaging">0</definedName>
    <definedName name="CashFlowCapitalExpenditureTelephone">0</definedName>
    <definedName name="CashFlowCapitalExpenditureWireless">0</definedName>
    <definedName name="CashFlowDividendPaidPreferredStock">0</definedName>
    <definedName name="Consolidated_Income_Statement">"A1AnnIS"</definedName>
    <definedName name="CopyrightStamp">ImportantDisclosures!$A$27</definedName>
    <definedName name="COU" localSheetId="26">ModPubIndex!$A$5</definedName>
    <definedName name="CQEnd" localSheetId="25">IndexInformation!$B$31</definedName>
    <definedName name="CrazyCapExRow" localSheetId="29">IF(Valuation!LatestBS-Valuation!LatestCYE&lt;0,"Error",IF(Valuation!LatestBS-Valuation!LatestCYE&lt;100,0,IF(Valuation!LatestBS-Valuation!LatestCYE&lt;200,1,IF(Valuation!LatestBS-Valuation!LatestCYE&lt;290,2,0))))</definedName>
    <definedName name="Currency" localSheetId="25">IndexInformation!$B$24</definedName>
    <definedName name="CurrentStockPrice" localSheetId="25">IndexInformation!$B$23</definedName>
    <definedName name="CurrQtrEPS" localSheetId="25">IndexInformation!$B$29</definedName>
    <definedName name="CurrYearEPS" localSheetId="25">IndexInformation!$B$11</definedName>
    <definedName name="CurrYearTotalRevenue" localSheetId="25">IndexInformation!$B$10</definedName>
    <definedName name="CurrYearTotalRevenueActual" localSheetId="25">IndexInformation!$B$32</definedName>
    <definedName name="CUSIP" localSheetId="25">IndexInformation!$B$20</definedName>
    <definedName name="CYEnd" localSheetId="25">IndexInformation!$B$30</definedName>
    <definedName name="dataseries4">OFFSET([6]c1!$G$12,0,0,COUNTA([6]c1!$G$12:$G$31),1)</definedName>
    <definedName name="Date" localSheetId="14">ImportantDisclosures!$A$8</definedName>
    <definedName name="Deleted" localSheetId="25">IndexInformation!$B$27</definedName>
    <definedName name="Description" localSheetId="25">IndexInformation!$B$7</definedName>
    <definedName name="Discipline" localSheetId="25">IndexInformation!$B$3</definedName>
    <definedName name="DISCIPLINE" localSheetId="26">ModPubIndex!$A$12</definedName>
    <definedName name="DisclosuresText">ImportantDisclosures!$A$22</definedName>
    <definedName name="Distribution" localSheetId="25">IndexInformation!$B$26</definedName>
    <definedName name="DistTable" localSheetId="14">ImportantDisclosures!#REF!</definedName>
    <definedName name="DistTablePreamble" localSheetId="14">ImportantDisclosures!#REF!</definedName>
    <definedName name="DOCDAT" localSheetId="26">ModPubIndex!$A$2</definedName>
    <definedName name="DOCTIME" localSheetId="26">ModPubIndex!$A$3</definedName>
    <definedName name="DocType" localSheetId="25">IndexInformation!$B$5</definedName>
    <definedName name="EMAIL_ALERT" localSheetId="26">ModPubIndex!$A$10</definedName>
    <definedName name="EmailAlert" localSheetId="25">IndexInformation!$B$28</definedName>
    <definedName name="EquityAdjustments">0</definedName>
    <definedName name="EquityEmployeeStockOwnershipPlan">0</definedName>
    <definedName name="EquityPaidInCapital">0</definedName>
    <definedName name="EquityTreasuryStock">0</definedName>
    <definedName name="ｆ" hidden="1">"iQShowAnnual"</definedName>
    <definedName name="FiveYearGrowthRate" localSheetId="25">IndexInformation!$B$16</definedName>
    <definedName name="FollowingYearEPS" localSheetId="25">IndexInformation!$B$15</definedName>
    <definedName name="FollowingYearTotalRevenue" localSheetId="25">IndexInformation!$B$14</definedName>
    <definedName name="FollowingYearTotalRevenueActual" localSheetId="25">IndexInformation!$B$34</definedName>
    <definedName name="High_Ratio">" 100+"</definedName>
    <definedName name="HL" localSheetId="26">ModPubIndex!$A$8</definedName>
    <definedName name="in_millions__expect_per_share_data">"QtlyErngsBook_AnnIS"</definedName>
    <definedName name="IncomeEPSFullyDiluted">0</definedName>
    <definedName name="IncomeEPSPrimary">0</definedName>
    <definedName name="IncomeEPSRegular">0</definedName>
    <definedName name="IND" localSheetId="26">ModPubIndex!$A$9</definedName>
    <definedName name="Industry" localSheetId="14">ImportantDisclosures!$A$12</definedName>
    <definedName name="IndustryId">IndexInformation!$B$40</definedName>
    <definedName name="IndustryRating" localSheetId="14">ImportantDisclosures!$A$13</definedName>
    <definedName name="IQ_CAPITALIZED_INTEREST" localSheetId="29" hidden="1">"c3460"</definedName>
    <definedName name="IQ_CASH_ACQUIRE_CF" localSheetId="20" hidden="1">"c116"</definedName>
    <definedName name="IQ_CASH_ACQUIRE_CF" localSheetId="29" hidden="1">"c116"</definedName>
    <definedName name="IQ_OUTSTANDING_FILING_DATE" localSheetId="20" hidden="1">"c1023"</definedName>
    <definedName name="IQ_OUTSTANDING_FILING_DATE" localSheetId="29" hidden="1">"c1023"</definedName>
    <definedName name="IQ_RETAIL_ACQUIRED_FRANCHISE_STORES" localSheetId="29" hidden="1">"c2895"</definedName>
    <definedName name="IQ_RETAIL_ACQUIRED_OWNED_STORES" localSheetId="29" hidden="1">"c2903"</definedName>
    <definedName name="IQ_REVISION_DATE_" localSheetId="20" hidden="1">39177.5491319444</definedName>
    <definedName name="IQ_REVISION_DATE_" localSheetId="29" hidden="1">39358.4284837963</definedName>
    <definedName name="KeepVersions" localSheetId="25">IndexInformation!$B$8</definedName>
    <definedName name="LanguageCode">IndexInformation!$B$38</definedName>
    <definedName name="LastCell" localSheetId="14">ImportantDisclosures!$A$22</definedName>
    <definedName name="LiabilitiesCurrentAccruedLiabilities">0</definedName>
    <definedName name="LiabilitiesCurrentNotesPayable">0</definedName>
    <definedName name="LiabilitiesDeferredIncomeTaxes">0</definedName>
    <definedName name="LiabilitiesOther">0</definedName>
    <definedName name="LiabilitiesUnamortizedInvestmentTaxCredits">0</definedName>
    <definedName name="Linking_1">Rev!$CO$813:$CQ$816</definedName>
    <definedName name="Linking_10">BS!$B$5:$CU$73</definedName>
    <definedName name="Linking_11">CF!$B$5:$CU$97</definedName>
    <definedName name="Linking_13">'Valuation - REIT'!$C$6:$F$35</definedName>
    <definedName name="Linking_14">CF!$B$5:$CU$76</definedName>
    <definedName name="Linking_15">Q!$AW$86:$BA$102</definedName>
    <definedName name="Linking_16">Q!$BH$149:$BK$164</definedName>
    <definedName name="Linking_17">IS!$B$6:$DM$82</definedName>
    <definedName name="Linking_18">Q!$BH$149:$BK$160</definedName>
    <definedName name="Linking_19">Q!$AW$86:$BA$106</definedName>
    <definedName name="Linking_2">Q!$AW$131:$AY$150</definedName>
    <definedName name="Linking_20">Q!$BH$149:$BK$165</definedName>
    <definedName name="Linking_21">Q!$BH$131:$BK$142</definedName>
    <definedName name="Linking_22">Q!$BH$131:$BK$146</definedName>
    <definedName name="Linking_23">Q!$BH$114:$BK$125</definedName>
    <definedName name="Linking_24">Q!$AW$86:$BC$106</definedName>
    <definedName name="Linking_25">Q!$BH$97:$BK$112</definedName>
    <definedName name="Linking_26">Q!$AW$33:$BB$45</definedName>
    <definedName name="Linking_27">Q!$BH$80:$BK$91</definedName>
    <definedName name="Linking_28">IS!$B$6:$DQ$100</definedName>
    <definedName name="Linking_29">BS!$B$5:$CY$73</definedName>
    <definedName name="Linking_3">CF!$B$5:$CQ$76</definedName>
    <definedName name="Linking_30">CF!$B$5:$CY$97</definedName>
    <definedName name="Linking_31">Q!$AW$33:$BA$53</definedName>
    <definedName name="Linking_32">Q!$BH$80:$BK$95</definedName>
    <definedName name="Linking_33">Q!$AW$33:$BA$53</definedName>
    <definedName name="Linking_34">Q!$BH$62:$BK$77</definedName>
    <definedName name="Linking_35">Q!$AW$33:$BB$53</definedName>
    <definedName name="Linking_36">Q!$BH$44:$BK$59</definedName>
    <definedName name="Linking_37">CF!$B$5:$CY$76</definedName>
    <definedName name="Linking_38">Q!$AW$33:$BC$53</definedName>
    <definedName name="Linking_39">Q!$BH$27:$BK$42</definedName>
    <definedName name="Linking_4">Q!$BH$184:$BK$198</definedName>
    <definedName name="Linking_40">IS!$B$6:$DU$100</definedName>
    <definedName name="Linking_41">BS!$B$5:$DC$73</definedName>
    <definedName name="Linking_42">CF!$B$5:$DC$70</definedName>
    <definedName name="Linking_43">Q!$AW$10:$BB$30</definedName>
    <definedName name="Linking_44">Q!$BH$10:$BK$25</definedName>
    <definedName name="Linking_45">CF!$B$5:$DC$76</definedName>
    <definedName name="Linking_5">Q!$D$8:$AP$83</definedName>
    <definedName name="Linking_6">Q!$AW$131:$BB$150</definedName>
    <definedName name="Linking_7">Q!$AW$131:$BC$149</definedName>
    <definedName name="Linking_8">Q!$BH$167:$BK$181</definedName>
    <definedName name="Linking_9">IS!$B$6:$DM$100</definedName>
    <definedName name="Linking_Range_0001">Q!$AW$131:$BC$150</definedName>
    <definedName name="Linking_Range_1">Guidance!$K$27:$R$40</definedName>
    <definedName name="Linking_Range_10">CF!$B$5:$CE$101</definedName>
    <definedName name="Linking_Range_100">Q!$BH$246:$BI$260</definedName>
    <definedName name="Linking_Range_101">Q!$BH$246:$BK$260</definedName>
    <definedName name="Linking_Range_102">Q!$AW$196:$BC$212</definedName>
    <definedName name="Linking_Range_103">Q!$BH$232:$BK$243</definedName>
    <definedName name="Linking_Range_104">IS!$B$6:$DE$83</definedName>
    <definedName name="Linking_Range_105">Q!$AW$131:$BA$148</definedName>
    <definedName name="Linking_Range_106">Q!$BH$216:$BK$230</definedName>
    <definedName name="Linking_Range_107">IS!$B$6:$DI$100</definedName>
    <definedName name="Linking_Range_108">BS!$B$5:$CQ$116</definedName>
    <definedName name="Linking_Range_109">CF!$B$5:$CQ$97</definedName>
    <definedName name="Linking_Range_11" localSheetId="13">Q!$D$8:$AO$78</definedName>
    <definedName name="Linking_Range_11">'Q - old'!$AB$41:$AF$47</definedName>
    <definedName name="Linking_Range_110">Q!$BH$216:$BL$230</definedName>
    <definedName name="Linking_Range_111">Q!$BQ$11:$BS$31</definedName>
    <definedName name="Linking_Range_112">Q!$AW$131:$AZ$148</definedName>
    <definedName name="Linking_Range_113">Q!$AW$131:$BA$150</definedName>
    <definedName name="Linking_Range_114">Q!$BH$200:$BK$214</definedName>
    <definedName name="Linking_Range_115">Q!$D$8:$AP$36</definedName>
    <definedName name="Linking_Range_12">'Q - old'!$AB$41:$AF$48</definedName>
    <definedName name="Linking_Range_13">Guidance!$B$47:$H$60</definedName>
    <definedName name="Linking_Range_14">Guidance!$K$27:$S$42</definedName>
    <definedName name="Linking_Range_15">CF!$B$5:$CE$70</definedName>
    <definedName name="Linking_Range_16">'Q - old'!$AB$41:$AG$47</definedName>
    <definedName name="Linking_Range_17">'FFO-AFFO'!$C$3:$G$6</definedName>
    <definedName name="Linking_Range_18">'FFO-AFFO'!$C$2:$G$6</definedName>
    <definedName name="Linking_Range_19">Guidance!$K$27:$S$45</definedName>
    <definedName name="Linking_Range_2">'Q - old'!$C$4:$O$28</definedName>
    <definedName name="Linking_Range_20">Guidance!$B$63:$H$79</definedName>
    <definedName name="Linking_Range_21">'Estimate Changes'!$B$4:$H$14</definedName>
    <definedName name="Linking_Range_22">'Estimate Changes'!$B$4:$H$15</definedName>
    <definedName name="Linking_Range_23">IS!$B$6:$DA$100</definedName>
    <definedName name="Linking_Range_24">BS!$B$5:$CI$116</definedName>
    <definedName name="Linking_Range_25">CF!$B$5:$CI$97</definedName>
    <definedName name="Linking_Range_26">'Q - old'!$AB$41:$AH$47</definedName>
    <definedName name="Linking_Range_27">Guidance!$K$4:$R$17</definedName>
    <definedName name="Linking_Range_28">Guidance!$K$4:$R$18</definedName>
    <definedName name="Linking_Range_29">Guidance!$K$27:$R$45</definedName>
    <definedName name="Linking_Range_3">Link!$EM$330:$EN$379</definedName>
    <definedName name="Linking_Range_30">Guidance!$K$4:$O$18</definedName>
    <definedName name="Linking_Range_31">Guidance!$K$4:$O$19</definedName>
    <definedName name="Linking_Range_32">Guidance!$B$82:$H$94</definedName>
    <definedName name="Linking_Range_33">Guidance!$B$82:$F$94</definedName>
    <definedName name="Linking_Range_34">Guidance!$B$82:$G$94</definedName>
    <definedName name="Linking_Range_35">Guidance!$K$27:$Q$45</definedName>
    <definedName name="Linking_Range_36">'FFO-AFFO'!$C$3:$G$7</definedName>
    <definedName name="Linking_Range_37" localSheetId="13">Q!$D$8:$AO$36</definedName>
    <definedName name="Linking_Range_37">IS!$B$6:$DA$85</definedName>
    <definedName name="Linking_Range_38" localSheetId="13">Q!$BH$369:$BL$389</definedName>
    <definedName name="Linking_Range_38">CF!$B$117:$S$143</definedName>
    <definedName name="Linking_Range_39" localSheetId="13">Q!$AW$281:$BA$283</definedName>
    <definedName name="Linking_Range_39">Guidance!$K$27:$P$45</definedName>
    <definedName name="Linking_Range_4">IS!$B$6:$CW$100</definedName>
    <definedName name="Linking_Range_40" localSheetId="13">Q!$AW$281:$BA$283</definedName>
    <definedName name="Linking_Range_40">Guidance!$K$4:$M$17</definedName>
    <definedName name="Linking_Range_41" localSheetId="13">Q!$AW$260:$AY$262</definedName>
    <definedName name="Linking_Range_41">'FFO-AFFO'!$M$61:$T$67</definedName>
    <definedName name="Linking_Range_42">Consensus!$C$3:$H$14</definedName>
    <definedName name="Linking_Range_43">Guidance!$K$27:$Q$44</definedName>
    <definedName name="Linking_Range_44">Q!$BH$249:$BN$269</definedName>
    <definedName name="Linking_Range_46">Q!$D$8:$AO$62</definedName>
    <definedName name="Linking_Range_47">Q!$D$8:$AQ$62</definedName>
    <definedName name="Linking_Range_48">Q!$BH$355:$BK$365</definedName>
    <definedName name="Linking_Range_49">Q!$BH$292:$BL$292</definedName>
    <definedName name="Linking_Range_5">BS!$B$5:$CE$116</definedName>
    <definedName name="Linking_Range_50">'FFO-AFFO'!$M$61:$R$67</definedName>
    <definedName name="Linking_Range_51">Q!$BH$355:$BI$365</definedName>
    <definedName name="Linking_Range_52">Q!$BH$292:$BJ$292</definedName>
    <definedName name="Linking_Range_53">Q!$D$8:$AN$78</definedName>
    <definedName name="Linking_Range_54">Q!$D$8:$AN$62</definedName>
    <definedName name="Linking_Range_55">Q!$BH$342:$BK$352</definedName>
    <definedName name="Linking_Range_56">Illustrative!$C$2:$G$19</definedName>
    <definedName name="Linking_Range_57">'FFO-AFFO'!$M$61:$S$67</definedName>
    <definedName name="Linking_Range_58">Q!$D$8:$AO$78</definedName>
    <definedName name="Linking_Range_59">Q!$BH$320:$BK$340</definedName>
    <definedName name="Linking_Range_6">CF!$B$5:$CE$97</definedName>
    <definedName name="Linking_Range_61">Q!$BH$149:$BP$172</definedName>
    <definedName name="Linking_Range_62">Q!$AW$281:$BB$293</definedName>
    <definedName name="Linking_Range_64">Q!$BH$320:$BJ$340</definedName>
    <definedName name="Linking_Range_65">Q!$BQ$52:$BQ$65</definedName>
    <definedName name="Linking_Range_67">Q!$BQ$52:$BQ$65</definedName>
    <definedName name="Linking_Range_68">IS!$B$6:$DE$100</definedName>
    <definedName name="Linking_Range_69">BS!$B$5:$CM$116</definedName>
    <definedName name="Linking_Range_7">'Q - old'!$C$4:$M$28</definedName>
    <definedName name="Linking_Range_70">CF!$B$5:$CM$97</definedName>
    <definedName name="Linking_Range_71">Q!$BU$50:$BY$71</definedName>
    <definedName name="Linking_Range_72">Q!$BU$50:$BY$72</definedName>
    <definedName name="Linking_Range_73">Q!$BU$33:$BY$46</definedName>
    <definedName name="Linking_Range_74">Q!$D$8:$AM$62</definedName>
    <definedName name="Linking_Range_75">Q!$AW$260:$AZ$279</definedName>
    <definedName name="Linking_Range_76">Q!$AW$260:$BC$279</definedName>
    <definedName name="Linking_Range_77">Q!$BH$180:$BO$201</definedName>
    <definedName name="Linking_Range_78">FX!$B$3:$I$10</definedName>
    <definedName name="Linking_Range_79">FX!$B$3:$I$11</definedName>
    <definedName name="Linking_Range_8">Guidance!$K$27:$R$41</definedName>
    <definedName name="Linking_Range_80">FX!$B$3:$I$12</definedName>
    <definedName name="Linking_Range_81">Metrics!$B$2:$CI$60</definedName>
    <definedName name="Linking_Range_82">'FFO-AFFO'!$M$41:$T$47</definedName>
    <definedName name="Linking_Range_83">Q!$BQ$52:$BS$70</definedName>
    <definedName name="Linking_Range_84">Q!$BQ$52:$BS$63</definedName>
    <definedName name="Linking_Range_86">Q!$AW$260:$BA$270</definedName>
    <definedName name="Linking_Range_87">Q!$BH$211:$BM$222</definedName>
    <definedName name="Linking_Range_88">IS!$B$6:$DE$85</definedName>
    <definedName name="Linking_Range_89">Q!$AW$196:$BB$211</definedName>
    <definedName name="Linking_Range_9">Guidance!$B$27:$H$40</definedName>
    <definedName name="Linking_Range_90">Q!$BH$279:$BK$291</definedName>
    <definedName name="Linking_Range_91">Q!$BQ$33:$BS$44</definedName>
    <definedName name="Linking_Range_92">Q!$D$8:$AO$36</definedName>
    <definedName name="Linking_Range_93">Q!$BH$263:$BK$275</definedName>
    <definedName name="Linking_Range_94">CF!$B$5:$CM$101</definedName>
    <definedName name="Linking_Range_95">Q!$BQ$33:$BS$49</definedName>
    <definedName name="Linking_Range_96">Q!$AW$196:$BC$209</definedName>
    <definedName name="Linking_Range_97">Q!$D$8:$AP$62</definedName>
    <definedName name="Linking_Range_98">Q!$AW$196:$BC$210</definedName>
    <definedName name="Linking_Range_99">Q!$BH$246:$BK$259</definedName>
    <definedName name="MacroVersion" localSheetId="25">IndexInformation!$B$1</definedName>
    <definedName name="MaxChange" localSheetId="15">CircularReferenceAlert!$B$9</definedName>
    <definedName name="MaxIterations" localSheetId="15">CircularReferenceAlert!$B$8</definedName>
    <definedName name="MExbrlDates" localSheetId="0">'MWA ROE - Qtr'!$B$383:$L$383</definedName>
    <definedName name="MExbrlDates">'MWA ROE - Annual'!$B$384:$L$384</definedName>
    <definedName name="mode">'Valuation - REIT'!$D$2</definedName>
    <definedName name="ModelPrice" localSheetId="14">ImportantDisclosures!$A$14</definedName>
    <definedName name="Multiplier" localSheetId="25">IndexInformation!$B$35</definedName>
    <definedName name="MWxbrlDates" localSheetId="4">'MWA ROE - Annual'!$C$33:$L$33</definedName>
    <definedName name="MWxbrlDates" localSheetId="0">'MWA ROE - Qtr'!$C$33:$L$33</definedName>
    <definedName name="na">"  n/a "</definedName>
    <definedName name="NextYearEPS" localSheetId="25">IndexInformation!$B$13</definedName>
    <definedName name="NextYearTotalRevenue" localSheetId="25">IndexInformation!$B$12</definedName>
    <definedName name="NextYearTotalRevenueActual" localSheetId="25">IndexInformation!$B$33</definedName>
    <definedName name="Normalized_Income_Statement">"IS_Annual"</definedName>
    <definedName name="ObjectType">IndexInformation!$B$37</definedName>
    <definedName name="OpExAmortization">0</definedName>
    <definedName name="OpExBeforeDepreciationAmortizationExtraordinariesOther">0</definedName>
    <definedName name="OpExBeforeDepreciationAmortizationExtraordinariesTotal">0</definedName>
    <definedName name="OpExCostOfEquipment">0</definedName>
    <definedName name="OpExDepreciation">0</definedName>
    <definedName name="OpExGeneralAdministrative">0</definedName>
    <definedName name="OpExSellingMarketing">0</definedName>
    <definedName name="OpExTotal">0</definedName>
    <definedName name="OtherExEquityIncome">0</definedName>
    <definedName name="OtherExGainOnSale">0</definedName>
    <definedName name="OtherExInterestIncome">0</definedName>
    <definedName name="OtherExMinorityInterest">0</definedName>
    <definedName name="OtherExTotal">0</definedName>
    <definedName name="PANA" localSheetId="26">ModPubIndex!$A$11</definedName>
    <definedName name="PathName" localSheetId="25">IndexInformation!$B$25</definedName>
    <definedName name="PeriodsRange" localSheetId="4">'MWA ROE - Annual'!$C$34:$L$34</definedName>
    <definedName name="PeriodsRange" localSheetId="0">'MWA ROE - Qtr'!$C$34:$L$34</definedName>
    <definedName name="_xlnm.Print_Area" localSheetId="18">BS!$B$5:$CY$73</definedName>
    <definedName name="_xlnm.Print_Area" localSheetId="19">CF!$B$5:$CY$107,CF!$B$109:$CY$232</definedName>
    <definedName name="_xlnm.Print_Area" localSheetId="11">'Charts - Annual'!$A$100:$Y$332</definedName>
    <definedName name="_xlnm.Print_Area" localSheetId="17">IS!$B$6:$DQ$100</definedName>
    <definedName name="_xlnm.Print_Area" localSheetId="4">'MWA ROE - Annual'!$B$3:$M$152</definedName>
    <definedName name="_xlnm.Print_Area" localSheetId="0">'MWA ROE - Qtr'!$B$3:$M$151</definedName>
    <definedName name="_xlnm.Print_Area" localSheetId="13">Q!$BH$80:$BK$95,Q!$AW$33:$BA$53</definedName>
    <definedName name="_xlnm.Print_Area" localSheetId="16">Rev!$B$5:$CY$55</definedName>
    <definedName name="_xlnm.Print_Area" localSheetId="29">Valuation!$A$24:$P$91</definedName>
    <definedName name="_xlnm.Print_Area" localSheetId="24">'Valuation - REIT'!$C$6:$F$36</definedName>
    <definedName name="_xlnm.Print_Area">[7]CENMODEL!#REF!</definedName>
    <definedName name="_xlnm.Print_Titles" localSheetId="29">Valuation!$1:$3</definedName>
    <definedName name="_xlnm.Print_Titles">#REF!</definedName>
    <definedName name="print1" localSheetId="11" hidden="1">{#N/A,#N/A,FALSE,"Index";"Stmts_Qtrs",#N/A,FALSE,"Summary";"Stmts_24 mo",#N/A,FALSE,"Summary";"Summary_24",#N/A,FALSE,"Revenue";"Month_24",#N/A,FALSE,"Engineering";"Month_24",#N/A,FALSE,"Marketing";"Month_24",#N/A,FALSE,"G &amp; A";"Month_24",#N/A,FALSE,"Manufacturing"}</definedName>
    <definedName name="print1" hidden="1">{#N/A,#N/A,FALSE,"Index";"Stmts_Qtrs",#N/A,FALSE,"Summary";"Stmts_24 mo",#N/A,FALSE,"Summary";"Summary_24",#N/A,FALSE,"Revenue";"Month_24",#N/A,FALSE,"Engineering";"Month_24",#N/A,FALSE,"Marketing";"Month_24",#N/A,FALSE,"G &amp; A";"Month_24",#N/A,FALSE,"Manufacturing"}</definedName>
    <definedName name="PRODUCT" localSheetId="26">ModPubIndex!$A$6</definedName>
    <definedName name="ProjectName" localSheetId="11">{"Client Name or Project Name"}</definedName>
    <definedName name="ProjectName" localSheetId="17">{"Client Name or Project Name"}</definedName>
    <definedName name="ProjectName" localSheetId="20">{"Client Name or Project Name"}</definedName>
    <definedName name="ProjectName" localSheetId="13">{"Client Name or Project Name"}</definedName>
    <definedName name="ProjectName" localSheetId="24">{"Client Name or Project Name"}</definedName>
    <definedName name="ProjectName">{"Client Name or Project Name"}</definedName>
    <definedName name="PSYM" localSheetId="26">ModPubIndex!$A$4</definedName>
    <definedName name="PublishDate" localSheetId="25">IndexInformation!$B$2</definedName>
    <definedName name="Rating" localSheetId="25">IndexInformation!$B$9</definedName>
    <definedName name="RatingsDefined" localSheetId="14">ImportantDisclosures!$A$21</definedName>
    <definedName name="RatingsDefs" localSheetId="14">ImportantDisclosures!#REF!</definedName>
    <definedName name="RegACDisclosure" localSheetId="14">ImportantDisclosures!#REF!</definedName>
    <definedName name="Rem_Bus_ROIC" localSheetId="11">OFFSET([0]!XRange,11,0)</definedName>
    <definedName name="Rem_Bus_ROIC" localSheetId="13">OFFSET([0]!XRange,11,0)</definedName>
    <definedName name="Rem_Bus_ROIC" localSheetId="24">OFFSET([0]!XRange,11,0)</definedName>
    <definedName name="Rem_Bus_ROIC">OFFSET([0]!XRange,11,0)</definedName>
    <definedName name="RepairedName1846" hidden="1">"iQShowAnnual"</definedName>
    <definedName name="ResearchTopic" localSheetId="25">IndexInformation!$B$4</definedName>
    <definedName name="RevenuesCellularEquipment">0</definedName>
    <definedName name="RevenuesCellularOther">0</definedName>
    <definedName name="RevenuesCellularService">0</definedName>
    <definedName name="RevenuesCellularTotal">0</definedName>
    <definedName name="RevenuesPagingEquipment">0</definedName>
    <definedName name="RevenuesPagingOther">0</definedName>
    <definedName name="RevenuesPagingService">0</definedName>
    <definedName name="RevenuesPagingTotal">0</definedName>
    <definedName name="RevenuesWirelessEquipment">0</definedName>
    <definedName name="RevenuesWirelessOther">0</definedName>
    <definedName name="RevenuesWirelessService">0</definedName>
    <definedName name="RIC" localSheetId="25">IndexInformation!$B$21</definedName>
    <definedName name="rngAppName" localSheetId="4">'MWA ROE - Annual'!$B$1</definedName>
    <definedName name="rngAppName" localSheetId="0">'MWA ROE - Qtr'!$B$1</definedName>
    <definedName name="rngCompany" localSheetId="4">'MWA ROE - Annual'!$B$5</definedName>
    <definedName name="rngCompany" localSheetId="0">'MWA ROE - Qtr'!$B$5</definedName>
    <definedName name="rngForecastYears" localSheetId="4">'MWA ROE - Annual'!$R$6</definedName>
    <definedName name="rngForecastYears" localSheetId="0">'MWA ROE - Qtr'!$R$6</definedName>
    <definedName name="rngRoeDate" localSheetId="4">OFFSET('MWA ROE - Annual'!$S$9,0,0,COUNTA('MWA ROE - Annual'!$S$9:$S$16),1)</definedName>
    <definedName name="rngRoeDate" localSheetId="0">OFFSET('MWA ROE - Qtr'!$S$9,0,0,COUNTA('MWA ROE - Qtr'!$S$9:$S$16),1)</definedName>
    <definedName name="rngStartYear" localSheetId="4">'MWA ROE - Annual'!$H$378</definedName>
    <definedName name="rngStartYear" localSheetId="0">'MWA ROE - Qtr'!$H$377</definedName>
    <definedName name="rngTicker" localSheetId="4">'MWA ROE - Annual'!$P$7</definedName>
    <definedName name="rngTicker" localSheetId="0">'MWA ROE - Qtr'!$P$7</definedName>
    <definedName name="rngWACC" localSheetId="4">'MWA ROE - Annual'!$S$6</definedName>
    <definedName name="rngWACC" localSheetId="0">'MWA ROE - Qtr'!$S$6</definedName>
    <definedName name="ROEASIF" localSheetId="4">'MWA ROE - Annual'!$99:$155</definedName>
    <definedName name="ROEASIF" localSheetId="0">'MWA ROE - Qtr'!$98:$154</definedName>
    <definedName name="ROENormal" localSheetId="4">'MWA ROE - Annual'!$36:$100</definedName>
    <definedName name="ROENormal" localSheetId="0">'MWA ROE - Qtr'!$36:$99</definedName>
    <definedName name="SECSettlement" localSheetId="14">ImportantDisclosures!#REF!</definedName>
    <definedName name="SEDOL" localSheetId="25">IndexInformation!$B$22</definedName>
    <definedName name="SharesConvertibleSecurities">0</definedName>
    <definedName name="SharesFullyDiluted">0</definedName>
    <definedName name="SharesOptions">0</definedName>
    <definedName name="SharesOutstandingLatestDate">0</definedName>
    <definedName name="SharesOutstandingOther">0</definedName>
    <definedName name="SharesOutstandingSenior">0</definedName>
    <definedName name="SharesOutstandingSubordinate">0</definedName>
    <definedName name="SharesPrimary">0</definedName>
    <definedName name="SharesWarrants">0</definedName>
    <definedName name="SourceDefined" localSheetId="14">ImportantDisclosures!$A$19</definedName>
    <definedName name="Statement" localSheetId="11">'Charts - Annual'!Statement</definedName>
    <definedName name="Statement" localSheetId="20">Lease!Statement</definedName>
    <definedName name="Statement" localSheetId="13">Q!Statement</definedName>
    <definedName name="Statement">[0]!Statement</definedName>
    <definedName name="StatsAccessLinesDomesticInternationalTotalAverage">0</definedName>
    <definedName name="StatsAccessLinesTotalAverage">0</definedName>
    <definedName name="StatsAverageMonthlyRevenue">0</definedName>
    <definedName name="StatsEmployeesConsolidatedInternational">0</definedName>
    <definedName name="StatsEmployeesTelephoneInternational">0</definedName>
    <definedName name="StatsPagingAverageMonthlyRevenue">0</definedName>
    <definedName name="StatsPagingSubscribers">0</definedName>
    <definedName name="StatsPenetration">0</definedName>
    <definedName name="StatsPOPS">0</definedName>
    <definedName name="StatsProportionatePenetration">0</definedName>
    <definedName name="StatsProportionatePOPS">0</definedName>
    <definedName name="StatsProportionateSubscribersAverage">0</definedName>
    <definedName name="StatsProportionateSubscribersBeginning">0</definedName>
    <definedName name="StatsProportionateSubscribersEnding">0</definedName>
    <definedName name="StatsProportionateSubscribersNetAdds">0</definedName>
    <definedName name="StatsSubscribersAverage">0</definedName>
    <definedName name="StatsSubscribersBeginning">0</definedName>
    <definedName name="StatsSubscribersEnding">0</definedName>
    <definedName name="StatsSubscribersNetAdds">0</definedName>
    <definedName name="StockRating" localSheetId="14">ImportantDisclosures!$A$11</definedName>
    <definedName name="SubjectCode" localSheetId="25">IndexInformation!$B$6</definedName>
    <definedName name="SubmitterUserId">IndexInformation!$B$39</definedName>
    <definedName name="SUPPRESSED" localSheetId="26">ModPubIndex!$A$13</definedName>
    <definedName name="TargetPrice" localSheetId="14">ImportantDisclosures!$A$15</definedName>
    <definedName name="TemplateRegion">IndexInformation!$B$36</definedName>
    <definedName name="Ticker" localSheetId="14">ImportantDisclosures!$A$10</definedName>
    <definedName name="TickerRegion">IndexInformation!$B$41</definedName>
    <definedName name="Tickers" localSheetId="25">IndexInformation!$B$19</definedName>
    <definedName name="Total_Bus_ROIC" localSheetId="11">OFFSET([0]!XRange,12,0)</definedName>
    <definedName name="Total_Bus_ROIC" localSheetId="13">OFFSET([0]!XRange,12,0)</definedName>
    <definedName name="Total_Bus_ROIC" localSheetId="24">OFFSET([0]!XRange,12,0)</definedName>
    <definedName name="Total_Bus_ROIC">OFFSET([0]!XRange,12,0)</definedName>
    <definedName name="UpdateReason" localSheetId="25">IndexInformation!$B$17</definedName>
    <definedName name="USRegDisclosures" localSheetId="14">ImportantDisclosures!#REF!</definedName>
    <definedName name="ValuationAdjustmentsOther">0</definedName>
    <definedName name="ValuationAdjustmentsValue">0</definedName>
    <definedName name="ValuationCellularValue">0</definedName>
    <definedName name="ValuationDebtAdjustment">0</definedName>
    <definedName name="ValuationDebtNet">0</definedName>
    <definedName name="ValuationDebtTotal">0</definedName>
    <definedName name="ValuationFirmValue">0</definedName>
    <definedName name="ValuationInvestments">0</definedName>
    <definedName name="ValuationMarketCapitalization">0</definedName>
    <definedName name="ValuationOtherValue">0</definedName>
    <definedName name="ValuationPagingValue">0</definedName>
    <definedName name="ValuationTelephoneValue">0</definedName>
    <definedName name="ValuationWirelessValue">0</definedName>
    <definedName name="Version">"June 29, 2004"</definedName>
    <definedName name="WACC" localSheetId="11">OFFSET([0]!XRange,13,0)</definedName>
    <definedName name="WACC" localSheetId="13">OFFSET([0]!XRange,13,0)</definedName>
    <definedName name="WACC" localSheetId="24">OFFSET([0]!XRange,13,0)</definedName>
    <definedName name="WACC">OFFSET([0]!XRange,13,0)</definedName>
    <definedName name="wrn.Complete." localSheetId="1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localSheetId="0"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Industry.xls." localSheetId="11" hidden="1">{#N/A,#N/A,FALSE,"Earnings";#N/A,#N/A,FALSE,"Overview";#N/A,#N/A,FALSE,"Summary";#N/A,#N/A,FALSE,"Summary II";#N/A,#N/A,FALSE,"R&amp;D";#N/A,#N/A,FALSE,"R&amp;D Forecast";#N/A,#N/A,FALSE,"Tax Adj";#N/A,#N/A,FALSE,"Goodwill";#N/A,#N/A,FALSE,"FX ";#N/A,#N/A,FALSE,"Consolidation";#N/A,#N/A,FALSE,"Provisions"}</definedName>
    <definedName name="wrn.Industry.xls." localSheetId="0" hidden="1">{#N/A,#N/A,FALSE,"Earnings";#N/A,#N/A,FALSE,"Overview";#N/A,#N/A,FALSE,"Summary";#N/A,#N/A,FALSE,"Summary II";#N/A,#N/A,FALSE,"R&amp;D";#N/A,#N/A,FALSE,"R&amp;D Forecast";#N/A,#N/A,FALSE,"Tax Adj";#N/A,#N/A,FALSE,"Goodwill";#N/A,#N/A,FALSE,"FX ";#N/A,#N/A,FALSE,"Consolidation";#N/A,#N/A,FALSE,"Provisions"}</definedName>
    <definedName name="wrn.Industry.xls." hidden="1">{#N/A,#N/A,FALSE,"Earnings";#N/A,#N/A,FALSE,"Overview";#N/A,#N/A,FALSE,"Summary";#N/A,#N/A,FALSE,"Summary II";#N/A,#N/A,FALSE,"R&amp;D";#N/A,#N/A,FALSE,"R&amp;D Forecast";#N/A,#N/A,FALSE,"Tax Adj";#N/A,#N/A,FALSE,"Goodwill";#N/A,#N/A,FALSE,"FX ";#N/A,#N/A,FALSE,"Consolidation";#N/A,#N/A,FALSE,"Provisions"}</definedName>
  </definedNames>
  <calcPr calcId="145621" iterate="1" iterateDelta="1.0000000000000002E-3"/>
</workbook>
</file>

<file path=xl/calcChain.xml><?xml version="1.0" encoding="utf-8"?>
<calcChain xmlns="http://schemas.openxmlformats.org/spreadsheetml/2006/main">
  <c r="Z305" i="90" l="1"/>
  <c r="Y305" i="90"/>
  <c r="X46" i="15"/>
  <c r="Y46" i="15"/>
  <c r="Z46" i="15"/>
  <c r="AA46" i="15"/>
  <c r="AB46" i="15"/>
  <c r="AC46" i="15"/>
  <c r="AD46" i="15"/>
  <c r="Z224" i="12" l="1"/>
  <c r="AA224" i="12" s="1"/>
  <c r="AB224" i="12" s="1"/>
  <c r="AC224" i="12" s="1"/>
  <c r="AD224" i="12" s="1"/>
  <c r="D9" i="84"/>
  <c r="D7" i="84"/>
  <c r="Y454" i="12"/>
  <c r="Z454" i="12" s="1"/>
  <c r="AA454" i="12" s="1"/>
  <c r="AB454" i="12" s="1"/>
  <c r="AC454" i="12" s="1"/>
  <c r="AD454" i="12" s="1"/>
  <c r="Y466" i="12"/>
  <c r="Z466" i="12" s="1"/>
  <c r="AA466" i="12" s="1"/>
  <c r="AB466" i="12" s="1"/>
  <c r="AC466" i="12" s="1"/>
  <c r="AD466" i="12" s="1"/>
  <c r="Y638" i="12"/>
  <c r="Z638" i="12" s="1"/>
  <c r="AA638" i="12" s="1"/>
  <c r="AB638" i="12" s="1"/>
  <c r="AC638" i="12" s="1"/>
  <c r="AD638" i="12" s="1"/>
  <c r="Y475" i="12"/>
  <c r="Z475" i="12" s="1"/>
  <c r="AA475" i="12" s="1"/>
  <c r="AB475" i="12" s="1"/>
  <c r="AC475" i="12" s="1"/>
  <c r="AD475" i="12" s="1"/>
  <c r="DA643" i="12"/>
  <c r="DB643" i="12"/>
  <c r="DC643" i="12"/>
  <c r="CZ643" i="12"/>
  <c r="DA642" i="12"/>
  <c r="DB642" i="12"/>
  <c r="DC642" i="12"/>
  <c r="CZ642" i="12"/>
  <c r="AA6" i="14" l="1"/>
  <c r="AB6" i="14"/>
  <c r="AC6" i="14"/>
  <c r="AD6" i="14"/>
  <c r="AA219" i="14"/>
  <c r="AB219" i="14"/>
  <c r="AC219" i="14"/>
  <c r="AD219" i="14"/>
  <c r="AA4" i="90"/>
  <c r="AB4" i="90"/>
  <c r="AC4" i="90"/>
  <c r="AD4" i="90"/>
  <c r="AA20" i="90"/>
  <c r="AB20" i="90"/>
  <c r="AC20" i="90"/>
  <c r="AD20" i="90"/>
  <c r="AA21" i="90"/>
  <c r="AB21" i="90"/>
  <c r="AC21" i="90"/>
  <c r="AD21" i="90"/>
  <c r="AA111" i="90"/>
  <c r="AB111" i="90"/>
  <c r="AC111" i="90"/>
  <c r="AD111" i="90"/>
  <c r="AA304" i="90"/>
  <c r="AA301" i="90" s="1"/>
  <c r="AB304" i="90"/>
  <c r="AB301" i="90" s="1"/>
  <c r="AC304" i="90"/>
  <c r="AC301" i="90" s="1"/>
  <c r="AD304" i="90"/>
  <c r="AD301" i="90" s="1"/>
  <c r="AA315" i="90"/>
  <c r="AB315" i="90"/>
  <c r="AC315" i="90"/>
  <c r="AD315" i="90"/>
  <c r="AA321" i="90"/>
  <c r="AB321" i="90"/>
  <c r="AC321" i="90"/>
  <c r="AD321" i="90"/>
  <c r="AA325" i="90"/>
  <c r="AB325" i="90"/>
  <c r="AC325" i="90"/>
  <c r="AD325" i="90"/>
  <c r="AA6" i="15"/>
  <c r="AB6" i="15"/>
  <c r="AC6" i="15"/>
  <c r="AC109" i="15" s="1"/>
  <c r="AD6" i="15"/>
  <c r="AD109" i="15" s="1"/>
  <c r="AA11" i="15"/>
  <c r="AB11" i="15"/>
  <c r="AC11" i="15"/>
  <c r="AD11" i="15"/>
  <c r="AA13" i="15"/>
  <c r="AB13" i="15"/>
  <c r="AC13" i="15"/>
  <c r="AD13" i="15"/>
  <c r="AA41" i="15"/>
  <c r="AB41" i="15"/>
  <c r="AC41" i="15"/>
  <c r="AD41" i="15"/>
  <c r="AD85" i="15" s="1"/>
  <c r="AD91" i="15" s="1"/>
  <c r="AA48" i="15"/>
  <c r="AB48" i="15"/>
  <c r="AC48" i="15"/>
  <c r="AD48" i="15"/>
  <c r="AA85" i="15"/>
  <c r="AB85" i="15"/>
  <c r="AC85" i="15"/>
  <c r="AA86" i="15"/>
  <c r="AB86" i="15"/>
  <c r="AC86" i="15"/>
  <c r="AD86" i="15"/>
  <c r="AA87" i="15"/>
  <c r="AB87" i="15"/>
  <c r="AC87" i="15"/>
  <c r="AD87" i="15"/>
  <c r="AA91" i="15"/>
  <c r="AB91" i="15"/>
  <c r="AC91" i="15"/>
  <c r="AA109" i="15"/>
  <c r="AB109" i="15"/>
  <c r="AA33" i="33"/>
  <c r="AB33" i="33"/>
  <c r="AC33" i="33"/>
  <c r="AD33" i="33"/>
  <c r="AA181" i="33"/>
  <c r="AB181" i="33"/>
  <c r="AC181" i="33"/>
  <c r="AD181" i="33"/>
  <c r="AA6" i="12"/>
  <c r="AA524" i="12" s="1"/>
  <c r="AB6" i="12"/>
  <c r="AC6" i="12"/>
  <c r="AC389" i="12" s="1"/>
  <c r="AD6" i="12"/>
  <c r="AD389" i="12" s="1"/>
  <c r="AA57" i="12"/>
  <c r="AB57" i="12"/>
  <c r="AC57" i="12"/>
  <c r="AD57" i="12"/>
  <c r="AA234" i="12"/>
  <c r="AB234" i="12"/>
  <c r="AC234" i="12"/>
  <c r="AD234" i="12"/>
  <c r="AA242" i="12"/>
  <c r="AB242" i="12"/>
  <c r="AC242" i="12"/>
  <c r="AD242" i="12"/>
  <c r="AA260" i="12"/>
  <c r="AB260" i="12"/>
  <c r="AC260" i="12"/>
  <c r="AD260" i="12"/>
  <c r="AA263" i="12"/>
  <c r="AB263" i="12"/>
  <c r="AC263" i="12"/>
  <c r="AD263" i="12"/>
  <c r="AA265" i="12"/>
  <c r="AB265" i="12"/>
  <c r="AC265" i="12"/>
  <c r="AD265" i="12"/>
  <c r="AA347" i="12"/>
  <c r="AB347" i="12"/>
  <c r="AC347" i="12"/>
  <c r="AD347" i="12"/>
  <c r="AA349" i="12"/>
  <c r="AB349" i="12"/>
  <c r="AC349" i="12"/>
  <c r="AD349" i="12"/>
  <c r="AA351" i="12"/>
  <c r="AB351" i="12"/>
  <c r="AC351" i="12"/>
  <c r="AD351" i="12"/>
  <c r="AA362" i="12"/>
  <c r="AB362" i="12"/>
  <c r="AC362" i="12"/>
  <c r="AD362" i="12"/>
  <c r="AA364" i="12"/>
  <c r="AB364" i="12"/>
  <c r="AC364" i="12"/>
  <c r="AD364" i="12"/>
  <c r="AA366" i="12"/>
  <c r="AB366" i="12"/>
  <c r="AC366" i="12"/>
  <c r="AD366" i="12"/>
  <c r="AA389" i="12"/>
  <c r="AB389" i="12"/>
  <c r="AA455" i="12"/>
  <c r="AB455" i="12"/>
  <c r="AB456" i="12" s="1"/>
  <c r="AC455" i="12"/>
  <c r="AC456" i="12" s="1"/>
  <c r="AD455" i="12"/>
  <c r="AA456" i="12"/>
  <c r="AD456" i="12"/>
  <c r="AB524" i="12"/>
  <c r="AC524" i="12"/>
  <c r="AD524" i="12"/>
  <c r="AA635" i="12"/>
  <c r="AB635" i="12"/>
  <c r="AC635" i="12"/>
  <c r="AD635" i="12"/>
  <c r="AA637" i="12"/>
  <c r="AB637" i="12"/>
  <c r="AC637" i="12"/>
  <c r="AD637" i="12"/>
  <c r="AA639" i="12"/>
  <c r="AB639" i="12"/>
  <c r="AC639" i="12"/>
  <c r="AD639" i="12"/>
  <c r="AA694" i="12"/>
  <c r="AB694" i="12"/>
  <c r="AC694" i="12"/>
  <c r="AD694" i="12"/>
  <c r="AA813" i="12"/>
  <c r="AB813" i="12"/>
  <c r="AC813" i="12"/>
  <c r="AD813" i="12"/>
  <c r="AA814" i="12"/>
  <c r="AB814" i="12"/>
  <c r="AC814" i="12"/>
  <c r="AD814" i="12"/>
  <c r="AA816" i="12"/>
  <c r="AB816" i="12"/>
  <c r="AC816" i="12"/>
  <c r="AD816" i="12"/>
  <c r="CX365" i="90"/>
  <c r="CY288" i="90"/>
  <c r="CY290" i="90"/>
  <c r="CZ288" i="90" s="1"/>
  <c r="CZ290" i="90" s="1"/>
  <c r="DA288" i="90" s="1"/>
  <c r="DA290" i="90" s="1"/>
  <c r="DB288" i="90" s="1"/>
  <c r="DB290" i="90" s="1"/>
  <c r="DC288" i="90" s="1"/>
  <c r="DC290" i="90" s="1"/>
  <c r="S290" i="90"/>
  <c r="R290" i="90"/>
  <c r="Q290" i="90"/>
  <c r="R288" i="90" s="1"/>
  <c r="R289" i="90" s="1"/>
  <c r="P290" i="90"/>
  <c r="Q288" i="90" s="1"/>
  <c r="Q289" i="90" s="1"/>
  <c r="O290" i="90"/>
  <c r="P288" i="90" s="1"/>
  <c r="P289" i="90" s="1"/>
  <c r="W289" i="90"/>
  <c r="V289" i="90"/>
  <c r="V288" i="90"/>
  <c r="S288" i="90"/>
  <c r="S289" i="90" s="1"/>
  <c r="CY226" i="14"/>
  <c r="CY227" i="14" s="1"/>
  <c r="CY219" i="14"/>
  <c r="CY201" i="14"/>
  <c r="CY166" i="14"/>
  <c r="CY133" i="14"/>
  <c r="CY127" i="14"/>
  <c r="CY104" i="15" s="1"/>
  <c r="CY113" i="14"/>
  <c r="CY112" i="14"/>
  <c r="CY107" i="14"/>
  <c r="CY100" i="14"/>
  <c r="CY99" i="14"/>
  <c r="CY97" i="14"/>
  <c r="CY46" i="14"/>
  <c r="CY59" i="14" s="1"/>
  <c r="CY31" i="14"/>
  <c r="CY59" i="15"/>
  <c r="CY64" i="15" s="1"/>
  <c r="CY46" i="15"/>
  <c r="CY41" i="15"/>
  <c r="CY234" i="15"/>
  <c r="CY174" i="15"/>
  <c r="CY106" i="15"/>
  <c r="CY87" i="15"/>
  <c r="CY86" i="15"/>
  <c r="CY85" i="15"/>
  <c r="CY91" i="15" s="1"/>
  <c r="CY84" i="15"/>
  <c r="CY75" i="15"/>
  <c r="CY95" i="15" s="1"/>
  <c r="CY100" i="15" s="1"/>
  <c r="CY43" i="15"/>
  <c r="CY9" i="15"/>
  <c r="CY184" i="14" s="1"/>
  <c r="CY185" i="14" s="1"/>
  <c r="DQ238" i="33"/>
  <c r="DQ239" i="33" s="1"/>
  <c r="DQ192" i="33"/>
  <c r="DQ184" i="33"/>
  <c r="DQ183" i="33"/>
  <c r="DQ182" i="33"/>
  <c r="DQ173" i="33"/>
  <c r="DQ165" i="33"/>
  <c r="DQ96" i="33"/>
  <c r="DQ84" i="33"/>
  <c r="DQ33" i="33"/>
  <c r="DQ31" i="33"/>
  <c r="DQ24" i="33"/>
  <c r="DQ89" i="33" s="1"/>
  <c r="CY825" i="12"/>
  <c r="CY702" i="12"/>
  <c r="CY697" i="12"/>
  <c r="CY694" i="12"/>
  <c r="CY689" i="12"/>
  <c r="CY680" i="12"/>
  <c r="CY682" i="12" s="1"/>
  <c r="CY679" i="12"/>
  <c r="CY664" i="12"/>
  <c r="CY636" i="12"/>
  <c r="CY635" i="12"/>
  <c r="CY625" i="12"/>
  <c r="CY623" i="12"/>
  <c r="CY685" i="12" s="1"/>
  <c r="CY618" i="12"/>
  <c r="CY619" i="12" s="1"/>
  <c r="CY565" i="12"/>
  <c r="CY566" i="12" s="1"/>
  <c r="CY519" i="12"/>
  <c r="CY510" i="12"/>
  <c r="CY509" i="12"/>
  <c r="CY494" i="12"/>
  <c r="CY473" i="12"/>
  <c r="CY472" i="12"/>
  <c r="CY462" i="12"/>
  <c r="CY460" i="12"/>
  <c r="CY515" i="12" s="1"/>
  <c r="CY455" i="12"/>
  <c r="CY456" i="12" s="1"/>
  <c r="CY412" i="12"/>
  <c r="CY413" i="12" s="1"/>
  <c r="W221" i="12"/>
  <c r="V221" i="12"/>
  <c r="U221" i="12"/>
  <c r="T221" i="12"/>
  <c r="S221" i="12"/>
  <c r="R221" i="12"/>
  <c r="W194" i="12"/>
  <c r="V194" i="12"/>
  <c r="U194" i="12"/>
  <c r="T194" i="12"/>
  <c r="S194" i="12"/>
  <c r="R194" i="12"/>
  <c r="W216" i="12"/>
  <c r="V216" i="12"/>
  <c r="U216" i="12"/>
  <c r="T216" i="12"/>
  <c r="S216" i="12"/>
  <c r="R216" i="12"/>
  <c r="W197" i="12"/>
  <c r="V197" i="12"/>
  <c r="U197" i="12"/>
  <c r="T197" i="12"/>
  <c r="S197" i="12"/>
  <c r="R197" i="12"/>
  <c r="W177" i="12"/>
  <c r="V177" i="12"/>
  <c r="U177" i="12"/>
  <c r="T177" i="12"/>
  <c r="S177" i="12"/>
  <c r="R177" i="12"/>
  <c r="CY387" i="12"/>
  <c r="CY378" i="12"/>
  <c r="CY377" i="12"/>
  <c r="CY366" i="12"/>
  <c r="CY363" i="12" s="1"/>
  <c r="CY364" i="12"/>
  <c r="CY351" i="12"/>
  <c r="CY349" i="12"/>
  <c r="CY348" i="12"/>
  <c r="CY293" i="12"/>
  <c r="CY295" i="12" s="1"/>
  <c r="CY298" i="12" s="1"/>
  <c r="CY276" i="12"/>
  <c r="CY275" i="12"/>
  <c r="CY272" i="12"/>
  <c r="CY270" i="12"/>
  <c r="CY267" i="12"/>
  <c r="CY265" i="12"/>
  <c r="CY263" i="12"/>
  <c r="CY260" i="12"/>
  <c r="CY252" i="12"/>
  <c r="CY255" i="12" s="1"/>
  <c r="CY250" i="12"/>
  <c r="CY248" i="12"/>
  <c r="CY383" i="12" s="1"/>
  <c r="CY242" i="12"/>
  <c r="CY234" i="12"/>
  <c r="CY225" i="12"/>
  <c r="CY226" i="12" s="1"/>
  <c r="CY13" i="12"/>
  <c r="DQ14" i="33" s="1"/>
  <c r="CY11" i="12"/>
  <c r="DQ12" i="33" s="1"/>
  <c r="CY10" i="12"/>
  <c r="DQ11" i="33" s="1"/>
  <c r="DB365" i="90" l="1"/>
  <c r="CY365" i="90"/>
  <c r="DC365" i="90"/>
  <c r="CY281" i="12"/>
  <c r="CZ281" i="12" s="1"/>
  <c r="CY627" i="12"/>
  <c r="CY629" i="12" s="1"/>
  <c r="CY695" i="12"/>
  <c r="CZ365" i="90"/>
  <c r="DA365" i="90"/>
  <c r="AD261" i="12"/>
  <c r="AC261" i="12"/>
  <c r="AB261" i="12"/>
  <c r="V290" i="90"/>
  <c r="W288" i="90" s="1"/>
  <c r="W290" i="90" s="1"/>
  <c r="CY109" i="14"/>
  <c r="CY115" i="14"/>
  <c r="CY124" i="14"/>
  <c r="CY172" i="14"/>
  <c r="CY79" i="15"/>
  <c r="CY667" i="12"/>
  <c r="CY670" i="12" s="1"/>
  <c r="CY497" i="12"/>
  <c r="CY500" i="12" s="1"/>
  <c r="CY501" i="12" s="1"/>
  <c r="CY481" i="12"/>
  <c r="CY464" i="12"/>
  <c r="CY466" i="12" s="1"/>
  <c r="CY503" i="12"/>
  <c r="CY504" i="12" s="1"/>
  <c r="CY301" i="12"/>
  <c r="CY302" i="12" s="1"/>
  <c r="CY299" i="12"/>
  <c r="AU16" i="77"/>
  <c r="AX20" i="77"/>
  <c r="AX17" i="77"/>
  <c r="BI17" i="77"/>
  <c r="AL30" i="77"/>
  <c r="AL25" i="77"/>
  <c r="CY120" i="14" l="1"/>
  <c r="X288" i="90"/>
  <c r="X290" i="90" s="1"/>
  <c r="X365" i="90"/>
  <c r="CY673" i="12"/>
  <c r="CY674" i="12" s="1"/>
  <c r="CY671" i="12"/>
  <c r="AO82" i="77"/>
  <c r="AO77" i="77"/>
  <c r="AO72" i="77"/>
  <c r="AO67" i="77"/>
  <c r="AO36" i="77"/>
  <c r="AO35" i="77"/>
  <c r="AO34" i="77"/>
  <c r="AO17" i="77"/>
  <c r="Y288" i="90" l="1"/>
  <c r="Y290" i="90" s="1"/>
  <c r="Y365" i="90" s="1"/>
  <c r="AZ13" i="77"/>
  <c r="Z288" i="90" l="1"/>
  <c r="Z290" i="90" s="1"/>
  <c r="Z365" i="90" s="1"/>
  <c r="AA288" i="90" l="1"/>
  <c r="AA290" i="90" s="1"/>
  <c r="AA365" i="90"/>
  <c r="AB365" i="90" l="1"/>
  <c r="AB288" i="90"/>
  <c r="AB290" i="90" s="1"/>
  <c r="DR113" i="33"/>
  <c r="DA279" i="12"/>
  <c r="DB279" i="12"/>
  <c r="DC279" i="12"/>
  <c r="CZ279" i="12"/>
  <c r="DA277" i="12"/>
  <c r="DB277" i="12"/>
  <c r="DC277" i="12"/>
  <c r="CZ277" i="12"/>
  <c r="DA637" i="12"/>
  <c r="DB637" i="12"/>
  <c r="DC637" i="12"/>
  <c r="CZ637" i="12"/>
  <c r="DS105" i="33"/>
  <c r="DT105" i="33"/>
  <c r="DU105" i="33"/>
  <c r="DR105" i="33"/>
  <c r="BK19" i="77"/>
  <c r="BK17" i="77"/>
  <c r="W307" i="90"/>
  <c r="W306" i="90"/>
  <c r="W305" i="90"/>
  <c r="W295" i="90"/>
  <c r="W283" i="90"/>
  <c r="W277" i="90"/>
  <c r="W271" i="90"/>
  <c r="W265" i="90"/>
  <c r="W259" i="90"/>
  <c r="W253" i="90"/>
  <c r="W247" i="90"/>
  <c r="W224" i="90"/>
  <c r="W219" i="90"/>
  <c r="W106" i="90"/>
  <c r="W100" i="90"/>
  <c r="W94" i="90"/>
  <c r="W315" i="90"/>
  <c r="W304" i="90"/>
  <c r="W214" i="90"/>
  <c r="W204" i="90"/>
  <c r="W199" i="90"/>
  <c r="W194" i="90"/>
  <c r="W184" i="90"/>
  <c r="W174" i="90"/>
  <c r="W169" i="90"/>
  <c r="W149" i="90"/>
  <c r="W69" i="90"/>
  <c r="W20" i="90"/>
  <c r="W21" i="90" s="1"/>
  <c r="W224" i="14"/>
  <c r="W223" i="14"/>
  <c r="W214" i="14"/>
  <c r="W213" i="14"/>
  <c r="W208" i="14"/>
  <c r="W207" i="14"/>
  <c r="W101" i="14"/>
  <c r="W61" i="14"/>
  <c r="W57" i="14"/>
  <c r="W54" i="14"/>
  <c r="W53" i="14"/>
  <c r="W52" i="14"/>
  <c r="W51" i="14"/>
  <c r="W50" i="14"/>
  <c r="W26" i="14"/>
  <c r="W220" i="15"/>
  <c r="W215" i="15"/>
  <c r="W214" i="15"/>
  <c r="W213" i="15"/>
  <c r="W212" i="15"/>
  <c r="W211" i="15"/>
  <c r="W210" i="15"/>
  <c r="W188" i="15"/>
  <c r="W183" i="15"/>
  <c r="W182" i="15"/>
  <c r="W181" i="15"/>
  <c r="W66" i="15"/>
  <c r="W63" i="15"/>
  <c r="W62" i="15"/>
  <c r="W60" i="15"/>
  <c r="W59" i="15"/>
  <c r="W57" i="15"/>
  <c r="W56" i="15"/>
  <c r="W54" i="15"/>
  <c r="W53" i="15"/>
  <c r="W51" i="15"/>
  <c r="W50" i="15"/>
  <c r="W47" i="15"/>
  <c r="W42" i="15"/>
  <c r="W40" i="15"/>
  <c r="W39" i="15"/>
  <c r="W37" i="15"/>
  <c r="W36" i="15"/>
  <c r="W35" i="15"/>
  <c r="W30" i="15"/>
  <c r="W29" i="15"/>
  <c r="W28" i="15"/>
  <c r="W27" i="15"/>
  <c r="W22" i="15"/>
  <c r="W21" i="15"/>
  <c r="W20" i="15"/>
  <c r="W19" i="15"/>
  <c r="W18" i="15"/>
  <c r="W17" i="15"/>
  <c r="W16" i="15"/>
  <c r="W15" i="15"/>
  <c r="W14" i="15"/>
  <c r="W12" i="15"/>
  <c r="W87" i="15"/>
  <c r="W86" i="15"/>
  <c r="W62" i="33"/>
  <c r="W53" i="33"/>
  <c r="W51" i="33"/>
  <c r="W34" i="33"/>
  <c r="W208" i="33"/>
  <c r="W207" i="33"/>
  <c r="W202" i="33"/>
  <c r="W33" i="33"/>
  <c r="W28" i="33"/>
  <c r="W27" i="33"/>
  <c r="W643" i="12"/>
  <c r="W642" i="12"/>
  <c r="W617" i="12"/>
  <c r="W616" i="12"/>
  <c r="W615" i="12"/>
  <c r="W614" i="12"/>
  <c r="W613" i="12"/>
  <c r="W612" i="12"/>
  <c r="W611" i="12"/>
  <c r="W610" i="12"/>
  <c r="W609" i="12"/>
  <c r="W608" i="12"/>
  <c r="W607" i="12"/>
  <c r="W606" i="12"/>
  <c r="W605" i="12"/>
  <c r="W604" i="12"/>
  <c r="W603" i="12"/>
  <c r="W602" i="12"/>
  <c r="W601" i="12"/>
  <c r="W600" i="12"/>
  <c r="W599" i="12"/>
  <c r="W598" i="12"/>
  <c r="W597" i="12"/>
  <c r="W596" i="12"/>
  <c r="W595" i="12"/>
  <c r="W594" i="12"/>
  <c r="W593" i="12"/>
  <c r="W592" i="12"/>
  <c r="W591" i="12"/>
  <c r="W590" i="12"/>
  <c r="W589" i="12"/>
  <c r="W588" i="12"/>
  <c r="W587" i="12"/>
  <c r="W586" i="12"/>
  <c r="W585" i="12"/>
  <c r="W584" i="12"/>
  <c r="W583" i="12"/>
  <c r="W582" i="12"/>
  <c r="W581" i="12"/>
  <c r="W580" i="12"/>
  <c r="W579" i="12"/>
  <c r="W578" i="12"/>
  <c r="W577" i="12"/>
  <c r="W576" i="12"/>
  <c r="W575" i="12"/>
  <c r="W574" i="12"/>
  <c r="W573" i="12"/>
  <c r="W572" i="12"/>
  <c r="W571" i="12"/>
  <c r="W570" i="12"/>
  <c r="W618" i="12" s="1"/>
  <c r="W454" i="12"/>
  <c r="W453" i="12"/>
  <c r="W452" i="12"/>
  <c r="W451" i="12"/>
  <c r="W450" i="12"/>
  <c r="W449" i="12"/>
  <c r="W448" i="12"/>
  <c r="W447" i="12"/>
  <c r="W446" i="12"/>
  <c r="W445" i="12"/>
  <c r="W444" i="12"/>
  <c r="W443" i="12"/>
  <c r="W442" i="12"/>
  <c r="W441" i="12"/>
  <c r="W440" i="12"/>
  <c r="W439" i="12"/>
  <c r="W438" i="12"/>
  <c r="W437" i="12"/>
  <c r="W436" i="12"/>
  <c r="W435" i="12"/>
  <c r="W434" i="12"/>
  <c r="W433" i="12"/>
  <c r="W432" i="12"/>
  <c r="W431" i="12"/>
  <c r="W430" i="12"/>
  <c r="W429" i="12"/>
  <c r="W428" i="12"/>
  <c r="W427" i="12"/>
  <c r="W426" i="12"/>
  <c r="W425" i="12"/>
  <c r="W424" i="12"/>
  <c r="W423" i="12"/>
  <c r="W422" i="12"/>
  <c r="W421" i="12"/>
  <c r="W420" i="12"/>
  <c r="W419" i="12"/>
  <c r="W418" i="12"/>
  <c r="W417" i="12"/>
  <c r="W224" i="12"/>
  <c r="W223" i="12"/>
  <c r="W222" i="12"/>
  <c r="W220" i="12"/>
  <c r="W219" i="12"/>
  <c r="W218" i="12"/>
  <c r="W217" i="12"/>
  <c r="W215" i="12"/>
  <c r="W214" i="12"/>
  <c r="W213" i="12"/>
  <c r="W212" i="12"/>
  <c r="W211" i="12"/>
  <c r="W210" i="12"/>
  <c r="W209" i="12"/>
  <c r="W208" i="12"/>
  <c r="W207" i="12"/>
  <c r="W206" i="12"/>
  <c r="W205" i="12"/>
  <c r="W204" i="12"/>
  <c r="W203" i="12"/>
  <c r="W202" i="12"/>
  <c r="W201" i="12"/>
  <c r="W200" i="12"/>
  <c r="W199" i="12"/>
  <c r="W198" i="12"/>
  <c r="W196" i="12"/>
  <c r="W195" i="12"/>
  <c r="W193" i="12"/>
  <c r="W192" i="12"/>
  <c r="W191" i="12"/>
  <c r="W190" i="12"/>
  <c r="W189" i="12"/>
  <c r="W188" i="12"/>
  <c r="W187" i="12"/>
  <c r="W186" i="12"/>
  <c r="W185" i="12"/>
  <c r="W184" i="12"/>
  <c r="W183" i="12"/>
  <c r="W182" i="12"/>
  <c r="W181" i="12"/>
  <c r="W180" i="12"/>
  <c r="W179" i="12"/>
  <c r="W178" i="12"/>
  <c r="W176" i="12"/>
  <c r="W175" i="12"/>
  <c r="W174" i="12"/>
  <c r="W173" i="12"/>
  <c r="W172" i="12"/>
  <c r="W171" i="12"/>
  <c r="W783" i="12"/>
  <c r="W780" i="12"/>
  <c r="W777" i="12"/>
  <c r="W771" i="12"/>
  <c r="W731" i="12"/>
  <c r="W730" i="12"/>
  <c r="W728" i="12"/>
  <c r="W727" i="12"/>
  <c r="W725" i="12"/>
  <c r="W724" i="12"/>
  <c r="DC6" i="14"/>
  <c r="DB6" i="14"/>
  <c r="DA6" i="14"/>
  <c r="CZ6" i="14"/>
  <c r="CZ5" i="14"/>
  <c r="CZ201" i="14"/>
  <c r="DA201" i="14"/>
  <c r="DB201" i="14"/>
  <c r="DC201" i="14"/>
  <c r="W201" i="14" s="1"/>
  <c r="DC4" i="90"/>
  <c r="DB4" i="90"/>
  <c r="DA4" i="90"/>
  <c r="CZ4" i="90"/>
  <c r="CZ3" i="90"/>
  <c r="CZ128" i="90"/>
  <c r="DA128" i="90"/>
  <c r="DB128" i="90"/>
  <c r="DC128" i="90"/>
  <c r="CZ229" i="90"/>
  <c r="DA229" i="90"/>
  <c r="DB229" i="90"/>
  <c r="DC229" i="90"/>
  <c r="CZ304" i="90"/>
  <c r="CZ301" i="90" s="1"/>
  <c r="DA304" i="90"/>
  <c r="DA301" i="90" s="1"/>
  <c r="DB304" i="90"/>
  <c r="DB301" i="90" s="1"/>
  <c r="DC304" i="90"/>
  <c r="DC301" i="90" s="1"/>
  <c r="DC6" i="15"/>
  <c r="DC109" i="15" s="1"/>
  <c r="DB6" i="15"/>
  <c r="DA6" i="15"/>
  <c r="DA109" i="15" s="1"/>
  <c r="CZ6" i="15"/>
  <c r="CZ5" i="15"/>
  <c r="CZ13" i="15"/>
  <c r="DA13" i="15"/>
  <c r="DB13" i="15"/>
  <c r="DC13" i="15"/>
  <c r="CZ41" i="15"/>
  <c r="DA41" i="15"/>
  <c r="DA85" i="15" s="1"/>
  <c r="DA91" i="15" s="1"/>
  <c r="DB41" i="15"/>
  <c r="DB85" i="15" s="1"/>
  <c r="DB91" i="15" s="1"/>
  <c r="DC41" i="15"/>
  <c r="DC85" i="15" s="1"/>
  <c r="DC91" i="15" s="1"/>
  <c r="CZ46" i="15"/>
  <c r="DA46" i="15"/>
  <c r="DB46" i="15"/>
  <c r="DC46" i="15"/>
  <c r="CZ86" i="15"/>
  <c r="DA86" i="15"/>
  <c r="DB86" i="15"/>
  <c r="DC86" i="15"/>
  <c r="CZ87" i="15"/>
  <c r="DA87" i="15"/>
  <c r="DB87" i="15"/>
  <c r="DC87" i="15"/>
  <c r="CZ109" i="15"/>
  <c r="DB109" i="15"/>
  <c r="CZ174" i="15"/>
  <c r="DA174" i="15" s="1"/>
  <c r="DB174" i="15" s="1"/>
  <c r="DC174" i="15" s="1"/>
  <c r="CZ189" i="15"/>
  <c r="DA189" i="15" s="1"/>
  <c r="DB189" i="15" s="1"/>
  <c r="DC189" i="15" s="1"/>
  <c r="CZ221" i="15"/>
  <c r="DA221" i="15" s="1"/>
  <c r="DB221" i="15" s="1"/>
  <c r="DC221" i="15" s="1"/>
  <c r="DR29" i="33"/>
  <c r="DS29" i="33" s="1"/>
  <c r="DR30" i="33"/>
  <c r="DS30" i="33" s="1"/>
  <c r="DT30" i="33" s="1"/>
  <c r="DU30" i="33" s="1"/>
  <c r="DR33" i="33"/>
  <c r="DS33" i="33"/>
  <c r="DT33" i="33"/>
  <c r="DU33" i="33"/>
  <c r="DR65" i="33"/>
  <c r="DS65" i="33" s="1"/>
  <c r="DT65" i="33" s="1"/>
  <c r="DU65" i="33" s="1"/>
  <c r="DR69" i="33"/>
  <c r="DS69" i="33"/>
  <c r="DT69" i="33"/>
  <c r="DU69" i="33"/>
  <c r="DR70" i="33"/>
  <c r="DS70" i="33"/>
  <c r="DT70" i="33"/>
  <c r="DU70" i="33"/>
  <c r="DR72" i="33"/>
  <c r="DS72" i="33"/>
  <c r="DT72" i="33"/>
  <c r="DU72" i="33"/>
  <c r="DR107" i="33"/>
  <c r="DR104" i="33" s="1"/>
  <c r="DS107" i="33"/>
  <c r="DS104" i="33" s="1"/>
  <c r="DR110" i="33"/>
  <c r="DR111" i="33"/>
  <c r="DS174" i="33"/>
  <c r="DR181" i="33"/>
  <c r="CZ48" i="15" s="1"/>
  <c r="DS181" i="33"/>
  <c r="DA48" i="15" s="1"/>
  <c r="DT181" i="33"/>
  <c r="DB48" i="15" s="1"/>
  <c r="DU181" i="33"/>
  <c r="DC48" i="15" s="1"/>
  <c r="DR187" i="33"/>
  <c r="DS187" i="33" s="1"/>
  <c r="DR189" i="33"/>
  <c r="DS189" i="33" s="1"/>
  <c r="DR190" i="33"/>
  <c r="DS190" i="33" s="1"/>
  <c r="DT190" i="33" s="1"/>
  <c r="DU190" i="33" s="1"/>
  <c r="DR192" i="33"/>
  <c r="V612" i="12"/>
  <c r="U612" i="12"/>
  <c r="T612" i="12"/>
  <c r="DA225" i="12"/>
  <c r="DA226" i="12" s="1"/>
  <c r="CZ57" i="12"/>
  <c r="DA57" i="12"/>
  <c r="DB57" i="12"/>
  <c r="DC57" i="12"/>
  <c r="CZ225" i="12"/>
  <c r="CZ226" i="12" s="1"/>
  <c r="DB225" i="12"/>
  <c r="DB226" i="12" s="1"/>
  <c r="DC225" i="12"/>
  <c r="DC226" i="12" s="1"/>
  <c r="CZ234" i="12"/>
  <c r="DA234" i="12"/>
  <c r="DB234" i="12"/>
  <c r="DC234" i="12"/>
  <c r="CZ242" i="12"/>
  <c r="DA242" i="12"/>
  <c r="DB242" i="12"/>
  <c r="DC242" i="12"/>
  <c r="CZ252" i="12"/>
  <c r="CZ254" i="12"/>
  <c r="CZ256" i="12"/>
  <c r="CZ260" i="12"/>
  <c r="DA260" i="12"/>
  <c r="DB260" i="12"/>
  <c r="DC260" i="12"/>
  <c r="CZ263" i="12"/>
  <c r="DA263" i="12"/>
  <c r="DB263" i="12"/>
  <c r="DC263" i="12"/>
  <c r="CZ265" i="12"/>
  <c r="DA265" i="12"/>
  <c r="DB265" i="12"/>
  <c r="DC265" i="12"/>
  <c r="CZ267" i="12"/>
  <c r="DA267" i="12"/>
  <c r="DB267" i="12"/>
  <c r="DC267" i="12"/>
  <c r="CZ270" i="12"/>
  <c r="DA270" i="12"/>
  <c r="DB270" i="12"/>
  <c r="DC270" i="12"/>
  <c r="CZ272" i="12"/>
  <c r="DA272" i="12"/>
  <c r="DB272" i="12"/>
  <c r="DC272" i="12"/>
  <c r="CZ276" i="12"/>
  <c r="DA276" i="12"/>
  <c r="DB276" i="12"/>
  <c r="DC276" i="12"/>
  <c r="DA281" i="12"/>
  <c r="DB281" i="12" s="1"/>
  <c r="DC281" i="12" s="1"/>
  <c r="CZ291" i="12"/>
  <c r="CZ292" i="12"/>
  <c r="CZ294" i="12"/>
  <c r="DA294" i="12" s="1"/>
  <c r="CZ348" i="12"/>
  <c r="DA348" i="12"/>
  <c r="DB348" i="12"/>
  <c r="DC348" i="12"/>
  <c r="CZ349" i="12"/>
  <c r="DA349" i="12"/>
  <c r="DB349" i="12"/>
  <c r="DC349" i="12"/>
  <c r="CZ351" i="12"/>
  <c r="DA351" i="12"/>
  <c r="DB351" i="12"/>
  <c r="DC351" i="12"/>
  <c r="CZ363" i="12"/>
  <c r="DA363" i="12"/>
  <c r="DB363" i="12"/>
  <c r="DC363" i="12"/>
  <c r="CZ364" i="12"/>
  <c r="DA364" i="12"/>
  <c r="DB364" i="12"/>
  <c r="DC364" i="12"/>
  <c r="CZ366" i="12"/>
  <c r="DA366" i="12"/>
  <c r="DB366" i="12"/>
  <c r="DC366" i="12"/>
  <c r="CZ387" i="12"/>
  <c r="DA387" i="12" s="1"/>
  <c r="DB387" i="12" s="1"/>
  <c r="CZ389" i="12"/>
  <c r="DA389" i="12"/>
  <c r="DB389" i="12"/>
  <c r="DC389" i="12"/>
  <c r="CZ455" i="12"/>
  <c r="CZ412" i="12" s="1"/>
  <c r="DA455" i="12"/>
  <c r="DA456" i="12" s="1"/>
  <c r="DB455" i="12"/>
  <c r="DC455" i="12"/>
  <c r="DC456" i="12" s="1"/>
  <c r="DB456" i="12"/>
  <c r="CZ464" i="12"/>
  <c r="DA464" i="12"/>
  <c r="DB464" i="12"/>
  <c r="DC464" i="12"/>
  <c r="CZ465" i="12"/>
  <c r="DA465" i="12"/>
  <c r="DB465" i="12"/>
  <c r="DC465" i="12"/>
  <c r="CZ467" i="12"/>
  <c r="DA467" i="12"/>
  <c r="DB467" i="12"/>
  <c r="DC467" i="12"/>
  <c r="CZ473" i="12"/>
  <c r="DA473" i="12"/>
  <c r="DB473" i="12"/>
  <c r="DC473" i="12"/>
  <c r="CZ474" i="12"/>
  <c r="DA474" i="12"/>
  <c r="DB474" i="12"/>
  <c r="DC474" i="12"/>
  <c r="CZ476" i="12"/>
  <c r="DA476" i="12"/>
  <c r="DB476" i="12"/>
  <c r="DC476" i="12"/>
  <c r="CZ481" i="12"/>
  <c r="CZ496" i="12"/>
  <c r="DA496" i="12" s="1"/>
  <c r="CZ519" i="12"/>
  <c r="DA519" i="12" s="1"/>
  <c r="CZ524" i="12"/>
  <c r="DA524" i="12"/>
  <c r="DB524" i="12"/>
  <c r="DC524" i="12"/>
  <c r="CZ618" i="12"/>
  <c r="CZ619" i="12" s="1"/>
  <c r="DA618" i="12"/>
  <c r="DA619" i="12" s="1"/>
  <c r="DB618" i="12"/>
  <c r="DB619" i="12" s="1"/>
  <c r="DC618" i="12"/>
  <c r="DC619" i="12" s="1"/>
  <c r="CZ627" i="12"/>
  <c r="DA627" i="12"/>
  <c r="DB627" i="12"/>
  <c r="DC627" i="12"/>
  <c r="CZ628" i="12"/>
  <c r="DA628" i="12"/>
  <c r="DB628" i="12"/>
  <c r="DC628" i="12"/>
  <c r="CZ630" i="12"/>
  <c r="DA630" i="12"/>
  <c r="DB630" i="12"/>
  <c r="DC630" i="12"/>
  <c r="CZ636" i="12"/>
  <c r="DA636" i="12"/>
  <c r="DB636" i="12"/>
  <c r="DC636" i="12"/>
  <c r="CZ639" i="12"/>
  <c r="DA639" i="12"/>
  <c r="DB639" i="12"/>
  <c r="DC639" i="12"/>
  <c r="CZ644" i="12"/>
  <c r="DA644" i="12"/>
  <c r="DB644" i="12"/>
  <c r="DC644" i="12"/>
  <c r="CZ662" i="12"/>
  <c r="DA662" i="12" s="1"/>
  <c r="DB662" i="12" s="1"/>
  <c r="DC662" i="12" s="1"/>
  <c r="CZ663" i="12"/>
  <c r="DA663" i="12" s="1"/>
  <c r="DB663" i="12" s="1"/>
  <c r="DC663" i="12" s="1"/>
  <c r="CZ666" i="12"/>
  <c r="CZ680" i="12"/>
  <c r="DA680" i="12"/>
  <c r="DB680" i="12"/>
  <c r="DC680" i="12"/>
  <c r="CZ681" i="12"/>
  <c r="DA681" i="12"/>
  <c r="DB681" i="12"/>
  <c r="DC681" i="12"/>
  <c r="CZ683" i="12"/>
  <c r="DA683" i="12"/>
  <c r="DB683" i="12"/>
  <c r="DC683" i="12"/>
  <c r="CZ689" i="12"/>
  <c r="DA689" i="12" s="1"/>
  <c r="CZ694" i="12"/>
  <c r="DA694" i="12"/>
  <c r="DB694" i="12"/>
  <c r="DC694" i="12"/>
  <c r="CZ702" i="12"/>
  <c r="DA702" i="12"/>
  <c r="DB702" i="12"/>
  <c r="DC702" i="12"/>
  <c r="CZ813" i="12"/>
  <c r="DA813" i="12"/>
  <c r="DB813" i="12"/>
  <c r="DC813" i="12"/>
  <c r="CZ814" i="12"/>
  <c r="DA814" i="12"/>
  <c r="DB814" i="12"/>
  <c r="DC814" i="12"/>
  <c r="CZ816" i="12"/>
  <c r="DA816" i="12"/>
  <c r="DB816" i="12"/>
  <c r="DC816" i="12"/>
  <c r="W455" i="12" l="1"/>
  <c r="W456" i="12" s="1"/>
  <c r="AC288" i="90"/>
  <c r="AC290" i="90" s="1"/>
  <c r="AC365" i="90" s="1"/>
  <c r="W644" i="12"/>
  <c r="W46" i="15"/>
  <c r="W13" i="15"/>
  <c r="W189" i="15"/>
  <c r="W221" i="15"/>
  <c r="DR71" i="33"/>
  <c r="DR73" i="33" s="1"/>
  <c r="W29" i="33"/>
  <c r="W187" i="33"/>
  <c r="W203" i="33" s="1"/>
  <c r="W30" i="33"/>
  <c r="DR203" i="33"/>
  <c r="DR204" i="33" s="1"/>
  <c r="W204" i="33" s="1"/>
  <c r="W663" i="12"/>
  <c r="W662" i="12"/>
  <c r="DA481" i="12"/>
  <c r="DB481" i="12" s="1"/>
  <c r="DC481" i="12" s="1"/>
  <c r="DB252" i="12"/>
  <c r="DA254" i="12"/>
  <c r="DA252" i="12"/>
  <c r="DA256" i="12"/>
  <c r="W281" i="12"/>
  <c r="DA291" i="12"/>
  <c r="DA292" i="12"/>
  <c r="W41" i="15"/>
  <c r="W85" i="15" s="1"/>
  <c r="W91" i="15" s="1"/>
  <c r="CZ85" i="15"/>
  <c r="CZ91" i="15" s="1"/>
  <c r="DA262" i="12"/>
  <c r="W813" i="12"/>
  <c r="DA269" i="12"/>
  <c r="DC269" i="12"/>
  <c r="DC262" i="12"/>
  <c r="DB262" i="12"/>
  <c r="DB269" i="12"/>
  <c r="DU107" i="33"/>
  <c r="W301" i="90"/>
  <c r="W48" i="15"/>
  <c r="W619" i="12"/>
  <c r="W225" i="12"/>
  <c r="W226" i="12" s="1"/>
  <c r="DU104" i="33"/>
  <c r="DT107" i="33"/>
  <c r="DT104" i="33" s="1"/>
  <c r="DT189" i="33"/>
  <c r="DT192" i="33"/>
  <c r="DT187" i="33"/>
  <c r="DT180" i="33" s="1"/>
  <c r="DT185" i="33" s="1"/>
  <c r="DS203" i="33"/>
  <c r="DS204" i="33" s="1"/>
  <c r="DS192" i="33"/>
  <c r="DS180" i="33"/>
  <c r="DS185" i="33" s="1"/>
  <c r="DR180" i="33"/>
  <c r="DR185" i="33" s="1"/>
  <c r="DS71" i="33"/>
  <c r="DS73" i="33" s="1"/>
  <c r="DT29" i="33"/>
  <c r="DT174" i="33"/>
  <c r="DA412" i="12"/>
  <c r="DB412" i="12" s="1"/>
  <c r="DC412" i="12" s="1"/>
  <c r="W412" i="12" s="1"/>
  <c r="CZ461" i="12"/>
  <c r="CZ456" i="12"/>
  <c r="DB256" i="12"/>
  <c r="DB496" i="12"/>
  <c r="DB689" i="12"/>
  <c r="DB519" i="12"/>
  <c r="DA666" i="12"/>
  <c r="DA13" i="12" s="1"/>
  <c r="DS14" i="33" s="1"/>
  <c r="CZ13" i="12"/>
  <c r="DC387" i="12"/>
  <c r="DB294" i="12"/>
  <c r="CZ167" i="12"/>
  <c r="DA167" i="12" s="1"/>
  <c r="DB167" i="12" s="1"/>
  <c r="DC167" i="12" s="1"/>
  <c r="W167" i="12" s="1"/>
  <c r="AZ20" i="77"/>
  <c r="AZ17" i="77"/>
  <c r="AE18" i="77"/>
  <c r="AF18" i="77"/>
  <c r="AG18" i="77"/>
  <c r="AH18" i="77"/>
  <c r="AI18" i="77"/>
  <c r="AJ18" i="77"/>
  <c r="AE62" i="77"/>
  <c r="AF62" i="77"/>
  <c r="AG62" i="77"/>
  <c r="AH62" i="77"/>
  <c r="AI62" i="77"/>
  <c r="AJ62" i="77"/>
  <c r="AE65" i="77"/>
  <c r="AF65" i="77"/>
  <c r="AG65" i="77"/>
  <c r="AH65" i="77"/>
  <c r="AI65" i="77"/>
  <c r="AJ65" i="77"/>
  <c r="AE66" i="77"/>
  <c r="AF66" i="77"/>
  <c r="AG66" i="77"/>
  <c r="AH66" i="77"/>
  <c r="AI66" i="77"/>
  <c r="AJ66" i="77"/>
  <c r="AE67" i="77"/>
  <c r="AF67" i="77"/>
  <c r="AG67" i="77"/>
  <c r="AH67" i="77"/>
  <c r="AI67" i="77"/>
  <c r="AJ67" i="77"/>
  <c r="AE68" i="77"/>
  <c r="AF68" i="77"/>
  <c r="AG68" i="77"/>
  <c r="AH68" i="77"/>
  <c r="AI68" i="77"/>
  <c r="AJ68" i="77"/>
  <c r="AE70" i="77"/>
  <c r="AF70" i="77"/>
  <c r="AG70" i="77"/>
  <c r="AH70" i="77"/>
  <c r="AI70" i="77"/>
  <c r="AJ70" i="77"/>
  <c r="AE71" i="77"/>
  <c r="AF71" i="77"/>
  <c r="AE72" i="77"/>
  <c r="AF72" i="77"/>
  <c r="AG72" i="77"/>
  <c r="AH72" i="77"/>
  <c r="AI72" i="77"/>
  <c r="AJ72" i="77"/>
  <c r="AE73" i="77"/>
  <c r="AF73" i="77"/>
  <c r="AG73" i="77"/>
  <c r="AH73" i="77"/>
  <c r="AI73" i="77"/>
  <c r="AJ73" i="77"/>
  <c r="AE75" i="77"/>
  <c r="AF75" i="77"/>
  <c r="AG75" i="77"/>
  <c r="AH75" i="77"/>
  <c r="AI75" i="77"/>
  <c r="AJ75" i="77"/>
  <c r="AE76" i="77"/>
  <c r="AF76" i="77"/>
  <c r="AE77" i="77"/>
  <c r="AF77" i="77"/>
  <c r="AG77" i="77"/>
  <c r="AH77" i="77"/>
  <c r="AI77" i="77"/>
  <c r="AJ77" i="77"/>
  <c r="AE78" i="77"/>
  <c r="AF78" i="77"/>
  <c r="AG78" i="77"/>
  <c r="AH78" i="77"/>
  <c r="AI78" i="77"/>
  <c r="AJ78" i="77"/>
  <c r="DC461" i="12" l="1"/>
  <c r="W461" i="12" s="1"/>
  <c r="W464" i="12" s="1"/>
  <c r="AD288" i="90"/>
  <c r="AD290" i="90" s="1"/>
  <c r="AD365" i="90"/>
  <c r="DB254" i="12"/>
  <c r="DB461" i="12"/>
  <c r="DC460" i="12" s="1"/>
  <c r="W481" i="12"/>
  <c r="DR14" i="33"/>
  <c r="DS160" i="33" s="1"/>
  <c r="DB292" i="12"/>
  <c r="DC252" i="12"/>
  <c r="DC249" i="12" s="1"/>
  <c r="W249" i="12" s="1"/>
  <c r="DB291" i="12"/>
  <c r="DT186" i="33"/>
  <c r="DS186" i="33"/>
  <c r="DT203" i="33"/>
  <c r="DT204" i="33" s="1"/>
  <c r="DU187" i="33"/>
  <c r="DU174" i="33"/>
  <c r="DU189" i="33"/>
  <c r="DU192" i="33"/>
  <c r="DT71" i="33"/>
  <c r="DT73" i="33" s="1"/>
  <c r="DU29" i="33"/>
  <c r="DU71" i="33" s="1"/>
  <c r="DU73" i="33" s="1"/>
  <c r="DA461" i="12"/>
  <c r="DA460" i="12" s="1"/>
  <c r="DC256" i="12"/>
  <c r="CZ249" i="12"/>
  <c r="CZ380" i="12" s="1"/>
  <c r="DC519" i="12"/>
  <c r="DC689" i="12"/>
  <c r="DC291" i="12"/>
  <c r="DA249" i="12"/>
  <c r="DC292" i="12"/>
  <c r="W292" i="12" s="1"/>
  <c r="CZ55" i="12"/>
  <c r="DB249" i="12"/>
  <c r="DC496" i="12"/>
  <c r="W496" i="12" s="1"/>
  <c r="DC294" i="12"/>
  <c r="W294" i="12" s="1"/>
  <c r="DA55" i="12"/>
  <c r="DB666" i="12"/>
  <c r="AG55" i="77"/>
  <c r="AJ54" i="77"/>
  <c r="AF54" i="77"/>
  <c r="AH51" i="77"/>
  <c r="AG49" i="77"/>
  <c r="AJ48" i="77"/>
  <c r="AF48" i="77"/>
  <c r="AH45" i="77"/>
  <c r="AG43" i="77"/>
  <c r="AJ42" i="77"/>
  <c r="AF42" i="77"/>
  <c r="AI41" i="77"/>
  <c r="AG39" i="77"/>
  <c r="AH55" i="77"/>
  <c r="AG54" i="77"/>
  <c r="AF53" i="77"/>
  <c r="AI51" i="77"/>
  <c r="AH49" i="77"/>
  <c r="AG48" i="77"/>
  <c r="AF47" i="77"/>
  <c r="AI45" i="77"/>
  <c r="AH43" i="77"/>
  <c r="AG42" i="77"/>
  <c r="AJ41" i="77"/>
  <c r="AH39" i="77"/>
  <c r="AF55" i="77"/>
  <c r="AI54" i="77"/>
  <c r="AF49" i="77"/>
  <c r="AI48" i="77"/>
  <c r="AG45" i="77"/>
  <c r="AJ43" i="77"/>
  <c r="AF43" i="77"/>
  <c r="AI42" i="77"/>
  <c r="AH41" i="77"/>
  <c r="AJ39" i="77"/>
  <c r="AF39" i="77"/>
  <c r="AI55" i="77"/>
  <c r="AH54" i="77"/>
  <c r="AJ51" i="77"/>
  <c r="AF51" i="77"/>
  <c r="AI49" i="77"/>
  <c r="AH48" i="77"/>
  <c r="AJ45" i="77"/>
  <c r="AF45" i="77"/>
  <c r="AI43" i="77"/>
  <c r="AH42" i="77"/>
  <c r="AG41" i="77"/>
  <c r="AI39" i="77"/>
  <c r="AF41" i="77"/>
  <c r="AJ55" i="77"/>
  <c r="AG51" i="77"/>
  <c r="AJ49" i="77"/>
  <c r="DC462" i="12" l="1"/>
  <c r="DA380" i="12"/>
  <c r="DC512" i="12"/>
  <c r="DC511" i="12" s="1"/>
  <c r="DB13" i="12"/>
  <c r="DT14" i="33" s="1"/>
  <c r="DT160" i="33" s="1"/>
  <c r="W291" i="12"/>
  <c r="DC254" i="12"/>
  <c r="DB462" i="12"/>
  <c r="DA512" i="12"/>
  <c r="DA511" i="12" s="1"/>
  <c r="W252" i="12"/>
  <c r="DU203" i="33"/>
  <c r="DU204" i="33" s="1"/>
  <c r="DU180" i="33"/>
  <c r="DU185" i="33" s="1"/>
  <c r="DU186" i="33" s="1"/>
  <c r="DB512" i="12"/>
  <c r="DB511" i="12" s="1"/>
  <c r="DB460" i="12"/>
  <c r="DA462" i="12"/>
  <c r="DC250" i="12"/>
  <c r="DA248" i="12"/>
  <c r="DC666" i="12"/>
  <c r="W666" i="12" s="1"/>
  <c r="DB250" i="12"/>
  <c r="DB380" i="12"/>
  <c r="DC248" i="12"/>
  <c r="DA250" i="12"/>
  <c r="DB248" i="12"/>
  <c r="DC380" i="12"/>
  <c r="DC513" i="12" l="1"/>
  <c r="DC13" i="12"/>
  <c r="DU14" i="33" s="1"/>
  <c r="DU160" i="33" s="1"/>
  <c r="DB55" i="12"/>
  <c r="DA513" i="12"/>
  <c r="DA510" i="12"/>
  <c r="DC510" i="12"/>
  <c r="DB513" i="12"/>
  <c r="DB510" i="12" s="1"/>
  <c r="DB379" i="12"/>
  <c r="DB381" i="12"/>
  <c r="DC47" i="12"/>
  <c r="DC379" i="12"/>
  <c r="DC381" i="12"/>
  <c r="DA379" i="12"/>
  <c r="DA381" i="12"/>
  <c r="DC55" i="12" l="1"/>
  <c r="W13" i="12"/>
  <c r="W14" i="33" s="1"/>
  <c r="DB378" i="12"/>
  <c r="DC378" i="12"/>
  <c r="DA378" i="12"/>
  <c r="CX494" i="12" l="1"/>
  <c r="X643" i="12"/>
  <c r="Y643" i="12" s="1"/>
  <c r="Z643" i="12" s="1"/>
  <c r="AA643" i="12" s="1"/>
  <c r="AB643" i="12" s="1"/>
  <c r="AC643" i="12" s="1"/>
  <c r="AD643" i="12" s="1"/>
  <c r="V643" i="12"/>
  <c r="S644" i="12"/>
  <c r="T644" i="12"/>
  <c r="U644" i="12"/>
  <c r="CX113" i="14"/>
  <c r="CX112" i="14"/>
  <c r="CX107" i="14"/>
  <c r="CX100" i="14"/>
  <c r="CX99" i="14"/>
  <c r="CX97" i="14"/>
  <c r="CW364" i="90"/>
  <c r="CX283" i="90"/>
  <c r="CX282" i="90"/>
  <c r="S284" i="90"/>
  <c r="R284" i="90"/>
  <c r="R283" i="90" s="1"/>
  <c r="Q284" i="90"/>
  <c r="P284" i="90"/>
  <c r="O284" i="90"/>
  <c r="P282" i="90" s="1"/>
  <c r="P283" i="90" s="1"/>
  <c r="V282" i="90"/>
  <c r="R282" i="90"/>
  <c r="Q282" i="90"/>
  <c r="CX226" i="14"/>
  <c r="CX227" i="14" s="1"/>
  <c r="CX219" i="14"/>
  <c r="CX201" i="14"/>
  <c r="CX166" i="14"/>
  <c r="CX133" i="14"/>
  <c r="AJ28" i="77" s="1"/>
  <c r="CX127" i="14"/>
  <c r="CX46" i="14"/>
  <c r="CX59" i="14" s="1"/>
  <c r="CX31" i="14"/>
  <c r="CX60" i="15"/>
  <c r="CX64" i="15"/>
  <c r="CX58" i="15"/>
  <c r="CX41" i="15"/>
  <c r="CX43" i="15" s="1"/>
  <c r="CX234" i="15"/>
  <c r="CX174" i="15"/>
  <c r="CX106" i="15"/>
  <c r="CX87" i="15"/>
  <c r="CX86" i="15"/>
  <c r="CX85" i="15"/>
  <c r="CX91" i="15" s="1"/>
  <c r="CX84" i="15"/>
  <c r="CX75" i="15"/>
  <c r="CX95" i="15" s="1"/>
  <c r="CX100" i="15" s="1"/>
  <c r="CX9" i="15"/>
  <c r="CX184" i="14" s="1"/>
  <c r="DP238" i="33"/>
  <c r="DP239" i="33" s="1"/>
  <c r="DP192" i="33"/>
  <c r="DP184" i="33"/>
  <c r="DP183" i="33"/>
  <c r="DP182" i="33"/>
  <c r="DP173" i="33"/>
  <c r="DP165" i="33"/>
  <c r="DP96" i="33"/>
  <c r="DP84" i="33"/>
  <c r="DP33" i="33"/>
  <c r="DP31" i="33"/>
  <c r="DP24" i="33"/>
  <c r="CX689" i="12"/>
  <c r="CX680" i="12"/>
  <c r="CX682" i="12" s="1"/>
  <c r="CX679" i="12"/>
  <c r="CX664" i="12"/>
  <c r="CX636" i="12"/>
  <c r="CX635" i="12"/>
  <c r="CX625" i="12"/>
  <c r="AS270" i="58" s="1"/>
  <c r="CX623" i="12"/>
  <c r="CX685" i="12" s="1"/>
  <c r="CY687" i="12" s="1"/>
  <c r="V593" i="12"/>
  <c r="U593" i="12"/>
  <c r="T593" i="12"/>
  <c r="S593" i="12"/>
  <c r="R593" i="12"/>
  <c r="Q593" i="12"/>
  <c r="P593" i="12"/>
  <c r="V578" i="12"/>
  <c r="U578" i="12"/>
  <c r="T578" i="12"/>
  <c r="S578" i="12"/>
  <c r="R578" i="12"/>
  <c r="Q578" i="12"/>
  <c r="P578" i="12"/>
  <c r="V604" i="12"/>
  <c r="U604" i="12"/>
  <c r="T604" i="12"/>
  <c r="S604" i="12"/>
  <c r="R604" i="12"/>
  <c r="Q604" i="12"/>
  <c r="P604" i="12"/>
  <c r="V595" i="12"/>
  <c r="U595" i="12"/>
  <c r="T595" i="12"/>
  <c r="S595" i="12"/>
  <c r="R595" i="12"/>
  <c r="Q595" i="12"/>
  <c r="P595" i="12"/>
  <c r="P594" i="12"/>
  <c r="Q594" i="12"/>
  <c r="R594" i="12"/>
  <c r="S594" i="12"/>
  <c r="T594" i="12"/>
  <c r="U594" i="12"/>
  <c r="V594" i="12"/>
  <c r="CX565" i="12"/>
  <c r="CX519" i="12"/>
  <c r="CX510" i="12"/>
  <c r="CX509" i="12"/>
  <c r="CX473" i="12"/>
  <c r="CX472" i="12"/>
  <c r="CX462" i="12"/>
  <c r="CX460" i="12"/>
  <c r="CX481" i="12" s="1"/>
  <c r="V423" i="12"/>
  <c r="U423" i="12"/>
  <c r="T423" i="12"/>
  <c r="S423" i="12"/>
  <c r="R423" i="12"/>
  <c r="Q423" i="12"/>
  <c r="P423" i="12"/>
  <c r="V438" i="12"/>
  <c r="U438" i="12"/>
  <c r="T438" i="12"/>
  <c r="S438" i="12"/>
  <c r="R438" i="12"/>
  <c r="Q438" i="12"/>
  <c r="P438" i="12"/>
  <c r="V428" i="12"/>
  <c r="U428" i="12"/>
  <c r="T428" i="12"/>
  <c r="S428" i="12"/>
  <c r="CX412" i="12"/>
  <c r="CX387" i="12"/>
  <c r="CX378" i="12"/>
  <c r="CX377" i="12"/>
  <c r="CX366" i="12"/>
  <c r="CX363" i="12" s="1"/>
  <c r="CX364" i="12"/>
  <c r="CX351" i="12"/>
  <c r="CX348" i="12" s="1"/>
  <c r="CX349" i="12"/>
  <c r="CX293" i="12"/>
  <c r="CX295" i="12" s="1"/>
  <c r="CX298" i="12" s="1"/>
  <c r="CX276" i="12"/>
  <c r="CX275" i="12"/>
  <c r="CX272" i="12"/>
  <c r="CX270" i="12"/>
  <c r="CX267" i="12"/>
  <c r="CY269" i="12" s="1"/>
  <c r="CX265" i="12"/>
  <c r="CX263" i="12"/>
  <c r="CX260" i="12"/>
  <c r="CX252" i="12"/>
  <c r="CX250" i="12"/>
  <c r="CX248" i="12"/>
  <c r="CX383" i="12" s="1"/>
  <c r="CY385" i="12" s="1"/>
  <c r="V215" i="12"/>
  <c r="U215" i="12"/>
  <c r="T215" i="12"/>
  <c r="S215" i="12"/>
  <c r="R215" i="12"/>
  <c r="V201" i="12"/>
  <c r="U201" i="12"/>
  <c r="T201" i="12"/>
  <c r="S201" i="12"/>
  <c r="R201" i="12"/>
  <c r="V196" i="12"/>
  <c r="U196" i="12"/>
  <c r="T196" i="12"/>
  <c r="S196" i="12"/>
  <c r="R196" i="12"/>
  <c r="CX225" i="12"/>
  <c r="CX234" i="12"/>
  <c r="CX242" i="12"/>
  <c r="CX11" i="12"/>
  <c r="CX13" i="12"/>
  <c r="CX10" i="12"/>
  <c r="BI36" i="77"/>
  <c r="BI34" i="77"/>
  <c r="CX413" i="12" l="1"/>
  <c r="AJ76" i="77"/>
  <c r="CX566" i="12"/>
  <c r="AJ71" i="77"/>
  <c r="Q283" i="90"/>
  <c r="CX255" i="12"/>
  <c r="AJ40" i="77"/>
  <c r="DP89" i="33"/>
  <c r="DQ163" i="33"/>
  <c r="AJ20" i="77"/>
  <c r="CY55" i="12"/>
  <c r="AJ17" i="77"/>
  <c r="DB47" i="12"/>
  <c r="DP11" i="33"/>
  <c r="DQ157" i="33" s="1"/>
  <c r="CY52" i="12"/>
  <c r="AJ35" i="77"/>
  <c r="DB261" i="12"/>
  <c r="CY262" i="12"/>
  <c r="DP12" i="33"/>
  <c r="DQ158" i="33" s="1"/>
  <c r="CY53" i="12"/>
  <c r="AJ36" i="77"/>
  <c r="CX115" i="14"/>
  <c r="CX109" i="14"/>
  <c r="CX185" i="14"/>
  <c r="V642" i="12"/>
  <c r="V644" i="12" s="1"/>
  <c r="X642" i="12"/>
  <c r="X644" i="12" s="1"/>
  <c r="CX627" i="12"/>
  <c r="CX464" i="12"/>
  <c r="DP14" i="33"/>
  <c r="DQ160" i="33" s="1"/>
  <c r="CX284" i="90"/>
  <c r="CY282" i="90"/>
  <c r="S282" i="90"/>
  <c r="S283" i="90" s="1"/>
  <c r="CX124" i="14"/>
  <c r="CX172" i="14"/>
  <c r="CX79" i="15"/>
  <c r="CX667" i="12"/>
  <c r="CX670" i="12" s="1"/>
  <c r="CX497" i="12"/>
  <c r="CX500" i="12" s="1"/>
  <c r="CX503" i="12" s="1"/>
  <c r="CX504" i="12" s="1"/>
  <c r="CX515" i="12"/>
  <c r="CY517" i="12" s="1"/>
  <c r="CX281" i="12"/>
  <c r="CY282" i="12" s="1"/>
  <c r="CX301" i="12"/>
  <c r="CX302" i="12" s="1"/>
  <c r="CX299" i="12"/>
  <c r="CX226" i="12"/>
  <c r="CX466" i="12" l="1"/>
  <c r="AJ52" i="77"/>
  <c r="CX629" i="12"/>
  <c r="AJ46" i="77"/>
  <c r="CY283" i="90"/>
  <c r="V283" i="90" s="1"/>
  <c r="V284" i="90" s="1"/>
  <c r="CX364" i="90"/>
  <c r="W282" i="90"/>
  <c r="W284" i="90" s="1"/>
  <c r="X282" i="90" s="1"/>
  <c r="X284" i="90" s="1"/>
  <c r="Y282" i="90" s="1"/>
  <c r="Y284" i="90" s="1"/>
  <c r="Y364" i="90" s="1"/>
  <c r="Y642" i="12"/>
  <c r="Z642" i="12" s="1"/>
  <c r="CX673" i="12"/>
  <c r="CX674" i="12" s="1"/>
  <c r="CX671" i="12"/>
  <c r="CX501" i="12"/>
  <c r="CY284" i="90" l="1"/>
  <c r="Z644" i="12"/>
  <c r="AA642" i="12"/>
  <c r="Y644" i="12"/>
  <c r="X364" i="90"/>
  <c r="Z282" i="90"/>
  <c r="Z284" i="90" s="1"/>
  <c r="Z364" i="90" l="1"/>
  <c r="AA282" i="90"/>
  <c r="AA284" i="90" s="1"/>
  <c r="AA364" i="90"/>
  <c r="CY364" i="90"/>
  <c r="CZ282" i="90"/>
  <c r="CZ284" i="90" s="1"/>
  <c r="AA644" i="12"/>
  <c r="AB642" i="12"/>
  <c r="BK36" i="77"/>
  <c r="BK34" i="77"/>
  <c r="AN29" i="77"/>
  <c r="AD18" i="77"/>
  <c r="AD62" i="77"/>
  <c r="AD65" i="77"/>
  <c r="AE39" i="77" s="1"/>
  <c r="AD66" i="77"/>
  <c r="AE41" i="77" s="1"/>
  <c r="AD67" i="77"/>
  <c r="AE42" i="77" s="1"/>
  <c r="AD68" i="77"/>
  <c r="AE43" i="77" s="1"/>
  <c r="AD70" i="77"/>
  <c r="AE45" i="77" s="1"/>
  <c r="AD71" i="77"/>
  <c r="AE47" i="77" s="1"/>
  <c r="AD72" i="77"/>
  <c r="AE48" i="77" s="1"/>
  <c r="AD73" i="77"/>
  <c r="AE49" i="77" s="1"/>
  <c r="AD75" i="77"/>
  <c r="AE51" i="77" s="1"/>
  <c r="AD76" i="77"/>
  <c r="AE53" i="77" s="1"/>
  <c r="AD77" i="77"/>
  <c r="AE54" i="77" s="1"/>
  <c r="AD78" i="77"/>
  <c r="AE55" i="77" s="1"/>
  <c r="DA282" i="90" l="1"/>
  <c r="DA284" i="90" s="1"/>
  <c r="DB282" i="90" s="1"/>
  <c r="DB284" i="90" s="1"/>
  <c r="CZ364" i="90"/>
  <c r="AB282" i="90"/>
  <c r="AB284" i="90" s="1"/>
  <c r="AB364" i="90"/>
  <c r="AC642" i="12"/>
  <c r="AB644" i="12"/>
  <c r="DC282" i="90"/>
  <c r="DC284" i="90" s="1"/>
  <c r="DC364" i="90" s="1"/>
  <c r="DB364" i="90"/>
  <c r="CW313" i="90"/>
  <c r="CV313" i="90"/>
  <c r="AC282" i="90" l="1"/>
  <c r="AC284" i="90" s="1"/>
  <c r="AC364" i="90" s="1"/>
  <c r="DA364" i="90"/>
  <c r="AD642" i="12"/>
  <c r="AD644" i="12" s="1"/>
  <c r="AC644" i="12"/>
  <c r="AU39" i="77"/>
  <c r="CV494" i="12"/>
  <c r="CW494" i="12"/>
  <c r="CW497" i="12" s="1"/>
  <c r="CW500" i="12" s="1"/>
  <c r="CW664" i="12"/>
  <c r="CW226" i="14"/>
  <c r="CW227" i="14" s="1"/>
  <c r="CW219" i="14"/>
  <c r="CW201" i="14"/>
  <c r="CW166" i="14"/>
  <c r="CW133" i="14"/>
  <c r="AI28" i="77" s="1"/>
  <c r="CW127" i="14"/>
  <c r="CW104" i="15" s="1"/>
  <c r="CW113" i="14"/>
  <c r="CW112" i="14"/>
  <c r="CW107" i="14"/>
  <c r="CW100" i="14"/>
  <c r="CW99" i="14"/>
  <c r="CW97" i="14"/>
  <c r="CW46" i="14"/>
  <c r="CW59" i="14" s="1"/>
  <c r="CW31" i="14"/>
  <c r="CW234" i="15"/>
  <c r="CV234" i="15"/>
  <c r="CW41" i="15"/>
  <c r="CW85" i="15" s="1"/>
  <c r="CW91" i="15" s="1"/>
  <c r="CW174" i="15"/>
  <c r="CW106" i="15"/>
  <c r="CW87" i="15"/>
  <c r="CW86" i="15"/>
  <c r="CW84" i="15"/>
  <c r="CW75" i="15"/>
  <c r="CW95" i="15" s="1"/>
  <c r="CW100" i="15" s="1"/>
  <c r="CW64" i="15"/>
  <c r="CW43" i="15"/>
  <c r="CW9" i="15"/>
  <c r="CW184" i="14" s="1"/>
  <c r="CW172" i="14" s="1"/>
  <c r="DO238" i="33"/>
  <c r="DO239" i="33" s="1"/>
  <c r="DO192" i="33"/>
  <c r="DO184" i="33"/>
  <c r="W184" i="33" s="1"/>
  <c r="DO183" i="33"/>
  <c r="W183" i="33" s="1"/>
  <c r="W181" i="33" s="1"/>
  <c r="DO182" i="33"/>
  <c r="W182" i="33" s="1"/>
  <c r="DO173" i="33"/>
  <c r="DO165" i="33"/>
  <c r="DO96" i="33"/>
  <c r="DO84" i="33"/>
  <c r="DO33" i="33"/>
  <c r="DO31" i="33"/>
  <c r="DO24" i="33"/>
  <c r="V572" i="12"/>
  <c r="U572" i="12"/>
  <c r="T572" i="12"/>
  <c r="S572" i="12"/>
  <c r="R572" i="12"/>
  <c r="Q572" i="12"/>
  <c r="P572" i="12"/>
  <c r="V603" i="12"/>
  <c r="U603" i="12"/>
  <c r="T603" i="12"/>
  <c r="S603" i="12"/>
  <c r="R603" i="12"/>
  <c r="Q603" i="12"/>
  <c r="P603" i="12"/>
  <c r="V584" i="12"/>
  <c r="U584" i="12"/>
  <c r="T584" i="12"/>
  <c r="S584" i="12"/>
  <c r="R584" i="12"/>
  <c r="Q584" i="12"/>
  <c r="P584" i="12"/>
  <c r="CW689" i="12"/>
  <c r="CW680" i="12"/>
  <c r="CW682" i="12" s="1"/>
  <c r="CW679" i="12"/>
  <c r="CW636" i="12"/>
  <c r="CW635" i="12"/>
  <c r="CW625" i="12"/>
  <c r="AR270" i="58" s="1"/>
  <c r="CW623" i="12"/>
  <c r="CW685" i="12" s="1"/>
  <c r="CX687" i="12" s="1"/>
  <c r="CW565" i="12"/>
  <c r="AI71" i="77" s="1"/>
  <c r="V449" i="12"/>
  <c r="U449" i="12"/>
  <c r="T449" i="12"/>
  <c r="S449" i="12"/>
  <c r="R449" i="12"/>
  <c r="Q449" i="12"/>
  <c r="P449" i="12"/>
  <c r="V425" i="12"/>
  <c r="U425" i="12"/>
  <c r="T425" i="12"/>
  <c r="S425" i="12"/>
  <c r="R425" i="12"/>
  <c r="Q425" i="12"/>
  <c r="P425" i="12"/>
  <c r="CW519" i="12"/>
  <c r="CW510" i="12"/>
  <c r="CW509" i="12"/>
  <c r="CW473" i="12"/>
  <c r="CW472" i="12"/>
  <c r="CW462" i="12"/>
  <c r="CW460" i="12"/>
  <c r="CW412" i="12"/>
  <c r="AI76" i="77" s="1"/>
  <c r="CW387" i="12"/>
  <c r="CW378" i="12"/>
  <c r="CW377" i="12"/>
  <c r="CW366" i="12"/>
  <c r="CW363" i="12" s="1"/>
  <c r="CW364" i="12"/>
  <c r="CW351" i="12"/>
  <c r="CW348" i="12" s="1"/>
  <c r="CW349" i="12"/>
  <c r="CW293" i="12"/>
  <c r="CW295" i="12" s="1"/>
  <c r="CW298" i="12" s="1"/>
  <c r="CW276" i="12"/>
  <c r="CW275" i="12"/>
  <c r="CW272" i="12"/>
  <c r="CW270" i="12"/>
  <c r="CW267" i="12"/>
  <c r="CX269" i="12" s="1"/>
  <c r="CW265" i="12"/>
  <c r="CW263" i="12"/>
  <c r="CW260" i="12"/>
  <c r="CW252" i="12"/>
  <c r="AI40" i="77" s="1"/>
  <c r="CW250" i="12"/>
  <c r="CW248" i="12"/>
  <c r="CW383" i="12" s="1"/>
  <c r="CX385" i="12" s="1"/>
  <c r="V200" i="12"/>
  <c r="U200" i="12"/>
  <c r="T200" i="12"/>
  <c r="S200" i="12"/>
  <c r="R200" i="12"/>
  <c r="CW57" i="12"/>
  <c r="CW13" i="12"/>
  <c r="CW11" i="12"/>
  <c r="AI36" i="77" s="1"/>
  <c r="CW10" i="12"/>
  <c r="AI35" i="77" s="1"/>
  <c r="CW515" i="12" l="1"/>
  <c r="CX517" i="12" s="1"/>
  <c r="CW481" i="12"/>
  <c r="AJ47" i="77"/>
  <c r="AJ53" i="77"/>
  <c r="AD282" i="90"/>
  <c r="AD284" i="90" s="1"/>
  <c r="AD364" i="90"/>
  <c r="DO89" i="33"/>
  <c r="AI20" i="77"/>
  <c r="DP163" i="33"/>
  <c r="AI17" i="77"/>
  <c r="DA47" i="12"/>
  <c r="CX262" i="12"/>
  <c r="DA261" i="12"/>
  <c r="CW109" i="14"/>
  <c r="CW413" i="12"/>
  <c r="CX53" i="12"/>
  <c r="DO14" i="33"/>
  <c r="DP160" i="33" s="1"/>
  <c r="CX55" i="12"/>
  <c r="CW255" i="12"/>
  <c r="DO11" i="33"/>
  <c r="DP157" i="33" s="1"/>
  <c r="CX52" i="12"/>
  <c r="CW566" i="12"/>
  <c r="CW627" i="12"/>
  <c r="AI46" i="77" s="1"/>
  <c r="CW281" i="12"/>
  <c r="CX282" i="12" s="1"/>
  <c r="CW464" i="12"/>
  <c r="AI52" i="77" s="1"/>
  <c r="DO12" i="33"/>
  <c r="DP158" i="33" s="1"/>
  <c r="CW185" i="14"/>
  <c r="CW115" i="14"/>
  <c r="CW124" i="14"/>
  <c r="CW79" i="15"/>
  <c r="CW667" i="12"/>
  <c r="CW670" i="12" s="1"/>
  <c r="CW501" i="12"/>
  <c r="CW503" i="12"/>
  <c r="CW504" i="12" s="1"/>
  <c r="CW299" i="12"/>
  <c r="CW301" i="12"/>
  <c r="CW302" i="12" s="1"/>
  <c r="CW466" i="12" l="1"/>
  <c r="CW629" i="12"/>
  <c r="CW673" i="12"/>
  <c r="CW674" i="12" s="1"/>
  <c r="CW671" i="12"/>
  <c r="BK53" i="77" l="1"/>
  <c r="BI53" i="77" l="1"/>
  <c r="BK51" i="77"/>
  <c r="BI51" i="77"/>
  <c r="AC18" i="77"/>
  <c r="AC62" i="77"/>
  <c r="AC65" i="77"/>
  <c r="AD39" i="77" s="1"/>
  <c r="AC66" i="77"/>
  <c r="AD41" i="77" s="1"/>
  <c r="AC67" i="77"/>
  <c r="AD42" i="77" s="1"/>
  <c r="AC68" i="77"/>
  <c r="AD43" i="77" s="1"/>
  <c r="AC70" i="77"/>
  <c r="AD45" i="77" s="1"/>
  <c r="AC71" i="77"/>
  <c r="AD47" i="77" s="1"/>
  <c r="AC72" i="77"/>
  <c r="AD48" i="77" s="1"/>
  <c r="AC73" i="77"/>
  <c r="AD49" i="77" s="1"/>
  <c r="AC75" i="77"/>
  <c r="AD51" i="77" s="1"/>
  <c r="AC76" i="77"/>
  <c r="AD53" i="77" s="1"/>
  <c r="AC77" i="77"/>
  <c r="AD54" i="77" s="1"/>
  <c r="AC78" i="77"/>
  <c r="AD55" i="77" s="1"/>
  <c r="CV105" i="90"/>
  <c r="CV107" i="90" s="1"/>
  <c r="V105" i="90"/>
  <c r="CV166" i="14"/>
  <c r="CV226" i="14"/>
  <c r="CV227" i="14" s="1"/>
  <c r="CV219" i="14"/>
  <c r="CV201" i="14"/>
  <c r="CV133" i="14"/>
  <c r="AH28" i="77" s="1"/>
  <c r="CV127" i="14"/>
  <c r="CV104" i="15" s="1"/>
  <c r="CV113" i="14"/>
  <c r="CV107" i="14"/>
  <c r="CV100" i="14"/>
  <c r="CV99" i="14"/>
  <c r="CV97" i="14"/>
  <c r="CV46" i="14"/>
  <c r="CV59" i="14" s="1"/>
  <c r="CV31" i="14"/>
  <c r="CV63" i="15"/>
  <c r="CV59" i="15"/>
  <c r="CV41" i="15"/>
  <c r="CV85" i="15" s="1"/>
  <c r="CV91" i="15" s="1"/>
  <c r="CV174" i="15"/>
  <c r="CV106" i="15"/>
  <c r="CV87" i="15"/>
  <c r="CV86" i="15"/>
  <c r="CV84" i="15"/>
  <c r="CV75" i="15"/>
  <c r="CV95" i="15"/>
  <c r="CV100" i="15" s="1"/>
  <c r="CV9" i="15"/>
  <c r="CV184" i="14" s="1"/>
  <c r="CV11" i="12"/>
  <c r="AH36" i="77" s="1"/>
  <c r="DN238" i="33"/>
  <c r="DN239" i="33" s="1"/>
  <c r="DN192" i="33"/>
  <c r="DN184" i="33"/>
  <c r="DN183" i="33"/>
  <c r="DN182" i="33"/>
  <c r="DN173" i="33"/>
  <c r="DN96" i="33"/>
  <c r="DN84" i="33"/>
  <c r="DN33" i="33"/>
  <c r="DN31" i="33"/>
  <c r="DN24" i="33"/>
  <c r="P605" i="12"/>
  <c r="Q605" i="12"/>
  <c r="R605" i="12"/>
  <c r="S605" i="12"/>
  <c r="T605" i="12"/>
  <c r="U605" i="12"/>
  <c r="V605" i="12"/>
  <c r="V610" i="12"/>
  <c r="U610" i="12"/>
  <c r="T610" i="12"/>
  <c r="S610" i="12"/>
  <c r="R610" i="12"/>
  <c r="Q610" i="12"/>
  <c r="P610" i="12"/>
  <c r="V446" i="12"/>
  <c r="U446" i="12"/>
  <c r="T446" i="12"/>
  <c r="S446" i="12"/>
  <c r="R446" i="12"/>
  <c r="CV825" i="12"/>
  <c r="AH83" i="77" s="1"/>
  <c r="CV793" i="12"/>
  <c r="CV792" i="12"/>
  <c r="CV754" i="12"/>
  <c r="CV697" i="12"/>
  <c r="AH82" i="77" s="1"/>
  <c r="CV694" i="12"/>
  <c r="CV689" i="12"/>
  <c r="AQ278" i="58" s="1"/>
  <c r="CV680" i="12"/>
  <c r="CV682" i="12" s="1"/>
  <c r="CV679" i="12"/>
  <c r="CV664" i="12"/>
  <c r="CV636" i="12"/>
  <c r="CV635" i="12"/>
  <c r="CV625" i="12"/>
  <c r="AQ270" i="58" s="1"/>
  <c r="CV623" i="12"/>
  <c r="CV685" i="12" s="1"/>
  <c r="CW687" i="12" s="1"/>
  <c r="CV565" i="12"/>
  <c r="AH71" i="77" s="1"/>
  <c r="CV524" i="12"/>
  <c r="CV519" i="12"/>
  <c r="CV510" i="12"/>
  <c r="CV509" i="12"/>
  <c r="CV473" i="12"/>
  <c r="CV472" i="12"/>
  <c r="CV462" i="12"/>
  <c r="CV460" i="12"/>
  <c r="CV412" i="12"/>
  <c r="AH76" i="77" s="1"/>
  <c r="CV389" i="12"/>
  <c r="CV387" i="12"/>
  <c r="AQ108" i="58" s="1"/>
  <c r="CV378" i="12"/>
  <c r="CV377" i="12"/>
  <c r="CV366" i="12"/>
  <c r="CV363" i="12" s="1"/>
  <c r="CV364" i="12"/>
  <c r="CV351" i="12"/>
  <c r="CV348" i="12" s="1"/>
  <c r="CV349" i="12"/>
  <c r="CV293" i="12"/>
  <c r="CV276" i="12"/>
  <c r="CV275" i="12"/>
  <c r="CV272" i="12"/>
  <c r="CV270" i="12"/>
  <c r="CV267" i="12"/>
  <c r="CV265" i="12"/>
  <c r="CV263" i="12"/>
  <c r="CV260" i="12"/>
  <c r="CV252" i="12"/>
  <c r="AH40" i="77" s="1"/>
  <c r="CV250" i="12"/>
  <c r="CV248" i="12"/>
  <c r="CV383" i="12" s="1"/>
  <c r="CW385" i="12" s="1"/>
  <c r="CV242" i="12"/>
  <c r="CV234" i="12"/>
  <c r="CV225" i="12"/>
  <c r="CV224" i="12" s="1"/>
  <c r="V224" i="12" s="1"/>
  <c r="CV57" i="12"/>
  <c r="CV13" i="12"/>
  <c r="CV10" i="12"/>
  <c r="AH35" i="77" s="1"/>
  <c r="AL9" i="77"/>
  <c r="BI71" i="77"/>
  <c r="BK69" i="77"/>
  <c r="BI69" i="77"/>
  <c r="AB18" i="77"/>
  <c r="AB62" i="77"/>
  <c r="AB65" i="77"/>
  <c r="AB66" i="77"/>
  <c r="AL41" i="77"/>
  <c r="AM41" i="77" s="1"/>
  <c r="AB67" i="77"/>
  <c r="AB68" i="77"/>
  <c r="AB70" i="77"/>
  <c r="AB71" i="77"/>
  <c r="AB72" i="77"/>
  <c r="AB73" i="77"/>
  <c r="AB75" i="77"/>
  <c r="AB76" i="77"/>
  <c r="AB77" i="77"/>
  <c r="AB78" i="77"/>
  <c r="AQ3" i="58"/>
  <c r="AR3" i="58"/>
  <c r="AS3" i="58"/>
  <c r="AT3" i="58"/>
  <c r="AQ204" i="58"/>
  <c r="AQ211" i="58"/>
  <c r="AQ271" i="58"/>
  <c r="AQ273" i="58"/>
  <c r="AQ463" i="58"/>
  <c r="AQ485" i="58"/>
  <c r="AQ492" i="58"/>
  <c r="AR492" i="58"/>
  <c r="AS492" i="58"/>
  <c r="AT492" i="58"/>
  <c r="CV7" i="90"/>
  <c r="CV9" i="90"/>
  <c r="CV11" i="90" s="1"/>
  <c r="CV276" i="90"/>
  <c r="CV278" i="90" s="1"/>
  <c r="S278" i="90"/>
  <c r="R278" i="90"/>
  <c r="Q278" i="90"/>
  <c r="R276" i="90" s="1"/>
  <c r="R277" i="90" s="1"/>
  <c r="P278" i="90"/>
  <c r="Q276" i="90" s="1"/>
  <c r="O278" i="90"/>
  <c r="P276" i="90" s="1"/>
  <c r="P277" i="90" s="1"/>
  <c r="V277" i="90"/>
  <c r="S276" i="90"/>
  <c r="S277" i="90" s="1"/>
  <c r="CU313" i="90"/>
  <c r="P577" i="12"/>
  <c r="Q577" i="12"/>
  <c r="R577" i="12"/>
  <c r="S577" i="12"/>
  <c r="T577" i="12"/>
  <c r="U577" i="12"/>
  <c r="V577" i="12"/>
  <c r="P583" i="12"/>
  <c r="Q583" i="12"/>
  <c r="R583" i="12"/>
  <c r="S583" i="12"/>
  <c r="T583" i="12"/>
  <c r="U583" i="12"/>
  <c r="V583" i="12"/>
  <c r="R175" i="12"/>
  <c r="S175" i="12"/>
  <c r="T175" i="12"/>
  <c r="U175" i="12"/>
  <c r="V175" i="12"/>
  <c r="R223" i="12"/>
  <c r="S223" i="12"/>
  <c r="T223" i="12"/>
  <c r="U223" i="12"/>
  <c r="V223" i="12"/>
  <c r="R210" i="12"/>
  <c r="S210" i="12"/>
  <c r="T210" i="12"/>
  <c r="U210" i="12"/>
  <c r="V210" i="12"/>
  <c r="CU99" i="90"/>
  <c r="CU101" i="90"/>
  <c r="CV99" i="90" s="1"/>
  <c r="CV101" i="90" s="1"/>
  <c r="CR313" i="90"/>
  <c r="CS313" i="90"/>
  <c r="CT313" i="90"/>
  <c r="V100" i="90"/>
  <c r="CU304" i="90"/>
  <c r="CU301" i="90" s="1"/>
  <c r="CU229" i="90"/>
  <c r="CU224" i="90"/>
  <c r="CU128" i="90"/>
  <c r="CU164" i="14"/>
  <c r="CU166" i="14" s="1"/>
  <c r="CU127" i="14"/>
  <c r="CU104" i="15" s="1"/>
  <c r="CU14" i="14"/>
  <c r="CU78" i="14" s="1"/>
  <c r="CU80" i="14" s="1"/>
  <c r="CU219" i="14"/>
  <c r="CU201" i="14"/>
  <c r="U201" i="14" s="1"/>
  <c r="CU133" i="14"/>
  <c r="AG28" i="77" s="1"/>
  <c r="CU113" i="14"/>
  <c r="CU107" i="14"/>
  <c r="CU100" i="14"/>
  <c r="CU99" i="14"/>
  <c r="CU97" i="14"/>
  <c r="CU46" i="14"/>
  <c r="CU59" i="14" s="1"/>
  <c r="CU31" i="14"/>
  <c r="CU66" i="15"/>
  <c r="CU63" i="15"/>
  <c r="CU64" i="15" s="1"/>
  <c r="CU59" i="15"/>
  <c r="CU41" i="15"/>
  <c r="CU21" i="15"/>
  <c r="CU174" i="15"/>
  <c r="CU106" i="15"/>
  <c r="CU87" i="15"/>
  <c r="CU86" i="15"/>
  <c r="CU84" i="15"/>
  <c r="CU75" i="15"/>
  <c r="CU95" i="15" s="1"/>
  <c r="CU85" i="15"/>
  <c r="CU91" i="15" s="1"/>
  <c r="DM45" i="33"/>
  <c r="CU9" i="15" s="1"/>
  <c r="CU184" i="14" s="1"/>
  <c r="CU172" i="14" s="1"/>
  <c r="DM26" i="33"/>
  <c r="DM31" i="33" s="1"/>
  <c r="DM238" i="33"/>
  <c r="DM239" i="33" s="1"/>
  <c r="DM192" i="33"/>
  <c r="DM184" i="33"/>
  <c r="DM183" i="33"/>
  <c r="DM182" i="33"/>
  <c r="DM173" i="33"/>
  <c r="DM126" i="33"/>
  <c r="DM125" i="33"/>
  <c r="DM96" i="33"/>
  <c r="DM84" i="33"/>
  <c r="DM33" i="33"/>
  <c r="DM24" i="33"/>
  <c r="AG20" i="77" s="1"/>
  <c r="CT618" i="12"/>
  <c r="CU565" i="12"/>
  <c r="AG71" i="77" s="1"/>
  <c r="AG47" i="77" s="1"/>
  <c r="CU412" i="12"/>
  <c r="AG76" i="77" s="1"/>
  <c r="AG53" i="77" s="1"/>
  <c r="CU825" i="12"/>
  <c r="AG83" i="77" s="1"/>
  <c r="CU793" i="12"/>
  <c r="CU792" i="12"/>
  <c r="CU754" i="12"/>
  <c r="CU697" i="12"/>
  <c r="AG82" i="77" s="1"/>
  <c r="CU694" i="12"/>
  <c r="CU689" i="12"/>
  <c r="AR278" i="58"/>
  <c r="CU680" i="12"/>
  <c r="CU682" i="12" s="1"/>
  <c r="CU679" i="12"/>
  <c r="CU664" i="12"/>
  <c r="CU650" i="12"/>
  <c r="CU649" i="12"/>
  <c r="CU636" i="12"/>
  <c r="CU635" i="12"/>
  <c r="CU625" i="12"/>
  <c r="AP270" i="58" s="1"/>
  <c r="CU623" i="12"/>
  <c r="CU685" i="12" s="1"/>
  <c r="CY686" i="12" s="1"/>
  <c r="CU524" i="12"/>
  <c r="CU519" i="12"/>
  <c r="CU510" i="12"/>
  <c r="CU509" i="12"/>
  <c r="CU494" i="12"/>
  <c r="CU483" i="12"/>
  <c r="CU473" i="12"/>
  <c r="CU472" i="12"/>
  <c r="CU462" i="12"/>
  <c r="CU460" i="12"/>
  <c r="CU515" i="12" s="1"/>
  <c r="CY516" i="12" s="1"/>
  <c r="CU413" i="12"/>
  <c r="CU389" i="12"/>
  <c r="CU387" i="12"/>
  <c r="CU378" i="12"/>
  <c r="CU377" i="12"/>
  <c r="CU366" i="12"/>
  <c r="CU364" i="12"/>
  <c r="CU363" i="12"/>
  <c r="CU351" i="12"/>
  <c r="CU349" i="12"/>
  <c r="CU348" i="12"/>
  <c r="CU293" i="12"/>
  <c r="CU295" i="12" s="1"/>
  <c r="CU298" i="12" s="1"/>
  <c r="CU276" i="12"/>
  <c r="CU275" i="12"/>
  <c r="CU272" i="12"/>
  <c r="CU270" i="12"/>
  <c r="CU267" i="12"/>
  <c r="CU265" i="12"/>
  <c r="CU263" i="12"/>
  <c r="CU260" i="12"/>
  <c r="CY261" i="12" s="1"/>
  <c r="CU252" i="12"/>
  <c r="AG40" i="77" s="1"/>
  <c r="CU250" i="12"/>
  <c r="CU248" i="12"/>
  <c r="CU383" i="12" s="1"/>
  <c r="CU242" i="12"/>
  <c r="CU234" i="12"/>
  <c r="CU225" i="12"/>
  <c r="CU224" i="12" s="1"/>
  <c r="CU226" i="12" s="1"/>
  <c r="CU57" i="12"/>
  <c r="CU13" i="12"/>
  <c r="CU11" i="12"/>
  <c r="CU10" i="12"/>
  <c r="BI89" i="77"/>
  <c r="BI87" i="77"/>
  <c r="AX43" i="77"/>
  <c r="AX40" i="77"/>
  <c r="BK83" i="77"/>
  <c r="BC36" i="77"/>
  <c r="V28" i="33"/>
  <c r="V27" i="33"/>
  <c r="V224" i="14"/>
  <c r="V223" i="14"/>
  <c r="V214" i="14"/>
  <c r="V213" i="14"/>
  <c r="V208" i="14"/>
  <c r="V207" i="14"/>
  <c r="V101" i="14"/>
  <c r="V61" i="14"/>
  <c r="X61" i="14" s="1"/>
  <c r="Y61" i="14" s="1"/>
  <c r="Z61" i="14" s="1"/>
  <c r="AA61" i="14" s="1"/>
  <c r="AB61" i="14" s="1"/>
  <c r="AC61" i="14" s="1"/>
  <c r="AD61" i="14" s="1"/>
  <c r="V57" i="14"/>
  <c r="V54" i="14"/>
  <c r="V53" i="14"/>
  <c r="V52" i="14"/>
  <c r="V51" i="14"/>
  <c r="V50" i="14"/>
  <c r="V26" i="14"/>
  <c r="V307" i="90"/>
  <c r="V306" i="90"/>
  <c r="V304" i="90"/>
  <c r="V305" i="90"/>
  <c r="U307" i="90"/>
  <c r="U306" i="90"/>
  <c r="U305" i="90"/>
  <c r="V295" i="90"/>
  <c r="V271" i="90"/>
  <c r="V259" i="90"/>
  <c r="V253" i="90"/>
  <c r="V224" i="90"/>
  <c r="V315" i="90"/>
  <c r="V214" i="90"/>
  <c r="V204" i="90"/>
  <c r="V199" i="90"/>
  <c r="V194" i="90"/>
  <c r="V184" i="90"/>
  <c r="V174" i="90"/>
  <c r="V169" i="90"/>
  <c r="V149" i="90"/>
  <c r="V69" i="90"/>
  <c r="X69" i="90"/>
  <c r="Y69" i="90" s="1"/>
  <c r="Z69" i="90" s="1"/>
  <c r="AA69" i="90" s="1"/>
  <c r="AB69" i="90" s="1"/>
  <c r="AC69" i="90" s="1"/>
  <c r="AD69" i="90" s="1"/>
  <c r="V20" i="90"/>
  <c r="V21" i="90" s="1"/>
  <c r="CY6" i="14"/>
  <c r="CX6" i="14"/>
  <c r="CW6" i="14"/>
  <c r="CV6" i="14"/>
  <c r="CV5" i="14"/>
  <c r="V201" i="14"/>
  <c r="CY4" i="90"/>
  <c r="CX4" i="90"/>
  <c r="CW4" i="90"/>
  <c r="CV4" i="90"/>
  <c r="CV3" i="90"/>
  <c r="CV128" i="90"/>
  <c r="CW128" i="90"/>
  <c r="CX128" i="90"/>
  <c r="CY128" i="90"/>
  <c r="CV229" i="90"/>
  <c r="CW229" i="90"/>
  <c r="CX229" i="90"/>
  <c r="CY229" i="90"/>
  <c r="CV304" i="90"/>
  <c r="CV301" i="90" s="1"/>
  <c r="CW304" i="90"/>
  <c r="CW301" i="90" s="1"/>
  <c r="CX304" i="90"/>
  <c r="CX301" i="90" s="1"/>
  <c r="CY304" i="90"/>
  <c r="CY301" i="90" s="1"/>
  <c r="V220" i="15"/>
  <c r="V215" i="15"/>
  <c r="V214" i="15"/>
  <c r="V213" i="15"/>
  <c r="V212" i="15"/>
  <c r="V211" i="15"/>
  <c r="V210" i="15"/>
  <c r="V188" i="15"/>
  <c r="V183" i="15"/>
  <c r="V182" i="15"/>
  <c r="V181" i="15"/>
  <c r="V63" i="15"/>
  <c r="V62" i="15"/>
  <c r="V60" i="15"/>
  <c r="V59" i="15"/>
  <c r="V57" i="15"/>
  <c r="V56" i="15"/>
  <c r="V54" i="15"/>
  <c r="V53" i="15"/>
  <c r="V51" i="15"/>
  <c r="V50" i="15"/>
  <c r="V47" i="15"/>
  <c r="V42" i="15"/>
  <c r="V87" i="15" s="1"/>
  <c r="V40" i="15"/>
  <c r="V86" i="15" s="1"/>
  <c r="V39" i="15"/>
  <c r="V37" i="15"/>
  <c r="V36" i="15"/>
  <c r="V35" i="15"/>
  <c r="V22" i="15"/>
  <c r="V21" i="15"/>
  <c r="V20" i="15"/>
  <c r="V19" i="15"/>
  <c r="V30" i="15"/>
  <c r="V29" i="15"/>
  <c r="V28" i="15"/>
  <c r="V27" i="15"/>
  <c r="V18" i="15"/>
  <c r="V17" i="15"/>
  <c r="V16" i="15"/>
  <c r="V15" i="15"/>
  <c r="V14" i="15"/>
  <c r="V12" i="15"/>
  <c r="CY6" i="15"/>
  <c r="CY109" i="15" s="1"/>
  <c r="CX6" i="15"/>
  <c r="CX109" i="15" s="1"/>
  <c r="CW6" i="15"/>
  <c r="CW109" i="15" s="1"/>
  <c r="CV6" i="15"/>
  <c r="CV109" i="15" s="1"/>
  <c r="CV5" i="15"/>
  <c r="V13" i="15"/>
  <c r="V46" i="15"/>
  <c r="V208" i="33"/>
  <c r="V207" i="33"/>
  <c r="V202" i="33"/>
  <c r="V184" i="33"/>
  <c r="V183" i="33"/>
  <c r="V182" i="33"/>
  <c r="V62" i="33"/>
  <c r="V53" i="33"/>
  <c r="X53" i="33" s="1"/>
  <c r="Y53" i="33" s="1"/>
  <c r="Z53" i="33" s="1"/>
  <c r="AA53" i="33" s="1"/>
  <c r="AB53" i="33" s="1"/>
  <c r="AC53" i="33" s="1"/>
  <c r="AD53" i="33" s="1"/>
  <c r="V51" i="33"/>
  <c r="V34" i="33"/>
  <c r="V181" i="33"/>
  <c r="V616" i="12"/>
  <c r="V615" i="12"/>
  <c r="V614" i="12"/>
  <c r="V613" i="12"/>
  <c r="V611" i="12"/>
  <c r="V609" i="12"/>
  <c r="V608" i="12"/>
  <c r="V607" i="12"/>
  <c r="V606" i="12"/>
  <c r="V602" i="12"/>
  <c r="V601" i="12"/>
  <c r="V600" i="12"/>
  <c r="V599" i="12"/>
  <c r="V598" i="12"/>
  <c r="V597" i="12"/>
  <c r="V596" i="12"/>
  <c r="V592" i="12"/>
  <c r="V591" i="12"/>
  <c r="V590" i="12"/>
  <c r="V589" i="12"/>
  <c r="V588" i="12"/>
  <c r="V587" i="12"/>
  <c r="V586" i="12"/>
  <c r="V585" i="12"/>
  <c r="V582" i="12"/>
  <c r="V581" i="12"/>
  <c r="V580" i="12"/>
  <c r="V579" i="12"/>
  <c r="V576" i="12"/>
  <c r="V575" i="12"/>
  <c r="V574" i="12"/>
  <c r="V573" i="12"/>
  <c r="V571" i="12"/>
  <c r="V570" i="12"/>
  <c r="V453" i="12"/>
  <c r="V452" i="12"/>
  <c r="V451" i="12"/>
  <c r="V450" i="12"/>
  <c r="V448" i="12"/>
  <c r="V447" i="12"/>
  <c r="V445" i="12"/>
  <c r="V444" i="12"/>
  <c r="V443" i="12"/>
  <c r="V442" i="12"/>
  <c r="V441" i="12"/>
  <c r="V440" i="12"/>
  <c r="V439" i="12"/>
  <c r="V437" i="12"/>
  <c r="V436" i="12"/>
  <c r="V435" i="12"/>
  <c r="V434" i="12"/>
  <c r="V433" i="12"/>
  <c r="V432" i="12"/>
  <c r="V431" i="12"/>
  <c r="V430" i="12"/>
  <c r="V429" i="12"/>
  <c r="V427" i="12"/>
  <c r="V426" i="12"/>
  <c r="V424" i="12"/>
  <c r="V422" i="12"/>
  <c r="V421" i="12"/>
  <c r="V420" i="12"/>
  <c r="V419" i="12"/>
  <c r="V418" i="12"/>
  <c r="V417" i="12"/>
  <c r="V222" i="12"/>
  <c r="V220" i="12"/>
  <c r="V219" i="12"/>
  <c r="V218" i="12"/>
  <c r="V217" i="12"/>
  <c r="V214" i="12"/>
  <c r="V213" i="12"/>
  <c r="V212" i="12"/>
  <c r="V211" i="12"/>
  <c r="V209" i="12"/>
  <c r="V208" i="12"/>
  <c r="V207" i="12"/>
  <c r="V206" i="12"/>
  <c r="V205" i="12"/>
  <c r="V204" i="12"/>
  <c r="V203" i="12"/>
  <c r="V202" i="12"/>
  <c r="V199" i="12"/>
  <c r="V198" i="12"/>
  <c r="V195" i="12"/>
  <c r="V193" i="12"/>
  <c r="V192" i="12"/>
  <c r="V191" i="12"/>
  <c r="V190" i="12"/>
  <c r="V189" i="12"/>
  <c r="V188" i="12"/>
  <c r="V187" i="12"/>
  <c r="V186" i="12"/>
  <c r="V185" i="12"/>
  <c r="V184" i="12"/>
  <c r="V183" i="12"/>
  <c r="V182" i="12"/>
  <c r="V181" i="12"/>
  <c r="V180" i="12"/>
  <c r="V179" i="12"/>
  <c r="V178" i="12"/>
  <c r="V176" i="12"/>
  <c r="V174" i="12"/>
  <c r="V173" i="12"/>
  <c r="V172" i="12"/>
  <c r="V171" i="12"/>
  <c r="V783" i="12"/>
  <c r="V780" i="12"/>
  <c r="V777" i="12"/>
  <c r="V771" i="12"/>
  <c r="V731" i="12"/>
  <c r="V730" i="12"/>
  <c r="V728" i="12"/>
  <c r="V727" i="12"/>
  <c r="V725" i="12"/>
  <c r="V724" i="12"/>
  <c r="CX57" i="12"/>
  <c r="CY57" i="12"/>
  <c r="CW225" i="12"/>
  <c r="CW234" i="12"/>
  <c r="CW242" i="12"/>
  <c r="CW389" i="12"/>
  <c r="CX389" i="12"/>
  <c r="CY389" i="12"/>
  <c r="CW455" i="12"/>
  <c r="CW456" i="12" s="1"/>
  <c r="CX455" i="12"/>
  <c r="CX456" i="12" s="1"/>
  <c r="AR80" i="58"/>
  <c r="AS80" i="58"/>
  <c r="AS204" i="58"/>
  <c r="CZ493" i="12"/>
  <c r="CW524" i="12"/>
  <c r="CX524" i="12"/>
  <c r="CY524" i="12"/>
  <c r="CW618" i="12"/>
  <c r="CW619" i="12" s="1"/>
  <c r="CX618" i="12"/>
  <c r="CX619" i="12" s="1"/>
  <c r="CW694" i="12"/>
  <c r="CX694" i="12"/>
  <c r="CW702" i="12"/>
  <c r="CX702" i="12"/>
  <c r="AS463" i="58"/>
  <c r="BK89" i="77"/>
  <c r="BK87" i="77"/>
  <c r="BC43" i="77"/>
  <c r="BC40" i="77"/>
  <c r="AM17" i="77"/>
  <c r="AA18" i="77"/>
  <c r="AA62" i="77"/>
  <c r="AA65" i="77"/>
  <c r="AA66" i="77"/>
  <c r="AA67" i="77"/>
  <c r="AA68" i="77"/>
  <c r="AB43" i="77" s="1"/>
  <c r="AL43" i="77"/>
  <c r="AA70" i="77"/>
  <c r="AL45" i="77"/>
  <c r="AA71" i="77"/>
  <c r="AA72" i="77"/>
  <c r="AA73" i="77"/>
  <c r="AA75" i="77"/>
  <c r="AL51" i="77"/>
  <c r="AA76" i="77"/>
  <c r="AA77" i="77"/>
  <c r="AA78" i="77"/>
  <c r="AL55" i="77"/>
  <c r="CT45" i="14"/>
  <c r="CT46" i="14" s="1"/>
  <c r="CT59" i="14" s="1"/>
  <c r="CT14" i="14"/>
  <c r="CT219" i="14"/>
  <c r="CT201" i="14"/>
  <c r="CT166" i="14"/>
  <c r="CT133" i="14"/>
  <c r="AF28" i="77" s="1"/>
  <c r="CT113" i="14"/>
  <c r="L10" i="53" s="1"/>
  <c r="K109" i="53" s="1"/>
  <c r="CT107" i="14"/>
  <c r="CT100" i="14"/>
  <c r="CT99" i="14"/>
  <c r="CT97" i="14"/>
  <c r="CT31" i="14"/>
  <c r="CT213" i="15"/>
  <c r="CT66" i="15"/>
  <c r="CT63" i="15"/>
  <c r="CT59" i="15"/>
  <c r="CT41" i="15"/>
  <c r="CT85" i="15" s="1"/>
  <c r="CT91" i="15" s="1"/>
  <c r="CT21" i="15"/>
  <c r="CT174" i="15"/>
  <c r="CT106" i="15"/>
  <c r="CT104" i="15"/>
  <c r="CT87" i="15"/>
  <c r="CT86" i="15"/>
  <c r="CT84" i="15"/>
  <c r="CT75" i="15"/>
  <c r="CT95" i="15" s="1"/>
  <c r="CT100" i="15" s="1"/>
  <c r="DL45" i="33"/>
  <c r="DQ149" i="33" s="1"/>
  <c r="DL26" i="33"/>
  <c r="DL31" i="33" s="1"/>
  <c r="DL238" i="33"/>
  <c r="DL239" i="33" s="1"/>
  <c r="DL192" i="33"/>
  <c r="DL184" i="33"/>
  <c r="DL183" i="33"/>
  <c r="DL182" i="33"/>
  <c r="DL173" i="33"/>
  <c r="DL126" i="33"/>
  <c r="DL125" i="33"/>
  <c r="DL96" i="33"/>
  <c r="DL84" i="33"/>
  <c r="DL33" i="33"/>
  <c r="DL24" i="33"/>
  <c r="CT79" i="15"/>
  <c r="P588" i="12"/>
  <c r="Q588" i="12"/>
  <c r="R588" i="12"/>
  <c r="S588" i="12"/>
  <c r="T588" i="12"/>
  <c r="U588" i="12"/>
  <c r="U596" i="12"/>
  <c r="T596" i="12"/>
  <c r="S596" i="12"/>
  <c r="R596" i="12"/>
  <c r="Q596" i="12"/>
  <c r="P596" i="12"/>
  <c r="U615" i="12"/>
  <c r="T615" i="12"/>
  <c r="S615" i="12"/>
  <c r="R615" i="12"/>
  <c r="Q615" i="12"/>
  <c r="P615" i="12"/>
  <c r="U579" i="12"/>
  <c r="U183" i="12"/>
  <c r="T183" i="12"/>
  <c r="S183" i="12"/>
  <c r="R183" i="12"/>
  <c r="CT825" i="12"/>
  <c r="AF83" i="77" s="1"/>
  <c r="CT793" i="12"/>
  <c r="CT792" i="12"/>
  <c r="CT754" i="12"/>
  <c r="CT697" i="12"/>
  <c r="AF82" i="77" s="1"/>
  <c r="CT695" i="12"/>
  <c r="AF81" i="77" s="1"/>
  <c r="CT694" i="12"/>
  <c r="CT689" i="12"/>
  <c r="AO278" i="58" s="1"/>
  <c r="CT680" i="12"/>
  <c r="CT682" i="12" s="1"/>
  <c r="CT679" i="12"/>
  <c r="CT664" i="12"/>
  <c r="CX665" i="12" s="1"/>
  <c r="CT650" i="12"/>
  <c r="CT636" i="12"/>
  <c r="CT635" i="12"/>
  <c r="CT627" i="12"/>
  <c r="AF46" i="77" s="1"/>
  <c r="CT625" i="12"/>
  <c r="AO270" i="58" s="1"/>
  <c r="CT623" i="12"/>
  <c r="CT685" i="12" s="1"/>
  <c r="CX686" i="12" s="1"/>
  <c r="CT566" i="12"/>
  <c r="CT524" i="12"/>
  <c r="CT519" i="12"/>
  <c r="CT510" i="12"/>
  <c r="CT509" i="12"/>
  <c r="CT494" i="12"/>
  <c r="CT483" i="12"/>
  <c r="CT473" i="12"/>
  <c r="CT472" i="12"/>
  <c r="CT464" i="12"/>
  <c r="AF52" i="77" s="1"/>
  <c r="CT462" i="12"/>
  <c r="CT460" i="12"/>
  <c r="CT515" i="12" s="1"/>
  <c r="CX516" i="12" s="1"/>
  <c r="CT455" i="12"/>
  <c r="CT454" i="12" s="1"/>
  <c r="CT413" i="12"/>
  <c r="CT389" i="12"/>
  <c r="CT387" i="12"/>
  <c r="CT378" i="12"/>
  <c r="CT377" i="12"/>
  <c r="CT366" i="12"/>
  <c r="CT364" i="12"/>
  <c r="CT363" i="12"/>
  <c r="CT351" i="12"/>
  <c r="CT349" i="12"/>
  <c r="CT348" i="12"/>
  <c r="CT293" i="12"/>
  <c r="CT295" i="12" s="1"/>
  <c r="CT298" i="12" s="1"/>
  <c r="CT276" i="12"/>
  <c r="CT275" i="12"/>
  <c r="CT272" i="12"/>
  <c r="CT270" i="12"/>
  <c r="CT267" i="12"/>
  <c r="CT265" i="12"/>
  <c r="CT263" i="12"/>
  <c r="CT260" i="12"/>
  <c r="CX261" i="12" s="1"/>
  <c r="CT252" i="12"/>
  <c r="AF40" i="77" s="1"/>
  <c r="CT250" i="12"/>
  <c r="CT248" i="12"/>
  <c r="CT383" i="12" s="1"/>
  <c r="CX384" i="12" s="1"/>
  <c r="CT242" i="12"/>
  <c r="CT234" i="12"/>
  <c r="CT225" i="12"/>
  <c r="CT57" i="12"/>
  <c r="CT13" i="12"/>
  <c r="AF17" i="77" s="1"/>
  <c r="CT11" i="12"/>
  <c r="AF36" i="77" s="1"/>
  <c r="CT10" i="12"/>
  <c r="AF35" i="77" s="1"/>
  <c r="CT9" i="12"/>
  <c r="AF34" i="77" s="1"/>
  <c r="CT8" i="12"/>
  <c r="AF33" i="77" s="1"/>
  <c r="BK100" i="77"/>
  <c r="BK106" i="77"/>
  <c r="BI106" i="77"/>
  <c r="BK104" i="77"/>
  <c r="BI104" i="77"/>
  <c r="Z18" i="77"/>
  <c r="Z62" i="77"/>
  <c r="Z65" i="77"/>
  <c r="Z66" i="77"/>
  <c r="Z67" i="77"/>
  <c r="Z68" i="77"/>
  <c r="Z70" i="77"/>
  <c r="Z71" i="77"/>
  <c r="Z72" i="77"/>
  <c r="Z73" i="77"/>
  <c r="Z75" i="77"/>
  <c r="Z76" i="77"/>
  <c r="Z77" i="77"/>
  <c r="Z78" i="77"/>
  <c r="C357" i="90"/>
  <c r="AN3" i="58"/>
  <c r="L13" i="53"/>
  <c r="CS133" i="14"/>
  <c r="AE28" i="77" s="1"/>
  <c r="CR133" i="14"/>
  <c r="AD28" i="77" s="1"/>
  <c r="CS45" i="14"/>
  <c r="CS46" i="14" s="1"/>
  <c r="CS59" i="14" s="1"/>
  <c r="CS14" i="14"/>
  <c r="CS219" i="14"/>
  <c r="CS201" i="14"/>
  <c r="CS166" i="14"/>
  <c r="CS113" i="14"/>
  <c r="CS107" i="14"/>
  <c r="CS100" i="14"/>
  <c r="CS99" i="14"/>
  <c r="CS97" i="14"/>
  <c r="CS31" i="14"/>
  <c r="CS304" i="90"/>
  <c r="CS301" i="90" s="1"/>
  <c r="CS66" i="15"/>
  <c r="U66" i="15"/>
  <c r="CS35" i="15"/>
  <c r="CS43" i="15"/>
  <c r="CS174" i="15"/>
  <c r="CS106" i="15"/>
  <c r="CS87" i="15"/>
  <c r="CS86" i="15"/>
  <c r="CS85" i="15"/>
  <c r="CS91" i="15"/>
  <c r="CS84" i="15"/>
  <c r="CS75" i="15"/>
  <c r="CS79" i="15" s="1"/>
  <c r="CS64" i="15"/>
  <c r="DK26" i="33"/>
  <c r="CS205" i="15"/>
  <c r="DK31" i="33"/>
  <c r="DK45" i="33"/>
  <c r="DK238" i="33"/>
  <c r="DK239" i="33" s="1"/>
  <c r="DK192" i="33"/>
  <c r="DK184" i="33"/>
  <c r="DK183" i="33"/>
  <c r="DK182" i="33"/>
  <c r="DK173" i="33"/>
  <c r="DK126" i="33"/>
  <c r="DK125" i="33"/>
  <c r="DK96" i="33"/>
  <c r="DK84" i="33"/>
  <c r="DK33" i="33"/>
  <c r="DK24" i="33"/>
  <c r="CS655" i="12"/>
  <c r="CS647" i="12"/>
  <c r="CS650" i="12" s="1"/>
  <c r="R193" i="12"/>
  <c r="S193" i="12"/>
  <c r="T193" i="12"/>
  <c r="U193" i="12"/>
  <c r="R435" i="12"/>
  <c r="S435" i="12"/>
  <c r="T435" i="12"/>
  <c r="U435" i="12"/>
  <c r="U609" i="12"/>
  <c r="T609" i="12"/>
  <c r="S609" i="12"/>
  <c r="R609" i="12"/>
  <c r="Q609" i="12"/>
  <c r="P609" i="12"/>
  <c r="CS825" i="12"/>
  <c r="AE83" i="77" s="1"/>
  <c r="CS793" i="12"/>
  <c r="CS792" i="12"/>
  <c r="CS754" i="12"/>
  <c r="CS697" i="12"/>
  <c r="AE82" i="77" s="1"/>
  <c r="AE58" i="77" s="1"/>
  <c r="CS695" i="12"/>
  <c r="AE81" i="77" s="1"/>
  <c r="CS694" i="12"/>
  <c r="CS689" i="12"/>
  <c r="CS680" i="12"/>
  <c r="CS682" i="12" s="1"/>
  <c r="CS679" i="12"/>
  <c r="CS664" i="12"/>
  <c r="CW665" i="12" s="1"/>
  <c r="CS636" i="12"/>
  <c r="CS635" i="12"/>
  <c r="CS627" i="12"/>
  <c r="AE46" i="77" s="1"/>
  <c r="CS625" i="12"/>
  <c r="AN270" i="58" s="1"/>
  <c r="CS623" i="12"/>
  <c r="CS685" i="12" s="1"/>
  <c r="CS618" i="12"/>
  <c r="CS617" i="12" s="1"/>
  <c r="CS619" i="12" s="1"/>
  <c r="CS566" i="12"/>
  <c r="CS524" i="12"/>
  <c r="CS519" i="12"/>
  <c r="CS510" i="12"/>
  <c r="CS509" i="12"/>
  <c r="CS494" i="12"/>
  <c r="CS483" i="12"/>
  <c r="CS484" i="12" s="1"/>
  <c r="CS473" i="12"/>
  <c r="CS472" i="12"/>
  <c r="CS464" i="12"/>
  <c r="AE52" i="77" s="1"/>
  <c r="CS462" i="12"/>
  <c r="CS460" i="12"/>
  <c r="CS515" i="12" s="1"/>
  <c r="CW516" i="12" s="1"/>
  <c r="CS455" i="12"/>
  <c r="CS413" i="12"/>
  <c r="CS389" i="12"/>
  <c r="CS387" i="12"/>
  <c r="CS378" i="12"/>
  <c r="CS377" i="12"/>
  <c r="CS366" i="12"/>
  <c r="CS364" i="12"/>
  <c r="CS363" i="12"/>
  <c r="CS351" i="12"/>
  <c r="CS349" i="12"/>
  <c r="CS348" i="12"/>
  <c r="CS293" i="12"/>
  <c r="CS295" i="12" s="1"/>
  <c r="CS298" i="12" s="1"/>
  <c r="CS276" i="12"/>
  <c r="CS275" i="12"/>
  <c r="CS272" i="12"/>
  <c r="CS270" i="12"/>
  <c r="CS267" i="12"/>
  <c r="CS265" i="12"/>
  <c r="CS263" i="12"/>
  <c r="CS260" i="12"/>
  <c r="CW261" i="12" s="1"/>
  <c r="CS252" i="12"/>
  <c r="AE40" i="77" s="1"/>
  <c r="CS250" i="12"/>
  <c r="CS248" i="12"/>
  <c r="CS383" i="12" s="1"/>
  <c r="CS242" i="12"/>
  <c r="CS234" i="12"/>
  <c r="CS225" i="12"/>
  <c r="CS57" i="12"/>
  <c r="CS13" i="12"/>
  <c r="AE17" i="77" s="1"/>
  <c r="CS11" i="12"/>
  <c r="AE36" i="77" s="1"/>
  <c r="CS10" i="12"/>
  <c r="AE35" i="77" s="1"/>
  <c r="BI123" i="77"/>
  <c r="BI121" i="77"/>
  <c r="CS104" i="15"/>
  <c r="CR697" i="12"/>
  <c r="AD82" i="77" s="1"/>
  <c r="AE60" i="77" s="1"/>
  <c r="BK117" i="77"/>
  <c r="BK123" i="77"/>
  <c r="BK121" i="77"/>
  <c r="Y18" i="77"/>
  <c r="Y62" i="77"/>
  <c r="Y65" i="77"/>
  <c r="Y66" i="77"/>
  <c r="Y67" i="77"/>
  <c r="Y68" i="77"/>
  <c r="Y70" i="77"/>
  <c r="Y71" i="77"/>
  <c r="Y72" i="77"/>
  <c r="Y73" i="77"/>
  <c r="Y75" i="77"/>
  <c r="Y76" i="77"/>
  <c r="Y77" i="77"/>
  <c r="Y78" i="77"/>
  <c r="P419" i="12"/>
  <c r="Q419" i="12"/>
  <c r="R419" i="12"/>
  <c r="S419" i="12"/>
  <c r="T419" i="12"/>
  <c r="U419" i="12"/>
  <c r="P418" i="12"/>
  <c r="Q418" i="12"/>
  <c r="R418" i="12"/>
  <c r="S418" i="12"/>
  <c r="T418" i="12"/>
  <c r="U418" i="12"/>
  <c r="U204" i="12"/>
  <c r="T204" i="12"/>
  <c r="S204" i="12"/>
  <c r="R204" i="12"/>
  <c r="U220" i="12"/>
  <c r="T220" i="12"/>
  <c r="S220" i="12"/>
  <c r="R220" i="12"/>
  <c r="U192" i="12"/>
  <c r="T192" i="12"/>
  <c r="S192" i="12"/>
  <c r="R192" i="12"/>
  <c r="R185" i="12"/>
  <c r="S185" i="12"/>
  <c r="T185" i="12"/>
  <c r="U185" i="12"/>
  <c r="CR295" i="90"/>
  <c r="CR297" i="90" s="1"/>
  <c r="CS297" i="90" s="1"/>
  <c r="CT297" i="90" s="1"/>
  <c r="CU297" i="90" s="1"/>
  <c r="CR230" i="90"/>
  <c r="CR219" i="14"/>
  <c r="CR201" i="14"/>
  <c r="CR166" i="14"/>
  <c r="CR161" i="14"/>
  <c r="CS161" i="14" s="1"/>
  <c r="CT161" i="14" s="1"/>
  <c r="CT224" i="90"/>
  <c r="CR45" i="14"/>
  <c r="CR46" i="14"/>
  <c r="CR59" i="14" s="1"/>
  <c r="CR14" i="14"/>
  <c r="CR104" i="15"/>
  <c r="CR113" i="14"/>
  <c r="CR107" i="14"/>
  <c r="CR100" i="14"/>
  <c r="CR99" i="14"/>
  <c r="CR97" i="14"/>
  <c r="CR31" i="14"/>
  <c r="CR109" i="14" s="1"/>
  <c r="CR59" i="15"/>
  <c r="CR64" i="15" s="1"/>
  <c r="CR35" i="15"/>
  <c r="U35" i="15" s="1"/>
  <c r="CR21" i="15"/>
  <c r="CR174" i="15"/>
  <c r="CR106" i="15"/>
  <c r="CR87" i="15"/>
  <c r="CR86" i="15"/>
  <c r="CR85" i="15"/>
  <c r="CR91" i="15" s="1"/>
  <c r="CR84" i="15"/>
  <c r="CR75" i="15"/>
  <c r="CR95" i="15" s="1"/>
  <c r="CR100" i="15" s="1"/>
  <c r="DJ26" i="33"/>
  <c r="DJ45" i="33"/>
  <c r="DO149" i="33" s="1"/>
  <c r="DJ149" i="33"/>
  <c r="DJ192" i="33"/>
  <c r="DJ184" i="33"/>
  <c r="DJ183" i="33"/>
  <c r="U183" i="33" s="1"/>
  <c r="U181" i="33" s="1"/>
  <c r="DJ182" i="33"/>
  <c r="DJ173" i="33"/>
  <c r="DJ126" i="33"/>
  <c r="DJ125" i="33"/>
  <c r="DJ96" i="33"/>
  <c r="DJ84" i="33"/>
  <c r="DJ33" i="33"/>
  <c r="DJ24" i="33"/>
  <c r="CR655" i="12"/>
  <c r="CR647" i="12"/>
  <c r="CR825" i="12"/>
  <c r="AD83" i="77" s="1"/>
  <c r="AE61" i="77" s="1"/>
  <c r="CR793" i="12"/>
  <c r="CR792" i="12"/>
  <c r="CR754" i="12"/>
  <c r="CR695" i="12"/>
  <c r="AD81" i="77" s="1"/>
  <c r="AE59" i="77" s="1"/>
  <c r="CR694" i="12"/>
  <c r="CR689" i="12"/>
  <c r="AM278" i="58" s="1"/>
  <c r="CR680" i="12"/>
  <c r="CR682" i="12" s="1"/>
  <c r="CR679" i="12"/>
  <c r="CR664" i="12"/>
  <c r="CR667" i="12" s="1"/>
  <c r="CR636" i="12"/>
  <c r="CR635" i="12"/>
  <c r="CR627" i="12"/>
  <c r="AD46" i="77" s="1"/>
  <c r="CR625" i="12"/>
  <c r="AM270" i="58" s="1"/>
  <c r="CR623" i="12"/>
  <c r="CR685" i="12" s="1"/>
  <c r="CR618" i="12"/>
  <c r="CR566" i="12"/>
  <c r="CR524" i="12"/>
  <c r="CR519" i="12"/>
  <c r="AM211" i="58" s="1"/>
  <c r="CR510" i="12"/>
  <c r="CR509" i="12"/>
  <c r="CR494" i="12"/>
  <c r="CV495" i="12" s="1"/>
  <c r="CR483" i="12"/>
  <c r="CR484" i="12" s="1"/>
  <c r="CR473" i="12"/>
  <c r="CR472" i="12"/>
  <c r="CR464" i="12"/>
  <c r="AD52" i="77" s="1"/>
  <c r="CR462" i="12"/>
  <c r="CR460" i="12"/>
  <c r="CR515" i="12" s="1"/>
  <c r="CR455" i="12"/>
  <c r="CR413" i="12"/>
  <c r="CR389" i="12"/>
  <c r="CR387" i="12"/>
  <c r="AM108" i="58" s="1"/>
  <c r="CR378" i="12"/>
  <c r="CR377" i="12"/>
  <c r="CR366" i="12"/>
  <c r="CR364" i="12"/>
  <c r="CR363" i="12"/>
  <c r="CR351" i="12"/>
  <c r="CR349" i="12"/>
  <c r="CR348" i="12"/>
  <c r="CR293" i="12"/>
  <c r="CR295" i="12" s="1"/>
  <c r="CR298" i="12" s="1"/>
  <c r="CR276" i="12"/>
  <c r="CR275" i="12"/>
  <c r="CR272" i="12"/>
  <c r="CR270" i="12"/>
  <c r="CR267" i="12"/>
  <c r="CR265" i="12"/>
  <c r="CR263" i="12"/>
  <c r="CR260" i="12"/>
  <c r="CR252" i="12"/>
  <c r="AD40" i="77" s="1"/>
  <c r="CR250" i="12"/>
  <c r="AM551" i="58" s="1"/>
  <c r="CR248" i="12"/>
  <c r="CR242" i="12"/>
  <c r="CR234" i="12"/>
  <c r="CR225" i="12"/>
  <c r="CR224" i="12" s="1"/>
  <c r="CR226" i="12" s="1"/>
  <c r="CR57" i="12"/>
  <c r="CR13" i="12"/>
  <c r="AD17" i="77" s="1"/>
  <c r="CR11" i="12"/>
  <c r="CR10" i="12"/>
  <c r="AD35" i="77" s="1"/>
  <c r="CR9" i="12"/>
  <c r="AD34" i="77" s="1"/>
  <c r="CR8" i="12"/>
  <c r="AD33" i="77" s="1"/>
  <c r="BI140" i="77"/>
  <c r="BI138" i="77"/>
  <c r="AM3" i="58"/>
  <c r="AO3" i="58"/>
  <c r="AP3" i="58"/>
  <c r="AM103" i="58"/>
  <c r="AM107" i="58"/>
  <c r="AM204" i="58"/>
  <c r="AM206" i="58"/>
  <c r="AM210" i="58"/>
  <c r="AM271" i="58"/>
  <c r="AM273" i="58"/>
  <c r="AM277" i="58"/>
  <c r="AM356" i="58"/>
  <c r="AM463" i="58"/>
  <c r="AM485" i="58"/>
  <c r="AM486" i="58"/>
  <c r="AM487" i="58"/>
  <c r="AM492" i="58"/>
  <c r="AN492" i="58"/>
  <c r="AO492" i="58"/>
  <c r="AP492" i="58"/>
  <c r="BK140" i="77"/>
  <c r="BK138" i="77"/>
  <c r="X18" i="77"/>
  <c r="X62" i="77"/>
  <c r="X65" i="77"/>
  <c r="X66" i="77"/>
  <c r="AM66" i="77"/>
  <c r="X67" i="77"/>
  <c r="X68" i="77"/>
  <c r="X70" i="77"/>
  <c r="X71" i="77"/>
  <c r="X72" i="77"/>
  <c r="X73" i="77"/>
  <c r="X75" i="77"/>
  <c r="X76" i="77"/>
  <c r="X77" i="77"/>
  <c r="X78" i="77"/>
  <c r="DJ208" i="33"/>
  <c r="U208" i="33" s="1"/>
  <c r="X227" i="33"/>
  <c r="Y227" i="33" s="1"/>
  <c r="Z227" i="33" s="1"/>
  <c r="AA227" i="33" s="1"/>
  <c r="AB227" i="33" s="1"/>
  <c r="AC227" i="33" s="1"/>
  <c r="AD227" i="33" s="1"/>
  <c r="U576" i="12"/>
  <c r="T576" i="12"/>
  <c r="S576" i="12"/>
  <c r="R576" i="12"/>
  <c r="Q576" i="12"/>
  <c r="P576" i="12"/>
  <c r="U592" i="12"/>
  <c r="T592" i="12"/>
  <c r="S592" i="12"/>
  <c r="R592" i="12"/>
  <c r="Q592" i="12"/>
  <c r="P592" i="12"/>
  <c r="U580" i="12"/>
  <c r="U613" i="12"/>
  <c r="P422" i="12"/>
  <c r="Q422" i="12"/>
  <c r="R422" i="12"/>
  <c r="S422" i="12"/>
  <c r="T422" i="12"/>
  <c r="U422" i="12"/>
  <c r="CQ137" i="14"/>
  <c r="T297" i="90"/>
  <c r="CQ295" i="90"/>
  <c r="R4" i="90"/>
  <c r="S4" i="90"/>
  <c r="T4" i="90"/>
  <c r="U4" i="90"/>
  <c r="V4" i="90"/>
  <c r="W4" i="90"/>
  <c r="X4" i="90"/>
  <c r="Y4" i="90"/>
  <c r="Z4" i="90"/>
  <c r="R6" i="15"/>
  <c r="R117" i="15" s="1"/>
  <c r="S6" i="15"/>
  <c r="S109" i="15" s="1"/>
  <c r="T6" i="15"/>
  <c r="T109" i="15" s="1"/>
  <c r="U6" i="15"/>
  <c r="U109" i="15" s="1"/>
  <c r="V6" i="15"/>
  <c r="V109" i="15" s="1"/>
  <c r="W6" i="15"/>
  <c r="W109" i="15" s="1"/>
  <c r="X6" i="15"/>
  <c r="X109" i="15" s="1"/>
  <c r="Y6" i="15"/>
  <c r="Y109" i="15" s="1"/>
  <c r="Z6" i="15"/>
  <c r="Z109" i="15" s="1"/>
  <c r="R6" i="14"/>
  <c r="S6" i="14"/>
  <c r="T6" i="14"/>
  <c r="U6" i="14"/>
  <c r="V6" i="14"/>
  <c r="W6" i="14"/>
  <c r="X6" i="14"/>
  <c r="Y6" i="14"/>
  <c r="Z6" i="14"/>
  <c r="R6" i="12"/>
  <c r="S6" i="12"/>
  <c r="T6" i="12"/>
  <c r="T524" i="12" s="1"/>
  <c r="U6" i="12"/>
  <c r="V6" i="12"/>
  <c r="V389" i="12" s="1"/>
  <c r="W6" i="12"/>
  <c r="X6" i="12"/>
  <c r="X389" i="12" s="1"/>
  <c r="Y6" i="12"/>
  <c r="Z6" i="12"/>
  <c r="CQ294" i="90"/>
  <c r="S296" i="90"/>
  <c r="T294" i="90" s="1"/>
  <c r="T295" i="90" s="1"/>
  <c r="R296" i="90"/>
  <c r="Q296" i="90"/>
  <c r="R294" i="90" s="1"/>
  <c r="P296" i="90"/>
  <c r="O296" i="90"/>
  <c r="P294" i="90" s="1"/>
  <c r="U295" i="90"/>
  <c r="Q294" i="90"/>
  <c r="CQ270" i="90"/>
  <c r="CQ272" i="90" s="1"/>
  <c r="CQ362" i="90" s="1"/>
  <c r="CQ164" i="14"/>
  <c r="CQ166" i="14" s="1"/>
  <c r="CQ168" i="14" s="1"/>
  <c r="CQ45" i="14"/>
  <c r="CQ46" i="14" s="1"/>
  <c r="CQ59" i="14" s="1"/>
  <c r="CQ27" i="14"/>
  <c r="CQ14" i="14"/>
  <c r="CQ219" i="14"/>
  <c r="CQ201" i="14"/>
  <c r="CQ113" i="14"/>
  <c r="CQ107" i="14"/>
  <c r="CQ100" i="14"/>
  <c r="CQ99" i="14"/>
  <c r="CQ97" i="14"/>
  <c r="CQ31" i="14"/>
  <c r="CQ368" i="90"/>
  <c r="CQ313" i="90"/>
  <c r="CQ304" i="90"/>
  <c r="CQ301" i="90" s="1"/>
  <c r="CQ230" i="90"/>
  <c r="CR228" i="90" s="1"/>
  <c r="CQ128" i="90"/>
  <c r="CQ59" i="15"/>
  <c r="CQ64" i="15" s="1"/>
  <c r="CQ21" i="15"/>
  <c r="CQ174" i="15"/>
  <c r="CQ106" i="15"/>
  <c r="CQ87" i="15"/>
  <c r="CQ86" i="15"/>
  <c r="CQ85" i="15"/>
  <c r="CQ91" i="15" s="1"/>
  <c r="CQ84" i="15"/>
  <c r="CQ75" i="15"/>
  <c r="CQ95" i="15"/>
  <c r="CQ43" i="15"/>
  <c r="DI85" i="33"/>
  <c r="DI26" i="33"/>
  <c r="DI31" i="33"/>
  <c r="DI45" i="33"/>
  <c r="DN149" i="33" s="1"/>
  <c r="DI238" i="33"/>
  <c r="DI239" i="33" s="1"/>
  <c r="DI233" i="33"/>
  <c r="DI192" i="33"/>
  <c r="DI184" i="33"/>
  <c r="DI183" i="33"/>
  <c r="DI182" i="33"/>
  <c r="DI173" i="33"/>
  <c r="DI126" i="33"/>
  <c r="DI125" i="33"/>
  <c r="DI96" i="33"/>
  <c r="DI84" i="33"/>
  <c r="DI33" i="33"/>
  <c r="DI24" i="33"/>
  <c r="AC20" i="77" s="1"/>
  <c r="CQ481" i="12"/>
  <c r="CQ483" i="12" s="1"/>
  <c r="CQ484" i="12" s="1"/>
  <c r="CQ799" i="12"/>
  <c r="CR799" i="12" s="1"/>
  <c r="CS799" i="12" s="1"/>
  <c r="CQ825" i="12"/>
  <c r="AC83" i="77" s="1"/>
  <c r="CQ793" i="12"/>
  <c r="CQ792" i="12"/>
  <c r="CQ754" i="12"/>
  <c r="CQ697" i="12"/>
  <c r="AC82" i="77" s="1"/>
  <c r="CQ695" i="12"/>
  <c r="AC81" i="77" s="1"/>
  <c r="CQ694" i="12"/>
  <c r="CQ689" i="12"/>
  <c r="CQ680" i="12"/>
  <c r="CQ682" i="12" s="1"/>
  <c r="CQ679" i="12"/>
  <c r="CQ664" i="12"/>
  <c r="CQ655" i="12"/>
  <c r="CQ650" i="12"/>
  <c r="CQ636" i="12"/>
  <c r="CQ635" i="12"/>
  <c r="CQ627" i="12"/>
  <c r="CQ625" i="12"/>
  <c r="AL270" i="58" s="1"/>
  <c r="CQ623" i="12"/>
  <c r="CQ685" i="12"/>
  <c r="CQ618" i="12"/>
  <c r="CQ617" i="12" s="1"/>
  <c r="CQ566" i="12"/>
  <c r="CQ524" i="12"/>
  <c r="CQ519" i="12"/>
  <c r="AL211" i="58" s="1"/>
  <c r="AM212" i="58" s="1"/>
  <c r="CQ510" i="12"/>
  <c r="CQ509" i="12"/>
  <c r="CQ494" i="12"/>
  <c r="CQ497" i="12"/>
  <c r="CQ473" i="12"/>
  <c r="CQ472" i="12"/>
  <c r="CQ464" i="12"/>
  <c r="AC52" i="77" s="1"/>
  <c r="CQ462" i="12"/>
  <c r="CQ460" i="12"/>
  <c r="CQ515" i="12" s="1"/>
  <c r="CQ455" i="12"/>
  <c r="CQ454" i="12" s="1"/>
  <c r="CQ456" i="12" s="1"/>
  <c r="CQ413" i="12"/>
  <c r="CQ389" i="12"/>
  <c r="CQ387" i="12"/>
  <c r="AL108" i="58" s="1"/>
  <c r="CQ378" i="12"/>
  <c r="CQ377" i="12"/>
  <c r="CQ366" i="12"/>
  <c r="CQ364" i="12"/>
  <c r="CQ363" i="12"/>
  <c r="CQ351" i="12"/>
  <c r="CQ349" i="12"/>
  <c r="CQ348" i="12"/>
  <c r="CQ293" i="12"/>
  <c r="CQ295" i="12" s="1"/>
  <c r="CQ276" i="12"/>
  <c r="CQ275" i="12"/>
  <c r="CQ272" i="12"/>
  <c r="CQ270" i="12"/>
  <c r="CQ267" i="12"/>
  <c r="CQ265" i="12"/>
  <c r="CQ263" i="12"/>
  <c r="CQ260" i="12"/>
  <c r="CQ252" i="12"/>
  <c r="AC40" i="77" s="1"/>
  <c r="CQ250" i="12"/>
  <c r="CQ248" i="12"/>
  <c r="CQ383" i="12"/>
  <c r="CQ242" i="12"/>
  <c r="CQ234" i="12"/>
  <c r="CQ225" i="12"/>
  <c r="CQ224" i="12"/>
  <c r="CQ226" i="12" s="1"/>
  <c r="CQ57" i="12"/>
  <c r="CQ13" i="12"/>
  <c r="DI14" i="33" s="1"/>
  <c r="CQ11" i="12"/>
  <c r="AC36" i="77" s="1"/>
  <c r="CQ10" i="12"/>
  <c r="CQ9" i="12"/>
  <c r="AC34" i="77" s="1"/>
  <c r="CQ8" i="12"/>
  <c r="AC33" i="77" s="1"/>
  <c r="DG33" i="33"/>
  <c r="AX96" i="77"/>
  <c r="AX93" i="77"/>
  <c r="BI158" i="77"/>
  <c r="BI156" i="77"/>
  <c r="BK158" i="77"/>
  <c r="BK156" i="77"/>
  <c r="BC96" i="77"/>
  <c r="BC93" i="77"/>
  <c r="W18" i="77"/>
  <c r="W62" i="77"/>
  <c r="W65" i="77"/>
  <c r="W66" i="77"/>
  <c r="X41" i="77" s="1"/>
  <c r="W67" i="77"/>
  <c r="W68" i="77"/>
  <c r="W70" i="77"/>
  <c r="W71" i="77"/>
  <c r="W72" i="77"/>
  <c r="W73" i="77"/>
  <c r="W75" i="77"/>
  <c r="W76" i="77"/>
  <c r="W77" i="77"/>
  <c r="W78" i="77"/>
  <c r="T223" i="90"/>
  <c r="CR145" i="14"/>
  <c r="CR224" i="90" s="1"/>
  <c r="CR225" i="90" s="1"/>
  <c r="CR357" i="90" s="1"/>
  <c r="CO655" i="12"/>
  <c r="CP655" i="12"/>
  <c r="CN655" i="12"/>
  <c r="T225" i="90"/>
  <c r="E27" i="91"/>
  <c r="F27" i="91"/>
  <c r="G27" i="91"/>
  <c r="H27" i="91"/>
  <c r="I27" i="91"/>
  <c r="J27" i="91"/>
  <c r="K27" i="91"/>
  <c r="L27" i="91"/>
  <c r="M27" i="91"/>
  <c r="D27" i="91"/>
  <c r="Z41" i="15"/>
  <c r="Z85" i="15" s="1"/>
  <c r="Z91" i="15" s="1"/>
  <c r="Y41" i="15"/>
  <c r="Y85" i="15" s="1"/>
  <c r="Y91" i="15" s="1"/>
  <c r="X41" i="15"/>
  <c r="X85" i="15" s="1"/>
  <c r="X91" i="15" s="1"/>
  <c r="DF33" i="33"/>
  <c r="DH33" i="33"/>
  <c r="DH125" i="33"/>
  <c r="DF126" i="33"/>
  <c r="DG126" i="33"/>
  <c r="DH126" i="33"/>
  <c r="DG125" i="33"/>
  <c r="DF125" i="33"/>
  <c r="CO650" i="12"/>
  <c r="CO647" i="12" s="1"/>
  <c r="CN650" i="12"/>
  <c r="P59" i="91"/>
  <c r="O59" i="91"/>
  <c r="N59" i="91"/>
  <c r="P58" i="91"/>
  <c r="O58" i="91"/>
  <c r="N58" i="91"/>
  <c r="CR138" i="14"/>
  <c r="CR141" i="14"/>
  <c r="P15" i="91"/>
  <c r="O15" i="91"/>
  <c r="N15" i="91"/>
  <c r="P14" i="91"/>
  <c r="O14" i="91"/>
  <c r="O16" i="91" s="1"/>
  <c r="N14" i="91"/>
  <c r="P12" i="91"/>
  <c r="O12" i="91"/>
  <c r="N12" i="91"/>
  <c r="P9" i="91"/>
  <c r="O9" i="91"/>
  <c r="N9" i="91"/>
  <c r="S18" i="91"/>
  <c r="R18" i="91"/>
  <c r="E18" i="91"/>
  <c r="F18" i="91"/>
  <c r="G18" i="91"/>
  <c r="H18" i="91"/>
  <c r="I18" i="91"/>
  <c r="J18" i="91"/>
  <c r="K18" i="91"/>
  <c r="L18" i="91"/>
  <c r="M18" i="91"/>
  <c r="D18" i="91"/>
  <c r="U16" i="91"/>
  <c r="U17" i="91" s="1"/>
  <c r="U18" i="91" s="1"/>
  <c r="V16" i="91"/>
  <c r="V17" i="91" s="1"/>
  <c r="V18" i="91" s="1"/>
  <c r="W16" i="91"/>
  <c r="W17" i="91" s="1"/>
  <c r="W18" i="91" s="1"/>
  <c r="X16" i="91"/>
  <c r="X17" i="91"/>
  <c r="X18" i="91"/>
  <c r="Y16" i="91"/>
  <c r="Y17" i="91"/>
  <c r="Y18" i="91"/>
  <c r="Z16" i="91"/>
  <c r="Z17" i="91" s="1"/>
  <c r="Z18" i="91" s="1"/>
  <c r="AA16" i="91"/>
  <c r="AA17" i="91"/>
  <c r="AA18" i="91" s="1"/>
  <c r="AB16" i="91"/>
  <c r="AB17" i="91"/>
  <c r="AB18" i="91" s="1"/>
  <c r="AC16" i="91"/>
  <c r="AC17" i="91" s="1"/>
  <c r="AC18" i="91" s="1"/>
  <c r="T16" i="91"/>
  <c r="T17" i="91" s="1"/>
  <c r="T18" i="91" s="1"/>
  <c r="U13" i="91"/>
  <c r="V13" i="91"/>
  <c r="W13" i="91"/>
  <c r="X13" i="91"/>
  <c r="Y13" i="91"/>
  <c r="Z13" i="91"/>
  <c r="AA13" i="91"/>
  <c r="AB13" i="91"/>
  <c r="AC13" i="91"/>
  <c r="T13" i="91"/>
  <c r="AC10" i="91"/>
  <c r="X10" i="91"/>
  <c r="Y10" i="91"/>
  <c r="Z10" i="91"/>
  <c r="AA10" i="91"/>
  <c r="AB10" i="91"/>
  <c r="V10" i="91"/>
  <c r="W10" i="91"/>
  <c r="U10" i="91"/>
  <c r="T10" i="91"/>
  <c r="CP650" i="12"/>
  <c r="CP313" i="90"/>
  <c r="CR370" i="90"/>
  <c r="S272" i="90"/>
  <c r="T270" i="90"/>
  <c r="R272" i="90"/>
  <c r="S270" i="90" s="1"/>
  <c r="S271" i="90" s="1"/>
  <c r="Q272" i="90"/>
  <c r="R270" i="90" s="1"/>
  <c r="R271" i="90" s="1"/>
  <c r="P272" i="90"/>
  <c r="Q270" i="90" s="1"/>
  <c r="O272" i="90"/>
  <c r="P270" i="90"/>
  <c r="P271" i="90" s="1"/>
  <c r="U271" i="90"/>
  <c r="CP166" i="14"/>
  <c r="T46" i="15"/>
  <c r="CQ7" i="90"/>
  <c r="CQ9" i="90" s="1"/>
  <c r="CQ11" i="90" s="1"/>
  <c r="U259" i="90"/>
  <c r="U253" i="90"/>
  <c r="U247" i="90"/>
  <c r="U214" i="90"/>
  <c r="U204" i="90"/>
  <c r="U199" i="90"/>
  <c r="X199" i="90"/>
  <c r="Y199" i="90" s="1"/>
  <c r="Z199" i="90" s="1"/>
  <c r="AA199" i="90" s="1"/>
  <c r="U194" i="90"/>
  <c r="U174" i="90"/>
  <c r="U169" i="90"/>
  <c r="U149" i="90"/>
  <c r="U315" i="90"/>
  <c r="U304" i="90"/>
  <c r="U69" i="90"/>
  <c r="U20" i="90"/>
  <c r="U21" i="90" s="1"/>
  <c r="U224" i="14"/>
  <c r="U223" i="14"/>
  <c r="U214" i="14"/>
  <c r="U213" i="14"/>
  <c r="U208" i="14"/>
  <c r="U207" i="14"/>
  <c r="U101" i="14"/>
  <c r="T101" i="14"/>
  <c r="U61" i="14"/>
  <c r="U57" i="14"/>
  <c r="U54" i="14"/>
  <c r="U53" i="14"/>
  <c r="U52" i="14"/>
  <c r="U51" i="14"/>
  <c r="U50" i="14"/>
  <c r="U26" i="14"/>
  <c r="CU4" i="90"/>
  <c r="CT4" i="90"/>
  <c r="CS4" i="90"/>
  <c r="CR4" i="90"/>
  <c r="CR3" i="90"/>
  <c r="CR128" i="90"/>
  <c r="CS128" i="90"/>
  <c r="CT128" i="90"/>
  <c r="CT229" i="90"/>
  <c r="CR304" i="90"/>
  <c r="CR301" i="90" s="1"/>
  <c r="CT304" i="90"/>
  <c r="CT301" i="90" s="1"/>
  <c r="CU6" i="14"/>
  <c r="CT6" i="14"/>
  <c r="CS6" i="14"/>
  <c r="CR6" i="14"/>
  <c r="CR5" i="14"/>
  <c r="T130" i="90"/>
  <c r="U128" i="90" s="1"/>
  <c r="U130" i="90" s="1"/>
  <c r="V128" i="90" s="1"/>
  <c r="V130" i="90" s="1"/>
  <c r="W128" i="90" s="1"/>
  <c r="W130" i="90" s="1"/>
  <c r="X128" i="90" s="1"/>
  <c r="X130" i="90" s="1"/>
  <c r="X346" i="90" s="1"/>
  <c r="S130" i="90"/>
  <c r="T128" i="90" s="1"/>
  <c r="R130" i="90"/>
  <c r="S128" i="90" s="1"/>
  <c r="Q130" i="90"/>
  <c r="R128" i="90" s="1"/>
  <c r="R129" i="90" s="1"/>
  <c r="AF3" i="90"/>
  <c r="AJ3" i="90"/>
  <c r="AN3" i="90"/>
  <c r="AR3" i="90"/>
  <c r="AV3" i="90"/>
  <c r="AZ3" i="90"/>
  <c r="BD3" i="90"/>
  <c r="BH3" i="90"/>
  <c r="BL3" i="90"/>
  <c r="BP3" i="90"/>
  <c r="BT3" i="90"/>
  <c r="BX3" i="90"/>
  <c r="CB3" i="90"/>
  <c r="CF3" i="90"/>
  <c r="CJ3" i="90"/>
  <c r="CN3" i="90"/>
  <c r="AF4" i="90"/>
  <c r="AG4" i="90"/>
  <c r="AH4" i="90"/>
  <c r="AI4" i="90"/>
  <c r="AJ4" i="90"/>
  <c r="AK4" i="90"/>
  <c r="AL4" i="90"/>
  <c r="AM4" i="90"/>
  <c r="AN4" i="90"/>
  <c r="AO4" i="90"/>
  <c r="AP4" i="90"/>
  <c r="AQ4" i="90"/>
  <c r="AR4" i="90"/>
  <c r="AS4" i="90"/>
  <c r="AT4" i="90"/>
  <c r="AU4" i="90"/>
  <c r="AV4" i="90"/>
  <c r="AW4" i="90"/>
  <c r="AX4" i="90"/>
  <c r="AY4" i="90"/>
  <c r="AZ4" i="90"/>
  <c r="BA4" i="90"/>
  <c r="BB4" i="90"/>
  <c r="BC4" i="90"/>
  <c r="BD4" i="90"/>
  <c r="BE4" i="90"/>
  <c r="BF4" i="90"/>
  <c r="BG4" i="90"/>
  <c r="BH4" i="90"/>
  <c r="BI4" i="90"/>
  <c r="BJ4" i="90"/>
  <c r="BK4" i="90"/>
  <c r="BL4" i="90"/>
  <c r="BM4" i="90"/>
  <c r="BN4" i="90"/>
  <c r="BO4" i="90"/>
  <c r="BP4" i="90"/>
  <c r="BQ4" i="90"/>
  <c r="BR4" i="90"/>
  <c r="BS4" i="90"/>
  <c r="BT4" i="90"/>
  <c r="BU4" i="90"/>
  <c r="BV4" i="90"/>
  <c r="BW4" i="90"/>
  <c r="BX4" i="90"/>
  <c r="BY4" i="90"/>
  <c r="BZ4" i="90"/>
  <c r="CA4" i="90"/>
  <c r="CB4" i="90"/>
  <c r="CC4" i="90"/>
  <c r="CD4" i="90"/>
  <c r="CE4" i="90"/>
  <c r="CF4" i="90"/>
  <c r="CG4" i="90"/>
  <c r="CH4" i="90"/>
  <c r="CI4" i="90"/>
  <c r="CJ4" i="90"/>
  <c r="CK4" i="90"/>
  <c r="CL4" i="90"/>
  <c r="CM4" i="90"/>
  <c r="CN4" i="90"/>
  <c r="CO4" i="90"/>
  <c r="CP4" i="90"/>
  <c r="CQ4" i="90"/>
  <c r="D4" i="90"/>
  <c r="E4" i="90"/>
  <c r="F4" i="90"/>
  <c r="G4" i="90"/>
  <c r="H4" i="90"/>
  <c r="I4" i="90"/>
  <c r="N4" i="90"/>
  <c r="O4" i="90"/>
  <c r="P4" i="90"/>
  <c r="Q4" i="90"/>
  <c r="CI370" i="90"/>
  <c r="CH370" i="90"/>
  <c r="CG370" i="90"/>
  <c r="CF370" i="90"/>
  <c r="CE370" i="90"/>
  <c r="CD370" i="90"/>
  <c r="CC370" i="90"/>
  <c r="CB370" i="90"/>
  <c r="CA370" i="90"/>
  <c r="BZ370" i="90"/>
  <c r="BY370" i="90"/>
  <c r="BX370" i="90"/>
  <c r="BW370" i="90"/>
  <c r="BV370" i="90"/>
  <c r="BU370" i="90"/>
  <c r="BT370" i="90"/>
  <c r="BS370" i="90"/>
  <c r="BR370" i="90"/>
  <c r="BQ370" i="90"/>
  <c r="BP370" i="90"/>
  <c r="BO370" i="90"/>
  <c r="BN370" i="90"/>
  <c r="BM370" i="90"/>
  <c r="BL370" i="90"/>
  <c r="BK370" i="90"/>
  <c r="BJ370" i="90"/>
  <c r="BI370" i="90"/>
  <c r="BH370" i="90"/>
  <c r="BG370" i="90"/>
  <c r="BF370" i="90"/>
  <c r="BE370" i="90"/>
  <c r="BD370" i="90"/>
  <c r="BC370" i="90"/>
  <c r="BB370" i="90"/>
  <c r="BA370" i="90"/>
  <c r="AZ370" i="90"/>
  <c r="AY370" i="90"/>
  <c r="AX370" i="90"/>
  <c r="AW370" i="90"/>
  <c r="AV370" i="90"/>
  <c r="AU370" i="90"/>
  <c r="AT370" i="90"/>
  <c r="AS370" i="90"/>
  <c r="AR370" i="90"/>
  <c r="AQ370" i="90"/>
  <c r="AP370" i="90"/>
  <c r="AO370" i="90"/>
  <c r="AN370" i="90"/>
  <c r="AM370" i="90"/>
  <c r="AL370" i="90"/>
  <c r="AK370" i="90"/>
  <c r="AJ370" i="90"/>
  <c r="AI370" i="90"/>
  <c r="AH370" i="90"/>
  <c r="AG370" i="90"/>
  <c r="AF370" i="90"/>
  <c r="CP368" i="90"/>
  <c r="CO368" i="90"/>
  <c r="CN368" i="90"/>
  <c r="CM368" i="90"/>
  <c r="CL368" i="90"/>
  <c r="CK368" i="90"/>
  <c r="CJ368" i="90"/>
  <c r="CI368" i="90"/>
  <c r="CH368" i="90"/>
  <c r="CG368" i="90"/>
  <c r="CF368" i="90"/>
  <c r="CE368" i="90"/>
  <c r="CD368" i="90"/>
  <c r="CC368" i="90"/>
  <c r="CB368" i="90"/>
  <c r="CA368" i="90"/>
  <c r="BZ368" i="90"/>
  <c r="BY368" i="90"/>
  <c r="BX368" i="90"/>
  <c r="BW368" i="90"/>
  <c r="BV368" i="90"/>
  <c r="BU368" i="90"/>
  <c r="BT368" i="90"/>
  <c r="BS368" i="90"/>
  <c r="BR368" i="90"/>
  <c r="BQ368" i="90"/>
  <c r="BP368" i="90"/>
  <c r="BO368" i="90"/>
  <c r="BN368" i="90"/>
  <c r="BM368" i="90"/>
  <c r="BL368" i="90"/>
  <c r="BK368" i="90"/>
  <c r="BJ368" i="90"/>
  <c r="BI368" i="90"/>
  <c r="BH368" i="90"/>
  <c r="BG368" i="90"/>
  <c r="BF368" i="90"/>
  <c r="BE368" i="90"/>
  <c r="BD368" i="90"/>
  <c r="BC368" i="90"/>
  <c r="BB368" i="90"/>
  <c r="BA368" i="90"/>
  <c r="AZ368" i="90"/>
  <c r="AY368" i="90"/>
  <c r="AX368" i="90"/>
  <c r="AW368" i="90"/>
  <c r="AV368" i="90"/>
  <c r="AU368" i="90"/>
  <c r="AT368" i="90"/>
  <c r="AS368" i="90"/>
  <c r="AR368" i="90"/>
  <c r="AQ368" i="90"/>
  <c r="AP368" i="90"/>
  <c r="AO368" i="90"/>
  <c r="AN368" i="90"/>
  <c r="AM368" i="90"/>
  <c r="AL368" i="90"/>
  <c r="AK368" i="90"/>
  <c r="AJ368" i="90"/>
  <c r="AH368" i="90"/>
  <c r="AG368" i="90"/>
  <c r="B359" i="90"/>
  <c r="B358" i="90"/>
  <c r="CM346" i="90"/>
  <c r="CL346" i="90"/>
  <c r="CK346" i="90"/>
  <c r="CJ346" i="90"/>
  <c r="CI346" i="90"/>
  <c r="CH346" i="90"/>
  <c r="CG346" i="90"/>
  <c r="CF346" i="90"/>
  <c r="CE346" i="90"/>
  <c r="CD346" i="90"/>
  <c r="CC346" i="90"/>
  <c r="CB346" i="90"/>
  <c r="CA346" i="90"/>
  <c r="BZ346" i="90"/>
  <c r="CE339" i="90"/>
  <c r="CE337" i="90"/>
  <c r="CE334" i="90"/>
  <c r="CE332" i="90"/>
  <c r="CE330" i="90"/>
  <c r="CE328" i="90"/>
  <c r="Z325" i="90"/>
  <c r="Y325" i="90"/>
  <c r="CA324" i="90"/>
  <c r="BZ324" i="90"/>
  <c r="Z321" i="90"/>
  <c r="Y321" i="90"/>
  <c r="X321" i="90"/>
  <c r="CB316" i="90"/>
  <c r="CA316" i="90"/>
  <c r="BZ316" i="90"/>
  <c r="Z315" i="90"/>
  <c r="Y315" i="90"/>
  <c r="X315" i="90"/>
  <c r="T315" i="90"/>
  <c r="S315" i="90"/>
  <c r="R315" i="90"/>
  <c r="Q315" i="90"/>
  <c r="P315" i="90"/>
  <c r="N315" i="90"/>
  <c r="CO313" i="90"/>
  <c r="CN313" i="90"/>
  <c r="CM313" i="90"/>
  <c r="CD26" i="48" s="1"/>
  <c r="CL313" i="90"/>
  <c r="CL372" i="90" s="1"/>
  <c r="CK313" i="90"/>
  <c r="CB26" i="48" s="1"/>
  <c r="CJ313" i="90"/>
  <c r="CA26" i="48" s="1"/>
  <c r="CI313" i="90"/>
  <c r="BZ26" i="48" s="1"/>
  <c r="CH313" i="90"/>
  <c r="BY26" i="48" s="1"/>
  <c r="CG313" i="90"/>
  <c r="BX26" i="48" s="1"/>
  <c r="CF313" i="90"/>
  <c r="BW26" i="48" s="1"/>
  <c r="CE313" i="90"/>
  <c r="BV26" i="48" s="1"/>
  <c r="CD313" i="90"/>
  <c r="CC313" i="90"/>
  <c r="BT26" i="48" s="1"/>
  <c r="CB313" i="90"/>
  <c r="CA313" i="90"/>
  <c r="BR26" i="48" s="1"/>
  <c r="BZ313" i="90"/>
  <c r="BQ26" i="48" s="1"/>
  <c r="BY313" i="90"/>
  <c r="BX313" i="90"/>
  <c r="BO26" i="48" s="1"/>
  <c r="BW313" i="90"/>
  <c r="BN26" i="48" s="1"/>
  <c r="BV313" i="90"/>
  <c r="BM26" i="48" s="1"/>
  <c r="BU313" i="90"/>
  <c r="BT313" i="90"/>
  <c r="BS313" i="90"/>
  <c r="BS372" i="90" s="1"/>
  <c r="BS80" i="15" s="1"/>
  <c r="BR313" i="90"/>
  <c r="BI26" i="48" s="1"/>
  <c r="BQ313" i="90"/>
  <c r="BH26" i="48" s="1"/>
  <c r="BP313" i="90"/>
  <c r="BO313" i="90"/>
  <c r="BF26" i="48" s="1"/>
  <c r="BN313" i="90"/>
  <c r="BM313" i="90"/>
  <c r="BL313" i="90"/>
  <c r="BC26" i="48" s="1"/>
  <c r="BK313" i="90"/>
  <c r="BK372" i="90" s="1"/>
  <c r="BJ313" i="90"/>
  <c r="BI313" i="90"/>
  <c r="BH313" i="90"/>
  <c r="BG313" i="90"/>
  <c r="BG372" i="90" s="1"/>
  <c r="BF313" i="90"/>
  <c r="BE313" i="90"/>
  <c r="BD313" i="90"/>
  <c r="BC313" i="90"/>
  <c r="BC372" i="90" s="1"/>
  <c r="BC80" i="15" s="1"/>
  <c r="BB313" i="90"/>
  <c r="BA313" i="90"/>
  <c r="AZ313" i="90"/>
  <c r="AY313" i="90"/>
  <c r="AY372" i="90" s="1"/>
  <c r="AY80" i="15" s="1"/>
  <c r="AX313" i="90"/>
  <c r="AW313" i="90"/>
  <c r="AV313" i="90"/>
  <c r="AU313" i="90"/>
  <c r="AU372" i="90" s="1"/>
  <c r="AT313" i="90"/>
  <c r="AT372" i="90" s="1"/>
  <c r="AT96" i="15" s="1"/>
  <c r="AS313" i="90"/>
  <c r="AR313" i="90"/>
  <c r="AQ313" i="90"/>
  <c r="AQ372" i="90" s="1"/>
  <c r="AP313" i="90"/>
  <c r="AP372" i="90" s="1"/>
  <c r="AP80" i="15" s="1"/>
  <c r="AO313" i="90"/>
  <c r="AN313" i="90"/>
  <c r="AM313" i="90"/>
  <c r="AM372" i="90" s="1"/>
  <c r="AL313" i="90"/>
  <c r="AL372" i="90" s="1"/>
  <c r="AL96" i="15" s="1"/>
  <c r="AK313" i="90"/>
  <c r="AJ313" i="90"/>
  <c r="AH313" i="90"/>
  <c r="AH372" i="90" s="1"/>
  <c r="AH80" i="15" s="1"/>
  <c r="AG313" i="90"/>
  <c r="AG372" i="90" s="1"/>
  <c r="BY312" i="90"/>
  <c r="BX312" i="90"/>
  <c r="BU312" i="90"/>
  <c r="BQ312" i="90"/>
  <c r="BR312" i="90" s="1"/>
  <c r="M312" i="90"/>
  <c r="L312" i="90"/>
  <c r="L27" i="48" s="1"/>
  <c r="K312" i="90"/>
  <c r="J312" i="90"/>
  <c r="J27" i="48" s="1"/>
  <c r="I312" i="90"/>
  <c r="H312" i="90"/>
  <c r="H27" i="48"/>
  <c r="G312" i="90"/>
  <c r="F312" i="90"/>
  <c r="F27" i="48"/>
  <c r="T307" i="90"/>
  <c r="S307" i="90"/>
  <c r="R307" i="90"/>
  <c r="T306" i="90"/>
  <c r="T304" i="90"/>
  <c r="S306" i="90"/>
  <c r="S304" i="90" s="1"/>
  <c r="R306" i="90"/>
  <c r="R304" i="90"/>
  <c r="T305" i="90"/>
  <c r="S305" i="90"/>
  <c r="R305" i="90"/>
  <c r="CP304" i="90"/>
  <c r="CP301" i="90" s="1"/>
  <c r="CO304" i="90"/>
  <c r="CO301" i="90" s="1"/>
  <c r="CN304" i="90"/>
  <c r="CN301" i="90" s="1"/>
  <c r="CM304" i="90"/>
  <c r="CM301" i="90" s="1"/>
  <c r="CL304" i="90"/>
  <c r="CL301" i="90" s="1"/>
  <c r="CK304" i="90"/>
  <c r="CK301" i="90" s="1"/>
  <c r="CJ304" i="90"/>
  <c r="CJ301" i="90" s="1"/>
  <c r="CI304" i="90"/>
  <c r="CI301" i="90" s="1"/>
  <c r="CH304" i="90"/>
  <c r="CH301" i="90" s="1"/>
  <c r="CG304" i="90"/>
  <c r="CG301" i="90" s="1"/>
  <c r="CF304" i="90"/>
  <c r="CF301" i="90" s="1"/>
  <c r="CE304" i="90"/>
  <c r="CE301" i="90" s="1"/>
  <c r="CD304" i="90"/>
  <c r="CD301" i="90" s="1"/>
  <c r="CC304" i="90"/>
  <c r="CC301" i="90" s="1"/>
  <c r="Z304" i="90"/>
  <c r="Z301" i="90" s="1"/>
  <c r="Y304" i="90"/>
  <c r="Y301" i="90" s="1"/>
  <c r="X304" i="90"/>
  <c r="X301" i="90" s="1"/>
  <c r="Q304" i="90"/>
  <c r="P302" i="90"/>
  <c r="Q300" i="90"/>
  <c r="O302" i="90"/>
  <c r="P300" i="90" s="1"/>
  <c r="CC300" i="90"/>
  <c r="CM266" i="90"/>
  <c r="R266" i="90"/>
  <c r="S264" i="90" s="1"/>
  <c r="Q266" i="90"/>
  <c r="P266" i="90"/>
  <c r="Q264" i="90" s="1"/>
  <c r="O266" i="90"/>
  <c r="P264" i="90" s="1"/>
  <c r="R260" i="90"/>
  <c r="S258" i="90" s="1"/>
  <c r="Q260" i="90"/>
  <c r="R258" i="90" s="1"/>
  <c r="P260" i="90"/>
  <c r="Q258" i="90" s="1"/>
  <c r="O260" i="90"/>
  <c r="P258" i="90" s="1"/>
  <c r="CM258" i="90"/>
  <c r="CM260" i="90" s="1"/>
  <c r="CF254" i="90"/>
  <c r="Q254" i="90"/>
  <c r="R252" i="90" s="1"/>
  <c r="P254" i="90"/>
  <c r="Q252" i="90" s="1"/>
  <c r="Q253" i="90" s="1"/>
  <c r="O254" i="90"/>
  <c r="P252" i="90" s="1"/>
  <c r="CF248" i="90"/>
  <c r="CG246" i="90" s="1"/>
  <c r="CG248" i="90" s="1"/>
  <c r="Q248" i="90"/>
  <c r="R246" i="90" s="1"/>
  <c r="P248" i="90"/>
  <c r="Q246" i="90"/>
  <c r="Q247" i="90" s="1"/>
  <c r="O248" i="90"/>
  <c r="P246" i="90" s="1"/>
  <c r="P242" i="90"/>
  <c r="Q240" i="90" s="1"/>
  <c r="O242" i="90"/>
  <c r="P240" i="90" s="1"/>
  <c r="P241" i="90" s="1"/>
  <c r="CC240" i="90"/>
  <c r="CC242" i="90" s="1"/>
  <c r="CD240" i="90" s="1"/>
  <c r="CD242" i="90" s="1"/>
  <c r="CE240" i="90" s="1"/>
  <c r="CE242" i="90" s="1"/>
  <c r="BU234" i="90"/>
  <c r="BU236" i="90" s="1"/>
  <c r="BV234" i="90" s="1"/>
  <c r="BV236" i="90" s="1"/>
  <c r="BW234" i="90" s="1"/>
  <c r="BW236" i="90" s="1"/>
  <c r="CP230" i="90"/>
  <c r="CO230" i="90"/>
  <c r="CN230" i="90"/>
  <c r="CO228" i="90" s="1"/>
  <c r="CE230" i="90"/>
  <c r="CD230" i="90"/>
  <c r="CE228" i="90" s="1"/>
  <c r="CC230" i="90"/>
  <c r="BW230" i="90"/>
  <c r="BX228" i="90" s="1"/>
  <c r="BV230" i="90"/>
  <c r="BW228" i="90" s="1"/>
  <c r="BU230" i="90"/>
  <c r="BV228" i="90" s="1"/>
  <c r="BT230" i="90"/>
  <c r="BU228" i="90" s="1"/>
  <c r="BS230" i="90"/>
  <c r="BT228" i="90" s="1"/>
  <c r="BR230" i="90"/>
  <c r="BS228" i="90" s="1"/>
  <c r="BQ230" i="90"/>
  <c r="BR228" i="90" s="1"/>
  <c r="CJ227" i="90"/>
  <c r="CJ230" i="90" s="1"/>
  <c r="CI227" i="90"/>
  <c r="CI230" i="90" s="1"/>
  <c r="CH227" i="90"/>
  <c r="CH230" i="90" s="1"/>
  <c r="CG227" i="90"/>
  <c r="CG230" i="90" s="1"/>
  <c r="Q227" i="90"/>
  <c r="BZ220" i="90"/>
  <c r="CA219" i="90" s="1"/>
  <c r="P220" i="90"/>
  <c r="Q218" i="90" s="1"/>
  <c r="M220" i="90"/>
  <c r="N218" i="90" s="1"/>
  <c r="CB219" i="90"/>
  <c r="CB218" i="90"/>
  <c r="BZ218" i="90"/>
  <c r="BY218" i="90"/>
  <c r="BW218" i="90"/>
  <c r="BV218" i="90"/>
  <c r="BV219" i="90" s="1"/>
  <c r="BU218" i="90"/>
  <c r="BU219" i="90" s="1"/>
  <c r="BS218" i="90"/>
  <c r="BR218" i="90"/>
  <c r="BR219" i="90"/>
  <c r="BQ218" i="90"/>
  <c r="BQ219" i="90" s="1"/>
  <c r="BP218" i="90"/>
  <c r="BP219" i="90"/>
  <c r="O215" i="90"/>
  <c r="P213" i="90" s="1"/>
  <c r="M215" i="90"/>
  <c r="J215" i="90"/>
  <c r="K213" i="90" s="1"/>
  <c r="BS214" i="90"/>
  <c r="BR214" i="90"/>
  <c r="BQ214" i="90"/>
  <c r="BP214" i="90"/>
  <c r="L214" i="90"/>
  <c r="K214" i="90"/>
  <c r="BX213" i="90"/>
  <c r="BX215" i="90" s="1"/>
  <c r="BY213" i="90" s="1"/>
  <c r="BY215" i="90" s="1"/>
  <c r="BP213" i="90"/>
  <c r="BP215" i="90"/>
  <c r="BQ213" i="90" s="1"/>
  <c r="BQ215" i="90" s="1"/>
  <c r="BR213" i="90" s="1"/>
  <c r="BR215" i="90" s="1"/>
  <c r="BS213" i="90" s="1"/>
  <c r="L213" i="90"/>
  <c r="L215" i="90"/>
  <c r="M210" i="90"/>
  <c r="N208" i="90" s="1"/>
  <c r="BX209" i="90"/>
  <c r="BS209" i="90"/>
  <c r="BR209" i="90"/>
  <c r="BQ209" i="90"/>
  <c r="BP209" i="90"/>
  <c r="BP208" i="90"/>
  <c r="N205" i="90"/>
  <c r="M205" i="90"/>
  <c r="J205" i="90"/>
  <c r="K203" i="90" s="1"/>
  <c r="K205" i="90" s="1"/>
  <c r="L204" i="90"/>
  <c r="K204" i="90"/>
  <c r="BW203" i="90"/>
  <c r="BW205" i="90"/>
  <c r="BX203" i="90" s="1"/>
  <c r="BX205" i="90" s="1"/>
  <c r="BY203" i="90" s="1"/>
  <c r="BY205" i="90" s="1"/>
  <c r="N203" i="90"/>
  <c r="L203" i="90"/>
  <c r="L205" i="90" s="1"/>
  <c r="N200" i="90"/>
  <c r="O198" i="90" s="1"/>
  <c r="M200" i="90"/>
  <c r="J200" i="90"/>
  <c r="K198" i="90" s="1"/>
  <c r="L199" i="90"/>
  <c r="K199" i="90"/>
  <c r="BT198" i="90"/>
  <c r="BT200" i="90" s="1"/>
  <c r="BU198" i="90" s="1"/>
  <c r="BU200" i="90" s="1"/>
  <c r="BV198" i="90" s="1"/>
  <c r="BV200" i="90" s="1"/>
  <c r="BW198" i="90" s="1"/>
  <c r="BW200" i="90" s="1"/>
  <c r="BX198" i="90" s="1"/>
  <c r="BX200" i="90" s="1"/>
  <c r="BY198" i="90" s="1"/>
  <c r="BY200" i="90" s="1"/>
  <c r="BZ198" i="90" s="1"/>
  <c r="BS198" i="90"/>
  <c r="BS199" i="90"/>
  <c r="N198" i="90"/>
  <c r="L198" i="90"/>
  <c r="L200" i="90" s="1"/>
  <c r="N195" i="90"/>
  <c r="O193" i="90" s="1"/>
  <c r="M195" i="90"/>
  <c r="J195" i="90"/>
  <c r="K193" i="90"/>
  <c r="K195" i="90" s="1"/>
  <c r="L194" i="90"/>
  <c r="K194" i="90"/>
  <c r="BW193" i="90"/>
  <c r="BW195" i="90"/>
  <c r="N193" i="90"/>
  <c r="N194" i="90" s="1"/>
  <c r="L193" i="90"/>
  <c r="Q190" i="90"/>
  <c r="R188" i="90" s="1"/>
  <c r="P190" i="90"/>
  <c r="O190" i="90"/>
  <c r="P188" i="90" s="1"/>
  <c r="N190" i="90"/>
  <c r="M190" i="90"/>
  <c r="CF189" i="90"/>
  <c r="CG189" i="90" s="1"/>
  <c r="CH189" i="90" s="1"/>
  <c r="CI189" i="90" s="1"/>
  <c r="CJ189" i="90" s="1"/>
  <c r="CK189" i="90" s="1"/>
  <c r="CL189" i="90" s="1"/>
  <c r="CM189" i="90" s="1"/>
  <c r="CN189" i="90" s="1"/>
  <c r="CO189" i="90" s="1"/>
  <c r="CP189" i="90" s="1"/>
  <c r="CQ189" i="90" s="1"/>
  <c r="CR189" i="90" s="1"/>
  <c r="CF188" i="90"/>
  <c r="N188" i="90"/>
  <c r="N185" i="90"/>
  <c r="M185" i="90"/>
  <c r="J185" i="90"/>
  <c r="K183" i="90" s="1"/>
  <c r="BX184" i="90"/>
  <c r="BY184" i="90" s="1"/>
  <c r="BZ184" i="90" s="1"/>
  <c r="CA184" i="90" s="1"/>
  <c r="CB184" i="90" s="1"/>
  <c r="CC184" i="90" s="1"/>
  <c r="CD184" i="90" s="1"/>
  <c r="L184" i="90"/>
  <c r="K184" i="90"/>
  <c r="BT183" i="90"/>
  <c r="BT185" i="90" s="1"/>
  <c r="BU183" i="90" s="1"/>
  <c r="BU185" i="90" s="1"/>
  <c r="BV183" i="90" s="1"/>
  <c r="BV185" i="90" s="1"/>
  <c r="BW183" i="90" s="1"/>
  <c r="BW185" i="90" s="1"/>
  <c r="BS183" i="90"/>
  <c r="L183" i="90"/>
  <c r="Q180" i="90"/>
  <c r="R178" i="90" s="1"/>
  <c r="P180" i="90"/>
  <c r="Q178" i="90" s="1"/>
  <c r="O180" i="90"/>
  <c r="N180" i="90"/>
  <c r="O178" i="90" s="1"/>
  <c r="M180" i="90"/>
  <c r="CF179" i="90"/>
  <c r="CG179" i="90" s="1"/>
  <c r="CH179" i="90" s="1"/>
  <c r="CI179" i="90" s="1"/>
  <c r="CJ179" i="90" s="1"/>
  <c r="CK179" i="90" s="1"/>
  <c r="CL179" i="90" s="1"/>
  <c r="CM179" i="90" s="1"/>
  <c r="CN179" i="90" s="1"/>
  <c r="CO179" i="90" s="1"/>
  <c r="CP179" i="90" s="1"/>
  <c r="CQ179" i="90" s="1"/>
  <c r="CR179" i="90" s="1"/>
  <c r="CF178" i="90"/>
  <c r="N178" i="90"/>
  <c r="N175" i="90"/>
  <c r="O173" i="90" s="1"/>
  <c r="M175" i="90"/>
  <c r="J175" i="90"/>
  <c r="K173" i="90" s="1"/>
  <c r="L174" i="90"/>
  <c r="K174" i="90"/>
  <c r="BW173" i="90"/>
  <c r="BW175" i="90" s="1"/>
  <c r="N173" i="90"/>
  <c r="L173" i="90"/>
  <c r="M170" i="90"/>
  <c r="N168" i="90" s="1"/>
  <c r="BX169" i="90"/>
  <c r="BY169" i="90" s="1"/>
  <c r="BS169" i="90"/>
  <c r="BR169" i="90"/>
  <c r="BQ169" i="90"/>
  <c r="BP169" i="90"/>
  <c r="BP168" i="90"/>
  <c r="Q165" i="90"/>
  <c r="R163" i="90" s="1"/>
  <c r="P165" i="90"/>
  <c r="Q163" i="90" s="1"/>
  <c r="O165" i="90"/>
  <c r="P163" i="90" s="1"/>
  <c r="N165" i="90"/>
  <c r="O163" i="90" s="1"/>
  <c r="M165" i="90"/>
  <c r="CF164" i="90"/>
  <c r="CG164" i="90" s="1"/>
  <c r="CH164" i="90" s="1"/>
  <c r="CI164" i="90" s="1"/>
  <c r="CJ164" i="90" s="1"/>
  <c r="CK164" i="90" s="1"/>
  <c r="CL164" i="90" s="1"/>
  <c r="CM164" i="90" s="1"/>
  <c r="CN164" i="90" s="1"/>
  <c r="CO164" i="90" s="1"/>
  <c r="CP164" i="90" s="1"/>
  <c r="CQ164" i="90" s="1"/>
  <c r="CR164" i="90" s="1"/>
  <c r="CF163" i="90"/>
  <c r="N163" i="90"/>
  <c r="M160" i="90"/>
  <c r="N158" i="90" s="1"/>
  <c r="BX159" i="90"/>
  <c r="BY159" i="90" s="1"/>
  <c r="BS159" i="90"/>
  <c r="BR159" i="90"/>
  <c r="BQ159" i="90"/>
  <c r="BP159" i="90"/>
  <c r="BP158" i="90"/>
  <c r="Q155" i="90"/>
  <c r="R153" i="90" s="1"/>
  <c r="P155" i="90"/>
  <c r="O155" i="90"/>
  <c r="P153" i="90" s="1"/>
  <c r="N155" i="90"/>
  <c r="M155" i="90"/>
  <c r="CF154" i="90"/>
  <c r="CG154" i="90"/>
  <c r="CH154" i="90" s="1"/>
  <c r="CI154" i="90" s="1"/>
  <c r="CJ154" i="90" s="1"/>
  <c r="CK154" i="90" s="1"/>
  <c r="CL154" i="90" s="1"/>
  <c r="CM154" i="90" s="1"/>
  <c r="CN154" i="90" s="1"/>
  <c r="CO154" i="90" s="1"/>
  <c r="CP154" i="90" s="1"/>
  <c r="CQ154" i="90" s="1"/>
  <c r="CR154" i="90" s="1"/>
  <c r="CF153" i="90"/>
  <c r="N153" i="90"/>
  <c r="N150" i="90"/>
  <c r="O148" i="90" s="1"/>
  <c r="M150" i="90"/>
  <c r="J150" i="90"/>
  <c r="K148" i="90" s="1"/>
  <c r="L149" i="90"/>
  <c r="K149" i="90"/>
  <c r="BW148" i="90"/>
  <c r="BW150" i="90" s="1"/>
  <c r="N148" i="90"/>
  <c r="L148" i="90"/>
  <c r="Q145" i="90"/>
  <c r="R143" i="90" s="1"/>
  <c r="P145" i="90"/>
  <c r="O145" i="90"/>
  <c r="P143" i="90" s="1"/>
  <c r="N145" i="90"/>
  <c r="M145" i="90"/>
  <c r="CF144" i="90"/>
  <c r="CG144" i="90" s="1"/>
  <c r="CH144" i="90" s="1"/>
  <c r="CI144" i="90" s="1"/>
  <c r="CJ144" i="90" s="1"/>
  <c r="CK144" i="90" s="1"/>
  <c r="CL144" i="90" s="1"/>
  <c r="CM144" i="90" s="1"/>
  <c r="CN144" i="90" s="1"/>
  <c r="CO144" i="90" s="1"/>
  <c r="CP144" i="90" s="1"/>
  <c r="CQ144" i="90" s="1"/>
  <c r="CR144" i="90" s="1"/>
  <c r="CS144" i="90" s="1"/>
  <c r="CT144" i="90" s="1"/>
  <c r="CF143" i="90"/>
  <c r="N143" i="90"/>
  <c r="N144" i="90" s="1"/>
  <c r="M140" i="90"/>
  <c r="BY139" i="90"/>
  <c r="BZ139" i="90" s="1"/>
  <c r="BS139" i="90"/>
  <c r="BR139" i="90"/>
  <c r="BQ139" i="90"/>
  <c r="BP139" i="90"/>
  <c r="BP138" i="90"/>
  <c r="Q135" i="90"/>
  <c r="R133" i="90" s="1"/>
  <c r="P135" i="90"/>
  <c r="Q133" i="90" s="1"/>
  <c r="O135" i="90"/>
  <c r="N135" i="90"/>
  <c r="M135" i="90"/>
  <c r="CF134" i="90"/>
  <c r="CG134" i="90" s="1"/>
  <c r="CH134" i="90" s="1"/>
  <c r="CI134" i="90" s="1"/>
  <c r="CJ134" i="90" s="1"/>
  <c r="CK134" i="90" s="1"/>
  <c r="CL134" i="90" s="1"/>
  <c r="CM134" i="90" s="1"/>
  <c r="CN134" i="90" s="1"/>
  <c r="CO134" i="90" s="1"/>
  <c r="CP134" i="90" s="1"/>
  <c r="CQ134" i="90" s="1"/>
  <c r="CR134" i="90" s="1"/>
  <c r="CS134" i="90" s="1"/>
  <c r="CT134" i="90" s="1"/>
  <c r="CF133" i="90"/>
  <c r="N133" i="90"/>
  <c r="P130" i="90"/>
  <c r="Q128" i="90" s="1"/>
  <c r="Q129" i="90" s="1"/>
  <c r="O130" i="90"/>
  <c r="P128" i="90" s="1"/>
  <c r="M130" i="90"/>
  <c r="BX129" i="90"/>
  <c r="BY129" i="90" s="1"/>
  <c r="BU129" i="90"/>
  <c r="BV129" i="90" s="1"/>
  <c r="BS129" i="90"/>
  <c r="BR129" i="90"/>
  <c r="BQ129" i="90"/>
  <c r="BP129" i="90"/>
  <c r="CP128" i="90"/>
  <c r="CO128" i="90"/>
  <c r="CN128" i="90"/>
  <c r="CM128" i="90"/>
  <c r="CL128" i="90"/>
  <c r="CK128" i="90"/>
  <c r="CJ128" i="90"/>
  <c r="CI128" i="90"/>
  <c r="CH128" i="90"/>
  <c r="CG128" i="90"/>
  <c r="CF128" i="90"/>
  <c r="CE128" i="90"/>
  <c r="CD128" i="90"/>
  <c r="CC128" i="90"/>
  <c r="CB128" i="90"/>
  <c r="CA128" i="90"/>
  <c r="BZ128" i="90"/>
  <c r="BY128" i="90"/>
  <c r="BX128" i="90"/>
  <c r="BP128" i="90"/>
  <c r="N125" i="90"/>
  <c r="O123" i="90" s="1"/>
  <c r="M125" i="90"/>
  <c r="O124" i="90"/>
  <c r="BT123" i="90"/>
  <c r="BT125" i="90" s="1"/>
  <c r="BU123" i="90" s="1"/>
  <c r="BU125" i="90" s="1"/>
  <c r="BV123" i="90" s="1"/>
  <c r="BV125" i="90" s="1"/>
  <c r="BW123" i="90" s="1"/>
  <c r="BW125" i="90" s="1"/>
  <c r="BX123" i="90" s="1"/>
  <c r="BX125" i="90" s="1"/>
  <c r="BY123" i="90" s="1"/>
  <c r="BY125" i="90" s="1"/>
  <c r="BZ123" i="90" s="1"/>
  <c r="BZ125" i="90" s="1"/>
  <c r="BS123" i="90"/>
  <c r="BS124" i="90" s="1"/>
  <c r="N124" i="90" s="1"/>
  <c r="N119" i="90"/>
  <c r="O119" i="90" s="1"/>
  <c r="P119" i="90" s="1"/>
  <c r="M119" i="90"/>
  <c r="L119" i="90"/>
  <c r="BU118" i="90"/>
  <c r="BV118" i="90" s="1"/>
  <c r="BW118" i="90" s="1"/>
  <c r="BS118" i="90"/>
  <c r="M118" i="90"/>
  <c r="L118" i="90"/>
  <c r="BU117" i="90"/>
  <c r="BT117" i="90"/>
  <c r="BR117" i="90"/>
  <c r="BR119" i="90" s="1"/>
  <c r="BS117" i="90" s="1"/>
  <c r="N117" i="90" s="1"/>
  <c r="BQ117" i="90"/>
  <c r="BQ118" i="90" s="1"/>
  <c r="BP117" i="90"/>
  <c r="BP118" i="90" s="1"/>
  <c r="M117" i="90"/>
  <c r="L117" i="90"/>
  <c r="BL113" i="90"/>
  <c r="BM111" i="90" s="1"/>
  <c r="BM113" i="90" s="1"/>
  <c r="BN111" i="90" s="1"/>
  <c r="BN113" i="90" s="1"/>
  <c r="BO111" i="90" s="1"/>
  <c r="L113" i="90"/>
  <c r="BW112" i="90"/>
  <c r="BX112" i="90" s="1"/>
  <c r="BY112" i="90" s="1"/>
  <c r="BZ112" i="90" s="1"/>
  <c r="CA112" i="90" s="1"/>
  <c r="CB112" i="90" s="1"/>
  <c r="CC112" i="90" s="1"/>
  <c r="CD112" i="90" s="1"/>
  <c r="CE112" i="90" s="1"/>
  <c r="CF112" i="90" s="1"/>
  <c r="CG112" i="90" s="1"/>
  <c r="CH112" i="90" s="1"/>
  <c r="CI112" i="90" s="1"/>
  <c r="CJ112" i="90" s="1"/>
  <c r="CK112" i="90" s="1"/>
  <c r="CL112" i="90" s="1"/>
  <c r="CM112" i="90" s="1"/>
  <c r="CN112" i="90" s="1"/>
  <c r="CO112" i="90" s="1"/>
  <c r="CP112" i="90" s="1"/>
  <c r="CQ112" i="90" s="1"/>
  <c r="CR112" i="90" s="1"/>
  <c r="CS112" i="90" s="1"/>
  <c r="CT112" i="90" s="1"/>
  <c r="CU112" i="90" s="1"/>
  <c r="CV112" i="90" s="1"/>
  <c r="CW112" i="90" s="1"/>
  <c r="CX112" i="90" s="1"/>
  <c r="CY112" i="90" s="1"/>
  <c r="CZ112" i="90" s="1"/>
  <c r="DA112" i="90" s="1"/>
  <c r="DB112" i="90" s="1"/>
  <c r="DC112" i="90" s="1"/>
  <c r="M112" i="90"/>
  <c r="L112" i="90"/>
  <c r="BW111" i="90"/>
  <c r="BR111" i="90"/>
  <c r="BR113" i="90" s="1"/>
  <c r="BS111" i="90" s="1"/>
  <c r="BQ111" i="90"/>
  <c r="BQ112" i="90" s="1"/>
  <c r="Z111" i="90"/>
  <c r="Y111" i="90"/>
  <c r="L111" i="90"/>
  <c r="O95" i="90"/>
  <c r="P93" i="90" s="1"/>
  <c r="N95" i="90"/>
  <c r="M95" i="90"/>
  <c r="L95" i="90"/>
  <c r="L94" i="90"/>
  <c r="BZ93" i="90"/>
  <c r="BZ95" i="90"/>
  <c r="N93" i="90"/>
  <c r="M93" i="90"/>
  <c r="L93" i="90"/>
  <c r="O89" i="90"/>
  <c r="P87" i="90" s="1"/>
  <c r="N89" i="90"/>
  <c r="O87" i="90" s="1"/>
  <c r="M89" i="90"/>
  <c r="L89" i="90"/>
  <c r="CC88" i="90"/>
  <c r="CD88" i="90" s="1"/>
  <c r="CE88" i="90" s="1"/>
  <c r="CF88" i="90" s="1"/>
  <c r="CG88" i="90" s="1"/>
  <c r="CH88" i="90" s="1"/>
  <c r="CI88" i="90" s="1"/>
  <c r="CJ88" i="90" s="1"/>
  <c r="CK88" i="90" s="1"/>
  <c r="CL88" i="90" s="1"/>
  <c r="CM88" i="90" s="1"/>
  <c r="CN88" i="90" s="1"/>
  <c r="CO88" i="90" s="1"/>
  <c r="CP88" i="90" s="1"/>
  <c r="CQ88" i="90" s="1"/>
  <c r="CR88" i="90" s="1"/>
  <c r="CS88" i="90" s="1"/>
  <c r="CT88" i="90" s="1"/>
  <c r="CU88" i="90" s="1"/>
  <c r="CV88" i="90" s="1"/>
  <c r="CW88" i="90" s="1"/>
  <c r="CX88" i="90" s="1"/>
  <c r="CY88" i="90" s="1"/>
  <c r="CZ88" i="90" s="1"/>
  <c r="DA88" i="90" s="1"/>
  <c r="DB88" i="90" s="1"/>
  <c r="DC88" i="90" s="1"/>
  <c r="L88" i="90"/>
  <c r="BZ87" i="90"/>
  <c r="BZ89" i="90" s="1"/>
  <c r="CA87" i="90" s="1"/>
  <c r="CA89" i="90" s="1"/>
  <c r="N87" i="90"/>
  <c r="M87" i="90"/>
  <c r="L87" i="90"/>
  <c r="BJ83" i="90"/>
  <c r="BK81" i="90" s="1"/>
  <c r="L82" i="90"/>
  <c r="BR81" i="90"/>
  <c r="BR83" i="90" s="1"/>
  <c r="BS81" i="90" s="1"/>
  <c r="BS83" i="90" s="1"/>
  <c r="BQ81" i="90"/>
  <c r="BQ82" i="90"/>
  <c r="M77" i="90"/>
  <c r="N75" i="90" s="1"/>
  <c r="L77" i="90"/>
  <c r="BY76" i="90"/>
  <c r="BZ76" i="90" s="1"/>
  <c r="CA76" i="90" s="1"/>
  <c r="CB76" i="90" s="1"/>
  <c r="CC76" i="90" s="1"/>
  <c r="CD76" i="90" s="1"/>
  <c r="CE76" i="90" s="1"/>
  <c r="CF76" i="90" s="1"/>
  <c r="CG76" i="90" s="1"/>
  <c r="CH76" i="90" s="1"/>
  <c r="CI76" i="90" s="1"/>
  <c r="CJ76" i="90" s="1"/>
  <c r="CK76" i="90" s="1"/>
  <c r="CL76" i="90" s="1"/>
  <c r="CM76" i="90" s="1"/>
  <c r="CN76" i="90" s="1"/>
  <c r="CO76" i="90" s="1"/>
  <c r="CP76" i="90" s="1"/>
  <c r="CQ76" i="90" s="1"/>
  <c r="CR76" i="90" s="1"/>
  <c r="CS76" i="90" s="1"/>
  <c r="CT76" i="90" s="1"/>
  <c r="CU76" i="90" s="1"/>
  <c r="CV76" i="90" s="1"/>
  <c r="CW76" i="90" s="1"/>
  <c r="CX76" i="90" s="1"/>
  <c r="CY76" i="90" s="1"/>
  <c r="CZ76" i="90" s="1"/>
  <c r="DA76" i="90" s="1"/>
  <c r="DB76" i="90" s="1"/>
  <c r="DC76" i="90" s="1"/>
  <c r="L76" i="90"/>
  <c r="BV75" i="90"/>
  <c r="BV77" i="90" s="1"/>
  <c r="BW75" i="90" s="1"/>
  <c r="BQ75" i="90"/>
  <c r="BQ77" i="90" s="1"/>
  <c r="BR75" i="90" s="1"/>
  <c r="BR77" i="90" s="1"/>
  <c r="BS75" i="90" s="1"/>
  <c r="BS77" i="90" s="1"/>
  <c r="BP75" i="90"/>
  <c r="BP76" i="90" s="1"/>
  <c r="L75" i="90"/>
  <c r="BH71" i="90"/>
  <c r="BI69" i="90" s="1"/>
  <c r="BI71" i="90" s="1"/>
  <c r="BJ69" i="90" s="1"/>
  <c r="BJ71" i="90" s="1"/>
  <c r="BK69" i="90" s="1"/>
  <c r="BK71" i="90" s="1"/>
  <c r="BV70" i="90"/>
  <c r="BW70" i="90" s="1"/>
  <c r="BX70" i="90" s="1"/>
  <c r="BY70" i="90" s="1"/>
  <c r="BZ70" i="90" s="1"/>
  <c r="CA70" i="90" s="1"/>
  <c r="CB70" i="90" s="1"/>
  <c r="CC70" i="90" s="1"/>
  <c r="CD70" i="90" s="1"/>
  <c r="CE70" i="90" s="1"/>
  <c r="CF70" i="90" s="1"/>
  <c r="CG70" i="90" s="1"/>
  <c r="CH70" i="90" s="1"/>
  <c r="CI70" i="90" s="1"/>
  <c r="CJ70" i="90" s="1"/>
  <c r="CK70" i="90" s="1"/>
  <c r="CL70" i="90" s="1"/>
  <c r="CM70" i="90" s="1"/>
  <c r="CN70" i="90" s="1"/>
  <c r="CO70" i="90" s="1"/>
  <c r="CP70" i="90" s="1"/>
  <c r="CQ70" i="90" s="1"/>
  <c r="CR70" i="90" s="1"/>
  <c r="CS70" i="90" s="1"/>
  <c r="CT70" i="90" s="1"/>
  <c r="CU70" i="90" s="1"/>
  <c r="CV70" i="90" s="1"/>
  <c r="CW70" i="90" s="1"/>
  <c r="CX70" i="90" s="1"/>
  <c r="CY70" i="90" s="1"/>
  <c r="CZ70" i="90" s="1"/>
  <c r="DA70" i="90" s="1"/>
  <c r="DB70" i="90" s="1"/>
  <c r="DC70" i="90" s="1"/>
  <c r="N70" i="90"/>
  <c r="M70" i="90"/>
  <c r="L70" i="90"/>
  <c r="T69" i="90"/>
  <c r="S69" i="90"/>
  <c r="R69" i="90"/>
  <c r="Q69" i="90"/>
  <c r="BJ65" i="90"/>
  <c r="BK63" i="90" s="1"/>
  <c r="BK65" i="90" s="1"/>
  <c r="BW64" i="90"/>
  <c r="BX64" i="90" s="1"/>
  <c r="BY64" i="90" s="1"/>
  <c r="BZ64" i="90" s="1"/>
  <c r="CA64" i="90" s="1"/>
  <c r="CB64" i="90" s="1"/>
  <c r="CC64" i="90" s="1"/>
  <c r="CD64" i="90" s="1"/>
  <c r="CE64" i="90" s="1"/>
  <c r="CF64" i="90" s="1"/>
  <c r="CG64" i="90" s="1"/>
  <c r="CH64" i="90" s="1"/>
  <c r="CI64" i="90" s="1"/>
  <c r="CJ64" i="90" s="1"/>
  <c r="CK64" i="90" s="1"/>
  <c r="CL64" i="90" s="1"/>
  <c r="CM64" i="90" s="1"/>
  <c r="CN64" i="90" s="1"/>
  <c r="CO64" i="90" s="1"/>
  <c r="CP64" i="90" s="1"/>
  <c r="CQ64" i="90" s="1"/>
  <c r="CR64" i="90" s="1"/>
  <c r="CS64" i="90" s="1"/>
  <c r="CT64" i="90" s="1"/>
  <c r="CU64" i="90" s="1"/>
  <c r="CV64" i="90" s="1"/>
  <c r="CW64" i="90" s="1"/>
  <c r="CX64" i="90" s="1"/>
  <c r="CY64" i="90" s="1"/>
  <c r="CZ64" i="90" s="1"/>
  <c r="DA64" i="90" s="1"/>
  <c r="DB64" i="90" s="1"/>
  <c r="DC64" i="90" s="1"/>
  <c r="M64" i="90"/>
  <c r="L64" i="90"/>
  <c r="BQ63" i="90"/>
  <c r="BQ65" i="90" s="1"/>
  <c r="BR63" i="90" s="1"/>
  <c r="BR65" i="90" s="1"/>
  <c r="BS63" i="90" s="1"/>
  <c r="BS65" i="90" s="1"/>
  <c r="BT63" i="90" s="1"/>
  <c r="BT65" i="90" s="1"/>
  <c r="BU63" i="90" s="1"/>
  <c r="P59" i="90"/>
  <c r="L59" i="90"/>
  <c r="CR58" i="90"/>
  <c r="CS58" i="90" s="1"/>
  <c r="CT58" i="90" s="1"/>
  <c r="CU58" i="90" s="1"/>
  <c r="CV58" i="90" s="1"/>
  <c r="CW58" i="90" s="1"/>
  <c r="CX58" i="90" s="1"/>
  <c r="CY58" i="90" s="1"/>
  <c r="CZ58" i="90" s="1"/>
  <c r="DA58" i="90" s="1"/>
  <c r="DB58" i="90" s="1"/>
  <c r="DC58" i="90" s="1"/>
  <c r="L58" i="90"/>
  <c r="CD57" i="90"/>
  <c r="CD59" i="90" s="1"/>
  <c r="CE57" i="90" s="1"/>
  <c r="L57" i="90"/>
  <c r="Q53" i="90"/>
  <c r="P53" i="90"/>
  <c r="L53" i="90"/>
  <c r="L52" i="90"/>
  <c r="CI51" i="90"/>
  <c r="CI53" i="90" s="1"/>
  <c r="L51" i="90"/>
  <c r="P47" i="90"/>
  <c r="L47" i="90"/>
  <c r="CB46" i="90"/>
  <c r="L46" i="90"/>
  <c r="CB45" i="90"/>
  <c r="L45" i="90"/>
  <c r="L41" i="90"/>
  <c r="BY40" i="90"/>
  <c r="L40" i="90"/>
  <c r="BY39" i="90"/>
  <c r="P39" i="90"/>
  <c r="L39" i="90"/>
  <c r="CK34" i="90"/>
  <c r="CK32" i="90" s="1"/>
  <c r="BJ34" i="90"/>
  <c r="N34" i="90"/>
  <c r="M34" i="90"/>
  <c r="L34" i="90"/>
  <c r="BK33" i="90"/>
  <c r="BH33" i="90"/>
  <c r="BH34" i="90"/>
  <c r="R32" i="90"/>
  <c r="Q32" i="90"/>
  <c r="P32" i="90"/>
  <c r="O32" i="90"/>
  <c r="N32" i="90"/>
  <c r="BT29" i="90"/>
  <c r="BU26" i="90" s="1"/>
  <c r="BS29" i="90"/>
  <c r="BT26" i="90" s="1"/>
  <c r="BR29" i="90"/>
  <c r="BS26" i="90" s="1"/>
  <c r="BQ29" i="90"/>
  <c r="BR26" i="90" s="1"/>
  <c r="BH29" i="90"/>
  <c r="BH35" i="90" s="1"/>
  <c r="L29" i="90"/>
  <c r="BX28" i="90"/>
  <c r="BW28" i="90"/>
  <c r="O28" i="90" s="1"/>
  <c r="N28" i="90"/>
  <c r="L28" i="90"/>
  <c r="L26" i="90"/>
  <c r="BU25" i="90"/>
  <c r="BU29" i="90" s="1"/>
  <c r="BV26" i="90" s="1"/>
  <c r="N25" i="90"/>
  <c r="AV22" i="90"/>
  <c r="AW20" i="90" s="1"/>
  <c r="AW22" i="90" s="1"/>
  <c r="AX20" i="90" s="1"/>
  <c r="AX22" i="90" s="1"/>
  <c r="AY20" i="90" s="1"/>
  <c r="AY22" i="90" s="1"/>
  <c r="AZ20" i="90" s="1"/>
  <c r="AZ22" i="90" s="1"/>
  <c r="BA20" i="90" s="1"/>
  <c r="BA22" i="90" s="1"/>
  <c r="BB20" i="90" s="1"/>
  <c r="BB22" i="90" s="1"/>
  <c r="BC20" i="90" s="1"/>
  <c r="BC22" i="90" s="1"/>
  <c r="BD20" i="90" s="1"/>
  <c r="BD22" i="90" s="1"/>
  <c r="BE20" i="90" s="1"/>
  <c r="BE22" i="90" s="1"/>
  <c r="BF20" i="90" s="1"/>
  <c r="BF22" i="90" s="1"/>
  <c r="BG20" i="90" s="1"/>
  <c r="BG22" i="90" s="1"/>
  <c r="BH20" i="90" s="1"/>
  <c r="BH22" i="90" s="1"/>
  <c r="BI20" i="90" s="1"/>
  <c r="BI22" i="90" s="1"/>
  <c r="BJ20" i="90" s="1"/>
  <c r="BJ22" i="90" s="1"/>
  <c r="BK20" i="90" s="1"/>
  <c r="N21" i="90"/>
  <c r="M21" i="90"/>
  <c r="L21" i="90"/>
  <c r="Z20" i="90"/>
  <c r="Z21" i="90" s="1"/>
  <c r="Y20" i="90"/>
  <c r="Y21" i="90" s="1"/>
  <c r="X20" i="90"/>
  <c r="X21" i="90" s="1"/>
  <c r="T20" i="90"/>
  <c r="T21" i="90" s="1"/>
  <c r="S20" i="90"/>
  <c r="S21" i="90" s="1"/>
  <c r="R20" i="90"/>
  <c r="R21" i="90" s="1"/>
  <c r="Q20" i="90"/>
  <c r="Q21" i="90" s="1"/>
  <c r="P20" i="90"/>
  <c r="P21" i="90" s="1"/>
  <c r="U220" i="15"/>
  <c r="X220" i="15"/>
  <c r="Y220" i="15" s="1"/>
  <c r="Z220" i="15" s="1"/>
  <c r="AA220" i="15" s="1"/>
  <c r="AB220" i="15" s="1"/>
  <c r="AC220" i="15" s="1"/>
  <c r="AD220" i="15" s="1"/>
  <c r="U215" i="15"/>
  <c r="U214" i="15"/>
  <c r="U213" i="15"/>
  <c r="U212" i="15"/>
  <c r="U211" i="15"/>
  <c r="U210" i="15"/>
  <c r="U188" i="15"/>
  <c r="X188" i="15"/>
  <c r="Y188" i="15" s="1"/>
  <c r="Z188" i="15" s="1"/>
  <c r="AA188" i="15" s="1"/>
  <c r="AB188" i="15" s="1"/>
  <c r="AC188" i="15" s="1"/>
  <c r="AD188" i="15" s="1"/>
  <c r="U183" i="15"/>
  <c r="U182" i="15"/>
  <c r="U181" i="15"/>
  <c r="U63" i="15"/>
  <c r="U62" i="15"/>
  <c r="U60" i="15"/>
  <c r="U59" i="15"/>
  <c r="U57" i="15"/>
  <c r="U56" i="15"/>
  <c r="U54" i="15"/>
  <c r="U53" i="15"/>
  <c r="U51" i="15"/>
  <c r="U50" i="15"/>
  <c r="U42" i="15"/>
  <c r="U87" i="15" s="1"/>
  <c r="U40" i="15"/>
  <c r="U86" i="15" s="1"/>
  <c r="U39" i="15"/>
  <c r="U37" i="15"/>
  <c r="U36" i="15"/>
  <c r="U30" i="15"/>
  <c r="U29" i="15"/>
  <c r="U28" i="15"/>
  <c r="U27" i="15"/>
  <c r="U22" i="15"/>
  <c r="U21" i="15"/>
  <c r="U20" i="15"/>
  <c r="U19" i="15"/>
  <c r="U18" i="15"/>
  <c r="U17" i="15"/>
  <c r="U16" i="15"/>
  <c r="U15" i="15"/>
  <c r="U14" i="15"/>
  <c r="U12" i="15"/>
  <c r="CU6" i="15"/>
  <c r="CU109" i="15" s="1"/>
  <c r="CT6" i="15"/>
  <c r="CT109" i="15" s="1"/>
  <c r="CS6" i="15"/>
  <c r="CS109" i="15" s="1"/>
  <c r="CR6" i="15"/>
  <c r="CR109" i="15" s="1"/>
  <c r="CR5" i="15"/>
  <c r="U207" i="33"/>
  <c r="U202" i="33"/>
  <c r="U184" i="33"/>
  <c r="U62" i="33"/>
  <c r="U53" i="33"/>
  <c r="U51" i="33"/>
  <c r="U28" i="33"/>
  <c r="U27" i="33"/>
  <c r="U48" i="15"/>
  <c r="U616" i="12"/>
  <c r="U614" i="12"/>
  <c r="U611" i="12"/>
  <c r="U608" i="12"/>
  <c r="U607" i="12"/>
  <c r="U606" i="12"/>
  <c r="U602" i="12"/>
  <c r="U601" i="12"/>
  <c r="U600" i="12"/>
  <c r="U599" i="12"/>
  <c r="U598" i="12"/>
  <c r="U597" i="12"/>
  <c r="U591" i="12"/>
  <c r="U590" i="12"/>
  <c r="U589" i="12"/>
  <c r="U587" i="12"/>
  <c r="U586" i="12"/>
  <c r="U585" i="12"/>
  <c r="U582" i="12"/>
  <c r="U581" i="12"/>
  <c r="U575" i="12"/>
  <c r="U574" i="12"/>
  <c r="U573" i="12"/>
  <c r="U571" i="12"/>
  <c r="U570" i="12"/>
  <c r="U453" i="12"/>
  <c r="U452" i="12"/>
  <c r="U451" i="12"/>
  <c r="U450" i="12"/>
  <c r="U448" i="12"/>
  <c r="U447" i="12"/>
  <c r="U445" i="12"/>
  <c r="U444" i="12"/>
  <c r="U443" i="12"/>
  <c r="U442" i="12"/>
  <c r="U441" i="12"/>
  <c r="U440" i="12"/>
  <c r="U439" i="12"/>
  <c r="U437" i="12"/>
  <c r="U436" i="12"/>
  <c r="U434" i="12"/>
  <c r="U433" i="12"/>
  <c r="U432" i="12"/>
  <c r="U431" i="12"/>
  <c r="U430" i="12"/>
  <c r="U429" i="12"/>
  <c r="U427" i="12"/>
  <c r="U426" i="12"/>
  <c r="U424" i="12"/>
  <c r="U421" i="12"/>
  <c r="U420" i="12"/>
  <c r="U417" i="12"/>
  <c r="U222" i="12"/>
  <c r="U219" i="12"/>
  <c r="U218" i="12"/>
  <c r="U217" i="12"/>
  <c r="U214" i="12"/>
  <c r="U213" i="12"/>
  <c r="U212" i="12"/>
  <c r="U211" i="12"/>
  <c r="U209" i="12"/>
  <c r="U208" i="12"/>
  <c r="U207" i="12"/>
  <c r="U206" i="12"/>
  <c r="U205" i="12"/>
  <c r="U203" i="12"/>
  <c r="U202" i="12"/>
  <c r="U199" i="12"/>
  <c r="U198" i="12"/>
  <c r="U195" i="12"/>
  <c r="U191" i="12"/>
  <c r="U190" i="12"/>
  <c r="U189" i="12"/>
  <c r="U188" i="12"/>
  <c r="U187" i="12"/>
  <c r="U186" i="12"/>
  <c r="U184" i="12"/>
  <c r="U182" i="12"/>
  <c r="U181" i="12"/>
  <c r="U180" i="12"/>
  <c r="U179" i="12"/>
  <c r="U178" i="12"/>
  <c r="U176" i="12"/>
  <c r="U174" i="12"/>
  <c r="U173" i="12"/>
  <c r="U172" i="12"/>
  <c r="U171" i="12"/>
  <c r="U783" i="12"/>
  <c r="U780" i="12"/>
  <c r="U777" i="12"/>
  <c r="U771" i="12"/>
  <c r="U731" i="12"/>
  <c r="U730" i="12"/>
  <c r="U728" i="12"/>
  <c r="U727" i="12"/>
  <c r="U725" i="12"/>
  <c r="U724" i="12"/>
  <c r="AN78" i="58"/>
  <c r="AN80" i="58"/>
  <c r="AN463" i="58"/>
  <c r="AO463" i="58"/>
  <c r="CJ485" i="12"/>
  <c r="CK485" i="12"/>
  <c r="CL485" i="12"/>
  <c r="CM485" i="12"/>
  <c r="CN485" i="12"/>
  <c r="CO485" i="12"/>
  <c r="CI485" i="12"/>
  <c r="U184" i="90"/>
  <c r="BP130" i="90"/>
  <c r="BQ128" i="90" s="1"/>
  <c r="BQ130" i="90" s="1"/>
  <c r="BR128" i="90" s="1"/>
  <c r="BR130" i="90" s="1"/>
  <c r="BS128" i="90" s="1"/>
  <c r="S266" i="90"/>
  <c r="O93" i="90"/>
  <c r="O94" i="90" s="1"/>
  <c r="P133" i="90"/>
  <c r="Q153" i="90"/>
  <c r="CP228" i="90"/>
  <c r="CM484" i="12"/>
  <c r="CN484" i="12"/>
  <c r="CO484" i="12"/>
  <c r="CL484" i="12"/>
  <c r="CM481" i="12"/>
  <c r="CN481" i="12"/>
  <c r="CO481" i="12"/>
  <c r="CL481" i="12"/>
  <c r="CP113" i="14"/>
  <c r="CO113" i="14"/>
  <c r="CP45" i="14"/>
  <c r="CP46" i="14"/>
  <c r="CP59" i="14" s="1"/>
  <c r="CP27" i="14"/>
  <c r="CP14" i="14"/>
  <c r="CP219" i="14"/>
  <c r="CP201" i="14"/>
  <c r="CP133" i="14"/>
  <c r="AB28" i="77" s="1"/>
  <c r="CP107" i="14"/>
  <c r="CP100" i="14"/>
  <c r="CP99" i="14"/>
  <c r="CP97" i="14"/>
  <c r="CP31" i="14"/>
  <c r="CP109" i="14" s="1"/>
  <c r="CP21" i="15"/>
  <c r="CP174" i="15"/>
  <c r="CP106" i="15"/>
  <c r="CP87" i="15"/>
  <c r="CP86" i="15"/>
  <c r="CP85" i="15"/>
  <c r="CP91" i="15" s="1"/>
  <c r="CP84" i="15"/>
  <c r="CP75" i="15"/>
  <c r="CP95" i="15" s="1"/>
  <c r="CP100" i="15" s="1"/>
  <c r="CP64" i="15"/>
  <c r="CP43" i="15"/>
  <c r="DH45" i="33"/>
  <c r="DH26" i="33"/>
  <c r="CP205" i="15" s="1"/>
  <c r="DH238" i="33"/>
  <c r="DH239" i="33" s="1"/>
  <c r="DH233" i="33"/>
  <c r="DH192" i="33"/>
  <c r="DH184" i="33"/>
  <c r="DH183" i="33"/>
  <c r="DH182" i="33"/>
  <c r="DH173" i="33"/>
  <c r="DH96" i="33"/>
  <c r="DH84" i="33"/>
  <c r="DH24" i="33"/>
  <c r="P602" i="12"/>
  <c r="Q602" i="12"/>
  <c r="R602" i="12"/>
  <c r="S602" i="12"/>
  <c r="T602" i="12"/>
  <c r="T570" i="12"/>
  <c r="S570" i="12"/>
  <c r="R570" i="12"/>
  <c r="Q570" i="12"/>
  <c r="P570" i="12"/>
  <c r="R214" i="12"/>
  <c r="S214" i="12"/>
  <c r="T214" i="12"/>
  <c r="CP825" i="12"/>
  <c r="AB83" i="77" s="1"/>
  <c r="CP800" i="12"/>
  <c r="CP793" i="12"/>
  <c r="CP792" i="12"/>
  <c r="CP754" i="12"/>
  <c r="CP697" i="12"/>
  <c r="AB82" i="77" s="1"/>
  <c r="CP695" i="12"/>
  <c r="AB81" i="77" s="1"/>
  <c r="CP694" i="12"/>
  <c r="CP689" i="12"/>
  <c r="CP680" i="12"/>
  <c r="CP682" i="12" s="1"/>
  <c r="CP679" i="12"/>
  <c r="CP664" i="12"/>
  <c r="CP667" i="12" s="1"/>
  <c r="CP636" i="12"/>
  <c r="CP635" i="12"/>
  <c r="CP627" i="12"/>
  <c r="AB46" i="77" s="1"/>
  <c r="CP625" i="12"/>
  <c r="AK270" i="58" s="1"/>
  <c r="CP623" i="12"/>
  <c r="CP685" i="12" s="1"/>
  <c r="CP618" i="12"/>
  <c r="CP617" i="12" s="1"/>
  <c r="CP619" i="12" s="1"/>
  <c r="CP566" i="12"/>
  <c r="CP524" i="12"/>
  <c r="CP519" i="12"/>
  <c r="AK211" i="58" s="1"/>
  <c r="CP510" i="12"/>
  <c r="CP509" i="12"/>
  <c r="CP494" i="12"/>
  <c r="CP473" i="12"/>
  <c r="CP472" i="12"/>
  <c r="CP464" i="12"/>
  <c r="AB52" i="77" s="1"/>
  <c r="CP462" i="12"/>
  <c r="CP460" i="12"/>
  <c r="CP515" i="12" s="1"/>
  <c r="AK208" i="58" s="1"/>
  <c r="CP455" i="12"/>
  <c r="CP413" i="12"/>
  <c r="CP389" i="12"/>
  <c r="CP387" i="12"/>
  <c r="AK108" i="58" s="1"/>
  <c r="CP378" i="12"/>
  <c r="CP377" i="12"/>
  <c r="CP366" i="12"/>
  <c r="CP364" i="12"/>
  <c r="CP363" i="12"/>
  <c r="CP351" i="12"/>
  <c r="CP349" i="12"/>
  <c r="CP348" i="12"/>
  <c r="CP293" i="12"/>
  <c r="CP295" i="12" s="1"/>
  <c r="CP276" i="12"/>
  <c r="CP275" i="12"/>
  <c r="CP272" i="12"/>
  <c r="CP270" i="12"/>
  <c r="CP267" i="12"/>
  <c r="CP265" i="12"/>
  <c r="CP263" i="12"/>
  <c r="CP260" i="12"/>
  <c r="CP252" i="12"/>
  <c r="AB40" i="77" s="1"/>
  <c r="CP250" i="12"/>
  <c r="CP248" i="12"/>
  <c r="CP242" i="12"/>
  <c r="CP234" i="12"/>
  <c r="CP225" i="12"/>
  <c r="CP224" i="12" s="1"/>
  <c r="CP226" i="12" s="1"/>
  <c r="CP57" i="12"/>
  <c r="CP13" i="12"/>
  <c r="AB17" i="77" s="1"/>
  <c r="CP11" i="12"/>
  <c r="AB36" i="77" s="1"/>
  <c r="CP10" i="12"/>
  <c r="AB35" i="77" s="1"/>
  <c r="CP9" i="12"/>
  <c r="AB34" i="77" s="1"/>
  <c r="CP8" i="12"/>
  <c r="AB33" i="77" s="1"/>
  <c r="BK176" i="77"/>
  <c r="BI176" i="77"/>
  <c r="BK174" i="77"/>
  <c r="BI174" i="77"/>
  <c r="AX138" i="77"/>
  <c r="AX141" i="77"/>
  <c r="V18" i="77"/>
  <c r="V62" i="77"/>
  <c r="V65" i="77"/>
  <c r="V66" i="77"/>
  <c r="V67" i="77"/>
  <c r="V68" i="77"/>
  <c r="V70" i="77"/>
  <c r="V71" i="77"/>
  <c r="V72" i="77"/>
  <c r="V73" i="77"/>
  <c r="V75" i="77"/>
  <c r="W51" i="77" s="1"/>
  <c r="V76" i="77"/>
  <c r="V77" i="77"/>
  <c r="V78" i="77"/>
  <c r="CO14" i="14"/>
  <c r="CO10" i="14"/>
  <c r="CO27" i="14"/>
  <c r="CO219" i="14"/>
  <c r="CO201" i="14"/>
  <c r="CO166" i="14"/>
  <c r="CO104" i="15"/>
  <c r="CO107" i="14"/>
  <c r="CO100" i="14"/>
  <c r="CO99" i="14"/>
  <c r="CO97" i="14"/>
  <c r="CO46" i="14"/>
  <c r="CO59" i="14" s="1"/>
  <c r="CO31" i="14"/>
  <c r="CO63" i="15"/>
  <c r="T63" i="15"/>
  <c r="CO59" i="15"/>
  <c r="CO21" i="15"/>
  <c r="CO174" i="15"/>
  <c r="CO106" i="15"/>
  <c r="CO87" i="15"/>
  <c r="CO86" i="15"/>
  <c r="CO85" i="15"/>
  <c r="CO91" i="15" s="1"/>
  <c r="CO84" i="15"/>
  <c r="CO75" i="15"/>
  <c r="CO43" i="15"/>
  <c r="DG172" i="33"/>
  <c r="DG173" i="33" s="1"/>
  <c r="DG26" i="33"/>
  <c r="DG45" i="33"/>
  <c r="CO226" i="14" s="1"/>
  <c r="CO227" i="14" s="1"/>
  <c r="DL149" i="33"/>
  <c r="DG238" i="33"/>
  <c r="DG239" i="33" s="1"/>
  <c r="DG233" i="33"/>
  <c r="DG192" i="33"/>
  <c r="DG184" i="33"/>
  <c r="DG183" i="33"/>
  <c r="DG182" i="33"/>
  <c r="DG96" i="33"/>
  <c r="DG84" i="33"/>
  <c r="DG24" i="33"/>
  <c r="P590" i="12"/>
  <c r="Q590" i="12"/>
  <c r="R590" i="12"/>
  <c r="S590" i="12"/>
  <c r="T590" i="12"/>
  <c r="T184" i="12"/>
  <c r="S184" i="12"/>
  <c r="R184" i="12"/>
  <c r="D6" i="59"/>
  <c r="E6" i="59"/>
  <c r="F6" i="59"/>
  <c r="G6" i="59"/>
  <c r="H6" i="59"/>
  <c r="I6" i="59"/>
  <c r="J7" i="59" s="1"/>
  <c r="J6" i="59"/>
  <c r="K6" i="59"/>
  <c r="L6" i="59"/>
  <c r="M6" i="59"/>
  <c r="N6" i="59"/>
  <c r="O6" i="59"/>
  <c r="P6" i="59"/>
  <c r="Q6" i="59"/>
  <c r="R6" i="59"/>
  <c r="D10" i="59"/>
  <c r="E10" i="59"/>
  <c r="F10" i="59"/>
  <c r="F11" i="59" s="1"/>
  <c r="G10" i="59"/>
  <c r="H10" i="59"/>
  <c r="I10" i="59"/>
  <c r="J10" i="59"/>
  <c r="K10" i="59"/>
  <c r="L10" i="59"/>
  <c r="M10" i="59"/>
  <c r="N10" i="59"/>
  <c r="O10" i="59"/>
  <c r="P10" i="59"/>
  <c r="Q10" i="59"/>
  <c r="R10" i="59"/>
  <c r="R11" i="59" s="1"/>
  <c r="D12" i="59"/>
  <c r="E12" i="59"/>
  <c r="F12" i="59"/>
  <c r="G12" i="59"/>
  <c r="H12" i="59"/>
  <c r="I12" i="59"/>
  <c r="J12" i="59"/>
  <c r="K12" i="59"/>
  <c r="L12" i="59"/>
  <c r="M12" i="59"/>
  <c r="N12" i="59"/>
  <c r="O12" i="59"/>
  <c r="P12" i="59"/>
  <c r="Q12" i="59"/>
  <c r="R12" i="59"/>
  <c r="S12" i="59"/>
  <c r="T12" i="59"/>
  <c r="D15" i="59"/>
  <c r="E15" i="59"/>
  <c r="F15" i="59"/>
  <c r="F16" i="59" s="1"/>
  <c r="G15" i="59"/>
  <c r="H15" i="59"/>
  <c r="I15" i="59"/>
  <c r="J15" i="59"/>
  <c r="K15" i="59"/>
  <c r="L15" i="59"/>
  <c r="M15" i="59"/>
  <c r="N15" i="59"/>
  <c r="N16" i="59" s="1"/>
  <c r="O15" i="59"/>
  <c r="P15" i="59"/>
  <c r="Q15" i="59"/>
  <c r="R15" i="59"/>
  <c r="R16" i="59" s="1"/>
  <c r="S15" i="59"/>
  <c r="T15" i="59"/>
  <c r="P19" i="59"/>
  <c r="Q19" i="59"/>
  <c r="R19" i="59"/>
  <c r="S19" i="59"/>
  <c r="T19" i="59"/>
  <c r="Q27" i="59"/>
  <c r="R27" i="59"/>
  <c r="S27" i="59"/>
  <c r="T27" i="59"/>
  <c r="Q28" i="59"/>
  <c r="R28" i="59"/>
  <c r="S28" i="59"/>
  <c r="T28" i="59"/>
  <c r="Q29" i="59"/>
  <c r="R29" i="59"/>
  <c r="S29" i="59"/>
  <c r="T29" i="59"/>
  <c r="Q30" i="59"/>
  <c r="R30" i="59"/>
  <c r="S30" i="59"/>
  <c r="T30" i="59"/>
  <c r="E5" i="48"/>
  <c r="F5" i="48"/>
  <c r="G5" i="48"/>
  <c r="H5" i="48"/>
  <c r="I5" i="48"/>
  <c r="N5" i="48"/>
  <c r="O5" i="48"/>
  <c r="P5" i="48"/>
  <c r="Q5" i="48"/>
  <c r="R5" i="48"/>
  <c r="S5" i="48"/>
  <c r="T5" i="48"/>
  <c r="U5" i="48"/>
  <c r="V5" i="48"/>
  <c r="W5" i="48"/>
  <c r="X5" i="48"/>
  <c r="Y5" i="48"/>
  <c r="BC5" i="48"/>
  <c r="BD5" i="48"/>
  <c r="BE5" i="48"/>
  <c r="BF5" i="48"/>
  <c r="BG5" i="48"/>
  <c r="BH5" i="48"/>
  <c r="BI5" i="48"/>
  <c r="BJ5" i="48"/>
  <c r="BK5" i="48"/>
  <c r="BL5" i="48"/>
  <c r="BM5" i="48"/>
  <c r="BN5" i="48"/>
  <c r="BO5" i="48"/>
  <c r="BP5" i="48"/>
  <c r="AC41" i="57" s="1"/>
  <c r="BQ5" i="48"/>
  <c r="AD41" i="57" s="1"/>
  <c r="BR5" i="48"/>
  <c r="AE41" i="57" s="1"/>
  <c r="BS5" i="48"/>
  <c r="AF41" i="57" s="1"/>
  <c r="BT5" i="48"/>
  <c r="AG41" i="57" s="1"/>
  <c r="BU5" i="48"/>
  <c r="AH41" i="57" s="1"/>
  <c r="BV5" i="48"/>
  <c r="BW5" i="48"/>
  <c r="BX5" i="48"/>
  <c r="BY5" i="48"/>
  <c r="BZ5" i="48"/>
  <c r="CA5" i="48"/>
  <c r="CB5" i="48"/>
  <c r="CC5" i="48"/>
  <c r="CD5" i="48"/>
  <c r="BC9" i="48"/>
  <c r="BD9" i="48"/>
  <c r="BE9" i="48"/>
  <c r="BF9" i="48"/>
  <c r="BG9" i="48"/>
  <c r="BH9" i="48"/>
  <c r="BI9" i="48"/>
  <c r="BJ9" i="48"/>
  <c r="BK9" i="48"/>
  <c r="BL9" i="48"/>
  <c r="BM9" i="48"/>
  <c r="BN9" i="48"/>
  <c r="BO9" i="48"/>
  <c r="BP9" i="48"/>
  <c r="BQ9" i="48"/>
  <c r="BR9" i="48"/>
  <c r="BS9" i="48"/>
  <c r="BT9" i="48"/>
  <c r="BU9" i="48"/>
  <c r="BV9" i="48"/>
  <c r="BW9" i="48"/>
  <c r="BX9" i="48"/>
  <c r="BY9" i="48"/>
  <c r="BZ9" i="48"/>
  <c r="CA9" i="48"/>
  <c r="CB9" i="48"/>
  <c r="CC9" i="48"/>
  <c r="CD9" i="48"/>
  <c r="AA13" i="48"/>
  <c r="AB13" i="48"/>
  <c r="AC13" i="48"/>
  <c r="AD13" i="48"/>
  <c r="AE13" i="48"/>
  <c r="AF13" i="48"/>
  <c r="AG13" i="48"/>
  <c r="AH13" i="48"/>
  <c r="AA14" i="48"/>
  <c r="AB14" i="48"/>
  <c r="AC14" i="48"/>
  <c r="AD14" i="48"/>
  <c r="AE14" i="48"/>
  <c r="AF14" i="48"/>
  <c r="AG14" i="48"/>
  <c r="AH14" i="48"/>
  <c r="AI14" i="48"/>
  <c r="AJ14" i="48"/>
  <c r="AK14" i="48"/>
  <c r="AL14" i="48"/>
  <c r="AM14" i="48"/>
  <c r="AN14" i="48"/>
  <c r="AO14" i="48"/>
  <c r="AP14" i="48"/>
  <c r="AA15" i="48"/>
  <c r="AB15" i="48"/>
  <c r="AC15" i="48"/>
  <c r="AD15" i="48"/>
  <c r="AE15" i="48"/>
  <c r="AF15" i="48"/>
  <c r="AG15" i="48"/>
  <c r="AH15" i="48"/>
  <c r="AI15" i="48"/>
  <c r="AJ15" i="48"/>
  <c r="AK15" i="48"/>
  <c r="AL15" i="48"/>
  <c r="AM15" i="48"/>
  <c r="AN15" i="48"/>
  <c r="AO15" i="48"/>
  <c r="AP15" i="48"/>
  <c r="AQ15" i="48"/>
  <c r="AR15" i="48"/>
  <c r="AS15" i="48"/>
  <c r="AT15" i="48"/>
  <c r="AU15" i="48"/>
  <c r="AV15" i="48"/>
  <c r="AW15" i="48"/>
  <c r="AX15" i="48"/>
  <c r="AY15" i="48"/>
  <c r="AZ15" i="48"/>
  <c r="BA15" i="48"/>
  <c r="BB15" i="48"/>
  <c r="BC15" i="48"/>
  <c r="BD15" i="48"/>
  <c r="BE15" i="48"/>
  <c r="BF15" i="48"/>
  <c r="BG15" i="48"/>
  <c r="BH15" i="48"/>
  <c r="BI15" i="48"/>
  <c r="BJ15" i="48"/>
  <c r="BK15" i="48"/>
  <c r="E16" i="48"/>
  <c r="F16" i="48"/>
  <c r="G16" i="48"/>
  <c r="H16" i="48"/>
  <c r="I16" i="48"/>
  <c r="J16" i="48"/>
  <c r="K16" i="48"/>
  <c r="AA16" i="48"/>
  <c r="AB16" i="48"/>
  <c r="AC16" i="48"/>
  <c r="AD16" i="48"/>
  <c r="AE16" i="48"/>
  <c r="AF16" i="48"/>
  <c r="AG16" i="48"/>
  <c r="AH16" i="48"/>
  <c r="AI16" i="48"/>
  <c r="AJ16" i="48"/>
  <c r="AK16" i="48"/>
  <c r="AL16" i="48"/>
  <c r="AM16" i="48"/>
  <c r="AN16" i="48"/>
  <c r="AO16" i="48"/>
  <c r="AP16" i="48"/>
  <c r="AQ16" i="48"/>
  <c r="AR16" i="48"/>
  <c r="AS16" i="48"/>
  <c r="AT16" i="48"/>
  <c r="AU16" i="48"/>
  <c r="AV16" i="48"/>
  <c r="AW16" i="48"/>
  <c r="AX16" i="48"/>
  <c r="AY16" i="48"/>
  <c r="AZ16" i="48"/>
  <c r="E17" i="48"/>
  <c r="V17" i="48"/>
  <c r="W17" i="48"/>
  <c r="X17" i="48"/>
  <c r="Y17" i="48"/>
  <c r="Z17" i="48"/>
  <c r="AA17" i="48"/>
  <c r="AB17" i="48"/>
  <c r="AC17" i="48"/>
  <c r="AD17" i="48"/>
  <c r="AE17" i="48"/>
  <c r="AF17" i="48"/>
  <c r="AG17" i="48"/>
  <c r="AH17" i="48"/>
  <c r="AI17" i="48"/>
  <c r="AJ17" i="48"/>
  <c r="AK17" i="48"/>
  <c r="AL17" i="48"/>
  <c r="AM17" i="48"/>
  <c r="AN17" i="48"/>
  <c r="AO17" i="48"/>
  <c r="AP17" i="48"/>
  <c r="AQ17" i="48"/>
  <c r="AR17" i="48"/>
  <c r="AS17" i="48"/>
  <c r="AT17" i="48"/>
  <c r="AU17" i="48"/>
  <c r="AV17" i="48"/>
  <c r="AW17" i="48"/>
  <c r="AX17" i="48"/>
  <c r="AY17" i="48"/>
  <c r="F24" i="48"/>
  <c r="G24" i="48"/>
  <c r="H24" i="48"/>
  <c r="AA24" i="48"/>
  <c r="AB24" i="48"/>
  <c r="AC24" i="48"/>
  <c r="AD24" i="48"/>
  <c r="AE24" i="48"/>
  <c r="AF24" i="48"/>
  <c r="AG24" i="48"/>
  <c r="AH24" i="48"/>
  <c r="AI24" i="48"/>
  <c r="AJ24" i="48"/>
  <c r="AK24" i="48"/>
  <c r="AL24" i="48"/>
  <c r="AA26" i="48"/>
  <c r="AB26" i="48"/>
  <c r="AC26" i="48"/>
  <c r="AD26" i="48"/>
  <c r="AE26" i="48"/>
  <c r="AF26" i="48"/>
  <c r="AG26" i="48"/>
  <c r="AH26" i="48"/>
  <c r="AI26" i="48"/>
  <c r="AJ26" i="48"/>
  <c r="AK26" i="48"/>
  <c r="AL26" i="48"/>
  <c r="AM26" i="48"/>
  <c r="AN26" i="48"/>
  <c r="AO26" i="48"/>
  <c r="AP26" i="48"/>
  <c r="AQ26" i="48"/>
  <c r="AR26" i="48"/>
  <c r="AS26" i="48"/>
  <c r="AT26" i="48"/>
  <c r="AU26" i="48"/>
  <c r="AV26" i="48"/>
  <c r="AW26" i="48"/>
  <c r="AX26" i="48"/>
  <c r="AY26" i="48"/>
  <c r="AZ26" i="48"/>
  <c r="BA26" i="48"/>
  <c r="BB26" i="48"/>
  <c r="T27" i="48"/>
  <c r="U27" i="48"/>
  <c r="V27" i="48"/>
  <c r="W27" i="48"/>
  <c r="X27" i="48"/>
  <c r="Y27" i="48"/>
  <c r="AA27" i="48"/>
  <c r="AB27" i="48"/>
  <c r="AC27" i="48"/>
  <c r="AD27" i="48"/>
  <c r="AE27" i="48"/>
  <c r="AF27" i="48"/>
  <c r="AG27" i="48"/>
  <c r="AH27" i="48"/>
  <c r="AI27" i="48"/>
  <c r="AJ27" i="48"/>
  <c r="AK27" i="48"/>
  <c r="AL27" i="48"/>
  <c r="AM27" i="48"/>
  <c r="AN27" i="48"/>
  <c r="AO27" i="48"/>
  <c r="AP27" i="48"/>
  <c r="AQ27" i="48"/>
  <c r="AR27" i="48"/>
  <c r="AS27" i="48"/>
  <c r="AT27" i="48"/>
  <c r="AU27" i="48"/>
  <c r="AV27" i="48"/>
  <c r="AW27" i="48"/>
  <c r="AX27" i="48"/>
  <c r="AY27" i="48"/>
  <c r="AZ27" i="48"/>
  <c r="BA27" i="48"/>
  <c r="BB27" i="48"/>
  <c r="BC27" i="48"/>
  <c r="BD27" i="48"/>
  <c r="BE27" i="48"/>
  <c r="BF27" i="48"/>
  <c r="BG27" i="48"/>
  <c r="BK27" i="48"/>
  <c r="AA28" i="48"/>
  <c r="AB28" i="48"/>
  <c r="AC28" i="48"/>
  <c r="AD28" i="48"/>
  <c r="AE28" i="48"/>
  <c r="AF28" i="48"/>
  <c r="AG28" i="48"/>
  <c r="AH28" i="48"/>
  <c r="AI28" i="48"/>
  <c r="AJ28" i="48"/>
  <c r="AK28" i="48"/>
  <c r="AL28" i="48"/>
  <c r="AM28" i="48"/>
  <c r="AN28" i="48"/>
  <c r="AO28" i="48"/>
  <c r="AP28" i="48"/>
  <c r="AQ28" i="48"/>
  <c r="AR28" i="48"/>
  <c r="AS28" i="48"/>
  <c r="AT28" i="48"/>
  <c r="AU28" i="48"/>
  <c r="AV28" i="48"/>
  <c r="AW28" i="48"/>
  <c r="AX28" i="48"/>
  <c r="AY28" i="48"/>
  <c r="AZ28" i="48"/>
  <c r="BA28" i="48"/>
  <c r="BB28" i="48"/>
  <c r="BC28" i="48"/>
  <c r="BD28" i="48"/>
  <c r="BE28" i="48"/>
  <c r="BF28" i="48"/>
  <c r="BG28" i="48"/>
  <c r="BH28" i="48"/>
  <c r="BI28" i="48"/>
  <c r="BJ28" i="48"/>
  <c r="BK28" i="48"/>
  <c r="BL28" i="48"/>
  <c r="BM28" i="48"/>
  <c r="BN28" i="48"/>
  <c r="BO28" i="48"/>
  <c r="BP28" i="48"/>
  <c r="BQ28" i="48"/>
  <c r="BR28" i="48"/>
  <c r="BS28" i="48"/>
  <c r="BT28" i="48"/>
  <c r="BU28" i="48"/>
  <c r="BV28" i="48"/>
  <c r="BW28" i="48"/>
  <c r="BX28" i="48"/>
  <c r="BY28" i="48"/>
  <c r="BZ28" i="48"/>
  <c r="CA28" i="48"/>
  <c r="CB28" i="48"/>
  <c r="CC28" i="48"/>
  <c r="CD28" i="48"/>
  <c r="BC40" i="48"/>
  <c r="BD40" i="48"/>
  <c r="BE40" i="48"/>
  <c r="BF40" i="48"/>
  <c r="BG40" i="48"/>
  <c r="BH40" i="48"/>
  <c r="BI40" i="48"/>
  <c r="BJ40" i="48"/>
  <c r="BK40" i="48"/>
  <c r="BL40" i="48"/>
  <c r="BM40" i="48"/>
  <c r="BN40" i="48"/>
  <c r="BO40" i="48"/>
  <c r="BP40" i="48"/>
  <c r="BQ40" i="48"/>
  <c r="BR40" i="48"/>
  <c r="BS40" i="48"/>
  <c r="BT40" i="48"/>
  <c r="BU40" i="48"/>
  <c r="BV40" i="48"/>
  <c r="BW40" i="48"/>
  <c r="BX40" i="48"/>
  <c r="BY40" i="48"/>
  <c r="BZ40" i="48"/>
  <c r="CA40" i="48"/>
  <c r="CB40" i="48"/>
  <c r="CC40" i="48"/>
  <c r="CD40" i="48"/>
  <c r="BL47" i="48"/>
  <c r="BM47" i="48"/>
  <c r="BN47" i="48"/>
  <c r="BO47" i="48"/>
  <c r="BP47" i="48"/>
  <c r="BQ47" i="48"/>
  <c r="BR47" i="48"/>
  <c r="BS47" i="48"/>
  <c r="BT47" i="48"/>
  <c r="BU47" i="48"/>
  <c r="BV47" i="48"/>
  <c r="BW47" i="48"/>
  <c r="BX47" i="48"/>
  <c r="BY47" i="48"/>
  <c r="BZ47" i="48"/>
  <c r="BZ49" i="48" s="1"/>
  <c r="CA47" i="48"/>
  <c r="CB47" i="48"/>
  <c r="CC47" i="48"/>
  <c r="CC49" i="48" s="1"/>
  <c r="CD47" i="48"/>
  <c r="BL50" i="48"/>
  <c r="BM50" i="48"/>
  <c r="BN50" i="48"/>
  <c r="BO50" i="48"/>
  <c r="BP50" i="48"/>
  <c r="BQ50" i="48"/>
  <c r="AD42" i="57" s="1"/>
  <c r="BR50" i="48"/>
  <c r="BS50" i="48"/>
  <c r="BT50" i="48"/>
  <c r="BU50" i="48"/>
  <c r="BV50" i="48"/>
  <c r="BW50" i="48"/>
  <c r="BX50" i="48"/>
  <c r="BY50" i="48"/>
  <c r="BZ50" i="48"/>
  <c r="CA50" i="48"/>
  <c r="CB50" i="48"/>
  <c r="CC50" i="48"/>
  <c r="CD50" i="48"/>
  <c r="BU65" i="48"/>
  <c r="BU67" i="48"/>
  <c r="BU69" i="48"/>
  <c r="BU70" i="48" s="1"/>
  <c r="BT74" i="48"/>
  <c r="BV74" i="48"/>
  <c r="BW74" i="48"/>
  <c r="BX74" i="48"/>
  <c r="BY74" i="48"/>
  <c r="BZ74" i="48"/>
  <c r="CA74" i="48"/>
  <c r="CB74" i="48"/>
  <c r="CC74" i="48"/>
  <c r="CD74" i="48"/>
  <c r="CI82" i="48"/>
  <c r="DT137" i="48"/>
  <c r="DU137" i="48"/>
  <c r="DD185" i="48"/>
  <c r="DU194" i="48"/>
  <c r="DW194" i="48"/>
  <c r="DW193" i="48" s="1"/>
  <c r="DW197" i="48"/>
  <c r="DW198" i="48" s="1"/>
  <c r="DZ197" i="48"/>
  <c r="EE197" i="48" s="1"/>
  <c r="EH197" i="48"/>
  <c r="EI197" i="48" s="1"/>
  <c r="EJ197" i="48"/>
  <c r="DW200" i="48"/>
  <c r="DW199" i="48"/>
  <c r="EE200" i="48"/>
  <c r="DO211" i="48"/>
  <c r="DV211" i="48"/>
  <c r="DV212" i="48"/>
  <c r="DV213" i="48"/>
  <c r="DV214" i="48"/>
  <c r="DT215" i="48"/>
  <c r="DV216" i="48"/>
  <c r="DX217" i="48"/>
  <c r="DV220" i="48"/>
  <c r="EA220" i="48"/>
  <c r="EC220" i="48" s="1"/>
  <c r="DV222" i="48"/>
  <c r="DX225" i="48"/>
  <c r="DW226" i="48"/>
  <c r="DX226" i="48" s="1"/>
  <c r="DV228" i="48"/>
  <c r="DZ228" i="48"/>
  <c r="EE228" i="48"/>
  <c r="EF228" i="48"/>
  <c r="DV229" i="48"/>
  <c r="DZ229" i="48"/>
  <c r="EE229" i="48"/>
  <c r="EF229" i="48"/>
  <c r="DV232" i="48"/>
  <c r="DZ232" i="48"/>
  <c r="EF232" i="48"/>
  <c r="DV233" i="48"/>
  <c r="DZ233" i="48"/>
  <c r="DV234" i="48"/>
  <c r="DZ234" i="48"/>
  <c r="DT235" i="48"/>
  <c r="DV235" i="48" s="1"/>
  <c r="EA235" i="48"/>
  <c r="DV239" i="48"/>
  <c r="DZ239" i="48"/>
  <c r="DZ244" i="48"/>
  <c r="DZ245" i="48"/>
  <c r="DZ246" i="48"/>
  <c r="DZ247" i="48"/>
  <c r="DZ248" i="48"/>
  <c r="DZ249" i="48"/>
  <c r="DV254" i="48"/>
  <c r="DX254" i="48"/>
  <c r="DW256" i="48"/>
  <c r="DX256" i="48" s="1"/>
  <c r="DV257" i="48"/>
  <c r="DX257" i="48"/>
  <c r="DT258" i="48"/>
  <c r="DZ258" i="48"/>
  <c r="EB258" i="48" s="1"/>
  <c r="EA258" i="48"/>
  <c r="EC258" i="48" s="1"/>
  <c r="DT264" i="48"/>
  <c r="DU264" i="48"/>
  <c r="DW264" i="48"/>
  <c r="DZ264" i="48"/>
  <c r="EA264" i="48"/>
  <c r="DT267" i="48"/>
  <c r="DU267" i="48"/>
  <c r="EC267" i="48" s="1"/>
  <c r="DT268" i="48"/>
  <c r="DU268" i="48"/>
  <c r="EC268" i="48" s="1"/>
  <c r="DT269" i="48"/>
  <c r="EF269" i="48" s="1"/>
  <c r="DU269" i="48"/>
  <c r="EC269" i="48" s="1"/>
  <c r="DT270" i="48"/>
  <c r="EF270" i="48" s="1"/>
  <c r="DU270" i="48"/>
  <c r="EA271" i="48"/>
  <c r="DN272" i="48"/>
  <c r="DT272" i="48"/>
  <c r="DV272" i="48" s="1"/>
  <c r="DU272" i="48"/>
  <c r="DU273" i="48"/>
  <c r="DX273" i="48" s="1"/>
  <c r="DW273" i="48"/>
  <c r="EA273" i="48"/>
  <c r="DT274" i="48"/>
  <c r="DU276" i="48"/>
  <c r="EC276" i="48"/>
  <c r="EF276" i="48"/>
  <c r="DT278" i="48"/>
  <c r="EF278" i="48" s="1"/>
  <c r="DU278" i="48"/>
  <c r="EC278" i="48" s="1"/>
  <c r="DT280" i="48"/>
  <c r="DU281" i="48"/>
  <c r="DW281" i="48"/>
  <c r="DW312" i="48" s="1"/>
  <c r="DX312" i="48" s="1"/>
  <c r="DT283" i="48"/>
  <c r="DT284" i="48"/>
  <c r="DV284" i="48"/>
  <c r="EE284" i="48"/>
  <c r="EF284" i="48"/>
  <c r="DT285" i="48"/>
  <c r="DV285" i="48"/>
  <c r="EE285" i="48"/>
  <c r="EF285" i="48"/>
  <c r="DT287" i="48"/>
  <c r="DT288" i="48"/>
  <c r="DV288" i="48" s="1"/>
  <c r="EE288" i="48"/>
  <c r="EF288" i="48"/>
  <c r="DT289" i="48"/>
  <c r="DV289" i="48" s="1"/>
  <c r="DT290" i="48"/>
  <c r="DV290" i="48" s="1"/>
  <c r="DU291" i="48"/>
  <c r="DZ291" i="48"/>
  <c r="EA291" i="48"/>
  <c r="DT292" i="48"/>
  <c r="DT294" i="48"/>
  <c r="DT295" i="48"/>
  <c r="DV295" i="48" s="1"/>
  <c r="DT296" i="48"/>
  <c r="DT298" i="48"/>
  <c r="DT299" i="48"/>
  <c r="DT300" i="48"/>
  <c r="DT301" i="48"/>
  <c r="DT302" i="48"/>
  <c r="DT303" i="48"/>
  <c r="DT304" i="48"/>
  <c r="DT305" i="48"/>
  <c r="DT307" i="48"/>
  <c r="DT310" i="48"/>
  <c r="DU310" i="48"/>
  <c r="DX310" i="48" s="1"/>
  <c r="DT311" i="48"/>
  <c r="DU312" i="48"/>
  <c r="DT313" i="48"/>
  <c r="DU313" i="48"/>
  <c r="DW313" i="48"/>
  <c r="EA313" i="48"/>
  <c r="DU314" i="48"/>
  <c r="EC314" i="48" s="1"/>
  <c r="EK322" i="48"/>
  <c r="EK325" i="48"/>
  <c r="EK327" i="48"/>
  <c r="EN333" i="48"/>
  <c r="EN334" i="48"/>
  <c r="EN338" i="48"/>
  <c r="EK345" i="48"/>
  <c r="EN346" i="48"/>
  <c r="EN347" i="48"/>
  <c r="EK350" i="48"/>
  <c r="EN354" i="48"/>
  <c r="EI375" i="48"/>
  <c r="EM375" i="48"/>
  <c r="EP392" i="48"/>
  <c r="EP393" i="48"/>
  <c r="EP394" i="48"/>
  <c r="EP395" i="48"/>
  <c r="EP396" i="48"/>
  <c r="EP397" i="48"/>
  <c r="EP398" i="48"/>
  <c r="EZ400" i="48"/>
  <c r="EP403" i="48"/>
  <c r="EP404" i="48"/>
  <c r="FL405" i="48"/>
  <c r="FM405" i="48"/>
  <c r="EP407" i="48"/>
  <c r="ET407" i="48"/>
  <c r="EP408" i="48"/>
  <c r="ET408" i="48"/>
  <c r="FG408" i="48"/>
  <c r="FH408" i="48"/>
  <c r="FI408" i="48"/>
  <c r="FJ408" i="48"/>
  <c r="FK408" i="48"/>
  <c r="FL408" i="48"/>
  <c r="FM408" i="48"/>
  <c r="FO408" i="48"/>
  <c r="EP409" i="48"/>
  <c r="ET409" i="48"/>
  <c r="EP410" i="48"/>
  <c r="ET410" i="48"/>
  <c r="FG412" i="48"/>
  <c r="FG413" i="48" s="1"/>
  <c r="FH412" i="48"/>
  <c r="FH413" i="48"/>
  <c r="FJ412" i="48"/>
  <c r="FJ413" i="48" s="1"/>
  <c r="FK412" i="48"/>
  <c r="FK413" i="48" s="1"/>
  <c r="FL413" i="48"/>
  <c r="FM413" i="48"/>
  <c r="FO413" i="48"/>
  <c r="EP414" i="48"/>
  <c r="EP415" i="48"/>
  <c r="EP416" i="48"/>
  <c r="EP417" i="48"/>
  <c r="EP418" i="48"/>
  <c r="EP419" i="48"/>
  <c r="ET420" i="48"/>
  <c r="FL426" i="48"/>
  <c r="EX432" i="48"/>
  <c r="EZ432" i="48"/>
  <c r="FB432" i="48"/>
  <c r="G3" i="75"/>
  <c r="H3" i="75" s="1"/>
  <c r="E12" i="75"/>
  <c r="F12" i="75"/>
  <c r="G12" i="75"/>
  <c r="H12" i="75"/>
  <c r="E14" i="75"/>
  <c r="F14" i="75"/>
  <c r="G14" i="75"/>
  <c r="H14" i="75"/>
  <c r="H10" i="53"/>
  <c r="H11" i="53"/>
  <c r="L16" i="53"/>
  <c r="H15" i="53" s="1"/>
  <c r="E26" i="53"/>
  <c r="D26" i="53" s="1"/>
  <c r="C26" i="53" s="1"/>
  <c r="H26" i="53"/>
  <c r="I26" i="53" s="1"/>
  <c r="H36" i="53"/>
  <c r="J36" i="53"/>
  <c r="K36" i="53" s="1"/>
  <c r="M45" i="53"/>
  <c r="M56" i="53" s="1"/>
  <c r="H50" i="53"/>
  <c r="F55" i="53"/>
  <c r="G55" i="53"/>
  <c r="G56" i="53"/>
  <c r="H56" i="53"/>
  <c r="I56" i="53"/>
  <c r="J56" i="53"/>
  <c r="K56" i="53"/>
  <c r="L56" i="53"/>
  <c r="D61" i="53"/>
  <c r="H61" i="53"/>
  <c r="D66" i="53"/>
  <c r="K68" i="53"/>
  <c r="G100" i="53"/>
  <c r="G102" i="53"/>
  <c r="G104" i="53"/>
  <c r="G106" i="53" s="1"/>
  <c r="H102" i="53"/>
  <c r="G105" i="53"/>
  <c r="H105" i="53"/>
  <c r="I105" i="53"/>
  <c r="J105" i="53"/>
  <c r="K105" i="53"/>
  <c r="L105" i="53"/>
  <c r="M105" i="53"/>
  <c r="N105" i="53"/>
  <c r="O105" i="53"/>
  <c r="P105" i="53"/>
  <c r="Q105" i="53"/>
  <c r="R105" i="53"/>
  <c r="G141" i="53"/>
  <c r="H141" i="53"/>
  <c r="I141" i="53"/>
  <c r="J141" i="53"/>
  <c r="K141" i="53"/>
  <c r="L141" i="53"/>
  <c r="M141" i="53"/>
  <c r="N141" i="53"/>
  <c r="O141" i="53"/>
  <c r="P141" i="53"/>
  <c r="Q141" i="53"/>
  <c r="R141" i="53"/>
  <c r="K161" i="53"/>
  <c r="K163" i="53"/>
  <c r="L161" i="53"/>
  <c r="L163" i="53" s="1"/>
  <c r="M161" i="53"/>
  <c r="M163" i="53" s="1"/>
  <c r="N161" i="53"/>
  <c r="N163" i="53" s="1"/>
  <c r="O161" i="53"/>
  <c r="O163" i="53" s="1"/>
  <c r="P161" i="53"/>
  <c r="P163" i="53" s="1"/>
  <c r="Q161" i="53"/>
  <c r="Q163" i="53" s="1"/>
  <c r="R161" i="53"/>
  <c r="R163" i="53" s="1"/>
  <c r="CB2" i="80"/>
  <c r="CF2" i="80"/>
  <c r="CB3" i="80"/>
  <c r="CC3" i="80"/>
  <c r="CD3" i="80"/>
  <c r="CE3" i="80"/>
  <c r="CF3" i="80"/>
  <c r="CG3" i="80"/>
  <c r="CH3" i="80"/>
  <c r="CI3" i="80"/>
  <c r="BH18" i="80"/>
  <c r="BI18" i="80"/>
  <c r="BJ18" i="80"/>
  <c r="BK18" i="80"/>
  <c r="BL18" i="80"/>
  <c r="BM18" i="80"/>
  <c r="BN18" i="80"/>
  <c r="BO18" i="80"/>
  <c r="BP18" i="80"/>
  <c r="BQ18" i="80"/>
  <c r="BR18" i="80"/>
  <c r="BS18" i="80"/>
  <c r="BT18" i="80"/>
  <c r="BU18" i="80"/>
  <c r="BV18" i="80"/>
  <c r="BW18" i="80"/>
  <c r="BX18" i="80"/>
  <c r="BY18" i="80"/>
  <c r="BZ18" i="80"/>
  <c r="CA18" i="80"/>
  <c r="CB18" i="80"/>
  <c r="CC18" i="80"/>
  <c r="CD18" i="80"/>
  <c r="CE18" i="80"/>
  <c r="CF18" i="80"/>
  <c r="CG18" i="80"/>
  <c r="CH18" i="80"/>
  <c r="CI18" i="80"/>
  <c r="BQ21" i="80"/>
  <c r="BR21" i="80"/>
  <c r="BS21" i="80"/>
  <c r="BT21" i="80"/>
  <c r="BU21" i="80"/>
  <c r="BV21" i="80"/>
  <c r="BW21" i="80"/>
  <c r="BW22" i="80" s="1"/>
  <c r="BX21" i="80"/>
  <c r="BY21" i="80"/>
  <c r="CA21" i="80"/>
  <c r="CB21" i="80"/>
  <c r="CC21" i="80"/>
  <c r="CD21" i="80"/>
  <c r="CE21" i="80"/>
  <c r="CF21" i="80"/>
  <c r="CG21" i="80"/>
  <c r="CG22" i="80" s="1"/>
  <c r="CH21" i="80"/>
  <c r="CI21" i="80"/>
  <c r="CI22" i="80" s="1"/>
  <c r="BQ24" i="80"/>
  <c r="BR24" i="80"/>
  <c r="BS24" i="80"/>
  <c r="BT24" i="80"/>
  <c r="BU24" i="80"/>
  <c r="BU25" i="80" s="1"/>
  <c r="BV24" i="80"/>
  <c r="BV25" i="80" s="1"/>
  <c r="BW24" i="80"/>
  <c r="BX24" i="80"/>
  <c r="BX25" i="80" s="1"/>
  <c r="BY24" i="80"/>
  <c r="BZ24" i="80"/>
  <c r="CA24" i="80"/>
  <c r="CB24" i="80"/>
  <c r="CC24" i="80"/>
  <c r="CD24" i="80"/>
  <c r="CE24" i="80"/>
  <c r="CF24" i="80"/>
  <c r="CG24" i="80"/>
  <c r="CG25" i="80" s="1"/>
  <c r="CH24" i="80"/>
  <c r="CI24" i="80"/>
  <c r="CI25" i="80" s="1"/>
  <c r="BQ27" i="80"/>
  <c r="BR27" i="80"/>
  <c r="BS27" i="80"/>
  <c r="BT27" i="80"/>
  <c r="BU27" i="80"/>
  <c r="BV27" i="80"/>
  <c r="BW27" i="80"/>
  <c r="BX27" i="80"/>
  <c r="BX28" i="80" s="1"/>
  <c r="BY27" i="80"/>
  <c r="BZ27" i="80"/>
  <c r="CA27" i="80"/>
  <c r="CB27" i="80"/>
  <c r="CB28" i="80" s="1"/>
  <c r="CC27" i="80"/>
  <c r="CD27" i="80"/>
  <c r="CD28" i="80" s="1"/>
  <c r="CE27" i="80"/>
  <c r="CF27" i="80"/>
  <c r="CG27" i="80"/>
  <c r="CH27" i="80"/>
  <c r="CI27" i="80"/>
  <c r="CI28" i="80" s="1"/>
  <c r="BQ30" i="80"/>
  <c r="BR30" i="80"/>
  <c r="BS30" i="80"/>
  <c r="BT30" i="80"/>
  <c r="BU30" i="80"/>
  <c r="BV30" i="80"/>
  <c r="BW30" i="80"/>
  <c r="BX30" i="80"/>
  <c r="BY30" i="80"/>
  <c r="BZ30" i="80"/>
  <c r="CA30" i="80"/>
  <c r="CB30" i="80"/>
  <c r="CC30" i="80"/>
  <c r="CC31" i="80" s="1"/>
  <c r="CD30" i="80"/>
  <c r="CE30" i="80"/>
  <c r="CF30" i="80"/>
  <c r="CG30" i="80"/>
  <c r="CH30" i="80"/>
  <c r="CI30" i="80"/>
  <c r="BQ35" i="80"/>
  <c r="BR35" i="80"/>
  <c r="BS35" i="80"/>
  <c r="BT35" i="80"/>
  <c r="BU35" i="80"/>
  <c r="BV35" i="80"/>
  <c r="BW35" i="80"/>
  <c r="BX35" i="80"/>
  <c r="BY35" i="80"/>
  <c r="BZ35" i="80"/>
  <c r="CA35" i="80"/>
  <c r="CA36" i="80" s="1"/>
  <c r="CB35" i="80"/>
  <c r="CC35" i="80"/>
  <c r="CD35" i="80"/>
  <c r="CD36" i="80" s="1"/>
  <c r="CE35" i="80"/>
  <c r="CF35" i="80"/>
  <c r="CG35" i="80"/>
  <c r="CH35" i="80"/>
  <c r="CI35" i="80"/>
  <c r="CI36" i="80" s="1"/>
  <c r="BQ38" i="80"/>
  <c r="BR38" i="80"/>
  <c r="BS38" i="80"/>
  <c r="BT38" i="80"/>
  <c r="BU38" i="80"/>
  <c r="BU39" i="80" s="1"/>
  <c r="BV38" i="80"/>
  <c r="BW38" i="80"/>
  <c r="BX38" i="80"/>
  <c r="BY38" i="80"/>
  <c r="BZ38" i="80"/>
  <c r="CA38" i="80"/>
  <c r="CA39" i="80" s="1"/>
  <c r="CB38" i="80"/>
  <c r="CB39" i="80" s="1"/>
  <c r="CC38" i="80"/>
  <c r="CD38" i="80"/>
  <c r="CD39" i="80" s="1"/>
  <c r="CE38" i="80"/>
  <c r="CE39" i="80" s="1"/>
  <c r="CF38" i="80"/>
  <c r="CG38" i="80"/>
  <c r="CH38" i="80"/>
  <c r="CI38" i="80"/>
  <c r="CI39" i="80" s="1"/>
  <c r="BQ41" i="80"/>
  <c r="BR41" i="80"/>
  <c r="BS41" i="80"/>
  <c r="BT41" i="80"/>
  <c r="BU41" i="80"/>
  <c r="BU42" i="80" s="1"/>
  <c r="BV41" i="80"/>
  <c r="BW41" i="80"/>
  <c r="BW42" i="80" s="1"/>
  <c r="BX41" i="80"/>
  <c r="BX42" i="80" s="1"/>
  <c r="BY41" i="80"/>
  <c r="BY42" i="80" s="1"/>
  <c r="BZ41" i="80"/>
  <c r="CA41" i="80"/>
  <c r="CB41" i="80"/>
  <c r="CC41" i="80"/>
  <c r="CD41" i="80"/>
  <c r="CE41" i="80"/>
  <c r="CE42" i="80" s="1"/>
  <c r="CF41" i="80"/>
  <c r="CG41" i="80"/>
  <c r="CH41" i="80"/>
  <c r="CI41" i="80"/>
  <c r="CI42" i="80" s="1"/>
  <c r="BQ44" i="80"/>
  <c r="BR44" i="80"/>
  <c r="BS44" i="80"/>
  <c r="BT44" i="80"/>
  <c r="BU44" i="80"/>
  <c r="BV44" i="80"/>
  <c r="BW44" i="80"/>
  <c r="BW45" i="80" s="1"/>
  <c r="BX44" i="80"/>
  <c r="BY44" i="80"/>
  <c r="BZ44" i="80"/>
  <c r="CA44" i="80"/>
  <c r="CB44" i="80"/>
  <c r="CC44" i="80"/>
  <c r="CC45" i="80" s="1"/>
  <c r="CD44" i="80"/>
  <c r="CE44" i="80"/>
  <c r="CE45" i="80" s="1"/>
  <c r="CF44" i="80"/>
  <c r="CG44" i="80"/>
  <c r="CH44" i="80"/>
  <c r="CI44" i="80"/>
  <c r="CI45" i="80" s="1"/>
  <c r="BQ49" i="80"/>
  <c r="BR49" i="80"/>
  <c r="BS49" i="80"/>
  <c r="BT49" i="80"/>
  <c r="BU49" i="80"/>
  <c r="BV49" i="80"/>
  <c r="BW49" i="80"/>
  <c r="BX49" i="80"/>
  <c r="BY49" i="80"/>
  <c r="BZ49" i="80"/>
  <c r="CA49" i="80"/>
  <c r="CB49" i="80"/>
  <c r="CC49" i="80"/>
  <c r="CD49" i="80"/>
  <c r="CE49" i="80"/>
  <c r="CF49" i="80"/>
  <c r="CG49" i="80"/>
  <c r="CH49" i="80"/>
  <c r="CI49" i="80"/>
  <c r="BQ52" i="80"/>
  <c r="BR52" i="80"/>
  <c r="BS52" i="80"/>
  <c r="BT52" i="80"/>
  <c r="BU52" i="80"/>
  <c r="BU53" i="80" s="1"/>
  <c r="BV52" i="80"/>
  <c r="BW52" i="80"/>
  <c r="BX52" i="80"/>
  <c r="BX53" i="80" s="1"/>
  <c r="BY52" i="80"/>
  <c r="BZ52" i="80"/>
  <c r="CA52" i="80"/>
  <c r="CB52" i="80"/>
  <c r="CC52" i="80"/>
  <c r="CC53" i="80" s="1"/>
  <c r="CD52" i="80"/>
  <c r="CE52" i="80"/>
  <c r="CF52" i="80"/>
  <c r="CG52" i="80"/>
  <c r="CH52" i="80"/>
  <c r="CI52" i="80"/>
  <c r="BQ55" i="80"/>
  <c r="BR55" i="80"/>
  <c r="BS55" i="80"/>
  <c r="BT55" i="80"/>
  <c r="BU55" i="80"/>
  <c r="BV55" i="80"/>
  <c r="BW55" i="80"/>
  <c r="BX55" i="80"/>
  <c r="BY55" i="80"/>
  <c r="BZ55" i="80"/>
  <c r="CA55" i="80"/>
  <c r="CB55" i="80"/>
  <c r="CC55" i="80"/>
  <c r="CD55" i="80"/>
  <c r="CE55" i="80"/>
  <c r="CE56" i="80" s="1"/>
  <c r="CF55" i="80"/>
  <c r="CG55" i="80"/>
  <c r="CH55" i="80"/>
  <c r="CI55" i="80"/>
  <c r="BQ58" i="80"/>
  <c r="BR58" i="80"/>
  <c r="BS58" i="80"/>
  <c r="BT58" i="80"/>
  <c r="BU58" i="80"/>
  <c r="BV58" i="80"/>
  <c r="BW58" i="80"/>
  <c r="BX58" i="80"/>
  <c r="BY58" i="80"/>
  <c r="BZ58" i="80"/>
  <c r="CA58" i="80"/>
  <c r="CB58" i="80"/>
  <c r="CC58" i="80"/>
  <c r="CD58" i="80"/>
  <c r="CE58" i="80"/>
  <c r="CF58" i="80"/>
  <c r="CF59" i="80" s="1"/>
  <c r="CG58" i="80"/>
  <c r="CH58" i="80"/>
  <c r="CI58" i="80"/>
  <c r="P64" i="80"/>
  <c r="Q64" i="80"/>
  <c r="R64" i="80"/>
  <c r="S64" i="80"/>
  <c r="T64" i="80"/>
  <c r="J20" i="73"/>
  <c r="N22" i="73"/>
  <c r="N32" i="73"/>
  <c r="O32" i="73" s="1"/>
  <c r="P32" i="73" s="1"/>
  <c r="Q32" i="73" s="1"/>
  <c r="R32" i="73" s="1"/>
  <c r="S32" i="73" s="1"/>
  <c r="T32" i="73" s="1"/>
  <c r="J40" i="73"/>
  <c r="N42" i="73"/>
  <c r="O42" i="73"/>
  <c r="P42" i="73" s="1"/>
  <c r="Q42" i="73" s="1"/>
  <c r="R42" i="73" s="1"/>
  <c r="S42" i="73" s="1"/>
  <c r="T42" i="73" s="1"/>
  <c r="N52" i="73"/>
  <c r="O52" i="73" s="1"/>
  <c r="P52" i="73" s="1"/>
  <c r="Q52" i="73" s="1"/>
  <c r="R52" i="73" s="1"/>
  <c r="S52" i="73" s="1"/>
  <c r="T52" i="73" s="1"/>
  <c r="J60" i="73"/>
  <c r="N62" i="73"/>
  <c r="O62" i="73" s="1"/>
  <c r="P62" i="73" s="1"/>
  <c r="Q62" i="73" s="1"/>
  <c r="R62" i="73" s="1"/>
  <c r="S62" i="73" s="1"/>
  <c r="T62" i="73" s="1"/>
  <c r="N72" i="73"/>
  <c r="O72" i="73" s="1"/>
  <c r="P72" i="73" s="1"/>
  <c r="Q72" i="73" s="1"/>
  <c r="R72" i="73" s="1"/>
  <c r="S72" i="73" s="1"/>
  <c r="T72" i="73" s="1"/>
  <c r="D6" i="52"/>
  <c r="E6" i="52"/>
  <c r="F6" i="52"/>
  <c r="F27" i="52" s="1"/>
  <c r="G6" i="52"/>
  <c r="G27" i="52" s="1"/>
  <c r="H6" i="52"/>
  <c r="H27" i="52" s="1"/>
  <c r="I6" i="52"/>
  <c r="I27" i="52" s="1"/>
  <c r="N6" i="52"/>
  <c r="N27" i="52" s="1"/>
  <c r="D10" i="52"/>
  <c r="D15" i="52"/>
  <c r="E15" i="52"/>
  <c r="F15" i="52"/>
  <c r="G15" i="52"/>
  <c r="H15" i="52"/>
  <c r="I15" i="52"/>
  <c r="J15" i="52"/>
  <c r="K15" i="52"/>
  <c r="L15" i="52"/>
  <c r="M15" i="52"/>
  <c r="N15" i="52"/>
  <c r="O15" i="52"/>
  <c r="P15" i="52"/>
  <c r="Q15" i="52"/>
  <c r="R15" i="52"/>
  <c r="S15" i="52"/>
  <c r="T15" i="52"/>
  <c r="U15" i="52"/>
  <c r="V15" i="52"/>
  <c r="W15" i="52"/>
  <c r="X15" i="52"/>
  <c r="Y15" i="52"/>
  <c r="D24" i="52"/>
  <c r="E24" i="52"/>
  <c r="F24" i="52"/>
  <c r="G24" i="52"/>
  <c r="H24" i="52"/>
  <c r="I24" i="52"/>
  <c r="J24" i="52"/>
  <c r="K24" i="52"/>
  <c r="L24" i="52"/>
  <c r="M24" i="52"/>
  <c r="N24" i="52"/>
  <c r="O24" i="52"/>
  <c r="P24" i="52"/>
  <c r="Q24" i="52"/>
  <c r="R24" i="52"/>
  <c r="S24" i="52"/>
  <c r="T24" i="52"/>
  <c r="U24" i="52"/>
  <c r="V24" i="52"/>
  <c r="W24" i="52"/>
  <c r="X24" i="52"/>
  <c r="Y24" i="52"/>
  <c r="D37" i="52"/>
  <c r="E37" i="52"/>
  <c r="F37" i="52"/>
  <c r="G37" i="52"/>
  <c r="H37" i="52"/>
  <c r="I37" i="52"/>
  <c r="J37" i="52"/>
  <c r="K37" i="52"/>
  <c r="L37" i="52"/>
  <c r="M37" i="52"/>
  <c r="N37" i="52"/>
  <c r="O37" i="52"/>
  <c r="P37" i="52"/>
  <c r="Q37" i="52"/>
  <c r="R37" i="52"/>
  <c r="S37" i="52"/>
  <c r="T37" i="52"/>
  <c r="U37" i="52"/>
  <c r="V37" i="52"/>
  <c r="W37" i="52"/>
  <c r="X37" i="52"/>
  <c r="Y37" i="52"/>
  <c r="D41" i="52"/>
  <c r="E41" i="52"/>
  <c r="F41" i="52"/>
  <c r="G41" i="52"/>
  <c r="H41" i="52"/>
  <c r="I41" i="52"/>
  <c r="N41" i="52"/>
  <c r="D44" i="52"/>
  <c r="E44" i="52"/>
  <c r="F44" i="52"/>
  <c r="G44" i="52"/>
  <c r="H44" i="52"/>
  <c r="H45" i="52" s="1"/>
  <c r="I44" i="52"/>
  <c r="J44" i="52"/>
  <c r="J47" i="52" s="1"/>
  <c r="N44" i="52"/>
  <c r="N47" i="52"/>
  <c r="K46" i="52"/>
  <c r="L46" i="52"/>
  <c r="M46" i="52"/>
  <c r="D50" i="52"/>
  <c r="D49" i="52" s="1"/>
  <c r="D122" i="52" s="1"/>
  <c r="E50" i="52"/>
  <c r="E49" i="52" s="1"/>
  <c r="E122" i="52" s="1"/>
  <c r="F50" i="52"/>
  <c r="G50" i="52"/>
  <c r="G49" i="52" s="1"/>
  <c r="G122" i="52" s="1"/>
  <c r="H50" i="52"/>
  <c r="H49" i="52" s="1"/>
  <c r="H122" i="52" s="1"/>
  <c r="I50" i="52"/>
  <c r="I61" i="52"/>
  <c r="I62" i="52" s="1"/>
  <c r="J50" i="52"/>
  <c r="N50" i="52"/>
  <c r="N49" i="52" s="1"/>
  <c r="N122" i="52" s="1"/>
  <c r="O122" i="52" s="1"/>
  <c r="P122" i="52" s="1"/>
  <c r="Q122" i="52" s="1"/>
  <c r="R122" i="52" s="1"/>
  <c r="S122" i="52" s="1"/>
  <c r="T122" i="52" s="1"/>
  <c r="U122" i="52" s="1"/>
  <c r="V122" i="52" s="1"/>
  <c r="W122" i="52" s="1"/>
  <c r="X122" i="52" s="1"/>
  <c r="Y122" i="52" s="1"/>
  <c r="D53" i="52"/>
  <c r="E53" i="52"/>
  <c r="F53" i="52"/>
  <c r="G53" i="52"/>
  <c r="H53" i="52"/>
  <c r="I53" i="52"/>
  <c r="J53" i="52"/>
  <c r="K53" i="52"/>
  <c r="L53" i="52"/>
  <c r="M53" i="52"/>
  <c r="N53" i="52"/>
  <c r="O53" i="52"/>
  <c r="P53" i="52"/>
  <c r="Q53" i="52"/>
  <c r="R53" i="52"/>
  <c r="S53" i="52"/>
  <c r="T53" i="52"/>
  <c r="U53" i="52"/>
  <c r="V53" i="52"/>
  <c r="W53" i="52"/>
  <c r="X53" i="52"/>
  <c r="Y53" i="52"/>
  <c r="J55" i="52"/>
  <c r="J41" i="52" s="1"/>
  <c r="J42" i="52" s="1"/>
  <c r="K55" i="52"/>
  <c r="L55" i="52"/>
  <c r="M55" i="52"/>
  <c r="M6" i="52" s="1"/>
  <c r="M27" i="52" s="1"/>
  <c r="K56" i="52"/>
  <c r="L56" i="52"/>
  <c r="M56" i="52"/>
  <c r="K57" i="52"/>
  <c r="L57" i="52"/>
  <c r="M57" i="52"/>
  <c r="K58" i="52"/>
  <c r="L58" i="52"/>
  <c r="M58" i="52"/>
  <c r="K59" i="52"/>
  <c r="L59" i="52"/>
  <c r="M59" i="52"/>
  <c r="K60" i="52"/>
  <c r="K44" i="52" s="1"/>
  <c r="K45" i="52" s="1"/>
  <c r="L60" i="52"/>
  <c r="M60" i="52"/>
  <c r="D86" i="52"/>
  <c r="E86" i="52"/>
  <c r="F86" i="52"/>
  <c r="G86" i="52"/>
  <c r="H86" i="52"/>
  <c r="I86" i="52"/>
  <c r="J86" i="52"/>
  <c r="K86" i="52"/>
  <c r="L86" i="52"/>
  <c r="M86" i="52"/>
  <c r="N86" i="52"/>
  <c r="O86" i="52"/>
  <c r="P86" i="52"/>
  <c r="Q86" i="52"/>
  <c r="R86" i="52"/>
  <c r="S86" i="52"/>
  <c r="T86" i="52"/>
  <c r="U86" i="52"/>
  <c r="V86" i="52"/>
  <c r="W86" i="52"/>
  <c r="X86" i="52"/>
  <c r="Y86" i="52"/>
  <c r="B88" i="52"/>
  <c r="B89" i="52"/>
  <c r="B90" i="52"/>
  <c r="B91" i="52"/>
  <c r="B92" i="52"/>
  <c r="B93" i="52"/>
  <c r="B94" i="52"/>
  <c r="B95" i="52"/>
  <c r="B96" i="52"/>
  <c r="B97" i="52"/>
  <c r="B98" i="52"/>
  <c r="B99" i="52"/>
  <c r="B100" i="52"/>
  <c r="B101" i="52"/>
  <c r="B102" i="52"/>
  <c r="B103" i="52"/>
  <c r="B104" i="52"/>
  <c r="B105" i="52"/>
  <c r="B106" i="52"/>
  <c r="A107" i="52"/>
  <c r="A108" i="52" s="1"/>
  <c r="B107" i="52"/>
  <c r="D120" i="52"/>
  <c r="E120" i="52"/>
  <c r="F120" i="52"/>
  <c r="G120" i="52"/>
  <c r="H120" i="52"/>
  <c r="I120" i="52"/>
  <c r="J120" i="52"/>
  <c r="K120" i="52"/>
  <c r="L120" i="52"/>
  <c r="M120" i="52"/>
  <c r="N120" i="52"/>
  <c r="O120" i="52"/>
  <c r="P120" i="52"/>
  <c r="Q120" i="52"/>
  <c r="R120" i="52"/>
  <c r="S120" i="52"/>
  <c r="T120" i="52"/>
  <c r="U120" i="52"/>
  <c r="V120" i="52"/>
  <c r="W120" i="52"/>
  <c r="X120" i="52"/>
  <c r="Y120" i="52"/>
  <c r="B126" i="52"/>
  <c r="B127" i="52" s="1"/>
  <c r="B128" i="52" s="1"/>
  <c r="B129" i="52" s="1"/>
  <c r="B130" i="52" s="1"/>
  <c r="B131" i="52" s="1"/>
  <c r="B132" i="52" s="1"/>
  <c r="B133" i="52" s="1"/>
  <c r="B134" i="52" s="1"/>
  <c r="B135" i="52" s="1"/>
  <c r="B136" i="52" s="1"/>
  <c r="B137" i="52" s="1"/>
  <c r="B138" i="52" s="1"/>
  <c r="B139" i="52" s="1"/>
  <c r="B140" i="52" s="1"/>
  <c r="B141" i="52" s="1"/>
  <c r="B142" i="52" s="1"/>
  <c r="B143" i="52" s="1"/>
  <c r="B144" i="52" s="1"/>
  <c r="Q3" i="15"/>
  <c r="CF5" i="15"/>
  <c r="CJ5" i="15"/>
  <c r="CN5" i="15"/>
  <c r="E6" i="15"/>
  <c r="F6" i="15"/>
  <c r="G6" i="15"/>
  <c r="H6" i="15"/>
  <c r="I6" i="15"/>
  <c r="J6" i="15"/>
  <c r="K6" i="15"/>
  <c r="CF6" i="15"/>
  <c r="CG6" i="15"/>
  <c r="CH6" i="15"/>
  <c r="CI6" i="15"/>
  <c r="CJ6" i="15"/>
  <c r="CJ109" i="15" s="1"/>
  <c r="CK6" i="15"/>
  <c r="CK109" i="15" s="1"/>
  <c r="CL6" i="15"/>
  <c r="CL109" i="15" s="1"/>
  <c r="CM6" i="15"/>
  <c r="CM109" i="15" s="1"/>
  <c r="CN6" i="15"/>
  <c r="CN109" i="15" s="1"/>
  <c r="CO6" i="15"/>
  <c r="CO109" i="15" s="1"/>
  <c r="CP6" i="15"/>
  <c r="CP109" i="15" s="1"/>
  <c r="CQ6" i="15"/>
  <c r="CQ109" i="15" s="1"/>
  <c r="AH8" i="15"/>
  <c r="AI8" i="15"/>
  <c r="AJ8" i="15"/>
  <c r="AK8" i="15"/>
  <c r="AL8" i="15" s="1"/>
  <c r="AM8" i="15" s="1"/>
  <c r="AN8" i="15"/>
  <c r="AO8" i="15"/>
  <c r="AR8" i="15"/>
  <c r="AS8" i="15"/>
  <c r="AT8" i="15" s="1"/>
  <c r="AV8" i="15"/>
  <c r="AW8" i="15" s="1"/>
  <c r="AX8" i="15" s="1"/>
  <c r="AY8" i="15" s="1"/>
  <c r="AZ8" i="15"/>
  <c r="BD8" i="15"/>
  <c r="BE8" i="15"/>
  <c r="BH8" i="15"/>
  <c r="BI8" i="15" s="1"/>
  <c r="BM8" i="15"/>
  <c r="AH9" i="15"/>
  <c r="AI9" i="15" s="1"/>
  <c r="AJ9" i="15"/>
  <c r="AN9" i="15"/>
  <c r="AO9" i="15" s="1"/>
  <c r="AR9" i="15"/>
  <c r="AS9" i="15" s="1"/>
  <c r="AV9" i="15"/>
  <c r="AW9" i="15" s="1"/>
  <c r="AZ9" i="15"/>
  <c r="BD9" i="15"/>
  <c r="BH9" i="15"/>
  <c r="BI9" i="15" s="1"/>
  <c r="BQ9" i="15"/>
  <c r="BU9" i="15"/>
  <c r="CL9" i="15"/>
  <c r="CL184" i="14" s="1"/>
  <c r="CM9" i="15"/>
  <c r="CM184" i="14" s="1"/>
  <c r="CM172" i="14" s="1"/>
  <c r="AH10" i="15"/>
  <c r="AI10" i="15"/>
  <c r="AJ10" i="15"/>
  <c r="AK10" i="15"/>
  <c r="AN10" i="15"/>
  <c r="AO10" i="15"/>
  <c r="AP10" i="15" s="1"/>
  <c r="AR10" i="15"/>
  <c r="AS10" i="15" s="1"/>
  <c r="AT10" i="15" s="1"/>
  <c r="AV10" i="15"/>
  <c r="AW10" i="15" s="1"/>
  <c r="AZ10" i="15"/>
  <c r="BD10" i="15"/>
  <c r="BE10" i="15" s="1"/>
  <c r="BH10" i="15"/>
  <c r="BI10" i="15" s="1"/>
  <c r="BM10" i="15"/>
  <c r="BS10" i="15"/>
  <c r="N10" i="15" s="1"/>
  <c r="BT10" i="15"/>
  <c r="BU10" i="15" s="1"/>
  <c r="CM10" i="15"/>
  <c r="G11" i="15"/>
  <c r="P11" i="15"/>
  <c r="Q11" i="15"/>
  <c r="R11" i="15"/>
  <c r="S11" i="15"/>
  <c r="AH11" i="15"/>
  <c r="AI11" i="15" s="1"/>
  <c r="AR11" i="15"/>
  <c r="AS11" i="15" s="1"/>
  <c r="AV11" i="15"/>
  <c r="AW11" i="15" s="1"/>
  <c r="AX11" i="15" s="1"/>
  <c r="AY11" i="15" s="1"/>
  <c r="AZ11" i="15"/>
  <c r="BD11" i="15"/>
  <c r="BE11" i="15" s="1"/>
  <c r="BH11" i="15"/>
  <c r="BI11" i="15" s="1"/>
  <c r="BL11" i="15"/>
  <c r="BM11" i="15" s="1"/>
  <c r="BN11" i="15" s="1"/>
  <c r="BQ11" i="15"/>
  <c r="BU11" i="15"/>
  <c r="G12" i="15"/>
  <c r="L12" i="15"/>
  <c r="N12" i="15"/>
  <c r="O12" i="15"/>
  <c r="P12" i="15"/>
  <c r="Q12" i="15"/>
  <c r="R12" i="15"/>
  <c r="S12" i="15"/>
  <c r="T12" i="15"/>
  <c r="AI12" i="15"/>
  <c r="AR12" i="15"/>
  <c r="AS12" i="15" s="1"/>
  <c r="AV12" i="15"/>
  <c r="AW12" i="15" s="1"/>
  <c r="AZ12" i="15"/>
  <c r="BD12" i="15"/>
  <c r="BE12" i="15" s="1"/>
  <c r="K13" i="15"/>
  <c r="P13" i="15"/>
  <c r="Q13" i="15"/>
  <c r="R13" i="15"/>
  <c r="S13" i="15"/>
  <c r="X13" i="15"/>
  <c r="Y13" i="15"/>
  <c r="Z13" i="15"/>
  <c r="AI13" i="15"/>
  <c r="AJ13" i="15"/>
  <c r="AK13" i="15" s="1"/>
  <c r="AL13" i="15" s="1"/>
  <c r="AN13" i="15"/>
  <c r="AR13" i="15"/>
  <c r="AS13" i="15" s="1"/>
  <c r="AT13" i="15" s="1"/>
  <c r="AV13" i="15"/>
  <c r="AZ13" i="15"/>
  <c r="BA13" i="15" s="1"/>
  <c r="BC13" i="15" s="1"/>
  <c r="BH13" i="15"/>
  <c r="BI13" i="15"/>
  <c r="BJ13" i="15" s="1"/>
  <c r="BM13" i="15"/>
  <c r="BR13" i="15"/>
  <c r="BU13" i="15"/>
  <c r="T13" i="15"/>
  <c r="DH13" i="15"/>
  <c r="DH32" i="15" s="1"/>
  <c r="G14" i="15"/>
  <c r="L14" i="15"/>
  <c r="N14" i="15"/>
  <c r="O14" i="15"/>
  <c r="R14" i="15"/>
  <c r="S14" i="15"/>
  <c r="T14" i="15"/>
  <c r="AH14" i="15"/>
  <c r="AI14" i="15" s="1"/>
  <c r="AR14" i="15"/>
  <c r="AS14" i="15"/>
  <c r="AV14" i="15"/>
  <c r="AW14" i="15" s="1"/>
  <c r="AZ14" i="15"/>
  <c r="BA14" i="15"/>
  <c r="BB14" i="15" s="1"/>
  <c r="BD14" i="15"/>
  <c r="BE14" i="15" s="1"/>
  <c r="G15" i="15"/>
  <c r="N15" i="15"/>
  <c r="O15" i="15"/>
  <c r="R15" i="15"/>
  <c r="S15" i="15"/>
  <c r="T15" i="15"/>
  <c r="AR15" i="15"/>
  <c r="AS15" i="15" s="1"/>
  <c r="AT15" i="15" s="1"/>
  <c r="AV15" i="15"/>
  <c r="AW15" i="15" s="1"/>
  <c r="AX15" i="15" s="1"/>
  <c r="AY15" i="15" s="1"/>
  <c r="I15" i="15" s="1"/>
  <c r="AZ15" i="15"/>
  <c r="L16" i="15"/>
  <c r="M16" i="15"/>
  <c r="N16" i="15"/>
  <c r="O16" i="15"/>
  <c r="R16" i="15"/>
  <c r="S16" i="15"/>
  <c r="T16" i="15"/>
  <c r="AH16" i="15"/>
  <c r="AI16" i="15" s="1"/>
  <c r="AJ16" i="15"/>
  <c r="AK16" i="15" s="1"/>
  <c r="AN16" i="15"/>
  <c r="AO16" i="15" s="1"/>
  <c r="AR16" i="15"/>
  <c r="AS16" i="15" s="1"/>
  <c r="AV16" i="15"/>
  <c r="AW16" i="15" s="1"/>
  <c r="AZ16" i="15"/>
  <c r="BD16" i="15"/>
  <c r="G17" i="15"/>
  <c r="N17" i="15"/>
  <c r="O17" i="15"/>
  <c r="R17" i="15"/>
  <c r="S17" i="15"/>
  <c r="T17" i="15"/>
  <c r="AH17" i="15"/>
  <c r="AI17" i="15" s="1"/>
  <c r="AR17" i="15"/>
  <c r="AV17" i="15"/>
  <c r="AW17" i="15" s="1"/>
  <c r="AX17" i="15" s="1"/>
  <c r="AY17" i="15" s="1"/>
  <c r="I17" i="15" s="1"/>
  <c r="AZ17" i="15"/>
  <c r="N18" i="15"/>
  <c r="O18" i="15"/>
  <c r="R18" i="15"/>
  <c r="S18" i="15"/>
  <c r="T18" i="15"/>
  <c r="AH18" i="15"/>
  <c r="AI18" i="15" s="1"/>
  <c r="AQ18" i="15"/>
  <c r="G18" i="15" s="1"/>
  <c r="AR18" i="15"/>
  <c r="AV18" i="15"/>
  <c r="AW18" i="15"/>
  <c r="AZ18" i="15"/>
  <c r="BD18" i="15"/>
  <c r="BE18" i="15" s="1"/>
  <c r="BK18" i="15"/>
  <c r="L18" i="15" s="1"/>
  <c r="F19" i="15"/>
  <c r="N19" i="15"/>
  <c r="R19" i="15"/>
  <c r="S19" i="15"/>
  <c r="T19" i="15"/>
  <c r="AN19" i="15"/>
  <c r="AR19" i="15"/>
  <c r="AS19" i="15" s="1"/>
  <c r="AT19" i="15" s="1"/>
  <c r="AU19" i="15" s="1"/>
  <c r="AV19" i="15"/>
  <c r="AZ19" i="15"/>
  <c r="BA19" i="15" s="1"/>
  <c r="BV19" i="15"/>
  <c r="O19" i="15" s="1"/>
  <c r="P20" i="15"/>
  <c r="Q20" i="15"/>
  <c r="R20" i="15"/>
  <c r="S20" i="15"/>
  <c r="T20" i="15"/>
  <c r="AH20" i="15"/>
  <c r="AI20" i="15" s="1"/>
  <c r="AL20" i="15"/>
  <c r="F20" i="15" s="1"/>
  <c r="AO20" i="15"/>
  <c r="AR20" i="15"/>
  <c r="AS20" i="15"/>
  <c r="AT20" i="15" s="1"/>
  <c r="AU20" i="15" s="1"/>
  <c r="AV20" i="15"/>
  <c r="AW20" i="15" s="1"/>
  <c r="AZ20" i="15"/>
  <c r="BD20" i="15"/>
  <c r="BE20" i="15" s="1"/>
  <c r="BM20" i="15"/>
  <c r="BQ20" i="15"/>
  <c r="BR20" i="15" s="1"/>
  <c r="BU20" i="15"/>
  <c r="BV20" i="15"/>
  <c r="EF20" i="15"/>
  <c r="EF32" i="15"/>
  <c r="EG20" i="15"/>
  <c r="EH20" i="15"/>
  <c r="BH20" i="15" s="1"/>
  <c r="EI20" i="15"/>
  <c r="EI32" i="15" s="1"/>
  <c r="EJ20" i="15"/>
  <c r="EK20" i="15"/>
  <c r="EN20" i="15"/>
  <c r="EN32" i="15" s="1"/>
  <c r="EO20" i="15"/>
  <c r="G21" i="15"/>
  <c r="AR21" i="15"/>
  <c r="AS21" i="15" s="1"/>
  <c r="AT21" i="15" s="1"/>
  <c r="AU21" i="15" s="1"/>
  <c r="AV21" i="15"/>
  <c r="AW21" i="15" s="1"/>
  <c r="AX21" i="15" s="1"/>
  <c r="AY21" i="15" s="1"/>
  <c r="AZ21" i="15"/>
  <c r="BA21" i="15" s="1"/>
  <c r="BD21" i="15"/>
  <c r="BH21" i="15"/>
  <c r="BM21" i="15"/>
  <c r="BN21" i="15" s="1"/>
  <c r="BP21" i="15"/>
  <c r="BQ21" i="15" s="1"/>
  <c r="BT21" i="15"/>
  <c r="BU21" i="15" s="1"/>
  <c r="BW21" i="15"/>
  <c r="BX21" i="15"/>
  <c r="P21" i="15" s="1"/>
  <c r="CD21" i="15"/>
  <c r="CE21" i="15"/>
  <c r="CF21" i="15"/>
  <c r="CG21" i="15"/>
  <c r="CH21" i="15"/>
  <c r="CI21" i="15"/>
  <c r="CJ21" i="15"/>
  <c r="CK21" i="15"/>
  <c r="CL21" i="15"/>
  <c r="CM21" i="15"/>
  <c r="CN21" i="15"/>
  <c r="EG21" i="15"/>
  <c r="EG32" i="15" s="1"/>
  <c r="EJ21" i="15"/>
  <c r="EK21" i="15"/>
  <c r="G22" i="15"/>
  <c r="N22" i="15"/>
  <c r="O22" i="15"/>
  <c r="AR22" i="15"/>
  <c r="AS22" i="15" s="1"/>
  <c r="AT22" i="15" s="1"/>
  <c r="AU22" i="15" s="1"/>
  <c r="AV22" i="15"/>
  <c r="AW22" i="15" s="1"/>
  <c r="AX22" i="15" s="1"/>
  <c r="AY22" i="15" s="1"/>
  <c r="AZ22" i="15"/>
  <c r="BA22" i="15" s="1"/>
  <c r="P23" i="15"/>
  <c r="Q23" i="15"/>
  <c r="R23" i="15"/>
  <c r="S23" i="15"/>
  <c r="AH23" i="15"/>
  <c r="AI23" i="15" s="1"/>
  <c r="AJ23" i="15"/>
  <c r="AN23" i="15"/>
  <c r="AO23" i="15" s="1"/>
  <c r="AR23" i="15"/>
  <c r="AV23" i="15"/>
  <c r="AW23" i="15"/>
  <c r="AZ23" i="15"/>
  <c r="BA23" i="15" s="1"/>
  <c r="BD23" i="15"/>
  <c r="BH23" i="15"/>
  <c r="BI23" i="15" s="1"/>
  <c r="BJ23" i="15" s="1"/>
  <c r="BK23" i="15" s="1"/>
  <c r="BM23" i="15"/>
  <c r="BR23" i="15"/>
  <c r="N23" i="15"/>
  <c r="BU23" i="15"/>
  <c r="BV23" i="15" s="1"/>
  <c r="O23" i="15" s="1"/>
  <c r="N24" i="15"/>
  <c r="O24" i="15"/>
  <c r="P24" i="15"/>
  <c r="Q24" i="15"/>
  <c r="R24" i="15"/>
  <c r="S24" i="15"/>
  <c r="AH24" i="15"/>
  <c r="AI24" i="15" s="1"/>
  <c r="AJ24" i="15"/>
  <c r="AN24" i="15"/>
  <c r="AR24" i="15"/>
  <c r="AS24" i="15" s="1"/>
  <c r="AV24" i="15"/>
  <c r="AZ24" i="15"/>
  <c r="BD24" i="15"/>
  <c r="BH24" i="15"/>
  <c r="BI24" i="15" s="1"/>
  <c r="BJ24" i="15" s="1"/>
  <c r="BM24" i="15"/>
  <c r="M25" i="15"/>
  <c r="P25" i="15"/>
  <c r="Q25" i="15"/>
  <c r="R25" i="15"/>
  <c r="S25" i="15"/>
  <c r="AH25" i="15"/>
  <c r="AI25" i="15" s="1"/>
  <c r="AJ25" i="15"/>
  <c r="AK25" i="15"/>
  <c r="AN25" i="15"/>
  <c r="AR25" i="15"/>
  <c r="AS25" i="15" s="1"/>
  <c r="AV25" i="15"/>
  <c r="AW25" i="15" s="1"/>
  <c r="AZ25" i="15"/>
  <c r="BA25" i="15" s="1"/>
  <c r="BB25" i="15" s="1"/>
  <c r="BC25" i="15" s="1"/>
  <c r="BP25" i="15"/>
  <c r="BQ25" i="15" s="1"/>
  <c r="BU25" i="15"/>
  <c r="BV25" i="15" s="1"/>
  <c r="EO25" i="15"/>
  <c r="P26" i="15"/>
  <c r="Q26" i="15"/>
  <c r="R26" i="15"/>
  <c r="S26" i="15"/>
  <c r="AH26" i="15"/>
  <c r="AI26" i="15"/>
  <c r="AJ26" i="15"/>
  <c r="AK26" i="15" s="1"/>
  <c r="AN26" i="15"/>
  <c r="AO26" i="15"/>
  <c r="AR26" i="15"/>
  <c r="AS26" i="15" s="1"/>
  <c r="AV26" i="15"/>
  <c r="AZ26" i="15"/>
  <c r="BA26" i="15" s="1"/>
  <c r="BB26" i="15" s="1"/>
  <c r="BC26" i="15" s="1"/>
  <c r="BD26" i="15"/>
  <c r="BE26" i="15" s="1"/>
  <c r="BH26" i="15"/>
  <c r="BI26" i="15" s="1"/>
  <c r="BJ26" i="15" s="1"/>
  <c r="BM26" i="15"/>
  <c r="BN26" i="15"/>
  <c r="BQ26" i="15"/>
  <c r="BU26" i="15"/>
  <c r="BV26" i="15" s="1"/>
  <c r="G27" i="15"/>
  <c r="N27" i="15"/>
  <c r="O27" i="15"/>
  <c r="P27" i="15"/>
  <c r="Q27" i="15"/>
  <c r="R27" i="15"/>
  <c r="S27" i="15"/>
  <c r="T27" i="15"/>
  <c r="AR27" i="15"/>
  <c r="AS27" i="15" s="1"/>
  <c r="AT27" i="15" s="1"/>
  <c r="AU27" i="15" s="1"/>
  <c r="AV27" i="15"/>
  <c r="AW27" i="15" s="1"/>
  <c r="AX27" i="15" s="1"/>
  <c r="AY27" i="15" s="1"/>
  <c r="AZ27" i="15"/>
  <c r="BA27" i="15" s="1"/>
  <c r="N28" i="15"/>
  <c r="O28" i="15"/>
  <c r="P28" i="15"/>
  <c r="Q28" i="15"/>
  <c r="R28" i="15"/>
  <c r="S28" i="15"/>
  <c r="T28" i="15"/>
  <c r="AJ28" i="15"/>
  <c r="AK28" i="15" s="1"/>
  <c r="AL28" i="15" s="1"/>
  <c r="AM28" i="15" s="1"/>
  <c r="AN28" i="15"/>
  <c r="AR28" i="15"/>
  <c r="AS28" i="15" s="1"/>
  <c r="AT28" i="15" s="1"/>
  <c r="AU28" i="15" s="1"/>
  <c r="AV28" i="15"/>
  <c r="AZ28" i="15"/>
  <c r="BA28" i="15"/>
  <c r="O29" i="15"/>
  <c r="P29" i="15"/>
  <c r="Q29" i="15"/>
  <c r="R29" i="15"/>
  <c r="S29" i="15"/>
  <c r="T29" i="15"/>
  <c r="AH29" i="15"/>
  <c r="AI29" i="15"/>
  <c r="AL29" i="15"/>
  <c r="AN29" i="15"/>
  <c r="AR29" i="15"/>
  <c r="AS29" i="15"/>
  <c r="AV29" i="15"/>
  <c r="AZ29" i="15"/>
  <c r="BD29" i="15"/>
  <c r="BH29" i="15"/>
  <c r="BI29" i="15" s="1"/>
  <c r="BM29" i="15"/>
  <c r="BQ29" i="15"/>
  <c r="BR29" i="15" s="1"/>
  <c r="N30" i="15"/>
  <c r="P30" i="15"/>
  <c r="Q30" i="15"/>
  <c r="R30" i="15"/>
  <c r="S30" i="15"/>
  <c r="T30" i="15"/>
  <c r="AJ30" i="15"/>
  <c r="AK30" i="15" s="1"/>
  <c r="AL30" i="15" s="1"/>
  <c r="AM30" i="15" s="1"/>
  <c r="F30" i="15" s="1"/>
  <c r="AN30" i="15"/>
  <c r="AO30" i="15" s="1"/>
  <c r="AR30" i="15"/>
  <c r="AS30" i="15" s="1"/>
  <c r="AT30" i="15" s="1"/>
  <c r="AU30" i="15" s="1"/>
  <c r="AV30" i="15"/>
  <c r="AW30" i="15" s="1"/>
  <c r="AZ30" i="15"/>
  <c r="BU30" i="15"/>
  <c r="S31" i="15"/>
  <c r="AH31" i="15"/>
  <c r="AI31" i="15" s="1"/>
  <c r="AJ31" i="15"/>
  <c r="AK31" i="15"/>
  <c r="AN31" i="15"/>
  <c r="AO31" i="15" s="1"/>
  <c r="AR31" i="15"/>
  <c r="AS31" i="15" s="1"/>
  <c r="AV31" i="15"/>
  <c r="AW31" i="15" s="1"/>
  <c r="AX31" i="15" s="1"/>
  <c r="AY31" i="15" s="1"/>
  <c r="BD31" i="15"/>
  <c r="BE31" i="15" s="1"/>
  <c r="BF31" i="15" s="1"/>
  <c r="BG31" i="15" s="1"/>
  <c r="BH31" i="15"/>
  <c r="BI31" i="15"/>
  <c r="BM31" i="15"/>
  <c r="BQ31" i="15"/>
  <c r="BS31" i="15"/>
  <c r="BU31" i="15"/>
  <c r="BX31" i="15"/>
  <c r="BY31" i="15"/>
  <c r="BZ31" i="15"/>
  <c r="CA31" i="15"/>
  <c r="CB31" i="15"/>
  <c r="CE31" i="15"/>
  <c r="CH31" i="15"/>
  <c r="R31" i="15"/>
  <c r="DZ31" i="15"/>
  <c r="DZ32" i="15" s="1"/>
  <c r="DZ68" i="15" s="1"/>
  <c r="EA31" i="15"/>
  <c r="D32" i="15"/>
  <c r="E32" i="15"/>
  <c r="E30" i="48" s="1"/>
  <c r="DF32" i="15"/>
  <c r="DG32" i="15"/>
  <c r="DI32" i="15"/>
  <c r="DJ32" i="15"/>
  <c r="DK32" i="15"/>
  <c r="DL32" i="15"/>
  <c r="DM32" i="15"/>
  <c r="DN32" i="15"/>
  <c r="DO32" i="15"/>
  <c r="DP32" i="15"/>
  <c r="DQ32" i="15"/>
  <c r="DR32" i="15"/>
  <c r="DS32" i="15"/>
  <c r="DT32" i="15"/>
  <c r="DU32" i="15"/>
  <c r="DV32" i="15"/>
  <c r="DW32" i="15"/>
  <c r="DX32" i="15"/>
  <c r="DY32" i="15"/>
  <c r="EB32" i="15"/>
  <c r="EC32" i="15"/>
  <c r="ED32" i="15"/>
  <c r="EE32" i="15"/>
  <c r="EL32" i="15"/>
  <c r="EM32" i="15"/>
  <c r="EP32" i="15"/>
  <c r="EQ32" i="15"/>
  <c r="ER32" i="15"/>
  <c r="ES32" i="15"/>
  <c r="N35" i="15"/>
  <c r="O35" i="15"/>
  <c r="P35" i="15"/>
  <c r="Q35" i="15"/>
  <c r="AH35" i="15"/>
  <c r="AJ35" i="15"/>
  <c r="AN35" i="15"/>
  <c r="AR35" i="15"/>
  <c r="AS35" i="15" s="1"/>
  <c r="AV35" i="15"/>
  <c r="AW35" i="15" s="1"/>
  <c r="AZ35" i="15"/>
  <c r="BA35" i="15" s="1"/>
  <c r="BD35" i="15"/>
  <c r="BE35" i="15" s="1"/>
  <c r="BH35" i="15"/>
  <c r="BL35" i="15"/>
  <c r="BM35" i="15"/>
  <c r="CH35" i="15"/>
  <c r="CH43" i="15" s="1"/>
  <c r="CI35" i="15"/>
  <c r="CI43" i="15"/>
  <c r="CJ35" i="15"/>
  <c r="S35" i="15" s="1"/>
  <c r="S43" i="15" s="1"/>
  <c r="CN35" i="15"/>
  <c r="T35" i="15"/>
  <c r="N36" i="15"/>
  <c r="O36" i="15"/>
  <c r="P36" i="15"/>
  <c r="Q36" i="15"/>
  <c r="R36" i="15"/>
  <c r="S36" i="15"/>
  <c r="T36" i="15"/>
  <c r="AH36" i="15"/>
  <c r="AI36" i="15" s="1"/>
  <c r="AJ36" i="15"/>
  <c r="AN36" i="15"/>
  <c r="AR36" i="15"/>
  <c r="AS36" i="15" s="1"/>
  <c r="AT36" i="15" s="1"/>
  <c r="AU36" i="15" s="1"/>
  <c r="AV36" i="15"/>
  <c r="AZ36" i="15"/>
  <c r="BD36" i="15"/>
  <c r="BH36" i="15"/>
  <c r="BI36" i="15"/>
  <c r="BL36" i="15"/>
  <c r="EG36" i="15"/>
  <c r="EK36" i="15"/>
  <c r="N37" i="15"/>
  <c r="O37" i="15"/>
  <c r="P37" i="15"/>
  <c r="Q37" i="15"/>
  <c r="R37" i="15"/>
  <c r="S37" i="15"/>
  <c r="T37" i="15"/>
  <c r="AN37" i="15"/>
  <c r="AO37" i="15"/>
  <c r="AP37" i="15" s="1"/>
  <c r="AQ37" i="15" s="1"/>
  <c r="AR37" i="15"/>
  <c r="AS37" i="15" s="1"/>
  <c r="AT37" i="15" s="1"/>
  <c r="AU37" i="15" s="1"/>
  <c r="AV37" i="15"/>
  <c r="AZ37" i="15"/>
  <c r="BL37" i="15"/>
  <c r="BM37" i="15" s="1"/>
  <c r="N38" i="15"/>
  <c r="N75" i="15"/>
  <c r="N79" i="15" s="1"/>
  <c r="P38" i="15"/>
  <c r="Q38" i="15"/>
  <c r="R38" i="15"/>
  <c r="S38" i="15"/>
  <c r="AH38" i="15"/>
  <c r="AJ38" i="15"/>
  <c r="AJ84" i="15" s="1"/>
  <c r="AN38" i="15"/>
  <c r="AR38" i="15"/>
  <c r="AV38" i="15"/>
  <c r="AZ38" i="15"/>
  <c r="BD38" i="15"/>
  <c r="BD84" i="15"/>
  <c r="BH38" i="15"/>
  <c r="BL38" i="15"/>
  <c r="BU38" i="15"/>
  <c r="BU75" i="15"/>
  <c r="BU95" i="15" s="1"/>
  <c r="BU100" i="15" s="1"/>
  <c r="N39" i="15"/>
  <c r="O39" i="15"/>
  <c r="P39" i="15"/>
  <c r="Q39" i="15"/>
  <c r="R39" i="15"/>
  <c r="S39" i="15"/>
  <c r="T39" i="15"/>
  <c r="AM39" i="15"/>
  <c r="F39" i="15" s="1"/>
  <c r="AN39" i="15"/>
  <c r="AO39" i="15" s="1"/>
  <c r="AP39" i="15" s="1"/>
  <c r="AR39" i="15"/>
  <c r="AS39" i="15"/>
  <c r="AT39" i="15" s="1"/>
  <c r="AU39" i="15" s="1"/>
  <c r="AV39" i="15"/>
  <c r="AW39" i="15" s="1"/>
  <c r="AZ39" i="15"/>
  <c r="DH39" i="15"/>
  <c r="N40" i="15"/>
  <c r="N86" i="15" s="1"/>
  <c r="O40" i="15"/>
  <c r="O86" i="15"/>
  <c r="P40" i="15"/>
  <c r="P86" i="15" s="1"/>
  <c r="Q40" i="15"/>
  <c r="Q86" i="15"/>
  <c r="R40" i="15"/>
  <c r="S40" i="15"/>
  <c r="S86" i="15" s="1"/>
  <c r="T40" i="15"/>
  <c r="T86" i="15" s="1"/>
  <c r="AH40" i="15"/>
  <c r="AJ40" i="15"/>
  <c r="AN40" i="15"/>
  <c r="AN86" i="15" s="1"/>
  <c r="AR40" i="15"/>
  <c r="AV40" i="15"/>
  <c r="AZ40" i="15"/>
  <c r="BA40" i="15" s="1"/>
  <c r="BD40" i="15"/>
  <c r="BD86" i="15"/>
  <c r="BH40" i="15"/>
  <c r="BI40" i="15" s="1"/>
  <c r="BL40" i="15"/>
  <c r="N41" i="15"/>
  <c r="N85" i="15" s="1"/>
  <c r="N91" i="15" s="1"/>
  <c r="O41" i="15"/>
  <c r="O85" i="15" s="1"/>
  <c r="O91" i="15" s="1"/>
  <c r="R41" i="15"/>
  <c r="S41" i="15"/>
  <c r="S85" i="15" s="1"/>
  <c r="S91" i="15" s="1"/>
  <c r="AH41" i="15"/>
  <c r="AN41" i="15"/>
  <c r="AO41" i="15" s="1"/>
  <c r="AP41" i="15" s="1"/>
  <c r="AQ41" i="15" s="1"/>
  <c r="AQ85" i="15" s="1"/>
  <c r="AQ91" i="15" s="1"/>
  <c r="AR41" i="15"/>
  <c r="AV41" i="15"/>
  <c r="AW41" i="15" s="1"/>
  <c r="AZ41" i="15"/>
  <c r="BE41" i="15"/>
  <c r="BE85" i="15" s="1"/>
  <c r="BE91" i="15" s="1"/>
  <c r="BH41" i="15"/>
  <c r="BL41" i="15"/>
  <c r="BX41" i="15"/>
  <c r="BX85" i="15"/>
  <c r="BX91" i="15" s="1"/>
  <c r="BY41" i="15"/>
  <c r="BY43" i="15" s="1"/>
  <c r="CD41" i="15"/>
  <c r="CE41" i="15"/>
  <c r="EC41" i="15"/>
  <c r="EC43" i="15" s="1"/>
  <c r="EG41" i="15"/>
  <c r="EI41" i="15"/>
  <c r="EI43" i="15" s="1"/>
  <c r="EI68" i="15" s="1"/>
  <c r="EJ41" i="15"/>
  <c r="EK41" i="15"/>
  <c r="E42" i="15"/>
  <c r="E43" i="15" s="1"/>
  <c r="R42" i="15"/>
  <c r="R87" i="15"/>
  <c r="S42" i="15"/>
  <c r="S87" i="15" s="1"/>
  <c r="T42" i="15"/>
  <c r="AJ42" i="15"/>
  <c r="AJ87" i="15" s="1"/>
  <c r="AR42" i="15"/>
  <c r="AV42" i="15"/>
  <c r="AZ42" i="15"/>
  <c r="BD42" i="15"/>
  <c r="BH42" i="15"/>
  <c r="BI42" i="15" s="1"/>
  <c r="BL42" i="15"/>
  <c r="BR42" i="15"/>
  <c r="N42" i="15"/>
  <c r="N87" i="15" s="1"/>
  <c r="BW42" i="15"/>
  <c r="O42" i="15" s="1"/>
  <c r="BX42" i="15"/>
  <c r="CA42" i="15"/>
  <c r="CD42" i="15"/>
  <c r="DH42" i="15"/>
  <c r="DH43" i="15" s="1"/>
  <c r="DI42" i="15"/>
  <c r="DI43" i="15"/>
  <c r="DK42" i="15"/>
  <c r="DK43" i="15" s="1"/>
  <c r="DK68" i="15" s="1"/>
  <c r="DK70" i="15" s="1"/>
  <c r="DL42" i="15"/>
  <c r="DL43" i="15"/>
  <c r="DM42" i="15"/>
  <c r="DM43" i="15" s="1"/>
  <c r="DM68" i="15" s="1"/>
  <c r="DM70" i="15" s="1"/>
  <c r="DN42" i="15"/>
  <c r="DN43" i="15"/>
  <c r="DO42" i="15"/>
  <c r="DO43" i="15" s="1"/>
  <c r="DO68" i="15" s="1"/>
  <c r="DO70" i="15" s="1"/>
  <c r="DP42" i="15"/>
  <c r="DP43" i="15"/>
  <c r="DQ42" i="15"/>
  <c r="DQ43" i="15" s="1"/>
  <c r="DQ68" i="15" s="1"/>
  <c r="DQ70" i="15" s="1"/>
  <c r="DS42" i="15"/>
  <c r="DT42" i="15"/>
  <c r="DT43" i="15" s="1"/>
  <c r="DU42" i="15"/>
  <c r="DU43" i="15" s="1"/>
  <c r="EK42" i="15"/>
  <c r="EM42" i="15"/>
  <c r="EN42" i="15"/>
  <c r="EO42" i="15"/>
  <c r="EO43" i="15" s="1"/>
  <c r="D43" i="15"/>
  <c r="BP43" i="15"/>
  <c r="BQ43" i="15"/>
  <c r="BS43" i="15"/>
  <c r="BT43" i="15"/>
  <c r="BV43" i="15"/>
  <c r="BZ43" i="15"/>
  <c r="CB43" i="15"/>
  <c r="CC43" i="15"/>
  <c r="CF43" i="15"/>
  <c r="CG43" i="15"/>
  <c r="CK43" i="15"/>
  <c r="CL43" i="15"/>
  <c r="CM43" i="15"/>
  <c r="DF43" i="15"/>
  <c r="DG43" i="15"/>
  <c r="DJ43" i="15"/>
  <c r="DR43" i="15"/>
  <c r="DV43" i="15"/>
  <c r="DW43" i="15"/>
  <c r="DX43" i="15"/>
  <c r="DY43" i="15"/>
  <c r="DZ43" i="15"/>
  <c r="EA43" i="15"/>
  <c r="EB43" i="15"/>
  <c r="ED43" i="15"/>
  <c r="EE43" i="15"/>
  <c r="EF43" i="15"/>
  <c r="EH43" i="15"/>
  <c r="EL43" i="15"/>
  <c r="EP43" i="15"/>
  <c r="EQ43" i="15"/>
  <c r="ER43" i="15"/>
  <c r="ES43" i="15"/>
  <c r="K46" i="15"/>
  <c r="N46" i="15"/>
  <c r="O46" i="15"/>
  <c r="AI46" i="15"/>
  <c r="AM46" i="15"/>
  <c r="F46" i="15" s="1"/>
  <c r="AN46" i="15"/>
  <c r="AR46" i="15"/>
  <c r="AV46" i="15"/>
  <c r="AW46" i="15" s="1"/>
  <c r="AZ46" i="15"/>
  <c r="BA46" i="15" s="1"/>
  <c r="BJ46" i="15"/>
  <c r="BK46" i="15" s="1"/>
  <c r="DH46" i="15"/>
  <c r="F47" i="15"/>
  <c r="N47" i="15"/>
  <c r="O47" i="15"/>
  <c r="AN47" i="15"/>
  <c r="AR47" i="15"/>
  <c r="AS47" i="15" s="1"/>
  <c r="AV47" i="15"/>
  <c r="AZ47" i="15"/>
  <c r="P48" i="15"/>
  <c r="Q48" i="15"/>
  <c r="R48" i="15"/>
  <c r="S48" i="15"/>
  <c r="X48" i="15"/>
  <c r="Y48" i="15"/>
  <c r="Z48" i="15"/>
  <c r="N49" i="15"/>
  <c r="P49" i="15"/>
  <c r="Q49" i="15"/>
  <c r="R49" i="15"/>
  <c r="S49" i="15"/>
  <c r="AI49" i="15"/>
  <c r="AM49" i="15"/>
  <c r="F49" i="15" s="1"/>
  <c r="AN49" i="15"/>
  <c r="AO49" i="15" s="1"/>
  <c r="AP49" i="15" s="1"/>
  <c r="AQ49" i="15" s="1"/>
  <c r="AR49" i="15"/>
  <c r="AS49" i="15" s="1"/>
  <c r="AV49" i="15"/>
  <c r="AW49" i="15" s="1"/>
  <c r="AX49" i="15" s="1"/>
  <c r="AY49" i="15" s="1"/>
  <c r="AZ49" i="15"/>
  <c r="BA49" i="15" s="1"/>
  <c r="BD49" i="15"/>
  <c r="BE49" i="15" s="1"/>
  <c r="BH49" i="15"/>
  <c r="BL49" i="15"/>
  <c r="BM49" i="15" s="1"/>
  <c r="BV49" i="15"/>
  <c r="BW49" i="15"/>
  <c r="EG49" i="15"/>
  <c r="EO49" i="15"/>
  <c r="EO64" i="15" s="1"/>
  <c r="K50" i="15"/>
  <c r="L50" i="15"/>
  <c r="N50" i="15"/>
  <c r="O50" i="15"/>
  <c r="P50" i="15"/>
  <c r="Q50" i="15"/>
  <c r="R50" i="15"/>
  <c r="S50" i="15"/>
  <c r="T50" i="15"/>
  <c r="AI50" i="15"/>
  <c r="AM50" i="15"/>
  <c r="F50" i="15" s="1"/>
  <c r="AN50" i="15"/>
  <c r="AO50" i="15"/>
  <c r="AR50" i="15"/>
  <c r="AS50" i="15" s="1"/>
  <c r="AT50" i="15" s="1"/>
  <c r="AU50" i="15" s="1"/>
  <c r="AV50" i="15"/>
  <c r="AZ50" i="15"/>
  <c r="L51" i="15"/>
  <c r="N51" i="15"/>
  <c r="O51" i="15"/>
  <c r="P51" i="15"/>
  <c r="Q51" i="15"/>
  <c r="R51" i="15"/>
  <c r="S51" i="15"/>
  <c r="T51" i="15"/>
  <c r="AI51" i="15"/>
  <c r="AM51" i="15"/>
  <c r="F51" i="15"/>
  <c r="AN51" i="15"/>
  <c r="AO51" i="15" s="1"/>
  <c r="AR51" i="15"/>
  <c r="AS51" i="15"/>
  <c r="AT51" i="15" s="1"/>
  <c r="AU51" i="15" s="1"/>
  <c r="AV51" i="15"/>
  <c r="AZ51" i="15"/>
  <c r="BD51" i="15"/>
  <c r="EF51" i="15"/>
  <c r="EG51" i="15"/>
  <c r="N52" i="15"/>
  <c r="O52" i="15"/>
  <c r="P52" i="15"/>
  <c r="Q52" i="15"/>
  <c r="S52" i="15"/>
  <c r="AH52" i="15"/>
  <c r="AI52" i="15"/>
  <c r="AJ52" i="15"/>
  <c r="AL52" i="15" s="1"/>
  <c r="AN52" i="15"/>
  <c r="AO52" i="15"/>
  <c r="AP52" i="15" s="1"/>
  <c r="AQ52" i="15" s="1"/>
  <c r="AR52" i="15"/>
  <c r="AS52" i="15" s="1"/>
  <c r="AT52" i="15" s="1"/>
  <c r="AU52" i="15" s="1"/>
  <c r="AV52" i="15"/>
  <c r="AW52" i="15"/>
  <c r="AZ52" i="15"/>
  <c r="BA52" i="15" s="1"/>
  <c r="BD52" i="15"/>
  <c r="BE52" i="15"/>
  <c r="BH52" i="15"/>
  <c r="BL52" i="15"/>
  <c r="CF52" i="15"/>
  <c r="CF64" i="15"/>
  <c r="CG52" i="15"/>
  <c r="CG64" i="15" s="1"/>
  <c r="CH52" i="15"/>
  <c r="CI52" i="15"/>
  <c r="F53" i="15"/>
  <c r="N53" i="15"/>
  <c r="P53" i="15"/>
  <c r="Q53" i="15"/>
  <c r="R53" i="15"/>
  <c r="S53" i="15"/>
  <c r="T53" i="15"/>
  <c r="AN53" i="15"/>
  <c r="AR53" i="15"/>
  <c r="AV53" i="15"/>
  <c r="AW53" i="15" s="1"/>
  <c r="AX53" i="15" s="1"/>
  <c r="AY53" i="15" s="1"/>
  <c r="AZ53" i="15"/>
  <c r="BA53" i="15" s="1"/>
  <c r="BB53" i="15" s="1"/>
  <c r="BC53" i="15" s="1"/>
  <c r="F54" i="15"/>
  <c r="K54" i="15"/>
  <c r="N54" i="15"/>
  <c r="O54" i="15"/>
  <c r="P54" i="15"/>
  <c r="Q54" i="15"/>
  <c r="R54" i="15"/>
  <c r="S54" i="15"/>
  <c r="T54" i="15"/>
  <c r="AN54" i="15"/>
  <c r="AO54" i="15"/>
  <c r="AP54" i="15" s="1"/>
  <c r="AQ54" i="15" s="1"/>
  <c r="AR54" i="15"/>
  <c r="AS54" i="15"/>
  <c r="AT54" i="15" s="1"/>
  <c r="AU54" i="15" s="1"/>
  <c r="AV54" i="15"/>
  <c r="AZ54" i="15"/>
  <c r="BA54" i="15" s="1"/>
  <c r="BB54" i="15" s="1"/>
  <c r="BC54" i="15" s="1"/>
  <c r="BH54" i="15"/>
  <c r="E55" i="15"/>
  <c r="E64" i="15" s="1"/>
  <c r="O55" i="15"/>
  <c r="P55" i="15"/>
  <c r="Q55" i="15"/>
  <c r="R55" i="15"/>
  <c r="S55" i="15"/>
  <c r="AN55" i="15"/>
  <c r="AR55" i="15"/>
  <c r="AS55" i="15" s="1"/>
  <c r="AT55" i="15" s="1"/>
  <c r="AU55" i="15" s="1"/>
  <c r="H55" i="15" s="1"/>
  <c r="AV55" i="15"/>
  <c r="AW55" i="15" s="1"/>
  <c r="AZ55" i="15"/>
  <c r="BA55" i="15" s="1"/>
  <c r="BB55" i="15" s="1"/>
  <c r="BC55" i="15" s="1"/>
  <c r="J55" i="15" s="1"/>
  <c r="BD55" i="15"/>
  <c r="BH55" i="15"/>
  <c r="BL55" i="15"/>
  <c r="BS55" i="15"/>
  <c r="BS64" i="15"/>
  <c r="DH55" i="15"/>
  <c r="AH55" i="15"/>
  <c r="DI55" i="15"/>
  <c r="DI64" i="15"/>
  <c r="DJ55" i="15"/>
  <c r="DK55" i="15"/>
  <c r="DK64" i="15" s="1"/>
  <c r="DL55" i="15"/>
  <c r="DL64" i="15" s="1"/>
  <c r="DM55" i="15"/>
  <c r="F56" i="15"/>
  <c r="K56" i="15"/>
  <c r="L56" i="15"/>
  <c r="N56" i="15"/>
  <c r="O56" i="15"/>
  <c r="P56" i="15"/>
  <c r="Q56" i="15"/>
  <c r="R56" i="15"/>
  <c r="S56" i="15"/>
  <c r="T56" i="15"/>
  <c r="AN56" i="15"/>
  <c r="AO56" i="15"/>
  <c r="AR56" i="15"/>
  <c r="AS56" i="15"/>
  <c r="AT56" i="15" s="1"/>
  <c r="AV56" i="15"/>
  <c r="AW56" i="15" s="1"/>
  <c r="AX56" i="15" s="1"/>
  <c r="AZ56" i="15"/>
  <c r="BA56" i="15" s="1"/>
  <c r="BB56" i="15" s="1"/>
  <c r="BC56" i="15" s="1"/>
  <c r="N57" i="15"/>
  <c r="O57" i="15"/>
  <c r="P57" i="15"/>
  <c r="Q57" i="15"/>
  <c r="R57" i="15"/>
  <c r="S57" i="15"/>
  <c r="T57" i="15"/>
  <c r="AN57" i="15"/>
  <c r="AO57" i="15" s="1"/>
  <c r="AP57" i="15" s="1"/>
  <c r="AQ57" i="15" s="1"/>
  <c r="AR57" i="15"/>
  <c r="AS57" i="15" s="1"/>
  <c r="AT57" i="15" s="1"/>
  <c r="AU57" i="15" s="1"/>
  <c r="AV57" i="15"/>
  <c r="AW57" i="15" s="1"/>
  <c r="AX57" i="15" s="1"/>
  <c r="AY57" i="15" s="1"/>
  <c r="AZ57" i="15"/>
  <c r="BA57" i="15" s="1"/>
  <c r="BB57" i="15" s="1"/>
  <c r="BC57" i="15" s="1"/>
  <c r="DM57" i="15"/>
  <c r="F58" i="15"/>
  <c r="N58" i="15"/>
  <c r="R58" i="15"/>
  <c r="AN58" i="15"/>
  <c r="AR58" i="15"/>
  <c r="AS58" i="15" s="1"/>
  <c r="AT58" i="15" s="1"/>
  <c r="AU58" i="15" s="1"/>
  <c r="AV58" i="15"/>
  <c r="AZ58" i="15"/>
  <c r="BA58" i="15" s="1"/>
  <c r="BV58" i="15"/>
  <c r="BW58" i="15"/>
  <c r="BX58" i="15"/>
  <c r="BX64" i="15" s="1"/>
  <c r="BY58" i="15"/>
  <c r="BY64" i="15" s="1"/>
  <c r="BZ58" i="15"/>
  <c r="CA58" i="15"/>
  <c r="CA64" i="15" s="1"/>
  <c r="CB58" i="15"/>
  <c r="CB64" i="15" s="1"/>
  <c r="CC58" i="15"/>
  <c r="CC64" i="15" s="1"/>
  <c r="CM58" i="15"/>
  <c r="S58" i="15" s="1"/>
  <c r="F59" i="15"/>
  <c r="K59" i="15"/>
  <c r="N59" i="15"/>
  <c r="O59" i="15"/>
  <c r="P59" i="15"/>
  <c r="Q59" i="15"/>
  <c r="AN59" i="15"/>
  <c r="AO59" i="15" s="1"/>
  <c r="AP59" i="15" s="1"/>
  <c r="AQ59" i="15" s="1"/>
  <c r="AR59" i="15"/>
  <c r="AS59" i="15" s="1"/>
  <c r="AT59" i="15" s="1"/>
  <c r="AU59" i="15" s="1"/>
  <c r="AV59" i="15"/>
  <c r="AW59" i="15" s="1"/>
  <c r="AX59" i="15" s="1"/>
  <c r="AY59" i="15" s="1"/>
  <c r="AZ59" i="15"/>
  <c r="BA59" i="15" s="1"/>
  <c r="BB59" i="15" s="1"/>
  <c r="BC59" i="15" s="1"/>
  <c r="BH59" i="15"/>
  <c r="BI59" i="15" s="1"/>
  <c r="BJ59" i="15" s="1"/>
  <c r="BK59" i="15" s="1"/>
  <c r="BL59" i="15"/>
  <c r="BM59" i="15" s="1"/>
  <c r="BN59" i="15" s="1"/>
  <c r="BO59" i="15" s="1"/>
  <c r="CH59" i="15"/>
  <c r="CI59" i="15"/>
  <c r="CI64" i="15" s="1"/>
  <c r="CM59" i="15"/>
  <c r="S59" i="15" s="1"/>
  <c r="N60" i="15"/>
  <c r="O60" i="15"/>
  <c r="P60" i="15"/>
  <c r="Q60" i="15"/>
  <c r="R60" i="15"/>
  <c r="T60" i="15"/>
  <c r="AH60" i="15"/>
  <c r="AI60" i="15" s="1"/>
  <c r="AK60" i="15"/>
  <c r="AL60" i="15" s="1"/>
  <c r="AM60" i="15" s="1"/>
  <c r="F60" i="15" s="1"/>
  <c r="AN60" i="15"/>
  <c r="AR60" i="15"/>
  <c r="AS60" i="15"/>
  <c r="AV60" i="15"/>
  <c r="AZ60" i="15"/>
  <c r="BA60" i="15" s="1"/>
  <c r="BB60" i="15" s="1"/>
  <c r="BF60" i="15"/>
  <c r="BH60" i="15"/>
  <c r="BI60" i="15" s="1"/>
  <c r="BJ60" i="15" s="1"/>
  <c r="BK60" i="15" s="1"/>
  <c r="BL60" i="15"/>
  <c r="BM60" i="15" s="1"/>
  <c r="BN60" i="15" s="1"/>
  <c r="CM60" i="15"/>
  <c r="S60" i="15" s="1"/>
  <c r="Q61" i="15"/>
  <c r="R61" i="15"/>
  <c r="S61" i="15"/>
  <c r="F62" i="15"/>
  <c r="N62" i="15"/>
  <c r="O62" i="15"/>
  <c r="P62" i="15"/>
  <c r="Q62" i="15"/>
  <c r="R62" i="15"/>
  <c r="S62" i="15"/>
  <c r="T62" i="15"/>
  <c r="AN62" i="15"/>
  <c r="AO62" i="15" s="1"/>
  <c r="AP62" i="15" s="1"/>
  <c r="AQ62" i="15" s="1"/>
  <c r="AR62" i="15"/>
  <c r="AS62" i="15" s="1"/>
  <c r="AT62" i="15" s="1"/>
  <c r="AU62" i="15" s="1"/>
  <c r="AV62" i="15"/>
  <c r="AW62" i="15" s="1"/>
  <c r="AX62" i="15" s="1"/>
  <c r="AY62" i="15" s="1"/>
  <c r="AZ62" i="15"/>
  <c r="BA62" i="15" s="1"/>
  <c r="BB62" i="15" s="1"/>
  <c r="BC62" i="15" s="1"/>
  <c r="F63" i="15"/>
  <c r="L63" i="15"/>
  <c r="O63" i="15"/>
  <c r="P63" i="15"/>
  <c r="R63" i="15"/>
  <c r="AN63" i="15"/>
  <c r="AO63" i="15" s="1"/>
  <c r="AR63" i="15"/>
  <c r="AS63" i="15" s="1"/>
  <c r="AT63" i="15" s="1"/>
  <c r="AU63" i="15" s="1"/>
  <c r="AV63" i="15"/>
  <c r="AW63" i="15" s="1"/>
  <c r="AX63" i="15" s="1"/>
  <c r="AZ63" i="15"/>
  <c r="BA63" i="15" s="1"/>
  <c r="BD63" i="15"/>
  <c r="BE63" i="15" s="1"/>
  <c r="BO63" i="15"/>
  <c r="M63" i="15" s="1"/>
  <c r="BR63" i="15"/>
  <c r="N63" i="15" s="1"/>
  <c r="CD63" i="15"/>
  <c r="CE63" i="15"/>
  <c r="CK63" i="15"/>
  <c r="CK64" i="15" s="1"/>
  <c r="CL63" i="15"/>
  <c r="CL64" i="15" s="1"/>
  <c r="D64" i="15"/>
  <c r="BP64" i="15"/>
  <c r="BQ64" i="15"/>
  <c r="BT64" i="15"/>
  <c r="BU64" i="15"/>
  <c r="CJ64" i="15"/>
  <c r="CN64" i="15"/>
  <c r="DF64" i="15"/>
  <c r="DG64" i="15"/>
  <c r="DN64" i="15"/>
  <c r="DO64" i="15"/>
  <c r="DP64" i="15"/>
  <c r="DQ64" i="15"/>
  <c r="DR64" i="15"/>
  <c r="DS64" i="15"/>
  <c r="DT64" i="15"/>
  <c r="DU64" i="15"/>
  <c r="DV64" i="15"/>
  <c r="DW64" i="15"/>
  <c r="DX64" i="15"/>
  <c r="DX68" i="15"/>
  <c r="DY64" i="15"/>
  <c r="DZ64" i="15"/>
  <c r="EA64" i="15"/>
  <c r="EB64" i="15"/>
  <c r="EC64" i="15"/>
  <c r="ED64" i="15"/>
  <c r="EE64" i="15"/>
  <c r="EE68" i="15" s="1"/>
  <c r="EF64" i="15"/>
  <c r="EH64" i="15"/>
  <c r="EI64" i="15"/>
  <c r="EJ64" i="15"/>
  <c r="EK64" i="15"/>
  <c r="EL64" i="15"/>
  <c r="EM64" i="15"/>
  <c r="EN64" i="15"/>
  <c r="EP64" i="15"/>
  <c r="EQ64" i="15"/>
  <c r="ER64" i="15"/>
  <c r="ES64" i="15"/>
  <c r="N66" i="15"/>
  <c r="P66" i="15"/>
  <c r="Q66" i="15"/>
  <c r="R66" i="15"/>
  <c r="S66" i="15"/>
  <c r="T66" i="15"/>
  <c r="AH66" i="15"/>
  <c r="AI66" i="15" s="1"/>
  <c r="AJ66" i="15"/>
  <c r="AK66" i="15" s="1"/>
  <c r="AN66" i="15"/>
  <c r="AO66" i="15" s="1"/>
  <c r="AR66" i="15"/>
  <c r="AS66" i="15" s="1"/>
  <c r="AV66" i="15"/>
  <c r="AW66" i="15" s="1"/>
  <c r="BA66" i="15"/>
  <c r="BD66" i="15"/>
  <c r="BE66" i="15" s="1"/>
  <c r="BH66" i="15"/>
  <c r="BI66" i="15" s="1"/>
  <c r="BL66" i="15"/>
  <c r="BM66" i="15" s="1"/>
  <c r="BN66" i="15" s="1"/>
  <c r="BU66" i="15"/>
  <c r="O66" i="15" s="1"/>
  <c r="E69" i="15"/>
  <c r="DY69" i="15"/>
  <c r="E75" i="15"/>
  <c r="E79" i="15" s="1"/>
  <c r="S75" i="15"/>
  <c r="BP75" i="15"/>
  <c r="BQ75" i="15"/>
  <c r="BQ79" i="15" s="1"/>
  <c r="BQ95" i="15"/>
  <c r="BQ100" i="15" s="1"/>
  <c r="BR75" i="15"/>
  <c r="BR79" i="15" s="1"/>
  <c r="BS75" i="15"/>
  <c r="BT75" i="15"/>
  <c r="BT79" i="15"/>
  <c r="BV75" i="15"/>
  <c r="BV79" i="15"/>
  <c r="BW75" i="15"/>
  <c r="BX75" i="15"/>
  <c r="BY75" i="15"/>
  <c r="BZ75" i="15"/>
  <c r="BZ95" i="15" s="1"/>
  <c r="BZ100" i="15" s="1"/>
  <c r="CA75" i="15"/>
  <c r="CA79" i="15"/>
  <c r="CB75" i="15"/>
  <c r="CC75" i="15"/>
  <c r="CD75" i="15"/>
  <c r="CD95" i="15"/>
  <c r="CD100" i="15" s="1"/>
  <c r="CE75" i="15"/>
  <c r="CF75" i="15"/>
  <c r="CF79" i="15" s="1"/>
  <c r="CG75" i="15"/>
  <c r="CG95" i="15" s="1"/>
  <c r="CG100" i="15" s="1"/>
  <c r="CH75" i="15"/>
  <c r="CI75" i="15"/>
  <c r="CI79" i="15"/>
  <c r="CJ75" i="15"/>
  <c r="CK75" i="15"/>
  <c r="CK95" i="15" s="1"/>
  <c r="CK100" i="15" s="1"/>
  <c r="CL75" i="15"/>
  <c r="CL79" i="15"/>
  <c r="CM75" i="15"/>
  <c r="CM79" i="15"/>
  <c r="CN75" i="15"/>
  <c r="CN79" i="15"/>
  <c r="E84" i="15"/>
  <c r="S84" i="15"/>
  <c r="BP84" i="15"/>
  <c r="BQ84" i="15"/>
  <c r="BR84" i="15"/>
  <c r="BS84" i="15"/>
  <c r="BT84" i="15"/>
  <c r="BV84" i="15"/>
  <c r="BW84" i="15"/>
  <c r="BX84" i="15"/>
  <c r="BY84" i="15"/>
  <c r="BZ84" i="15"/>
  <c r="CA84" i="15"/>
  <c r="CB84" i="15"/>
  <c r="CC84" i="15"/>
  <c r="CD84" i="15"/>
  <c r="CE84" i="15"/>
  <c r="CF84" i="15"/>
  <c r="CG84" i="15"/>
  <c r="CH84" i="15"/>
  <c r="CI84" i="15"/>
  <c r="CJ84" i="15"/>
  <c r="CK84" i="15"/>
  <c r="CL84" i="15"/>
  <c r="CM84" i="15"/>
  <c r="CN84" i="15"/>
  <c r="E85" i="15"/>
  <c r="E91" i="15" s="1"/>
  <c r="F85" i="15"/>
  <c r="F91" i="15" s="1"/>
  <c r="G85" i="15"/>
  <c r="G91" i="15" s="1"/>
  <c r="I85" i="15"/>
  <c r="I91" i="15" s="1"/>
  <c r="R85" i="15"/>
  <c r="R91" i="15" s="1"/>
  <c r="AJ85" i="15"/>
  <c r="AK85" i="15"/>
  <c r="AK91" i="15" s="1"/>
  <c r="AL85" i="15"/>
  <c r="AL91" i="15" s="1"/>
  <c r="AM85" i="15"/>
  <c r="AM91" i="15" s="1"/>
  <c r="BA85" i="15"/>
  <c r="BA91" i="15" s="1"/>
  <c r="BD85" i="15"/>
  <c r="BD91" i="15" s="1"/>
  <c r="BM85" i="15"/>
  <c r="BM91" i="15" s="1"/>
  <c r="BN85" i="15"/>
  <c r="BN91" i="15" s="1"/>
  <c r="BO85" i="15"/>
  <c r="BO91" i="15" s="1"/>
  <c r="BP85" i="15"/>
  <c r="BP91" i="15" s="1"/>
  <c r="BQ85" i="15"/>
  <c r="BQ91" i="15" s="1"/>
  <c r="BR85" i="15"/>
  <c r="BR91" i="15" s="1"/>
  <c r="BS85" i="15"/>
  <c r="BS91" i="15" s="1"/>
  <c r="BT85" i="15"/>
  <c r="BU85" i="15"/>
  <c r="BU91" i="15" s="1"/>
  <c r="BV85" i="15"/>
  <c r="BV91" i="15" s="1"/>
  <c r="BW85" i="15"/>
  <c r="BW91" i="15" s="1"/>
  <c r="BZ85" i="15"/>
  <c r="BZ91" i="15" s="1"/>
  <c r="CA85" i="15"/>
  <c r="CA91" i="15" s="1"/>
  <c r="CB85" i="15"/>
  <c r="CB91" i="15" s="1"/>
  <c r="CC85" i="15"/>
  <c r="CC91" i="15" s="1"/>
  <c r="CD85" i="15"/>
  <c r="CF85" i="15"/>
  <c r="CF91" i="15"/>
  <c r="CG85" i="15"/>
  <c r="CG91" i="15"/>
  <c r="CH85" i="15"/>
  <c r="CH91" i="15"/>
  <c r="CI85" i="15"/>
  <c r="CI91" i="15"/>
  <c r="CJ85" i="15"/>
  <c r="CJ91" i="15"/>
  <c r="CK85" i="15"/>
  <c r="CK91" i="15"/>
  <c r="CL85" i="15"/>
  <c r="CL91" i="15"/>
  <c r="CM85" i="15"/>
  <c r="CM91" i="15"/>
  <c r="CN85" i="15"/>
  <c r="CN91" i="15"/>
  <c r="E86" i="15"/>
  <c r="R86" i="15"/>
  <c r="X86" i="15"/>
  <c r="Y86" i="15"/>
  <c r="Z86" i="15"/>
  <c r="BP86" i="15"/>
  <c r="BQ86" i="15"/>
  <c r="BR86" i="15"/>
  <c r="BS86" i="15"/>
  <c r="BT86" i="15"/>
  <c r="BU86" i="15"/>
  <c r="BV86" i="15"/>
  <c r="BW86" i="15"/>
  <c r="BX86" i="15"/>
  <c r="BY86" i="15"/>
  <c r="BZ86" i="15"/>
  <c r="CA86" i="15"/>
  <c r="CB86" i="15"/>
  <c r="CC86" i="15"/>
  <c r="CD86" i="15"/>
  <c r="CE86" i="15"/>
  <c r="CF86" i="15"/>
  <c r="CG86" i="15"/>
  <c r="CH86" i="15"/>
  <c r="CI86" i="15"/>
  <c r="CJ86" i="15"/>
  <c r="CK86" i="15"/>
  <c r="CL86" i="15"/>
  <c r="CM86" i="15"/>
  <c r="CN86" i="15"/>
  <c r="T87" i="15"/>
  <c r="X87" i="15"/>
  <c r="Y87" i="15"/>
  <c r="Z87" i="15"/>
  <c r="AH87" i="15"/>
  <c r="AI87" i="15"/>
  <c r="BH87" i="15"/>
  <c r="BP87" i="15"/>
  <c r="BQ87" i="15"/>
  <c r="BS87" i="15"/>
  <c r="BT87" i="15"/>
  <c r="BU87" i="15"/>
  <c r="BV87" i="15"/>
  <c r="BW87" i="15"/>
  <c r="BY87" i="15"/>
  <c r="BZ87" i="15"/>
  <c r="CB87" i="15"/>
  <c r="CC87" i="15"/>
  <c r="CD87" i="15"/>
  <c r="CE87" i="15"/>
  <c r="CF87" i="15"/>
  <c r="CG87" i="15"/>
  <c r="CH87" i="15"/>
  <c r="CI87" i="15"/>
  <c r="CJ87" i="15"/>
  <c r="CK87" i="15"/>
  <c r="CL87" i="15"/>
  <c r="CM87" i="15"/>
  <c r="CN87" i="15"/>
  <c r="B90" i="15"/>
  <c r="AJ91" i="15"/>
  <c r="BT91" i="15"/>
  <c r="CD91" i="15"/>
  <c r="CA95" i="15"/>
  <c r="CA100" i="15" s="1"/>
  <c r="CF95" i="15"/>
  <c r="CF100" i="15" s="1"/>
  <c r="CL95" i="15"/>
  <c r="CL100" i="15" s="1"/>
  <c r="E104" i="15"/>
  <c r="F104" i="15"/>
  <c r="G104" i="15"/>
  <c r="H104" i="15"/>
  <c r="AH105" i="15"/>
  <c r="AH107" i="15" s="1"/>
  <c r="AI105" i="15"/>
  <c r="AI107" i="15" s="1"/>
  <c r="AJ105" i="15"/>
  <c r="AJ107" i="15" s="1"/>
  <c r="AK105" i="15"/>
  <c r="AK107" i="15" s="1"/>
  <c r="AL105" i="15"/>
  <c r="AL107" i="15"/>
  <c r="AM105" i="15"/>
  <c r="AM107" i="15" s="1"/>
  <c r="AN105" i="15"/>
  <c r="AN107" i="15"/>
  <c r="AO105" i="15"/>
  <c r="AO107" i="15" s="1"/>
  <c r="AP105" i="15"/>
  <c r="AP107" i="15"/>
  <c r="AQ105" i="15"/>
  <c r="AQ107" i="15" s="1"/>
  <c r="AR105" i="15"/>
  <c r="AR107" i="15"/>
  <c r="AS105" i="15"/>
  <c r="AS107" i="15" s="1"/>
  <c r="AT105" i="15"/>
  <c r="AT107" i="15"/>
  <c r="AU105" i="15"/>
  <c r="AU107" i="15" s="1"/>
  <c r="AV105" i="15"/>
  <c r="AV107" i="15"/>
  <c r="AW105" i="15"/>
  <c r="AW107" i="15" s="1"/>
  <c r="AX105" i="15"/>
  <c r="AX107" i="15"/>
  <c r="AY105" i="15"/>
  <c r="AY107" i="15" s="1"/>
  <c r="AZ105" i="15"/>
  <c r="AZ107" i="15"/>
  <c r="BA105" i="15"/>
  <c r="BA107" i="15" s="1"/>
  <c r="BB105" i="15"/>
  <c r="BB107" i="15"/>
  <c r="BC105" i="15"/>
  <c r="BC107" i="15" s="1"/>
  <c r="BD105" i="15"/>
  <c r="BD107" i="15"/>
  <c r="BE105" i="15"/>
  <c r="BE107" i="15" s="1"/>
  <c r="BF105" i="15"/>
  <c r="BF107" i="15"/>
  <c r="BG105" i="15"/>
  <c r="BG107" i="15" s="1"/>
  <c r="BH105" i="15"/>
  <c r="BH107" i="15"/>
  <c r="BI105" i="15"/>
  <c r="BI107" i="15" s="1"/>
  <c r="BJ105" i="15"/>
  <c r="BJ107" i="15"/>
  <c r="BK105" i="15"/>
  <c r="BK107" i="15" s="1"/>
  <c r="BL105" i="15"/>
  <c r="BL107" i="15"/>
  <c r="BM105" i="15"/>
  <c r="BM107" i="15" s="1"/>
  <c r="BN105" i="15"/>
  <c r="BN107" i="15"/>
  <c r="BO105" i="15"/>
  <c r="BO107" i="15" s="1"/>
  <c r="BP105" i="15"/>
  <c r="BP107" i="15"/>
  <c r="BQ105" i="15"/>
  <c r="BQ107" i="15" s="1"/>
  <c r="BR105" i="15"/>
  <c r="BR107" i="15"/>
  <c r="BS105" i="15"/>
  <c r="BS107" i="15" s="1"/>
  <c r="BT105" i="15"/>
  <c r="BT107" i="15"/>
  <c r="BU105" i="15"/>
  <c r="BU107" i="15" s="1"/>
  <c r="BV105" i="15"/>
  <c r="BV107" i="15" s="1"/>
  <c r="BW105" i="15"/>
  <c r="BW107" i="15" s="1"/>
  <c r="BX105" i="15"/>
  <c r="BX107" i="15" s="1"/>
  <c r="BY105" i="15"/>
  <c r="BY107" i="15" s="1"/>
  <c r="BZ105" i="15"/>
  <c r="BZ107" i="15" s="1"/>
  <c r="CA105" i="15"/>
  <c r="CA107" i="15" s="1"/>
  <c r="CB106" i="15"/>
  <c r="CC106" i="15"/>
  <c r="CD106" i="15"/>
  <c r="CE106" i="15"/>
  <c r="CF106" i="15"/>
  <c r="CG106" i="15"/>
  <c r="CH106" i="15"/>
  <c r="CI106" i="15"/>
  <c r="CJ106" i="15"/>
  <c r="CK106" i="15"/>
  <c r="CL106" i="15"/>
  <c r="CM106" i="15"/>
  <c r="CN106" i="15"/>
  <c r="Q109" i="15"/>
  <c r="O117" i="15"/>
  <c r="P117" i="15"/>
  <c r="Q117" i="15"/>
  <c r="CF135" i="15"/>
  <c r="CG135" i="15"/>
  <c r="CH135" i="15"/>
  <c r="CI135" i="15"/>
  <c r="CF136" i="15"/>
  <c r="CG136" i="15"/>
  <c r="CH136" i="15"/>
  <c r="CI136" i="15"/>
  <c r="CF154" i="15"/>
  <c r="CG154" i="15"/>
  <c r="CH154" i="15"/>
  <c r="CI154" i="15"/>
  <c r="CJ154" i="15"/>
  <c r="CK154" i="15"/>
  <c r="CL154" i="15"/>
  <c r="CM154" i="15"/>
  <c r="R155" i="15"/>
  <c r="S155" i="15"/>
  <c r="CF156" i="15"/>
  <c r="CG156" i="15"/>
  <c r="CH156" i="15"/>
  <c r="CI156" i="15"/>
  <c r="CJ156" i="15"/>
  <c r="CK156" i="15"/>
  <c r="CL156" i="15"/>
  <c r="CM156" i="15"/>
  <c r="R157" i="15"/>
  <c r="S157" i="15"/>
  <c r="R158" i="15"/>
  <c r="S158" i="15"/>
  <c r="R159" i="15"/>
  <c r="S159" i="15"/>
  <c r="R160" i="15"/>
  <c r="S160" i="15"/>
  <c r="R161" i="15"/>
  <c r="S161" i="15"/>
  <c r="R162" i="15"/>
  <c r="S162" i="15"/>
  <c r="R163" i="15"/>
  <c r="S163" i="15"/>
  <c r="R164" i="15"/>
  <c r="S164" i="15"/>
  <c r="CF167" i="15"/>
  <c r="CG167" i="15"/>
  <c r="CH167" i="15"/>
  <c r="CI167" i="15"/>
  <c r="CJ167" i="15"/>
  <c r="CK167" i="15"/>
  <c r="CL167" i="15"/>
  <c r="CM167" i="15"/>
  <c r="X173" i="15"/>
  <c r="Y173" i="15" s="1"/>
  <c r="Z173" i="15" s="1"/>
  <c r="AA173" i="15" s="1"/>
  <c r="AB173" i="15" s="1"/>
  <c r="AC173" i="15" s="1"/>
  <c r="AD173" i="15" s="1"/>
  <c r="X174" i="15"/>
  <c r="Y174" i="15" s="1"/>
  <c r="Z174" i="15" s="1"/>
  <c r="AA174" i="15" s="1"/>
  <c r="AB174" i="15" s="1"/>
  <c r="AC174" i="15" s="1"/>
  <c r="AD174" i="15" s="1"/>
  <c r="CF174" i="15"/>
  <c r="CG174" i="15"/>
  <c r="CH174" i="15"/>
  <c r="CI174" i="15"/>
  <c r="CJ174" i="15"/>
  <c r="CK174" i="15"/>
  <c r="CL174" i="15"/>
  <c r="CM174" i="15"/>
  <c r="CN174" i="15"/>
  <c r="X175" i="15"/>
  <c r="Y175" i="15" s="1"/>
  <c r="Z175" i="15" s="1"/>
  <c r="AA175" i="15" s="1"/>
  <c r="AB175" i="15" s="1"/>
  <c r="AC175" i="15" s="1"/>
  <c r="AD175" i="15" s="1"/>
  <c r="R180" i="15"/>
  <c r="S180" i="15"/>
  <c r="R181" i="15"/>
  <c r="S181" i="15"/>
  <c r="T181" i="15"/>
  <c r="R182" i="15"/>
  <c r="S182" i="15"/>
  <c r="T182" i="15"/>
  <c r="R183" i="15"/>
  <c r="S183" i="15"/>
  <c r="T183" i="15"/>
  <c r="R188" i="15"/>
  <c r="S188" i="15"/>
  <c r="T188" i="15"/>
  <c r="R189" i="15"/>
  <c r="S189" i="15"/>
  <c r="R202" i="15"/>
  <c r="S202" i="15"/>
  <c r="R203" i="15"/>
  <c r="S203" i="15"/>
  <c r="R204" i="15"/>
  <c r="S204" i="15"/>
  <c r="CM205" i="15"/>
  <c r="R206" i="15"/>
  <c r="S206" i="15"/>
  <c r="R207" i="15"/>
  <c r="S207" i="15"/>
  <c r="R208" i="15"/>
  <c r="S208" i="15"/>
  <c r="R209" i="15"/>
  <c r="S209" i="15"/>
  <c r="R210" i="15"/>
  <c r="S210" i="15"/>
  <c r="T210" i="15"/>
  <c r="R211" i="15"/>
  <c r="S211" i="15"/>
  <c r="T211" i="15"/>
  <c r="R212" i="15"/>
  <c r="S212" i="15"/>
  <c r="T212" i="15"/>
  <c r="R213" i="15"/>
  <c r="S213" i="15"/>
  <c r="T213" i="15"/>
  <c r="R214" i="15"/>
  <c r="S214" i="15"/>
  <c r="T214" i="15"/>
  <c r="R215" i="15"/>
  <c r="S215" i="15"/>
  <c r="T215" i="15"/>
  <c r="R220" i="15"/>
  <c r="S220" i="15"/>
  <c r="T220" i="15"/>
  <c r="R221" i="15"/>
  <c r="S221" i="15"/>
  <c r="Q3" i="14"/>
  <c r="CF5" i="14"/>
  <c r="CJ5" i="14"/>
  <c r="CN5" i="14"/>
  <c r="CF6" i="14"/>
  <c r="CG6" i="14"/>
  <c r="CH6" i="14"/>
  <c r="CI6" i="14"/>
  <c r="CJ6" i="14"/>
  <c r="CK6" i="14"/>
  <c r="CL6" i="14"/>
  <c r="CM6" i="14"/>
  <c r="CN6" i="14"/>
  <c r="CO6" i="14"/>
  <c r="CP6" i="14"/>
  <c r="CQ6" i="14"/>
  <c r="E10" i="14"/>
  <c r="F10" i="14"/>
  <c r="I10" i="14"/>
  <c r="J10" i="14"/>
  <c r="K10" i="14"/>
  <c r="L10" i="14"/>
  <c r="M10" i="14"/>
  <c r="N10" i="14"/>
  <c r="O10" i="14"/>
  <c r="P10" i="14"/>
  <c r="Q10" i="14"/>
  <c r="R10" i="14"/>
  <c r="S10" i="14"/>
  <c r="E11" i="14"/>
  <c r="F11" i="14"/>
  <c r="G11" i="14"/>
  <c r="H11" i="14"/>
  <c r="I11" i="14"/>
  <c r="J11" i="14"/>
  <c r="K11" i="14"/>
  <c r="L11" i="14"/>
  <c r="M11" i="14"/>
  <c r="N11" i="14"/>
  <c r="O11" i="14"/>
  <c r="P11" i="14"/>
  <c r="Q11" i="14"/>
  <c r="R11" i="14"/>
  <c r="S11" i="14"/>
  <c r="M12" i="14"/>
  <c r="N12" i="14"/>
  <c r="P12" i="14"/>
  <c r="Q12" i="14"/>
  <c r="R12" i="14"/>
  <c r="S12" i="14"/>
  <c r="BT12" i="14"/>
  <c r="BU12" i="14" s="1"/>
  <c r="BV12" i="14" s="1"/>
  <c r="E13" i="14"/>
  <c r="F13" i="14"/>
  <c r="G13" i="14"/>
  <c r="I13" i="14"/>
  <c r="R13" i="14"/>
  <c r="S13" i="14"/>
  <c r="U13" i="14"/>
  <c r="E14" i="14"/>
  <c r="F14" i="14"/>
  <c r="G14" i="14"/>
  <c r="H14" i="14"/>
  <c r="I14" i="14"/>
  <c r="J14" i="14"/>
  <c r="K14" i="14"/>
  <c r="L14" i="14"/>
  <c r="M14" i="14"/>
  <c r="N14" i="14"/>
  <c r="P14" i="14"/>
  <c r="Q14" i="14"/>
  <c r="R14" i="14"/>
  <c r="S14" i="14"/>
  <c r="CD14" i="14"/>
  <c r="AG15" i="14"/>
  <c r="AG28" i="14" s="1"/>
  <c r="AH15" i="14"/>
  <c r="AH28" i="14" s="1"/>
  <c r="AI15" i="14"/>
  <c r="AI28" i="14" s="1"/>
  <c r="AJ15" i="14"/>
  <c r="AK15" i="14"/>
  <c r="AL15" i="14"/>
  <c r="AM15" i="14"/>
  <c r="AN15" i="14"/>
  <c r="AO15" i="14"/>
  <c r="AP15" i="14"/>
  <c r="AQ15" i="14"/>
  <c r="AR15" i="14"/>
  <c r="AS15" i="14"/>
  <c r="AT15" i="14"/>
  <c r="AU15" i="14"/>
  <c r="AV15" i="14"/>
  <c r="AW15" i="14"/>
  <c r="AX15" i="14"/>
  <c r="AY15" i="14"/>
  <c r="I17" i="14"/>
  <c r="J17" i="14"/>
  <c r="K17" i="14"/>
  <c r="L17" i="14"/>
  <c r="M17" i="14"/>
  <c r="N17" i="14"/>
  <c r="O17" i="14"/>
  <c r="H77" i="65" s="1"/>
  <c r="P17" i="14"/>
  <c r="Q17" i="14"/>
  <c r="R17" i="14"/>
  <c r="S17" i="14"/>
  <c r="CK17" i="14"/>
  <c r="F19" i="14"/>
  <c r="G19" i="14"/>
  <c r="H19" i="14"/>
  <c r="I19" i="14"/>
  <c r="J19" i="14"/>
  <c r="K19" i="14"/>
  <c r="L19" i="14"/>
  <c r="M19" i="14"/>
  <c r="AJ19" i="14"/>
  <c r="AK19" i="14"/>
  <c r="AL19" i="14"/>
  <c r="AN19" i="14"/>
  <c r="AO19" i="14"/>
  <c r="AP19" i="14"/>
  <c r="AR19" i="14"/>
  <c r="AS19" i="14"/>
  <c r="AT19" i="14"/>
  <c r="AV19" i="14"/>
  <c r="AW19" i="14"/>
  <c r="AX19" i="14"/>
  <c r="AZ19" i="14"/>
  <c r="BA19" i="14"/>
  <c r="BB19" i="14"/>
  <c r="BD19" i="14"/>
  <c r="BE19" i="14"/>
  <c r="BF19" i="14"/>
  <c r="BH19" i="14"/>
  <c r="BI19" i="14"/>
  <c r="BJ19" i="14"/>
  <c r="BL19" i="14"/>
  <c r="BM19" i="14"/>
  <c r="BN19" i="14"/>
  <c r="BP19" i="14"/>
  <c r="BQ19" i="14"/>
  <c r="BR19" i="14"/>
  <c r="BS19" i="14"/>
  <c r="BT19" i="14"/>
  <c r="BU19" i="14"/>
  <c r="BV19" i="14"/>
  <c r="BW19" i="14"/>
  <c r="O19" i="14" s="1"/>
  <c r="BX19" i="14"/>
  <c r="BY19" i="14"/>
  <c r="BZ19" i="14"/>
  <c r="CA19" i="14"/>
  <c r="P19" i="14" s="1"/>
  <c r="CB19" i="14"/>
  <c r="CC19" i="14"/>
  <c r="CD19" i="14"/>
  <c r="CF19" i="14"/>
  <c r="CG19" i="14"/>
  <c r="CH19" i="14"/>
  <c r="CI19" i="14"/>
  <c r="R19" i="14" s="1"/>
  <c r="CJ19" i="14"/>
  <c r="CK19" i="14"/>
  <c r="CM19" i="14"/>
  <c r="S19" i="14" s="1"/>
  <c r="E20" i="14"/>
  <c r="H21" i="14"/>
  <c r="I21" i="14"/>
  <c r="J21" i="14"/>
  <c r="K21" i="14"/>
  <c r="L21" i="14"/>
  <c r="M21" i="14"/>
  <c r="N21" i="14"/>
  <c r="O21" i="14"/>
  <c r="P21" i="14"/>
  <c r="Q21" i="14"/>
  <c r="R21" i="14"/>
  <c r="S21" i="14"/>
  <c r="E22" i="14"/>
  <c r="F22" i="14"/>
  <c r="E23" i="14"/>
  <c r="F23" i="14"/>
  <c r="G23" i="14"/>
  <c r="H23" i="14"/>
  <c r="G24" i="14"/>
  <c r="L24" i="14"/>
  <c r="M24" i="14"/>
  <c r="N24" i="14"/>
  <c r="O24" i="14"/>
  <c r="P24" i="14"/>
  <c r="Q24" i="14"/>
  <c r="R24" i="14"/>
  <c r="S24" i="14"/>
  <c r="M25" i="14"/>
  <c r="N25" i="14"/>
  <c r="O25" i="14"/>
  <c r="BT25" i="14"/>
  <c r="BX25" i="14"/>
  <c r="BY25" i="14" s="1"/>
  <c r="BZ25" i="14" s="1"/>
  <c r="E26" i="14"/>
  <c r="F26" i="14"/>
  <c r="G26" i="14"/>
  <c r="H26" i="14"/>
  <c r="I26" i="14"/>
  <c r="J26" i="14"/>
  <c r="C84" i="65" s="1"/>
  <c r="K26" i="14"/>
  <c r="L26" i="14"/>
  <c r="E84" i="65" s="1"/>
  <c r="M26" i="14"/>
  <c r="F84" i="65"/>
  <c r="N26" i="14"/>
  <c r="G240" i="66" s="1"/>
  <c r="O26" i="14"/>
  <c r="P26" i="14"/>
  <c r="Q26" i="14"/>
  <c r="R26" i="14"/>
  <c r="K240" i="66" s="1"/>
  <c r="S26" i="14"/>
  <c r="T26" i="14"/>
  <c r="E27" i="14"/>
  <c r="F27" i="14"/>
  <c r="G27" i="14"/>
  <c r="H27" i="14"/>
  <c r="I27" i="14"/>
  <c r="J27" i="14"/>
  <c r="K27" i="14"/>
  <c r="L27" i="14"/>
  <c r="M27" i="14"/>
  <c r="N27" i="14"/>
  <c r="O27" i="14"/>
  <c r="P27" i="14"/>
  <c r="Q27" i="14"/>
  <c r="R27" i="14"/>
  <c r="S27" i="14"/>
  <c r="E31" i="14"/>
  <c r="F31" i="14"/>
  <c r="G31" i="14"/>
  <c r="H31" i="14"/>
  <c r="I31" i="14"/>
  <c r="J31" i="14"/>
  <c r="K31" i="14"/>
  <c r="L31" i="14"/>
  <c r="M31" i="14"/>
  <c r="N31" i="14"/>
  <c r="BT31" i="14"/>
  <c r="BU31" i="14"/>
  <c r="BV31" i="14"/>
  <c r="BW31" i="14"/>
  <c r="O31" i="14" s="1"/>
  <c r="BX31" i="14"/>
  <c r="BY31" i="14"/>
  <c r="BZ31" i="14"/>
  <c r="CA31" i="14"/>
  <c r="CB31" i="14"/>
  <c r="CC31" i="14"/>
  <c r="CD31" i="14"/>
  <c r="CE31" i="14"/>
  <c r="CF31" i="14"/>
  <c r="R31" i="14" s="1"/>
  <c r="CG31" i="14"/>
  <c r="S31" i="14" s="1"/>
  <c r="CH31" i="14"/>
  <c r="T31" i="14" s="1"/>
  <c r="CI31" i="14"/>
  <c r="U31" i="14" s="1"/>
  <c r="CJ31" i="14"/>
  <c r="V31" i="14" s="1"/>
  <c r="CK31" i="14"/>
  <c r="W31" i="14" s="1"/>
  <c r="CL31" i="14"/>
  <c r="CM31" i="14"/>
  <c r="CN31" i="14"/>
  <c r="M32" i="14"/>
  <c r="AI32" i="14"/>
  <c r="AM32" i="14"/>
  <c r="F32" i="14" s="1"/>
  <c r="AQ32" i="14"/>
  <c r="AU32" i="14"/>
  <c r="AY32" i="14"/>
  <c r="I32" i="14" s="1"/>
  <c r="AZ32" i="14"/>
  <c r="AZ33" i="14" s="1"/>
  <c r="AZ46" i="14" s="1"/>
  <c r="AZ59" i="14" s="1"/>
  <c r="BA32" i="14"/>
  <c r="BA33" i="14" s="1"/>
  <c r="BA46" i="14" s="1"/>
  <c r="BA59" i="14" s="1"/>
  <c r="BB32" i="14"/>
  <c r="BB33" i="14" s="1"/>
  <c r="BB46" i="14" s="1"/>
  <c r="BB59" i="14" s="1"/>
  <c r="BC32" i="14"/>
  <c r="BD32" i="14"/>
  <c r="BD33" i="14" s="1"/>
  <c r="BD46" i="14" s="1"/>
  <c r="BD59" i="14" s="1"/>
  <c r="BE32" i="14"/>
  <c r="BE33" i="14" s="1"/>
  <c r="BE46" i="14" s="1"/>
  <c r="BE59" i="14" s="1"/>
  <c r="BF32" i="14"/>
  <c r="BF33" i="14" s="1"/>
  <c r="BF46" i="14" s="1"/>
  <c r="BF59" i="14" s="1"/>
  <c r="BG32" i="14"/>
  <c r="BH32" i="14"/>
  <c r="BH33" i="14" s="1"/>
  <c r="BH46" i="14" s="1"/>
  <c r="BH59" i="14" s="1"/>
  <c r="BI32" i="14"/>
  <c r="BI33" i="14" s="1"/>
  <c r="BI46" i="14" s="1"/>
  <c r="BI59" i="14" s="1"/>
  <c r="BJ32" i="14"/>
  <c r="BJ33" i="14" s="1"/>
  <c r="BJ46" i="14" s="1"/>
  <c r="BJ59" i="14" s="1"/>
  <c r="BK32" i="14"/>
  <c r="BM32" i="14"/>
  <c r="BM33" i="14" s="1"/>
  <c r="N33" i="14"/>
  <c r="O33" i="14"/>
  <c r="P33" i="14"/>
  <c r="Q33" i="14"/>
  <c r="R33" i="14"/>
  <c r="S33" i="14"/>
  <c r="L64" i="65" s="1"/>
  <c r="AG33" i="14"/>
  <c r="AG46" i="14" s="1"/>
  <c r="AG59" i="14" s="1"/>
  <c r="AH33" i="14"/>
  <c r="AH46" i="14" s="1"/>
  <c r="AH59" i="14" s="1"/>
  <c r="AJ33" i="14"/>
  <c r="AJ46" i="14" s="1"/>
  <c r="AJ59" i="14" s="1"/>
  <c r="AK33" i="14"/>
  <c r="AK46" i="14" s="1"/>
  <c r="AK59" i="14" s="1"/>
  <c r="AL33" i="14"/>
  <c r="AL46" i="14" s="1"/>
  <c r="AL59" i="14" s="1"/>
  <c r="AN33" i="14"/>
  <c r="AN46" i="14" s="1"/>
  <c r="AN59" i="14" s="1"/>
  <c r="AO33" i="14"/>
  <c r="AO46" i="14" s="1"/>
  <c r="AO59" i="14" s="1"/>
  <c r="AP33" i="14"/>
  <c r="AP46" i="14" s="1"/>
  <c r="AP59" i="14" s="1"/>
  <c r="AR33" i="14"/>
  <c r="AR46" i="14" s="1"/>
  <c r="AR59" i="14" s="1"/>
  <c r="AS33" i="14"/>
  <c r="AS46" i="14" s="1"/>
  <c r="AS59" i="14" s="1"/>
  <c r="AT33" i="14"/>
  <c r="AT46" i="14" s="1"/>
  <c r="AT59" i="14" s="1"/>
  <c r="AV33" i="14"/>
  <c r="AV46" i="14" s="1"/>
  <c r="AV59" i="14" s="1"/>
  <c r="AW33" i="14"/>
  <c r="AW46" i="14" s="1"/>
  <c r="AW59" i="14" s="1"/>
  <c r="AX33" i="14"/>
  <c r="AX46" i="14" s="1"/>
  <c r="AX59" i="14" s="1"/>
  <c r="BL33" i="14"/>
  <c r="BL46" i="14" s="1"/>
  <c r="BL59" i="14" s="1"/>
  <c r="BN33" i="14"/>
  <c r="BN46" i="14" s="1"/>
  <c r="BN59" i="14" s="1"/>
  <c r="BO33" i="14"/>
  <c r="BO46" i="14" s="1"/>
  <c r="BO59" i="14" s="1"/>
  <c r="BP33" i="14"/>
  <c r="BP46" i="14" s="1"/>
  <c r="BP59" i="14" s="1"/>
  <c r="BQ33" i="14"/>
  <c r="BQ46" i="14" s="1"/>
  <c r="BQ59" i="14" s="1"/>
  <c r="BR33" i="14"/>
  <c r="BR46" i="14" s="1"/>
  <c r="BR59" i="14" s="1"/>
  <c r="F34" i="14"/>
  <c r="G34" i="14"/>
  <c r="H34" i="14"/>
  <c r="E35" i="14"/>
  <c r="F35" i="14"/>
  <c r="E36" i="14"/>
  <c r="F36" i="14"/>
  <c r="G36" i="14"/>
  <c r="H36" i="14"/>
  <c r="I36" i="14"/>
  <c r="J36" i="14"/>
  <c r="K36" i="14"/>
  <c r="L36" i="14"/>
  <c r="M36" i="14"/>
  <c r="J37" i="14"/>
  <c r="K37" i="14"/>
  <c r="L37" i="14"/>
  <c r="M37" i="14"/>
  <c r="N37" i="14"/>
  <c r="O37" i="14"/>
  <c r="P37" i="14"/>
  <c r="Q37" i="14"/>
  <c r="R37" i="14"/>
  <c r="S37" i="14"/>
  <c r="U37" i="14"/>
  <c r="J38" i="14"/>
  <c r="K38" i="14"/>
  <c r="L38" i="14"/>
  <c r="I39" i="14"/>
  <c r="J39" i="14"/>
  <c r="K39" i="14"/>
  <c r="L39" i="14"/>
  <c r="G41" i="14"/>
  <c r="H41" i="14"/>
  <c r="E42" i="14"/>
  <c r="F42" i="14"/>
  <c r="G42" i="14"/>
  <c r="H42" i="14"/>
  <c r="I42" i="14"/>
  <c r="J42" i="14"/>
  <c r="K42" i="14"/>
  <c r="L42" i="14"/>
  <c r="M42" i="14"/>
  <c r="N42" i="14"/>
  <c r="O42" i="14"/>
  <c r="P42" i="14"/>
  <c r="Q42" i="14"/>
  <c r="R42" i="14"/>
  <c r="S42" i="14"/>
  <c r="CF42" i="14"/>
  <c r="CF113" i="14" s="1"/>
  <c r="J43" i="14"/>
  <c r="K43" i="14"/>
  <c r="L43" i="14"/>
  <c r="M43" i="14"/>
  <c r="N43" i="14"/>
  <c r="O43" i="14"/>
  <c r="P43" i="14"/>
  <c r="Q43" i="14"/>
  <c r="R43" i="14"/>
  <c r="S43" i="14"/>
  <c r="M44" i="14"/>
  <c r="N44" i="14"/>
  <c r="P44" i="14"/>
  <c r="Q44" i="14"/>
  <c r="R44" i="14"/>
  <c r="S44" i="14"/>
  <c r="BT44" i="14"/>
  <c r="E45" i="14"/>
  <c r="F45" i="14"/>
  <c r="G45" i="14"/>
  <c r="H45" i="14"/>
  <c r="I45" i="14"/>
  <c r="J45" i="14"/>
  <c r="K45" i="14"/>
  <c r="L45" i="14"/>
  <c r="M45" i="14"/>
  <c r="N45" i="14"/>
  <c r="O45" i="14"/>
  <c r="P45" i="14"/>
  <c r="Q45" i="14"/>
  <c r="R45" i="14"/>
  <c r="S45" i="14"/>
  <c r="CD45" i="14"/>
  <c r="CF45" i="14"/>
  <c r="BS46" i="14"/>
  <c r="BS59" i="14" s="1"/>
  <c r="BY46" i="14"/>
  <c r="BY59" i="14" s="1"/>
  <c r="BZ46" i="14"/>
  <c r="BZ59" i="14" s="1"/>
  <c r="CA46" i="14"/>
  <c r="CA59" i="14" s="1"/>
  <c r="CB46" i="14"/>
  <c r="CB59" i="14" s="1"/>
  <c r="CC46" i="14"/>
  <c r="CC59" i="14" s="1"/>
  <c r="CE46" i="14"/>
  <c r="CE59" i="14" s="1"/>
  <c r="CG46" i="14"/>
  <c r="CG59" i="14" s="1"/>
  <c r="CH46" i="14"/>
  <c r="CH59" i="14" s="1"/>
  <c r="CI46" i="14"/>
  <c r="CI59" i="14" s="1"/>
  <c r="CJ46" i="14"/>
  <c r="CJ59" i="14" s="1"/>
  <c r="CK46" i="14"/>
  <c r="CK59" i="14" s="1"/>
  <c r="CL46" i="14"/>
  <c r="CL59" i="14" s="1"/>
  <c r="CM46" i="14"/>
  <c r="CM59" i="14" s="1"/>
  <c r="CN46" i="14"/>
  <c r="CN59" i="14" s="1"/>
  <c r="J48" i="14"/>
  <c r="K48" i="14"/>
  <c r="L48" i="14"/>
  <c r="M48" i="14"/>
  <c r="N48" i="14"/>
  <c r="O48" i="14"/>
  <c r="P48" i="14"/>
  <c r="Q48" i="14"/>
  <c r="R48" i="14"/>
  <c r="S48" i="14"/>
  <c r="E49" i="14"/>
  <c r="F49" i="14"/>
  <c r="G49" i="14"/>
  <c r="H49" i="14"/>
  <c r="O49" i="14"/>
  <c r="P49" i="14"/>
  <c r="Q49" i="14"/>
  <c r="R49" i="14"/>
  <c r="S49" i="14"/>
  <c r="BT49" i="14"/>
  <c r="D74" i="66" s="1"/>
  <c r="F50" i="14"/>
  <c r="G51" i="14"/>
  <c r="H51" i="14"/>
  <c r="I51" i="14"/>
  <c r="I52" i="14"/>
  <c r="G53" i="14"/>
  <c r="H53" i="14"/>
  <c r="I54" i="14"/>
  <c r="J54" i="14"/>
  <c r="K54" i="14"/>
  <c r="L54" i="14"/>
  <c r="E55" i="14"/>
  <c r="F55" i="14"/>
  <c r="G55" i="14"/>
  <c r="H55" i="14"/>
  <c r="I55" i="14"/>
  <c r="J55" i="14"/>
  <c r="K55" i="14"/>
  <c r="L55" i="14"/>
  <c r="M55" i="14"/>
  <c r="N55" i="14"/>
  <c r="O55" i="14"/>
  <c r="P55" i="14"/>
  <c r="Q55" i="14"/>
  <c r="R55" i="14"/>
  <c r="S55" i="14"/>
  <c r="J56" i="14"/>
  <c r="K56" i="14"/>
  <c r="L56" i="14"/>
  <c r="M56" i="14"/>
  <c r="N56" i="14"/>
  <c r="O56" i="14"/>
  <c r="P56" i="14"/>
  <c r="Q56" i="14"/>
  <c r="R56" i="14"/>
  <c r="S56" i="14"/>
  <c r="L57" i="14"/>
  <c r="E58" i="14"/>
  <c r="F58" i="14"/>
  <c r="G58" i="14"/>
  <c r="H58" i="14"/>
  <c r="I58" i="14"/>
  <c r="J58" i="14"/>
  <c r="K58" i="14"/>
  <c r="L58" i="14"/>
  <c r="M58" i="14"/>
  <c r="N58" i="14"/>
  <c r="O58" i="14"/>
  <c r="P58" i="14"/>
  <c r="Q58" i="14"/>
  <c r="R58" i="14"/>
  <c r="S58" i="14"/>
  <c r="U58" i="14"/>
  <c r="P61" i="14"/>
  <c r="I84" i="65" s="1"/>
  <c r="Q61" i="14"/>
  <c r="R61" i="14"/>
  <c r="K84" i="65" s="1"/>
  <c r="S61" i="14"/>
  <c r="L84" i="65" s="1"/>
  <c r="T61" i="14"/>
  <c r="G64" i="14"/>
  <c r="H64" i="14"/>
  <c r="I64" i="14"/>
  <c r="J64" i="14"/>
  <c r="C79" i="65" s="1"/>
  <c r="K64" i="14"/>
  <c r="D79" i="65" s="1"/>
  <c r="L64" i="14"/>
  <c r="M64" i="14"/>
  <c r="F79" i="65" s="1"/>
  <c r="N64" i="14"/>
  <c r="G79" i="65" s="1"/>
  <c r="BR64" i="14"/>
  <c r="BT64" i="14"/>
  <c r="E65" i="14"/>
  <c r="F65" i="14"/>
  <c r="G65" i="14"/>
  <c r="H65" i="14"/>
  <c r="I65" i="14"/>
  <c r="J65" i="14"/>
  <c r="K65" i="14"/>
  <c r="L65" i="14"/>
  <c r="M65" i="14"/>
  <c r="N65" i="14"/>
  <c r="O65" i="14"/>
  <c r="P65" i="14"/>
  <c r="Q65" i="14"/>
  <c r="R65" i="14"/>
  <c r="S65" i="14"/>
  <c r="E66" i="14"/>
  <c r="F66" i="14"/>
  <c r="G66" i="14"/>
  <c r="H66" i="14"/>
  <c r="I66" i="14"/>
  <c r="J66" i="14"/>
  <c r="K66" i="14"/>
  <c r="L66" i="14"/>
  <c r="M66" i="14"/>
  <c r="N66" i="14"/>
  <c r="O66" i="14"/>
  <c r="P66" i="14"/>
  <c r="Q66" i="14"/>
  <c r="R66" i="14"/>
  <c r="S66" i="14"/>
  <c r="E67" i="14"/>
  <c r="F67" i="14"/>
  <c r="G67" i="14"/>
  <c r="H67" i="14"/>
  <c r="I67" i="14"/>
  <c r="J67" i="14"/>
  <c r="K67" i="14"/>
  <c r="L67" i="14"/>
  <c r="M67" i="14"/>
  <c r="N67" i="14"/>
  <c r="R67" i="14"/>
  <c r="S67" i="14"/>
  <c r="BU67" i="14"/>
  <c r="BV67" i="14"/>
  <c r="BW67" i="14"/>
  <c r="O67" i="14" s="1"/>
  <c r="BX67" i="14"/>
  <c r="BY67" i="14"/>
  <c r="BZ67" i="14"/>
  <c r="CA67" i="14"/>
  <c r="P67" i="14" s="1"/>
  <c r="CB67" i="14"/>
  <c r="CC67" i="14"/>
  <c r="CD67" i="14"/>
  <c r="N84" i="66" s="1"/>
  <c r="CE67" i="14"/>
  <c r="Q67" i="14" s="1"/>
  <c r="CF67" i="14"/>
  <c r="CG67" i="14"/>
  <c r="CH67" i="14"/>
  <c r="E68" i="14"/>
  <c r="F68" i="14"/>
  <c r="G68" i="14"/>
  <c r="H68" i="14"/>
  <c r="I68" i="14"/>
  <c r="K68" i="14"/>
  <c r="L68" i="14"/>
  <c r="M68" i="14"/>
  <c r="N100" i="14" s="1"/>
  <c r="Q68" i="14"/>
  <c r="R68" i="14"/>
  <c r="S68" i="14"/>
  <c r="BC68" i="14"/>
  <c r="BC100" i="14" s="1"/>
  <c r="BN68" i="14"/>
  <c r="BQ68" i="14"/>
  <c r="BR68" i="14" s="1"/>
  <c r="BR100" i="14" s="1"/>
  <c r="E69" i="14"/>
  <c r="F69" i="14"/>
  <c r="G69" i="14"/>
  <c r="H69" i="14"/>
  <c r="I69" i="14"/>
  <c r="J69" i="14"/>
  <c r="K69" i="14"/>
  <c r="L69" i="14"/>
  <c r="M69" i="14"/>
  <c r="P69" i="14"/>
  <c r="Q69" i="14"/>
  <c r="R69" i="14"/>
  <c r="S69" i="14"/>
  <c r="BQ69" i="14"/>
  <c r="E70" i="14"/>
  <c r="F70" i="14"/>
  <c r="G70" i="14"/>
  <c r="H70" i="14"/>
  <c r="I70" i="14"/>
  <c r="J70" i="14"/>
  <c r="K70" i="14"/>
  <c r="L70" i="14"/>
  <c r="M70" i="14"/>
  <c r="N70" i="14"/>
  <c r="O70" i="14"/>
  <c r="P70" i="14"/>
  <c r="Q70" i="14"/>
  <c r="R70" i="14"/>
  <c r="S70" i="14"/>
  <c r="AG71" i="14"/>
  <c r="AG102" i="14" s="1"/>
  <c r="AH95" i="14" s="1"/>
  <c r="AH71" i="14"/>
  <c r="AI71" i="14"/>
  <c r="AI102" i="14" s="1"/>
  <c r="AJ71" i="14"/>
  <c r="AK71" i="14"/>
  <c r="AL71" i="14"/>
  <c r="AM71" i="14"/>
  <c r="AN71" i="14"/>
  <c r="AO71" i="14"/>
  <c r="AP71" i="14"/>
  <c r="AQ71" i="14"/>
  <c r="AR71" i="14"/>
  <c r="AS71" i="14"/>
  <c r="AT71" i="14"/>
  <c r="AU71" i="14"/>
  <c r="AV71" i="14"/>
  <c r="AW71" i="14"/>
  <c r="AX71" i="14"/>
  <c r="AY71" i="14"/>
  <c r="AZ71" i="14"/>
  <c r="BA71" i="14"/>
  <c r="BB71" i="14"/>
  <c r="BD71" i="14"/>
  <c r="BE71" i="14"/>
  <c r="BF71" i="14"/>
  <c r="BG71" i="14"/>
  <c r="BH71" i="14"/>
  <c r="BI71" i="14"/>
  <c r="BJ71" i="14"/>
  <c r="BK71" i="14"/>
  <c r="BL71" i="14"/>
  <c r="BM71" i="14"/>
  <c r="BO71" i="14"/>
  <c r="BP71" i="14"/>
  <c r="CN78" i="14"/>
  <c r="CN80" i="14" s="1"/>
  <c r="AH97" i="14"/>
  <c r="AI97" i="14"/>
  <c r="AJ97" i="14"/>
  <c r="AK97" i="14"/>
  <c r="AL97" i="14"/>
  <c r="AM97" i="14"/>
  <c r="AN97" i="14"/>
  <c r="AO97" i="14"/>
  <c r="AP97" i="14"/>
  <c r="AQ97" i="14"/>
  <c r="AR97" i="14"/>
  <c r="AS97" i="14"/>
  <c r="AT97" i="14"/>
  <c r="AU97" i="14"/>
  <c r="AV97" i="14"/>
  <c r="AW97" i="14"/>
  <c r="AX97" i="14"/>
  <c r="AY97" i="14"/>
  <c r="AZ97" i="14"/>
  <c r="BA97" i="14"/>
  <c r="BB97" i="14"/>
  <c r="BC97" i="14"/>
  <c r="BD97" i="14"/>
  <c r="BE97" i="14"/>
  <c r="BF97" i="14"/>
  <c r="BG97" i="14"/>
  <c r="BH97" i="14"/>
  <c r="BI97" i="14"/>
  <c r="BJ97" i="14"/>
  <c r="BK97" i="14"/>
  <c r="BL97" i="14"/>
  <c r="BM97" i="14"/>
  <c r="BN97" i="14"/>
  <c r="BO97" i="14"/>
  <c r="BP97" i="14"/>
  <c r="BQ97" i="14"/>
  <c r="BR97" i="14"/>
  <c r="BS97" i="14"/>
  <c r="BT97" i="14"/>
  <c r="BU97" i="14"/>
  <c r="BV97" i="14"/>
  <c r="BW97" i="14"/>
  <c r="BX97" i="14"/>
  <c r="BY97" i="14"/>
  <c r="BZ97" i="14"/>
  <c r="CA97" i="14"/>
  <c r="CB97" i="14"/>
  <c r="CC97" i="14"/>
  <c r="CD97" i="14"/>
  <c r="CE97" i="14"/>
  <c r="CF97" i="14"/>
  <c r="CG97" i="14"/>
  <c r="CH97" i="14"/>
  <c r="CI97" i="14"/>
  <c r="CJ97" i="14"/>
  <c r="CK97" i="14"/>
  <c r="CL97" i="14"/>
  <c r="CM97" i="14"/>
  <c r="CN97" i="14"/>
  <c r="AH99" i="14"/>
  <c r="AI99" i="14"/>
  <c r="AJ99" i="14"/>
  <c r="AK99" i="14"/>
  <c r="AL99" i="14"/>
  <c r="AM99" i="14"/>
  <c r="AN99" i="14"/>
  <c r="AO99" i="14"/>
  <c r="AP99" i="14"/>
  <c r="AQ99" i="14"/>
  <c r="AR99" i="14"/>
  <c r="AS99" i="14"/>
  <c r="AT99" i="14"/>
  <c r="AU99" i="14"/>
  <c r="AV99" i="14"/>
  <c r="AW99" i="14"/>
  <c r="AX99" i="14"/>
  <c r="AY99" i="14"/>
  <c r="AZ99" i="14"/>
  <c r="BA99" i="14"/>
  <c r="BB99" i="14"/>
  <c r="BC99" i="14"/>
  <c r="BD99" i="14"/>
  <c r="BE99" i="14"/>
  <c r="BF99" i="14"/>
  <c r="BG99" i="14"/>
  <c r="BH99" i="14"/>
  <c r="BI99" i="14"/>
  <c r="BJ99" i="14"/>
  <c r="BK99" i="14"/>
  <c r="BL99" i="14"/>
  <c r="BM99" i="14"/>
  <c r="BN99" i="14"/>
  <c r="BO99" i="14"/>
  <c r="BP99" i="14"/>
  <c r="BQ99" i="14"/>
  <c r="BR99" i="14"/>
  <c r="BS99" i="14"/>
  <c r="BT99" i="14"/>
  <c r="BU99" i="14"/>
  <c r="BV99" i="14"/>
  <c r="BW99" i="14"/>
  <c r="BX99" i="14"/>
  <c r="BY99" i="14"/>
  <c r="BZ99" i="14"/>
  <c r="CA99" i="14"/>
  <c r="CB99" i="14"/>
  <c r="CC99" i="14"/>
  <c r="CD99" i="14"/>
  <c r="CE99" i="14"/>
  <c r="CF99" i="14"/>
  <c r="CG99" i="14"/>
  <c r="CH99" i="14"/>
  <c r="CI99" i="14"/>
  <c r="CJ99" i="14"/>
  <c r="CK99" i="14"/>
  <c r="CL99" i="14"/>
  <c r="CM99" i="14"/>
  <c r="CN99" i="14"/>
  <c r="AH100" i="14"/>
  <c r="AI100" i="14"/>
  <c r="AJ100" i="14"/>
  <c r="AK100" i="14"/>
  <c r="AL100" i="14"/>
  <c r="AM100" i="14"/>
  <c r="AN100" i="14"/>
  <c r="AO100" i="14"/>
  <c r="AP100" i="14"/>
  <c r="AQ100" i="14"/>
  <c r="AR100" i="14"/>
  <c r="AS100" i="14"/>
  <c r="AT100" i="14"/>
  <c r="AU100" i="14"/>
  <c r="AV100" i="14"/>
  <c r="AW100" i="14"/>
  <c r="AX100" i="14"/>
  <c r="AY100" i="14"/>
  <c r="AZ100" i="14"/>
  <c r="BA100" i="14"/>
  <c r="BB100" i="14"/>
  <c r="BE100" i="14"/>
  <c r="BF100" i="14"/>
  <c r="BG100" i="14"/>
  <c r="BH100" i="14"/>
  <c r="BI100" i="14"/>
  <c r="BJ100" i="14"/>
  <c r="BK100" i="14"/>
  <c r="BL100" i="14"/>
  <c r="BM100" i="14"/>
  <c r="BP100" i="14"/>
  <c r="CE100" i="14"/>
  <c r="CF100" i="14"/>
  <c r="CG100" i="14"/>
  <c r="CH100" i="14"/>
  <c r="CI100" i="14"/>
  <c r="CJ100" i="14"/>
  <c r="CK100" i="14"/>
  <c r="CL100" i="14"/>
  <c r="CM100" i="14"/>
  <c r="CN100" i="14"/>
  <c r="N101" i="14"/>
  <c r="O101" i="14"/>
  <c r="P101" i="14"/>
  <c r="Q101" i="14"/>
  <c r="R101" i="14"/>
  <c r="S101" i="14"/>
  <c r="BL101" i="14"/>
  <c r="BM101" i="14"/>
  <c r="BN101" i="14"/>
  <c r="BO101" i="14"/>
  <c r="AF106" i="14"/>
  <c r="AG106" i="14"/>
  <c r="AH106" i="14"/>
  <c r="AI106" i="14"/>
  <c r="AJ106" i="14"/>
  <c r="AJ108" i="14" s="1"/>
  <c r="AK106" i="14"/>
  <c r="AK108" i="14" s="1"/>
  <c r="AL106" i="14"/>
  <c r="AL108" i="14" s="1"/>
  <c r="AM106" i="14"/>
  <c r="AM108" i="14" s="1"/>
  <c r="AN106" i="14"/>
  <c r="AN108" i="14" s="1"/>
  <c r="AO106" i="14"/>
  <c r="AO108" i="14" s="1"/>
  <c r="AP106" i="14"/>
  <c r="AP108" i="14" s="1"/>
  <c r="AQ106" i="14"/>
  <c r="AQ108" i="14" s="1"/>
  <c r="AU107" i="14"/>
  <c r="AY109" i="14" s="1"/>
  <c r="AX107" i="14"/>
  <c r="BB109" i="14" s="1"/>
  <c r="AY107" i="14"/>
  <c r="BC109" i="14" s="1"/>
  <c r="AZ107" i="14"/>
  <c r="BD109" i="14" s="1"/>
  <c r="BA107" i="14"/>
  <c r="BE109" i="14" s="1"/>
  <c r="BB107" i="14"/>
  <c r="BF109" i="14" s="1"/>
  <c r="BC107" i="14"/>
  <c r="BG109" i="14" s="1"/>
  <c r="BD107" i="14"/>
  <c r="BH109" i="14" s="1"/>
  <c r="BE107" i="14"/>
  <c r="BI109" i="14" s="1"/>
  <c r="BF107" i="14"/>
  <c r="BJ109" i="14" s="1"/>
  <c r="BG107" i="14"/>
  <c r="BK109" i="14" s="1"/>
  <c r="BH107" i="14"/>
  <c r="BL109" i="14" s="1"/>
  <c r="BI107" i="14"/>
  <c r="BM109" i="14" s="1"/>
  <c r="BJ107" i="14"/>
  <c r="BN109" i="14" s="1"/>
  <c r="BK107" i="14"/>
  <c r="BO109" i="14" s="1"/>
  <c r="BL107" i="14"/>
  <c r="BM107" i="14"/>
  <c r="BN107" i="14"/>
  <c r="BO107" i="14"/>
  <c r="BP107" i="14"/>
  <c r="BP109" i="14" s="1"/>
  <c r="BQ107" i="14"/>
  <c r="BQ109" i="14" s="1"/>
  <c r="BR107" i="14"/>
  <c r="BR109" i="14" s="1"/>
  <c r="BS107" i="14"/>
  <c r="BS109" i="14" s="1"/>
  <c r="BT107" i="14"/>
  <c r="CB107" i="14"/>
  <c r="CB109" i="14" s="1"/>
  <c r="CC107" i="14"/>
  <c r="CC109" i="14" s="1"/>
  <c r="CD107" i="14"/>
  <c r="CE107" i="14"/>
  <c r="CF107" i="14"/>
  <c r="CF109" i="14" s="1"/>
  <c r="CG107" i="14"/>
  <c r="CG109" i="14" s="1"/>
  <c r="CH107" i="14"/>
  <c r="CI107" i="14"/>
  <c r="CI109" i="14" s="1"/>
  <c r="R109" i="14" s="1"/>
  <c r="CJ107" i="14"/>
  <c r="CJ109" i="14" s="1"/>
  <c r="CK107" i="14"/>
  <c r="CK109" i="14" s="1"/>
  <c r="CL107" i="14"/>
  <c r="CM107" i="14"/>
  <c r="CM109" i="14" s="1"/>
  <c r="S109" i="14" s="1"/>
  <c r="CN107" i="14"/>
  <c r="CN109" i="14" s="1"/>
  <c r="H112" i="14"/>
  <c r="AJ112" i="14"/>
  <c r="AA34" i="48" s="1"/>
  <c r="AK112" i="14"/>
  <c r="AL112" i="14"/>
  <c r="AC34" i="48" s="1"/>
  <c r="AM112" i="14"/>
  <c r="AD34" i="48" s="1"/>
  <c r="AN112" i="14"/>
  <c r="AE34" i="48" s="1"/>
  <c r="AO112" i="14"/>
  <c r="AF34" i="48" s="1"/>
  <c r="AP112" i="14"/>
  <c r="AG34" i="48" s="1"/>
  <c r="AQ112" i="14"/>
  <c r="AH34" i="48" s="1"/>
  <c r="AR112" i="14"/>
  <c r="AI34" i="48" s="1"/>
  <c r="AS112" i="14"/>
  <c r="AT112" i="14"/>
  <c r="AK34" i="48" s="1"/>
  <c r="AU112" i="14"/>
  <c r="AL34" i="48" s="1"/>
  <c r="AV112" i="14"/>
  <c r="AM34" i="48" s="1"/>
  <c r="AW112" i="14"/>
  <c r="AX112" i="14"/>
  <c r="AY112" i="14"/>
  <c r="AJ113" i="14"/>
  <c r="AA35" i="48" s="1"/>
  <c r="AK113" i="14"/>
  <c r="AB35" i="48" s="1"/>
  <c r="AL113" i="14"/>
  <c r="AC35" i="48" s="1"/>
  <c r="AM113" i="14"/>
  <c r="AN113" i="14"/>
  <c r="AE35" i="48" s="1"/>
  <c r="AO113" i="14"/>
  <c r="AF35" i="48" s="1"/>
  <c r="AP113" i="14"/>
  <c r="AG35" i="48" s="1"/>
  <c r="AQ113" i="14"/>
  <c r="AR113" i="14"/>
  <c r="AI35" i="48" s="1"/>
  <c r="AS113" i="14"/>
  <c r="AJ35" i="48" s="1"/>
  <c r="AT113" i="14"/>
  <c r="AK35" i="48" s="1"/>
  <c r="AU113" i="14"/>
  <c r="AL35" i="48" s="1"/>
  <c r="AV113" i="14"/>
  <c r="AM35" i="48" s="1"/>
  <c r="AW113" i="14"/>
  <c r="AN35" i="48" s="1"/>
  <c r="AX113" i="14"/>
  <c r="AO35" i="48" s="1"/>
  <c r="AY113" i="14"/>
  <c r="AZ113" i="14"/>
  <c r="AQ35" i="48" s="1"/>
  <c r="BA113" i="14"/>
  <c r="AR35" i="48" s="1"/>
  <c r="BB113" i="14"/>
  <c r="AS35" i="48" s="1"/>
  <c r="BC113" i="14"/>
  <c r="BD113" i="14"/>
  <c r="AU35" i="48" s="1"/>
  <c r="BE113" i="14"/>
  <c r="AV35" i="48" s="1"/>
  <c r="BF113" i="14"/>
  <c r="BG113" i="14"/>
  <c r="AX35" i="48" s="1"/>
  <c r="BI113" i="14"/>
  <c r="AZ35" i="48" s="1"/>
  <c r="BJ113" i="14"/>
  <c r="BA35" i="48" s="1"/>
  <c r="BK113" i="14"/>
  <c r="BL113" i="14"/>
  <c r="BC35" i="48" s="1"/>
  <c r="BM113" i="14"/>
  <c r="BD35" i="48" s="1"/>
  <c r="BN113" i="14"/>
  <c r="BE35" i="48" s="1"/>
  <c r="BO113" i="14"/>
  <c r="BP113" i="14"/>
  <c r="BG10" i="48" s="1"/>
  <c r="BQ113" i="14"/>
  <c r="BH35" i="48" s="1"/>
  <c r="BR113" i="14"/>
  <c r="BI35" i="48" s="1"/>
  <c r="BS113" i="14"/>
  <c r="BY113" i="14"/>
  <c r="BZ113" i="14"/>
  <c r="CA113" i="14"/>
  <c r="BR35" i="48" s="1"/>
  <c r="CB113" i="14"/>
  <c r="BS35" i="48" s="1"/>
  <c r="CC113" i="14"/>
  <c r="CD113" i="14"/>
  <c r="CE113" i="14"/>
  <c r="BV35" i="48" s="1"/>
  <c r="CG113" i="14"/>
  <c r="CH113" i="14"/>
  <c r="BY35" i="48" s="1"/>
  <c r="CI113" i="14"/>
  <c r="BZ35" i="48" s="1"/>
  <c r="CJ113" i="14"/>
  <c r="CK113" i="14"/>
  <c r="CB10" i="48" s="1"/>
  <c r="CL113" i="14"/>
  <c r="CC10" i="48" s="1"/>
  <c r="CM113" i="14"/>
  <c r="CN113" i="14"/>
  <c r="G27" i="48"/>
  <c r="I27" i="48"/>
  <c r="K27" i="48"/>
  <c r="M27" i="48"/>
  <c r="BH27" i="48"/>
  <c r="BP27" i="48"/>
  <c r="BL26" i="48"/>
  <c r="I124" i="14"/>
  <c r="J124" i="14"/>
  <c r="K124" i="14"/>
  <c r="L124" i="14"/>
  <c r="M124" i="14"/>
  <c r="N124" i="14"/>
  <c r="N702" i="12" s="1"/>
  <c r="O124" i="14"/>
  <c r="P124" i="14"/>
  <c r="Q124" i="14"/>
  <c r="EN361" i="48" s="1"/>
  <c r="R124" i="14"/>
  <c r="S124" i="14"/>
  <c r="S702" i="12" s="1"/>
  <c r="AV133" i="14"/>
  <c r="AM24" i="48" s="1"/>
  <c r="AW133" i="14"/>
  <c r="AY133" i="14"/>
  <c r="AP24" i="48" s="1"/>
  <c r="AZ133" i="14"/>
  <c r="BA133" i="14"/>
  <c r="BB133" i="14"/>
  <c r="AS24" i="48" s="1"/>
  <c r="BD133" i="14"/>
  <c r="AU24" i="48" s="1"/>
  <c r="BE133" i="14"/>
  <c r="BF133" i="14"/>
  <c r="AW24" i="48" s="1"/>
  <c r="BH133" i="14"/>
  <c r="BJ133" i="14"/>
  <c r="BA24" i="48"/>
  <c r="E9" i="58" s="1"/>
  <c r="BK133" i="14"/>
  <c r="BL133" i="14"/>
  <c r="BM133" i="14"/>
  <c r="BD24" i="48"/>
  <c r="H9" i="58" s="1"/>
  <c r="BO133" i="14"/>
  <c r="BF24" i="48" s="1"/>
  <c r="J9" i="58" s="1"/>
  <c r="BP133" i="14"/>
  <c r="BQ133" i="14"/>
  <c r="BR133" i="14"/>
  <c r="BI24" i="48" s="1"/>
  <c r="M9" i="58" s="1"/>
  <c r="BS133" i="14"/>
  <c r="BU133" i="14"/>
  <c r="BV133" i="14"/>
  <c r="AF7" i="64" s="1"/>
  <c r="BW133" i="14"/>
  <c r="BX133" i="14"/>
  <c r="BY133" i="14"/>
  <c r="BZ133" i="14"/>
  <c r="CA133" i="14"/>
  <c r="CB104" i="15"/>
  <c r="E57" i="56"/>
  <c r="CD104" i="15"/>
  <c r="CE104" i="15"/>
  <c r="CF104" i="15"/>
  <c r="CG104" i="15"/>
  <c r="CH133" i="14"/>
  <c r="CH104" i="15"/>
  <c r="CI104" i="15"/>
  <c r="CK104" i="15"/>
  <c r="CL104" i="15"/>
  <c r="CM104" i="15"/>
  <c r="N155" i="14"/>
  <c r="O155" i="14"/>
  <c r="AI155" i="14"/>
  <c r="AM155" i="14"/>
  <c r="AQ155" i="14"/>
  <c r="AU155" i="14"/>
  <c r="AY155" i="14"/>
  <c r="BC155" i="14"/>
  <c r="BG155" i="14"/>
  <c r="BK155" i="14"/>
  <c r="BO155" i="14"/>
  <c r="N156" i="14"/>
  <c r="O156" i="14"/>
  <c r="AI156" i="14"/>
  <c r="AM156" i="14"/>
  <c r="AQ156" i="14"/>
  <c r="AU156" i="14"/>
  <c r="AY156" i="14"/>
  <c r="BC156" i="14"/>
  <c r="BG156" i="14"/>
  <c r="BK156" i="14"/>
  <c r="BO156" i="14"/>
  <c r="N157" i="14"/>
  <c r="O157" i="14"/>
  <c r="BC157" i="14"/>
  <c r="BG157" i="14"/>
  <c r="BK157" i="14"/>
  <c r="BO157" i="14"/>
  <c r="N158" i="14"/>
  <c r="O158" i="14"/>
  <c r="BK158" i="14"/>
  <c r="BO158" i="14"/>
  <c r="N159" i="14"/>
  <c r="O159" i="14"/>
  <c r="AI159" i="14"/>
  <c r="AM159" i="14"/>
  <c r="AQ159" i="14"/>
  <c r="AU159" i="14"/>
  <c r="AY159" i="14"/>
  <c r="BC159" i="14"/>
  <c r="BG159" i="14"/>
  <c r="BK159" i="14"/>
  <c r="BO159" i="14"/>
  <c r="N160" i="14"/>
  <c r="O160" i="14"/>
  <c r="AI160" i="14"/>
  <c r="AM160" i="14"/>
  <c r="AQ160" i="14"/>
  <c r="AU160" i="14"/>
  <c r="AY160" i="14"/>
  <c r="BC160" i="14"/>
  <c r="BG160" i="14"/>
  <c r="BK160" i="14"/>
  <c r="BO160" i="14"/>
  <c r="N161" i="14"/>
  <c r="O161" i="14"/>
  <c r="BC161" i="14"/>
  <c r="BG161" i="14"/>
  <c r="BK161" i="14"/>
  <c r="BO161" i="14"/>
  <c r="CL161" i="14"/>
  <c r="CN161" i="14"/>
  <c r="CO161" i="14" s="1"/>
  <c r="N162" i="14"/>
  <c r="O162" i="14"/>
  <c r="AI162" i="14"/>
  <c r="AM162" i="14"/>
  <c r="AQ162" i="14"/>
  <c r="AU162" i="14"/>
  <c r="AY162" i="14"/>
  <c r="BC162" i="14"/>
  <c r="BG162" i="14"/>
  <c r="BK162" i="14"/>
  <c r="BO162" i="14"/>
  <c r="N163" i="14"/>
  <c r="O163" i="14"/>
  <c r="BG163" i="14"/>
  <c r="BK163" i="14"/>
  <c r="BO163" i="14"/>
  <c r="E164" i="14"/>
  <c r="E166" i="14" s="1"/>
  <c r="F164" i="14"/>
  <c r="G164" i="14"/>
  <c r="G18" i="14" s="1"/>
  <c r="G20" i="14" s="1"/>
  <c r="H164" i="14"/>
  <c r="I164" i="14"/>
  <c r="J164" i="14"/>
  <c r="K164" i="14"/>
  <c r="K18" i="14" s="1"/>
  <c r="L164" i="14"/>
  <c r="M164" i="14"/>
  <c r="M18" i="14" s="1"/>
  <c r="F61" i="65" s="1"/>
  <c r="AJ164" i="14"/>
  <c r="AJ18" i="14" s="1"/>
  <c r="AJ20" i="14" s="1"/>
  <c r="AJ28" i="14" s="1"/>
  <c r="AK164" i="14"/>
  <c r="AL164" i="14"/>
  <c r="AN164" i="14"/>
  <c r="AN18" i="14" s="1"/>
  <c r="AN20" i="14" s="1"/>
  <c r="AN28" i="14" s="1"/>
  <c r="AO164" i="14"/>
  <c r="AO18" i="14" s="1"/>
  <c r="AO20" i="14" s="1"/>
  <c r="AO28" i="14" s="1"/>
  <c r="AP164" i="14"/>
  <c r="AP18" i="14" s="1"/>
  <c r="AP20" i="14" s="1"/>
  <c r="AP28" i="14" s="1"/>
  <c r="AR164" i="14"/>
  <c r="AR18" i="14" s="1"/>
  <c r="AR20" i="14" s="1"/>
  <c r="AR28" i="14" s="1"/>
  <c r="AS164" i="14"/>
  <c r="AT164" i="14"/>
  <c r="AV164" i="14"/>
  <c r="AV18" i="14" s="1"/>
  <c r="AV20" i="14" s="1"/>
  <c r="AV28" i="14" s="1"/>
  <c r="AW164" i="14"/>
  <c r="AX164" i="14"/>
  <c r="AZ164" i="14"/>
  <c r="BA164" i="14"/>
  <c r="BB164" i="14"/>
  <c r="BB18" i="14" s="1"/>
  <c r="BB20" i="14" s="1"/>
  <c r="BD164" i="14"/>
  <c r="BE164" i="14"/>
  <c r="BF164" i="14"/>
  <c r="BF18" i="14" s="1"/>
  <c r="BF20" i="14" s="1"/>
  <c r="BH164" i="14"/>
  <c r="BI164" i="14"/>
  <c r="BI18" i="14" s="1"/>
  <c r="BI20" i="14" s="1"/>
  <c r="BJ164" i="14"/>
  <c r="BL164" i="14"/>
  <c r="BL18" i="14" s="1"/>
  <c r="BL20" i="14" s="1"/>
  <c r="BL78" i="14" s="1"/>
  <c r="BM164" i="14"/>
  <c r="BN164" i="14"/>
  <c r="BP164" i="14"/>
  <c r="BQ164" i="14"/>
  <c r="BR164" i="14"/>
  <c r="BR18" i="14" s="1"/>
  <c r="BR20" i="14" s="1"/>
  <c r="BR78" i="14" s="1"/>
  <c r="BS164" i="14"/>
  <c r="BS18" i="14" s="1"/>
  <c r="BT164" i="14"/>
  <c r="BT18" i="14" s="1"/>
  <c r="BU164" i="14"/>
  <c r="BV164" i="14"/>
  <c r="BW164" i="14"/>
  <c r="BX164" i="14"/>
  <c r="BX18" i="14" s="1"/>
  <c r="BY164" i="14"/>
  <c r="BY166" i="14" s="1"/>
  <c r="BY168" i="14" s="1"/>
  <c r="BZ164" i="14"/>
  <c r="CA164" i="14"/>
  <c r="CB164" i="14"/>
  <c r="CB18" i="14" s="1"/>
  <c r="CC164" i="14"/>
  <c r="CC18" i="14" s="1"/>
  <c r="CD164" i="14"/>
  <c r="CE164" i="14"/>
  <c r="CF164" i="14"/>
  <c r="CF18" i="14" s="1"/>
  <c r="CG164" i="14"/>
  <c r="CG18" i="14" s="1"/>
  <c r="CH164" i="14"/>
  <c r="CH18" i="14" s="1"/>
  <c r="CI164" i="14"/>
  <c r="CJ164" i="14"/>
  <c r="CK164" i="14"/>
  <c r="CK166" i="14" s="1"/>
  <c r="CK168" i="14" s="1"/>
  <c r="CM164" i="14"/>
  <c r="N165" i="14"/>
  <c r="N19" i="14" s="1"/>
  <c r="O165" i="14"/>
  <c r="P165" i="14"/>
  <c r="R165" i="14"/>
  <c r="S165" i="14"/>
  <c r="AI165" i="14"/>
  <c r="AM165" i="14"/>
  <c r="AM19" i="14" s="1"/>
  <c r="AQ165" i="14"/>
  <c r="AQ19" i="14" s="1"/>
  <c r="AU165" i="14"/>
  <c r="AY165" i="14"/>
  <c r="AY19" i="14"/>
  <c r="BC165" i="14"/>
  <c r="BC19" i="14" s="1"/>
  <c r="BG165" i="14"/>
  <c r="BG19" i="14" s="1"/>
  <c r="BK165" i="14"/>
  <c r="BK19" i="14" s="1"/>
  <c r="BO165" i="14"/>
  <c r="BO19" i="14" s="1"/>
  <c r="CL165" i="14"/>
  <c r="CL19" i="14" s="1"/>
  <c r="CL166" i="14"/>
  <c r="CN166" i="14"/>
  <c r="BP184" i="14"/>
  <c r="BP185" i="14" s="1"/>
  <c r="BT184" i="14"/>
  <c r="CC184" i="14"/>
  <c r="CD184" i="14"/>
  <c r="CE184" i="14"/>
  <c r="CE172" i="14" s="1"/>
  <c r="M191" i="14"/>
  <c r="N191" i="14"/>
  <c r="M192" i="14"/>
  <c r="N192" i="14"/>
  <c r="M193" i="14"/>
  <c r="N193" i="14"/>
  <c r="BO194" i="14"/>
  <c r="BO209" i="14" s="1"/>
  <c r="BP194" i="14"/>
  <c r="BP209" i="14" s="1"/>
  <c r="BQ194" i="14"/>
  <c r="BQ209" i="14" s="1"/>
  <c r="BR194" i="14"/>
  <c r="BR209" i="14" s="1"/>
  <c r="BS194" i="14"/>
  <c r="BS209" i="14" s="1"/>
  <c r="BT194" i="14"/>
  <c r="BT209" i="14" s="1"/>
  <c r="BU194" i="14"/>
  <c r="BU209" i="14" s="1"/>
  <c r="BV206" i="14" s="1"/>
  <c r="BV194" i="14"/>
  <c r="BV209" i="14" s="1"/>
  <c r="BW194" i="14"/>
  <c r="O194" i="14" s="1"/>
  <c r="M197" i="14"/>
  <c r="N197" i="14"/>
  <c r="M198" i="14"/>
  <c r="N198" i="14"/>
  <c r="M199" i="14"/>
  <c r="N199" i="14"/>
  <c r="BO200" i="14"/>
  <c r="BO202" i="14" s="1"/>
  <c r="BP200" i="14"/>
  <c r="BP202" i="14" s="1"/>
  <c r="BQ200" i="14"/>
  <c r="BQ202" i="14" s="1"/>
  <c r="BR200" i="14"/>
  <c r="BR202" i="14" s="1"/>
  <c r="BS200" i="14"/>
  <c r="BS202" i="14" s="1"/>
  <c r="BT200" i="14"/>
  <c r="BT202" i="14" s="1"/>
  <c r="BU200" i="14"/>
  <c r="BU202" i="14" s="1"/>
  <c r="BV200" i="14"/>
  <c r="BV202" i="14" s="1"/>
  <c r="BW200" i="14"/>
  <c r="BW202" i="14" s="1"/>
  <c r="M201" i="14"/>
  <c r="N201" i="14"/>
  <c r="O201" i="14"/>
  <c r="BX201" i="14"/>
  <c r="BY201" i="14"/>
  <c r="BZ201" i="14"/>
  <c r="CA201" i="14"/>
  <c r="P201" i="14" s="1"/>
  <c r="CB201" i="14"/>
  <c r="CC201" i="14"/>
  <c r="CD201" i="14"/>
  <c r="CE201" i="14"/>
  <c r="Q201" i="14" s="1"/>
  <c r="CF201" i="14"/>
  <c r="CG201" i="14"/>
  <c r="CH201" i="14"/>
  <c r="CI201" i="14"/>
  <c r="R201" i="14" s="1"/>
  <c r="CJ201" i="14"/>
  <c r="CK201" i="14"/>
  <c r="CL201" i="14"/>
  <c r="CM201" i="14"/>
  <c r="S201" i="14" s="1"/>
  <c r="CN201" i="14"/>
  <c r="T201" i="14"/>
  <c r="N207" i="14"/>
  <c r="O207" i="14"/>
  <c r="P207" i="14"/>
  <c r="Q207" i="14"/>
  <c r="R207" i="14"/>
  <c r="S207" i="14"/>
  <c r="T207" i="14"/>
  <c r="P208" i="14"/>
  <c r="Q208" i="14"/>
  <c r="R208" i="14"/>
  <c r="S208" i="14"/>
  <c r="T208" i="14"/>
  <c r="P213" i="14"/>
  <c r="Q213" i="14"/>
  <c r="R213" i="14"/>
  <c r="S213" i="14"/>
  <c r="T213" i="14"/>
  <c r="Y213" i="14"/>
  <c r="Z213" i="14" s="1"/>
  <c r="AA213" i="14" s="1"/>
  <c r="AB213" i="14" s="1"/>
  <c r="AC213" i="14" s="1"/>
  <c r="AD213" i="14" s="1"/>
  <c r="BP213" i="14"/>
  <c r="BQ213" i="14"/>
  <c r="BT213" i="14"/>
  <c r="P214" i="14"/>
  <c r="Q214" i="14"/>
  <c r="R214" i="14"/>
  <c r="S214" i="14"/>
  <c r="T214" i="14"/>
  <c r="BO215" i="14"/>
  <c r="M215" i="14" s="1"/>
  <c r="N212" i="14" s="1"/>
  <c r="BP215" i="14"/>
  <c r="BQ212" i="14" s="1"/>
  <c r="BQ215" i="14"/>
  <c r="BR212" i="14" s="1"/>
  <c r="BR215" i="14"/>
  <c r="BS212" i="14" s="1"/>
  <c r="BS215" i="14"/>
  <c r="BT215" i="14"/>
  <c r="BU215" i="14"/>
  <c r="BV215" i="14"/>
  <c r="BW212" i="14" s="1"/>
  <c r="BW215" i="14"/>
  <c r="BO217" i="14"/>
  <c r="X219" i="14"/>
  <c r="X11" i="15" s="1"/>
  <c r="Z219" i="14"/>
  <c r="Z11" i="15" s="1"/>
  <c r="BX219" i="14"/>
  <c r="BY219" i="14"/>
  <c r="BZ219" i="14"/>
  <c r="CA219" i="14"/>
  <c r="CB219" i="14"/>
  <c r="CC219" i="14"/>
  <c r="CD219" i="14"/>
  <c r="CE219" i="14"/>
  <c r="CF219" i="14"/>
  <c r="CG219" i="14"/>
  <c r="CH219" i="14"/>
  <c r="CI219" i="14"/>
  <c r="CJ219" i="14"/>
  <c r="CK219" i="14"/>
  <c r="CL219" i="14"/>
  <c r="CM219" i="14"/>
  <c r="CN219" i="14"/>
  <c r="P223" i="14"/>
  <c r="Q223" i="14"/>
  <c r="R223" i="14"/>
  <c r="S223" i="14"/>
  <c r="T223" i="14"/>
  <c r="BO223" i="14"/>
  <c r="BP223" i="14"/>
  <c r="BQ223" i="14"/>
  <c r="BR223" i="14"/>
  <c r="BS223" i="14"/>
  <c r="BT223" i="14"/>
  <c r="BW223" i="14"/>
  <c r="P224" i="14"/>
  <c r="Q224" i="14"/>
  <c r="R224" i="14"/>
  <c r="S224" i="14"/>
  <c r="T224" i="14"/>
  <c r="CL226" i="14"/>
  <c r="CL227" i="14" s="1"/>
  <c r="CM226" i="14"/>
  <c r="CM227" i="14" s="1"/>
  <c r="Q1" i="33"/>
  <c r="R1" i="33" s="1"/>
  <c r="S1" i="33" s="1"/>
  <c r="T1" i="33" s="1"/>
  <c r="U1" i="33" s="1"/>
  <c r="V1" i="33" s="1"/>
  <c r="W1" i="33" s="1"/>
  <c r="X1" i="33" s="1"/>
  <c r="Y1" i="33" s="1"/>
  <c r="Z1" i="33" s="1"/>
  <c r="AA1" i="33" s="1"/>
  <c r="AB1" i="33" s="1"/>
  <c r="AC1" i="33" s="1"/>
  <c r="AD1" i="33" s="1"/>
  <c r="CJ1" i="33"/>
  <c r="CK1" i="33" s="1"/>
  <c r="CL1" i="33" s="1"/>
  <c r="CM1" i="33" s="1"/>
  <c r="CO1" i="33" s="1"/>
  <c r="CP1" i="33" s="1"/>
  <c r="CQ1" i="33" s="1"/>
  <c r="CR1" i="33" s="1"/>
  <c r="Q3" i="33"/>
  <c r="J7" i="33"/>
  <c r="K7" i="33"/>
  <c r="K4" i="64" s="1"/>
  <c r="L7" i="33"/>
  <c r="L4" i="64" s="1"/>
  <c r="M7" i="33"/>
  <c r="M4" i="90" s="1"/>
  <c r="D9" i="33"/>
  <c r="E9" i="33"/>
  <c r="F9" i="33"/>
  <c r="G9" i="33"/>
  <c r="BE9" i="33"/>
  <c r="H9" i="33" s="1"/>
  <c r="BJ9" i="33"/>
  <c r="I9" i="33" s="1"/>
  <c r="BO9" i="33"/>
  <c r="J9" i="33" s="1"/>
  <c r="BT9" i="33"/>
  <c r="K9" i="33" s="1"/>
  <c r="BY9" i="33"/>
  <c r="L9" i="33" s="1"/>
  <c r="CD9" i="33"/>
  <c r="M9" i="33" s="1"/>
  <c r="CE9" i="33"/>
  <c r="CE155" i="33" s="1"/>
  <c r="CF9" i="33"/>
  <c r="CG9" i="33"/>
  <c r="CH9" i="33"/>
  <c r="CJ9" i="33"/>
  <c r="EA211" i="48" s="1"/>
  <c r="EF211" i="48" s="1"/>
  <c r="D10" i="33"/>
  <c r="E10" i="33"/>
  <c r="F10" i="33"/>
  <c r="G10" i="33"/>
  <c r="BE10" i="33"/>
  <c r="H10" i="33" s="1"/>
  <c r="BJ10" i="33"/>
  <c r="I10" i="33" s="1"/>
  <c r="BO10" i="33"/>
  <c r="J10" i="33" s="1"/>
  <c r="BT10" i="33"/>
  <c r="K10" i="33" s="1"/>
  <c r="BY10" i="33"/>
  <c r="L10" i="33" s="1"/>
  <c r="CD10" i="33"/>
  <c r="M10" i="33" s="1"/>
  <c r="CE10" i="33"/>
  <c r="CF10" i="33"/>
  <c r="CF140" i="33" s="1"/>
  <c r="CG10" i="33"/>
  <c r="CH10" i="33"/>
  <c r="CJ10" i="33"/>
  <c r="D11" i="33"/>
  <c r="E11" i="33"/>
  <c r="F11" i="33"/>
  <c r="G11" i="33"/>
  <c r="BE11" i="33"/>
  <c r="H11" i="33" s="1"/>
  <c r="BJ11" i="33"/>
  <c r="I11" i="33" s="1"/>
  <c r="BO11" i="33"/>
  <c r="J11" i="33" s="1"/>
  <c r="BT11" i="33"/>
  <c r="K11" i="33" s="1"/>
  <c r="BY11" i="33"/>
  <c r="L11" i="33" s="1"/>
  <c r="CD11" i="33"/>
  <c r="M11" i="33" s="1"/>
  <c r="CE11" i="33"/>
  <c r="CE157" i="33" s="1"/>
  <c r="CF11" i="33"/>
  <c r="CF141" i="33" s="1"/>
  <c r="CG11" i="33"/>
  <c r="CH11" i="33"/>
  <c r="CH141" i="33" s="1"/>
  <c r="CJ11" i="33"/>
  <c r="CJ141" i="33" s="1"/>
  <c r="D12" i="33"/>
  <c r="E12" i="33"/>
  <c r="F12" i="33"/>
  <c r="G12" i="33"/>
  <c r="BE12" i="33"/>
  <c r="H12" i="33" s="1"/>
  <c r="BJ12" i="33"/>
  <c r="I12" i="33" s="1"/>
  <c r="BO12" i="33"/>
  <c r="J12" i="33" s="1"/>
  <c r="BT12" i="33"/>
  <c r="K12" i="33" s="1"/>
  <c r="BY12" i="33"/>
  <c r="L12" i="33" s="1"/>
  <c r="CD12" i="33"/>
  <c r="M12" i="33" s="1"/>
  <c r="CE12" i="33"/>
  <c r="CE142" i="33" s="1"/>
  <c r="CF12" i="33"/>
  <c r="CG12" i="33"/>
  <c r="CH12" i="33"/>
  <c r="CJ12" i="33"/>
  <c r="EA214" i="48" s="1"/>
  <c r="EF214" i="48" s="1"/>
  <c r="BE13" i="33"/>
  <c r="H13" i="33" s="1"/>
  <c r="BJ13" i="33"/>
  <c r="I13" i="33" s="1"/>
  <c r="J14" i="48" s="1"/>
  <c r="BK13" i="33"/>
  <c r="BK143" i="33" s="1"/>
  <c r="BL13" i="33"/>
  <c r="BM13" i="33"/>
  <c r="AS14" i="48" s="1"/>
  <c r="BN13" i="33"/>
  <c r="AT14" i="48" s="1"/>
  <c r="BP13" i="33"/>
  <c r="AU14" i="48" s="1"/>
  <c r="BQ13" i="33"/>
  <c r="BR13" i="33"/>
  <c r="BS13" i="33"/>
  <c r="BU13" i="33"/>
  <c r="BV13" i="33"/>
  <c r="BW13" i="33"/>
  <c r="BX13" i="33"/>
  <c r="BX15" i="33" s="1"/>
  <c r="BZ13" i="33"/>
  <c r="BC14" i="48" s="1"/>
  <c r="CA13" i="33"/>
  <c r="CB13" i="33"/>
  <c r="CC13" i="33"/>
  <c r="D14" i="33"/>
  <c r="E14" i="33"/>
  <c r="F14" i="33"/>
  <c r="G14" i="33"/>
  <c r="BE14" i="33"/>
  <c r="H14" i="33" s="1"/>
  <c r="BJ14" i="33"/>
  <c r="I14" i="33" s="1"/>
  <c r="BO14" i="33"/>
  <c r="J14" i="33" s="1"/>
  <c r="K15" i="48" s="1"/>
  <c r="BT14" i="33"/>
  <c r="K14" i="33" s="1"/>
  <c r="BY14" i="33"/>
  <c r="L14" i="33" s="1"/>
  <c r="M15" i="48" s="1"/>
  <c r="CD14" i="33"/>
  <c r="CH14" i="33"/>
  <c r="CH160" i="33" s="1"/>
  <c r="CJ14" i="33"/>
  <c r="AK15" i="33"/>
  <c r="AP15" i="33"/>
  <c r="AU15" i="33"/>
  <c r="AZ15" i="33"/>
  <c r="BA15" i="33"/>
  <c r="BA117" i="33" s="1"/>
  <c r="BB15" i="33"/>
  <c r="BC15" i="33"/>
  <c r="AK13" i="48" s="1"/>
  <c r="BD15" i="33"/>
  <c r="BF15" i="33"/>
  <c r="BF117" i="33" s="1"/>
  <c r="BG15" i="33"/>
  <c r="BH15" i="33"/>
  <c r="BH17" i="33" s="1"/>
  <c r="BI15" i="33"/>
  <c r="BI109" i="33" s="1"/>
  <c r="AH16" i="33"/>
  <c r="AI16" i="33"/>
  <c r="AJ16" i="33"/>
  <c r="AL16" i="33"/>
  <c r="AM16" i="33"/>
  <c r="AN16" i="33"/>
  <c r="AO16" i="33"/>
  <c r="AQ16" i="33"/>
  <c r="AR16" i="33"/>
  <c r="AS16" i="33"/>
  <c r="AT16" i="33"/>
  <c r="AV16" i="33"/>
  <c r="AW16" i="33"/>
  <c r="AX16" i="33"/>
  <c r="AY16" i="33"/>
  <c r="AL17" i="33"/>
  <c r="AM17" i="33"/>
  <c r="AN17" i="33"/>
  <c r="AO17" i="33"/>
  <c r="AQ17" i="33"/>
  <c r="AR17" i="33"/>
  <c r="AS17" i="33"/>
  <c r="AT17" i="33"/>
  <c r="AV17" i="33"/>
  <c r="AW17" i="33"/>
  <c r="AX17" i="33"/>
  <c r="AY17" i="33"/>
  <c r="Q18" i="33"/>
  <c r="R18" i="33"/>
  <c r="S18" i="33"/>
  <c r="AJ18" i="33"/>
  <c r="AJ19" i="33" s="1"/>
  <c r="AL18" i="33"/>
  <c r="AM18" i="33"/>
  <c r="AM19" i="33" s="1"/>
  <c r="AM20" i="33" s="1"/>
  <c r="AN18" i="33"/>
  <c r="AO18" i="33"/>
  <c r="AI107" i="14" s="1"/>
  <c r="AM109" i="14" s="1"/>
  <c r="AQ18" i="33"/>
  <c r="AR18" i="33"/>
  <c r="AR145" i="33" s="1"/>
  <c r="AS18" i="33"/>
  <c r="AT18" i="33"/>
  <c r="AV18" i="33"/>
  <c r="AN107" i="14" s="1"/>
  <c r="AR109" i="14" s="1"/>
  <c r="AW18" i="33"/>
  <c r="AX18" i="33"/>
  <c r="AP107" i="14" s="1"/>
  <c r="AT109" i="14" s="1"/>
  <c r="AY18" i="33"/>
  <c r="BA18" i="33"/>
  <c r="BE18" i="33" s="1"/>
  <c r="H18" i="33" s="1"/>
  <c r="H107" i="14" s="1"/>
  <c r="H109" i="14" s="1"/>
  <c r="BB18" i="33"/>
  <c r="AS107" i="14" s="1"/>
  <c r="AW109" i="14" s="1"/>
  <c r="BC18" i="33"/>
  <c r="BF18" i="33"/>
  <c r="BG18" i="33"/>
  <c r="AW107" i="14" s="1"/>
  <c r="BA109" i="14" s="1"/>
  <c r="BO18" i="33"/>
  <c r="J18" i="33" s="1"/>
  <c r="J107" i="14" s="1"/>
  <c r="J109" i="14" s="1"/>
  <c r="BT18" i="33"/>
  <c r="K18" i="33" s="1"/>
  <c r="BY18" i="33"/>
  <c r="L18" i="33" s="1"/>
  <c r="L107" i="14" s="1"/>
  <c r="L109" i="14" s="1"/>
  <c r="CD18" i="33"/>
  <c r="M18" i="33" s="1"/>
  <c r="CI18" i="33"/>
  <c r="N18" i="33" s="1"/>
  <c r="AG19" i="33"/>
  <c r="AH19" i="33"/>
  <c r="AH20" i="33" s="1"/>
  <c r="AI19" i="33"/>
  <c r="R22" i="33"/>
  <c r="S22" i="33"/>
  <c r="AK22" i="33"/>
  <c r="D22" i="33" s="1"/>
  <c r="AL22" i="33"/>
  <c r="AM22" i="33"/>
  <c r="AN22" i="33"/>
  <c r="AO22" i="33"/>
  <c r="AQ22" i="33"/>
  <c r="AR22" i="33"/>
  <c r="AR108" i="33" s="1"/>
  <c r="AS22" i="33"/>
  <c r="AT22" i="33"/>
  <c r="AT108" i="33" s="1"/>
  <c r="AV22" i="33"/>
  <c r="AW22" i="33"/>
  <c r="AX22" i="33"/>
  <c r="AY22" i="33"/>
  <c r="BA22" i="33"/>
  <c r="BB22" i="33"/>
  <c r="BC22" i="33"/>
  <c r="BJ22" i="33"/>
  <c r="I22" i="33" s="1"/>
  <c r="BO22" i="33"/>
  <c r="BT22" i="33"/>
  <c r="BY22" i="33"/>
  <c r="CD22" i="33"/>
  <c r="M22" i="33" s="1"/>
  <c r="CI22" i="33"/>
  <c r="CN22" i="33"/>
  <c r="O22" i="33" s="1"/>
  <c r="CS22" i="33"/>
  <c r="P22" i="33" s="1"/>
  <c r="CV22" i="33"/>
  <c r="CW22" i="33"/>
  <c r="R23" i="33"/>
  <c r="S23" i="33"/>
  <c r="AI23" i="33"/>
  <c r="AI24" i="33"/>
  <c r="AJ23" i="33"/>
  <c r="AL23" i="33"/>
  <c r="AM23" i="33"/>
  <c r="AN23" i="33"/>
  <c r="AP23" i="33" s="1"/>
  <c r="AO23" i="33"/>
  <c r="AQ23" i="33"/>
  <c r="AQ109" i="33" s="1"/>
  <c r="AR23" i="33"/>
  <c r="AR109" i="33" s="1"/>
  <c r="AS23" i="33"/>
  <c r="AT23" i="33"/>
  <c r="AT109" i="33" s="1"/>
  <c r="AV23" i="33"/>
  <c r="AV109" i="33" s="1"/>
  <c r="AW23" i="33"/>
  <c r="AX23" i="33"/>
  <c r="AY23" i="33"/>
  <c r="AY109" i="33" s="1"/>
  <c r="BA23" i="33"/>
  <c r="BB23" i="33"/>
  <c r="BC23" i="33"/>
  <c r="BJ23" i="33"/>
  <c r="I23" i="33" s="1"/>
  <c r="BO23" i="33"/>
  <c r="BT23" i="33"/>
  <c r="K23" i="33" s="1"/>
  <c r="BY23" i="33"/>
  <c r="CD23" i="33"/>
  <c r="M23" i="33" s="1"/>
  <c r="CI23" i="33"/>
  <c r="N23" i="33" s="1"/>
  <c r="CN23" i="33"/>
  <c r="CS23" i="33"/>
  <c r="CV23" i="33"/>
  <c r="CW23" i="33"/>
  <c r="AG24" i="33"/>
  <c r="AH24" i="33"/>
  <c r="BD24" i="33"/>
  <c r="BF24" i="33"/>
  <c r="BG24" i="33"/>
  <c r="BH24" i="33"/>
  <c r="BI24" i="33"/>
  <c r="BK24" i="33"/>
  <c r="BK147" i="33" s="1"/>
  <c r="BL24" i="33"/>
  <c r="BM24" i="33"/>
  <c r="BN24" i="33"/>
  <c r="BP24" i="33"/>
  <c r="BQ24" i="33"/>
  <c r="BR24" i="33"/>
  <c r="BS24" i="33"/>
  <c r="BS147" i="33" s="1"/>
  <c r="BU24" i="33"/>
  <c r="BV24" i="33"/>
  <c r="BW24" i="33"/>
  <c r="BW147" i="33" s="1"/>
  <c r="BX24" i="33"/>
  <c r="BZ24" i="33"/>
  <c r="CA24" i="33"/>
  <c r="CB24" i="33"/>
  <c r="CC24" i="33"/>
  <c r="CE24" i="33"/>
  <c r="CE147" i="33" s="1"/>
  <c r="CF24" i="33"/>
  <c r="CG24" i="33"/>
  <c r="CG89" i="33" s="1"/>
  <c r="CH24" i="33"/>
  <c r="CJ24" i="33"/>
  <c r="CK24" i="33"/>
  <c r="CL24" i="33"/>
  <c r="F20" i="77" s="1"/>
  <c r="CM24" i="33"/>
  <c r="CO24" i="33"/>
  <c r="CP24" i="33"/>
  <c r="J20" i="77" s="1"/>
  <c r="CQ24" i="33"/>
  <c r="CR24" i="33"/>
  <c r="L20" i="77" s="1"/>
  <c r="CT24" i="33"/>
  <c r="CU24" i="33"/>
  <c r="O20" i="77" s="1"/>
  <c r="CX24" i="33"/>
  <c r="CY24" i="33"/>
  <c r="S20" i="77" s="1"/>
  <c r="CZ24" i="33"/>
  <c r="DA24" i="33"/>
  <c r="DB24" i="33"/>
  <c r="DC24" i="33"/>
  <c r="W20" i="77" s="1"/>
  <c r="DD24" i="33"/>
  <c r="DE24" i="33"/>
  <c r="DF24" i="33"/>
  <c r="AK26" i="33"/>
  <c r="D26" i="33" s="1"/>
  <c r="AP26" i="33"/>
  <c r="AU26" i="33"/>
  <c r="AZ26" i="33"/>
  <c r="BE26" i="33"/>
  <c r="BJ26" i="33"/>
  <c r="BO26" i="33"/>
  <c r="BT26" i="33"/>
  <c r="BY26" i="33"/>
  <c r="CD26" i="33"/>
  <c r="CI26" i="33"/>
  <c r="N26" i="33" s="1"/>
  <c r="CK26" i="33"/>
  <c r="CL26" i="33"/>
  <c r="CM26" i="33"/>
  <c r="CO26" i="33"/>
  <c r="BX10" i="15" s="1"/>
  <c r="CP26" i="33"/>
  <c r="BY10" i="15" s="1"/>
  <c r="CQ26" i="33"/>
  <c r="BZ10" i="15" s="1"/>
  <c r="CR26" i="33"/>
  <c r="CT26" i="33"/>
  <c r="CB10" i="15"/>
  <c r="Q10" i="15" s="1"/>
  <c r="CU26" i="33"/>
  <c r="CV26" i="33"/>
  <c r="CW26" i="33"/>
  <c r="CW31" i="33"/>
  <c r="CX26" i="33"/>
  <c r="CY26" i="33"/>
  <c r="CY31" i="33" s="1"/>
  <c r="CZ26" i="33"/>
  <c r="CZ31" i="33" s="1"/>
  <c r="DA26" i="33"/>
  <c r="DB26" i="33"/>
  <c r="CJ205" i="15" s="1"/>
  <c r="DC26" i="33"/>
  <c r="DC31" i="33" s="1"/>
  <c r="DD26" i="33"/>
  <c r="DF26" i="33"/>
  <c r="Q27" i="33"/>
  <c r="R27" i="33"/>
  <c r="S27" i="33"/>
  <c r="T27" i="33"/>
  <c r="AK27" i="33"/>
  <c r="AP27" i="33"/>
  <c r="E27" i="33" s="1"/>
  <c r="AU27" i="33"/>
  <c r="AY27" i="33"/>
  <c r="BE27" i="33"/>
  <c r="BJ27" i="33"/>
  <c r="BO27" i="33"/>
  <c r="J27" i="33" s="1"/>
  <c r="BT27" i="33"/>
  <c r="K27" i="33" s="1"/>
  <c r="BY27" i="33"/>
  <c r="CD27" i="33"/>
  <c r="M27" i="33" s="1"/>
  <c r="CH27" i="33"/>
  <c r="CS27" i="33"/>
  <c r="P27" i="33" s="1"/>
  <c r="Q28" i="33"/>
  <c r="R28" i="33"/>
  <c r="R136" i="15" s="1"/>
  <c r="S28" i="33"/>
  <c r="T28" i="33"/>
  <c r="AK28" i="33"/>
  <c r="AP28" i="33"/>
  <c r="AU28" i="33"/>
  <c r="AZ28" i="33"/>
  <c r="G28" i="33" s="1"/>
  <c r="BE28" i="33"/>
  <c r="BJ28" i="33"/>
  <c r="I28" i="33" s="1"/>
  <c r="BO28" i="33"/>
  <c r="BT28" i="33"/>
  <c r="K28" i="33" s="1"/>
  <c r="BY28" i="33"/>
  <c r="L28" i="33" s="1"/>
  <c r="CD28" i="33"/>
  <c r="M28" i="33" s="1"/>
  <c r="CI28" i="33"/>
  <c r="N28" i="33" s="1"/>
  <c r="CN28" i="33"/>
  <c r="O28" i="33" s="1"/>
  <c r="CS28" i="33"/>
  <c r="P28" i="33" s="1"/>
  <c r="R29" i="33"/>
  <c r="S29" i="33"/>
  <c r="AK29" i="33"/>
  <c r="D29" i="33" s="1"/>
  <c r="AP29" i="33"/>
  <c r="AU29" i="33"/>
  <c r="AZ29" i="33"/>
  <c r="BE29" i="33"/>
  <c r="H29" i="33" s="1"/>
  <c r="BJ29" i="33"/>
  <c r="I29" i="33" s="1"/>
  <c r="BO29" i="33"/>
  <c r="BT29" i="33"/>
  <c r="K29" i="33" s="1"/>
  <c r="BY29" i="33"/>
  <c r="CD29" i="33"/>
  <c r="M29" i="33" s="1"/>
  <c r="CH29" i="33"/>
  <c r="CI29" i="33" s="1"/>
  <c r="N29" i="33" s="1"/>
  <c r="R30" i="33"/>
  <c r="S30" i="33"/>
  <c r="AK30" i="33"/>
  <c r="D30" i="33" s="1"/>
  <c r="AP30" i="33"/>
  <c r="E30" i="33" s="1"/>
  <c r="AU30" i="33"/>
  <c r="F30" i="33" s="1"/>
  <c r="AZ30" i="33"/>
  <c r="BE30" i="33"/>
  <c r="H30" i="33" s="1"/>
  <c r="BJ30" i="33"/>
  <c r="I30" i="33" s="1"/>
  <c r="BO30" i="33"/>
  <c r="J30" i="33" s="1"/>
  <c r="BT30" i="33"/>
  <c r="K30" i="33" s="1"/>
  <c r="BY30" i="33"/>
  <c r="L30" i="33" s="1"/>
  <c r="CD30" i="33"/>
  <c r="M30" i="33" s="1"/>
  <c r="CH30" i="33"/>
  <c r="CJ30" i="33" s="1"/>
  <c r="AG31" i="33"/>
  <c r="AH31" i="33"/>
  <c r="AI31" i="33"/>
  <c r="AJ31" i="33"/>
  <c r="AL31" i="33"/>
  <c r="AM31" i="33"/>
  <c r="AN31" i="33"/>
  <c r="AO31" i="33"/>
  <c r="AQ31" i="33"/>
  <c r="AR31" i="33"/>
  <c r="AS31" i="33"/>
  <c r="AT31" i="33"/>
  <c r="AV31" i="33"/>
  <c r="AW31" i="33"/>
  <c r="AX31" i="33"/>
  <c r="BA31" i="33"/>
  <c r="BB31" i="33"/>
  <c r="BC31" i="33"/>
  <c r="BD31" i="33"/>
  <c r="BF31" i="33"/>
  <c r="BG31" i="33"/>
  <c r="BH31" i="33"/>
  <c r="BI31" i="33"/>
  <c r="BK31" i="33"/>
  <c r="BL31" i="33"/>
  <c r="BM31" i="33"/>
  <c r="BN31" i="33"/>
  <c r="BP31" i="33"/>
  <c r="BQ31" i="33"/>
  <c r="BR31" i="33"/>
  <c r="BS31" i="33"/>
  <c r="BU31" i="33"/>
  <c r="BV31" i="33"/>
  <c r="BW31" i="33"/>
  <c r="BX31" i="33"/>
  <c r="BZ31" i="33"/>
  <c r="CA31" i="33"/>
  <c r="CB31" i="33"/>
  <c r="CC31" i="33"/>
  <c r="CE31" i="33"/>
  <c r="CF31" i="33"/>
  <c r="CG31" i="33"/>
  <c r="DE31" i="33"/>
  <c r="F45" i="33"/>
  <c r="M45" i="33"/>
  <c r="E32" i="53" s="1"/>
  <c r="AH45" i="33"/>
  <c r="AI45" i="33" s="1"/>
  <c r="AP45" i="33"/>
  <c r="E45" i="33" s="1"/>
  <c r="AU45" i="33"/>
  <c r="AU115" i="33" s="1"/>
  <c r="AZ45" i="33"/>
  <c r="G45" i="33" s="1"/>
  <c r="BE45" i="33"/>
  <c r="BJ45" i="33"/>
  <c r="I45" i="33" s="1"/>
  <c r="BO45" i="33"/>
  <c r="J45" i="33" s="1"/>
  <c r="BT45" i="33"/>
  <c r="K45" i="33" s="1"/>
  <c r="BY45" i="33"/>
  <c r="L45" i="33" s="1"/>
  <c r="CD45" i="33"/>
  <c r="CI45" i="33"/>
  <c r="N45" i="33" s="1"/>
  <c r="CK45" i="33"/>
  <c r="CL45" i="33"/>
  <c r="CM45" i="33"/>
  <c r="CO45" i="33"/>
  <c r="CP45" i="33"/>
  <c r="CQ45" i="33"/>
  <c r="CR45" i="33"/>
  <c r="CA226" i="14" s="1"/>
  <c r="CA227" i="14" s="1"/>
  <c r="CT45" i="33"/>
  <c r="CU45" i="33"/>
  <c r="CZ149" i="33" s="1"/>
  <c r="CV45" i="33"/>
  <c r="CW45" i="33"/>
  <c r="CX45" i="33"/>
  <c r="CY45" i="33"/>
  <c r="DD149" i="33" s="1"/>
  <c r="CZ45" i="33"/>
  <c r="CH9" i="15" s="1"/>
  <c r="DA45" i="33"/>
  <c r="DB45" i="33"/>
  <c r="DC45" i="33"/>
  <c r="DD165" i="33" s="1"/>
  <c r="DF45" i="33"/>
  <c r="Q50" i="33"/>
  <c r="R50" i="33"/>
  <c r="S50" i="33"/>
  <c r="AH50" i="33"/>
  <c r="AL50" i="33"/>
  <c r="AU50" i="33"/>
  <c r="F50" i="33" s="1"/>
  <c r="AZ50" i="33"/>
  <c r="G50" i="33" s="1"/>
  <c r="BE50" i="33"/>
  <c r="H50" i="33" s="1"/>
  <c r="BJ50" i="33"/>
  <c r="I50" i="33" s="1"/>
  <c r="BO50" i="33"/>
  <c r="J50" i="33" s="1"/>
  <c r="J26" i="48" s="1"/>
  <c r="BT50" i="33"/>
  <c r="K50" i="33" s="1"/>
  <c r="BY50" i="33"/>
  <c r="L50" i="33" s="1"/>
  <c r="L26" i="48" s="1"/>
  <c r="CD50" i="33"/>
  <c r="M50" i="33" s="1"/>
  <c r="CI50" i="33"/>
  <c r="N50" i="33" s="1"/>
  <c r="CN50" i="33"/>
  <c r="O50" i="33" s="1"/>
  <c r="CS50" i="33"/>
  <c r="P50" i="33" s="1"/>
  <c r="S51" i="33"/>
  <c r="T51" i="33"/>
  <c r="AK51" i="33"/>
  <c r="D51" i="33" s="1"/>
  <c r="AP51" i="33"/>
  <c r="E51" i="33" s="1"/>
  <c r="AU51" i="33"/>
  <c r="F51" i="33" s="1"/>
  <c r="AZ51" i="33"/>
  <c r="G51" i="33" s="1"/>
  <c r="BE51" i="33"/>
  <c r="H51" i="33" s="1"/>
  <c r="BJ51" i="33"/>
  <c r="I51" i="33" s="1"/>
  <c r="BO51" i="33"/>
  <c r="J51" i="33" s="1"/>
  <c r="BT51" i="33"/>
  <c r="K51" i="33" s="1"/>
  <c r="BY51" i="33"/>
  <c r="L51" i="33" s="1"/>
  <c r="CD51" i="33"/>
  <c r="M51" i="33" s="1"/>
  <c r="CH51" i="33"/>
  <c r="CI51" i="33" s="1"/>
  <c r="N51" i="33" s="1"/>
  <c r="CJ51" i="33"/>
  <c r="CN51" i="33"/>
  <c r="O51" i="33" s="1"/>
  <c r="CS51" i="33"/>
  <c r="P51" i="33" s="1"/>
  <c r="CV51" i="33"/>
  <c r="Q51" i="33" s="1"/>
  <c r="DA51" i="33"/>
  <c r="R51" i="33" s="1"/>
  <c r="Q52" i="33"/>
  <c r="R52" i="33"/>
  <c r="S52" i="33"/>
  <c r="AH52" i="33"/>
  <c r="AL52" i="33"/>
  <c r="AU52" i="33"/>
  <c r="F52" i="33" s="1"/>
  <c r="AZ52" i="33"/>
  <c r="G52" i="33" s="1"/>
  <c r="BE52" i="33"/>
  <c r="H52" i="33" s="1"/>
  <c r="BJ52" i="33"/>
  <c r="I52" i="33" s="1"/>
  <c r="I28" i="48" s="1"/>
  <c r="BO52" i="33"/>
  <c r="J52" i="33" s="1"/>
  <c r="BT52" i="33"/>
  <c r="K52" i="33" s="1"/>
  <c r="BY52" i="33"/>
  <c r="L52" i="33" s="1"/>
  <c r="CD52" i="33"/>
  <c r="M52" i="33" s="1"/>
  <c r="CI52" i="33"/>
  <c r="N52" i="33" s="1"/>
  <c r="CN52" i="33"/>
  <c r="O52" i="33" s="1"/>
  <c r="CS52" i="33"/>
  <c r="P52" i="33" s="1"/>
  <c r="Q53" i="33"/>
  <c r="Q135" i="15" s="1"/>
  <c r="R53" i="33"/>
  <c r="R135" i="15" s="1"/>
  <c r="S53" i="33"/>
  <c r="T53" i="33"/>
  <c r="AK53" i="33"/>
  <c r="D53" i="33" s="1"/>
  <c r="AP53" i="33"/>
  <c r="E53" i="33" s="1"/>
  <c r="AU53" i="33"/>
  <c r="F53" i="33" s="1"/>
  <c r="AZ53" i="33"/>
  <c r="G53" i="33" s="1"/>
  <c r="BE53" i="33"/>
  <c r="H53" i="33" s="1"/>
  <c r="BJ53" i="33"/>
  <c r="I53" i="33" s="1"/>
  <c r="BO53" i="33"/>
  <c r="J53" i="33" s="1"/>
  <c r="BT53" i="33"/>
  <c r="K53" i="33" s="1"/>
  <c r="BY53" i="33"/>
  <c r="L53" i="33" s="1"/>
  <c r="CD53" i="33"/>
  <c r="M53" i="33" s="1"/>
  <c r="CI53" i="33"/>
  <c r="N53" i="33" s="1"/>
  <c r="N135" i="15" s="1"/>
  <c r="CN53" i="33"/>
  <c r="O53" i="33" s="1"/>
  <c r="O135" i="15" s="1"/>
  <c r="CS53" i="33"/>
  <c r="P53" i="33" s="1"/>
  <c r="P135" i="15" s="1"/>
  <c r="O57" i="33"/>
  <c r="Q57" i="33"/>
  <c r="I192" i="65" s="1"/>
  <c r="R57" i="33"/>
  <c r="J192" i="65" s="1"/>
  <c r="S57" i="33"/>
  <c r="K192" i="65" s="1"/>
  <c r="AK57" i="33"/>
  <c r="D57" i="33"/>
  <c r="AP57" i="33"/>
  <c r="E57" i="33" s="1"/>
  <c r="AU57" i="33"/>
  <c r="F57" i="33" s="1"/>
  <c r="AZ57" i="33"/>
  <c r="G57" i="33" s="1"/>
  <c r="BE57" i="33"/>
  <c r="H57" i="33"/>
  <c r="BJ57" i="33"/>
  <c r="I57" i="33" s="1"/>
  <c r="BO57" i="33"/>
  <c r="J57" i="33" s="1"/>
  <c r="BT57" i="33"/>
  <c r="K57" i="33" s="1"/>
  <c r="C192" i="65" s="1"/>
  <c r="BY57" i="33"/>
  <c r="L57" i="33" s="1"/>
  <c r="D192" i="65" s="1"/>
  <c r="CD57" i="33"/>
  <c r="M57" i="33" s="1"/>
  <c r="E192" i="65" s="1"/>
  <c r="CI57" i="33"/>
  <c r="N57" i="33" s="1"/>
  <c r="F192" i="65" s="1"/>
  <c r="CN57" i="33"/>
  <c r="CS57" i="33"/>
  <c r="P57" i="33" s="1"/>
  <c r="H192" i="65" s="1"/>
  <c r="M62" i="33"/>
  <c r="R62" i="33"/>
  <c r="S62" i="33"/>
  <c r="T62" i="33"/>
  <c r="AK62" i="33"/>
  <c r="D62" i="33"/>
  <c r="AP62" i="33"/>
  <c r="E62" i="33" s="1"/>
  <c r="AU62" i="33"/>
  <c r="F62" i="33"/>
  <c r="AZ62" i="33"/>
  <c r="G62" i="33" s="1"/>
  <c r="BE62" i="33"/>
  <c r="H62" i="33" s="1"/>
  <c r="BJ62" i="33"/>
  <c r="I62" i="33" s="1"/>
  <c r="BO62" i="33"/>
  <c r="J62" i="33" s="1"/>
  <c r="BT62" i="33"/>
  <c r="K62" i="33" s="1"/>
  <c r="BY62" i="33"/>
  <c r="L62" i="33" s="1"/>
  <c r="CI62" i="33"/>
  <c r="N62" i="33" s="1"/>
  <c r="CW62" i="33"/>
  <c r="AK66" i="33"/>
  <c r="D66" i="33" s="1"/>
  <c r="AP66" i="33"/>
  <c r="E66" i="33" s="1"/>
  <c r="AU66" i="33"/>
  <c r="F66" i="33" s="1"/>
  <c r="AZ66" i="33"/>
  <c r="G66" i="33" s="1"/>
  <c r="BE66" i="33"/>
  <c r="H66" i="33" s="1"/>
  <c r="BJ66" i="33"/>
  <c r="I66" i="33" s="1"/>
  <c r="BO66" i="33"/>
  <c r="J66" i="33" s="1"/>
  <c r="BT66" i="33"/>
  <c r="K66" i="33" s="1"/>
  <c r="BY66" i="33"/>
  <c r="L66" i="33" s="1"/>
  <c r="CD66" i="33"/>
  <c r="M66" i="33" s="1"/>
  <c r="CI66" i="33"/>
  <c r="N66" i="33" s="1"/>
  <c r="CN66" i="33"/>
  <c r="O66" i="33" s="1"/>
  <c r="P66" i="33" s="1"/>
  <c r="Q66" i="33" s="1"/>
  <c r="R66" i="33" s="1"/>
  <c r="S66" i="33" s="1"/>
  <c r="T66" i="33" s="1"/>
  <c r="U66" i="33" s="1"/>
  <c r="V66" i="33" s="1"/>
  <c r="CS66" i="33"/>
  <c r="B69" i="33"/>
  <c r="B70" i="33"/>
  <c r="B71" i="33"/>
  <c r="B72" i="33"/>
  <c r="K77" i="33"/>
  <c r="M77" i="33"/>
  <c r="N77" i="33"/>
  <c r="AK77" i="33"/>
  <c r="D77" i="33" s="1"/>
  <c r="AP77" i="33"/>
  <c r="E77" i="33" s="1"/>
  <c r="AU77" i="33"/>
  <c r="F77" i="33" s="1"/>
  <c r="AZ77" i="33"/>
  <c r="G77" i="33" s="1"/>
  <c r="BE77" i="33"/>
  <c r="H77" i="33" s="1"/>
  <c r="BJ77" i="33"/>
  <c r="I77" i="33" s="1"/>
  <c r="BO77" i="33"/>
  <c r="J77" i="33" s="1"/>
  <c r="BY77" i="33"/>
  <c r="L77" i="33" s="1"/>
  <c r="CN77" i="33"/>
  <c r="O77" i="33" s="1"/>
  <c r="P77" i="33" s="1"/>
  <c r="Q77" i="33" s="1"/>
  <c r="R77" i="33" s="1"/>
  <c r="S77" i="33" s="1"/>
  <c r="T77" i="33" s="1"/>
  <c r="U77" i="33" s="1"/>
  <c r="V77" i="33" s="1"/>
  <c r="CS77" i="33"/>
  <c r="D82" i="33"/>
  <c r="E82" i="33"/>
  <c r="F82" i="33"/>
  <c r="G82" i="33"/>
  <c r="H82" i="33"/>
  <c r="I82" i="33"/>
  <c r="J82" i="33"/>
  <c r="K82" i="33"/>
  <c r="L82" i="33"/>
  <c r="M82" i="33"/>
  <c r="M9" i="48" s="1"/>
  <c r="N82" i="33"/>
  <c r="N9" i="48" s="1"/>
  <c r="O82" i="33"/>
  <c r="O9" i="48" s="1"/>
  <c r="Q82" i="33"/>
  <c r="R82" i="33"/>
  <c r="R141" i="15" s="1"/>
  <c r="S82" i="33"/>
  <c r="CS82" i="33"/>
  <c r="P82" i="33" s="1"/>
  <c r="D83" i="33"/>
  <c r="E83" i="33"/>
  <c r="F83" i="33"/>
  <c r="G83" i="33"/>
  <c r="H83" i="33"/>
  <c r="I83" i="33"/>
  <c r="J83" i="33"/>
  <c r="K83" i="33"/>
  <c r="L83" i="33"/>
  <c r="M83" i="33"/>
  <c r="N83" i="33"/>
  <c r="O83" i="33"/>
  <c r="Q83" i="33"/>
  <c r="R83" i="33"/>
  <c r="S83" i="33"/>
  <c r="S106" i="15" s="1"/>
  <c r="CS83" i="33"/>
  <c r="P83" i="33" s="1"/>
  <c r="P106" i="15" s="1"/>
  <c r="D84" i="33"/>
  <c r="E84" i="33"/>
  <c r="F84" i="33"/>
  <c r="G84" i="33"/>
  <c r="H84" i="33"/>
  <c r="I84" i="33"/>
  <c r="J84" i="33"/>
  <c r="K84" i="33"/>
  <c r="L84" i="33"/>
  <c r="M84" i="33"/>
  <c r="CH84" i="33"/>
  <c r="CI84" i="33" s="1"/>
  <c r="N84" i="33" s="1"/>
  <c r="CJ84" i="33"/>
  <c r="CK84" i="33"/>
  <c r="CL84" i="33"/>
  <c r="CM84" i="33"/>
  <c r="CO84" i="33"/>
  <c r="CP84" i="33"/>
  <c r="CQ84" i="33"/>
  <c r="CR84" i="33"/>
  <c r="CT84" i="33"/>
  <c r="CU84" i="33"/>
  <c r="CV84" i="33"/>
  <c r="CW84" i="33"/>
  <c r="CX84" i="33"/>
  <c r="CY84" i="33"/>
  <c r="CZ84" i="33"/>
  <c r="DA84" i="33"/>
  <c r="DB84" i="33"/>
  <c r="DC84" i="33"/>
  <c r="DD84" i="33"/>
  <c r="DE84" i="33"/>
  <c r="DF84" i="33"/>
  <c r="D85" i="33"/>
  <c r="S85" i="33"/>
  <c r="AP85" i="33"/>
  <c r="E85" i="33" s="1"/>
  <c r="AU85" i="33"/>
  <c r="F85" i="33" s="1"/>
  <c r="AZ85" i="33"/>
  <c r="G85" i="33" s="1"/>
  <c r="BE85" i="33"/>
  <c r="H85" i="33" s="1"/>
  <c r="BJ85" i="33"/>
  <c r="I85" i="33" s="1"/>
  <c r="BO85" i="33"/>
  <c r="J85" i="33" s="1"/>
  <c r="BT85" i="33"/>
  <c r="K85" i="33" s="1"/>
  <c r="BY85" i="33"/>
  <c r="CD85" i="33"/>
  <c r="M85" i="33" s="1"/>
  <c r="CI85" i="33"/>
  <c r="N85" i="33" s="1"/>
  <c r="CN85" i="33"/>
  <c r="O85" i="33" s="1"/>
  <c r="P226" i="33" s="1"/>
  <c r="CE89" i="33"/>
  <c r="DE89" i="33"/>
  <c r="CE96" i="33"/>
  <c r="CF96" i="33"/>
  <c r="CG96" i="33"/>
  <c r="CH96" i="33"/>
  <c r="CJ96" i="33"/>
  <c r="CK96" i="33"/>
  <c r="CL96" i="33"/>
  <c r="CM96" i="33"/>
  <c r="CO96" i="33"/>
  <c r="CP96" i="33"/>
  <c r="CQ96" i="33"/>
  <c r="CR96" i="33"/>
  <c r="CT96" i="33"/>
  <c r="CU96" i="33"/>
  <c r="CV96" i="33"/>
  <c r="CW96" i="33"/>
  <c r="CX96" i="33"/>
  <c r="CY96" i="33"/>
  <c r="CZ96" i="33"/>
  <c r="DA96" i="33"/>
  <c r="DB96" i="33"/>
  <c r="DC96" i="33"/>
  <c r="DD96" i="33"/>
  <c r="DE96" i="33"/>
  <c r="DF96" i="33"/>
  <c r="AV108" i="33"/>
  <c r="AY108" i="33"/>
  <c r="AW109" i="33"/>
  <c r="BF109" i="33"/>
  <c r="AL115" i="33"/>
  <c r="AM115" i="33"/>
  <c r="AN115" i="33"/>
  <c r="AO115" i="33"/>
  <c r="AQ115" i="33"/>
  <c r="AR115" i="33"/>
  <c r="AS115" i="33"/>
  <c r="AT115" i="33"/>
  <c r="AV115" i="33"/>
  <c r="AW115" i="33"/>
  <c r="AX115" i="33"/>
  <c r="AY115" i="33"/>
  <c r="AL117" i="33"/>
  <c r="AM117" i="33"/>
  <c r="AN117" i="33"/>
  <c r="AO117" i="33"/>
  <c r="AQ117" i="33"/>
  <c r="AR117" i="33"/>
  <c r="AS117" i="33"/>
  <c r="AT117" i="33"/>
  <c r="AV117" i="33"/>
  <c r="AW117" i="33"/>
  <c r="AX117" i="33"/>
  <c r="AY117" i="33"/>
  <c r="BP139" i="33"/>
  <c r="BQ139" i="33"/>
  <c r="BR139" i="33"/>
  <c r="BS139" i="33"/>
  <c r="BU139" i="33"/>
  <c r="BV139" i="33"/>
  <c r="BW139" i="33"/>
  <c r="BX139" i="33"/>
  <c r="BZ139" i="33"/>
  <c r="CA139" i="33"/>
  <c r="CB139" i="33"/>
  <c r="CC139" i="33"/>
  <c r="BP140" i="33"/>
  <c r="BQ140" i="33"/>
  <c r="BR140" i="33"/>
  <c r="BS140" i="33"/>
  <c r="BU140" i="33"/>
  <c r="BV140" i="33"/>
  <c r="BW140" i="33"/>
  <c r="BX140" i="33"/>
  <c r="BZ140" i="33"/>
  <c r="CA140" i="33"/>
  <c r="CB140" i="33"/>
  <c r="CC140" i="33"/>
  <c r="F141" i="33"/>
  <c r="G141" i="33"/>
  <c r="H141" i="33"/>
  <c r="I141" i="33"/>
  <c r="J141" i="33"/>
  <c r="K141" i="33"/>
  <c r="L141" i="33"/>
  <c r="M141" i="33"/>
  <c r="BP141" i="33"/>
  <c r="BQ141" i="33"/>
  <c r="BR141" i="33"/>
  <c r="BS141" i="33"/>
  <c r="BU141" i="33"/>
  <c r="BV141" i="33"/>
  <c r="BW141" i="33"/>
  <c r="BX141" i="33"/>
  <c r="BZ141" i="33"/>
  <c r="CA141" i="33"/>
  <c r="CB141" i="33"/>
  <c r="CC141" i="33"/>
  <c r="F142" i="33"/>
  <c r="G142" i="33"/>
  <c r="H142" i="33"/>
  <c r="I142" i="33"/>
  <c r="J142" i="33"/>
  <c r="K142" i="33"/>
  <c r="L142" i="33"/>
  <c r="M142" i="33"/>
  <c r="BS142" i="33"/>
  <c r="BU142" i="33"/>
  <c r="BV142" i="33"/>
  <c r="BW142" i="33"/>
  <c r="BX142" i="33"/>
  <c r="BZ142" i="33"/>
  <c r="CA142" i="33"/>
  <c r="CB142" i="33"/>
  <c r="CC142" i="33"/>
  <c r="BF143" i="33"/>
  <c r="BG143" i="33"/>
  <c r="BH143" i="33"/>
  <c r="BI143" i="33"/>
  <c r="BL143" i="33"/>
  <c r="BN143" i="33"/>
  <c r="BF144" i="33"/>
  <c r="BG144" i="33"/>
  <c r="BH144" i="33"/>
  <c r="BI144" i="33"/>
  <c r="BK144" i="33"/>
  <c r="BL144" i="33"/>
  <c r="BM144" i="33"/>
  <c r="BN144" i="33"/>
  <c r="BP144" i="33"/>
  <c r="BQ144" i="33"/>
  <c r="BR144" i="33"/>
  <c r="BS144" i="33"/>
  <c r="BU144" i="33"/>
  <c r="BV144" i="33"/>
  <c r="BW144" i="33"/>
  <c r="BX144" i="33"/>
  <c r="BZ144" i="33"/>
  <c r="CA144" i="33"/>
  <c r="CB144" i="33"/>
  <c r="CC144" i="33"/>
  <c r="CE144" i="33"/>
  <c r="CF144" i="33"/>
  <c r="CG144" i="33"/>
  <c r="AV145" i="33"/>
  <c r="AW145" i="33"/>
  <c r="AX145" i="33"/>
  <c r="AY145" i="33"/>
  <c r="BF145" i="33"/>
  <c r="CB147" i="33"/>
  <c r="CU147" i="33"/>
  <c r="AQ149" i="33"/>
  <c r="AR149" i="33"/>
  <c r="AS149" i="33"/>
  <c r="AT149" i="33"/>
  <c r="AV149" i="33"/>
  <c r="AW149" i="33"/>
  <c r="AX149" i="33"/>
  <c r="AY149" i="33"/>
  <c r="BA149" i="33"/>
  <c r="BB149" i="33"/>
  <c r="BC149" i="33"/>
  <c r="BD149" i="33"/>
  <c r="BF149" i="33"/>
  <c r="BG149" i="33"/>
  <c r="BH149" i="33"/>
  <c r="BI149" i="33"/>
  <c r="BK149" i="33"/>
  <c r="BL149" i="33"/>
  <c r="BM149" i="33"/>
  <c r="BN149" i="33"/>
  <c r="BP149" i="33"/>
  <c r="BQ149" i="33"/>
  <c r="BR149" i="33"/>
  <c r="BS149" i="33"/>
  <c r="BU149" i="33"/>
  <c r="BV149" i="33"/>
  <c r="BW149" i="33"/>
  <c r="BX149" i="33"/>
  <c r="BZ149" i="33"/>
  <c r="CA149" i="33"/>
  <c r="CB149" i="33"/>
  <c r="CC149" i="33"/>
  <c r="CE149" i="33"/>
  <c r="CF149" i="33"/>
  <c r="CG149" i="33"/>
  <c r="CH149" i="33"/>
  <c r="CJ149" i="33"/>
  <c r="DE149" i="33"/>
  <c r="AL155" i="33"/>
  <c r="AM155" i="33"/>
  <c r="AN155" i="33"/>
  <c r="AO155" i="33"/>
  <c r="AQ155" i="33"/>
  <c r="AR155" i="33"/>
  <c r="AS155" i="33"/>
  <c r="AT155" i="33"/>
  <c r="AV155" i="33"/>
  <c r="AW155" i="33"/>
  <c r="AX155" i="33"/>
  <c r="AY155" i="33"/>
  <c r="BA155" i="33"/>
  <c r="BB155" i="33"/>
  <c r="BC155" i="33"/>
  <c r="BD155" i="33"/>
  <c r="BF155" i="33"/>
  <c r="BG155" i="33"/>
  <c r="BH155" i="33"/>
  <c r="BI155" i="33"/>
  <c r="BK155" i="33"/>
  <c r="BL155" i="33"/>
  <c r="BM155" i="33"/>
  <c r="BN155" i="33"/>
  <c r="BP155" i="33"/>
  <c r="BQ155" i="33"/>
  <c r="BR155" i="33"/>
  <c r="BS155" i="33"/>
  <c r="BU155" i="33"/>
  <c r="BV155" i="33"/>
  <c r="BW155" i="33"/>
  <c r="BX155" i="33"/>
  <c r="BZ155" i="33"/>
  <c r="CA155" i="33"/>
  <c r="CB155" i="33"/>
  <c r="CC155" i="33"/>
  <c r="CD155" i="33"/>
  <c r="AL156" i="33"/>
  <c r="AM156" i="33"/>
  <c r="AN156" i="33"/>
  <c r="AO156" i="33"/>
  <c r="AQ156" i="33"/>
  <c r="AR156" i="33"/>
  <c r="AS156" i="33"/>
  <c r="AT156" i="33"/>
  <c r="AV156" i="33"/>
  <c r="AW156" i="33"/>
  <c r="AX156" i="33"/>
  <c r="AY156" i="33"/>
  <c r="BA156" i="33"/>
  <c r="BB156" i="33"/>
  <c r="BC156" i="33"/>
  <c r="BD156" i="33"/>
  <c r="BF156" i="33"/>
  <c r="BG156" i="33"/>
  <c r="BH156" i="33"/>
  <c r="BI156" i="33"/>
  <c r="BK156" i="33"/>
  <c r="BL156" i="33"/>
  <c r="BM156" i="33"/>
  <c r="BN156" i="33"/>
  <c r="BP156" i="33"/>
  <c r="BQ156" i="33"/>
  <c r="BR156" i="33"/>
  <c r="BS156" i="33"/>
  <c r="BU156" i="33"/>
  <c r="BV156" i="33"/>
  <c r="BW156" i="33"/>
  <c r="BX156" i="33"/>
  <c r="BZ156" i="33"/>
  <c r="CA156" i="33"/>
  <c r="CB156" i="33"/>
  <c r="CC156" i="33"/>
  <c r="AL157" i="33"/>
  <c r="AM157" i="33"/>
  <c r="AN157" i="33"/>
  <c r="AO157" i="33"/>
  <c r="AQ157" i="33"/>
  <c r="AR157" i="33"/>
  <c r="AS157" i="33"/>
  <c r="AT157" i="33"/>
  <c r="AV157" i="33"/>
  <c r="AW157" i="33"/>
  <c r="AX157" i="33"/>
  <c r="AY157" i="33"/>
  <c r="BA157" i="33"/>
  <c r="BB157" i="33"/>
  <c r="BC157" i="33"/>
  <c r="BD157" i="33"/>
  <c r="BF157" i="33"/>
  <c r="BG157" i="33"/>
  <c r="BH157" i="33"/>
  <c r="BI157" i="33"/>
  <c r="BK157" i="33"/>
  <c r="BL157" i="33"/>
  <c r="BM157" i="33"/>
  <c r="BN157" i="33"/>
  <c r="BP157" i="33"/>
  <c r="BQ157" i="33"/>
  <c r="BR157" i="33"/>
  <c r="BS157" i="33"/>
  <c r="BU157" i="33"/>
  <c r="BV157" i="33"/>
  <c r="BW157" i="33"/>
  <c r="BX157" i="33"/>
  <c r="BZ157" i="33"/>
  <c r="CA157" i="33"/>
  <c r="CB157" i="33"/>
  <c r="CC157" i="33"/>
  <c r="AL158" i="33"/>
  <c r="AM158" i="33"/>
  <c r="AN158" i="33"/>
  <c r="AO158" i="33"/>
  <c r="AQ158" i="33"/>
  <c r="AR158" i="33"/>
  <c r="AS158" i="33"/>
  <c r="AT158" i="33"/>
  <c r="AV158" i="33"/>
  <c r="AW158" i="33"/>
  <c r="AX158" i="33"/>
  <c r="AY158" i="33"/>
  <c r="BA158" i="33"/>
  <c r="BB158" i="33"/>
  <c r="BC158" i="33"/>
  <c r="BD158" i="33"/>
  <c r="BF158" i="33"/>
  <c r="BG158" i="33"/>
  <c r="BH158" i="33"/>
  <c r="BI158" i="33"/>
  <c r="BK158" i="33"/>
  <c r="BL158" i="33"/>
  <c r="BM158" i="33"/>
  <c r="BN158" i="33"/>
  <c r="BP158" i="33"/>
  <c r="BQ158" i="33"/>
  <c r="BR158" i="33"/>
  <c r="BS158" i="33"/>
  <c r="BU158" i="33"/>
  <c r="BV158" i="33"/>
  <c r="BW158" i="33"/>
  <c r="BX158" i="33"/>
  <c r="BZ158" i="33"/>
  <c r="CA158" i="33"/>
  <c r="CB158" i="33"/>
  <c r="CC158" i="33"/>
  <c r="AL159" i="33"/>
  <c r="AM159" i="33"/>
  <c r="AN159" i="33"/>
  <c r="AO159" i="33"/>
  <c r="AQ159" i="33"/>
  <c r="AR159" i="33"/>
  <c r="AS159" i="33"/>
  <c r="AT159" i="33"/>
  <c r="AV159" i="33"/>
  <c r="AW159" i="33"/>
  <c r="AX159" i="33"/>
  <c r="AY159" i="33"/>
  <c r="BA159" i="33"/>
  <c r="BB159" i="33"/>
  <c r="BC159" i="33"/>
  <c r="BD159" i="33"/>
  <c r="BF159" i="33"/>
  <c r="BG159" i="33"/>
  <c r="BH159" i="33"/>
  <c r="BI159" i="33"/>
  <c r="BK159" i="33"/>
  <c r="CA159" i="33"/>
  <c r="AL160" i="33"/>
  <c r="AM160" i="33"/>
  <c r="AN160" i="33"/>
  <c r="AO160" i="33"/>
  <c r="AQ160" i="33"/>
  <c r="AR160" i="33"/>
  <c r="AS160" i="33"/>
  <c r="AT160" i="33"/>
  <c r="AV160" i="33"/>
  <c r="AW160" i="33"/>
  <c r="AX160" i="33"/>
  <c r="AY160" i="33"/>
  <c r="BA160" i="33"/>
  <c r="BB160" i="33"/>
  <c r="BC160" i="33"/>
  <c r="BD160" i="33"/>
  <c r="BF160" i="33"/>
  <c r="BG160" i="33"/>
  <c r="BH160" i="33"/>
  <c r="BI160" i="33"/>
  <c r="BK160" i="33"/>
  <c r="BL160" i="33"/>
  <c r="BM160" i="33"/>
  <c r="BN160" i="33"/>
  <c r="BP160" i="33"/>
  <c r="BQ160" i="33"/>
  <c r="BR160" i="33"/>
  <c r="BS160" i="33"/>
  <c r="BU160" i="33"/>
  <c r="BV160" i="33"/>
  <c r="BW160" i="33"/>
  <c r="BX160" i="33"/>
  <c r="BZ160" i="33"/>
  <c r="CA160" i="33"/>
  <c r="CB160" i="33"/>
  <c r="CC160" i="33"/>
  <c r="CE160" i="33"/>
  <c r="CF160" i="33"/>
  <c r="CG160" i="33"/>
  <c r="AL161" i="33"/>
  <c r="AM161" i="33"/>
  <c r="AN161" i="33"/>
  <c r="AO161" i="33"/>
  <c r="AQ161" i="33"/>
  <c r="AR161" i="33"/>
  <c r="AS161" i="33"/>
  <c r="AT161" i="33"/>
  <c r="AV161" i="33"/>
  <c r="AW161" i="33"/>
  <c r="AX161" i="33"/>
  <c r="AY161" i="33"/>
  <c r="BA161" i="33"/>
  <c r="AL165" i="33"/>
  <c r="AM165" i="33"/>
  <c r="AN165" i="33"/>
  <c r="AO165" i="33"/>
  <c r="AQ165" i="33"/>
  <c r="AR165" i="33"/>
  <c r="AS165" i="33"/>
  <c r="AT165" i="33"/>
  <c r="AV165" i="33"/>
  <c r="AW165" i="33"/>
  <c r="AX165" i="33"/>
  <c r="AY165" i="33"/>
  <c r="BA165" i="33"/>
  <c r="BB165" i="33"/>
  <c r="BC165" i="33"/>
  <c r="BD165" i="33"/>
  <c r="BF165" i="33"/>
  <c r="BG165" i="33"/>
  <c r="BH165" i="33"/>
  <c r="BI165" i="33"/>
  <c r="BK165" i="33"/>
  <c r="BL165" i="33"/>
  <c r="BM165" i="33"/>
  <c r="BN165" i="33"/>
  <c r="BP165" i="33"/>
  <c r="BQ165" i="33"/>
  <c r="BR165" i="33"/>
  <c r="BS165" i="33"/>
  <c r="BU165" i="33"/>
  <c r="BV165" i="33"/>
  <c r="BW165" i="33"/>
  <c r="BX165" i="33"/>
  <c r="BZ165" i="33"/>
  <c r="CA165" i="33"/>
  <c r="CB165" i="33"/>
  <c r="CC165" i="33"/>
  <c r="CE165" i="33"/>
  <c r="CF165" i="33"/>
  <c r="CG165" i="33"/>
  <c r="CH165" i="33"/>
  <c r="CJ165" i="33"/>
  <c r="DE165" i="33"/>
  <c r="S172" i="33"/>
  <c r="CH172" i="33"/>
  <c r="DE173" i="33"/>
  <c r="DF173" i="33"/>
  <c r="CH174" i="33"/>
  <c r="P180" i="33"/>
  <c r="Q180" i="33"/>
  <c r="CH180" i="33"/>
  <c r="DA180" i="33"/>
  <c r="R180" i="33" s="1"/>
  <c r="DB180" i="33"/>
  <c r="DC180" i="33"/>
  <c r="DD180" i="33"/>
  <c r="X181" i="33"/>
  <c r="Y181" i="33"/>
  <c r="Z181" i="33"/>
  <c r="CH181" i="33"/>
  <c r="CT181" i="33"/>
  <c r="CU181" i="33"/>
  <c r="CV181" i="33"/>
  <c r="CW181" i="33"/>
  <c r="CX181" i="33"/>
  <c r="CY181" i="33"/>
  <c r="CZ181" i="33"/>
  <c r="T69" i="14"/>
  <c r="Q182" i="33"/>
  <c r="R182" i="33"/>
  <c r="DB182" i="33"/>
  <c r="DC182" i="33"/>
  <c r="DD182" i="33"/>
  <c r="DE182" i="33"/>
  <c r="DF182" i="33"/>
  <c r="Q183" i="33"/>
  <c r="Q181" i="33"/>
  <c r="Q185" i="33" s="1"/>
  <c r="R183" i="33"/>
  <c r="R181" i="33" s="1"/>
  <c r="DB183" i="33"/>
  <c r="DC183" i="33"/>
  <c r="DD183" i="33"/>
  <c r="DE183" i="33"/>
  <c r="DF183" i="33"/>
  <c r="Q184" i="33"/>
  <c r="R184" i="33"/>
  <c r="DB184" i="33"/>
  <c r="DC184" i="33"/>
  <c r="DD184" i="33"/>
  <c r="DE184" i="33"/>
  <c r="DF184" i="33"/>
  <c r="T184" i="33" s="1"/>
  <c r="CR185" i="33"/>
  <c r="CF186" i="33"/>
  <c r="CG186" i="33"/>
  <c r="CH186" i="33"/>
  <c r="CJ186" i="33"/>
  <c r="CK186" i="33"/>
  <c r="CL186" i="33"/>
  <c r="CM186" i="33"/>
  <c r="CO186" i="33"/>
  <c r="CP186" i="33"/>
  <c r="CQ186" i="33"/>
  <c r="CU186" i="33"/>
  <c r="CV186" i="33"/>
  <c r="CW186" i="33"/>
  <c r="CX186" i="33"/>
  <c r="CY186" i="33"/>
  <c r="CZ186" i="33"/>
  <c r="DA186" i="33"/>
  <c r="DB186" i="33"/>
  <c r="DC186" i="33"/>
  <c r="DD186" i="33"/>
  <c r="M187" i="33"/>
  <c r="Q187" i="33"/>
  <c r="R187" i="33"/>
  <c r="R203" i="33" s="1"/>
  <c r="S187" i="33"/>
  <c r="S203" i="33" s="1"/>
  <c r="CI187" i="33"/>
  <c r="N187" i="33" s="1"/>
  <c r="CN187" i="33"/>
  <c r="O187" i="33" s="1"/>
  <c r="CS187" i="33"/>
  <c r="P187" i="33"/>
  <c r="T204" i="33"/>
  <c r="M189" i="33"/>
  <c r="CH189" i="33"/>
  <c r="CI189" i="33"/>
  <c r="CM189" i="33"/>
  <c r="CN189" i="33" s="1"/>
  <c r="CS189" i="33"/>
  <c r="CT192" i="33" s="1"/>
  <c r="M190" i="33"/>
  <c r="CH190" i="33"/>
  <c r="CI190" i="33" s="1"/>
  <c r="N190" i="33" s="1"/>
  <c r="CM190" i="33"/>
  <c r="CN190" i="33" s="1"/>
  <c r="O190" i="33" s="1"/>
  <c r="CS190" i="33"/>
  <c r="M192" i="33"/>
  <c r="N189" i="33" s="1"/>
  <c r="CF192" i="33"/>
  <c r="CG192" i="33"/>
  <c r="CH192" i="33"/>
  <c r="CI192" i="33" s="1"/>
  <c r="CK192" i="33"/>
  <c r="CL192" i="33"/>
  <c r="CM192" i="33"/>
  <c r="CN192" i="33" s="1"/>
  <c r="CP192" i="33"/>
  <c r="CQ192" i="33"/>
  <c r="CR192" i="33"/>
  <c r="CS192" i="33" s="1"/>
  <c r="CU192" i="33"/>
  <c r="CV192" i="33"/>
  <c r="CW192" i="33"/>
  <c r="CX192" i="33"/>
  <c r="CY192" i="33"/>
  <c r="CZ192" i="33"/>
  <c r="DA192" i="33"/>
  <c r="DB192" i="33"/>
  <c r="DC192" i="33"/>
  <c r="DD192" i="33"/>
  <c r="DE192" i="33"/>
  <c r="DF192" i="33"/>
  <c r="CE196" i="33"/>
  <c r="CE195" i="33" s="1"/>
  <c r="CE214" i="33" s="1"/>
  <c r="R202" i="33"/>
  <c r="DE202" i="33"/>
  <c r="S202" i="33" s="1"/>
  <c r="T202" i="33"/>
  <c r="DE203" i="33"/>
  <c r="R204" i="33"/>
  <c r="S207" i="33"/>
  <c r="T207" i="33"/>
  <c r="T208" i="33"/>
  <c r="DC208" i="33"/>
  <c r="K211" i="33"/>
  <c r="M211" i="33"/>
  <c r="M212" i="33"/>
  <c r="N212" i="33"/>
  <c r="K213" i="33"/>
  <c r="CD213" i="33"/>
  <c r="M214" i="33"/>
  <c r="N214" i="33"/>
  <c r="K215" i="33"/>
  <c r="CD215" i="33"/>
  <c r="M216" i="33"/>
  <c r="N216" i="33"/>
  <c r="K217" i="33"/>
  <c r="CD217" i="33"/>
  <c r="CD218" i="33"/>
  <c r="CD223" i="33" s="1"/>
  <c r="M223" i="33" s="1"/>
  <c r="M219" i="33"/>
  <c r="M220" i="33"/>
  <c r="M221" i="33"/>
  <c r="M222" i="33"/>
  <c r="BR226" i="33"/>
  <c r="BS226" i="33"/>
  <c r="BU226" i="33"/>
  <c r="BV226" i="33"/>
  <c r="BW226" i="33"/>
  <c r="BX226" i="33"/>
  <c r="BZ226" i="33"/>
  <c r="CA226" i="33"/>
  <c r="CA227" i="33" s="1"/>
  <c r="CB226" i="33"/>
  <c r="CB227" i="33"/>
  <c r="CC226" i="33"/>
  <c r="CC227" i="33" s="1"/>
  <c r="CE226" i="33"/>
  <c r="CE227" i="33" s="1"/>
  <c r="CF226" i="33"/>
  <c r="CF227" i="33" s="1"/>
  <c r="CG226" i="33"/>
  <c r="CG227" i="33"/>
  <c r="CJ226" i="33"/>
  <c r="CK226" i="33"/>
  <c r="CL226" i="33"/>
  <c r="CM226" i="33"/>
  <c r="CO226" i="33"/>
  <c r="CP226" i="33"/>
  <c r="DD226" i="33"/>
  <c r="P233" i="33"/>
  <c r="Q233" i="33"/>
  <c r="R233" i="33"/>
  <c r="CO233" i="33"/>
  <c r="CT233" i="33"/>
  <c r="CU233" i="33"/>
  <c r="CV233" i="33"/>
  <c r="CW233" i="33"/>
  <c r="CX233" i="33"/>
  <c r="CY233" i="33"/>
  <c r="CZ233" i="33"/>
  <c r="DA233" i="33"/>
  <c r="DB233" i="33"/>
  <c r="DC233" i="33"/>
  <c r="DD233" i="33"/>
  <c r="DE233" i="33"/>
  <c r="DF233" i="33"/>
  <c r="BY235" i="33"/>
  <c r="CD235" i="33"/>
  <c r="CI235" i="33"/>
  <c r="CT238" i="33"/>
  <c r="CU238" i="33"/>
  <c r="CU239" i="33" s="1"/>
  <c r="CX238" i="33"/>
  <c r="CX239" i="33"/>
  <c r="CY238" i="33"/>
  <c r="CY239" i="33" s="1"/>
  <c r="CZ238" i="33"/>
  <c r="CZ239" i="33" s="1"/>
  <c r="DA238" i="33"/>
  <c r="DA239" i="33" s="1"/>
  <c r="DB238" i="33"/>
  <c r="DB239" i="33" s="1"/>
  <c r="DC238" i="33"/>
  <c r="DC239" i="33" s="1"/>
  <c r="DD238" i="33"/>
  <c r="DD239" i="33" s="1"/>
  <c r="DE238" i="33"/>
  <c r="DE239" i="33" s="1"/>
  <c r="DF238" i="33"/>
  <c r="DF239" i="33" s="1"/>
  <c r="P3" i="12"/>
  <c r="J8" i="12"/>
  <c r="K8" i="12"/>
  <c r="L8" i="12"/>
  <c r="M8" i="12"/>
  <c r="N8" i="12"/>
  <c r="CB8" i="12"/>
  <c r="CC8" i="12"/>
  <c r="CD8" i="12"/>
  <c r="CV9" i="33" s="1"/>
  <c r="CE8" i="12"/>
  <c r="CF8" i="12"/>
  <c r="CX9" i="33" s="1"/>
  <c r="CG8" i="12"/>
  <c r="CH8" i="12"/>
  <c r="CI8" i="12"/>
  <c r="CJ8" i="12"/>
  <c r="DB9" i="33" s="1"/>
  <c r="CK8" i="12"/>
  <c r="DC9" i="33" s="1"/>
  <c r="CL8" i="12"/>
  <c r="CM8" i="12"/>
  <c r="Y33" i="77" s="1"/>
  <c r="CN8" i="12"/>
  <c r="Z33" i="77" s="1"/>
  <c r="CO8" i="12"/>
  <c r="AA33" i="77" s="1"/>
  <c r="J9" i="12"/>
  <c r="K9" i="12"/>
  <c r="L9" i="12"/>
  <c r="M9" i="12"/>
  <c r="N9" i="12"/>
  <c r="CB9" i="12"/>
  <c r="CC9" i="12"/>
  <c r="CD9" i="12"/>
  <c r="P34" i="77" s="1"/>
  <c r="CE9" i="12"/>
  <c r="CF9" i="12"/>
  <c r="CF51" i="12" s="1"/>
  <c r="CG9" i="12"/>
  <c r="CY10" i="33" s="1"/>
  <c r="CH9" i="12"/>
  <c r="CI9" i="12"/>
  <c r="CJ9" i="12"/>
  <c r="CK9" i="12"/>
  <c r="CL9" i="12"/>
  <c r="X34" i="77" s="1"/>
  <c r="CM9" i="12"/>
  <c r="Y34" i="77" s="1"/>
  <c r="CN9" i="12"/>
  <c r="CO9" i="12"/>
  <c r="J10" i="12"/>
  <c r="J44" i="12" s="1"/>
  <c r="K10" i="12"/>
  <c r="L10" i="12"/>
  <c r="M44" i="12" s="1"/>
  <c r="M10" i="12"/>
  <c r="N10" i="12"/>
  <c r="CB10" i="12"/>
  <c r="CC10" i="12"/>
  <c r="O35" i="77" s="1"/>
  <c r="CD10" i="12"/>
  <c r="CE10" i="12"/>
  <c r="CF10" i="12"/>
  <c r="CG10" i="12"/>
  <c r="S35" i="77" s="1"/>
  <c r="CH10" i="12"/>
  <c r="CI10" i="12"/>
  <c r="U35" i="77" s="1"/>
  <c r="CJ10" i="12"/>
  <c r="CK10" i="12"/>
  <c r="DC11" i="33" s="1"/>
  <c r="CL10" i="12"/>
  <c r="X35" i="77" s="1"/>
  <c r="CM10" i="12"/>
  <c r="Y35" i="77" s="1"/>
  <c r="CN10" i="12"/>
  <c r="Z35" i="77" s="1"/>
  <c r="CO10" i="12"/>
  <c r="AA35" i="77" s="1"/>
  <c r="J11" i="12"/>
  <c r="K11" i="12"/>
  <c r="L11" i="12"/>
  <c r="M11" i="12"/>
  <c r="N11" i="12"/>
  <c r="CB11" i="12"/>
  <c r="CC11" i="12"/>
  <c r="CD11" i="12"/>
  <c r="CE11" i="12"/>
  <c r="CF11" i="12"/>
  <c r="CX12" i="33" s="1"/>
  <c r="CG11" i="12"/>
  <c r="CH11" i="12"/>
  <c r="CZ12" i="33" s="1"/>
  <c r="CI11" i="12"/>
  <c r="CI45" i="12" s="1"/>
  <c r="CJ11" i="12"/>
  <c r="V36" i="77" s="1"/>
  <c r="CK11" i="12"/>
  <c r="CL11" i="12"/>
  <c r="CM11" i="12"/>
  <c r="CN11" i="12"/>
  <c r="Z36" i="77" s="1"/>
  <c r="CO11" i="12"/>
  <c r="AA36" i="77" s="1"/>
  <c r="H12" i="12"/>
  <c r="I12" i="12"/>
  <c r="I14" i="12"/>
  <c r="AZ12" i="12"/>
  <c r="AZ54" i="12" s="1"/>
  <c r="BA12" i="12"/>
  <c r="BB12" i="12"/>
  <c r="BC12" i="12"/>
  <c r="BD12" i="12"/>
  <c r="BE12" i="12"/>
  <c r="BE14" i="12" s="1"/>
  <c r="BF12" i="12"/>
  <c r="BG12" i="12"/>
  <c r="BH12" i="12"/>
  <c r="BI12" i="12"/>
  <c r="BI14" i="12" s="1"/>
  <c r="BJ12" i="12"/>
  <c r="BK12" i="12"/>
  <c r="BL12" i="12"/>
  <c r="BM12" i="12"/>
  <c r="BM14" i="12" s="1"/>
  <c r="BN12" i="12"/>
  <c r="BO12" i="12"/>
  <c r="BP12" i="12"/>
  <c r="BQ12" i="12"/>
  <c r="BR12" i="12"/>
  <c r="BR14" i="12" s="1"/>
  <c r="BS12" i="12"/>
  <c r="BT819" i="12" s="1"/>
  <c r="BT12" i="12"/>
  <c r="H13" i="12"/>
  <c r="J13" i="12"/>
  <c r="L13" i="12"/>
  <c r="M13" i="12"/>
  <c r="N13" i="12"/>
  <c r="BG13" i="12"/>
  <c r="CB13" i="12"/>
  <c r="CC13" i="12"/>
  <c r="BT15" i="48" s="1"/>
  <c r="CD13" i="12"/>
  <c r="BU15" i="48" s="1"/>
  <c r="CE13" i="12"/>
  <c r="CF13" i="12"/>
  <c r="CF47" i="12" s="1"/>
  <c r="CG13" i="12"/>
  <c r="S17" i="77" s="1"/>
  <c r="CH13" i="12"/>
  <c r="CI13" i="12"/>
  <c r="BZ15" i="48" s="1"/>
  <c r="CJ13" i="12"/>
  <c r="CK13" i="12"/>
  <c r="W17" i="77" s="1"/>
  <c r="CL13" i="12"/>
  <c r="X17" i="77" s="1"/>
  <c r="CM13" i="12"/>
  <c r="Y17" i="77" s="1"/>
  <c r="CN13" i="12"/>
  <c r="Z17" i="77" s="1"/>
  <c r="CO13" i="12"/>
  <c r="AA17" i="77" s="1"/>
  <c r="F14" i="12"/>
  <c r="G14" i="12"/>
  <c r="AR14" i="12"/>
  <c r="AS14" i="12"/>
  <c r="AT14" i="12"/>
  <c r="AT38" i="12" s="1"/>
  <c r="AU14" i="12"/>
  <c r="AU106" i="14" s="1"/>
  <c r="AU108" i="14" s="1"/>
  <c r="AV14" i="12"/>
  <c r="AV38" i="12" s="1"/>
  <c r="AW14" i="12"/>
  <c r="AW39" i="12" s="1"/>
  <c r="AX14" i="12"/>
  <c r="AX106" i="14" s="1"/>
  <c r="AY14" i="12"/>
  <c r="BU21" i="12"/>
  <c r="BU23" i="12" s="1"/>
  <c r="BV21" i="12"/>
  <c r="BV23" i="12" s="1"/>
  <c r="BW21" i="12"/>
  <c r="BW23" i="12" s="1"/>
  <c r="BX21" i="12"/>
  <c r="BX23" i="12" s="1"/>
  <c r="BY21" i="12"/>
  <c r="BY23" i="12" s="1"/>
  <c r="BZ21" i="12"/>
  <c r="BZ23" i="12" s="1"/>
  <c r="CA21" i="12"/>
  <c r="CA23" i="12" s="1"/>
  <c r="BD42" i="12"/>
  <c r="BE42" i="12"/>
  <c r="BF42" i="12"/>
  <c r="BG42" i="12"/>
  <c r="BH42" i="12"/>
  <c r="BI42" i="12"/>
  <c r="BJ42" i="12"/>
  <c r="BK42" i="12"/>
  <c r="BL42" i="12"/>
  <c r="BM42" i="12"/>
  <c r="BN42" i="12"/>
  <c r="BO42" i="12"/>
  <c r="BP42" i="12"/>
  <c r="BQ42" i="12"/>
  <c r="BR42" i="12"/>
  <c r="BS42" i="12"/>
  <c r="BT42" i="12"/>
  <c r="CH42" i="12"/>
  <c r="BD43" i="12"/>
  <c r="BE43" i="12"/>
  <c r="BF43" i="12"/>
  <c r="BG43" i="12"/>
  <c r="BH43" i="12"/>
  <c r="BI43" i="12"/>
  <c r="BJ43" i="12"/>
  <c r="BK43" i="12"/>
  <c r="BL43" i="12"/>
  <c r="BM43" i="12"/>
  <c r="BN43" i="12"/>
  <c r="BO43" i="12"/>
  <c r="BP43" i="12"/>
  <c r="BQ43" i="12"/>
  <c r="BR43" i="12"/>
  <c r="BS43" i="12"/>
  <c r="BT43" i="12"/>
  <c r="BD44" i="12"/>
  <c r="BE44" i="12"/>
  <c r="BF44" i="12"/>
  <c r="BG44" i="12"/>
  <c r="BH44" i="12"/>
  <c r="BI44" i="12"/>
  <c r="BJ44" i="12"/>
  <c r="BK44" i="12"/>
  <c r="BL44" i="12"/>
  <c r="BM44" i="12"/>
  <c r="BN44" i="12"/>
  <c r="BO44" i="12"/>
  <c r="BP44" i="12"/>
  <c r="BQ44" i="12"/>
  <c r="BR44" i="12"/>
  <c r="BS44" i="12"/>
  <c r="BT44" i="12"/>
  <c r="BG45" i="12"/>
  <c r="BH45" i="12"/>
  <c r="BI45" i="12"/>
  <c r="BJ45" i="12"/>
  <c r="BK45" i="12"/>
  <c r="BL45" i="12"/>
  <c r="BM45" i="12"/>
  <c r="BN45" i="12"/>
  <c r="BO45" i="12"/>
  <c r="BP45" i="12"/>
  <c r="BQ45" i="12"/>
  <c r="BR45" i="12"/>
  <c r="BS45" i="12"/>
  <c r="BT45" i="12"/>
  <c r="AV46" i="12"/>
  <c r="AW46" i="12"/>
  <c r="AX46" i="12"/>
  <c r="AY46" i="12"/>
  <c r="AV47" i="12"/>
  <c r="AW47" i="12"/>
  <c r="AX47" i="12"/>
  <c r="AY47" i="12"/>
  <c r="AZ47" i="12"/>
  <c r="BA47" i="12"/>
  <c r="BB47" i="12"/>
  <c r="BC47" i="12"/>
  <c r="BD47" i="12"/>
  <c r="BE47" i="12"/>
  <c r="BF47" i="12"/>
  <c r="BH47" i="12"/>
  <c r="BI47" i="12"/>
  <c r="BJ47" i="12"/>
  <c r="BL47" i="12"/>
  <c r="BM47" i="12"/>
  <c r="BN47" i="12"/>
  <c r="BO47" i="12"/>
  <c r="BP47" i="12"/>
  <c r="BQ47" i="12"/>
  <c r="BR47" i="12"/>
  <c r="BS47" i="12"/>
  <c r="BT47" i="12"/>
  <c r="BA50" i="12"/>
  <c r="BB50" i="12"/>
  <c r="BC50" i="12"/>
  <c r="BD50" i="12"/>
  <c r="BE50" i="12"/>
  <c r="BF50" i="12"/>
  <c r="BG50" i="12"/>
  <c r="BH50" i="12"/>
  <c r="BI50" i="12"/>
  <c r="BJ50" i="12"/>
  <c r="BK50" i="12"/>
  <c r="BL50" i="12"/>
  <c r="BM50" i="12"/>
  <c r="BN50" i="12"/>
  <c r="BO50" i="12"/>
  <c r="BP50" i="12"/>
  <c r="BQ50" i="12"/>
  <c r="BR50" i="12"/>
  <c r="BS50" i="12"/>
  <c r="BT50" i="12"/>
  <c r="BA51" i="12"/>
  <c r="BB51" i="12"/>
  <c r="BC51" i="12"/>
  <c r="BD51" i="12"/>
  <c r="BE51" i="12"/>
  <c r="BF51" i="12"/>
  <c r="BG51" i="12"/>
  <c r="BH51" i="12"/>
  <c r="BI51" i="12"/>
  <c r="BJ51" i="12"/>
  <c r="BK51" i="12"/>
  <c r="BL51" i="12"/>
  <c r="BM51" i="12"/>
  <c r="BN51" i="12"/>
  <c r="BO51" i="12"/>
  <c r="BP51" i="12"/>
  <c r="BQ51" i="12"/>
  <c r="BR51" i="12"/>
  <c r="BS51" i="12"/>
  <c r="BT51" i="12"/>
  <c r="BA52" i="12"/>
  <c r="BB52" i="12"/>
  <c r="BC52" i="12"/>
  <c r="BD52" i="12"/>
  <c r="BE52" i="12"/>
  <c r="BF52" i="12"/>
  <c r="BG52" i="12"/>
  <c r="BH52" i="12"/>
  <c r="BI52" i="12"/>
  <c r="BJ52" i="12"/>
  <c r="BK52" i="12"/>
  <c r="BL52" i="12"/>
  <c r="BM52" i="12"/>
  <c r="BN52" i="12"/>
  <c r="BO52" i="12"/>
  <c r="BP52" i="12"/>
  <c r="BQ52" i="12"/>
  <c r="BR52" i="12"/>
  <c r="BS52" i="12"/>
  <c r="BT52" i="12"/>
  <c r="BD53" i="12"/>
  <c r="BE53" i="12"/>
  <c r="BF53" i="12"/>
  <c r="BG53" i="12"/>
  <c r="BH53" i="12"/>
  <c r="BI53" i="12"/>
  <c r="BJ53" i="12"/>
  <c r="BK53" i="12"/>
  <c r="BL53" i="12"/>
  <c r="BM53" i="12"/>
  <c r="BN53" i="12"/>
  <c r="BO53" i="12"/>
  <c r="BP53" i="12"/>
  <c r="BQ53" i="12"/>
  <c r="BR53" i="12"/>
  <c r="BS53" i="12"/>
  <c r="BT53" i="12"/>
  <c r="AS54" i="12"/>
  <c r="AT54" i="12"/>
  <c r="AU54" i="12"/>
  <c r="AV54" i="12"/>
  <c r="AW54" i="12"/>
  <c r="AX54" i="12"/>
  <c r="AY54" i="12"/>
  <c r="AS55" i="12"/>
  <c r="AT55" i="12"/>
  <c r="AU55" i="12"/>
  <c r="AV55" i="12"/>
  <c r="AW55" i="12"/>
  <c r="AX55" i="12"/>
  <c r="AY55" i="12"/>
  <c r="AZ55" i="12"/>
  <c r="BA55" i="12"/>
  <c r="BB55" i="12"/>
  <c r="BC55" i="12"/>
  <c r="BD55" i="12"/>
  <c r="BE55" i="12"/>
  <c r="BF55" i="12"/>
  <c r="BI55" i="12"/>
  <c r="BJ55" i="12"/>
  <c r="BK55" i="12"/>
  <c r="BL55" i="12"/>
  <c r="BM55" i="12"/>
  <c r="BN55" i="12"/>
  <c r="BO55" i="12"/>
  <c r="BP55" i="12"/>
  <c r="BQ55" i="12"/>
  <c r="BR55" i="12"/>
  <c r="BS55" i="12"/>
  <c r="BT55" i="12"/>
  <c r="P57" i="12"/>
  <c r="Q57" i="12"/>
  <c r="AF57" i="12"/>
  <c r="AG57" i="12"/>
  <c r="AH57" i="12"/>
  <c r="AI57" i="12"/>
  <c r="AJ57" i="12"/>
  <c r="AK57" i="12"/>
  <c r="AL57" i="12"/>
  <c r="AM57" i="12"/>
  <c r="AN57" i="12"/>
  <c r="AO57" i="12"/>
  <c r="AP57" i="12"/>
  <c r="AQ57" i="12"/>
  <c r="AR57" i="12"/>
  <c r="AS57" i="12"/>
  <c r="AT57" i="12"/>
  <c r="AU57" i="12"/>
  <c r="AV57" i="12"/>
  <c r="AW57" i="12"/>
  <c r="AX57" i="12"/>
  <c r="AY57" i="12"/>
  <c r="AZ57" i="12"/>
  <c r="BA57" i="12"/>
  <c r="BB57" i="12"/>
  <c r="BC57" i="12"/>
  <c r="BD57" i="12"/>
  <c r="BE57" i="12"/>
  <c r="BF57" i="12"/>
  <c r="BG57" i="12"/>
  <c r="BH57" i="12"/>
  <c r="BI57" i="12"/>
  <c r="BJ57" i="12"/>
  <c r="BK57" i="12"/>
  <c r="BL57" i="12"/>
  <c r="BM57" i="12"/>
  <c r="BN57" i="12"/>
  <c r="BO57" i="12"/>
  <c r="BP57" i="12"/>
  <c r="BQ57" i="12"/>
  <c r="BR57" i="12"/>
  <c r="BS57" i="12"/>
  <c r="BT57" i="12"/>
  <c r="BU57" i="12"/>
  <c r="BV57" i="12"/>
  <c r="BW57" i="12"/>
  <c r="BX57" i="12"/>
  <c r="BY57" i="12"/>
  <c r="BZ57" i="12"/>
  <c r="CA57" i="12"/>
  <c r="CB57" i="12"/>
  <c r="CC57" i="12"/>
  <c r="CD57" i="12"/>
  <c r="CE57" i="12"/>
  <c r="CF57" i="12"/>
  <c r="CG57" i="12"/>
  <c r="CH57" i="12"/>
  <c r="CI57" i="12"/>
  <c r="CJ57" i="12"/>
  <c r="CK57" i="12"/>
  <c r="CL57" i="12"/>
  <c r="CM57" i="12"/>
  <c r="CN57" i="12"/>
  <c r="CO57" i="12"/>
  <c r="M165" i="12"/>
  <c r="N165" i="12"/>
  <c r="O165" i="12"/>
  <c r="O166" i="12"/>
  <c r="BX166" i="12"/>
  <c r="BY166" i="12" s="1"/>
  <c r="BZ166" i="12" s="1"/>
  <c r="O167" i="12"/>
  <c r="O21" i="80" s="1"/>
  <c r="P167" i="12"/>
  <c r="P21" i="80" s="1"/>
  <c r="Q167" i="12"/>
  <c r="R167" i="12"/>
  <c r="S167" i="12"/>
  <c r="CD167" i="12"/>
  <c r="CD695" i="12" s="1"/>
  <c r="O171" i="12"/>
  <c r="P171" i="12"/>
  <c r="Q171" i="12"/>
  <c r="R171" i="12"/>
  <c r="S171" i="12"/>
  <c r="T171" i="12"/>
  <c r="R172" i="12"/>
  <c r="S172" i="12"/>
  <c r="T172" i="12"/>
  <c r="O173" i="12"/>
  <c r="P173" i="12"/>
  <c r="Q173" i="12"/>
  <c r="R173" i="12"/>
  <c r="S173" i="12"/>
  <c r="T173" i="12"/>
  <c r="R174" i="12"/>
  <c r="S174" i="12"/>
  <c r="T174" i="12"/>
  <c r="O176" i="12"/>
  <c r="P176" i="12"/>
  <c r="Q176" i="12"/>
  <c r="R176" i="12"/>
  <c r="S176" i="12"/>
  <c r="T176" i="12"/>
  <c r="O178" i="12"/>
  <c r="P178" i="12"/>
  <c r="Q178" i="12"/>
  <c r="R178" i="12"/>
  <c r="S178" i="12"/>
  <c r="T178" i="12"/>
  <c r="O179" i="12"/>
  <c r="P179" i="12"/>
  <c r="Q179" i="12"/>
  <c r="R179" i="12"/>
  <c r="S179" i="12"/>
  <c r="T179" i="12"/>
  <c r="Q180" i="12"/>
  <c r="R180" i="12"/>
  <c r="S180" i="12"/>
  <c r="T180" i="12"/>
  <c r="Q181" i="12"/>
  <c r="R181" i="12"/>
  <c r="S181" i="12"/>
  <c r="T181" i="12"/>
  <c r="R182" i="12"/>
  <c r="S182" i="12"/>
  <c r="T182" i="12"/>
  <c r="O186" i="12"/>
  <c r="P186" i="12"/>
  <c r="Q186" i="12"/>
  <c r="R186" i="12"/>
  <c r="S186" i="12"/>
  <c r="T186" i="12"/>
  <c r="Q187" i="12"/>
  <c r="R187" i="12"/>
  <c r="S187" i="12"/>
  <c r="T187" i="12"/>
  <c r="R188" i="12"/>
  <c r="S188" i="12"/>
  <c r="T188" i="12"/>
  <c r="R189" i="12"/>
  <c r="S189" i="12"/>
  <c r="T189" i="12"/>
  <c r="R190" i="12"/>
  <c r="S190" i="12"/>
  <c r="T190" i="12"/>
  <c r="R191" i="12"/>
  <c r="S191" i="12"/>
  <c r="T191" i="12"/>
  <c r="O195" i="12"/>
  <c r="P195" i="12"/>
  <c r="Q195" i="12"/>
  <c r="R195" i="12"/>
  <c r="S195" i="12"/>
  <c r="T195" i="12"/>
  <c r="O198" i="12"/>
  <c r="P198" i="12"/>
  <c r="Q198" i="12"/>
  <c r="R198" i="12"/>
  <c r="S198" i="12"/>
  <c r="T198" i="12"/>
  <c r="Q199" i="12"/>
  <c r="R199" i="12"/>
  <c r="S199" i="12"/>
  <c r="T199" i="12"/>
  <c r="O202" i="12"/>
  <c r="P202" i="12"/>
  <c r="Q202" i="12"/>
  <c r="R202" i="12"/>
  <c r="S202" i="12"/>
  <c r="T202" i="12"/>
  <c r="O203" i="12"/>
  <c r="P203" i="12"/>
  <c r="Q203" i="12"/>
  <c r="R203" i="12"/>
  <c r="S203" i="12"/>
  <c r="T203" i="12"/>
  <c r="R205" i="12"/>
  <c r="S205" i="12"/>
  <c r="T205" i="12"/>
  <c r="Q206" i="12"/>
  <c r="R206" i="12"/>
  <c r="S206" i="12"/>
  <c r="T206" i="12"/>
  <c r="S207" i="12"/>
  <c r="T207" i="12"/>
  <c r="R208" i="12"/>
  <c r="S208" i="12"/>
  <c r="T208" i="12"/>
  <c r="R209" i="12"/>
  <c r="S209" i="12"/>
  <c r="T209" i="12"/>
  <c r="Q211" i="12"/>
  <c r="R211" i="12"/>
  <c r="S211" i="12"/>
  <c r="T211" i="12"/>
  <c r="Q212" i="12"/>
  <c r="R212" i="12"/>
  <c r="S212" i="12"/>
  <c r="T212" i="12"/>
  <c r="R213" i="12"/>
  <c r="S213" i="12"/>
  <c r="T213" i="12"/>
  <c r="O217" i="12"/>
  <c r="P217" i="12"/>
  <c r="Q217" i="12"/>
  <c r="R217" i="12"/>
  <c r="S217" i="12"/>
  <c r="T217" i="12"/>
  <c r="R218" i="12"/>
  <c r="S218" i="12"/>
  <c r="T218" i="12"/>
  <c r="R219" i="12"/>
  <c r="S219" i="12"/>
  <c r="T219" i="12"/>
  <c r="R222" i="12"/>
  <c r="S222" i="12"/>
  <c r="T222" i="12"/>
  <c r="BE225" i="12"/>
  <c r="BF225" i="12"/>
  <c r="BG225" i="12"/>
  <c r="BH225" i="12"/>
  <c r="BI225" i="12"/>
  <c r="BJ225" i="12"/>
  <c r="BK225" i="12"/>
  <c r="BL225" i="12"/>
  <c r="BM225" i="12"/>
  <c r="BN225" i="12"/>
  <c r="BO225" i="12"/>
  <c r="BP225" i="12"/>
  <c r="BQ225" i="12"/>
  <c r="BR225" i="12"/>
  <c r="BS225" i="12"/>
  <c r="BT225" i="12"/>
  <c r="BT224" i="12" s="1"/>
  <c r="BU225" i="12"/>
  <c r="BV225" i="12"/>
  <c r="BV224" i="12" s="1"/>
  <c r="BW225" i="12"/>
  <c r="BW224" i="12" s="1"/>
  <c r="BX225" i="12"/>
  <c r="BY225" i="12"/>
  <c r="BY165" i="12" s="1"/>
  <c r="BZ225" i="12"/>
  <c r="CA225" i="12"/>
  <c r="CA224" i="12"/>
  <c r="CB225" i="12"/>
  <c r="CC225" i="12"/>
  <c r="CC224" i="12" s="1"/>
  <c r="CC226" i="12" s="1"/>
  <c r="CF225" i="12"/>
  <c r="CF224" i="12" s="1"/>
  <c r="CF226" i="12" s="1"/>
  <c r="CG225" i="12"/>
  <c r="CG224" i="12" s="1"/>
  <c r="CH225" i="12"/>
  <c r="CI225" i="12"/>
  <c r="CJ225" i="12"/>
  <c r="CJ224" i="12" s="1"/>
  <c r="CK225" i="12"/>
  <c r="CK224" i="12" s="1"/>
  <c r="CL225" i="12"/>
  <c r="CM225" i="12"/>
  <c r="CN225" i="12"/>
  <c r="CN224" i="12" s="1"/>
  <c r="CO225" i="12"/>
  <c r="CO224" i="12" s="1"/>
  <c r="N230" i="12"/>
  <c r="BW230" i="12"/>
  <c r="O230" i="12" s="1"/>
  <c r="BX230" i="12"/>
  <c r="BX353" i="12" s="1"/>
  <c r="N231" i="12"/>
  <c r="BH232" i="12"/>
  <c r="BI232" i="12"/>
  <c r="BJ232" i="12"/>
  <c r="BK232" i="12"/>
  <c r="BL232" i="12"/>
  <c r="BM232" i="12"/>
  <c r="BN232" i="12"/>
  <c r="BO232" i="12"/>
  <c r="BP232" i="12"/>
  <c r="CI80" i="48" s="1"/>
  <c r="BQ232" i="12"/>
  <c r="CJ80" i="48" s="1"/>
  <c r="BR232" i="12"/>
  <c r="CK80" i="48" s="1"/>
  <c r="BS232" i="12"/>
  <c r="CL80" i="48" s="1"/>
  <c r="BT232" i="12"/>
  <c r="CM80" i="48" s="1"/>
  <c r="BU232" i="12"/>
  <c r="CN80" i="48" s="1"/>
  <c r="BV232" i="12"/>
  <c r="CO80" i="48" s="1"/>
  <c r="BW232" i="12"/>
  <c r="CP80" i="48" s="1"/>
  <c r="BX232" i="12"/>
  <c r="CQ80" i="48" s="1"/>
  <c r="X234" i="12"/>
  <c r="Y234" i="12"/>
  <c r="Z234" i="12"/>
  <c r="BG234" i="12"/>
  <c r="BH234" i="12"/>
  <c r="BI234" i="12"/>
  <c r="BJ234" i="12"/>
  <c r="BK234" i="12"/>
  <c r="BL234" i="12"/>
  <c r="BM234" i="12"/>
  <c r="BN234" i="12"/>
  <c r="BO234" i="12"/>
  <c r="BP234" i="12"/>
  <c r="BQ234" i="12"/>
  <c r="BR234" i="12"/>
  <c r="BS234" i="12"/>
  <c r="N234" i="12" s="1"/>
  <c r="BT234" i="12"/>
  <c r="BU234" i="12"/>
  <c r="BV234" i="12"/>
  <c r="BW234" i="12"/>
  <c r="O234" i="12" s="1"/>
  <c r="BX234" i="12"/>
  <c r="BY234" i="12"/>
  <c r="BZ234" i="12"/>
  <c r="CA234" i="12"/>
  <c r="P234" i="12" s="1"/>
  <c r="CB234" i="12"/>
  <c r="CC234" i="12"/>
  <c r="CD234" i="12"/>
  <c r="CE234" i="12"/>
  <c r="Q234" i="12" s="1"/>
  <c r="CF234" i="12"/>
  <c r="R234" i="12" s="1"/>
  <c r="CG234" i="12"/>
  <c r="S234" i="12" s="1"/>
  <c r="CH234" i="12"/>
  <c r="T234" i="12" s="1"/>
  <c r="CI234" i="12"/>
  <c r="U234" i="12" s="1"/>
  <c r="CJ234" i="12"/>
  <c r="V234" i="12" s="1"/>
  <c r="CK234" i="12"/>
  <c r="W234" i="12" s="1"/>
  <c r="CL234" i="12"/>
  <c r="CM234" i="12"/>
  <c r="CN234" i="12"/>
  <c r="CO234" i="12"/>
  <c r="BW239" i="12"/>
  <c r="O240" i="12"/>
  <c r="BP240" i="12"/>
  <c r="BP239" i="12" s="1"/>
  <c r="BQ240" i="12"/>
  <c r="BQ239" i="12" s="1"/>
  <c r="BQ697" i="12" s="1"/>
  <c r="BM9" i="80" s="1"/>
  <c r="BR240" i="12"/>
  <c r="BR239" i="12" s="1"/>
  <c r="BR697" i="12" s="1"/>
  <c r="BN9" i="80" s="1"/>
  <c r="BS240" i="12"/>
  <c r="N240" i="12" s="1"/>
  <c r="BT240" i="12"/>
  <c r="BT239" i="12" s="1"/>
  <c r="BX240" i="12"/>
  <c r="S6" i="59" s="1"/>
  <c r="BV241" i="12"/>
  <c r="CO81" i="48" s="1"/>
  <c r="BW241" i="12"/>
  <c r="CP81" i="48" s="1"/>
  <c r="X242" i="12"/>
  <c r="Y242" i="12"/>
  <c r="Z242" i="12"/>
  <c r="BY242" i="12"/>
  <c r="BZ242" i="12"/>
  <c r="CA242" i="12"/>
  <c r="CB242" i="12"/>
  <c r="CC242" i="12"/>
  <c r="CD242" i="12"/>
  <c r="CE242" i="12"/>
  <c r="CF242" i="12"/>
  <c r="CG242" i="12"/>
  <c r="CH242" i="12"/>
  <c r="CI242" i="12"/>
  <c r="CJ242" i="12"/>
  <c r="CK242" i="12"/>
  <c r="CL242" i="12"/>
  <c r="CM242" i="12"/>
  <c r="CN242" i="12"/>
  <c r="CO242" i="12"/>
  <c r="BU248" i="12"/>
  <c r="BV248" i="12"/>
  <c r="BV383" i="12" s="1"/>
  <c r="BW248" i="12"/>
  <c r="BW383" i="12" s="1"/>
  <c r="BX248" i="12"/>
  <c r="BX383" i="12" s="1"/>
  <c r="BY248" i="12"/>
  <c r="BZ248" i="12"/>
  <c r="BZ383" i="12" s="1"/>
  <c r="CA248" i="12"/>
  <c r="CA383" i="12" s="1"/>
  <c r="CB248" i="12"/>
  <c r="CB383" i="12" s="1"/>
  <c r="W105" i="58" s="1"/>
  <c r="CC248" i="12"/>
  <c r="CC383" i="12" s="1"/>
  <c r="X105" i="58" s="1"/>
  <c r="CD248" i="12"/>
  <c r="CD383" i="12"/>
  <c r="CE248" i="12"/>
  <c r="CE383" i="12" s="1"/>
  <c r="CF248" i="12"/>
  <c r="CG248" i="12"/>
  <c r="CG383" i="12" s="1"/>
  <c r="CH248" i="12"/>
  <c r="CI248" i="12"/>
  <c r="CJ248" i="12"/>
  <c r="CJ383" i="12" s="1"/>
  <c r="CK248" i="12"/>
  <c r="CK383" i="12" s="1"/>
  <c r="CL248" i="12"/>
  <c r="CL383" i="12" s="1"/>
  <c r="CM248" i="12"/>
  <c r="CM383" i="12" s="1"/>
  <c r="AH105" i="58" s="1"/>
  <c r="CN248" i="12"/>
  <c r="CN383" i="12" s="1"/>
  <c r="CO248" i="12"/>
  <c r="O249" i="12"/>
  <c r="P249" i="12"/>
  <c r="P24" i="80" s="1"/>
  <c r="Q249" i="12"/>
  <c r="R249" i="12"/>
  <c r="S249" i="12"/>
  <c r="BU250" i="12"/>
  <c r="BV250" i="12"/>
  <c r="BW250" i="12"/>
  <c r="BX250" i="12"/>
  <c r="BY250" i="12"/>
  <c r="BZ250" i="12"/>
  <c r="CA250" i="12"/>
  <c r="CB250" i="12"/>
  <c r="CC250" i="12"/>
  <c r="X100" i="58" s="1"/>
  <c r="CD250" i="12"/>
  <c r="Y100" i="58" s="1"/>
  <c r="CE250" i="12"/>
  <c r="CF250" i="12"/>
  <c r="AA551" i="58" s="1"/>
  <c r="CG250" i="12"/>
  <c r="AB551" i="58" s="1"/>
  <c r="CH250" i="12"/>
  <c r="CI250" i="12"/>
  <c r="CJ250" i="12"/>
  <c r="AE551" i="58" s="1"/>
  <c r="CK250" i="12"/>
  <c r="CL250" i="12"/>
  <c r="CM250" i="12"/>
  <c r="AH551" i="58" s="1"/>
  <c r="CN250" i="12"/>
  <c r="AI551" i="58" s="1"/>
  <c r="CO250" i="12"/>
  <c r="AJ551" i="58" s="1"/>
  <c r="BU252" i="12"/>
  <c r="BV252" i="12"/>
  <c r="BW252" i="12"/>
  <c r="BX252" i="12"/>
  <c r="BO45" i="48" s="1"/>
  <c r="BY252" i="12"/>
  <c r="BZ252" i="12"/>
  <c r="L40" i="77" s="1"/>
  <c r="CA252" i="12"/>
  <c r="CB252" i="12"/>
  <c r="CC252" i="12"/>
  <c r="X78" i="58" s="1"/>
  <c r="CE252" i="12"/>
  <c r="CF252" i="12"/>
  <c r="BW45" i="48" s="1"/>
  <c r="CG252" i="12"/>
  <c r="CG255" i="12" s="1"/>
  <c r="CH252" i="12"/>
  <c r="CI252" i="12"/>
  <c r="BZ45" i="48" s="1"/>
  <c r="CJ252" i="12"/>
  <c r="V40" i="77" s="1"/>
  <c r="CK252" i="12"/>
  <c r="W40" i="77" s="1"/>
  <c r="CL252" i="12"/>
  <c r="CM252" i="12"/>
  <c r="Y40" i="77" s="1"/>
  <c r="CN252" i="12"/>
  <c r="Z40" i="77" s="1"/>
  <c r="CO252" i="12"/>
  <c r="AA40" i="77" s="1"/>
  <c r="N260" i="12"/>
  <c r="O260" i="12"/>
  <c r="X260" i="12"/>
  <c r="Y260" i="12"/>
  <c r="Z260" i="12"/>
  <c r="AA261" i="12" s="1"/>
  <c r="BY260" i="12"/>
  <c r="BY261" i="12" s="1"/>
  <c r="BZ260" i="12"/>
  <c r="BZ261" i="12" s="1"/>
  <c r="CA260" i="12"/>
  <c r="CA261" i="12" s="1"/>
  <c r="CB260" i="12"/>
  <c r="CB261" i="12" s="1"/>
  <c r="CC260" i="12"/>
  <c r="CD260" i="12"/>
  <c r="CD261" i="12" s="1"/>
  <c r="CE260" i="12"/>
  <c r="CE261" i="12" s="1"/>
  <c r="CF260" i="12"/>
  <c r="CF261" i="12" s="1"/>
  <c r="CG260" i="12"/>
  <c r="CG261" i="12" s="1"/>
  <c r="CH260" i="12"/>
  <c r="CI260" i="12"/>
  <c r="CI261" i="12" s="1"/>
  <c r="CJ260" i="12"/>
  <c r="CJ261" i="12" s="1"/>
  <c r="CK260" i="12"/>
  <c r="CK261" i="12" s="1"/>
  <c r="CL260" i="12"/>
  <c r="CL261" i="12" s="1"/>
  <c r="CM260" i="12"/>
  <c r="CM261" i="12" s="1"/>
  <c r="CN260" i="12"/>
  <c r="CN261" i="12" s="1"/>
  <c r="CO260" i="12"/>
  <c r="BH261" i="12"/>
  <c r="BI261" i="12"/>
  <c r="BJ261" i="12"/>
  <c r="BK261" i="12"/>
  <c r="BL261" i="12"/>
  <c r="BM261" i="12"/>
  <c r="BN261" i="12"/>
  <c r="BO261" i="12"/>
  <c r="BP261" i="12"/>
  <c r="BQ261" i="12"/>
  <c r="BR261" i="12"/>
  <c r="BS261" i="12"/>
  <c r="BT261" i="12"/>
  <c r="BU261" i="12"/>
  <c r="BV261" i="12"/>
  <c r="BW261" i="12"/>
  <c r="BX261" i="12"/>
  <c r="BE262" i="12"/>
  <c r="BF262" i="12"/>
  <c r="BG262" i="12"/>
  <c r="BH262" i="12"/>
  <c r="BI262" i="12"/>
  <c r="BJ262" i="12"/>
  <c r="BK262" i="12"/>
  <c r="BL262" i="12"/>
  <c r="BM262" i="12"/>
  <c r="BN262" i="12"/>
  <c r="BO262" i="12"/>
  <c r="BP262" i="12"/>
  <c r="BQ262" i="12"/>
  <c r="BR262" i="12"/>
  <c r="BS262" i="12"/>
  <c r="BT262" i="12"/>
  <c r="BU262" i="12"/>
  <c r="BV262" i="12"/>
  <c r="BW262" i="12"/>
  <c r="BX262" i="12"/>
  <c r="X263" i="12"/>
  <c r="Y263" i="12"/>
  <c r="Z263" i="12"/>
  <c r="BY263" i="12"/>
  <c r="BZ263" i="12"/>
  <c r="CA263" i="12"/>
  <c r="CB263" i="12"/>
  <c r="CC263" i="12"/>
  <c r="CD263" i="12"/>
  <c r="CE263" i="12"/>
  <c r="CF263" i="12"/>
  <c r="CG263" i="12"/>
  <c r="CH263" i="12"/>
  <c r="CI263" i="12"/>
  <c r="CJ263" i="12"/>
  <c r="CK263" i="12"/>
  <c r="CL263" i="12"/>
  <c r="CM263" i="12"/>
  <c r="CN263" i="12"/>
  <c r="CO263" i="12"/>
  <c r="X265" i="12"/>
  <c r="Y265" i="12"/>
  <c r="Z265" i="12"/>
  <c r="BY265" i="12"/>
  <c r="BZ265" i="12"/>
  <c r="CA265" i="12"/>
  <c r="CB265" i="12"/>
  <c r="CC265" i="12"/>
  <c r="CD265" i="12"/>
  <c r="CE265" i="12"/>
  <c r="CF265" i="12"/>
  <c r="CG265" i="12"/>
  <c r="CH265" i="12"/>
  <c r="CI265" i="12"/>
  <c r="CJ265" i="12"/>
  <c r="CK265" i="12"/>
  <c r="CL265" i="12"/>
  <c r="CM265" i="12"/>
  <c r="CN265" i="12"/>
  <c r="CO265" i="12"/>
  <c r="BY267" i="12"/>
  <c r="BY269" i="12" s="1"/>
  <c r="BZ267" i="12"/>
  <c r="CA267" i="12"/>
  <c r="CB267" i="12"/>
  <c r="CC267" i="12"/>
  <c r="CD267" i="12"/>
  <c r="CE267" i="12"/>
  <c r="CF267" i="12"/>
  <c r="CG267" i="12"/>
  <c r="CH267" i="12"/>
  <c r="CI267" i="12"/>
  <c r="CJ267" i="12"/>
  <c r="CK267" i="12"/>
  <c r="CL267" i="12"/>
  <c r="CM267" i="12"/>
  <c r="CN267" i="12"/>
  <c r="CO267" i="12"/>
  <c r="BV269" i="12"/>
  <c r="BW269" i="12"/>
  <c r="BX269" i="12"/>
  <c r="BY270" i="12"/>
  <c r="BZ270" i="12"/>
  <c r="CA270" i="12"/>
  <c r="CB270" i="12"/>
  <c r="CC270" i="12"/>
  <c r="CD270" i="12"/>
  <c r="CE270" i="12"/>
  <c r="CF270" i="12"/>
  <c r="CG270" i="12"/>
  <c r="CH270" i="12"/>
  <c r="CI270" i="12"/>
  <c r="CJ270" i="12"/>
  <c r="CK270" i="12"/>
  <c r="CL270" i="12"/>
  <c r="CM270" i="12"/>
  <c r="CN270" i="12"/>
  <c r="CO270" i="12"/>
  <c r="BY272" i="12"/>
  <c r="BZ272" i="12"/>
  <c r="CA272" i="12"/>
  <c r="CB272" i="12"/>
  <c r="CC272" i="12"/>
  <c r="CD272" i="12"/>
  <c r="CE272" i="12"/>
  <c r="CF272" i="12"/>
  <c r="CG272" i="12"/>
  <c r="CH272" i="12"/>
  <c r="CI272" i="12"/>
  <c r="CJ272" i="12"/>
  <c r="CK272" i="12"/>
  <c r="CL272" i="12"/>
  <c r="CM272" i="12"/>
  <c r="CN272" i="12"/>
  <c r="CO272" i="12"/>
  <c r="P274" i="12"/>
  <c r="Q274" i="12"/>
  <c r="R274" i="12"/>
  <c r="Q101" i="71" s="1"/>
  <c r="S274" i="12"/>
  <c r="BY275" i="12"/>
  <c r="BZ275" i="12"/>
  <c r="CA275" i="12"/>
  <c r="CB275" i="12"/>
  <c r="CC275" i="12"/>
  <c r="CD275" i="12"/>
  <c r="CE275" i="12"/>
  <c r="CF275" i="12"/>
  <c r="CG275" i="12"/>
  <c r="CH275" i="12"/>
  <c r="CI275" i="12"/>
  <c r="CJ275" i="12"/>
  <c r="CK275" i="12"/>
  <c r="CL275" i="12"/>
  <c r="CM275" i="12"/>
  <c r="CN275" i="12"/>
  <c r="CO275" i="12"/>
  <c r="BV276" i="12"/>
  <c r="BW276" i="12"/>
  <c r="BX276" i="12"/>
  <c r="BY276" i="12"/>
  <c r="BZ276" i="12"/>
  <c r="CA276" i="12"/>
  <c r="CB276" i="12"/>
  <c r="CC276" i="12"/>
  <c r="CD276" i="12"/>
  <c r="CE276" i="12"/>
  <c r="CF276" i="12"/>
  <c r="CG276" i="12"/>
  <c r="CH276" i="12"/>
  <c r="CI276" i="12"/>
  <c r="CJ276" i="12"/>
  <c r="CK276" i="12"/>
  <c r="CL276" i="12"/>
  <c r="CM276" i="12"/>
  <c r="CN276" i="12"/>
  <c r="CO276" i="12"/>
  <c r="P281" i="12"/>
  <c r="Q281" i="12"/>
  <c r="X282" i="12"/>
  <c r="Y282" i="12" s="1"/>
  <c r="Z282" i="12" s="1"/>
  <c r="AA282" i="12" s="1"/>
  <c r="BZ282" i="12"/>
  <c r="CA282" i="12"/>
  <c r="CB282" i="12"/>
  <c r="CC282" i="12"/>
  <c r="CD282" i="12"/>
  <c r="CE282" i="12"/>
  <c r="CF282" i="12"/>
  <c r="L289" i="12"/>
  <c r="M289" i="12"/>
  <c r="N289" i="12"/>
  <c r="O289" i="12"/>
  <c r="P289" i="12"/>
  <c r="Q289" i="12"/>
  <c r="R289" i="12"/>
  <c r="S289" i="12"/>
  <c r="L290" i="12"/>
  <c r="K107" i="71" s="1"/>
  <c r="M290" i="12"/>
  <c r="N290" i="12"/>
  <c r="O290" i="12"/>
  <c r="P290" i="12"/>
  <c r="O107" i="71" s="1"/>
  <c r="Q290" i="12"/>
  <c r="R290" i="12"/>
  <c r="S290" i="12"/>
  <c r="L291" i="12"/>
  <c r="M291" i="12"/>
  <c r="N291" i="12"/>
  <c r="O291" i="12"/>
  <c r="P291" i="12"/>
  <c r="Q291" i="12"/>
  <c r="R291" i="12"/>
  <c r="S291" i="12"/>
  <c r="L292" i="12"/>
  <c r="M292" i="12"/>
  <c r="N292" i="12"/>
  <c r="O292" i="12"/>
  <c r="P292" i="12"/>
  <c r="Q292" i="12"/>
  <c r="R292" i="12"/>
  <c r="S292" i="12"/>
  <c r="BI293" i="12"/>
  <c r="BI295" i="12" s="1"/>
  <c r="BI298" i="12" s="1"/>
  <c r="BJ293" i="12"/>
  <c r="BJ295" i="12" s="1"/>
  <c r="BJ298" i="12" s="1"/>
  <c r="BK293" i="12"/>
  <c r="BK295" i="12" s="1"/>
  <c r="BK298" i="12" s="1"/>
  <c r="BL293" i="12"/>
  <c r="BL295" i="12" s="1"/>
  <c r="BL298" i="12" s="1"/>
  <c r="BM293" i="12"/>
  <c r="BN293" i="12"/>
  <c r="BN295" i="12" s="1"/>
  <c r="BN298" i="12" s="1"/>
  <c r="BO293" i="12"/>
  <c r="BO295" i="12" s="1"/>
  <c r="BO298" i="12" s="1"/>
  <c r="BO301" i="12" s="1"/>
  <c r="BO302" i="12" s="1"/>
  <c r="BP293" i="12"/>
  <c r="BQ293" i="12"/>
  <c r="BQ295" i="12"/>
  <c r="BQ298" i="12" s="1"/>
  <c r="BQ301" i="12" s="1"/>
  <c r="BQ302" i="12" s="1"/>
  <c r="BR293" i="12"/>
  <c r="BR295" i="12" s="1"/>
  <c r="BR298" i="12" s="1"/>
  <c r="BR301" i="12" s="1"/>
  <c r="BR302" i="12" s="1"/>
  <c r="BS293" i="12"/>
  <c r="BS295" i="12" s="1"/>
  <c r="BS298" i="12" s="1"/>
  <c r="BT293" i="12"/>
  <c r="BT295" i="12" s="1"/>
  <c r="BT298" i="12" s="1"/>
  <c r="BU293" i="12"/>
  <c r="BV293" i="12"/>
  <c r="BV295" i="12" s="1"/>
  <c r="BV298" i="12" s="1"/>
  <c r="BW293" i="12"/>
  <c r="BX293" i="12"/>
  <c r="BY293" i="12"/>
  <c r="T4" i="59" s="1"/>
  <c r="BZ293" i="12"/>
  <c r="BZ329" i="12" s="1"/>
  <c r="BZ335" i="12" s="1"/>
  <c r="BZ11" i="12" s="1"/>
  <c r="CA293" i="12"/>
  <c r="CA328" i="12" s="1"/>
  <c r="CA334" i="12" s="1"/>
  <c r="CB293" i="12"/>
  <c r="CB295" i="12" s="1"/>
  <c r="CC293" i="12"/>
  <c r="CC295" i="12" s="1"/>
  <c r="CD293" i="12"/>
  <c r="CD295" i="12" s="1"/>
  <c r="CD298" i="12" s="1"/>
  <c r="CE293" i="12"/>
  <c r="CE295" i="12" s="1"/>
  <c r="CF293" i="12"/>
  <c r="CG293" i="12"/>
  <c r="CH293" i="12"/>
  <c r="CI293" i="12"/>
  <c r="CI295" i="12" s="1"/>
  <c r="CJ293" i="12"/>
  <c r="CJ295" i="12" s="1"/>
  <c r="CK293" i="12"/>
  <c r="CL293" i="12"/>
  <c r="CL295" i="12" s="1"/>
  <c r="AG483" i="58" s="1"/>
  <c r="CM293" i="12"/>
  <c r="CM281" i="12" s="1"/>
  <c r="CN293" i="12"/>
  <c r="CO293" i="12"/>
  <c r="L294" i="12"/>
  <c r="M294" i="12"/>
  <c r="N294" i="12"/>
  <c r="O294" i="12"/>
  <c r="P294" i="12"/>
  <c r="Q294" i="12"/>
  <c r="R294" i="12"/>
  <c r="S294" i="12"/>
  <c r="J295" i="12"/>
  <c r="K295" i="12"/>
  <c r="L297" i="12"/>
  <c r="M297" i="12"/>
  <c r="N297" i="12"/>
  <c r="O297" i="12"/>
  <c r="L300" i="12"/>
  <c r="M300" i="12"/>
  <c r="N300" i="12"/>
  <c r="O300" i="12"/>
  <c r="P308" i="12"/>
  <c r="Q308" i="12"/>
  <c r="P309" i="12"/>
  <c r="Q309" i="12"/>
  <c r="BU310" i="12"/>
  <c r="BV310" i="12"/>
  <c r="BW310" i="12"/>
  <c r="BW313" i="12" s="1"/>
  <c r="BX310" i="12"/>
  <c r="BY310" i="12"/>
  <c r="BZ310" i="12"/>
  <c r="CA310" i="12"/>
  <c r="CA313" i="12" s="1"/>
  <c r="P312" i="12"/>
  <c r="Q312" i="12"/>
  <c r="P315" i="12"/>
  <c r="Q315" i="12"/>
  <c r="P316" i="12"/>
  <c r="Q316" i="12"/>
  <c r="BU317" i="12"/>
  <c r="BV317" i="12"/>
  <c r="BW317" i="12"/>
  <c r="CM18" i="33" s="1"/>
  <c r="DZ220" i="48" s="1"/>
  <c r="DZ276" i="48" s="1"/>
  <c r="EB276" i="48" s="1"/>
  <c r="BX317" i="12"/>
  <c r="CO18" i="33" s="1"/>
  <c r="BX107" i="14" s="1"/>
  <c r="BX109" i="14" s="1"/>
  <c r="BY317" i="12"/>
  <c r="CP18" i="33" s="1"/>
  <c r="CP238" i="33" s="1"/>
  <c r="CP239" i="33" s="1"/>
  <c r="BZ317" i="12"/>
  <c r="CQ18" i="33" s="1"/>
  <c r="CA317" i="12"/>
  <c r="CR18" i="33" s="1"/>
  <c r="CA107" i="14" s="1"/>
  <c r="CA109" i="14" s="1"/>
  <c r="P109" i="14" s="1"/>
  <c r="Q321" i="12"/>
  <c r="Q332" i="12"/>
  <c r="Q333" i="12"/>
  <c r="Q334" i="12"/>
  <c r="Q335" i="12"/>
  <c r="Q336" i="12"/>
  <c r="Q337" i="12"/>
  <c r="BU337" i="12"/>
  <c r="BU13" i="12" s="1"/>
  <c r="BV337" i="12"/>
  <c r="BV13" i="12" s="1"/>
  <c r="BW337" i="12"/>
  <c r="BW13" i="12" s="1"/>
  <c r="BX337" i="12"/>
  <c r="BX13" i="12" s="1"/>
  <c r="BY337" i="12"/>
  <c r="BZ337" i="12"/>
  <c r="BZ13" i="12" s="1"/>
  <c r="CA337" i="12"/>
  <c r="CA13" i="12" s="1"/>
  <c r="Q338" i="12"/>
  <c r="BV341" i="12"/>
  <c r="BW341" i="12"/>
  <c r="BX341" i="12"/>
  <c r="BY341" i="12"/>
  <c r="BZ341" i="12"/>
  <c r="CA341" i="12"/>
  <c r="BV342" i="12"/>
  <c r="BW342" i="12"/>
  <c r="BX342" i="12"/>
  <c r="BY342" i="12"/>
  <c r="BZ342" i="12"/>
  <c r="CA342" i="12"/>
  <c r="N346" i="12"/>
  <c r="O346" i="12"/>
  <c r="BC347" i="12"/>
  <c r="BD347" i="12"/>
  <c r="BE347" i="12"/>
  <c r="BF347" i="12"/>
  <c r="BG347" i="12"/>
  <c r="BH347" i="12"/>
  <c r="BI347" i="12"/>
  <c r="BJ347" i="12"/>
  <c r="BK347" i="12"/>
  <c r="BL347" i="12"/>
  <c r="BM347" i="12"/>
  <c r="BN347" i="12"/>
  <c r="BO347" i="12"/>
  <c r="BP347" i="12"/>
  <c r="BQ347" i="12"/>
  <c r="BR347" i="12"/>
  <c r="BS347" i="12"/>
  <c r="BT347" i="12"/>
  <c r="BU347" i="12"/>
  <c r="BV347" i="12"/>
  <c r="BW347" i="12"/>
  <c r="BX347" i="12"/>
  <c r="AZ348" i="12"/>
  <c r="BA348" i="12"/>
  <c r="BB348" i="12"/>
  <c r="BC348" i="12"/>
  <c r="BD348" i="12"/>
  <c r="BE348" i="12"/>
  <c r="BF348" i="12"/>
  <c r="BG348" i="12"/>
  <c r="BH348" i="12"/>
  <c r="BI348" i="12"/>
  <c r="BJ348" i="12"/>
  <c r="BK348" i="12"/>
  <c r="BL348" i="12"/>
  <c r="BM348" i="12"/>
  <c r="BN348" i="12"/>
  <c r="BO348" i="12"/>
  <c r="BP348" i="12"/>
  <c r="BQ348" i="12"/>
  <c r="BR348" i="12"/>
  <c r="BS348" i="12"/>
  <c r="BT348" i="12"/>
  <c r="BU348" i="12"/>
  <c r="BV348" i="12"/>
  <c r="BW348" i="12"/>
  <c r="BX348" i="12"/>
  <c r="BY348" i="12"/>
  <c r="BY346" i="12" s="1"/>
  <c r="BZ348" i="12"/>
  <c r="CA348" i="12"/>
  <c r="CB348" i="12"/>
  <c r="CC348" i="12"/>
  <c r="CD348" i="12"/>
  <c r="CE348" i="12"/>
  <c r="CF348" i="12"/>
  <c r="CG348" i="12"/>
  <c r="CH348" i="12"/>
  <c r="CI348" i="12"/>
  <c r="CJ348" i="12"/>
  <c r="CK348" i="12"/>
  <c r="CL348" i="12"/>
  <c r="CM348" i="12"/>
  <c r="CN348" i="12"/>
  <c r="CO348" i="12"/>
  <c r="X349" i="12"/>
  <c r="Y349" i="12"/>
  <c r="Z349" i="12"/>
  <c r="BX349" i="12"/>
  <c r="BY349" i="12"/>
  <c r="BZ349" i="12"/>
  <c r="CA349" i="12"/>
  <c r="CB349" i="12"/>
  <c r="CC349" i="12"/>
  <c r="CD349" i="12"/>
  <c r="CE349" i="12"/>
  <c r="CF349" i="12"/>
  <c r="CG349" i="12"/>
  <c r="CH349" i="12"/>
  <c r="CI349" i="12"/>
  <c r="CJ349" i="12"/>
  <c r="CK349" i="12"/>
  <c r="CL349" i="12"/>
  <c r="CM349" i="12"/>
  <c r="CN349" i="12"/>
  <c r="CO349" i="12"/>
  <c r="X351" i="12"/>
  <c r="Y351" i="12"/>
  <c r="Z351" i="12"/>
  <c r="BX351" i="12"/>
  <c r="BY351" i="12"/>
  <c r="BZ351" i="12"/>
  <c r="CA351" i="12"/>
  <c r="CB351" i="12"/>
  <c r="CC351" i="12"/>
  <c r="CD351" i="12"/>
  <c r="CE351" i="12"/>
  <c r="CF351" i="12"/>
  <c r="CG351" i="12"/>
  <c r="CH351" i="12"/>
  <c r="CI351" i="12"/>
  <c r="CJ351" i="12"/>
  <c r="CK351" i="12"/>
  <c r="CL351" i="12"/>
  <c r="CM351" i="12"/>
  <c r="CN351" i="12"/>
  <c r="CO351" i="12"/>
  <c r="BP353" i="12"/>
  <c r="BQ353" i="12"/>
  <c r="BR353" i="12"/>
  <c r="BS353" i="12"/>
  <c r="BT353" i="12"/>
  <c r="BT354" i="12" s="1"/>
  <c r="BU353" i="12"/>
  <c r="BU354" i="12" s="1"/>
  <c r="BV353" i="12"/>
  <c r="BP357" i="12"/>
  <c r="BQ357" i="12"/>
  <c r="BR357" i="12"/>
  <c r="BS357" i="12"/>
  <c r="BT357" i="12"/>
  <c r="BU357" i="12"/>
  <c r="BV357" i="12"/>
  <c r="BW357" i="12"/>
  <c r="N359" i="12"/>
  <c r="O361" i="12"/>
  <c r="BX361" i="12"/>
  <c r="BV363" i="12"/>
  <c r="BW363" i="12"/>
  <c r="BY363" i="12"/>
  <c r="BZ363" i="12"/>
  <c r="CA363" i="12"/>
  <c r="CB363" i="12"/>
  <c r="CC363" i="12"/>
  <c r="CD363" i="12"/>
  <c r="CE363" i="12"/>
  <c r="CF363" i="12"/>
  <c r="CG363" i="12"/>
  <c r="CH363" i="12"/>
  <c r="CI363" i="12"/>
  <c r="CJ363" i="12"/>
  <c r="CK363" i="12"/>
  <c r="CL363" i="12"/>
  <c r="CM363" i="12"/>
  <c r="CN363" i="12"/>
  <c r="CO363" i="12"/>
  <c r="X364" i="12"/>
  <c r="Y364" i="12"/>
  <c r="Z364" i="12"/>
  <c r="BX364" i="12"/>
  <c r="BY364" i="12"/>
  <c r="BZ364" i="12"/>
  <c r="CA364" i="12"/>
  <c r="CB364" i="12"/>
  <c r="CC364" i="12"/>
  <c r="CD364" i="12"/>
  <c r="CE364" i="12"/>
  <c r="CF364" i="12"/>
  <c r="CG364" i="12"/>
  <c r="CH364" i="12"/>
  <c r="CI364" i="12"/>
  <c r="CJ364" i="12"/>
  <c r="CK364" i="12"/>
  <c r="CL364" i="12"/>
  <c r="CM364" i="12"/>
  <c r="CN364" i="12"/>
  <c r="CO364" i="12"/>
  <c r="X366" i="12"/>
  <c r="Y366" i="12"/>
  <c r="Z366" i="12"/>
  <c r="BX366" i="12"/>
  <c r="BY366" i="12"/>
  <c r="BZ366" i="12"/>
  <c r="CA366" i="12"/>
  <c r="CB366" i="12"/>
  <c r="CC366" i="12"/>
  <c r="CD366" i="12"/>
  <c r="CE366" i="12"/>
  <c r="CF366" i="12"/>
  <c r="CG366" i="12"/>
  <c r="CH366" i="12"/>
  <c r="CI366" i="12"/>
  <c r="CJ366" i="12"/>
  <c r="CK366" i="12"/>
  <c r="CL366" i="12"/>
  <c r="CM366" i="12"/>
  <c r="CN366" i="12"/>
  <c r="CO366" i="12"/>
  <c r="BV368" i="12"/>
  <c r="BW368" i="12"/>
  <c r="O376" i="12"/>
  <c r="N103" i="71" s="1"/>
  <c r="P376" i="12"/>
  <c r="Q376" i="12"/>
  <c r="Q30" i="80" s="1"/>
  <c r="R376" i="12"/>
  <c r="S376" i="12"/>
  <c r="R103" i="71" s="1"/>
  <c r="BY377" i="12"/>
  <c r="BZ377" i="12"/>
  <c r="CA377" i="12"/>
  <c r="CB377" i="12"/>
  <c r="CC377" i="12"/>
  <c r="CD377" i="12"/>
  <c r="CE377" i="12"/>
  <c r="CF377" i="12"/>
  <c r="CG377" i="12"/>
  <c r="CH377" i="12"/>
  <c r="CI377" i="12"/>
  <c r="CJ377" i="12"/>
  <c r="CK377" i="12"/>
  <c r="CL377" i="12"/>
  <c r="CM377" i="12"/>
  <c r="CN377" i="12"/>
  <c r="CO377" i="12"/>
  <c r="BV378" i="12"/>
  <c r="BW378" i="12"/>
  <c r="BX378" i="12"/>
  <c r="BY378" i="12"/>
  <c r="BZ378" i="12"/>
  <c r="CA378" i="12"/>
  <c r="CB378" i="12"/>
  <c r="CC378" i="12"/>
  <c r="CD378" i="12"/>
  <c r="CE378" i="12"/>
  <c r="CF378" i="12"/>
  <c r="CG378" i="12"/>
  <c r="CH378" i="12"/>
  <c r="CI378" i="12"/>
  <c r="CJ378" i="12"/>
  <c r="CK378" i="12"/>
  <c r="CL378" i="12"/>
  <c r="CM378" i="12"/>
  <c r="CN378" i="12"/>
  <c r="CO378" i="12"/>
  <c r="BU383" i="12"/>
  <c r="BY383" i="12"/>
  <c r="CF383" i="12"/>
  <c r="CI383" i="12"/>
  <c r="AD105" i="58" s="1"/>
  <c r="CO383" i="12"/>
  <c r="AJ105" i="58" s="1"/>
  <c r="BU387" i="12"/>
  <c r="P108" i="58" s="1"/>
  <c r="BV387" i="12"/>
  <c r="BW387" i="12"/>
  <c r="R108" i="58" s="1"/>
  <c r="BX387" i="12"/>
  <c r="BY387" i="12"/>
  <c r="T108" i="58" s="1"/>
  <c r="BZ387" i="12"/>
  <c r="CA387" i="12"/>
  <c r="V108" i="58" s="1"/>
  <c r="CB387" i="12"/>
  <c r="W108" i="58" s="1"/>
  <c r="CC387" i="12"/>
  <c r="X108" i="58" s="1"/>
  <c r="CD387" i="12"/>
  <c r="CE387" i="12"/>
  <c r="Z108" i="58" s="1"/>
  <c r="CF387" i="12"/>
  <c r="CG387" i="12"/>
  <c r="AB108" i="58" s="1"/>
  <c r="CH387" i="12"/>
  <c r="AC108" i="58" s="1"/>
  <c r="CI387" i="12"/>
  <c r="AD108" i="58" s="1"/>
  <c r="CJ387" i="12"/>
  <c r="AE108" i="58" s="1"/>
  <c r="CK387" i="12"/>
  <c r="AF108" i="58" s="1"/>
  <c r="CL387" i="12"/>
  <c r="AG108" i="58" s="1"/>
  <c r="CM387" i="12"/>
  <c r="AH108" i="58" s="1"/>
  <c r="CN387" i="12"/>
  <c r="CO387" i="12"/>
  <c r="AJ108" i="58" s="1"/>
  <c r="P389" i="12"/>
  <c r="Q389" i="12"/>
  <c r="AF389" i="12"/>
  <c r="AG389" i="12"/>
  <c r="AH389" i="12"/>
  <c r="AI389" i="12"/>
  <c r="AJ389" i="12"/>
  <c r="AK389" i="12"/>
  <c r="AL389" i="12"/>
  <c r="AM389" i="12"/>
  <c r="AN389" i="12"/>
  <c r="AO389" i="12"/>
  <c r="AP389" i="12"/>
  <c r="AQ389" i="12"/>
  <c r="AR389" i="12"/>
  <c r="AS389" i="12"/>
  <c r="AT389" i="12"/>
  <c r="AU389" i="12"/>
  <c r="AV389" i="12"/>
  <c r="AW389" i="12"/>
  <c r="AX389" i="12"/>
  <c r="AY389" i="12"/>
  <c r="AZ389" i="12"/>
  <c r="BA389" i="12"/>
  <c r="BB389" i="12"/>
  <c r="BC389" i="12"/>
  <c r="BD389" i="12"/>
  <c r="BE389" i="12"/>
  <c r="BF389" i="12"/>
  <c r="BG389" i="12"/>
  <c r="BH389" i="12"/>
  <c r="BI389" i="12"/>
  <c r="BJ389" i="12"/>
  <c r="BK389" i="12"/>
  <c r="BL389" i="12"/>
  <c r="BM389" i="12"/>
  <c r="BN389" i="12"/>
  <c r="BO389" i="12"/>
  <c r="BP389" i="12"/>
  <c r="BQ389" i="12"/>
  <c r="BR389" i="12"/>
  <c r="BS389" i="12"/>
  <c r="BT389" i="12"/>
  <c r="BU389" i="12"/>
  <c r="BV389" i="12"/>
  <c r="BW389" i="12"/>
  <c r="BX389" i="12"/>
  <c r="BY389" i="12"/>
  <c r="BZ389" i="12"/>
  <c r="CA389" i="12"/>
  <c r="CB389" i="12"/>
  <c r="CC389" i="12"/>
  <c r="CD389" i="12"/>
  <c r="CE389" i="12"/>
  <c r="CF389" i="12"/>
  <c r="CG389" i="12"/>
  <c r="CH389" i="12"/>
  <c r="CI389" i="12"/>
  <c r="CJ389" i="12"/>
  <c r="CK389" i="12"/>
  <c r="CL389" i="12"/>
  <c r="CM389" i="12"/>
  <c r="CN389" i="12"/>
  <c r="CO389" i="12"/>
  <c r="BU410" i="12"/>
  <c r="BU413" i="12" s="1"/>
  <c r="M412" i="12"/>
  <c r="N412" i="12"/>
  <c r="O412" i="12"/>
  <c r="P412" i="12"/>
  <c r="P49" i="80" s="1"/>
  <c r="Q412" i="12"/>
  <c r="R412" i="12"/>
  <c r="R49" i="80" s="1"/>
  <c r="S412" i="12"/>
  <c r="BV413" i="12"/>
  <c r="BW413" i="12"/>
  <c r="BX413" i="12"/>
  <c r="BY413" i="12"/>
  <c r="BZ413" i="12"/>
  <c r="CA413" i="12"/>
  <c r="CB413" i="12"/>
  <c r="CC413" i="12"/>
  <c r="CD413" i="12"/>
  <c r="CE413" i="12"/>
  <c r="CF413" i="12"/>
  <c r="CG413" i="12"/>
  <c r="CH413" i="12"/>
  <c r="CI413" i="12"/>
  <c r="CJ413" i="12"/>
  <c r="CK413" i="12"/>
  <c r="CL413" i="12"/>
  <c r="CM413" i="12"/>
  <c r="CN413" i="12"/>
  <c r="CO413" i="12"/>
  <c r="BI415" i="12"/>
  <c r="BJ415" i="12"/>
  <c r="BK415" i="12"/>
  <c r="BL415" i="12"/>
  <c r="BM415" i="12"/>
  <c r="BN415" i="12"/>
  <c r="BO415" i="12"/>
  <c r="O416" i="12"/>
  <c r="P417" i="12"/>
  <c r="Q417" i="12"/>
  <c r="R417" i="12"/>
  <c r="S417" i="12"/>
  <c r="T417" i="12"/>
  <c r="P420" i="12"/>
  <c r="Q420" i="12"/>
  <c r="R420" i="12"/>
  <c r="S420" i="12"/>
  <c r="T420" i="12"/>
  <c r="P421" i="12"/>
  <c r="Q421" i="12"/>
  <c r="R421" i="12"/>
  <c r="S421" i="12"/>
  <c r="T421" i="12"/>
  <c r="R424" i="12"/>
  <c r="S424" i="12"/>
  <c r="T424" i="12"/>
  <c r="S426" i="12"/>
  <c r="T426" i="12"/>
  <c r="S427" i="12"/>
  <c r="T427" i="12"/>
  <c r="O429" i="12"/>
  <c r="R429" i="12"/>
  <c r="S429" i="12"/>
  <c r="T429" i="12"/>
  <c r="O430" i="12"/>
  <c r="P430" i="12"/>
  <c r="Q430" i="12"/>
  <c r="R430" i="12"/>
  <c r="S430" i="12"/>
  <c r="T430" i="12"/>
  <c r="R431" i="12"/>
  <c r="S431" i="12"/>
  <c r="T431" i="12"/>
  <c r="R432" i="12"/>
  <c r="S432" i="12"/>
  <c r="T432" i="12"/>
  <c r="R433" i="12"/>
  <c r="S433" i="12"/>
  <c r="T433" i="12"/>
  <c r="R434" i="12"/>
  <c r="S434" i="12"/>
  <c r="T434" i="12"/>
  <c r="P436" i="12"/>
  <c r="Q436" i="12"/>
  <c r="R436" i="12"/>
  <c r="S436" i="12"/>
  <c r="T436" i="12"/>
  <c r="P437" i="12"/>
  <c r="Q437" i="12"/>
  <c r="R437" i="12"/>
  <c r="S437" i="12"/>
  <c r="T437" i="12"/>
  <c r="Q439" i="12"/>
  <c r="R439" i="12"/>
  <c r="S439" i="12"/>
  <c r="T439" i="12"/>
  <c r="Q440" i="12"/>
  <c r="R440" i="12"/>
  <c r="S440" i="12"/>
  <c r="T440" i="12"/>
  <c r="R441" i="12"/>
  <c r="S441" i="12"/>
  <c r="T441" i="12"/>
  <c r="O442" i="12"/>
  <c r="P442" i="12"/>
  <c r="Q442" i="12"/>
  <c r="R442" i="12"/>
  <c r="S442" i="12"/>
  <c r="T442" i="12"/>
  <c r="R443" i="12"/>
  <c r="S443" i="12"/>
  <c r="T443" i="12"/>
  <c r="R444" i="12"/>
  <c r="S444" i="12"/>
  <c r="T444" i="12"/>
  <c r="R445" i="12"/>
  <c r="S445" i="12"/>
  <c r="T445" i="12"/>
  <c r="P447" i="12"/>
  <c r="Q447" i="12"/>
  <c r="R447" i="12"/>
  <c r="S447" i="12"/>
  <c r="T447" i="12"/>
  <c r="P448" i="12"/>
  <c r="Q448" i="12"/>
  <c r="R448" i="12"/>
  <c r="S448" i="12"/>
  <c r="T448" i="12"/>
  <c r="P450" i="12"/>
  <c r="Q450" i="12"/>
  <c r="R450" i="12"/>
  <c r="S450" i="12"/>
  <c r="T450" i="12"/>
  <c r="P451" i="12"/>
  <c r="Q451" i="12"/>
  <c r="R451" i="12"/>
  <c r="S451" i="12"/>
  <c r="T451" i="12"/>
  <c r="P452" i="12"/>
  <c r="Q452" i="12"/>
  <c r="R452" i="12"/>
  <c r="S452" i="12"/>
  <c r="T452" i="12"/>
  <c r="P453" i="12"/>
  <c r="Q453" i="12"/>
  <c r="R453" i="12"/>
  <c r="S453" i="12"/>
  <c r="T453" i="12"/>
  <c r="X455" i="12"/>
  <c r="X456" i="12" s="1"/>
  <c r="Y455" i="12"/>
  <c r="Y456" i="12" s="1"/>
  <c r="Z455" i="12"/>
  <c r="Z456" i="12" s="1"/>
  <c r="BP455" i="12"/>
  <c r="BQ455" i="12"/>
  <c r="BR455" i="12"/>
  <c r="BS455" i="12"/>
  <c r="BT455" i="12"/>
  <c r="BU455" i="12"/>
  <c r="BU454" i="12" s="1"/>
  <c r="BV455" i="12"/>
  <c r="BV454" i="12" s="1"/>
  <c r="BW455" i="12"/>
  <c r="BW454" i="12" s="1"/>
  <c r="BX455" i="12"/>
  <c r="BX454" i="12" s="1"/>
  <c r="BY455" i="12"/>
  <c r="BZ455" i="12"/>
  <c r="CA455" i="12"/>
  <c r="CB455" i="12"/>
  <c r="CB454" i="12" s="1"/>
  <c r="CB456" i="12" s="1"/>
  <c r="CC455" i="12"/>
  <c r="CD455" i="12"/>
  <c r="CD454" i="12" s="1"/>
  <c r="CD456" i="12" s="1"/>
  <c r="CE455" i="12"/>
  <c r="CE454" i="12" s="1"/>
  <c r="CF455" i="12"/>
  <c r="CF454" i="12" s="1"/>
  <c r="CG455" i="12"/>
  <c r="CH455" i="12"/>
  <c r="CH454" i="12" s="1"/>
  <c r="CH456" i="12" s="1"/>
  <c r="CI455" i="12"/>
  <c r="CI454" i="12" s="1"/>
  <c r="CJ455" i="12"/>
  <c r="CJ454" i="12" s="1"/>
  <c r="CK455" i="12"/>
  <c r="CL455" i="12"/>
  <c r="CL454" i="12" s="1"/>
  <c r="CM455" i="12"/>
  <c r="CM454" i="12" s="1"/>
  <c r="CN455" i="12"/>
  <c r="CO455" i="12"/>
  <c r="CO454" i="12" s="1"/>
  <c r="CO456" i="12" s="1"/>
  <c r="BW460" i="12"/>
  <c r="BW515" i="12" s="1"/>
  <c r="BX460" i="12"/>
  <c r="BX515" i="12" s="1"/>
  <c r="BY460" i="12"/>
  <c r="BY515" i="12" s="1"/>
  <c r="BZ460" i="12"/>
  <c r="BZ515" i="12" s="1"/>
  <c r="CA460" i="12"/>
  <c r="CA515" i="12" s="1"/>
  <c r="CB460" i="12"/>
  <c r="CB515" i="12" s="1"/>
  <c r="CC460" i="12"/>
  <c r="CC515" i="12" s="1"/>
  <c r="X208" i="58" s="1"/>
  <c r="CD460" i="12"/>
  <c r="CD515" i="12" s="1"/>
  <c r="Y208" i="58" s="1"/>
  <c r="CE460" i="12"/>
  <c r="CE515" i="12" s="1"/>
  <c r="CF460" i="12"/>
  <c r="CF515" i="12" s="1"/>
  <c r="CG460" i="12"/>
  <c r="CG515" i="12" s="1"/>
  <c r="CH460" i="12"/>
  <c r="CI460" i="12"/>
  <c r="CJ460" i="12"/>
  <c r="CJ515" i="12" s="1"/>
  <c r="CK460" i="12"/>
  <c r="CK515" i="12" s="1"/>
  <c r="CL460" i="12"/>
  <c r="CL515" i="12" s="1"/>
  <c r="CM460" i="12"/>
  <c r="CM515" i="12" s="1"/>
  <c r="CN460" i="12"/>
  <c r="CN515" i="12" s="1"/>
  <c r="CO460" i="12"/>
  <c r="CO515" i="12" s="1"/>
  <c r="N461" i="12"/>
  <c r="N460" i="12" s="1"/>
  <c r="O461" i="12"/>
  <c r="P461" i="12"/>
  <c r="Q461" i="12"/>
  <c r="R461" i="12"/>
  <c r="S461" i="12"/>
  <c r="S13" i="64" s="1"/>
  <c r="BH462" i="12"/>
  <c r="BI462" i="12"/>
  <c r="BJ462" i="12"/>
  <c r="BK462" i="12"/>
  <c r="BL462" i="12"/>
  <c r="BM462" i="12"/>
  <c r="BN462" i="12"/>
  <c r="BO462" i="12"/>
  <c r="BP462" i="12"/>
  <c r="CI83" i="48" s="1"/>
  <c r="BQ462" i="12"/>
  <c r="CJ83" i="48" s="1"/>
  <c r="BR462" i="12"/>
  <c r="CK83" i="48" s="1"/>
  <c r="BS462" i="12"/>
  <c r="CL83" i="48" s="1"/>
  <c r="BT462" i="12"/>
  <c r="CM83" i="48" s="1"/>
  <c r="BU462" i="12"/>
  <c r="CN83" i="48" s="1"/>
  <c r="BV462" i="12"/>
  <c r="CO83" i="48" s="1"/>
  <c r="BW462" i="12"/>
  <c r="CP83" i="48" s="1"/>
  <c r="BX462" i="12"/>
  <c r="CQ83" i="48" s="1"/>
  <c r="BY462" i="12"/>
  <c r="BZ462" i="12"/>
  <c r="CA462" i="12"/>
  <c r="CB462" i="12"/>
  <c r="CC462" i="12"/>
  <c r="CD462" i="12"/>
  <c r="CE462" i="12"/>
  <c r="CF462" i="12"/>
  <c r="CG462" i="12"/>
  <c r="CH462" i="12"/>
  <c r="CI462" i="12"/>
  <c r="CJ462" i="12"/>
  <c r="CK462" i="12"/>
  <c r="CL462" i="12"/>
  <c r="CM462" i="12"/>
  <c r="CN462" i="12"/>
  <c r="CO462" i="12"/>
  <c r="BG464" i="12"/>
  <c r="BH464" i="12"/>
  <c r="BI464" i="12"/>
  <c r="BJ464" i="12"/>
  <c r="BK464" i="12"/>
  <c r="BL464" i="12"/>
  <c r="BM464" i="12"/>
  <c r="BN464" i="12"/>
  <c r="BO464" i="12"/>
  <c r="BP464" i="12"/>
  <c r="BQ464" i="12"/>
  <c r="BR464" i="12"/>
  <c r="BS464" i="12"/>
  <c r="N464" i="12" s="1"/>
  <c r="BT464" i="12"/>
  <c r="BU464" i="12"/>
  <c r="BV464" i="12"/>
  <c r="Q80" i="58" s="1"/>
  <c r="BW464" i="12"/>
  <c r="I52" i="77" s="1"/>
  <c r="BX464" i="12"/>
  <c r="BY464" i="12"/>
  <c r="BZ464" i="12"/>
  <c r="CA464" i="12"/>
  <c r="CB464" i="12"/>
  <c r="W80" i="58" s="1"/>
  <c r="CC464" i="12"/>
  <c r="O52" i="77" s="1"/>
  <c r="CD464" i="12"/>
  <c r="Y80" i="58" s="1"/>
  <c r="CE464" i="12"/>
  <c r="Q52" i="77" s="1"/>
  <c r="CF464" i="12"/>
  <c r="CG464" i="12"/>
  <c r="CG466" i="12"/>
  <c r="CH464" i="12"/>
  <c r="CI464" i="12"/>
  <c r="CJ464" i="12"/>
  <c r="CK464" i="12"/>
  <c r="CL464" i="12"/>
  <c r="X52" i="77" s="1"/>
  <c r="CM464" i="12"/>
  <c r="Y52" i="77"/>
  <c r="CN464" i="12"/>
  <c r="Z52" i="77" s="1"/>
  <c r="CO464" i="12"/>
  <c r="AA52" i="77"/>
  <c r="N471" i="12"/>
  <c r="O471" i="12"/>
  <c r="P471" i="12"/>
  <c r="Q471" i="12"/>
  <c r="R471" i="12"/>
  <c r="R55" i="80" s="1"/>
  <c r="S56" i="80" s="1"/>
  <c r="S471" i="12"/>
  <c r="BH472" i="12"/>
  <c r="BI472" i="12"/>
  <c r="BJ472" i="12"/>
  <c r="BK472" i="12"/>
  <c r="BL472" i="12"/>
  <c r="BM472" i="12"/>
  <c r="BN472" i="12"/>
  <c r="BO472" i="12"/>
  <c r="BP472" i="12"/>
  <c r="BQ472" i="12"/>
  <c r="BR472" i="12"/>
  <c r="BS472" i="12"/>
  <c r="BT472" i="12"/>
  <c r="BU472" i="12"/>
  <c r="BV472" i="12"/>
  <c r="BW472" i="12"/>
  <c r="BX472" i="12"/>
  <c r="BY472" i="12"/>
  <c r="BZ472" i="12"/>
  <c r="CA472" i="12"/>
  <c r="CB472" i="12"/>
  <c r="CC472" i="12"/>
  <c r="CD472" i="12"/>
  <c r="CE472" i="12"/>
  <c r="CF472" i="12"/>
  <c r="CG472" i="12"/>
  <c r="CH472" i="12"/>
  <c r="CI472" i="12"/>
  <c r="CJ472" i="12"/>
  <c r="CK472" i="12"/>
  <c r="CL472" i="12"/>
  <c r="CM472" i="12"/>
  <c r="CN472" i="12"/>
  <c r="CO472" i="12"/>
  <c r="BE473" i="12"/>
  <c r="BF473" i="12"/>
  <c r="BG473" i="12"/>
  <c r="BH473" i="12"/>
  <c r="BI473" i="12"/>
  <c r="BJ473" i="12"/>
  <c r="BK473" i="12"/>
  <c r="BL473" i="12"/>
  <c r="BM473" i="12"/>
  <c r="BN473" i="12"/>
  <c r="BO473" i="12"/>
  <c r="BP473" i="12"/>
  <c r="BQ473" i="12"/>
  <c r="BR473" i="12"/>
  <c r="BS473" i="12"/>
  <c r="BT473" i="12"/>
  <c r="BU473" i="12"/>
  <c r="BV473" i="12"/>
  <c r="BW473" i="12"/>
  <c r="BX473" i="12"/>
  <c r="BY473" i="12"/>
  <c r="BZ473" i="12"/>
  <c r="CA473" i="12"/>
  <c r="CB473" i="12"/>
  <c r="CC473" i="12"/>
  <c r="CD473" i="12"/>
  <c r="CE473" i="12"/>
  <c r="CF473" i="12"/>
  <c r="CG473" i="12"/>
  <c r="CH473" i="12"/>
  <c r="CI473" i="12"/>
  <c r="CJ473" i="12"/>
  <c r="CK473" i="12"/>
  <c r="CL473" i="12"/>
  <c r="CM473" i="12"/>
  <c r="CN473" i="12"/>
  <c r="CO473" i="12"/>
  <c r="S478" i="12"/>
  <c r="CD478" i="12"/>
  <c r="CE478" i="12"/>
  <c r="L490" i="12"/>
  <c r="M490" i="12"/>
  <c r="N490" i="12"/>
  <c r="O490" i="12"/>
  <c r="P490" i="12"/>
  <c r="Q490" i="12"/>
  <c r="R490" i="12"/>
  <c r="S490" i="12"/>
  <c r="L491" i="12"/>
  <c r="K239" i="71" s="1"/>
  <c r="M491" i="12"/>
  <c r="L239" i="71" s="1"/>
  <c r="N491" i="12"/>
  <c r="M239" i="71" s="1"/>
  <c r="O491" i="12"/>
  <c r="P491" i="12"/>
  <c r="O239" i="71" s="1"/>
  <c r="Q491" i="12"/>
  <c r="R491" i="12"/>
  <c r="Q239" i="71" s="1"/>
  <c r="S491" i="12"/>
  <c r="L492" i="12"/>
  <c r="M492" i="12"/>
  <c r="N492" i="12"/>
  <c r="O492" i="12"/>
  <c r="P492" i="12"/>
  <c r="Q492" i="12"/>
  <c r="R492" i="12"/>
  <c r="S492" i="12"/>
  <c r="L493" i="12"/>
  <c r="M493" i="12"/>
  <c r="N493" i="12"/>
  <c r="O493" i="12"/>
  <c r="P493" i="12"/>
  <c r="Q493" i="12"/>
  <c r="R493" i="12"/>
  <c r="S493" i="12"/>
  <c r="BI494" i="12"/>
  <c r="BI497" i="12" s="1"/>
  <c r="BJ494" i="12"/>
  <c r="BJ497" i="12" s="1"/>
  <c r="BK494" i="12"/>
  <c r="BK497" i="12" s="1"/>
  <c r="BL494" i="12"/>
  <c r="BL497" i="12" s="1"/>
  <c r="BM494" i="12"/>
  <c r="BM497" i="12" s="1"/>
  <c r="BM500" i="12" s="1"/>
  <c r="BN494" i="12"/>
  <c r="BO494" i="12"/>
  <c r="BO497" i="12" s="1"/>
  <c r="BP494" i="12"/>
  <c r="BQ494" i="12"/>
  <c r="BR494" i="12"/>
  <c r="BS494" i="12"/>
  <c r="BT494" i="12"/>
  <c r="BT497" i="12" s="1"/>
  <c r="BU494" i="12"/>
  <c r="BU497" i="12" s="1"/>
  <c r="BV494" i="12"/>
  <c r="BV497" i="12" s="1"/>
  <c r="BW494" i="12"/>
  <c r="BX494" i="12"/>
  <c r="BY494" i="12"/>
  <c r="BZ494" i="12"/>
  <c r="CA494" i="12"/>
  <c r="CA497" i="12" s="1"/>
  <c r="CB494" i="12"/>
  <c r="CC494" i="12"/>
  <c r="CC497" i="12" s="1"/>
  <c r="BT17" i="48" s="1"/>
  <c r="CD494" i="12"/>
  <c r="CD497" i="12" s="1"/>
  <c r="CE494" i="12"/>
  <c r="CE497" i="12" s="1"/>
  <c r="CF494" i="12"/>
  <c r="CF497" i="12" s="1"/>
  <c r="CG494" i="12"/>
  <c r="CH494" i="12"/>
  <c r="CI494" i="12"/>
  <c r="CJ494" i="12"/>
  <c r="CK494" i="12"/>
  <c r="CL494" i="12"/>
  <c r="CP495" i="12" s="1"/>
  <c r="CM494" i="12"/>
  <c r="CM497" i="12" s="1"/>
  <c r="CN494" i="12"/>
  <c r="CO494" i="12"/>
  <c r="L496" i="12"/>
  <c r="M496" i="12"/>
  <c r="N496" i="12"/>
  <c r="O496" i="12"/>
  <c r="P496" i="12"/>
  <c r="Q496" i="12"/>
  <c r="R496" i="12"/>
  <c r="S496" i="12"/>
  <c r="J497" i="12"/>
  <c r="F17" i="48" s="1"/>
  <c r="K497" i="12"/>
  <c r="G17" i="48" s="1"/>
  <c r="L499" i="12"/>
  <c r="M499" i="12"/>
  <c r="N499" i="12"/>
  <c r="L502" i="12"/>
  <c r="M502" i="12"/>
  <c r="N502" i="12"/>
  <c r="N508" i="12"/>
  <c r="O508" i="12"/>
  <c r="P508" i="12"/>
  <c r="Q508" i="12"/>
  <c r="P235" i="71" s="1"/>
  <c r="R508" i="12"/>
  <c r="S508" i="12"/>
  <c r="R235" i="71" s="1"/>
  <c r="BP509" i="12"/>
  <c r="BQ509" i="12"/>
  <c r="BR509" i="12"/>
  <c r="BS509" i="12"/>
  <c r="BT509" i="12"/>
  <c r="BU509" i="12"/>
  <c r="BV509" i="12"/>
  <c r="BW509" i="12"/>
  <c r="BX509" i="12"/>
  <c r="BY509" i="12"/>
  <c r="BZ509" i="12"/>
  <c r="CA509" i="12"/>
  <c r="CB509" i="12"/>
  <c r="CC509" i="12"/>
  <c r="CD509" i="12"/>
  <c r="CE509" i="12"/>
  <c r="CF509" i="12"/>
  <c r="CG509" i="12"/>
  <c r="CH509" i="12"/>
  <c r="CI509" i="12"/>
  <c r="CJ509" i="12"/>
  <c r="CK509" i="12"/>
  <c r="CL509" i="12"/>
  <c r="CM509" i="12"/>
  <c r="CN509" i="12"/>
  <c r="CO509" i="12"/>
  <c r="BM510" i="12"/>
  <c r="BN510" i="12"/>
  <c r="BO510" i="12"/>
  <c r="BP510" i="12"/>
  <c r="BQ510" i="12"/>
  <c r="BR510" i="12"/>
  <c r="BS510" i="12"/>
  <c r="BT510" i="12"/>
  <c r="BU510" i="12"/>
  <c r="BV510" i="12"/>
  <c r="BW510" i="12"/>
  <c r="BX510" i="12"/>
  <c r="BY510" i="12"/>
  <c r="BZ510" i="12"/>
  <c r="CA510" i="12"/>
  <c r="CB510" i="12"/>
  <c r="CC510" i="12"/>
  <c r="CD510" i="12"/>
  <c r="CE510" i="12"/>
  <c r="CF510" i="12"/>
  <c r="CG510" i="12"/>
  <c r="CH510" i="12"/>
  <c r="CI510" i="12"/>
  <c r="CJ510" i="12"/>
  <c r="CK510" i="12"/>
  <c r="CL510" i="12"/>
  <c r="CM510" i="12"/>
  <c r="CN510" i="12"/>
  <c r="CO510" i="12"/>
  <c r="BP515" i="12"/>
  <c r="BQ515" i="12"/>
  <c r="BR515" i="12"/>
  <c r="BS515" i="12"/>
  <c r="BT515" i="12"/>
  <c r="BU515" i="12"/>
  <c r="P208" i="58" s="1"/>
  <c r="BV515" i="12"/>
  <c r="BP519" i="12"/>
  <c r="BQ519" i="12"/>
  <c r="BR519" i="12"/>
  <c r="BS519" i="12"/>
  <c r="BT519" i="12"/>
  <c r="BU519" i="12"/>
  <c r="P211" i="58" s="1"/>
  <c r="BV519" i="12"/>
  <c r="Q211" i="58" s="1"/>
  <c r="BW519" i="12"/>
  <c r="R211" i="58" s="1"/>
  <c r="BX519" i="12"/>
  <c r="S211" i="58" s="1"/>
  <c r="BY519" i="12"/>
  <c r="T211" i="58" s="1"/>
  <c r="BZ519" i="12"/>
  <c r="U211" i="58" s="1"/>
  <c r="CA519" i="12"/>
  <c r="V211" i="58" s="1"/>
  <c r="CB519" i="12"/>
  <c r="W211" i="58" s="1"/>
  <c r="CC519" i="12"/>
  <c r="X211" i="58" s="1"/>
  <c r="CD519" i="12"/>
  <c r="Y211" i="58" s="1"/>
  <c r="CE519" i="12"/>
  <c r="Z211" i="58" s="1"/>
  <c r="CF519" i="12"/>
  <c r="AA211" i="58" s="1"/>
  <c r="CG519" i="12"/>
  <c r="AB211" i="58" s="1"/>
  <c r="CH519" i="12"/>
  <c r="AC211" i="58" s="1"/>
  <c r="CI519" i="12"/>
  <c r="AD211" i="58" s="1"/>
  <c r="CJ519" i="12"/>
  <c r="AE211" i="58" s="1"/>
  <c r="CK519" i="12"/>
  <c r="AF211" i="58" s="1"/>
  <c r="CL519" i="12"/>
  <c r="AG211" i="58" s="1"/>
  <c r="CM519" i="12"/>
  <c r="AH211" i="58" s="1"/>
  <c r="CN519" i="12"/>
  <c r="AI211" i="58" s="1"/>
  <c r="CO519" i="12"/>
  <c r="AJ211" i="58" s="1"/>
  <c r="N521" i="12"/>
  <c r="P524" i="12"/>
  <c r="Q524" i="12"/>
  <c r="AF524" i="12"/>
  <c r="AG524" i="12"/>
  <c r="AH524" i="12"/>
  <c r="AI524" i="12"/>
  <c r="AJ524" i="12"/>
  <c r="AK524" i="12"/>
  <c r="AL524" i="12"/>
  <c r="AM524" i="12"/>
  <c r="AN524" i="12"/>
  <c r="AO524" i="12"/>
  <c r="AP524" i="12"/>
  <c r="AQ524" i="12"/>
  <c r="AR524" i="12"/>
  <c r="AS524" i="12"/>
  <c r="AT524" i="12"/>
  <c r="AU524" i="12"/>
  <c r="AV524" i="12"/>
  <c r="AW524" i="12"/>
  <c r="AX524" i="12"/>
  <c r="AY524" i="12"/>
  <c r="AZ524" i="12"/>
  <c r="BA524" i="12"/>
  <c r="BB524" i="12"/>
  <c r="BC524" i="12"/>
  <c r="BD524" i="12"/>
  <c r="BE524" i="12"/>
  <c r="BF524" i="12"/>
  <c r="BG524" i="12"/>
  <c r="BH524" i="12"/>
  <c r="BI524" i="12"/>
  <c r="BJ524" i="12"/>
  <c r="BK524" i="12"/>
  <c r="BL524" i="12"/>
  <c r="BM524" i="12"/>
  <c r="BN524" i="12"/>
  <c r="BO524" i="12"/>
  <c r="BP524" i="12"/>
  <c r="BQ524" i="12"/>
  <c r="BR524" i="12"/>
  <c r="BS524" i="12"/>
  <c r="BT524" i="12"/>
  <c r="BU524" i="12"/>
  <c r="BV524" i="12"/>
  <c r="BW524" i="12"/>
  <c r="BX524" i="12"/>
  <c r="BY524" i="12"/>
  <c r="BZ524" i="12"/>
  <c r="CA524" i="12"/>
  <c r="CB524" i="12"/>
  <c r="CC524" i="12"/>
  <c r="CD524" i="12"/>
  <c r="CE524" i="12"/>
  <c r="CF524" i="12"/>
  <c r="CG524" i="12"/>
  <c r="CH524" i="12"/>
  <c r="CI524" i="12"/>
  <c r="CJ524" i="12"/>
  <c r="CK524" i="12"/>
  <c r="CL524" i="12"/>
  <c r="CM524" i="12"/>
  <c r="CN524" i="12"/>
  <c r="CO524" i="12"/>
  <c r="BU563" i="12"/>
  <c r="BU566" i="12" s="1"/>
  <c r="M565" i="12"/>
  <c r="N565" i="12"/>
  <c r="O565" i="12"/>
  <c r="P565" i="12"/>
  <c r="Q565" i="12"/>
  <c r="Q35" i="80"/>
  <c r="R565" i="12"/>
  <c r="S565" i="12"/>
  <c r="S35" i="80" s="1"/>
  <c r="BV566" i="12"/>
  <c r="BW566" i="12"/>
  <c r="BX566" i="12"/>
  <c r="BY566" i="12"/>
  <c r="BZ566" i="12"/>
  <c r="CA566" i="12"/>
  <c r="CB566" i="12"/>
  <c r="CC566" i="12"/>
  <c r="CD566" i="12"/>
  <c r="CE566" i="12"/>
  <c r="CF566" i="12"/>
  <c r="CG566" i="12"/>
  <c r="CH566" i="12"/>
  <c r="CI566" i="12"/>
  <c r="CJ566" i="12"/>
  <c r="CK566" i="12"/>
  <c r="CL566" i="12"/>
  <c r="CM566" i="12"/>
  <c r="CN566" i="12"/>
  <c r="CO566" i="12"/>
  <c r="P571" i="12"/>
  <c r="Q571" i="12"/>
  <c r="R571" i="12"/>
  <c r="S571" i="12"/>
  <c r="T571" i="12"/>
  <c r="P573" i="12"/>
  <c r="Q573" i="12"/>
  <c r="R573" i="12"/>
  <c r="S573" i="12"/>
  <c r="T573" i="12"/>
  <c r="P574" i="12"/>
  <c r="Q574" i="12"/>
  <c r="R574" i="12"/>
  <c r="S574" i="12"/>
  <c r="T574" i="12"/>
  <c r="P575" i="12"/>
  <c r="Q575" i="12"/>
  <c r="R575" i="12"/>
  <c r="S575" i="12"/>
  <c r="T575" i="12"/>
  <c r="O581" i="12"/>
  <c r="P581" i="12"/>
  <c r="Q581" i="12"/>
  <c r="R581" i="12"/>
  <c r="S581" i="12"/>
  <c r="T581" i="12"/>
  <c r="P582" i="12"/>
  <c r="Q582" i="12"/>
  <c r="R582" i="12"/>
  <c r="S582" i="12"/>
  <c r="T582" i="12"/>
  <c r="O585" i="12"/>
  <c r="P585" i="12"/>
  <c r="Q585" i="12"/>
  <c r="R585" i="12"/>
  <c r="S585" i="12"/>
  <c r="T585" i="12"/>
  <c r="P586" i="12"/>
  <c r="Q586" i="12"/>
  <c r="R586" i="12"/>
  <c r="S586" i="12"/>
  <c r="T586" i="12"/>
  <c r="P587" i="12"/>
  <c r="Q587" i="12"/>
  <c r="R587" i="12"/>
  <c r="S587" i="12"/>
  <c r="T587" i="12"/>
  <c r="P589" i="12"/>
  <c r="Q589" i="12"/>
  <c r="R589" i="12"/>
  <c r="S589" i="12"/>
  <c r="T589" i="12"/>
  <c r="P591" i="12"/>
  <c r="Q591" i="12"/>
  <c r="R591" i="12"/>
  <c r="S591" i="12"/>
  <c r="T591" i="12"/>
  <c r="O597" i="12"/>
  <c r="P597" i="12"/>
  <c r="Q597" i="12"/>
  <c r="R597" i="12"/>
  <c r="S597" i="12"/>
  <c r="T597" i="12"/>
  <c r="P598" i="12"/>
  <c r="Q598" i="12"/>
  <c r="R598" i="12"/>
  <c r="S598" i="12"/>
  <c r="T598" i="12"/>
  <c r="R599" i="12"/>
  <c r="S599" i="12"/>
  <c r="T599" i="12"/>
  <c r="P600" i="12"/>
  <c r="Q600" i="12"/>
  <c r="R600" i="12"/>
  <c r="S600" i="12"/>
  <c r="T600" i="12"/>
  <c r="P601" i="12"/>
  <c r="Q601" i="12"/>
  <c r="R601" i="12"/>
  <c r="S601" i="12"/>
  <c r="T601" i="12"/>
  <c r="O606" i="12"/>
  <c r="P606" i="12"/>
  <c r="Q606" i="12"/>
  <c r="R606" i="12"/>
  <c r="S606" i="12"/>
  <c r="T606" i="12"/>
  <c r="P607" i="12"/>
  <c r="Q607" i="12"/>
  <c r="R607" i="12"/>
  <c r="S607" i="12"/>
  <c r="T607" i="12"/>
  <c r="P608" i="12"/>
  <c r="Q608" i="12"/>
  <c r="R608" i="12"/>
  <c r="S608" i="12"/>
  <c r="T608" i="12"/>
  <c r="P611" i="12"/>
  <c r="Q611" i="12"/>
  <c r="R611" i="12"/>
  <c r="S611" i="12"/>
  <c r="T611" i="12"/>
  <c r="O614" i="12"/>
  <c r="P614" i="12"/>
  <c r="Q614" i="12"/>
  <c r="R614" i="12"/>
  <c r="S614" i="12"/>
  <c r="T614" i="12"/>
  <c r="P616" i="12"/>
  <c r="Q616" i="12"/>
  <c r="R616" i="12"/>
  <c r="S616" i="12"/>
  <c r="T616" i="12"/>
  <c r="BP618" i="12"/>
  <c r="BQ618" i="12"/>
  <c r="BR618" i="12"/>
  <c r="BS618" i="12"/>
  <c r="BT618" i="12"/>
  <c r="BT617" i="12" s="1"/>
  <c r="BU618" i="12"/>
  <c r="BV618" i="12"/>
  <c r="BW618" i="12"/>
  <c r="BX618" i="12"/>
  <c r="BX617" i="12" s="1"/>
  <c r="BY618" i="12"/>
  <c r="BZ618" i="12"/>
  <c r="BZ617" i="12" s="1"/>
  <c r="CA618" i="12"/>
  <c r="CA617" i="12" s="1"/>
  <c r="CA619" i="12" s="1"/>
  <c r="CB618" i="12"/>
  <c r="CB617" i="12" s="1"/>
  <c r="CC618" i="12"/>
  <c r="CC617" i="12" s="1"/>
  <c r="CD618" i="12"/>
  <c r="CD617" i="12" s="1"/>
  <c r="CD619" i="12" s="1"/>
  <c r="CE618" i="12"/>
  <c r="CF618" i="12"/>
  <c r="CF617" i="12" s="1"/>
  <c r="CG618" i="12"/>
  <c r="CH618" i="12"/>
  <c r="CI618" i="12"/>
  <c r="CJ618" i="12"/>
  <c r="CJ617" i="12" s="1"/>
  <c r="CK618" i="12"/>
  <c r="CL618" i="12"/>
  <c r="CL617" i="12" s="1"/>
  <c r="CL619" i="12" s="1"/>
  <c r="CM618" i="12"/>
  <c r="CM617" i="12" s="1"/>
  <c r="CN618" i="12"/>
  <c r="CO618" i="12"/>
  <c r="Q623" i="12"/>
  <c r="R623" i="12"/>
  <c r="S623" i="12"/>
  <c r="BW623" i="12"/>
  <c r="BW685" i="12"/>
  <c r="BX623" i="12"/>
  <c r="BX685" i="12" s="1"/>
  <c r="BY623" i="12"/>
  <c r="BY685" i="12" s="1"/>
  <c r="BZ623" i="12"/>
  <c r="BZ685" i="12" s="1"/>
  <c r="CA623" i="12"/>
  <c r="CA685" i="12" s="1"/>
  <c r="CB623" i="12"/>
  <c r="CB685" i="12" s="1"/>
  <c r="CC623" i="12"/>
  <c r="CC685" i="12" s="1"/>
  <c r="CD623" i="12"/>
  <c r="CD685" i="12" s="1"/>
  <c r="CE623" i="12"/>
  <c r="CE685" i="12"/>
  <c r="CF623" i="12"/>
  <c r="CF685" i="12" s="1"/>
  <c r="CG623" i="12"/>
  <c r="CH623" i="12"/>
  <c r="CI623" i="12"/>
  <c r="CI685" i="12" s="1"/>
  <c r="CJ623" i="12"/>
  <c r="CJ685" i="12" s="1"/>
  <c r="CK623" i="12"/>
  <c r="CK685" i="12" s="1"/>
  <c r="CL623" i="12"/>
  <c r="CL685" i="12"/>
  <c r="CM623" i="12"/>
  <c r="CM685" i="12" s="1"/>
  <c r="CN623" i="12"/>
  <c r="CO623" i="12"/>
  <c r="CO685" i="12" s="1"/>
  <c r="N624" i="12"/>
  <c r="O624" i="12"/>
  <c r="P624" i="12"/>
  <c r="Q624" i="12"/>
  <c r="Q38" i="80" s="1"/>
  <c r="R624" i="12"/>
  <c r="R38" i="80" s="1"/>
  <c r="S624" i="12"/>
  <c r="BQ625" i="12"/>
  <c r="CJ82" i="48" s="1"/>
  <c r="BR625" i="12"/>
  <c r="CK82" i="48" s="1"/>
  <c r="BS625" i="12"/>
  <c r="CL82" i="48" s="1"/>
  <c r="BT625" i="12"/>
  <c r="CM82" i="48" s="1"/>
  <c r="BU625" i="12"/>
  <c r="CN82" i="48" s="1"/>
  <c r="BV625" i="12"/>
  <c r="CO82" i="48" s="1"/>
  <c r="BW625" i="12"/>
  <c r="CP82" i="48" s="1"/>
  <c r="BX625" i="12"/>
  <c r="BY625" i="12"/>
  <c r="T270" i="58" s="1"/>
  <c r="BZ625" i="12"/>
  <c r="U270" i="58" s="1"/>
  <c r="CA625" i="12"/>
  <c r="V270" i="58" s="1"/>
  <c r="CB625" i="12"/>
  <c r="W270" i="58" s="1"/>
  <c r="CC625" i="12"/>
  <c r="X270" i="58" s="1"/>
  <c r="CD625" i="12"/>
  <c r="Y270" i="58" s="1"/>
  <c r="CE625" i="12"/>
  <c r="Z270" i="58" s="1"/>
  <c r="CF625" i="12"/>
  <c r="AA270" i="58" s="1"/>
  <c r="CG625" i="12"/>
  <c r="AB270" i="58" s="1"/>
  <c r="CH625" i="12"/>
  <c r="AC270" i="58" s="1"/>
  <c r="CI625" i="12"/>
  <c r="AD270" i="58" s="1"/>
  <c r="CJ625" i="12"/>
  <c r="AE270" i="58" s="1"/>
  <c r="CK625" i="12"/>
  <c r="AF270" i="58" s="1"/>
  <c r="CL625" i="12"/>
  <c r="AG270" i="58" s="1"/>
  <c r="CM625" i="12"/>
  <c r="AH270" i="58" s="1"/>
  <c r="CN625" i="12"/>
  <c r="AI270" i="58" s="1"/>
  <c r="CO625" i="12"/>
  <c r="AJ270" i="58" s="1"/>
  <c r="BP627" i="12"/>
  <c r="BQ627" i="12"/>
  <c r="BR627" i="12"/>
  <c r="BS627" i="12"/>
  <c r="N627" i="12" s="1"/>
  <c r="BT627" i="12"/>
  <c r="BU627" i="12"/>
  <c r="BV627" i="12"/>
  <c r="BW627" i="12"/>
  <c r="O627" i="12" s="1"/>
  <c r="BX627" i="12"/>
  <c r="BY627" i="12"/>
  <c r="T79" i="58" s="1"/>
  <c r="BZ627" i="12"/>
  <c r="L46" i="77" s="1"/>
  <c r="CA627" i="12"/>
  <c r="M46" i="77" s="1"/>
  <c r="CB627" i="12"/>
  <c r="CB629" i="12" s="1"/>
  <c r="CC627" i="12"/>
  <c r="CD627" i="12"/>
  <c r="Y79" i="58" s="1"/>
  <c r="CE627" i="12"/>
  <c r="CF627" i="12"/>
  <c r="CG627" i="12"/>
  <c r="S46" i="77" s="1"/>
  <c r="CH627" i="12"/>
  <c r="AC79" i="58" s="1"/>
  <c r="CI627" i="12"/>
  <c r="U46" i="77" s="1"/>
  <c r="CJ627" i="12"/>
  <c r="CK627" i="12"/>
  <c r="CL627" i="12"/>
  <c r="CM627" i="12"/>
  <c r="Y46" i="77"/>
  <c r="CN627" i="12"/>
  <c r="CO627" i="12"/>
  <c r="AA46" i="77"/>
  <c r="AK79" i="58"/>
  <c r="N634" i="12"/>
  <c r="O634" i="12"/>
  <c r="P634" i="12"/>
  <c r="Q634" i="12"/>
  <c r="R634" i="12"/>
  <c r="R41" i="80" s="1"/>
  <c r="S634" i="12"/>
  <c r="BT635" i="12"/>
  <c r="BU635" i="12"/>
  <c r="BV635" i="12"/>
  <c r="BW635" i="12"/>
  <c r="BX635" i="12"/>
  <c r="BY635" i="12"/>
  <c r="BZ635" i="12"/>
  <c r="CA635" i="12"/>
  <c r="CB635" i="12"/>
  <c r="CC635" i="12"/>
  <c r="CD635" i="12"/>
  <c r="CE635" i="12"/>
  <c r="CF635" i="12"/>
  <c r="CG635" i="12"/>
  <c r="CH635" i="12"/>
  <c r="CI635" i="12"/>
  <c r="CJ635" i="12"/>
  <c r="CK635" i="12"/>
  <c r="CL635" i="12"/>
  <c r="CM635" i="12"/>
  <c r="CN635" i="12"/>
  <c r="CO635" i="12"/>
  <c r="BQ636" i="12"/>
  <c r="BR636" i="12"/>
  <c r="BS636" i="12"/>
  <c r="BT636" i="12"/>
  <c r="BU636" i="12"/>
  <c r="BV636" i="12"/>
  <c r="BW636" i="12"/>
  <c r="BX636" i="12"/>
  <c r="BY636" i="12"/>
  <c r="BZ636" i="12"/>
  <c r="CA636" i="12"/>
  <c r="CB636" i="12"/>
  <c r="CC636" i="12"/>
  <c r="CD636" i="12"/>
  <c r="CE636" i="12"/>
  <c r="CF636" i="12"/>
  <c r="CG636" i="12"/>
  <c r="CH636" i="12"/>
  <c r="CI636" i="12"/>
  <c r="CJ636" i="12"/>
  <c r="CK636" i="12"/>
  <c r="CL636" i="12"/>
  <c r="CM636" i="12"/>
  <c r="CN636" i="12"/>
  <c r="CO636" i="12"/>
  <c r="CD641" i="12"/>
  <c r="CE641" i="12"/>
  <c r="L660" i="12"/>
  <c r="M660" i="12"/>
  <c r="N660" i="12"/>
  <c r="O660" i="12"/>
  <c r="P660" i="12"/>
  <c r="Q660" i="12"/>
  <c r="R660" i="12"/>
  <c r="S660" i="12"/>
  <c r="L661" i="12"/>
  <c r="K173" i="71" s="1"/>
  <c r="M661" i="12"/>
  <c r="L173" i="71" s="1"/>
  <c r="N661" i="12"/>
  <c r="M173" i="71" s="1"/>
  <c r="O661" i="12"/>
  <c r="N173" i="71" s="1"/>
  <c r="P661" i="12"/>
  <c r="O173" i="71" s="1"/>
  <c r="Q661" i="12"/>
  <c r="P173" i="71" s="1"/>
  <c r="R661" i="12"/>
  <c r="S661" i="12"/>
  <c r="R173" i="71" s="1"/>
  <c r="L662" i="12"/>
  <c r="M662" i="12"/>
  <c r="N662" i="12"/>
  <c r="O662" i="12"/>
  <c r="P662" i="12"/>
  <c r="Q662" i="12"/>
  <c r="R662" i="12"/>
  <c r="S662" i="12"/>
  <c r="L663" i="12"/>
  <c r="M663" i="12"/>
  <c r="N663" i="12"/>
  <c r="O663" i="12"/>
  <c r="P663" i="12"/>
  <c r="Q663" i="12"/>
  <c r="R663" i="12"/>
  <c r="S663" i="12"/>
  <c r="BJ664" i="12"/>
  <c r="BJ667" i="12" s="1"/>
  <c r="BA16" i="48" s="1"/>
  <c r="BK664" i="12"/>
  <c r="BK667" i="12" s="1"/>
  <c r="BL664" i="12"/>
  <c r="BM664" i="12"/>
  <c r="BN664" i="12"/>
  <c r="BO664" i="12"/>
  <c r="BP664" i="12"/>
  <c r="BQ664" i="12"/>
  <c r="BQ667" i="12" s="1"/>
  <c r="BR664" i="12"/>
  <c r="BR665" i="12" s="1"/>
  <c r="BS664" i="12"/>
  <c r="BS667" i="12" s="1"/>
  <c r="BT664" i="12"/>
  <c r="BT667" i="12" s="1"/>
  <c r="BU664" i="12"/>
  <c r="BV664" i="12"/>
  <c r="BW664" i="12"/>
  <c r="BX664" i="12"/>
  <c r="BY664" i="12"/>
  <c r="BZ664" i="12"/>
  <c r="BZ667" i="12" s="1"/>
  <c r="CA664" i="12"/>
  <c r="CB664" i="12"/>
  <c r="CC664" i="12"/>
  <c r="CD664" i="12"/>
  <c r="CE664" i="12"/>
  <c r="CE667" i="12" s="1"/>
  <c r="CF664" i="12"/>
  <c r="CF667" i="12" s="1"/>
  <c r="CG664" i="12"/>
  <c r="CH664" i="12"/>
  <c r="CH667" i="12" s="1"/>
  <c r="BY16" i="48" s="1"/>
  <c r="CI664" i="12"/>
  <c r="CJ664" i="12"/>
  <c r="CK664" i="12"/>
  <c r="CL664" i="12"/>
  <c r="CM664" i="12"/>
  <c r="CM667" i="12" s="1"/>
  <c r="CM670" i="12" s="1"/>
  <c r="CN664" i="12"/>
  <c r="CO664" i="12"/>
  <c r="CS665" i="12"/>
  <c r="L666" i="12"/>
  <c r="M666" i="12"/>
  <c r="N666" i="12"/>
  <c r="O666" i="12"/>
  <c r="P666" i="12"/>
  <c r="Q666" i="12"/>
  <c r="R666" i="12"/>
  <c r="S666" i="12"/>
  <c r="L669" i="12"/>
  <c r="M669" i="12"/>
  <c r="N669" i="12"/>
  <c r="L672" i="12"/>
  <c r="M672" i="12"/>
  <c r="N672" i="12"/>
  <c r="N678" i="12"/>
  <c r="O678" i="12"/>
  <c r="P678" i="12"/>
  <c r="Q678" i="12"/>
  <c r="R678" i="12"/>
  <c r="S678" i="12"/>
  <c r="BT679" i="12"/>
  <c r="BU679" i="12"/>
  <c r="BV679" i="12"/>
  <c r="BW679" i="12"/>
  <c r="BX679" i="12"/>
  <c r="BY679" i="12"/>
  <c r="BZ679" i="12"/>
  <c r="CA679" i="12"/>
  <c r="CB679" i="12"/>
  <c r="CC679" i="12"/>
  <c r="CD679" i="12"/>
  <c r="CE679" i="12"/>
  <c r="CF679" i="12"/>
  <c r="CG679" i="12"/>
  <c r="CH679" i="12"/>
  <c r="CI679" i="12"/>
  <c r="CJ679" i="12"/>
  <c r="CK679" i="12"/>
  <c r="CL679" i="12"/>
  <c r="CM679" i="12"/>
  <c r="CN679" i="12"/>
  <c r="CO679" i="12"/>
  <c r="BQ680" i="12"/>
  <c r="BR680" i="12"/>
  <c r="BS680" i="12"/>
  <c r="BT680" i="12"/>
  <c r="BU680" i="12"/>
  <c r="BV680" i="12"/>
  <c r="BW680" i="12"/>
  <c r="BX680" i="12"/>
  <c r="BY680" i="12"/>
  <c r="BZ680" i="12"/>
  <c r="CA680" i="12"/>
  <c r="CB680" i="12"/>
  <c r="CB682" i="12" s="1"/>
  <c r="CC680" i="12"/>
  <c r="CC682" i="12"/>
  <c r="CD680" i="12"/>
  <c r="CD682" i="12" s="1"/>
  <c r="CE680" i="12"/>
  <c r="CE682" i="12" s="1"/>
  <c r="CF680" i="12"/>
  <c r="CF682" i="12" s="1"/>
  <c r="CG680" i="12"/>
  <c r="CG682" i="12" s="1"/>
  <c r="CH680" i="12"/>
  <c r="CH682" i="12" s="1"/>
  <c r="CI680" i="12"/>
  <c r="CI682" i="12" s="1"/>
  <c r="CJ680" i="12"/>
  <c r="CJ682" i="12" s="1"/>
  <c r="CK680" i="12"/>
  <c r="CK682" i="12" s="1"/>
  <c r="CL680" i="12"/>
  <c r="CL682" i="12" s="1"/>
  <c r="CM680" i="12"/>
  <c r="CM682" i="12" s="1"/>
  <c r="CN680" i="12"/>
  <c r="CN682" i="12" s="1"/>
  <c r="CO680" i="12"/>
  <c r="CO682" i="12" s="1"/>
  <c r="BP685" i="12"/>
  <c r="BQ685" i="12"/>
  <c r="BR685" i="12"/>
  <c r="BS685" i="12"/>
  <c r="BT685" i="12"/>
  <c r="BT686" i="12" s="1"/>
  <c r="BU685" i="12"/>
  <c r="P275" i="58"/>
  <c r="BV685" i="12"/>
  <c r="CH685" i="12"/>
  <c r="AC275" i="58" s="1"/>
  <c r="CN685" i="12"/>
  <c r="AI275" i="58" s="1"/>
  <c r="BP689" i="12"/>
  <c r="BQ689" i="12"/>
  <c r="BR689" i="12"/>
  <c r="BS689" i="12"/>
  <c r="BT689" i="12"/>
  <c r="BU689" i="12"/>
  <c r="P278" i="58" s="1"/>
  <c r="BV689" i="12"/>
  <c r="Q278" i="58" s="1"/>
  <c r="BW689" i="12"/>
  <c r="R278" i="58" s="1"/>
  <c r="BX689" i="12"/>
  <c r="S278" i="58" s="1"/>
  <c r="BY689" i="12"/>
  <c r="BZ689" i="12"/>
  <c r="U278" i="58" s="1"/>
  <c r="CA689" i="12"/>
  <c r="CB689" i="12"/>
  <c r="W278" i="58" s="1"/>
  <c r="CC689" i="12"/>
  <c r="CD689" i="12"/>
  <c r="Y278" i="58" s="1"/>
  <c r="CE689" i="12"/>
  <c r="Z278" i="58" s="1"/>
  <c r="CF689" i="12"/>
  <c r="AA278" i="58" s="1"/>
  <c r="CG689" i="12"/>
  <c r="CH689" i="12"/>
  <c r="AC278" i="58" s="1"/>
  <c r="CI689" i="12"/>
  <c r="CJ689" i="12"/>
  <c r="AE278" i="58" s="1"/>
  <c r="CK689" i="12"/>
  <c r="CL689" i="12"/>
  <c r="AG278" i="58" s="1"/>
  <c r="CM689" i="12"/>
  <c r="AH278" i="58" s="1"/>
  <c r="CN689" i="12"/>
  <c r="AI278" i="58" s="1"/>
  <c r="CO689" i="12"/>
  <c r="N691" i="12"/>
  <c r="Q694" i="12"/>
  <c r="AF694" i="12"/>
  <c r="AG694" i="12"/>
  <c r="AH694" i="12"/>
  <c r="AI694" i="12"/>
  <c r="AJ694" i="12"/>
  <c r="AK694" i="12"/>
  <c r="AL694" i="12"/>
  <c r="AM694" i="12"/>
  <c r="AN694" i="12"/>
  <c r="AO694" i="12"/>
  <c r="AP694" i="12"/>
  <c r="AQ694" i="12"/>
  <c r="AR694" i="12"/>
  <c r="AS694" i="12"/>
  <c r="AT694" i="12"/>
  <c r="AU694" i="12"/>
  <c r="AV694" i="12"/>
  <c r="AW694" i="12"/>
  <c r="AX694" i="12"/>
  <c r="AY694" i="12"/>
  <c r="AZ694" i="12"/>
  <c r="BA694" i="12"/>
  <c r="BB694" i="12"/>
  <c r="BC694" i="12"/>
  <c r="BD694" i="12"/>
  <c r="BE694" i="12"/>
  <c r="BF694" i="12"/>
  <c r="BG694" i="12"/>
  <c r="BH694" i="12"/>
  <c r="BI694" i="12"/>
  <c r="BJ694" i="12"/>
  <c r="BK694" i="12"/>
  <c r="BL694" i="12"/>
  <c r="BM694" i="12"/>
  <c r="BN694" i="12"/>
  <c r="BO694" i="12"/>
  <c r="BP694" i="12"/>
  <c r="BQ694" i="12"/>
  <c r="BR694" i="12"/>
  <c r="BS694" i="12"/>
  <c r="BT694" i="12"/>
  <c r="BU694" i="12"/>
  <c r="BV694" i="12"/>
  <c r="BW694" i="12"/>
  <c r="BX694" i="12"/>
  <c r="BY694" i="12"/>
  <c r="BZ694" i="12"/>
  <c r="CA694" i="12"/>
  <c r="CB694" i="12"/>
  <c r="CC694" i="12"/>
  <c r="CD694" i="12"/>
  <c r="CE694" i="12"/>
  <c r="CF694" i="12"/>
  <c r="CG694" i="12"/>
  <c r="CH694" i="12"/>
  <c r="CI694" i="12"/>
  <c r="CJ694" i="12"/>
  <c r="CK694" i="12"/>
  <c r="CL694" i="12"/>
  <c r="CM694" i="12"/>
  <c r="CN694" i="12"/>
  <c r="CO694" i="12"/>
  <c r="BJ695" i="12"/>
  <c r="BK695" i="12"/>
  <c r="BB42" i="48" s="1"/>
  <c r="BL695" i="12"/>
  <c r="BM695" i="12"/>
  <c r="BD42" i="48" s="1"/>
  <c r="BN695" i="12"/>
  <c r="BE42" i="48" s="1"/>
  <c r="BO695" i="12"/>
  <c r="BK6" i="80" s="1"/>
  <c r="BU695" i="12"/>
  <c r="BV695" i="12"/>
  <c r="BW695" i="12"/>
  <c r="BX695" i="12"/>
  <c r="J81" i="77" s="1"/>
  <c r="BY695" i="12"/>
  <c r="BU6" i="80" s="1"/>
  <c r="BZ695" i="12"/>
  <c r="BQ42" i="48" s="1"/>
  <c r="CA695" i="12"/>
  <c r="M81" i="77" s="1"/>
  <c r="CB695" i="12"/>
  <c r="AL24" i="64" s="1"/>
  <c r="CC695" i="12"/>
  <c r="CE695" i="12"/>
  <c r="CF695" i="12"/>
  <c r="CG695" i="12"/>
  <c r="CH695" i="12"/>
  <c r="AC368" i="58" s="1"/>
  <c r="CI695" i="12"/>
  <c r="CJ695" i="12"/>
  <c r="CK695" i="12"/>
  <c r="AF368" i="58" s="1"/>
  <c r="CL695" i="12"/>
  <c r="X81" i="77" s="1"/>
  <c r="CM695" i="12"/>
  <c r="Y81" i="77" s="1"/>
  <c r="CN695" i="12"/>
  <c r="CO695" i="12"/>
  <c r="AA81" i="77" s="1"/>
  <c r="BU697" i="12"/>
  <c r="G82" i="77" s="1"/>
  <c r="BV697" i="12"/>
  <c r="Q370" i="58" s="1"/>
  <c r="BW697" i="12"/>
  <c r="BX697" i="12"/>
  <c r="J82" i="77" s="1"/>
  <c r="BY697" i="12"/>
  <c r="BZ697" i="12"/>
  <c r="CA697" i="12"/>
  <c r="CB697" i="12"/>
  <c r="N82" i="77" s="1"/>
  <c r="CC697" i="12"/>
  <c r="CD697" i="12"/>
  <c r="BZ9" i="80" s="1"/>
  <c r="CE697" i="12"/>
  <c r="Q82" i="77"/>
  <c r="CF697" i="12"/>
  <c r="CG697" i="12"/>
  <c r="CH697" i="12"/>
  <c r="AC370" i="58"/>
  <c r="CI697" i="12"/>
  <c r="CJ697" i="12"/>
  <c r="CK697" i="12"/>
  <c r="W82" i="77" s="1"/>
  <c r="CL697" i="12"/>
  <c r="CL698" i="12" s="1"/>
  <c r="CM697" i="12"/>
  <c r="Y82" i="77" s="1"/>
  <c r="CN697" i="12"/>
  <c r="CO697" i="12"/>
  <c r="AA82" i="77"/>
  <c r="O702" i="12"/>
  <c r="Q702" i="12"/>
  <c r="BP702" i="12"/>
  <c r="BQ702" i="12"/>
  <c r="BR702" i="12"/>
  <c r="BS702" i="12"/>
  <c r="BT702" i="12"/>
  <c r="BU702" i="12"/>
  <c r="BV702" i="12"/>
  <c r="BW702" i="12"/>
  <c r="BX702" i="12"/>
  <c r="BY702" i="12"/>
  <c r="BZ702" i="12"/>
  <c r="CA702" i="12"/>
  <c r="CB702" i="12"/>
  <c r="CC702" i="12"/>
  <c r="CD702" i="12"/>
  <c r="CE702" i="12"/>
  <c r="CF702" i="12"/>
  <c r="CG702" i="12"/>
  <c r="CH702" i="12"/>
  <c r="CI702" i="12"/>
  <c r="CJ702" i="12"/>
  <c r="CK702" i="12"/>
  <c r="CL702" i="12"/>
  <c r="CM702" i="12"/>
  <c r="CN702" i="12"/>
  <c r="B705" i="12"/>
  <c r="O706" i="12"/>
  <c r="ET392" i="48" s="1"/>
  <c r="BT707" i="12"/>
  <c r="O707" i="12" s="1"/>
  <c r="B708" i="12"/>
  <c r="O709" i="12"/>
  <c r="ET393" i="48" s="1"/>
  <c r="BT710" i="12"/>
  <c r="O710" i="12" s="1"/>
  <c r="BU710" i="12"/>
  <c r="B711" i="12"/>
  <c r="O712" i="12"/>
  <c r="ET394" i="48" s="1"/>
  <c r="BU713" i="12"/>
  <c r="O713" i="12" s="1"/>
  <c r="B714" i="12"/>
  <c r="O715" i="12"/>
  <c r="ET395" i="48" s="1"/>
  <c r="BV716" i="12"/>
  <c r="O716" i="12" s="1"/>
  <c r="B717" i="12"/>
  <c r="BV718" i="12"/>
  <c r="B720" i="12"/>
  <c r="O721" i="12"/>
  <c r="ET397" i="48" s="1"/>
  <c r="BW722" i="12"/>
  <c r="O722" i="12" s="1"/>
  <c r="B723" i="12"/>
  <c r="P724" i="12"/>
  <c r="ET398" i="48" s="1"/>
  <c r="Q724" i="12"/>
  <c r="R724" i="12"/>
  <c r="S724" i="12"/>
  <c r="T724" i="12"/>
  <c r="Q725" i="12"/>
  <c r="R725" i="12"/>
  <c r="S725" i="12"/>
  <c r="T725" i="12"/>
  <c r="BX725" i="12"/>
  <c r="P725" i="12" s="1"/>
  <c r="B726" i="12"/>
  <c r="P727" i="12"/>
  <c r="Q727" i="12"/>
  <c r="R727" i="12"/>
  <c r="S727" i="12"/>
  <c r="T727" i="12"/>
  <c r="P728" i="12"/>
  <c r="Q728" i="12"/>
  <c r="R728" i="12"/>
  <c r="S728" i="12"/>
  <c r="T728" i="12"/>
  <c r="B729" i="12"/>
  <c r="P730" i="12"/>
  <c r="Q730" i="12"/>
  <c r="R730" i="12"/>
  <c r="S730" i="12"/>
  <c r="T730" i="12"/>
  <c r="P731" i="12"/>
  <c r="Q731" i="12"/>
  <c r="R731" i="12"/>
  <c r="S731" i="12"/>
  <c r="T731" i="12"/>
  <c r="B734" i="12"/>
  <c r="B737" i="12"/>
  <c r="O738" i="12"/>
  <c r="BT739" i="12"/>
  <c r="O739" i="12" s="1"/>
  <c r="B740" i="12"/>
  <c r="O741" i="12"/>
  <c r="BU742" i="12"/>
  <c r="O742" i="12" s="1"/>
  <c r="B743" i="12"/>
  <c r="O744" i="12"/>
  <c r="BU745" i="12"/>
  <c r="O745" i="12" s="1"/>
  <c r="B746" i="12"/>
  <c r="O747" i="12"/>
  <c r="BU748" i="12"/>
  <c r="O748" i="12" s="1"/>
  <c r="B749" i="12"/>
  <c r="B752" i="12"/>
  <c r="BY754" i="12"/>
  <c r="BZ754" i="12"/>
  <c r="CA754" i="12"/>
  <c r="CB754" i="12"/>
  <c r="CC754" i="12"/>
  <c r="CD754" i="12"/>
  <c r="CE754" i="12"/>
  <c r="CF754" i="12"/>
  <c r="CG754" i="12"/>
  <c r="CH754" i="12"/>
  <c r="CI754" i="12"/>
  <c r="CJ754" i="12"/>
  <c r="CK754" i="12"/>
  <c r="CL754" i="12"/>
  <c r="CM754" i="12"/>
  <c r="CN754" i="12"/>
  <c r="CO754" i="12"/>
  <c r="B755" i="12"/>
  <c r="B758" i="12"/>
  <c r="B761" i="12"/>
  <c r="O764" i="12"/>
  <c r="B766" i="12"/>
  <c r="O767" i="12"/>
  <c r="ET403" i="48" s="1"/>
  <c r="BU768" i="12"/>
  <c r="O768" i="12" s="1"/>
  <c r="B769" i="12"/>
  <c r="P771" i="12"/>
  <c r="Q771" i="12"/>
  <c r="R771" i="12"/>
  <c r="S771" i="12"/>
  <c r="T771" i="12"/>
  <c r="B772" i="12"/>
  <c r="O773" i="12"/>
  <c r="ET404" i="48" s="1"/>
  <c r="BV774" i="12"/>
  <c r="O774" i="12" s="1"/>
  <c r="B775" i="12"/>
  <c r="P777" i="12"/>
  <c r="Q777" i="12"/>
  <c r="R777" i="12"/>
  <c r="S777" i="12"/>
  <c r="T777" i="12"/>
  <c r="B778" i="12"/>
  <c r="P780" i="12"/>
  <c r="Q780" i="12"/>
  <c r="R780" i="12"/>
  <c r="S780" i="12"/>
  <c r="T780" i="12"/>
  <c r="P783" i="12"/>
  <c r="Q783" i="12"/>
  <c r="R783" i="12"/>
  <c r="S783" i="12"/>
  <c r="T783" i="12"/>
  <c r="BP789" i="12"/>
  <c r="BP795" i="12" s="1"/>
  <c r="BQ789" i="12"/>
  <c r="BQ795" i="12" s="1"/>
  <c r="BR789" i="12"/>
  <c r="BR795" i="12" s="1"/>
  <c r="BS789" i="12"/>
  <c r="BS795" i="12" s="1"/>
  <c r="BT789" i="12"/>
  <c r="BT795" i="12" s="1"/>
  <c r="BU789" i="12"/>
  <c r="BU795" i="12" s="1"/>
  <c r="BV789" i="12"/>
  <c r="BV795" i="12" s="1"/>
  <c r="BW789" i="12"/>
  <c r="BW795" i="12" s="1"/>
  <c r="BX789" i="12"/>
  <c r="BX795" i="12" s="1"/>
  <c r="BY789" i="12"/>
  <c r="BY795" i="12" s="1"/>
  <c r="BZ789" i="12"/>
  <c r="BZ795" i="12" s="1"/>
  <c r="CA789" i="12"/>
  <c r="CA795" i="12" s="1"/>
  <c r="CB789" i="12"/>
  <c r="CB795" i="12" s="1"/>
  <c r="CC789" i="12"/>
  <c r="CC795" i="12" s="1"/>
  <c r="CD789" i="12"/>
  <c r="CD795" i="12" s="1"/>
  <c r="CE789" i="12"/>
  <c r="AV792" i="12"/>
  <c r="AW792" i="12"/>
  <c r="AX792" i="12"/>
  <c r="AY792" i="12"/>
  <c r="AZ792" i="12"/>
  <c r="BA792" i="12"/>
  <c r="BB792" i="12"/>
  <c r="BC792" i="12"/>
  <c r="BD792" i="12"/>
  <c r="BE792" i="12"/>
  <c r="BF792" i="12"/>
  <c r="BG792" i="12"/>
  <c r="BH792" i="12"/>
  <c r="BI792" i="12"/>
  <c r="BJ792" i="12"/>
  <c r="BK792" i="12"/>
  <c r="BL792" i="12"/>
  <c r="BM792" i="12"/>
  <c r="BN792" i="12"/>
  <c r="BO792" i="12"/>
  <c r="BP792" i="12"/>
  <c r="BQ792" i="12"/>
  <c r="BR792" i="12"/>
  <c r="BS792" i="12"/>
  <c r="BT792" i="12"/>
  <c r="BU792" i="12"/>
  <c r="BV792" i="12"/>
  <c r="BW792" i="12"/>
  <c r="BX792" i="12"/>
  <c r="BY792" i="12"/>
  <c r="BZ792" i="12"/>
  <c r="CA792" i="12"/>
  <c r="CB792" i="12"/>
  <c r="CC792" i="12"/>
  <c r="CD792" i="12"/>
  <c r="CE792" i="12"/>
  <c r="CF792" i="12"/>
  <c r="CG792" i="12"/>
  <c r="CH792" i="12"/>
  <c r="CI792" i="12"/>
  <c r="CJ792" i="12"/>
  <c r="CK792" i="12"/>
  <c r="CL792" i="12"/>
  <c r="CM792" i="12"/>
  <c r="CN792" i="12"/>
  <c r="CO792" i="12"/>
  <c r="BC793" i="12"/>
  <c r="BD793" i="12"/>
  <c r="BE793" i="12"/>
  <c r="BF793" i="12"/>
  <c r="BG793" i="12"/>
  <c r="BH793" i="12"/>
  <c r="BI793" i="12"/>
  <c r="BJ793" i="12"/>
  <c r="BK793" i="12"/>
  <c r="BL793" i="12"/>
  <c r="BM793" i="12"/>
  <c r="BN793" i="12"/>
  <c r="BO793" i="12"/>
  <c r="BP793" i="12"/>
  <c r="BQ793" i="12"/>
  <c r="BR793" i="12"/>
  <c r="BS793" i="12"/>
  <c r="BT793" i="12"/>
  <c r="BU793" i="12"/>
  <c r="BV793" i="12"/>
  <c r="BW793" i="12"/>
  <c r="BX793" i="12"/>
  <c r="BY793" i="12"/>
  <c r="BZ793" i="12"/>
  <c r="CA793" i="12"/>
  <c r="CB793" i="12"/>
  <c r="CC793" i="12"/>
  <c r="CD793" i="12"/>
  <c r="CE793" i="12"/>
  <c r="CF793" i="12"/>
  <c r="CG793" i="12"/>
  <c r="CH793" i="12"/>
  <c r="CI793" i="12"/>
  <c r="CJ793" i="12"/>
  <c r="CK793" i="12"/>
  <c r="CL793" i="12"/>
  <c r="CM793" i="12"/>
  <c r="CN793" i="12"/>
  <c r="CO793" i="12"/>
  <c r="AR795" i="12"/>
  <c r="AR797" i="12" s="1"/>
  <c r="AS795" i="12"/>
  <c r="AT795" i="12"/>
  <c r="AU795" i="12"/>
  <c r="AV795" i="12"/>
  <c r="AW795" i="12"/>
  <c r="AX795" i="12"/>
  <c r="AY795" i="12"/>
  <c r="AZ795" i="12"/>
  <c r="AZ797" i="12" s="1"/>
  <c r="BA795" i="12"/>
  <c r="BB795" i="12"/>
  <c r="BB797" i="12"/>
  <c r="BC795" i="12"/>
  <c r="BC797" i="12" s="1"/>
  <c r="BD795" i="12"/>
  <c r="BD797" i="12" s="1"/>
  <c r="BE795" i="12"/>
  <c r="BE797" i="12" s="1"/>
  <c r="BF795" i="12"/>
  <c r="BF797" i="12" s="1"/>
  <c r="BG795" i="12"/>
  <c r="BH795" i="12"/>
  <c r="BI795" i="12"/>
  <c r="BJ795" i="12"/>
  <c r="BJ797" i="12" s="1"/>
  <c r="BK795" i="12"/>
  <c r="BL795" i="12"/>
  <c r="BL797" i="12" s="1"/>
  <c r="BM795" i="12"/>
  <c r="BM797" i="12" s="1"/>
  <c r="BN795" i="12"/>
  <c r="BO795" i="12"/>
  <c r="AW800" i="12"/>
  <c r="AX800" i="12"/>
  <c r="AY800" i="12"/>
  <c r="AZ800" i="12"/>
  <c r="BA800" i="12"/>
  <c r="BB800" i="12"/>
  <c r="BC800" i="12"/>
  <c r="BD800" i="12"/>
  <c r="BE800" i="12"/>
  <c r="BF800" i="12"/>
  <c r="BG800" i="12"/>
  <c r="BH800" i="12"/>
  <c r="BI800" i="12"/>
  <c r="BJ800" i="12"/>
  <c r="BK800" i="12"/>
  <c r="BL800" i="12"/>
  <c r="BM800" i="12"/>
  <c r="BN800" i="12"/>
  <c r="BO800" i="12"/>
  <c r="BP800" i="12"/>
  <c r="BQ800" i="12"/>
  <c r="BR800" i="12"/>
  <c r="BS800" i="12"/>
  <c r="BT800" i="12"/>
  <c r="BU800" i="12"/>
  <c r="BV800" i="12"/>
  <c r="BW800" i="12"/>
  <c r="BX800" i="12"/>
  <c r="BY800" i="12"/>
  <c r="BZ800" i="12"/>
  <c r="CA800" i="12"/>
  <c r="CB800" i="12"/>
  <c r="CC800" i="12"/>
  <c r="CD800" i="12"/>
  <c r="CF800" i="12"/>
  <c r="CG800" i="12"/>
  <c r="CH800" i="12"/>
  <c r="CI800" i="12"/>
  <c r="CJ800" i="12"/>
  <c r="CK800" i="12"/>
  <c r="CL800" i="12"/>
  <c r="CM800" i="12"/>
  <c r="CN800" i="12"/>
  <c r="CO800" i="12"/>
  <c r="BJ801" i="12"/>
  <c r="BK801" i="12"/>
  <c r="BL801" i="12"/>
  <c r="BM801" i="12"/>
  <c r="BN801" i="12"/>
  <c r="BO801" i="12"/>
  <c r="BP801" i="12"/>
  <c r="BQ801" i="12"/>
  <c r="BR801" i="12"/>
  <c r="BS801" i="12"/>
  <c r="BT801" i="12"/>
  <c r="BU801" i="12"/>
  <c r="BV801" i="12"/>
  <c r="BW801" i="12"/>
  <c r="BX801" i="12"/>
  <c r="BY801" i="12"/>
  <c r="BZ801" i="12"/>
  <c r="CA801" i="12"/>
  <c r="CB801" i="12"/>
  <c r="CC801" i="12"/>
  <c r="CD801" i="12"/>
  <c r="AS802" i="12"/>
  <c r="AT802" i="12"/>
  <c r="AU802" i="12"/>
  <c r="AV802" i="12"/>
  <c r="AW802" i="12"/>
  <c r="AX802" i="12"/>
  <c r="AY802" i="12"/>
  <c r="AZ802" i="12"/>
  <c r="BA802" i="12"/>
  <c r="BB802" i="12"/>
  <c r="BC802" i="12"/>
  <c r="BD802" i="12"/>
  <c r="BE802" i="12"/>
  <c r="BF802" i="12"/>
  <c r="BG802" i="12"/>
  <c r="BH802" i="12"/>
  <c r="BI802" i="12"/>
  <c r="BJ802" i="12"/>
  <c r="BK802" i="12"/>
  <c r="BL802" i="12"/>
  <c r="BM802" i="12"/>
  <c r="BN802" i="12"/>
  <c r="BO802" i="12"/>
  <c r="BP802" i="12"/>
  <c r="BQ802" i="12"/>
  <c r="BR802" i="12"/>
  <c r="BS802" i="12"/>
  <c r="BT802" i="12"/>
  <c r="BU802" i="12"/>
  <c r="BV802" i="12"/>
  <c r="BW802" i="12"/>
  <c r="BX802" i="12"/>
  <c r="BY802" i="12"/>
  <c r="BZ802" i="12"/>
  <c r="CA802" i="12"/>
  <c r="CA804" i="12" s="1"/>
  <c r="CB802" i="12"/>
  <c r="CC802" i="12"/>
  <c r="CD802" i="12"/>
  <c r="BD805" i="12"/>
  <c r="BE805" i="12"/>
  <c r="BF805" i="12"/>
  <c r="BG805" i="12"/>
  <c r="BH805" i="12"/>
  <c r="BI805" i="12"/>
  <c r="BJ805" i="12"/>
  <c r="BK805" i="12"/>
  <c r="BL805" i="12"/>
  <c r="BM805" i="12"/>
  <c r="BN805" i="12"/>
  <c r="BO805" i="12"/>
  <c r="BP805" i="12"/>
  <c r="BQ805" i="12"/>
  <c r="BR805" i="12"/>
  <c r="BS805" i="12"/>
  <c r="BT805" i="12"/>
  <c r="BU805" i="12"/>
  <c r="BV805" i="12"/>
  <c r="BW805" i="12"/>
  <c r="BX805" i="12"/>
  <c r="BY805" i="12"/>
  <c r="BZ805" i="12"/>
  <c r="CA805" i="12"/>
  <c r="CB805" i="12"/>
  <c r="CC805" i="12"/>
  <c r="CD805" i="12"/>
  <c r="N813" i="12"/>
  <c r="O813" i="12"/>
  <c r="O18" i="80" s="1"/>
  <c r="P813" i="12"/>
  <c r="Q813" i="12"/>
  <c r="Q18" i="80" s="1"/>
  <c r="R813" i="12"/>
  <c r="S813" i="12"/>
  <c r="W18" i="80"/>
  <c r="X813" i="12"/>
  <c r="W368" i="71" s="1"/>
  <c r="Y813" i="12"/>
  <c r="Y18" i="80" s="1"/>
  <c r="Z813" i="12"/>
  <c r="Y368" i="71" s="1"/>
  <c r="X814" i="12"/>
  <c r="Y814" i="12"/>
  <c r="Z814" i="12"/>
  <c r="X816" i="12"/>
  <c r="Y816" i="12"/>
  <c r="Z816" i="12"/>
  <c r="BP819" i="12"/>
  <c r="BS820" i="12"/>
  <c r="E825" i="12"/>
  <c r="F825" i="12"/>
  <c r="G825" i="12"/>
  <c r="H825" i="12"/>
  <c r="R825" i="12"/>
  <c r="R15" i="80" s="1"/>
  <c r="BU825" i="12"/>
  <c r="BV825" i="12"/>
  <c r="BW825" i="12"/>
  <c r="BX825" i="12"/>
  <c r="BY825" i="12"/>
  <c r="BU15" i="80" s="1"/>
  <c r="BZ825" i="12"/>
  <c r="CA825" i="12"/>
  <c r="CA826" i="12" s="1"/>
  <c r="V358" i="58" s="1"/>
  <c r="CB825" i="12"/>
  <c r="CC825" i="12"/>
  <c r="O83" i="77" s="1"/>
  <c r="CD825" i="12"/>
  <c r="CE825" i="12"/>
  <c r="CA15" i="80" s="1"/>
  <c r="CF825" i="12"/>
  <c r="CG825" i="12"/>
  <c r="CH825" i="12"/>
  <c r="T83" i="77" s="1"/>
  <c r="CI825" i="12"/>
  <c r="CE15" i="80" s="1"/>
  <c r="CJ825" i="12"/>
  <c r="CK825" i="12"/>
  <c r="CL825" i="12"/>
  <c r="CM825" i="12"/>
  <c r="CN825" i="12"/>
  <c r="Z83" i="77" s="1"/>
  <c r="CO825" i="12"/>
  <c r="AA83" i="77"/>
  <c r="AA61" i="77" s="1"/>
  <c r="AL14" i="77"/>
  <c r="AL11" i="77" s="1"/>
  <c r="BI13" i="77" s="1"/>
  <c r="F17" i="77"/>
  <c r="F18" i="77"/>
  <c r="N18" i="77"/>
  <c r="O18" i="77"/>
  <c r="P18" i="77"/>
  <c r="Q18" i="77"/>
  <c r="R18" i="77"/>
  <c r="S18" i="77"/>
  <c r="T18" i="77"/>
  <c r="U18" i="77"/>
  <c r="BC138" i="77"/>
  <c r="BI191" i="77"/>
  <c r="BK191" i="77"/>
  <c r="BI193" i="77"/>
  <c r="BK193" i="77"/>
  <c r="BC141" i="77"/>
  <c r="AN22" i="77"/>
  <c r="F33" i="77"/>
  <c r="P33" i="77"/>
  <c r="BT33" i="77"/>
  <c r="F34" i="77"/>
  <c r="N34" i="77"/>
  <c r="S34" i="77"/>
  <c r="BI207" i="77"/>
  <c r="BK207" i="77"/>
  <c r="BV34" i="77"/>
  <c r="BW34" i="77"/>
  <c r="BX34" i="77"/>
  <c r="F35" i="77"/>
  <c r="BR35" i="77"/>
  <c r="BS35" i="77"/>
  <c r="BU35" i="77"/>
  <c r="BV35" i="77"/>
  <c r="BW35" i="77"/>
  <c r="BX35" i="77"/>
  <c r="F36" i="77"/>
  <c r="Q36" i="77"/>
  <c r="T36" i="77"/>
  <c r="U36" i="77"/>
  <c r="BI209" i="77"/>
  <c r="BK209" i="77"/>
  <c r="BR36" i="77"/>
  <c r="BU36" i="77"/>
  <c r="BV36" i="77"/>
  <c r="BW36" i="77"/>
  <c r="BX36" i="77"/>
  <c r="BJ210" i="77"/>
  <c r="BR37" i="77"/>
  <c r="BS37" i="77"/>
  <c r="BU37" i="77"/>
  <c r="BV37" i="77"/>
  <c r="BX37" i="77"/>
  <c r="BR38" i="77"/>
  <c r="BS38" i="77"/>
  <c r="BU38" i="77"/>
  <c r="BV38" i="77"/>
  <c r="BW38" i="77"/>
  <c r="BX38" i="77"/>
  <c r="BR39" i="77"/>
  <c r="BS39" i="77"/>
  <c r="BU39" i="77"/>
  <c r="BX39" i="77"/>
  <c r="J40" i="77"/>
  <c r="N40" i="77"/>
  <c r="S40" i="77"/>
  <c r="AL40" i="77"/>
  <c r="AX203" i="77"/>
  <c r="BC203" i="77"/>
  <c r="BR40" i="77"/>
  <c r="BU40" i="77"/>
  <c r="BV40" i="77"/>
  <c r="BW40" i="77"/>
  <c r="BX40" i="77"/>
  <c r="BR41" i="77"/>
  <c r="BS41" i="77"/>
  <c r="BU41" i="77"/>
  <c r="BX41" i="77"/>
  <c r="AX205" i="77"/>
  <c r="BC205" i="77"/>
  <c r="BR42" i="77"/>
  <c r="BU42" i="77"/>
  <c r="BV42" i="77"/>
  <c r="BX42" i="77"/>
  <c r="BR43" i="77"/>
  <c r="BS43" i="77"/>
  <c r="BU43" i="77"/>
  <c r="BV43" i="77"/>
  <c r="BX43" i="77"/>
  <c r="BR44" i="77"/>
  <c r="BS44" i="77"/>
  <c r="BU44" i="77"/>
  <c r="BU45" i="77"/>
  <c r="G46" i="77"/>
  <c r="I46" i="77"/>
  <c r="N46" i="77"/>
  <c r="AL46" i="77"/>
  <c r="BU46" i="77"/>
  <c r="BI223" i="77"/>
  <c r="BK223" i="77"/>
  <c r="BU50" i="77"/>
  <c r="BV51" i="77"/>
  <c r="BW51" i="77"/>
  <c r="BX51" i="77"/>
  <c r="F52" i="77"/>
  <c r="H52" i="77"/>
  <c r="R52" i="77"/>
  <c r="S52" i="77"/>
  <c r="AL52" i="77"/>
  <c r="BI225" i="77"/>
  <c r="BK225" i="77"/>
  <c r="BU52" i="77"/>
  <c r="BV52" i="77"/>
  <c r="BW52" i="77"/>
  <c r="BX52" i="77"/>
  <c r="BJ226" i="77"/>
  <c r="BU53" i="77"/>
  <c r="BU54" i="77"/>
  <c r="BV54" i="77"/>
  <c r="BW54" i="77"/>
  <c r="BU55" i="77"/>
  <c r="BV55" i="77"/>
  <c r="BX55" i="77"/>
  <c r="BU56" i="77"/>
  <c r="BV56" i="77"/>
  <c r="BX56" i="77"/>
  <c r="BU57" i="77"/>
  <c r="BU58" i="77"/>
  <c r="BV58" i="77"/>
  <c r="BW58" i="77"/>
  <c r="BX58" i="77"/>
  <c r="BU59" i="77"/>
  <c r="BU60" i="77"/>
  <c r="BV60" i="77"/>
  <c r="BW60" i="77"/>
  <c r="AM61" i="77"/>
  <c r="BU61" i="77"/>
  <c r="BV61" i="77"/>
  <c r="BX61" i="77"/>
  <c r="F62" i="77"/>
  <c r="G62" i="77"/>
  <c r="H62" i="77"/>
  <c r="I62" i="77"/>
  <c r="J62" i="77"/>
  <c r="K62" i="77"/>
  <c r="L62" i="77"/>
  <c r="M62" i="77"/>
  <c r="N62" i="77"/>
  <c r="O62" i="77"/>
  <c r="P62" i="77"/>
  <c r="Q62" i="77"/>
  <c r="R62" i="77"/>
  <c r="S62" i="77"/>
  <c r="T62" i="77"/>
  <c r="U62" i="77"/>
  <c r="BU62" i="77"/>
  <c r="BV62" i="77"/>
  <c r="BX62" i="77"/>
  <c r="BU63" i="77"/>
  <c r="BU64" i="77"/>
  <c r="BV64" i="77"/>
  <c r="BW64" i="77"/>
  <c r="BX64" i="77"/>
  <c r="G65" i="77"/>
  <c r="H65" i="77"/>
  <c r="I65" i="77"/>
  <c r="J65" i="77"/>
  <c r="K65" i="77"/>
  <c r="L65" i="77"/>
  <c r="M65" i="77"/>
  <c r="N65" i="77"/>
  <c r="O65" i="77"/>
  <c r="P65" i="77"/>
  <c r="Q65" i="77"/>
  <c r="R65" i="77"/>
  <c r="S65" i="77"/>
  <c r="T65" i="77"/>
  <c r="U65" i="77"/>
  <c r="BU65" i="77"/>
  <c r="G66" i="77"/>
  <c r="H66" i="77"/>
  <c r="I66" i="77"/>
  <c r="J66" i="77"/>
  <c r="K66" i="77"/>
  <c r="L66" i="77"/>
  <c r="M66" i="77"/>
  <c r="N66" i="77"/>
  <c r="O66" i="77"/>
  <c r="P66" i="77"/>
  <c r="Q66" i="77"/>
  <c r="R66" i="77"/>
  <c r="S66" i="77"/>
  <c r="T66" i="77"/>
  <c r="U66" i="77"/>
  <c r="BU66" i="77"/>
  <c r="BV66" i="77"/>
  <c r="BX66" i="77"/>
  <c r="G67" i="77"/>
  <c r="H67" i="77"/>
  <c r="I67" i="77"/>
  <c r="J67" i="77"/>
  <c r="K67" i="77"/>
  <c r="L67" i="77"/>
  <c r="M67" i="77"/>
  <c r="N67" i="77"/>
  <c r="O67" i="77"/>
  <c r="P67" i="77"/>
  <c r="Q67" i="77"/>
  <c r="R67" i="77"/>
  <c r="S67" i="77"/>
  <c r="T67" i="77"/>
  <c r="U67" i="77"/>
  <c r="BU67" i="77"/>
  <c r="BV67" i="77"/>
  <c r="BX67" i="77"/>
  <c r="G68" i="77"/>
  <c r="H68" i="77"/>
  <c r="I68" i="77"/>
  <c r="J68" i="77"/>
  <c r="K68" i="77"/>
  <c r="L68" i="77"/>
  <c r="M68" i="77"/>
  <c r="N68" i="77"/>
  <c r="O68" i="77"/>
  <c r="P68" i="77"/>
  <c r="Q68" i="77"/>
  <c r="R68" i="77"/>
  <c r="S68" i="77"/>
  <c r="T68" i="77"/>
  <c r="U68" i="77"/>
  <c r="BU68" i="77"/>
  <c r="BU69" i="77"/>
  <c r="F70" i="77"/>
  <c r="G70" i="77"/>
  <c r="H70" i="77"/>
  <c r="I70" i="77"/>
  <c r="I45" i="77" s="1"/>
  <c r="J70" i="77"/>
  <c r="K70" i="77"/>
  <c r="L70" i="77"/>
  <c r="M70" i="77"/>
  <c r="N70" i="77"/>
  <c r="O70" i="77"/>
  <c r="P70" i="77"/>
  <c r="Q70" i="77"/>
  <c r="R70" i="77"/>
  <c r="S70" i="77"/>
  <c r="T70" i="77"/>
  <c r="U70" i="77"/>
  <c r="BJ237" i="77"/>
  <c r="BU70" i="77"/>
  <c r="F71" i="77"/>
  <c r="G71" i="77"/>
  <c r="H71" i="77"/>
  <c r="I71" i="77"/>
  <c r="J71" i="77"/>
  <c r="K71" i="77"/>
  <c r="L71" i="77"/>
  <c r="M71" i="77"/>
  <c r="N71" i="77"/>
  <c r="O71" i="77"/>
  <c r="P71" i="77"/>
  <c r="Q71" i="77"/>
  <c r="R71" i="77"/>
  <c r="S71" i="77"/>
  <c r="T71" i="77"/>
  <c r="U71" i="77"/>
  <c r="F72" i="77"/>
  <c r="G72" i="77"/>
  <c r="H72" i="77"/>
  <c r="I72" i="77"/>
  <c r="J72" i="77"/>
  <c r="K72" i="77"/>
  <c r="L72" i="77"/>
  <c r="M72" i="77"/>
  <c r="N72" i="77"/>
  <c r="O72" i="77"/>
  <c r="P72" i="77"/>
  <c r="Q72" i="77"/>
  <c r="R72" i="77"/>
  <c r="S72" i="77"/>
  <c r="T72" i="77"/>
  <c r="U72" i="77"/>
  <c r="BI239" i="77"/>
  <c r="BK239" i="77"/>
  <c r="F73" i="77"/>
  <c r="G73" i="77"/>
  <c r="H73" i="77"/>
  <c r="I73" i="77"/>
  <c r="J73" i="77"/>
  <c r="K73" i="77"/>
  <c r="L73" i="77"/>
  <c r="M73" i="77"/>
  <c r="N73" i="77"/>
  <c r="O73" i="77"/>
  <c r="P73" i="77"/>
  <c r="Q73" i="77"/>
  <c r="R73" i="77"/>
  <c r="S73" i="77"/>
  <c r="T73" i="77"/>
  <c r="U73" i="77"/>
  <c r="BI241" i="77"/>
  <c r="BK241" i="77"/>
  <c r="F75" i="77"/>
  <c r="G75" i="77"/>
  <c r="H75" i="77"/>
  <c r="I75" i="77"/>
  <c r="J75" i="77"/>
  <c r="K75" i="77"/>
  <c r="L75" i="77"/>
  <c r="M75" i="77"/>
  <c r="N75" i="77"/>
  <c r="O75" i="77"/>
  <c r="P75" i="77"/>
  <c r="Q75" i="77"/>
  <c r="R75" i="77"/>
  <c r="S75" i="77"/>
  <c r="T75" i="77"/>
  <c r="U75" i="77"/>
  <c r="BJ242" i="77"/>
  <c r="F76" i="77"/>
  <c r="G76" i="77"/>
  <c r="H76" i="77"/>
  <c r="I76" i="77"/>
  <c r="J76" i="77"/>
  <c r="K76" i="77"/>
  <c r="L76" i="77"/>
  <c r="M76" i="77"/>
  <c r="N76" i="77"/>
  <c r="O76" i="77"/>
  <c r="P76" i="77"/>
  <c r="Q76" i="77"/>
  <c r="R76" i="77"/>
  <c r="S76" i="77"/>
  <c r="T76" i="77"/>
  <c r="U76" i="77"/>
  <c r="AM76" i="77"/>
  <c r="F77" i="77"/>
  <c r="G77" i="77"/>
  <c r="H77" i="77"/>
  <c r="I77" i="77"/>
  <c r="J77" i="77"/>
  <c r="K77" i="77"/>
  <c r="L77" i="77"/>
  <c r="M77" i="77"/>
  <c r="N77" i="77"/>
  <c r="O77" i="77"/>
  <c r="P77" i="77"/>
  <c r="Q77" i="77"/>
  <c r="R77" i="77"/>
  <c r="S77" i="77"/>
  <c r="T77" i="77"/>
  <c r="U77" i="77"/>
  <c r="F78" i="77"/>
  <c r="G78" i="77"/>
  <c r="H78" i="77"/>
  <c r="I78" i="77"/>
  <c r="J78" i="77"/>
  <c r="K78" i="77"/>
  <c r="L78" i="77"/>
  <c r="M78" i="77"/>
  <c r="N78" i="77"/>
  <c r="O78" i="77"/>
  <c r="P78" i="77"/>
  <c r="Q78" i="77"/>
  <c r="R78" i="77"/>
  <c r="S78" i="77"/>
  <c r="T78" i="77"/>
  <c r="U78" i="77"/>
  <c r="L81" i="77"/>
  <c r="AL81" i="77"/>
  <c r="P82" i="77"/>
  <c r="R82" i="77"/>
  <c r="AL82" i="77"/>
  <c r="BI249" i="77"/>
  <c r="BK249" i="77"/>
  <c r="R83" i="77"/>
  <c r="AL83" i="77"/>
  <c r="BJ251" i="77"/>
  <c r="BI253" i="77"/>
  <c r="BK253" i="77"/>
  <c r="BI255" i="77"/>
  <c r="BK255" i="77"/>
  <c r="BJ256" i="77"/>
  <c r="BJ257" i="77"/>
  <c r="BD253" i="77"/>
  <c r="BY35" i="77" s="1"/>
  <c r="BD255" i="77"/>
  <c r="BY37" i="77" s="1"/>
  <c r="BD256" i="77"/>
  <c r="BY38" i="77" s="1"/>
  <c r="AY266" i="77"/>
  <c r="AZ266" i="77"/>
  <c r="AX287" i="77" s="1"/>
  <c r="BB266" i="77"/>
  <c r="BW39" i="77" s="1"/>
  <c r="BI270" i="77"/>
  <c r="BS40" i="77" s="1"/>
  <c r="BK270" i="77"/>
  <c r="BD258" i="77"/>
  <c r="BY40" i="77" s="1"/>
  <c r="AY268" i="77"/>
  <c r="AZ268" i="77"/>
  <c r="AX289" i="77" s="1"/>
  <c r="BB268" i="77"/>
  <c r="BB272" i="77" s="1"/>
  <c r="BI272" i="77"/>
  <c r="BS42" i="77" s="1"/>
  <c r="BK272" i="77"/>
  <c r="BA269" i="77"/>
  <c r="BD260" i="77"/>
  <c r="BY42" i="77" s="1"/>
  <c r="BJ273" i="77"/>
  <c r="BJ274" i="77"/>
  <c r="BA273" i="77"/>
  <c r="BD264" i="77"/>
  <c r="BD266" i="77"/>
  <c r="BA276" i="77"/>
  <c r="BO217" i="77"/>
  <c r="BY52" i="77" s="1"/>
  <c r="BN212" i="77"/>
  <c r="BX53" i="77" s="1"/>
  <c r="BO220" i="77"/>
  <c r="BY55" i="77" s="1"/>
  <c r="BI286" i="77"/>
  <c r="BK286" i="77"/>
  <c r="BM250" i="77"/>
  <c r="BW56" i="77" s="1"/>
  <c r="BO221" i="77"/>
  <c r="BY56" i="77" s="1"/>
  <c r="AX283" i="77"/>
  <c r="AZ283" i="77"/>
  <c r="BB283" i="77"/>
  <c r="BN216" i="77"/>
  <c r="BX57" i="77" s="1"/>
  <c r="AX284" i="77"/>
  <c r="BI288" i="77"/>
  <c r="BK288" i="77"/>
  <c r="BO223" i="77"/>
  <c r="BY58" i="77" s="1"/>
  <c r="AX285" i="77"/>
  <c r="AZ285" i="77"/>
  <c r="BB285" i="77"/>
  <c r="BJ289" i="77"/>
  <c r="BM253" i="77"/>
  <c r="BW59" i="77" s="1"/>
  <c r="BN218" i="77"/>
  <c r="BX65" i="77" s="1"/>
  <c r="AX286" i="77"/>
  <c r="AZ286" i="77"/>
  <c r="BB286" i="77"/>
  <c r="BO225" i="77"/>
  <c r="BY66" i="77" s="1"/>
  <c r="BA287" i="77"/>
  <c r="BO226" i="77"/>
  <c r="BY61" i="77" s="1"/>
  <c r="AX288" i="77"/>
  <c r="AZ288" i="77"/>
  <c r="AZ289" i="77" s="1"/>
  <c r="BB288" i="77"/>
  <c r="BM256" i="77"/>
  <c r="BW62" i="77" s="1"/>
  <c r="BO227" i="77"/>
  <c r="BY62" i="77" s="1"/>
  <c r="BA289" i="77"/>
  <c r="BN222" i="77"/>
  <c r="BX63" i="77" s="1"/>
  <c r="AX290" i="77"/>
  <c r="AZ290" i="77"/>
  <c r="BB290" i="77"/>
  <c r="BO229" i="77"/>
  <c r="BY64" i="77" s="1"/>
  <c r="AX291" i="77"/>
  <c r="AZ291" i="77"/>
  <c r="BB291" i="77"/>
  <c r="BM259" i="77"/>
  <c r="BN224" i="77"/>
  <c r="BO231" i="77"/>
  <c r="BO232" i="77"/>
  <c r="AX295" i="77"/>
  <c r="AZ295" i="77"/>
  <c r="BB295" i="77"/>
  <c r="AX296" i="77"/>
  <c r="AZ296" i="77"/>
  <c r="BB296" i="77"/>
  <c r="BJ303" i="77"/>
  <c r="BK303" i="77"/>
  <c r="BV57" i="77" s="1"/>
  <c r="BJ305" i="77"/>
  <c r="BK305" i="77"/>
  <c r="BV59" i="77" s="1"/>
  <c r="BJ309" i="77"/>
  <c r="BK309" i="77"/>
  <c r="BV63" i="77" s="1"/>
  <c r="BJ311" i="77"/>
  <c r="BK311" i="77"/>
  <c r="BI327" i="77"/>
  <c r="BK327" i="77"/>
  <c r="BK332" i="77" s="1"/>
  <c r="BI329" i="77"/>
  <c r="BK329" i="77"/>
  <c r="BJ330" i="77"/>
  <c r="BJ333" i="77"/>
  <c r="BJ335" i="77"/>
  <c r="BJ336" i="77"/>
  <c r="AV334" i="77"/>
  <c r="AY335" i="77" s="1"/>
  <c r="BB335" i="77"/>
  <c r="AZ336" i="77"/>
  <c r="AZ337" i="77" s="1"/>
  <c r="AZ338" i="77" s="1"/>
  <c r="AX338" i="77"/>
  <c r="BC338" i="77"/>
  <c r="AV340" i="77"/>
  <c r="AY341" i="77" s="1"/>
  <c r="AX340" i="77"/>
  <c r="AZ340" i="77"/>
  <c r="BC340" i="77"/>
  <c r="BB341" i="77"/>
  <c r="BK346" i="77"/>
  <c r="BB342" i="77"/>
  <c r="BI348" i="77"/>
  <c r="BL348" i="77"/>
  <c r="BK349" i="77"/>
  <c r="BI350" i="77"/>
  <c r="BL350" i="77"/>
  <c r="BJ351" i="77"/>
  <c r="BI361" i="77"/>
  <c r="BK361" i="77"/>
  <c r="BK363" i="77"/>
  <c r="BJ364" i="77"/>
  <c r="BJ365" i="77"/>
  <c r="G6" i="79"/>
  <c r="H6" i="79" s="1"/>
  <c r="G7" i="79"/>
  <c r="H7" i="79" s="1"/>
  <c r="F8" i="79"/>
  <c r="G8" i="79" s="1"/>
  <c r="H8" i="79" s="1"/>
  <c r="F9" i="79"/>
  <c r="G9" i="79"/>
  <c r="H9" i="79" s="1"/>
  <c r="C3" i="71"/>
  <c r="D3" i="71"/>
  <c r="E3" i="71"/>
  <c r="F3" i="71"/>
  <c r="G3" i="71"/>
  <c r="H3" i="71"/>
  <c r="K3" i="71"/>
  <c r="L3" i="71"/>
  <c r="M3" i="71"/>
  <c r="N3" i="71"/>
  <c r="N300" i="71" s="1"/>
  <c r="O3" i="71"/>
  <c r="P3" i="71"/>
  <c r="P100" i="71" s="1"/>
  <c r="Q3" i="71"/>
  <c r="Q166" i="71" s="1"/>
  <c r="R3" i="71"/>
  <c r="S3" i="71"/>
  <c r="S166" i="71" s="1"/>
  <c r="T3" i="71"/>
  <c r="T100" i="71" s="1"/>
  <c r="U3" i="71"/>
  <c r="U166" i="71" s="1"/>
  <c r="V3" i="71"/>
  <c r="V166" i="71" s="1"/>
  <c r="W3" i="71"/>
  <c r="W100" i="71" s="1"/>
  <c r="X3" i="71"/>
  <c r="X300" i="71" s="1"/>
  <c r="Y3" i="71"/>
  <c r="Y100" i="71" s="1"/>
  <c r="O103" i="71"/>
  <c r="L107" i="71"/>
  <c r="M107" i="71"/>
  <c r="N107" i="71"/>
  <c r="P107" i="71"/>
  <c r="Q107" i="71"/>
  <c r="R107" i="71"/>
  <c r="N167" i="71"/>
  <c r="Q167" i="71"/>
  <c r="R167" i="71"/>
  <c r="Q169" i="71"/>
  <c r="N233" i="71"/>
  <c r="O233" i="71"/>
  <c r="N235" i="71"/>
  <c r="N239" i="71"/>
  <c r="Q469" i="71"/>
  <c r="R469" i="71"/>
  <c r="R500" i="71"/>
  <c r="R501" i="71"/>
  <c r="Q504" i="71"/>
  <c r="Q513" i="71" s="1"/>
  <c r="S504" i="71"/>
  <c r="M11" i="56"/>
  <c r="O11" i="56"/>
  <c r="M15" i="56"/>
  <c r="O15" i="56"/>
  <c r="AS28" i="56"/>
  <c r="H30" i="56"/>
  <c r="T30" i="56"/>
  <c r="I31" i="56"/>
  <c r="M31" i="56"/>
  <c r="O31" i="56"/>
  <c r="Q31" i="56"/>
  <c r="R31" i="56" s="1"/>
  <c r="I32" i="56"/>
  <c r="H33" i="56"/>
  <c r="T33" i="56"/>
  <c r="D34" i="56"/>
  <c r="G34" i="56"/>
  <c r="M34" i="56"/>
  <c r="O34" i="56"/>
  <c r="P34" i="56"/>
  <c r="S34" i="56"/>
  <c r="H35" i="56"/>
  <c r="T35" i="56"/>
  <c r="D38" i="56"/>
  <c r="G38" i="56"/>
  <c r="M38" i="56"/>
  <c r="O38" i="56"/>
  <c r="W62" i="56"/>
  <c r="P38" i="56"/>
  <c r="S38" i="56"/>
  <c r="H50" i="56"/>
  <c r="U52" i="56"/>
  <c r="W52" i="56"/>
  <c r="X52" i="56"/>
  <c r="Z52" i="56"/>
  <c r="Z62" i="56"/>
  <c r="H53" i="56"/>
  <c r="D54" i="56"/>
  <c r="G54" i="56"/>
  <c r="P54" i="56"/>
  <c r="Q54" i="56"/>
  <c r="R54" i="56"/>
  <c r="H55" i="56"/>
  <c r="E56" i="56"/>
  <c r="U56" i="56"/>
  <c r="W56" i="56"/>
  <c r="X56" i="56"/>
  <c r="M57" i="56"/>
  <c r="O57" i="56"/>
  <c r="P57" i="56"/>
  <c r="Q57" i="56"/>
  <c r="R57" i="56"/>
  <c r="T57" i="56"/>
  <c r="W57" i="56"/>
  <c r="D58" i="56"/>
  <c r="G58" i="56"/>
  <c r="M61" i="56"/>
  <c r="U61" i="56" s="1"/>
  <c r="W61" i="56"/>
  <c r="Q62" i="56"/>
  <c r="R62" i="56"/>
  <c r="T62" i="56"/>
  <c r="Z63" i="56"/>
  <c r="Z64" i="56"/>
  <c r="H66" i="56"/>
  <c r="H69" i="56"/>
  <c r="P69" i="56"/>
  <c r="P62" i="56" s="1"/>
  <c r="D70" i="56"/>
  <c r="G70" i="56"/>
  <c r="E71" i="56"/>
  <c r="F71" i="56" s="1"/>
  <c r="H71" i="56"/>
  <c r="E72" i="56"/>
  <c r="E73" i="56"/>
  <c r="D74" i="56"/>
  <c r="G74" i="56"/>
  <c r="G86" i="56"/>
  <c r="J86" i="56"/>
  <c r="D89" i="56"/>
  <c r="I89" i="56"/>
  <c r="D93" i="56"/>
  <c r="I93" i="56"/>
  <c r="E7" i="74"/>
  <c r="H7" i="74"/>
  <c r="D9" i="74"/>
  <c r="D10" i="74" s="1"/>
  <c r="G9" i="74"/>
  <c r="G10" i="74" s="1"/>
  <c r="E12" i="74"/>
  <c r="E13" i="74"/>
  <c r="D14" i="74"/>
  <c r="G14" i="74"/>
  <c r="F5" i="57"/>
  <c r="H5" i="57" s="1"/>
  <c r="Z5" i="57"/>
  <c r="G7" i="57"/>
  <c r="G8" i="57"/>
  <c r="X8" i="57"/>
  <c r="Z8" i="57"/>
  <c r="Z9" i="57" s="1"/>
  <c r="AA8" i="57"/>
  <c r="G9" i="57"/>
  <c r="G10" i="57"/>
  <c r="E11" i="57"/>
  <c r="U11" i="57"/>
  <c r="V11" i="57"/>
  <c r="Z11" i="57"/>
  <c r="G12" i="57"/>
  <c r="W12" i="57"/>
  <c r="I13" i="57"/>
  <c r="U15" i="57"/>
  <c r="V15" i="57"/>
  <c r="E16" i="57"/>
  <c r="W8" i="57" s="1"/>
  <c r="J16" i="57"/>
  <c r="N16" i="57" s="1"/>
  <c r="Z17" i="57"/>
  <c r="E18" i="57"/>
  <c r="J18" i="57"/>
  <c r="Z18" i="57"/>
  <c r="Z19" i="57"/>
  <c r="I20" i="57"/>
  <c r="Z20" i="57"/>
  <c r="AA20" i="57" s="1"/>
  <c r="H21" i="57"/>
  <c r="I21" i="57" s="1"/>
  <c r="G23" i="57"/>
  <c r="I23" i="57"/>
  <c r="G26" i="57"/>
  <c r="I26" i="57"/>
  <c r="E27" i="57"/>
  <c r="G27" i="57" s="1"/>
  <c r="J27" i="57"/>
  <c r="K27" i="57"/>
  <c r="E42" i="57"/>
  <c r="E43" i="57" s="1"/>
  <c r="AE44" i="57"/>
  <c r="H51" i="57"/>
  <c r="I51" i="57"/>
  <c r="J51" i="57" s="1"/>
  <c r="H53" i="57"/>
  <c r="I53" i="57"/>
  <c r="H55" i="57"/>
  <c r="I55" i="57"/>
  <c r="K58" i="57"/>
  <c r="K59" i="57"/>
  <c r="K60" i="57"/>
  <c r="AP67" i="57"/>
  <c r="AP68" i="57"/>
  <c r="AP69" i="57"/>
  <c r="AP70" i="57"/>
  <c r="AP72" i="57"/>
  <c r="AP76" i="57"/>
  <c r="AP78" i="57"/>
  <c r="AP80" i="57"/>
  <c r="AQ81" i="57"/>
  <c r="AP82" i="57"/>
  <c r="AR82" i="57" s="1"/>
  <c r="AP83" i="57"/>
  <c r="AP84" i="57"/>
  <c r="C3" i="58"/>
  <c r="D3" i="58"/>
  <c r="E3" i="58"/>
  <c r="F3" i="58"/>
  <c r="G3" i="58"/>
  <c r="H3" i="58"/>
  <c r="I3" i="58"/>
  <c r="J3" i="58"/>
  <c r="K3" i="58"/>
  <c r="L3" i="58"/>
  <c r="M3" i="58"/>
  <c r="N3" i="58"/>
  <c r="O3" i="58"/>
  <c r="P3" i="58"/>
  <c r="Q3" i="58"/>
  <c r="R3" i="58"/>
  <c r="S3" i="58"/>
  <c r="T3" i="58"/>
  <c r="U3" i="58"/>
  <c r="V3" i="58"/>
  <c r="W3" i="58"/>
  <c r="X3" i="58"/>
  <c r="Y3" i="58"/>
  <c r="Z3" i="58"/>
  <c r="AA3" i="58"/>
  <c r="AB3" i="58"/>
  <c r="AC3" i="58"/>
  <c r="AD3" i="58"/>
  <c r="AE3" i="58"/>
  <c r="AF3" i="58"/>
  <c r="AG3" i="58"/>
  <c r="AH3" i="58"/>
  <c r="AI3" i="58"/>
  <c r="AJ3" i="58"/>
  <c r="AK3" i="58"/>
  <c r="AL3" i="58"/>
  <c r="V78" i="58"/>
  <c r="AB78" i="58"/>
  <c r="AF78" i="58"/>
  <c r="AI78" i="58"/>
  <c r="AJ78" i="58"/>
  <c r="P79" i="58"/>
  <c r="R79" i="58"/>
  <c r="W79" i="58"/>
  <c r="AA79" i="58"/>
  <c r="AE79" i="58"/>
  <c r="AH79" i="58"/>
  <c r="AI79" i="58"/>
  <c r="O80" i="58"/>
  <c r="AB80" i="58"/>
  <c r="AE80" i="58"/>
  <c r="AG80" i="58"/>
  <c r="AI80" i="58"/>
  <c r="AK80" i="58"/>
  <c r="W100" i="58"/>
  <c r="Z100" i="58"/>
  <c r="AB100" i="58"/>
  <c r="AE100" i="58"/>
  <c r="AH100" i="58"/>
  <c r="AJ100" i="58"/>
  <c r="P101" i="58"/>
  <c r="Q101" i="58"/>
  <c r="R101" i="58"/>
  <c r="S101" i="58"/>
  <c r="T101" i="58"/>
  <c r="U101" i="58"/>
  <c r="V101" i="58"/>
  <c r="W101" i="58"/>
  <c r="X101" i="58"/>
  <c r="Y101" i="58"/>
  <c r="Z101" i="58"/>
  <c r="AA101" i="58"/>
  <c r="AB101" i="58"/>
  <c r="AC101" i="58"/>
  <c r="AD101" i="58"/>
  <c r="AE101" i="58"/>
  <c r="AF101" i="58"/>
  <c r="AG101" i="58"/>
  <c r="AH101" i="58"/>
  <c r="AI101" i="58"/>
  <c r="AJ101" i="58"/>
  <c r="P103" i="58"/>
  <c r="Q103" i="58"/>
  <c r="R103" i="58"/>
  <c r="S103" i="58"/>
  <c r="T103" i="58"/>
  <c r="U103" i="58"/>
  <c r="V103" i="58"/>
  <c r="W103" i="58"/>
  <c r="X103" i="58"/>
  <c r="Y103" i="58"/>
  <c r="Z103" i="58"/>
  <c r="AA103" i="58"/>
  <c r="AB103" i="58"/>
  <c r="AC103" i="58"/>
  <c r="AD103" i="58"/>
  <c r="AE103" i="58"/>
  <c r="AF103" i="58"/>
  <c r="AG103" i="58"/>
  <c r="AH103" i="58"/>
  <c r="AI103" i="58"/>
  <c r="AJ103" i="58"/>
  <c r="P105" i="58"/>
  <c r="AB105" i="58"/>
  <c r="P107" i="58"/>
  <c r="Q107" i="58"/>
  <c r="R107" i="58"/>
  <c r="S107" i="58"/>
  <c r="T107" i="58"/>
  <c r="U107" i="58"/>
  <c r="V107" i="58"/>
  <c r="W107" i="58"/>
  <c r="X107" i="58"/>
  <c r="Y107" i="58"/>
  <c r="Z107" i="58"/>
  <c r="AA107" i="58"/>
  <c r="AB107" i="58"/>
  <c r="AC107" i="58"/>
  <c r="AD107" i="58"/>
  <c r="AE107" i="58"/>
  <c r="AF107" i="58"/>
  <c r="AG107" i="58"/>
  <c r="AH107" i="58"/>
  <c r="AI107" i="58"/>
  <c r="AJ107" i="58"/>
  <c r="Q108" i="58"/>
  <c r="S108" i="58"/>
  <c r="U108" i="58"/>
  <c r="Y108" i="58"/>
  <c r="Z109" i="58" s="1"/>
  <c r="AA108" i="58"/>
  <c r="AI108" i="58"/>
  <c r="P204" i="58"/>
  <c r="Q204" i="58"/>
  <c r="R204" i="58"/>
  <c r="S204" i="58"/>
  <c r="T204" i="58"/>
  <c r="U204" i="58"/>
  <c r="V204" i="58"/>
  <c r="W204" i="58"/>
  <c r="X204" i="58"/>
  <c r="Y204" i="58"/>
  <c r="Z204" i="58"/>
  <c r="AA204" i="58"/>
  <c r="AB204" i="58"/>
  <c r="AC204" i="58"/>
  <c r="AD204" i="58"/>
  <c r="AE204" i="58"/>
  <c r="AF204" i="58"/>
  <c r="AG204" i="58"/>
  <c r="AH204" i="58"/>
  <c r="AI204" i="58"/>
  <c r="AJ204" i="58"/>
  <c r="P206" i="58"/>
  <c r="Q206" i="58"/>
  <c r="R206" i="58"/>
  <c r="S206" i="58"/>
  <c r="T206" i="58"/>
  <c r="U206" i="58"/>
  <c r="V206" i="58"/>
  <c r="W206" i="58"/>
  <c r="X206" i="58"/>
  <c r="Y206" i="58"/>
  <c r="Z206" i="58"/>
  <c r="AA206" i="58"/>
  <c r="AB206" i="58"/>
  <c r="AC206" i="58"/>
  <c r="AD206" i="58"/>
  <c r="AE206" i="58"/>
  <c r="AF206" i="58"/>
  <c r="AG206" i="58"/>
  <c r="AH206" i="58"/>
  <c r="AI206" i="58"/>
  <c r="AJ206" i="58"/>
  <c r="P210" i="58"/>
  <c r="Q210" i="58"/>
  <c r="R210" i="58"/>
  <c r="S210" i="58"/>
  <c r="T210" i="58"/>
  <c r="U210" i="58"/>
  <c r="V210" i="58"/>
  <c r="W210" i="58"/>
  <c r="X210" i="58"/>
  <c r="Y210" i="58"/>
  <c r="Z210" i="58"/>
  <c r="AA210" i="58"/>
  <c r="AB210" i="58"/>
  <c r="AC210" i="58"/>
  <c r="AD210" i="58"/>
  <c r="AE210" i="58"/>
  <c r="AF210" i="58"/>
  <c r="AG210" i="58"/>
  <c r="AH210" i="58"/>
  <c r="AI210" i="58"/>
  <c r="AJ210" i="58"/>
  <c r="P271" i="58"/>
  <c r="Q271" i="58"/>
  <c r="R271" i="58"/>
  <c r="S271" i="58"/>
  <c r="T271" i="58"/>
  <c r="U271" i="58"/>
  <c r="V271" i="58"/>
  <c r="W271" i="58"/>
  <c r="X271" i="58"/>
  <c r="Y271" i="58"/>
  <c r="Z271" i="58"/>
  <c r="AA271" i="58"/>
  <c r="AB271" i="58"/>
  <c r="AC271" i="58"/>
  <c r="AD271" i="58"/>
  <c r="AE271" i="58"/>
  <c r="AF271" i="58"/>
  <c r="AG271" i="58"/>
  <c r="AH271" i="58"/>
  <c r="AI271" i="58"/>
  <c r="AJ271" i="58"/>
  <c r="P273" i="58"/>
  <c r="Q273" i="58"/>
  <c r="R273" i="58"/>
  <c r="S273" i="58"/>
  <c r="T273" i="58"/>
  <c r="U273" i="58"/>
  <c r="V273" i="58"/>
  <c r="W273" i="58"/>
  <c r="X273" i="58"/>
  <c r="Y273" i="58"/>
  <c r="Z273" i="58"/>
  <c r="AA273" i="58"/>
  <c r="AB273" i="58"/>
  <c r="AC273" i="58"/>
  <c r="AD273" i="58"/>
  <c r="AE273" i="58"/>
  <c r="AF273" i="58"/>
  <c r="AG273" i="58"/>
  <c r="AH273" i="58"/>
  <c r="AI273" i="58"/>
  <c r="AJ273" i="58"/>
  <c r="P277" i="58"/>
  <c r="Q277" i="58"/>
  <c r="R277" i="58"/>
  <c r="S277" i="58"/>
  <c r="T277" i="58"/>
  <c r="U277" i="58"/>
  <c r="V277" i="58"/>
  <c r="W277" i="58"/>
  <c r="X277" i="58"/>
  <c r="Y277" i="58"/>
  <c r="Z277" i="58"/>
  <c r="AA277" i="58"/>
  <c r="AB277" i="58"/>
  <c r="AC277" i="58"/>
  <c r="AD277" i="58"/>
  <c r="AE277" i="58"/>
  <c r="AF277" i="58"/>
  <c r="AG277" i="58"/>
  <c r="AH277" i="58"/>
  <c r="AI277" i="58"/>
  <c r="AJ277" i="58"/>
  <c r="T278" i="58"/>
  <c r="U279" i="58" s="1"/>
  <c r="V278" i="58"/>
  <c r="X278" i="58"/>
  <c r="AB278" i="58"/>
  <c r="AD278" i="58"/>
  <c r="AE279" i="58" s="1"/>
  <c r="AF278" i="58"/>
  <c r="AJ278" i="58"/>
  <c r="AD356" i="58"/>
  <c r="AH356" i="58"/>
  <c r="AJ356" i="58"/>
  <c r="Z360" i="58"/>
  <c r="AB360" i="58"/>
  <c r="AH360" i="58"/>
  <c r="AH361" i="58" s="1"/>
  <c r="AJ360" i="58"/>
  <c r="U368" i="58"/>
  <c r="X368" i="58"/>
  <c r="P370" i="58"/>
  <c r="S370" i="58"/>
  <c r="X370" i="58"/>
  <c r="Y370" i="58"/>
  <c r="AE370" i="58"/>
  <c r="O463" i="58"/>
  <c r="P463" i="58"/>
  <c r="Q463" i="58"/>
  <c r="R463" i="58"/>
  <c r="S463" i="58"/>
  <c r="T463" i="58"/>
  <c r="U463" i="58"/>
  <c r="V463" i="58"/>
  <c r="W463" i="58"/>
  <c r="X463" i="58"/>
  <c r="Y463" i="58"/>
  <c r="Z463" i="58"/>
  <c r="AA463" i="58"/>
  <c r="AB463" i="58"/>
  <c r="AC463" i="58"/>
  <c r="AD463" i="58"/>
  <c r="AE463" i="58"/>
  <c r="AF463" i="58"/>
  <c r="AG463" i="58"/>
  <c r="AH463" i="58"/>
  <c r="AI463" i="58"/>
  <c r="AJ463" i="58"/>
  <c r="AK463" i="58"/>
  <c r="S484" i="58"/>
  <c r="T484" i="58"/>
  <c r="U484" i="58"/>
  <c r="V484" i="58"/>
  <c r="W484" i="58"/>
  <c r="X484" i="58"/>
  <c r="Y484" i="58"/>
  <c r="Z484" i="58"/>
  <c r="AA484" i="58"/>
  <c r="AB484" i="58"/>
  <c r="AC484" i="58"/>
  <c r="AD484" i="58"/>
  <c r="AE484" i="58"/>
  <c r="AF484" i="58"/>
  <c r="AG484" i="58"/>
  <c r="AH484" i="58"/>
  <c r="AI484" i="58"/>
  <c r="AJ484" i="58"/>
  <c r="S485" i="58"/>
  <c r="T485" i="58"/>
  <c r="U485" i="58"/>
  <c r="V485" i="58"/>
  <c r="W485" i="58"/>
  <c r="X485" i="58"/>
  <c r="Y485" i="58"/>
  <c r="Z485" i="58"/>
  <c r="AA485" i="58"/>
  <c r="AB485" i="58"/>
  <c r="AC485" i="58"/>
  <c r="AD485" i="58"/>
  <c r="AE485" i="58"/>
  <c r="AF485" i="58"/>
  <c r="AG485" i="58"/>
  <c r="AH485" i="58"/>
  <c r="AI485" i="58"/>
  <c r="AJ485" i="58"/>
  <c r="AK485" i="58"/>
  <c r="S486" i="58"/>
  <c r="T486" i="58"/>
  <c r="U486" i="58"/>
  <c r="V486" i="58"/>
  <c r="W486" i="58"/>
  <c r="X486" i="58"/>
  <c r="Y486" i="58"/>
  <c r="Z486" i="58"/>
  <c r="AA486" i="58"/>
  <c r="AB486" i="58"/>
  <c r="AC486" i="58"/>
  <c r="AD486" i="58"/>
  <c r="AE486" i="58"/>
  <c r="AF486" i="58"/>
  <c r="AG486" i="58"/>
  <c r="AH486" i="58"/>
  <c r="AI486" i="58"/>
  <c r="AJ486" i="58"/>
  <c r="X487" i="58"/>
  <c r="Y487" i="58"/>
  <c r="Z487" i="58"/>
  <c r="AA487" i="58"/>
  <c r="AB487" i="58"/>
  <c r="AC487" i="58"/>
  <c r="AD487" i="58"/>
  <c r="AE487" i="58"/>
  <c r="AF487" i="58"/>
  <c r="AG487" i="58"/>
  <c r="AH487" i="58"/>
  <c r="AI487" i="58"/>
  <c r="AJ487" i="58"/>
  <c r="W492" i="58"/>
  <c r="X492" i="58"/>
  <c r="Y492" i="58"/>
  <c r="Z492" i="58"/>
  <c r="AA492" i="58"/>
  <c r="AB492" i="58"/>
  <c r="AC492" i="58"/>
  <c r="AD492" i="58"/>
  <c r="AE492" i="58"/>
  <c r="AF492" i="58"/>
  <c r="AG492" i="58"/>
  <c r="AH492" i="58"/>
  <c r="AI492" i="58"/>
  <c r="AJ492" i="58"/>
  <c r="AK492" i="58"/>
  <c r="AL492" i="58"/>
  <c r="D4" i="78"/>
  <c r="D14" i="78" s="1"/>
  <c r="E4" i="78"/>
  <c r="F4" i="78"/>
  <c r="F14" i="78" s="1"/>
  <c r="G4" i="78"/>
  <c r="G14" i="78" s="1"/>
  <c r="H4" i="78"/>
  <c r="D6" i="78"/>
  <c r="E6" i="78"/>
  <c r="F6" i="78"/>
  <c r="G6" i="78"/>
  <c r="H6" i="78"/>
  <c r="D8" i="78"/>
  <c r="E8" i="78"/>
  <c r="F8" i="78"/>
  <c r="G8" i="78"/>
  <c r="H8" i="78"/>
  <c r="K7" i="70"/>
  <c r="L7" i="70"/>
  <c r="M7" i="70"/>
  <c r="N7" i="70"/>
  <c r="K8" i="70"/>
  <c r="L8" i="70"/>
  <c r="M8" i="70"/>
  <c r="N8" i="70"/>
  <c r="AZ9" i="70"/>
  <c r="BA9" i="70"/>
  <c r="BB76" i="70" s="1"/>
  <c r="BB9" i="70"/>
  <c r="BC76" i="70" s="1"/>
  <c r="BC9" i="70"/>
  <c r="BC13" i="70" s="1"/>
  <c r="BD9" i="70"/>
  <c r="BE76" i="70" s="1"/>
  <c r="BE9" i="70"/>
  <c r="BF9" i="70"/>
  <c r="BG9" i="70"/>
  <c r="BG13" i="70" s="1"/>
  <c r="BH9" i="70"/>
  <c r="BI9" i="70"/>
  <c r="BJ77" i="70" s="1"/>
  <c r="BJ9" i="70"/>
  <c r="BK9" i="70"/>
  <c r="BL9" i="70"/>
  <c r="BM9" i="70"/>
  <c r="BN76" i="70" s="1"/>
  <c r="BN9" i="70"/>
  <c r="BN70" i="70" s="1"/>
  <c r="BO9" i="70"/>
  <c r="BP9" i="70"/>
  <c r="K12" i="70"/>
  <c r="L12" i="70"/>
  <c r="M12" i="70"/>
  <c r="N12" i="70"/>
  <c r="BQ13" i="70"/>
  <c r="BR13" i="70" s="1"/>
  <c r="K17" i="70"/>
  <c r="L17" i="70"/>
  <c r="M17" i="70"/>
  <c r="N17" i="70"/>
  <c r="K19" i="70"/>
  <c r="L19" i="70"/>
  <c r="M19" i="70"/>
  <c r="N19" i="70"/>
  <c r="BQ19" i="70"/>
  <c r="K20" i="70"/>
  <c r="L20" i="70"/>
  <c r="M20" i="70"/>
  <c r="N20" i="70"/>
  <c r="BQ20" i="70"/>
  <c r="K21" i="70"/>
  <c r="L21" i="70"/>
  <c r="M21" i="70"/>
  <c r="N21" i="70"/>
  <c r="K22" i="70"/>
  <c r="L22" i="70"/>
  <c r="M22" i="70"/>
  <c r="N22" i="70"/>
  <c r="K23" i="70"/>
  <c r="L23" i="70"/>
  <c r="M23" i="70"/>
  <c r="N23" i="70"/>
  <c r="K24" i="70"/>
  <c r="L24" i="70"/>
  <c r="M24" i="70"/>
  <c r="N24" i="70"/>
  <c r="K25" i="70"/>
  <c r="L25" i="70"/>
  <c r="M25" i="70"/>
  <c r="N25" i="70"/>
  <c r="K26" i="70"/>
  <c r="L26" i="70"/>
  <c r="M26" i="70"/>
  <c r="N26" i="70"/>
  <c r="K34" i="70"/>
  <c r="L34" i="70"/>
  <c r="M34" i="70"/>
  <c r="N34" i="70"/>
  <c r="K38" i="70"/>
  <c r="L38" i="70"/>
  <c r="M38" i="70"/>
  <c r="N38" i="70"/>
  <c r="K39" i="70"/>
  <c r="L39" i="70"/>
  <c r="M39" i="70"/>
  <c r="N39" i="70"/>
  <c r="K40" i="70"/>
  <c r="L40" i="70"/>
  <c r="M40" i="70"/>
  <c r="N40" i="70"/>
  <c r="K41" i="70"/>
  <c r="L41" i="70"/>
  <c r="M41" i="70"/>
  <c r="N41" i="70"/>
  <c r="K44" i="70"/>
  <c r="L44" i="70"/>
  <c r="M44" i="70"/>
  <c r="N44" i="70"/>
  <c r="K47" i="70"/>
  <c r="L47" i="70"/>
  <c r="M47" i="70"/>
  <c r="N47" i="70"/>
  <c r="K48" i="70"/>
  <c r="L48" i="70"/>
  <c r="M48" i="70"/>
  <c r="N48" i="70"/>
  <c r="BB53" i="70"/>
  <c r="BC53" i="70"/>
  <c r="BD53" i="70"/>
  <c r="BE53" i="70"/>
  <c r="BF53" i="70"/>
  <c r="BG53" i="70"/>
  <c r="BH53" i="70"/>
  <c r="BI53" i="70"/>
  <c r="BJ53" i="70"/>
  <c r="BK53" i="70"/>
  <c r="BL53" i="70"/>
  <c r="BM53" i="70"/>
  <c r="BN53" i="70"/>
  <c r="BO53" i="70"/>
  <c r="BP53" i="70"/>
  <c r="BB54" i="70"/>
  <c r="BC54" i="70"/>
  <c r="BD54" i="70"/>
  <c r="BE54" i="70"/>
  <c r="BF54" i="70"/>
  <c r="BG54" i="70"/>
  <c r="BH54" i="70"/>
  <c r="BI55" i="70" s="1"/>
  <c r="BI54" i="70"/>
  <c r="BJ54" i="70"/>
  <c r="BK54" i="70"/>
  <c r="BL54" i="70"/>
  <c r="BM54" i="70"/>
  <c r="BN54" i="70"/>
  <c r="BO54" i="70"/>
  <c r="BP54" i="70"/>
  <c r="BC59" i="70"/>
  <c r="BD59" i="70"/>
  <c r="BE59" i="70"/>
  <c r="BF59" i="70"/>
  <c r="BG59" i="70"/>
  <c r="BH59" i="70"/>
  <c r="BI59" i="70"/>
  <c r="BJ59" i="70"/>
  <c r="BK59" i="70"/>
  <c r="BL59" i="70"/>
  <c r="BM59" i="70"/>
  <c r="BN59" i="70"/>
  <c r="BO59" i="70"/>
  <c r="BP59" i="70"/>
  <c r="BF60" i="70"/>
  <c r="BG60" i="70"/>
  <c r="BH60" i="70"/>
  <c r="BI60" i="70"/>
  <c r="BJ60" i="70"/>
  <c r="BK60" i="70"/>
  <c r="BL60" i="70"/>
  <c r="BM60" i="70"/>
  <c r="BN60" i="70"/>
  <c r="BO60" i="70"/>
  <c r="BP60" i="70"/>
  <c r="BB62" i="70"/>
  <c r="BC62" i="70"/>
  <c r="BD62" i="70"/>
  <c r="BE62" i="70"/>
  <c r="BF62" i="70"/>
  <c r="BG62" i="70"/>
  <c r="BH62" i="70"/>
  <c r="BI62" i="70"/>
  <c r="BJ62" i="70"/>
  <c r="BK62" i="70"/>
  <c r="BL62" i="70"/>
  <c r="BM62" i="70"/>
  <c r="BN62" i="70"/>
  <c r="BO62" i="70"/>
  <c r="BP62" i="70"/>
  <c r="BF70" i="70"/>
  <c r="BI70" i="70"/>
  <c r="BI66" i="70" s="1"/>
  <c r="BM70" i="70"/>
  <c r="BG76" i="70"/>
  <c r="BJ76" i="70"/>
  <c r="BP76" i="70"/>
  <c r="BB82" i="70"/>
  <c r="BC82" i="70"/>
  <c r="BD82" i="70"/>
  <c r="BE82" i="70"/>
  <c r="BF82" i="70"/>
  <c r="BG82" i="70"/>
  <c r="BH82" i="70"/>
  <c r="BI82" i="70"/>
  <c r="BJ82" i="70"/>
  <c r="BK82" i="70"/>
  <c r="BL82" i="70"/>
  <c r="BM82" i="70"/>
  <c r="BN82" i="70"/>
  <c r="BO82" i="70"/>
  <c r="BP82" i="70"/>
  <c r="BB83" i="70"/>
  <c r="BC83" i="70"/>
  <c r="BD83" i="70"/>
  <c r="BE83" i="70"/>
  <c r="BF83" i="70"/>
  <c r="BG83" i="70"/>
  <c r="BH83" i="70"/>
  <c r="BI83" i="70"/>
  <c r="BJ83" i="70"/>
  <c r="BK83" i="70"/>
  <c r="BL83" i="70"/>
  <c r="BM83" i="70"/>
  <c r="BN83" i="70"/>
  <c r="BO83" i="70"/>
  <c r="BP83" i="70"/>
  <c r="J1" i="65"/>
  <c r="V1" i="65"/>
  <c r="C5" i="65"/>
  <c r="T7" i="65"/>
  <c r="S8" i="65"/>
  <c r="AE9" i="65"/>
  <c r="AB9" i="65"/>
  <c r="AH9" i="65"/>
  <c r="AE10" i="65"/>
  <c r="AE12" i="65"/>
  <c r="H33" i="65"/>
  <c r="H34" i="65"/>
  <c r="S14" i="65" s="1"/>
  <c r="C46" i="65"/>
  <c r="D46" i="65"/>
  <c r="E46" i="65"/>
  <c r="F46" i="65"/>
  <c r="G46" i="65"/>
  <c r="H46" i="65"/>
  <c r="I46" i="65"/>
  <c r="J46" i="65"/>
  <c r="K46" i="65"/>
  <c r="L46" i="65"/>
  <c r="C48" i="65"/>
  <c r="D48" i="65"/>
  <c r="E48" i="65"/>
  <c r="F48" i="65"/>
  <c r="G48" i="65"/>
  <c r="H48" i="65"/>
  <c r="I48" i="65"/>
  <c r="J48" i="65"/>
  <c r="K48" i="65"/>
  <c r="L48" i="65"/>
  <c r="C49" i="65"/>
  <c r="D49" i="65"/>
  <c r="E49" i="65"/>
  <c r="F49" i="65"/>
  <c r="G49" i="65"/>
  <c r="H49" i="65"/>
  <c r="I49" i="65"/>
  <c r="J49" i="65"/>
  <c r="K49" i="65"/>
  <c r="L49" i="65"/>
  <c r="C50" i="65"/>
  <c r="D50" i="65"/>
  <c r="E50" i="65"/>
  <c r="F50" i="65"/>
  <c r="G50" i="65"/>
  <c r="H50" i="65"/>
  <c r="I50" i="65"/>
  <c r="J50" i="65"/>
  <c r="K50" i="65"/>
  <c r="L50" i="65"/>
  <c r="C51" i="65"/>
  <c r="D51" i="65"/>
  <c r="E51" i="65"/>
  <c r="F51" i="65"/>
  <c r="G51" i="65"/>
  <c r="H51" i="65"/>
  <c r="I51" i="65"/>
  <c r="J51" i="65"/>
  <c r="K51" i="65"/>
  <c r="L51" i="65"/>
  <c r="C52" i="65"/>
  <c r="D52" i="65"/>
  <c r="E52" i="65"/>
  <c r="F52" i="65"/>
  <c r="G52" i="65"/>
  <c r="H52" i="65"/>
  <c r="I52" i="65"/>
  <c r="J52" i="65"/>
  <c r="K52" i="65"/>
  <c r="L52" i="65"/>
  <c r="C78" i="65"/>
  <c r="D78" i="65"/>
  <c r="E78" i="65"/>
  <c r="F78" i="65"/>
  <c r="G78" i="65"/>
  <c r="H78" i="65"/>
  <c r="I78" i="65"/>
  <c r="J78" i="65"/>
  <c r="K78" i="65"/>
  <c r="L78" i="65"/>
  <c r="E79" i="65"/>
  <c r="C80" i="65"/>
  <c r="D80" i="65"/>
  <c r="E80" i="65"/>
  <c r="F80" i="65"/>
  <c r="G80" i="65"/>
  <c r="H80" i="65"/>
  <c r="I80" i="65"/>
  <c r="J80" i="65"/>
  <c r="K80" i="65"/>
  <c r="L80" i="65"/>
  <c r="C81" i="65"/>
  <c r="D81" i="65"/>
  <c r="E81" i="65"/>
  <c r="F81" i="65"/>
  <c r="G81" i="65"/>
  <c r="H81" i="65"/>
  <c r="I81" i="65"/>
  <c r="J81" i="65"/>
  <c r="K81" i="65"/>
  <c r="L81" i="65"/>
  <c r="C82" i="65"/>
  <c r="D82" i="65"/>
  <c r="E82" i="65"/>
  <c r="F82" i="65"/>
  <c r="G82" i="65"/>
  <c r="H82" i="65"/>
  <c r="I82" i="65"/>
  <c r="J82" i="65"/>
  <c r="K82" i="65"/>
  <c r="L82" i="65"/>
  <c r="C83" i="65"/>
  <c r="D83" i="65"/>
  <c r="E83" i="65"/>
  <c r="F83" i="65"/>
  <c r="G83" i="65"/>
  <c r="H83" i="65"/>
  <c r="I83" i="65"/>
  <c r="J83" i="65"/>
  <c r="K83" i="65"/>
  <c r="L83" i="65"/>
  <c r="D84" i="65"/>
  <c r="J84" i="65"/>
  <c r="G192" i="65"/>
  <c r="B197" i="65"/>
  <c r="B198" i="65"/>
  <c r="B199" i="65"/>
  <c r="B223" i="65"/>
  <c r="B224" i="65"/>
  <c r="C239" i="65"/>
  <c r="D239" i="65"/>
  <c r="E239" i="65"/>
  <c r="F239" i="65"/>
  <c r="G239" i="65"/>
  <c r="H239" i="65"/>
  <c r="I239" i="65"/>
  <c r="J239" i="65"/>
  <c r="K239" i="65"/>
  <c r="L239" i="65"/>
  <c r="C242" i="65"/>
  <c r="D242" i="65"/>
  <c r="E242" i="65"/>
  <c r="F242" i="65"/>
  <c r="G242" i="65"/>
  <c r="H242" i="65"/>
  <c r="I242" i="65"/>
  <c r="J242" i="65"/>
  <c r="K242" i="65"/>
  <c r="L242" i="65"/>
  <c r="G378" i="65"/>
  <c r="G384" i="65"/>
  <c r="I378" i="65"/>
  <c r="B380" i="65"/>
  <c r="C381" i="65"/>
  <c r="D381" i="65"/>
  <c r="E381" i="65"/>
  <c r="F381" i="65"/>
  <c r="G381" i="65"/>
  <c r="H381" i="65"/>
  <c r="I381" i="65"/>
  <c r="I379" i="65" s="1"/>
  <c r="J381" i="65"/>
  <c r="K381" i="65"/>
  <c r="L381" i="65"/>
  <c r="F382" i="65"/>
  <c r="G382" i="65" s="1"/>
  <c r="H382" i="65" s="1"/>
  <c r="I382" i="65" s="1"/>
  <c r="J382" i="65" s="1"/>
  <c r="K382" i="65" s="1"/>
  <c r="L382" i="65" s="1"/>
  <c r="H384" i="65"/>
  <c r="D4" i="64"/>
  <c r="E4" i="64"/>
  <c r="F4" i="64"/>
  <c r="G4" i="64"/>
  <c r="H4" i="64"/>
  <c r="I4" i="64"/>
  <c r="N4" i="64"/>
  <c r="O4" i="64"/>
  <c r="P4" i="64"/>
  <c r="Q4" i="64"/>
  <c r="R4" i="64"/>
  <c r="S4" i="64"/>
  <c r="T4" i="64"/>
  <c r="U4" i="64"/>
  <c r="V4" i="64"/>
  <c r="W4" i="64"/>
  <c r="X4" i="64"/>
  <c r="Y4" i="64"/>
  <c r="Z4" i="64"/>
  <c r="AD4" i="64"/>
  <c r="AE4" i="64"/>
  <c r="AF4" i="64"/>
  <c r="AG4" i="64"/>
  <c r="AH4" i="64"/>
  <c r="AI4" i="64"/>
  <c r="AJ4" i="64"/>
  <c r="AK4" i="64"/>
  <c r="AL4" i="64"/>
  <c r="AM4" i="64"/>
  <c r="AN4" i="64"/>
  <c r="AO4" i="64"/>
  <c r="AD8" i="64"/>
  <c r="AE8" i="64"/>
  <c r="AF8" i="64"/>
  <c r="AG8" i="64"/>
  <c r="AH8" i="64"/>
  <c r="AI8" i="64"/>
  <c r="AJ8" i="64"/>
  <c r="AK8" i="64"/>
  <c r="AL8" i="64"/>
  <c r="AM8" i="64"/>
  <c r="AN8" i="64"/>
  <c r="AO8" i="64"/>
  <c r="P12" i="64"/>
  <c r="R12" i="64"/>
  <c r="AE12" i="64"/>
  <c r="AF12" i="64"/>
  <c r="AG12" i="64"/>
  <c r="AH12" i="64"/>
  <c r="AI12" i="64"/>
  <c r="AJ12" i="64"/>
  <c r="AK12" i="64"/>
  <c r="AL12" i="64"/>
  <c r="AM12" i="64"/>
  <c r="AN12" i="64"/>
  <c r="AO12" i="64"/>
  <c r="P13" i="64"/>
  <c r="AE13" i="64"/>
  <c r="AF13" i="64"/>
  <c r="AG13" i="64"/>
  <c r="AH13" i="64"/>
  <c r="AI13" i="64"/>
  <c r="AJ13" i="64"/>
  <c r="AK13" i="64"/>
  <c r="AL13" i="64"/>
  <c r="AM13" i="64"/>
  <c r="AN13" i="64"/>
  <c r="AO13" i="64"/>
  <c r="Q14" i="64"/>
  <c r="R14" i="64"/>
  <c r="AE14" i="64"/>
  <c r="AF14" i="64"/>
  <c r="AG14" i="64"/>
  <c r="AH14" i="64"/>
  <c r="AI14" i="64"/>
  <c r="AJ14" i="64"/>
  <c r="AK14" i="64"/>
  <c r="AL14" i="64"/>
  <c r="AM14" i="64"/>
  <c r="AN14" i="64"/>
  <c r="AO14" i="64"/>
  <c r="I18" i="64"/>
  <c r="AJ24" i="64"/>
  <c r="C7" i="62"/>
  <c r="C8" i="62"/>
  <c r="C10" i="62"/>
  <c r="C12" i="62" s="1"/>
  <c r="E6" i="63"/>
  <c r="E7" i="63"/>
  <c r="E8" i="63"/>
  <c r="E9" i="63"/>
  <c r="E10" i="63"/>
  <c r="E11" i="63"/>
  <c r="E12" i="63"/>
  <c r="E13" i="63"/>
  <c r="E14" i="63"/>
  <c r="E15" i="63"/>
  <c r="G15" i="63"/>
  <c r="E16" i="63"/>
  <c r="G16" i="63"/>
  <c r="E17" i="63"/>
  <c r="G17" i="63"/>
  <c r="E18" i="63"/>
  <c r="E19" i="63"/>
  <c r="E20" i="63"/>
  <c r="E21" i="63"/>
  <c r="G21" i="63"/>
  <c r="F16" i="63"/>
  <c r="C23" i="63"/>
  <c r="D23" i="63"/>
  <c r="E29" i="63"/>
  <c r="E30" i="63"/>
  <c r="E31" i="63"/>
  <c r="E32" i="63"/>
  <c r="E33" i="63"/>
  <c r="E34" i="63"/>
  <c r="E35" i="63"/>
  <c r="E36" i="63"/>
  <c r="E37" i="63"/>
  <c r="E38" i="63"/>
  <c r="E39" i="63"/>
  <c r="E40" i="63"/>
  <c r="F40" i="63" s="1"/>
  <c r="C42" i="63"/>
  <c r="D42" i="63"/>
  <c r="E48" i="63"/>
  <c r="E49" i="63"/>
  <c r="E50" i="63"/>
  <c r="E51" i="63"/>
  <c r="E52" i="63"/>
  <c r="E53" i="63"/>
  <c r="E54" i="63"/>
  <c r="E55" i="63"/>
  <c r="E56" i="63"/>
  <c r="C58" i="63"/>
  <c r="D58" i="63"/>
  <c r="J1" i="66"/>
  <c r="V1" i="66"/>
  <c r="C5" i="66"/>
  <c r="T7" i="66"/>
  <c r="S8" i="66"/>
  <c r="AE9" i="66"/>
  <c r="AB9" i="66" s="1"/>
  <c r="AH9" i="66"/>
  <c r="AE10" i="66"/>
  <c r="S12" i="66"/>
  <c r="AE12" i="66"/>
  <c r="S13" i="66"/>
  <c r="S14" i="66"/>
  <c r="S15" i="66"/>
  <c r="S16" i="66"/>
  <c r="H33" i="66"/>
  <c r="C46" i="66"/>
  <c r="D46" i="66"/>
  <c r="E46" i="66"/>
  <c r="F46" i="66"/>
  <c r="G46" i="66"/>
  <c r="H46" i="66"/>
  <c r="I46" i="66"/>
  <c r="J46" i="66"/>
  <c r="K46" i="66"/>
  <c r="L46" i="66"/>
  <c r="M46" i="66"/>
  <c r="N46" i="66"/>
  <c r="C48" i="66"/>
  <c r="D48" i="66"/>
  <c r="E48" i="66"/>
  <c r="F48" i="66"/>
  <c r="G48" i="66"/>
  <c r="H48" i="66"/>
  <c r="I48" i="66"/>
  <c r="J48" i="66"/>
  <c r="K48" i="66"/>
  <c r="L48" i="66"/>
  <c r="M48" i="66"/>
  <c r="N48" i="66"/>
  <c r="C49" i="66"/>
  <c r="D49" i="66"/>
  <c r="E49" i="66"/>
  <c r="F49" i="66"/>
  <c r="G49" i="66"/>
  <c r="H49" i="66"/>
  <c r="I49" i="66"/>
  <c r="J49" i="66"/>
  <c r="K49" i="66"/>
  <c r="L49" i="66"/>
  <c r="M49" i="66"/>
  <c r="N49" i="66"/>
  <c r="C50" i="66"/>
  <c r="D50" i="66"/>
  <c r="E50" i="66"/>
  <c r="F50" i="66"/>
  <c r="G50" i="66"/>
  <c r="H50" i="66"/>
  <c r="I50" i="66"/>
  <c r="J50" i="66"/>
  <c r="K50" i="66"/>
  <c r="L50" i="66"/>
  <c r="M50" i="66"/>
  <c r="N50" i="66"/>
  <c r="C51" i="66"/>
  <c r="D51" i="66"/>
  <c r="E51" i="66"/>
  <c r="F51" i="66"/>
  <c r="G51" i="66"/>
  <c r="H51" i="66"/>
  <c r="I51" i="66"/>
  <c r="J51" i="66"/>
  <c r="K51" i="66"/>
  <c r="L51" i="66"/>
  <c r="M51" i="66"/>
  <c r="N51" i="66"/>
  <c r="C52" i="66"/>
  <c r="D52" i="66"/>
  <c r="E52" i="66"/>
  <c r="F52" i="66"/>
  <c r="G52" i="66"/>
  <c r="H52" i="66"/>
  <c r="I52" i="66"/>
  <c r="J52" i="66"/>
  <c r="K52" i="66"/>
  <c r="L52" i="66"/>
  <c r="M52" i="66"/>
  <c r="N52" i="66"/>
  <c r="C62" i="66"/>
  <c r="D62" i="66"/>
  <c r="E62" i="66"/>
  <c r="F62" i="66"/>
  <c r="G62" i="66"/>
  <c r="H62" i="66"/>
  <c r="I62" i="66"/>
  <c r="J62" i="66"/>
  <c r="K62" i="66"/>
  <c r="L62" i="66"/>
  <c r="M62" i="66"/>
  <c r="C64" i="66"/>
  <c r="D64" i="66"/>
  <c r="E64" i="66"/>
  <c r="F64" i="66"/>
  <c r="G64" i="66"/>
  <c r="H64" i="66"/>
  <c r="I64" i="66"/>
  <c r="J64" i="66"/>
  <c r="K64" i="66"/>
  <c r="L64" i="66"/>
  <c r="M64" i="66"/>
  <c r="N64" i="66"/>
  <c r="C74" i="66"/>
  <c r="I74" i="66"/>
  <c r="J74" i="66"/>
  <c r="K74" i="66"/>
  <c r="L74" i="66"/>
  <c r="M74" i="66"/>
  <c r="N74" i="66"/>
  <c r="C76" i="66"/>
  <c r="D76" i="66"/>
  <c r="E76" i="66"/>
  <c r="F76" i="66"/>
  <c r="G76" i="66"/>
  <c r="H76" i="66"/>
  <c r="I76" i="66"/>
  <c r="J76" i="66"/>
  <c r="K76" i="66"/>
  <c r="L76" i="66"/>
  <c r="M76" i="66"/>
  <c r="N76" i="66"/>
  <c r="C77" i="66"/>
  <c r="D77" i="66"/>
  <c r="E77" i="66"/>
  <c r="F77" i="66"/>
  <c r="G77" i="66"/>
  <c r="H77" i="66"/>
  <c r="I77" i="66"/>
  <c r="J77" i="66"/>
  <c r="K77" i="66"/>
  <c r="L77" i="66"/>
  <c r="M77" i="66"/>
  <c r="N77" i="66"/>
  <c r="C78" i="66"/>
  <c r="C79" i="66"/>
  <c r="D79" i="66"/>
  <c r="E79" i="66"/>
  <c r="F79" i="66"/>
  <c r="G79" i="66"/>
  <c r="H79" i="66"/>
  <c r="I79" i="66"/>
  <c r="J79" i="66"/>
  <c r="K79" i="66"/>
  <c r="L79" i="66"/>
  <c r="M79" i="66"/>
  <c r="N79" i="66"/>
  <c r="C80" i="66"/>
  <c r="D80" i="66"/>
  <c r="E80" i="66"/>
  <c r="F80" i="66"/>
  <c r="G80" i="66"/>
  <c r="H80" i="66"/>
  <c r="I80" i="66"/>
  <c r="J80" i="66"/>
  <c r="K80" i="66"/>
  <c r="L80" i="66"/>
  <c r="M80" i="66"/>
  <c r="N80" i="66"/>
  <c r="C81" i="66"/>
  <c r="D81" i="66"/>
  <c r="E81" i="66"/>
  <c r="F81" i="66"/>
  <c r="G81" i="66"/>
  <c r="H81" i="66"/>
  <c r="I81" i="66"/>
  <c r="J81" i="66"/>
  <c r="K81" i="66"/>
  <c r="L81" i="66"/>
  <c r="M81" i="66"/>
  <c r="N81" i="66"/>
  <c r="C82" i="66"/>
  <c r="D82" i="66"/>
  <c r="E82" i="66"/>
  <c r="F82" i="66"/>
  <c r="G82" i="66"/>
  <c r="H82" i="66"/>
  <c r="I82" i="66"/>
  <c r="J82" i="66"/>
  <c r="K82" i="66"/>
  <c r="L82" i="66"/>
  <c r="M82" i="66"/>
  <c r="N82" i="66"/>
  <c r="C83" i="66"/>
  <c r="D83" i="66"/>
  <c r="E83" i="66"/>
  <c r="F83" i="66"/>
  <c r="G83" i="66"/>
  <c r="H83" i="66"/>
  <c r="I83" i="66"/>
  <c r="J83" i="66"/>
  <c r="K83" i="66"/>
  <c r="L83" i="66"/>
  <c r="M83" i="66"/>
  <c r="N83" i="66"/>
  <c r="C186" i="66"/>
  <c r="D186" i="66"/>
  <c r="E186" i="66"/>
  <c r="F186" i="66"/>
  <c r="G186" i="66"/>
  <c r="H186" i="66"/>
  <c r="I186" i="66"/>
  <c r="J186" i="66"/>
  <c r="K186" i="66"/>
  <c r="L186" i="66"/>
  <c r="M186" i="66"/>
  <c r="N186" i="66"/>
  <c r="C187" i="66"/>
  <c r="D187" i="66"/>
  <c r="E187" i="66"/>
  <c r="F187" i="66"/>
  <c r="G187" i="66"/>
  <c r="H187" i="66"/>
  <c r="I187" i="66"/>
  <c r="J187" i="66"/>
  <c r="K187" i="66"/>
  <c r="L187" i="66"/>
  <c r="M187" i="66"/>
  <c r="N187" i="66"/>
  <c r="N189" i="66"/>
  <c r="C191" i="66"/>
  <c r="D191" i="66"/>
  <c r="E191" i="66"/>
  <c r="F191" i="66"/>
  <c r="G191" i="66"/>
  <c r="H191" i="66"/>
  <c r="I191" i="66"/>
  <c r="J191" i="66"/>
  <c r="K191" i="66"/>
  <c r="L191" i="66"/>
  <c r="M191" i="66"/>
  <c r="N191" i="66"/>
  <c r="C193" i="66"/>
  <c r="D193" i="66"/>
  <c r="E193" i="66"/>
  <c r="F193" i="66"/>
  <c r="G193" i="66"/>
  <c r="H193" i="66"/>
  <c r="I193" i="66"/>
  <c r="J193" i="66"/>
  <c r="K193" i="66"/>
  <c r="L193" i="66"/>
  <c r="M193" i="66"/>
  <c r="N193" i="66"/>
  <c r="B196" i="66"/>
  <c r="B197" i="66"/>
  <c r="B198" i="66"/>
  <c r="B222" i="66"/>
  <c r="B223" i="66"/>
  <c r="C234" i="66"/>
  <c r="D234" i="66"/>
  <c r="E234" i="66"/>
  <c r="F234" i="66"/>
  <c r="G234" i="66"/>
  <c r="H234" i="66"/>
  <c r="I234" i="66"/>
  <c r="J234" i="66"/>
  <c r="K234" i="66"/>
  <c r="L234" i="66"/>
  <c r="M234" i="66"/>
  <c r="N234" i="66"/>
  <c r="C235" i="66"/>
  <c r="D235" i="66"/>
  <c r="E235" i="66"/>
  <c r="F235" i="66"/>
  <c r="G235" i="66"/>
  <c r="H235" i="66"/>
  <c r="I235" i="66"/>
  <c r="J235" i="66"/>
  <c r="K235" i="66"/>
  <c r="L235" i="66"/>
  <c r="M235" i="66"/>
  <c r="N235" i="66"/>
  <c r="C238" i="66"/>
  <c r="D238" i="66"/>
  <c r="E238" i="66"/>
  <c r="F238" i="66"/>
  <c r="G238" i="66"/>
  <c r="H238" i="66"/>
  <c r="I238" i="66"/>
  <c r="J238" i="66"/>
  <c r="K238" i="66"/>
  <c r="L238" i="66"/>
  <c r="M238" i="66"/>
  <c r="N238" i="66"/>
  <c r="D240" i="66"/>
  <c r="C241" i="66"/>
  <c r="D241" i="66"/>
  <c r="E241" i="66"/>
  <c r="F241" i="66"/>
  <c r="G241" i="66"/>
  <c r="H241" i="66"/>
  <c r="I241" i="66"/>
  <c r="J241" i="66"/>
  <c r="K241" i="66"/>
  <c r="L241" i="66"/>
  <c r="M241" i="66"/>
  <c r="N241" i="66"/>
  <c r="G377" i="66"/>
  <c r="I377" i="66"/>
  <c r="B379" i="66"/>
  <c r="C380" i="66"/>
  <c r="D380" i="66"/>
  <c r="E380" i="66"/>
  <c r="F380" i="66"/>
  <c r="G380" i="66"/>
  <c r="H380" i="66"/>
  <c r="H379" i="66" s="1"/>
  <c r="I380" i="66"/>
  <c r="J380" i="66"/>
  <c r="K380" i="66"/>
  <c r="L380" i="66"/>
  <c r="M380" i="66"/>
  <c r="N380" i="66"/>
  <c r="F381" i="66"/>
  <c r="G381" i="66" s="1"/>
  <c r="H381" i="66" s="1"/>
  <c r="I381" i="66" s="1"/>
  <c r="J381" i="66" s="1"/>
  <c r="K381" i="66" s="1"/>
  <c r="L381" i="66" s="1"/>
  <c r="M381" i="66" s="1"/>
  <c r="N381" i="66" s="1"/>
  <c r="H383" i="66"/>
  <c r="CO133" i="14"/>
  <c r="AA28" i="77" s="1"/>
  <c r="T30" i="33"/>
  <c r="AK278" i="58"/>
  <c r="T412" i="12"/>
  <c r="T49" i="80"/>
  <c r="F17" i="63"/>
  <c r="BM55" i="70"/>
  <c r="BG15" i="70"/>
  <c r="Z54" i="56"/>
  <c r="AL49" i="77"/>
  <c r="BR42" i="48"/>
  <c r="BR43" i="48" s="1"/>
  <c r="AE47" i="57" s="1"/>
  <c r="EO345" i="48"/>
  <c r="BW6" i="80"/>
  <c r="CA120" i="14"/>
  <c r="BG6" i="80"/>
  <c r="AO211" i="58"/>
  <c r="BT14" i="12"/>
  <c r="BT46" i="12"/>
  <c r="BP14" i="12"/>
  <c r="BP38" i="12" s="1"/>
  <c r="BP46" i="12"/>
  <c r="BL14" i="12"/>
  <c r="BM54" i="12"/>
  <c r="AZ14" i="12"/>
  <c r="AZ46" i="12"/>
  <c r="BA54" i="12"/>
  <c r="DE11" i="33"/>
  <c r="CM44" i="12"/>
  <c r="I34" i="65"/>
  <c r="S15" i="65" s="1"/>
  <c r="BV6" i="80"/>
  <c r="BZ120" i="14"/>
  <c r="BJ6" i="80"/>
  <c r="Q460" i="12"/>
  <c r="Q515" i="12" s="1"/>
  <c r="P237" i="71" s="1"/>
  <c r="CA314" i="12"/>
  <c r="BW314" i="12"/>
  <c r="T294" i="12"/>
  <c r="S21" i="80"/>
  <c r="N45" i="12"/>
  <c r="DE10" i="33"/>
  <c r="CW10" i="33"/>
  <c r="BT42" i="48"/>
  <c r="BY6" i="80"/>
  <c r="CC120" i="14"/>
  <c r="BI6" i="80"/>
  <c r="R293" i="12"/>
  <c r="N293" i="12"/>
  <c r="S275" i="12"/>
  <c r="R24" i="80"/>
  <c r="S248" i="12"/>
  <c r="DD14" i="33"/>
  <c r="CZ14" i="33"/>
  <c r="CV14" i="33"/>
  <c r="CM12" i="12"/>
  <c r="DA9" i="33"/>
  <c r="I380" i="65"/>
  <c r="BJ10" i="70"/>
  <c r="CO702" i="12"/>
  <c r="P697" i="12"/>
  <c r="P9" i="80" s="1"/>
  <c r="CB6" i="80"/>
  <c r="P472" i="12"/>
  <c r="BX357" i="12"/>
  <c r="BY357" i="12" s="1"/>
  <c r="BZ357" i="12" s="1"/>
  <c r="CA357" i="12" s="1"/>
  <c r="CB357" i="12" s="1"/>
  <c r="CC357" i="12" s="1"/>
  <c r="CD357" i="12" s="1"/>
  <c r="CE357" i="12" s="1"/>
  <c r="CF357" i="12" s="1"/>
  <c r="CG357" i="12" s="1"/>
  <c r="CH357" i="12" s="1"/>
  <c r="CI357" i="12" s="1"/>
  <c r="CJ357" i="12" s="1"/>
  <c r="CK357" i="12" s="1"/>
  <c r="CL357" i="12" s="1"/>
  <c r="CM357" i="12" s="1"/>
  <c r="CN357" i="12" s="1"/>
  <c r="CO357" i="12" s="1"/>
  <c r="CP357" i="12" s="1"/>
  <c r="CQ357" i="12" s="1"/>
  <c r="CR357" i="12" s="1"/>
  <c r="CS357" i="12" s="1"/>
  <c r="CT357" i="12" s="1"/>
  <c r="CU357" i="12" s="1"/>
  <c r="CV357" i="12" s="1"/>
  <c r="CW357" i="12" s="1"/>
  <c r="BU329" i="12"/>
  <c r="BU335" i="12" s="1"/>
  <c r="Q275" i="12"/>
  <c r="BZ21" i="80"/>
  <c r="CE225" i="12"/>
  <c r="CE224" i="12" s="1"/>
  <c r="CE226" i="12" s="1"/>
  <c r="CD225" i="12"/>
  <c r="CD224" i="12" s="1"/>
  <c r="CD226" i="12" s="1"/>
  <c r="CD252" i="12"/>
  <c r="DE12" i="33"/>
  <c r="DA12" i="33"/>
  <c r="CW12" i="33"/>
  <c r="S250" i="12"/>
  <c r="BX242" i="12"/>
  <c r="BX241" i="12"/>
  <c r="CQ81" i="48" s="1"/>
  <c r="CF196" i="33"/>
  <c r="BX163" i="33"/>
  <c r="O106" i="15"/>
  <c r="O123" i="15"/>
  <c r="R9" i="48"/>
  <c r="R123" i="15"/>
  <c r="CK9" i="15"/>
  <c r="CK184" i="14" s="1"/>
  <c r="CK226" i="14"/>
  <c r="CK227" i="14" s="1"/>
  <c r="CG9" i="15"/>
  <c r="CG184" i="14" s="1"/>
  <c r="CG226" i="14"/>
  <c r="CG227" i="14" s="1"/>
  <c r="CK205" i="15"/>
  <c r="CK10" i="15"/>
  <c r="CG205" i="15"/>
  <c r="CG131" i="15"/>
  <c r="CG10" i="15"/>
  <c r="AJ107" i="14"/>
  <c r="AN109" i="14" s="1"/>
  <c r="AQ19" i="33"/>
  <c r="AQ20" i="33" s="1"/>
  <c r="CH226" i="14"/>
  <c r="CH227" i="14" s="1"/>
  <c r="BQ18" i="14"/>
  <c r="BQ20" i="14" s="1"/>
  <c r="BQ78" i="14" s="1"/>
  <c r="BQ166" i="14"/>
  <c r="BA18" i="14"/>
  <c r="BA166" i="14"/>
  <c r="CD15" i="48"/>
  <c r="DE14" i="33"/>
  <c r="CZ163" i="33"/>
  <c r="BX147" i="33"/>
  <c r="BD115" i="33"/>
  <c r="Q9" i="48"/>
  <c r="CJ226" i="14"/>
  <c r="CJ227" i="14" s="1"/>
  <c r="CF205" i="15"/>
  <c r="BD19" i="33"/>
  <c r="BD104" i="33" s="1"/>
  <c r="AT107" i="14"/>
  <c r="AX109" i="14" s="1"/>
  <c r="AO19" i="33"/>
  <c r="AM13" i="48"/>
  <c r="DB14" i="33"/>
  <c r="BM15" i="33"/>
  <c r="AS13" i="48" s="1"/>
  <c r="AK18" i="14"/>
  <c r="AK20" i="14" s="1"/>
  <c r="AK28" i="14" s="1"/>
  <c r="AK166" i="14"/>
  <c r="Q106" i="15"/>
  <c r="Q148" i="15"/>
  <c r="CN10" i="15"/>
  <c r="AL107" i="14"/>
  <c r="AP109" i="14" s="1"/>
  <c r="AS19" i="33"/>
  <c r="AL13" i="48"/>
  <c r="BD16" i="33"/>
  <c r="BI17" i="33"/>
  <c r="G15" i="33"/>
  <c r="BF14" i="48"/>
  <c r="CC15" i="33"/>
  <c r="BI166" i="14"/>
  <c r="M166" i="14"/>
  <c r="I18" i="14"/>
  <c r="I20" i="14" s="1"/>
  <c r="I166" i="14"/>
  <c r="AN34" i="48"/>
  <c r="AJ34" i="48"/>
  <c r="AB34" i="48"/>
  <c r="U65" i="14"/>
  <c r="P250" i="12"/>
  <c r="BX239" i="12"/>
  <c r="AX38" i="12"/>
  <c r="CB15" i="48"/>
  <c r="DC14" i="33"/>
  <c r="CY14" i="33"/>
  <c r="CU14" i="33"/>
  <c r="CI211" i="33"/>
  <c r="BQ147" i="33"/>
  <c r="BD145" i="33"/>
  <c r="BD117" i="33"/>
  <c r="CL205" i="15"/>
  <c r="CH10" i="15"/>
  <c r="CH131" i="15"/>
  <c r="CH205" i="15"/>
  <c r="Q26" i="33"/>
  <c r="AR107" i="14"/>
  <c r="AV109" i="14" s="1"/>
  <c r="CX14" i="33"/>
  <c r="AX14" i="48"/>
  <c r="BS15" i="33"/>
  <c r="AQ14" i="48"/>
  <c r="BK15" i="33"/>
  <c r="BM18" i="14"/>
  <c r="BM20" i="14" s="1"/>
  <c r="BM78" i="14" s="1"/>
  <c r="BM166" i="14"/>
  <c r="R127" i="14"/>
  <c r="Q127" i="14"/>
  <c r="BS10" i="48"/>
  <c r="BG35" i="48"/>
  <c r="CC35" i="48"/>
  <c r="CF46" i="14"/>
  <c r="CF59" i="14" s="1"/>
  <c r="AM33" i="14"/>
  <c r="AM46" i="14" s="1"/>
  <c r="AM59" i="14" s="1"/>
  <c r="AM73" i="14" s="1"/>
  <c r="BM55" i="15"/>
  <c r="AW54" i="15"/>
  <c r="AX54" i="15"/>
  <c r="AS53" i="15"/>
  <c r="AT53" i="15" s="1"/>
  <c r="AU53" i="15" s="1"/>
  <c r="H53" i="15" s="1"/>
  <c r="EM43" i="15"/>
  <c r="EM68" i="15"/>
  <c r="EM70" i="15" s="1"/>
  <c r="DS43" i="15"/>
  <c r="BX87" i="15"/>
  <c r="M41" i="15"/>
  <c r="M85" i="15" s="1"/>
  <c r="M91" i="15" s="1"/>
  <c r="BE40" i="15"/>
  <c r="BE86" i="15" s="1"/>
  <c r="AO40" i="15"/>
  <c r="AO86" i="15"/>
  <c r="AN75" i="15"/>
  <c r="AN79" i="15" s="1"/>
  <c r="DX70" i="15"/>
  <c r="BR31" i="15"/>
  <c r="AT16" i="15"/>
  <c r="AU16" i="15" s="1"/>
  <c r="AP8" i="15"/>
  <c r="CB35" i="48"/>
  <c r="BX10" i="48"/>
  <c r="BX35" i="48"/>
  <c r="BT10" i="48"/>
  <c r="BT35" i="48"/>
  <c r="CM64" i="15"/>
  <c r="BI55" i="15"/>
  <c r="BJ55" i="15" s="1"/>
  <c r="AO53" i="15"/>
  <c r="AP53" i="15" s="1"/>
  <c r="BE51" i="15"/>
  <c r="BF51" i="15" s="1"/>
  <c r="BD64" i="15"/>
  <c r="EG64" i="15"/>
  <c r="CN43" i="15"/>
  <c r="AI41" i="15"/>
  <c r="AI85" i="15"/>
  <c r="AI91" i="15" s="1"/>
  <c r="AH85" i="15"/>
  <c r="AH91" i="15" s="1"/>
  <c r="AZ86" i="15"/>
  <c r="AJ86" i="15"/>
  <c r="BU43" i="15"/>
  <c r="O38" i="15"/>
  <c r="AZ84" i="15"/>
  <c r="AJ75" i="15"/>
  <c r="AK38" i="15"/>
  <c r="AL38" i="15" s="1"/>
  <c r="EK32" i="15"/>
  <c r="BA15" i="15"/>
  <c r="BJ11" i="15"/>
  <c r="BK11" i="15" s="1"/>
  <c r="J68" i="14"/>
  <c r="AM57" i="15"/>
  <c r="F57" i="15" s="1"/>
  <c r="DM64" i="15"/>
  <c r="BE55" i="15"/>
  <c r="AO55" i="15"/>
  <c r="BI54" i="15"/>
  <c r="BJ54" i="15" s="1"/>
  <c r="EJ43" i="15"/>
  <c r="CE43" i="15"/>
  <c r="CE85" i="15"/>
  <c r="CE91" i="15" s="1"/>
  <c r="BL75" i="15"/>
  <c r="BL95" i="15" s="1"/>
  <c r="BL100" i="15" s="1"/>
  <c r="BL84" i="15"/>
  <c r="BM38" i="15"/>
  <c r="BM75" i="15" s="1"/>
  <c r="AV75" i="15"/>
  <c r="AV84" i="15"/>
  <c r="AW38" i="15"/>
  <c r="AW75" i="15" s="1"/>
  <c r="AI35" i="15"/>
  <c r="BA20" i="15"/>
  <c r="AP20" i="15"/>
  <c r="BS13" i="15"/>
  <c r="N13" i="15" s="1"/>
  <c r="N133" i="15" s="1"/>
  <c r="BZ10" i="48"/>
  <c r="BV10" i="48"/>
  <c r="BR10" i="48"/>
  <c r="H109" i="53"/>
  <c r="H140" i="53" s="1"/>
  <c r="H142" i="53" s="1"/>
  <c r="BJ10" i="48"/>
  <c r="BJ35" i="48"/>
  <c r="BF10" i="48"/>
  <c r="BF35" i="48"/>
  <c r="CK79" i="15"/>
  <c r="CG79" i="15"/>
  <c r="BU79" i="15"/>
  <c r="BR64" i="15"/>
  <c r="N55" i="15"/>
  <c r="AW51" i="15"/>
  <c r="AX51" i="15" s="1"/>
  <c r="AY51" i="15" s="1"/>
  <c r="BX43" i="15"/>
  <c r="BH85" i="15"/>
  <c r="BH91" i="15" s="1"/>
  <c r="BH86" i="15"/>
  <c r="AR86" i="15"/>
  <c r="AS40" i="15"/>
  <c r="BH84" i="15"/>
  <c r="AR75" i="15"/>
  <c r="Q75" i="15"/>
  <c r="Q79" i="15" s="1"/>
  <c r="Q84" i="15"/>
  <c r="AW37" i="15"/>
  <c r="AX37" i="15" s="1"/>
  <c r="EA32" i="15"/>
  <c r="EA68" i="15"/>
  <c r="BE21" i="15"/>
  <c r="BF21" i="15" s="1"/>
  <c r="AW19" i="15"/>
  <c r="BA17" i="15"/>
  <c r="AO13" i="15"/>
  <c r="AP13" i="15" s="1"/>
  <c r="AO58" i="15"/>
  <c r="BM52" i="15"/>
  <c r="BI52" i="15"/>
  <c r="BF41" i="15"/>
  <c r="BF85" i="15"/>
  <c r="BF91" i="15" s="1"/>
  <c r="BM36" i="15"/>
  <c r="BN36" i="15" s="1"/>
  <c r="BE36" i="15"/>
  <c r="BF36" i="15" s="1"/>
  <c r="AW36" i="15"/>
  <c r="AX36" i="15" s="1"/>
  <c r="AO36" i="15"/>
  <c r="AK36" i="15"/>
  <c r="AL36" i="15" s="1"/>
  <c r="BN29" i="15"/>
  <c r="M29" i="15"/>
  <c r="BE29" i="15"/>
  <c r="BA29" i="15"/>
  <c r="BB29" i="15" s="1"/>
  <c r="AO29" i="15"/>
  <c r="BN24" i="15"/>
  <c r="M24" i="15" s="1"/>
  <c r="BA24" i="15"/>
  <c r="BB24" i="15"/>
  <c r="AW24" i="15"/>
  <c r="AO24" i="15"/>
  <c r="AP24" i="15" s="1"/>
  <c r="AK24" i="15"/>
  <c r="AL24" i="15" s="1"/>
  <c r="BA16" i="15"/>
  <c r="BA10" i="15"/>
  <c r="AL10" i="15"/>
  <c r="J61" i="52"/>
  <c r="J49" i="52"/>
  <c r="J122" i="52" s="1"/>
  <c r="H47" i="52"/>
  <c r="AO60" i="15"/>
  <c r="AP60" i="15" s="1"/>
  <c r="BI35" i="15"/>
  <c r="BJ35" i="15" s="1"/>
  <c r="AO35" i="15"/>
  <c r="AP35" i="15" s="1"/>
  <c r="AL31" i="15"/>
  <c r="BE23" i="15"/>
  <c r="AS23" i="15"/>
  <c r="AT23" i="15" s="1"/>
  <c r="AK23" i="15"/>
  <c r="AL23" i="15"/>
  <c r="BI21" i="15"/>
  <c r="BJ21" i="15" s="1"/>
  <c r="BF20" i="15"/>
  <c r="AW13" i="15"/>
  <c r="AX13" i="15" s="1"/>
  <c r="K6" i="52"/>
  <c r="K27" i="52" s="1"/>
  <c r="K41" i="52"/>
  <c r="I45" i="52"/>
  <c r="BL9" i="15"/>
  <c r="E27" i="52"/>
  <c r="O22" i="73"/>
  <c r="CF56" i="80"/>
  <c r="BR11" i="15"/>
  <c r="BA11" i="15"/>
  <c r="BB11" i="15"/>
  <c r="BA9" i="15"/>
  <c r="AK9" i="15"/>
  <c r="AL9" i="15" s="1"/>
  <c r="I47" i="52"/>
  <c r="E47" i="52"/>
  <c r="N45" i="53"/>
  <c r="N46" i="53" s="1"/>
  <c r="DV278" i="48"/>
  <c r="DV276" i="48"/>
  <c r="EA197" i="48"/>
  <c r="DU286" i="48"/>
  <c r="DU293" i="48"/>
  <c r="DU297" i="48" s="1"/>
  <c r="DU306" i="48" s="1"/>
  <c r="EF272" i="48"/>
  <c r="EC270" i="48"/>
  <c r="EF268" i="48"/>
  <c r="DT271" i="48"/>
  <c r="EF271" i="48" s="1"/>
  <c r="T189" i="15"/>
  <c r="P22" i="73"/>
  <c r="Q22" i="73"/>
  <c r="R22" i="73" s="1"/>
  <c r="S22" i="73" s="1"/>
  <c r="T22" i="73" s="1"/>
  <c r="AT40" i="15"/>
  <c r="AJ79" i="15"/>
  <c r="AJ95" i="15"/>
  <c r="AJ100" i="15" s="1"/>
  <c r="BS115" i="33"/>
  <c r="CD255" i="12"/>
  <c r="AZ106" i="14"/>
  <c r="AZ128" i="14" s="1"/>
  <c r="BP106" i="14"/>
  <c r="BP108" i="14" s="1"/>
  <c r="BP35" i="12"/>
  <c r="BP37" i="12"/>
  <c r="BP34" i="12"/>
  <c r="BP36" i="12"/>
  <c r="BP39" i="12"/>
  <c r="BL79" i="15"/>
  <c r="AP40" i="15"/>
  <c r="AQ40" i="15" s="1"/>
  <c r="AQ86" i="15" s="1"/>
  <c r="BX368" i="12"/>
  <c r="AL20" i="48"/>
  <c r="BS11" i="15"/>
  <c r="BS213" i="14" s="1"/>
  <c r="Q95" i="15"/>
  <c r="Q100" i="15" s="1"/>
  <c r="AQ8" i="15"/>
  <c r="BM19" i="33"/>
  <c r="AS20" i="48" s="1"/>
  <c r="BM108" i="33"/>
  <c r="BM115" i="33"/>
  <c r="T70" i="14"/>
  <c r="T97" i="14" s="1"/>
  <c r="BG41" i="15"/>
  <c r="K41" i="15"/>
  <c r="K85" i="15" s="1"/>
  <c r="K91" i="15" s="1"/>
  <c r="CC115" i="33"/>
  <c r="CF195" i="33"/>
  <c r="CF214" i="33" s="1"/>
  <c r="T167" i="12"/>
  <c r="T168" i="12" s="1"/>
  <c r="T291" i="12"/>
  <c r="AK368" i="58"/>
  <c r="T496" i="12"/>
  <c r="BJ211" i="77"/>
  <c r="BJ208" i="77"/>
  <c r="CN165" i="14"/>
  <c r="CO165" i="14" s="1"/>
  <c r="T29" i="33"/>
  <c r="BO27" i="48"/>
  <c r="AK206" i="58"/>
  <c r="AK103" i="58"/>
  <c r="AK370" i="58"/>
  <c r="AK273" i="58"/>
  <c r="AK271" i="58"/>
  <c r="AK204" i="58"/>
  <c r="AK210" i="58"/>
  <c r="AK487" i="58"/>
  <c r="AK277" i="58"/>
  <c r="AK107" i="58"/>
  <c r="AK486" i="58"/>
  <c r="AK360" i="58"/>
  <c r="CP79" i="15"/>
  <c r="DH89" i="33"/>
  <c r="DH165" i="33"/>
  <c r="CG15" i="80"/>
  <c r="DG10" i="33"/>
  <c r="DG11" i="33"/>
  <c r="DG12" i="33"/>
  <c r="CK698" i="12"/>
  <c r="CG9" i="80"/>
  <c r="DC12" i="33"/>
  <c r="DD11" i="33"/>
  <c r="CP497" i="12"/>
  <c r="CP700" i="12"/>
  <c r="CP701" i="12" s="1"/>
  <c r="CP51" i="12"/>
  <c r="CP454" i="12"/>
  <c r="CP456" i="12" s="1"/>
  <c r="CP826" i="12"/>
  <c r="AK358" i="58" s="1"/>
  <c r="AK101" i="58"/>
  <c r="CP702" i="12"/>
  <c r="BJ194" i="77"/>
  <c r="AK484" i="58"/>
  <c r="CP104" i="15"/>
  <c r="BJ189" i="77"/>
  <c r="BJ195" i="77"/>
  <c r="CK826" i="12"/>
  <c r="AF358" i="58" s="1"/>
  <c r="BQ9" i="80"/>
  <c r="S44" i="80"/>
  <c r="S689" i="12"/>
  <c r="R174" i="71" s="1"/>
  <c r="CL629" i="12"/>
  <c r="S685" i="12"/>
  <c r="R171" i="71" s="1"/>
  <c r="CG617" i="12"/>
  <c r="CG454" i="12"/>
  <c r="CG456" i="12" s="1"/>
  <c r="AV797" i="12"/>
  <c r="AV804" i="12"/>
  <c r="CK667" i="12"/>
  <c r="CO665" i="12"/>
  <c r="CG685" i="12"/>
  <c r="BV617" i="12"/>
  <c r="BV619" i="12" s="1"/>
  <c r="CE9" i="80"/>
  <c r="CA9" i="80"/>
  <c r="CE826" i="12"/>
  <c r="BW9" i="80"/>
  <c r="CO120" i="14"/>
  <c r="O44" i="80"/>
  <c r="CC667" i="12"/>
  <c r="X490" i="58" s="1"/>
  <c r="CG665" i="12"/>
  <c r="BM667" i="12"/>
  <c r="BQ665" i="12"/>
  <c r="R627" i="12"/>
  <c r="Q80" i="71" s="1"/>
  <c r="CI617" i="12"/>
  <c r="CI619" i="12" s="1"/>
  <c r="R35" i="80"/>
  <c r="CF696" i="12"/>
  <c r="BP667" i="12"/>
  <c r="BT665" i="12"/>
  <c r="CP698" i="12"/>
  <c r="CD9" i="80"/>
  <c r="CE11" i="80" s="1"/>
  <c r="CO495" i="12"/>
  <c r="CK497" i="12"/>
  <c r="AF491" i="58"/>
  <c r="CK495" i="12"/>
  <c r="CH617" i="12"/>
  <c r="CH619" i="12" s="1"/>
  <c r="CN495" i="12"/>
  <c r="CN497" i="12"/>
  <c r="CN466" i="12"/>
  <c r="V52" i="77"/>
  <c r="CJ466" i="12"/>
  <c r="CK454" i="12"/>
  <c r="CK456" i="12" s="1"/>
  <c r="BY454" i="12"/>
  <c r="BY456" i="12" s="1"/>
  <c r="CA665" i="12"/>
  <c r="CM495" i="12"/>
  <c r="P52" i="80"/>
  <c r="Q462" i="12"/>
  <c r="CA454" i="12"/>
  <c r="CA456" i="12" s="1"/>
  <c r="CE495" i="12"/>
  <c r="S472" i="12"/>
  <c r="CE466" i="12"/>
  <c r="CO466" i="12"/>
  <c r="BY224" i="12"/>
  <c r="BY226" i="12" s="1"/>
  <c r="CL224" i="12"/>
  <c r="CH224" i="12"/>
  <c r="DG14" i="33"/>
  <c r="CA45" i="48"/>
  <c r="CD45" i="48"/>
  <c r="CB45" i="48"/>
  <c r="CP696" i="12"/>
  <c r="CC56" i="80"/>
  <c r="CC670" i="12"/>
  <c r="CC671" i="12" s="1"/>
  <c r="CP78" i="14"/>
  <c r="CP80" i="14" s="1"/>
  <c r="AI164" i="14"/>
  <c r="AI166" i="14" s="1"/>
  <c r="BK164" i="14"/>
  <c r="BK166" i="14" s="1"/>
  <c r="BO164" i="14"/>
  <c r="BO18" i="14" s="1"/>
  <c r="BB46" i="15"/>
  <c r="AP35" i="48"/>
  <c r="J127" i="14"/>
  <c r="J133" i="14" s="1"/>
  <c r="M200" i="14"/>
  <c r="M202" i="14" s="1"/>
  <c r="BG164" i="14"/>
  <c r="BG18" i="14" s="1"/>
  <c r="BG20" i="14" s="1"/>
  <c r="L113" i="14"/>
  <c r="N194" i="14"/>
  <c r="CF166" i="14"/>
  <c r="CF168" i="14" s="1"/>
  <c r="P127" i="14"/>
  <c r="P133" i="14" s="1"/>
  <c r="P24" i="48" s="1"/>
  <c r="O9" i="71" s="1"/>
  <c r="N127" i="14"/>
  <c r="N133" i="14" s="1"/>
  <c r="P113" i="14"/>
  <c r="T25" i="14"/>
  <c r="U25" i="14"/>
  <c r="T17" i="14"/>
  <c r="U17" i="14"/>
  <c r="P219" i="14"/>
  <c r="S100" i="14"/>
  <c r="M33" i="14"/>
  <c r="T21" i="14"/>
  <c r="T13" i="14"/>
  <c r="T264" i="90"/>
  <c r="CM18" i="14"/>
  <c r="S18" i="14" s="1"/>
  <c r="S20" i="14" s="1"/>
  <c r="T42" i="14"/>
  <c r="P31" i="14"/>
  <c r="D78" i="66"/>
  <c r="BU64" i="14"/>
  <c r="E78" i="66" s="1"/>
  <c r="AP34" i="48"/>
  <c r="BO100" i="14"/>
  <c r="BN71" i="14"/>
  <c r="BN100" i="14"/>
  <c r="BA20" i="14"/>
  <c r="CA667" i="12"/>
  <c r="BR16" i="48" s="1"/>
  <c r="CI826" i="12"/>
  <c r="AD358" i="58" s="1"/>
  <c r="S58" i="80"/>
  <c r="R377" i="12"/>
  <c r="P30" i="80"/>
  <c r="BV354" i="12"/>
  <c r="BZ318" i="12"/>
  <c r="BZ319" i="12" s="1"/>
  <c r="CN295" i="12"/>
  <c r="AI483" i="58" s="1"/>
  <c r="CG478" i="12"/>
  <c r="CG479" i="12" s="1"/>
  <c r="CA295" i="12"/>
  <c r="V483" i="58" s="1"/>
  <c r="CA327" i="12"/>
  <c r="CA333" i="12" s="1"/>
  <c r="CA9" i="12" s="1"/>
  <c r="P252" i="12"/>
  <c r="O79" i="71" s="1"/>
  <c r="BX224" i="12"/>
  <c r="BX226" i="12" s="1"/>
  <c r="Q168" i="12"/>
  <c r="CC255" i="12"/>
  <c r="CB25" i="80"/>
  <c r="CF25" i="80"/>
  <c r="AQ24" i="48"/>
  <c r="CN168" i="14"/>
  <c r="BB166" i="14"/>
  <c r="R164" i="14"/>
  <c r="R166" i="14" s="1"/>
  <c r="BW209" i="14"/>
  <c r="BX206" i="14" s="1"/>
  <c r="BX209" i="14" s="1"/>
  <c r="BP212" i="14"/>
  <c r="BL24" i="48"/>
  <c r="P9" i="58" s="1"/>
  <c r="AE7" i="64"/>
  <c r="G28" i="77"/>
  <c r="C240" i="66"/>
  <c r="C242" i="66" s="1"/>
  <c r="C241" i="65"/>
  <c r="C243" i="65" s="1"/>
  <c r="CL168" i="14"/>
  <c r="BT166" i="14"/>
  <c r="BT168" i="14" s="1"/>
  <c r="CG133" i="14"/>
  <c r="BJ349" i="77" s="1"/>
  <c r="L85" i="65"/>
  <c r="AO166" i="14"/>
  <c r="BJ352" i="77"/>
  <c r="BJ290" i="77"/>
  <c r="S219" i="14"/>
  <c r="CB166" i="14"/>
  <c r="CB168" i="14" s="1"/>
  <c r="BS166" i="14"/>
  <c r="K166" i="14"/>
  <c r="CF133" i="14"/>
  <c r="T65" i="14"/>
  <c r="H12" i="74"/>
  <c r="Q36" i="56"/>
  <c r="R36" i="56" s="1"/>
  <c r="BJ243" i="77"/>
  <c r="BX166" i="14"/>
  <c r="BX168" i="14" s="1"/>
  <c r="AN166" i="14"/>
  <c r="G166" i="14"/>
  <c r="CJ133" i="14"/>
  <c r="Q97" i="14"/>
  <c r="M97" i="14"/>
  <c r="CN104" i="15"/>
  <c r="BK18" i="14"/>
  <c r="BK20" i="14" s="1"/>
  <c r="F62" i="65"/>
  <c r="CB133" i="14"/>
  <c r="AY164" i="14"/>
  <c r="AY18" i="14" s="1"/>
  <c r="AY20" i="14" s="1"/>
  <c r="AY28" i="14" s="1"/>
  <c r="AU164" i="14"/>
  <c r="AU18" i="14" s="1"/>
  <c r="CI133" i="14"/>
  <c r="CE133" i="14"/>
  <c r="T58" i="14"/>
  <c r="T37" i="14"/>
  <c r="CM133" i="14"/>
  <c r="CK133" i="14"/>
  <c r="CB24" i="48" s="1"/>
  <c r="CD133" i="14"/>
  <c r="H113" i="14"/>
  <c r="H115" i="14" s="1"/>
  <c r="I64" i="65"/>
  <c r="H15" i="14"/>
  <c r="CD166" i="14"/>
  <c r="CD168" i="14" s="1"/>
  <c r="CD18" i="14"/>
  <c r="BM24" i="48"/>
  <c r="Q9" i="58" s="1"/>
  <c r="H28" i="77"/>
  <c r="M127" i="14"/>
  <c r="M133" i="14" s="1"/>
  <c r="M24" i="48" s="1"/>
  <c r="L9" i="71" s="1"/>
  <c r="BN133" i="14"/>
  <c r="BE24" i="48" s="1"/>
  <c r="I9" i="58" s="1"/>
  <c r="BS68" i="14"/>
  <c r="T11" i="15"/>
  <c r="T219" i="14"/>
  <c r="N200" i="14"/>
  <c r="AV341" i="77"/>
  <c r="AY342" i="77" s="1"/>
  <c r="CC104" i="15"/>
  <c r="CC133" i="14"/>
  <c r="T44" i="14"/>
  <c r="J62" i="65"/>
  <c r="I62" i="65"/>
  <c r="BR166" i="14"/>
  <c r="BV18" i="14"/>
  <c r="BV20" i="14" s="1"/>
  <c r="BV166" i="14"/>
  <c r="BV168" i="14" s="1"/>
  <c r="BN18" i="14"/>
  <c r="BN20" i="14" s="1"/>
  <c r="BN78" i="14" s="1"/>
  <c r="BN166" i="14"/>
  <c r="E32" i="14"/>
  <c r="E33" i="14" s="1"/>
  <c r="E46" i="14" s="1"/>
  <c r="E59" i="14" s="1"/>
  <c r="AI33" i="14"/>
  <c r="AI46" i="14" s="1"/>
  <c r="AI59" i="14" s="1"/>
  <c r="AI73" i="14" s="1"/>
  <c r="AI75" i="14" s="1"/>
  <c r="CM166" i="14"/>
  <c r="CM168" i="14" s="1"/>
  <c r="S164" i="14"/>
  <c r="S166" i="14" s="1"/>
  <c r="BG133" i="14"/>
  <c r="AX24" i="48" s="1"/>
  <c r="K127" i="14"/>
  <c r="K104" i="15" s="1"/>
  <c r="BC133" i="14"/>
  <c r="BY10" i="48"/>
  <c r="BQ10" i="48"/>
  <c r="BQ35" i="48"/>
  <c r="BH10" i="48"/>
  <c r="Q99" i="14"/>
  <c r="J97" i="14"/>
  <c r="H100" i="14"/>
  <c r="K62" i="65"/>
  <c r="G62" i="65"/>
  <c r="E75" i="65"/>
  <c r="I75" i="65"/>
  <c r="P46" i="14"/>
  <c r="P59" i="14" s="1"/>
  <c r="R46" i="14"/>
  <c r="E241" i="65"/>
  <c r="E243" i="65" s="1"/>
  <c r="E77" i="65"/>
  <c r="E240" i="66"/>
  <c r="BT212" i="14"/>
  <c r="P10" i="48"/>
  <c r="P68" i="80"/>
  <c r="BU44" i="14"/>
  <c r="BT46" i="14"/>
  <c r="BT27" i="14"/>
  <c r="I241" i="65"/>
  <c r="I243" i="65" s="1"/>
  <c r="I240" i="66"/>
  <c r="I242" i="66" s="1"/>
  <c r="I77" i="65"/>
  <c r="AU166" i="14"/>
  <c r="AU19" i="14"/>
  <c r="F113" i="14"/>
  <c r="P146" i="15"/>
  <c r="BD18" i="14"/>
  <c r="BD20" i="14" s="1"/>
  <c r="BD166" i="14"/>
  <c r="Q219" i="14"/>
  <c r="BV212" i="14"/>
  <c r="BZ18" i="14"/>
  <c r="J61" i="66" s="1"/>
  <c r="J60" i="66" s="1"/>
  <c r="BZ166" i="14"/>
  <c r="BZ168" i="14" s="1"/>
  <c r="G32" i="14"/>
  <c r="G33" i="14" s="1"/>
  <c r="G46" i="14" s="1"/>
  <c r="G59" i="14" s="1"/>
  <c r="AQ33" i="14"/>
  <c r="AQ46" i="14" s="1"/>
  <c r="AQ59" i="14" s="1"/>
  <c r="AQ73" i="14" s="1"/>
  <c r="BX200" i="14"/>
  <c r="BY200" i="14" s="1"/>
  <c r="O200" i="14"/>
  <c r="O202" i="14" s="1"/>
  <c r="AX133" i="14"/>
  <c r="AO24" i="48" s="1"/>
  <c r="I127" i="14"/>
  <c r="I133" i="14" s="1"/>
  <c r="BR69" i="14"/>
  <c r="BS69" i="14" s="1"/>
  <c r="BQ71" i="14"/>
  <c r="K32" i="14"/>
  <c r="K33" i="14" s="1"/>
  <c r="BG33" i="14"/>
  <c r="BG46" i="14" s="1"/>
  <c r="BG59" i="14" s="1"/>
  <c r="BG73" i="14" s="1"/>
  <c r="N14" i="56"/>
  <c r="CG166" i="14"/>
  <c r="CG168" i="14" s="1"/>
  <c r="H18" i="14"/>
  <c r="H20" i="14" s="1"/>
  <c r="H28" i="14" s="1"/>
  <c r="H166" i="14"/>
  <c r="S113" i="14"/>
  <c r="S68" i="80" s="1"/>
  <c r="O127" i="14"/>
  <c r="BT133" i="14"/>
  <c r="EA257" i="48" s="1"/>
  <c r="BI133" i="14"/>
  <c r="L127" i="14"/>
  <c r="L32" i="14"/>
  <c r="BK33" i="14"/>
  <c r="BK46" i="14" s="1"/>
  <c r="BK59" i="14" s="1"/>
  <c r="BK73" i="14" s="1"/>
  <c r="N97" i="14"/>
  <c r="L100" i="14"/>
  <c r="CH109" i="14"/>
  <c r="R100" i="14"/>
  <c r="N99" i="14"/>
  <c r="T12" i="14"/>
  <c r="T10" i="14"/>
  <c r="M240" i="66" s="1"/>
  <c r="M242" i="66" s="1"/>
  <c r="BP214" i="14"/>
  <c r="BQ217" i="14"/>
  <c r="G100" i="14"/>
  <c r="E85" i="65"/>
  <c r="H71" i="14"/>
  <c r="BZ64" i="15"/>
  <c r="BU217" i="14"/>
  <c r="F100" i="14"/>
  <c r="O99" i="14"/>
  <c r="P99" i="14"/>
  <c r="L99" i="14"/>
  <c r="H99" i="14"/>
  <c r="J99" i="14"/>
  <c r="F99" i="14"/>
  <c r="F97" i="14"/>
  <c r="S97" i="14"/>
  <c r="M100" i="14"/>
  <c r="L71" i="14"/>
  <c r="R97" i="14"/>
  <c r="T663" i="12"/>
  <c r="CL700" i="12"/>
  <c r="CL701" i="12" s="1"/>
  <c r="T662" i="12"/>
  <c r="BV719" i="12"/>
  <c r="O719" i="12" s="1"/>
  <c r="BY617" i="12"/>
  <c r="BY619" i="12" s="1"/>
  <c r="BY495" i="12"/>
  <c r="BY497" i="12"/>
  <c r="K33" i="57" s="1"/>
  <c r="CM295" i="12"/>
  <c r="S4" i="59"/>
  <c r="BX328" i="12"/>
  <c r="BX334" i="12" s="1"/>
  <c r="BX10" i="12" s="1"/>
  <c r="BX326" i="12"/>
  <c r="BX332" i="12" s="1"/>
  <c r="BX295" i="12"/>
  <c r="BX298" i="12" s="1"/>
  <c r="BX327" i="12"/>
  <c r="BX333" i="12" s="1"/>
  <c r="BX329" i="12"/>
  <c r="BX335" i="12" s="1"/>
  <c r="BX11" i="12" s="1"/>
  <c r="BU686" i="12"/>
  <c r="CI667" i="12"/>
  <c r="BZ16" i="48" s="1"/>
  <c r="BV667" i="12"/>
  <c r="BM16" i="48" s="1"/>
  <c r="T666" i="12"/>
  <c r="CH641" i="12"/>
  <c r="R519" i="12"/>
  <c r="Q241" i="71" s="1"/>
  <c r="S509" i="12"/>
  <c r="CJ497" i="12"/>
  <c r="CJ500" i="12" s="1"/>
  <c r="P55" i="80"/>
  <c r="O52" i="80"/>
  <c r="BZ295" i="12"/>
  <c r="BZ298" i="12" s="1"/>
  <c r="BZ327" i="12"/>
  <c r="BZ333" i="12" s="1"/>
  <c r="BZ326" i="12"/>
  <c r="BZ332" i="12" s="1"/>
  <c r="BZ8" i="12" s="1"/>
  <c r="BZ328" i="12"/>
  <c r="BZ334" i="12" s="1"/>
  <c r="M293" i="12"/>
  <c r="M295" i="12" s="1"/>
  <c r="M298" i="12" s="1"/>
  <c r="CK255" i="12"/>
  <c r="CF495" i="12"/>
  <c r="CB497" i="12"/>
  <c r="BS17" i="48" s="1"/>
  <c r="BV313" i="12"/>
  <c r="BV314" i="12" s="1"/>
  <c r="BV321" i="12" s="1"/>
  <c r="CL62" i="33" s="1"/>
  <c r="CM255" i="12"/>
  <c r="BW495" i="12"/>
  <c r="Q4" i="59"/>
  <c r="BV326" i="12"/>
  <c r="BV332" i="12" s="1"/>
  <c r="BV329" i="12"/>
  <c r="BV335" i="12" s="1"/>
  <c r="BV11" i="12" s="1"/>
  <c r="BV327" i="12"/>
  <c r="BV333" i="12" s="1"/>
  <c r="BV328" i="12"/>
  <c r="BV334" i="12" s="1"/>
  <c r="S293" i="12"/>
  <c r="S295" i="12" s="1"/>
  <c r="L293" i="12"/>
  <c r="L295" i="12" s="1"/>
  <c r="L298" i="12" s="1"/>
  <c r="CO255" i="12"/>
  <c r="CE255" i="12"/>
  <c r="CB224" i="12"/>
  <c r="BU224" i="12"/>
  <c r="BU226" i="12" s="1"/>
  <c r="DF14" i="33"/>
  <c r="DF160" i="33" s="1"/>
  <c r="CA15" i="48"/>
  <c r="Q250" i="12"/>
  <c r="AC18" i="48"/>
  <c r="T492" i="12"/>
  <c r="T493" i="12"/>
  <c r="BV24" i="48"/>
  <c r="Z9" i="58" s="1"/>
  <c r="CA24" i="48"/>
  <c r="BX24" i="48"/>
  <c r="AB9" i="58" s="1"/>
  <c r="S28" i="77"/>
  <c r="BS24" i="48"/>
  <c r="W9" i="58" s="1"/>
  <c r="N28" i="77"/>
  <c r="AL7" i="64"/>
  <c r="E35" i="56"/>
  <c r="F35" i="56" s="1"/>
  <c r="P28" i="77"/>
  <c r="BJ271" i="77"/>
  <c r="AF9" i="58"/>
  <c r="AH9" i="58"/>
  <c r="BZ24" i="48"/>
  <c r="AD9" i="58" s="1"/>
  <c r="U28" i="77"/>
  <c r="AT24" i="48"/>
  <c r="M104" i="15"/>
  <c r="AV338" i="77"/>
  <c r="AY339" i="77" s="1"/>
  <c r="O28" i="77"/>
  <c r="AM7" i="64"/>
  <c r="BT24" i="48"/>
  <c r="X9" i="58" s="1"/>
  <c r="J26" i="57"/>
  <c r="N26" i="57" s="1"/>
  <c r="X12" i="57"/>
  <c r="T24" i="14"/>
  <c r="O133" i="14"/>
  <c r="BR71" i="14"/>
  <c r="BX202" i="14"/>
  <c r="BX203" i="14" s="1"/>
  <c r="BT185" i="14"/>
  <c r="I104" i="15"/>
  <c r="BV44" i="14"/>
  <c r="BV113" i="14" s="1"/>
  <c r="BU46" i="14"/>
  <c r="BU59" i="14" s="1"/>
  <c r="BU113" i="14"/>
  <c r="BL35" i="48" s="1"/>
  <c r="E74" i="66"/>
  <c r="AZ24" i="48"/>
  <c r="D9" i="58" s="1"/>
  <c r="BV670" i="12"/>
  <c r="BV673" i="12" s="1"/>
  <c r="BV674" i="12" s="1"/>
  <c r="S483" i="58"/>
  <c r="BY500" i="12"/>
  <c r="BY503" i="12" s="1"/>
  <c r="R504" i="71"/>
  <c r="R513" i="71" s="1"/>
  <c r="CL226" i="12"/>
  <c r="CD15" i="80"/>
  <c r="AZ804" i="12"/>
  <c r="BA797" i="12"/>
  <c r="BN797" i="12"/>
  <c r="BB804" i="12"/>
  <c r="CM700" i="12"/>
  <c r="CM701" i="12" s="1"/>
  <c r="CE665" i="12"/>
  <c r="V46" i="77"/>
  <c r="CJ629" i="12"/>
  <c r="CM629" i="12"/>
  <c r="CC500" i="12"/>
  <c r="CC503" i="12" s="1"/>
  <c r="BU687" i="12"/>
  <c r="BR687" i="12"/>
  <c r="P519" i="12"/>
  <c r="O241" i="71" s="1"/>
  <c r="BT516" i="12"/>
  <c r="CJ495" i="12"/>
  <c r="CG497" i="12"/>
  <c r="CG500" i="12" s="1"/>
  <c r="BR49" i="48"/>
  <c r="Q387" i="12"/>
  <c r="P108" i="71" s="1"/>
  <c r="BU517" i="12"/>
  <c r="CI255" i="12"/>
  <c r="J12" i="12"/>
  <c r="J18" i="64" s="1"/>
  <c r="BU516" i="12"/>
  <c r="L494" i="12"/>
  <c r="L497" i="12" s="1"/>
  <c r="N455" i="12"/>
  <c r="BX363" i="12"/>
  <c r="BU328" i="12"/>
  <c r="BU334" i="12" s="1"/>
  <c r="BU10" i="12" s="1"/>
  <c r="P310" i="12"/>
  <c r="T292" i="12"/>
  <c r="BN45" i="48"/>
  <c r="N225" i="12"/>
  <c r="CB17" i="48"/>
  <c r="CK500" i="12"/>
  <c r="CK503" i="12" s="1"/>
  <c r="BM670" i="12"/>
  <c r="BD16" i="48"/>
  <c r="L664" i="12"/>
  <c r="CO629" i="12"/>
  <c r="O664" i="12"/>
  <c r="O667" i="12" s="1"/>
  <c r="O16" i="48" s="1"/>
  <c r="BR517" i="12"/>
  <c r="BZ665" i="12"/>
  <c r="M664" i="12"/>
  <c r="BQ497" i="12"/>
  <c r="BH17" i="48" s="1"/>
  <c r="BN497" i="12"/>
  <c r="BN500" i="12" s="1"/>
  <c r="S52" i="80"/>
  <c r="R387" i="12"/>
  <c r="Q108" i="71" s="1"/>
  <c r="Q377" i="12"/>
  <c r="CH295" i="12"/>
  <c r="CH298" i="12" s="1"/>
  <c r="Q21" i="80"/>
  <c r="CF255" i="12"/>
  <c r="BC60" i="15"/>
  <c r="L59" i="15"/>
  <c r="AT49" i="15"/>
  <c r="AU49" i="15" s="1"/>
  <c r="BJ42" i="15"/>
  <c r="BK42" i="15" s="1"/>
  <c r="BI87" i="15"/>
  <c r="I11" i="15"/>
  <c r="AO85" i="15"/>
  <c r="AO91" i="15" s="1"/>
  <c r="I31" i="15"/>
  <c r="AX25" i="15"/>
  <c r="AY25" i="15" s="1"/>
  <c r="I25" i="15" s="1"/>
  <c r="AT11" i="15"/>
  <c r="AU11" i="15" s="1"/>
  <c r="H11" i="15" s="1"/>
  <c r="AX9" i="15"/>
  <c r="AW60" i="15"/>
  <c r="AX60" i="15" s="1"/>
  <c r="I22" i="15"/>
  <c r="AS17" i="15"/>
  <c r="AT17" i="15" s="1"/>
  <c r="J13" i="15"/>
  <c r="BB20" i="15"/>
  <c r="BC20" i="15" s="1"/>
  <c r="J20" i="15" s="1"/>
  <c r="G8" i="15"/>
  <c r="BB10" i="15"/>
  <c r="AP86" i="15"/>
  <c r="BJ52" i="15"/>
  <c r="BK52" i="15" s="1"/>
  <c r="AU40" i="15"/>
  <c r="AU86" i="15" s="1"/>
  <c r="AT86" i="15"/>
  <c r="AX19" i="15"/>
  <c r="AS86" i="15"/>
  <c r="AK75" i="15"/>
  <c r="AK79" i="15" s="1"/>
  <c r="AP36" i="15"/>
  <c r="AQ36" i="15" s="1"/>
  <c r="G36" i="15" s="1"/>
  <c r="AX35" i="15"/>
  <c r="AY35" i="15" s="1"/>
  <c r="I35" i="15" s="1"/>
  <c r="T41" i="15"/>
  <c r="T85" i="15" s="1"/>
  <c r="T91" i="15" s="1"/>
  <c r="J25" i="15"/>
  <c r="BB9" i="15"/>
  <c r="BC9" i="15" s="1"/>
  <c r="BB16" i="15"/>
  <c r="AW84" i="15"/>
  <c r="AX38" i="15"/>
  <c r="AX84" i="15"/>
  <c r="AW47" i="15"/>
  <c r="AO46" i="15"/>
  <c r="BI38" i="15"/>
  <c r="BH75" i="15"/>
  <c r="BH95" i="15" s="1"/>
  <c r="BH100" i="15" s="1"/>
  <c r="L77" i="65"/>
  <c r="S79" i="15"/>
  <c r="S95" i="15"/>
  <c r="S100" i="15"/>
  <c r="BA47" i="15"/>
  <c r="AW26" i="15"/>
  <c r="AK35" i="15"/>
  <c r="AL35" i="15"/>
  <c r="AM35" i="15" s="1"/>
  <c r="BA38" i="15"/>
  <c r="BB38" i="15" s="1"/>
  <c r="AZ75" i="15"/>
  <c r="BA12" i="15"/>
  <c r="AR43" i="15"/>
  <c r="AJ52" i="33"/>
  <c r="CE198" i="33"/>
  <c r="CE197" i="33" s="1"/>
  <c r="CD226" i="33"/>
  <c r="CO9" i="15"/>
  <c r="CO184" i="14" s="1"/>
  <c r="AM24" i="33"/>
  <c r="CO10" i="15"/>
  <c r="CP10" i="15"/>
  <c r="L22" i="33"/>
  <c r="L27" i="57"/>
  <c r="AT84" i="57"/>
  <c r="N27" i="57"/>
  <c r="BU184" i="14"/>
  <c r="BU185" i="14" s="1"/>
  <c r="BV9" i="15"/>
  <c r="C93" i="66"/>
  <c r="T68" i="14"/>
  <c r="T100" i="14" s="1"/>
  <c r="J14" i="12"/>
  <c r="BM673" i="12"/>
  <c r="BM674" i="12" s="1"/>
  <c r="BM671" i="12"/>
  <c r="AP85" i="15"/>
  <c r="AP91" i="15" s="1"/>
  <c r="BA84" i="15"/>
  <c r="AP46" i="15"/>
  <c r="AT9" i="15"/>
  <c r="AU9" i="15"/>
  <c r="BB47" i="15"/>
  <c r="BH79" i="15"/>
  <c r="AX47" i="15"/>
  <c r="AY47" i="15"/>
  <c r="BC12" i="15"/>
  <c r="J12" i="15"/>
  <c r="BI75" i="15"/>
  <c r="BI95" i="15"/>
  <c r="BI100" i="15" s="1"/>
  <c r="H40" i="15"/>
  <c r="H86" i="15" s="1"/>
  <c r="BC47" i="15"/>
  <c r="AQ46" i="15"/>
  <c r="AL78" i="58"/>
  <c r="T43" i="14"/>
  <c r="BC10" i="48"/>
  <c r="CH166" i="14"/>
  <c r="CH168" i="14" s="1"/>
  <c r="AV166" i="14"/>
  <c r="BL166" i="14"/>
  <c r="CL133" i="14"/>
  <c r="X28" i="77" s="1"/>
  <c r="AP56" i="15"/>
  <c r="AZ64" i="15"/>
  <c r="BA50" i="15"/>
  <c r="BB50" i="15" s="1"/>
  <c r="AW50" i="15"/>
  <c r="ER68" i="15"/>
  <c r="ER70" i="15"/>
  <c r="ED68" i="15"/>
  <c r="DV68" i="15"/>
  <c r="DV70" i="15" s="1"/>
  <c r="DF68" i="15"/>
  <c r="DF70" i="15" s="1"/>
  <c r="AT29" i="15"/>
  <c r="AU29" i="15"/>
  <c r="AX30" i="15"/>
  <c r="AY30" i="15" s="1"/>
  <c r="I30" i="15" s="1"/>
  <c r="BV30" i="15"/>
  <c r="AR32" i="15"/>
  <c r="AR83" i="15" s="1"/>
  <c r="AH32" i="15"/>
  <c r="AH83" i="15" s="1"/>
  <c r="BB17" i="15"/>
  <c r="BC17" i="15" s="1"/>
  <c r="J17" i="15" s="1"/>
  <c r="AL16" i="15"/>
  <c r="AV32" i="15"/>
  <c r="BA18" i="15"/>
  <c r="BC18" i="15" s="1"/>
  <c r="J18" i="15" s="1"/>
  <c r="AS18" i="15"/>
  <c r="AT18" i="15"/>
  <c r="BE16" i="15"/>
  <c r="BF16" i="15" s="1"/>
  <c r="AX12" i="15"/>
  <c r="AL80" i="58"/>
  <c r="AL79" i="58"/>
  <c r="CH246" i="90"/>
  <c r="CH248" i="90"/>
  <c r="CM360" i="90"/>
  <c r="S260" i="90"/>
  <c r="T258" i="90" s="1"/>
  <c r="CN258" i="90"/>
  <c r="CN260" i="90" s="1"/>
  <c r="AA12" i="57"/>
  <c r="I97" i="14"/>
  <c r="U131" i="14"/>
  <c r="AX50" i="15"/>
  <c r="AY50" i="15" s="1"/>
  <c r="AL463" i="58"/>
  <c r="T813" i="12"/>
  <c r="S368" i="71" s="1"/>
  <c r="T634" i="12"/>
  <c r="AL271" i="58"/>
  <c r="T678" i="12"/>
  <c r="AL273" i="58"/>
  <c r="T471" i="12"/>
  <c r="T472" i="12" s="1"/>
  <c r="AL204" i="58"/>
  <c r="O45" i="53"/>
  <c r="O56" i="53" s="1"/>
  <c r="O57" i="53" s="1"/>
  <c r="BF55" i="15"/>
  <c r="F378" i="65"/>
  <c r="F379" i="65" s="1"/>
  <c r="G33" i="65"/>
  <c r="BS166" i="12"/>
  <c r="BS695" i="12" s="1"/>
  <c r="V491" i="58"/>
  <c r="CC117" i="33"/>
  <c r="L11" i="15"/>
  <c r="O75" i="15"/>
  <c r="O84" i="15"/>
  <c r="BN55" i="15"/>
  <c r="AL485" i="58"/>
  <c r="G33" i="66"/>
  <c r="F377" i="66"/>
  <c r="G383" i="66"/>
  <c r="BM64" i="70"/>
  <c r="BK55" i="70"/>
  <c r="P40" i="77"/>
  <c r="Y78" i="58"/>
  <c r="BU45" i="48"/>
  <c r="BP64" i="70"/>
  <c r="BP63" i="70"/>
  <c r="BH55" i="70"/>
  <c r="BD55" i="70"/>
  <c r="BX120" i="14"/>
  <c r="BX6" i="80"/>
  <c r="CC700" i="12"/>
  <c r="CC701" i="12" s="1"/>
  <c r="CB826" i="12"/>
  <c r="BL13" i="70"/>
  <c r="BR6" i="80"/>
  <c r="CH120" i="14"/>
  <c r="CH6" i="80"/>
  <c r="CI698" i="12"/>
  <c r="I378" i="66"/>
  <c r="I33" i="66"/>
  <c r="F19" i="63"/>
  <c r="F18" i="63"/>
  <c r="AO24" i="64"/>
  <c r="BK77" i="70"/>
  <c r="BF77" i="70"/>
  <c r="BL76" i="70"/>
  <c r="BH76" i="70"/>
  <c r="BD76" i="70"/>
  <c r="BP70" i="70"/>
  <c r="BM72" i="70"/>
  <c r="BK70" i="70"/>
  <c r="BG70" i="70"/>
  <c r="BC70" i="70"/>
  <c r="BL63" i="70"/>
  <c r="BC63" i="70"/>
  <c r="BG55" i="70"/>
  <c r="BO55" i="70"/>
  <c r="BP11" i="70"/>
  <c r="BK11" i="70"/>
  <c r="BO10" i="70"/>
  <c r="BC10" i="70"/>
  <c r="BN11" i="70"/>
  <c r="J4" i="59"/>
  <c r="W368" i="58"/>
  <c r="S368" i="58"/>
  <c r="Z356" i="58"/>
  <c r="Z361" i="58" s="1"/>
  <c r="AA18" i="57"/>
  <c r="M62" i="56"/>
  <c r="U62" i="56" s="1"/>
  <c r="H54" i="56"/>
  <c r="T34" i="56"/>
  <c r="H34" i="56"/>
  <c r="T82" i="77"/>
  <c r="T81" i="77"/>
  <c r="H81" i="77"/>
  <c r="BR15" i="80"/>
  <c r="AW797" i="12"/>
  <c r="CD700" i="12"/>
  <c r="CD701" i="12" s="1"/>
  <c r="CA700" i="12"/>
  <c r="CA701" i="12" s="1"/>
  <c r="BV700" i="12"/>
  <c r="BV701" i="12" s="1"/>
  <c r="BQ687" i="12"/>
  <c r="R625" i="12"/>
  <c r="O35" i="80"/>
  <c r="BT517" i="12"/>
  <c r="BX495" i="12"/>
  <c r="O472" i="12"/>
  <c r="CK466" i="12"/>
  <c r="CY165" i="33"/>
  <c r="CZ165" i="33"/>
  <c r="CL147" i="33"/>
  <c r="CR147" i="33"/>
  <c r="CL163" i="33"/>
  <c r="CS24" i="33"/>
  <c r="M20" i="77" s="1"/>
  <c r="P23" i="33"/>
  <c r="BD109" i="33"/>
  <c r="BD17" i="33"/>
  <c r="BD108" i="33"/>
  <c r="D15" i="33"/>
  <c r="C4" i="71" s="1"/>
  <c r="AW14" i="48"/>
  <c r="BR143" i="33"/>
  <c r="BR15" i="33"/>
  <c r="BS159" i="33"/>
  <c r="BM143" i="33"/>
  <c r="BN159" i="33"/>
  <c r="L4" i="90"/>
  <c r="L5" i="48"/>
  <c r="BF52" i="15"/>
  <c r="BT6" i="80"/>
  <c r="BS42" i="48"/>
  <c r="AF46" i="57" s="1"/>
  <c r="CH696" i="12"/>
  <c r="BD77" i="70"/>
  <c r="BL77" i="70"/>
  <c r="BM42" i="48"/>
  <c r="CD6" i="80"/>
  <c r="CC42" i="48"/>
  <c r="CE120" i="14"/>
  <c r="BO13" i="70"/>
  <c r="CO826" i="12"/>
  <c r="CO827" i="12" s="1"/>
  <c r="G18" i="63"/>
  <c r="G19" i="63" s="1"/>
  <c r="AF24" i="64"/>
  <c r="BO77" i="70"/>
  <c r="BC77" i="70"/>
  <c r="BO11" i="70"/>
  <c r="BM10" i="70"/>
  <c r="Z368" i="58"/>
  <c r="AC356" i="58"/>
  <c r="U356" i="58"/>
  <c r="CH700" i="12"/>
  <c r="CH701" i="12" s="1"/>
  <c r="CF700" i="12"/>
  <c r="CF701" i="12" s="1"/>
  <c r="P462" i="12"/>
  <c r="CJ281" i="12"/>
  <c r="BA46" i="12"/>
  <c r="BA14" i="12"/>
  <c r="BA35" i="12"/>
  <c r="CV12" i="33"/>
  <c r="CH45" i="12"/>
  <c r="CV11" i="33"/>
  <c r="CH44" i="12"/>
  <c r="CD12" i="12"/>
  <c r="AJ50" i="33"/>
  <c r="AK50" i="33" s="1"/>
  <c r="D50" i="33" s="1"/>
  <c r="DC163" i="33"/>
  <c r="DC147" i="33"/>
  <c r="DC89" i="33"/>
  <c r="CY163" i="33"/>
  <c r="BT24" i="33"/>
  <c r="K22" i="33"/>
  <c r="BC24" i="33"/>
  <c r="AI20" i="33"/>
  <c r="BI161" i="33"/>
  <c r="BH145" i="33"/>
  <c r="CI18" i="14"/>
  <c r="R18" i="14" s="1"/>
  <c r="R20" i="14" s="1"/>
  <c r="CI166" i="14"/>
  <c r="CI168" i="14" s="1"/>
  <c r="BO42" i="48"/>
  <c r="CL696" i="12"/>
  <c r="BY700" i="12"/>
  <c r="BY701" i="12" s="1"/>
  <c r="CF826" i="12"/>
  <c r="AA358" i="58" s="1"/>
  <c r="BY42" i="48"/>
  <c r="BH10" i="70"/>
  <c r="CO698" i="12"/>
  <c r="I383" i="66"/>
  <c r="G378" i="66"/>
  <c r="C60" i="63"/>
  <c r="H6" i="63"/>
  <c r="F39" i="63"/>
  <c r="F15" i="63"/>
  <c r="G379" i="65"/>
  <c r="BI77" i="70"/>
  <c r="BJ74" i="70"/>
  <c r="BF76" i="70"/>
  <c r="BF74" i="70"/>
  <c r="BO70" i="70"/>
  <c r="BL70" i="70"/>
  <c r="BM71" i="70" s="1"/>
  <c r="BH70" i="70"/>
  <c r="BE63" i="70"/>
  <c r="BG11" i="70"/>
  <c r="BD10" i="70"/>
  <c r="AJ370" i="58"/>
  <c r="AF370" i="58"/>
  <c r="AG368" i="58"/>
  <c r="U57" i="56"/>
  <c r="Q83" i="77"/>
  <c r="M83" i="77"/>
  <c r="N81" i="77"/>
  <c r="AX797" i="12"/>
  <c r="BN804" i="12"/>
  <c r="Q641" i="12"/>
  <c r="R472" i="12"/>
  <c r="O293" i="12"/>
  <c r="O295" i="12" s="1"/>
  <c r="O298" i="12" s="1"/>
  <c r="CJ255" i="12"/>
  <c r="R21" i="80"/>
  <c r="AY39" i="12"/>
  <c r="AV106" i="14"/>
  <c r="AV39" i="12"/>
  <c r="AR24" i="33"/>
  <c r="BE14" i="48"/>
  <c r="G139" i="33"/>
  <c r="M9" i="70"/>
  <c r="BU495" i="12"/>
  <c r="O494" i="12"/>
  <c r="O497" i="12" s="1"/>
  <c r="K17" i="48" s="1"/>
  <c r="BY318" i="12"/>
  <c r="BY319" i="12" s="1"/>
  <c r="DB12" i="33"/>
  <c r="S28" i="48"/>
  <c r="S96" i="33"/>
  <c r="CV165" i="33"/>
  <c r="CD226" i="14"/>
  <c r="BR163" i="33"/>
  <c r="BL147" i="33"/>
  <c r="BL163" i="33"/>
  <c r="AV107" i="14"/>
  <c r="AZ109" i="14" s="1"/>
  <c r="AV19" i="33"/>
  <c r="AK18" i="33"/>
  <c r="D18" i="33" s="1"/>
  <c r="DF9" i="33"/>
  <c r="DT68" i="15"/>
  <c r="DT70" i="15"/>
  <c r="S21" i="15"/>
  <c r="L44" i="52"/>
  <c r="F42" i="52"/>
  <c r="J71" i="53"/>
  <c r="DW282" i="48"/>
  <c r="DX282" i="48"/>
  <c r="CK12" i="12"/>
  <c r="BN20" i="15"/>
  <c r="M20" i="15" s="1"/>
  <c r="G61" i="52"/>
  <c r="M41" i="52"/>
  <c r="N29" i="90"/>
  <c r="O26" i="90" s="1"/>
  <c r="N16" i="91"/>
  <c r="N17" i="91" s="1"/>
  <c r="N18" i="91" s="1"/>
  <c r="I33" i="14"/>
  <c r="I46" i="14" s="1"/>
  <c r="I59" i="14" s="1"/>
  <c r="S63" i="15"/>
  <c r="G47" i="52"/>
  <c r="I42" i="52"/>
  <c r="DU271" i="48"/>
  <c r="AU38" i="12"/>
  <c r="CN12" i="12"/>
  <c r="CO819" i="12" s="1"/>
  <c r="M215" i="33"/>
  <c r="M213" i="33"/>
  <c r="CK147" i="33"/>
  <c r="CG147" i="33"/>
  <c r="AJ24" i="33"/>
  <c r="L23" i="33"/>
  <c r="AG20" i="33"/>
  <c r="AN19" i="33"/>
  <c r="BN15" i="33"/>
  <c r="CH64" i="15"/>
  <c r="CD64" i="15"/>
  <c r="AH64" i="15"/>
  <c r="R52" i="15"/>
  <c r="Q31" i="15"/>
  <c r="I41" i="53" s="1"/>
  <c r="BR26" i="15"/>
  <c r="R21" i="15"/>
  <c r="I57" i="53"/>
  <c r="M46" i="53"/>
  <c r="DX313" i="48"/>
  <c r="CP629" i="12"/>
  <c r="DH31" i="33"/>
  <c r="AC490" i="58"/>
  <c r="BA17" i="48"/>
  <c r="BJ500" i="12"/>
  <c r="CO226" i="12"/>
  <c r="BK54" i="15"/>
  <c r="L54" i="15" s="1"/>
  <c r="CA797" i="12"/>
  <c r="T565" i="12"/>
  <c r="T695" i="12" s="1"/>
  <c r="BO55" i="15"/>
  <c r="M55" i="15"/>
  <c r="AN485" i="58"/>
  <c r="E378" i="65"/>
  <c r="F380" i="65"/>
  <c r="F33" i="65"/>
  <c r="F384" i="65"/>
  <c r="F34" i="65"/>
  <c r="S12" i="65" s="1"/>
  <c r="M13" i="70"/>
  <c r="BU456" i="12"/>
  <c r="BV299" i="12"/>
  <c r="BV301" i="12"/>
  <c r="BV302" i="12" s="1"/>
  <c r="BL299" i="12"/>
  <c r="BL301" i="12"/>
  <c r="BL302" i="12" s="1"/>
  <c r="CJ226" i="12"/>
  <c r="CC804" i="12"/>
  <c r="CC797" i="12"/>
  <c r="BQ797" i="12"/>
  <c r="CP517" i="12"/>
  <c r="AJ208" i="58"/>
  <c r="BT299" i="12"/>
  <c r="BT301" i="12"/>
  <c r="BT302" i="12" s="1"/>
  <c r="BC46" i="15"/>
  <c r="I63" i="52"/>
  <c r="I64" i="52" s="1"/>
  <c r="AY56" i="15"/>
  <c r="F56" i="63"/>
  <c r="F54" i="63"/>
  <c r="C44" i="63"/>
  <c r="F37" i="63"/>
  <c r="F21" i="63"/>
  <c r="G34" i="65"/>
  <c r="BP71" i="70"/>
  <c r="BF66" i="70"/>
  <c r="BF64" i="70"/>
  <c r="M4" i="59"/>
  <c r="I4" i="59"/>
  <c r="I8" i="59" s="1"/>
  <c r="G4" i="59"/>
  <c r="E4" i="59"/>
  <c r="G18" i="57"/>
  <c r="W9" i="57"/>
  <c r="Z57" i="56"/>
  <c r="Z56" i="56" s="1"/>
  <c r="R300" i="71"/>
  <c r="BY826" i="12"/>
  <c r="T358" i="58" s="1"/>
  <c r="BI797" i="12"/>
  <c r="BF804" i="12"/>
  <c r="BV687" i="12"/>
  <c r="CE617" i="12"/>
  <c r="CE619" i="12" s="1"/>
  <c r="CM466" i="12"/>
  <c r="BZ454" i="12"/>
  <c r="BY326" i="12"/>
  <c r="BY332" i="12" s="1"/>
  <c r="CL18" i="33"/>
  <c r="BV107" i="14" s="1"/>
  <c r="BV109" i="14" s="1"/>
  <c r="Q24" i="80"/>
  <c r="AT25" i="15"/>
  <c r="N56" i="53"/>
  <c r="T221" i="15"/>
  <c r="H378" i="66"/>
  <c r="BE77" i="70"/>
  <c r="BD70" i="70"/>
  <c r="BM63" i="70"/>
  <c r="BD63" i="70"/>
  <c r="BR166" i="12"/>
  <c r="BR695" i="12" s="1"/>
  <c r="BH11" i="70"/>
  <c r="BD11" i="70"/>
  <c r="BE10" i="70"/>
  <c r="BD13" i="70"/>
  <c r="AZ13" i="70"/>
  <c r="AR83" i="57"/>
  <c r="BM804" i="12"/>
  <c r="O30" i="80"/>
  <c r="BW295" i="12"/>
  <c r="BW298" i="12" s="1"/>
  <c r="CN255" i="12"/>
  <c r="AT31" i="15"/>
  <c r="I100" i="53"/>
  <c r="J26" i="53"/>
  <c r="CK228" i="90"/>
  <c r="BB49" i="15"/>
  <c r="BF13" i="70"/>
  <c r="G16" i="57"/>
  <c r="BW329" i="12"/>
  <c r="BW335" i="12" s="1"/>
  <c r="BW11" i="12" s="1"/>
  <c r="BW328" i="12"/>
  <c r="BW334" i="12" s="1"/>
  <c r="BW10" i="12" s="1"/>
  <c r="BV21" i="15"/>
  <c r="O21" i="15" s="1"/>
  <c r="B109" i="52"/>
  <c r="A109" i="52"/>
  <c r="CI228" i="90"/>
  <c r="T227" i="90"/>
  <c r="CT12" i="33"/>
  <c r="DD9" i="33"/>
  <c r="CE211" i="33"/>
  <c r="CE216" i="33" s="1"/>
  <c r="M218" i="33"/>
  <c r="N211" i="33" s="1"/>
  <c r="N215" i="33" s="1"/>
  <c r="AP13" i="48"/>
  <c r="K5" i="48"/>
  <c r="AO34" i="48"/>
  <c r="AP66" i="15"/>
  <c r="AQ66" i="15" s="1"/>
  <c r="G66" i="15" s="1"/>
  <c r="BA30" i="15"/>
  <c r="AP30" i="15"/>
  <c r="M26" i="15"/>
  <c r="BN23" i="15"/>
  <c r="M23" i="15" s="1"/>
  <c r="BN10" i="15"/>
  <c r="M10" i="15" s="1"/>
  <c r="B108" i="52"/>
  <c r="E61" i="52"/>
  <c r="I49" i="52"/>
  <c r="I122" i="52" s="1"/>
  <c r="F47" i="52"/>
  <c r="J45" i="52"/>
  <c r="J57" i="53"/>
  <c r="J46" i="53"/>
  <c r="BU73" i="48"/>
  <c r="BU76" i="48" s="1"/>
  <c r="O10" i="91"/>
  <c r="N13" i="91"/>
  <c r="W36" i="77"/>
  <c r="W34" i="77"/>
  <c r="D60" i="53"/>
  <c r="H57" i="53"/>
  <c r="I46" i="53"/>
  <c r="EC272" i="48"/>
  <c r="DH10" i="33"/>
  <c r="DH12" i="33"/>
  <c r="BW43" i="15"/>
  <c r="BN8" i="15"/>
  <c r="J6" i="52"/>
  <c r="L57" i="53"/>
  <c r="M57" i="53"/>
  <c r="L46" i="53"/>
  <c r="N10" i="91"/>
  <c r="P13" i="91"/>
  <c r="BB274" i="77"/>
  <c r="BW41" i="77"/>
  <c r="AN20" i="33"/>
  <c r="DV271" i="48"/>
  <c r="EC271" i="48"/>
  <c r="AR147" i="33"/>
  <c r="BS267" i="12"/>
  <c r="BO66" i="70"/>
  <c r="BO72" i="70"/>
  <c r="BR19" i="33"/>
  <c r="BR108" i="33"/>
  <c r="BR115" i="33"/>
  <c r="BR117" i="33"/>
  <c r="BR109" i="33"/>
  <c r="AW13" i="48"/>
  <c r="AW18" i="48" s="1"/>
  <c r="BR17" i="33"/>
  <c r="BR145" i="33"/>
  <c r="CX147" i="33"/>
  <c r="CS163" i="33"/>
  <c r="BG72" i="70"/>
  <c r="BG71" i="70"/>
  <c r="BG66" i="70"/>
  <c r="BD74" i="70"/>
  <c r="F379" i="66"/>
  <c r="F383" i="66"/>
  <c r="F33" i="66"/>
  <c r="E377" i="66"/>
  <c r="F378" i="66"/>
  <c r="O79" i="15"/>
  <c r="O95" i="15"/>
  <c r="O100" i="15" s="1"/>
  <c r="N26" i="15"/>
  <c r="BO86" i="70"/>
  <c r="BO18" i="70"/>
  <c r="BO87" i="70"/>
  <c r="BO88" i="70"/>
  <c r="BO27" i="70"/>
  <c r="BO35" i="70" s="1"/>
  <c r="BS15" i="70"/>
  <c r="BK72" i="70"/>
  <c r="BK66" i="70"/>
  <c r="W358" i="58"/>
  <c r="CB827" i="12"/>
  <c r="T13" i="12"/>
  <c r="T14" i="33" s="1"/>
  <c r="N42" i="52"/>
  <c r="J72" i="53"/>
  <c r="J73" i="53" s="1"/>
  <c r="J70" i="53"/>
  <c r="J69" i="53" s="1"/>
  <c r="AV104" i="33"/>
  <c r="BH71" i="70"/>
  <c r="BH66" i="70"/>
  <c r="BI71" i="70"/>
  <c r="BA39" i="12"/>
  <c r="BA38" i="12"/>
  <c r="T461" i="12"/>
  <c r="T460" i="12" s="1"/>
  <c r="BL74" i="70"/>
  <c r="L24" i="33"/>
  <c r="G62" i="52"/>
  <c r="G63" i="52"/>
  <c r="L47" i="52"/>
  <c r="L45" i="52"/>
  <c r="BP267" i="12"/>
  <c r="BL66" i="70"/>
  <c r="BL72" i="70"/>
  <c r="BL71" i="70"/>
  <c r="BC66" i="70"/>
  <c r="BP72" i="70"/>
  <c r="BP66" i="70"/>
  <c r="BT267" i="12"/>
  <c r="O267" i="12" s="1"/>
  <c r="BP25" i="12"/>
  <c r="BL87" i="70"/>
  <c r="BL18" i="70"/>
  <c r="BL86" i="70"/>
  <c r="BL88" i="70"/>
  <c r="BL27" i="70"/>
  <c r="BL29" i="70" s="1"/>
  <c r="J27" i="52"/>
  <c r="AQ30" i="15"/>
  <c r="G30" i="15"/>
  <c r="CE212" i="33"/>
  <c r="M8" i="15"/>
  <c r="AZ27" i="70"/>
  <c r="BG67" i="70"/>
  <c r="T623" i="12"/>
  <c r="T624" i="12"/>
  <c r="T38" i="80" s="1"/>
  <c r="BZ456" i="12"/>
  <c r="E23" i="33"/>
  <c r="BC30" i="15"/>
  <c r="J30" i="15" s="1"/>
  <c r="BC49" i="15"/>
  <c r="J49" i="15" s="1"/>
  <c r="T249" i="12"/>
  <c r="T248" i="12" s="1"/>
  <c r="BD15" i="70"/>
  <c r="BD27" i="70"/>
  <c r="B110" i="52"/>
  <c r="A110" i="52"/>
  <c r="BD66" i="70"/>
  <c r="BD71" i="70"/>
  <c r="M27" i="70"/>
  <c r="M29" i="70" s="1"/>
  <c r="M30" i="70" s="1"/>
  <c r="T35" i="80"/>
  <c r="BH72" i="70"/>
  <c r="BJ501" i="12"/>
  <c r="BJ503" i="12"/>
  <c r="BJ504" i="12" s="1"/>
  <c r="E62" i="52"/>
  <c r="E63" i="52" s="1"/>
  <c r="E64" i="52" s="1"/>
  <c r="E65" i="52" s="1"/>
  <c r="BF27" i="70"/>
  <c r="BF28" i="70" s="1"/>
  <c r="BG14" i="70"/>
  <c r="J100" i="53"/>
  <c r="K26" i="53"/>
  <c r="N57" i="53"/>
  <c r="S13" i="65"/>
  <c r="V10" i="65"/>
  <c r="I56" i="15"/>
  <c r="E33" i="65"/>
  <c r="E34" i="65"/>
  <c r="E380" i="65"/>
  <c r="D378" i="65"/>
  <c r="C378" i="65" s="1"/>
  <c r="E384" i="65"/>
  <c r="E379" i="65"/>
  <c r="J46" i="15"/>
  <c r="AL368" i="58"/>
  <c r="BH67" i="70"/>
  <c r="BO28" i="70"/>
  <c r="BO29" i="70"/>
  <c r="BO68" i="70"/>
  <c r="BL28" i="70"/>
  <c r="BL35" i="70"/>
  <c r="BL67" i="70"/>
  <c r="BL68" i="70"/>
  <c r="BG68" i="70"/>
  <c r="BR20" i="33"/>
  <c r="BK68" i="70"/>
  <c r="BP67" i="70"/>
  <c r="BP68" i="70"/>
  <c r="T462" i="12"/>
  <c r="O42" i="52"/>
  <c r="O59" i="52" s="1"/>
  <c r="E33" i="66"/>
  <c r="E383" i="66"/>
  <c r="D377" i="66"/>
  <c r="D378" i="66" s="1"/>
  <c r="E378" i="66"/>
  <c r="E379" i="66"/>
  <c r="BF35" i="70"/>
  <c r="BF42" i="70" s="1"/>
  <c r="BF45" i="70" s="1"/>
  <c r="BF50" i="70" s="1"/>
  <c r="BD29" i="70"/>
  <c r="BD35" i="70"/>
  <c r="BD28" i="70"/>
  <c r="T14" i="64"/>
  <c r="M35" i="70"/>
  <c r="M42" i="70" s="1"/>
  <c r="M45" i="70" s="1"/>
  <c r="M50" i="70" s="1"/>
  <c r="M28" i="70"/>
  <c r="AZ29" i="70"/>
  <c r="AZ35" i="70"/>
  <c r="AZ42" i="70" s="1"/>
  <c r="AZ45" i="70" s="1"/>
  <c r="AZ50" i="70" s="1"/>
  <c r="AZ28" i="70"/>
  <c r="BD67" i="70"/>
  <c r="BH68" i="70"/>
  <c r="B111" i="52"/>
  <c r="A111" i="52"/>
  <c r="A112" i="52" s="1"/>
  <c r="AL551" i="58"/>
  <c r="AL100" i="58"/>
  <c r="U292" i="12"/>
  <c r="L26" i="53"/>
  <c r="K100" i="53"/>
  <c r="AL370" i="58"/>
  <c r="D379" i="66"/>
  <c r="D33" i="66"/>
  <c r="D383" i="66"/>
  <c r="C377" i="66"/>
  <c r="C33" i="66" s="1"/>
  <c r="BL36" i="70"/>
  <c r="BL42" i="70"/>
  <c r="BL45" i="70" s="1"/>
  <c r="BL50" i="70" s="1"/>
  <c r="O57" i="52"/>
  <c r="P57" i="52" s="1"/>
  <c r="Q57" i="52" s="1"/>
  <c r="R57" i="52" s="1"/>
  <c r="O41" i="52"/>
  <c r="O55" i="52"/>
  <c r="O6" i="52" s="1"/>
  <c r="O27" i="52" s="1"/>
  <c r="O58" i="52"/>
  <c r="O60" i="52"/>
  <c r="P60" i="52" s="1"/>
  <c r="P42" i="52"/>
  <c r="O56" i="52"/>
  <c r="P56" i="52" s="1"/>
  <c r="Q56" i="52" s="1"/>
  <c r="AL206" i="58"/>
  <c r="T508" i="12"/>
  <c r="BO30" i="70"/>
  <c r="L100" i="53"/>
  <c r="M26" i="53"/>
  <c r="M100" i="53"/>
  <c r="AL277" i="58"/>
  <c r="T376" i="12"/>
  <c r="T377" i="12" s="1"/>
  <c r="AL103" i="58"/>
  <c r="AL356" i="58"/>
  <c r="AM357" i="58" s="1"/>
  <c r="M36" i="70"/>
  <c r="B112" i="52"/>
  <c r="BD36" i="70"/>
  <c r="BD42" i="70"/>
  <c r="BD45" i="70" s="1"/>
  <c r="BD50" i="70" s="1"/>
  <c r="AZ30" i="70"/>
  <c r="T660" i="12"/>
  <c r="T290" i="12"/>
  <c r="BD32" i="70"/>
  <c r="BD30" i="70"/>
  <c r="B383" i="66"/>
  <c r="T661" i="12"/>
  <c r="T490" i="12"/>
  <c r="AL210" i="58"/>
  <c r="T491" i="12"/>
  <c r="S239" i="71" s="1"/>
  <c r="AH208" i="58"/>
  <c r="CO516" i="12"/>
  <c r="AF208" i="58"/>
  <c r="CK516" i="12"/>
  <c r="BB58" i="15"/>
  <c r="BC58" i="15"/>
  <c r="AP16" i="15"/>
  <c r="AQ16" i="15"/>
  <c r="K9" i="70"/>
  <c r="K13" i="70" s="1"/>
  <c r="H74" i="56"/>
  <c r="BC17" i="33"/>
  <c r="BM11" i="70"/>
  <c r="N9" i="70"/>
  <c r="R168" i="12"/>
  <c r="S165" i="33"/>
  <c r="H42" i="52"/>
  <c r="DL68" i="15"/>
  <c r="DL70" i="15" s="1"/>
  <c r="H38" i="56"/>
  <c r="CL466" i="12"/>
  <c r="G45" i="52"/>
  <c r="D13" i="52"/>
  <c r="BI13" i="70"/>
  <c r="N618" i="12"/>
  <c r="CL281" i="12"/>
  <c r="AK23" i="33"/>
  <c r="AV24" i="33"/>
  <c r="F45" i="52"/>
  <c r="EK328" i="48"/>
  <c r="EK329" i="48"/>
  <c r="M21" i="15"/>
  <c r="BF14" i="15"/>
  <c r="BG14" i="15"/>
  <c r="Z275" i="58"/>
  <c r="BR299" i="12"/>
  <c r="BF35" i="15"/>
  <c r="BI20" i="15"/>
  <c r="BH32" i="15"/>
  <c r="BH74" i="15" s="1"/>
  <c r="AX18" i="15"/>
  <c r="AY18" i="15"/>
  <c r="CD517" i="12"/>
  <c r="AY24" i="48"/>
  <c r="C9" i="58" s="1"/>
  <c r="AX52" i="15"/>
  <c r="AY52" i="15"/>
  <c r="AP50" i="15"/>
  <c r="CC516" i="12"/>
  <c r="BY516" i="12"/>
  <c r="T208" i="58"/>
  <c r="BB24" i="48"/>
  <c r="F9" i="58" s="1"/>
  <c r="O87" i="15"/>
  <c r="O43" i="15"/>
  <c r="BN35" i="15"/>
  <c r="M35" i="15" s="1"/>
  <c r="AT14" i="15"/>
  <c r="D379" i="65"/>
  <c r="AU8" i="15"/>
  <c r="H8" i="15" s="1"/>
  <c r="G93" i="66"/>
  <c r="BJ55" i="70"/>
  <c r="BF55" i="70"/>
  <c r="BA10" i="70"/>
  <c r="H58" i="56"/>
  <c r="O455" i="12"/>
  <c r="AK42" i="15"/>
  <c r="O25" i="15"/>
  <c r="BV13" i="15"/>
  <c r="O13" i="15" s="1"/>
  <c r="D61" i="52"/>
  <c r="EF313" i="48"/>
  <c r="DV310" i="48"/>
  <c r="BZ700" i="12"/>
  <c r="BZ701" i="12" s="1"/>
  <c r="DV268" i="48"/>
  <c r="O13" i="91"/>
  <c r="AL487" i="58"/>
  <c r="D34" i="65"/>
  <c r="BQ517" i="12"/>
  <c r="BY328" i="12"/>
  <c r="BY334" i="12" s="1"/>
  <c r="BY10" i="12" s="1"/>
  <c r="Q248" i="12"/>
  <c r="Q383" i="12" s="1"/>
  <c r="BJ24" i="33"/>
  <c r="AX19" i="33"/>
  <c r="BA17" i="33"/>
  <c r="AI55" i="15"/>
  <c r="Q21" i="15"/>
  <c r="EN335" i="48"/>
  <c r="BI63" i="70"/>
  <c r="BI64" i="70"/>
  <c r="BF63" i="70"/>
  <c r="BM13" i="70"/>
  <c r="BA13" i="70"/>
  <c r="BI11" i="70"/>
  <c r="BK10" i="70"/>
  <c r="BB10" i="70"/>
  <c r="J53" i="57"/>
  <c r="H70" i="56"/>
  <c r="CB700" i="12"/>
  <c r="CB701" i="12" s="1"/>
  <c r="BS517" i="12"/>
  <c r="O49" i="80"/>
  <c r="P387" i="12"/>
  <c r="O108" i="71" s="1"/>
  <c r="BY327" i="12"/>
  <c r="BY333" i="12" s="1"/>
  <c r="BY9" i="12" s="1"/>
  <c r="CK53" i="12"/>
  <c r="AQ24" i="33"/>
  <c r="BR43" i="15"/>
  <c r="CD43" i="15"/>
  <c r="R35" i="15"/>
  <c r="R43" i="15" s="1"/>
  <c r="H61" i="52"/>
  <c r="EF197" i="48"/>
  <c r="P10" i="91"/>
  <c r="I27" i="15"/>
  <c r="O7" i="64"/>
  <c r="BW44" i="14"/>
  <c r="O44" i="14" s="1"/>
  <c r="BG85" i="15"/>
  <c r="BG91" i="15" s="1"/>
  <c r="O24" i="48"/>
  <c r="N9" i="71" s="1"/>
  <c r="K133" i="14"/>
  <c r="C38" i="53" s="1"/>
  <c r="BM37" i="12"/>
  <c r="BM25" i="12"/>
  <c r="BM38" i="12"/>
  <c r="BM106" i="14"/>
  <c r="BM108" i="14" s="1"/>
  <c r="BM35" i="12"/>
  <c r="BM39" i="12"/>
  <c r="BD17" i="48"/>
  <c r="H5" i="63"/>
  <c r="H7" i="63" s="1"/>
  <c r="AA19" i="57"/>
  <c r="AW804" i="12"/>
  <c r="AT804" i="12"/>
  <c r="BV517" i="12"/>
  <c r="BQ495" i="12"/>
  <c r="CI281" i="12"/>
  <c r="BP163" i="33"/>
  <c r="J23" i="33"/>
  <c r="K165" i="33" s="1"/>
  <c r="BG16" i="33"/>
  <c r="AA17" i="57"/>
  <c r="K12" i="12"/>
  <c r="AT19" i="33"/>
  <c r="BC16" i="33"/>
  <c r="AZ17" i="33"/>
  <c r="AX804" i="12"/>
  <c r="BU617" i="12"/>
  <c r="CG495" i="12"/>
  <c r="CB495" i="12"/>
  <c r="BU327" i="12"/>
  <c r="BU333" i="12" s="1"/>
  <c r="BU326" i="12"/>
  <c r="BU332" i="12" s="1"/>
  <c r="BU8" i="12" s="1"/>
  <c r="BG14" i="12"/>
  <c r="BG106" i="14" s="1"/>
  <c r="N95" i="15"/>
  <c r="N100" i="15" s="1"/>
  <c r="Q41" i="15"/>
  <c r="AN73" i="14"/>
  <c r="G42" i="52"/>
  <c r="F61" i="53"/>
  <c r="G61" i="53" s="1"/>
  <c r="P16" i="91"/>
  <c r="P17" i="91" s="1"/>
  <c r="P18" i="91" s="1"/>
  <c r="R59" i="15"/>
  <c r="R64" i="15" s="1"/>
  <c r="U223" i="90"/>
  <c r="AH73" i="14"/>
  <c r="Q63" i="15"/>
  <c r="DN68" i="15"/>
  <c r="DN70" i="15" s="1"/>
  <c r="EC68" i="15"/>
  <c r="P41" i="15"/>
  <c r="P85" i="15" s="1"/>
  <c r="P91" i="15" s="1"/>
  <c r="O26" i="15"/>
  <c r="DX281" i="48"/>
  <c r="T519" i="12"/>
  <c r="S241" i="71" s="1"/>
  <c r="AL486" i="58"/>
  <c r="P41" i="52"/>
  <c r="P55" i="52" s="1"/>
  <c r="P6" i="52" s="1"/>
  <c r="P27" i="52" s="1"/>
  <c r="AL107" i="58"/>
  <c r="AQ39" i="15"/>
  <c r="X491" i="58"/>
  <c r="F33" i="57"/>
  <c r="CI298" i="12"/>
  <c r="AD483" i="58"/>
  <c r="D188" i="65"/>
  <c r="D235" i="65"/>
  <c r="L28" i="48"/>
  <c r="D236" i="65"/>
  <c r="L8" i="64"/>
  <c r="D194" i="65"/>
  <c r="D187" i="65"/>
  <c r="BH24" i="48"/>
  <c r="L9" i="58" s="1"/>
  <c r="BR73" i="14"/>
  <c r="BF49" i="15"/>
  <c r="AX46" i="15"/>
  <c r="AP26" i="15"/>
  <c r="BK13" i="15"/>
  <c r="L13" i="15" s="1"/>
  <c r="AM13" i="15"/>
  <c r="F13" i="15"/>
  <c r="BJ10" i="15"/>
  <c r="AK275" i="58"/>
  <c r="AM10" i="15"/>
  <c r="F10" i="15" s="1"/>
  <c r="BL17" i="48"/>
  <c r="BU500" i="12"/>
  <c r="BU503" i="12" s="1"/>
  <c r="BU504" i="12" s="1"/>
  <c r="BC17" i="48"/>
  <c r="BL500" i="12"/>
  <c r="T28" i="77"/>
  <c r="BJ328" i="77"/>
  <c r="BY24" i="48"/>
  <c r="AC9" i="58" s="1"/>
  <c r="BG24" i="48"/>
  <c r="K9" i="58" s="1"/>
  <c r="AV24" i="48"/>
  <c r="AX66" i="15"/>
  <c r="AL66" i="15"/>
  <c r="AM66" i="15" s="1"/>
  <c r="BJ31" i="15"/>
  <c r="BF10" i="15"/>
  <c r="CP670" i="12"/>
  <c r="CP673" i="12" s="1"/>
  <c r="AK490" i="58"/>
  <c r="BJ192" i="77"/>
  <c r="AK9" i="58"/>
  <c r="BJ670" i="12"/>
  <c r="BJ673" i="12" s="1"/>
  <c r="BF17" i="48"/>
  <c r="BO500" i="12"/>
  <c r="N107" i="14"/>
  <c r="N109" i="14" s="1"/>
  <c r="BJ24" i="48"/>
  <c r="N9" i="58" s="1"/>
  <c r="AT66" i="15"/>
  <c r="BF63" i="15"/>
  <c r="L23" i="15"/>
  <c r="S275" i="58"/>
  <c r="BM501" i="12"/>
  <c r="BM503" i="12"/>
  <c r="BM504" i="12" s="1"/>
  <c r="BT226" i="12"/>
  <c r="BQ206" i="14"/>
  <c r="C61" i="66"/>
  <c r="N18" i="14"/>
  <c r="BS20" i="14"/>
  <c r="BS78" i="14" s="1"/>
  <c r="L28" i="77"/>
  <c r="AJ7" i="64"/>
  <c r="BQ24" i="48"/>
  <c r="U9" i="58" s="1"/>
  <c r="K26" i="57"/>
  <c r="BB63" i="15"/>
  <c r="BC63" i="15"/>
  <c r="J63" i="15"/>
  <c r="AT60" i="15"/>
  <c r="BQ32" i="15"/>
  <c r="BR21" i="15"/>
  <c r="BS21" i="15" s="1"/>
  <c r="N21" i="15" s="1"/>
  <c r="BO11" i="15"/>
  <c r="M11" i="15"/>
  <c r="AQ10" i="15"/>
  <c r="G10" i="15"/>
  <c r="BJ9" i="15"/>
  <c r="BF8" i="15"/>
  <c r="BG8" i="15"/>
  <c r="AK483" i="58"/>
  <c r="CP298" i="12"/>
  <c r="BK26" i="15"/>
  <c r="L26" i="15"/>
  <c r="AU13" i="15"/>
  <c r="BP166" i="12"/>
  <c r="BP695" i="12" s="1"/>
  <c r="BI10" i="70"/>
  <c r="BD804" i="12"/>
  <c r="AT797" i="12"/>
  <c r="CK617" i="12"/>
  <c r="CK619" i="12" s="1"/>
  <c r="CC495" i="12"/>
  <c r="CA326" i="12"/>
  <c r="CA332" i="12" s="1"/>
  <c r="CA8" i="12" s="1"/>
  <c r="CE64" i="15"/>
  <c r="AN42" i="15"/>
  <c r="AN43" i="15" s="1"/>
  <c r="Q42" i="15"/>
  <c r="Q87" i="15" s="1"/>
  <c r="Q43" i="15"/>
  <c r="BV31" i="15"/>
  <c r="O31" i="15" s="1"/>
  <c r="H46" i="53"/>
  <c r="BH64" i="70"/>
  <c r="BX497" i="12"/>
  <c r="CA329" i="12"/>
  <c r="CA335" i="12" s="1"/>
  <c r="M5" i="48"/>
  <c r="K46" i="53"/>
  <c r="EA277" i="48"/>
  <c r="EC277" i="48" s="1"/>
  <c r="O17" i="91"/>
  <c r="O18" i="91"/>
  <c r="T274" i="12"/>
  <c r="AL101" i="58"/>
  <c r="BI27" i="70"/>
  <c r="BI29" i="70"/>
  <c r="BA14" i="70"/>
  <c r="AX20" i="33"/>
  <c r="AX104" i="33"/>
  <c r="AG20" i="48"/>
  <c r="AK87" i="15"/>
  <c r="AL42" i="15"/>
  <c r="AL87" i="15" s="1"/>
  <c r="T230" i="90"/>
  <c r="T229" i="90" s="1"/>
  <c r="D62" i="52"/>
  <c r="AQ50" i="15"/>
  <c r="I18" i="15"/>
  <c r="K24" i="48"/>
  <c r="J9" i="71" s="1"/>
  <c r="K7" i="64"/>
  <c r="AD20" i="48"/>
  <c r="AT104" i="33"/>
  <c r="AT20" i="33"/>
  <c r="CJ282" i="12"/>
  <c r="BW113" i="14"/>
  <c r="BN35" i="48" s="1"/>
  <c r="G74" i="66"/>
  <c r="AY46" i="15"/>
  <c r="I46" i="15" s="1"/>
  <c r="BK31" i="15"/>
  <c r="BG49" i="15"/>
  <c r="K49" i="15" s="1"/>
  <c r="BJ671" i="12"/>
  <c r="BO9" i="15"/>
  <c r="BI35" i="70"/>
  <c r="BI42" i="70"/>
  <c r="BI45" i="70" s="1"/>
  <c r="BI50" i="70" s="1"/>
  <c r="U228" i="90"/>
  <c r="AL484" i="58"/>
  <c r="T55" i="14"/>
  <c r="T55" i="15"/>
  <c r="T48" i="14"/>
  <c r="T49" i="15"/>
  <c r="T56" i="14"/>
  <c r="T52" i="33"/>
  <c r="T28" i="48" s="1"/>
  <c r="CQ55" i="12"/>
  <c r="CQ495" i="12"/>
  <c r="CQ43" i="12"/>
  <c r="CQ47" i="12"/>
  <c r="CQ826" i="12"/>
  <c r="AL358" i="58" s="1"/>
  <c r="AL359" i="58" s="1"/>
  <c r="T289" i="12"/>
  <c r="T8" i="12"/>
  <c r="BI16" i="33"/>
  <c r="CU163" i="33"/>
  <c r="BG163" i="33"/>
  <c r="AL19" i="33"/>
  <c r="BS143" i="33"/>
  <c r="P8" i="64"/>
  <c r="P28" i="48"/>
  <c r="H235" i="65"/>
  <c r="H187" i="65"/>
  <c r="BU163" i="33"/>
  <c r="BA16" i="33"/>
  <c r="AP115" i="33"/>
  <c r="CP9" i="15"/>
  <c r="CP184" i="14" s="1"/>
  <c r="BN163" i="33"/>
  <c r="AW24" i="33"/>
  <c r="K93" i="66"/>
  <c r="V100" i="71"/>
  <c r="V300" i="71"/>
  <c r="G133" i="53"/>
  <c r="G135" i="53" s="1"/>
  <c r="U655" i="12"/>
  <c r="BS239" i="12"/>
  <c r="BS697" i="12" s="1"/>
  <c r="BO9" i="80" s="1"/>
  <c r="BO11" i="80" s="1"/>
  <c r="CG59" i="80"/>
  <c r="CC59" i="80"/>
  <c r="BY59" i="80"/>
  <c r="BU59" i="80"/>
  <c r="CB56" i="80"/>
  <c r="CI53" i="80"/>
  <c r="CA53" i="80"/>
  <c r="BV49" i="48"/>
  <c r="AN24" i="48"/>
  <c r="BW35" i="48"/>
  <c r="BW10" i="48"/>
  <c r="J64" i="65"/>
  <c r="AG9" i="58"/>
  <c r="E242" i="66"/>
  <c r="O112" i="90"/>
  <c r="V208" i="58"/>
  <c r="CB517" i="12"/>
  <c r="BU619" i="12"/>
  <c r="N26" i="53"/>
  <c r="O26" i="53" s="1"/>
  <c r="T58" i="80"/>
  <c r="D384" i="65"/>
  <c r="AA490" i="58"/>
  <c r="CP671" i="12"/>
  <c r="BM87" i="70"/>
  <c r="P58" i="52"/>
  <c r="D380" i="65"/>
  <c r="BO213" i="14"/>
  <c r="T825" i="12"/>
  <c r="S303" i="71" s="1"/>
  <c r="D33" i="65"/>
  <c r="BM77" i="70"/>
  <c r="BH13" i="70"/>
  <c r="BI76" i="70"/>
  <c r="BX15" i="80"/>
  <c r="N83" i="77"/>
  <c r="W46" i="77"/>
  <c r="AF79" i="58"/>
  <c r="CD629" i="12"/>
  <c r="P46" i="77"/>
  <c r="P35" i="80"/>
  <c r="P36" i="80" s="1"/>
  <c r="P695" i="12"/>
  <c r="CI466" i="12"/>
  <c r="AD80" i="58"/>
  <c r="U52" i="77"/>
  <c r="CO47" i="12"/>
  <c r="CO55" i="12"/>
  <c r="AH107" i="14"/>
  <c r="AL109" i="14" s="1"/>
  <c r="BG161" i="33"/>
  <c r="F18" i="14"/>
  <c r="F20" i="14" s="1"/>
  <c r="F166" i="14"/>
  <c r="AW42" i="15"/>
  <c r="AV87" i="15"/>
  <c r="CN264" i="90"/>
  <c r="CN266" i="90"/>
  <c r="CM361" i="90"/>
  <c r="O46" i="53"/>
  <c r="CC24" i="48"/>
  <c r="J38" i="12"/>
  <c r="AM37" i="33"/>
  <c r="AY38" i="15"/>
  <c r="AC483" i="58"/>
  <c r="M665" i="12"/>
  <c r="BY501" i="12"/>
  <c r="BP17" i="48"/>
  <c r="J33" i="57"/>
  <c r="CD16" i="48"/>
  <c r="F28" i="77"/>
  <c r="BK24" i="48"/>
  <c r="O9" i="58" s="1"/>
  <c r="S10" i="48"/>
  <c r="H13" i="74"/>
  <c r="Q133" i="14"/>
  <c r="BT16" i="48"/>
  <c r="Q44" i="80"/>
  <c r="S825" i="12"/>
  <c r="CC826" i="12"/>
  <c r="BT41" i="12"/>
  <c r="CK18" i="14"/>
  <c r="AS145" i="33"/>
  <c r="S13" i="12"/>
  <c r="S14" i="33" s="1"/>
  <c r="BY295" i="12"/>
  <c r="T483" i="58" s="1"/>
  <c r="O387" i="12"/>
  <c r="BH77" i="70"/>
  <c r="CE50" i="12"/>
  <c r="CL55" i="12"/>
  <c r="BZ42" i="48"/>
  <c r="F4" i="59"/>
  <c r="BG10" i="70"/>
  <c r="BG77" i="70"/>
  <c r="P169" i="71"/>
  <c r="W83" i="77"/>
  <c r="AF356" i="58"/>
  <c r="BT15" i="80"/>
  <c r="J83" i="77"/>
  <c r="S356" i="58"/>
  <c r="S18" i="80"/>
  <c r="R368" i="71"/>
  <c r="BA804" i="12"/>
  <c r="O81" i="77"/>
  <c r="AM24" i="64"/>
  <c r="T368" i="58"/>
  <c r="AI24" i="64"/>
  <c r="P368" i="58"/>
  <c r="AE24" i="64"/>
  <c r="P44" i="80"/>
  <c r="CC629" i="12"/>
  <c r="X79" i="58"/>
  <c r="P38" i="80"/>
  <c r="P14" i="64"/>
  <c r="P464" i="12"/>
  <c r="O81" i="71" s="1"/>
  <c r="M52" i="77"/>
  <c r="V80" i="58"/>
  <c r="S464" i="12"/>
  <c r="R81" i="71" s="1"/>
  <c r="AH78" i="58"/>
  <c r="AR39" i="12"/>
  <c r="AR38" i="12"/>
  <c r="P36" i="77"/>
  <c r="CD53" i="12"/>
  <c r="CZ10" i="33"/>
  <c r="T34" i="77"/>
  <c r="AC360" i="58"/>
  <c r="AC361" i="58" s="1"/>
  <c r="CL43" i="12"/>
  <c r="CZ9" i="33"/>
  <c r="T33" i="77"/>
  <c r="CQ147" i="33"/>
  <c r="L18" i="14"/>
  <c r="L166" i="14"/>
  <c r="BP79" i="15"/>
  <c r="BP95" i="15"/>
  <c r="BP100" i="15"/>
  <c r="CQ228" i="90"/>
  <c r="P45" i="53"/>
  <c r="AI30" i="48"/>
  <c r="AM30" i="48"/>
  <c r="AH74" i="15"/>
  <c r="AH78" i="15" s="1"/>
  <c r="J37" i="12"/>
  <c r="AK95" i="15"/>
  <c r="AK100" i="15"/>
  <c r="AX75" i="15"/>
  <c r="CK501" i="12"/>
  <c r="BV671" i="12"/>
  <c r="BV46" i="14"/>
  <c r="BV59" i="14" s="1"/>
  <c r="T491" i="58"/>
  <c r="CB500" i="12"/>
  <c r="AH490" i="58"/>
  <c r="Q104" i="15"/>
  <c r="BO166" i="14"/>
  <c r="V490" i="58"/>
  <c r="N138" i="15"/>
  <c r="F32" i="57"/>
  <c r="Q825" i="12"/>
  <c r="P303" i="71" s="1"/>
  <c r="CI700" i="12"/>
  <c r="CI701" i="12" s="1"/>
  <c r="BM84" i="15"/>
  <c r="AN95" i="15"/>
  <c r="AN100" i="15" s="1"/>
  <c r="BY18" i="14"/>
  <c r="S387" i="12"/>
  <c r="R108" i="71" s="1"/>
  <c r="CL47" i="12"/>
  <c r="P377" i="12"/>
  <c r="BV42" i="48"/>
  <c r="CI6" i="80"/>
  <c r="BM76" i="70"/>
  <c r="BM74" i="70" s="1"/>
  <c r="BJ13" i="70"/>
  <c r="BK76" i="70"/>
  <c r="BK74" i="70"/>
  <c r="BB70" i="70"/>
  <c r="BB13" i="70"/>
  <c r="AD368" i="58"/>
  <c r="W356" i="58"/>
  <c r="CC15" i="80"/>
  <c r="S83" i="77"/>
  <c r="P41" i="80"/>
  <c r="O167" i="71"/>
  <c r="O38" i="80"/>
  <c r="P39" i="80" s="1"/>
  <c r="O697" i="12"/>
  <c r="O9" i="80" s="1"/>
  <c r="CH51" i="12"/>
  <c r="AY106" i="14"/>
  <c r="AY38" i="12"/>
  <c r="BO14" i="12"/>
  <c r="BO46" i="12"/>
  <c r="BO820" i="12"/>
  <c r="BS46" i="12"/>
  <c r="BL819" i="12"/>
  <c r="BK54" i="12"/>
  <c r="CG45" i="12"/>
  <c r="W35" i="77"/>
  <c r="CK44" i="12"/>
  <c r="CK52" i="12"/>
  <c r="CO44" i="12"/>
  <c r="CL52" i="12"/>
  <c r="CY11" i="33"/>
  <c r="CG52" i="12"/>
  <c r="AF360" i="58"/>
  <c r="CU165" i="33"/>
  <c r="AP166" i="14"/>
  <c r="CD46" i="14"/>
  <c r="CD59" i="14" s="1"/>
  <c r="N62" i="66"/>
  <c r="CE95" i="15"/>
  <c r="CE100" i="15" s="1"/>
  <c r="CE79" i="15"/>
  <c r="CB79" i="15"/>
  <c r="CB95" i="15"/>
  <c r="CB100" i="15" s="1"/>
  <c r="BX79" i="15"/>
  <c r="BX95" i="15"/>
  <c r="BX100" i="15" s="1"/>
  <c r="O153" i="90"/>
  <c r="O154" i="90" s="1"/>
  <c r="N154" i="90"/>
  <c r="BS184" i="90"/>
  <c r="N183" i="90"/>
  <c r="N184" i="90" s="1"/>
  <c r="AR74" i="15"/>
  <c r="AR76" i="15" s="1"/>
  <c r="BI74" i="70"/>
  <c r="BH74" i="70"/>
  <c r="S233" i="71"/>
  <c r="T18" i="80"/>
  <c r="BV223" i="14"/>
  <c r="BJ254" i="77"/>
  <c r="J36" i="12"/>
  <c r="F74" i="66"/>
  <c r="CN298" i="12"/>
  <c r="J104" i="15"/>
  <c r="CC673" i="12"/>
  <c r="CC837" i="12" s="1"/>
  <c r="CK629" i="12"/>
  <c r="CD495" i="12"/>
  <c r="BZ826" i="12"/>
  <c r="U358" i="58" s="1"/>
  <c r="CP47" i="12"/>
  <c r="BI10" i="48"/>
  <c r="P168" i="12"/>
  <c r="CC166" i="14"/>
  <c r="CC168" i="14" s="1"/>
  <c r="R238" i="33"/>
  <c r="R239" i="33" s="1"/>
  <c r="BY329" i="12"/>
  <c r="BY335" i="12" s="1"/>
  <c r="BY11" i="12" s="1"/>
  <c r="CP12" i="33" s="1"/>
  <c r="F20" i="63"/>
  <c r="CM55" i="12"/>
  <c r="CC15" i="48"/>
  <c r="S383" i="12"/>
  <c r="R105" i="71" s="1"/>
  <c r="CI120" i="14"/>
  <c r="R120" i="14" s="1"/>
  <c r="AP71" i="57"/>
  <c r="Q303" i="71"/>
  <c r="K83" i="77"/>
  <c r="K81" i="77"/>
  <c r="O46" i="77"/>
  <c r="K46" i="77"/>
  <c r="CB15" i="80"/>
  <c r="AA356" i="58"/>
  <c r="BY15" i="80"/>
  <c r="X356" i="58"/>
  <c r="X357" i="58" s="1"/>
  <c r="S82" i="77"/>
  <c r="AB370" i="58"/>
  <c r="BR9" i="80"/>
  <c r="H82" i="77"/>
  <c r="V368" i="58"/>
  <c r="AK24" i="64"/>
  <c r="AJ79" i="58"/>
  <c r="P80" i="58"/>
  <c r="G52" i="77"/>
  <c r="Z78" i="58"/>
  <c r="Q40" i="77"/>
  <c r="BM45" i="48"/>
  <c r="H40" i="77"/>
  <c r="J42" i="12"/>
  <c r="BR36" i="12"/>
  <c r="BR39" i="12"/>
  <c r="CI47" i="12"/>
  <c r="U17" i="77"/>
  <c r="BG55" i="12"/>
  <c r="BG47" i="12"/>
  <c r="BK47" i="12"/>
  <c r="CI14" i="33"/>
  <c r="CI160" i="33" s="1"/>
  <c r="BY85" i="15"/>
  <c r="BY91" i="15" s="1"/>
  <c r="AN85" i="15"/>
  <c r="AN91" i="15"/>
  <c r="AI40" i="15"/>
  <c r="AI86" i="15" s="1"/>
  <c r="AH86" i="15"/>
  <c r="EA279" i="48"/>
  <c r="EA281" i="48"/>
  <c r="EC281" i="48" s="1"/>
  <c r="L12" i="12"/>
  <c r="T182" i="33"/>
  <c r="CD109" i="14"/>
  <c r="EQ68" i="15"/>
  <c r="EQ70" i="15" s="1"/>
  <c r="V10" i="66"/>
  <c r="F55" i="63"/>
  <c r="BK64" i="70"/>
  <c r="BH63" i="70"/>
  <c r="BF11" i="70"/>
  <c r="U40" i="77"/>
  <c r="R36" i="77"/>
  <c r="BQ819" i="12"/>
  <c r="O695" i="12"/>
  <c r="CN281" i="12"/>
  <c r="CN282" i="12" s="1"/>
  <c r="CF45" i="12"/>
  <c r="CK55" i="12"/>
  <c r="L45" i="12"/>
  <c r="L42" i="12"/>
  <c r="CI165" i="33"/>
  <c r="BZ159" i="33"/>
  <c r="CD156" i="33"/>
  <c r="BV95" i="15"/>
  <c r="BV100" i="15"/>
  <c r="AV85" i="15"/>
  <c r="AV91" i="15" s="1"/>
  <c r="EG43" i="15"/>
  <c r="EG68" i="15" s="1"/>
  <c r="T21" i="15"/>
  <c r="DT291" i="48"/>
  <c r="DV291" i="48"/>
  <c r="CR137" i="14"/>
  <c r="CQ696" i="12"/>
  <c r="F36" i="63"/>
  <c r="C25" i="63"/>
  <c r="BB77" i="70"/>
  <c r="BB74" i="70" s="1"/>
  <c r="L9" i="70"/>
  <c r="M11" i="70" s="1"/>
  <c r="L11" i="70"/>
  <c r="AD78" i="58"/>
  <c r="J55" i="57"/>
  <c r="O17" i="77"/>
  <c r="BN819" i="12"/>
  <c r="BL804" i="12"/>
  <c r="N353" i="12"/>
  <c r="BV318" i="12"/>
  <c r="BV319" i="12"/>
  <c r="BN54" i="12"/>
  <c r="BF54" i="12"/>
  <c r="CM52" i="12"/>
  <c r="L43" i="12"/>
  <c r="M45" i="12"/>
  <c r="L44" i="12"/>
  <c r="DE204" i="33"/>
  <c r="S204" i="33" s="1"/>
  <c r="BI115" i="33"/>
  <c r="BI108" i="33"/>
  <c r="BI110" i="33" s="1"/>
  <c r="AW108" i="33"/>
  <c r="AW110" i="33" s="1"/>
  <c r="AH37" i="33"/>
  <c r="AY24" i="33"/>
  <c r="AT24" i="33"/>
  <c r="AO24" i="33"/>
  <c r="AQ163" i="33" s="1"/>
  <c r="BI19" i="33"/>
  <c r="AP20" i="48" s="1"/>
  <c r="F140" i="33"/>
  <c r="BT109" i="14"/>
  <c r="BQ100" i="14"/>
  <c r="L62" i="65"/>
  <c r="BT14" i="14"/>
  <c r="CN95" i="15"/>
  <c r="CN100" i="15"/>
  <c r="BR95" i="15"/>
  <c r="BR100" i="15"/>
  <c r="AH75" i="15"/>
  <c r="AH79" i="15"/>
  <c r="R227" i="90"/>
  <c r="Q271" i="90"/>
  <c r="CQ656" i="12"/>
  <c r="Q295" i="90"/>
  <c r="BI28" i="70"/>
  <c r="BJ15" i="70"/>
  <c r="BF29" i="70"/>
  <c r="BG52" i="15"/>
  <c r="K52" i="15" s="1"/>
  <c r="T55" i="80"/>
  <c r="BC10" i="15"/>
  <c r="J10" i="15" s="1"/>
  <c r="AY9" i="15"/>
  <c r="I9" i="15"/>
  <c r="CA298" i="12"/>
  <c r="BG166" i="14"/>
  <c r="BD110" i="33"/>
  <c r="F14" i="63"/>
  <c r="BG74" i="70"/>
  <c r="I35" i="12"/>
  <c r="S103" i="71"/>
  <c r="T387" i="12"/>
  <c r="S108" i="71" s="1"/>
  <c r="K31" i="15"/>
  <c r="G380" i="65"/>
  <c r="N825" i="12"/>
  <c r="BZ313" i="12"/>
  <c r="BZ314" i="12" s="1"/>
  <c r="BZ321" i="12" s="1"/>
  <c r="CQ62" i="33" s="1"/>
  <c r="S168" i="12"/>
  <c r="CN47" i="12"/>
  <c r="AX39" i="12"/>
  <c r="AR106" i="14"/>
  <c r="AR108" i="14" s="1"/>
  <c r="V17" i="77"/>
  <c r="BG46" i="12"/>
  <c r="CY12" i="33"/>
  <c r="CY142" i="33" s="1"/>
  <c r="CE53" i="12"/>
  <c r="M43" i="12"/>
  <c r="M217" i="33"/>
  <c r="CI96" i="33"/>
  <c r="BS163" i="33"/>
  <c r="BC109" i="33"/>
  <c r="R24" i="33"/>
  <c r="BP15" i="33"/>
  <c r="BB14" i="48"/>
  <c r="H62" i="65"/>
  <c r="AZ73" i="14"/>
  <c r="CD79" i="15"/>
  <c r="I62" i="15"/>
  <c r="EK43" i="15"/>
  <c r="EK68" i="15" s="1"/>
  <c r="EF68" i="15"/>
  <c r="EB68" i="15"/>
  <c r="DW68" i="15"/>
  <c r="DW70" i="15" s="1"/>
  <c r="P31" i="15"/>
  <c r="H41" i="53" s="1"/>
  <c r="EC273" i="48"/>
  <c r="BM49" i="12"/>
  <c r="N199" i="90"/>
  <c r="CM665" i="12"/>
  <c r="BM46" i="12"/>
  <c r="K44" i="12"/>
  <c r="BB54" i="12"/>
  <c r="CO43" i="12"/>
  <c r="BW163" i="33"/>
  <c r="AI37" i="33"/>
  <c r="BF166" i="14"/>
  <c r="AG73" i="14"/>
  <c r="AG75" i="14" s="1"/>
  <c r="BB73" i="14"/>
  <c r="L46" i="15"/>
  <c r="EP68" i="15"/>
  <c r="EP70" i="15" s="1"/>
  <c r="EO32" i="15"/>
  <c r="M50" i="52"/>
  <c r="L50" i="52"/>
  <c r="BW113" i="90"/>
  <c r="BX111" i="90"/>
  <c r="CA218" i="90"/>
  <c r="U46" i="15"/>
  <c r="CD665" i="12"/>
  <c r="O261" i="12"/>
  <c r="CM224" i="12"/>
  <c r="N44" i="12"/>
  <c r="K43" i="12"/>
  <c r="CY149" i="33"/>
  <c r="F139" i="33"/>
  <c r="AR166" i="14"/>
  <c r="H64" i="65"/>
  <c r="K77" i="65"/>
  <c r="C77" i="65"/>
  <c r="CI95" i="15"/>
  <c r="CI100" i="15"/>
  <c r="K57" i="53"/>
  <c r="U13" i="15"/>
  <c r="BY41" i="90"/>
  <c r="CF180" i="90"/>
  <c r="CG178" i="90"/>
  <c r="CG180" i="90" s="1"/>
  <c r="CB220" i="90"/>
  <c r="CC219" i="90" s="1"/>
  <c r="CC220" i="90" s="1"/>
  <c r="P295" i="90"/>
  <c r="CQ226" i="14"/>
  <c r="CQ227" i="14" s="1"/>
  <c r="CQ296" i="90"/>
  <c r="CR294" i="90" s="1"/>
  <c r="R295" i="90"/>
  <c r="S294" i="90"/>
  <c r="S295" i="90" s="1"/>
  <c r="CG355" i="90"/>
  <c r="CF358" i="90"/>
  <c r="CF145" i="90"/>
  <c r="CG358" i="90"/>
  <c r="CF355" i="90"/>
  <c r="N88" i="90"/>
  <c r="CR270" i="90"/>
  <c r="CR272" i="90"/>
  <c r="T272" i="90"/>
  <c r="CH349" i="90"/>
  <c r="CH228" i="90"/>
  <c r="CI347" i="90"/>
  <c r="N134" i="90"/>
  <c r="BP160" i="90"/>
  <c r="BQ158" i="90" s="1"/>
  <c r="BQ160" i="90" s="1"/>
  <c r="BR158" i="90" s="1"/>
  <c r="BR160" i="90" s="1"/>
  <c r="BS158" i="90" s="1"/>
  <c r="BS160" i="90" s="1"/>
  <c r="CF165" i="90"/>
  <c r="CG163" i="90" s="1"/>
  <c r="CG165" i="90" s="1"/>
  <c r="BP170" i="90"/>
  <c r="BQ168" i="90" s="1"/>
  <c r="BQ170" i="90" s="1"/>
  <c r="BR168" i="90" s="1"/>
  <c r="BR170" i="90" s="1"/>
  <c r="BS168" i="90" s="1"/>
  <c r="BS170" i="90" s="1"/>
  <c r="O133" i="90"/>
  <c r="O134" i="90" s="1"/>
  <c r="BH113" i="14"/>
  <c r="AY35" i="48" s="1"/>
  <c r="BH28" i="90"/>
  <c r="BP140" i="90"/>
  <c r="BQ138" i="90" s="1"/>
  <c r="BQ140" i="90" s="1"/>
  <c r="BR138" i="90" s="1"/>
  <c r="BR140" i="90" s="1"/>
  <c r="BS138" i="90" s="1"/>
  <c r="N123" i="90"/>
  <c r="CF228" i="90"/>
  <c r="P259" i="90"/>
  <c r="CA93" i="90"/>
  <c r="CA95" i="90"/>
  <c r="BZ352" i="90"/>
  <c r="R230" i="90"/>
  <c r="R229" i="90"/>
  <c r="CI349" i="90"/>
  <c r="CI348" i="90" s="1"/>
  <c r="CJ228" i="90"/>
  <c r="CJ349" i="90"/>
  <c r="O236" i="90"/>
  <c r="P234" i="90"/>
  <c r="BX234" i="90"/>
  <c r="BX236" i="90" s="1"/>
  <c r="BY234" i="90" s="1"/>
  <c r="BY236" i="90" s="1"/>
  <c r="BZ234" i="90" s="1"/>
  <c r="BZ236" i="90" s="1"/>
  <c r="CA234" i="90" s="1"/>
  <c r="CA236" i="90" s="1"/>
  <c r="BK83" i="90"/>
  <c r="BL81" i="90" s="1"/>
  <c r="BL83" i="90" s="1"/>
  <c r="BM81" i="90" s="1"/>
  <c r="BM83" i="90" s="1"/>
  <c r="BN81" i="90" s="1"/>
  <c r="BN83" i="90" s="1"/>
  <c r="BO81" i="90" s="1"/>
  <c r="L81" i="90"/>
  <c r="CB47" i="90"/>
  <c r="N94" i="90"/>
  <c r="L195" i="90"/>
  <c r="BU119" i="90"/>
  <c r="BV117" i="90" s="1"/>
  <c r="CI246" i="90"/>
  <c r="CI248" i="90"/>
  <c r="BX301" i="12"/>
  <c r="BX302" i="12" s="1"/>
  <c r="BX299" i="12"/>
  <c r="AP73" i="57"/>
  <c r="BO299" i="12"/>
  <c r="AU15" i="15"/>
  <c r="J26" i="15"/>
  <c r="BQ299" i="12"/>
  <c r="AM147" i="33"/>
  <c r="O200" i="90"/>
  <c r="O199" i="90" s="1"/>
  <c r="P198" i="90"/>
  <c r="BZ200" i="90"/>
  <c r="BZ341" i="90" s="1"/>
  <c r="N11" i="15"/>
  <c r="BR213" i="14"/>
  <c r="BF23" i="15"/>
  <c r="AR95" i="15"/>
  <c r="AR100" i="15"/>
  <c r="AR79" i="15"/>
  <c r="AP55" i="15"/>
  <c r="BF40" i="15"/>
  <c r="BD20" i="33"/>
  <c r="BY298" i="12"/>
  <c r="K31" i="57"/>
  <c r="BT106" i="14"/>
  <c r="BT35" i="12"/>
  <c r="BT39" i="12"/>
  <c r="BT36" i="12"/>
  <c r="BN64" i="70"/>
  <c r="BN63" i="70"/>
  <c r="BN13" i="70"/>
  <c r="BO76" i="70"/>
  <c r="BO74" i="70" s="1"/>
  <c r="BN77" i="70"/>
  <c r="BN74" i="70" s="1"/>
  <c r="BN10" i="70"/>
  <c r="T38" i="56"/>
  <c r="H83" i="77"/>
  <c r="Q356" i="58"/>
  <c r="BX9" i="80"/>
  <c r="W370" i="58"/>
  <c r="AJ368" i="58"/>
  <c r="W81" i="77"/>
  <c r="CG6" i="80"/>
  <c r="R44" i="80"/>
  <c r="R679" i="12"/>
  <c r="O679" i="12"/>
  <c r="N169" i="71"/>
  <c r="CI629" i="12"/>
  <c r="AD79" i="58"/>
  <c r="Q58" i="80"/>
  <c r="Q509" i="12"/>
  <c r="Q464" i="12"/>
  <c r="P81" i="71" s="1"/>
  <c r="Z80" i="58"/>
  <c r="CF295" i="12"/>
  <c r="CF298" i="12" s="1"/>
  <c r="CF299" i="12" s="1"/>
  <c r="F15" i="78"/>
  <c r="R27" i="80"/>
  <c r="R275" i="12"/>
  <c r="BR45" i="48"/>
  <c r="M40" i="77"/>
  <c r="O252" i="12"/>
  <c r="I40" i="77"/>
  <c r="CN226" i="12"/>
  <c r="BW226" i="12"/>
  <c r="J43" i="12"/>
  <c r="CD55" i="12"/>
  <c r="P17" i="77"/>
  <c r="CH47" i="12"/>
  <c r="CE55" i="12"/>
  <c r="BR46" i="12"/>
  <c r="BR54" i="12"/>
  <c r="BS819" i="12"/>
  <c r="BS818" i="12" s="1"/>
  <c r="BR820" i="12"/>
  <c r="BR38" i="12"/>
  <c r="BK46" i="12"/>
  <c r="BL820" i="12"/>
  <c r="BL818" i="12" s="1"/>
  <c r="BK14" i="12"/>
  <c r="BL54" i="12"/>
  <c r="BH14" i="12"/>
  <c r="BL46" i="12"/>
  <c r="BH46" i="12"/>
  <c r="BD54" i="12"/>
  <c r="BD14" i="12"/>
  <c r="BD46" i="12"/>
  <c r="CO45" i="12"/>
  <c r="CZ11" i="33"/>
  <c r="CH12" i="12"/>
  <c r="CL44" i="12"/>
  <c r="CH52" i="12"/>
  <c r="T35" i="77"/>
  <c r="CE52" i="12"/>
  <c r="P35" i="77"/>
  <c r="AE360" i="58"/>
  <c r="Q34" i="77"/>
  <c r="CE51" i="12"/>
  <c r="DE9" i="33"/>
  <c r="CM50" i="12"/>
  <c r="M12" i="12"/>
  <c r="H45" i="33"/>
  <c r="S26" i="33"/>
  <c r="DD31" i="33"/>
  <c r="CL10" i="15"/>
  <c r="CI205" i="15"/>
  <c r="CI10" i="15"/>
  <c r="DB163" i="33"/>
  <c r="BH163" i="33"/>
  <c r="BM147" i="33"/>
  <c r="BY24" i="33"/>
  <c r="AZ18" i="33"/>
  <c r="G18" i="33" s="1"/>
  <c r="AO107" i="14"/>
  <c r="AS109" i="14" s="1"/>
  <c r="AW19" i="33"/>
  <c r="AW104" i="33" s="1"/>
  <c r="CB159" i="33"/>
  <c r="BU15" i="33"/>
  <c r="BU143" i="33"/>
  <c r="J3" i="71"/>
  <c r="K4" i="90"/>
  <c r="BH18" i="14"/>
  <c r="BH20" i="14" s="1"/>
  <c r="BH166" i="14"/>
  <c r="AS166" i="14"/>
  <c r="AS18" i="14"/>
  <c r="AS20" i="14" s="1"/>
  <c r="AS28" i="14" s="1"/>
  <c r="BC71" i="14"/>
  <c r="BD100" i="14"/>
  <c r="BU14" i="14"/>
  <c r="BV64" i="15"/>
  <c r="O49" i="15"/>
  <c r="AR84" i="15"/>
  <c r="AS38" i="15"/>
  <c r="K47" i="52"/>
  <c r="K50" i="52"/>
  <c r="K49" i="52" s="1"/>
  <c r="K122" i="52" s="1"/>
  <c r="CP12" i="12"/>
  <c r="CP14" i="12" s="1"/>
  <c r="CP383" i="12"/>
  <c r="CP281" i="12"/>
  <c r="BK35" i="90"/>
  <c r="L35" i="90" s="1"/>
  <c r="BL33" i="90"/>
  <c r="BL35" i="90" s="1"/>
  <c r="L33" i="90"/>
  <c r="O117" i="90"/>
  <c r="P117" i="90" s="1"/>
  <c r="Q117" i="90" s="1"/>
  <c r="R117" i="90" s="1"/>
  <c r="S117" i="90" s="1"/>
  <c r="T117" i="90" s="1"/>
  <c r="U117" i="90" s="1"/>
  <c r="CG143" i="90"/>
  <c r="CG145" i="90" s="1"/>
  <c r="Q143" i="90"/>
  <c r="Q144" i="90" s="1"/>
  <c r="Q188" i="90"/>
  <c r="Q189" i="90" s="1"/>
  <c r="R259" i="90"/>
  <c r="N104" i="15"/>
  <c r="X271" i="12"/>
  <c r="AP29" i="15"/>
  <c r="AV95" i="15"/>
  <c r="AV79" i="15"/>
  <c r="AJ9" i="58"/>
  <c r="O4" i="59"/>
  <c r="BP77" i="70"/>
  <c r="BP74" i="70" s="1"/>
  <c r="BK13" i="70"/>
  <c r="BL10" i="70"/>
  <c r="AR80" i="57"/>
  <c r="AP85" i="57"/>
  <c r="AW85" i="57"/>
  <c r="G11" i="57"/>
  <c r="E13" i="57"/>
  <c r="W166" i="71"/>
  <c r="W300" i="71"/>
  <c r="S100" i="71"/>
  <c r="S300" i="71"/>
  <c r="AI356" i="58"/>
  <c r="AJ357" i="58" s="1"/>
  <c r="M82" i="77"/>
  <c r="V370" i="58"/>
  <c r="AE368" i="58"/>
  <c r="AF369" i="58" s="1"/>
  <c r="AB368" i="58"/>
  <c r="BX42" i="48"/>
  <c r="P81" i="77"/>
  <c r="AN24" i="64"/>
  <c r="Y368" i="58"/>
  <c r="Z369" i="58" s="1"/>
  <c r="BZ6" i="80"/>
  <c r="T46" i="77"/>
  <c r="CH629" i="12"/>
  <c r="V79" i="58"/>
  <c r="P627" i="12"/>
  <c r="O80" i="71"/>
  <c r="P58" i="80"/>
  <c r="Q59" i="80" s="1"/>
  <c r="O235" i="71"/>
  <c r="P509" i="12"/>
  <c r="AJ80" i="58"/>
  <c r="W52" i="77"/>
  <c r="AF80" i="58"/>
  <c r="CD466" i="12"/>
  <c r="P52" i="77"/>
  <c r="O464" i="12"/>
  <c r="R80" i="58"/>
  <c r="R697" i="12"/>
  <c r="R464" i="12"/>
  <c r="Q81" i="71" s="1"/>
  <c r="Q49" i="80"/>
  <c r="Q50" i="80" s="1"/>
  <c r="Q695" i="12"/>
  <c r="Q27" i="80"/>
  <c r="P101" i="71"/>
  <c r="BQ45" i="48"/>
  <c r="U78" i="58"/>
  <c r="S24" i="80"/>
  <c r="S12" i="64"/>
  <c r="S252" i="12"/>
  <c r="R79" i="71" s="1"/>
  <c r="O248" i="12"/>
  <c r="O383" i="12" s="1"/>
  <c r="O24" i="80"/>
  <c r="P25" i="80" s="1"/>
  <c r="O12" i="64"/>
  <c r="P248" i="12"/>
  <c r="P383" i="12" s="1"/>
  <c r="CG47" i="12"/>
  <c r="BX15" i="48"/>
  <c r="BQ46" i="12"/>
  <c r="BQ14" i="12"/>
  <c r="BR49" i="12" s="1"/>
  <c r="BN14" i="12"/>
  <c r="BO54" i="12"/>
  <c r="BN46" i="12"/>
  <c r="BO819" i="12"/>
  <c r="BN820" i="12"/>
  <c r="BN818" i="12" s="1"/>
  <c r="BC14" i="12"/>
  <c r="BC46" i="12"/>
  <c r="L18" i="64"/>
  <c r="CN45" i="12"/>
  <c r="CN53" i="12"/>
  <c r="CJ45" i="12"/>
  <c r="CJ53" i="12"/>
  <c r="CF53" i="12"/>
  <c r="CU11" i="33"/>
  <c r="CC52" i="12"/>
  <c r="CH43" i="12"/>
  <c r="CD51" i="12"/>
  <c r="Y360" i="58"/>
  <c r="CV10" i="33"/>
  <c r="CL42" i="12"/>
  <c r="CP42" i="12"/>
  <c r="CU9" i="33"/>
  <c r="CC12" i="12"/>
  <c r="CG42" i="12"/>
  <c r="CC50" i="12"/>
  <c r="O33" i="77"/>
  <c r="CT239" i="33"/>
  <c r="I188" i="65"/>
  <c r="CA147" i="33"/>
  <c r="CF147" i="33"/>
  <c r="CB163" i="33"/>
  <c r="BB24" i="33"/>
  <c r="AY19" i="33"/>
  <c r="AQ107" i="14"/>
  <c r="AU109" i="14" s="1"/>
  <c r="BW64" i="48"/>
  <c r="Q107" i="14"/>
  <c r="BG108" i="33"/>
  <c r="BH161" i="33"/>
  <c r="AZ115" i="33"/>
  <c r="AZ16" i="33"/>
  <c r="AR14" i="48"/>
  <c r="J5" i="48"/>
  <c r="J4" i="64"/>
  <c r="R702" i="12"/>
  <c r="N13" i="56"/>
  <c r="CA35" i="48"/>
  <c r="CA10" i="48"/>
  <c r="H241" i="65"/>
  <c r="H243" i="65" s="1"/>
  <c r="H240" i="66"/>
  <c r="H242" i="66" s="1"/>
  <c r="H84" i="65"/>
  <c r="BY79" i="15"/>
  <c r="BY95" i="15"/>
  <c r="BY100" i="15" s="1"/>
  <c r="DJ64" i="15"/>
  <c r="DJ68" i="15"/>
  <c r="DJ70" i="15" s="1"/>
  <c r="AJ55" i="15"/>
  <c r="AK55" i="15" s="1"/>
  <c r="BD87" i="15"/>
  <c r="BE42" i="15"/>
  <c r="AR87" i="15"/>
  <c r="AS42" i="15"/>
  <c r="AZ85" i="15"/>
  <c r="AZ91" i="15" s="1"/>
  <c r="BB41" i="15"/>
  <c r="BD43" i="15"/>
  <c r="BE38" i="15"/>
  <c r="BD75" i="15"/>
  <c r="BD79" i="15"/>
  <c r="DG31" i="33"/>
  <c r="CO205" i="15"/>
  <c r="BL27" i="48"/>
  <c r="BV312" i="90"/>
  <c r="H30" i="15"/>
  <c r="BM104" i="33"/>
  <c r="BM20" i="33"/>
  <c r="J62" i="52"/>
  <c r="J63" i="52" s="1"/>
  <c r="AP58" i="15"/>
  <c r="J377" i="66"/>
  <c r="I379" i="66"/>
  <c r="F38" i="63"/>
  <c r="I33" i="65"/>
  <c r="I384" i="65"/>
  <c r="J378" i="65"/>
  <c r="BL64" i="70"/>
  <c r="BG64" i="70"/>
  <c r="BG63" i="70"/>
  <c r="BQ166" i="12"/>
  <c r="BQ695" i="12" s="1"/>
  <c r="BN55" i="70"/>
  <c r="BJ11" i="70"/>
  <c r="BJ70" i="70"/>
  <c r="R100" i="71"/>
  <c r="R166" i="71"/>
  <c r="CN698" i="12"/>
  <c r="AI370" i="58"/>
  <c r="V82" i="77"/>
  <c r="CJ826" i="12"/>
  <c r="CF9" i="80"/>
  <c r="CF11" i="80" s="1"/>
  <c r="AH368" i="58"/>
  <c r="CD42" i="48"/>
  <c r="CM120" i="14"/>
  <c r="BW700" i="12"/>
  <c r="BW701" i="12" s="1"/>
  <c r="AG24" i="64"/>
  <c r="BN42" i="48"/>
  <c r="CG629" i="12"/>
  <c r="AB79" i="58"/>
  <c r="CC466" i="12"/>
  <c r="X80" i="58"/>
  <c r="Q13" i="64"/>
  <c r="Q52" i="80"/>
  <c r="CI515" i="12"/>
  <c r="CM516" i="12" s="1"/>
  <c r="CI478" i="12"/>
  <c r="CE456" i="12"/>
  <c r="S30" i="80"/>
  <c r="S377" i="12"/>
  <c r="CL298" i="12"/>
  <c r="CL301" i="12" s="1"/>
  <c r="CO295" i="12"/>
  <c r="CO281" i="12"/>
  <c r="CO282" i="12" s="1"/>
  <c r="CK281" i="12"/>
  <c r="CK282" i="12" s="1"/>
  <c r="CK295" i="12"/>
  <c r="BT45" i="48"/>
  <c r="O40" i="77"/>
  <c r="BP45" i="48"/>
  <c r="K40" i="77"/>
  <c r="BL45" i="48"/>
  <c r="G40" i="77"/>
  <c r="O242" i="12"/>
  <c r="CK226" i="12"/>
  <c r="CG55" i="12"/>
  <c r="BC54" i="12"/>
  <c r="CC53" i="12"/>
  <c r="CD52" i="12"/>
  <c r="K45" i="12"/>
  <c r="CG44" i="12"/>
  <c r="BR106" i="14"/>
  <c r="BR128" i="14" s="1"/>
  <c r="BR34" i="12"/>
  <c r="BR35" i="12"/>
  <c r="BR37" i="12"/>
  <c r="BR25" i="12"/>
  <c r="R17" i="77"/>
  <c r="R13" i="12"/>
  <c r="R14" i="33" s="1"/>
  <c r="AM144" i="33" s="1"/>
  <c r="BW15" i="48"/>
  <c r="CJ47" i="12"/>
  <c r="CF55" i="12"/>
  <c r="BS15" i="48"/>
  <c r="N17" i="77"/>
  <c r="CT14" i="33"/>
  <c r="BT54" i="12"/>
  <c r="BU819" i="12"/>
  <c r="BT820" i="12"/>
  <c r="BT818" i="12" s="1"/>
  <c r="BT38" i="12"/>
  <c r="BF46" i="12"/>
  <c r="BF14" i="12"/>
  <c r="BG54" i="12"/>
  <c r="CM53" i="12"/>
  <c r="CJ44" i="12"/>
  <c r="R35" i="77"/>
  <c r="CX11" i="33"/>
  <c r="CF44" i="12"/>
  <c r="CT11" i="33"/>
  <c r="N35" i="77"/>
  <c r="Q10" i="12"/>
  <c r="CL51" i="12"/>
  <c r="AG360" i="58"/>
  <c r="CM51" i="12"/>
  <c r="CU10" i="33"/>
  <c r="O34" i="77"/>
  <c r="DG9" i="33"/>
  <c r="CO42" i="12"/>
  <c r="CO50" i="12"/>
  <c r="CO12" i="12"/>
  <c r="CO54" i="12" s="1"/>
  <c r="CP50" i="12"/>
  <c r="CK50" i="12"/>
  <c r="W33" i="77"/>
  <c r="Q8" i="12"/>
  <c r="CT9" i="33"/>
  <c r="O141" i="15"/>
  <c r="O148" i="15"/>
  <c r="CN226" i="14"/>
  <c r="CN227" i="14" s="1"/>
  <c r="DG165" i="33"/>
  <c r="CC226" i="14"/>
  <c r="CC227" i="14" s="1"/>
  <c r="CU89" i="33"/>
  <c r="L45" i="66"/>
  <c r="DF89" i="33"/>
  <c r="BJ268" i="77"/>
  <c r="DH147" i="33"/>
  <c r="CY89" i="33"/>
  <c r="BJ346" i="77"/>
  <c r="CT147" i="33"/>
  <c r="C45" i="66"/>
  <c r="EA222" i="48"/>
  <c r="CK163" i="33"/>
  <c r="CJ89" i="33"/>
  <c r="CD24" i="33"/>
  <c r="CD147" i="33" s="1"/>
  <c r="AK107" i="14"/>
  <c r="AO109" i="14" s="1"/>
  <c r="AR19" i="33"/>
  <c r="BB16" i="33"/>
  <c r="F15" i="33"/>
  <c r="BW143" i="33"/>
  <c r="BW159" i="33"/>
  <c r="BW15" i="33"/>
  <c r="AJ166" i="14"/>
  <c r="BE166" i="14"/>
  <c r="BE18" i="14"/>
  <c r="BE20" i="14" s="1"/>
  <c r="BU35" i="48"/>
  <c r="BU10" i="48"/>
  <c r="BC33" i="14"/>
  <c r="BC46" i="14" s="1"/>
  <c r="BC59" i="14" s="1"/>
  <c r="BC73" i="14" s="1"/>
  <c r="J32" i="14"/>
  <c r="J33" i="14" s="1"/>
  <c r="F33" i="14"/>
  <c r="F46" i="14" s="1"/>
  <c r="F59" i="14" s="1"/>
  <c r="BL43" i="15"/>
  <c r="BL85" i="15"/>
  <c r="BL91" i="15" s="1"/>
  <c r="DS68" i="15"/>
  <c r="DS70" i="15" s="1"/>
  <c r="DG68" i="15"/>
  <c r="DG70" i="15" s="1"/>
  <c r="N31" i="15"/>
  <c r="I21" i="15"/>
  <c r="BU213" i="14"/>
  <c r="BU218" i="14" s="1"/>
  <c r="BU219" i="14" s="1"/>
  <c r="BV11" i="15"/>
  <c r="L41" i="52"/>
  <c r="L6" i="52"/>
  <c r="L27" i="52" s="1"/>
  <c r="DU315" i="48"/>
  <c r="DV267" i="48"/>
  <c r="EF267" i="48"/>
  <c r="CP53" i="12"/>
  <c r="AK356" i="58"/>
  <c r="P178" i="90"/>
  <c r="P179" i="90" s="1"/>
  <c r="O183" i="90"/>
  <c r="N189" i="90"/>
  <c r="O188" i="90"/>
  <c r="CG252" i="90"/>
  <c r="CG254" i="90" s="1"/>
  <c r="CH252" i="90" s="1"/>
  <c r="CH254" i="90" s="1"/>
  <c r="CF359" i="90"/>
  <c r="CQ50" i="12"/>
  <c r="DI9" i="33"/>
  <c r="DI139" i="33" s="1"/>
  <c r="AX24" i="15"/>
  <c r="BS19" i="33"/>
  <c r="AX13" i="48"/>
  <c r="AX18" i="48" s="1"/>
  <c r="BS109" i="33"/>
  <c r="BS117" i="33"/>
  <c r="G106" i="14"/>
  <c r="G108" i="14" s="1"/>
  <c r="G13" i="48"/>
  <c r="G18" i="48" s="1"/>
  <c r="F4" i="71"/>
  <c r="BM17" i="33"/>
  <c r="BM117" i="33"/>
  <c r="BM145" i="33"/>
  <c r="AQ104" i="33"/>
  <c r="AA20" i="48"/>
  <c r="CG196" i="33"/>
  <c r="CF198" i="33"/>
  <c r="CF197" i="33" s="1"/>
  <c r="BO63" i="70"/>
  <c r="BO64" i="70"/>
  <c r="BL11" i="70"/>
  <c r="D4" i="59"/>
  <c r="BE13" i="70"/>
  <c r="BE15" i="70" s="1"/>
  <c r="BF10" i="70"/>
  <c r="BE11" i="70"/>
  <c r="BE70" i="70"/>
  <c r="D41" i="57"/>
  <c r="CI9" i="80"/>
  <c r="AA370" i="58"/>
  <c r="CB9" i="80"/>
  <c r="CF698" i="12"/>
  <c r="CL120" i="14"/>
  <c r="BV120" i="14"/>
  <c r="Q368" i="58"/>
  <c r="Q369" i="58" s="1"/>
  <c r="CF629" i="12"/>
  <c r="R46" i="77"/>
  <c r="S697" i="12"/>
  <c r="S38" i="80"/>
  <c r="S14" i="64"/>
  <c r="S627" i="12"/>
  <c r="R80" i="71" s="1"/>
  <c r="Q235" i="71"/>
  <c r="R236" i="71" s="1"/>
  <c r="R509" i="12"/>
  <c r="R58" i="80"/>
  <c r="S59" i="80" s="1"/>
  <c r="S55" i="80"/>
  <c r="R233" i="71"/>
  <c r="AH80" i="58"/>
  <c r="N52" i="77"/>
  <c r="CB466" i="12"/>
  <c r="R30" i="80"/>
  <c r="S31" i="80" s="1"/>
  <c r="Q103" i="71"/>
  <c r="R295" i="12"/>
  <c r="N295" i="12"/>
  <c r="N298" i="12" s="1"/>
  <c r="CG281" i="12"/>
  <c r="CG282" i="12" s="1"/>
  <c r="CG295" i="12"/>
  <c r="BW327" i="12"/>
  <c r="BW333" i="12" s="1"/>
  <c r="R4" i="59"/>
  <c r="BW326" i="12"/>
  <c r="BW332" i="12" s="1"/>
  <c r="BW8" i="12" s="1"/>
  <c r="I33" i="77" s="1"/>
  <c r="P4" i="59"/>
  <c r="BU295" i="12"/>
  <c r="BU298" i="12"/>
  <c r="S27" i="80"/>
  <c r="S28" i="80" s="1"/>
  <c r="R101" i="71"/>
  <c r="W78" i="58"/>
  <c r="CB255" i="12"/>
  <c r="BS45" i="48"/>
  <c r="Q12" i="64"/>
  <c r="R248" i="12"/>
  <c r="R383" i="12" s="1"/>
  <c r="R250" i="12"/>
  <c r="AU39" i="12"/>
  <c r="CM47" i="12"/>
  <c r="CJ55" i="12"/>
  <c r="DA14" i="33"/>
  <c r="CI55" i="12"/>
  <c r="BH55" i="12"/>
  <c r="K13" i="12"/>
  <c r="H14" i="12"/>
  <c r="H18" i="64"/>
  <c r="DD12" i="33"/>
  <c r="CL45" i="12"/>
  <c r="DA11" i="33"/>
  <c r="DC10" i="33"/>
  <c r="CK43" i="12"/>
  <c r="CT10" i="33"/>
  <c r="W360" i="58"/>
  <c r="W361" i="58" s="1"/>
  <c r="Q9" i="12"/>
  <c r="Q10" i="33" s="1"/>
  <c r="CN50" i="12"/>
  <c r="V33" i="77"/>
  <c r="CJ50" i="12"/>
  <c r="CJ42" i="12"/>
  <c r="S8" i="12"/>
  <c r="T42" i="12" s="1"/>
  <c r="CW9" i="33"/>
  <c r="Q33" i="77"/>
  <c r="CI42" i="12"/>
  <c r="CF50" i="12"/>
  <c r="AY110" i="33"/>
  <c r="Q62" i="33"/>
  <c r="N237" i="66"/>
  <c r="K236" i="65"/>
  <c r="S26" i="48"/>
  <c r="K188" i="65"/>
  <c r="DH149" i="33"/>
  <c r="DC149" i="33"/>
  <c r="DC165" i="33"/>
  <c r="CD165" i="33"/>
  <c r="AZ27" i="33"/>
  <c r="G27" i="33" s="1"/>
  <c r="AY31" i="33"/>
  <c r="BJ284" i="77"/>
  <c r="CC163" i="33"/>
  <c r="CC147" i="33"/>
  <c r="CE163" i="33"/>
  <c r="AM107" i="14"/>
  <c r="AQ109" i="14" s="1"/>
  <c r="AT145" i="33"/>
  <c r="AP18" i="33"/>
  <c r="AM145" i="33"/>
  <c r="AG107" i="14"/>
  <c r="AK109" i="14" s="1"/>
  <c r="BF16" i="33"/>
  <c r="BF161" i="33"/>
  <c r="BI145" i="33"/>
  <c r="AT18" i="14"/>
  <c r="AT20" i="14" s="1"/>
  <c r="AT28" i="14" s="1"/>
  <c r="AT166" i="14"/>
  <c r="CN133" i="14"/>
  <c r="Z28" i="77" s="1"/>
  <c r="BJ227" i="77"/>
  <c r="CJ104" i="15"/>
  <c r="S127" i="14"/>
  <c r="S133" i="14" s="1"/>
  <c r="S7" i="64" s="1"/>
  <c r="FN410" i="48"/>
  <c r="P702" i="12"/>
  <c r="S59" i="56"/>
  <c r="BW95" i="15"/>
  <c r="BW100" i="15"/>
  <c r="BW79" i="15"/>
  <c r="BS79" i="15"/>
  <c r="BS95" i="15"/>
  <c r="EN43" i="15"/>
  <c r="EN68" i="15"/>
  <c r="EN70" i="15" s="1"/>
  <c r="DP68" i="15"/>
  <c r="DP70" i="15"/>
  <c r="AR85" i="15"/>
  <c r="AR91" i="15" s="1"/>
  <c r="AS41" i="15"/>
  <c r="R84" i="15"/>
  <c r="R75" i="15"/>
  <c r="EL68" i="15"/>
  <c r="EL70" i="15" s="1"/>
  <c r="BR25" i="15"/>
  <c r="N25" i="15"/>
  <c r="BW53" i="80"/>
  <c r="T59" i="15"/>
  <c r="CO64" i="15"/>
  <c r="CF155" i="90"/>
  <c r="CG153" i="90" s="1"/>
  <c r="CG155" i="90" s="1"/>
  <c r="N204" i="90"/>
  <c r="O203" i="90"/>
  <c r="CD349" i="90"/>
  <c r="CD228" i="90"/>
  <c r="CE347" i="90" s="1"/>
  <c r="CE348" i="90" s="1"/>
  <c r="CQ53" i="12"/>
  <c r="DI12" i="33"/>
  <c r="CQ700" i="12"/>
  <c r="CQ701" i="12" s="1"/>
  <c r="CQ120" i="14"/>
  <c r="AL360" i="58"/>
  <c r="DI10" i="33"/>
  <c r="CQ698" i="12"/>
  <c r="CQ44" i="12"/>
  <c r="DI11" i="33"/>
  <c r="CQ665" i="12"/>
  <c r="DI163" i="33"/>
  <c r="CQ78" i="14"/>
  <c r="CQ9" i="15"/>
  <c r="CQ184" i="14" s="1"/>
  <c r="CQ205" i="15"/>
  <c r="CQ104" i="15"/>
  <c r="CQ133" i="14"/>
  <c r="AC28" i="77" s="1"/>
  <c r="CS228" i="90"/>
  <c r="CQ79" i="15"/>
  <c r="CQ100" i="15"/>
  <c r="T187" i="33"/>
  <c r="T203" i="33" s="1"/>
  <c r="F27" i="33"/>
  <c r="J26" i="33"/>
  <c r="DI89" i="33"/>
  <c r="DI147" i="33"/>
  <c r="DI165" i="33"/>
  <c r="CQ45" i="12"/>
  <c r="CQ667" i="12"/>
  <c r="CQ827" i="12"/>
  <c r="CQ12" i="12"/>
  <c r="CQ51" i="12"/>
  <c r="T9" i="12"/>
  <c r="AL278" i="58"/>
  <c r="AL275" i="58"/>
  <c r="AL276" i="58" s="1"/>
  <c r="CQ687" i="12"/>
  <c r="CQ686" i="12"/>
  <c r="T627" i="12"/>
  <c r="S80" i="71" s="1"/>
  <c r="AJ358" i="58"/>
  <c r="CP827" i="12"/>
  <c r="AI208" i="58"/>
  <c r="CQ500" i="12"/>
  <c r="CQ501" i="12" s="1"/>
  <c r="AL491" i="58"/>
  <c r="CQ517" i="12"/>
  <c r="CQ516" i="12"/>
  <c r="AL208" i="58"/>
  <c r="T48" i="15"/>
  <c r="CQ298" i="12"/>
  <c r="CQ299" i="12" s="1"/>
  <c r="AL483" i="58"/>
  <c r="T293" i="12"/>
  <c r="T295" i="12" s="1"/>
  <c r="S107" i="71"/>
  <c r="CQ42" i="12"/>
  <c r="T697" i="12"/>
  <c r="T9" i="80" s="1"/>
  <c r="T12" i="64"/>
  <c r="T250" i="12"/>
  <c r="CQ281" i="12"/>
  <c r="T24" i="80"/>
  <c r="T252" i="12"/>
  <c r="S79" i="71" s="1"/>
  <c r="CQ702" i="12"/>
  <c r="BJ177" i="77"/>
  <c r="T124" i="14"/>
  <c r="AL20" i="33"/>
  <c r="L13" i="70"/>
  <c r="AH42" i="33"/>
  <c r="EA312" i="48"/>
  <c r="EA282" i="48"/>
  <c r="EA286" i="48"/>
  <c r="EF286" i="48" s="1"/>
  <c r="AR78" i="15"/>
  <c r="BO35" i="12"/>
  <c r="BO39" i="12"/>
  <c r="BO38" i="12"/>
  <c r="BO106" i="14"/>
  <c r="BO128" i="14" s="1"/>
  <c r="BO36" i="12"/>
  <c r="BO37" i="12"/>
  <c r="BO34" i="12"/>
  <c r="BP49" i="12"/>
  <c r="AO36" i="33"/>
  <c r="AO41" i="33" s="1"/>
  <c r="AO37" i="33"/>
  <c r="EC279" i="48"/>
  <c r="BF15" i="70"/>
  <c r="AX95" i="15"/>
  <c r="AX100" i="15"/>
  <c r="AX79" i="15"/>
  <c r="Q45" i="53"/>
  <c r="AT37" i="33"/>
  <c r="AT47" i="33" s="1"/>
  <c r="BC71" i="70"/>
  <c r="BB66" i="70"/>
  <c r="BF68" i="70" s="1"/>
  <c r="BF72" i="70"/>
  <c r="X358" i="58"/>
  <c r="CC827" i="12"/>
  <c r="AG110" i="14"/>
  <c r="AM114" i="33"/>
  <c r="AM40" i="33"/>
  <c r="AM42" i="33"/>
  <c r="AW87" i="15"/>
  <c r="AX42" i="15"/>
  <c r="AX87" i="15" s="1"/>
  <c r="P6" i="80"/>
  <c r="N100" i="53"/>
  <c r="CC674" i="12"/>
  <c r="AQ29" i="56"/>
  <c r="I38" i="53"/>
  <c r="EN358" i="48"/>
  <c r="BH14" i="70"/>
  <c r="L49" i="52"/>
  <c r="L122" i="52"/>
  <c r="L61" i="52"/>
  <c r="CA301" i="12"/>
  <c r="CA835" i="12" s="1"/>
  <c r="CA299" i="12"/>
  <c r="BF30" i="70"/>
  <c r="M61" i="52"/>
  <c r="M49" i="52"/>
  <c r="M122" i="52" s="1"/>
  <c r="AI39" i="33"/>
  <c r="N15" i="80"/>
  <c r="L27" i="70"/>
  <c r="L29" i="70" s="1"/>
  <c r="L30" i="70" s="1"/>
  <c r="U270" i="90"/>
  <c r="U272" i="90"/>
  <c r="V270" i="90" s="1"/>
  <c r="V272" i="90" s="1"/>
  <c r="W270" i="90" s="1"/>
  <c r="W272" i="90" s="1"/>
  <c r="CF347" i="90"/>
  <c r="CF230" i="90"/>
  <c r="CG228" i="90"/>
  <c r="CK347" i="90"/>
  <c r="CJ347" i="90"/>
  <c r="L83" i="90"/>
  <c r="S228" i="90"/>
  <c r="BV217" i="14"/>
  <c r="BC41" i="15"/>
  <c r="J41" i="15" s="1"/>
  <c r="J85" i="15" s="1"/>
  <c r="J91" i="15" s="1"/>
  <c r="BB85" i="15"/>
  <c r="X270" i="12"/>
  <c r="CH14" i="12"/>
  <c r="BG40" i="15"/>
  <c r="BG86" i="15"/>
  <c r="BF86" i="15"/>
  <c r="BX835" i="12"/>
  <c r="R102" i="71"/>
  <c r="BF71" i="70"/>
  <c r="Q11" i="33"/>
  <c r="AE358" i="58"/>
  <c r="AF359" i="58" s="1"/>
  <c r="CJ827" i="12"/>
  <c r="J380" i="65"/>
  <c r="J33" i="65"/>
  <c r="J34" i="65"/>
  <c r="S16" i="65" s="1"/>
  <c r="J379" i="65"/>
  <c r="K378" i="65"/>
  <c r="J384" i="65"/>
  <c r="J383" i="66"/>
  <c r="J33" i="66"/>
  <c r="J379" i="66"/>
  <c r="K377" i="66"/>
  <c r="J378" i="66"/>
  <c r="BQ37" i="12"/>
  <c r="BQ49" i="12"/>
  <c r="BQ36" i="12"/>
  <c r="BQ106" i="14"/>
  <c r="BQ125" i="14" s="1"/>
  <c r="BQ38" i="12"/>
  <c r="BQ25" i="12"/>
  <c r="BQ35" i="12"/>
  <c r="BQ34" i="12"/>
  <c r="BQ41" i="12"/>
  <c r="BQ39" i="12"/>
  <c r="BK37" i="12"/>
  <c r="BK106" i="14"/>
  <c r="BK108" i="14" s="1"/>
  <c r="BK36" i="12"/>
  <c r="BK25" i="12"/>
  <c r="BK35" i="12"/>
  <c r="BK38" i="12"/>
  <c r="BL49" i="12"/>
  <c r="BK39" i="12"/>
  <c r="BO41" i="12"/>
  <c r="BK34" i="12"/>
  <c r="AA483" i="58"/>
  <c r="BY301" i="12"/>
  <c r="BY835" i="12" s="1"/>
  <c r="BY299" i="12"/>
  <c r="BW109" i="33"/>
  <c r="BW19" i="33"/>
  <c r="BW115" i="33"/>
  <c r="BW145" i="33"/>
  <c r="BW117" i="33"/>
  <c r="BA13" i="48"/>
  <c r="BA18" i="48" s="1"/>
  <c r="E4" i="58"/>
  <c r="BW17" i="33"/>
  <c r="BW108" i="33"/>
  <c r="L42" i="52"/>
  <c r="M42" i="52"/>
  <c r="AR104" i="33"/>
  <c r="AR36" i="33"/>
  <c r="CD163" i="33"/>
  <c r="CO298" i="12"/>
  <c r="AJ483" i="58"/>
  <c r="AD208" i="58"/>
  <c r="BD95" i="15"/>
  <c r="BD100" i="15" s="1"/>
  <c r="CC14" i="12"/>
  <c r="CC38" i="12" s="1"/>
  <c r="CD54" i="12"/>
  <c r="CC822" i="12"/>
  <c r="AM18" i="64"/>
  <c r="CD819" i="12"/>
  <c r="CD820" i="12"/>
  <c r="BC36" i="12"/>
  <c r="BC35" i="12"/>
  <c r="BC39" i="12"/>
  <c r="BC38" i="12"/>
  <c r="BC37" i="12"/>
  <c r="BC34" i="12"/>
  <c r="BC106" i="14"/>
  <c r="BC108" i="14" s="1"/>
  <c r="K61" i="52"/>
  <c r="BD35" i="12"/>
  <c r="BD25" i="12"/>
  <c r="BD49" i="12"/>
  <c r="BH38" i="12"/>
  <c r="BH106" i="14"/>
  <c r="BH128" i="14" s="1"/>
  <c r="BL41" i="12"/>
  <c r="BN88" i="70"/>
  <c r="BN86" i="70"/>
  <c r="BN27" i="70"/>
  <c r="BN14" i="70"/>
  <c r="BN18" i="70"/>
  <c r="BN87" i="70"/>
  <c r="BO14" i="70"/>
  <c r="AR73" i="57"/>
  <c r="BS100" i="15"/>
  <c r="G145" i="33"/>
  <c r="F106" i="14"/>
  <c r="F108" i="14" s="1"/>
  <c r="F13" i="48"/>
  <c r="F18" i="48" s="1"/>
  <c r="G161" i="33"/>
  <c r="F115" i="33"/>
  <c r="E4" i="71"/>
  <c r="G17" i="33"/>
  <c r="BJ66" i="70"/>
  <c r="BJ72" i="70"/>
  <c r="BK71" i="70"/>
  <c r="BJ71" i="70"/>
  <c r="AV100" i="15"/>
  <c r="AW20" i="33"/>
  <c r="AX162" i="33" s="1"/>
  <c r="AF20" i="48"/>
  <c r="BE27" i="70"/>
  <c r="BF14" i="70"/>
  <c r="BI15" i="70"/>
  <c r="BE14" i="70"/>
  <c r="BI25" i="12"/>
  <c r="BS20" i="33"/>
  <c r="BS162" i="33" s="1"/>
  <c r="BS104" i="33"/>
  <c r="BF34" i="12"/>
  <c r="BF35" i="12"/>
  <c r="BF106" i="14"/>
  <c r="BF125" i="14" s="1"/>
  <c r="CL299" i="12"/>
  <c r="BM27" i="48"/>
  <c r="BW312" i="90"/>
  <c r="BN27" i="48"/>
  <c r="AS87" i="15"/>
  <c r="AT42" i="15"/>
  <c r="AT87" i="15" s="1"/>
  <c r="AJ64" i="15"/>
  <c r="AH20" i="48"/>
  <c r="BC163" i="33"/>
  <c r="BN39" i="12"/>
  <c r="BN106" i="14"/>
  <c r="BN37" i="12"/>
  <c r="BN38" i="12"/>
  <c r="BN36" i="12"/>
  <c r="BN35" i="12"/>
  <c r="BR41" i="12"/>
  <c r="BN25" i="12"/>
  <c r="BR26" i="12" s="1"/>
  <c r="BN34" i="12"/>
  <c r="BN49" i="12"/>
  <c r="BO49" i="12"/>
  <c r="W7" i="57"/>
  <c r="E19" i="57"/>
  <c r="G19" i="57" s="1"/>
  <c r="G13" i="57"/>
  <c r="E17" i="57"/>
  <c r="G17" i="57" s="1"/>
  <c r="E20" i="57"/>
  <c r="BL14" i="70"/>
  <c r="BM33" i="90"/>
  <c r="BN33" i="90" s="1"/>
  <c r="AS84" i="15"/>
  <c r="AS75" i="15"/>
  <c r="AS79" i="15"/>
  <c r="AT38" i="15"/>
  <c r="AU38" i="15" s="1"/>
  <c r="AY13" i="48"/>
  <c r="BU117" i="33"/>
  <c r="BU109" i="33"/>
  <c r="C4" i="58"/>
  <c r="BU17" i="33"/>
  <c r="BU16" i="33"/>
  <c r="BU108" i="33"/>
  <c r="BU110" i="33" s="1"/>
  <c r="BU161" i="33"/>
  <c r="BU115" i="33"/>
  <c r="BU19" i="33"/>
  <c r="AY20" i="48" s="1"/>
  <c r="CQ503" i="12"/>
  <c r="T180" i="33"/>
  <c r="T702" i="12"/>
  <c r="CS294" i="90"/>
  <c r="CS296" i="90"/>
  <c r="CT294" i="90" s="1"/>
  <c r="CT296" i="90" s="1"/>
  <c r="CU294" i="90" s="1"/>
  <c r="CU296" i="90" s="1"/>
  <c r="CV294" i="90" s="1"/>
  <c r="CV296" i="90" s="1"/>
  <c r="CW294" i="90" s="1"/>
  <c r="CW296" i="90" s="1"/>
  <c r="CX294" i="90" s="1"/>
  <c r="CX296" i="90" s="1"/>
  <c r="CY294" i="90" s="1"/>
  <c r="CY296" i="90" s="1"/>
  <c r="CZ294" i="90" s="1"/>
  <c r="CZ296" i="90" s="1"/>
  <c r="DA294" i="90" s="1"/>
  <c r="DA296" i="90" s="1"/>
  <c r="DB294" i="90" s="1"/>
  <c r="DB296" i="90" s="1"/>
  <c r="DC294" i="90" s="1"/>
  <c r="DC296" i="90" s="1"/>
  <c r="M15" i="70"/>
  <c r="AM110" i="14"/>
  <c r="AM94" i="15" s="1"/>
  <c r="AM99" i="15" s="1"/>
  <c r="EC282" i="48"/>
  <c r="EC312" i="48"/>
  <c r="L28" i="70"/>
  <c r="L35" i="70"/>
  <c r="CA302" i="12"/>
  <c r="L62" i="52"/>
  <c r="N61" i="52"/>
  <c r="O61" i="52"/>
  <c r="M62" i="52"/>
  <c r="N62" i="52" s="1"/>
  <c r="CF349" i="90"/>
  <c r="CF348" i="90" s="1"/>
  <c r="CG349" i="90"/>
  <c r="G20" i="57"/>
  <c r="BE29" i="70"/>
  <c r="BN29" i="70"/>
  <c r="BN30" i="70" s="1"/>
  <c r="CC106" i="14"/>
  <c r="CC108" i="14" s="1"/>
  <c r="CC25" i="12"/>
  <c r="BW37" i="33"/>
  <c r="BW114" i="33" s="1"/>
  <c r="BW104" i="33"/>
  <c r="BA20" i="48"/>
  <c r="BW20" i="33"/>
  <c r="BW146" i="33"/>
  <c r="K383" i="66"/>
  <c r="BC85" i="15"/>
  <c r="BC91" i="15"/>
  <c r="AU42" i="15"/>
  <c r="AU87" i="15" s="1"/>
  <c r="L378" i="65"/>
  <c r="L33" i="65" s="1"/>
  <c r="K34" i="65"/>
  <c r="K33" i="65"/>
  <c r="K380" i="65"/>
  <c r="BB91" i="15"/>
  <c r="T84" i="33"/>
  <c r="T82" i="33"/>
  <c r="T173" i="33" s="1"/>
  <c r="M63" i="52"/>
  <c r="N63" i="52" s="1"/>
  <c r="L380" i="65"/>
  <c r="L34" i="65"/>
  <c r="L384" i="65"/>
  <c r="H42" i="15"/>
  <c r="H87" i="15" s="1"/>
  <c r="T83" i="33"/>
  <c r="T106" i="15" s="1"/>
  <c r="T130" i="14"/>
  <c r="T203" i="15"/>
  <c r="T202" i="15"/>
  <c r="T208" i="15"/>
  <c r="T204" i="15"/>
  <c r="T85" i="33"/>
  <c r="T172" i="33"/>
  <c r="T61" i="15"/>
  <c r="U204" i="33"/>
  <c r="T26" i="33"/>
  <c r="T31" i="33" s="1"/>
  <c r="L33" i="53" s="1"/>
  <c r="BJ172" i="77"/>
  <c r="T127" i="14"/>
  <c r="T104" i="15" s="1"/>
  <c r="T209" i="15"/>
  <c r="BJ178" i="77"/>
  <c r="T11" i="14"/>
  <c r="T23" i="15"/>
  <c r="T18" i="33"/>
  <c r="T107" i="14"/>
  <c r="T25" i="15"/>
  <c r="T27" i="14"/>
  <c r="T24" i="15"/>
  <c r="T14" i="14"/>
  <c r="T238" i="33"/>
  <c r="T239" i="33" s="1"/>
  <c r="T66" i="14"/>
  <c r="T99" i="14" s="1"/>
  <c r="BB143" i="77"/>
  <c r="T23" i="33"/>
  <c r="T165" i="33" s="1"/>
  <c r="AL9" i="58"/>
  <c r="BJ175" i="77"/>
  <c r="T22" i="33"/>
  <c r="T38" i="15"/>
  <c r="T43" i="15" s="1"/>
  <c r="T26" i="15"/>
  <c r="T33" i="14"/>
  <c r="T45" i="14"/>
  <c r="T31" i="15"/>
  <c r="L41" i="53" s="1"/>
  <c r="T206" i="15"/>
  <c r="T207" i="15"/>
  <c r="T45" i="33"/>
  <c r="T180" i="15"/>
  <c r="T20" i="14"/>
  <c r="T49" i="14"/>
  <c r="T50" i="33"/>
  <c r="T96" i="33" s="1"/>
  <c r="T58" i="15"/>
  <c r="T57" i="33"/>
  <c r="L36" i="53"/>
  <c r="DJ233" i="33"/>
  <c r="T67" i="14"/>
  <c r="T71" i="14" s="1"/>
  <c r="T71" i="80" s="1"/>
  <c r="T52" i="15"/>
  <c r="CQ18" i="14"/>
  <c r="T18" i="14" s="1"/>
  <c r="CQ19" i="14"/>
  <c r="T19" i="14" s="1"/>
  <c r="T164" i="14"/>
  <c r="T165" i="14"/>
  <c r="K379" i="65"/>
  <c r="K384" i="65"/>
  <c r="AT114" i="33"/>
  <c r="AT42" i="33"/>
  <c r="AL490" i="58"/>
  <c r="CQ670" i="12"/>
  <c r="AS85" i="15"/>
  <c r="AT41" i="15"/>
  <c r="BV213" i="14"/>
  <c r="BV218" i="14" s="1"/>
  <c r="BW11" i="15"/>
  <c r="O11" i="15" s="1"/>
  <c r="AQ58" i="15"/>
  <c r="G58" i="15"/>
  <c r="CQ385" i="12"/>
  <c r="CP385" i="12"/>
  <c r="AK105" i="58"/>
  <c r="AP77" i="57"/>
  <c r="AP81" i="57"/>
  <c r="AP79" i="57"/>
  <c r="BZ39" i="90"/>
  <c r="BZ40" i="90"/>
  <c r="AT36" i="33"/>
  <c r="AT147" i="33"/>
  <c r="AY147" i="33"/>
  <c r="AU60" i="15"/>
  <c r="H60" i="15"/>
  <c r="CS164" i="90"/>
  <c r="CT164" i="90" s="1"/>
  <c r="P307" i="71"/>
  <c r="AY24" i="15"/>
  <c r="I24" i="15" s="1"/>
  <c r="BE75" i="15"/>
  <c r="BE79" i="15" s="1"/>
  <c r="BE84" i="15"/>
  <c r="BF38" i="15"/>
  <c r="R9" i="80"/>
  <c r="BG23" i="15"/>
  <c r="K23" i="15"/>
  <c r="L14" i="12"/>
  <c r="L39" i="12" s="1"/>
  <c r="BJ27" i="70"/>
  <c r="BJ14" i="70"/>
  <c r="BN15" i="70"/>
  <c r="Q15" i="80"/>
  <c r="T15" i="80"/>
  <c r="AQ146" i="33"/>
  <c r="T9" i="33"/>
  <c r="BN10" i="48"/>
  <c r="BX500" i="12"/>
  <c r="S491" i="58"/>
  <c r="H13" i="15"/>
  <c r="BQ74" i="15"/>
  <c r="CD299" i="12"/>
  <c r="CD301" i="12"/>
  <c r="CD302" i="12" s="1"/>
  <c r="U219" i="14"/>
  <c r="U11" i="15"/>
  <c r="BI72" i="70"/>
  <c r="BE71" i="70"/>
  <c r="BE66" i="70"/>
  <c r="D8" i="59"/>
  <c r="BG147" i="33"/>
  <c r="BB147" i="33"/>
  <c r="M18" i="64"/>
  <c r="M14" i="12"/>
  <c r="AQ55" i="15"/>
  <c r="G55" i="15" s="1"/>
  <c r="CJ348" i="90"/>
  <c r="BP108" i="33"/>
  <c r="BP145" i="33"/>
  <c r="BU145" i="33"/>
  <c r="AU13" i="48"/>
  <c r="BP109" i="33"/>
  <c r="BP110" i="33" s="1"/>
  <c r="BP115" i="33"/>
  <c r="BP117" i="33"/>
  <c r="BP17" i="33"/>
  <c r="BP19" i="33"/>
  <c r="O24" i="64"/>
  <c r="BB27" i="70"/>
  <c r="BB14" i="70"/>
  <c r="CB501" i="12"/>
  <c r="CB503" i="12"/>
  <c r="CB504" i="12" s="1"/>
  <c r="I38" i="15"/>
  <c r="AY84" i="15"/>
  <c r="AY75" i="15"/>
  <c r="BH15" i="70"/>
  <c r="BL25" i="12"/>
  <c r="BL27" i="12" s="1"/>
  <c r="BH27" i="70"/>
  <c r="BL15" i="70"/>
  <c r="BI14" i="70"/>
  <c r="AW37" i="33"/>
  <c r="AW47" i="33" s="1"/>
  <c r="AW147" i="33"/>
  <c r="AW36" i="33"/>
  <c r="AW41" i="33" s="1"/>
  <c r="BO17" i="48"/>
  <c r="S101" i="71"/>
  <c r="S102" i="71" s="1"/>
  <c r="BM35" i="90"/>
  <c r="BN35" i="70"/>
  <c r="BN28" i="70"/>
  <c r="K40" i="15"/>
  <c r="K86" i="15" s="1"/>
  <c r="EA315" i="48"/>
  <c r="EF312" i="48"/>
  <c r="BJ224" i="77"/>
  <c r="AI9" i="58"/>
  <c r="AX20" i="48"/>
  <c r="BS37" i="33"/>
  <c r="M165" i="33"/>
  <c r="X267" i="12"/>
  <c r="BZ327" i="90"/>
  <c r="CA123" i="90"/>
  <c r="CA125" i="90" s="1"/>
  <c r="CB324" i="90"/>
  <c r="D63" i="52"/>
  <c r="D64" i="52" s="1"/>
  <c r="AO42" i="15"/>
  <c r="AQ26" i="15"/>
  <c r="G26" i="15"/>
  <c r="BG10" i="15"/>
  <c r="BW46" i="14"/>
  <c r="BW59" i="14" s="1"/>
  <c r="BA27" i="70"/>
  <c r="D68" i="53"/>
  <c r="Y483" i="58"/>
  <c r="AU66" i="15"/>
  <c r="H66" i="15" s="1"/>
  <c r="Q85" i="15"/>
  <c r="Q91" i="15" s="1"/>
  <c r="BP797" i="12"/>
  <c r="BP804" i="12"/>
  <c r="CP686" i="12"/>
  <c r="CL686" i="12"/>
  <c r="AG275" i="58"/>
  <c r="BU17" i="48"/>
  <c r="Y491" i="58"/>
  <c r="CD500" i="12"/>
  <c r="CD501" i="12" s="1"/>
  <c r="AZ17" i="48"/>
  <c r="BI500" i="12"/>
  <c r="CG516" i="12"/>
  <c r="AB208" i="58"/>
  <c r="BY517" i="12"/>
  <c r="S208" i="58"/>
  <c r="T209" i="58" s="1"/>
  <c r="BX516" i="12"/>
  <c r="BX517" i="12"/>
  <c r="M17" i="77"/>
  <c r="BR15" i="48"/>
  <c r="CR14" i="33"/>
  <c r="CB55" i="12"/>
  <c r="CA47" i="12"/>
  <c r="CE47" i="12"/>
  <c r="CA55" i="12"/>
  <c r="CB298" i="12"/>
  <c r="CB301" i="12" s="1"/>
  <c r="J31" i="57"/>
  <c r="W483" i="58"/>
  <c r="AI7" i="64"/>
  <c r="BP24" i="48"/>
  <c r="T9" i="58" s="1"/>
  <c r="K28" i="77"/>
  <c r="BZ797" i="12"/>
  <c r="BZ804" i="12"/>
  <c r="BR797" i="12"/>
  <c r="BR804" i="12"/>
  <c r="AJ275" i="58"/>
  <c r="CP687" i="12"/>
  <c r="CO687" i="12"/>
  <c r="CH686" i="12"/>
  <c r="Y275" i="58"/>
  <c r="BW17" i="48"/>
  <c r="CF500" i="12"/>
  <c r="CF503" i="12" s="1"/>
  <c r="AA491" i="58"/>
  <c r="BK17" i="48"/>
  <c r="BT500" i="12"/>
  <c r="BK500" i="12"/>
  <c r="BK503" i="12" s="1"/>
  <c r="BK504" i="12" s="1"/>
  <c r="BB17" i="48"/>
  <c r="CK517" i="12"/>
  <c r="AE208" i="58"/>
  <c r="U208" i="58"/>
  <c r="U209" i="58" s="1"/>
  <c r="BZ517" i="12"/>
  <c r="BZ516" i="12"/>
  <c r="BW517" i="12"/>
  <c r="R208" i="58"/>
  <c r="BU47" i="12"/>
  <c r="G17" i="77"/>
  <c r="BU55" i="12"/>
  <c r="BL15" i="48"/>
  <c r="CK14" i="33"/>
  <c r="AE483" i="58"/>
  <c r="CJ298" i="12"/>
  <c r="CJ301" i="12" s="1"/>
  <c r="I38" i="12"/>
  <c r="I34" i="12"/>
  <c r="I37" i="12"/>
  <c r="I39" i="12"/>
  <c r="I15" i="48"/>
  <c r="H144" i="33"/>
  <c r="CP161" i="14"/>
  <c r="CP168" i="14" s="1"/>
  <c r="CO168" i="14"/>
  <c r="BO24" i="48"/>
  <c r="S9" i="58" s="1"/>
  <c r="J28" i="77"/>
  <c r="AH7" i="64"/>
  <c r="F95" i="14"/>
  <c r="AJ95" i="14"/>
  <c r="BW516" i="12"/>
  <c r="CA517" i="12"/>
  <c r="BJ20" i="15"/>
  <c r="E61" i="53"/>
  <c r="E30" i="57"/>
  <c r="BX686" i="12"/>
  <c r="P148" i="15"/>
  <c r="CB797" i="12"/>
  <c r="CB804" i="12"/>
  <c r="AA275" i="58"/>
  <c r="CG687" i="12"/>
  <c r="CF687" i="12"/>
  <c r="BM17" i="48"/>
  <c r="BV500" i="12"/>
  <c r="CP516" i="12"/>
  <c r="CM517" i="12"/>
  <c r="CL517" i="12"/>
  <c r="AG208" i="58"/>
  <c r="CE516" i="12"/>
  <c r="Z208" i="58"/>
  <c r="CC517" i="12"/>
  <c r="W208" i="58"/>
  <c r="CB516" i="12"/>
  <c r="BV456" i="12"/>
  <c r="BX55" i="12"/>
  <c r="BN15" i="48"/>
  <c r="I17" i="77"/>
  <c r="CM14" i="33"/>
  <c r="BW47" i="12"/>
  <c r="CQ238" i="33"/>
  <c r="CQ239" i="33" s="1"/>
  <c r="L18" i="77"/>
  <c r="BJ301" i="12"/>
  <c r="BJ302" i="12" s="1"/>
  <c r="BJ299" i="12"/>
  <c r="AI105" i="58"/>
  <c r="CN385" i="12"/>
  <c r="CA226" i="12"/>
  <c r="BM34" i="12"/>
  <c r="BM36" i="12"/>
  <c r="BI35" i="12"/>
  <c r="BI37" i="12"/>
  <c r="BI36" i="12"/>
  <c r="F26" i="48"/>
  <c r="F168" i="33"/>
  <c r="I28" i="77"/>
  <c r="AG7" i="64"/>
  <c r="BN24" i="48"/>
  <c r="R9" i="58" s="1"/>
  <c r="DZ257" i="48"/>
  <c r="BZ78" i="14"/>
  <c r="BZ80" i="14" s="1"/>
  <c r="CA25" i="14"/>
  <c r="CN516" i="12"/>
  <c r="AW163" i="33"/>
  <c r="I36" i="12"/>
  <c r="CA516" i="12"/>
  <c r="BX44" i="14"/>
  <c r="CE687" i="12"/>
  <c r="T30" i="80"/>
  <c r="S235" i="71"/>
  <c r="S236" i="71" s="1"/>
  <c r="T509" i="12"/>
  <c r="CD797" i="12"/>
  <c r="CD804" i="12"/>
  <c r="CN687" i="12"/>
  <c r="AH275" i="58"/>
  <c r="CM686" i="12"/>
  <c r="CM687" i="12"/>
  <c r="CI687" i="12"/>
  <c r="CI686" i="12"/>
  <c r="AD275" i="58"/>
  <c r="CN517" i="12"/>
  <c r="CO517" i="12"/>
  <c r="CL456" i="12"/>
  <c r="BN301" i="12"/>
  <c r="BN302" i="12" s="1"/>
  <c r="BN299" i="12"/>
  <c r="H26" i="48"/>
  <c r="L165" i="33"/>
  <c r="K24" i="33"/>
  <c r="L147" i="33" s="1"/>
  <c r="Q71" i="14"/>
  <c r="J85" i="65"/>
  <c r="BC14" i="15"/>
  <c r="J14" i="15"/>
  <c r="AQ56" i="15"/>
  <c r="G56" i="15" s="1"/>
  <c r="AY19" i="15"/>
  <c r="I19" i="15"/>
  <c r="CI827" i="12"/>
  <c r="CN617" i="12"/>
  <c r="CN619" i="12" s="1"/>
  <c r="CC454" i="12"/>
  <c r="CC456" i="12" s="1"/>
  <c r="BY313" i="12"/>
  <c r="BY314" i="12" s="1"/>
  <c r="BY321" i="12" s="1"/>
  <c r="BX45" i="48"/>
  <c r="BJ14" i="12"/>
  <c r="BJ39" i="12" s="1"/>
  <c r="U412" i="12"/>
  <c r="U49" i="80" s="1"/>
  <c r="U50" i="80" s="1"/>
  <c r="BQ159" i="33"/>
  <c r="H100" i="53"/>
  <c r="CP120" i="14"/>
  <c r="CJ43" i="15"/>
  <c r="EH32" i="15"/>
  <c r="EH68" i="15" s="1"/>
  <c r="BP32" i="15"/>
  <c r="BP68" i="15" s="1"/>
  <c r="DT314" i="48"/>
  <c r="EF314" i="48" s="1"/>
  <c r="P265" i="90"/>
  <c r="R264" i="90"/>
  <c r="R265" i="90" s="1"/>
  <c r="G29" i="33"/>
  <c r="D27" i="33"/>
  <c r="CD503" i="12"/>
  <c r="CD836" i="12" s="1"/>
  <c r="AY79" i="15"/>
  <c r="AY95" i="15"/>
  <c r="CD835" i="12"/>
  <c r="K10" i="15"/>
  <c r="AT85" i="15"/>
  <c r="AT91" i="15" s="1"/>
  <c r="AU41" i="15"/>
  <c r="H41" i="15" s="1"/>
  <c r="H85" i="15" s="1"/>
  <c r="H91" i="15" s="1"/>
  <c r="BG30" i="48"/>
  <c r="CB299" i="12"/>
  <c r="M37" i="12"/>
  <c r="M36" i="12"/>
  <c r="BJ35" i="70"/>
  <c r="BJ29" i="70"/>
  <c r="BJ30" i="70" s="1"/>
  <c r="BJ28" i="70"/>
  <c r="Q71" i="80"/>
  <c r="CB25" i="14"/>
  <c r="CB78" i="14" s="1"/>
  <c r="CB80" i="14" s="1"/>
  <c r="CA78" i="14"/>
  <c r="CA80" i="14" s="1"/>
  <c r="P25" i="14"/>
  <c r="BV501" i="12"/>
  <c r="BV503" i="12"/>
  <c r="BV504" i="12" s="1"/>
  <c r="BT501" i="12"/>
  <c r="BT503" i="12"/>
  <c r="BT504" i="12" s="1"/>
  <c r="BI501" i="12"/>
  <c r="BI503" i="12"/>
  <c r="BI504" i="12" s="1"/>
  <c r="BA28" i="70"/>
  <c r="BA29" i="70"/>
  <c r="BA35" i="70"/>
  <c r="BA36" i="70"/>
  <c r="AO87" i="15"/>
  <c r="AP42" i="15"/>
  <c r="BS114" i="33"/>
  <c r="BN36" i="70"/>
  <c r="BN42" i="70"/>
  <c r="BN45" i="70" s="1"/>
  <c r="BN50" i="70" s="1"/>
  <c r="BF75" i="15"/>
  <c r="BF95" i="15" s="1"/>
  <c r="BF100" i="15" s="1"/>
  <c r="BW213" i="14"/>
  <c r="BW9" i="15"/>
  <c r="BW184" i="14" s="1"/>
  <c r="H74" i="66"/>
  <c r="BX113" i="14"/>
  <c r="BO10" i="48" s="1"/>
  <c r="BX46" i="14"/>
  <c r="BX59" i="14" s="1"/>
  <c r="W209" i="58"/>
  <c r="BH29" i="70"/>
  <c r="BH28" i="70"/>
  <c r="BH35" i="70"/>
  <c r="BB28" i="70"/>
  <c r="BB35" i="70"/>
  <c r="BB36" i="70"/>
  <c r="BB29" i="70"/>
  <c r="BF32" i="70" s="1"/>
  <c r="BF67" i="70"/>
  <c r="AR81" i="57"/>
  <c r="BH32" i="70"/>
  <c r="BA42" i="70"/>
  <c r="BA45" i="70" s="1"/>
  <c r="BA50" i="70" s="1"/>
  <c r="CC25" i="14"/>
  <c r="CD25" i="14" s="1"/>
  <c r="BO35" i="48"/>
  <c r="AQ42" i="15"/>
  <c r="G42" i="15" s="1"/>
  <c r="G87" i="15" s="1"/>
  <c r="AP87" i="15"/>
  <c r="BA31" i="70"/>
  <c r="BA30" i="70"/>
  <c r="AU85" i="15"/>
  <c r="AU91" i="15" s="1"/>
  <c r="AY100" i="15"/>
  <c r="BJ42" i="70"/>
  <c r="BJ45" i="70"/>
  <c r="BJ50" i="70" s="1"/>
  <c r="BJ36" i="70"/>
  <c r="DB142" i="33"/>
  <c r="CA321" i="12"/>
  <c r="CR62" i="33" s="1"/>
  <c r="BW321" i="12"/>
  <c r="CM62" i="33" s="1"/>
  <c r="CP45" i="12"/>
  <c r="CP43" i="12"/>
  <c r="R10" i="12"/>
  <c r="S10" i="12"/>
  <c r="Q13" i="12"/>
  <c r="Q14" i="33" s="1"/>
  <c r="CW11" i="33"/>
  <c r="BY13" i="12"/>
  <c r="P13" i="12" s="1"/>
  <c r="BU313" i="12"/>
  <c r="BU314" i="12" s="1"/>
  <c r="BU321" i="12" s="1"/>
  <c r="CL53" i="12"/>
  <c r="Q35" i="77"/>
  <c r="CE12" i="12"/>
  <c r="DF12" i="33"/>
  <c r="DG158" i="33" s="1"/>
  <c r="CL12" i="12"/>
  <c r="CM819" i="12" s="1"/>
  <c r="BW318" i="12"/>
  <c r="BW319" i="12" s="1"/>
  <c r="CI44" i="12"/>
  <c r="CA318" i="12"/>
  <c r="CA319" i="12" s="1"/>
  <c r="DD10" i="33"/>
  <c r="X360" i="58"/>
  <c r="S11" i="33"/>
  <c r="BK334" i="77"/>
  <c r="BW206" i="14"/>
  <c r="BW208" i="14" s="1"/>
  <c r="BV208" i="14"/>
  <c r="BC24" i="48"/>
  <c r="G9" i="58" s="1"/>
  <c r="AR24" i="48"/>
  <c r="AK7" i="64"/>
  <c r="M28" i="77"/>
  <c r="BR24" i="48"/>
  <c r="V9" i="58" s="1"/>
  <c r="CQ80" i="14"/>
  <c r="BP206" i="14"/>
  <c r="BP208" i="14" s="1"/>
  <c r="M209" i="14"/>
  <c r="N206" i="14" s="1"/>
  <c r="U42" i="14"/>
  <c r="U43" i="14"/>
  <c r="CR79" i="15"/>
  <c r="U221" i="15"/>
  <c r="U34" i="33"/>
  <c r="DJ89" i="33"/>
  <c r="DJ147" i="33"/>
  <c r="DJ165" i="33"/>
  <c r="CR650" i="12"/>
  <c r="CR665" i="12"/>
  <c r="CR686" i="12"/>
  <c r="CR687" i="12"/>
  <c r="AM275" i="58"/>
  <c r="U493" i="12"/>
  <c r="AN211" i="58"/>
  <c r="AN212" i="58" s="1"/>
  <c r="AM360" i="58"/>
  <c r="CR42" i="12"/>
  <c r="CR497" i="12"/>
  <c r="AM491" i="58" s="1"/>
  <c r="CR826" i="12"/>
  <c r="CR827" i="12" s="1"/>
  <c r="AN108" i="58"/>
  <c r="CR696" i="12"/>
  <c r="U492" i="12"/>
  <c r="CR52" i="12"/>
  <c r="CR44" i="12"/>
  <c r="AO368" i="58"/>
  <c r="AN368" i="58"/>
  <c r="U291" i="12"/>
  <c r="AO108" i="58"/>
  <c r="AO109" i="58" s="1"/>
  <c r="U663" i="12"/>
  <c r="U496" i="12"/>
  <c r="AO485" i="58"/>
  <c r="AP211" i="58"/>
  <c r="AN271" i="58"/>
  <c r="AN272" i="58" s="1"/>
  <c r="AN278" i="58"/>
  <c r="AN204" i="58"/>
  <c r="AN205" i="58" s="1"/>
  <c r="CR383" i="12"/>
  <c r="AM105" i="58" s="1"/>
  <c r="CR281" i="12"/>
  <c r="CR282" i="12" s="1"/>
  <c r="AM208" i="58"/>
  <c r="CR516" i="12"/>
  <c r="CR629" i="12"/>
  <c r="AM79" i="58"/>
  <c r="CR698" i="12"/>
  <c r="AM370" i="58"/>
  <c r="AM371" i="58" s="1"/>
  <c r="CR53" i="12"/>
  <c r="CR51" i="12"/>
  <c r="CR55" i="12"/>
  <c r="CR12" i="12"/>
  <c r="AM101" i="58"/>
  <c r="AM483" i="58"/>
  <c r="U70" i="14"/>
  <c r="U97" i="14" s="1"/>
  <c r="U44" i="14"/>
  <c r="CR500" i="12"/>
  <c r="AP108" i="58"/>
  <c r="AP278" i="58"/>
  <c r="L102" i="53"/>
  <c r="U294" i="12"/>
  <c r="U666" i="12"/>
  <c r="N102" i="53"/>
  <c r="N104" i="53" s="1"/>
  <c r="N106" i="53" s="1"/>
  <c r="Q102" i="53"/>
  <c r="Q104" i="53" s="1"/>
  <c r="Q106" i="53" s="1"/>
  <c r="AM484" i="58"/>
  <c r="P102" i="53"/>
  <c r="P133" i="53" s="1"/>
  <c r="P135" i="53" s="1"/>
  <c r="K102" i="53"/>
  <c r="K104" i="53" s="1"/>
  <c r="K106" i="53" s="1"/>
  <c r="J102" i="53"/>
  <c r="J104" i="53" s="1"/>
  <c r="J106" i="53" s="1"/>
  <c r="R102" i="53"/>
  <c r="M102" i="53"/>
  <c r="M133" i="53" s="1"/>
  <c r="M135" i="53" s="1"/>
  <c r="H73" i="53"/>
  <c r="I102" i="53"/>
  <c r="I133" i="53" s="1"/>
  <c r="I135" i="53" s="1"/>
  <c r="L14" i="53"/>
  <c r="O102" i="53"/>
  <c r="O104" i="53" s="1"/>
  <c r="O106" i="53" s="1"/>
  <c r="L104" i="53"/>
  <c r="L106" i="53" s="1"/>
  <c r="L133" i="53"/>
  <c r="L135" i="53" s="1"/>
  <c r="U13" i="12"/>
  <c r="U14" i="33" s="1"/>
  <c r="BJ154" i="77"/>
  <c r="DJ238" i="33"/>
  <c r="DJ239" i="33" s="1"/>
  <c r="BJ160" i="77"/>
  <c r="BJ157" i="77"/>
  <c r="AM9" i="58"/>
  <c r="H71" i="53"/>
  <c r="P109" i="53"/>
  <c r="P111" i="53" s="1"/>
  <c r="O109" i="53"/>
  <c r="O140" i="53" s="1"/>
  <c r="O142" i="53" s="1"/>
  <c r="CS20" i="90"/>
  <c r="CJ29" i="33"/>
  <c r="CK29" i="33" s="1"/>
  <c r="AV108" i="14"/>
  <c r="DJ12" i="33"/>
  <c r="DO142" i="33" s="1"/>
  <c r="CR50" i="12"/>
  <c r="CE10" i="80"/>
  <c r="Z524" i="12"/>
  <c r="CJ140" i="33"/>
  <c r="AL272" i="58"/>
  <c r="BZ56" i="80"/>
  <c r="Y225" i="12"/>
  <c r="Y226" i="12" s="1"/>
  <c r="X225" i="12"/>
  <c r="X226" i="12" s="1"/>
  <c r="AG18" i="48"/>
  <c r="AC371" i="58"/>
  <c r="AN273" i="58"/>
  <c r="AO204" i="58"/>
  <c r="AN275" i="58"/>
  <c r="AN277" i="58"/>
  <c r="AO273" i="58"/>
  <c r="U813" i="12"/>
  <c r="AO271" i="58"/>
  <c r="BL80" i="14"/>
  <c r="U24" i="14"/>
  <c r="BN73" i="14"/>
  <c r="CR78" i="14"/>
  <c r="CR80" i="14" s="1"/>
  <c r="U68" i="14"/>
  <c r="U100" i="14" s="1"/>
  <c r="J28" i="33"/>
  <c r="F28" i="33"/>
  <c r="U189" i="15"/>
  <c r="U483" i="12"/>
  <c r="U481" i="12"/>
  <c r="CI456" i="12"/>
  <c r="BW456" i="12"/>
  <c r="U565" i="12"/>
  <c r="U35" i="80" s="1"/>
  <c r="CA10" i="80"/>
  <c r="T685" i="12"/>
  <c r="T625" i="12"/>
  <c r="T664" i="12"/>
  <c r="T13" i="64"/>
  <c r="T464" i="12"/>
  <c r="S81" i="71" s="1"/>
  <c r="T52" i="80"/>
  <c r="CI301" i="12"/>
  <c r="CI299" i="12"/>
  <c r="BK670" i="12"/>
  <c r="BK671" i="12" s="1"/>
  <c r="BB16" i="48"/>
  <c r="CI384" i="12"/>
  <c r="CH670" i="12"/>
  <c r="CH671" i="12" s="1"/>
  <c r="BQ16" i="48"/>
  <c r="U490" i="58"/>
  <c r="BZ670" i="12"/>
  <c r="BZ671" i="12" s="1"/>
  <c r="CD516" i="12"/>
  <c r="T44" i="80"/>
  <c r="T45" i="80" s="1"/>
  <c r="CC501" i="12"/>
  <c r="BJ16" i="48"/>
  <c r="BS670" i="12"/>
  <c r="CM696" i="12"/>
  <c r="CF619" i="12"/>
  <c r="CB619" i="12"/>
  <c r="O58" i="80"/>
  <c r="P59" i="80" s="1"/>
  <c r="BT454" i="12"/>
  <c r="BT456" i="12" s="1"/>
  <c r="S10" i="59"/>
  <c r="CK18" i="33"/>
  <c r="P317" i="12"/>
  <c r="P318" i="12" s="1"/>
  <c r="P319" i="12" s="1"/>
  <c r="BS14" i="12"/>
  <c r="BS35" i="12" s="1"/>
  <c r="BS54" i="12"/>
  <c r="CP466" i="12"/>
  <c r="CO667" i="12"/>
  <c r="CO670" i="12" s="1"/>
  <c r="CO673" i="12" s="1"/>
  <c r="BJ46" i="12"/>
  <c r="BJ54" i="12"/>
  <c r="CN42" i="12"/>
  <c r="CR255" i="12"/>
  <c r="AM78" i="58"/>
  <c r="CS656" i="12"/>
  <c r="CR656" i="12"/>
  <c r="CK47" i="12"/>
  <c r="AM80" i="58"/>
  <c r="CR466" i="12"/>
  <c r="CS700" i="12"/>
  <c r="CS701" i="12" s="1"/>
  <c r="CS696" i="12"/>
  <c r="AM368" i="58"/>
  <c r="CR120" i="14"/>
  <c r="CR700" i="12"/>
  <c r="CR701" i="12" s="1"/>
  <c r="CR800" i="12"/>
  <c r="Q310" i="12"/>
  <c r="CR495" i="12"/>
  <c r="CC51" i="12"/>
  <c r="BY45" i="80"/>
  <c r="CI53" i="12"/>
  <c r="DH9" i="33"/>
  <c r="CR485" i="12"/>
  <c r="CS485" i="12"/>
  <c r="DJ14" i="33"/>
  <c r="DF10" i="33"/>
  <c r="DH14" i="33"/>
  <c r="CR47" i="12"/>
  <c r="BX619" i="12"/>
  <c r="DJ9" i="33"/>
  <c r="DJ11" i="33"/>
  <c r="DO141" i="33" s="1"/>
  <c r="CW158" i="33"/>
  <c r="AP204" i="58"/>
  <c r="AQ205" i="58" s="1"/>
  <c r="CS819" i="12"/>
  <c r="CR14" i="12"/>
  <c r="CR37" i="12" s="1"/>
  <c r="CR46" i="12"/>
  <c r="BY12" i="80"/>
  <c r="CC830" i="12"/>
  <c r="R9" i="12"/>
  <c r="CG51" i="12"/>
  <c r="AA360" i="58"/>
  <c r="CX10" i="33"/>
  <c r="R34" i="77"/>
  <c r="CF12" i="12"/>
  <c r="CF827" i="12"/>
  <c r="CF829" i="12" s="1"/>
  <c r="CF43" i="12"/>
  <c r="CG12" i="12"/>
  <c r="CG822" i="12" s="1"/>
  <c r="CY9" i="33"/>
  <c r="R8" i="12"/>
  <c r="R9" i="33" s="1"/>
  <c r="S33" i="77"/>
  <c r="CK42" i="12"/>
  <c r="CG50" i="12"/>
  <c r="CM149" i="33"/>
  <c r="CD47" i="12"/>
  <c r="BQ15" i="48"/>
  <c r="L17" i="77"/>
  <c r="CQ14" i="33"/>
  <c r="BO15" i="48"/>
  <c r="CO14" i="33"/>
  <c r="J17" i="77"/>
  <c r="BX47" i="12"/>
  <c r="BZ107" i="14"/>
  <c r="BZ109" i="14" s="1"/>
  <c r="K16" i="57"/>
  <c r="AD360" i="58"/>
  <c r="CI51" i="12"/>
  <c r="CM43" i="12"/>
  <c r="CI43" i="12"/>
  <c r="DA10" i="33"/>
  <c r="DA140" i="33" s="1"/>
  <c r="U34" i="77"/>
  <c r="CJ51" i="12"/>
  <c r="P313" i="12"/>
  <c r="P314" i="12" s="1"/>
  <c r="CJ43" i="12"/>
  <c r="CH50" i="12"/>
  <c r="CB12" i="12"/>
  <c r="N33" i="77"/>
  <c r="CP52" i="12"/>
  <c r="DH11" i="33"/>
  <c r="CN14" i="12"/>
  <c r="CN35" i="12" s="1"/>
  <c r="CN822" i="12"/>
  <c r="Z80" i="77" s="1"/>
  <c r="BX313" i="12"/>
  <c r="BX314" i="12" s="1"/>
  <c r="BX321" i="12" s="1"/>
  <c r="CO62" i="33" s="1"/>
  <c r="BX318" i="12"/>
  <c r="BX319" i="12" s="1"/>
  <c r="CS45" i="12"/>
  <c r="CO53" i="12"/>
  <c r="X36" i="77"/>
  <c r="S11" i="12"/>
  <c r="CN52" i="12"/>
  <c r="DF11" i="33"/>
  <c r="CN44" i="12"/>
  <c r="T10" i="12"/>
  <c r="DJ10" i="33"/>
  <c r="CR43" i="12"/>
  <c r="CD14" i="12"/>
  <c r="CD34" i="12" s="1"/>
  <c r="AN18" i="64"/>
  <c r="CE819" i="12"/>
  <c r="CD822" i="12"/>
  <c r="BZ12" i="80" s="1"/>
  <c r="CO238" i="33"/>
  <c r="CC55" i="12"/>
  <c r="CB47" i="12"/>
  <c r="CG43" i="12"/>
  <c r="X33" i="77"/>
  <c r="CL50" i="12"/>
  <c r="CI12" i="12"/>
  <c r="U33" i="77"/>
  <c r="CI50" i="12"/>
  <c r="CM42" i="12"/>
  <c r="CF42" i="12"/>
  <c r="T11" i="12"/>
  <c r="T12" i="33" s="1"/>
  <c r="CR45" i="12"/>
  <c r="CO52" i="12"/>
  <c r="U634" i="12"/>
  <c r="U635" i="12" s="1"/>
  <c r="AO370" i="58"/>
  <c r="AN206" i="58"/>
  <c r="U167" i="12"/>
  <c r="U168" i="12" s="1"/>
  <c r="AN370" i="58"/>
  <c r="BR80" i="14"/>
  <c r="AN483" i="58"/>
  <c r="AN101" i="58"/>
  <c r="U662" i="12"/>
  <c r="Q313" i="12"/>
  <c r="BS38" i="12"/>
  <c r="CH673" i="12"/>
  <c r="S12" i="33"/>
  <c r="CD49" i="12"/>
  <c r="CG46" i="12"/>
  <c r="P80" i="77"/>
  <c r="T11" i="33"/>
  <c r="T44" i="12"/>
  <c r="AN208" i="58"/>
  <c r="U21" i="80"/>
  <c r="AN551" i="58"/>
  <c r="AN100" i="58"/>
  <c r="AO100" i="58"/>
  <c r="AO551" i="58"/>
  <c r="AN210" i="58"/>
  <c r="AN487" i="58"/>
  <c r="AO208" i="58"/>
  <c r="AO209" i="58" s="1"/>
  <c r="AO206" i="58"/>
  <c r="AN103" i="58"/>
  <c r="AO277" i="58"/>
  <c r="AO210" i="58"/>
  <c r="AO487" i="58"/>
  <c r="AN356" i="58"/>
  <c r="AO103" i="58"/>
  <c r="AO356" i="58"/>
  <c r="CS9" i="12"/>
  <c r="AE34" i="77" s="1"/>
  <c r="AN486" i="58"/>
  <c r="AN107" i="58"/>
  <c r="AO105" i="58"/>
  <c r="AO107" i="58"/>
  <c r="AO486" i="58"/>
  <c r="CS8" i="12"/>
  <c r="AE33" i="77" s="1"/>
  <c r="AN484" i="58"/>
  <c r="AO360" i="58"/>
  <c r="BJ142" i="77"/>
  <c r="CR165" i="14"/>
  <c r="CS165" i="14" s="1"/>
  <c r="CS164" i="14" s="1"/>
  <c r="CS18" i="14" s="1"/>
  <c r="CT227" i="90"/>
  <c r="CU227" i="90" s="1"/>
  <c r="U229" i="90"/>
  <c r="CS230" i="90"/>
  <c r="CT228" i="90"/>
  <c r="CT230" i="90" s="1"/>
  <c r="CU228" i="90" s="1"/>
  <c r="CU230" i="90" s="1"/>
  <c r="U48" i="14"/>
  <c r="AW116" i="33"/>
  <c r="L27" i="33"/>
  <c r="H27" i="33"/>
  <c r="U29" i="33"/>
  <c r="P140" i="53"/>
  <c r="P142" i="53" s="1"/>
  <c r="U678" i="12"/>
  <c r="U679" i="12" s="1"/>
  <c r="U249" i="12"/>
  <c r="U24" i="80" s="1"/>
  <c r="U647" i="12"/>
  <c r="BL10" i="48"/>
  <c r="BM46" i="14"/>
  <c r="BM59" i="14" s="1"/>
  <c r="BM73" i="14" s="1"/>
  <c r="T166" i="14"/>
  <c r="E61" i="65"/>
  <c r="L20" i="14"/>
  <c r="O26" i="57"/>
  <c r="M26" i="57"/>
  <c r="BV14" i="14"/>
  <c r="BW12" i="14"/>
  <c r="BB142" i="77"/>
  <c r="P135" i="14"/>
  <c r="H39" i="53" s="1"/>
  <c r="G38" i="53"/>
  <c r="L133" i="14"/>
  <c r="M135" i="14" s="1"/>
  <c r="E39" i="53" s="1"/>
  <c r="L104" i="15"/>
  <c r="AU20" i="14"/>
  <c r="AU28" i="14" s="1"/>
  <c r="BP73" i="14"/>
  <c r="AS73" i="14"/>
  <c r="AS75" i="14" s="1"/>
  <c r="AR73" i="14"/>
  <c r="AX73" i="14"/>
  <c r="N24" i="48"/>
  <c r="M9" i="71" s="1"/>
  <c r="G26" i="33"/>
  <c r="CI30" i="33"/>
  <c r="N30" i="33" s="1"/>
  <c r="E29" i="33"/>
  <c r="L190" i="65"/>
  <c r="CT667" i="12"/>
  <c r="CT670" i="12" s="1"/>
  <c r="CH23" i="80"/>
  <c r="BX56" i="80"/>
  <c r="CD50" i="80"/>
  <c r="BU45" i="80"/>
  <c r="BU46" i="80"/>
  <c r="CB42" i="80"/>
  <c r="Q275" i="58"/>
  <c r="BV686" i="12"/>
  <c r="BY22" i="80"/>
  <c r="Z694" i="12"/>
  <c r="R694" i="12"/>
  <c r="AK207" i="58"/>
  <c r="R279" i="58"/>
  <c r="CR517" i="12"/>
  <c r="CQ301" i="12"/>
  <c r="BX687" i="12"/>
  <c r="CE16" i="80"/>
  <c r="CM619" i="12"/>
  <c r="BW617" i="12"/>
  <c r="BT619" i="12"/>
  <c r="CT495" i="12"/>
  <c r="U11" i="12"/>
  <c r="U12" i="33" s="1"/>
  <c r="CT45" i="12"/>
  <c r="AP485" i="58"/>
  <c r="CS52" i="12"/>
  <c r="CS55" i="12"/>
  <c r="CT52" i="12"/>
  <c r="CT700" i="12"/>
  <c r="CT701" i="12" s="1"/>
  <c r="DK12" i="33"/>
  <c r="DP142" i="33" s="1"/>
  <c r="CT698" i="12"/>
  <c r="CT47" i="12"/>
  <c r="DK14" i="33"/>
  <c r="CS120" i="14"/>
  <c r="CT43" i="12"/>
  <c r="CT384" i="12"/>
  <c r="CT686" i="12"/>
  <c r="AO275" i="58"/>
  <c r="CT687" i="12"/>
  <c r="U623" i="12"/>
  <c r="U624" i="12"/>
  <c r="U38" i="80" s="1"/>
  <c r="CT517" i="12"/>
  <c r="CT516" i="12"/>
  <c r="CT652" i="12"/>
  <c r="U650" i="12"/>
  <c r="CT44" i="12"/>
  <c r="CT53" i="12"/>
  <c r="CT281" i="12"/>
  <c r="CT456" i="12"/>
  <c r="CT696" i="12"/>
  <c r="CT826" i="12"/>
  <c r="AO358" i="58" s="1"/>
  <c r="CT42" i="12"/>
  <c r="CT55" i="12"/>
  <c r="CT649" i="12"/>
  <c r="CT12" i="12"/>
  <c r="CU819" i="12" s="1"/>
  <c r="AO101" i="58"/>
  <c r="U44" i="80"/>
  <c r="AP100" i="58"/>
  <c r="AP551" i="58"/>
  <c r="L135" i="14"/>
  <c r="D39" i="53" s="1"/>
  <c r="BX12" i="14"/>
  <c r="BY12" i="14" s="1"/>
  <c r="BY14" i="14" s="1"/>
  <c r="BW14" i="14"/>
  <c r="O14" i="14" s="1"/>
  <c r="O12" i="14"/>
  <c r="G117" i="33"/>
  <c r="AO490" i="58"/>
  <c r="U10" i="12"/>
  <c r="U685" i="12"/>
  <c r="U686" i="12" s="1"/>
  <c r="U625" i="12"/>
  <c r="AO483" i="58"/>
  <c r="T171" i="71"/>
  <c r="AO484" i="58"/>
  <c r="BJ125" i="77"/>
  <c r="BJ119" i="77"/>
  <c r="BJ122" i="77"/>
  <c r="X637" i="12"/>
  <c r="AR211" i="58"/>
  <c r="BE26" i="48"/>
  <c r="BU26" i="48"/>
  <c r="BS217" i="14"/>
  <c r="AO9" i="58"/>
  <c r="CD172" i="14"/>
  <c r="F241" i="65"/>
  <c r="F243" i="65" s="1"/>
  <c r="BQ68" i="15"/>
  <c r="N64" i="15"/>
  <c r="K41" i="53"/>
  <c r="AH76" i="15"/>
  <c r="BH83" i="15"/>
  <c r="BH88" i="15" s="1"/>
  <c r="BH90" i="15" s="1"/>
  <c r="BH92" i="15" s="1"/>
  <c r="F240" i="66"/>
  <c r="F242" i="66" s="1"/>
  <c r="BP217" i="14"/>
  <c r="AY30" i="48"/>
  <c r="J77" i="65"/>
  <c r="J241" i="65"/>
  <c r="J243" i="65" s="1"/>
  <c r="CL172" i="14"/>
  <c r="CL185" i="14"/>
  <c r="BV214" i="14"/>
  <c r="BW214" i="14"/>
  <c r="CT124" i="14"/>
  <c r="CT702" i="12" s="1"/>
  <c r="U56" i="14"/>
  <c r="Y12" i="57"/>
  <c r="E90" i="56"/>
  <c r="F90" i="56" s="1"/>
  <c r="BT108" i="14"/>
  <c r="CD227" i="14"/>
  <c r="L26" i="57"/>
  <c r="N133" i="53"/>
  <c r="N135" i="53" s="1"/>
  <c r="BT697" i="12"/>
  <c r="BU826" i="12" s="1"/>
  <c r="P358" i="58" s="1"/>
  <c r="CA51" i="48"/>
  <c r="AP463" i="58"/>
  <c r="CC128" i="14"/>
  <c r="CC220" i="14"/>
  <c r="CC125" i="14"/>
  <c r="CC134" i="14"/>
  <c r="AG279" i="58"/>
  <c r="CK165" i="33"/>
  <c r="EA212" i="48"/>
  <c r="CF156" i="33"/>
  <c r="CH50" i="80"/>
  <c r="BZ50" i="80"/>
  <c r="CF43" i="80"/>
  <c r="CG36" i="80"/>
  <c r="BY36" i="80"/>
  <c r="AF42" i="57"/>
  <c r="AD44" i="57"/>
  <c r="AP271" i="58"/>
  <c r="AM25" i="64"/>
  <c r="CI56" i="80"/>
  <c r="CG31" i="80"/>
  <c r="CF28" i="80"/>
  <c r="CE53" i="80"/>
  <c r="CH36" i="80"/>
  <c r="BZ37" i="80"/>
  <c r="U471" i="12"/>
  <c r="U55" i="80"/>
  <c r="AP273" i="58"/>
  <c r="AQ274" i="58" s="1"/>
  <c r="U461" i="12"/>
  <c r="U462" i="12" s="1"/>
  <c r="CB59" i="80"/>
  <c r="AP78" i="58"/>
  <c r="AL54" i="77"/>
  <c r="AL48" i="77"/>
  <c r="AL42" i="77"/>
  <c r="X635" i="12"/>
  <c r="AP370" i="58"/>
  <c r="U664" i="12"/>
  <c r="U667" i="12" s="1"/>
  <c r="U16" i="48" s="1"/>
  <c r="U660" i="12"/>
  <c r="X27" i="33"/>
  <c r="AR41" i="33"/>
  <c r="L26" i="33"/>
  <c r="H26" i="33"/>
  <c r="J29" i="33"/>
  <c r="BO31" i="33"/>
  <c r="F26" i="33"/>
  <c r="F117" i="33" s="1"/>
  <c r="AU117" i="33"/>
  <c r="U30" i="33"/>
  <c r="DC226" i="33"/>
  <c r="S180" i="33"/>
  <c r="CP85" i="33"/>
  <c r="CQ226" i="33" s="1"/>
  <c r="CQ85" i="33" s="1"/>
  <c r="CR85" i="33" s="1"/>
  <c r="CS85" i="33" s="1"/>
  <c r="DE226" i="33"/>
  <c r="U187" i="33"/>
  <c r="U203" i="33" s="1"/>
  <c r="K38" i="53"/>
  <c r="BN80" i="14"/>
  <c r="BO81" i="14" s="1"/>
  <c r="U12" i="14"/>
  <c r="U21" i="14"/>
  <c r="CD185" i="14"/>
  <c r="U10" i="14"/>
  <c r="N240" i="66" s="1"/>
  <c r="N242" i="66" s="1"/>
  <c r="V41" i="15"/>
  <c r="V85" i="15" s="1"/>
  <c r="V91" i="15" s="1"/>
  <c r="U49" i="15"/>
  <c r="U661" i="12"/>
  <c r="T173" i="71" s="1"/>
  <c r="AP277" i="58"/>
  <c r="V30" i="33"/>
  <c r="U55" i="15"/>
  <c r="U55" i="14"/>
  <c r="U274" i="12"/>
  <c r="U275" i="12" s="1"/>
  <c r="G16" i="15"/>
  <c r="H9" i="15"/>
  <c r="H10" i="79"/>
  <c r="K140" i="33"/>
  <c r="J140" i="33"/>
  <c r="BI30" i="70"/>
  <c r="BI32" i="70"/>
  <c r="BJ31" i="70"/>
  <c r="BI31" i="70"/>
  <c r="AM31" i="15"/>
  <c r="F31" i="15" s="1"/>
  <c r="BO60" i="15"/>
  <c r="M60" i="15" s="1"/>
  <c r="BR267" i="12"/>
  <c r="BN66" i="70"/>
  <c r="BN72" i="70"/>
  <c r="BN71" i="70"/>
  <c r="BO71" i="70"/>
  <c r="BD14" i="70"/>
  <c r="BC14" i="70"/>
  <c r="BG25" i="12"/>
  <c r="BK26" i="12" s="1"/>
  <c r="BC27" i="70"/>
  <c r="BX804" i="12"/>
  <c r="BX797" i="12"/>
  <c r="G187" i="65"/>
  <c r="G236" i="65"/>
  <c r="O96" i="33"/>
  <c r="G194" i="65"/>
  <c r="G188" i="65"/>
  <c r="O28" i="48"/>
  <c r="G235" i="65"/>
  <c r="E194" i="65"/>
  <c r="E188" i="65"/>
  <c r="M96" i="33"/>
  <c r="E235" i="65"/>
  <c r="E236" i="65"/>
  <c r="E187" i="65"/>
  <c r="E94" i="65" s="1"/>
  <c r="M28" i="48"/>
  <c r="M26" i="48"/>
  <c r="M8" i="64"/>
  <c r="L140" i="33"/>
  <c r="AU18" i="15"/>
  <c r="H18" i="15" s="1"/>
  <c r="AM23" i="15"/>
  <c r="F23" i="15"/>
  <c r="BC24" i="15"/>
  <c r="J24" i="15" s="1"/>
  <c r="AL75" i="15"/>
  <c r="AM38" i="15"/>
  <c r="F38" i="15" s="1"/>
  <c r="AL84" i="15"/>
  <c r="BK55" i="15"/>
  <c r="L55" i="15" s="1"/>
  <c r="H28" i="48"/>
  <c r="H8" i="64"/>
  <c r="O26" i="48"/>
  <c r="O8" i="64"/>
  <c r="M24" i="33"/>
  <c r="E45" i="65" s="1"/>
  <c r="BX194" i="14"/>
  <c r="BY206" i="14"/>
  <c r="BY209" i="14" s="1"/>
  <c r="I8" i="15"/>
  <c r="BG51" i="15"/>
  <c r="K51" i="15" s="1"/>
  <c r="BF64" i="15"/>
  <c r="BM15" i="48"/>
  <c r="H17" i="77"/>
  <c r="BV55" i="12"/>
  <c r="BV47" i="12"/>
  <c r="O13" i="12"/>
  <c r="BW55" i="12"/>
  <c r="BZ47" i="12"/>
  <c r="CL14" i="33"/>
  <c r="G26" i="48"/>
  <c r="D32" i="53"/>
  <c r="M149" i="33"/>
  <c r="D45" i="65"/>
  <c r="M168" i="33"/>
  <c r="M107" i="14"/>
  <c r="M109" i="14" s="1"/>
  <c r="J15" i="48"/>
  <c r="I144" i="33"/>
  <c r="I15" i="33"/>
  <c r="I13" i="48" s="1"/>
  <c r="J144" i="33"/>
  <c r="I140" i="33"/>
  <c r="H140" i="33"/>
  <c r="BZ41" i="90"/>
  <c r="L194" i="65"/>
  <c r="T84" i="15"/>
  <c r="BZ64" i="48"/>
  <c r="AU25" i="15"/>
  <c r="H25" i="15" s="1"/>
  <c r="AV83" i="15"/>
  <c r="AM16" i="15"/>
  <c r="F16" i="15"/>
  <c r="AQ20" i="15"/>
  <c r="G20" i="15" s="1"/>
  <c r="BG27" i="70"/>
  <c r="D242" i="66"/>
  <c r="BU318" i="12"/>
  <c r="BU319" i="12" s="1"/>
  <c r="CI54" i="12"/>
  <c r="T26" i="48"/>
  <c r="AO145" i="33"/>
  <c r="CI52" i="12"/>
  <c r="CF52" i="12"/>
  <c r="K42" i="12"/>
  <c r="BS36" i="33"/>
  <c r="CJ819" i="12"/>
  <c r="BH30" i="70"/>
  <c r="L60" i="15"/>
  <c r="J60" i="15"/>
  <c r="F8" i="15"/>
  <c r="R205" i="15"/>
  <c r="BE804" i="12"/>
  <c r="BM36" i="33"/>
  <c r="BM41" i="33" s="1"/>
  <c r="AV36" i="33"/>
  <c r="AV41" i="33" s="1"/>
  <c r="AM36" i="33"/>
  <c r="CO497" i="12"/>
  <c r="CE517" i="12"/>
  <c r="N223" i="14"/>
  <c r="AP73" i="14"/>
  <c r="CP226" i="14"/>
  <c r="M94" i="90"/>
  <c r="T271" i="90"/>
  <c r="CR9" i="15"/>
  <c r="CR184" i="14" s="1"/>
  <c r="CR226" i="14"/>
  <c r="CR227" i="14" s="1"/>
  <c r="CS78" i="14"/>
  <c r="CS80" i="14" s="1"/>
  <c r="DL163" i="33"/>
  <c r="CT9" i="15"/>
  <c r="CT184" i="14" s="1"/>
  <c r="CT185" i="14" s="1"/>
  <c r="DF127" i="33"/>
  <c r="DF128" i="33" s="1"/>
  <c r="DK163" i="33"/>
  <c r="DK11" i="33"/>
  <c r="DP141" i="33" s="1"/>
  <c r="DK147" i="33"/>
  <c r="DL165" i="33"/>
  <c r="BF73" i="14"/>
  <c r="Q265" i="90"/>
  <c r="CS9" i="15"/>
  <c r="CS184" i="14" s="1"/>
  <c r="BJ136" i="77"/>
  <c r="DL147" i="33"/>
  <c r="J240" i="66"/>
  <c r="J242" i="66" s="1"/>
  <c r="P301" i="90"/>
  <c r="DM163" i="33"/>
  <c r="CU353" i="90"/>
  <c r="K190" i="65"/>
  <c r="K31" i="53"/>
  <c r="F29" i="33"/>
  <c r="M26" i="33"/>
  <c r="E31" i="53" s="1"/>
  <c r="CD31" i="33"/>
  <c r="I26" i="33"/>
  <c r="E26" i="33"/>
  <c r="AP117" i="33"/>
  <c r="BW36" i="33"/>
  <c r="BW41" i="33" s="1"/>
  <c r="BR36" i="33"/>
  <c r="D28" i="33"/>
  <c r="AK31" i="33"/>
  <c r="BS41" i="12"/>
  <c r="BS37" i="12"/>
  <c r="CB686" i="12"/>
  <c r="W275" i="58"/>
  <c r="CF686" i="12"/>
  <c r="U12" i="64"/>
  <c r="AL18" i="64"/>
  <c r="BS49" i="12"/>
  <c r="AJ490" i="58"/>
  <c r="CL687" i="12"/>
  <c r="CO686" i="12"/>
  <c r="AF275" i="58"/>
  <c r="CK686" i="12"/>
  <c r="BI301" i="12"/>
  <c r="BI302" i="12" s="1"/>
  <c r="BI299" i="12"/>
  <c r="CG226" i="12"/>
  <c r="AA208" i="58"/>
  <c r="AB209" i="58" s="1"/>
  <c r="CJ516" i="12"/>
  <c r="CG517" i="12"/>
  <c r="CF517" i="12"/>
  <c r="CF516" i="12"/>
  <c r="BP9" i="80"/>
  <c r="BQ11" i="80" s="1"/>
  <c r="CI14" i="12"/>
  <c r="CD106" i="14"/>
  <c r="CD125" i="14" s="1"/>
  <c r="CR384" i="12"/>
  <c r="CR385" i="12"/>
  <c r="BV797" i="12"/>
  <c r="BV804" i="12"/>
  <c r="BW687" i="12"/>
  <c r="R275" i="58"/>
  <c r="S276" i="58" s="1"/>
  <c r="BW686" i="12"/>
  <c r="BU299" i="12"/>
  <c r="BU301" i="12"/>
  <c r="BU302" i="12" s="1"/>
  <c r="BV17" i="48"/>
  <c r="CE500" i="12"/>
  <c r="Z491" i="58"/>
  <c r="BZ385" i="12"/>
  <c r="U697" i="12"/>
  <c r="CS50" i="12"/>
  <c r="CC819" i="12"/>
  <c r="CD25" i="12"/>
  <c r="S42" i="12"/>
  <c r="CI835" i="12"/>
  <c r="CI302" i="12"/>
  <c r="S171" i="71"/>
  <c r="T686" i="12"/>
  <c r="CR503" i="12"/>
  <c r="CR836" i="12" s="1"/>
  <c r="CR501" i="12"/>
  <c r="CF46" i="12"/>
  <c r="CD504" i="12"/>
  <c r="BN41" i="12"/>
  <c r="BO818" i="12"/>
  <c r="BP41" i="12"/>
  <c r="BL39" i="12"/>
  <c r="AZ39" i="12"/>
  <c r="AZ35" i="12"/>
  <c r="P356" i="58"/>
  <c r="Q357" i="58" s="1"/>
  <c r="Q697" i="12"/>
  <c r="Q827" i="12" s="1"/>
  <c r="CJ299" i="12"/>
  <c r="BK501" i="12"/>
  <c r="BJ38" i="12"/>
  <c r="DZ216" i="48"/>
  <c r="EE216" i="48" s="1"/>
  <c r="T21" i="80"/>
  <c r="BL36" i="12"/>
  <c r="BL35" i="12"/>
  <c r="AZ34" i="12"/>
  <c r="AD205" i="58"/>
  <c r="S102" i="58"/>
  <c r="BZ165" i="12"/>
  <c r="CA670" i="12"/>
  <c r="BL34" i="12"/>
  <c r="BL106" i="14"/>
  <c r="BL128" i="14" s="1"/>
  <c r="AZ37" i="12"/>
  <c r="AD370" i="58"/>
  <c r="AI368" i="58"/>
  <c r="AI369" i="58" s="1"/>
  <c r="R368" i="58"/>
  <c r="T356" i="58"/>
  <c r="T357" i="58" s="1"/>
  <c r="BQ820" i="12"/>
  <c r="BQ818" i="12" s="1"/>
  <c r="CP34" i="12"/>
  <c r="CP25" i="12"/>
  <c r="CP106" i="14"/>
  <c r="CP30" i="12"/>
  <c r="CP37" i="12"/>
  <c r="CP35" i="12"/>
  <c r="CP39" i="12"/>
  <c r="BN134" i="14"/>
  <c r="BN108" i="14"/>
  <c r="BN128" i="14"/>
  <c r="BN125" i="14"/>
  <c r="CT51" i="12"/>
  <c r="CS51" i="12"/>
  <c r="DK10" i="33"/>
  <c r="CP36" i="12"/>
  <c r="BT797" i="12"/>
  <c r="BT804" i="12"/>
  <c r="AI276" i="58"/>
  <c r="CM456" i="12"/>
  <c r="S105" i="58"/>
  <c r="BX385" i="12"/>
  <c r="CB384" i="12"/>
  <c r="T224" i="12"/>
  <c r="CF822" i="12"/>
  <c r="CG819" i="12"/>
  <c r="AO18" i="64"/>
  <c r="AO19" i="64" s="1"/>
  <c r="CE14" i="12"/>
  <c r="CE822" i="12"/>
  <c r="CE54" i="12"/>
  <c r="BP15" i="48"/>
  <c r="CC47" i="12"/>
  <c r="BY55" i="12"/>
  <c r="CP14" i="33"/>
  <c r="K17" i="77"/>
  <c r="BY47" i="12"/>
  <c r="R44" i="12"/>
  <c r="S44" i="12"/>
  <c r="R11" i="33"/>
  <c r="BJ37" i="12"/>
  <c r="BJ36" i="12"/>
  <c r="BK49" i="12"/>
  <c r="BJ35" i="12"/>
  <c r="BJ41" i="12"/>
  <c r="BJ106" i="14"/>
  <c r="BJ134" i="14" s="1"/>
  <c r="BJ25" i="12"/>
  <c r="BJ49" i="12"/>
  <c r="BJ34" i="12"/>
  <c r="R303" i="71"/>
  <c r="S15" i="80"/>
  <c r="T16" i="80" s="1"/>
  <c r="T826" i="12"/>
  <c r="S305" i="71" s="1"/>
  <c r="S826" i="12"/>
  <c r="R305" i="71" s="1"/>
  <c r="CF54" i="12"/>
  <c r="M34" i="12"/>
  <c r="M35" i="12"/>
  <c r="M41" i="12"/>
  <c r="M39" i="12"/>
  <c r="M38" i="12"/>
  <c r="CQ830" i="12"/>
  <c r="H39" i="12"/>
  <c r="H38" i="12"/>
  <c r="S9" i="80"/>
  <c r="S10" i="80" s="1"/>
  <c r="T698" i="12"/>
  <c r="S698" i="12"/>
  <c r="T827" i="12"/>
  <c r="Q9" i="33"/>
  <c r="R42" i="12"/>
  <c r="CO46" i="12"/>
  <c r="CK298" i="12"/>
  <c r="AF483" i="58"/>
  <c r="CQ819" i="12"/>
  <c r="CP822" i="12"/>
  <c r="AB80" i="77" s="1"/>
  <c r="CP38" i="12"/>
  <c r="CZ141" i="33"/>
  <c r="CF456" i="12"/>
  <c r="CQ384" i="12"/>
  <c r="AL105" i="58"/>
  <c r="Q6" i="80"/>
  <c r="Q700" i="12"/>
  <c r="Q701" i="12" s="1"/>
  <c r="EN360" i="48"/>
  <c r="Q24" i="64"/>
  <c r="EN369" i="48"/>
  <c r="T281" i="12"/>
  <c r="CQ282" i="12"/>
  <c r="CN301" i="12"/>
  <c r="CN299" i="12"/>
  <c r="U275" i="58"/>
  <c r="BZ686" i="12"/>
  <c r="AM30" i="64"/>
  <c r="BA106" i="14"/>
  <c r="BA125" i="14" s="1"/>
  <c r="BA49" i="12"/>
  <c r="CB120" i="14"/>
  <c r="CG700" i="12"/>
  <c r="CG701" i="12" s="1"/>
  <c r="CB42" i="48"/>
  <c r="CB44" i="48" s="1"/>
  <c r="CM698" i="12"/>
  <c r="U79" i="58"/>
  <c r="Q233" i="71"/>
  <c r="U82" i="77"/>
  <c r="T52" i="77"/>
  <c r="X83" i="77"/>
  <c r="Q679" i="12"/>
  <c r="S625" i="12"/>
  <c r="O353" i="12"/>
  <c r="O354" i="12"/>
  <c r="BA37" i="12"/>
  <c r="CD686" i="12"/>
  <c r="AH24" i="64"/>
  <c r="Z370" i="58"/>
  <c r="Y356" i="58"/>
  <c r="CA165" i="12"/>
  <c r="BU501" i="12"/>
  <c r="BA36" i="12"/>
  <c r="BA34" i="12"/>
  <c r="W491" i="58"/>
  <c r="CO700" i="12"/>
  <c r="CO701" i="12" s="1"/>
  <c r="CK120" i="14"/>
  <c r="BF42" i="48"/>
  <c r="CO696" i="12"/>
  <c r="AH370" i="58"/>
  <c r="P368" i="71"/>
  <c r="P167" i="71"/>
  <c r="P83" i="77"/>
  <c r="I82" i="77"/>
  <c r="BU32" i="80"/>
  <c r="T233" i="71"/>
  <c r="T234" i="71" s="1"/>
  <c r="U472" i="12"/>
  <c r="U14" i="64"/>
  <c r="BU797" i="12"/>
  <c r="BU804" i="12"/>
  <c r="BH16" i="48"/>
  <c r="BQ670" i="12"/>
  <c r="BW797" i="12"/>
  <c r="BW804" i="12"/>
  <c r="BI39" i="12"/>
  <c r="BI34" i="12"/>
  <c r="BI38" i="12"/>
  <c r="BM41" i="12"/>
  <c r="BI106" i="14"/>
  <c r="BI134" i="14" s="1"/>
  <c r="BY797" i="12"/>
  <c r="BY804" i="12"/>
  <c r="CE670" i="12"/>
  <c r="Z490" i="58"/>
  <c r="BV16" i="48"/>
  <c r="CM500" i="12"/>
  <c r="AH491" i="58"/>
  <c r="CD17" i="48"/>
  <c r="CC298" i="12"/>
  <c r="F31" i="57"/>
  <c r="N31" i="57" s="1"/>
  <c r="X483" i="58"/>
  <c r="Q7" i="80"/>
  <c r="BS797" i="12"/>
  <c r="BS804" i="12"/>
  <c r="Q105" i="58"/>
  <c r="BW385" i="12"/>
  <c r="BZ384" i="12"/>
  <c r="BV385" i="12"/>
  <c r="AK276" i="58"/>
  <c r="BQ804" i="12"/>
  <c r="AB212" i="58"/>
  <c r="Q317" i="12"/>
  <c r="Q318" i="12" s="1"/>
  <c r="BP54" i="12"/>
  <c r="CS44" i="12"/>
  <c r="CQ800" i="12"/>
  <c r="CT665" i="12"/>
  <c r="CI8" i="80"/>
  <c r="Q53" i="80"/>
  <c r="CS687" i="12"/>
  <c r="Z276" i="58"/>
  <c r="BI804" i="12"/>
  <c r="O635" i="12"/>
  <c r="BY384" i="12"/>
  <c r="P337" i="12"/>
  <c r="W45" i="77"/>
  <c r="CS466" i="12"/>
  <c r="CT485" i="12"/>
  <c r="Q120" i="14"/>
  <c r="AN102" i="58"/>
  <c r="M16" i="57"/>
  <c r="O16" i="57"/>
  <c r="AN274" i="58"/>
  <c r="CK144" i="33"/>
  <c r="BM26" i="12"/>
  <c r="P5" i="59"/>
  <c r="P8" i="59"/>
  <c r="R104" i="71"/>
  <c r="Q102" i="71"/>
  <c r="BZ8" i="80"/>
  <c r="H14" i="78"/>
  <c r="H5" i="78"/>
  <c r="AD46" i="57"/>
  <c r="S279" i="58"/>
  <c r="BY226" i="14"/>
  <c r="BY227" i="14" s="1"/>
  <c r="CP89" i="33"/>
  <c r="CU149" i="33"/>
  <c r="CP149" i="33"/>
  <c r="CE158" i="33"/>
  <c r="BW56" i="80"/>
  <c r="BX43" i="80"/>
  <c r="BW28" i="80"/>
  <c r="AY18" i="48"/>
  <c r="CY160" i="33"/>
  <c r="AG46" i="57"/>
  <c r="T31" i="80"/>
  <c r="AH369" i="58"/>
  <c r="AM205" i="58"/>
  <c r="E9" i="78"/>
  <c r="AM272" i="58"/>
  <c r="V104" i="58"/>
  <c r="BT26" i="80"/>
  <c r="U57" i="12"/>
  <c r="AI207" i="58"/>
  <c r="R272" i="58"/>
  <c r="BV44" i="48"/>
  <c r="CD23" i="80"/>
  <c r="BV8" i="80"/>
  <c r="BZ26" i="80"/>
  <c r="P11" i="59"/>
  <c r="P13" i="59" s="1"/>
  <c r="L7" i="59"/>
  <c r="BR27" i="12"/>
  <c r="CA11" i="80"/>
  <c r="BT43" i="80"/>
  <c r="AG205" i="58"/>
  <c r="AF15" i="64"/>
  <c r="T56" i="80"/>
  <c r="CE40" i="80"/>
  <c r="Y272" i="58"/>
  <c r="Q104" i="58"/>
  <c r="BT40" i="80"/>
  <c r="CI37" i="80"/>
  <c r="DE160" i="33"/>
  <c r="AD274" i="58"/>
  <c r="S272" i="58"/>
  <c r="W213" i="58"/>
  <c r="AI109" i="58"/>
  <c r="S104" i="58"/>
  <c r="T102" i="58"/>
  <c r="BF108" i="14"/>
  <c r="CW149" i="33"/>
  <c r="CE59" i="80"/>
  <c r="BV56" i="80"/>
  <c r="CC54" i="80"/>
  <c r="CB36" i="80"/>
  <c r="CD26" i="80"/>
  <c r="BX51" i="48"/>
  <c r="AC42" i="57"/>
  <c r="BP51" i="48"/>
  <c r="AC43" i="57" s="1"/>
  <c r="BQ51" i="48"/>
  <c r="AD43" i="57" s="1"/>
  <c r="CA49" i="48"/>
  <c r="AC44" i="57"/>
  <c r="S389" i="12"/>
  <c r="AP205" i="58"/>
  <c r="DF156" i="33"/>
  <c r="AP212" i="58"/>
  <c r="R5" i="59"/>
  <c r="S5" i="59"/>
  <c r="AI371" i="58"/>
  <c r="AK30" i="64"/>
  <c r="AK25" i="64"/>
  <c r="AF361" i="58"/>
  <c r="DC141" i="33"/>
  <c r="T59" i="80"/>
  <c r="AN15" i="64"/>
  <c r="AJ361" i="58"/>
  <c r="O16" i="59"/>
  <c r="K16" i="59"/>
  <c r="G16" i="59"/>
  <c r="O11" i="59"/>
  <c r="K11" i="59"/>
  <c r="K13" i="59" s="1"/>
  <c r="G11" i="59"/>
  <c r="G13" i="59" s="1"/>
  <c r="O7" i="59"/>
  <c r="P109" i="71"/>
  <c r="G8" i="59"/>
  <c r="AL280" i="58"/>
  <c r="O8" i="59"/>
  <c r="G5" i="78"/>
  <c r="R168" i="71"/>
  <c r="CG51" i="80"/>
  <c r="BS40" i="80"/>
  <c r="P7" i="59"/>
  <c r="AJ212" i="58"/>
  <c r="BR11" i="80"/>
  <c r="R28" i="80"/>
  <c r="AN276" i="58"/>
  <c r="J9" i="57"/>
  <c r="CV157" i="33"/>
  <c r="G5" i="59"/>
  <c r="F8" i="59"/>
  <c r="CD10" i="80"/>
  <c r="CQ165" i="33"/>
  <c r="BZ9" i="15"/>
  <c r="CR165" i="33"/>
  <c r="BZ226" i="14"/>
  <c r="BZ227" i="14" s="1"/>
  <c r="BW49" i="48"/>
  <c r="AF44" i="57"/>
  <c r="BS48" i="48"/>
  <c r="AF45" i="57" s="1"/>
  <c r="BO48" i="48"/>
  <c r="AP18" i="48"/>
  <c r="AL18" i="48"/>
  <c r="AD18" i="48"/>
  <c r="R8" i="59"/>
  <c r="J11" i="59"/>
  <c r="J13" i="59" s="1"/>
  <c r="G7" i="59"/>
  <c r="AM280" i="58"/>
  <c r="AM282" i="58" s="1"/>
  <c r="CA25" i="80"/>
  <c r="CE25" i="80"/>
  <c r="BX26" i="80"/>
  <c r="BW26" i="80"/>
  <c r="BW25" i="80"/>
  <c r="CH22" i="80"/>
  <c r="CI23" i="80"/>
  <c r="BU22" i="80"/>
  <c r="BV23" i="80"/>
  <c r="EV410" i="48"/>
  <c r="CD48" i="48"/>
  <c r="BY49" i="48"/>
  <c r="E10" i="78"/>
  <c r="F9" i="78"/>
  <c r="F10" i="78"/>
  <c r="E13" i="78"/>
  <c r="F13" i="78"/>
  <c r="E11" i="78"/>
  <c r="G7" i="78"/>
  <c r="F11" i="78"/>
  <c r="F7" i="78"/>
  <c r="AC272" i="58"/>
  <c r="AG109" i="58"/>
  <c r="BW107" i="14"/>
  <c r="BW109" i="14" s="1"/>
  <c r="O109" i="14" s="1"/>
  <c r="I18" i="77"/>
  <c r="CG60" i="80"/>
  <c r="CF60" i="80"/>
  <c r="CB57" i="80"/>
  <c r="BT57" i="80"/>
  <c r="CH53" i="80"/>
  <c r="CI54" i="80"/>
  <c r="CD53" i="80"/>
  <c r="CE54" i="80"/>
  <c r="BV53" i="80"/>
  <c r="BW54" i="80"/>
  <c r="CC50" i="80"/>
  <c r="CC51" i="80"/>
  <c r="CG46" i="80"/>
  <c r="CF45" i="80"/>
  <c r="CC46" i="80"/>
  <c r="CB45" i="80"/>
  <c r="BZ39" i="80"/>
  <c r="CA40" i="80"/>
  <c r="BV39" i="80"/>
  <c r="BW40" i="80"/>
  <c r="CB31" i="80"/>
  <c r="CF29" i="80"/>
  <c r="CE29" i="80"/>
  <c r="CE28" i="80"/>
  <c r="CB29" i="80"/>
  <c r="CA28" i="80"/>
  <c r="CI26" i="80"/>
  <c r="CH25" i="80"/>
  <c r="AM274" i="58"/>
  <c r="BZ23" i="80"/>
  <c r="S16" i="59"/>
  <c r="BS54" i="80"/>
  <c r="AM279" i="58"/>
  <c r="P53" i="80"/>
  <c r="CS12" i="12"/>
  <c r="CS43" i="12"/>
  <c r="AN280" i="58"/>
  <c r="J39" i="12"/>
  <c r="J41" i="12"/>
  <c r="Q15" i="64"/>
  <c r="AO15" i="64"/>
  <c r="AO27" i="64" s="1"/>
  <c r="AC279" i="58"/>
  <c r="O825" i="12"/>
  <c r="O15" i="80" s="1"/>
  <c r="O16" i="80" s="1"/>
  <c r="CN454" i="12"/>
  <c r="CN55" i="12"/>
  <c r="BB14" i="12"/>
  <c r="BB46" i="12"/>
  <c r="CS800" i="12"/>
  <c r="CT799" i="12"/>
  <c r="CS517" i="12"/>
  <c r="AT106" i="14"/>
  <c r="AT108" i="14" s="1"/>
  <c r="AT39" i="12"/>
  <c r="BI46" i="12"/>
  <c r="BE46" i="12"/>
  <c r="Y36" i="77"/>
  <c r="CM45" i="12"/>
  <c r="T5" i="59"/>
  <c r="S9" i="12"/>
  <c r="T43" i="12" s="1"/>
  <c r="CP255" i="12"/>
  <c r="CQ255" i="12"/>
  <c r="CR454" i="12"/>
  <c r="CR456" i="12" s="1"/>
  <c r="CS629" i="12"/>
  <c r="CT120" i="14"/>
  <c r="CS255" i="12"/>
  <c r="CU698" i="12"/>
  <c r="CT629" i="12"/>
  <c r="CU484" i="12"/>
  <c r="CU516" i="12"/>
  <c r="CU652" i="12"/>
  <c r="CS47" i="12"/>
  <c r="CU665" i="12"/>
  <c r="CU695" i="12"/>
  <c r="AG81" i="77" s="1"/>
  <c r="AG59" i="77" s="1"/>
  <c r="AJ25" i="64"/>
  <c r="AJ30" i="64"/>
  <c r="AK15" i="64"/>
  <c r="X369" i="58"/>
  <c r="CH7" i="80"/>
  <c r="BX7" i="80"/>
  <c r="BY8" i="80"/>
  <c r="CB121" i="14"/>
  <c r="CB122" i="14" s="1"/>
  <c r="S8" i="59"/>
  <c r="W104" i="58"/>
  <c r="CF157" i="33"/>
  <c r="P15" i="64"/>
  <c r="S7" i="59"/>
  <c r="CG142" i="33"/>
  <c r="T25" i="80"/>
  <c r="AL371" i="58"/>
  <c r="AD279" i="58"/>
  <c r="V279" i="58"/>
  <c r="AD110" i="58"/>
  <c r="AA104" i="58"/>
  <c r="CB40" i="80"/>
  <c r="CV363" i="90"/>
  <c r="CW276" i="90"/>
  <c r="CW278" i="90" s="1"/>
  <c r="CA827" i="12"/>
  <c r="CE43" i="12"/>
  <c r="CR10" i="33"/>
  <c r="V360" i="58"/>
  <c r="M34" i="77"/>
  <c r="CB51" i="12"/>
  <c r="CD49" i="48"/>
  <c r="BZ9" i="12"/>
  <c r="U360" i="58" s="1"/>
  <c r="BN11" i="80"/>
  <c r="BR10" i="80"/>
  <c r="N239" i="12"/>
  <c r="BW57" i="80"/>
  <c r="BR43" i="80"/>
  <c r="AF102" i="58"/>
  <c r="CA56" i="80"/>
  <c r="BV51" i="48"/>
  <c r="BT46" i="80"/>
  <c r="CI60" i="80"/>
  <c r="CA54" i="80"/>
  <c r="BY43" i="80"/>
  <c r="CF57" i="80"/>
  <c r="AH42" i="57"/>
  <c r="BZ53" i="80"/>
  <c r="V57" i="12"/>
  <c r="V524" i="12"/>
  <c r="V694" i="12"/>
  <c r="R53" i="90"/>
  <c r="CJ51" i="90"/>
  <c r="CJ53" i="90" s="1"/>
  <c r="CJ52" i="90"/>
  <c r="Q242" i="90"/>
  <c r="CF240" i="90"/>
  <c r="CF242" i="90" s="1"/>
  <c r="CG240" i="90" s="1"/>
  <c r="CG242" i="90" s="1"/>
  <c r="CH240" i="90" s="1"/>
  <c r="CH242" i="90" s="1"/>
  <c r="CI240" i="90" s="1"/>
  <c r="CI242" i="90" s="1"/>
  <c r="N149" i="90"/>
  <c r="BP210" i="90"/>
  <c r="BQ208" i="90" s="1"/>
  <c r="BQ210" i="90" s="1"/>
  <c r="BR208" i="90" s="1"/>
  <c r="BR210" i="90" s="1"/>
  <c r="BS208" i="90" s="1"/>
  <c r="BS210" i="90" s="1"/>
  <c r="V229" i="90"/>
  <c r="CM372" i="90"/>
  <c r="CM96" i="15" s="1"/>
  <c r="Y30" i="77" s="1"/>
  <c r="T296" i="90"/>
  <c r="O88" i="90"/>
  <c r="CA39" i="90"/>
  <c r="CA40" i="90"/>
  <c r="BW76" i="90"/>
  <c r="BW77" i="90" s="1"/>
  <c r="CH347" i="90"/>
  <c r="CH348" i="90" s="1"/>
  <c r="CG347" i="90"/>
  <c r="CG348" i="90" s="1"/>
  <c r="CK227" i="90"/>
  <c r="CK230" i="90" s="1"/>
  <c r="CL32" i="90"/>
  <c r="N65" i="90"/>
  <c r="O63" i="90" s="1"/>
  <c r="CE58" i="90"/>
  <c r="CE59" i="90" s="1"/>
  <c r="CF57" i="90" s="1"/>
  <c r="CF59" i="90" s="1"/>
  <c r="CG57" i="90" s="1"/>
  <c r="CG59" i="90" s="1"/>
  <c r="CH57" i="90" s="1"/>
  <c r="CH59" i="90" s="1"/>
  <c r="CI57" i="90" s="1"/>
  <c r="CI59" i="90" s="1"/>
  <c r="L69" i="90"/>
  <c r="BV25" i="90"/>
  <c r="CV297" i="90"/>
  <c r="CW297" i="90" s="1"/>
  <c r="CX297" i="90" s="1"/>
  <c r="CY297" i="90" s="1"/>
  <c r="U297" i="90"/>
  <c r="P129" i="90"/>
  <c r="O164" i="90"/>
  <c r="CF332" i="90"/>
  <c r="CF334" i="90"/>
  <c r="CS189" i="90"/>
  <c r="CT189" i="90" s="1"/>
  <c r="CS179" i="90"/>
  <c r="CT179" i="90" s="1"/>
  <c r="N174" i="90"/>
  <c r="K215" i="90"/>
  <c r="Q179" i="90"/>
  <c r="BZ169" i="90"/>
  <c r="CF337" i="90"/>
  <c r="CU124" i="14"/>
  <c r="CU702" i="12" s="1"/>
  <c r="CU100" i="15"/>
  <c r="U41" i="15"/>
  <c r="U85" i="15" s="1"/>
  <c r="U91" i="15" s="1"/>
  <c r="CU43" i="15"/>
  <c r="CU79" i="15"/>
  <c r="BS41" i="33"/>
  <c r="DM89" i="33"/>
  <c r="DM147" i="33"/>
  <c r="DM165" i="33"/>
  <c r="U689" i="12"/>
  <c r="T174" i="71" s="1"/>
  <c r="T167" i="71"/>
  <c r="CU686" i="12"/>
  <c r="AP275" i="58"/>
  <c r="DL14" i="33"/>
  <c r="DL12" i="33"/>
  <c r="DQ142" i="33" s="1"/>
  <c r="CU53" i="12"/>
  <c r="CT820" i="12"/>
  <c r="CT14" i="12"/>
  <c r="CU52" i="12"/>
  <c r="CT54" i="12"/>
  <c r="DL10" i="33"/>
  <c r="DL9" i="33"/>
  <c r="CU495" i="12"/>
  <c r="CU700" i="12"/>
  <c r="CU701" i="12" s="1"/>
  <c r="AP368" i="58"/>
  <c r="CU281" i="12"/>
  <c r="U122" i="33"/>
  <c r="U33" i="33" s="1"/>
  <c r="V663" i="12"/>
  <c r="X663" i="12" s="1"/>
  <c r="Y663" i="12" s="1"/>
  <c r="Z663" i="12" s="1"/>
  <c r="AA663" i="12" s="1"/>
  <c r="AB663" i="12" s="1"/>
  <c r="AC663" i="12" s="1"/>
  <c r="AD663" i="12" s="1"/>
  <c r="CU687" i="12"/>
  <c r="CU696" i="12"/>
  <c r="CU826" i="12"/>
  <c r="AP358" i="58" s="1"/>
  <c r="CU485" i="12"/>
  <c r="CU517" i="12"/>
  <c r="CU45" i="12"/>
  <c r="U508" i="12"/>
  <c r="AP206" i="58"/>
  <c r="U494" i="12"/>
  <c r="CU44" i="12"/>
  <c r="AR485" i="58"/>
  <c r="AP103" i="58"/>
  <c r="AP104" i="58" s="1"/>
  <c r="U376" i="12"/>
  <c r="CU55" i="12"/>
  <c r="CU47" i="12"/>
  <c r="AP101" i="58"/>
  <c r="AP102" i="58" s="1"/>
  <c r="T101" i="71"/>
  <c r="T102" i="71" s="1"/>
  <c r="U27" i="80"/>
  <c r="AJ491" i="58"/>
  <c r="AJ488" i="58" s="1"/>
  <c r="CO500" i="12"/>
  <c r="BG29" i="70"/>
  <c r="BG35" i="70"/>
  <c r="BG28" i="70"/>
  <c r="AM47" i="33"/>
  <c r="AM75" i="15"/>
  <c r="AM84" i="15"/>
  <c r="G94" i="65"/>
  <c r="BN68" i="70"/>
  <c r="BO67" i="70"/>
  <c r="AL79" i="15"/>
  <c r="AL95" i="15"/>
  <c r="AL100" i="15" s="1"/>
  <c r="BC29" i="70"/>
  <c r="BC35" i="70"/>
  <c r="BC28" i="70"/>
  <c r="CZ43" i="14"/>
  <c r="Q698" i="12"/>
  <c r="U9" i="80"/>
  <c r="U698" i="12"/>
  <c r="CA671" i="12"/>
  <c r="CA673" i="12"/>
  <c r="CA837" i="12" s="1"/>
  <c r="AD371" i="58"/>
  <c r="Q9" i="80"/>
  <c r="R698" i="12"/>
  <c r="R826" i="12"/>
  <c r="Q305" i="71" s="1"/>
  <c r="R827" i="12"/>
  <c r="R829" i="12" s="1"/>
  <c r="AA371" i="58"/>
  <c r="CD27" i="12"/>
  <c r="CE503" i="12"/>
  <c r="CE836" i="12" s="1"/>
  <c r="CE501" i="12"/>
  <c r="CD220" i="14"/>
  <c r="CI38" i="12"/>
  <c r="CI49" i="12"/>
  <c r="CI37" i="12"/>
  <c r="CI35" i="12"/>
  <c r="CI39" i="12"/>
  <c r="CI25" i="12"/>
  <c r="CI36" i="12"/>
  <c r="CI106" i="14"/>
  <c r="CI134" i="14" s="1"/>
  <c r="CI34" i="12"/>
  <c r="AA213" i="58"/>
  <c r="AA215" i="58" s="1"/>
  <c r="Y361" i="58"/>
  <c r="U280" i="58"/>
  <c r="R304" i="71"/>
  <c r="BF43" i="48"/>
  <c r="P165" i="12"/>
  <c r="CB165" i="12"/>
  <c r="CC165" i="12" s="1"/>
  <c r="CD165" i="12" s="1"/>
  <c r="CE165" i="12" s="1"/>
  <c r="Q165" i="12" s="1"/>
  <c r="BJ125" i="14"/>
  <c r="Q80" i="77"/>
  <c r="CA12" i="80"/>
  <c r="Z354" i="58"/>
  <c r="R80" i="77"/>
  <c r="CF828" i="12"/>
  <c r="CF823" i="12"/>
  <c r="AA354" i="58"/>
  <c r="CB12" i="80"/>
  <c r="AI30" i="64"/>
  <c r="AI25" i="64"/>
  <c r="AH25" i="64"/>
  <c r="AH30" i="64"/>
  <c r="CN302" i="12"/>
  <c r="CN835" i="12"/>
  <c r="CE38" i="12"/>
  <c r="CE36" i="12"/>
  <c r="CE39" i="12"/>
  <c r="CE37" i="12"/>
  <c r="CE35" i="12"/>
  <c r="CE34" i="12"/>
  <c r="CE25" i="12"/>
  <c r="CI41" i="12"/>
  <c r="CE49" i="12"/>
  <c r="CE106" i="14"/>
  <c r="CE128" i="14" s="1"/>
  <c r="Q168" i="71"/>
  <c r="CP828" i="12"/>
  <c r="AK354" i="58"/>
  <c r="CK301" i="12"/>
  <c r="CK835" i="12" s="1"/>
  <c r="CK299" i="12"/>
  <c r="CP128" i="14"/>
  <c r="CE671" i="12"/>
  <c r="CE673" i="12"/>
  <c r="CE837" i="12" s="1"/>
  <c r="CN456" i="12"/>
  <c r="CM503" i="12"/>
  <c r="CM501" i="12"/>
  <c r="BQ673" i="12"/>
  <c r="BQ674" i="12" s="1"/>
  <c r="BQ671" i="12"/>
  <c r="CC301" i="12"/>
  <c r="CC835" i="12" s="1"/>
  <c r="CC299" i="12"/>
  <c r="W215" i="58"/>
  <c r="N9" i="57"/>
  <c r="L9" i="57"/>
  <c r="AT69" i="57"/>
  <c r="AV69" i="57" s="1"/>
  <c r="BB37" i="12"/>
  <c r="BB38" i="12"/>
  <c r="BC49" i="12"/>
  <c r="BB106" i="14"/>
  <c r="BB128" i="14" s="1"/>
  <c r="BB49" i="12"/>
  <c r="BB36" i="12"/>
  <c r="BB34" i="12"/>
  <c r="BB39" i="12"/>
  <c r="BB35" i="12"/>
  <c r="BF41" i="12"/>
  <c r="CT800" i="12"/>
  <c r="CU799" i="12"/>
  <c r="CV799" i="12" s="1"/>
  <c r="CV800" i="12" s="1"/>
  <c r="N303" i="71"/>
  <c r="AO29" i="64"/>
  <c r="R307" i="71"/>
  <c r="R308" i="71" s="1"/>
  <c r="CT819" i="12"/>
  <c r="CT818" i="12" s="1"/>
  <c r="CS54" i="12"/>
  <c r="CS14" i="12"/>
  <c r="CS38" i="12" s="1"/>
  <c r="CS820" i="12"/>
  <c r="CS818" i="12" s="1"/>
  <c r="CS46" i="12"/>
  <c r="AK27" i="64"/>
  <c r="V276" i="90"/>
  <c r="V278" i="90" s="1"/>
  <c r="W276" i="90" s="1"/>
  <c r="W278" i="90" s="1"/>
  <c r="DD148" i="48"/>
  <c r="U294" i="90"/>
  <c r="U296" i="90" s="1"/>
  <c r="V294" i="90" s="1"/>
  <c r="V296" i="90" s="1"/>
  <c r="Q241" i="90"/>
  <c r="R240" i="90"/>
  <c r="BW25" i="90"/>
  <c r="BV29" i="90"/>
  <c r="BW26" i="90"/>
  <c r="CA41" i="90"/>
  <c r="P41" i="90" s="1"/>
  <c r="CL227" i="90"/>
  <c r="CL230" i="90" s="1"/>
  <c r="CM34" i="90"/>
  <c r="DE208" i="33" s="1"/>
  <c r="CA169" i="90"/>
  <c r="CB169" i="90" s="1"/>
  <c r="CC169" i="90" s="1"/>
  <c r="CD169" i="90" s="1"/>
  <c r="CT41" i="12"/>
  <c r="CT35" i="12"/>
  <c r="CT39" i="12"/>
  <c r="U69" i="14"/>
  <c r="U180" i="33"/>
  <c r="CU282" i="12"/>
  <c r="AP208" i="58"/>
  <c r="AP209" i="58" s="1"/>
  <c r="AS485" i="58"/>
  <c r="V292" i="12"/>
  <c r="U497" i="12"/>
  <c r="Q17" i="48" s="1"/>
  <c r="U509" i="12"/>
  <c r="U58" i="80"/>
  <c r="U59" i="80" s="1"/>
  <c r="T235" i="71"/>
  <c r="T236" i="71" s="1"/>
  <c r="AP356" i="58"/>
  <c r="T103" i="71"/>
  <c r="T104" i="71" s="1"/>
  <c r="U825" i="12"/>
  <c r="U15" i="80" s="1"/>
  <c r="U16" i="80" s="1"/>
  <c r="U377" i="12"/>
  <c r="U30" i="80"/>
  <c r="U31" i="80" s="1"/>
  <c r="AP483" i="58"/>
  <c r="BG30" i="70"/>
  <c r="BG32" i="70"/>
  <c r="BG31" i="70"/>
  <c r="BH31" i="70"/>
  <c r="CO501" i="12"/>
  <c r="CO503" i="12"/>
  <c r="CO836" i="12" s="1"/>
  <c r="V43" i="14"/>
  <c r="BC36" i="70"/>
  <c r="BC42" i="70"/>
  <c r="BC45" i="70"/>
  <c r="BC50" i="70" s="1"/>
  <c r="AM79" i="15"/>
  <c r="AM95" i="15"/>
  <c r="AM100" i="15" s="1"/>
  <c r="BG28" i="12"/>
  <c r="BC31" i="70"/>
  <c r="BC30" i="70"/>
  <c r="BD31" i="70"/>
  <c r="AM55" i="33"/>
  <c r="BG36" i="70"/>
  <c r="BG42" i="70"/>
  <c r="BG45" i="70"/>
  <c r="BG50" i="70" s="1"/>
  <c r="CE504" i="12"/>
  <c r="CC302" i="12"/>
  <c r="CM504" i="12"/>
  <c r="CM836" i="12"/>
  <c r="CS39" i="12"/>
  <c r="CS34" i="12"/>
  <c r="CS106" i="14"/>
  <c r="CS37" i="12"/>
  <c r="CS30" i="12"/>
  <c r="CS49" i="12"/>
  <c r="CS36" i="12"/>
  <c r="CS25" i="12"/>
  <c r="CS35" i="12"/>
  <c r="CM32" i="90"/>
  <c r="S32" i="90" s="1"/>
  <c r="BX25" i="90"/>
  <c r="BW29" i="90"/>
  <c r="BX26" i="90" s="1"/>
  <c r="O25" i="90"/>
  <c r="BW53" i="15"/>
  <c r="O53" i="15" s="1"/>
  <c r="V294" i="12"/>
  <c r="AT485" i="58"/>
  <c r="U491" i="12"/>
  <c r="AP210" i="58"/>
  <c r="AP487" i="58"/>
  <c r="AP107" i="58"/>
  <c r="CU9" i="12"/>
  <c r="AG34" i="77" s="1"/>
  <c r="AP486" i="58"/>
  <c r="U290" i="12"/>
  <c r="T303" i="71"/>
  <c r="AP484" i="58"/>
  <c r="U289" i="12"/>
  <c r="CS822" i="12"/>
  <c r="AE80" i="77" s="1"/>
  <c r="BY25" i="90"/>
  <c r="BZ25" i="90"/>
  <c r="BX29" i="90"/>
  <c r="BY26" i="90" s="1"/>
  <c r="U84" i="33"/>
  <c r="U85" i="33"/>
  <c r="U82" i="33"/>
  <c r="U234" i="15"/>
  <c r="T239" i="71"/>
  <c r="T240" i="71" s="1"/>
  <c r="U519" i="12"/>
  <c r="T241" i="71" s="1"/>
  <c r="T242" i="71" s="1"/>
  <c r="U490" i="12"/>
  <c r="CU8" i="12"/>
  <c r="AG33" i="77" s="1"/>
  <c r="U9" i="12"/>
  <c r="U10" i="33" s="1"/>
  <c r="CU43" i="12"/>
  <c r="AP360" i="58"/>
  <c r="CU51" i="12"/>
  <c r="V284" i="12"/>
  <c r="BY29" i="90"/>
  <c r="BZ26" i="90" s="1"/>
  <c r="U61" i="15"/>
  <c r="U172" i="33"/>
  <c r="U83" i="33"/>
  <c r="U106" i="15" s="1"/>
  <c r="U173" i="33"/>
  <c r="U9" i="48"/>
  <c r="X33" i="33"/>
  <c r="Y33" i="33"/>
  <c r="Z33" i="33"/>
  <c r="U202" i="15"/>
  <c r="U208" i="15"/>
  <c r="U204" i="15"/>
  <c r="U203" i="15"/>
  <c r="U23" i="15"/>
  <c r="U130" i="14"/>
  <c r="BJ108" i="77"/>
  <c r="U24" i="15"/>
  <c r="U14" i="14"/>
  <c r="U18" i="33"/>
  <c r="U26" i="33"/>
  <c r="U25" i="15"/>
  <c r="U27" i="14"/>
  <c r="BJ102" i="77"/>
  <c r="U11" i="14"/>
  <c r="BJ105" i="77"/>
  <c r="U127" i="14"/>
  <c r="BB98" i="77" s="1"/>
  <c r="U209" i="15"/>
  <c r="U238" i="33"/>
  <c r="U239" i="33" s="1"/>
  <c r="U66" i="14"/>
  <c r="U99" i="14" s="1"/>
  <c r="U22" i="33"/>
  <c r="U23" i="33"/>
  <c r="AP9" i="58"/>
  <c r="U33" i="14"/>
  <c r="U26" i="15"/>
  <c r="U31" i="15"/>
  <c r="M41" i="53" s="1"/>
  <c r="U45" i="14"/>
  <c r="U38" i="15"/>
  <c r="U84" i="15"/>
  <c r="U99" i="90"/>
  <c r="U101" i="90" s="1"/>
  <c r="V99" i="90" s="1"/>
  <c r="V101" i="90" s="1"/>
  <c r="W99" i="90" s="1"/>
  <c r="W101" i="90" s="1"/>
  <c r="U100" i="90"/>
  <c r="U52" i="33"/>
  <c r="U28" i="48"/>
  <c r="U50" i="33"/>
  <c r="U49" i="14"/>
  <c r="U113" i="14" s="1"/>
  <c r="U58" i="15"/>
  <c r="U52" i="15"/>
  <c r="U64" i="15" s="1"/>
  <c r="CT617" i="12"/>
  <c r="CT619" i="12" s="1"/>
  <c r="U206" i="15"/>
  <c r="U45" i="33"/>
  <c r="U149" i="33" s="1"/>
  <c r="U57" i="33"/>
  <c r="M36" i="53" s="1"/>
  <c r="U207" i="15"/>
  <c r="U67" i="14"/>
  <c r="U71" i="14" s="1"/>
  <c r="U180" i="15"/>
  <c r="U20" i="14"/>
  <c r="U78" i="14" s="1"/>
  <c r="U80" i="14" s="1"/>
  <c r="CU19" i="14"/>
  <c r="U19" i="14" s="1"/>
  <c r="U165" i="14"/>
  <c r="CU18" i="14"/>
  <c r="U18" i="14" s="1"/>
  <c r="U164" i="14"/>
  <c r="U166" i="14" s="1"/>
  <c r="U75" i="15"/>
  <c r="U293" i="12"/>
  <c r="U295" i="12" s="1"/>
  <c r="T107" i="71"/>
  <c r="U387" i="12"/>
  <c r="T108" i="71" s="1"/>
  <c r="T109" i="71" s="1"/>
  <c r="U43" i="15"/>
  <c r="O29" i="90"/>
  <c r="P26" i="90" s="1"/>
  <c r="U827" i="12"/>
  <c r="CI26" i="12"/>
  <c r="T174" i="33"/>
  <c r="S425" i="71" s="1"/>
  <c r="S427" i="71" s="1"/>
  <c r="CO264" i="90"/>
  <c r="CO266" i="90" s="1"/>
  <c r="CN361" i="90"/>
  <c r="O113" i="14"/>
  <c r="H75" i="65"/>
  <c r="O46" i="14"/>
  <c r="O59" i="14" s="1"/>
  <c r="P61" i="52"/>
  <c r="P95" i="90"/>
  <c r="CA352" i="90"/>
  <c r="CB93" i="90"/>
  <c r="CB95" i="90" s="1"/>
  <c r="G64" i="52"/>
  <c r="G65" i="52" s="1"/>
  <c r="CP830" i="12"/>
  <c r="AU10" i="15"/>
  <c r="U826" i="12"/>
  <c r="T305" i="71" s="1"/>
  <c r="CB40" i="90"/>
  <c r="BU203" i="14"/>
  <c r="S15" i="48"/>
  <c r="G19" i="33"/>
  <c r="G20" i="33" s="1"/>
  <c r="G107" i="14"/>
  <c r="G109" i="14" s="1"/>
  <c r="N217" i="33"/>
  <c r="BK299" i="12"/>
  <c r="BK301" i="12"/>
  <c r="BK302" i="12" s="1"/>
  <c r="BK24" i="15"/>
  <c r="L24" i="15" s="1"/>
  <c r="CE27" i="12"/>
  <c r="BH42" i="48"/>
  <c r="BQ120" i="14"/>
  <c r="BR700" i="12"/>
  <c r="BR701" i="12" s="1"/>
  <c r="BM6" i="80"/>
  <c r="CI358" i="90"/>
  <c r="CJ246" i="90"/>
  <c r="CJ248" i="90" s="1"/>
  <c r="CI355" i="90"/>
  <c r="R248" i="90"/>
  <c r="CS270" i="90"/>
  <c r="CS272" i="90"/>
  <c r="CR362" i="90"/>
  <c r="BZ53" i="12"/>
  <c r="K8" i="15"/>
  <c r="BJ674" i="12"/>
  <c r="CR226" i="33"/>
  <c r="D31" i="53"/>
  <c r="AD361" i="58"/>
  <c r="I104" i="53"/>
  <c r="I106" i="53" s="1"/>
  <c r="BB30" i="70"/>
  <c r="BE95" i="15"/>
  <c r="BE100" i="15"/>
  <c r="CB836" i="12"/>
  <c r="BM27" i="12"/>
  <c r="T9" i="48"/>
  <c r="CC36" i="12"/>
  <c r="CC39" i="12"/>
  <c r="CH25" i="12"/>
  <c r="CF301" i="12"/>
  <c r="EA293" i="48"/>
  <c r="EA297" i="48" s="1"/>
  <c r="EA306" i="48" s="1"/>
  <c r="AY42" i="15"/>
  <c r="AY87" i="15" s="1"/>
  <c r="Q42" i="52"/>
  <c r="AY12" i="15"/>
  <c r="I12" i="15" s="1"/>
  <c r="CG503" i="12"/>
  <c r="CG501" i="12"/>
  <c r="J34" i="12"/>
  <c r="J35" i="12"/>
  <c r="AX26" i="15"/>
  <c r="AY26" i="15" s="1"/>
  <c r="I26" i="15" s="1"/>
  <c r="AB491" i="58"/>
  <c r="BX17" i="48"/>
  <c r="E11" i="74"/>
  <c r="BU24" i="48"/>
  <c r="Y9" i="58" s="1"/>
  <c r="AN7" i="64"/>
  <c r="BN52" i="15"/>
  <c r="BA270" i="77"/>
  <c r="R133" i="14"/>
  <c r="R146" i="15"/>
  <c r="R104" i="15"/>
  <c r="AG356" i="58"/>
  <c r="AG357" i="58" s="1"/>
  <c r="CH15" i="80"/>
  <c r="CH17" i="80" s="1"/>
  <c r="CL826" i="12"/>
  <c r="CM826" i="12"/>
  <c r="CG826" i="12"/>
  <c r="AB356" i="58"/>
  <c r="AC357" i="58" s="1"/>
  <c r="CH826" i="12"/>
  <c r="G83" i="77"/>
  <c r="BQ15" i="80"/>
  <c r="BU16" i="80" s="1"/>
  <c r="BV826" i="12"/>
  <c r="O368" i="71"/>
  <c r="P18" i="80"/>
  <c r="AS797" i="12"/>
  <c r="AS804" i="12"/>
  <c r="BP42" i="48"/>
  <c r="BQ43" i="48" s="1"/>
  <c r="AD47" i="57" s="1"/>
  <c r="BY120" i="14"/>
  <c r="Q519" i="12"/>
  <c r="P241" i="71" s="1"/>
  <c r="P242" i="71" s="1"/>
  <c r="P239" i="71"/>
  <c r="P240" i="71" s="1"/>
  <c r="CB385" i="12"/>
  <c r="V105" i="58"/>
  <c r="R252" i="12"/>
  <c r="Q79" i="71" s="1"/>
  <c r="R695" i="12"/>
  <c r="BQ54" i="12"/>
  <c r="BR819" i="12"/>
  <c r="BR818" i="12" s="1"/>
  <c r="CJ52" i="12"/>
  <c r="V35" i="77"/>
  <c r="DB11" i="33"/>
  <c r="AO52" i="33"/>
  <c r="AF368" i="90"/>
  <c r="K187" i="65"/>
  <c r="K94" i="65" s="1"/>
  <c r="S8" i="64"/>
  <c r="K194" i="65"/>
  <c r="K235" i="65"/>
  <c r="CZ147" i="33"/>
  <c r="BJ325" i="77"/>
  <c r="T20" i="77"/>
  <c r="DA163" i="33"/>
  <c r="CZ89" i="33"/>
  <c r="CG163" i="33"/>
  <c r="CF89" i="33"/>
  <c r="CF163" i="33"/>
  <c r="AN24" i="33"/>
  <c r="AP22" i="33"/>
  <c r="BA145" i="33"/>
  <c r="BE15" i="33"/>
  <c r="BE19" i="33" s="1"/>
  <c r="BF17" i="33"/>
  <c r="BA19" i="33"/>
  <c r="AI13" i="48"/>
  <c r="AI18" i="48" s="1"/>
  <c r="BA115" i="33"/>
  <c r="BX159" i="33"/>
  <c r="BA14" i="48"/>
  <c r="BQ218" i="14"/>
  <c r="BQ219" i="14" s="1"/>
  <c r="CL164" i="14"/>
  <c r="CL18" i="14" s="1"/>
  <c r="CA166" i="14"/>
  <c r="CA168" i="14" s="1"/>
  <c r="P164" i="14"/>
  <c r="P166" i="14" s="1"/>
  <c r="CA18" i="14"/>
  <c r="BW166" i="14"/>
  <c r="BW168" i="14" s="1"/>
  <c r="BW18" i="14"/>
  <c r="AX166" i="14"/>
  <c r="AX18" i="14"/>
  <c r="AX20" i="14" s="1"/>
  <c r="AX28" i="14" s="1"/>
  <c r="AL18" i="14"/>
  <c r="AL20" i="14" s="1"/>
  <c r="AL28" i="14" s="1"/>
  <c r="AL166" i="14"/>
  <c r="O164" i="14"/>
  <c r="O166" i="14" s="1"/>
  <c r="AQ164" i="14"/>
  <c r="N164" i="14"/>
  <c r="N166" i="14" s="1"/>
  <c r="BC164" i="14"/>
  <c r="BC18" i="14" s="1"/>
  <c r="BC20" i="14" s="1"/>
  <c r="AM164" i="14"/>
  <c r="P97" i="14"/>
  <c r="O97" i="14"/>
  <c r="L97" i="14"/>
  <c r="K97" i="14"/>
  <c r="G97" i="14"/>
  <c r="H97" i="14"/>
  <c r="S71" i="14"/>
  <c r="S71" i="80" s="1"/>
  <c r="G75" i="65"/>
  <c r="N46" i="14"/>
  <c r="N59" i="14" s="1"/>
  <c r="Q46" i="14"/>
  <c r="Q59" i="14" s="1"/>
  <c r="Q73" i="14" s="1"/>
  <c r="Q113" i="14"/>
  <c r="Q68" i="80" s="1"/>
  <c r="J75" i="65"/>
  <c r="M113" i="14"/>
  <c r="F75" i="65"/>
  <c r="K241" i="65"/>
  <c r="K243" i="65" s="1"/>
  <c r="G241" i="65"/>
  <c r="G243" i="65" s="1"/>
  <c r="G77" i="65"/>
  <c r="CJ79" i="15"/>
  <c r="CJ95" i="15"/>
  <c r="CJ100" i="15" s="1"/>
  <c r="BB66" i="15"/>
  <c r="BC66" i="15"/>
  <c r="BL64" i="15"/>
  <c r="AW40" i="15"/>
  <c r="AV43" i="15"/>
  <c r="AV86" i="15"/>
  <c r="AV88" i="15" s="1"/>
  <c r="AV90" i="15" s="1"/>
  <c r="AV92" i="15" s="1"/>
  <c r="AK40" i="15"/>
  <c r="AJ43" i="15"/>
  <c r="AN84" i="15"/>
  <c r="AO38" i="15"/>
  <c r="N43" i="15"/>
  <c r="H29" i="15"/>
  <c r="AO25" i="15"/>
  <c r="AP25" i="15"/>
  <c r="O20" i="15"/>
  <c r="AN32" i="15"/>
  <c r="AO19" i="15"/>
  <c r="BF18" i="15"/>
  <c r="BG18" i="15" s="1"/>
  <c r="K18" i="15" s="1"/>
  <c r="E45" i="52"/>
  <c r="D47" i="52"/>
  <c r="BW39" i="80"/>
  <c r="BX40" i="80"/>
  <c r="BZ36" i="80"/>
  <c r="CA37" i="80"/>
  <c r="BV36" i="80"/>
  <c r="BW37" i="80"/>
  <c r="BU31" i="80"/>
  <c r="BY31" i="80"/>
  <c r="AK78" i="58"/>
  <c r="DK157" i="33"/>
  <c r="F36" i="57"/>
  <c r="F34" i="57"/>
  <c r="CR504" i="12"/>
  <c r="CZ219" i="14"/>
  <c r="T169" i="71"/>
  <c r="U41" i="80"/>
  <c r="BK673" i="12"/>
  <c r="EE276" i="48"/>
  <c r="CC78" i="14"/>
  <c r="BN32" i="70"/>
  <c r="BB31" i="70"/>
  <c r="BF79" i="15"/>
  <c r="AO110" i="14"/>
  <c r="AO94" i="15" s="1"/>
  <c r="AO99" i="15" s="1"/>
  <c r="AW42" i="33"/>
  <c r="AS95" i="15"/>
  <c r="BF31" i="70"/>
  <c r="CC37" i="12"/>
  <c r="CC35" i="12"/>
  <c r="CH36" i="12"/>
  <c r="CH34" i="12"/>
  <c r="BC67" i="70"/>
  <c r="S169" i="71"/>
  <c r="T679" i="12"/>
  <c r="AV74" i="15"/>
  <c r="AZ79" i="15"/>
  <c r="AZ95" i="15"/>
  <c r="AZ100" i="15" s="1"/>
  <c r="AH483" i="58"/>
  <c r="CM298" i="12"/>
  <c r="V28" i="77"/>
  <c r="AE9" i="58"/>
  <c r="BJ287" i="77"/>
  <c r="EN366" i="48"/>
  <c r="Q146" i="15"/>
  <c r="Q37" i="56"/>
  <c r="R37" i="56" s="1"/>
  <c r="AZ36" i="12"/>
  <c r="AZ38" i="12"/>
  <c r="BT37" i="12"/>
  <c r="BT34" i="12"/>
  <c r="BQ267" i="12"/>
  <c r="N267" i="12" s="1"/>
  <c r="BM66" i="70"/>
  <c r="BT166" i="12"/>
  <c r="BT695" i="12" s="1"/>
  <c r="BP55" i="70"/>
  <c r="O27" i="57"/>
  <c r="M27" i="57"/>
  <c r="U100" i="71"/>
  <c r="AY804" i="12"/>
  <c r="AY797" i="12"/>
  <c r="BW826" i="12"/>
  <c r="R358" i="58" s="1"/>
  <c r="R370" i="58"/>
  <c r="S371" i="58" s="1"/>
  <c r="BX826" i="12"/>
  <c r="BS9" i="80"/>
  <c r="CJ696" i="12"/>
  <c r="CE6" i="80"/>
  <c r="CI7" i="80" s="1"/>
  <c r="U81" i="77"/>
  <c r="CI696" i="12"/>
  <c r="BW667" i="12"/>
  <c r="BW665" i="12"/>
  <c r="Q173" i="71"/>
  <c r="R689" i="12"/>
  <c r="Q174" i="71" s="1"/>
  <c r="R175" i="71" s="1"/>
  <c r="Q635" i="12"/>
  <c r="P635" i="12"/>
  <c r="O79" i="58"/>
  <c r="F46" i="77"/>
  <c r="O14" i="64"/>
  <c r="P623" i="12"/>
  <c r="AD212" i="58"/>
  <c r="BR17" i="48"/>
  <c r="CA500" i="12"/>
  <c r="BP495" i="12"/>
  <c r="BT495" i="12"/>
  <c r="BP497" i="12"/>
  <c r="CF466" i="12"/>
  <c r="AA80" i="58"/>
  <c r="J52" i="77"/>
  <c r="S80" i="58"/>
  <c r="P293" i="12"/>
  <c r="P295" i="12" s="1"/>
  <c r="AF551" i="58"/>
  <c r="AF100" i="58"/>
  <c r="CG384" i="12"/>
  <c r="CC385" i="12"/>
  <c r="CC384" i="12"/>
  <c r="CI224" i="12"/>
  <c r="AW106" i="14"/>
  <c r="AW108" i="14" s="1"/>
  <c r="AW38" i="12"/>
  <c r="BY15" i="48"/>
  <c r="T17" i="77"/>
  <c r="CH55" i="12"/>
  <c r="Q141" i="15"/>
  <c r="Q123" i="15"/>
  <c r="CJ10" i="15"/>
  <c r="DB31" i="33"/>
  <c r="V20" i="77"/>
  <c r="K20" i="77"/>
  <c r="CR163" i="33"/>
  <c r="P24" i="33"/>
  <c r="BV66" i="48" s="1"/>
  <c r="BA108" i="33"/>
  <c r="AG37" i="33"/>
  <c r="AG42" i="33" s="1"/>
  <c r="M140" i="33"/>
  <c r="N202" i="14"/>
  <c r="BP18" i="14"/>
  <c r="BP20" i="14" s="1"/>
  <c r="BP78" i="14" s="1"/>
  <c r="BP166" i="14"/>
  <c r="AW166" i="14"/>
  <c r="AW18" i="14"/>
  <c r="AW20" i="14" s="1"/>
  <c r="AW28" i="14" s="1"/>
  <c r="BP10" i="48"/>
  <c r="BP35" i="48"/>
  <c r="CC79" i="15"/>
  <c r="CC95" i="15"/>
  <c r="CC100" i="15" s="1"/>
  <c r="E55" i="56"/>
  <c r="AV64" i="15"/>
  <c r="AV68" i="15" s="1"/>
  <c r="DI68" i="15"/>
  <c r="DI70" i="15"/>
  <c r="CA87" i="15"/>
  <c r="P42" i="15"/>
  <c r="CA43" i="15"/>
  <c r="BI41" i="15"/>
  <c r="BH43" i="15"/>
  <c r="BL86" i="15"/>
  <c r="BM40" i="15"/>
  <c r="BB35" i="15"/>
  <c r="ES68" i="15"/>
  <c r="ES70" i="15" s="1"/>
  <c r="DR68" i="15"/>
  <c r="DR70" i="15" s="1"/>
  <c r="BU223" i="14"/>
  <c r="O30" i="15"/>
  <c r="AO28" i="15"/>
  <c r="AP28" i="15" s="1"/>
  <c r="AL25" i="15"/>
  <c r="BQ184" i="14"/>
  <c r="BQ185" i="14" s="1"/>
  <c r="BR9" i="15"/>
  <c r="BA8" i="15"/>
  <c r="M44" i="52"/>
  <c r="BW51" i="80"/>
  <c r="BV50" i="80"/>
  <c r="EE258" i="48"/>
  <c r="DV258" i="48"/>
  <c r="EF258" i="48"/>
  <c r="CP55" i="12"/>
  <c r="CC43" i="48"/>
  <c r="J133" i="53"/>
  <c r="J135" i="53" s="1"/>
  <c r="AW114" i="33"/>
  <c r="CC34" i="12"/>
  <c r="CH35" i="12"/>
  <c r="CH106" i="14"/>
  <c r="CH108" i="14" s="1"/>
  <c r="O312" i="90"/>
  <c r="O27" i="48" s="1"/>
  <c r="BI84" i="15"/>
  <c r="BJ38" i="15"/>
  <c r="O146" i="15"/>
  <c r="O104" i="15"/>
  <c r="BS100" i="14"/>
  <c r="BT68" i="14"/>
  <c r="G90" i="56"/>
  <c r="Q28" i="77"/>
  <c r="AO7" i="64"/>
  <c r="BB339" i="77"/>
  <c r="R28" i="77"/>
  <c r="BW24" i="48"/>
  <c r="AA9" i="58" s="1"/>
  <c r="BJ362" i="77"/>
  <c r="CH687" i="12"/>
  <c r="AB275" i="58"/>
  <c r="AC276" i="58" s="1"/>
  <c r="BF29" i="15"/>
  <c r="BG29" i="15"/>
  <c r="J100" i="14"/>
  <c r="K100" i="14"/>
  <c r="BI67" i="70"/>
  <c r="BR15" i="70"/>
  <c r="BG797" i="12"/>
  <c r="BG804" i="12"/>
  <c r="CN826" i="12"/>
  <c r="Z82" i="77"/>
  <c r="K82" i="77"/>
  <c r="BU9" i="80"/>
  <c r="T370" i="58"/>
  <c r="CE700" i="12"/>
  <c r="CE701" i="12" s="1"/>
  <c r="CA6" i="80"/>
  <c r="Q81" i="77"/>
  <c r="CP665" i="12"/>
  <c r="CL667" i="12"/>
  <c r="CL665" i="12"/>
  <c r="CI641" i="12"/>
  <c r="CI665" i="12"/>
  <c r="CG667" i="12"/>
  <c r="CK665" i="12"/>
  <c r="CG641" i="12"/>
  <c r="R641" i="12" s="1"/>
  <c r="BP665" i="12"/>
  <c r="BL667" i="12"/>
  <c r="CO617" i="12"/>
  <c r="CI497" i="12"/>
  <c r="CI495" i="12"/>
  <c r="BW497" i="12"/>
  <c r="CA495" i="12"/>
  <c r="BS495" i="12"/>
  <c r="BS497" i="12"/>
  <c r="S519" i="12"/>
  <c r="R241" i="71" s="1"/>
  <c r="R239" i="71"/>
  <c r="R240" i="71" s="1"/>
  <c r="AC80" i="58"/>
  <c r="CH466" i="12"/>
  <c r="P460" i="12"/>
  <c r="O13" i="64"/>
  <c r="O462" i="12"/>
  <c r="O460" i="12"/>
  <c r="O515" i="12" s="1"/>
  <c r="CF384" i="12"/>
  <c r="AA105" i="58"/>
  <c r="AB106" i="58" s="1"/>
  <c r="Z483" i="58"/>
  <c r="CE298" i="12"/>
  <c r="BU42" i="48"/>
  <c r="CD120" i="14"/>
  <c r="CE121" i="14" s="1"/>
  <c r="CE122" i="14" s="1"/>
  <c r="BI54" i="12"/>
  <c r="BH54" i="12"/>
  <c r="CH53" i="12"/>
  <c r="R11" i="12"/>
  <c r="S36" i="77"/>
  <c r="N42" i="12"/>
  <c r="N12" i="12"/>
  <c r="CF226" i="14"/>
  <c r="CF227" i="14" s="1"/>
  <c r="R45" i="33"/>
  <c r="CB9" i="15"/>
  <c r="Q9" i="15" s="1"/>
  <c r="CB226" i="14"/>
  <c r="CB227" i="14" s="1"/>
  <c r="CN205" i="15"/>
  <c r="DF31" i="33"/>
  <c r="K45" i="66"/>
  <c r="N20" i="77"/>
  <c r="N8" i="56"/>
  <c r="BX64" i="48"/>
  <c r="R107" i="14"/>
  <c r="BU212" i="14"/>
  <c r="BU214" i="14" s="1"/>
  <c r="BT214" i="14"/>
  <c r="CJ18" i="14"/>
  <c r="CJ166" i="14"/>
  <c r="CJ168" i="14" s="1"/>
  <c r="BU18" i="14"/>
  <c r="BU166" i="14"/>
  <c r="BU168" i="14" s="1"/>
  <c r="J18" i="14"/>
  <c r="J166" i="14"/>
  <c r="E38" i="53"/>
  <c r="M7" i="64"/>
  <c r="CD35" i="48"/>
  <c r="CD10" i="48"/>
  <c r="K71" i="14"/>
  <c r="D85" i="65"/>
  <c r="G71" i="14"/>
  <c r="G73" i="14" s="1"/>
  <c r="K85" i="65"/>
  <c r="R71" i="14"/>
  <c r="R71" i="80" s="1"/>
  <c r="S99" i="14"/>
  <c r="R99" i="14"/>
  <c r="J71" i="14"/>
  <c r="K99" i="14"/>
  <c r="C85" i="65"/>
  <c r="G99" i="14"/>
  <c r="F71" i="14"/>
  <c r="F85" i="65"/>
  <c r="M71" i="14"/>
  <c r="M99" i="14"/>
  <c r="I71" i="14"/>
  <c r="I73" i="14" s="1"/>
  <c r="I99" i="14"/>
  <c r="E71" i="14"/>
  <c r="E73" i="14" s="1"/>
  <c r="S46" i="14"/>
  <c r="S59" i="14" s="1"/>
  <c r="S73" i="14" s="1"/>
  <c r="CL109" i="14"/>
  <c r="CH95" i="15"/>
  <c r="CH100" i="15" s="1"/>
  <c r="CH79" i="15"/>
  <c r="BG60" i="15"/>
  <c r="K60" i="15" s="1"/>
  <c r="BA51" i="15"/>
  <c r="DY68" i="15"/>
  <c r="DY70" i="15" s="1"/>
  <c r="BA36" i="15"/>
  <c r="AZ43" i="15"/>
  <c r="AM29" i="15"/>
  <c r="F29" i="15" s="1"/>
  <c r="BN13" i="15"/>
  <c r="M13" i="15" s="1"/>
  <c r="AJ32" i="15"/>
  <c r="BS60" i="80"/>
  <c r="BV59" i="80"/>
  <c r="BR60" i="80"/>
  <c r="CG56" i="80"/>
  <c r="CG57" i="80"/>
  <c r="CF42" i="80"/>
  <c r="CG43" i="80"/>
  <c r="DV215" i="48"/>
  <c r="DT217" i="48"/>
  <c r="CP44" i="12"/>
  <c r="S369" i="58"/>
  <c r="S110" i="58"/>
  <c r="S112" i="58" s="1"/>
  <c r="BG55" i="15"/>
  <c r="BI79" i="15"/>
  <c r="AD490" i="58"/>
  <c r="CI670" i="12"/>
  <c r="CD24" i="48"/>
  <c r="Y28" i="77"/>
  <c r="BJ240" i="77"/>
  <c r="M46" i="14"/>
  <c r="M59" i="14" s="1"/>
  <c r="F64" i="65"/>
  <c r="BP670" i="12"/>
  <c r="BG16" i="48"/>
  <c r="BM9" i="15"/>
  <c r="BL32" i="15"/>
  <c r="BK19" i="33"/>
  <c r="BK161" i="33"/>
  <c r="BK117" i="33"/>
  <c r="BK145" i="33"/>
  <c r="BK17" i="33"/>
  <c r="BK109" i="33"/>
  <c r="BK115" i="33"/>
  <c r="CG120" i="15"/>
  <c r="CG132" i="15" s="1"/>
  <c r="BJ63" i="70"/>
  <c r="BJ64" i="70"/>
  <c r="BK63" i="70"/>
  <c r="BC74" i="70"/>
  <c r="AJ274" i="58"/>
  <c r="CC9" i="80"/>
  <c r="CH698" i="12"/>
  <c r="CG698" i="12"/>
  <c r="S81" i="77"/>
  <c r="CG120" i="14"/>
  <c r="CH121" i="14" s="1"/>
  <c r="CH122" i="14" s="1"/>
  <c r="CG696" i="12"/>
  <c r="CC6" i="80"/>
  <c r="BW120" i="14"/>
  <c r="O120" i="14" s="1"/>
  <c r="I81" i="77"/>
  <c r="BS6" i="80"/>
  <c r="BS687" i="12"/>
  <c r="BT687" i="12"/>
  <c r="M667" i="12"/>
  <c r="CB665" i="12"/>
  <c r="CF665" i="12"/>
  <c r="CB667" i="12"/>
  <c r="BR667" i="12"/>
  <c r="BR670" i="12" s="1"/>
  <c r="BV665" i="12"/>
  <c r="BO667" i="12"/>
  <c r="BS665" i="12"/>
  <c r="BO665" i="12"/>
  <c r="N494" i="12"/>
  <c r="N497" i="12" s="1"/>
  <c r="P233" i="71"/>
  <c r="Q234" i="71" s="1"/>
  <c r="Q55" i="80"/>
  <c r="Q56" i="80" s="1"/>
  <c r="Q472" i="12"/>
  <c r="U80" i="58"/>
  <c r="L52" i="77"/>
  <c r="R460" i="12"/>
  <c r="R462" i="12"/>
  <c r="R13" i="64"/>
  <c r="R15" i="64" s="1"/>
  <c r="R29" i="64" s="1"/>
  <c r="R52" i="80"/>
  <c r="CH478" i="12"/>
  <c r="CH515" i="12"/>
  <c r="S695" i="12"/>
  <c r="S696" i="12" s="1"/>
  <c r="S49" i="80"/>
  <c r="H4" i="59"/>
  <c r="I5" i="59" s="1"/>
  <c r="BM295" i="12"/>
  <c r="BM298" i="12" s="1"/>
  <c r="Q252" i="12"/>
  <c r="P79" i="71" s="1"/>
  <c r="BV45" i="48"/>
  <c r="AD100" i="58"/>
  <c r="AD551" i="58"/>
  <c r="CL84" i="48"/>
  <c r="BZ224" i="12"/>
  <c r="P224" i="12" s="1"/>
  <c r="P225" i="12" s="1"/>
  <c r="P226" i="12" s="1"/>
  <c r="AS39" i="12"/>
  <c r="AS38" i="12"/>
  <c r="AS106" i="14"/>
  <c r="AS108" i="14" s="1"/>
  <c r="N36" i="77"/>
  <c r="Q11" i="12"/>
  <c r="Q12" i="33" s="1"/>
  <c r="R148" i="15"/>
  <c r="R106" i="15"/>
  <c r="J236" i="65"/>
  <c r="R96" i="33"/>
  <c r="J188" i="65"/>
  <c r="R28" i="48"/>
  <c r="J187" i="65"/>
  <c r="R8" i="64"/>
  <c r="CN9" i="15"/>
  <c r="DK149" i="33"/>
  <c r="DF165" i="33"/>
  <c r="CI226" i="14"/>
  <c r="CI227" i="14" s="1"/>
  <c r="DA165" i="33"/>
  <c r="Z20" i="77"/>
  <c r="DF163" i="33"/>
  <c r="BJ221" i="77"/>
  <c r="BJ359" i="77"/>
  <c r="R20" i="77"/>
  <c r="BP147" i="33"/>
  <c r="BU147" i="33"/>
  <c r="AR110" i="33"/>
  <c r="AF107" i="14"/>
  <c r="AJ109" i="14" s="1"/>
  <c r="AQ145" i="33"/>
  <c r="M194" i="14"/>
  <c r="CC172" i="14"/>
  <c r="CC185" i="14"/>
  <c r="Q164" i="14"/>
  <c r="CE18" i="14"/>
  <c r="Q18" i="14" s="1"/>
  <c r="CE165" i="14"/>
  <c r="CE166" i="14" s="1"/>
  <c r="CE168" i="14" s="1"/>
  <c r="BJ18" i="14"/>
  <c r="BJ20" i="14" s="1"/>
  <c r="BJ166" i="14"/>
  <c r="AZ166" i="14"/>
  <c r="AZ18" i="14"/>
  <c r="AZ20" i="14" s="1"/>
  <c r="P7" i="64"/>
  <c r="H38" i="53"/>
  <c r="R113" i="14"/>
  <c r="R59" i="14"/>
  <c r="R73" i="14" s="1"/>
  <c r="K75" i="65"/>
  <c r="N113" i="14"/>
  <c r="M35" i="52" s="1"/>
  <c r="C75" i="65"/>
  <c r="J113" i="14"/>
  <c r="H32" i="14"/>
  <c r="H33" i="14" s="1"/>
  <c r="AU33" i="14"/>
  <c r="AU46" i="14" s="1"/>
  <c r="AU59" i="14" s="1"/>
  <c r="AU73" i="14" s="1"/>
  <c r="L33" i="14"/>
  <c r="L240" i="66"/>
  <c r="L242" i="66" s="1"/>
  <c r="BZ79" i="15"/>
  <c r="AW58" i="15"/>
  <c r="AU56" i="15"/>
  <c r="H56" i="15" s="1"/>
  <c r="BH64" i="15"/>
  <c r="BI49" i="15"/>
  <c r="AN64" i="15"/>
  <c r="AO47" i="15"/>
  <c r="AR64" i="15"/>
  <c r="AR68" i="15" s="1"/>
  <c r="AS46" i="15"/>
  <c r="BM42" i="15"/>
  <c r="BM87" i="15" s="1"/>
  <c r="BL87" i="15"/>
  <c r="AZ87" i="15"/>
  <c r="BA42" i="15"/>
  <c r="AH43" i="15"/>
  <c r="AI38" i="15"/>
  <c r="AI75" i="15" s="1"/>
  <c r="AH84" i="15"/>
  <c r="P84" i="15"/>
  <c r="P75" i="15"/>
  <c r="P79" i="15" s="1"/>
  <c r="BJ36" i="15"/>
  <c r="BN31" i="15"/>
  <c r="M31" i="15"/>
  <c r="BJ29" i="15"/>
  <c r="AW29" i="15"/>
  <c r="AX29" i="15"/>
  <c r="AY29" i="15" s="1"/>
  <c r="AW28" i="15"/>
  <c r="AX28" i="15" s="1"/>
  <c r="AY28" i="15" s="1"/>
  <c r="I28" i="15" s="1"/>
  <c r="BF26" i="15"/>
  <c r="BE24" i="15"/>
  <c r="BF24" i="15"/>
  <c r="AX23" i="15"/>
  <c r="AY23" i="15" s="1"/>
  <c r="I23" i="15" s="1"/>
  <c r="J41" i="53"/>
  <c r="AX16" i="15"/>
  <c r="H10" i="15"/>
  <c r="BD32" i="15"/>
  <c r="BE9" i="15"/>
  <c r="F61" i="52"/>
  <c r="F49" i="52"/>
  <c r="F122" i="52" s="1"/>
  <c r="BU60" i="80"/>
  <c r="BV60" i="80"/>
  <c r="CF50" i="80"/>
  <c r="CB50" i="80"/>
  <c r="CB51" i="80"/>
  <c r="DZ235" i="48"/>
  <c r="EE232" i="48"/>
  <c r="BJ205" i="77"/>
  <c r="DG89" i="33"/>
  <c r="DH163" i="33"/>
  <c r="AA20" i="77"/>
  <c r="DG147" i="33"/>
  <c r="CO79" i="15"/>
  <c r="CO95" i="15"/>
  <c r="CO100" i="15" s="1"/>
  <c r="N164" i="90"/>
  <c r="AN79" i="58"/>
  <c r="O143" i="90"/>
  <c r="O144" i="90" s="1"/>
  <c r="Q230" i="90"/>
  <c r="Q229" i="90" s="1"/>
  <c r="P253" i="90"/>
  <c r="AM100" i="58"/>
  <c r="CR617" i="12"/>
  <c r="CR619" i="12" s="1"/>
  <c r="DK165" i="33"/>
  <c r="CR43" i="15"/>
  <c r="CS224" i="12"/>
  <c r="CS454" i="12"/>
  <c r="CS456" i="12" s="1"/>
  <c r="CT255" i="12"/>
  <c r="CU618" i="12"/>
  <c r="CU617" i="12" s="1"/>
  <c r="CU226" i="14"/>
  <c r="CU227" i="14" s="1"/>
  <c r="AK45" i="33"/>
  <c r="AG36" i="33"/>
  <c r="AG41" i="33" s="1"/>
  <c r="CU455" i="12"/>
  <c r="CU566" i="12"/>
  <c r="BK36" i="15"/>
  <c r="AI84" i="15"/>
  <c r="AI43" i="15"/>
  <c r="AP47" i="15"/>
  <c r="N10" i="48"/>
  <c r="BN9" i="15"/>
  <c r="BN32" i="15" s="1"/>
  <c r="BM32" i="15"/>
  <c r="CI673" i="12"/>
  <c r="CI671" i="12"/>
  <c r="CS226" i="12"/>
  <c r="AJ68" i="15"/>
  <c r="AA30" i="48"/>
  <c r="AJ83" i="15"/>
  <c r="AJ74" i="15"/>
  <c r="CB184" i="14"/>
  <c r="CB172" i="14" s="1"/>
  <c r="R12" i="33"/>
  <c r="S45" i="12"/>
  <c r="R45" i="12"/>
  <c r="R12" i="12"/>
  <c r="CN827" i="12"/>
  <c r="AI358" i="58"/>
  <c r="BJ84" i="15"/>
  <c r="BK38" i="15"/>
  <c r="BJ75" i="15"/>
  <c r="BB8" i="15"/>
  <c r="AM25" i="15"/>
  <c r="BM86" i="15"/>
  <c r="BN40" i="15"/>
  <c r="BI85" i="15"/>
  <c r="BI91" i="15" s="1"/>
  <c r="BJ41" i="15"/>
  <c r="F55" i="56"/>
  <c r="FN406" i="48"/>
  <c r="CE8" i="80"/>
  <c r="AV78" i="15"/>
  <c r="AV76" i="15"/>
  <c r="AQ19" i="15"/>
  <c r="G19" i="15"/>
  <c r="AQ25" i="15"/>
  <c r="G25" i="15" s="1"/>
  <c r="Q10" i="48"/>
  <c r="O18" i="14"/>
  <c r="BW20" i="14"/>
  <c r="BW78" i="14" s="1"/>
  <c r="BW80" i="14" s="1"/>
  <c r="G61" i="66"/>
  <c r="R24" i="64"/>
  <c r="R696" i="12"/>
  <c r="R700" i="12"/>
  <c r="R701" i="12" s="1"/>
  <c r="R6" i="80"/>
  <c r="R7" i="80" s="1"/>
  <c r="Q358" i="58"/>
  <c r="Q359" i="58" s="1"/>
  <c r="AB357" i="58"/>
  <c r="CF835" i="12"/>
  <c r="CF302" i="12"/>
  <c r="CI27" i="12"/>
  <c r="CH26" i="12"/>
  <c r="S246" i="90"/>
  <c r="S240" i="71"/>
  <c r="Q61" i="52"/>
  <c r="U829" i="12"/>
  <c r="U79" i="15"/>
  <c r="U95" i="15"/>
  <c r="U100" i="15" s="1"/>
  <c r="R228" i="90"/>
  <c r="F62" i="52"/>
  <c r="F63" i="52" s="1"/>
  <c r="BN42" i="15"/>
  <c r="CH516" i="12"/>
  <c r="AC208" i="58"/>
  <c r="AC209" i="58" s="1"/>
  <c r="CI517" i="12"/>
  <c r="CH517" i="12"/>
  <c r="CL516" i="12"/>
  <c r="BI16" i="48"/>
  <c r="BB36" i="15"/>
  <c r="J20" i="14"/>
  <c r="C61" i="65"/>
  <c r="J32" i="53"/>
  <c r="AM149" i="33"/>
  <c r="N14" i="12"/>
  <c r="N38" i="12" s="1"/>
  <c r="N18" i="64"/>
  <c r="BU44" i="48"/>
  <c r="BU43" i="48"/>
  <c r="AH47" i="57" s="1"/>
  <c r="BV43" i="48"/>
  <c r="AH46" i="57"/>
  <c r="BY44" i="48"/>
  <c r="CE299" i="12"/>
  <c r="CE301" i="12"/>
  <c r="P515" i="12"/>
  <c r="P494" i="12"/>
  <c r="P497" i="12" s="1"/>
  <c r="L17" i="48" s="1"/>
  <c r="BN17" i="48"/>
  <c r="BW500" i="12"/>
  <c r="BU10" i="80"/>
  <c r="AB276" i="58"/>
  <c r="BS9" i="15"/>
  <c r="BS184" i="14" s="1"/>
  <c r="BS185" i="14" s="1"/>
  <c r="BR184" i="14"/>
  <c r="BR185" i="14" s="1"/>
  <c r="BC35" i="15"/>
  <c r="J35" i="15" s="1"/>
  <c r="AH44" i="33"/>
  <c r="AH39" i="33"/>
  <c r="AW125" i="14"/>
  <c r="Q625" i="12"/>
  <c r="P685" i="12"/>
  <c r="BW670" i="12"/>
  <c r="BN16" i="48"/>
  <c r="AS100" i="15"/>
  <c r="BK674" i="12"/>
  <c r="AE30" i="48"/>
  <c r="AN74" i="15"/>
  <c r="AN83" i="15"/>
  <c r="AX40" i="15"/>
  <c r="AW86" i="15"/>
  <c r="BA146" i="33"/>
  <c r="AI20" i="48"/>
  <c r="BA104" i="33"/>
  <c r="BA20" i="33"/>
  <c r="E22" i="33"/>
  <c r="E24" i="33" s="1"/>
  <c r="AP24" i="33"/>
  <c r="AI368" i="90"/>
  <c r="BR17" i="80"/>
  <c r="AB358" i="58"/>
  <c r="CG827" i="12"/>
  <c r="R24" i="48"/>
  <c r="Q9" i="71" s="1"/>
  <c r="R7" i="64"/>
  <c r="J38" i="53"/>
  <c r="BA267" i="77"/>
  <c r="AQ31" i="56"/>
  <c r="R135" i="14"/>
  <c r="J39" i="53" s="1"/>
  <c r="S135" i="14"/>
  <c r="K39" i="53" s="1"/>
  <c r="BA275" i="77"/>
  <c r="N12" i="56"/>
  <c r="P12" i="56" s="1"/>
  <c r="G104" i="33"/>
  <c r="G20" i="48"/>
  <c r="O10" i="48"/>
  <c r="N35" i="52"/>
  <c r="N92" i="52" s="1"/>
  <c r="CU454" i="12"/>
  <c r="CU456" i="12" s="1"/>
  <c r="BF9" i="15"/>
  <c r="AY16" i="15"/>
  <c r="I16" i="15" s="1"/>
  <c r="BB42" i="15"/>
  <c r="BA87" i="15"/>
  <c r="AT46" i="15"/>
  <c r="BJ49" i="15"/>
  <c r="L49" i="15" s="1"/>
  <c r="BI64" i="15"/>
  <c r="Q165" i="14"/>
  <c r="CE19" i="14"/>
  <c r="Q19" i="14" s="1"/>
  <c r="H8" i="59"/>
  <c r="H9" i="59" s="1"/>
  <c r="CH479" i="12"/>
  <c r="CI479" i="12"/>
  <c r="R478" i="12"/>
  <c r="R515" i="12"/>
  <c r="Q237" i="71" s="1"/>
  <c r="Q238" i="71" s="1"/>
  <c r="CB670" i="12"/>
  <c r="BS16" i="48"/>
  <c r="J32" i="57"/>
  <c r="J36" i="57" s="1"/>
  <c r="W490" i="58"/>
  <c r="BK37" i="33"/>
  <c r="BK20" i="33"/>
  <c r="AQ20" i="48"/>
  <c r="BK36" i="33"/>
  <c r="BK104" i="33"/>
  <c r="BP146" i="33"/>
  <c r="BP673" i="12"/>
  <c r="BP674" i="12" s="1"/>
  <c r="BP671" i="12"/>
  <c r="K55" i="15"/>
  <c r="BJ17" i="48"/>
  <c r="BS500" i="12"/>
  <c r="CA7" i="80"/>
  <c r="CB8" i="80"/>
  <c r="CA8" i="80"/>
  <c r="M47" i="52"/>
  <c r="N45" i="52"/>
  <c r="M45" i="52"/>
  <c r="P87" i="15"/>
  <c r="P43" i="15"/>
  <c r="CA503" i="12"/>
  <c r="CA501" i="12"/>
  <c r="P664" i="12"/>
  <c r="P667" i="12" s="1"/>
  <c r="P16" i="48" s="1"/>
  <c r="BS10" i="80"/>
  <c r="BS11" i="80"/>
  <c r="BW10" i="80"/>
  <c r="BM68" i="70"/>
  <c r="BM67" i="70"/>
  <c r="BN67" i="70"/>
  <c r="CC80" i="14"/>
  <c r="AK86" i="15"/>
  <c r="AL40" i="15"/>
  <c r="AK43" i="15"/>
  <c r="L35" i="52"/>
  <c r="L88" i="52" s="1"/>
  <c r="M10" i="48"/>
  <c r="K35" i="52"/>
  <c r="K93" i="52" s="1"/>
  <c r="AQ18" i="14"/>
  <c r="AQ20" i="14" s="1"/>
  <c r="AQ28" i="14" s="1"/>
  <c r="AQ166" i="14"/>
  <c r="P18" i="14"/>
  <c r="I61" i="65" s="1"/>
  <c r="I60" i="65" s="1"/>
  <c r="K61" i="66"/>
  <c r="AN163" i="33"/>
  <c r="AH358" i="58"/>
  <c r="CM827" i="12"/>
  <c r="CM829" i="12" s="1"/>
  <c r="CG836" i="12"/>
  <c r="CG504" i="12"/>
  <c r="P94" i="90"/>
  <c r="Q93" i="90"/>
  <c r="BD74" i="15"/>
  <c r="AU30" i="48"/>
  <c r="BD83" i="15"/>
  <c r="BD88" i="15" s="1"/>
  <c r="BD90" i="15" s="1"/>
  <c r="BD68" i="15"/>
  <c r="L36" i="15"/>
  <c r="AX58" i="15"/>
  <c r="E64" i="65"/>
  <c r="L46" i="14"/>
  <c r="L59" i="14" s="1"/>
  <c r="L73" i="14" s="1"/>
  <c r="E62" i="65"/>
  <c r="E60" i="65" s="1"/>
  <c r="R10" i="48"/>
  <c r="R68" i="80"/>
  <c r="Q35" i="52"/>
  <c r="O495" i="12"/>
  <c r="BO670" i="12"/>
  <c r="BO671" i="12" s="1"/>
  <c r="BF16" i="48"/>
  <c r="CC8" i="80"/>
  <c r="BL74" i="15"/>
  <c r="BC30" i="48"/>
  <c r="BL68" i="15"/>
  <c r="BL83" i="15"/>
  <c r="BL88" i="15" s="1"/>
  <c r="BL90" i="15" s="1"/>
  <c r="DV217" i="48"/>
  <c r="DT225" i="48"/>
  <c r="DT230" i="48" s="1"/>
  <c r="DT273" i="48"/>
  <c r="DV273" i="48" s="1"/>
  <c r="DT223" i="48"/>
  <c r="DT221" i="48"/>
  <c r="DT277" i="48" s="1"/>
  <c r="BB51" i="15"/>
  <c r="BC51" i="15" s="1"/>
  <c r="BU20" i="14"/>
  <c r="BU78" i="14" s="1"/>
  <c r="BU80" i="14" s="1"/>
  <c r="E61" i="66"/>
  <c r="E60" i="66" s="1"/>
  <c r="BZ17" i="48"/>
  <c r="AD491" i="58"/>
  <c r="CI500" i="12"/>
  <c r="BL670" i="12"/>
  <c r="BL673" i="12" s="1"/>
  <c r="BL674" i="12" s="1"/>
  <c r="BC16" i="48"/>
  <c r="CG670" i="12"/>
  <c r="AB490" i="58"/>
  <c r="BX16" i="48"/>
  <c r="AG490" i="58"/>
  <c r="CL670" i="12"/>
  <c r="CC16" i="48"/>
  <c r="BT100" i="14"/>
  <c r="BU68" i="14"/>
  <c r="BV68" i="14" s="1"/>
  <c r="BW68" i="14" s="1"/>
  <c r="BH68" i="15"/>
  <c r="BP500" i="12"/>
  <c r="BP503" i="12" s="1"/>
  <c r="BP504" i="12" s="1"/>
  <c r="BG17" i="48"/>
  <c r="S358" i="58"/>
  <c r="CM299" i="12"/>
  <c r="CM301" i="12"/>
  <c r="CM835" i="12" s="1"/>
  <c r="AP38" i="15"/>
  <c r="AO75" i="15"/>
  <c r="AO95" i="15" s="1"/>
  <c r="AO100" i="15" s="1"/>
  <c r="AO43" i="15"/>
  <c r="AO84" i="15"/>
  <c r="AM166" i="14"/>
  <c r="AM18" i="14"/>
  <c r="AM20" i="14" s="1"/>
  <c r="AM28" i="14" s="1"/>
  <c r="BE117" i="33"/>
  <c r="AC46" i="57"/>
  <c r="BP43" i="48"/>
  <c r="AC47" i="57" s="1"/>
  <c r="AC358" i="58"/>
  <c r="CH827" i="12"/>
  <c r="CL829" i="12" s="1"/>
  <c r="CL827" i="12"/>
  <c r="AG358" i="58"/>
  <c r="BO52" i="15"/>
  <c r="R42" i="52"/>
  <c r="S42" i="52" s="1"/>
  <c r="Q58" i="52"/>
  <c r="Q41" i="52"/>
  <c r="R41" i="52" s="1"/>
  <c r="M52" i="15"/>
  <c r="AQ22" i="48"/>
  <c r="AU46" i="15"/>
  <c r="BW671" i="12"/>
  <c r="BW673" i="12"/>
  <c r="BW674" i="12" s="1"/>
  <c r="O171" i="71"/>
  <c r="N37" i="12"/>
  <c r="N36" i="12"/>
  <c r="N41" i="12"/>
  <c r="N35" i="12"/>
  <c r="N39" i="12"/>
  <c r="N34" i="12"/>
  <c r="R30" i="64"/>
  <c r="R25" i="64"/>
  <c r="F25" i="15"/>
  <c r="R14" i="12"/>
  <c r="R38" i="12" s="1"/>
  <c r="R18" i="64"/>
  <c r="R822" i="12"/>
  <c r="M9" i="15"/>
  <c r="AQ47" i="15"/>
  <c r="CI830" i="12"/>
  <c r="DV223" i="48"/>
  <c r="DT279" i="48"/>
  <c r="BD76" i="15"/>
  <c r="BD78" i="15"/>
  <c r="P665" i="12"/>
  <c r="CB673" i="12"/>
  <c r="CB671" i="12"/>
  <c r="BK49" i="15"/>
  <c r="CG829" i="12"/>
  <c r="CG828" i="12"/>
  <c r="CG830" i="12"/>
  <c r="AN76" i="15"/>
  <c r="AN78" i="15"/>
  <c r="P495" i="12"/>
  <c r="BR671" i="12"/>
  <c r="BR673" i="12"/>
  <c r="BR674" i="12" s="1"/>
  <c r="BK41" i="15"/>
  <c r="BJ85" i="15"/>
  <c r="BJ91" i="15"/>
  <c r="BO40" i="15"/>
  <c r="BO86" i="15" s="1"/>
  <c r="BN86" i="15"/>
  <c r="BJ79" i="15"/>
  <c r="BJ95" i="15"/>
  <c r="BM83" i="15"/>
  <c r="BM74" i="15"/>
  <c r="BD30" i="48"/>
  <c r="R58" i="52"/>
  <c r="AO79" i="15"/>
  <c r="BP501" i="12"/>
  <c r="CI503" i="12"/>
  <c r="CI836" i="12" s="1"/>
  <c r="CI501" i="12"/>
  <c r="BL76" i="15"/>
  <c r="BL78" i="15"/>
  <c r="K91" i="52"/>
  <c r="BS501" i="12"/>
  <c r="BS503" i="12"/>
  <c r="BS504" i="12" s="1"/>
  <c r="AX86" i="15"/>
  <c r="AY40" i="15"/>
  <c r="AY86" i="15"/>
  <c r="O237" i="71"/>
  <c r="Q516" i="12"/>
  <c r="R61" i="52"/>
  <c r="BK84" i="15"/>
  <c r="BK75" i="15"/>
  <c r="L38" i="15"/>
  <c r="AP84" i="15"/>
  <c r="CM302" i="12"/>
  <c r="CL671" i="12"/>
  <c r="CL673" i="12"/>
  <c r="CL674" i="12" s="1"/>
  <c r="CG671" i="12"/>
  <c r="CG673" i="12"/>
  <c r="CG837" i="12"/>
  <c r="DT281" i="48"/>
  <c r="EF281" i="48" s="1"/>
  <c r="DT256" i="48"/>
  <c r="DV256" i="48" s="1"/>
  <c r="AY58" i="15"/>
  <c r="I58" i="15"/>
  <c r="AL86" i="15"/>
  <c r="AM40" i="15"/>
  <c r="AM86" i="15" s="1"/>
  <c r="CA504" i="12"/>
  <c r="CA836" i="12"/>
  <c r="BB87" i="15"/>
  <c r="BC42" i="15"/>
  <c r="J42" i="15" s="1"/>
  <c r="J87" i="15" s="1"/>
  <c r="BG9" i="15"/>
  <c r="N9" i="15"/>
  <c r="N184" i="14" s="1"/>
  <c r="N120" i="15" s="1"/>
  <c r="N132" i="15" s="1"/>
  <c r="BW501" i="12"/>
  <c r="BW503" i="12"/>
  <c r="BW504" i="12" s="1"/>
  <c r="CE302" i="12"/>
  <c r="CE835" i="12"/>
  <c r="BN87" i="15"/>
  <c r="BO42" i="15"/>
  <c r="BO87" i="15" s="1"/>
  <c r="BC8" i="15"/>
  <c r="J8" i="15"/>
  <c r="CN828" i="12"/>
  <c r="CN829" i="12"/>
  <c r="CR829" i="12"/>
  <c r="CO830" i="12"/>
  <c r="AJ78" i="15"/>
  <c r="AJ76" i="15"/>
  <c r="CI674" i="12"/>
  <c r="CI837" i="12"/>
  <c r="BJ100" i="15"/>
  <c r="H46" i="15"/>
  <c r="K9" i="15"/>
  <c r="L84" i="15"/>
  <c r="L75" i="15"/>
  <c r="L95" i="15" s="1"/>
  <c r="L100" i="15" s="1"/>
  <c r="BM78" i="15"/>
  <c r="M40" i="15"/>
  <c r="M86" i="15" s="1"/>
  <c r="M42" i="15"/>
  <c r="M87" i="15"/>
  <c r="BK79" i="15"/>
  <c r="BK95" i="15"/>
  <c r="BK85" i="15"/>
  <c r="BK91" i="15"/>
  <c r="L41" i="15"/>
  <c r="L85" i="15" s="1"/>
  <c r="L91" i="15" s="1"/>
  <c r="CB674" i="12"/>
  <c r="CB837" i="12"/>
  <c r="R34" i="12"/>
  <c r="R36" i="12"/>
  <c r="R35" i="12"/>
  <c r="R39" i="12"/>
  <c r="R37" i="12"/>
  <c r="CE838" i="12"/>
  <c r="CE842" i="12" s="1"/>
  <c r="CE846" i="12" s="1"/>
  <c r="Q846" i="12" s="1"/>
  <c r="BC87" i="15"/>
  <c r="DT259" i="48"/>
  <c r="DT315" i="48" s="1"/>
  <c r="EC315" i="48" s="1"/>
  <c r="CI504" i="12"/>
  <c r="DV279" i="48"/>
  <c r="EF279" i="48"/>
  <c r="R12" i="80"/>
  <c r="Q301" i="71"/>
  <c r="R828" i="12"/>
  <c r="CE844" i="12"/>
  <c r="BK100" i="15"/>
  <c r="BG24" i="15"/>
  <c r="K24" i="15" s="1"/>
  <c r="CS362" i="90"/>
  <c r="CT270" i="90"/>
  <c r="CT272" i="90" s="1"/>
  <c r="L79" i="15"/>
  <c r="AQ38" i="15"/>
  <c r="I40" i="15"/>
  <c r="I86" i="15" s="1"/>
  <c r="CM830" i="12"/>
  <c r="EF273" i="48"/>
  <c r="BL671" i="12"/>
  <c r="BO673" i="12"/>
  <c r="BO674" i="12" s="1"/>
  <c r="BC36" i="15"/>
  <c r="BG26" i="15"/>
  <c r="K26" i="15" s="1"/>
  <c r="K29" i="15"/>
  <c r="CI226" i="12"/>
  <c r="CA25" i="90"/>
  <c r="BZ29" i="90"/>
  <c r="CG674" i="12"/>
  <c r="F40" i="15"/>
  <c r="F86" i="15"/>
  <c r="AP75" i="15"/>
  <c r="CP829" i="12"/>
  <c r="U44" i="12"/>
  <c r="U11" i="33"/>
  <c r="U141" i="33" s="1"/>
  <c r="CB14" i="12"/>
  <c r="CC54" i="12"/>
  <c r="CB822" i="12"/>
  <c r="CC820" i="12"/>
  <c r="CC818" i="12" s="1"/>
  <c r="CR30" i="12"/>
  <c r="CR35" i="12"/>
  <c r="CR41" i="12"/>
  <c r="CR25" i="12"/>
  <c r="CR34" i="12"/>
  <c r="CR39" i="12"/>
  <c r="CR106" i="14"/>
  <c r="CR128" i="14" s="1"/>
  <c r="CR38" i="12"/>
  <c r="U18" i="80"/>
  <c r="T368" i="71"/>
  <c r="BZ55" i="12"/>
  <c r="BH42" i="70"/>
  <c r="BH45" i="70"/>
  <c r="BH50" i="70"/>
  <c r="BH36" i="70"/>
  <c r="AD276" i="58"/>
  <c r="L32" i="53"/>
  <c r="L36" i="70"/>
  <c r="L42" i="70"/>
  <c r="L45" i="70" s="1"/>
  <c r="L50" i="70" s="1"/>
  <c r="CQ504" i="12"/>
  <c r="CQ836" i="12"/>
  <c r="BK67" i="70"/>
  <c r="BJ67" i="70"/>
  <c r="BJ68" i="70"/>
  <c r="CJ829" i="12"/>
  <c r="CJ830" i="12"/>
  <c r="Q56" i="53"/>
  <c r="Q46" i="53"/>
  <c r="EC222" i="48"/>
  <c r="EF222" i="48"/>
  <c r="CP282" i="12"/>
  <c r="BI37" i="33"/>
  <c r="BI114" i="33" s="1"/>
  <c r="BI104" i="33"/>
  <c r="BI146" i="33"/>
  <c r="BI20" i="33"/>
  <c r="BO501" i="12"/>
  <c r="BO503" i="12"/>
  <c r="BO504" i="12" s="1"/>
  <c r="K14" i="12"/>
  <c r="K18" i="64"/>
  <c r="BM86" i="70"/>
  <c r="BM27" i="70"/>
  <c r="BM14" i="70"/>
  <c r="BQ15" i="70"/>
  <c r="BM88" i="70"/>
  <c r="BM15" i="70"/>
  <c r="BM18" i="70"/>
  <c r="BO36" i="15"/>
  <c r="BQ80" i="14"/>
  <c r="BR81" i="14" s="1"/>
  <c r="BR79" i="14"/>
  <c r="CQ835" i="12"/>
  <c r="CQ302" i="12"/>
  <c r="BV78" i="14"/>
  <c r="BV80" i="14" s="1"/>
  <c r="F61" i="66"/>
  <c r="F60" i="66" s="1"/>
  <c r="CH837" i="12"/>
  <c r="CH674" i="12"/>
  <c r="CI820" i="12"/>
  <c r="CI822" i="12"/>
  <c r="CM46" i="12"/>
  <c r="DJ140" i="33"/>
  <c r="DJ156" i="33"/>
  <c r="CF14" i="12"/>
  <c r="CF820" i="12"/>
  <c r="AM361" i="58"/>
  <c r="AL144" i="33"/>
  <c r="R15" i="48"/>
  <c r="BB42" i="70"/>
  <c r="BB45" i="70" s="1"/>
  <c r="BB50" i="70" s="1"/>
  <c r="CC79" i="14"/>
  <c r="AW55" i="33"/>
  <c r="AW48" i="33"/>
  <c r="CB302" i="12"/>
  <c r="CB835" i="12"/>
  <c r="CB838" i="12" s="1"/>
  <c r="CB843" i="12" s="1"/>
  <c r="BE67" i="70"/>
  <c r="BI68" i="70"/>
  <c r="BQ76" i="15"/>
  <c r="BQ78" i="15"/>
  <c r="L34" i="12"/>
  <c r="L36" i="12"/>
  <c r="L37" i="12"/>
  <c r="L38" i="12"/>
  <c r="L35" i="12"/>
  <c r="CQ673" i="12"/>
  <c r="CQ671" i="12"/>
  <c r="L63" i="52"/>
  <c r="L64" i="52" s="1"/>
  <c r="R45" i="53"/>
  <c r="CO301" i="12"/>
  <c r="CO835" i="12" s="1"/>
  <c r="CO299" i="12"/>
  <c r="CH39" i="12"/>
  <c r="CH37" i="12"/>
  <c r="T10" i="33"/>
  <c r="S307" i="71"/>
  <c r="AB483" i="58"/>
  <c r="CG298" i="12"/>
  <c r="CG359" i="90"/>
  <c r="P24" i="64"/>
  <c r="P700" i="12"/>
  <c r="P701" i="12" s="1"/>
  <c r="BY17" i="80"/>
  <c r="AA488" i="58"/>
  <c r="BO184" i="14"/>
  <c r="BO185" i="14" s="1"/>
  <c r="BO32" i="15"/>
  <c r="T27" i="80"/>
  <c r="T275" i="12"/>
  <c r="BQ83" i="15"/>
  <c r="BQ88" i="15" s="1"/>
  <c r="BQ90" i="15" s="1"/>
  <c r="BH30" i="48"/>
  <c r="BL501" i="12"/>
  <c r="BL503" i="12"/>
  <c r="BL504" i="12" s="1"/>
  <c r="BK10" i="15"/>
  <c r="L10" i="15" s="1"/>
  <c r="H62" i="52"/>
  <c r="H63" i="52"/>
  <c r="CC504" i="12"/>
  <c r="CC836" i="12"/>
  <c r="N7" i="64"/>
  <c r="N135" i="14"/>
  <c r="F39" i="53" s="1"/>
  <c r="O135" i="14"/>
  <c r="G39" i="53" s="1"/>
  <c r="F38" i="53"/>
  <c r="AQ53" i="15"/>
  <c r="G53" i="15" s="1"/>
  <c r="AY54" i="15"/>
  <c r="V187" i="33"/>
  <c r="CE218" i="33"/>
  <c r="CF211" i="33" s="1"/>
  <c r="CE215" i="33"/>
  <c r="CH819" i="12"/>
  <c r="CG14" i="12"/>
  <c r="CK46" i="12"/>
  <c r="R43" i="12"/>
  <c r="R10" i="33"/>
  <c r="Q307" i="71"/>
  <c r="Q310" i="71" s="1"/>
  <c r="T667" i="12"/>
  <c r="T16" i="48" s="1"/>
  <c r="CL822" i="12"/>
  <c r="CM54" i="12"/>
  <c r="CL46" i="12"/>
  <c r="CL54" i="12"/>
  <c r="CL820" i="12"/>
  <c r="CP46" i="12"/>
  <c r="CM820" i="12"/>
  <c r="CM818" i="12" s="1"/>
  <c r="EE257" i="48"/>
  <c r="DZ313" i="48"/>
  <c r="EB313" i="48" s="1"/>
  <c r="EB257" i="48"/>
  <c r="I75" i="15"/>
  <c r="I84" i="15"/>
  <c r="BX503" i="12"/>
  <c r="BX501" i="12"/>
  <c r="BF84" i="15"/>
  <c r="BG38" i="15"/>
  <c r="AO149" i="33"/>
  <c r="E28" i="57"/>
  <c r="W10" i="57"/>
  <c r="E25" i="57"/>
  <c r="G25" i="57"/>
  <c r="E21" i="57"/>
  <c r="BQ26" i="12"/>
  <c r="BQ27" i="12"/>
  <c r="K378" i="66"/>
  <c r="K379" i="66"/>
  <c r="K33" i="66"/>
  <c r="L377" i="66"/>
  <c r="CQ121" i="14"/>
  <c r="CQ122" i="14" s="1"/>
  <c r="T120" i="14"/>
  <c r="R79" i="15"/>
  <c r="R95" i="15"/>
  <c r="R100" i="15"/>
  <c r="CG195" i="33"/>
  <c r="CG198" i="33" s="1"/>
  <c r="CG197" i="33" s="1"/>
  <c r="CH196" i="33"/>
  <c r="CJ196" i="33" s="1"/>
  <c r="CU155" i="33"/>
  <c r="BF39" i="12"/>
  <c r="BF36" i="12"/>
  <c r="BF38" i="12"/>
  <c r="BF37" i="12"/>
  <c r="BF25" i="12"/>
  <c r="BR44" i="48"/>
  <c r="AY104" i="33"/>
  <c r="BD146" i="33"/>
  <c r="AZ19" i="33"/>
  <c r="AZ20" i="33" s="1"/>
  <c r="AY20" i="33"/>
  <c r="AY37" i="33"/>
  <c r="AY36" i="33"/>
  <c r="AY146" i="33"/>
  <c r="EN368" i="48"/>
  <c r="EN372" i="48" s="1"/>
  <c r="Q696" i="12"/>
  <c r="AQ29" i="15"/>
  <c r="G29" i="15"/>
  <c r="CC46" i="90"/>
  <c r="CC47" i="90" s="1"/>
  <c r="CC45" i="90"/>
  <c r="S224" i="12"/>
  <c r="S225" i="12" s="1"/>
  <c r="S226" i="12" s="1"/>
  <c r="CM226" i="12"/>
  <c r="G23" i="63"/>
  <c r="AE369" i="58"/>
  <c r="AD369" i="58"/>
  <c r="P56" i="53"/>
  <c r="P46" i="53"/>
  <c r="BK9" i="15"/>
  <c r="L9" i="15"/>
  <c r="BG63" i="15"/>
  <c r="BG64" i="15" s="1"/>
  <c r="AV147" i="33"/>
  <c r="AV37" i="33"/>
  <c r="AV114" i="33" s="1"/>
  <c r="AV163" i="33"/>
  <c r="S173" i="71"/>
  <c r="T689" i="12"/>
  <c r="S174" i="71" s="1"/>
  <c r="G40" i="15"/>
  <c r="G86" i="15" s="1"/>
  <c r="U13" i="64"/>
  <c r="U460" i="12"/>
  <c r="U515" i="12" s="1"/>
  <c r="T237" i="71" s="1"/>
  <c r="U52" i="80"/>
  <c r="U53" i="80" s="1"/>
  <c r="U464" i="12"/>
  <c r="T81" i="71" s="1"/>
  <c r="CX156" i="33"/>
  <c r="BS671" i="12"/>
  <c r="BS673" i="12"/>
  <c r="BS674" i="12" s="1"/>
  <c r="R133" i="53"/>
  <c r="R135" i="53" s="1"/>
  <c r="R104" i="53"/>
  <c r="R106" i="53" s="1"/>
  <c r="AA276" i="58"/>
  <c r="AA280" i="58"/>
  <c r="BK20" i="15"/>
  <c r="L20" i="15" s="1"/>
  <c r="BP104" i="33"/>
  <c r="BP36" i="33"/>
  <c r="BP41" i="33" s="1"/>
  <c r="BP20" i="33"/>
  <c r="BU146" i="33"/>
  <c r="AT148" i="33"/>
  <c r="AT41" i="33"/>
  <c r="BO31" i="70"/>
  <c r="BE30" i="70"/>
  <c r="BE31" i="70"/>
  <c r="BE32" i="70"/>
  <c r="BE28" i="70"/>
  <c r="BE35" i="70"/>
  <c r="BE42" i="70" s="1"/>
  <c r="BE45" i="70" s="1"/>
  <c r="BE50" i="70" s="1"/>
  <c r="K62" i="52"/>
  <c r="AP19" i="33"/>
  <c r="AP37" i="33" s="1"/>
  <c r="E18" i="33"/>
  <c r="BF42" i="15"/>
  <c r="BE43" i="15"/>
  <c r="BE87" i="15"/>
  <c r="BK14" i="70"/>
  <c r="BK15" i="70"/>
  <c r="BO15" i="70"/>
  <c r="BK27" i="70"/>
  <c r="BO25" i="12"/>
  <c r="BO26" i="12" s="1"/>
  <c r="Y271" i="12"/>
  <c r="X272" i="12"/>
  <c r="CH46" i="12"/>
  <c r="CH822" i="12"/>
  <c r="CH54" i="12"/>
  <c r="CI819" i="12"/>
  <c r="CH38" i="12"/>
  <c r="CH820" i="12"/>
  <c r="BD41" i="12"/>
  <c r="BD36" i="12"/>
  <c r="BD34" i="12"/>
  <c r="BD37" i="12"/>
  <c r="BD106" i="14"/>
  <c r="BD108" i="14" s="1"/>
  <c r="BD39" i="12"/>
  <c r="BD38" i="12"/>
  <c r="BH36" i="12"/>
  <c r="BH25" i="12"/>
  <c r="L25" i="12" s="1"/>
  <c r="BI49" i="12"/>
  <c r="BH37" i="12"/>
  <c r="BH49" i="12"/>
  <c r="BH34" i="12"/>
  <c r="BH41" i="12"/>
  <c r="BH39" i="12"/>
  <c r="BH35" i="12"/>
  <c r="Q24" i="48"/>
  <c r="Q135" i="14"/>
  <c r="I39" i="53" s="1"/>
  <c r="Q7" i="64"/>
  <c r="H11" i="74"/>
  <c r="BO218" i="14"/>
  <c r="BO219" i="14" s="1"/>
  <c r="BP218" i="14"/>
  <c r="BP219" i="14" s="1"/>
  <c r="BI36" i="70"/>
  <c r="CP299" i="12"/>
  <c r="CP301" i="12"/>
  <c r="L31" i="15"/>
  <c r="I66" i="15"/>
  <c r="AY66" i="15"/>
  <c r="BG34" i="12"/>
  <c r="BG38" i="12"/>
  <c r="BG35" i="12"/>
  <c r="BG41" i="12"/>
  <c r="BK41" i="12"/>
  <c r="BG39" i="12"/>
  <c r="BG36" i="12"/>
  <c r="BG37" i="12"/>
  <c r="BG49" i="12"/>
  <c r="BG35" i="15"/>
  <c r="K35" i="15" s="1"/>
  <c r="CL282" i="12"/>
  <c r="CM282" i="12"/>
  <c r="S281" i="12"/>
  <c r="N13" i="70"/>
  <c r="N11" i="70"/>
  <c r="U15" i="48"/>
  <c r="AO144" i="33"/>
  <c r="CH355" i="90"/>
  <c r="CH358" i="90"/>
  <c r="BC11" i="15"/>
  <c r="J11" i="15"/>
  <c r="T75" i="15"/>
  <c r="T95" i="15" s="1"/>
  <c r="T100" i="15" s="1"/>
  <c r="BC16" i="15"/>
  <c r="J16" i="15"/>
  <c r="BG20" i="15"/>
  <c r="K20" i="15" s="1"/>
  <c r="BE74" i="70"/>
  <c r="AV84" i="57"/>
  <c r="CK827" i="12"/>
  <c r="CK830" i="12" s="1"/>
  <c r="FN411" i="48"/>
  <c r="FN412" i="48" s="1"/>
  <c r="CC218" i="90"/>
  <c r="AM42" i="15"/>
  <c r="AM87" i="15" s="1"/>
  <c r="BM37" i="33"/>
  <c r="BE64" i="15"/>
  <c r="Q208" i="58"/>
  <c r="Q213" i="58" s="1"/>
  <c r="CL497" i="12"/>
  <c r="CF479" i="12"/>
  <c r="DH64" i="15"/>
  <c r="BE54" i="12"/>
  <c r="CM95" i="15"/>
  <c r="CM100" i="15" s="1"/>
  <c r="BT95" i="15"/>
  <c r="N84" i="15"/>
  <c r="CE349" i="90"/>
  <c r="CS281" i="12"/>
  <c r="CT282" i="12" s="1"/>
  <c r="DL89" i="33"/>
  <c r="CT43" i="15"/>
  <c r="BZ15" i="33"/>
  <c r="BZ145" i="33" s="1"/>
  <c r="AY33" i="14"/>
  <c r="AY46" i="14" s="1"/>
  <c r="AY59" i="14" s="1"/>
  <c r="AY73" i="14" s="1"/>
  <c r="E87" i="15"/>
  <c r="BU84" i="15"/>
  <c r="E74" i="15"/>
  <c r="E76" i="15" s="1"/>
  <c r="CQ466" i="12"/>
  <c r="CQ619" i="12"/>
  <c r="CT224" i="12"/>
  <c r="E103" i="15"/>
  <c r="E105" i="15" s="1"/>
  <c r="E107" i="15" s="1"/>
  <c r="BR87" i="15"/>
  <c r="E83" i="15"/>
  <c r="CS698" i="12"/>
  <c r="E78" i="15"/>
  <c r="F42" i="15"/>
  <c r="F87" i="15" s="1"/>
  <c r="Y272" i="12"/>
  <c r="Z271" i="12"/>
  <c r="AA271" i="12" s="1"/>
  <c r="Y267" i="12"/>
  <c r="Y270" i="12"/>
  <c r="AP20" i="33"/>
  <c r="G28" i="57"/>
  <c r="BX836" i="12"/>
  <c r="BX504" i="12"/>
  <c r="X80" i="77"/>
  <c r="AG354" i="58"/>
  <c r="CH12" i="80"/>
  <c r="I54" i="15"/>
  <c r="P30" i="64"/>
  <c r="CH359" i="90"/>
  <c r="CH49" i="12"/>
  <c r="CQ674" i="12"/>
  <c r="CQ837" i="12"/>
  <c r="CB842" i="12"/>
  <c r="CB846" i="12" s="1"/>
  <c r="BK162" i="33"/>
  <c r="BK164" i="33"/>
  <c r="CB25" i="12"/>
  <c r="CC49" i="12"/>
  <c r="CB38" i="12"/>
  <c r="CB34" i="12"/>
  <c r="CB106" i="14"/>
  <c r="CB128" i="14" s="1"/>
  <c r="CB35" i="12"/>
  <c r="CB39" i="12"/>
  <c r="CB36" i="12"/>
  <c r="CB37" i="12"/>
  <c r="AG491" i="58"/>
  <c r="CC17" i="48"/>
  <c r="CL500" i="12"/>
  <c r="CO829" i="12"/>
  <c r="CD12" i="80"/>
  <c r="T80" i="77"/>
  <c r="CH823" i="12"/>
  <c r="AC354" i="58"/>
  <c r="CH828" i="12"/>
  <c r="BO27" i="12"/>
  <c r="M25" i="12"/>
  <c r="BG42" i="15"/>
  <c r="BG87" i="15" s="1"/>
  <c r="BF87" i="15"/>
  <c r="AA282" i="58"/>
  <c r="AV42" i="33"/>
  <c r="AV47" i="33"/>
  <c r="AW164" i="33"/>
  <c r="P57" i="53"/>
  <c r="AY114" i="33"/>
  <c r="AH22" i="48"/>
  <c r="G21" i="57"/>
  <c r="CE223" i="33"/>
  <c r="H64" i="52"/>
  <c r="CG299" i="12"/>
  <c r="CG301" i="12"/>
  <c r="AW58" i="33"/>
  <c r="AW61" i="33"/>
  <c r="AQ100" i="58"/>
  <c r="K38" i="12"/>
  <c r="K34" i="12"/>
  <c r="AQ75" i="15"/>
  <c r="AQ84" i="15"/>
  <c r="G38" i="15"/>
  <c r="AS22" i="48"/>
  <c r="BM42" i="33"/>
  <c r="BM47" i="33"/>
  <c r="BM55" i="33" s="1"/>
  <c r="BB110" i="14"/>
  <c r="BB94" i="15" s="1"/>
  <c r="BM114" i="33"/>
  <c r="T79" i="15"/>
  <c r="N15" i="70"/>
  <c r="N27" i="70"/>
  <c r="N35" i="70" s="1"/>
  <c r="BK35" i="70"/>
  <c r="BK42" i="70" s="1"/>
  <c r="BK45" i="70" s="1"/>
  <c r="K63" i="52"/>
  <c r="AY162" i="33"/>
  <c r="BA162" i="33"/>
  <c r="CI196" i="33"/>
  <c r="N196" i="33" s="1"/>
  <c r="CG106" i="14"/>
  <c r="CG108" i="14" s="1"/>
  <c r="CG35" i="12"/>
  <c r="CG34" i="12"/>
  <c r="CG39" i="12"/>
  <c r="CG25" i="12"/>
  <c r="CG37" i="12"/>
  <c r="CG41" i="12"/>
  <c r="CG38" i="12"/>
  <c r="CG49" i="12"/>
  <c r="CG36" i="12"/>
  <c r="BO74" i="15"/>
  <c r="BF30" i="48"/>
  <c r="BO83" i="15"/>
  <c r="CF36" i="12"/>
  <c r="CF35" i="12"/>
  <c r="CF49" i="12"/>
  <c r="CF37" i="12"/>
  <c r="CF25" i="12"/>
  <c r="CF27" i="12" s="1"/>
  <c r="CF38" i="12"/>
  <c r="CF41" i="12"/>
  <c r="CF39" i="12"/>
  <c r="CF34" i="12"/>
  <c r="CF106" i="14"/>
  <c r="CI823" i="12"/>
  <c r="CE12" i="80"/>
  <c r="CE13" i="80" s="1"/>
  <c r="CI828" i="12"/>
  <c r="AD354" i="58"/>
  <c r="U80" i="77"/>
  <c r="M36" i="15"/>
  <c r="BM29" i="70"/>
  <c r="BN31" i="70" s="1"/>
  <c r="BM28" i="70"/>
  <c r="BM35" i="70"/>
  <c r="Q57" i="53"/>
  <c r="CR108" i="14"/>
  <c r="CR220" i="14"/>
  <c r="CB828" i="12"/>
  <c r="BX12" i="80"/>
  <c r="W354" i="58"/>
  <c r="N80" i="77"/>
  <c r="AP79" i="15"/>
  <c r="AP95" i="15"/>
  <c r="BZ318" i="90"/>
  <c r="BZ317" i="90" s="1"/>
  <c r="CA26" i="90"/>
  <c r="BT100" i="15"/>
  <c r="CP835" i="12"/>
  <c r="CP302" i="12"/>
  <c r="BE36" i="70"/>
  <c r="CG214" i="33"/>
  <c r="L378" i="66"/>
  <c r="L33" i="66"/>
  <c r="M377" i="66"/>
  <c r="L383" i="66"/>
  <c r="L379" i="66"/>
  <c r="W11" i="57"/>
  <c r="CO302" i="12"/>
  <c r="CQ838" i="12"/>
  <c r="CQ842" i="12"/>
  <c r="CQ846" i="12" s="1"/>
  <c r="T846" i="12" s="1"/>
  <c r="P25" i="90"/>
  <c r="CB25" i="90"/>
  <c r="CC25" i="90" s="1"/>
  <c r="CL830" i="12"/>
  <c r="J36" i="15"/>
  <c r="CL828" i="12"/>
  <c r="CW695" i="12"/>
  <c r="AI81" i="77" s="1"/>
  <c r="BK50" i="70"/>
  <c r="BK36" i="70"/>
  <c r="N28" i="70"/>
  <c r="K64" i="52"/>
  <c r="CC27" i="12"/>
  <c r="Q25" i="12"/>
  <c r="CB844" i="12"/>
  <c r="Z267" i="12"/>
  <c r="CE14" i="80"/>
  <c r="AQ95" i="15"/>
  <c r="AQ100" i="15" s="1"/>
  <c r="AQ79" i="15"/>
  <c r="CL501" i="12"/>
  <c r="CL503" i="12"/>
  <c r="CL504" i="12" s="1"/>
  <c r="CF165" i="12"/>
  <c r="CQ843" i="12"/>
  <c r="CH13" i="80"/>
  <c r="N377" i="66"/>
  <c r="N378" i="66" s="1"/>
  <c r="M379" i="66"/>
  <c r="M378" i="66"/>
  <c r="M33" i="66"/>
  <c r="AP100" i="15"/>
  <c r="BY14" i="80"/>
  <c r="BO78" i="15"/>
  <c r="CG26" i="12"/>
  <c r="CH27" i="12"/>
  <c r="CG220" i="14"/>
  <c r="CG125" i="14"/>
  <c r="AW63" i="33"/>
  <c r="K65" i="52"/>
  <c r="CQ844" i="12"/>
  <c r="H65" i="52"/>
  <c r="AQ370" i="58"/>
  <c r="BM36" i="70"/>
  <c r="BM42" i="70"/>
  <c r="BM45" i="70" s="1"/>
  <c r="BM50" i="70" s="1"/>
  <c r="CK196" i="33"/>
  <c r="G84" i="15"/>
  <c r="G75" i="15"/>
  <c r="G79" i="15" s="1"/>
  <c r="AW70" i="33"/>
  <c r="CG835" i="12"/>
  <c r="CG302" i="12"/>
  <c r="CF215" i="33"/>
  <c r="CF212" i="33"/>
  <c r="CF216" i="33"/>
  <c r="AW166" i="33"/>
  <c r="CB108" i="14"/>
  <c r="H66" i="52"/>
  <c r="N379" i="66"/>
  <c r="N33" i="66"/>
  <c r="H67" i="52"/>
  <c r="AW67" i="33"/>
  <c r="AW78" i="33"/>
  <c r="R165" i="12"/>
  <c r="CG165" i="12"/>
  <c r="K66" i="52"/>
  <c r="K68" i="52" s="1"/>
  <c r="CG838" i="12"/>
  <c r="CG842" i="12" s="1"/>
  <c r="CG846" i="12" s="1"/>
  <c r="CL196" i="33"/>
  <c r="CM196" i="33" s="1"/>
  <c r="CN196" i="33" s="1"/>
  <c r="O196" i="33" s="1"/>
  <c r="P196" i="33" s="1"/>
  <c r="Q196" i="33" s="1"/>
  <c r="R196" i="33" s="1"/>
  <c r="S196" i="33" s="1"/>
  <c r="T196" i="33" s="1"/>
  <c r="U196" i="33" s="1"/>
  <c r="V196" i="33" s="1"/>
  <c r="CQ847" i="12"/>
  <c r="T847" i="12" s="1"/>
  <c r="K67" i="52"/>
  <c r="CB847" i="12"/>
  <c r="CO196" i="33"/>
  <c r="CP196" i="33" s="1"/>
  <c r="CG843" i="12"/>
  <c r="S165" i="12"/>
  <c r="CH165" i="12"/>
  <c r="CI165" i="12" s="1"/>
  <c r="AL39" i="77"/>
  <c r="N58" i="77"/>
  <c r="U49" i="77"/>
  <c r="W53" i="77"/>
  <c r="V70" i="14"/>
  <c r="CV172" i="14"/>
  <c r="CV79" i="15"/>
  <c r="V221" i="15"/>
  <c r="X221" i="15" s="1"/>
  <c r="Y221" i="15" s="1"/>
  <c r="Z221" i="15" s="1"/>
  <c r="AA221" i="15" s="1"/>
  <c r="AB221" i="15" s="1"/>
  <c r="AC221" i="15" s="1"/>
  <c r="AD221" i="15" s="1"/>
  <c r="V189" i="15"/>
  <c r="X189" i="15" s="1"/>
  <c r="Y189" i="15" s="1"/>
  <c r="Z189" i="15" s="1"/>
  <c r="AA189" i="15" s="1"/>
  <c r="AB189" i="15" s="1"/>
  <c r="AC189" i="15" s="1"/>
  <c r="AD189" i="15" s="1"/>
  <c r="BZ115" i="33"/>
  <c r="BZ108" i="33"/>
  <c r="BC13" i="48"/>
  <c r="BC18" i="48" s="1"/>
  <c r="BZ19" i="33"/>
  <c r="CT172" i="14"/>
  <c r="BH147" i="33"/>
  <c r="CI218" i="33"/>
  <c r="CI215" i="33"/>
  <c r="CI213" i="33"/>
  <c r="CI217" i="33"/>
  <c r="J93" i="66"/>
  <c r="F93" i="66"/>
  <c r="J235" i="65"/>
  <c r="R26" i="48"/>
  <c r="J194" i="65"/>
  <c r="DB89" i="33"/>
  <c r="CJ9" i="15"/>
  <c r="CJ184" i="14" s="1"/>
  <c r="CJ172" i="14" s="1"/>
  <c r="DB149" i="33"/>
  <c r="DG149" i="33"/>
  <c r="S45" i="33"/>
  <c r="DB165" i="33"/>
  <c r="CX89" i="33"/>
  <c r="CF9" i="15"/>
  <c r="CF184" i="14" s="1"/>
  <c r="BJ18" i="33"/>
  <c r="I18" i="33" s="1"/>
  <c r="BF19" i="33"/>
  <c r="BK146" i="33" s="1"/>
  <c r="CR186" i="33"/>
  <c r="CT186" i="33"/>
  <c r="AT110" i="33"/>
  <c r="O100" i="71"/>
  <c r="O300" i="71"/>
  <c r="O166" i="71"/>
  <c r="CY147" i="33"/>
  <c r="CT89" i="33"/>
  <c r="X9" i="57"/>
  <c r="CT163" i="33"/>
  <c r="I20" i="77"/>
  <c r="CO147" i="33"/>
  <c r="CP163" i="33"/>
  <c r="CJ147" i="33"/>
  <c r="CP147" i="33"/>
  <c r="BZ147" i="33"/>
  <c r="O23" i="33"/>
  <c r="CN24" i="33"/>
  <c r="BS108" i="33"/>
  <c r="BS110" i="33" s="1"/>
  <c r="BS16" i="33"/>
  <c r="BS161" i="33"/>
  <c r="CC108" i="33"/>
  <c r="BF13" i="48"/>
  <c r="BF18" i="48" s="1"/>
  <c r="CC19" i="33"/>
  <c r="CC37" i="33" s="1"/>
  <c r="J4" i="58"/>
  <c r="CC109" i="33"/>
  <c r="Y300" i="71"/>
  <c r="S9" i="48"/>
  <c r="S173" i="33"/>
  <c r="S174" i="33" s="1"/>
  <c r="R425" i="71" s="1"/>
  <c r="AK52" i="33"/>
  <c r="D52" i="33" s="1"/>
  <c r="D8" i="64" s="1"/>
  <c r="CX31" i="33"/>
  <c r="CF10" i="15"/>
  <c r="CF131" i="15"/>
  <c r="DG163" i="33"/>
  <c r="DF147" i="33"/>
  <c r="AU22" i="33"/>
  <c r="AQ108" i="33"/>
  <c r="AQ110" i="33" s="1"/>
  <c r="AK19" i="33"/>
  <c r="AK20" i="33" s="1"/>
  <c r="CB15" i="33"/>
  <c r="BH19" i="33"/>
  <c r="BH109" i="33"/>
  <c r="AO13" i="48"/>
  <c r="AO18" i="48" s="1"/>
  <c r="BU159" i="33"/>
  <c r="AY14" i="48"/>
  <c r="BC19" i="33"/>
  <c r="M4" i="64"/>
  <c r="AB20" i="77"/>
  <c r="F144" i="33"/>
  <c r="BH117" i="33"/>
  <c r="BH108" i="33"/>
  <c r="T183" i="33"/>
  <c r="T181" i="33" s="1"/>
  <c r="T185" i="33" s="1"/>
  <c r="BC145" i="33"/>
  <c r="BC117" i="33"/>
  <c r="G140" i="33"/>
  <c r="U182" i="33"/>
  <c r="DM127" i="33"/>
  <c r="DM128" i="33" s="1"/>
  <c r="BH115" i="33"/>
  <c r="BC108" i="33"/>
  <c r="BC110" i="33" s="1"/>
  <c r="BD161" i="33"/>
  <c r="AI36" i="33"/>
  <c r="AI47" i="33" s="1"/>
  <c r="AI55" i="33" s="1"/>
  <c r="CV24" i="33"/>
  <c r="BE115" i="33"/>
  <c r="BE17" i="33"/>
  <c r="M92" i="52"/>
  <c r="M88" i="52"/>
  <c r="D45" i="33"/>
  <c r="R89" i="33"/>
  <c r="S168" i="33"/>
  <c r="S55" i="56"/>
  <c r="CI128" i="14"/>
  <c r="BB125" i="14"/>
  <c r="AP52" i="33"/>
  <c r="U168" i="33"/>
  <c r="M32" i="53"/>
  <c r="I26" i="48"/>
  <c r="I8" i="64"/>
  <c r="K149" i="33"/>
  <c r="L168" i="33"/>
  <c r="C32" i="53"/>
  <c r="K168" i="33"/>
  <c r="L149" i="33"/>
  <c r="G115" i="33"/>
  <c r="H149" i="33"/>
  <c r="G149" i="33"/>
  <c r="G168" i="33"/>
  <c r="H168" i="33"/>
  <c r="F32" i="53"/>
  <c r="N168" i="33"/>
  <c r="N149" i="33"/>
  <c r="K107" i="14"/>
  <c r="K109" i="14" s="1"/>
  <c r="C45" i="65"/>
  <c r="CP185" i="14"/>
  <c r="CP172" i="14"/>
  <c r="K26" i="48"/>
  <c r="C188" i="65"/>
  <c r="I168" i="33"/>
  <c r="J149" i="33"/>
  <c r="J168" i="33"/>
  <c r="I149" i="33"/>
  <c r="N165" i="33"/>
  <c r="O165" i="33"/>
  <c r="N28" i="48"/>
  <c r="N96" i="33"/>
  <c r="F235" i="65"/>
  <c r="F188" i="65"/>
  <c r="F194" i="65"/>
  <c r="F236" i="65"/>
  <c r="F187" i="65"/>
  <c r="N8" i="64"/>
  <c r="N26" i="48"/>
  <c r="CH184" i="14"/>
  <c r="CH120" i="15" s="1"/>
  <c r="CH132" i="15" s="1"/>
  <c r="L187" i="65"/>
  <c r="S184" i="33"/>
  <c r="L235" i="65"/>
  <c r="T24" i="33"/>
  <c r="AO147" i="33" s="1"/>
  <c r="S182" i="33"/>
  <c r="Q136" i="15"/>
  <c r="P141" i="15"/>
  <c r="P123" i="15"/>
  <c r="P9" i="48"/>
  <c r="L192" i="65"/>
  <c r="DI149" i="33"/>
  <c r="CS10" i="15"/>
  <c r="U10" i="15" s="1"/>
  <c r="DN165" i="33"/>
  <c r="DJ163" i="33"/>
  <c r="DK89" i="33"/>
  <c r="AO111" i="14"/>
  <c r="AO96" i="14" s="1"/>
  <c r="AW119" i="33"/>
  <c r="AW79" i="33"/>
  <c r="AI41" i="33"/>
  <c r="DN147" i="33"/>
  <c r="DN163" i="33"/>
  <c r="CV686" i="12"/>
  <c r="AQ275" i="58"/>
  <c r="AQ276" i="58" s="1"/>
  <c r="CC619" i="12"/>
  <c r="R27" i="64"/>
  <c r="S306" i="71"/>
  <c r="AO274" i="58"/>
  <c r="CC60" i="80"/>
  <c r="BU700" i="12"/>
  <c r="BU701" i="12" s="1"/>
  <c r="BP6" i="80"/>
  <c r="BT120" i="14"/>
  <c r="F81" i="77"/>
  <c r="BK42" i="48"/>
  <c r="CA11" i="12"/>
  <c r="P335" i="12"/>
  <c r="BV10" i="12"/>
  <c r="H35" i="77" s="1"/>
  <c r="CS384" i="12"/>
  <c r="Y212" i="58"/>
  <c r="CI59" i="80"/>
  <c r="CV695" i="12"/>
  <c r="AH81" i="77" s="1"/>
  <c r="AH59" i="77" s="1"/>
  <c r="CV627" i="12"/>
  <c r="AH46" i="77" s="1"/>
  <c r="CV618" i="12"/>
  <c r="CV617" i="12" s="1"/>
  <c r="CV497" i="12"/>
  <c r="CV500" i="12" s="1"/>
  <c r="DM9" i="33"/>
  <c r="AP272" i="58"/>
  <c r="BP26" i="12"/>
  <c r="AQ212" i="58"/>
  <c r="AP274" i="58"/>
  <c r="AG30" i="64"/>
  <c r="CV698" i="12"/>
  <c r="DM11" i="33"/>
  <c r="CG45" i="80"/>
  <c r="AQ109" i="58"/>
  <c r="CV700" i="12"/>
  <c r="CV701" i="12" s="1"/>
  <c r="CW700" i="12"/>
  <c r="CW701" i="12" s="1"/>
  <c r="AQ368" i="58"/>
  <c r="AQ369" i="58" s="1"/>
  <c r="CV455" i="12"/>
  <c r="CV454" i="12" s="1"/>
  <c r="V291" i="12"/>
  <c r="CV295" i="12"/>
  <c r="CV298" i="12" s="1"/>
  <c r="AQ78" i="58"/>
  <c r="CV696" i="12"/>
  <c r="V662" i="12"/>
  <c r="X662" i="12" s="1"/>
  <c r="Y662" i="12" s="1"/>
  <c r="Z662" i="12" s="1"/>
  <c r="AA662" i="12" s="1"/>
  <c r="AB662" i="12" s="1"/>
  <c r="AC662" i="12" s="1"/>
  <c r="AD662" i="12" s="1"/>
  <c r="AS278" i="58"/>
  <c r="AS279" i="58" s="1"/>
  <c r="CV687" i="12"/>
  <c r="CV826" i="12"/>
  <c r="CZ492" i="12"/>
  <c r="AQ277" i="58"/>
  <c r="CV47" i="12"/>
  <c r="AQ206" i="58"/>
  <c r="AQ207" i="58" s="1"/>
  <c r="CX695" i="12"/>
  <c r="AT108" i="58"/>
  <c r="AS108" i="58"/>
  <c r="CV384" i="12"/>
  <c r="AR108" i="58"/>
  <c r="CV52" i="12"/>
  <c r="CV226" i="12"/>
  <c r="CV53" i="12"/>
  <c r="AQ103" i="58"/>
  <c r="AQ551" i="58"/>
  <c r="AQ101" i="58"/>
  <c r="P20" i="77"/>
  <c r="M45" i="66"/>
  <c r="CV147" i="33"/>
  <c r="CV163" i="33"/>
  <c r="DA147" i="33"/>
  <c r="AV335" i="77"/>
  <c r="AY336" i="77" s="1"/>
  <c r="E8" i="74"/>
  <c r="CV89" i="33"/>
  <c r="CB117" i="33"/>
  <c r="I4" i="58"/>
  <c r="CB108" i="33"/>
  <c r="CB19" i="33"/>
  <c r="CB20" i="33" s="1"/>
  <c r="CB115" i="33"/>
  <c r="BE13" i="48"/>
  <c r="CB109" i="33"/>
  <c r="CC161" i="33"/>
  <c r="CB145" i="33"/>
  <c r="AU108" i="33"/>
  <c r="F22" i="33"/>
  <c r="F108" i="33" s="1"/>
  <c r="CC16" i="33"/>
  <c r="CN211" i="33"/>
  <c r="CJ211" i="33"/>
  <c r="AM20" i="48"/>
  <c r="BZ20" i="33"/>
  <c r="BZ146" i="33"/>
  <c r="BC20" i="48"/>
  <c r="BZ37" i="33"/>
  <c r="BZ104" i="33"/>
  <c r="BZ36" i="33"/>
  <c r="BC20" i="33"/>
  <c r="AK20" i="48"/>
  <c r="BC37" i="33"/>
  <c r="BC42" i="33" s="1"/>
  <c r="BC36" i="33"/>
  <c r="BC104" i="33"/>
  <c r="BC146" i="33"/>
  <c r="H20" i="77"/>
  <c r="CN163" i="33"/>
  <c r="F94" i="65"/>
  <c r="BH37" i="33"/>
  <c r="AO20" i="48"/>
  <c r="BM146" i="33"/>
  <c r="BH20" i="33"/>
  <c r="BH146" i="33"/>
  <c r="BH104" i="33"/>
  <c r="BH36" i="33"/>
  <c r="BH41" i="33" s="1"/>
  <c r="CC110" i="33"/>
  <c r="O24" i="33"/>
  <c r="BT66" i="48" s="1"/>
  <c r="P165" i="33"/>
  <c r="Y9" i="57"/>
  <c r="E87" i="56"/>
  <c r="F87" i="56" s="1"/>
  <c r="AN149" i="33"/>
  <c r="K32" i="53"/>
  <c r="S149" i="33"/>
  <c r="T149" i="33"/>
  <c r="T168" i="33"/>
  <c r="CZ68" i="14"/>
  <c r="CH185" i="14"/>
  <c r="BZ66" i="48"/>
  <c r="BB136" i="77"/>
  <c r="L45" i="65"/>
  <c r="T89" i="33"/>
  <c r="E52" i="33"/>
  <c r="E28" i="48" s="1"/>
  <c r="AI48" i="33"/>
  <c r="CA45" i="12"/>
  <c r="CA53" i="12"/>
  <c r="CR12" i="33"/>
  <c r="M36" i="77"/>
  <c r="CB53" i="12"/>
  <c r="CE45" i="12"/>
  <c r="CL11" i="33"/>
  <c r="CL141" i="33" s="1"/>
  <c r="BT7" i="80"/>
  <c r="CV629" i="12"/>
  <c r="AQ79" i="58"/>
  <c r="AT278" i="58"/>
  <c r="AS211" i="58"/>
  <c r="AT211" i="58"/>
  <c r="V496" i="12"/>
  <c r="X496" i="12" s="1"/>
  <c r="Y496" i="12" s="1"/>
  <c r="Z496" i="12" s="1"/>
  <c r="AA496" i="12" s="1"/>
  <c r="AB496" i="12" s="1"/>
  <c r="AC496" i="12" s="1"/>
  <c r="AD496" i="12" s="1"/>
  <c r="AQ356" i="58"/>
  <c r="AQ357" i="58" s="1"/>
  <c r="AQ358" i="58"/>
  <c r="AQ105" i="58"/>
  <c r="AQ483" i="58"/>
  <c r="P147" i="33"/>
  <c r="BC41" i="33"/>
  <c r="BC47" i="33"/>
  <c r="BC116" i="33" s="1"/>
  <c r="BL28" i="12"/>
  <c r="BZ114" i="33"/>
  <c r="I10" i="58"/>
  <c r="I6" i="58"/>
  <c r="AO22" i="48"/>
  <c r="BH42" i="33"/>
  <c r="BI164" i="33"/>
  <c r="BI162" i="33"/>
  <c r="BD162" i="33"/>
  <c r="BZ41" i="33"/>
  <c r="CJ212" i="33"/>
  <c r="CJ214" i="33"/>
  <c r="CJ195" i="33" s="1"/>
  <c r="CJ216" i="33"/>
  <c r="CB146" i="33"/>
  <c r="CB36" i="33"/>
  <c r="CB41" i="33" s="1"/>
  <c r="CB104" i="33"/>
  <c r="V68" i="14"/>
  <c r="V29" i="33"/>
  <c r="CW142" i="33"/>
  <c r="AQ210" i="58"/>
  <c r="AQ487" i="58"/>
  <c r="AQ107" i="58"/>
  <c r="CV9" i="12"/>
  <c r="AH34" i="77" s="1"/>
  <c r="AQ486" i="58"/>
  <c r="AQ484" i="58"/>
  <c r="AR79" i="58"/>
  <c r="AS79" i="58"/>
  <c r="CV8" i="12"/>
  <c r="AH33" i="77" s="1"/>
  <c r="AH14" i="77" s="1"/>
  <c r="AQ360" i="58"/>
  <c r="CV43" i="12"/>
  <c r="CV51" i="12"/>
  <c r="AM46" i="77"/>
  <c r="CV50" i="12"/>
  <c r="D25" i="84"/>
  <c r="E25" i="84"/>
  <c r="F25" i="84"/>
  <c r="BJ85" i="77"/>
  <c r="BJ91" i="77"/>
  <c r="U31" i="33"/>
  <c r="M33" i="53" s="1"/>
  <c r="X28" i="33"/>
  <c r="AR551" i="58"/>
  <c r="AM40" i="77"/>
  <c r="V33" i="33"/>
  <c r="CW105" i="90"/>
  <c r="CW107" i="90" s="1"/>
  <c r="BW64" i="15"/>
  <c r="AN372" i="90"/>
  <c r="AN80" i="15" s="1"/>
  <c r="BB35" i="48"/>
  <c r="AW35" i="48"/>
  <c r="K313" i="90"/>
  <c r="BP26" i="48"/>
  <c r="CS223" i="90"/>
  <c r="CS225" i="90" s="1"/>
  <c r="AT35" i="48"/>
  <c r="AH35" i="48"/>
  <c r="AD35" i="48"/>
  <c r="AM15" i="90"/>
  <c r="BG26" i="48"/>
  <c r="BZ129" i="90"/>
  <c r="M111" i="90"/>
  <c r="BO113" i="90"/>
  <c r="CA139" i="90"/>
  <c r="CB139" i="90" s="1"/>
  <c r="CC139" i="90" s="1"/>
  <c r="CD139" i="90" s="1"/>
  <c r="O150" i="90"/>
  <c r="BX148" i="90"/>
  <c r="BX150" i="90" s="1"/>
  <c r="BY148" i="90" s="1"/>
  <c r="CA198" i="90"/>
  <c r="CA200" i="90" s="1"/>
  <c r="P164" i="90"/>
  <c r="Q154" i="90"/>
  <c r="CF330" i="90"/>
  <c r="BY209" i="90"/>
  <c r="BZ209" i="90"/>
  <c r="CA209" i="90" s="1"/>
  <c r="CB209" i="90" s="1"/>
  <c r="CC209" i="90" s="1"/>
  <c r="CD209" i="90" s="1"/>
  <c r="P134" i="90"/>
  <c r="CF135" i="90"/>
  <c r="K150" i="90"/>
  <c r="O205" i="90"/>
  <c r="P203" i="90" s="1"/>
  <c r="O125" i="90"/>
  <c r="P123" i="90" s="1"/>
  <c r="P125" i="90" s="1"/>
  <c r="Q123" i="90" s="1"/>
  <c r="Q125" i="90" s="1"/>
  <c r="R123" i="90" s="1"/>
  <c r="R125" i="90" s="1"/>
  <c r="S123" i="90" s="1"/>
  <c r="S125" i="90" s="1"/>
  <c r="T123" i="90" s="1"/>
  <c r="T125" i="90" s="1"/>
  <c r="U123" i="90" s="1"/>
  <c r="U125" i="90" s="1"/>
  <c r="V123" i="90" s="1"/>
  <c r="V125" i="90" s="1"/>
  <c r="W123" i="90" s="1"/>
  <c r="W125" i="90" s="1"/>
  <c r="K200" i="90"/>
  <c r="T129" i="90"/>
  <c r="N179" i="90"/>
  <c r="BZ328" i="90"/>
  <c r="O189" i="90"/>
  <c r="L150" i="90"/>
  <c r="CU179" i="90"/>
  <c r="CV179" i="90" s="1"/>
  <c r="CW179" i="90" s="1"/>
  <c r="CX179" i="90" s="1"/>
  <c r="CY179" i="90" s="1"/>
  <c r="CZ179" i="90" s="1"/>
  <c r="N213" i="90"/>
  <c r="BS215" i="90"/>
  <c r="BZ203" i="90"/>
  <c r="BZ205" i="90" s="1"/>
  <c r="BT208" i="90"/>
  <c r="BT210" i="90" s="1"/>
  <c r="BU208" i="90" s="1"/>
  <c r="BU210" i="90" s="1"/>
  <c r="BV208" i="90" s="1"/>
  <c r="BV210" i="90" s="1"/>
  <c r="BW208" i="90" s="1"/>
  <c r="BW210" i="90" s="1"/>
  <c r="N210" i="90"/>
  <c r="BX193" i="90"/>
  <c r="BX195" i="90" s="1"/>
  <c r="BY193" i="90" s="1"/>
  <c r="BY195" i="90" s="1"/>
  <c r="O195" i="90"/>
  <c r="BZ213" i="90"/>
  <c r="BZ215" i="90" s="1"/>
  <c r="X99" i="90"/>
  <c r="X101" i="90" s="1"/>
  <c r="CW99" i="90"/>
  <c r="CW101" i="90"/>
  <c r="CW353" i="90"/>
  <c r="CV353" i="90"/>
  <c r="BU226" i="14"/>
  <c r="H90" i="56"/>
  <c r="Q35" i="56"/>
  <c r="R35" i="56" s="1"/>
  <c r="P9" i="71"/>
  <c r="L89" i="52"/>
  <c r="L91" i="52"/>
  <c r="L94" i="52"/>
  <c r="BY121" i="14"/>
  <c r="BZ121" i="14"/>
  <c r="BZ122" i="14" s="1"/>
  <c r="BB99" i="15"/>
  <c r="BJ108" i="14"/>
  <c r="CP125" i="14"/>
  <c r="CP220" i="14"/>
  <c r="CP108" i="14"/>
  <c r="CP134" i="14"/>
  <c r="BL134" i="14"/>
  <c r="CR124" i="14"/>
  <c r="M113" i="90"/>
  <c r="BP111" i="90"/>
  <c r="BP112" i="90" s="1"/>
  <c r="N112" i="90" s="1"/>
  <c r="CF328" i="90"/>
  <c r="CG133" i="90"/>
  <c r="CG135" i="90" s="1"/>
  <c r="P148" i="90"/>
  <c r="O149" i="90"/>
  <c r="CA129" i="90"/>
  <c r="CB129" i="90" s="1"/>
  <c r="CC129" i="90" s="1"/>
  <c r="CD129" i="90" s="1"/>
  <c r="CE129" i="90" s="1"/>
  <c r="CF129" i="90" s="1"/>
  <c r="CG129" i="90" s="1"/>
  <c r="CH129" i="90" s="1"/>
  <c r="CI129" i="90" s="1"/>
  <c r="CJ129" i="90" s="1"/>
  <c r="CK129" i="90" s="1"/>
  <c r="CL129" i="90" s="1"/>
  <c r="CM129" i="90" s="1"/>
  <c r="CN129" i="90" s="1"/>
  <c r="CO129" i="90" s="1"/>
  <c r="CP129" i="90" s="1"/>
  <c r="CQ129" i="90" s="1"/>
  <c r="CR129" i="90" s="1"/>
  <c r="CS129" i="90" s="1"/>
  <c r="CT129" i="90" s="1"/>
  <c r="CU129" i="90" s="1"/>
  <c r="CV129" i="90" s="1"/>
  <c r="CW129" i="90" s="1"/>
  <c r="CX129" i="90" s="1"/>
  <c r="CY129" i="90" s="1"/>
  <c r="CZ129" i="90" s="1"/>
  <c r="DA129" i="90" s="1"/>
  <c r="DB129" i="90" s="1"/>
  <c r="DC129" i="90" s="1"/>
  <c r="BT213" i="90"/>
  <c r="BT215" i="90" s="1"/>
  <c r="BU213" i="90" s="1"/>
  <c r="BU215" i="90" s="1"/>
  <c r="BV213" i="90" s="1"/>
  <c r="BV215" i="90" s="1"/>
  <c r="BW213" i="90" s="1"/>
  <c r="N215" i="90"/>
  <c r="O213" i="90" s="1"/>
  <c r="O214" i="90" s="1"/>
  <c r="O208" i="90"/>
  <c r="N209" i="90"/>
  <c r="P193" i="90"/>
  <c r="CX99" i="90"/>
  <c r="CX101" i="90" s="1"/>
  <c r="BY122" i="14"/>
  <c r="BJ159" i="77"/>
  <c r="N214" i="90"/>
  <c r="CV112" i="14"/>
  <c r="CV115" i="14" s="1"/>
  <c r="AR204" i="58"/>
  <c r="AR205" i="58" s="1"/>
  <c r="AR271" i="58"/>
  <c r="AR272" i="58" s="1"/>
  <c r="AR463" i="58"/>
  <c r="AR78" i="58"/>
  <c r="CK31" i="33"/>
  <c r="CL29" i="33"/>
  <c r="CL31" i="33" s="1"/>
  <c r="T39" i="77"/>
  <c r="U57" i="77"/>
  <c r="R61" i="77"/>
  <c r="S61" i="77"/>
  <c r="R60" i="77"/>
  <c r="I58" i="77"/>
  <c r="AR491" i="58"/>
  <c r="CZ678" i="12"/>
  <c r="AR100" i="58"/>
  <c r="AR273" i="58"/>
  <c r="AR274" i="58" s="1"/>
  <c r="BY347" i="12"/>
  <c r="CW697" i="12"/>
  <c r="CX353" i="90" l="1"/>
  <c r="CY99" i="90"/>
  <c r="CY101" i="90" s="1"/>
  <c r="U165" i="12"/>
  <c r="CJ165" i="12"/>
  <c r="CU270" i="90"/>
  <c r="CU272" i="90" s="1"/>
  <c r="CT362" i="90"/>
  <c r="F64" i="52"/>
  <c r="F65" i="52"/>
  <c r="F66" i="52" s="1"/>
  <c r="CB352" i="90"/>
  <c r="CC93" i="90"/>
  <c r="CC95" i="90" s="1"/>
  <c r="CO361" i="90"/>
  <c r="CP264" i="90"/>
  <c r="CP266" i="90" s="1"/>
  <c r="CD218" i="90"/>
  <c r="CD220" i="90" s="1"/>
  <c r="CD219" i="90"/>
  <c r="K27" i="70"/>
  <c r="L15" i="70"/>
  <c r="BL32" i="70"/>
  <c r="BL30" i="70"/>
  <c r="BM31" i="70"/>
  <c r="I65" i="52"/>
  <c r="L52" i="15"/>
  <c r="BK64" i="15"/>
  <c r="CK836" i="12"/>
  <c r="CK504" i="12"/>
  <c r="AU23" i="15"/>
  <c r="H23" i="15"/>
  <c r="BG21" i="15"/>
  <c r="K21" i="15" s="1"/>
  <c r="S64" i="15"/>
  <c r="AM52" i="15"/>
  <c r="AX41" i="15"/>
  <c r="AW85" i="15"/>
  <c r="AW91" i="15" s="1"/>
  <c r="BB40" i="15"/>
  <c r="BA86" i="15"/>
  <c r="BA43" i="15"/>
  <c r="AT26" i="15"/>
  <c r="AU26" i="15" s="1"/>
  <c r="AI32" i="15"/>
  <c r="AT12" i="15"/>
  <c r="AS32" i="15"/>
  <c r="AX10" i="15"/>
  <c r="AY10" i="15" s="1"/>
  <c r="AW32" i="15"/>
  <c r="I10" i="15"/>
  <c r="N111" i="90"/>
  <c r="BS113" i="90"/>
  <c r="BI27" i="48"/>
  <c r="BS312" i="90"/>
  <c r="BJ27" i="48" s="1"/>
  <c r="AP114" i="33"/>
  <c r="AP42" i="33"/>
  <c r="L66" i="52"/>
  <c r="L65" i="52"/>
  <c r="CU619" i="12"/>
  <c r="U617" i="12"/>
  <c r="U618" i="12" s="1"/>
  <c r="U619" i="12" s="1"/>
  <c r="V297" i="90"/>
  <c r="X297" i="90" s="1"/>
  <c r="Y297" i="90" s="1"/>
  <c r="Z297" i="90" s="1"/>
  <c r="AA297" i="90" s="1"/>
  <c r="AB297" i="90" s="1"/>
  <c r="AC297" i="90" s="1"/>
  <c r="AD297" i="90" s="1"/>
  <c r="CZ297" i="90"/>
  <c r="DA297" i="90" s="1"/>
  <c r="DB297" i="90" s="1"/>
  <c r="DC297" i="90" s="1"/>
  <c r="W297" i="90" s="1"/>
  <c r="F84" i="15"/>
  <c r="F75" i="15"/>
  <c r="D65" i="52"/>
  <c r="D66" i="52"/>
  <c r="U119" i="90"/>
  <c r="V117" i="90"/>
  <c r="P26" i="53"/>
  <c r="O100" i="53"/>
  <c r="BK21" i="15"/>
  <c r="L21" i="15" s="1"/>
  <c r="AQ13" i="15"/>
  <c r="G13" i="15" s="1"/>
  <c r="BT670" i="12"/>
  <c r="BK16" i="48"/>
  <c r="CD687" i="12"/>
  <c r="X275" i="58"/>
  <c r="CC687" i="12"/>
  <c r="CG686" i="12"/>
  <c r="G28" i="48"/>
  <c r="G8" i="64"/>
  <c r="BO66" i="15"/>
  <c r="M66" i="15" s="1"/>
  <c r="I55" i="15"/>
  <c r="AX55" i="15"/>
  <c r="AY55" i="15" s="1"/>
  <c r="AW64" i="15"/>
  <c r="E68" i="15"/>
  <c r="E70" i="15" s="1"/>
  <c r="BI86" i="15"/>
  <c r="BJ40" i="15"/>
  <c r="BI43" i="15"/>
  <c r="AX39" i="15"/>
  <c r="AY39" i="15" s="1"/>
  <c r="AW43" i="15"/>
  <c r="AP31" i="15"/>
  <c r="AQ31" i="15" s="1"/>
  <c r="G31" i="15"/>
  <c r="AX14" i="15"/>
  <c r="AY14" i="15" s="1"/>
  <c r="BF12" i="15"/>
  <c r="BG12" i="15" s="1"/>
  <c r="K12" i="15"/>
  <c r="AP9" i="15"/>
  <c r="AQ9" i="15" s="1"/>
  <c r="AO32" i="15"/>
  <c r="BJ8" i="15"/>
  <c r="BI32" i="15"/>
  <c r="V454" i="12"/>
  <c r="V455" i="12" s="1"/>
  <c r="V456" i="12" s="1"/>
  <c r="CV456" i="12"/>
  <c r="DV230" i="48"/>
  <c r="DT286" i="48"/>
  <c r="DV286" i="48" s="1"/>
  <c r="DT237" i="48"/>
  <c r="CK52" i="90"/>
  <c r="CK51" i="90"/>
  <c r="CK53" i="90" s="1"/>
  <c r="CW363" i="90"/>
  <c r="CX276" i="90"/>
  <c r="CX278" i="90" s="1"/>
  <c r="AU17" i="15"/>
  <c r="H17" i="15"/>
  <c r="J28" i="48"/>
  <c r="J8" i="64"/>
  <c r="BJ66" i="15"/>
  <c r="BK66" i="15" s="1"/>
  <c r="L66" i="15"/>
  <c r="AP63" i="15"/>
  <c r="AQ63" i="15" s="1"/>
  <c r="BB52" i="15"/>
  <c r="BC52" i="15" s="1"/>
  <c r="BA64" i="15"/>
  <c r="J52" i="15"/>
  <c r="AT47" i="15"/>
  <c r="AS64" i="15"/>
  <c r="BS29" i="15"/>
  <c r="N29" i="15"/>
  <c r="F41" i="53" s="1"/>
  <c r="AT24" i="15"/>
  <c r="AU24" i="15" s="1"/>
  <c r="BB23" i="15"/>
  <c r="BC23" i="15" s="1"/>
  <c r="J23" i="15"/>
  <c r="AP23" i="15"/>
  <c r="AQ23" i="15" s="1"/>
  <c r="L20" i="90"/>
  <c r="BK22" i="90"/>
  <c r="CD25" i="90"/>
  <c r="CE25" i="90" s="1"/>
  <c r="CC29" i="90"/>
  <c r="N42" i="70"/>
  <c r="N45" i="70" s="1"/>
  <c r="N50" i="70" s="1"/>
  <c r="N36" i="70"/>
  <c r="CL228" i="90"/>
  <c r="CL347" i="90" s="1"/>
  <c r="CK349" i="90"/>
  <c r="CK348" i="90" s="1"/>
  <c r="BN35" i="90"/>
  <c r="BO33" i="90"/>
  <c r="AT48" i="33"/>
  <c r="AT116" i="33"/>
  <c r="AL55" i="15"/>
  <c r="AM55" i="15" s="1"/>
  <c r="F55" i="15"/>
  <c r="AK64" i="15"/>
  <c r="BG16" i="15"/>
  <c r="K16" i="15" s="1"/>
  <c r="AQ35" i="15"/>
  <c r="AQ43" i="15" s="1"/>
  <c r="G35" i="15"/>
  <c r="G43" i="15" s="1"/>
  <c r="AM36" i="15"/>
  <c r="F36" i="15" s="1"/>
  <c r="AL43" i="15"/>
  <c r="AY37" i="15"/>
  <c r="I37" i="15" s="1"/>
  <c r="BF66" i="15"/>
  <c r="BG66" i="15" s="1"/>
  <c r="K66" i="15"/>
  <c r="AP51" i="15"/>
  <c r="AQ51" i="15" s="1"/>
  <c r="AO64" i="15"/>
  <c r="BN49" i="15"/>
  <c r="BM64" i="15"/>
  <c r="BM43" i="15"/>
  <c r="BN37" i="15"/>
  <c r="BO37" i="15" s="1"/>
  <c r="M37" i="15" s="1"/>
  <c r="AT35" i="15"/>
  <c r="AS43" i="15"/>
  <c r="AK32" i="15"/>
  <c r="AL26" i="15"/>
  <c r="AM26" i="15" s="1"/>
  <c r="N20" i="15"/>
  <c r="BR32" i="15"/>
  <c r="BS20" i="15"/>
  <c r="AX20" i="15"/>
  <c r="AY20" i="15" s="1"/>
  <c r="I20" i="15"/>
  <c r="BF11" i="15"/>
  <c r="BE32" i="15"/>
  <c r="CY384" i="12"/>
  <c r="CU384" i="12"/>
  <c r="AP105" i="58"/>
  <c r="AP106" i="58" s="1"/>
  <c r="CV385" i="12"/>
  <c r="CU385" i="12"/>
  <c r="AR370" i="58"/>
  <c r="AR371" i="58" s="1"/>
  <c r="AI82" i="77"/>
  <c r="V179" i="90"/>
  <c r="O204" i="90"/>
  <c r="U179" i="90"/>
  <c r="BC48" i="33"/>
  <c r="CB148" i="33"/>
  <c r="BE20" i="48"/>
  <c r="AT110" i="14"/>
  <c r="CW696" i="12"/>
  <c r="K69" i="52"/>
  <c r="G95" i="15"/>
  <c r="G100" i="15" s="1"/>
  <c r="CL836" i="12"/>
  <c r="CF218" i="33"/>
  <c r="BM32" i="70"/>
  <c r="R25" i="12"/>
  <c r="R26" i="12" s="1"/>
  <c r="J29" i="53" s="1"/>
  <c r="K42" i="15"/>
  <c r="K87" i="15" s="1"/>
  <c r="AV166" i="33"/>
  <c r="K63" i="15"/>
  <c r="CL837" i="12"/>
  <c r="J51" i="15"/>
  <c r="R516" i="12"/>
  <c r="DV225" i="48"/>
  <c r="BU100" i="14"/>
  <c r="CQ829" i="12"/>
  <c r="BJ64" i="15"/>
  <c r="DV221" i="48"/>
  <c r="AP43" i="15"/>
  <c r="BL92" i="15"/>
  <c r="Q89" i="52"/>
  <c r="Q12" i="12"/>
  <c r="P95" i="15"/>
  <c r="P100" i="15" s="1"/>
  <c r="AJ88" i="15"/>
  <c r="AJ90" i="15" s="1"/>
  <c r="AJ92" i="15" s="1"/>
  <c r="M73" i="14"/>
  <c r="T307" i="71"/>
  <c r="CE674" i="12"/>
  <c r="CK302" i="12"/>
  <c r="BX14" i="14"/>
  <c r="AQ87" i="15"/>
  <c r="AI64" i="15"/>
  <c r="CQ82" i="48"/>
  <c r="S270" i="58"/>
  <c r="AB282" i="12"/>
  <c r="AC282" i="12" s="1"/>
  <c r="AD282" i="12" s="1"/>
  <c r="N43" i="12"/>
  <c r="H139" i="33"/>
  <c r="DU68" i="15"/>
  <c r="DU70" i="15" s="1"/>
  <c r="AZ31" i="15"/>
  <c r="R247" i="90"/>
  <c r="CS95" i="15"/>
  <c r="CS100" i="15" s="1"/>
  <c r="CU497" i="12"/>
  <c r="CY495" i="12"/>
  <c r="AH60" i="77"/>
  <c r="AH58" i="77"/>
  <c r="AH61" i="77"/>
  <c r="CA328" i="90"/>
  <c r="AN81" i="15"/>
  <c r="BC55" i="33"/>
  <c r="BC114" i="33"/>
  <c r="AK22" i="48"/>
  <c r="CY700" i="12"/>
  <c r="CY701" i="12" s="1"/>
  <c r="CY696" i="12"/>
  <c r="AJ81" i="77"/>
  <c r="AJ59" i="77" s="1"/>
  <c r="CG844" i="12"/>
  <c r="CG847" i="12" s="1"/>
  <c r="H68" i="52"/>
  <c r="H69" i="52" s="1"/>
  <c r="CG27" i="12"/>
  <c r="BM30" i="70"/>
  <c r="N29" i="70"/>
  <c r="N30" i="70" s="1"/>
  <c r="AI59" i="77"/>
  <c r="CK829" i="12"/>
  <c r="AA267" i="12"/>
  <c r="AA268" i="12" s="1"/>
  <c r="AA272" i="12"/>
  <c r="AB271" i="12"/>
  <c r="AA270" i="12"/>
  <c r="C41" i="53"/>
  <c r="CE843" i="12"/>
  <c r="CE847" i="12" s="1"/>
  <c r="Q847" i="12" s="1"/>
  <c r="DT312" i="48"/>
  <c r="CN830" i="12"/>
  <c r="DT226" i="48"/>
  <c r="DT282" i="48" s="1"/>
  <c r="DV281" i="48"/>
  <c r="BI68" i="15"/>
  <c r="R664" i="12"/>
  <c r="R644" i="12"/>
  <c r="I42" i="15"/>
  <c r="I87" i="15" s="1"/>
  <c r="CS226" i="33"/>
  <c r="U43" i="12"/>
  <c r="U174" i="33"/>
  <c r="T425" i="71" s="1"/>
  <c r="AF22" i="48"/>
  <c r="T64" i="15"/>
  <c r="DC140" i="33"/>
  <c r="EO68" i="15"/>
  <c r="EO70" i="15" s="1"/>
  <c r="K14" i="15"/>
  <c r="BF36" i="70"/>
  <c r="AZ36" i="70"/>
  <c r="Q664" i="12"/>
  <c r="Q644" i="12"/>
  <c r="G379" i="66"/>
  <c r="BE55" i="70"/>
  <c r="E86" i="56"/>
  <c r="F86" i="56" s="1"/>
  <c r="H86" i="56" s="1"/>
  <c r="BQ73" i="14"/>
  <c r="BL73" i="14"/>
  <c r="AO73" i="14"/>
  <c r="BA73" i="14"/>
  <c r="K242" i="66"/>
  <c r="G242" i="66"/>
  <c r="P247" i="90"/>
  <c r="Q259" i="90"/>
  <c r="AF59" i="77"/>
  <c r="AG60" i="77"/>
  <c r="AG58" i="77"/>
  <c r="AG61" i="77"/>
  <c r="Q277" i="90"/>
  <c r="AH53" i="77"/>
  <c r="AI53" i="77"/>
  <c r="CV64" i="15"/>
  <c r="BQ92" i="15"/>
  <c r="BM88" i="15"/>
  <c r="BM90" i="15" s="1"/>
  <c r="BM92" i="15" s="1"/>
  <c r="M32" i="15"/>
  <c r="BD92" i="15"/>
  <c r="G41" i="53"/>
  <c r="AO101" i="15"/>
  <c r="CB39" i="90"/>
  <c r="CB41" i="90" s="1"/>
  <c r="DC160" i="33"/>
  <c r="Q109" i="58"/>
  <c r="L43" i="77"/>
  <c r="CD231" i="12"/>
  <c r="M88" i="90"/>
  <c r="CQ109" i="14"/>
  <c r="T109" i="14" s="1"/>
  <c r="AF60" i="77"/>
  <c r="AF58" i="77"/>
  <c r="AF61" i="77"/>
  <c r="CT64" i="15"/>
  <c r="CT109" i="14"/>
  <c r="CV481" i="12"/>
  <c r="V481" i="12" s="1"/>
  <c r="X481" i="12" s="1"/>
  <c r="Y481" i="12" s="1"/>
  <c r="Z481" i="12" s="1"/>
  <c r="AA481" i="12" s="1"/>
  <c r="AB481" i="12" s="1"/>
  <c r="AC481" i="12" s="1"/>
  <c r="AD481" i="12" s="1"/>
  <c r="AH47" i="77"/>
  <c r="AI47" i="77"/>
  <c r="CV43" i="15"/>
  <c r="CV42" i="12"/>
  <c r="CB37" i="33"/>
  <c r="L98" i="52"/>
  <c r="DH68" i="15"/>
  <c r="DH70" i="15" s="1"/>
  <c r="BE68" i="15"/>
  <c r="CH830" i="12"/>
  <c r="P20" i="14"/>
  <c r="P78" i="14" s="1"/>
  <c r="P80" i="14" s="1"/>
  <c r="AX64" i="15"/>
  <c r="M95" i="52"/>
  <c r="J66" i="15"/>
  <c r="EN362" i="48"/>
  <c r="E41" i="53"/>
  <c r="G46" i="15"/>
  <c r="K42" i="52"/>
  <c r="BL55" i="70"/>
  <c r="EJ32" i="15"/>
  <c r="EJ68" i="15" s="1"/>
  <c r="EC313" i="48"/>
  <c r="P144" i="90"/>
  <c r="S265" i="90"/>
  <c r="W229" i="90"/>
  <c r="CU667" i="12"/>
  <c r="CY665" i="12"/>
  <c r="CU627" i="12"/>
  <c r="Z347" i="12"/>
  <c r="Y362" i="12"/>
  <c r="X347" i="12"/>
  <c r="Y261" i="12"/>
  <c r="G84" i="65"/>
  <c r="AQ75" i="14"/>
  <c r="H46" i="14"/>
  <c r="H59" i="14" s="1"/>
  <c r="H73" i="14" s="1"/>
  <c r="CJ358" i="90"/>
  <c r="CK355" i="90"/>
  <c r="CJ355" i="90"/>
  <c r="CK246" i="90"/>
  <c r="CK248" i="90" s="1"/>
  <c r="CK358" i="90" s="1"/>
  <c r="U227" i="90"/>
  <c r="CV227" i="90"/>
  <c r="CW227" i="90" s="1"/>
  <c r="CX227" i="90" s="1"/>
  <c r="CY227" i="90" s="1"/>
  <c r="O175" i="90"/>
  <c r="P173" i="90" s="1"/>
  <c r="BX173" i="90"/>
  <c r="BX175" i="90" s="1"/>
  <c r="BY173" i="90" s="1"/>
  <c r="BY175" i="90" s="1"/>
  <c r="O185" i="90"/>
  <c r="BX183" i="90"/>
  <c r="BX185" i="90" s="1"/>
  <c r="BY183" i="90" s="1"/>
  <c r="BY185" i="90" s="1"/>
  <c r="O118" i="90"/>
  <c r="BX118" i="90"/>
  <c r="BY118" i="90" s="1"/>
  <c r="BZ118" i="90" s="1"/>
  <c r="CA118" i="90" s="1"/>
  <c r="CB118" i="90" s="1"/>
  <c r="CC118" i="90" s="1"/>
  <c r="CD118" i="90" s="1"/>
  <c r="CE118" i="90" s="1"/>
  <c r="CF118" i="90" s="1"/>
  <c r="CG118" i="90" s="1"/>
  <c r="CH118" i="90" s="1"/>
  <c r="CI118" i="90" s="1"/>
  <c r="CJ118" i="90" s="1"/>
  <c r="CK118" i="90" s="1"/>
  <c r="CL118" i="90" s="1"/>
  <c r="CM118" i="90" s="1"/>
  <c r="CN118" i="90" s="1"/>
  <c r="CO118" i="90" s="1"/>
  <c r="CP118" i="90" s="1"/>
  <c r="CQ118" i="90" s="1"/>
  <c r="CR118" i="90" s="1"/>
  <c r="CS118" i="90" s="1"/>
  <c r="CT118" i="90" s="1"/>
  <c r="CU118" i="90" s="1"/>
  <c r="CV118" i="90" s="1"/>
  <c r="CW118" i="90" s="1"/>
  <c r="CX118" i="90" s="1"/>
  <c r="CY118" i="90" s="1"/>
  <c r="CZ118" i="90" s="1"/>
  <c r="DA118" i="90" s="1"/>
  <c r="DB118" i="90" s="1"/>
  <c r="DC118" i="90" s="1"/>
  <c r="CS154" i="90"/>
  <c r="N118" i="90"/>
  <c r="Q164" i="90"/>
  <c r="S129" i="90"/>
  <c r="P189" i="90"/>
  <c r="O194" i="90"/>
  <c r="BV119" i="90"/>
  <c r="BW117" i="90" s="1"/>
  <c r="BW119" i="90" s="1"/>
  <c r="BX117" i="90" s="1"/>
  <c r="Q134" i="90"/>
  <c r="L175" i="90"/>
  <c r="O174" i="90"/>
  <c r="CG328" i="90"/>
  <c r="CH133" i="90"/>
  <c r="CH135" i="90" s="1"/>
  <c r="CA203" i="90"/>
  <c r="CA205" i="90" s="1"/>
  <c r="BZ342" i="90"/>
  <c r="CA327" i="90"/>
  <c r="CB123" i="90"/>
  <c r="CB125" i="90" s="1"/>
  <c r="CC123" i="90" s="1"/>
  <c r="CC125" i="90" s="1"/>
  <c r="CG332" i="90"/>
  <c r="CH153" i="90"/>
  <c r="CH155" i="90" s="1"/>
  <c r="N160" i="90"/>
  <c r="O158" i="90" s="1"/>
  <c r="BT158" i="90"/>
  <c r="BT160" i="90" s="1"/>
  <c r="BU158" i="90" s="1"/>
  <c r="BU160" i="90" s="1"/>
  <c r="BV158" i="90" s="1"/>
  <c r="BV160" i="90" s="1"/>
  <c r="BW158" i="90" s="1"/>
  <c r="BW160" i="90" s="1"/>
  <c r="N128" i="90"/>
  <c r="BS130" i="90"/>
  <c r="BY219" i="90"/>
  <c r="BZ159" i="90"/>
  <c r="CG330" i="90"/>
  <c r="CH143" i="90"/>
  <c r="CH145" i="90" s="1"/>
  <c r="CI143" i="90" s="1"/>
  <c r="CI145" i="90" s="1"/>
  <c r="CU164" i="90"/>
  <c r="N138" i="90"/>
  <c r="BS140" i="90"/>
  <c r="CH163" i="90"/>
  <c r="CH165" i="90" s="1"/>
  <c r="CH334" i="90" s="1"/>
  <c r="CG334" i="90"/>
  <c r="CU134" i="90"/>
  <c r="W179" i="90"/>
  <c r="K175" i="90"/>
  <c r="CU189" i="90"/>
  <c r="CU144" i="90"/>
  <c r="L185" i="90"/>
  <c r="K185" i="90"/>
  <c r="CF190" i="90"/>
  <c r="DA179" i="90"/>
  <c r="DB179" i="90" s="1"/>
  <c r="DC179" i="90" s="1"/>
  <c r="BX113" i="90"/>
  <c r="BY111" i="90" s="1"/>
  <c r="BY113" i="90" s="1"/>
  <c r="P118" i="90"/>
  <c r="AB199" i="90"/>
  <c r="Z362" i="12"/>
  <c r="Y347" i="12"/>
  <c r="X362" i="12"/>
  <c r="CS261" i="12"/>
  <c r="CC42" i="33"/>
  <c r="CU114" i="48" s="1"/>
  <c r="BO110" i="14"/>
  <c r="BO94" i="15" s="1"/>
  <c r="BO99" i="15" s="1"/>
  <c r="J7" i="58"/>
  <c r="J8" i="58" s="1"/>
  <c r="CC164" i="33"/>
  <c r="CC114" i="33"/>
  <c r="BF22" i="48"/>
  <c r="CC44" i="33"/>
  <c r="CC47" i="33"/>
  <c r="CU113" i="48"/>
  <c r="CM29" i="33"/>
  <c r="CM31" i="33" s="1"/>
  <c r="CT226" i="33"/>
  <c r="CT85" i="33" s="1"/>
  <c r="P85" i="33"/>
  <c r="Q226" i="33" s="1"/>
  <c r="BC61" i="33"/>
  <c r="BC63" i="33" s="1"/>
  <c r="BC58" i="33"/>
  <c r="CB110" i="33"/>
  <c r="BE104" i="33"/>
  <c r="BE20" i="33"/>
  <c r="BH114" i="33"/>
  <c r="BI39" i="33"/>
  <c r="BH47" i="33"/>
  <c r="BH150" i="33" s="1"/>
  <c r="BH40" i="33"/>
  <c r="BI44" i="33"/>
  <c r="AX110" i="14"/>
  <c r="AX15" i="90" s="1"/>
  <c r="BM40" i="33"/>
  <c r="BC22" i="48"/>
  <c r="BZ42" i="33"/>
  <c r="CR114" i="48" s="1"/>
  <c r="CR113" i="48"/>
  <c r="BL110" i="14"/>
  <c r="BL94" i="15" s="1"/>
  <c r="BL99" i="15" s="1"/>
  <c r="BL101" i="15" s="1"/>
  <c r="G7" i="58"/>
  <c r="BZ47" i="33"/>
  <c r="F8" i="64"/>
  <c r="F28" i="48"/>
  <c r="J165" i="33"/>
  <c r="I24" i="33"/>
  <c r="CC36" i="33"/>
  <c r="CC41" i="33" s="1"/>
  <c r="CC104" i="33"/>
  <c r="BF20" i="48"/>
  <c r="CC20" i="33"/>
  <c r="CC162" i="33" s="1"/>
  <c r="BF36" i="33"/>
  <c r="BF20" i="33"/>
  <c r="BF162" i="33" s="1"/>
  <c r="BF104" i="33"/>
  <c r="BF37" i="33"/>
  <c r="BF146" i="33"/>
  <c r="K28" i="48"/>
  <c r="C235" i="65"/>
  <c r="K8" i="64"/>
  <c r="C236" i="65"/>
  <c r="C194" i="65"/>
  <c r="C187" i="65"/>
  <c r="C94" i="65" s="1"/>
  <c r="DH140" i="33"/>
  <c r="L92" i="52"/>
  <c r="L97" i="52"/>
  <c r="L95" i="52"/>
  <c r="CB220" i="14"/>
  <c r="AV116" i="33"/>
  <c r="AV48" i="33"/>
  <c r="AZ104" i="33"/>
  <c r="AV44" i="33"/>
  <c r="AE22" i="48"/>
  <c r="N91" i="52"/>
  <c r="BE16" i="33"/>
  <c r="AG47" i="33"/>
  <c r="BF128" i="14"/>
  <c r="BW47" i="33"/>
  <c r="T226" i="14"/>
  <c r="T227" i="14" s="1"/>
  <c r="L236" i="65"/>
  <c r="T8" i="64"/>
  <c r="BU36" i="33"/>
  <c r="DD156" i="33"/>
  <c r="BR110" i="33"/>
  <c r="BD372" i="90"/>
  <c r="BD96" i="15" s="1"/>
  <c r="CC39" i="33"/>
  <c r="L90" i="52"/>
  <c r="L87" i="52"/>
  <c r="L96" i="52"/>
  <c r="CB134" i="14"/>
  <c r="AV55" i="33"/>
  <c r="AW39" i="33"/>
  <c r="AN110" i="14"/>
  <c r="AN94" i="15" s="1"/>
  <c r="AN99" i="15" s="1"/>
  <c r="AN101" i="15" s="1"/>
  <c r="AV164" i="33"/>
  <c r="L93" i="52"/>
  <c r="AT55" i="33"/>
  <c r="AO47" i="33"/>
  <c r="BF134" i="14"/>
  <c r="J45" i="65"/>
  <c r="BQ163" i="33"/>
  <c r="CG158" i="33"/>
  <c r="F13" i="33"/>
  <c r="CH155" i="33"/>
  <c r="L13" i="33"/>
  <c r="D13" i="33"/>
  <c r="CB125" i="14"/>
  <c r="AW44" i="33"/>
  <c r="AV39" i="33"/>
  <c r="M163" i="33"/>
  <c r="BW110" i="33"/>
  <c r="DJ142" i="33"/>
  <c r="M93" i="66"/>
  <c r="E93" i="66"/>
  <c r="CN226" i="33"/>
  <c r="CN96" i="33"/>
  <c r="S84" i="33"/>
  <c r="CS84" i="33"/>
  <c r="P84" i="33" s="1"/>
  <c r="F149" i="33"/>
  <c r="DE147" i="33"/>
  <c r="BA24" i="33"/>
  <c r="BA163" i="33" s="1"/>
  <c r="S24" i="33"/>
  <c r="S89" i="33" s="1"/>
  <c r="Q119" i="90"/>
  <c r="T224" i="90"/>
  <c r="W294" i="90"/>
  <c r="W296" i="90" s="1"/>
  <c r="X294" i="90" s="1"/>
  <c r="X296" i="90" s="1"/>
  <c r="Y294" i="90" s="1"/>
  <c r="Y296" i="90" s="1"/>
  <c r="Z294" i="90" s="1"/>
  <c r="Z296" i="90" s="1"/>
  <c r="AA294" i="90" s="1"/>
  <c r="AA296" i="90" s="1"/>
  <c r="AB294" i="90" s="1"/>
  <c r="AB296" i="90" s="1"/>
  <c r="AC294" i="90" s="1"/>
  <c r="AC296" i="90" s="1"/>
  <c r="AD294" i="90" s="1"/>
  <c r="AD296" i="90" s="1"/>
  <c r="O179" i="90"/>
  <c r="BA372" i="90"/>
  <c r="BA96" i="15" s="1"/>
  <c r="BJ124" i="77"/>
  <c r="R156" i="15"/>
  <c r="AH88" i="15"/>
  <c r="AH90" i="15" s="1"/>
  <c r="AH92" i="15" s="1"/>
  <c r="S205" i="15"/>
  <c r="AR88" i="15"/>
  <c r="AR90" i="15" s="1"/>
  <c r="AR92" i="15" s="1"/>
  <c r="BL125" i="14"/>
  <c r="BW372" i="90"/>
  <c r="BW96" i="15" s="1"/>
  <c r="I30" i="77" s="1"/>
  <c r="P163" i="33"/>
  <c r="CH172" i="14"/>
  <c r="Y166" i="71"/>
  <c r="N218" i="33"/>
  <c r="O211" i="33" s="1"/>
  <c r="U9" i="15"/>
  <c r="CD108" i="14"/>
  <c r="CE141" i="33"/>
  <c r="DG160" i="33"/>
  <c r="BO108" i="14"/>
  <c r="H45" i="66"/>
  <c r="DJ160" i="33"/>
  <c r="X57" i="12"/>
  <c r="BA264" i="77"/>
  <c r="X524" i="12"/>
  <c r="CH144" i="33"/>
  <c r="BL108" i="14"/>
  <c r="Q300" i="71"/>
  <c r="CD79" i="14"/>
  <c r="U300" i="71"/>
  <c r="N213" i="33"/>
  <c r="CD134" i="14"/>
  <c r="H4" i="71"/>
  <c r="BO125" i="14"/>
  <c r="Y8" i="57"/>
  <c r="BO79" i="14"/>
  <c r="U142" i="33"/>
  <c r="DH160" i="33"/>
  <c r="K133" i="53"/>
  <c r="K135" i="53" s="1"/>
  <c r="CM144" i="33"/>
  <c r="BJ26" i="48"/>
  <c r="X694" i="12"/>
  <c r="Q100" i="71"/>
  <c r="DC155" i="33"/>
  <c r="BS96" i="15"/>
  <c r="I108" i="33"/>
  <c r="I115" i="33"/>
  <c r="CD81" i="14"/>
  <c r="CD128" i="14"/>
  <c r="BO134" i="14"/>
  <c r="CS18" i="33"/>
  <c r="P18" i="33" s="1"/>
  <c r="DH139" i="33"/>
  <c r="CZ156" i="33"/>
  <c r="DZ314" i="48"/>
  <c r="D94" i="65"/>
  <c r="DD155" i="33"/>
  <c r="S384" i="12"/>
  <c r="Q105" i="71"/>
  <c r="AE14" i="77"/>
  <c r="AE11" i="77" s="1"/>
  <c r="AO207" i="58"/>
  <c r="Y55" i="77"/>
  <c r="Y49" i="77"/>
  <c r="P39" i="77"/>
  <c r="I53" i="77"/>
  <c r="R494" i="12"/>
  <c r="H5" i="59"/>
  <c r="AF18" i="48"/>
  <c r="R56" i="80"/>
  <c r="AA110" i="58"/>
  <c r="AA112" i="58" s="1"/>
  <c r="S109" i="71"/>
  <c r="L39" i="77"/>
  <c r="T141" i="33"/>
  <c r="T13" i="33"/>
  <c r="AO143" i="33" s="1"/>
  <c r="AK372" i="90"/>
  <c r="AK80" i="15" s="1"/>
  <c r="AO372" i="90"/>
  <c r="AO96" i="15" s="1"/>
  <c r="AO97" i="15" s="1"/>
  <c r="AF38" i="48" s="1"/>
  <c r="AS372" i="90"/>
  <c r="AS80" i="15" s="1"/>
  <c r="BU372" i="90"/>
  <c r="BU96" i="15" s="1"/>
  <c r="G30" i="77" s="1"/>
  <c r="BY372" i="90"/>
  <c r="BY80" i="15" s="1"/>
  <c r="CC372" i="90"/>
  <c r="CC80" i="15" s="1"/>
  <c r="CG372" i="90"/>
  <c r="CG80" i="15" s="1"/>
  <c r="CK372" i="90"/>
  <c r="CK80" i="15" s="1"/>
  <c r="CO372" i="90"/>
  <c r="CO80" i="15" s="1"/>
  <c r="DH157" i="33"/>
  <c r="T10" i="15"/>
  <c r="CZ160" i="33"/>
  <c r="L93" i="66"/>
  <c r="H93" i="66"/>
  <c r="D93" i="66"/>
  <c r="DD157" i="33"/>
  <c r="CX13" i="33"/>
  <c r="CX15" i="33" s="1"/>
  <c r="T147" i="33"/>
  <c r="CG156" i="33"/>
  <c r="S156" i="15"/>
  <c r="S154" i="15"/>
  <c r="R154" i="15"/>
  <c r="J94" i="65"/>
  <c r="DJ139" i="33"/>
  <c r="BK80" i="15"/>
  <c r="BK96" i="15"/>
  <c r="AM80" i="15"/>
  <c r="AM96" i="15"/>
  <c r="AQ80" i="15"/>
  <c r="AQ96" i="15"/>
  <c r="AU96" i="15"/>
  <c r="AU80" i="15"/>
  <c r="BG80" i="15"/>
  <c r="BG96" i="15"/>
  <c r="CR125" i="14"/>
  <c r="BJ128" i="14"/>
  <c r="BU224" i="14"/>
  <c r="BU227" i="14" s="1"/>
  <c r="Q313" i="90"/>
  <c r="CR81" i="14"/>
  <c r="CR134" i="14"/>
  <c r="DK158" i="33"/>
  <c r="DC157" i="33"/>
  <c r="CJ157" i="33"/>
  <c r="CA9" i="15"/>
  <c r="CA184" i="14" s="1"/>
  <c r="CA185" i="14" s="1"/>
  <c r="DH141" i="33"/>
  <c r="T694" i="12"/>
  <c r="CG140" i="33"/>
  <c r="BQ134" i="14"/>
  <c r="X166" i="71"/>
  <c r="EF220" i="48"/>
  <c r="P300" i="71"/>
  <c r="BW80" i="15"/>
  <c r="N313" i="90"/>
  <c r="AH36" i="48"/>
  <c r="BO372" i="90"/>
  <c r="BO80" i="15" s="1"/>
  <c r="S9" i="15"/>
  <c r="CR79" i="14"/>
  <c r="N87" i="52"/>
  <c r="K88" i="52"/>
  <c r="R226" i="14"/>
  <c r="R227" i="14" s="1"/>
  <c r="M104" i="53"/>
  <c r="M106" i="53" s="1"/>
  <c r="M89" i="33"/>
  <c r="CE108" i="14"/>
  <c r="Q108" i="14" s="1"/>
  <c r="M147" i="33"/>
  <c r="CH157" i="33"/>
  <c r="CT165" i="33"/>
  <c r="CJ142" i="33"/>
  <c r="CO89" i="33"/>
  <c r="DE155" i="33"/>
  <c r="CO160" i="33"/>
  <c r="T166" i="71"/>
  <c r="L16" i="57"/>
  <c r="R109" i="15"/>
  <c r="X100" i="71"/>
  <c r="CN164" i="14"/>
  <c r="CN18" i="14" s="1"/>
  <c r="R313" i="90"/>
  <c r="R10" i="15"/>
  <c r="DJ158" i="33"/>
  <c r="O133" i="53"/>
  <c r="O135" i="53" s="1"/>
  <c r="J18" i="77"/>
  <c r="T300" i="71"/>
  <c r="CM185" i="14"/>
  <c r="DA160" i="33"/>
  <c r="S226" i="14"/>
  <c r="CA372" i="90"/>
  <c r="AT76" i="57"/>
  <c r="AV76" i="57" s="1"/>
  <c r="P166" i="71"/>
  <c r="CQ196" i="33"/>
  <c r="CR196" i="33" s="1"/>
  <c r="CT196" i="33" s="1"/>
  <c r="CU196" i="33" s="1"/>
  <c r="CV196" i="33" s="1"/>
  <c r="CW196" i="33" s="1"/>
  <c r="CX196" i="33" s="1"/>
  <c r="CY196" i="33" s="1"/>
  <c r="CZ196" i="33" s="1"/>
  <c r="DA196" i="33" s="1"/>
  <c r="DB196" i="33" s="1"/>
  <c r="DC196" i="33" s="1"/>
  <c r="DD196" i="33" s="1"/>
  <c r="DE196" i="33" s="1"/>
  <c r="DF196" i="33" s="1"/>
  <c r="DG196" i="33" s="1"/>
  <c r="DH196" i="33" s="1"/>
  <c r="DI196" i="33" s="1"/>
  <c r="DJ196" i="33" s="1"/>
  <c r="DK196" i="33" s="1"/>
  <c r="DL196" i="33" s="1"/>
  <c r="DM196" i="33" s="1"/>
  <c r="DN196" i="33" s="1"/>
  <c r="DO196" i="33" s="1"/>
  <c r="DP196" i="33" s="1"/>
  <c r="CJ198" i="33"/>
  <c r="CJ197" i="33"/>
  <c r="T427" i="71"/>
  <c r="T426" i="71"/>
  <c r="W196" i="33"/>
  <c r="I19" i="33"/>
  <c r="I107" i="14"/>
  <c r="I109" i="14" s="1"/>
  <c r="CA64" i="48"/>
  <c r="U107" i="14"/>
  <c r="CJ218" i="33"/>
  <c r="BK114" i="33"/>
  <c r="AZ110" i="14"/>
  <c r="AZ94" i="15" s="1"/>
  <c r="AZ99" i="15" s="1"/>
  <c r="AZ101" i="15" s="1"/>
  <c r="BK47" i="33"/>
  <c r="BK42" i="33"/>
  <c r="CN184" i="14"/>
  <c r="T9" i="15"/>
  <c r="DB141" i="33"/>
  <c r="DG141" i="33"/>
  <c r="U26" i="48"/>
  <c r="U8" i="64"/>
  <c r="W77" i="33"/>
  <c r="X77" i="33" s="1"/>
  <c r="Y77" i="33" s="1"/>
  <c r="Z77" i="33" s="1"/>
  <c r="AA77" i="33" s="1"/>
  <c r="AB77" i="33" s="1"/>
  <c r="AC77" i="33" s="1"/>
  <c r="AD77" i="33" s="1"/>
  <c r="AN147" i="33"/>
  <c r="AO163" i="33"/>
  <c r="AN37" i="33"/>
  <c r="U96" i="33"/>
  <c r="AO114" i="33"/>
  <c r="AO42" i="33"/>
  <c r="AI44" i="33"/>
  <c r="AI42" i="33"/>
  <c r="BN19" i="33"/>
  <c r="BS17" i="33"/>
  <c r="BN108" i="33"/>
  <c r="BN115" i="33"/>
  <c r="BS145" i="33"/>
  <c r="BN161" i="33"/>
  <c r="BN17" i="33"/>
  <c r="BN109" i="33"/>
  <c r="AT13" i="48"/>
  <c r="AT18" i="48" s="1"/>
  <c r="BN145" i="33"/>
  <c r="BN16" i="33"/>
  <c r="BP16" i="33"/>
  <c r="BP161" i="33"/>
  <c r="AJ36" i="33"/>
  <c r="L85" i="33"/>
  <c r="BZ227" i="33"/>
  <c r="AO50" i="33"/>
  <c r="AP50" i="33" s="1"/>
  <c r="E50" i="33" s="1"/>
  <c r="AF313" i="90"/>
  <c r="AF372" i="90" s="1"/>
  <c r="Q8" i="64"/>
  <c r="I194" i="65"/>
  <c r="Q26" i="48"/>
  <c r="I236" i="65"/>
  <c r="Q96" i="33"/>
  <c r="CI9" i="15"/>
  <c r="DF149" i="33"/>
  <c r="DA149" i="33"/>
  <c r="CW165" i="33"/>
  <c r="Q45" i="33"/>
  <c r="CX165" i="33"/>
  <c r="CE226" i="14"/>
  <c r="CE227" i="14" s="1"/>
  <c r="CI149" i="33"/>
  <c r="CD149" i="33"/>
  <c r="U20" i="77"/>
  <c r="DA89" i="33"/>
  <c r="CQ163" i="33"/>
  <c r="K18" i="57"/>
  <c r="G20" i="77"/>
  <c r="CO163" i="33"/>
  <c r="CM163" i="33"/>
  <c r="CM147" i="33"/>
  <c r="CS147" i="33"/>
  <c r="DZ222" i="48"/>
  <c r="CH89" i="33"/>
  <c r="CI89" i="33" s="1"/>
  <c r="CH147" i="33"/>
  <c r="CJ163" i="33"/>
  <c r="CH163" i="33"/>
  <c r="BN147" i="33"/>
  <c r="BI163" i="33"/>
  <c r="BK163" i="33"/>
  <c r="BI147" i="33"/>
  <c r="BF163" i="33"/>
  <c r="BD147" i="33"/>
  <c r="BD163" i="33"/>
  <c r="BD37" i="33"/>
  <c r="CV238" i="33"/>
  <c r="Q23" i="33"/>
  <c r="AX108" i="33"/>
  <c r="AX24" i="33"/>
  <c r="AS108" i="33"/>
  <c r="AS24" i="33"/>
  <c r="BY66" i="48"/>
  <c r="BB201" i="77"/>
  <c r="S147" i="33"/>
  <c r="S163" i="33"/>
  <c r="S107" i="14"/>
  <c r="BY64" i="48"/>
  <c r="AN145" i="33"/>
  <c r="BJ15" i="33"/>
  <c r="BG19" i="33"/>
  <c r="BG17" i="33"/>
  <c r="BG109" i="33"/>
  <c r="BG110" i="33" s="1"/>
  <c r="BG115" i="33"/>
  <c r="BG145" i="33"/>
  <c r="BH16" i="33"/>
  <c r="AN13" i="48"/>
  <c r="BG117" i="33"/>
  <c r="BB117" i="33"/>
  <c r="BB115" i="33"/>
  <c r="BB145" i="33"/>
  <c r="BB161" i="33"/>
  <c r="BB17" i="33"/>
  <c r="BB108" i="33"/>
  <c r="BB109" i="33"/>
  <c r="BB19" i="33"/>
  <c r="BC161" i="33"/>
  <c r="AJ13" i="48"/>
  <c r="AP17" i="33"/>
  <c r="AP16" i="33"/>
  <c r="E15" i="33"/>
  <c r="AU16" i="33"/>
  <c r="AU17" i="33"/>
  <c r="M14" i="33"/>
  <c r="CD160" i="33"/>
  <c r="CA15" i="33"/>
  <c r="CD15" i="33" s="1"/>
  <c r="BD14" i="48"/>
  <c r="CD13" i="33"/>
  <c r="BV15" i="33"/>
  <c r="BY13" i="33"/>
  <c r="BV143" i="33"/>
  <c r="AZ14" i="48"/>
  <c r="BQ15" i="33"/>
  <c r="BR159" i="33"/>
  <c r="AV14" i="48"/>
  <c r="BQ143" i="33"/>
  <c r="BT13" i="33"/>
  <c r="BL15" i="33"/>
  <c r="BM159" i="33"/>
  <c r="BO13" i="33"/>
  <c r="BL159" i="33"/>
  <c r="CR205" i="15"/>
  <c r="U205" i="15" s="1"/>
  <c r="DJ31" i="33"/>
  <c r="U24" i="33"/>
  <c r="U147" i="33" s="1"/>
  <c r="I106" i="14"/>
  <c r="P104" i="53"/>
  <c r="P106" i="53" s="1"/>
  <c r="L163" i="33"/>
  <c r="BP37" i="33"/>
  <c r="AU20" i="48"/>
  <c r="AI110" i="14"/>
  <c r="AR37" i="33"/>
  <c r="AB20" i="48"/>
  <c r="AR20" i="33"/>
  <c r="AW146" i="33"/>
  <c r="AR146" i="33"/>
  <c r="AR163" i="33"/>
  <c r="AQ36" i="33"/>
  <c r="AQ37" i="33"/>
  <c r="AQ164" i="33" s="1"/>
  <c r="BB108" i="14"/>
  <c r="I109" i="33"/>
  <c r="I110" i="33" s="1"/>
  <c r="DE156" i="33"/>
  <c r="BJ110" i="14"/>
  <c r="BJ94" i="15" s="1"/>
  <c r="BJ99" i="15" s="1"/>
  <c r="BJ101" i="15" s="1"/>
  <c r="BJ28" i="12"/>
  <c r="E7" i="58"/>
  <c r="E8" i="58" s="1"/>
  <c r="AT40" i="33"/>
  <c r="CX155" i="33"/>
  <c r="S238" i="33"/>
  <c r="S239" i="33" s="1"/>
  <c r="D23" i="33"/>
  <c r="D24" i="33" s="1"/>
  <c r="AK24" i="33"/>
  <c r="BN117" i="33"/>
  <c r="CM80" i="15"/>
  <c r="N9" i="56"/>
  <c r="BX66" i="48"/>
  <c r="AV146" i="33"/>
  <c r="AE20" i="48"/>
  <c r="AV20" i="33"/>
  <c r="M226" i="33"/>
  <c r="M227" i="33" s="1"/>
  <c r="CD227" i="33"/>
  <c r="N93" i="66"/>
  <c r="N18" i="57"/>
  <c r="AT78" i="57"/>
  <c r="AV78" i="57" s="1"/>
  <c r="L18" i="57"/>
  <c r="P26" i="48"/>
  <c r="H236" i="65"/>
  <c r="H188" i="65"/>
  <c r="H94" i="65" s="1"/>
  <c r="P96" i="33"/>
  <c r="H194" i="65"/>
  <c r="DD89" i="33"/>
  <c r="DE163" i="33"/>
  <c r="X20" i="77"/>
  <c r="DD163" i="33"/>
  <c r="DD147" i="33"/>
  <c r="BR147" i="33"/>
  <c r="BM163" i="33"/>
  <c r="BG110" i="14"/>
  <c r="BG94" i="15" s="1"/>
  <c r="BG99" i="15" s="1"/>
  <c r="AX22" i="48"/>
  <c r="AD22" i="48"/>
  <c r="AD36" i="48" s="1"/>
  <c r="S227" i="14"/>
  <c r="BR37" i="33"/>
  <c r="BR104" i="33"/>
  <c r="AW20" i="48"/>
  <c r="BR146" i="33"/>
  <c r="AT146" i="33"/>
  <c r="AO20" i="33"/>
  <c r="I235" i="65"/>
  <c r="Q28" i="48"/>
  <c r="I187" i="65"/>
  <c r="I94" i="65" s="1"/>
  <c r="BV163" i="33"/>
  <c r="BV147" i="33"/>
  <c r="AZ23" i="33"/>
  <c r="AX109" i="33"/>
  <c r="AS109" i="33"/>
  <c r="AU23" i="33"/>
  <c r="CW238" i="33"/>
  <c r="CW239" i="33" s="1"/>
  <c r="CW24" i="33"/>
  <c r="N22" i="33"/>
  <c r="N24" i="33" s="1"/>
  <c r="CI24" i="33"/>
  <c r="BO24" i="33"/>
  <c r="J22" i="33"/>
  <c r="BE22" i="33"/>
  <c r="BS42" i="33"/>
  <c r="BU37" i="33"/>
  <c r="L188" i="65"/>
  <c r="L94" i="65" s="1"/>
  <c r="DG139" i="33"/>
  <c r="CU157" i="33"/>
  <c r="BK108" i="33"/>
  <c r="BK110" i="33" s="1"/>
  <c r="BK16" i="33"/>
  <c r="AQ13" i="48"/>
  <c r="AQ18" i="48" s="1"/>
  <c r="AS20" i="33"/>
  <c r="AT162" i="33" s="1"/>
  <c r="AS104" i="33"/>
  <c r="AC20" i="48"/>
  <c r="AS146" i="33"/>
  <c r="AX146" i="33"/>
  <c r="R26" i="33"/>
  <c r="DA31" i="33"/>
  <c r="CI131" i="15"/>
  <c r="BZ163" i="33"/>
  <c r="CA163" i="33"/>
  <c r="AJ20" i="33"/>
  <c r="AJ37" i="33"/>
  <c r="AO40" i="33" s="1"/>
  <c r="I3" i="71"/>
  <c r="J4" i="90"/>
  <c r="H133" i="53"/>
  <c r="H135" i="53" s="1"/>
  <c r="H104" i="53"/>
  <c r="H106" i="53" s="1"/>
  <c r="W66" i="33"/>
  <c r="X66" i="33" s="1"/>
  <c r="Y66" i="33" s="1"/>
  <c r="Z66" i="33" s="1"/>
  <c r="AA66" i="33" s="1"/>
  <c r="AB66" i="33" s="1"/>
  <c r="AC66" i="33" s="1"/>
  <c r="AD66" i="33" s="1"/>
  <c r="DM149" i="33"/>
  <c r="F368" i="90"/>
  <c r="S183" i="33"/>
  <c r="S181" i="33" s="1"/>
  <c r="S185" i="33" s="1"/>
  <c r="CS96" i="33"/>
  <c r="Q84" i="33"/>
  <c r="AH36" i="33"/>
  <c r="Y20" i="77"/>
  <c r="Q22" i="33"/>
  <c r="Q24" i="33" s="1"/>
  <c r="AU18" i="33"/>
  <c r="BV159" i="33"/>
  <c r="CT226" i="14"/>
  <c r="CT227" i="14" s="1"/>
  <c r="D19" i="33"/>
  <c r="BR16" i="33"/>
  <c r="R84" i="33"/>
  <c r="CN84" i="33"/>
  <c r="O84" i="33" s="1"/>
  <c r="BE23" i="33"/>
  <c r="AV110" i="33"/>
  <c r="AZ22" i="33"/>
  <c r="AL24" i="33"/>
  <c r="AL145" i="33"/>
  <c r="J13" i="33"/>
  <c r="BE372" i="90"/>
  <c r="DO147" i="33"/>
  <c r="AD20" i="77"/>
  <c r="AE20" i="77"/>
  <c r="DP147" i="33"/>
  <c r="CS226" i="14"/>
  <c r="CS227" i="14" s="1"/>
  <c r="DP149" i="33"/>
  <c r="DQ147" i="33"/>
  <c r="AF20" i="77"/>
  <c r="DO163" i="33"/>
  <c r="AH20" i="77"/>
  <c r="CO164" i="14"/>
  <c r="CO18" i="14" s="1"/>
  <c r="CO19" i="14"/>
  <c r="CP165" i="14"/>
  <c r="AR372" i="90"/>
  <c r="AR80" i="15" s="1"/>
  <c r="AR81" i="15" s="1"/>
  <c r="AV372" i="90"/>
  <c r="AV96" i="15" s="1"/>
  <c r="AZ372" i="90"/>
  <c r="AZ80" i="15" s="1"/>
  <c r="BH372" i="90"/>
  <c r="BH96" i="15" s="1"/>
  <c r="BL372" i="90"/>
  <c r="BL80" i="15" s="1"/>
  <c r="BL81" i="15" s="1"/>
  <c r="BP372" i="90"/>
  <c r="BP80" i="15" s="1"/>
  <c r="CF372" i="90"/>
  <c r="CF80" i="15" s="1"/>
  <c r="CJ372" i="90"/>
  <c r="CJ96" i="15" s="1"/>
  <c r="V30" i="77" s="1"/>
  <c r="BO96" i="15"/>
  <c r="CE134" i="14"/>
  <c r="BC96" i="15"/>
  <c r="DL140" i="33"/>
  <c r="CN19" i="14"/>
  <c r="CH156" i="33"/>
  <c r="CC81" i="14"/>
  <c r="DD160" i="33"/>
  <c r="CL165" i="33"/>
  <c r="CO96" i="15"/>
  <c r="AA30" i="77" s="1"/>
  <c r="AJ372" i="90"/>
  <c r="N368" i="90"/>
  <c r="N372" i="90" s="1"/>
  <c r="G313" i="90"/>
  <c r="M368" i="90"/>
  <c r="AL80" i="15"/>
  <c r="AO15" i="90"/>
  <c r="CN372" i="90"/>
  <c r="G368" i="90"/>
  <c r="H368" i="90"/>
  <c r="I368" i="90"/>
  <c r="J368" i="90"/>
  <c r="K368" i="90"/>
  <c r="K372" i="90" s="1"/>
  <c r="K80" i="15" s="1"/>
  <c r="L368" i="90"/>
  <c r="O368" i="90"/>
  <c r="P368" i="90"/>
  <c r="H313" i="90"/>
  <c r="L65" i="90"/>
  <c r="BL63" i="90"/>
  <c r="BL65" i="90" s="1"/>
  <c r="BM63" i="90" s="1"/>
  <c r="BM65" i="90" s="1"/>
  <c r="BN63" i="90" s="1"/>
  <c r="BN65" i="90" s="1"/>
  <c r="BO63" i="90" s="1"/>
  <c r="BT75" i="90"/>
  <c r="BT77" i="90" s="1"/>
  <c r="BU75" i="90" s="1"/>
  <c r="N77" i="90"/>
  <c r="BT81" i="90"/>
  <c r="BT83" i="90" s="1"/>
  <c r="BU81" i="90" s="1"/>
  <c r="BU83" i="90" s="1"/>
  <c r="BV81" i="90" s="1"/>
  <c r="BV83" i="90" s="1"/>
  <c r="BW81" i="90" s="1"/>
  <c r="BW83" i="90" s="1"/>
  <c r="N83" i="90"/>
  <c r="BL69" i="90"/>
  <c r="BL71" i="90" s="1"/>
  <c r="BM69" i="90" s="1"/>
  <c r="BM71" i="90" s="1"/>
  <c r="BN69" i="90" s="1"/>
  <c r="BN71" i="90" s="1"/>
  <c r="BO69" i="90" s="1"/>
  <c r="L71" i="90"/>
  <c r="P89" i="90"/>
  <c r="CB87" i="90"/>
  <c r="CB89" i="90" s="1"/>
  <c r="CC87" i="90" s="1"/>
  <c r="CC89" i="90" s="1"/>
  <c r="CD87" i="90" s="1"/>
  <c r="CD89" i="90" s="1"/>
  <c r="CE87" i="90" s="1"/>
  <c r="CE89" i="90" s="1"/>
  <c r="Q59" i="90"/>
  <c r="N81" i="90"/>
  <c r="L63" i="90"/>
  <c r="AV73" i="14"/>
  <c r="AV75" i="14" s="1"/>
  <c r="CW368" i="90"/>
  <c r="BH116" i="33"/>
  <c r="BK148" i="33"/>
  <c r="AT150" i="33"/>
  <c r="AW148" i="33"/>
  <c r="BZ55" i="33"/>
  <c r="BH48" i="33"/>
  <c r="BH55" i="33"/>
  <c r="BH61" i="33" s="1"/>
  <c r="AI279" i="58"/>
  <c r="R39" i="80"/>
  <c r="Y209" i="58"/>
  <c r="BZ226" i="12"/>
  <c r="M54" i="77"/>
  <c r="R53" i="77"/>
  <c r="N53" i="77"/>
  <c r="S51" i="77"/>
  <c r="O51" i="77"/>
  <c r="G51" i="77"/>
  <c r="Q49" i="77"/>
  <c r="I49" i="77"/>
  <c r="Z104" i="58"/>
  <c r="R104" i="58"/>
  <c r="AE102" i="58"/>
  <c r="CY47" i="12"/>
  <c r="AG17" i="77"/>
  <c r="AH17" i="77"/>
  <c r="AH11" i="77" s="1"/>
  <c r="CZ47" i="12"/>
  <c r="AE19" i="77"/>
  <c r="AE21" i="77"/>
  <c r="S48" i="77"/>
  <c r="O48" i="77"/>
  <c r="K48" i="77"/>
  <c r="AF14" i="77"/>
  <c r="W274" i="58"/>
  <c r="AF272" i="58"/>
  <c r="T272" i="58"/>
  <c r="V207" i="58"/>
  <c r="AE205" i="58"/>
  <c r="AG104" i="58"/>
  <c r="AC104" i="58"/>
  <c r="W524" i="12"/>
  <c r="W57" i="12"/>
  <c r="W389" i="12"/>
  <c r="W694" i="12"/>
  <c r="AE29" i="77"/>
  <c r="CY44" i="12"/>
  <c r="AG35" i="77"/>
  <c r="CY45" i="12"/>
  <c r="AG36" i="77"/>
  <c r="T113" i="14"/>
  <c r="R35" i="52" s="1"/>
  <c r="R89" i="52" s="1"/>
  <c r="AK73" i="14"/>
  <c r="AK75" i="14" s="1"/>
  <c r="BJ73" i="14"/>
  <c r="CB81" i="14"/>
  <c r="F73" i="14"/>
  <c r="O223" i="14"/>
  <c r="AT73" i="14"/>
  <c r="AT75" i="14" s="1"/>
  <c r="AJ73" i="14"/>
  <c r="BI73" i="14"/>
  <c r="BE73" i="14"/>
  <c r="U46" i="14"/>
  <c r="BR214" i="14"/>
  <c r="BO20" i="14"/>
  <c r="BO78" i="14" s="1"/>
  <c r="M61" i="66"/>
  <c r="M60" i="66" s="1"/>
  <c r="L75" i="65"/>
  <c r="BO73" i="14"/>
  <c r="AW73" i="14"/>
  <c r="AW75" i="14" s="1"/>
  <c r="BH73" i="14"/>
  <c r="F77" i="65"/>
  <c r="AN75" i="14"/>
  <c r="AL73" i="14"/>
  <c r="O20" i="14"/>
  <c r="BW100" i="14"/>
  <c r="O68" i="14"/>
  <c r="O100" i="14" s="1"/>
  <c r="BX68" i="14"/>
  <c r="BI78" i="14"/>
  <c r="J24" i="48"/>
  <c r="I9" i="71" s="1"/>
  <c r="J135" i="14"/>
  <c r="K135" i="14"/>
  <c r="C39" i="53" s="1"/>
  <c r="J7" i="64"/>
  <c r="K20" i="14"/>
  <c r="D61" i="65"/>
  <c r="C64" i="65"/>
  <c r="J46" i="14"/>
  <c r="J59" i="14" s="1"/>
  <c r="J73" i="14" s="1"/>
  <c r="C62" i="65"/>
  <c r="C60" i="65" s="1"/>
  <c r="AX94" i="15"/>
  <c r="AX99" i="15" s="1"/>
  <c r="AX101" i="15" s="1"/>
  <c r="CG128" i="14"/>
  <c r="CR19" i="14"/>
  <c r="K92" i="52"/>
  <c r="K89" i="52"/>
  <c r="V219" i="14"/>
  <c r="Q166" i="14"/>
  <c r="BC166" i="14"/>
  <c r="AX75" i="14"/>
  <c r="V17" i="14"/>
  <c r="CZ17" i="14"/>
  <c r="DA17" i="14" s="1"/>
  <c r="DB17" i="14" s="1"/>
  <c r="DC17" i="14" s="1"/>
  <c r="W17" i="14" s="1"/>
  <c r="BB204" i="77"/>
  <c r="G109" i="53"/>
  <c r="G61" i="65"/>
  <c r="G60" i="65" s="1"/>
  <c r="M101" i="14"/>
  <c r="BT59" i="14"/>
  <c r="BJ78" i="14"/>
  <c r="DA219" i="14"/>
  <c r="CZ11" i="15"/>
  <c r="S35" i="52"/>
  <c r="CS81" i="14"/>
  <c r="V25" i="14"/>
  <c r="CZ25" i="14"/>
  <c r="DA25" i="14" s="1"/>
  <c r="DB25" i="14" s="1"/>
  <c r="DC25" i="14" s="1"/>
  <c r="W25" i="14" s="1"/>
  <c r="BQ214" i="14"/>
  <c r="L241" i="65"/>
  <c r="L243" i="65" s="1"/>
  <c r="BI125" i="14"/>
  <c r="BD125" i="14"/>
  <c r="CJ185" i="14"/>
  <c r="DA68" i="14"/>
  <c r="CZ100" i="14"/>
  <c r="BB134" i="14"/>
  <c r="CG134" i="14"/>
  <c r="CR164" i="14"/>
  <c r="CR18" i="14" s="1"/>
  <c r="K87" i="52"/>
  <c r="K90" i="52"/>
  <c r="CB185" i="14"/>
  <c r="V24" i="14"/>
  <c r="O35" i="52"/>
  <c r="O93" i="52" s="1"/>
  <c r="U59" i="14"/>
  <c r="CZ70" i="14"/>
  <c r="S24" i="48"/>
  <c r="R9" i="71" s="1"/>
  <c r="O213" i="14"/>
  <c r="D38" i="53"/>
  <c r="BH78" i="14"/>
  <c r="BH80" i="14" s="1"/>
  <c r="BV64" i="14"/>
  <c r="V21" i="14"/>
  <c r="CZ21" i="14"/>
  <c r="DA21" i="14" s="1"/>
  <c r="DB21" i="14" s="1"/>
  <c r="DC21" i="14" s="1"/>
  <c r="W21" i="14" s="1"/>
  <c r="AH75" i="14"/>
  <c r="CU109" i="14"/>
  <c r="U109" i="14" s="1"/>
  <c r="CV109" i="14"/>
  <c r="CB79" i="14"/>
  <c r="BC128" i="14"/>
  <c r="AM75" i="14"/>
  <c r="P35" i="52"/>
  <c r="AL75" i="14"/>
  <c r="CT121" i="14"/>
  <c r="CT122" i="14" s="1"/>
  <c r="AP75" i="14"/>
  <c r="BW218" i="14"/>
  <c r="BW217" i="14"/>
  <c r="L78" i="14"/>
  <c r="L80" i="14" s="1"/>
  <c r="CG185" i="14"/>
  <c r="V58" i="14"/>
  <c r="CZ58" i="14"/>
  <c r="DA58" i="14" s="1"/>
  <c r="DB58" i="14" s="1"/>
  <c r="DC58" i="14" s="1"/>
  <c r="W58" i="14" s="1"/>
  <c r="V37" i="14"/>
  <c r="CZ37" i="14"/>
  <c r="DA37" i="14" s="1"/>
  <c r="DB37" i="14" s="1"/>
  <c r="DC37" i="14" s="1"/>
  <c r="W37" i="14" s="1"/>
  <c r="CS109" i="14"/>
  <c r="V97" i="14"/>
  <c r="U10" i="48"/>
  <c r="V10" i="14"/>
  <c r="CZ10" i="14"/>
  <c r="DA10" i="14" s="1"/>
  <c r="DB10" i="14" s="1"/>
  <c r="DC10" i="14" s="1"/>
  <c r="W10" i="14" s="1"/>
  <c r="V13" i="14"/>
  <c r="CZ13" i="14"/>
  <c r="DA13" i="14" s="1"/>
  <c r="DB13" i="14" s="1"/>
  <c r="DC13" i="14" s="1"/>
  <c r="W13" i="14" s="1"/>
  <c r="V109" i="14"/>
  <c r="CZ109" i="14"/>
  <c r="DA109" i="14" s="1"/>
  <c r="DB109" i="14" s="1"/>
  <c r="DC109" i="14" s="1"/>
  <c r="W109" i="14" s="1"/>
  <c r="BT79" i="14"/>
  <c r="V100" i="14"/>
  <c r="DA43" i="14"/>
  <c r="V12" i="14"/>
  <c r="CZ12" i="14"/>
  <c r="DA12" i="14" s="1"/>
  <c r="DB12" i="14" s="1"/>
  <c r="DC12" i="14" s="1"/>
  <c r="W12" i="14" s="1"/>
  <c r="V65" i="14"/>
  <c r="CZ65" i="14"/>
  <c r="DA65" i="14" s="1"/>
  <c r="DB65" i="14" s="1"/>
  <c r="DC65" i="14" s="1"/>
  <c r="W65" i="14" s="1"/>
  <c r="I100" i="14"/>
  <c r="V42" i="14"/>
  <c r="CZ42" i="14"/>
  <c r="DA42" i="14" s="1"/>
  <c r="DB42" i="14" s="1"/>
  <c r="DC42" i="14" s="1"/>
  <c r="W42" i="14" s="1"/>
  <c r="V44" i="14"/>
  <c r="CZ44" i="14"/>
  <c r="DA44" i="14" s="1"/>
  <c r="DB44" i="14" s="1"/>
  <c r="DC44" i="14" s="1"/>
  <c r="W44" i="14" s="1"/>
  <c r="BM80" i="14"/>
  <c r="BN81" i="14" s="1"/>
  <c r="BN79" i="14"/>
  <c r="AR75" i="14"/>
  <c r="N20" i="14"/>
  <c r="N78" i="14" s="1"/>
  <c r="N80" i="14" s="1"/>
  <c r="H75" i="14"/>
  <c r="BS80" i="14"/>
  <c r="BT81" i="14" s="1"/>
  <c r="M20" i="14"/>
  <c r="M78" i="14" s="1"/>
  <c r="M80" i="14" s="1"/>
  <c r="AU75" i="14"/>
  <c r="J15" i="33"/>
  <c r="J143" i="33"/>
  <c r="K14" i="48"/>
  <c r="M14" i="48"/>
  <c r="L15" i="33"/>
  <c r="BU104" i="33"/>
  <c r="G144" i="33"/>
  <c r="E13" i="33"/>
  <c r="F143" i="33" s="1"/>
  <c r="BR42" i="33"/>
  <c r="BX143" i="33"/>
  <c r="G13" i="33"/>
  <c r="G143" i="33" s="1"/>
  <c r="I14" i="48"/>
  <c r="I143" i="33"/>
  <c r="H15" i="33"/>
  <c r="L15" i="48"/>
  <c r="K144" i="33"/>
  <c r="L144" i="33"/>
  <c r="J139" i="33"/>
  <c r="I139" i="33"/>
  <c r="N15" i="48"/>
  <c r="M144" i="33"/>
  <c r="BX115" i="33"/>
  <c r="BX109" i="33"/>
  <c r="CC145" i="33"/>
  <c r="BX108" i="33"/>
  <c r="BZ161" i="33"/>
  <c r="BZ16" i="33"/>
  <c r="F4" i="58"/>
  <c r="F5" i="58" s="1"/>
  <c r="BX145" i="33"/>
  <c r="BY15" i="33"/>
  <c r="BX16" i="33"/>
  <c r="BX17" i="33"/>
  <c r="BX161" i="33"/>
  <c r="BX19" i="33"/>
  <c r="CB17" i="33"/>
  <c r="CC17" i="33"/>
  <c r="BX117" i="33"/>
  <c r="BB13" i="48"/>
  <c r="K13" i="33"/>
  <c r="K139" i="33"/>
  <c r="L139" i="33"/>
  <c r="M139" i="33"/>
  <c r="M13" i="33"/>
  <c r="BH110" i="33"/>
  <c r="G4" i="58"/>
  <c r="G8" i="58" s="1"/>
  <c r="BF110" i="14"/>
  <c r="BF94" i="15" s="1"/>
  <c r="BF99" i="15" s="1"/>
  <c r="BZ109" i="33"/>
  <c r="BZ110" i="33" s="1"/>
  <c r="BA109" i="33"/>
  <c r="BA110" i="33" s="1"/>
  <c r="CC159" i="33"/>
  <c r="BR114" i="33"/>
  <c r="CM269" i="12"/>
  <c r="W267" i="12"/>
  <c r="AT78" i="58"/>
  <c r="CH261" i="12"/>
  <c r="W260" i="12"/>
  <c r="DC261" i="12"/>
  <c r="CZ262" i="12"/>
  <c r="CZ269" i="12"/>
  <c r="Y128" i="90"/>
  <c r="Y130" i="90" s="1"/>
  <c r="Z128" i="90" s="1"/>
  <c r="Z130" i="90" s="1"/>
  <c r="V492" i="12"/>
  <c r="BV52" i="12"/>
  <c r="AH274" i="58"/>
  <c r="AA272" i="58"/>
  <c r="DA493" i="12"/>
  <c r="CZ11" i="12"/>
  <c r="CW262" i="12"/>
  <c r="CZ261" i="12"/>
  <c r="DA492" i="12"/>
  <c r="CZ10" i="12"/>
  <c r="CZ679" i="12"/>
  <c r="DA678" i="12"/>
  <c r="AC205" i="58"/>
  <c r="CQ372" i="90"/>
  <c r="CQ96" i="15" s="1"/>
  <c r="AC30" i="77" s="1"/>
  <c r="BP74" i="15"/>
  <c r="CK172" i="14"/>
  <c r="CK185" i="14"/>
  <c r="CO172" i="14"/>
  <c r="CO185" i="14"/>
  <c r="BP83" i="15"/>
  <c r="BP88" i="15" s="1"/>
  <c r="BP90" i="15" s="1"/>
  <c r="BP92" i="15" s="1"/>
  <c r="CR185" i="14"/>
  <c r="CR172" i="14"/>
  <c r="BH76" i="15"/>
  <c r="BH78" i="15"/>
  <c r="AN68" i="15"/>
  <c r="K140" i="53"/>
  <c r="K142" i="53" s="1"/>
  <c r="K111" i="53"/>
  <c r="CR702" i="12"/>
  <c r="CV124" i="14"/>
  <c r="BI81" i="14"/>
  <c r="BT113" i="14"/>
  <c r="S184" i="14"/>
  <c r="S185" i="14" s="1"/>
  <c r="EE313" i="48"/>
  <c r="BC134" i="14"/>
  <c r="N90" i="52"/>
  <c r="AW134" i="14"/>
  <c r="CE185" i="14"/>
  <c r="BR217" i="14"/>
  <c r="BJ107" i="77"/>
  <c r="AM101" i="15"/>
  <c r="CE220" i="14"/>
  <c r="CP227" i="14"/>
  <c r="O111" i="53"/>
  <c r="AN9" i="58"/>
  <c r="BD10" i="48"/>
  <c r="I109" i="53"/>
  <c r="L109" i="53"/>
  <c r="R109" i="53"/>
  <c r="BV219" i="14"/>
  <c r="C60" i="66"/>
  <c r="BI79" i="14"/>
  <c r="BI128" i="14"/>
  <c r="AN15" i="90"/>
  <c r="BJ88" i="77"/>
  <c r="N88" i="52"/>
  <c r="BC125" i="14"/>
  <c r="N93" i="52"/>
  <c r="Q184" i="14"/>
  <c r="K60" i="66"/>
  <c r="G60" i="66"/>
  <c r="CE125" i="14"/>
  <c r="P58" i="15"/>
  <c r="P64" i="15" s="1"/>
  <c r="Q58" i="15"/>
  <c r="Q64" i="15" s="1"/>
  <c r="CS121" i="14"/>
  <c r="Q109" i="53"/>
  <c r="N109" i="53"/>
  <c r="M109" i="53"/>
  <c r="AT83" i="57"/>
  <c r="AV83" i="57" s="1"/>
  <c r="U224" i="90"/>
  <c r="U225" i="90" s="1"/>
  <c r="V223" i="90" s="1"/>
  <c r="V225" i="90" s="1"/>
  <c r="W223" i="90" s="1"/>
  <c r="W225" i="90" s="1"/>
  <c r="BI108" i="14"/>
  <c r="AM97" i="15"/>
  <c r="AD38" i="48" s="1"/>
  <c r="AQ9" i="58"/>
  <c r="N89" i="52"/>
  <c r="BR218" i="14"/>
  <c r="Q88" i="52"/>
  <c r="CU185" i="14"/>
  <c r="CG172" i="14"/>
  <c r="CS124" i="14"/>
  <c r="U124" i="14" s="1"/>
  <c r="BB97" i="77" s="1"/>
  <c r="BJ139" i="77"/>
  <c r="J109" i="53"/>
  <c r="J111" i="53" s="1"/>
  <c r="H111" i="53"/>
  <c r="BQ224" i="14"/>
  <c r="BQ203" i="14"/>
  <c r="BQ220" i="14"/>
  <c r="BQ226" i="14"/>
  <c r="BO224" i="14"/>
  <c r="BO203" i="14"/>
  <c r="BO220" i="14"/>
  <c r="BO226" i="14"/>
  <c r="O214" i="14"/>
  <c r="CF120" i="15"/>
  <c r="CF132" i="15" s="1"/>
  <c r="CF172" i="14"/>
  <c r="CF185" i="14"/>
  <c r="CQ172" i="14"/>
  <c r="T184" i="14"/>
  <c r="CQ185" i="14"/>
  <c r="CS185" i="14"/>
  <c r="U184" i="14"/>
  <c r="CS172" i="14"/>
  <c r="Q133" i="53"/>
  <c r="Q135" i="53" s="1"/>
  <c r="BD80" i="15"/>
  <c r="BD81" i="15" s="1"/>
  <c r="Q368" i="90"/>
  <c r="DH127" i="33"/>
  <c r="DH128" i="33" s="1"/>
  <c r="DI127" i="33"/>
  <c r="DI128" i="33" s="1"/>
  <c r="BT372" i="90"/>
  <c r="CB372" i="90"/>
  <c r="DG127" i="33"/>
  <c r="DG128" i="33" s="1"/>
  <c r="DJ127" i="33"/>
  <c r="DJ128" i="33" s="1"/>
  <c r="DK127" i="33"/>
  <c r="DK128" i="33" s="1"/>
  <c r="DL127" i="33"/>
  <c r="DL128" i="33" s="1"/>
  <c r="R205" i="58"/>
  <c r="CA57" i="80"/>
  <c r="Y205" i="58"/>
  <c r="AA49" i="77"/>
  <c r="AT80" i="58"/>
  <c r="AM52" i="77"/>
  <c r="P236" i="71"/>
  <c r="CA14" i="80"/>
  <c r="AO357" i="58"/>
  <c r="Y213" i="58"/>
  <c r="Y215" i="58" s="1"/>
  <c r="U104" i="58"/>
  <c r="AT463" i="58"/>
  <c r="AM62" i="77"/>
  <c r="Y59" i="77"/>
  <c r="U42" i="77"/>
  <c r="V42" i="77"/>
  <c r="Y54" i="77"/>
  <c r="L54" i="77"/>
  <c r="M53" i="77"/>
  <c r="Q57" i="77"/>
  <c r="BV41" i="77"/>
  <c r="X49" i="77"/>
  <c r="H61" i="77"/>
  <c r="T55" i="77"/>
  <c r="P55" i="77"/>
  <c r="T54" i="77"/>
  <c r="P54" i="77"/>
  <c r="H54" i="77"/>
  <c r="U53" i="77"/>
  <c r="Q53" i="77"/>
  <c r="J51" i="77"/>
  <c r="T49" i="77"/>
  <c r="O47" i="77"/>
  <c r="U45" i="77"/>
  <c r="M45" i="77"/>
  <c r="O43" i="77"/>
  <c r="K43" i="77"/>
  <c r="O41" i="77"/>
  <c r="K41" i="77"/>
  <c r="S39" i="77"/>
  <c r="O39" i="77"/>
  <c r="K39" i="77"/>
  <c r="M59" i="77"/>
  <c r="AA45" i="77"/>
  <c r="AC51" i="77"/>
  <c r="BX59" i="77"/>
  <c r="AD61" i="77"/>
  <c r="Y47" i="77"/>
  <c r="U58" i="77"/>
  <c r="H42" i="77"/>
  <c r="X59" i="77"/>
  <c r="W39" i="77"/>
  <c r="X39" i="77"/>
  <c r="L59" i="77"/>
  <c r="CQ269" i="12"/>
  <c r="CU269" i="12"/>
  <c r="CF231" i="12"/>
  <c r="R231" i="12" s="1"/>
  <c r="CM262" i="12"/>
  <c r="X368" i="71"/>
  <c r="CN262" i="12"/>
  <c r="V368" i="71"/>
  <c r="CH231" i="12"/>
  <c r="T231" i="12" s="1"/>
  <c r="Y268" i="12"/>
  <c r="CP269" i="12"/>
  <c r="G10" i="58"/>
  <c r="W371" i="58"/>
  <c r="AG209" i="58"/>
  <c r="J5" i="58"/>
  <c r="AF371" i="58"/>
  <c r="AD280" i="58"/>
  <c r="AD282" i="58" s="1"/>
  <c r="R280" i="58"/>
  <c r="R282" i="58" s="1"/>
  <c r="AC369" i="58"/>
  <c r="AJ109" i="58"/>
  <c r="T109" i="58"/>
  <c r="AP357" i="58"/>
  <c r="T104" i="58"/>
  <c r="S205" i="58"/>
  <c r="AE274" i="58"/>
  <c r="Z357" i="58"/>
  <c r="AL110" i="58"/>
  <c r="AL112" i="58" s="1"/>
  <c r="AE371" i="58"/>
  <c r="V274" i="58"/>
  <c r="AJ209" i="58"/>
  <c r="AS212" i="58"/>
  <c r="J10" i="58"/>
  <c r="AQ102" i="58"/>
  <c r="AI357" i="58"/>
  <c r="AD489" i="58"/>
  <c r="AE272" i="58"/>
  <c r="AI274" i="58"/>
  <c r="AA357" i="58"/>
  <c r="AL369" i="58"/>
  <c r="AK212" i="58"/>
  <c r="AQ104" i="58"/>
  <c r="AJ369" i="58"/>
  <c r="S274" i="58"/>
  <c r="R274" i="58"/>
  <c r="AF104" i="58"/>
  <c r="AF279" i="58"/>
  <c r="AL109" i="58"/>
  <c r="CR269" i="12"/>
  <c r="V260" i="12"/>
  <c r="Z268" i="12"/>
  <c r="X639" i="12"/>
  <c r="Y637" i="12"/>
  <c r="CL302" i="12"/>
  <c r="CL835" i="12"/>
  <c r="CL838" i="12" s="1"/>
  <c r="CL843" i="12" s="1"/>
  <c r="CH299" i="12"/>
  <c r="CH301" i="12"/>
  <c r="BY686" i="12"/>
  <c r="BY687" i="12"/>
  <c r="BZ687" i="12"/>
  <c r="T275" i="58"/>
  <c r="CC686" i="12"/>
  <c r="CA166" i="12"/>
  <c r="BZ240" i="12"/>
  <c r="BM301" i="12"/>
  <c r="BM302" i="12" s="1"/>
  <c r="BM299" i="12"/>
  <c r="CR670" i="12"/>
  <c r="AM490" i="58"/>
  <c r="AM488" i="58" s="1"/>
  <c r="CO837" i="12"/>
  <c r="CO674" i="12"/>
  <c r="V275" i="58"/>
  <c r="V280" i="58" s="1"/>
  <c r="V282" i="58" s="1"/>
  <c r="CA686" i="12"/>
  <c r="CE686" i="12"/>
  <c r="CB687" i="12"/>
  <c r="CA687" i="12"/>
  <c r="P617" i="12"/>
  <c r="P618" i="12" s="1"/>
  <c r="P619" i="12" s="1"/>
  <c r="BZ619" i="12"/>
  <c r="BE39" i="12"/>
  <c r="BE41" i="12"/>
  <c r="BE37" i="12"/>
  <c r="BE106" i="14"/>
  <c r="BE128" i="14" s="1"/>
  <c r="BI41" i="12"/>
  <c r="BE34" i="12"/>
  <c r="BE25" i="12"/>
  <c r="BI26" i="12" s="1"/>
  <c r="BE35" i="12"/>
  <c r="BE38" i="12"/>
  <c r="BF49" i="12"/>
  <c r="BE49" i="12"/>
  <c r="BE36" i="12"/>
  <c r="CP674" i="12"/>
  <c r="CP837" i="12"/>
  <c r="R384" i="12"/>
  <c r="P105" i="71"/>
  <c r="CJ686" i="12"/>
  <c r="CN686" i="12"/>
  <c r="CJ687" i="12"/>
  <c r="CK687" i="12"/>
  <c r="AE275" i="58"/>
  <c r="AE276" i="58" s="1"/>
  <c r="Y354" i="58"/>
  <c r="Z355" i="58" s="1"/>
  <c r="BY302" i="12"/>
  <c r="T383" i="12"/>
  <c r="R685" i="12"/>
  <c r="Q209" i="58"/>
  <c r="P61" i="77"/>
  <c r="CC828" i="12"/>
  <c r="S39" i="80"/>
  <c r="AJ15" i="64"/>
  <c r="U83" i="77"/>
  <c r="N515" i="12"/>
  <c r="CS826" i="12"/>
  <c r="T165" i="12"/>
  <c r="AE491" i="58"/>
  <c r="Q293" i="12"/>
  <c r="T617" i="12"/>
  <c r="T618" i="12" s="1"/>
  <c r="T619" i="12" s="1"/>
  <c r="BW8" i="80"/>
  <c r="BV516" i="12"/>
  <c r="O509" i="12"/>
  <c r="Q106" i="71"/>
  <c r="Y207" i="58"/>
  <c r="Q207" i="58"/>
  <c r="G33" i="77"/>
  <c r="BU50" i="12"/>
  <c r="CK9" i="33"/>
  <c r="BU42" i="12"/>
  <c r="DD146" i="48"/>
  <c r="CJ503" i="12"/>
  <c r="CJ501" i="12"/>
  <c r="CC838" i="12"/>
  <c r="CC842" i="12" s="1"/>
  <c r="CC846" i="12" s="1"/>
  <c r="CE42" i="12"/>
  <c r="CR9" i="33"/>
  <c r="U10" i="80"/>
  <c r="AN360" i="58"/>
  <c r="CI46" i="12"/>
  <c r="BZ15" i="80"/>
  <c r="CD826" i="12"/>
  <c r="O82" i="77"/>
  <c r="O58" i="77" s="1"/>
  <c r="BY9" i="80"/>
  <c r="BZ11" i="80" s="1"/>
  <c r="BQ6" i="80"/>
  <c r="BU120" i="14"/>
  <c r="BV121" i="14" s="1"/>
  <c r="BV122" i="14" s="1"/>
  <c r="G81" i="77"/>
  <c r="G59" i="77" s="1"/>
  <c r="BL42" i="48"/>
  <c r="BL43" i="48" s="1"/>
  <c r="BC42" i="48"/>
  <c r="BC43" i="48" s="1"/>
  <c r="BH6" i="80"/>
  <c r="BH8" i="80" s="1"/>
  <c r="R635" i="12"/>
  <c r="Q41" i="80"/>
  <c r="Q42" i="80" s="1"/>
  <c r="O623" i="12"/>
  <c r="N623" i="12"/>
  <c r="N685" i="12" s="1"/>
  <c r="N695" i="12"/>
  <c r="N6" i="80" s="1"/>
  <c r="O618" i="12"/>
  <c r="Z34" i="77"/>
  <c r="CN51" i="12"/>
  <c r="AI360" i="58"/>
  <c r="AI363" i="58" s="1"/>
  <c r="AK100" i="58"/>
  <c r="AK551" i="58"/>
  <c r="CL844" i="12"/>
  <c r="P9" i="59"/>
  <c r="CE827" i="12"/>
  <c r="Z358" i="58"/>
  <c r="L667" i="12"/>
  <c r="BV15" i="48"/>
  <c r="Q17" i="77"/>
  <c r="CW14" i="33"/>
  <c r="CX160" i="33" s="1"/>
  <c r="CU12" i="33"/>
  <c r="J10" i="57" s="1"/>
  <c r="L10" i="57" s="1"/>
  <c r="O36" i="77"/>
  <c r="O14" i="77" s="1"/>
  <c r="T57" i="12"/>
  <c r="T389" i="12"/>
  <c r="AO102" i="58"/>
  <c r="CA17" i="48"/>
  <c r="CF15" i="80"/>
  <c r="AE356" i="58"/>
  <c r="AE363" i="58" s="1"/>
  <c r="V83" i="77"/>
  <c r="P718" i="12"/>
  <c r="P719" i="12" s="1"/>
  <c r="O718" i="12"/>
  <c r="R81" i="77"/>
  <c r="R58" i="77" s="1"/>
  <c r="BW42" i="48"/>
  <c r="AA368" i="58"/>
  <c r="AB369" i="58" s="1"/>
  <c r="CF120" i="14"/>
  <c r="CF121" i="14" s="1"/>
  <c r="CF122" i="14" s="1"/>
  <c r="S664" i="12"/>
  <c r="S665" i="12" s="1"/>
  <c r="S635" i="12"/>
  <c r="S41" i="80"/>
  <c r="S42" i="80" s="1"/>
  <c r="AG79" i="58"/>
  <c r="X46" i="77"/>
  <c r="Q478" i="12"/>
  <c r="Q494" i="12" s="1"/>
  <c r="CE479" i="12"/>
  <c r="Q295" i="12"/>
  <c r="O101" i="71"/>
  <c r="P102" i="71" s="1"/>
  <c r="P27" i="80"/>
  <c r="X40" i="77"/>
  <c r="CL255" i="12"/>
  <c r="CC45" i="48"/>
  <c r="BY45" i="48"/>
  <c r="CH255" i="12"/>
  <c r="AC78" i="58"/>
  <c r="AG551" i="58"/>
  <c r="AG100" i="58"/>
  <c r="AC100" i="58"/>
  <c r="AC551" i="58"/>
  <c r="CT466" i="12"/>
  <c r="AO80" i="58"/>
  <c r="CJ231" i="12"/>
  <c r="V231" i="12" s="1"/>
  <c r="CL842" i="12"/>
  <c r="CL846" i="12" s="1"/>
  <c r="CD818" i="12"/>
  <c r="CI15" i="80"/>
  <c r="CI17" i="80" s="1"/>
  <c r="Y83" i="77"/>
  <c r="Y61" i="77" s="1"/>
  <c r="U370" i="58"/>
  <c r="U371" i="58" s="1"/>
  <c r="BV9" i="80"/>
  <c r="L82" i="77"/>
  <c r="L58" i="77" s="1"/>
  <c r="BY667" i="12"/>
  <c r="CC665" i="12"/>
  <c r="BY665" i="12"/>
  <c r="BU665" i="12"/>
  <c r="BU667" i="12"/>
  <c r="CN629" i="12"/>
  <c r="Z46" i="77"/>
  <c r="BZ497" i="12"/>
  <c r="BZ495" i="12"/>
  <c r="AS18" i="48"/>
  <c r="CD22" i="80"/>
  <c r="AA109" i="58"/>
  <c r="Q279" i="58"/>
  <c r="BY240" i="12"/>
  <c r="CD50" i="12"/>
  <c r="AK18" i="48"/>
  <c r="BS37" i="80"/>
  <c r="CB26" i="80"/>
  <c r="P213" i="58"/>
  <c r="AF109" i="58"/>
  <c r="BR37" i="80"/>
  <c r="CC32" i="80"/>
  <c r="BX29" i="80"/>
  <c r="BT29" i="80"/>
  <c r="BS26" i="80"/>
  <c r="CC22" i="80"/>
  <c r="BU23" i="80"/>
  <c r="BW51" i="48"/>
  <c r="BZ48" i="48"/>
  <c r="BN48" i="48"/>
  <c r="AD59" i="77"/>
  <c r="CV665" i="12"/>
  <c r="BC804" i="12"/>
  <c r="BX700" i="12"/>
  <c r="BX701" i="12" s="1"/>
  <c r="AD60" i="77"/>
  <c r="CS649" i="12"/>
  <c r="R495" i="12"/>
  <c r="R497" i="12"/>
  <c r="N17" i="48" s="1"/>
  <c r="CH818" i="12"/>
  <c r="BW42" i="12"/>
  <c r="CM9" i="33"/>
  <c r="AS368" i="58"/>
  <c r="CX120" i="14"/>
  <c r="CY121" i="14" s="1"/>
  <c r="CY122" i="14" s="1"/>
  <c r="CI818" i="12"/>
  <c r="O105" i="71"/>
  <c r="Q384" i="12"/>
  <c r="CL847" i="12"/>
  <c r="S80" i="77"/>
  <c r="T57" i="77" s="1"/>
  <c r="CG823" i="12"/>
  <c r="CC12" i="80"/>
  <c r="CC13" i="80" s="1"/>
  <c r="AB354" i="58"/>
  <c r="AC355" i="58" s="1"/>
  <c r="CW698" i="12"/>
  <c r="CI838" i="12"/>
  <c r="M16" i="48"/>
  <c r="M670" i="12"/>
  <c r="CD11" i="80"/>
  <c r="CG10" i="80"/>
  <c r="CR830" i="12"/>
  <c r="CA674" i="12"/>
  <c r="S827" i="12"/>
  <c r="S43" i="12"/>
  <c r="EB216" i="48"/>
  <c r="DZ272" i="48"/>
  <c r="EB272" i="48" s="1"/>
  <c r="CS42" i="12"/>
  <c r="CT46" i="12"/>
  <c r="CG54" i="12"/>
  <c r="T12" i="12"/>
  <c r="F82" i="77"/>
  <c r="G60" i="77" s="1"/>
  <c r="U252" i="12"/>
  <c r="T79" i="71" s="1"/>
  <c r="CO671" i="12"/>
  <c r="BS25" i="12"/>
  <c r="BS36" i="12"/>
  <c r="U695" i="12"/>
  <c r="U696" i="12" s="1"/>
  <c r="T45" i="12"/>
  <c r="CD35" i="12"/>
  <c r="O80" i="77"/>
  <c r="P57" i="77" s="1"/>
  <c r="AM358" i="58"/>
  <c r="AM363" i="58" s="1"/>
  <c r="CE820" i="12"/>
  <c r="CE818" i="12" s="1"/>
  <c r="CF501" i="12"/>
  <c r="O6" i="80"/>
  <c r="S9" i="33"/>
  <c r="T139" i="33" s="1"/>
  <c r="CJ517" i="12"/>
  <c r="CT13" i="33"/>
  <c r="BS14" i="48" s="1"/>
  <c r="BN43" i="48"/>
  <c r="CX357" i="12"/>
  <c r="CY357" i="12" s="1"/>
  <c r="CZ357" i="12" s="1"/>
  <c r="DA357" i="12" s="1"/>
  <c r="DB357" i="12" s="1"/>
  <c r="DC357" i="12" s="1"/>
  <c r="R18" i="80"/>
  <c r="Q368" i="71"/>
  <c r="Z81" i="77"/>
  <c r="Z58" i="77" s="1"/>
  <c r="CN120" i="14"/>
  <c r="CN121" i="14" s="1"/>
  <c r="CN122" i="14" s="1"/>
  <c r="CN696" i="12"/>
  <c r="CN700" i="12"/>
  <c r="CN701" i="12" s="1"/>
  <c r="CJ120" i="14"/>
  <c r="CK121" i="14" s="1"/>
  <c r="CK122" i="14" s="1"/>
  <c r="CJ700" i="12"/>
  <c r="CJ701" i="12" s="1"/>
  <c r="CK700" i="12"/>
  <c r="CK701" i="12" s="1"/>
  <c r="V81" i="77"/>
  <c r="W59" i="77" s="1"/>
  <c r="CA42" i="48"/>
  <c r="CB43" i="48" s="1"/>
  <c r="CK696" i="12"/>
  <c r="CF6" i="80"/>
  <c r="CF8" i="80" s="1"/>
  <c r="CN665" i="12"/>
  <c r="CN667" i="12"/>
  <c r="CJ667" i="12"/>
  <c r="CJ665" i="12"/>
  <c r="BW16" i="48"/>
  <c r="CF670" i="12"/>
  <c r="BL38" i="12"/>
  <c r="BL37" i="12"/>
  <c r="R356" i="58"/>
  <c r="S357" i="58" s="1"/>
  <c r="BS15" i="80"/>
  <c r="BT17" i="80" s="1"/>
  <c r="I83" i="77"/>
  <c r="I61" i="77" s="1"/>
  <c r="AU797" i="12"/>
  <c r="AU804" i="12"/>
  <c r="X82" i="77"/>
  <c r="Y60" i="77" s="1"/>
  <c r="CH9" i="80"/>
  <c r="CI11" i="80" s="1"/>
  <c r="AG370" i="58"/>
  <c r="Q689" i="12"/>
  <c r="P174" i="71" s="1"/>
  <c r="O169" i="71"/>
  <c r="O176" i="71" s="1"/>
  <c r="P689" i="12"/>
  <c r="O174" i="71" s="1"/>
  <c r="Q685" i="12"/>
  <c r="P825" i="12"/>
  <c r="P826" i="12" s="1"/>
  <c r="O305" i="71" s="1"/>
  <c r="BN667" i="12"/>
  <c r="BN665" i="12"/>
  <c r="CH497" i="12"/>
  <c r="CL495" i="12"/>
  <c r="CH495" i="12"/>
  <c r="BV495" i="12"/>
  <c r="BR497" i="12"/>
  <c r="BR495" i="12"/>
  <c r="S462" i="12"/>
  <c r="S460" i="12"/>
  <c r="BS299" i="12"/>
  <c r="BS301" i="12"/>
  <c r="BS302" i="12" s="1"/>
  <c r="BP295" i="12"/>
  <c r="BP298" i="12" s="1"/>
  <c r="K4" i="59"/>
  <c r="K8" i="59" s="1"/>
  <c r="K17" i="59" s="1"/>
  <c r="CH383" i="12"/>
  <c r="CH281" i="12"/>
  <c r="BV226" i="12"/>
  <c r="O224" i="12"/>
  <c r="O225" i="12" s="1"/>
  <c r="O226" i="12" s="1"/>
  <c r="CK45" i="12"/>
  <c r="CG53" i="12"/>
  <c r="CK51" i="12"/>
  <c r="CN43" i="12"/>
  <c r="CJ12" i="12"/>
  <c r="DB10" i="33"/>
  <c r="DB140" i="33" s="1"/>
  <c r="V34" i="77"/>
  <c r="V14" i="77" s="1"/>
  <c r="CP656" i="12"/>
  <c r="T655" i="12"/>
  <c r="U656" i="12" s="1"/>
  <c r="CO656" i="12"/>
  <c r="AC35" i="77"/>
  <c r="AC14" i="77" s="1"/>
  <c r="CQ52" i="12"/>
  <c r="CO504" i="12"/>
  <c r="CA51" i="12"/>
  <c r="S10" i="33"/>
  <c r="CT827" i="12"/>
  <c r="AH371" i="58"/>
  <c r="CD38" i="12"/>
  <c r="DK9" i="33"/>
  <c r="CD36" i="12"/>
  <c r="BS34" i="12"/>
  <c r="CH41" i="12"/>
  <c r="U248" i="12"/>
  <c r="U383" i="12" s="1"/>
  <c r="T105" i="71" s="1"/>
  <c r="BT49" i="12"/>
  <c r="BS39" i="12"/>
  <c r="CF819" i="12"/>
  <c r="CF818" i="12" s="1"/>
  <c r="AP371" i="58"/>
  <c r="DK160" i="33"/>
  <c r="AN209" i="58"/>
  <c r="CG820" i="12"/>
  <c r="CG818" i="12" s="1"/>
  <c r="CD37" i="12"/>
  <c r="CR121" i="14"/>
  <c r="CB166" i="12"/>
  <c r="CI516" i="12"/>
  <c r="S167" i="71"/>
  <c r="S168" i="71" s="1"/>
  <c r="T41" i="80"/>
  <c r="T42" i="80" s="1"/>
  <c r="T635" i="12"/>
  <c r="Q224" i="12"/>
  <c r="Q225" i="12" s="1"/>
  <c r="Q226" i="12" s="1"/>
  <c r="L83" i="77"/>
  <c r="M61" i="77" s="1"/>
  <c r="BV15" i="80"/>
  <c r="BZ16" i="80" s="1"/>
  <c r="BH804" i="12"/>
  <c r="BH797" i="12"/>
  <c r="BX667" i="12"/>
  <c r="BX665" i="12"/>
  <c r="S12" i="12"/>
  <c r="CU120" i="14"/>
  <c r="U45" i="12"/>
  <c r="U665" i="12"/>
  <c r="U627" i="12"/>
  <c r="T80" i="71" s="1"/>
  <c r="CT50" i="12"/>
  <c r="BS106" i="14"/>
  <c r="U250" i="12"/>
  <c r="AO361" i="58"/>
  <c r="CD39" i="12"/>
  <c r="BZ673" i="12"/>
  <c r="X354" i="58"/>
  <c r="X355" i="58" s="1"/>
  <c r="AN369" i="58"/>
  <c r="BW301" i="12"/>
  <c r="BW302" i="12" s="1"/>
  <c r="BW299" i="12"/>
  <c r="CN500" i="12"/>
  <c r="AI491" i="58"/>
  <c r="P679" i="12"/>
  <c r="CK670" i="12"/>
  <c r="CB16" i="48"/>
  <c r="AK491" i="58"/>
  <c r="CP500" i="12"/>
  <c r="BO797" i="12"/>
  <c r="BO804" i="12"/>
  <c r="BK797" i="12"/>
  <c r="BK804" i="12"/>
  <c r="CD667" i="12"/>
  <c r="CH665" i="12"/>
  <c r="AL207" i="58"/>
  <c r="R22" i="80"/>
  <c r="AL15" i="64"/>
  <c r="AL27" i="64" s="1"/>
  <c r="AH15" i="64"/>
  <c r="AH27" i="64" s="1"/>
  <c r="AB274" i="58"/>
  <c r="X274" i="58"/>
  <c r="Q272" i="58"/>
  <c r="T205" i="58"/>
  <c r="AG102" i="58"/>
  <c r="AC102" i="58"/>
  <c r="Y102" i="58"/>
  <c r="U102" i="58"/>
  <c r="R55" i="77"/>
  <c r="S53" i="77"/>
  <c r="K53" i="77"/>
  <c r="G53" i="77"/>
  <c r="T51" i="77"/>
  <c r="N49" i="77"/>
  <c r="T48" i="77"/>
  <c r="L48" i="77"/>
  <c r="Q47" i="77"/>
  <c r="M47" i="77"/>
  <c r="CO51" i="12"/>
  <c r="AA34" i="77"/>
  <c r="AC46" i="77"/>
  <c r="CQ629" i="12"/>
  <c r="CU255" i="12"/>
  <c r="T279" i="58"/>
  <c r="AB272" i="58"/>
  <c r="AD36" i="77"/>
  <c r="AD14" i="77" s="1"/>
  <c r="CS53" i="12"/>
  <c r="AL25" i="64"/>
  <c r="N33" i="57"/>
  <c r="N4" i="59"/>
  <c r="N5" i="59" s="1"/>
  <c r="CJ698" i="12"/>
  <c r="CW495" i="12"/>
  <c r="CS497" i="12"/>
  <c r="CS495" i="12"/>
  <c r="DL11" i="33"/>
  <c r="CX44" i="12"/>
  <c r="AI212" i="58"/>
  <c r="AE212" i="58"/>
  <c r="AA212" i="58"/>
  <c r="S212" i="58"/>
  <c r="M494" i="12"/>
  <c r="N697" i="12"/>
  <c r="O231" i="12"/>
  <c r="O232" i="12" s="1"/>
  <c r="P22" i="80"/>
  <c r="M42" i="12"/>
  <c r="CE60" i="80"/>
  <c r="BV57" i="80"/>
  <c r="CC51" i="48"/>
  <c r="BY51" i="48"/>
  <c r="M7" i="59"/>
  <c r="E7" i="59"/>
  <c r="CW47" i="12"/>
  <c r="CT497" i="12"/>
  <c r="CX495" i="12"/>
  <c r="CW55" i="12"/>
  <c r="CV281" i="12"/>
  <c r="CV282" i="12" s="1"/>
  <c r="CV566" i="12"/>
  <c r="Z212" i="58"/>
  <c r="M497" i="12"/>
  <c r="BY231" i="12"/>
  <c r="T6" i="59" s="1"/>
  <c r="BP820" i="12"/>
  <c r="BP818" i="12" s="1"/>
  <c r="BM820" i="12"/>
  <c r="P16" i="59"/>
  <c r="P17" i="59" s="1"/>
  <c r="L16" i="59"/>
  <c r="H16" i="59"/>
  <c r="D16" i="59"/>
  <c r="L11" i="59"/>
  <c r="L13" i="59" s="1"/>
  <c r="L14" i="59" s="1"/>
  <c r="H11" i="59"/>
  <c r="H13" i="59" s="1"/>
  <c r="D11" i="59"/>
  <c r="D13" i="59" s="1"/>
  <c r="H7" i="59"/>
  <c r="AD58" i="77"/>
  <c r="CW44" i="12"/>
  <c r="CX45" i="12"/>
  <c r="AO78" i="58"/>
  <c r="AK109" i="58"/>
  <c r="O239" i="12"/>
  <c r="O368" i="12" s="1"/>
  <c r="CW45" i="12"/>
  <c r="CX47" i="12"/>
  <c r="CV464" i="12"/>
  <c r="AH52" i="77" s="1"/>
  <c r="Y371" i="58"/>
  <c r="I47" i="77"/>
  <c r="BT37" i="80"/>
  <c r="R359" i="58"/>
  <c r="DF155" i="33"/>
  <c r="BY43" i="48"/>
  <c r="CD7" i="80"/>
  <c r="P10" i="80"/>
  <c r="S25" i="80"/>
  <c r="CW156" i="33"/>
  <c r="DE157" i="33"/>
  <c r="AI280" i="58"/>
  <c r="AI282" i="58" s="1"/>
  <c r="AJ213" i="58"/>
  <c r="AJ215" i="58" s="1"/>
  <c r="AF213" i="58"/>
  <c r="AF215" i="58" s="1"/>
  <c r="X213" i="58"/>
  <c r="X214" i="58" s="1"/>
  <c r="T213" i="58"/>
  <c r="T215" i="58" s="1"/>
  <c r="S45" i="77"/>
  <c r="AG369" i="58"/>
  <c r="AB279" i="58"/>
  <c r="T36" i="80"/>
  <c r="P50" i="80"/>
  <c r="AD109" i="58"/>
  <c r="BY51" i="80"/>
  <c r="CF37" i="80"/>
  <c r="CB37" i="80"/>
  <c r="CF32" i="80"/>
  <c r="R13" i="59"/>
  <c r="F13" i="59"/>
  <c r="X45" i="77"/>
  <c r="DJ13" i="33"/>
  <c r="DJ15" i="33" s="1"/>
  <c r="CR175" i="15" s="1"/>
  <c r="DI157" i="33"/>
  <c r="DB157" i="33"/>
  <c r="O31" i="57"/>
  <c r="Q308" i="71"/>
  <c r="R309" i="71" s="1"/>
  <c r="AH488" i="58"/>
  <c r="AG276" i="58"/>
  <c r="AB489" i="58"/>
  <c r="CH37" i="80"/>
  <c r="Q215" i="58"/>
  <c r="Q214" i="58"/>
  <c r="AG488" i="58"/>
  <c r="BY52" i="12"/>
  <c r="CP11" i="33"/>
  <c r="CU141" i="33" s="1"/>
  <c r="K35" i="77"/>
  <c r="CC44" i="12"/>
  <c r="AD355" i="58"/>
  <c r="Q312" i="71"/>
  <c r="Q313" i="71"/>
  <c r="P27" i="64"/>
  <c r="Q30" i="64"/>
  <c r="Q25" i="64"/>
  <c r="P25" i="64"/>
  <c r="P45" i="80"/>
  <c r="Q45" i="80"/>
  <c r="P11" i="12"/>
  <c r="Q45" i="12" s="1"/>
  <c r="CI125" i="14"/>
  <c r="CI108" i="14"/>
  <c r="R108" i="14" s="1"/>
  <c r="BO43" i="48"/>
  <c r="DJ155" i="33"/>
  <c r="S359" i="58"/>
  <c r="BM7" i="80"/>
  <c r="AI359" i="58"/>
  <c r="AB280" i="58"/>
  <c r="CH16" i="80"/>
  <c r="AB361" i="58"/>
  <c r="T371" i="58"/>
  <c r="CC45" i="12"/>
  <c r="R144" i="33"/>
  <c r="S141" i="33"/>
  <c r="R141" i="33"/>
  <c r="DF140" i="33"/>
  <c r="DG156" i="33"/>
  <c r="AK488" i="58"/>
  <c r="AK489" i="58"/>
  <c r="CH8" i="80"/>
  <c r="Q31" i="80"/>
  <c r="P31" i="80"/>
  <c r="AK102" i="58"/>
  <c r="AL102" i="58"/>
  <c r="DC142" i="33"/>
  <c r="DC13" i="33"/>
  <c r="CG16" i="80"/>
  <c r="J12" i="57"/>
  <c r="CV160" i="33"/>
  <c r="DB158" i="33"/>
  <c r="DA142" i="33"/>
  <c r="CA44" i="48"/>
  <c r="AM15" i="64"/>
  <c r="AN29" i="64" s="1"/>
  <c r="AI15" i="64"/>
  <c r="AI27" i="64" s="1"/>
  <c r="AE15" i="64"/>
  <c r="G11" i="78"/>
  <c r="H13" i="78"/>
  <c r="H15" i="78" s="1"/>
  <c r="H9" i="78"/>
  <c r="E7" i="78"/>
  <c r="D11" i="78"/>
  <c r="E14" i="78"/>
  <c r="F5" i="78"/>
  <c r="AK279" i="58"/>
  <c r="AJ279" i="58"/>
  <c r="AJ280" i="58"/>
  <c r="AJ282" i="58" s="1"/>
  <c r="AK274" i="58"/>
  <c r="AK280" i="58"/>
  <c r="AL281" i="58" s="1"/>
  <c r="Q274" i="58"/>
  <c r="P280" i="58"/>
  <c r="P282" i="58" s="1"/>
  <c r="U272" i="58"/>
  <c r="V272" i="58"/>
  <c r="AJ104" i="58"/>
  <c r="AJ110" i="58"/>
  <c r="AJ112" i="58" s="1"/>
  <c r="X104" i="58"/>
  <c r="Y104" i="58"/>
  <c r="R102" i="58"/>
  <c r="Q102" i="58"/>
  <c r="R16" i="80"/>
  <c r="S16" i="80"/>
  <c r="X212" i="58"/>
  <c r="W212" i="58"/>
  <c r="X109" i="58"/>
  <c r="Y109" i="58"/>
  <c r="T225" i="12"/>
  <c r="T226" i="12" s="1"/>
  <c r="AX134" i="14"/>
  <c r="AX108" i="14"/>
  <c r="AX125" i="14"/>
  <c r="AX128" i="14"/>
  <c r="DA158" i="33"/>
  <c r="DE142" i="33"/>
  <c r="CV13" i="33"/>
  <c r="CV15" i="33" s="1"/>
  <c r="CV108" i="33" s="1"/>
  <c r="CS45" i="33"/>
  <c r="CS165" i="33" s="1"/>
  <c r="CO165" i="33"/>
  <c r="EA216" i="48"/>
  <c r="CN14" i="33"/>
  <c r="O14" i="33" s="1"/>
  <c r="P15" i="48" s="1"/>
  <c r="CK160" i="33"/>
  <c r="CJ144" i="33"/>
  <c r="CJ160" i="33"/>
  <c r="CH13" i="33"/>
  <c r="CH15" i="33" s="1"/>
  <c r="CH115" i="33" s="1"/>
  <c r="CI12" i="33"/>
  <c r="N12" i="33" s="1"/>
  <c r="CJ158" i="33"/>
  <c r="CG141" i="33"/>
  <c r="CG157" i="33"/>
  <c r="CI11" i="33"/>
  <c r="N11" i="33" s="1"/>
  <c r="N141" i="33" s="1"/>
  <c r="CA60" i="80"/>
  <c r="CA59" i="80"/>
  <c r="CD56" i="80"/>
  <c r="CE57" i="80"/>
  <c r="BR57" i="80"/>
  <c r="BS57" i="80"/>
  <c r="CG53" i="80"/>
  <c r="CG54" i="80"/>
  <c r="BY53" i="80"/>
  <c r="BZ54" i="80"/>
  <c r="BZ42" i="80"/>
  <c r="BZ43" i="80"/>
  <c r="BV42" i="80"/>
  <c r="BW43" i="80"/>
  <c r="CG39" i="80"/>
  <c r="CH40" i="80"/>
  <c r="CI32" i="80"/>
  <c r="CI31" i="80"/>
  <c r="CA31" i="80"/>
  <c r="CB32" i="80"/>
  <c r="BW31" i="80"/>
  <c r="BX32" i="80"/>
  <c r="BR29" i="80"/>
  <c r="BS29" i="80"/>
  <c r="CC25" i="80"/>
  <c r="CC26" i="80"/>
  <c r="CC23" i="80"/>
  <c r="CB23" i="80"/>
  <c r="CB49" i="48"/>
  <c r="CB48" i="48"/>
  <c r="CC48" i="48"/>
  <c r="BX49" i="48"/>
  <c r="BX48" i="48"/>
  <c r="BY48" i="48"/>
  <c r="BP49" i="48"/>
  <c r="BP48" i="48"/>
  <c r="AC45" i="57" s="1"/>
  <c r="AU18" i="48"/>
  <c r="AM18" i="48"/>
  <c r="AE18" i="48"/>
  <c r="AA18" i="48"/>
  <c r="CQ647" i="12"/>
  <c r="CQ652" i="12"/>
  <c r="S57" i="12"/>
  <c r="S524" i="12"/>
  <c r="S694" i="12"/>
  <c r="Y51" i="77"/>
  <c r="AY125" i="14"/>
  <c r="AY134" i="14"/>
  <c r="AY108" i="14"/>
  <c r="DE139" i="33"/>
  <c r="CZ13" i="33"/>
  <c r="BD134" i="14"/>
  <c r="BV44" i="12"/>
  <c r="R21" i="64"/>
  <c r="R16" i="64"/>
  <c r="T243" i="71"/>
  <c r="T245" i="71" s="1"/>
  <c r="CB13" i="80"/>
  <c r="N14" i="33"/>
  <c r="O15" i="48" s="1"/>
  <c r="J34" i="57"/>
  <c r="BT44" i="48"/>
  <c r="BP44" i="48"/>
  <c r="AW128" i="14"/>
  <c r="CG121" i="14"/>
  <c r="CG122" i="14" s="1"/>
  <c r="R371" i="58"/>
  <c r="CE7" i="80"/>
  <c r="O15" i="64"/>
  <c r="P29" i="64" s="1"/>
  <c r="K36" i="77"/>
  <c r="EC214" i="48"/>
  <c r="AA209" i="58"/>
  <c r="AJ489" i="58"/>
  <c r="DL139" i="33"/>
  <c r="DB139" i="33"/>
  <c r="DH13" i="33"/>
  <c r="AY128" i="14"/>
  <c r="DF141" i="33"/>
  <c r="K12" i="57"/>
  <c r="CR160" i="33"/>
  <c r="AI106" i="58"/>
  <c r="AI110" i="58"/>
  <c r="BH108" i="14"/>
  <c r="BH125" i="14"/>
  <c r="BH134" i="14"/>
  <c r="AL361" i="58"/>
  <c r="AM362" i="58" s="1"/>
  <c r="AL363" i="58"/>
  <c r="DA141" i="33"/>
  <c r="DA157" i="33"/>
  <c r="V489" i="58"/>
  <c r="V488" i="58"/>
  <c r="CZ140" i="33"/>
  <c r="DE140" i="33"/>
  <c r="BD128" i="14"/>
  <c r="AT279" i="58"/>
  <c r="CI220" i="14"/>
  <c r="BW121" i="14"/>
  <c r="BW122" i="14" s="1"/>
  <c r="Y357" i="58"/>
  <c r="U276" i="58"/>
  <c r="DL160" i="33"/>
  <c r="CC44" i="48"/>
  <c r="AH489" i="58"/>
  <c r="CM160" i="33"/>
  <c r="CL160" i="33"/>
  <c r="CL144" i="33"/>
  <c r="CW140" i="33"/>
  <c r="AO110" i="58"/>
  <c r="AO112" i="58" s="1"/>
  <c r="DA156" i="33"/>
  <c r="CY156" i="33"/>
  <c r="AK357" i="58"/>
  <c r="AG25" i="64"/>
  <c r="CC16" i="80"/>
  <c r="BK7" i="80"/>
  <c r="H7" i="78"/>
  <c r="BY57" i="80"/>
  <c r="M16" i="59"/>
  <c r="O13" i="59"/>
  <c r="O17" i="59" s="1"/>
  <c r="AF27" i="64"/>
  <c r="Z371" i="58"/>
  <c r="CC121" i="14"/>
  <c r="CC122" i="14" s="1"/>
  <c r="AN207" i="58"/>
  <c r="X361" i="58"/>
  <c r="Y362" i="58" s="1"/>
  <c r="CW157" i="33"/>
  <c r="AH276" i="58"/>
  <c r="DD158" i="33"/>
  <c r="CU160" i="33"/>
  <c r="DH142" i="33"/>
  <c r="BK8" i="80"/>
  <c r="P215" i="58"/>
  <c r="DC158" i="33"/>
  <c r="AL205" i="58"/>
  <c r="DK140" i="33"/>
  <c r="BF101" i="15"/>
  <c r="S368" i="90"/>
  <c r="BR372" i="90"/>
  <c r="BR96" i="15" s="1"/>
  <c r="S208" i="33"/>
  <c r="E368" i="90"/>
  <c r="Q372" i="90"/>
  <c r="Q80" i="15" s="1"/>
  <c r="CH372" i="90"/>
  <c r="CP372" i="90"/>
  <c r="CP96" i="15" s="1"/>
  <c r="AB30" i="77" s="1"/>
  <c r="U313" i="90"/>
  <c r="I313" i="90"/>
  <c r="I372" i="90" s="1"/>
  <c r="I96" i="15" s="1"/>
  <c r="J313" i="90"/>
  <c r="J372" i="90" s="1"/>
  <c r="J80" i="15" s="1"/>
  <c r="L313" i="90"/>
  <c r="L372" i="90" s="1"/>
  <c r="L96" i="15" s="1"/>
  <c r="M313" i="90"/>
  <c r="CS357" i="90"/>
  <c r="CT223" i="90"/>
  <c r="CT225" i="90" s="1"/>
  <c r="CU223" i="90" s="1"/>
  <c r="CU225" i="90" s="1"/>
  <c r="CV223" i="90" s="1"/>
  <c r="CV225" i="90" s="1"/>
  <c r="CL96" i="15"/>
  <c r="X30" i="77" s="1"/>
  <c r="CL80" i="15"/>
  <c r="BR80" i="15"/>
  <c r="CH80" i="15"/>
  <c r="CH96" i="15"/>
  <c r="T30" i="77" s="1"/>
  <c r="CQ80" i="15"/>
  <c r="BT96" i="15"/>
  <c r="BT80" i="15"/>
  <c r="CB80" i="15"/>
  <c r="CB96" i="15"/>
  <c r="N30" i="77" s="1"/>
  <c r="J96" i="15"/>
  <c r="BE80" i="15"/>
  <c r="BE96" i="15"/>
  <c r="AY96" i="15"/>
  <c r="AZ96" i="15"/>
  <c r="AZ97" i="15" s="1"/>
  <c r="AQ38" i="48" s="1"/>
  <c r="AW372" i="90"/>
  <c r="BM372" i="90"/>
  <c r="BS26" i="48"/>
  <c r="T313" i="90"/>
  <c r="S313" i="90"/>
  <c r="S372" i="90" s="1"/>
  <c r="AP96" i="15"/>
  <c r="O313" i="90"/>
  <c r="O372" i="90" s="1"/>
  <c r="R368" i="90"/>
  <c r="R372" i="90" s="1"/>
  <c r="BZ372" i="90"/>
  <c r="AT80" i="15"/>
  <c r="CE372" i="90"/>
  <c r="CC26" i="48"/>
  <c r="BV372" i="90"/>
  <c r="T368" i="90"/>
  <c r="BD26" i="48"/>
  <c r="P313" i="90"/>
  <c r="P372" i="90" s="1"/>
  <c r="F313" i="90"/>
  <c r="F372" i="90" s="1"/>
  <c r="BI372" i="90"/>
  <c r="BK26" i="48"/>
  <c r="CF96" i="15"/>
  <c r="R30" i="77" s="1"/>
  <c r="BX372" i="90"/>
  <c r="BE10" i="48"/>
  <c r="CD372" i="90"/>
  <c r="AN96" i="15"/>
  <c r="AN97" i="15" s="1"/>
  <c r="AE38" i="48" s="1"/>
  <c r="BQ372" i="90"/>
  <c r="BF372" i="90"/>
  <c r="CI372" i="90"/>
  <c r="CI80" i="15" s="1"/>
  <c r="AX372" i="90"/>
  <c r="BB372" i="90"/>
  <c r="BJ372" i="90"/>
  <c r="BN372" i="90"/>
  <c r="X618" i="12"/>
  <c r="X619" i="12" s="1"/>
  <c r="AH207" i="58"/>
  <c r="I55" i="77"/>
  <c r="H47" i="77"/>
  <c r="U54" i="77"/>
  <c r="I54" i="77"/>
  <c r="N45" i="77"/>
  <c r="BX57" i="80"/>
  <c r="BZ51" i="80"/>
  <c r="BR51" i="80"/>
  <c r="CD51" i="48"/>
  <c r="AB104" i="58"/>
  <c r="DK142" i="33"/>
  <c r="CZ157" i="33"/>
  <c r="AA489" i="58"/>
  <c r="V371" i="58"/>
  <c r="AB213" i="58"/>
  <c r="AA205" i="58"/>
  <c r="J53" i="77"/>
  <c r="BU17" i="80"/>
  <c r="R36" i="80"/>
  <c r="CH54" i="80"/>
  <c r="CD54" i="80"/>
  <c r="CF46" i="80"/>
  <c r="BZ51" i="48"/>
  <c r="AO371" i="58"/>
  <c r="Q16" i="64"/>
  <c r="U357" i="58"/>
  <c r="BX51" i="80"/>
  <c r="E5" i="59"/>
  <c r="Q5" i="59"/>
  <c r="AK209" i="58"/>
  <c r="AL212" i="58"/>
  <c r="AN279" i="58"/>
  <c r="R617" i="12"/>
  <c r="R618" i="12" s="1"/>
  <c r="R619" i="12" s="1"/>
  <c r="S617" i="12"/>
  <c r="CJ619" i="12"/>
  <c r="O617" i="12"/>
  <c r="O619" i="12" s="1"/>
  <c r="CG619" i="12"/>
  <c r="BW619" i="12"/>
  <c r="CO619" i="12"/>
  <c r="R209" i="58"/>
  <c r="BP27" i="12"/>
  <c r="AD488" i="58"/>
  <c r="DL156" i="33"/>
  <c r="BZ827" i="12"/>
  <c r="CQ10" i="33"/>
  <c r="Q27" i="64"/>
  <c r="X280" i="58"/>
  <c r="X282" i="58" s="1"/>
  <c r="AN371" i="58"/>
  <c r="EF212" i="48"/>
  <c r="EC212" i="48"/>
  <c r="CZ155" i="33"/>
  <c r="CY139" i="33"/>
  <c r="AK106" i="58"/>
  <c r="AL106" i="58"/>
  <c r="Q25" i="80"/>
  <c r="R25" i="80"/>
  <c r="DA13" i="33"/>
  <c r="DF139" i="33"/>
  <c r="DA155" i="33"/>
  <c r="BT43" i="48"/>
  <c r="AG47" i="57" s="1"/>
  <c r="BX44" i="48"/>
  <c r="P120" i="14"/>
  <c r="CA121" i="14"/>
  <c r="CA122" i="14" s="1"/>
  <c r="Q280" i="58"/>
  <c r="R281" i="58" s="1"/>
  <c r="U207" i="58"/>
  <c r="U213" i="58"/>
  <c r="AI205" i="58"/>
  <c r="AH205" i="58"/>
  <c r="AD104" i="58"/>
  <c r="AE104" i="58"/>
  <c r="AJ102" i="58"/>
  <c r="AI102" i="58"/>
  <c r="AA102" i="58"/>
  <c r="AB102" i="58"/>
  <c r="X102" i="58"/>
  <c r="W102" i="58"/>
  <c r="R212" i="58"/>
  <c r="Q212" i="58"/>
  <c r="V109" i="58"/>
  <c r="BR355" i="12"/>
  <c r="BQ355" i="12"/>
  <c r="CG385" i="12"/>
  <c r="CO84" i="48"/>
  <c r="CK84" i="48"/>
  <c r="CY155" i="33"/>
  <c r="CF142" i="33"/>
  <c r="CF158" i="33"/>
  <c r="CG139" i="33"/>
  <c r="CG13" i="33"/>
  <c r="CG143" i="33" s="1"/>
  <c r="BX60" i="80"/>
  <c r="BX59" i="80"/>
  <c r="CG50" i="80"/>
  <c r="CH51" i="80"/>
  <c r="BU50" i="80"/>
  <c r="BV51" i="80"/>
  <c r="BX46" i="80"/>
  <c r="BX45" i="80"/>
  <c r="BY46" i="80"/>
  <c r="CB43" i="80"/>
  <c r="CA42" i="80"/>
  <c r="CH39" i="80"/>
  <c r="CI40" i="80"/>
  <c r="CC36" i="80"/>
  <c r="CD37" i="80"/>
  <c r="BV37" i="80"/>
  <c r="BU36" i="80"/>
  <c r="CF31" i="80"/>
  <c r="CG32" i="80"/>
  <c r="BX31" i="80"/>
  <c r="BY32" i="80"/>
  <c r="CE26" i="80"/>
  <c r="CD25" i="80"/>
  <c r="BZ25" i="80"/>
  <c r="CA26" i="80"/>
  <c r="BY23" i="80"/>
  <c r="BX23" i="80"/>
  <c r="BX22" i="80"/>
  <c r="BS51" i="48"/>
  <c r="AF43" i="57" s="1"/>
  <c r="AE42" i="57"/>
  <c r="BR51" i="48"/>
  <c r="AE43" i="57" s="1"/>
  <c r="BO51" i="48"/>
  <c r="BN51" i="48"/>
  <c r="AH44" i="57"/>
  <c r="BU49" i="48"/>
  <c r="BV48" i="48"/>
  <c r="BR48" i="48"/>
  <c r="AE45" i="57" s="1"/>
  <c r="BQ49" i="48"/>
  <c r="AN18" i="48"/>
  <c r="AJ18" i="48"/>
  <c r="AB18" i="48"/>
  <c r="BS26" i="12"/>
  <c r="N32" i="57"/>
  <c r="BX121" i="14"/>
  <c r="BX122" i="14" s="1"/>
  <c r="T110" i="71"/>
  <c r="T112" i="71" s="1"/>
  <c r="AP110" i="58"/>
  <c r="U282" i="58"/>
  <c r="CD43" i="12"/>
  <c r="Q29" i="64"/>
  <c r="DF142" i="33"/>
  <c r="AO280" i="58"/>
  <c r="BT128" i="14"/>
  <c r="BT134" i="14"/>
  <c r="BT125" i="14"/>
  <c r="L34" i="77"/>
  <c r="DK141" i="33"/>
  <c r="CX157" i="33"/>
  <c r="CI10" i="80"/>
  <c r="DG13" i="33"/>
  <c r="DH155" i="33"/>
  <c r="DG155" i="33"/>
  <c r="BM43" i="48"/>
  <c r="BQ44" i="48"/>
  <c r="BV184" i="14"/>
  <c r="BV185" i="14" s="1"/>
  <c r="O9" i="15"/>
  <c r="O184" i="14" s="1"/>
  <c r="CL121" i="14"/>
  <c r="CL122" i="14" s="1"/>
  <c r="T142" i="33"/>
  <c r="AN357" i="58"/>
  <c r="AN104" i="58"/>
  <c r="AO279" i="58"/>
  <c r="AJ276" i="58"/>
  <c r="W272" i="58"/>
  <c r="Z205" i="58"/>
  <c r="CA43" i="80"/>
  <c r="BS43" i="80"/>
  <c r="BV40" i="80"/>
  <c r="BR40" i="80"/>
  <c r="CC37" i="80"/>
  <c r="BR26" i="80"/>
  <c r="CB22" i="80"/>
  <c r="BT23" i="80"/>
  <c r="BQ48" i="48"/>
  <c r="AD45" i="57" s="1"/>
  <c r="BM48" i="48"/>
  <c r="K7" i="59"/>
  <c r="X54" i="77"/>
  <c r="X48" i="77"/>
  <c r="AA47" i="77"/>
  <c r="AB49" i="77"/>
  <c r="AR279" i="58"/>
  <c r="DC15" i="33"/>
  <c r="S11" i="59"/>
  <c r="CH57" i="80"/>
  <c r="CE46" i="80"/>
  <c r="Z55" i="77"/>
  <c r="Z49" i="77"/>
  <c r="AO205" i="58"/>
  <c r="CR652" i="12"/>
  <c r="AL209" i="58"/>
  <c r="DI13" i="33"/>
  <c r="BY53" i="12"/>
  <c r="AA274" i="58"/>
  <c r="AJ272" i="58"/>
  <c r="X272" i="58"/>
  <c r="AD207" i="58"/>
  <c r="Z207" i="58"/>
  <c r="R207" i="58"/>
  <c r="W205" i="58"/>
  <c r="CG269" i="12"/>
  <c r="CC269" i="12"/>
  <c r="CB60" i="80"/>
  <c r="BV54" i="80"/>
  <c r="BU37" i="80"/>
  <c r="AO369" i="58"/>
  <c r="AF276" i="58"/>
  <c r="AM21" i="64"/>
  <c r="R110" i="71"/>
  <c r="R112" i="71" s="1"/>
  <c r="R109" i="71"/>
  <c r="Z272" i="58"/>
  <c r="AJ207" i="58"/>
  <c r="AA279" i="58"/>
  <c r="S36" i="80"/>
  <c r="U109" i="58"/>
  <c r="CZ158" i="33"/>
  <c r="CA23" i="80"/>
  <c r="BZ22" i="80"/>
  <c r="AN281" i="58"/>
  <c r="K14" i="59"/>
  <c r="BP11" i="80"/>
  <c r="AI209" i="58"/>
  <c r="Q54" i="77"/>
  <c r="S454" i="12"/>
  <c r="S455" i="12" s="1"/>
  <c r="S456" i="12" s="1"/>
  <c r="AA355" i="58"/>
  <c r="DK139" i="33"/>
  <c r="DL155" i="33"/>
  <c r="DK13" i="33"/>
  <c r="S234" i="71"/>
  <c r="R234" i="71"/>
  <c r="CB10" i="80"/>
  <c r="CC11" i="80"/>
  <c r="CF16" i="80"/>
  <c r="CB17" i="80"/>
  <c r="CC17" i="80"/>
  <c r="AQ110" i="58"/>
  <c r="AQ112" i="58" s="1"/>
  <c r="O243" i="71"/>
  <c r="O245" i="71" s="1"/>
  <c r="P238" i="71"/>
  <c r="DK155" i="33"/>
  <c r="R10" i="80"/>
  <c r="Q10" i="80"/>
  <c r="T39" i="80"/>
  <c r="CB16" i="80"/>
  <c r="CH220" i="14"/>
  <c r="CH134" i="14"/>
  <c r="CH128" i="14"/>
  <c r="CH125" i="14"/>
  <c r="AQ359" i="58"/>
  <c r="AQ371" i="58"/>
  <c r="Q243" i="71"/>
  <c r="Q245" i="71" s="1"/>
  <c r="S50" i="80"/>
  <c r="T50" i="80"/>
  <c r="S53" i="80"/>
  <c r="R53" i="80"/>
  <c r="BS8" i="80"/>
  <c r="BW7" i="80"/>
  <c r="AD362" i="58"/>
  <c r="S140" i="33"/>
  <c r="CE829" i="12"/>
  <c r="CB830" i="12"/>
  <c r="BW185" i="14"/>
  <c r="Q276" i="58"/>
  <c r="R276" i="58"/>
  <c r="CS108" i="14"/>
  <c r="CS134" i="14"/>
  <c r="CS79" i="14"/>
  <c r="CS128" i="14"/>
  <c r="CS220" i="14"/>
  <c r="CS125" i="14"/>
  <c r="AJ363" i="58"/>
  <c r="AJ359" i="58"/>
  <c r="CR819" i="12"/>
  <c r="CQ820" i="12"/>
  <c r="CR54" i="12"/>
  <c r="CQ54" i="12"/>
  <c r="CQ14" i="12"/>
  <c r="CQ39" i="12" s="1"/>
  <c r="Q13" i="33"/>
  <c r="R140" i="33"/>
  <c r="V369" i="58"/>
  <c r="W369" i="58"/>
  <c r="G35" i="77"/>
  <c r="BU52" i="12"/>
  <c r="BY44" i="12"/>
  <c r="BU44" i="12"/>
  <c r="AK359" i="58"/>
  <c r="O334" i="12"/>
  <c r="Z60" i="77"/>
  <c r="CD13" i="80"/>
  <c r="CD14" i="80"/>
  <c r="AD359" i="58"/>
  <c r="AC363" i="58"/>
  <c r="CD121" i="14"/>
  <c r="V110" i="58"/>
  <c r="AH357" i="58"/>
  <c r="AH363" i="58"/>
  <c r="AG363" i="58"/>
  <c r="AG361" i="58"/>
  <c r="CK11" i="33"/>
  <c r="AI112" i="58"/>
  <c r="BU14" i="48"/>
  <c r="CB11" i="80"/>
  <c r="Z362" i="58"/>
  <c r="R106" i="71"/>
  <c r="DK156" i="33"/>
  <c r="G18" i="77"/>
  <c r="BU107" i="14"/>
  <c r="BU109" i="14" s="1"/>
  <c r="U369" i="58"/>
  <c r="T369" i="58"/>
  <c r="U41" i="77"/>
  <c r="V41" i="77"/>
  <c r="W279" i="58"/>
  <c r="CK384" i="12"/>
  <c r="AF105" i="58"/>
  <c r="AF110" i="58" s="1"/>
  <c r="AF112" i="58" s="1"/>
  <c r="T105" i="58"/>
  <c r="BY385" i="12"/>
  <c r="CP384" i="12"/>
  <c r="AG105" i="58"/>
  <c r="CL385" i="12"/>
  <c r="CM385" i="12"/>
  <c r="AC105" i="58"/>
  <c r="AD106" i="58" s="1"/>
  <c r="CH385" i="12"/>
  <c r="Z105" i="58"/>
  <c r="CF385" i="12"/>
  <c r="CE385" i="12"/>
  <c r="CA385" i="12"/>
  <c r="CD384" i="12"/>
  <c r="U105" i="58"/>
  <c r="U110" i="58" s="1"/>
  <c r="U112" i="58" s="1"/>
  <c r="BX9" i="15"/>
  <c r="BX184" i="14" s="1"/>
  <c r="BX185" i="14" s="1"/>
  <c r="CT149" i="33"/>
  <c r="BX226" i="14"/>
  <c r="G45" i="66"/>
  <c r="CO149" i="33"/>
  <c r="CH142" i="33"/>
  <c r="CH158" i="33"/>
  <c r="CF54" i="80"/>
  <c r="CF53" i="80"/>
  <c r="CI50" i="80"/>
  <c r="CI51" i="80"/>
  <c r="CA51" i="80"/>
  <c r="CA50" i="80"/>
  <c r="CH31" i="80"/>
  <c r="CH32" i="80"/>
  <c r="CC28" i="80"/>
  <c r="CD29" i="80"/>
  <c r="BY29" i="80"/>
  <c r="BY28" i="80"/>
  <c r="BU29" i="80"/>
  <c r="BU28" i="80"/>
  <c r="BV29" i="80"/>
  <c r="CE23" i="80"/>
  <c r="CE22" i="80"/>
  <c r="AH18" i="48"/>
  <c r="CP652" i="12"/>
  <c r="CP647" i="12"/>
  <c r="Y694" i="12"/>
  <c r="Y389" i="12"/>
  <c r="U389" i="12"/>
  <c r="U524" i="12"/>
  <c r="AM109" i="58"/>
  <c r="CW384" i="12"/>
  <c r="CS385" i="12"/>
  <c r="AN105" i="58"/>
  <c r="AN106" i="58" s="1"/>
  <c r="CT385" i="12"/>
  <c r="AA39" i="77"/>
  <c r="U15" i="64"/>
  <c r="AB488" i="58"/>
  <c r="CR139" i="33"/>
  <c r="AO272" i="58"/>
  <c r="AF30" i="64"/>
  <c r="AF25" i="64"/>
  <c r="AE30" i="64"/>
  <c r="CL819" i="12"/>
  <c r="CK820" i="12"/>
  <c r="CK14" i="12"/>
  <c r="CK41" i="12" s="1"/>
  <c r="CK54" i="12"/>
  <c r="CK822" i="12"/>
  <c r="X489" i="58"/>
  <c r="X488" i="58" s="1"/>
  <c r="AK361" i="58"/>
  <c r="AK362" i="58" s="1"/>
  <c r="AG489" i="58"/>
  <c r="AP363" i="58"/>
  <c r="AO276" i="58"/>
  <c r="CD43" i="48"/>
  <c r="CD44" i="48"/>
  <c r="AF280" i="58"/>
  <c r="W280" i="58"/>
  <c r="Z209" i="58"/>
  <c r="R213" i="58"/>
  <c r="AL489" i="58"/>
  <c r="CY140" i="33"/>
  <c r="S15" i="64"/>
  <c r="X371" i="58"/>
  <c r="CY141" i="33"/>
  <c r="BX16" i="80"/>
  <c r="BS44" i="48"/>
  <c r="Q8" i="59"/>
  <c r="AK272" i="58"/>
  <c r="BV7" i="80"/>
  <c r="DF157" i="33"/>
  <c r="E5" i="78"/>
  <c r="X279" i="58"/>
  <c r="AG280" i="58"/>
  <c r="AG282" i="58" s="1"/>
  <c r="T274" i="58"/>
  <c r="Z213" i="58"/>
  <c r="V213" i="58"/>
  <c r="V214" i="58" s="1"/>
  <c r="AE207" i="58"/>
  <c r="AA207" i="58"/>
  <c r="S207" i="58"/>
  <c r="AF205" i="58"/>
  <c r="X205" i="58"/>
  <c r="P110" i="58"/>
  <c r="P112" i="58" s="1"/>
  <c r="AH102" i="58"/>
  <c r="AD102" i="58"/>
  <c r="V102" i="58"/>
  <c r="H49" i="77"/>
  <c r="CI16" i="80"/>
  <c r="BD43" i="48"/>
  <c r="CN84" i="48"/>
  <c r="CJ84" i="48"/>
  <c r="Q39" i="80"/>
  <c r="CE384" i="12"/>
  <c r="CP165" i="33"/>
  <c r="BR54" i="80"/>
  <c r="N7" i="59"/>
  <c r="F7" i="59"/>
  <c r="CQ818" i="12"/>
  <c r="AR212" i="58"/>
  <c r="AN109" i="58"/>
  <c r="AM276" i="58"/>
  <c r="X209" i="58"/>
  <c r="AE209" i="58"/>
  <c r="DI142" i="33"/>
  <c r="DA139" i="33"/>
  <c r="CP84" i="48"/>
  <c r="AM19" i="64"/>
  <c r="CR820" i="12"/>
  <c r="CW155" i="33"/>
  <c r="Y369" i="58"/>
  <c r="F5" i="59"/>
  <c r="N61" i="77"/>
  <c r="DF13" i="33"/>
  <c r="DF15" i="33" s="1"/>
  <c r="AG371" i="58"/>
  <c r="Q22" i="80"/>
  <c r="CD17" i="80"/>
  <c r="AB110" i="58"/>
  <c r="AH279" i="58"/>
  <c r="AE109" i="58"/>
  <c r="CJ456" i="12"/>
  <c r="Q454" i="12"/>
  <c r="Q455" i="12" s="1"/>
  <c r="Q456" i="12" s="1"/>
  <c r="CH17" i="33"/>
  <c r="CH109" i="33"/>
  <c r="AN27" i="64"/>
  <c r="AO21" i="64"/>
  <c r="AN21" i="64"/>
  <c r="BA108" i="14"/>
  <c r="BA134" i="14"/>
  <c r="BA128" i="14"/>
  <c r="BS27" i="12"/>
  <c r="N25" i="12"/>
  <c r="N26" i="12" s="1"/>
  <c r="F29" i="53" s="1"/>
  <c r="U8" i="12"/>
  <c r="AD112" i="58"/>
  <c r="P45" i="33"/>
  <c r="H45" i="65" s="1"/>
  <c r="AL29" i="64"/>
  <c r="AL21" i="64"/>
  <c r="AE29" i="64"/>
  <c r="AF29" i="64"/>
  <c r="AE27" i="64"/>
  <c r="Q282" i="58"/>
  <c r="Q281" i="58"/>
  <c r="AB215" i="58"/>
  <c r="AB216" i="58" s="1"/>
  <c r="AB214" i="58"/>
  <c r="T172" i="71"/>
  <c r="CV827" i="12"/>
  <c r="CT38" i="12"/>
  <c r="CT25" i="12"/>
  <c r="CT26" i="12" s="1"/>
  <c r="CT37" i="12"/>
  <c r="CT49" i="12"/>
  <c r="CT30" i="12"/>
  <c r="CT36" i="12"/>
  <c r="CT34" i="12"/>
  <c r="CT106" i="14"/>
  <c r="BJ27" i="12"/>
  <c r="BN26" i="12"/>
  <c r="BK27" i="12"/>
  <c r="CP160" i="33"/>
  <c r="CS14" i="33"/>
  <c r="CQ160" i="33"/>
  <c r="U22" i="80"/>
  <c r="T22" i="80"/>
  <c r="AD213" i="58"/>
  <c r="AD215" i="58" s="1"/>
  <c r="W42" i="77"/>
  <c r="X51" i="77"/>
  <c r="AP369" i="58"/>
  <c r="S9" i="59"/>
  <c r="AL30" i="64"/>
  <c r="AN213" i="58"/>
  <c r="AN215" i="58" s="1"/>
  <c r="Q236" i="71"/>
  <c r="DD13" i="33"/>
  <c r="AL357" i="58"/>
  <c r="V209" i="58"/>
  <c r="DI160" i="33"/>
  <c r="P168" i="71"/>
  <c r="CP820" i="12"/>
  <c r="CO14" i="12"/>
  <c r="R369" i="58"/>
  <c r="AI354" i="58"/>
  <c r="BT822" i="12"/>
  <c r="CI121" i="14"/>
  <c r="U39" i="80"/>
  <c r="DJ157" i="33"/>
  <c r="CP819" i="12"/>
  <c r="BM79" i="14"/>
  <c r="AM102" i="58"/>
  <c r="BU355" i="12"/>
  <c r="AF209" i="58"/>
  <c r="S22" i="80"/>
  <c r="DH156" i="33"/>
  <c r="G45" i="77"/>
  <c r="CB51" i="48"/>
  <c r="CA48" i="48"/>
  <c r="BW48" i="48"/>
  <c r="AN282" i="58"/>
  <c r="AO213" i="58"/>
  <c r="AL213" i="58"/>
  <c r="AL215" i="58" s="1"/>
  <c r="DI158" i="33"/>
  <c r="CO820" i="12"/>
  <c r="CY13" i="33"/>
  <c r="AE280" i="58"/>
  <c r="AM369" i="58"/>
  <c r="AL488" i="58"/>
  <c r="BQ108" i="14"/>
  <c r="DD140" i="33"/>
  <c r="DF158" i="33"/>
  <c r="CQ822" i="12"/>
  <c r="BY9" i="15"/>
  <c r="BY184" i="14" s="1"/>
  <c r="DB160" i="33"/>
  <c r="R59" i="80"/>
  <c r="CM121" i="14"/>
  <c r="CM122" i="14" s="1"/>
  <c r="Q28" i="80"/>
  <c r="DE141" i="33"/>
  <c r="CO385" i="12"/>
  <c r="AE359" i="58"/>
  <c r="BJ8" i="80"/>
  <c r="DJ141" i="33"/>
  <c r="S209" i="58"/>
  <c r="CP54" i="12"/>
  <c r="CO822" i="12"/>
  <c r="AA359" i="58"/>
  <c r="BQ128" i="14"/>
  <c r="BE43" i="48"/>
  <c r="CO384" i="12"/>
  <c r="AO25" i="64"/>
  <c r="CM384" i="12"/>
  <c r="CW52" i="12"/>
  <c r="CW53" i="12"/>
  <c r="U224" i="12"/>
  <c r="U225" i="12" s="1"/>
  <c r="U226" i="12" s="1"/>
  <c r="P170" i="71"/>
  <c r="Q170" i="71"/>
  <c r="G10" i="78"/>
  <c r="G13" i="78"/>
  <c r="G15" i="78" s="1"/>
  <c r="G16" i="78" s="1"/>
  <c r="G9" i="78"/>
  <c r="X207" i="58"/>
  <c r="W207" i="58"/>
  <c r="AK205" i="58"/>
  <c r="AJ205" i="58"/>
  <c r="BZ17" i="80"/>
  <c r="CD16" i="80"/>
  <c r="CA17" i="80"/>
  <c r="BU8" i="80"/>
  <c r="AB109" i="58"/>
  <c r="AJ106" i="58"/>
  <c r="CR89" i="33"/>
  <c r="J45" i="66"/>
  <c r="CR238" i="33"/>
  <c r="CR239" i="33" s="1"/>
  <c r="M18" i="77"/>
  <c r="BY107" i="14"/>
  <c r="BY109" i="14" s="1"/>
  <c r="K18" i="77"/>
  <c r="CM89" i="33"/>
  <c r="F45" i="66"/>
  <c r="CK149" i="33"/>
  <c r="CK89" i="33"/>
  <c r="CA10" i="15"/>
  <c r="P10" i="15" s="1"/>
  <c r="CS26" i="33"/>
  <c r="P26" i="33" s="1"/>
  <c r="CF139" i="33"/>
  <c r="CF13" i="33"/>
  <c r="CG155" i="33"/>
  <c r="BW59" i="80"/>
  <c r="BW60" i="80"/>
  <c r="CH56" i="80"/>
  <c r="CI57" i="80"/>
  <c r="BU51" i="80"/>
  <c r="BT51" i="80"/>
  <c r="CB46" i="80"/>
  <c r="CA45" i="80"/>
  <c r="CH42" i="80"/>
  <c r="CI43" i="80"/>
  <c r="CE43" i="80"/>
  <c r="CD42" i="80"/>
  <c r="CD40" i="80"/>
  <c r="CC39" i="80"/>
  <c r="CC40" i="80"/>
  <c r="BZ40" i="80"/>
  <c r="BY39" i="80"/>
  <c r="CG37" i="80"/>
  <c r="CF36" i="80"/>
  <c r="BX36" i="80"/>
  <c r="BY37" i="80"/>
  <c r="CE31" i="80"/>
  <c r="CE32" i="80"/>
  <c r="BT32" i="80"/>
  <c r="BS32" i="80"/>
  <c r="CH28" i="80"/>
  <c r="CH29" i="80"/>
  <c r="CI29" i="80"/>
  <c r="BT49" i="48"/>
  <c r="BU48" i="48"/>
  <c r="AH45" i="57" s="1"/>
  <c r="AG44" i="57"/>
  <c r="CN647" i="12"/>
  <c r="T647" i="12" s="1"/>
  <c r="U648" i="12" s="1"/>
  <c r="T650" i="12"/>
  <c r="U651" i="12" s="1"/>
  <c r="Z57" i="12"/>
  <c r="Z389" i="12"/>
  <c r="R57" i="12"/>
  <c r="R389" i="12"/>
  <c r="R524" i="12"/>
  <c r="AM213" i="58"/>
  <c r="Y45" i="77"/>
  <c r="BB18" i="48"/>
  <c r="DD141" i="33"/>
  <c r="BY7" i="80"/>
  <c r="AO212" i="58"/>
  <c r="AE46" i="57"/>
  <c r="BS43" i="48"/>
  <c r="AF47" i="57" s="1"/>
  <c r="CL14" i="12"/>
  <c r="BR125" i="14"/>
  <c r="BR134" i="14"/>
  <c r="BR108" i="14"/>
  <c r="R45" i="80"/>
  <c r="S45" i="80"/>
  <c r="AV125" i="14"/>
  <c r="AV128" i="14"/>
  <c r="AV134" i="14"/>
  <c r="J8" i="59"/>
  <c r="J9" i="59" s="1"/>
  <c r="J5" i="59"/>
  <c r="CB7" i="80"/>
  <c r="BX8" i="80"/>
  <c r="AN19" i="64"/>
  <c r="AA361" i="58"/>
  <c r="AA362" i="58" s="1"/>
  <c r="U36" i="80"/>
  <c r="X359" i="58"/>
  <c r="AM207" i="58"/>
  <c r="CE17" i="80"/>
  <c r="DE13" i="33"/>
  <c r="AG272" i="58"/>
  <c r="AB205" i="58"/>
  <c r="O55" i="77"/>
  <c r="S54" i="77"/>
  <c r="O54" i="77"/>
  <c r="K54" i="77"/>
  <c r="G54" i="77"/>
  <c r="S49" i="77"/>
  <c r="Q48" i="77"/>
  <c r="P45" i="77"/>
  <c r="L45" i="77"/>
  <c r="N43" i="77"/>
  <c r="J43" i="77"/>
  <c r="L42" i="77"/>
  <c r="R41" i="77"/>
  <c r="CA46" i="80"/>
  <c r="BW46" i="80"/>
  <c r="BU40" i="80"/>
  <c r="BU26" i="80"/>
  <c r="CA22" i="80"/>
  <c r="BM51" i="48"/>
  <c r="J16" i="59"/>
  <c r="N11" i="59"/>
  <c r="N13" i="59" s="1"/>
  <c r="M11" i="59"/>
  <c r="M13" i="59" s="1"/>
  <c r="V55" i="77"/>
  <c r="Y39" i="77"/>
  <c r="Z39" i="77"/>
  <c r="AB39" i="77"/>
  <c r="U25" i="80"/>
  <c r="AL279" i="58"/>
  <c r="CF10" i="80"/>
  <c r="S104" i="71"/>
  <c r="Q304" i="71"/>
  <c r="N59" i="77"/>
  <c r="BV16" i="80"/>
  <c r="AQ272" i="58"/>
  <c r="T15" i="64"/>
  <c r="CP121" i="14"/>
  <c r="CP122" i="14" s="1"/>
  <c r="P7" i="80"/>
  <c r="DI141" i="33"/>
  <c r="AB371" i="58"/>
  <c r="CY157" i="33"/>
  <c r="S280" i="58"/>
  <c r="Q109" i="71"/>
  <c r="DB155" i="33"/>
  <c r="DG157" i="33"/>
  <c r="AC274" i="58"/>
  <c r="U274" i="58"/>
  <c r="AD272" i="58"/>
  <c r="AI213" i="58"/>
  <c r="AE213" i="58"/>
  <c r="AK213" i="58"/>
  <c r="T207" i="58"/>
  <c r="Q205" i="58"/>
  <c r="S109" i="58"/>
  <c r="AH110" i="58"/>
  <c r="AI111" i="58" s="1"/>
  <c r="V45" i="77"/>
  <c r="BV17" i="80"/>
  <c r="Q371" i="58"/>
  <c r="AC212" i="58"/>
  <c r="U212" i="58"/>
  <c r="AH109" i="58"/>
  <c r="CY158" i="33"/>
  <c r="CQ149" i="33"/>
  <c r="E45" i="66"/>
  <c r="AB55" i="77"/>
  <c r="CA43" i="48"/>
  <c r="BZ43" i="48"/>
  <c r="BZ44" i="48"/>
  <c r="CO239" i="33"/>
  <c r="CN106" i="14"/>
  <c r="CN125" i="14" s="1"/>
  <c r="CN38" i="12"/>
  <c r="CN30" i="12"/>
  <c r="CX158" i="33"/>
  <c r="CW13" i="33"/>
  <c r="CM14" i="12"/>
  <c r="CN819" i="12"/>
  <c r="CQ46" i="12"/>
  <c r="CN54" i="12"/>
  <c r="CM822" i="12"/>
  <c r="CN823" i="12" s="1"/>
  <c r="CN820" i="12"/>
  <c r="CN818" i="12" s="1"/>
  <c r="CJ139" i="33"/>
  <c r="CF155" i="33"/>
  <c r="CI9" i="33"/>
  <c r="CE139" i="33"/>
  <c r="CE13" i="33"/>
  <c r="CD59" i="80"/>
  <c r="CD60" i="80"/>
  <c r="BZ60" i="80"/>
  <c r="BZ59" i="80"/>
  <c r="CD57" i="80"/>
  <c r="CC57" i="80"/>
  <c r="BY56" i="80"/>
  <c r="BZ57" i="80"/>
  <c r="BU57" i="80"/>
  <c r="BU56" i="80"/>
  <c r="CB54" i="80"/>
  <c r="CB53" i="80"/>
  <c r="BX54" i="80"/>
  <c r="BY54" i="80"/>
  <c r="BT54" i="80"/>
  <c r="BU54" i="80"/>
  <c r="CE50" i="80"/>
  <c r="CF51" i="80"/>
  <c r="CE51" i="80"/>
  <c r="CH46" i="80"/>
  <c r="CI46" i="80"/>
  <c r="CH45" i="80"/>
  <c r="CD45" i="80"/>
  <c r="CD46" i="80"/>
  <c r="CH43" i="80"/>
  <c r="CG42" i="80"/>
  <c r="CC42" i="80"/>
  <c r="CD43" i="80"/>
  <c r="BV43" i="80"/>
  <c r="BU43" i="80"/>
  <c r="BY40" i="80"/>
  <c r="BX39" i="80"/>
  <c r="CD32" i="80"/>
  <c r="CD31" i="80"/>
  <c r="BZ32" i="80"/>
  <c r="CA32" i="80"/>
  <c r="BZ31" i="80"/>
  <c r="CG28" i="80"/>
  <c r="CG29" i="80"/>
  <c r="CF26" i="80"/>
  <c r="CG26" i="80"/>
  <c r="BV22" i="80"/>
  <c r="BW23" i="80"/>
  <c r="BR23" i="80"/>
  <c r="BS23" i="80"/>
  <c r="ET411" i="48"/>
  <c r="BT51" i="48"/>
  <c r="AG43" i="57" s="1"/>
  <c r="BU51" i="48"/>
  <c r="AH43" i="57" s="1"/>
  <c r="AG42" i="57"/>
  <c r="BT48" i="48"/>
  <c r="AG45" i="57" s="1"/>
  <c r="BS49" i="48"/>
  <c r="Q11" i="59"/>
  <c r="Q13" i="59" s="1"/>
  <c r="Q14" i="59" s="1"/>
  <c r="R7" i="59"/>
  <c r="Q7" i="59"/>
  <c r="I7" i="59"/>
  <c r="I16" i="59"/>
  <c r="I11" i="59"/>
  <c r="I13" i="59" s="1"/>
  <c r="J14" i="59" s="1"/>
  <c r="E16" i="59"/>
  <c r="E8" i="59"/>
  <c r="E9" i="59" s="1"/>
  <c r="E11" i="59"/>
  <c r="E13" i="59" s="1"/>
  <c r="AQ280" i="58"/>
  <c r="AQ282" i="58" s="1"/>
  <c r="DI156" i="33"/>
  <c r="DI140" i="33"/>
  <c r="CJ155" i="33"/>
  <c r="CH139" i="33"/>
  <c r="BM134" i="14"/>
  <c r="BM125" i="14"/>
  <c r="BM128" i="14"/>
  <c r="BM81" i="14"/>
  <c r="AH209" i="58"/>
  <c r="CG17" i="80"/>
  <c r="CF17" i="80"/>
  <c r="AK363" i="58"/>
  <c r="BP134" i="14"/>
  <c r="BP128" i="14"/>
  <c r="BP125" i="14"/>
  <c r="H11" i="78"/>
  <c r="H10" i="78"/>
  <c r="AG274" i="58"/>
  <c r="AH280" i="58"/>
  <c r="Z280" i="58"/>
  <c r="Y280" i="58"/>
  <c r="Z274" i="58"/>
  <c r="Y274" i="58"/>
  <c r="AH272" i="58"/>
  <c r="AI272" i="58"/>
  <c r="S213" i="58"/>
  <c r="AG207" i="58"/>
  <c r="AG213" i="58"/>
  <c r="AF207" i="58"/>
  <c r="AB207" i="58"/>
  <c r="AC207" i="58"/>
  <c r="V205" i="58"/>
  <c r="U205" i="58"/>
  <c r="AI104" i="58"/>
  <c r="AH104" i="58"/>
  <c r="W60" i="77"/>
  <c r="R50" i="80"/>
  <c r="CM84" i="48"/>
  <c r="CZ142" i="33"/>
  <c r="EA213" i="48"/>
  <c r="CJ13" i="33"/>
  <c r="CH140" i="33"/>
  <c r="CJ156" i="33"/>
  <c r="CI10" i="33"/>
  <c r="U56" i="80"/>
  <c r="U45" i="80"/>
  <c r="Y524" i="12"/>
  <c r="BZ14" i="80"/>
  <c r="AD363" i="58"/>
  <c r="AD365" i="58" s="1"/>
  <c r="T53" i="80"/>
  <c r="O59" i="77"/>
  <c r="V49" i="77"/>
  <c r="AB61" i="77"/>
  <c r="U694" i="12"/>
  <c r="Y57" i="12"/>
  <c r="AO104" i="58"/>
  <c r="W58" i="77"/>
  <c r="BY16" i="80"/>
  <c r="M8" i="59"/>
  <c r="AL274" i="58"/>
  <c r="CO652" i="12"/>
  <c r="L55" i="77"/>
  <c r="H55" i="77"/>
  <c r="P49" i="77"/>
  <c r="N48" i="77"/>
  <c r="F14" i="77"/>
  <c r="F11" i="77" s="1"/>
  <c r="F21" i="77" s="1"/>
  <c r="F22" i="77" s="1"/>
  <c r="AP109" i="58"/>
  <c r="AM209" i="58"/>
  <c r="AK369" i="58"/>
  <c r="Q36" i="80"/>
  <c r="AD357" i="58"/>
  <c r="BR8" i="80"/>
  <c r="Y58" i="77"/>
  <c r="AB59" i="77"/>
  <c r="W47" i="77"/>
  <c r="W41" i="77"/>
  <c r="X43" i="77"/>
  <c r="CT226" i="12"/>
  <c r="BJ42" i="48"/>
  <c r="BK43" i="48" s="1"/>
  <c r="BS120" i="14"/>
  <c r="BT700" i="12"/>
  <c r="BT701" i="12" s="1"/>
  <c r="BO6" i="80"/>
  <c r="BL6" i="80"/>
  <c r="BG42" i="48"/>
  <c r="BQ700" i="12"/>
  <c r="BQ701" i="12" s="1"/>
  <c r="BP120" i="14"/>
  <c r="BQ121" i="14" s="1"/>
  <c r="BQ122" i="14" s="1"/>
  <c r="R306" i="71"/>
  <c r="AG15" i="64"/>
  <c r="AG29" i="64" s="1"/>
  <c r="Q242" i="71"/>
  <c r="CC29" i="80"/>
  <c r="L49" i="77"/>
  <c r="K58" i="77"/>
  <c r="U43" i="77"/>
  <c r="Q43" i="77"/>
  <c r="J41" i="77"/>
  <c r="N39" i="77"/>
  <c r="J39" i="77"/>
  <c r="J60" i="77"/>
  <c r="V53" i="77"/>
  <c r="AB60" i="77"/>
  <c r="W55" i="77"/>
  <c r="W49" i="77"/>
  <c r="Y41" i="77"/>
  <c r="Z54" i="77"/>
  <c r="Z48" i="77"/>
  <c r="Z42" i="77"/>
  <c r="P14" i="77"/>
  <c r="AA14" i="77"/>
  <c r="AE15" i="77" s="1"/>
  <c r="Y53" i="77"/>
  <c r="AA42" i="77"/>
  <c r="BM257" i="77"/>
  <c r="BW63" i="77" s="1"/>
  <c r="R54" i="77"/>
  <c r="AC60" i="77"/>
  <c r="Z41" i="77"/>
  <c r="U59" i="77"/>
  <c r="S43" i="77"/>
  <c r="P48" i="77"/>
  <c r="K45" i="77"/>
  <c r="Q59" i="77"/>
  <c r="W14" i="77"/>
  <c r="W11" i="77" s="1"/>
  <c r="W21" i="77" s="1"/>
  <c r="X14" i="77"/>
  <c r="R49" i="77"/>
  <c r="H45" i="77"/>
  <c r="AA48" i="77"/>
  <c r="I60" i="77"/>
  <c r="U48" i="77"/>
  <c r="H53" i="77"/>
  <c r="J58" i="77"/>
  <c r="N47" i="77"/>
  <c r="S55" i="77"/>
  <c r="M60" i="77"/>
  <c r="AA54" i="77"/>
  <c r="Z53" i="77"/>
  <c r="X55" i="77"/>
  <c r="X47" i="77"/>
  <c r="V43" i="77"/>
  <c r="O61" i="77"/>
  <c r="J59" i="77"/>
  <c r="Y14" i="77"/>
  <c r="Y11" i="77" s="1"/>
  <c r="U60" i="77"/>
  <c r="BV39" i="77"/>
  <c r="K61" i="77"/>
  <c r="T53" i="77"/>
  <c r="P53" i="77"/>
  <c r="M51" i="77"/>
  <c r="I51" i="77"/>
  <c r="T42" i="77"/>
  <c r="P42" i="77"/>
  <c r="T45" i="77"/>
  <c r="V47" i="77"/>
  <c r="AA59" i="77"/>
  <c r="S14" i="77"/>
  <c r="K60" i="77"/>
  <c r="O45" i="77"/>
  <c r="M43" i="77"/>
  <c r="S42" i="77"/>
  <c r="Z14" i="77"/>
  <c r="Z11" i="77" s="1"/>
  <c r="AA58" i="77"/>
  <c r="AA55" i="77"/>
  <c r="W43" i="77"/>
  <c r="K59" i="77"/>
  <c r="AB48" i="77"/>
  <c r="AC41" i="77"/>
  <c r="S58" i="77"/>
  <c r="T14" i="77"/>
  <c r="T11" i="77" s="1"/>
  <c r="T19" i="77" s="1"/>
  <c r="I48" i="77"/>
  <c r="M58" i="77"/>
  <c r="J54" i="77"/>
  <c r="O53" i="77"/>
  <c r="M39" i="77"/>
  <c r="T59" i="77"/>
  <c r="J48" i="77"/>
  <c r="T58" i="77"/>
  <c r="BW65" i="77"/>
  <c r="Q42" i="77"/>
  <c r="V58" i="77"/>
  <c r="V59" i="77"/>
  <c r="N51" i="77"/>
  <c r="R48" i="77"/>
  <c r="Q61" i="77"/>
  <c r="S60" i="77"/>
  <c r="AB53" i="77"/>
  <c r="H58" i="77"/>
  <c r="V39" i="77"/>
  <c r="T47" i="77"/>
  <c r="P47" i="77"/>
  <c r="L47" i="77"/>
  <c r="R45" i="77"/>
  <c r="Z47" i="77"/>
  <c r="AC54" i="77"/>
  <c r="X353" i="90"/>
  <c r="Y99" i="90"/>
  <c r="Y101" i="90" s="1"/>
  <c r="Y353" i="90" s="1"/>
  <c r="BZ193" i="90"/>
  <c r="BZ195" i="90" s="1"/>
  <c r="BZ340" i="90" s="1"/>
  <c r="CH332" i="90"/>
  <c r="CI153" i="90"/>
  <c r="CI155" i="90" s="1"/>
  <c r="CI332" i="90" s="1"/>
  <c r="BZ173" i="90"/>
  <c r="BZ175" i="90" s="1"/>
  <c r="BZ336" i="90" s="1"/>
  <c r="F30" i="77"/>
  <c r="BX208" i="90"/>
  <c r="BX210" i="90" s="1"/>
  <c r="BY208" i="90" s="1"/>
  <c r="BY210" i="90" s="1"/>
  <c r="O210" i="90"/>
  <c r="BY150" i="90"/>
  <c r="BZ344" i="90"/>
  <c r="CA213" i="90"/>
  <c r="CA215" i="90" s="1"/>
  <c r="CA344" i="90" s="1"/>
  <c r="BX158" i="90"/>
  <c r="BX160" i="90" s="1"/>
  <c r="BY158" i="90" s="1"/>
  <c r="BY160" i="90" s="1"/>
  <c r="O160" i="90"/>
  <c r="CA341" i="90"/>
  <c r="CB198" i="90"/>
  <c r="CB200" i="90" s="1"/>
  <c r="CB341" i="90" s="1"/>
  <c r="P200" i="90"/>
  <c r="CI133" i="90"/>
  <c r="CI135" i="90" s="1"/>
  <c r="CI328" i="90" s="1"/>
  <c r="CH328" i="90"/>
  <c r="P205" i="90"/>
  <c r="CA342" i="90"/>
  <c r="CB203" i="90"/>
  <c r="CB205" i="90" s="1"/>
  <c r="CB342" i="90" s="1"/>
  <c r="CJ143" i="90"/>
  <c r="CJ145" i="90" s="1"/>
  <c r="CJ330" i="90" s="1"/>
  <c r="CI330" i="90"/>
  <c r="R145" i="90"/>
  <c r="CV134" i="90"/>
  <c r="CW134" i="90" s="1"/>
  <c r="CX134" i="90" s="1"/>
  <c r="CY134" i="90" s="1"/>
  <c r="CZ134" i="90" s="1"/>
  <c r="DA134" i="90" s="1"/>
  <c r="DB134" i="90" s="1"/>
  <c r="DC134" i="90" s="1"/>
  <c r="U134" i="90"/>
  <c r="CX105" i="90"/>
  <c r="CX107" i="90" s="1"/>
  <c r="CY106" i="90" s="1"/>
  <c r="V106" i="90" s="1"/>
  <c r="V107" i="90" s="1"/>
  <c r="W105" i="90" s="1"/>
  <c r="W107" i="90" s="1"/>
  <c r="X105" i="90" s="1"/>
  <c r="X107" i="90" s="1"/>
  <c r="CU226" i="33"/>
  <c r="CU85" i="33" s="1"/>
  <c r="CV619" i="12"/>
  <c r="V617" i="12"/>
  <c r="V618" i="12" s="1"/>
  <c r="V619" i="12" s="1"/>
  <c r="CG211" i="33"/>
  <c r="CF223" i="33"/>
  <c r="CF25" i="90"/>
  <c r="CG25" i="90" s="1"/>
  <c r="CH25" i="90" s="1"/>
  <c r="CI25" i="90" s="1"/>
  <c r="Q25" i="90"/>
  <c r="CV299" i="12"/>
  <c r="CV301" i="12"/>
  <c r="AR368" i="58"/>
  <c r="AR369" i="58" s="1"/>
  <c r="CW120" i="14"/>
  <c r="CX121" i="14" s="1"/>
  <c r="CX122" i="14" s="1"/>
  <c r="BH26" i="12"/>
  <c r="BI27" i="12"/>
  <c r="BL26" i="12"/>
  <c r="BH27" i="12"/>
  <c r="BK29" i="70"/>
  <c r="BK28" i="70"/>
  <c r="BG75" i="15"/>
  <c r="K38" i="15"/>
  <c r="BG84" i="15"/>
  <c r="CC843" i="12"/>
  <c r="U28" i="80"/>
  <c r="T28" i="80"/>
  <c r="Q26" i="53"/>
  <c r="P100" i="53"/>
  <c r="K26" i="12"/>
  <c r="C29" i="53" s="1"/>
  <c r="K39" i="12"/>
  <c r="K41" i="12"/>
  <c r="L41" i="12"/>
  <c r="K35" i="12"/>
  <c r="K37" i="12"/>
  <c r="K36" i="12"/>
  <c r="R55" i="52"/>
  <c r="S41" i="52"/>
  <c r="T42" i="52"/>
  <c r="U42" i="52" s="1"/>
  <c r="V42" i="52" s="1"/>
  <c r="W42" i="52" s="1"/>
  <c r="X42" i="52" s="1"/>
  <c r="Y42" i="52" s="1"/>
  <c r="S58" i="52"/>
  <c r="S61" i="52"/>
  <c r="S57" i="52"/>
  <c r="I29" i="15"/>
  <c r="O516" i="12"/>
  <c r="N237" i="71"/>
  <c r="N243" i="71" s="1"/>
  <c r="N245" i="71" s="1"/>
  <c r="P516" i="12"/>
  <c r="T306" i="71"/>
  <c r="T310" i="71"/>
  <c r="G66" i="52"/>
  <c r="G67" i="52"/>
  <c r="BO65" i="90"/>
  <c r="M63" i="90"/>
  <c r="AO363" i="58"/>
  <c r="U230" i="90"/>
  <c r="V228" i="90" s="1"/>
  <c r="CV228" i="90"/>
  <c r="CV230" i="90" s="1"/>
  <c r="CW228" i="90" s="1"/>
  <c r="CW230" i="90" s="1"/>
  <c r="CX228" i="90" s="1"/>
  <c r="CX230" i="90" s="1"/>
  <c r="CY228" i="90" s="1"/>
  <c r="CY230" i="90" s="1"/>
  <c r="O321" i="12"/>
  <c r="CK62" i="33"/>
  <c r="CF836" i="12"/>
  <c r="CF504" i="12"/>
  <c r="P236" i="90"/>
  <c r="CB234" i="90"/>
  <c r="CB236" i="90" s="1"/>
  <c r="CC234" i="90" s="1"/>
  <c r="CC236" i="90" s="1"/>
  <c r="CD234" i="90" s="1"/>
  <c r="CD236" i="90" s="1"/>
  <c r="CE234" i="90" s="1"/>
  <c r="CE236" i="90" s="1"/>
  <c r="CG337" i="90"/>
  <c r="CH178" i="90"/>
  <c r="CH180" i="90" s="1"/>
  <c r="Q60" i="52"/>
  <c r="R60" i="52" s="1"/>
  <c r="P92" i="52"/>
  <c r="B113" i="52"/>
  <c r="A113" i="52"/>
  <c r="U384" i="12"/>
  <c r="S105" i="71"/>
  <c r="S106" i="71" s="1"/>
  <c r="T384" i="12"/>
  <c r="Q665" i="12"/>
  <c r="Q667" i="12"/>
  <c r="Q16" i="48" s="1"/>
  <c r="BB75" i="15"/>
  <c r="BC38" i="15"/>
  <c r="BB84" i="15"/>
  <c r="BB43" i="15"/>
  <c r="L42" i="15"/>
  <c r="L87" i="15" s="1"/>
  <c r="BK87" i="15"/>
  <c r="BY836" i="12"/>
  <c r="BY504" i="12"/>
  <c r="BM10" i="48"/>
  <c r="BM35" i="48"/>
  <c r="O33" i="57"/>
  <c r="EC257" i="48"/>
  <c r="EF257" i="48"/>
  <c r="D62" i="65"/>
  <c r="D60" i="65" s="1"/>
  <c r="D64" i="65"/>
  <c r="K46" i="14"/>
  <c r="K59" i="14" s="1"/>
  <c r="K73" i="14" s="1"/>
  <c r="K78" i="14"/>
  <c r="BS218" i="14"/>
  <c r="BS219" i="14" s="1"/>
  <c r="BT218" i="14"/>
  <c r="BT217" i="14"/>
  <c r="N213" i="14"/>
  <c r="AM24" i="15"/>
  <c r="F24" i="15" s="1"/>
  <c r="BC29" i="15"/>
  <c r="J29" i="15" s="1"/>
  <c r="K36" i="15"/>
  <c r="K43" i="15" s="1"/>
  <c r="BF43" i="15"/>
  <c r="BG36" i="15"/>
  <c r="BG43" i="15" s="1"/>
  <c r="CV120" i="14"/>
  <c r="E88" i="15"/>
  <c r="E90" i="15" s="1"/>
  <c r="E92" i="15" s="1"/>
  <c r="AQ110" i="14"/>
  <c r="AY40" i="33"/>
  <c r="BD40" i="33"/>
  <c r="AY42" i="33"/>
  <c r="AY47" i="33"/>
  <c r="BJ26" i="12"/>
  <c r="R56" i="53"/>
  <c r="R57" i="53" s="1"/>
  <c r="R46" i="53"/>
  <c r="BN74" i="15"/>
  <c r="BN83" i="15"/>
  <c r="BE30" i="48"/>
  <c r="AI79" i="15"/>
  <c r="N500" i="12"/>
  <c r="J17" i="48"/>
  <c r="EA308" i="48"/>
  <c r="EA309" i="48"/>
  <c r="E66" i="52"/>
  <c r="E67" i="52"/>
  <c r="H64" i="15"/>
  <c r="BZ206" i="14"/>
  <c r="BZ209" i="14" s="1"/>
  <c r="BZ194" i="14" s="1"/>
  <c r="BY194" i="14"/>
  <c r="O78" i="14"/>
  <c r="O80" i="14" s="1"/>
  <c r="H61" i="65"/>
  <c r="H60" i="65" s="1"/>
  <c r="BV203" i="14"/>
  <c r="CJ302" i="12"/>
  <c r="CJ835" i="12"/>
  <c r="H38" i="15"/>
  <c r="AU84" i="15"/>
  <c r="AU75" i="15"/>
  <c r="CI252" i="90"/>
  <c r="CI254" i="90" s="1"/>
  <c r="CI359" i="90" s="1"/>
  <c r="N105" i="71"/>
  <c r="P384" i="12"/>
  <c r="P90" i="52"/>
  <c r="O91" i="52"/>
  <c r="P59" i="52"/>
  <c r="BY8" i="12"/>
  <c r="BZ50" i="12" s="1"/>
  <c r="BY336" i="12"/>
  <c r="BY338" i="12" s="1"/>
  <c r="O299" i="12"/>
  <c r="O301" i="12"/>
  <c r="O302" i="12" s="1"/>
  <c r="BB64" i="15"/>
  <c r="BC50" i="15"/>
  <c r="AM43" i="15"/>
  <c r="F35" i="15"/>
  <c r="J9" i="15"/>
  <c r="BN503" i="12"/>
  <c r="BN504" i="12" s="1"/>
  <c r="BN501" i="12"/>
  <c r="H17" i="48"/>
  <c r="L500" i="12"/>
  <c r="M299" i="12"/>
  <c r="M301" i="12"/>
  <c r="M302" i="12" s="1"/>
  <c r="BZ299" i="12"/>
  <c r="BZ301" i="12"/>
  <c r="P332" i="12"/>
  <c r="BX8" i="12"/>
  <c r="AL32" i="15"/>
  <c r="F9" i="15"/>
  <c r="AM9" i="15"/>
  <c r="AQ24" i="15"/>
  <c r="AP32" i="15"/>
  <c r="G24" i="15"/>
  <c r="CF26" i="12"/>
  <c r="CS282" i="12"/>
  <c r="U281" i="12"/>
  <c r="EF282" i="48"/>
  <c r="DV282" i="48"/>
  <c r="R665" i="12"/>
  <c r="R667" i="12"/>
  <c r="R16" i="48" s="1"/>
  <c r="CL349" i="90"/>
  <c r="CM228" i="90"/>
  <c r="CM347" i="90" s="1"/>
  <c r="Q39" i="90"/>
  <c r="P40" i="90"/>
  <c r="O83" i="90"/>
  <c r="BX81" i="90"/>
  <c r="BX83" i="90" s="1"/>
  <c r="BU64" i="90"/>
  <c r="O64" i="90" s="1"/>
  <c r="BU65" i="90"/>
  <c r="BV63" i="90" s="1"/>
  <c r="BV65" i="90" s="1"/>
  <c r="BW63" i="90" s="1"/>
  <c r="BW65" i="90" s="1"/>
  <c r="BO80" i="14"/>
  <c r="BP81" i="14" s="1"/>
  <c r="BP79" i="14"/>
  <c r="V15" i="48"/>
  <c r="U144" i="33"/>
  <c r="CP62" i="33"/>
  <c r="P321" i="12"/>
  <c r="O63" i="52"/>
  <c r="O62" i="52"/>
  <c r="N94" i="52"/>
  <c r="J65" i="52"/>
  <c r="J66" i="52" s="1"/>
  <c r="J64" i="52"/>
  <c r="K94" i="52"/>
  <c r="BO83" i="90"/>
  <c r="M81" i="90"/>
  <c r="BT168" i="90"/>
  <c r="BT170" i="90" s="1"/>
  <c r="BU168" i="90" s="1"/>
  <c r="BU170" i="90" s="1"/>
  <c r="BV168" i="90" s="1"/>
  <c r="BV170" i="90" s="1"/>
  <c r="BW168" i="90" s="1"/>
  <c r="BW170" i="90" s="1"/>
  <c r="N170" i="90"/>
  <c r="S144" i="33"/>
  <c r="T144" i="33"/>
  <c r="AN144" i="33"/>
  <c r="T15" i="48"/>
  <c r="BG108" i="14"/>
  <c r="BG128" i="14"/>
  <c r="BG125" i="14"/>
  <c r="BG134" i="14"/>
  <c r="C380" i="65"/>
  <c r="B384" i="65"/>
  <c r="C379" i="65"/>
  <c r="C33" i="65"/>
  <c r="C34" i="65"/>
  <c r="C384" i="65"/>
  <c r="BO42" i="70"/>
  <c r="BO45" i="70" s="1"/>
  <c r="BO50" i="70" s="1"/>
  <c r="BO36" i="70"/>
  <c r="U359" i="58"/>
  <c r="T359" i="58"/>
  <c r="L64" i="15"/>
  <c r="D20" i="33"/>
  <c r="D37" i="33"/>
  <c r="Q175" i="71"/>
  <c r="I60" i="15"/>
  <c r="I64" i="15" s="1"/>
  <c r="AY60" i="15"/>
  <c r="AY64" i="15" s="1"/>
  <c r="L299" i="12"/>
  <c r="L301" i="12"/>
  <c r="L302" i="12" s="1"/>
  <c r="N69" i="14"/>
  <c r="BT69" i="14"/>
  <c r="C84" i="66"/>
  <c r="BS71" i="14"/>
  <c r="BS73" i="14" s="1"/>
  <c r="BZ200" i="14"/>
  <c r="BY202" i="14"/>
  <c r="BY203" i="14" s="1"/>
  <c r="W359" i="58"/>
  <c r="V359" i="58"/>
  <c r="CK673" i="12"/>
  <c r="CK671" i="12"/>
  <c r="AY13" i="15"/>
  <c r="AY32" i="15" s="1"/>
  <c r="I13" i="15"/>
  <c r="AX32" i="15"/>
  <c r="BK35" i="15"/>
  <c r="BJ43" i="15"/>
  <c r="BM79" i="15"/>
  <c r="BM95" i="15"/>
  <c r="BM76" i="15"/>
  <c r="L67" i="52"/>
  <c r="L68" i="52"/>
  <c r="L100" i="52" s="1"/>
  <c r="Z272" i="12"/>
  <c r="Z270" i="12"/>
  <c r="CS19" i="14"/>
  <c r="CT165" i="14"/>
  <c r="CD46" i="90"/>
  <c r="CD45" i="90"/>
  <c r="CC324" i="90"/>
  <c r="I95" i="15"/>
  <c r="I79" i="15"/>
  <c r="CX363" i="90"/>
  <c r="CY276" i="90"/>
  <c r="CY278" i="90" s="1"/>
  <c r="CL52" i="90"/>
  <c r="CL51" i="90"/>
  <c r="CI842" i="12"/>
  <c r="CI846" i="12" s="1"/>
  <c r="R846" i="12" s="1"/>
  <c r="CI844" i="12"/>
  <c r="CI843" i="12"/>
  <c r="M83" i="15"/>
  <c r="M103" i="15"/>
  <c r="M105" i="15" s="1"/>
  <c r="M107" i="15" s="1"/>
  <c r="M30" i="48"/>
  <c r="M74" i="15"/>
  <c r="DV277" i="48"/>
  <c r="EF277" i="48"/>
  <c r="M90" i="52"/>
  <c r="M91" i="52"/>
  <c r="M93" i="52"/>
  <c r="M94" i="52"/>
  <c r="M87" i="52"/>
  <c r="M89" i="52"/>
  <c r="P89" i="52"/>
  <c r="P87" i="52"/>
  <c r="P88" i="52"/>
  <c r="R242" i="71"/>
  <c r="S242" i="71"/>
  <c r="AQ28" i="15"/>
  <c r="G28" i="15" s="1"/>
  <c r="CJ57" i="90"/>
  <c r="CJ59" i="90" s="1"/>
  <c r="R59" i="90"/>
  <c r="M69" i="90"/>
  <c r="BO71" i="90"/>
  <c r="BX75" i="90"/>
  <c r="BX77" i="90" s="1"/>
  <c r="BY75" i="90" s="1"/>
  <c r="BY77" i="90" s="1"/>
  <c r="O77" i="90"/>
  <c r="R242" i="90"/>
  <c r="CJ240" i="90"/>
  <c r="CJ242" i="90" s="1"/>
  <c r="CK240" i="90" s="1"/>
  <c r="CK242" i="90" s="1"/>
  <c r="CL240" i="90" s="1"/>
  <c r="CL242" i="90" s="1"/>
  <c r="CM240" i="90" s="1"/>
  <c r="Q89" i="90"/>
  <c r="CF87" i="90"/>
  <c r="CF89" i="90" s="1"/>
  <c r="CG87" i="90" s="1"/>
  <c r="CG89" i="90" s="1"/>
  <c r="CH87" i="90" s="1"/>
  <c r="CH89" i="90" s="1"/>
  <c r="CI87" i="90" s="1"/>
  <c r="K64" i="15"/>
  <c r="N299" i="12"/>
  <c r="N301" i="12"/>
  <c r="N302" i="12" s="1"/>
  <c r="T308" i="71"/>
  <c r="S308" i="71"/>
  <c r="S304" i="71"/>
  <c r="S310" i="71"/>
  <c r="T515" i="12"/>
  <c r="T494" i="12"/>
  <c r="T696" i="12"/>
  <c r="T24" i="64"/>
  <c r="U700" i="12"/>
  <c r="U701" i="12" s="1"/>
  <c r="T6" i="80"/>
  <c r="T700" i="12"/>
  <c r="T701" i="12" s="1"/>
  <c r="CN360" i="90"/>
  <c r="CO258" i="90"/>
  <c r="CO260" i="90" s="1"/>
  <c r="CO360" i="90"/>
  <c r="BV8" i="12"/>
  <c r="BZ42" i="12" s="1"/>
  <c r="O332" i="12"/>
  <c r="CD42" i="12"/>
  <c r="L33" i="77"/>
  <c r="CQ9" i="33"/>
  <c r="CM671" i="12"/>
  <c r="CM673" i="12"/>
  <c r="S172" i="71"/>
  <c r="DU309" i="48"/>
  <c r="DU308" i="48"/>
  <c r="AQ60" i="15"/>
  <c r="AQ64" i="15" s="1"/>
  <c r="AP64" i="15"/>
  <c r="AY36" i="15"/>
  <c r="AX43" i="15"/>
  <c r="AW95" i="15"/>
  <c r="AW79" i="15"/>
  <c r="BK44" i="33"/>
  <c r="AP22" i="48"/>
  <c r="AP36" i="48" s="1"/>
  <c r="BI40" i="33"/>
  <c r="BZ117" i="33"/>
  <c r="DV259" i="48"/>
  <c r="BV100" i="14"/>
  <c r="CA838" i="12"/>
  <c r="DV226" i="48"/>
  <c r="R56" i="52"/>
  <c r="BT8" i="80"/>
  <c r="S6" i="80"/>
  <c r="S7" i="80" s="1"/>
  <c r="BK29" i="15"/>
  <c r="AN354" i="58"/>
  <c r="AP361" i="58"/>
  <c r="AP362" i="58" s="1"/>
  <c r="CM227" i="90"/>
  <c r="CU827" i="12"/>
  <c r="AP359" i="58"/>
  <c r="R310" i="71"/>
  <c r="T10" i="80"/>
  <c r="L7" i="64"/>
  <c r="CN36" i="12"/>
  <c r="CN37" i="12"/>
  <c r="CN25" i="12"/>
  <c r="AA363" i="58"/>
  <c r="CS652" i="12"/>
  <c r="BJ32" i="70"/>
  <c r="L379" i="65"/>
  <c r="AT84" i="15"/>
  <c r="BU20" i="33"/>
  <c r="S104" i="15"/>
  <c r="AN87" i="15"/>
  <c r="AN88" i="15" s="1"/>
  <c r="AN90" i="15" s="1"/>
  <c r="AN92" i="15" s="1"/>
  <c r="F66" i="15"/>
  <c r="J24" i="33"/>
  <c r="AU14" i="15"/>
  <c r="H14" i="15" s="1"/>
  <c r="C379" i="66"/>
  <c r="C383" i="66"/>
  <c r="AU31" i="15"/>
  <c r="H31" i="15" s="1"/>
  <c r="S259" i="90"/>
  <c r="BA75" i="15"/>
  <c r="BE17" i="48"/>
  <c r="BJ87" i="15"/>
  <c r="U483" i="58"/>
  <c r="AD7" i="64"/>
  <c r="S60" i="56"/>
  <c r="S61" i="56" s="1"/>
  <c r="W28" i="77"/>
  <c r="W29" i="77" s="1"/>
  <c r="AY166" i="14"/>
  <c r="BK78" i="14"/>
  <c r="BN38" i="15"/>
  <c r="BM109" i="33"/>
  <c r="BM110" i="33" s="1"/>
  <c r="AK84" i="15"/>
  <c r="T80" i="58"/>
  <c r="K52" i="77"/>
  <c r="W109" i="58"/>
  <c r="DC139" i="33"/>
  <c r="N192" i="33"/>
  <c r="O189" i="33" s="1"/>
  <c r="O192" i="33" s="1"/>
  <c r="P189" i="33" s="1"/>
  <c r="P192" i="33" s="1"/>
  <c r="Q189" i="33" s="1"/>
  <c r="Q192" i="33" s="1"/>
  <c r="R189" i="33" s="1"/>
  <c r="R192" i="33" s="1"/>
  <c r="S189" i="33" s="1"/>
  <c r="S192" i="33" s="1"/>
  <c r="T189" i="33" s="1"/>
  <c r="T192" i="33" s="1"/>
  <c r="U189" i="33" s="1"/>
  <c r="U192" i="33" s="1"/>
  <c r="V189" i="33" s="1"/>
  <c r="V192" i="33" s="1"/>
  <c r="AK36" i="48"/>
  <c r="CW686" i="12"/>
  <c r="CS686" i="12"/>
  <c r="CV354" i="90"/>
  <c r="CW354" i="90"/>
  <c r="U73" i="14"/>
  <c r="R139" i="33"/>
  <c r="V204" i="33"/>
  <c r="AH81" i="15"/>
  <c r="BF6" i="80"/>
  <c r="BA42" i="48"/>
  <c r="BB43" i="48" s="1"/>
  <c r="R169" i="71"/>
  <c r="R170" i="71" s="1"/>
  <c r="S679" i="12"/>
  <c r="N664" i="12"/>
  <c r="S79" i="58"/>
  <c r="J46" i="77"/>
  <c r="AQ80" i="58"/>
  <c r="CV466" i="12"/>
  <c r="BK39" i="33"/>
  <c r="BI47" i="33"/>
  <c r="AY110" i="14"/>
  <c r="AY75" i="14"/>
  <c r="Q55" i="52"/>
  <c r="BS7" i="80"/>
  <c r="S700" i="12"/>
  <c r="S701" i="12" s="1"/>
  <c r="U165" i="33"/>
  <c r="CU42" i="12"/>
  <c r="CN34" i="90"/>
  <c r="CN32" i="90" s="1"/>
  <c r="I117" i="33"/>
  <c r="CN39" i="12"/>
  <c r="M64" i="52"/>
  <c r="N95" i="52" s="1"/>
  <c r="BW42" i="33"/>
  <c r="BA22" i="48"/>
  <c r="AT75" i="15"/>
  <c r="C378" i="66"/>
  <c r="BQ500" i="12"/>
  <c r="P104" i="15"/>
  <c r="AF490" i="58"/>
  <c r="R224" i="12"/>
  <c r="Q627" i="12"/>
  <c r="P80" i="71" s="1"/>
  <c r="Q46" i="77"/>
  <c r="CE629" i="12"/>
  <c r="Z79" i="58"/>
  <c r="U185" i="33"/>
  <c r="BI42" i="33"/>
  <c r="Q92" i="52"/>
  <c r="S24" i="64"/>
  <c r="U104" i="15"/>
  <c r="DM10" i="33"/>
  <c r="DM140" i="33" s="1"/>
  <c r="T304" i="71"/>
  <c r="CU800" i="12"/>
  <c r="AN283" i="58"/>
  <c r="EC211" i="48"/>
  <c r="L24" i="48"/>
  <c r="K9" i="71" s="1"/>
  <c r="CN49" i="12"/>
  <c r="CN34" i="12"/>
  <c r="AS91" i="15"/>
  <c r="T78" i="14"/>
  <c r="T80" i="14" s="1"/>
  <c r="T46" i="14"/>
  <c r="T59" i="14" s="1"/>
  <c r="T73" i="14" s="1"/>
  <c r="BW40" i="33"/>
  <c r="C10" i="58"/>
  <c r="I93" i="66"/>
  <c r="H379" i="65"/>
  <c r="H380" i="65"/>
  <c r="BP10" i="70"/>
  <c r="BP13" i="70"/>
  <c r="BW15" i="80"/>
  <c r="V356" i="58"/>
  <c r="H46" i="77"/>
  <c r="Q79" i="58"/>
  <c r="AF212" i="58"/>
  <c r="T212" i="58"/>
  <c r="P154" i="90"/>
  <c r="O337" i="12"/>
  <c r="L4" i="59"/>
  <c r="Z102" i="58"/>
  <c r="AI100" i="58"/>
  <c r="AG78" i="58"/>
  <c r="S41" i="77"/>
  <c r="R40" i="77"/>
  <c r="R33" i="77"/>
  <c r="R14" i="77" s="1"/>
  <c r="BM819" i="12"/>
  <c r="BM818" i="12" s="1"/>
  <c r="BT9" i="80"/>
  <c r="BY361" i="12"/>
  <c r="CB231" i="12"/>
  <c r="BF115" i="33"/>
  <c r="R219" i="14"/>
  <c r="AF36" i="48"/>
  <c r="D75" i="65"/>
  <c r="O58" i="15"/>
  <c r="O64" i="15" s="1"/>
  <c r="BW50" i="80"/>
  <c r="AC59" i="77"/>
  <c r="V167" i="12"/>
  <c r="W168" i="12" s="1"/>
  <c r="DM14" i="33"/>
  <c r="CU629" i="12"/>
  <c r="CV255" i="12"/>
  <c r="CV413" i="12"/>
  <c r="CV667" i="12"/>
  <c r="DN14" i="33"/>
  <c r="DO160" i="33" s="1"/>
  <c r="AC17" i="77"/>
  <c r="AA78" i="58"/>
  <c r="P103" i="71"/>
  <c r="P454" i="12"/>
  <c r="P455" i="12" s="1"/>
  <c r="P456" i="12" s="1"/>
  <c r="BX354" i="12"/>
  <c r="R185" i="33"/>
  <c r="BP143" i="33"/>
  <c r="BI117" i="33"/>
  <c r="BC115" i="33"/>
  <c r="BF108" i="33"/>
  <c r="BF110" i="33" s="1"/>
  <c r="E10" i="58"/>
  <c r="AE36" i="48"/>
  <c r="BD73" i="14"/>
  <c r="K64" i="65"/>
  <c r="G64" i="65"/>
  <c r="CC302" i="90"/>
  <c r="CD300" i="90" s="1"/>
  <c r="CD302" i="90" s="1"/>
  <c r="CR261" i="12"/>
  <c r="CS516" i="12"/>
  <c r="CS667" i="12"/>
  <c r="AO79" i="58"/>
  <c r="CT78" i="14"/>
  <c r="CT80" i="14" s="1"/>
  <c r="CV55" i="12"/>
  <c r="DN89" i="33"/>
  <c r="AL53" i="77"/>
  <c r="AM53" i="77" s="1"/>
  <c r="AL47" i="77"/>
  <c r="AA100" i="58"/>
  <c r="AE78" i="58"/>
  <c r="T40" i="77"/>
  <c r="BW353" i="12"/>
  <c r="BW354" i="12" s="1"/>
  <c r="BZ231" i="12"/>
  <c r="BP159" i="33"/>
  <c r="BS214" i="14"/>
  <c r="N214" i="14" s="1"/>
  <c r="AO36" i="48"/>
  <c r="G113" i="14"/>
  <c r="K113" i="14"/>
  <c r="CD51" i="80"/>
  <c r="BY50" i="80"/>
  <c r="BS51" i="80"/>
  <c r="AB58" i="77"/>
  <c r="BX219" i="90"/>
  <c r="AS205" i="58"/>
  <c r="DM12" i="33"/>
  <c r="DM142" i="33" s="1"/>
  <c r="CU464" i="12"/>
  <c r="AG52" i="77" s="1"/>
  <c r="CV515" i="12"/>
  <c r="CC231" i="12"/>
  <c r="BX36" i="33"/>
  <c r="BS47" i="33"/>
  <c r="BI36" i="33"/>
  <c r="BD36" i="33"/>
  <c r="BD148" i="33" s="1"/>
  <c r="AN36" i="33"/>
  <c r="F60" i="65"/>
  <c r="CO109" i="14"/>
  <c r="CO78" i="14"/>
  <c r="M31" i="53"/>
  <c r="AS78" i="58"/>
  <c r="CO262" i="12"/>
  <c r="CK262" i="12"/>
  <c r="BZ346" i="12"/>
  <c r="BZ347" i="12" s="1"/>
  <c r="CL269" i="12"/>
  <c r="Q260" i="12"/>
  <c r="X261" i="12"/>
  <c r="CR262" i="12"/>
  <c r="CG262" i="12"/>
  <c r="CS262" i="12"/>
  <c r="CQ262" i="12"/>
  <c r="BZ269" i="12"/>
  <c r="CA231" i="12"/>
  <c r="P231" i="12" s="1"/>
  <c r="P232" i="12" s="1"/>
  <c r="Z18" i="80"/>
  <c r="CF269" i="12"/>
  <c r="CJ262" i="12"/>
  <c r="CT261" i="12"/>
  <c r="CU261" i="12"/>
  <c r="CE262" i="12"/>
  <c r="CK269" i="12"/>
  <c r="V813" i="12"/>
  <c r="V18" i="80" s="1"/>
  <c r="CD262" i="12"/>
  <c r="BZ262" i="12"/>
  <c r="BY262" i="12"/>
  <c r="CO269" i="12"/>
  <c r="CT262" i="12"/>
  <c r="CV262" i="12"/>
  <c r="CC261" i="12"/>
  <c r="CH269" i="12"/>
  <c r="CX697" i="12"/>
  <c r="CI231" i="12"/>
  <c r="CP262" i="12"/>
  <c r="V267" i="12"/>
  <c r="W268" i="12" s="1"/>
  <c r="P267" i="12"/>
  <c r="P268" i="12" s="1"/>
  <c r="CS269" i="12"/>
  <c r="U260" i="12"/>
  <c r="CD269" i="12"/>
  <c r="CC262" i="12"/>
  <c r="CL262" i="12"/>
  <c r="S260" i="12"/>
  <c r="CH262" i="12"/>
  <c r="CE231" i="12"/>
  <c r="CP261" i="12"/>
  <c r="X268" i="12"/>
  <c r="CI262" i="12"/>
  <c r="CI269" i="12"/>
  <c r="CE269" i="12"/>
  <c r="CJ269" i="12"/>
  <c r="AS273" i="58"/>
  <c r="AS274" i="58" s="1"/>
  <c r="CF262" i="12"/>
  <c r="P260" i="12"/>
  <c r="R260" i="12"/>
  <c r="CT269" i="12"/>
  <c r="CV261" i="12"/>
  <c r="T260" i="12"/>
  <c r="T267" i="12"/>
  <c r="CG231" i="12"/>
  <c r="U267" i="12"/>
  <c r="CA269" i="12"/>
  <c r="CA262" i="12"/>
  <c r="X18" i="80"/>
  <c r="Q267" i="12"/>
  <c r="S267" i="12"/>
  <c r="CQ261" i="12"/>
  <c r="R267" i="12"/>
  <c r="BY241" i="12"/>
  <c r="CB262" i="12"/>
  <c r="S10" i="15"/>
  <c r="J31" i="33"/>
  <c r="J238" i="65"/>
  <c r="BP226" i="14"/>
  <c r="BP220" i="14"/>
  <c r="BP224" i="14"/>
  <c r="BP203" i="14"/>
  <c r="BP80" i="14"/>
  <c r="BQ81" i="14" s="1"/>
  <c r="BQ79" i="14"/>
  <c r="BK79" i="14"/>
  <c r="BJ80" i="14"/>
  <c r="BK81" i="14" s="1"/>
  <c r="T35" i="52"/>
  <c r="CA206" i="14"/>
  <c r="CA209" i="14" s="1"/>
  <c r="CE25" i="14"/>
  <c r="CD78" i="14"/>
  <c r="N61" i="66"/>
  <c r="N60" i="66" s="1"/>
  <c r="Q20" i="14"/>
  <c r="V11" i="15"/>
  <c r="BY78" i="14"/>
  <c r="BY80" i="14" s="1"/>
  <c r="I61" i="66"/>
  <c r="I60" i="66" s="1"/>
  <c r="L61" i="66"/>
  <c r="L60" i="66" s="1"/>
  <c r="AO75" i="14"/>
  <c r="BR206" i="14"/>
  <c r="BR208" i="14" s="1"/>
  <c r="BQ208" i="14"/>
  <c r="I7" i="64"/>
  <c r="I24" i="48"/>
  <c r="H9" i="71" s="1"/>
  <c r="H10" i="71" s="1"/>
  <c r="BU206" i="14"/>
  <c r="BU208" i="14" s="1"/>
  <c r="AJ75" i="14"/>
  <c r="BT206" i="14"/>
  <c r="BT208" i="14" s="1"/>
  <c r="D61" i="66"/>
  <c r="D60" i="66" s="1"/>
  <c r="BT20" i="14"/>
  <c r="BT78" i="14" s="1"/>
  <c r="BT80" i="14" s="1"/>
  <c r="CT81" i="14"/>
  <c r="BS206" i="14"/>
  <c r="BS208" i="14" s="1"/>
  <c r="T133" i="14"/>
  <c r="D77" i="65"/>
  <c r="D241" i="65"/>
  <c r="D243" i="65" s="1"/>
  <c r="I113" i="14"/>
  <c r="Q31" i="14"/>
  <c r="CE109" i="14"/>
  <c r="Q109" i="14" s="1"/>
  <c r="CV185" i="14"/>
  <c r="AQ491" i="58"/>
  <c r="CV503" i="12"/>
  <c r="CV501" i="12"/>
  <c r="X42" i="14"/>
  <c r="BC79" i="33"/>
  <c r="AT111" i="14"/>
  <c r="AT96" i="14" s="1"/>
  <c r="BC67" i="33"/>
  <c r="BC78" i="33"/>
  <c r="BC119" i="33"/>
  <c r="BH151" i="33"/>
  <c r="BH63" i="33"/>
  <c r="BH58" i="33"/>
  <c r="AY41" i="33"/>
  <c r="AY148" i="33"/>
  <c r="BR148" i="33"/>
  <c r="BW148" i="33"/>
  <c r="BR41" i="33"/>
  <c r="BM148" i="33"/>
  <c r="BH148" i="33"/>
  <c r="AI61" i="33"/>
  <c r="AI63" i="33" s="1"/>
  <c r="AI79" i="33" s="1"/>
  <c r="AI58" i="33"/>
  <c r="BM58" i="33"/>
  <c r="BM71" i="33" s="1"/>
  <c r="BM61" i="33"/>
  <c r="BM151" i="33" s="1"/>
  <c r="BU41" i="33"/>
  <c r="BU148" i="33"/>
  <c r="BZ148" i="33"/>
  <c r="CK30" i="33"/>
  <c r="L29" i="33"/>
  <c r="BY31" i="33"/>
  <c r="AM58" i="33"/>
  <c r="AM61" i="33"/>
  <c r="BM48" i="33"/>
  <c r="BM116" i="33"/>
  <c r="AW71" i="33"/>
  <c r="AW69" i="33"/>
  <c r="AW72" i="33"/>
  <c r="F31" i="33"/>
  <c r="AT61" i="33"/>
  <c r="AT58" i="33"/>
  <c r="L238" i="65"/>
  <c r="L31" i="53"/>
  <c r="AU31" i="33"/>
  <c r="E28" i="33"/>
  <c r="E31" i="33" s="1"/>
  <c r="AP31" i="33"/>
  <c r="AP36" i="33" s="1"/>
  <c r="F31" i="53"/>
  <c r="N131" i="15"/>
  <c r="BT31" i="33"/>
  <c r="K26" i="33"/>
  <c r="C190" i="65" s="1"/>
  <c r="AZ117" i="33"/>
  <c r="AZ31" i="33"/>
  <c r="BK41" i="33"/>
  <c r="BP148" i="33"/>
  <c r="AM48" i="33"/>
  <c r="AM116" i="33"/>
  <c r="AM41" i="33"/>
  <c r="AR148" i="33"/>
  <c r="H28" i="33"/>
  <c r="BE31" i="33"/>
  <c r="I27" i="33"/>
  <c r="I31" i="33" s="1"/>
  <c r="I36" i="33" s="1"/>
  <c r="BJ31" i="33"/>
  <c r="K238" i="65"/>
  <c r="S31" i="33"/>
  <c r="K33" i="53" s="1"/>
  <c r="BI48" i="33"/>
  <c r="BI55" i="33"/>
  <c r="BK166" i="33"/>
  <c r="T205" i="15"/>
  <c r="X69" i="33"/>
  <c r="Y27" i="33"/>
  <c r="Q131" i="15"/>
  <c r="I31" i="53"/>
  <c r="R131" i="15"/>
  <c r="J190" i="65"/>
  <c r="J31" i="53"/>
  <c r="R31" i="33"/>
  <c r="J33" i="53" s="1"/>
  <c r="BN36" i="33"/>
  <c r="BS148" i="33" s="1"/>
  <c r="AX36" i="33"/>
  <c r="AS36" i="33"/>
  <c r="AS41" i="33" s="1"/>
  <c r="CH31" i="33"/>
  <c r="CJ27" i="33"/>
  <c r="CI27" i="33"/>
  <c r="P136" i="15"/>
  <c r="D238" i="65"/>
  <c r="H31" i="33"/>
  <c r="G31" i="33"/>
  <c r="CN29" i="33"/>
  <c r="L31" i="33"/>
  <c r="D190" i="65"/>
  <c r="E190" i="65"/>
  <c r="M31" i="33"/>
  <c r="E238" i="65"/>
  <c r="AI67" i="33"/>
  <c r="AI78" i="33"/>
  <c r="C238" i="65"/>
  <c r="D31" i="33"/>
  <c r="D36" i="33" s="1"/>
  <c r="X70" i="33"/>
  <c r="Y28" i="33"/>
  <c r="X30" i="33"/>
  <c r="X29" i="33"/>
  <c r="V203" i="33"/>
  <c r="Y618" i="12"/>
  <c r="Y619" i="12" s="1"/>
  <c r="AD364" i="58"/>
  <c r="AT273" i="58"/>
  <c r="CG11" i="80"/>
  <c r="DG142" i="33"/>
  <c r="BN27" i="12"/>
  <c r="AC280" i="58"/>
  <c r="AC109" i="58"/>
  <c r="R109" i="58"/>
  <c r="R31" i="80"/>
  <c r="V678" i="12"/>
  <c r="N110" i="71"/>
  <c r="N112" i="71" s="1"/>
  <c r="P58" i="77"/>
  <c r="O42" i="77"/>
  <c r="U14" i="77"/>
  <c r="BV355" i="12"/>
  <c r="BT60" i="80"/>
  <c r="BR32" i="80"/>
  <c r="Q617" i="12"/>
  <c r="Q618" i="12" s="1"/>
  <c r="Q619" i="12" s="1"/>
  <c r="DE158" i="33"/>
  <c r="DD142" i="33"/>
  <c r="Y80" i="77"/>
  <c r="Y57" i="77" s="1"/>
  <c r="AH354" i="58"/>
  <c r="AH355" i="58" s="1"/>
  <c r="J8" i="57"/>
  <c r="CU156" i="33"/>
  <c r="CV156" i="33"/>
  <c r="Z279" i="58"/>
  <c r="Y279" i="58"/>
  <c r="AH212" i="58"/>
  <c r="AG212" i="58"/>
  <c r="AE105" i="58"/>
  <c r="CN384" i="12"/>
  <c r="CK385" i="12"/>
  <c r="CJ384" i="12"/>
  <c r="BT355" i="12"/>
  <c r="BS355" i="12"/>
  <c r="Y105" i="58"/>
  <c r="Y106" i="58" s="1"/>
  <c r="CD385" i="12"/>
  <c r="CH384" i="12"/>
  <c r="AQ279" i="58"/>
  <c r="AP279" i="58"/>
  <c r="BK128" i="14"/>
  <c r="BK134" i="14"/>
  <c r="BK125" i="14"/>
  <c r="CZ139" i="33"/>
  <c r="CV155" i="33"/>
  <c r="J7" i="57"/>
  <c r="AN25" i="64"/>
  <c r="AN30" i="64"/>
  <c r="CG8" i="80"/>
  <c r="CF7" i="80"/>
  <c r="AL104" i="58"/>
  <c r="AM104" i="58"/>
  <c r="AH213" i="58"/>
  <c r="CR36" i="12"/>
  <c r="CR49" i="12"/>
  <c r="AZ108" i="14"/>
  <c r="AZ134" i="14"/>
  <c r="AZ125" i="14"/>
  <c r="CQ84" i="48"/>
  <c r="CV149" i="33"/>
  <c r="CQ89" i="33"/>
  <c r="CS89" i="33" s="1"/>
  <c r="I45" i="66"/>
  <c r="CM165" i="33"/>
  <c r="CR149" i="33"/>
  <c r="CL149" i="33"/>
  <c r="CN45" i="33"/>
  <c r="BW10" i="15"/>
  <c r="CN26" i="33"/>
  <c r="CE156" i="33"/>
  <c r="CE140" i="33"/>
  <c r="CH59" i="80"/>
  <c r="CH60" i="80"/>
  <c r="BZ45" i="80"/>
  <c r="BZ46" i="80"/>
  <c r="BV45" i="80"/>
  <c r="BV46" i="80"/>
  <c r="BS46" i="80"/>
  <c r="BR46" i="80"/>
  <c r="CF39" i="80"/>
  <c r="CF40" i="80"/>
  <c r="CG40" i="80"/>
  <c r="CE37" i="80"/>
  <c r="CE36" i="80"/>
  <c r="BW36" i="80"/>
  <c r="BX37" i="80"/>
  <c r="BW32" i="80"/>
  <c r="BV31" i="80"/>
  <c r="BV32" i="80"/>
  <c r="CA29" i="80"/>
  <c r="BZ29" i="80"/>
  <c r="BZ28" i="80"/>
  <c r="BV28" i="80"/>
  <c r="BW29" i="80"/>
  <c r="BY25" i="80"/>
  <c r="BY26" i="80"/>
  <c r="CF22" i="80"/>
  <c r="CG23" i="80"/>
  <c r="CF23" i="80"/>
  <c r="CN18" i="33"/>
  <c r="O18" i="33" s="1"/>
  <c r="D45" i="66"/>
  <c r="CQ106" i="14"/>
  <c r="CQ35" i="12"/>
  <c r="CQ37" i="12"/>
  <c r="CQ30" i="12"/>
  <c r="CQ36" i="12"/>
  <c r="CQ34" i="12"/>
  <c r="CQ38" i="12"/>
  <c r="S120" i="14"/>
  <c r="BY11" i="80"/>
  <c r="BX11" i="80"/>
  <c r="EB220" i="48"/>
  <c r="EE220" i="48"/>
  <c r="H18" i="77"/>
  <c r="CL89" i="33"/>
  <c r="AK371" i="58"/>
  <c r="AJ371" i="58"/>
  <c r="AO30" i="64"/>
  <c r="AK110" i="58"/>
  <c r="AK104" i="58"/>
  <c r="R105" i="58"/>
  <c r="R106" i="58" s="1"/>
  <c r="CA384" i="12"/>
  <c r="X363" i="58"/>
  <c r="R357" i="58"/>
  <c r="T61" i="77"/>
  <c r="R225" i="12"/>
  <c r="R226" i="12" s="1"/>
  <c r="U61" i="77"/>
  <c r="V212" i="58"/>
  <c r="DI155" i="33"/>
  <c r="K5" i="59"/>
  <c r="DH158" i="33"/>
  <c r="Q41" i="77"/>
  <c r="M41" i="77"/>
  <c r="I41" i="77"/>
  <c r="CO261" i="12"/>
  <c r="DD139" i="33"/>
  <c r="AG27" i="64"/>
  <c r="BZ7" i="80"/>
  <c r="W61" i="77"/>
  <c r="CJ385" i="12"/>
  <c r="S618" i="12"/>
  <c r="S619" i="12" s="1"/>
  <c r="CT673" i="12"/>
  <c r="CT671" i="12"/>
  <c r="W110" i="58"/>
  <c r="W106" i="58"/>
  <c r="BV336" i="12"/>
  <c r="BV338" i="12" s="1"/>
  <c r="BV9" i="12"/>
  <c r="Q360" i="58" s="1"/>
  <c r="AA43" i="77"/>
  <c r="AB45" i="77"/>
  <c r="AB41" i="77"/>
  <c r="AT212" i="58"/>
  <c r="R57" i="77"/>
  <c r="CL818" i="12"/>
  <c r="CH26" i="80"/>
  <c r="Z43" i="77"/>
  <c r="AC53" i="77"/>
  <c r="AB51" i="77"/>
  <c r="AC55" i="77"/>
  <c r="V666" i="12"/>
  <c r="X666" i="12" s="1"/>
  <c r="Y666" i="12" s="1"/>
  <c r="Z666" i="12" s="1"/>
  <c r="AA666" i="12" s="1"/>
  <c r="AB666" i="12" s="1"/>
  <c r="AC666" i="12" s="1"/>
  <c r="AD666" i="12" s="1"/>
  <c r="AS271" i="58"/>
  <c r="AR490" i="58"/>
  <c r="AR488" i="58" s="1"/>
  <c r="AR275" i="58"/>
  <c r="AR276" i="58" s="1"/>
  <c r="AR277" i="58"/>
  <c r="BX456" i="12"/>
  <c r="U454" i="12"/>
  <c r="U455" i="12" s="1"/>
  <c r="U456" i="12" s="1"/>
  <c r="T454" i="12"/>
  <c r="T455" i="12" s="1"/>
  <c r="T456" i="12" s="1"/>
  <c r="R454" i="12"/>
  <c r="R455" i="12" s="1"/>
  <c r="R456" i="12" s="1"/>
  <c r="O454" i="12"/>
  <c r="O456" i="12" s="1"/>
  <c r="G17" i="59"/>
  <c r="G14" i="59"/>
  <c r="T10" i="59"/>
  <c r="BZ361" i="12"/>
  <c r="F14" i="59"/>
  <c r="E14" i="59"/>
  <c r="EF216" i="48"/>
  <c r="EC216" i="48"/>
  <c r="AM110" i="58"/>
  <c r="AM106" i="58"/>
  <c r="CM11" i="33"/>
  <c r="BW44" i="12"/>
  <c r="BW52" i="12"/>
  <c r="BX52" i="12"/>
  <c r="O10" i="12"/>
  <c r="O44" i="12" s="1"/>
  <c r="I35" i="77"/>
  <c r="CA10" i="12"/>
  <c r="P334" i="12"/>
  <c r="CA336" i="12"/>
  <c r="CA338" i="12" s="1"/>
  <c r="BY60" i="80"/>
  <c r="CU262" i="12"/>
  <c r="P51" i="77"/>
  <c r="L51" i="77"/>
  <c r="P43" i="77"/>
  <c r="R42" i="77"/>
  <c r="CN269" i="12"/>
  <c r="CB269" i="12"/>
  <c r="Z261" i="12"/>
  <c r="AT109" i="58"/>
  <c r="P16" i="64"/>
  <c r="BZ10" i="12"/>
  <c r="BZ336" i="12"/>
  <c r="BZ338" i="12" s="1"/>
  <c r="BX53" i="12"/>
  <c r="CO12" i="33"/>
  <c r="CB45" i="12"/>
  <c r="J36" i="77"/>
  <c r="BX45" i="12"/>
  <c r="CR301" i="12"/>
  <c r="CR299" i="12"/>
  <c r="BW336" i="12"/>
  <c r="BW338" i="12" s="1"/>
  <c r="BW9" i="12"/>
  <c r="BX336" i="12"/>
  <c r="BX9" i="12"/>
  <c r="P333" i="12"/>
  <c r="X106" i="58"/>
  <c r="X110" i="58"/>
  <c r="X112" i="58" s="1"/>
  <c r="CS299" i="12"/>
  <c r="CS301" i="12"/>
  <c r="CT301" i="12"/>
  <c r="CT299" i="12"/>
  <c r="BW45" i="12"/>
  <c r="BW53" i="12"/>
  <c r="I36" i="77"/>
  <c r="CM12" i="33"/>
  <c r="BN6" i="80"/>
  <c r="BR120" i="14"/>
  <c r="BI42" i="48"/>
  <c r="BI43" i="48" s="1"/>
  <c r="BS700" i="12"/>
  <c r="BS701" i="12" s="1"/>
  <c r="CU299" i="12"/>
  <c r="CU301" i="12"/>
  <c r="BU9" i="12"/>
  <c r="BU336" i="12"/>
  <c r="O333" i="12"/>
  <c r="CC43" i="12"/>
  <c r="BZ51" i="12"/>
  <c r="CP10" i="33"/>
  <c r="CL12" i="33"/>
  <c r="BV45" i="12"/>
  <c r="H36" i="77"/>
  <c r="CO11" i="33"/>
  <c r="BX44" i="12"/>
  <c r="J35" i="77"/>
  <c r="CB44" i="12"/>
  <c r="O335" i="12"/>
  <c r="BU11" i="12"/>
  <c r="BV53" i="12" s="1"/>
  <c r="CD45" i="12"/>
  <c r="CQ12" i="33"/>
  <c r="BZ45" i="12"/>
  <c r="L36" i="77"/>
  <c r="AF274" i="58"/>
  <c r="L53" i="77"/>
  <c r="K49" i="77"/>
  <c r="R47" i="77"/>
  <c r="V225" i="12"/>
  <c r="V226" i="12" s="1"/>
  <c r="CV269" i="12"/>
  <c r="CW269" i="12"/>
  <c r="BQ10" i="80"/>
  <c r="CO818" i="12"/>
  <c r="CB14" i="80"/>
  <c r="BX50" i="80"/>
  <c r="CC43" i="80"/>
  <c r="BV26" i="80"/>
  <c r="Q16" i="59"/>
  <c r="Q17" i="59" s="1"/>
  <c r="V493" i="12"/>
  <c r="AM36" i="77"/>
  <c r="X294" i="12"/>
  <c r="X292" i="12"/>
  <c r="X291" i="12"/>
  <c r="CB226" i="12"/>
  <c r="CH226" i="12"/>
  <c r="AS275" i="58"/>
  <c r="AQ363" i="58"/>
  <c r="AQ361" i="58"/>
  <c r="U361" i="58"/>
  <c r="U363" i="58"/>
  <c r="I9" i="59"/>
  <c r="R17" i="59"/>
  <c r="R14" i="59"/>
  <c r="G9" i="59"/>
  <c r="F17" i="59"/>
  <c r="N142" i="33"/>
  <c r="AJ27" i="64"/>
  <c r="AK29" i="64"/>
  <c r="DD143" i="33"/>
  <c r="P107" i="14"/>
  <c r="P89" i="33"/>
  <c r="BV64" i="48"/>
  <c r="Q106" i="58"/>
  <c r="Q110" i="58"/>
  <c r="Z489" i="58"/>
  <c r="Z488" i="58"/>
  <c r="BY185" i="14"/>
  <c r="EC213" i="48"/>
  <c r="EA215" i="48"/>
  <c r="EF213" i="48"/>
  <c r="CV829" i="12"/>
  <c r="DM141" i="33"/>
  <c r="AR109" i="58"/>
  <c r="AS109" i="58"/>
  <c r="DM155" i="33"/>
  <c r="DM139" i="33"/>
  <c r="AT79" i="58"/>
  <c r="DN9" i="33"/>
  <c r="CF108" i="14"/>
  <c r="CF134" i="14"/>
  <c r="CF128" i="14"/>
  <c r="CF220" i="14"/>
  <c r="CF125" i="14"/>
  <c r="CV12" i="12"/>
  <c r="DN10" i="33"/>
  <c r="O178" i="71"/>
  <c r="X16" i="77"/>
  <c r="T15" i="33"/>
  <c r="U14" i="48"/>
  <c r="W488" i="58"/>
  <c r="W489" i="58"/>
  <c r="AB363" i="58"/>
  <c r="AB359" i="58"/>
  <c r="AC359" i="58"/>
  <c r="AC362" i="58"/>
  <c r="R142" i="33"/>
  <c r="S142" i="33"/>
  <c r="R13" i="33"/>
  <c r="N144" i="33"/>
  <c r="AJ364" i="58"/>
  <c r="U140" i="33"/>
  <c r="T140" i="33"/>
  <c r="CR822" i="12"/>
  <c r="AD80" i="77" s="1"/>
  <c r="AE57" i="77" s="1"/>
  <c r="CR31" i="12"/>
  <c r="CG7" i="80"/>
  <c r="CC7" i="80"/>
  <c r="CD8" i="80"/>
  <c r="T176" i="71"/>
  <c r="S170" i="71"/>
  <c r="T170" i="71"/>
  <c r="S175" i="71"/>
  <c r="T175" i="71"/>
  <c r="CT15" i="33"/>
  <c r="AH359" i="58"/>
  <c r="AG359" i="58"/>
  <c r="AC213" i="58"/>
  <c r="AD209" i="58"/>
  <c r="U9" i="33"/>
  <c r="U12" i="12"/>
  <c r="U42" i="12"/>
  <c r="CT27" i="12"/>
  <c r="CS27" i="12"/>
  <c r="P243" i="71"/>
  <c r="P245" i="71" s="1"/>
  <c r="Q240" i="71"/>
  <c r="P234" i="71"/>
  <c r="AP207" i="58"/>
  <c r="AP213" i="58"/>
  <c r="CU12" i="12"/>
  <c r="CU50" i="12"/>
  <c r="H32" i="53"/>
  <c r="AP280" i="58"/>
  <c r="AP276" i="58"/>
  <c r="BY51" i="12"/>
  <c r="K34" i="77"/>
  <c r="T360" i="58"/>
  <c r="BY827" i="12"/>
  <c r="AM281" i="58"/>
  <c r="AL282" i="58"/>
  <c r="AO281" i="58"/>
  <c r="AO282" i="58"/>
  <c r="AO283" i="58" s="1"/>
  <c r="CR155" i="33"/>
  <c r="CW139" i="33"/>
  <c r="DL142" i="33"/>
  <c r="DL158" i="33"/>
  <c r="CB50" i="12"/>
  <c r="M33" i="77"/>
  <c r="CA50" i="12"/>
  <c r="CA42" i="12"/>
  <c r="BZ184" i="14"/>
  <c r="BU13" i="48"/>
  <c r="CD186" i="14"/>
  <c r="BY14" i="48"/>
  <c r="DA159" i="33"/>
  <c r="CZ15" i="33"/>
  <c r="CR818" i="12"/>
  <c r="CP649" i="12"/>
  <c r="CQ649" i="12"/>
  <c r="CR649" i="12"/>
  <c r="BV10" i="15"/>
  <c r="R43" i="77"/>
  <c r="AC39" i="77"/>
  <c r="CV44" i="12"/>
  <c r="DN11" i="33"/>
  <c r="S13" i="59"/>
  <c r="CV45" i="12"/>
  <c r="DN12" i="33"/>
  <c r="DO158" i="33" s="1"/>
  <c r="Q45" i="77"/>
  <c r="W48" i="77"/>
  <c r="AB54" i="77"/>
  <c r="AB42" i="77"/>
  <c r="CW226" i="12"/>
  <c r="AR103" i="58"/>
  <c r="AR104" i="58" s="1"/>
  <c r="CX700" i="12"/>
  <c r="CX701" i="12" s="1"/>
  <c r="CX696" i="12"/>
  <c r="AL58" i="77"/>
  <c r="N55" i="77"/>
  <c r="Q39" i="77"/>
  <c r="I39" i="77"/>
  <c r="U55" i="77"/>
  <c r="Q55" i="77"/>
  <c r="H39" i="77"/>
  <c r="J47" i="77"/>
  <c r="R51" i="77"/>
  <c r="N54" i="77"/>
  <c r="Q51" i="77"/>
  <c r="N42" i="77"/>
  <c r="P59" i="77"/>
  <c r="AZ287" i="77"/>
  <c r="K55" i="77"/>
  <c r="U51" i="77"/>
  <c r="J45" i="77"/>
  <c r="T43" i="77"/>
  <c r="I43" i="77"/>
  <c r="K42" i="77"/>
  <c r="T41" i="77"/>
  <c r="N14" i="77"/>
  <c r="AA60" i="77"/>
  <c r="Q60" i="77"/>
  <c r="V54" i="77"/>
  <c r="AC58" i="77"/>
  <c r="M55" i="77"/>
  <c r="O49" i="77"/>
  <c r="J49" i="77"/>
  <c r="H48" i="77"/>
  <c r="U47" i="77"/>
  <c r="I42" i="77"/>
  <c r="P41" i="77"/>
  <c r="L41" i="77"/>
  <c r="M49" i="77"/>
  <c r="X42" i="77"/>
  <c r="Y48" i="77"/>
  <c r="Z51" i="77"/>
  <c r="Z45" i="77"/>
  <c r="X53" i="77"/>
  <c r="V60" i="77"/>
  <c r="J42" i="77"/>
  <c r="BV65" i="77"/>
  <c r="W54" i="77"/>
  <c r="Y42" i="77"/>
  <c r="N41" i="77"/>
  <c r="U39" i="77"/>
  <c r="Q14" i="77"/>
  <c r="Q11" i="77" s="1"/>
  <c r="H60" i="77"/>
  <c r="N60" i="77"/>
  <c r="G48" i="77"/>
  <c r="M42" i="77"/>
  <c r="Y43" i="77"/>
  <c r="AC49" i="77"/>
  <c r="AC47" i="77"/>
  <c r="AC43" i="77"/>
  <c r="O57" i="77"/>
  <c r="Q58" i="77"/>
  <c r="I59" i="77"/>
  <c r="T60" i="77"/>
  <c r="S47" i="77"/>
  <c r="AA53" i="77"/>
  <c r="AA51" i="77"/>
  <c r="V48" i="77"/>
  <c r="BM251" i="77"/>
  <c r="BW57" i="77" s="1"/>
  <c r="J55" i="77"/>
  <c r="G55" i="77"/>
  <c r="H51" i="77"/>
  <c r="G49" i="77"/>
  <c r="M48" i="77"/>
  <c r="K47" i="77"/>
  <c r="G47" i="77"/>
  <c r="AC48" i="77"/>
  <c r="AC45" i="77"/>
  <c r="AC42" i="77"/>
  <c r="X61" i="77"/>
  <c r="H43" i="77"/>
  <c r="AA41" i="77"/>
  <c r="V51" i="77"/>
  <c r="BY67" i="77"/>
  <c r="K51" i="77"/>
  <c r="R39" i="77"/>
  <c r="H41" i="77"/>
  <c r="AB47" i="77"/>
  <c r="AB14" i="77"/>
  <c r="AF15" i="77" s="1"/>
  <c r="AC61" i="77"/>
  <c r="BG266" i="77"/>
  <c r="BI266" i="77" s="1"/>
  <c r="BS36" i="77" s="1"/>
  <c r="BI117" i="77"/>
  <c r="BK299" i="77"/>
  <c r="BV53" i="77" s="1"/>
  <c r="BG323" i="77"/>
  <c r="BG219" i="77"/>
  <c r="BI65" i="77"/>
  <c r="BI134" i="77"/>
  <c r="AL19" i="77"/>
  <c r="BK345" i="77" s="1"/>
  <c r="BI170" i="77"/>
  <c r="BI152" i="77"/>
  <c r="BK65" i="77"/>
  <c r="AL29" i="77"/>
  <c r="AL21" i="77"/>
  <c r="BK344" i="77"/>
  <c r="BK350" i="77" s="1"/>
  <c r="BG235" i="77"/>
  <c r="BI100" i="77"/>
  <c r="BI187" i="77"/>
  <c r="BI323" i="77"/>
  <c r="V48" i="15"/>
  <c r="V301" i="90"/>
  <c r="AR101" i="58"/>
  <c r="U301" i="90"/>
  <c r="F68" i="52" l="1"/>
  <c r="F67" i="52"/>
  <c r="F69" i="52" s="1"/>
  <c r="H70" i="52"/>
  <c r="H71" i="52"/>
  <c r="BM72" i="33"/>
  <c r="BD41" i="33"/>
  <c r="G60" i="15"/>
  <c r="AC316" i="90"/>
  <c r="AD316" i="90"/>
  <c r="AA316" i="90"/>
  <c r="AB316" i="90"/>
  <c r="T29" i="64"/>
  <c r="ET396" i="48"/>
  <c r="BB110" i="33"/>
  <c r="CB47" i="33"/>
  <c r="CB114" i="33"/>
  <c r="BN28" i="12"/>
  <c r="BE22" i="48"/>
  <c r="CB42" i="33"/>
  <c r="CT114" i="48" s="1"/>
  <c r="CT113" i="48"/>
  <c r="I7" i="58"/>
  <c r="I8" i="58" s="1"/>
  <c r="BN110" i="14"/>
  <c r="BN94" i="15" s="1"/>
  <c r="BN99" i="15" s="1"/>
  <c r="CB40" i="33"/>
  <c r="BA31" i="15"/>
  <c r="AZ32" i="15"/>
  <c r="AU47" i="15"/>
  <c r="AU64" i="15" s="1"/>
  <c r="AT64" i="15"/>
  <c r="G63" i="15"/>
  <c r="DT293" i="48"/>
  <c r="DV293" i="48" s="1"/>
  <c r="DV297" i="48" s="1"/>
  <c r="DV306" i="48" s="1"/>
  <c r="DT241" i="48"/>
  <c r="DV237" i="48"/>
  <c r="DV241" i="48" s="1"/>
  <c r="DV250" i="48" s="1"/>
  <c r="BI74" i="15"/>
  <c r="BI83" i="15"/>
  <c r="BI88" i="15" s="1"/>
  <c r="BI90" i="15" s="1"/>
  <c r="BI92" i="15" s="1"/>
  <c r="AZ30" i="48"/>
  <c r="D68" i="52"/>
  <c r="D67" i="52"/>
  <c r="AJ30" i="48"/>
  <c r="AS83" i="15"/>
  <c r="AS88" i="15" s="1"/>
  <c r="AS90" i="15" s="1"/>
  <c r="AS74" i="15"/>
  <c r="BB86" i="15"/>
  <c r="BC40" i="15"/>
  <c r="BC86" i="15" s="1"/>
  <c r="F52" i="15"/>
  <c r="F64" i="15" s="1"/>
  <c r="AM64" i="15"/>
  <c r="CE219" i="90"/>
  <c r="CE218" i="90"/>
  <c r="CC352" i="90"/>
  <c r="CD93" i="90"/>
  <c r="CD95" i="90" s="1"/>
  <c r="V165" i="12"/>
  <c r="CK165" i="12"/>
  <c r="AG46" i="77"/>
  <c r="AP79" i="58"/>
  <c r="CU500" i="12"/>
  <c r="AP491" i="58"/>
  <c r="AI60" i="77"/>
  <c r="AI58" i="77"/>
  <c r="BE83" i="15"/>
  <c r="BE88" i="15" s="1"/>
  <c r="BE90" i="15" s="1"/>
  <c r="BE92" i="15" s="1"/>
  <c r="AV30" i="48"/>
  <c r="BE74" i="15"/>
  <c r="AT43" i="15"/>
  <c r="AU35" i="15"/>
  <c r="AU43" i="15" s="1"/>
  <c r="M33" i="90"/>
  <c r="BO35" i="90"/>
  <c r="M35" i="90" s="1"/>
  <c r="BP33" i="90"/>
  <c r="L22" i="90"/>
  <c r="BL20" i="90"/>
  <c r="BL22" i="90" s="1"/>
  <c r="BM20" i="90" s="1"/>
  <c r="BM22" i="90" s="1"/>
  <c r="BN20" i="90" s="1"/>
  <c r="BN22" i="90" s="1"/>
  <c r="BO20" i="90" s="1"/>
  <c r="BJ32" i="15"/>
  <c r="BK8" i="15"/>
  <c r="BK32" i="15" s="1"/>
  <c r="AI70" i="15"/>
  <c r="AJ69" i="15" s="1"/>
  <c r="AJ70" i="15" s="1"/>
  <c r="AK69" i="15" s="1"/>
  <c r="F69" i="15"/>
  <c r="E8" i="14"/>
  <c r="E15" i="14" s="1"/>
  <c r="E28" i="14" s="1"/>
  <c r="E75" i="14" s="1"/>
  <c r="W117" i="90"/>
  <c r="V119" i="90"/>
  <c r="F95" i="15"/>
  <c r="F100" i="15" s="1"/>
  <c r="F79" i="15"/>
  <c r="AU12" i="15"/>
  <c r="AT32" i="15"/>
  <c r="I66" i="52"/>
  <c r="CQ264" i="90"/>
  <c r="CQ265" i="90" s="1"/>
  <c r="CQ266" i="90" s="1"/>
  <c r="CQ361" i="90"/>
  <c r="CY363" i="90"/>
  <c r="CZ276" i="90"/>
  <c r="CZ278" i="90" s="1"/>
  <c r="CZ363" i="90"/>
  <c r="BJ68" i="15"/>
  <c r="CC39" i="90"/>
  <c r="CC40" i="90"/>
  <c r="AB272" i="12"/>
  <c r="AC271" i="12"/>
  <c r="AB267" i="12"/>
  <c r="AB268" i="12" s="1"/>
  <c r="AB270" i="12"/>
  <c r="H61" i="66"/>
  <c r="H60" i="66" s="1"/>
  <c r="BX78" i="14"/>
  <c r="BX80" i="14" s="1"/>
  <c r="Q822" i="12"/>
  <c r="Q14" i="12"/>
  <c r="Q18" i="64"/>
  <c r="Q38" i="12"/>
  <c r="AT94" i="15"/>
  <c r="AT99" i="15" s="1"/>
  <c r="AT15" i="90"/>
  <c r="BG11" i="15"/>
  <c r="BF32" i="15"/>
  <c r="AK83" i="15"/>
  <c r="AK74" i="15"/>
  <c r="AB30" i="48"/>
  <c r="BN64" i="15"/>
  <c r="BO49" i="15"/>
  <c r="AO74" i="15"/>
  <c r="AF30" i="48"/>
  <c r="AO83" i="15"/>
  <c r="AO88" i="15" s="1"/>
  <c r="AO90" i="15" s="1"/>
  <c r="AO92" i="15" s="1"/>
  <c r="AO68" i="15"/>
  <c r="BT671" i="12"/>
  <c r="BT673" i="12"/>
  <c r="BT674" i="12" s="1"/>
  <c r="K70" i="52"/>
  <c r="N312" i="90"/>
  <c r="N27" i="48" s="1"/>
  <c r="AW83" i="15"/>
  <c r="AW88" i="15" s="1"/>
  <c r="AW90" i="15" s="1"/>
  <c r="AW92" i="15" s="1"/>
  <c r="AW74" i="15"/>
  <c r="AW68" i="15"/>
  <c r="AN30" i="48"/>
  <c r="AI74" i="15"/>
  <c r="AI83" i="15"/>
  <c r="AI88" i="15" s="1"/>
  <c r="AI90" i="15" s="1"/>
  <c r="AI92" i="15" s="1"/>
  <c r="J40" i="15"/>
  <c r="J86" i="15" s="1"/>
  <c r="AY41" i="15"/>
  <c r="AY85" i="15" s="1"/>
  <c r="AY91" i="15" s="1"/>
  <c r="AX85" i="15"/>
  <c r="AX91" i="15" s="1"/>
  <c r="K28" i="70"/>
  <c r="K35" i="70"/>
  <c r="K29" i="70"/>
  <c r="K30" i="70" s="1"/>
  <c r="CP361" i="90"/>
  <c r="CY353" i="90"/>
  <c r="CZ99" i="90"/>
  <c r="CZ101" i="90" s="1"/>
  <c r="BM70" i="33"/>
  <c r="CY698" i="12"/>
  <c r="AJ82" i="77"/>
  <c r="AS92" i="15"/>
  <c r="AK88" i="15"/>
  <c r="AK90" i="15" s="1"/>
  <c r="AK92" i="15" s="1"/>
  <c r="CD47" i="90"/>
  <c r="F43" i="15"/>
  <c r="BA36" i="33"/>
  <c r="BX119" i="90"/>
  <c r="BY117" i="90" s="1"/>
  <c r="BY119" i="90" s="1"/>
  <c r="BZ117" i="90" s="1"/>
  <c r="BZ119" i="90" s="1"/>
  <c r="CU670" i="12"/>
  <c r="AP490" i="58"/>
  <c r="AQ106" i="58"/>
  <c r="AK68" i="15"/>
  <c r="BI30" i="48"/>
  <c r="BR74" i="15"/>
  <c r="BR68" i="15"/>
  <c r="BR83" i="15"/>
  <c r="BR88" i="15" s="1"/>
  <c r="BR90" i="15" s="1"/>
  <c r="BR92" i="15" s="1"/>
  <c r="F26" i="15"/>
  <c r="BM68" i="15"/>
  <c r="CD29" i="90"/>
  <c r="CD26" i="90"/>
  <c r="CC318" i="90"/>
  <c r="CC317" i="90" s="1"/>
  <c r="G23" i="15"/>
  <c r="H24" i="15"/>
  <c r="AS68" i="15"/>
  <c r="L8" i="15"/>
  <c r="G9" i="15"/>
  <c r="I14" i="15"/>
  <c r="I32" i="15" s="1"/>
  <c r="BJ86" i="15"/>
  <c r="BK40" i="15"/>
  <c r="BK43" i="15" s="1"/>
  <c r="Y276" i="58"/>
  <c r="X276" i="58"/>
  <c r="D69" i="52"/>
  <c r="N113" i="90"/>
  <c r="O111" i="90" s="1"/>
  <c r="O113" i="90" s="1"/>
  <c r="P111" i="90" s="1"/>
  <c r="P113" i="90" s="1"/>
  <c r="Q111" i="90" s="1"/>
  <c r="Q113" i="90" s="1"/>
  <c r="R111" i="90" s="1"/>
  <c r="R113" i="90" s="1"/>
  <c r="S111" i="90" s="1"/>
  <c r="S113" i="90" s="1"/>
  <c r="T111" i="90" s="1"/>
  <c r="T113" i="90" s="1"/>
  <c r="U111" i="90" s="1"/>
  <c r="U113" i="90" s="1"/>
  <c r="V111" i="90" s="1"/>
  <c r="V113" i="90" s="1"/>
  <c r="W111" i="90" s="1"/>
  <c r="W113" i="90" s="1"/>
  <c r="BT111" i="90"/>
  <c r="BT113" i="90" s="1"/>
  <c r="BU111" i="90" s="1"/>
  <c r="BU113" i="90" s="1"/>
  <c r="BV111" i="90" s="1"/>
  <c r="H26" i="15"/>
  <c r="AL64" i="15"/>
  <c r="CU362" i="90"/>
  <c r="CV270" i="90"/>
  <c r="CV272" i="90" s="1"/>
  <c r="CV362" i="90"/>
  <c r="Z225" i="12"/>
  <c r="Z226" i="12" s="1"/>
  <c r="V230" i="90"/>
  <c r="W228" i="90" s="1"/>
  <c r="CZ228" i="90"/>
  <c r="CZ230" i="90" s="1"/>
  <c r="V227" i="90"/>
  <c r="CZ227" i="90"/>
  <c r="CL246" i="90"/>
  <c r="CL248" i="90" s="1"/>
  <c r="V134" i="90"/>
  <c r="CT154" i="90"/>
  <c r="BZ183" i="90"/>
  <c r="BZ185" i="90" s="1"/>
  <c r="P183" i="90"/>
  <c r="O184" i="90"/>
  <c r="CX354" i="90"/>
  <c r="N159" i="90"/>
  <c r="N140" i="90"/>
  <c r="BT138" i="90"/>
  <c r="BT140" i="90" s="1"/>
  <c r="BU138" i="90" s="1"/>
  <c r="BU140" i="90" s="1"/>
  <c r="BV138" i="90" s="1"/>
  <c r="BV140" i="90" s="1"/>
  <c r="BW138" i="90" s="1"/>
  <c r="BW140" i="90" s="1"/>
  <c r="BT128" i="90"/>
  <c r="BT130" i="90" s="1"/>
  <c r="BU128" i="90" s="1"/>
  <c r="BU130" i="90" s="1"/>
  <c r="BV128" i="90" s="1"/>
  <c r="BV130" i="90" s="1"/>
  <c r="BW128" i="90" s="1"/>
  <c r="BS220" i="90"/>
  <c r="N130" i="90"/>
  <c r="Z346" i="90"/>
  <c r="AA128" i="90"/>
  <c r="AA130" i="90" s="1"/>
  <c r="AA346" i="90" s="1"/>
  <c r="CF339" i="90"/>
  <c r="CG188" i="90"/>
  <c r="CG190" i="90" s="1"/>
  <c r="CV144" i="90"/>
  <c r="CW144" i="90" s="1"/>
  <c r="CX144" i="90" s="1"/>
  <c r="CY144" i="90" s="1"/>
  <c r="CZ144" i="90" s="1"/>
  <c r="DA144" i="90" s="1"/>
  <c r="DB144" i="90" s="1"/>
  <c r="DC144" i="90" s="1"/>
  <c r="U144" i="90"/>
  <c r="CH330" i="90"/>
  <c r="AC199" i="90"/>
  <c r="BZ111" i="90"/>
  <c r="BZ113" i="90" s="1"/>
  <c r="BZ325" i="90"/>
  <c r="U164" i="90"/>
  <c r="CV164" i="90"/>
  <c r="CW164" i="90" s="1"/>
  <c r="CX164" i="90" s="1"/>
  <c r="CY164" i="90" s="1"/>
  <c r="CZ164" i="90" s="1"/>
  <c r="DA164" i="90" s="1"/>
  <c r="DB164" i="90" s="1"/>
  <c r="DC164" i="90" s="1"/>
  <c r="CA159" i="90"/>
  <c r="CB159" i="90" s="1"/>
  <c r="CC159" i="90" s="1"/>
  <c r="CD159" i="90" s="1"/>
  <c r="BZ219" i="90"/>
  <c r="CC327" i="90"/>
  <c r="CD123" i="90"/>
  <c r="CD125" i="90" s="1"/>
  <c r="U189" i="90"/>
  <c r="CV189" i="90"/>
  <c r="V189" i="90" s="1"/>
  <c r="W134" i="90"/>
  <c r="X134" i="90" s="1"/>
  <c r="Y134" i="90" s="1"/>
  <c r="Z134" i="90" s="1"/>
  <c r="AA134" i="90" s="1"/>
  <c r="AB134" i="90" s="1"/>
  <c r="AC134" i="90" s="1"/>
  <c r="AD134" i="90" s="1"/>
  <c r="CI163" i="90"/>
  <c r="CI165" i="90" s="1"/>
  <c r="CI334" i="90" s="1"/>
  <c r="V164" i="90"/>
  <c r="CB327" i="90"/>
  <c r="Z618" i="12"/>
  <c r="Z619" i="12" s="1"/>
  <c r="Q226" i="14"/>
  <c r="Q227" i="14" s="1"/>
  <c r="BN110" i="33"/>
  <c r="CJ199" i="33"/>
  <c r="K45" i="65"/>
  <c r="BB163" i="33"/>
  <c r="BA37" i="33"/>
  <c r="BA147" i="33"/>
  <c r="BF147" i="33"/>
  <c r="BF41" i="33"/>
  <c r="BF148" i="33"/>
  <c r="CC116" i="33"/>
  <c r="CC55" i="33"/>
  <c r="CC48" i="33"/>
  <c r="AG48" i="33"/>
  <c r="AG55" i="33"/>
  <c r="AV110" i="14"/>
  <c r="BF47" i="33"/>
  <c r="BF42" i="33"/>
  <c r="BK40" i="33"/>
  <c r="BF114" i="33"/>
  <c r="BF40" i="33"/>
  <c r="AM22" i="48"/>
  <c r="AM36" i="48" s="1"/>
  <c r="H372" i="90"/>
  <c r="H96" i="15" s="1"/>
  <c r="CS196" i="33"/>
  <c r="T163" i="33"/>
  <c r="CN227" i="33"/>
  <c r="O226" i="33"/>
  <c r="O227" i="33" s="1"/>
  <c r="AV58" i="33"/>
  <c r="AV61" i="33"/>
  <c r="BM150" i="33"/>
  <c r="BC72" i="33"/>
  <c r="BC71" i="33"/>
  <c r="BC69" i="33"/>
  <c r="BC70" i="33"/>
  <c r="AO48" i="33"/>
  <c r="AO116" i="33"/>
  <c r="BW116" i="33"/>
  <c r="BW55" i="33"/>
  <c r="BW48" i="33"/>
  <c r="BZ116" i="33"/>
  <c r="BZ48" i="33"/>
  <c r="BA80" i="15"/>
  <c r="AK96" i="15"/>
  <c r="BY96" i="15"/>
  <c r="K30" i="77" s="1"/>
  <c r="Q118" i="90"/>
  <c r="R119" i="90"/>
  <c r="CC96" i="15"/>
  <c r="O30" i="77" s="1"/>
  <c r="AO80" i="15"/>
  <c r="AR96" i="15"/>
  <c r="CK96" i="15"/>
  <c r="W30" i="77" s="1"/>
  <c r="I80" i="15"/>
  <c r="T10" i="48"/>
  <c r="T68" i="80"/>
  <c r="BP96" i="15"/>
  <c r="CG96" i="15"/>
  <c r="S30" i="77" s="1"/>
  <c r="AS96" i="15"/>
  <c r="BU80" i="15"/>
  <c r="EB314" i="48"/>
  <c r="EE314" i="48"/>
  <c r="R42" i="80"/>
  <c r="P14" i="59"/>
  <c r="BW14" i="48"/>
  <c r="BJ357" i="77"/>
  <c r="BG344" i="77" s="1"/>
  <c r="CX109" i="33"/>
  <c r="CF238" i="15"/>
  <c r="CX88" i="33"/>
  <c r="CX90" i="33" s="1"/>
  <c r="CX91" i="33" s="1"/>
  <c r="CX92" i="33" s="1"/>
  <c r="CX97" i="33" s="1"/>
  <c r="CX98" i="33" s="1"/>
  <c r="CX99" i="33" s="1"/>
  <c r="CG86" i="14" s="1"/>
  <c r="CV117" i="33"/>
  <c r="M44" i="66"/>
  <c r="M53" i="66" s="1"/>
  <c r="Y4" i="58"/>
  <c r="Y10" i="58" s="1"/>
  <c r="O144" i="33"/>
  <c r="Y21" i="77"/>
  <c r="Y22" i="77" s="1"/>
  <c r="BJ14" i="48"/>
  <c r="N4" i="58"/>
  <c r="CH19" i="33"/>
  <c r="CH20" i="33" s="1"/>
  <c r="CH117" i="33"/>
  <c r="AN5" i="64"/>
  <c r="AN32" i="64" s="1"/>
  <c r="BE134" i="14"/>
  <c r="EE272" i="48"/>
  <c r="CF186" i="14"/>
  <c r="CX115" i="33"/>
  <c r="CX117" i="33"/>
  <c r="CF239" i="15"/>
  <c r="J6" i="58"/>
  <c r="CV88" i="33"/>
  <c r="CV90" i="33" s="1"/>
  <c r="CV91" i="33" s="1"/>
  <c r="CV92" i="33" s="1"/>
  <c r="E6" i="74"/>
  <c r="E9" i="74" s="1"/>
  <c r="E10" i="74" s="1"/>
  <c r="CY143" i="33"/>
  <c r="CW160" i="33"/>
  <c r="CH108" i="33"/>
  <c r="CH110" i="33" s="1"/>
  <c r="CN144" i="33"/>
  <c r="CH88" i="33"/>
  <c r="CH90" i="33" s="1"/>
  <c r="CH91" i="33" s="1"/>
  <c r="CH92" i="33" s="1"/>
  <c r="CH145" i="33"/>
  <c r="BE108" i="14"/>
  <c r="M372" i="90"/>
  <c r="M96" i="15" s="1"/>
  <c r="CF237" i="15"/>
  <c r="CX108" i="33"/>
  <c r="CF138" i="15"/>
  <c r="CA80" i="15"/>
  <c r="CA96" i="15"/>
  <c r="M30" i="77" s="1"/>
  <c r="CV115" i="33"/>
  <c r="CV109" i="33"/>
  <c r="CV110" i="33" s="1"/>
  <c r="E66" i="56"/>
  <c r="E74" i="56" s="1"/>
  <c r="F74" i="56" s="1"/>
  <c r="CX93" i="33"/>
  <c r="CK83" i="14" s="1"/>
  <c r="CH143" i="33"/>
  <c r="BJ13" i="48"/>
  <c r="BJ18" i="48" s="1"/>
  <c r="CN160" i="33"/>
  <c r="BE125" i="14"/>
  <c r="CF175" i="15"/>
  <c r="BW13" i="48"/>
  <c r="BW18" i="48" s="1"/>
  <c r="CX19" i="33"/>
  <c r="CF240" i="15"/>
  <c r="CF176" i="15"/>
  <c r="AA4" i="58"/>
  <c r="AA10" i="58" s="1"/>
  <c r="U226" i="14"/>
  <c r="U227" i="14" s="1"/>
  <c r="BL96" i="15"/>
  <c r="BL97" i="15" s="1"/>
  <c r="BC38" i="48" s="1"/>
  <c r="F10" i="58"/>
  <c r="CJ80" i="15"/>
  <c r="BH80" i="15"/>
  <c r="BH81" i="15" s="1"/>
  <c r="CD115" i="33"/>
  <c r="CD161" i="33"/>
  <c r="CD109" i="33"/>
  <c r="CD108" i="33"/>
  <c r="CD117" i="33"/>
  <c r="CD19" i="33"/>
  <c r="CD17" i="33"/>
  <c r="CD145" i="33"/>
  <c r="CD16" i="33"/>
  <c r="E8" i="64"/>
  <c r="D34" i="52"/>
  <c r="D97" i="52" s="1"/>
  <c r="E26" i="48"/>
  <c r="H23" i="33"/>
  <c r="BE109" i="33"/>
  <c r="R163" i="33"/>
  <c r="H8" i="74"/>
  <c r="R147" i="33"/>
  <c r="Q147" i="33"/>
  <c r="Q163" i="33"/>
  <c r="BW66" i="48"/>
  <c r="I45" i="65"/>
  <c r="Q32" i="56"/>
  <c r="R32" i="56" s="1"/>
  <c r="Q89" i="33"/>
  <c r="AA9" i="57"/>
  <c r="G87" i="56"/>
  <c r="H87" i="56" s="1"/>
  <c r="Q20" i="77"/>
  <c r="CW147" i="33"/>
  <c r="CX163" i="33"/>
  <c r="BB336" i="77"/>
  <c r="CW89" i="33"/>
  <c r="N45" i="66"/>
  <c r="DB147" i="33"/>
  <c r="CW163" i="33"/>
  <c r="AW22" i="48"/>
  <c r="BS164" i="33"/>
  <c r="BS44" i="33"/>
  <c r="BR47" i="33"/>
  <c r="BR40" i="33"/>
  <c r="AQ41" i="33"/>
  <c r="AV148" i="33"/>
  <c r="AR39" i="33"/>
  <c r="AR44" i="33"/>
  <c r="AR47" i="33"/>
  <c r="AW40" i="33"/>
  <c r="AR114" i="33"/>
  <c r="AR42" i="33"/>
  <c r="AK110" i="14"/>
  <c r="AR40" i="33"/>
  <c r="AB22" i="48"/>
  <c r="AB36" i="48" s="1"/>
  <c r="AS110" i="33"/>
  <c r="Q238" i="33"/>
  <c r="Q239" i="33" s="1"/>
  <c r="CV239" i="33"/>
  <c r="AT20" i="48"/>
  <c r="BN37" i="33"/>
  <c r="BN104" i="33"/>
  <c r="BS146" i="33"/>
  <c r="BN20" i="33"/>
  <c r="BN146" i="33"/>
  <c r="BS39" i="33"/>
  <c r="AL147" i="33"/>
  <c r="AL36" i="33"/>
  <c r="AL37" i="33"/>
  <c r="AL164" i="33" s="1"/>
  <c r="AM163" i="33"/>
  <c r="BH110" i="14"/>
  <c r="BH94" i="15" s="1"/>
  <c r="BU44" i="33"/>
  <c r="BU42" i="33"/>
  <c r="AY22" i="48"/>
  <c r="BH28" i="12"/>
  <c r="BH33" i="12" s="1"/>
  <c r="C7" i="58"/>
  <c r="C8" i="58" s="1"/>
  <c r="BU114" i="33"/>
  <c r="BU164" i="33"/>
  <c r="BU47" i="33"/>
  <c r="BU39" i="33"/>
  <c r="BU40" i="33"/>
  <c r="BZ40" i="33"/>
  <c r="G23" i="33"/>
  <c r="AZ109" i="33"/>
  <c r="AK36" i="33"/>
  <c r="AK37" i="33"/>
  <c r="AQ147" i="33"/>
  <c r="BL108" i="33"/>
  <c r="BO15" i="33"/>
  <c r="BM16" i="33"/>
  <c r="BL17" i="33"/>
  <c r="BL16" i="33"/>
  <c r="BL117" i="33"/>
  <c r="AR13" i="48"/>
  <c r="AR18" i="48" s="1"/>
  <c r="BL109" i="33"/>
  <c r="BM161" i="33"/>
  <c r="BL19" i="33"/>
  <c r="BL161" i="33"/>
  <c r="BL115" i="33"/>
  <c r="BL145" i="33"/>
  <c r="CA19" i="33"/>
  <c r="BD13" i="48"/>
  <c r="BD18" i="48" s="1"/>
  <c r="CA115" i="33"/>
  <c r="CA109" i="33"/>
  <c r="CA17" i="33"/>
  <c r="CA108" i="33"/>
  <c r="H4" i="58"/>
  <c r="CA161" i="33"/>
  <c r="CB16" i="33"/>
  <c r="CA117" i="33"/>
  <c r="CB161" i="33"/>
  <c r="CA16" i="33"/>
  <c r="AX37" i="33"/>
  <c r="AX147" i="33"/>
  <c r="AX163" i="33"/>
  <c r="AY163" i="33"/>
  <c r="BC147" i="33"/>
  <c r="AL22" i="48"/>
  <c r="AL36" i="48" s="1"/>
  <c r="BD114" i="33"/>
  <c r="BD42" i="33"/>
  <c r="AU110" i="14"/>
  <c r="BD47" i="33"/>
  <c r="BD164" i="33"/>
  <c r="BF164" i="33"/>
  <c r="BF39" i="33"/>
  <c r="BF44" i="33"/>
  <c r="BD39" i="33"/>
  <c r="BD44" i="33"/>
  <c r="EB222" i="48"/>
  <c r="DZ278" i="48"/>
  <c r="EE222" i="48"/>
  <c r="X196" i="33"/>
  <c r="Y196" i="33" s="1"/>
  <c r="Z196" i="33" s="1"/>
  <c r="AA196" i="33" s="1"/>
  <c r="AZ108" i="33"/>
  <c r="G22" i="33"/>
  <c r="AZ24" i="33"/>
  <c r="AZ37" i="33" s="1"/>
  <c r="AH41" i="33"/>
  <c r="AH47" i="33"/>
  <c r="AJ42" i="33"/>
  <c r="AJ44" i="33"/>
  <c r="AJ39" i="33"/>
  <c r="CI163" i="33"/>
  <c r="CI147" i="33"/>
  <c r="CN147" i="33"/>
  <c r="F23" i="33"/>
  <c r="AU109" i="33"/>
  <c r="AU110" i="33" s="1"/>
  <c r="AU24" i="33"/>
  <c r="AS162" i="33"/>
  <c r="I125" i="14"/>
  <c r="I134" i="14"/>
  <c r="I128" i="14"/>
  <c r="I108" i="14"/>
  <c r="BQ115" i="33"/>
  <c r="BT15" i="33"/>
  <c r="BR161" i="33"/>
  <c r="BQ161" i="33"/>
  <c r="AV13" i="48"/>
  <c r="AV18" i="48" s="1"/>
  <c r="BQ109" i="33"/>
  <c r="BQ145" i="33"/>
  <c r="BQ19" i="33"/>
  <c r="BQ16" i="33"/>
  <c r="BQ17" i="33"/>
  <c r="BQ108" i="33"/>
  <c r="BQ110" i="33" s="1"/>
  <c r="BQ117" i="33"/>
  <c r="CA145" i="33"/>
  <c r="BV108" i="33"/>
  <c r="BV19" i="33"/>
  <c r="BV17" i="33"/>
  <c r="BV115" i="33"/>
  <c r="D4" i="58"/>
  <c r="BV109" i="33"/>
  <c r="AZ13" i="48"/>
  <c r="AZ18" i="48" s="1"/>
  <c r="BV145" i="33"/>
  <c r="BW161" i="33"/>
  <c r="BW16" i="33"/>
  <c r="BV117" i="33"/>
  <c r="BV161" i="33"/>
  <c r="BV16" i="33"/>
  <c r="BZ17" i="33"/>
  <c r="E13" i="48"/>
  <c r="E18" i="48" s="1"/>
  <c r="D4" i="71"/>
  <c r="F17" i="33"/>
  <c r="F161" i="33"/>
  <c r="F145" i="33"/>
  <c r="E19" i="33"/>
  <c r="BG104" i="33"/>
  <c r="BG36" i="33"/>
  <c r="BG20" i="33"/>
  <c r="AN20" i="48"/>
  <c r="BG146" i="33"/>
  <c r="BG37" i="33"/>
  <c r="AX110" i="33"/>
  <c r="AJ41" i="33"/>
  <c r="AJ47" i="33"/>
  <c r="AO39" i="33"/>
  <c r="AN39" i="33"/>
  <c r="AN42" i="33"/>
  <c r="AN114" i="33"/>
  <c r="AN164" i="33"/>
  <c r="AH110" i="14"/>
  <c r="AN40" i="33"/>
  <c r="AN44" i="33"/>
  <c r="AO44" i="33"/>
  <c r="AO164" i="33"/>
  <c r="E36" i="33"/>
  <c r="E47" i="33" s="1"/>
  <c r="E55" i="33" s="1"/>
  <c r="BU166" i="33"/>
  <c r="W189" i="33"/>
  <c r="W192" i="33" s="1"/>
  <c r="X189" i="33" s="1"/>
  <c r="X192" i="33" s="1"/>
  <c r="Y189" i="33" s="1"/>
  <c r="Y192" i="33" s="1"/>
  <c r="Z189" i="33" s="1"/>
  <c r="Z192" i="33" s="1"/>
  <c r="AA189" i="33" s="1"/>
  <c r="AA192" i="33" s="1"/>
  <c r="AB189" i="33" s="1"/>
  <c r="AB192" i="33" s="1"/>
  <c r="AC189" i="33" s="1"/>
  <c r="AC192" i="33" s="1"/>
  <c r="AD189" i="33" s="1"/>
  <c r="AD192" i="33" s="1"/>
  <c r="F18" i="33"/>
  <c r="AU19" i="33"/>
  <c r="BE24" i="33"/>
  <c r="BE37" i="33" s="1"/>
  <c r="H22" i="33"/>
  <c r="H24" i="33" s="1"/>
  <c r="BE108" i="33"/>
  <c r="BE110" i="33" s="1"/>
  <c r="O163" i="33"/>
  <c r="N89" i="33"/>
  <c r="N163" i="33"/>
  <c r="F45" i="65"/>
  <c r="O147" i="33"/>
  <c r="N147" i="33"/>
  <c r="AW162" i="33"/>
  <c r="AV162" i="33"/>
  <c r="AA22" i="48"/>
  <c r="AA36" i="48" s="1"/>
  <c r="AQ114" i="33"/>
  <c r="AQ42" i="33"/>
  <c r="AQ39" i="33"/>
  <c r="AR164" i="33"/>
  <c r="AQ44" i="33"/>
  <c r="AQ47" i="33"/>
  <c r="AJ110" i="14"/>
  <c r="AQ40" i="33"/>
  <c r="AV40" i="33"/>
  <c r="BP44" i="33"/>
  <c r="AU22" i="48"/>
  <c r="BP42" i="33"/>
  <c r="BP40" i="33"/>
  <c r="BP114" i="33"/>
  <c r="BD110" i="14"/>
  <c r="BD94" i="15" s="1"/>
  <c r="BP39" i="33"/>
  <c r="BP47" i="33"/>
  <c r="CA66" i="48"/>
  <c r="BB91" i="77"/>
  <c r="U89" i="33"/>
  <c r="U163" i="33"/>
  <c r="BB20" i="33"/>
  <c r="AJ20" i="48"/>
  <c r="BB104" i="33"/>
  <c r="BB37" i="33"/>
  <c r="BB146" i="33"/>
  <c r="BB36" i="33"/>
  <c r="BJ109" i="33"/>
  <c r="BJ117" i="33"/>
  <c r="BJ17" i="33"/>
  <c r="BJ16" i="33"/>
  <c r="BJ115" i="33"/>
  <c r="BJ108" i="33"/>
  <c r="BJ19" i="33"/>
  <c r="AS163" i="33"/>
  <c r="AT163" i="33"/>
  <c r="AS37" i="33"/>
  <c r="AS147" i="33"/>
  <c r="Q165" i="33"/>
  <c r="R165" i="33"/>
  <c r="AU78" i="57"/>
  <c r="AW78" i="57" s="1"/>
  <c r="O18" i="57"/>
  <c r="M18" i="57"/>
  <c r="I32" i="53"/>
  <c r="AL149" i="33"/>
  <c r="R149" i="33"/>
  <c r="R168" i="33"/>
  <c r="CI184" i="14"/>
  <c r="R9" i="15"/>
  <c r="AI313" i="90"/>
  <c r="AO55" i="33"/>
  <c r="AL163" i="33"/>
  <c r="CN172" i="14"/>
  <c r="CN185" i="14"/>
  <c r="BK55" i="33"/>
  <c r="BK48" i="33"/>
  <c r="BK116" i="33"/>
  <c r="BK150" i="33"/>
  <c r="CK211" i="33"/>
  <c r="CJ222" i="33"/>
  <c r="CJ223" i="33" s="1"/>
  <c r="I104" i="33"/>
  <c r="I37" i="33"/>
  <c r="I20" i="33"/>
  <c r="I20" i="48"/>
  <c r="DQ196" i="33"/>
  <c r="AV80" i="15"/>
  <c r="AV81" i="15" s="1"/>
  <c r="DM157" i="33"/>
  <c r="DQ141" i="33"/>
  <c r="CP19" i="14"/>
  <c r="CP164" i="14"/>
  <c r="CP18" i="14" s="1"/>
  <c r="N80" i="15"/>
  <c r="N96" i="15"/>
  <c r="G372" i="90"/>
  <c r="CN80" i="15"/>
  <c r="CN96" i="15"/>
  <c r="Z30" i="77" s="1"/>
  <c r="AJ80" i="15"/>
  <c r="AJ81" i="15" s="1"/>
  <c r="AJ96" i="15"/>
  <c r="M80" i="15"/>
  <c r="N76" i="90"/>
  <c r="O75" i="90"/>
  <c r="O76" i="90" s="1"/>
  <c r="O81" i="90"/>
  <c r="N82" i="90"/>
  <c r="P88" i="90"/>
  <c r="Q87" i="90"/>
  <c r="Q88" i="90" s="1"/>
  <c r="BW219" i="14"/>
  <c r="BZ58" i="33"/>
  <c r="BZ61" i="33"/>
  <c r="BZ63" i="33" s="1"/>
  <c r="AG14" i="77"/>
  <c r="AG16" i="77" s="1"/>
  <c r="AH19" i="77"/>
  <c r="AH21" i="77"/>
  <c r="AH29" i="77"/>
  <c r="CV830" i="12"/>
  <c r="AF11" i="77"/>
  <c r="AF16" i="77"/>
  <c r="AE27" i="77"/>
  <c r="AE22" i="77"/>
  <c r="DR11" i="33"/>
  <c r="DR12" i="33"/>
  <c r="DR158" i="33" s="1"/>
  <c r="BZ232" i="12"/>
  <c r="CF232" i="12"/>
  <c r="X37" i="14"/>
  <c r="Y37" i="14" s="1"/>
  <c r="Z37" i="14" s="1"/>
  <c r="AA37" i="14" s="1"/>
  <c r="AB37" i="14" s="1"/>
  <c r="AC37" i="14" s="1"/>
  <c r="AD37" i="14" s="1"/>
  <c r="O90" i="52"/>
  <c r="O87" i="52"/>
  <c r="O89" i="52"/>
  <c r="O88" i="52"/>
  <c r="O92" i="52"/>
  <c r="CZ24" i="14"/>
  <c r="DA24" i="14" s="1"/>
  <c r="X17" i="14"/>
  <c r="Y17" i="14" s="1"/>
  <c r="Z17" i="14" s="1"/>
  <c r="AA17" i="14" s="1"/>
  <c r="AB17" i="14" s="1"/>
  <c r="AC17" i="14" s="1"/>
  <c r="AD17" i="14" s="1"/>
  <c r="DA70" i="14"/>
  <c r="CZ97" i="14"/>
  <c r="G111" i="53"/>
  <c r="G140" i="53"/>
  <c r="G142" i="53" s="1"/>
  <c r="BI80" i="14"/>
  <c r="BJ81" i="14" s="1"/>
  <c r="BJ79" i="14"/>
  <c r="BY68" i="14"/>
  <c r="BX100" i="14"/>
  <c r="X58" i="14"/>
  <c r="Y58" i="14" s="1"/>
  <c r="Z58" i="14" s="1"/>
  <c r="AA58" i="14" s="1"/>
  <c r="AB58" i="14" s="1"/>
  <c r="AC58" i="14" s="1"/>
  <c r="AD58" i="14" s="1"/>
  <c r="X21" i="14"/>
  <c r="Y21" i="14" s="1"/>
  <c r="Z21" i="14" s="1"/>
  <c r="AA21" i="14" s="1"/>
  <c r="AB21" i="14" s="1"/>
  <c r="AC21" i="14" s="1"/>
  <c r="AD21" i="14" s="1"/>
  <c r="DA100" i="14"/>
  <c r="DB68" i="14"/>
  <c r="X25" i="14"/>
  <c r="Y25" i="14" s="1"/>
  <c r="Z25" i="14" s="1"/>
  <c r="AA25" i="14" s="1"/>
  <c r="AB25" i="14" s="1"/>
  <c r="AC25" i="14" s="1"/>
  <c r="AD25" i="14" s="1"/>
  <c r="BW64" i="14"/>
  <c r="F78" i="66"/>
  <c r="DA11" i="15"/>
  <c r="DB219" i="14"/>
  <c r="CJ121" i="14"/>
  <c r="S121" i="14" s="1"/>
  <c r="S122" i="14" s="1"/>
  <c r="X65" i="14"/>
  <c r="Y65" i="14" s="1"/>
  <c r="Z65" i="14" s="1"/>
  <c r="AA65" i="14" s="1"/>
  <c r="AB65" i="14" s="1"/>
  <c r="AC65" i="14" s="1"/>
  <c r="AD65" i="14" s="1"/>
  <c r="X12" i="14"/>
  <c r="Y12" i="14" s="1"/>
  <c r="Z12" i="14" s="1"/>
  <c r="AA12" i="14" s="1"/>
  <c r="AB12" i="14" s="1"/>
  <c r="AC12" i="14" s="1"/>
  <c r="AD12" i="14" s="1"/>
  <c r="X13" i="14"/>
  <c r="Y13" i="14" s="1"/>
  <c r="Z13" i="14" s="1"/>
  <c r="AA13" i="14" s="1"/>
  <c r="AB13" i="14" s="1"/>
  <c r="AC13" i="14" s="1"/>
  <c r="AD13" i="14" s="1"/>
  <c r="DB43" i="14"/>
  <c r="X44" i="14"/>
  <c r="Y44" i="14" s="1"/>
  <c r="Z44" i="14" s="1"/>
  <c r="AA44" i="14" s="1"/>
  <c r="AB44" i="14" s="1"/>
  <c r="AC44" i="14" s="1"/>
  <c r="AD44" i="14" s="1"/>
  <c r="X109" i="14"/>
  <c r="Y109" i="14" s="1"/>
  <c r="Z109" i="14" s="1"/>
  <c r="AA109" i="14" s="1"/>
  <c r="AB109" i="14" s="1"/>
  <c r="AC109" i="14" s="1"/>
  <c r="AD109" i="14" s="1"/>
  <c r="X10" i="14"/>
  <c r="Y10" i="14" s="1"/>
  <c r="Z10" i="14" s="1"/>
  <c r="AA10" i="14" s="1"/>
  <c r="AB10" i="14" s="1"/>
  <c r="AC10" i="14" s="1"/>
  <c r="AD10" i="14" s="1"/>
  <c r="DF159" i="33"/>
  <c r="H143" i="33"/>
  <c r="L19" i="33"/>
  <c r="L36" i="33" s="1"/>
  <c r="L115" i="33"/>
  <c r="D193" i="65"/>
  <c r="D191" i="65" s="1"/>
  <c r="D95" i="65" s="1"/>
  <c r="D93" i="65" s="1"/>
  <c r="L117" i="33"/>
  <c r="L106" i="14"/>
  <c r="L79" i="14" s="1"/>
  <c r="L108" i="33"/>
  <c r="L13" i="48"/>
  <c r="K4" i="71"/>
  <c r="K10" i="71" s="1"/>
  <c r="D28" i="53"/>
  <c r="D40" i="53" s="1"/>
  <c r="D44" i="65"/>
  <c r="L109" i="33"/>
  <c r="L110" i="33" s="1"/>
  <c r="I4" i="71"/>
  <c r="I10" i="71" s="1"/>
  <c r="J13" i="48"/>
  <c r="J18" i="48" s="1"/>
  <c r="J145" i="33"/>
  <c r="J117" i="33"/>
  <c r="J109" i="33"/>
  <c r="J106" i="14"/>
  <c r="J19" i="33"/>
  <c r="J37" i="33" s="1"/>
  <c r="J108" i="33"/>
  <c r="J17" i="33"/>
  <c r="J115" i="33"/>
  <c r="J161" i="33"/>
  <c r="BX110" i="33"/>
  <c r="H5" i="58"/>
  <c r="G5" i="58"/>
  <c r="N14" i="48"/>
  <c r="M15" i="33"/>
  <c r="M143" i="33"/>
  <c r="K15" i="33"/>
  <c r="K117" i="33" s="1"/>
  <c r="L14" i="48"/>
  <c r="K143" i="33"/>
  <c r="L143" i="33"/>
  <c r="BX37" i="33"/>
  <c r="CC146" i="33"/>
  <c r="BX146" i="33"/>
  <c r="BX104" i="33"/>
  <c r="BB20" i="48"/>
  <c r="BX20" i="33"/>
  <c r="BY16" i="33"/>
  <c r="BY109" i="33"/>
  <c r="BY115" i="33"/>
  <c r="BY17" i="33"/>
  <c r="BY19" i="33"/>
  <c r="BY117" i="33"/>
  <c r="BY108" i="33"/>
  <c r="I17" i="33"/>
  <c r="H115" i="33"/>
  <c r="G4" i="71"/>
  <c r="H117" i="33"/>
  <c r="H145" i="33"/>
  <c r="H19" i="33"/>
  <c r="H108" i="33"/>
  <c r="H161" i="33"/>
  <c r="H109" i="33"/>
  <c r="I161" i="33"/>
  <c r="I145" i="33"/>
  <c r="H13" i="48"/>
  <c r="H18" i="48" s="1"/>
  <c r="H17" i="33"/>
  <c r="H106" i="14"/>
  <c r="H108" i="14" s="1"/>
  <c r="W261" i="12"/>
  <c r="Y346" i="90"/>
  <c r="DR186" i="33"/>
  <c r="W180" i="33"/>
  <c r="W185" i="33" s="1"/>
  <c r="V69" i="14"/>
  <c r="CZ69" i="14"/>
  <c r="V565" i="12"/>
  <c r="V35" i="80" s="1"/>
  <c r="V36" i="80" s="1"/>
  <c r="CZ565" i="12"/>
  <c r="H17" i="59"/>
  <c r="I14" i="59"/>
  <c r="CZ248" i="12"/>
  <c r="CZ250" i="12"/>
  <c r="AM51" i="77"/>
  <c r="CZ471" i="12"/>
  <c r="X362" i="58"/>
  <c r="AI361" i="58"/>
  <c r="DJ115" i="33"/>
  <c r="DA679" i="12"/>
  <c r="DB678" i="12"/>
  <c r="AN22" i="64"/>
  <c r="AM35" i="77"/>
  <c r="CZ44" i="12"/>
  <c r="CZ52" i="12"/>
  <c r="CZ45" i="12"/>
  <c r="CZ53" i="12"/>
  <c r="AM45" i="77"/>
  <c r="CZ634" i="12"/>
  <c r="BS17" i="80"/>
  <c r="O60" i="77"/>
  <c r="DB492" i="12"/>
  <c r="DA10" i="12"/>
  <c r="DS11" i="33" s="1"/>
  <c r="DB493" i="12"/>
  <c r="DA11" i="12"/>
  <c r="DS12" i="33" s="1"/>
  <c r="K96" i="15"/>
  <c r="CI96" i="15"/>
  <c r="U30" i="77" s="1"/>
  <c r="L80" i="15"/>
  <c r="BR219" i="14"/>
  <c r="BR226" i="14" s="1"/>
  <c r="BP78" i="15"/>
  <c r="BP81" i="15" s="1"/>
  <c r="BP76" i="15"/>
  <c r="U172" i="14"/>
  <c r="CW223" i="90"/>
  <c r="CW225" i="90" s="1"/>
  <c r="CW357" i="90" s="1"/>
  <c r="N111" i="53"/>
  <c r="N140" i="53"/>
  <c r="N142" i="53" s="1"/>
  <c r="N215" i="14"/>
  <c r="O212" i="14" s="1"/>
  <c r="O215" i="14" s="1"/>
  <c r="P212" i="14" s="1"/>
  <c r="P215" i="14" s="1"/>
  <c r="Q212" i="14" s="1"/>
  <c r="Q215" i="14" s="1"/>
  <c r="R212" i="14" s="1"/>
  <c r="R215" i="14" s="1"/>
  <c r="S212" i="14" s="1"/>
  <c r="S215" i="14" s="1"/>
  <c r="T212" i="14" s="1"/>
  <c r="T215" i="14" s="1"/>
  <c r="U212" i="14" s="1"/>
  <c r="U215" i="14" s="1"/>
  <c r="V212" i="14" s="1"/>
  <c r="V215" i="14" s="1"/>
  <c r="W212" i="14" s="1"/>
  <c r="W215" i="14" s="1"/>
  <c r="CU357" i="90"/>
  <c r="J140" i="53"/>
  <c r="J142" i="53" s="1"/>
  <c r="CS702" i="12"/>
  <c r="BJ141" i="77"/>
  <c r="CS122" i="14"/>
  <c r="I111" i="53"/>
  <c r="I140" i="53"/>
  <c r="I142" i="53" s="1"/>
  <c r="M140" i="53"/>
  <c r="M142" i="53" s="1"/>
  <c r="M111" i="53"/>
  <c r="BK10" i="48"/>
  <c r="BK35" i="48"/>
  <c r="R140" i="53"/>
  <c r="R142" i="53" s="1"/>
  <c r="R111" i="53"/>
  <c r="Q111" i="53"/>
  <c r="Q140" i="53"/>
  <c r="Q142" i="53" s="1"/>
  <c r="Q120" i="15"/>
  <c r="Q132" i="15" s="1"/>
  <c r="Q185" i="14"/>
  <c r="U133" i="14"/>
  <c r="U185" i="14" s="1"/>
  <c r="U702" i="12"/>
  <c r="L111" i="53"/>
  <c r="L140" i="53"/>
  <c r="L142" i="53" s="1"/>
  <c r="BJ90" i="77"/>
  <c r="CV702" i="12"/>
  <c r="BU121" i="14"/>
  <c r="BU122" i="14" s="1"/>
  <c r="BQ227" i="14"/>
  <c r="Q96" i="15"/>
  <c r="AM4" i="58"/>
  <c r="AM10" i="58" s="1"/>
  <c r="BK134" i="77"/>
  <c r="DK143" i="33"/>
  <c r="P175" i="71"/>
  <c r="AM49" i="77"/>
  <c r="AM73" i="77"/>
  <c r="AH364" i="58"/>
  <c r="P18" i="59"/>
  <c r="O7" i="80"/>
  <c r="M17" i="59"/>
  <c r="X15" i="77"/>
  <c r="X11" i="77"/>
  <c r="X12" i="77" s="1"/>
  <c r="F19" i="77"/>
  <c r="T29" i="77"/>
  <c r="AA16" i="77"/>
  <c r="T15" i="77"/>
  <c r="T21" i="77"/>
  <c r="T27" i="77" s="1"/>
  <c r="T31" i="77" s="1"/>
  <c r="Z15" i="77"/>
  <c r="L60" i="77"/>
  <c r="Z59" i="77"/>
  <c r="S57" i="77"/>
  <c r="P11" i="77"/>
  <c r="T12" i="77" s="1"/>
  <c r="O16" i="77"/>
  <c r="AD11" i="77"/>
  <c r="AD21" i="77" s="1"/>
  <c r="AH15" i="77"/>
  <c r="AE16" i="77"/>
  <c r="T16" i="77"/>
  <c r="BZ239" i="12"/>
  <c r="BZ368" i="12" s="1"/>
  <c r="BY232" i="12"/>
  <c r="BY239" i="12"/>
  <c r="BY368" i="12" s="1"/>
  <c r="V261" i="12"/>
  <c r="BZ230" i="12"/>
  <c r="BZ353" i="12" s="1"/>
  <c r="BZ354" i="12" s="1"/>
  <c r="BY230" i="12"/>
  <c r="BY353" i="12" s="1"/>
  <c r="K31" i="33"/>
  <c r="BM69" i="33"/>
  <c r="BM73" i="33" s="1"/>
  <c r="BS166" i="33"/>
  <c r="BS116" i="33"/>
  <c r="X281" i="58"/>
  <c r="W276" i="58"/>
  <c r="V276" i="58"/>
  <c r="AI366" i="58"/>
  <c r="Y355" i="58"/>
  <c r="AJ283" i="58"/>
  <c r="AB362" i="58"/>
  <c r="AE364" i="58"/>
  <c r="V281" i="58"/>
  <c r="W281" i="58"/>
  <c r="AA369" i="58"/>
  <c r="CC230" i="12"/>
  <c r="BZ241" i="12"/>
  <c r="Y639" i="12"/>
  <c r="Y635" i="12"/>
  <c r="S59" i="77"/>
  <c r="DL13" i="33"/>
  <c r="R59" i="77"/>
  <c r="P60" i="77"/>
  <c r="G58" i="77"/>
  <c r="CO649" i="12"/>
  <c r="AQ281" i="58"/>
  <c r="AI365" i="58"/>
  <c r="H14" i="59"/>
  <c r="AM489" i="58"/>
  <c r="W282" i="58"/>
  <c r="W283" i="58" s="1"/>
  <c r="V10" i="12"/>
  <c r="V11" i="33" s="1"/>
  <c r="CO121" i="14"/>
  <c r="CO122" i="14" s="1"/>
  <c r="AD366" i="58"/>
  <c r="CA346" i="12"/>
  <c r="CB346" i="12" s="1"/>
  <c r="CU158" i="33"/>
  <c r="N10" i="57"/>
  <c r="CX149" i="33"/>
  <c r="S13" i="33"/>
  <c r="AE361" i="58"/>
  <c r="AE362" i="58" s="1"/>
  <c r="CU13" i="33"/>
  <c r="CU15" i="33" s="1"/>
  <c r="CR238" i="15"/>
  <c r="CR240" i="15"/>
  <c r="DJ108" i="33"/>
  <c r="DJ117" i="33"/>
  <c r="J61" i="77"/>
  <c r="S139" i="33"/>
  <c r="V61" i="77"/>
  <c r="O700" i="12"/>
  <c r="O701" i="12" s="1"/>
  <c r="CO838" i="12"/>
  <c r="CO844" i="12" s="1"/>
  <c r="T280" i="58"/>
  <c r="T281" i="58" s="1"/>
  <c r="T276" i="58"/>
  <c r="CH302" i="12"/>
  <c r="CH835" i="12"/>
  <c r="I17" i="59"/>
  <c r="S15" i="77"/>
  <c r="AM359" i="58"/>
  <c r="AN214" i="58"/>
  <c r="AM22" i="64"/>
  <c r="CS149" i="33"/>
  <c r="AJ111" i="58"/>
  <c r="AB355" i="58"/>
  <c r="CR186" i="14"/>
  <c r="CR239" i="15"/>
  <c r="CR654" i="12"/>
  <c r="DJ19" i="33"/>
  <c r="CR671" i="12"/>
  <c r="CR673" i="12"/>
  <c r="P166" i="12"/>
  <c r="CA240" i="12"/>
  <c r="S11" i="77"/>
  <c r="S19" i="77" s="1"/>
  <c r="Z61" i="77"/>
  <c r="O10" i="15"/>
  <c r="CJ230" i="12"/>
  <c r="CC232" i="12"/>
  <c r="K25" i="12"/>
  <c r="L26" i="12" s="1"/>
  <c r="D29" i="53" s="1"/>
  <c r="H59" i="77"/>
  <c r="CV158" i="33"/>
  <c r="AT70" i="57"/>
  <c r="AV70" i="57" s="1"/>
  <c r="AJ113" i="58"/>
  <c r="AI364" i="58"/>
  <c r="AJ281" i="58"/>
  <c r="AM364" i="58"/>
  <c r="CR237" i="15"/>
  <c r="CR176" i="15"/>
  <c r="DJ88" i="33"/>
  <c r="DJ90" i="33" s="1"/>
  <c r="DJ91" i="33" s="1"/>
  <c r="DJ92" i="33" s="1"/>
  <c r="DJ97" i="33" s="1"/>
  <c r="DJ98" i="33" s="1"/>
  <c r="DJ99" i="33" s="1"/>
  <c r="CS86" i="14" s="1"/>
  <c r="D17" i="59"/>
  <c r="CS827" i="12"/>
  <c r="CT830" i="12" s="1"/>
  <c r="AN358" i="58"/>
  <c r="AN363" i="58" s="1"/>
  <c r="Q171" i="71"/>
  <c r="S686" i="12"/>
  <c r="U42" i="80"/>
  <c r="AD15" i="77"/>
  <c r="DH143" i="33"/>
  <c r="BI8" i="80"/>
  <c r="L61" i="77"/>
  <c r="AL214" i="58"/>
  <c r="T168" i="71"/>
  <c r="AR489" i="58"/>
  <c r="BZ10" i="80"/>
  <c r="BV11" i="80"/>
  <c r="BW11" i="80"/>
  <c r="BV10" i="80"/>
  <c r="S667" i="12"/>
  <c r="S16" i="48" s="1"/>
  <c r="T665" i="12"/>
  <c r="AF357" i="58"/>
  <c r="AF363" i="58"/>
  <c r="AF364" i="58" s="1"/>
  <c r="AE357" i="58"/>
  <c r="L16" i="48"/>
  <c r="M26" i="12"/>
  <c r="E29" i="53" s="1"/>
  <c r="L670" i="12"/>
  <c r="Y358" i="58"/>
  <c r="Z359" i="58" s="1"/>
  <c r="CD827" i="12"/>
  <c r="CE830" i="12" s="1"/>
  <c r="AN361" i="58"/>
  <c r="CJ504" i="12"/>
  <c r="CJ836" i="12"/>
  <c r="Z363" i="58"/>
  <c r="AA364" i="58" s="1"/>
  <c r="O625" i="12"/>
  <c r="O685" i="12"/>
  <c r="P625" i="12"/>
  <c r="BU7" i="80"/>
  <c r="BQ8" i="80"/>
  <c r="BL16" i="48"/>
  <c r="BU670" i="12"/>
  <c r="T490" i="58"/>
  <c r="BP16" i="48"/>
  <c r="BY670" i="12"/>
  <c r="K32" i="57"/>
  <c r="CF830" i="12"/>
  <c r="CI829" i="12"/>
  <c r="CE828" i="12"/>
  <c r="BQ7" i="80"/>
  <c r="CC10" i="80"/>
  <c r="BY10" i="80"/>
  <c r="CC844" i="12"/>
  <c r="CC847" i="12" s="1"/>
  <c r="U491" i="58"/>
  <c r="BQ17" i="48"/>
  <c r="BZ500" i="12"/>
  <c r="Q495" i="12"/>
  <c r="Q497" i="12"/>
  <c r="M17" i="48" s="1"/>
  <c r="BX43" i="48"/>
  <c r="BW43" i="48"/>
  <c r="BW44" i="48"/>
  <c r="CU142" i="33"/>
  <c r="CK155" i="33"/>
  <c r="CK139" i="33"/>
  <c r="CD232" i="12"/>
  <c r="M495" i="12"/>
  <c r="N495" i="12"/>
  <c r="BZ837" i="12"/>
  <c r="BZ674" i="12"/>
  <c r="BS79" i="14"/>
  <c r="BS128" i="14"/>
  <c r="BS134" i="14"/>
  <c r="BS108" i="14"/>
  <c r="BS81" i="14"/>
  <c r="BS125" i="14"/>
  <c r="S18" i="64"/>
  <c r="S19" i="64" s="1"/>
  <c r="S14" i="12"/>
  <c r="S822" i="12"/>
  <c r="S828" i="12" s="1"/>
  <c r="S490" i="58"/>
  <c r="BX670" i="12"/>
  <c r="BO16" i="48"/>
  <c r="CR122" i="14"/>
  <c r="CT829" i="12"/>
  <c r="S515" i="12"/>
  <c r="S494" i="12"/>
  <c r="T495" i="12" s="1"/>
  <c r="CH10" i="80"/>
  <c r="CH11" i="80"/>
  <c r="O110" i="71"/>
  <c r="O112" i="71" s="1"/>
  <c r="P106" i="71"/>
  <c r="CS500" i="12"/>
  <c r="AN491" i="58"/>
  <c r="CN503" i="12"/>
  <c r="CN501" i="12"/>
  <c r="BP301" i="12"/>
  <c r="BP302" i="12" s="1"/>
  <c r="BP299" i="12"/>
  <c r="BN670" i="12"/>
  <c r="BE16" i="48"/>
  <c r="BE18" i="48" s="1"/>
  <c r="X58" i="77"/>
  <c r="X60" i="77"/>
  <c r="U6" i="80"/>
  <c r="U24" i="64"/>
  <c r="U27" i="64" s="1"/>
  <c r="CD230" i="12"/>
  <c r="N8" i="59"/>
  <c r="O9" i="59" s="1"/>
  <c r="O5" i="59"/>
  <c r="BU16" i="48"/>
  <c r="BU18" i="48" s="1"/>
  <c r="Y490" i="58"/>
  <c r="CD670" i="12"/>
  <c r="U120" i="14"/>
  <c r="CU121" i="14"/>
  <c r="CU122" i="14" s="1"/>
  <c r="DG140" i="33"/>
  <c r="DB156" i="33"/>
  <c r="DC156" i="33"/>
  <c r="DB13" i="33"/>
  <c r="DB159" i="33" s="1"/>
  <c r="CH282" i="12"/>
  <c r="R281" i="12"/>
  <c r="CI282" i="12"/>
  <c r="Q826" i="12"/>
  <c r="P305" i="71" s="1"/>
  <c r="P15" i="80"/>
  <c r="O303" i="71"/>
  <c r="CC14" i="80"/>
  <c r="CA16" i="48"/>
  <c r="AE490" i="58"/>
  <c r="CJ670" i="12"/>
  <c r="M673" i="12"/>
  <c r="M674" i="12" s="1"/>
  <c r="M671" i="12"/>
  <c r="AL60" i="77"/>
  <c r="DG159" i="33"/>
  <c r="M500" i="12"/>
  <c r="I17" i="48"/>
  <c r="I18" i="48" s="1"/>
  <c r="CT500" i="12"/>
  <c r="AO491" i="58"/>
  <c r="N9" i="80"/>
  <c r="O10" i="80" s="1"/>
  <c r="O826" i="12"/>
  <c r="N305" i="71" s="1"/>
  <c r="DL141" i="33"/>
  <c r="DL157" i="33"/>
  <c r="CP501" i="12"/>
  <c r="CP503" i="12"/>
  <c r="CB240" i="12"/>
  <c r="CC166" i="12"/>
  <c r="CJ14" i="12"/>
  <c r="CJ822" i="12"/>
  <c r="CN46" i="12"/>
  <c r="CK819" i="12"/>
  <c r="CK818" i="12" s="1"/>
  <c r="CJ38" i="12"/>
  <c r="CJ820" i="12"/>
  <c r="CJ818" i="12" s="1"/>
  <c r="CJ54" i="12"/>
  <c r="CJ46" i="12"/>
  <c r="CL384" i="12"/>
  <c r="CI385" i="12"/>
  <c r="BI17" i="48"/>
  <c r="BR500" i="12"/>
  <c r="CH500" i="12"/>
  <c r="AC491" i="58"/>
  <c r="BY17" i="48"/>
  <c r="P171" i="71"/>
  <c r="R686" i="12"/>
  <c r="Q686" i="12"/>
  <c r="CF671" i="12"/>
  <c r="CF673" i="12"/>
  <c r="CN670" i="12"/>
  <c r="AI490" i="58"/>
  <c r="T18" i="64"/>
  <c r="T21" i="64" s="1"/>
  <c r="T14" i="12"/>
  <c r="T38" i="12" s="1"/>
  <c r="T822" i="12"/>
  <c r="T829" i="12"/>
  <c r="S829" i="12"/>
  <c r="CM139" i="33"/>
  <c r="DZ211" i="48"/>
  <c r="AG281" i="58"/>
  <c r="Q216" i="58"/>
  <c r="DJ109" i="33"/>
  <c r="BJ151" i="77"/>
  <c r="BJ158" i="77" s="1"/>
  <c r="X215" i="58"/>
  <c r="Y214" i="58"/>
  <c r="DI143" i="33"/>
  <c r="R11" i="77"/>
  <c r="R19" i="77" s="1"/>
  <c r="S16" i="77"/>
  <c r="DM158" i="33"/>
  <c r="AQ111" i="58"/>
  <c r="DM13" i="33"/>
  <c r="DM143" i="33" s="1"/>
  <c r="CX94" i="33"/>
  <c r="CK84" i="14" s="1"/>
  <c r="P121" i="14"/>
  <c r="P122" i="14" s="1"/>
  <c r="AF282" i="58"/>
  <c r="AK364" i="58"/>
  <c r="AI29" i="64"/>
  <c r="O12" i="57"/>
  <c r="M12" i="57"/>
  <c r="AM27" i="64"/>
  <c r="AM29" i="64"/>
  <c r="CB14" i="48"/>
  <c r="DC143" i="33"/>
  <c r="AJ362" i="58"/>
  <c r="AI362" i="58"/>
  <c r="BW20" i="48"/>
  <c r="DM156" i="33"/>
  <c r="AJ29" i="64"/>
  <c r="CG82" i="14"/>
  <c r="O27" i="64"/>
  <c r="U29" i="64"/>
  <c r="AF281" i="58"/>
  <c r="AS369" i="58"/>
  <c r="BV224" i="14"/>
  <c r="CV19" i="33"/>
  <c r="M192" i="66"/>
  <c r="M190" i="66" s="1"/>
  <c r="CL10" i="33"/>
  <c r="CQ140" i="33" s="1"/>
  <c r="F9" i="59"/>
  <c r="T27" i="64"/>
  <c r="CN89" i="33"/>
  <c r="BV226" i="14"/>
  <c r="M14" i="59"/>
  <c r="U106" i="58"/>
  <c r="DH15" i="33"/>
  <c r="DH145" i="33" s="1"/>
  <c r="AK282" i="58"/>
  <c r="AK283" i="58" s="1"/>
  <c r="AK281" i="58"/>
  <c r="L12" i="57"/>
  <c r="AT72" i="57"/>
  <c r="AV72" i="57" s="1"/>
  <c r="N12" i="57"/>
  <c r="AB282" i="58"/>
  <c r="AB283" i="58" s="1"/>
  <c r="AB281" i="58"/>
  <c r="CN134" i="14"/>
  <c r="AM215" i="58"/>
  <c r="AN216" i="58" s="1"/>
  <c r="CH159" i="33"/>
  <c r="H80" i="15"/>
  <c r="CP80" i="15"/>
  <c r="T372" i="90"/>
  <c r="T96" i="15" s="1"/>
  <c r="BN96" i="15"/>
  <c r="BN80" i="15"/>
  <c r="CD96" i="15"/>
  <c r="P30" i="77" s="1"/>
  <c r="CD80" i="15"/>
  <c r="P80" i="15"/>
  <c r="P96" i="15"/>
  <c r="S96" i="15"/>
  <c r="S80" i="15"/>
  <c r="AW96" i="15"/>
  <c r="AW80" i="15"/>
  <c r="CT357" i="90"/>
  <c r="BJ80" i="15"/>
  <c r="BJ96" i="15"/>
  <c r="BJ97" i="15" s="1"/>
  <c r="BA38" i="48" s="1"/>
  <c r="BF80" i="15"/>
  <c r="BF96" i="15"/>
  <c r="BF97" i="15" s="1"/>
  <c r="AW38" i="48" s="1"/>
  <c r="BV80" i="15"/>
  <c r="BV96" i="15"/>
  <c r="H30" i="77" s="1"/>
  <c r="BB80" i="15"/>
  <c r="BB96" i="15"/>
  <c r="BQ96" i="15"/>
  <c r="BQ80" i="15"/>
  <c r="BQ81" i="15" s="1"/>
  <c r="BI80" i="15"/>
  <c r="BI96" i="15"/>
  <c r="O96" i="15"/>
  <c r="O80" i="15"/>
  <c r="R80" i="15"/>
  <c r="R96" i="15"/>
  <c r="AX96" i="15"/>
  <c r="AX97" i="15" s="1"/>
  <c r="AO38" i="48" s="1"/>
  <c r="AX80" i="15"/>
  <c r="BX96" i="15"/>
  <c r="J30" i="77" s="1"/>
  <c r="BX80" i="15"/>
  <c r="F80" i="15"/>
  <c r="F96" i="15"/>
  <c r="CE96" i="15"/>
  <c r="Q30" i="77" s="1"/>
  <c r="CE80" i="15"/>
  <c r="BZ80" i="15"/>
  <c r="BZ96" i="15"/>
  <c r="L30" i="77" s="1"/>
  <c r="BM80" i="15"/>
  <c r="BM81" i="15" s="1"/>
  <c r="BM96" i="15"/>
  <c r="AS148" i="33"/>
  <c r="E17" i="59"/>
  <c r="E18" i="59" s="1"/>
  <c r="AI355" i="58"/>
  <c r="DE159" i="33"/>
  <c r="DF115" i="33"/>
  <c r="DF108" i="33"/>
  <c r="CN240" i="15"/>
  <c r="CN237" i="15"/>
  <c r="CN175" i="15"/>
  <c r="AI4" i="58"/>
  <c r="AI10" i="58" s="1"/>
  <c r="CN176" i="15"/>
  <c r="CN239" i="15"/>
  <c r="CN654" i="12"/>
  <c r="CN238" i="15"/>
  <c r="DF88" i="33"/>
  <c r="DF90" i="33" s="1"/>
  <c r="DF91" i="33" s="1"/>
  <c r="DF92" i="33" s="1"/>
  <c r="DF19" i="33"/>
  <c r="DF20" i="33" s="1"/>
  <c r="DF117" i="33"/>
  <c r="O120" i="15"/>
  <c r="O132" i="15" s="1"/>
  <c r="O185" i="14"/>
  <c r="DA15" i="33"/>
  <c r="DA161" i="33" s="1"/>
  <c r="BZ14" i="48"/>
  <c r="DE143" i="33"/>
  <c r="P9" i="15"/>
  <c r="T106" i="71"/>
  <c r="CC14" i="48"/>
  <c r="DD15" i="33"/>
  <c r="H18" i="59"/>
  <c r="AM214" i="58"/>
  <c r="Q18" i="59"/>
  <c r="U16" i="64"/>
  <c r="BX355" i="12"/>
  <c r="CN108" i="14"/>
  <c r="DE15" i="33"/>
  <c r="CM186" i="14" s="1"/>
  <c r="BI14" i="48"/>
  <c r="AF362" i="58"/>
  <c r="AL362" i="58"/>
  <c r="V283" i="58"/>
  <c r="U215" i="58"/>
  <c r="U216" i="58" s="1"/>
  <c r="U214" i="58"/>
  <c r="K8" i="57"/>
  <c r="CV140" i="33"/>
  <c r="CR156" i="33"/>
  <c r="DD159" i="33"/>
  <c r="T16" i="64"/>
  <c r="W111" i="58"/>
  <c r="CN128" i="14"/>
  <c r="DF143" i="33"/>
  <c r="CG15" i="33"/>
  <c r="CH161" i="33" s="1"/>
  <c r="DA143" i="33"/>
  <c r="DI15" i="33"/>
  <c r="DJ159" i="33"/>
  <c r="CK176" i="15"/>
  <c r="CK239" i="15"/>
  <c r="CK238" i="15"/>
  <c r="DC17" i="33"/>
  <c r="DC108" i="33"/>
  <c r="CK237" i="15"/>
  <c r="BJ265" i="77"/>
  <c r="BJ272" i="77" s="1"/>
  <c r="CB13" i="48"/>
  <c r="CB18" i="48" s="1"/>
  <c r="AF4" i="58"/>
  <c r="AF10" i="58" s="1"/>
  <c r="DC117" i="33"/>
  <c r="CK186" i="14"/>
  <c r="DC19" i="33"/>
  <c r="DC109" i="33"/>
  <c r="DC88" i="33"/>
  <c r="DC90" i="33" s="1"/>
  <c r="DC91" i="33" s="1"/>
  <c r="DC92" i="33" s="1"/>
  <c r="CK240" i="15"/>
  <c r="DC115" i="33"/>
  <c r="CK175" i="15"/>
  <c r="DC145" i="33"/>
  <c r="DI159" i="33"/>
  <c r="AP112" i="58"/>
  <c r="AP113" i="58" s="1"/>
  <c r="AP111" i="58"/>
  <c r="CD829" i="12"/>
  <c r="CA830" i="12"/>
  <c r="S110" i="71"/>
  <c r="T111" i="71" s="1"/>
  <c r="AQ362" i="58"/>
  <c r="BW355" i="12"/>
  <c r="CN220" i="14"/>
  <c r="H16" i="78"/>
  <c r="CG159" i="33"/>
  <c r="DG15" i="33"/>
  <c r="DG16" i="33" s="1"/>
  <c r="DH159" i="33"/>
  <c r="CK34" i="12"/>
  <c r="CK35" i="12"/>
  <c r="CK30" i="12"/>
  <c r="CK38" i="12"/>
  <c r="CK106" i="14"/>
  <c r="CK39" i="12"/>
  <c r="CK37" i="12"/>
  <c r="CK25" i="12"/>
  <c r="CK36" i="12"/>
  <c r="CK49" i="12"/>
  <c r="AG110" i="58"/>
  <c r="AH111" i="58" s="1"/>
  <c r="AG106" i="58"/>
  <c r="AH106" i="58"/>
  <c r="CP141" i="33"/>
  <c r="CK141" i="33"/>
  <c r="CK157" i="33"/>
  <c r="CL157" i="33"/>
  <c r="AG366" i="58"/>
  <c r="AG365" i="58"/>
  <c r="V112" i="58"/>
  <c r="V113" i="58" s="1"/>
  <c r="V111" i="58"/>
  <c r="EN365" i="48"/>
  <c r="EN374" i="48" s="1"/>
  <c r="AL143" i="33"/>
  <c r="Q15" i="33"/>
  <c r="R14" i="48"/>
  <c r="DK15" i="33"/>
  <c r="DK159" i="33"/>
  <c r="V215" i="58"/>
  <c r="W214" i="58"/>
  <c r="AC106" i="58"/>
  <c r="AC110" i="58"/>
  <c r="CD122" i="14"/>
  <c r="Q121" i="14"/>
  <c r="Q122" i="14" s="1"/>
  <c r="CQ25" i="12"/>
  <c r="CQ49" i="12"/>
  <c r="Z215" i="58"/>
  <c r="AA214" i="58"/>
  <c r="Z214" i="58"/>
  <c r="R9" i="59"/>
  <c r="Q9" i="59"/>
  <c r="R215" i="58"/>
  <c r="R216" i="58" s="1"/>
  <c r="R214" i="58"/>
  <c r="CG12" i="80"/>
  <c r="AF354" i="58"/>
  <c r="CL823" i="12"/>
  <c r="CK828" i="12"/>
  <c r="W80" i="77"/>
  <c r="CK823" i="12"/>
  <c r="AC365" i="58"/>
  <c r="AC366" i="58"/>
  <c r="P238" i="33"/>
  <c r="P239" i="33" s="1"/>
  <c r="AB112" i="58"/>
  <c r="AB113" i="58" s="1"/>
  <c r="AB111" i="58"/>
  <c r="S29" i="64"/>
  <c r="S21" i="64"/>
  <c r="S22" i="64" s="1"/>
  <c r="S16" i="64"/>
  <c r="AN110" i="58"/>
  <c r="AO106" i="58"/>
  <c r="BX227" i="14"/>
  <c r="P226" i="14"/>
  <c r="P227" i="14" s="1"/>
  <c r="AA106" i="58"/>
  <c r="Z110" i="58"/>
  <c r="T110" i="58"/>
  <c r="T106" i="58"/>
  <c r="AH362" i="58"/>
  <c r="AG362" i="58"/>
  <c r="V106" i="58"/>
  <c r="CZ159" i="33"/>
  <c r="BX14" i="48"/>
  <c r="CY15" i="33"/>
  <c r="CZ161" i="33" s="1"/>
  <c r="CY159" i="33"/>
  <c r="CI122" i="14"/>
  <c r="R121" i="14"/>
  <c r="R122" i="14" s="1"/>
  <c r="Q149" i="33"/>
  <c r="Q168" i="33"/>
  <c r="CO823" i="12"/>
  <c r="AJ354" i="58"/>
  <c r="CP823" i="12"/>
  <c r="AA80" i="77"/>
  <c r="CO828" i="12"/>
  <c r="AC80" i="77"/>
  <c r="AC57" i="77" s="1"/>
  <c r="CQ823" i="12"/>
  <c r="CQ828" i="12"/>
  <c r="AL354" i="58"/>
  <c r="F80" i="77"/>
  <c r="BP12" i="80"/>
  <c r="CP49" i="12"/>
  <c r="CO41" i="12"/>
  <c r="CO35" i="12"/>
  <c r="CO106" i="14"/>
  <c r="CO39" i="12"/>
  <c r="CO34" i="12"/>
  <c r="CO25" i="12"/>
  <c r="CO27" i="12" s="1"/>
  <c r="CO38" i="12"/>
  <c r="CO49" i="12"/>
  <c r="CO30" i="12"/>
  <c r="CS41" i="12"/>
  <c r="CO37" i="12"/>
  <c r="CO36" i="12"/>
  <c r="P14" i="33"/>
  <c r="CT160" i="33"/>
  <c r="CS160" i="33"/>
  <c r="CS144" i="33"/>
  <c r="CT31" i="12"/>
  <c r="CT822" i="12"/>
  <c r="AF80" i="77" s="1"/>
  <c r="AF57" i="77" s="1"/>
  <c r="AO214" i="58"/>
  <c r="AO215" i="58"/>
  <c r="AO216" i="58" s="1"/>
  <c r="CP818" i="12"/>
  <c r="CT125" i="14"/>
  <c r="CT79" i="14"/>
  <c r="CT220" i="14"/>
  <c r="CT134" i="14"/>
  <c r="CT108" i="14"/>
  <c r="CT128" i="14"/>
  <c r="DF109" i="33"/>
  <c r="BJ218" i="77"/>
  <c r="BJ225" i="77" s="1"/>
  <c r="CN186" i="14"/>
  <c r="AO22" i="64"/>
  <c r="AE282" i="58"/>
  <c r="AE283" i="58" s="1"/>
  <c r="AE281" i="58"/>
  <c r="Q283" i="58"/>
  <c r="R283" i="58"/>
  <c r="CH104" i="33"/>
  <c r="CH37" i="33"/>
  <c r="CH146" i="33"/>
  <c r="AI215" i="58"/>
  <c r="AJ216" i="58" s="1"/>
  <c r="AJ214" i="58"/>
  <c r="P131" i="15"/>
  <c r="H31" i="53"/>
  <c r="J17" i="59"/>
  <c r="K18" i="59" s="1"/>
  <c r="CL30" i="12"/>
  <c r="CP31" i="12" s="1"/>
  <c r="CL25" i="12"/>
  <c r="CL49" i="12"/>
  <c r="CL35" i="12"/>
  <c r="CL41" i="12"/>
  <c r="CL39" i="12"/>
  <c r="CP41" i="12"/>
  <c r="CL36" i="12"/>
  <c r="CL34" i="12"/>
  <c r="CL38" i="12"/>
  <c r="CL106" i="14"/>
  <c r="CL37" i="12"/>
  <c r="AH112" i="58"/>
  <c r="AK215" i="58"/>
  <c r="AK216" i="58" s="1"/>
  <c r="AK214" i="58"/>
  <c r="N14" i="59"/>
  <c r="N17" i="59"/>
  <c r="O18" i="59" s="1"/>
  <c r="O14" i="59"/>
  <c r="CD14" i="48"/>
  <c r="DJ143" i="33"/>
  <c r="BH14" i="48"/>
  <c r="CF15" i="33"/>
  <c r="CF143" i="33"/>
  <c r="K9" i="59"/>
  <c r="AE215" i="58"/>
  <c r="AF214" i="58"/>
  <c r="AE214" i="58"/>
  <c r="S282" i="58"/>
  <c r="S281" i="58"/>
  <c r="CJ122" i="14"/>
  <c r="AA15" i="77"/>
  <c r="S215" i="58"/>
  <c r="S214" i="58"/>
  <c r="T214" i="58"/>
  <c r="CF159" i="33"/>
  <c r="CI13" i="33"/>
  <c r="CI159" i="33" s="1"/>
  <c r="BG14" i="48"/>
  <c r="CE159" i="33"/>
  <c r="CE143" i="33"/>
  <c r="CE15" i="33"/>
  <c r="CW15" i="33"/>
  <c r="CX159" i="33"/>
  <c r="BV14" i="48"/>
  <c r="CW159" i="33"/>
  <c r="AG283" i="58"/>
  <c r="Y281" i="58"/>
  <c r="Y282" i="58"/>
  <c r="CD13" i="48"/>
  <c r="CD18" i="48" s="1"/>
  <c r="DE19" i="33"/>
  <c r="DF16" i="33"/>
  <c r="CM175" i="15"/>
  <c r="DE108" i="33"/>
  <c r="BK14" i="48"/>
  <c r="CJ159" i="33"/>
  <c r="CJ15" i="33"/>
  <c r="CJ143" i="33"/>
  <c r="AG214" i="58"/>
  <c r="AG215" i="58"/>
  <c r="AG216" i="58" s="1"/>
  <c r="Z282" i="58"/>
  <c r="AA283" i="58" s="1"/>
  <c r="Z281" i="58"/>
  <c r="AA281" i="58"/>
  <c r="AL364" i="58"/>
  <c r="AK366" i="58"/>
  <c r="AK365" i="58"/>
  <c r="CI155" i="33"/>
  <c r="N9" i="33"/>
  <c r="BJ54" i="77"/>
  <c r="CI156" i="33"/>
  <c r="N10" i="33"/>
  <c r="N140" i="33" s="1"/>
  <c r="AH281" i="58"/>
  <c r="AI281" i="58"/>
  <c r="AH282" i="58"/>
  <c r="CI12" i="80"/>
  <c r="CM823" i="12"/>
  <c r="CM828" i="12"/>
  <c r="CM106" i="14"/>
  <c r="CQ41" i="12"/>
  <c r="CM39" i="12"/>
  <c r="CM41" i="12"/>
  <c r="CM38" i="12"/>
  <c r="CM49" i="12"/>
  <c r="CM34" i="12"/>
  <c r="CM35" i="12"/>
  <c r="CM25" i="12"/>
  <c r="CM36" i="12"/>
  <c r="CM30" i="12"/>
  <c r="CM37" i="12"/>
  <c r="W15" i="77"/>
  <c r="W19" i="77"/>
  <c r="Y16" i="77"/>
  <c r="W112" i="58"/>
  <c r="W113" i="58" s="1"/>
  <c r="BJ43" i="48"/>
  <c r="AH29" i="64"/>
  <c r="BO7" i="80"/>
  <c r="BP8" i="80"/>
  <c r="BG43" i="48"/>
  <c r="BH43" i="48"/>
  <c r="Z16" i="77"/>
  <c r="Y15" i="77"/>
  <c r="AA11" i="77"/>
  <c r="AE12" i="77" s="1"/>
  <c r="N120" i="14"/>
  <c r="BT121" i="14"/>
  <c r="J11" i="57"/>
  <c r="N11" i="57" s="1"/>
  <c r="S176" i="71"/>
  <c r="BP7" i="80"/>
  <c r="BL7" i="80"/>
  <c r="BL8" i="80"/>
  <c r="BM8" i="80"/>
  <c r="AD16" i="77"/>
  <c r="Z13" i="77"/>
  <c r="Z57" i="77"/>
  <c r="CC366" i="90"/>
  <c r="K97" i="52"/>
  <c r="J67" i="52"/>
  <c r="CV226" i="33"/>
  <c r="CV85" i="33" s="1"/>
  <c r="H32" i="15"/>
  <c r="DN157" i="33"/>
  <c r="DO157" i="33"/>
  <c r="O11" i="77"/>
  <c r="O21" i="77" s="1"/>
  <c r="R15" i="77"/>
  <c r="BV43" i="12"/>
  <c r="CU466" i="12"/>
  <c r="AP80" i="58"/>
  <c r="I35" i="52"/>
  <c r="J35" i="52"/>
  <c r="CV670" i="12"/>
  <c r="AQ490" i="58"/>
  <c r="AQ488" i="58" s="1"/>
  <c r="BX10" i="80"/>
  <c r="BT10" i="80"/>
  <c r="BU11" i="80"/>
  <c r="BT11" i="80"/>
  <c r="M5" i="59"/>
  <c r="L8" i="59"/>
  <c r="L5" i="59"/>
  <c r="BN75" i="15"/>
  <c r="BO38" i="15"/>
  <c r="M38" i="15"/>
  <c r="BN84" i="15"/>
  <c r="K147" i="33"/>
  <c r="K163" i="33"/>
  <c r="J163" i="33"/>
  <c r="J147" i="33"/>
  <c r="BU162" i="33"/>
  <c r="CN27" i="12"/>
  <c r="CR26" i="12"/>
  <c r="CU830" i="12"/>
  <c r="CU829" i="12"/>
  <c r="CA842" i="12"/>
  <c r="CA846" i="12" s="1"/>
  <c r="CA844" i="12"/>
  <c r="AW100" i="15"/>
  <c r="BZ75" i="90"/>
  <c r="BZ77" i="90" s="1"/>
  <c r="BZ322" i="90" s="1"/>
  <c r="M78" i="15"/>
  <c r="CI847" i="12"/>
  <c r="CL53" i="90"/>
  <c r="AX68" i="15"/>
  <c r="AO30" i="48"/>
  <c r="AX74" i="15"/>
  <c r="AX83" i="15"/>
  <c r="AX88" i="15" s="1"/>
  <c r="AX90" i="15" s="1"/>
  <c r="AX92" i="15" s="1"/>
  <c r="CK837" i="12"/>
  <c r="CK674" i="12"/>
  <c r="BU69" i="14"/>
  <c r="BT71" i="14"/>
  <c r="BT73" i="14" s="1"/>
  <c r="D84" i="66"/>
  <c r="D6" i="64"/>
  <c r="D10" i="64" s="1"/>
  <c r="D42" i="33"/>
  <c r="C7" i="71"/>
  <c r="N169" i="90"/>
  <c r="O168" i="90"/>
  <c r="K95" i="52"/>
  <c r="J68" i="52"/>
  <c r="P93" i="52"/>
  <c r="P62" i="52"/>
  <c r="O94" i="52"/>
  <c r="BN43" i="15"/>
  <c r="BN68" i="15" s="1"/>
  <c r="AM32" i="15"/>
  <c r="P91" i="52"/>
  <c r="Q90" i="52"/>
  <c r="Q59" i="52"/>
  <c r="H75" i="15"/>
  <c r="H43" i="15"/>
  <c r="H84" i="15"/>
  <c r="BN88" i="15"/>
  <c r="BN90" i="15" s="1"/>
  <c r="BN92" i="15" s="1"/>
  <c r="CW121" i="14"/>
  <c r="CW122" i="14" s="1"/>
  <c r="CV121" i="14"/>
  <c r="CV122" i="14" s="1"/>
  <c r="BT219" i="14"/>
  <c r="D98" i="52"/>
  <c r="D94" i="52"/>
  <c r="D93" i="52"/>
  <c r="G68" i="52"/>
  <c r="G69" i="52" s="1"/>
  <c r="T61" i="52"/>
  <c r="R6" i="52"/>
  <c r="R27" i="52" s="1"/>
  <c r="R87" i="52"/>
  <c r="CD104" i="33"/>
  <c r="CD37" i="33"/>
  <c r="CD162" i="33"/>
  <c r="CD36" i="33"/>
  <c r="CD20" i="33"/>
  <c r="CD146" i="33"/>
  <c r="X316" i="90"/>
  <c r="Z316" i="90"/>
  <c r="Y316" i="90"/>
  <c r="CK143" i="90"/>
  <c r="CK145" i="90" s="1"/>
  <c r="CK330" i="90" s="1"/>
  <c r="P215" i="90"/>
  <c r="CB213" i="90"/>
  <c r="CB215" i="90" s="1"/>
  <c r="CB344" i="90" s="1"/>
  <c r="BZ148" i="90"/>
  <c r="P208" i="90"/>
  <c r="O209" i="90"/>
  <c r="Z99" i="90"/>
  <c r="Z101" i="90" s="1"/>
  <c r="P16" i="77"/>
  <c r="H34" i="77"/>
  <c r="AH365" i="58"/>
  <c r="T121" i="14"/>
  <c r="T122" i="14" s="1"/>
  <c r="T11" i="59"/>
  <c r="T13" i="59" s="1"/>
  <c r="T14" i="59" s="1"/>
  <c r="O208" i="14"/>
  <c r="BI41" i="33"/>
  <c r="BI148" i="33"/>
  <c r="E35" i="52"/>
  <c r="E99" i="52" s="1"/>
  <c r="F35" i="52"/>
  <c r="F98" i="52" s="1"/>
  <c r="DM160" i="33"/>
  <c r="DN160" i="33"/>
  <c r="W357" i="58"/>
  <c r="V361" i="58"/>
  <c r="W362" i="58" s="1"/>
  <c r="W363" i="58"/>
  <c r="X364" i="58" s="1"/>
  <c r="V357" i="58"/>
  <c r="CO34" i="90"/>
  <c r="CO32" i="90" s="1"/>
  <c r="AY15" i="90"/>
  <c r="AY94" i="15"/>
  <c r="BK80" i="14"/>
  <c r="BL81" i="14" s="1"/>
  <c r="BL79" i="14"/>
  <c r="BA95" i="15"/>
  <c r="BA79" i="15"/>
  <c r="S178" i="71"/>
  <c r="U7" i="80"/>
  <c r="T7" i="80"/>
  <c r="T309" i="71"/>
  <c r="S309" i="71"/>
  <c r="CM241" i="90"/>
  <c r="CM242" i="90" s="1"/>
  <c r="X276" i="90"/>
  <c r="X278" i="90" s="1"/>
  <c r="X363" i="90" s="1"/>
  <c r="I100" i="15"/>
  <c r="CT164" i="14"/>
  <c r="CT18" i="14" s="1"/>
  <c r="CT19" i="14"/>
  <c r="CA200" i="14"/>
  <c r="BZ202" i="14"/>
  <c r="BZ203" i="14" s="1"/>
  <c r="G85" i="65"/>
  <c r="N71" i="14"/>
  <c r="N73" i="14" s="1"/>
  <c r="BX168" i="90"/>
  <c r="BX170" i="90" s="1"/>
  <c r="BY168" i="90" s="1"/>
  <c r="BY170" i="90" s="1"/>
  <c r="O170" i="90"/>
  <c r="CS62" i="33"/>
  <c r="P62" i="33"/>
  <c r="BY82" i="90"/>
  <c r="BY81" i="90"/>
  <c r="G32" i="15"/>
  <c r="F32" i="15"/>
  <c r="BZ302" i="12"/>
  <c r="BZ835" i="12"/>
  <c r="L501" i="12"/>
  <c r="L503" i="12"/>
  <c r="L504" i="12" s="1"/>
  <c r="BC64" i="15"/>
  <c r="J50" i="15"/>
  <c r="J64" i="15" s="1"/>
  <c r="AU95" i="15"/>
  <c r="AU79" i="15"/>
  <c r="L29" i="15"/>
  <c r="BN76" i="15"/>
  <c r="BN78" i="15"/>
  <c r="BD150" i="33"/>
  <c r="AY48" i="33"/>
  <c r="AY55" i="33"/>
  <c r="AY150" i="33"/>
  <c r="AY116" i="33"/>
  <c r="AL59" i="77"/>
  <c r="BC43" i="15"/>
  <c r="BC84" i="15"/>
  <c r="BC75" i="15"/>
  <c r="CF234" i="90"/>
  <c r="CF236" i="90" s="1"/>
  <c r="CG234" i="90" s="1"/>
  <c r="CG236" i="90" s="1"/>
  <c r="CH234" i="90" s="1"/>
  <c r="CH236" i="90" s="1"/>
  <c r="CI234" i="90" s="1"/>
  <c r="CI236" i="90" s="1"/>
  <c r="Q236" i="90"/>
  <c r="O62" i="33"/>
  <c r="CN62" i="33"/>
  <c r="BP63" i="90"/>
  <c r="BP64" i="90" s="1"/>
  <c r="N64" i="90" s="1"/>
  <c r="M65" i="90"/>
  <c r="N63" i="90" s="1"/>
  <c r="T58" i="52"/>
  <c r="U58" i="52" s="1"/>
  <c r="V58" i="52" s="1"/>
  <c r="W58" i="52" s="1"/>
  <c r="X58" i="52" s="1"/>
  <c r="Y58" i="52" s="1"/>
  <c r="CA843" i="12"/>
  <c r="CA847" i="12" s="1"/>
  <c r="K75" i="15"/>
  <c r="K84" i="15"/>
  <c r="BO32" i="70"/>
  <c r="BK30" i="70"/>
  <c r="BK31" i="70"/>
  <c r="BK32" i="70"/>
  <c r="BL31" i="70"/>
  <c r="BO28" i="12"/>
  <c r="BO33" i="12" s="1"/>
  <c r="R25" i="90"/>
  <c r="CJ25" i="90"/>
  <c r="CG212" i="33"/>
  <c r="CG218" i="33" s="1"/>
  <c r="CG216" i="33"/>
  <c r="CG215" i="33"/>
  <c r="S143" i="90"/>
  <c r="R144" i="90"/>
  <c r="CC203" i="90"/>
  <c r="CC205" i="90" s="1"/>
  <c r="CC342" i="90" s="1"/>
  <c r="BZ208" i="90"/>
  <c r="BZ210" i="90" s="1"/>
  <c r="BZ343" i="90" s="1"/>
  <c r="Y105" i="90"/>
  <c r="Y107" i="90" s="1"/>
  <c r="Y354" i="90" s="1"/>
  <c r="CA117" i="90"/>
  <c r="CA119" i="90" s="1"/>
  <c r="CW517" i="12"/>
  <c r="CV517" i="12"/>
  <c r="CV516" i="12"/>
  <c r="AQ208" i="58"/>
  <c r="AH366" i="58"/>
  <c r="AH367" i="58" s="1"/>
  <c r="BS55" i="33"/>
  <c r="BS48" i="33"/>
  <c r="CS670" i="12"/>
  <c r="AN490" i="58"/>
  <c r="Q104" i="71"/>
  <c r="P110" i="71"/>
  <c r="P104" i="71"/>
  <c r="Q110" i="71"/>
  <c r="BW16" i="80"/>
  <c r="BW17" i="80"/>
  <c r="CA16" i="80"/>
  <c r="BX17" i="80"/>
  <c r="BQ501" i="12"/>
  <c r="BQ503" i="12"/>
  <c r="BQ504" i="12" s="1"/>
  <c r="AT79" i="15"/>
  <c r="AT95" i="15"/>
  <c r="M96" i="52"/>
  <c r="M65" i="52"/>
  <c r="N64" i="52"/>
  <c r="Q87" i="52"/>
  <c r="Q6" i="52"/>
  <c r="Q27" i="52" s="1"/>
  <c r="BI116" i="33"/>
  <c r="BI166" i="33"/>
  <c r="O665" i="12"/>
  <c r="N665" i="12"/>
  <c r="N667" i="12"/>
  <c r="BG8" i="80"/>
  <c r="BJ7" i="80"/>
  <c r="CM230" i="90"/>
  <c r="S227" i="90"/>
  <c r="R88" i="52"/>
  <c r="S56" i="52"/>
  <c r="I36" i="15"/>
  <c r="I43" i="15" s="1"/>
  <c r="R176" i="71"/>
  <c r="S177" i="71" s="1"/>
  <c r="CP258" i="90"/>
  <c r="CP260" i="90" s="1"/>
  <c r="CP360" i="90" s="1"/>
  <c r="U495" i="12"/>
  <c r="T497" i="12"/>
  <c r="P17" i="48" s="1"/>
  <c r="R241" i="90"/>
  <c r="S240" i="90"/>
  <c r="BP69" i="90"/>
  <c r="BP71" i="90" s="1"/>
  <c r="BQ69" i="90" s="1"/>
  <c r="BQ71" i="90" s="1"/>
  <c r="BR69" i="90" s="1"/>
  <c r="BR71" i="90" s="1"/>
  <c r="BS69" i="90" s="1"/>
  <c r="M71" i="90"/>
  <c r="L69" i="52"/>
  <c r="L101" i="52" s="1"/>
  <c r="L99" i="52"/>
  <c r="L35" i="15"/>
  <c r="AY83" i="15"/>
  <c r="AY88" i="15" s="1"/>
  <c r="AY90" i="15" s="1"/>
  <c r="AY92" i="15" s="1"/>
  <c r="AY74" i="15"/>
  <c r="AP30" i="48"/>
  <c r="P63" i="52"/>
  <c r="O95" i="52"/>
  <c r="P81" i="90"/>
  <c r="O82" i="90"/>
  <c r="AP68" i="15"/>
  <c r="AP83" i="15"/>
  <c r="AP88" i="15" s="1"/>
  <c r="AP90" i="15" s="1"/>
  <c r="AP92" i="15" s="1"/>
  <c r="AP74" i="15"/>
  <c r="AG30" i="48"/>
  <c r="AL68" i="15"/>
  <c r="AL74" i="15"/>
  <c r="AL83" i="15"/>
  <c r="AL88" i="15" s="1"/>
  <c r="AL90" i="15" s="1"/>
  <c r="AL92" i="15" s="1"/>
  <c r="AC30" i="48"/>
  <c r="CP9" i="33"/>
  <c r="CP13" i="33" s="1"/>
  <c r="CC42" i="12"/>
  <c r="BY12" i="12"/>
  <c r="K33" i="77"/>
  <c r="K14" i="77" s="1"/>
  <c r="O15" i="77" s="1"/>
  <c r="BY42" i="12"/>
  <c r="BY50" i="12"/>
  <c r="R254" i="90"/>
  <c r="CJ252" i="90"/>
  <c r="CJ254" i="90" s="1"/>
  <c r="CJ359" i="90" s="1"/>
  <c r="E68" i="52"/>
  <c r="N503" i="12"/>
  <c r="N504" i="12" s="1"/>
  <c r="N501" i="12"/>
  <c r="BS203" i="14"/>
  <c r="BS224" i="14"/>
  <c r="BS220" i="14"/>
  <c r="BS226" i="14"/>
  <c r="N219" i="14"/>
  <c r="N203" i="14" s="1"/>
  <c r="J38" i="15"/>
  <c r="BB95" i="15"/>
  <c r="BB79" i="15"/>
  <c r="R92" i="52"/>
  <c r="S60" i="52"/>
  <c r="P235" i="90"/>
  <c r="Q234" i="90"/>
  <c r="AP364" i="58"/>
  <c r="T311" i="71"/>
  <c r="BG79" i="15"/>
  <c r="BG95" i="15"/>
  <c r="CY105" i="90"/>
  <c r="CY107" i="90" s="1"/>
  <c r="P199" i="90"/>
  <c r="Q198" i="90"/>
  <c r="O159" i="90"/>
  <c r="P158" i="90"/>
  <c r="CV357" i="90"/>
  <c r="X123" i="90"/>
  <c r="X125" i="90" s="1"/>
  <c r="X354" i="90"/>
  <c r="BZ326" i="90"/>
  <c r="CO80" i="14"/>
  <c r="CP81" i="14" s="1"/>
  <c r="CP79" i="14"/>
  <c r="AN41" i="33"/>
  <c r="AN47" i="33"/>
  <c r="BX41" i="33"/>
  <c r="BX148" i="33"/>
  <c r="CC148" i="33"/>
  <c r="BP27" i="70"/>
  <c r="BP18" i="70"/>
  <c r="BQ18" i="70" s="1"/>
  <c r="AU76" i="57" s="1"/>
  <c r="AW76" i="57" s="1"/>
  <c r="BP88" i="70"/>
  <c r="BQ88" i="70" s="1"/>
  <c r="AU72" i="57" s="1"/>
  <c r="AW72" i="57" s="1"/>
  <c r="BQ14" i="70"/>
  <c r="BP14" i="70"/>
  <c r="BP15" i="70"/>
  <c r="BT25" i="12"/>
  <c r="BP87" i="70"/>
  <c r="BQ87" i="70" s="1"/>
  <c r="BP86" i="70"/>
  <c r="BQ86" i="70" s="1"/>
  <c r="O13" i="70"/>
  <c r="O15" i="70" s="1"/>
  <c r="S30" i="64"/>
  <c r="S25" i="64"/>
  <c r="S27" i="64"/>
  <c r="AF488" i="58"/>
  <c r="AF489" i="58"/>
  <c r="AU32" i="15"/>
  <c r="AA366" i="58"/>
  <c r="AA365" i="58"/>
  <c r="R311" i="71"/>
  <c r="CM674" i="12"/>
  <c r="CM837" i="12"/>
  <c r="CV139" i="33"/>
  <c r="K7" i="57"/>
  <c r="BW50" i="12"/>
  <c r="BV42" i="12"/>
  <c r="BV50" i="12"/>
  <c r="O8" i="12"/>
  <c r="O42" i="12" s="1"/>
  <c r="H33" i="77"/>
  <c r="CL9" i="33"/>
  <c r="CQ139" i="33" s="1"/>
  <c r="T30" i="64"/>
  <c r="T25" i="64"/>
  <c r="U516" i="12"/>
  <c r="T516" i="12"/>
  <c r="S237" i="71"/>
  <c r="S311" i="71"/>
  <c r="CI89" i="90"/>
  <c r="R87" i="90"/>
  <c r="P75" i="90"/>
  <c r="S59" i="90"/>
  <c r="CK57" i="90"/>
  <c r="CK59" i="90" s="1"/>
  <c r="CE45" i="90"/>
  <c r="CD324" i="90"/>
  <c r="CE46" i="90"/>
  <c r="BM100" i="15"/>
  <c r="V363" i="58"/>
  <c r="V364" i="58" s="1"/>
  <c r="M83" i="90"/>
  <c r="BP81" i="90"/>
  <c r="BP82" i="90" s="1"/>
  <c r="K96" i="52"/>
  <c r="J97" i="52"/>
  <c r="O65" i="90"/>
  <c r="P63" i="90" s="1"/>
  <c r="P65" i="90" s="1"/>
  <c r="Q63" i="90" s="1"/>
  <c r="Q65" i="90" s="1"/>
  <c r="R63" i="90" s="1"/>
  <c r="R65" i="90" s="1"/>
  <c r="S63" i="90" s="1"/>
  <c r="S65" i="90" s="1"/>
  <c r="T63" i="90" s="1"/>
  <c r="T65" i="90" s="1"/>
  <c r="U63" i="90" s="1"/>
  <c r="U65" i="90" s="1"/>
  <c r="V63" i="90" s="1"/>
  <c r="V65" i="90" s="1"/>
  <c r="W63" i="90" s="1"/>
  <c r="W65" i="90" s="1"/>
  <c r="BX63" i="90"/>
  <c r="BX65" i="90" s="1"/>
  <c r="BY63" i="90" s="1"/>
  <c r="BY65" i="90" s="1"/>
  <c r="CL348" i="90"/>
  <c r="AQ32" i="15"/>
  <c r="P8" i="12"/>
  <c r="BX42" i="12"/>
  <c r="CB42" i="12"/>
  <c r="J33" i="77"/>
  <c r="BX50" i="12"/>
  <c r="CO9" i="33"/>
  <c r="X270" i="90"/>
  <c r="X272" i="90" s="1"/>
  <c r="AQ94" i="15"/>
  <c r="AQ15" i="90"/>
  <c r="K80" i="14"/>
  <c r="A114" i="52"/>
  <c r="B114" i="52"/>
  <c r="CH337" i="90"/>
  <c r="CI178" i="90"/>
  <c r="CI180" i="90" s="1"/>
  <c r="CI337" i="90" s="1"/>
  <c r="T57" i="52"/>
  <c r="U57" i="52" s="1"/>
  <c r="V57" i="52" s="1"/>
  <c r="W57" i="52" s="1"/>
  <c r="X57" i="52" s="1"/>
  <c r="Y57" i="52" s="1"/>
  <c r="S89" i="52"/>
  <c r="T41" i="52"/>
  <c r="S55" i="52"/>
  <c r="R26" i="53"/>
  <c r="R100" i="53" s="1"/>
  <c r="Q100" i="53"/>
  <c r="CV302" i="12"/>
  <c r="CV835" i="12"/>
  <c r="P204" i="90"/>
  <c r="Q203" i="90"/>
  <c r="R135" i="90"/>
  <c r="CJ133" i="90"/>
  <c r="CJ135" i="90" s="1"/>
  <c r="CJ328" i="90" s="1"/>
  <c r="CC198" i="90"/>
  <c r="CC200" i="90" s="1"/>
  <c r="BZ158" i="90"/>
  <c r="BZ160" i="90" s="1"/>
  <c r="BZ333" i="90" s="1"/>
  <c r="BW220" i="90"/>
  <c r="CA173" i="90"/>
  <c r="CA175" i="90" s="1"/>
  <c r="CA336" i="90" s="1"/>
  <c r="R155" i="90"/>
  <c r="CJ153" i="90"/>
  <c r="CJ155" i="90" s="1"/>
  <c r="CJ332" i="90" s="1"/>
  <c r="CA193" i="90"/>
  <c r="CA195" i="90" s="1"/>
  <c r="AW73" i="33"/>
  <c r="AW75" i="33" s="1"/>
  <c r="AW118" i="33" s="1"/>
  <c r="CB232" i="12"/>
  <c r="R261" i="12"/>
  <c r="CA230" i="12"/>
  <c r="CJ232" i="12"/>
  <c r="CB230" i="12"/>
  <c r="CA232" i="12"/>
  <c r="S261" i="12"/>
  <c r="R268" i="12"/>
  <c r="CE230" i="12"/>
  <c r="AT274" i="58"/>
  <c r="Q268" i="12"/>
  <c r="CI232" i="12"/>
  <c r="U231" i="12"/>
  <c r="CI230" i="12"/>
  <c r="Q231" i="12"/>
  <c r="CF230" i="12"/>
  <c r="CE232" i="12"/>
  <c r="AS491" i="58"/>
  <c r="U368" i="71"/>
  <c r="U268" i="12"/>
  <c r="CG232" i="12"/>
  <c r="CG230" i="12"/>
  <c r="S231" i="12"/>
  <c r="CH232" i="12"/>
  <c r="CH230" i="12"/>
  <c r="S268" i="12"/>
  <c r="T268" i="12"/>
  <c r="T261" i="12"/>
  <c r="U261" i="12"/>
  <c r="P261" i="12"/>
  <c r="Q261" i="12"/>
  <c r="V268" i="12"/>
  <c r="T16" i="59"/>
  <c r="T7" i="59"/>
  <c r="T8" i="59"/>
  <c r="T9" i="59" s="1"/>
  <c r="E5" i="64"/>
  <c r="N208" i="14"/>
  <c r="N209" i="14" s="1"/>
  <c r="O206" i="14" s="1"/>
  <c r="O209" i="14" s="1"/>
  <c r="P206" i="14" s="1"/>
  <c r="P209" i="14" s="1"/>
  <c r="Q206" i="14" s="1"/>
  <c r="Q209" i="14" s="1"/>
  <c r="R206" i="14" s="1"/>
  <c r="R209" i="14" s="1"/>
  <c r="S206" i="14" s="1"/>
  <c r="S209" i="14" s="1"/>
  <c r="T206" i="14" s="1"/>
  <c r="T209" i="14" s="1"/>
  <c r="U206" i="14" s="1"/>
  <c r="U209" i="14" s="1"/>
  <c r="V206" i="14" s="1"/>
  <c r="V209" i="14" s="1"/>
  <c r="CD80" i="14"/>
  <c r="CE81" i="14" s="1"/>
  <c r="CE79" i="14"/>
  <c r="CA194" i="14"/>
  <c r="P194" i="14" s="1"/>
  <c r="CB206" i="14"/>
  <c r="CB209" i="14" s="1"/>
  <c r="X212" i="14"/>
  <c r="X215" i="14" s="1"/>
  <c r="Y212" i="14" s="1"/>
  <c r="Y215" i="14" s="1"/>
  <c r="Z212" i="14" s="1"/>
  <c r="Z215" i="14" s="1"/>
  <c r="AA212" i="14" s="1"/>
  <c r="AA215" i="14" s="1"/>
  <c r="AB212" i="14" s="1"/>
  <c r="AB215" i="14" s="1"/>
  <c r="AC212" i="14" s="1"/>
  <c r="AC215" i="14" s="1"/>
  <c r="AD212" i="14" s="1"/>
  <c r="AD215" i="14" s="1"/>
  <c r="BP227" i="14"/>
  <c r="CF25" i="14"/>
  <c r="Q25" i="14"/>
  <c r="J61" i="65" s="1"/>
  <c r="J60" i="65" s="1"/>
  <c r="CE78" i="14"/>
  <c r="G35" i="52"/>
  <c r="H35" i="52"/>
  <c r="L38" i="53"/>
  <c r="E24" i="62"/>
  <c r="T24" i="48"/>
  <c r="S9" i="71" s="1"/>
  <c r="T7" i="64"/>
  <c r="BB140" i="77"/>
  <c r="T135" i="14"/>
  <c r="L39" i="53" s="1"/>
  <c r="T185" i="14"/>
  <c r="U135" i="14"/>
  <c r="M39" i="53" s="1"/>
  <c r="U35" i="52"/>
  <c r="T89" i="52"/>
  <c r="AS490" i="58"/>
  <c r="CV504" i="12"/>
  <c r="CV836" i="12"/>
  <c r="V634" i="12"/>
  <c r="AT271" i="58"/>
  <c r="AT272" i="58" s="1"/>
  <c r="Y42" i="14"/>
  <c r="C189" i="66"/>
  <c r="C237" i="66"/>
  <c r="CJ31" i="33"/>
  <c r="CN27" i="33"/>
  <c r="O27" i="33" s="1"/>
  <c r="O136" i="15" s="1"/>
  <c r="Y69" i="33"/>
  <c r="Z27" i="33"/>
  <c r="BE36" i="33"/>
  <c r="BE41" i="33" s="1"/>
  <c r="BE47" i="33"/>
  <c r="C31" i="53"/>
  <c r="AM63" i="33"/>
  <c r="AI72" i="33"/>
  <c r="AI69" i="33"/>
  <c r="AI70" i="33"/>
  <c r="AI71" i="33"/>
  <c r="BH78" i="33"/>
  <c r="AX111" i="14"/>
  <c r="AX96" i="14" s="1"/>
  <c r="BH152" i="33"/>
  <c r="BH67" i="33"/>
  <c r="BH79" i="33"/>
  <c r="BH119" i="33"/>
  <c r="I41" i="33"/>
  <c r="I114" i="33"/>
  <c r="I5" i="64"/>
  <c r="I47" i="33"/>
  <c r="CH36" i="33"/>
  <c r="AX148" i="33"/>
  <c r="AX41" i="33"/>
  <c r="BC148" i="33"/>
  <c r="BN148" i="33"/>
  <c r="BN41" i="33"/>
  <c r="AP47" i="33"/>
  <c r="AP41" i="33"/>
  <c r="AT70" i="33"/>
  <c r="AT72" i="33"/>
  <c r="AT71" i="33"/>
  <c r="AT69" i="33"/>
  <c r="AM69" i="33"/>
  <c r="AM72" i="33"/>
  <c r="AM70" i="33"/>
  <c r="AM71" i="33"/>
  <c r="CL30" i="33"/>
  <c r="D189" i="66"/>
  <c r="D237" i="66"/>
  <c r="BI58" i="33"/>
  <c r="BI61" i="33"/>
  <c r="BJ36" i="33"/>
  <c r="BJ41" i="33" s="1"/>
  <c r="AZ47" i="33"/>
  <c r="AZ36" i="33"/>
  <c r="AZ41" i="33" s="1"/>
  <c r="AT63" i="33"/>
  <c r="AV167" i="33"/>
  <c r="BY36" i="33"/>
  <c r="BM63" i="33"/>
  <c r="BH69" i="33"/>
  <c r="BH71" i="33"/>
  <c r="BH70" i="33"/>
  <c r="BH72" i="33"/>
  <c r="N27" i="33"/>
  <c r="CI31" i="33"/>
  <c r="AU36" i="33"/>
  <c r="AU41" i="33" s="1"/>
  <c r="CO29" i="33"/>
  <c r="O29" i="33"/>
  <c r="D41" i="33"/>
  <c r="D47" i="33"/>
  <c r="D5" i="64"/>
  <c r="D33" i="53"/>
  <c r="C33" i="53"/>
  <c r="E33" i="53"/>
  <c r="X187" i="33"/>
  <c r="Y30" i="33"/>
  <c r="X72" i="33"/>
  <c r="Y70" i="33"/>
  <c r="Z28" i="33"/>
  <c r="Y29" i="33"/>
  <c r="X71" i="33"/>
  <c r="X73" i="33" s="1"/>
  <c r="AS276" i="58"/>
  <c r="U169" i="71"/>
  <c r="U170" i="71" s="1"/>
  <c r="V679" i="12"/>
  <c r="V44" i="80"/>
  <c r="V45" i="80" s="1"/>
  <c r="AC282" i="58"/>
  <c r="AC281" i="58"/>
  <c r="AD281" i="58"/>
  <c r="U11" i="77"/>
  <c r="Y12" i="77" s="1"/>
  <c r="U16" i="77"/>
  <c r="Y19" i="77"/>
  <c r="R18" i="59"/>
  <c r="CQ31" i="12"/>
  <c r="S106" i="58"/>
  <c r="R110" i="58"/>
  <c r="R111" i="58" s="1"/>
  <c r="CQ81" i="14"/>
  <c r="CQ125" i="14"/>
  <c r="CQ79" i="14"/>
  <c r="CQ220" i="14"/>
  <c r="CQ128" i="14"/>
  <c r="CQ108" i="14"/>
  <c r="T108" i="14" s="1"/>
  <c r="CQ134" i="14"/>
  <c r="CN149" i="33"/>
  <c r="O45" i="33"/>
  <c r="G45" i="65" s="1"/>
  <c r="CN165" i="33"/>
  <c r="Z106" i="58"/>
  <c r="Y110" i="58"/>
  <c r="AE106" i="58"/>
  <c r="AF106" i="58"/>
  <c r="AE110" i="58"/>
  <c r="N8" i="57"/>
  <c r="AT68" i="57"/>
  <c r="AV68" i="57" s="1"/>
  <c r="L8" i="57"/>
  <c r="X365" i="58"/>
  <c r="X366" i="58"/>
  <c r="N7" i="57"/>
  <c r="AT67" i="57"/>
  <c r="L7" i="57"/>
  <c r="AL111" i="58"/>
  <c r="AK112" i="58"/>
  <c r="AK111" i="58"/>
  <c r="BT64" i="48"/>
  <c r="O107" i="14"/>
  <c r="O26" i="33"/>
  <c r="AH215" i="58"/>
  <c r="AH214" i="58"/>
  <c r="AI214" i="58"/>
  <c r="AI367" i="58"/>
  <c r="BV827" i="12"/>
  <c r="BV12" i="12"/>
  <c r="BZ43" i="12"/>
  <c r="CT837" i="12"/>
  <c r="CT674" i="12"/>
  <c r="AR280" i="58"/>
  <c r="AS272" i="58"/>
  <c r="V13" i="12"/>
  <c r="V14" i="33" s="1"/>
  <c r="W144" i="33" s="1"/>
  <c r="V412" i="12"/>
  <c r="X13" i="77"/>
  <c r="AC11" i="77"/>
  <c r="CM141" i="33"/>
  <c r="CM157" i="33"/>
  <c r="DZ213" i="48"/>
  <c r="CN11" i="33"/>
  <c r="O11" i="33" s="1"/>
  <c r="O141" i="33" s="1"/>
  <c r="AM111" i="58"/>
  <c r="AN111" i="58"/>
  <c r="AM112" i="58"/>
  <c r="X111" i="58"/>
  <c r="CR11" i="33"/>
  <c r="CA44" i="12"/>
  <c r="CA12" i="12"/>
  <c r="CE44" i="12"/>
  <c r="CB52" i="12"/>
  <c r="M35" i="77"/>
  <c r="M14" i="77" s="1"/>
  <c r="CA361" i="12"/>
  <c r="AC16" i="77"/>
  <c r="W16" i="77"/>
  <c r="G36" i="77"/>
  <c r="BU45" i="12"/>
  <c r="O11" i="12"/>
  <c r="DD149" i="48"/>
  <c r="BU53" i="12"/>
  <c r="CK12" i="33"/>
  <c r="BY45" i="12"/>
  <c r="DD147" i="48"/>
  <c r="CK10" i="33"/>
  <c r="CP140" i="33" s="1"/>
  <c r="BU12" i="12"/>
  <c r="P360" i="58"/>
  <c r="O9" i="12"/>
  <c r="BU43" i="12"/>
  <c r="G34" i="77"/>
  <c r="BU827" i="12"/>
  <c r="BY829" i="12" s="1"/>
  <c r="BV51" i="12"/>
  <c r="BU51" i="12"/>
  <c r="BY43" i="12"/>
  <c r="BN7" i="80"/>
  <c r="BR7" i="80"/>
  <c r="BO8" i="80"/>
  <c r="BN8" i="80"/>
  <c r="CT302" i="12"/>
  <c r="CT835" i="12"/>
  <c r="BX338" i="12"/>
  <c r="P338" i="12" s="1"/>
  <c r="P336" i="12"/>
  <c r="CR302" i="12"/>
  <c r="CR835" i="12"/>
  <c r="CO142" i="33"/>
  <c r="CT142" i="33"/>
  <c r="CP158" i="33"/>
  <c r="CS12" i="33"/>
  <c r="CQ11" i="33"/>
  <c r="BZ12" i="12"/>
  <c r="CA52" i="12"/>
  <c r="L35" i="77"/>
  <c r="L14" i="77" s="1"/>
  <c r="CD44" i="12"/>
  <c r="P10" i="12"/>
  <c r="BZ52" i="12"/>
  <c r="BZ44" i="12"/>
  <c r="CO158" i="33"/>
  <c r="DZ214" i="48"/>
  <c r="CM142" i="33"/>
  <c r="CR142" i="33"/>
  <c r="CS302" i="12"/>
  <c r="CS835" i="12"/>
  <c r="BW43" i="12"/>
  <c r="BW12" i="12"/>
  <c r="R360" i="58"/>
  <c r="I34" i="77"/>
  <c r="I14" i="77" s="1"/>
  <c r="I11" i="77" s="1"/>
  <c r="CM10" i="33"/>
  <c r="BW827" i="12"/>
  <c r="BW51" i="12"/>
  <c r="CA43" i="12"/>
  <c r="V16" i="77"/>
  <c r="CQ142" i="33"/>
  <c r="K10" i="57"/>
  <c r="CV142" i="33"/>
  <c r="CQ158" i="33"/>
  <c r="CR158" i="33"/>
  <c r="CO141" i="33"/>
  <c r="CT141" i="33"/>
  <c r="CP157" i="33"/>
  <c r="CL142" i="33"/>
  <c r="CM158" i="33"/>
  <c r="CO157" i="33"/>
  <c r="V11" i="77"/>
  <c r="V29" i="77" s="1"/>
  <c r="CQ156" i="33"/>
  <c r="CU140" i="33"/>
  <c r="BU338" i="12"/>
  <c r="O338" i="12" s="1"/>
  <c r="O336" i="12"/>
  <c r="CU835" i="12"/>
  <c r="CU302" i="12"/>
  <c r="BS121" i="14"/>
  <c r="BS122" i="14" s="1"/>
  <c r="BR121" i="14"/>
  <c r="P9" i="12"/>
  <c r="CO10" i="33"/>
  <c r="BX43" i="12"/>
  <c r="J34" i="77"/>
  <c r="BX12" i="12"/>
  <c r="S360" i="58"/>
  <c r="CB43" i="12"/>
  <c r="BX51" i="12"/>
  <c r="BX827" i="12"/>
  <c r="V11" i="12"/>
  <c r="AT368" i="58"/>
  <c r="AT369" i="58" s="1"/>
  <c r="Y292" i="12"/>
  <c r="X15" i="48"/>
  <c r="Y291" i="12"/>
  <c r="X13" i="12"/>
  <c r="X14" i="33" s="1"/>
  <c r="Y15" i="48" s="1"/>
  <c r="Y294" i="12"/>
  <c r="AB16" i="77"/>
  <c r="DN142" i="33"/>
  <c r="DN158" i="33"/>
  <c r="BZ185" i="14"/>
  <c r="T361" i="58"/>
  <c r="U362" i="58" s="1"/>
  <c r="T363" i="58"/>
  <c r="U364" i="58" s="1"/>
  <c r="Q361" i="58"/>
  <c r="Q363" i="58"/>
  <c r="AP281" i="58"/>
  <c r="AP282" i="58"/>
  <c r="AP214" i="58"/>
  <c r="AP215" i="58"/>
  <c r="P244" i="71"/>
  <c r="Q244" i="71"/>
  <c r="U14" i="12"/>
  <c r="U38" i="12" s="1"/>
  <c r="U18" i="64"/>
  <c r="DM15" i="33"/>
  <c r="P184" i="14"/>
  <c r="Q112" i="58"/>
  <c r="Q111" i="58"/>
  <c r="AT204" i="58"/>
  <c r="V471" i="12"/>
  <c r="E14" i="74"/>
  <c r="DL143" i="33"/>
  <c r="U139" i="33"/>
  <c r="U13" i="33"/>
  <c r="CT19" i="33"/>
  <c r="E30" i="56"/>
  <c r="BS13" i="48"/>
  <c r="BS18" i="48" s="1"/>
  <c r="AL5" i="64"/>
  <c r="AL32" i="64" s="1"/>
  <c r="CT108" i="33"/>
  <c r="CT109" i="33"/>
  <c r="K192" i="66"/>
  <c r="K190" i="66" s="1"/>
  <c r="W4" i="58"/>
  <c r="CT88" i="33"/>
  <c r="K44" i="66"/>
  <c r="CT117" i="33"/>
  <c r="CT115" i="33"/>
  <c r="CB186" i="14"/>
  <c r="S111" i="71"/>
  <c r="T178" i="71"/>
  <c r="T179" i="71" s="1"/>
  <c r="T177" i="71"/>
  <c r="DN156" i="33"/>
  <c r="DN140" i="33"/>
  <c r="DN13" i="33"/>
  <c r="DN139" i="33"/>
  <c r="X21" i="77"/>
  <c r="X19" i="77"/>
  <c r="X29" i="77"/>
  <c r="F18" i="59"/>
  <c r="G18" i="59"/>
  <c r="AQ364" i="58"/>
  <c r="S14" i="59"/>
  <c r="S17" i="59"/>
  <c r="CZ115" i="33"/>
  <c r="CH175" i="15"/>
  <c r="CH176" i="15"/>
  <c r="CZ109" i="33"/>
  <c r="AC4" i="58"/>
  <c r="CZ108" i="33"/>
  <c r="CZ19" i="33"/>
  <c r="CH237" i="15"/>
  <c r="BJ322" i="77"/>
  <c r="BJ329" i="77" s="1"/>
  <c r="CZ88" i="33"/>
  <c r="BY13" i="48"/>
  <c r="BY18" i="48" s="1"/>
  <c r="CH240" i="15"/>
  <c r="CZ117" i="33"/>
  <c r="CH238" i="15"/>
  <c r="CH138" i="15"/>
  <c r="CH239" i="15"/>
  <c r="CH186" i="14"/>
  <c r="AM283" i="58"/>
  <c r="CU820" i="12"/>
  <c r="CU818" i="12" s="1"/>
  <c r="CU46" i="12"/>
  <c r="CU14" i="12"/>
  <c r="CU38" i="12" s="1"/>
  <c r="CU54" i="12"/>
  <c r="CV819" i="12"/>
  <c r="CU822" i="12"/>
  <c r="AG80" i="77" s="1"/>
  <c r="AG57" i="77" s="1"/>
  <c r="AR206" i="58"/>
  <c r="AR207" i="58" s="1"/>
  <c r="CW825" i="12"/>
  <c r="AI83" i="77" s="1"/>
  <c r="AI61" i="77" s="1"/>
  <c r="AD214" i="58"/>
  <c r="AC215" i="58"/>
  <c r="AC214" i="58"/>
  <c r="CR823" i="12"/>
  <c r="CS823" i="12"/>
  <c r="AM354" i="58"/>
  <c r="CR828" i="12"/>
  <c r="S143" i="33"/>
  <c r="AM143" i="33"/>
  <c r="S14" i="48"/>
  <c r="R143" i="33"/>
  <c r="R15" i="33"/>
  <c r="T239" i="15"/>
  <c r="T5" i="64"/>
  <c r="L44" i="65"/>
  <c r="T88" i="33"/>
  <c r="T237" i="15"/>
  <c r="BZ61" i="48"/>
  <c r="T106" i="14"/>
  <c r="T240" i="15"/>
  <c r="BB133" i="77"/>
  <c r="S4" i="71"/>
  <c r="T108" i="33"/>
  <c r="T115" i="33"/>
  <c r="AV89" i="77"/>
  <c r="AX89" i="77" s="1"/>
  <c r="H5" i="75"/>
  <c r="T238" i="15"/>
  <c r="BC89" i="77"/>
  <c r="T117" i="33"/>
  <c r="T109" i="33"/>
  <c r="L28" i="53"/>
  <c r="L193" i="65"/>
  <c r="L191" i="65" s="1"/>
  <c r="L95" i="65" s="1"/>
  <c r="L93" i="65" s="1"/>
  <c r="T13" i="48"/>
  <c r="T186" i="14"/>
  <c r="T19" i="33"/>
  <c r="EF215" i="48"/>
  <c r="EC215" i="48"/>
  <c r="EA217" i="48"/>
  <c r="I18" i="59"/>
  <c r="DN141" i="33"/>
  <c r="F66" i="56"/>
  <c r="CC829" i="12"/>
  <c r="BZ830" i="12"/>
  <c r="BY830" i="12"/>
  <c r="P246" i="71"/>
  <c r="Q246" i="71"/>
  <c r="AB364" i="58"/>
  <c r="AB365" i="58"/>
  <c r="AC364" i="58"/>
  <c r="AB366" i="58"/>
  <c r="CV820" i="12"/>
  <c r="CW819" i="12"/>
  <c r="CV822" i="12"/>
  <c r="AH80" i="77" s="1"/>
  <c r="AH57" i="77" s="1"/>
  <c r="CV54" i="12"/>
  <c r="CV14" i="12"/>
  <c r="CV38" i="12" s="1"/>
  <c r="CV46" i="12"/>
  <c r="DN155" i="33"/>
  <c r="CL239" i="15"/>
  <c r="CL175" i="15"/>
  <c r="DD117" i="33"/>
  <c r="DD115" i="33"/>
  <c r="DD108" i="33"/>
  <c r="CC13" i="48"/>
  <c r="CC18" i="48" s="1"/>
  <c r="DD17" i="33"/>
  <c r="CL238" i="15"/>
  <c r="DD19" i="33"/>
  <c r="DD88" i="33"/>
  <c r="CL237" i="15"/>
  <c r="CL240" i="15"/>
  <c r="CL176" i="15"/>
  <c r="AG4" i="58"/>
  <c r="DD109" i="33"/>
  <c r="CL186" i="14"/>
  <c r="BJ248" i="77"/>
  <c r="DD161" i="33"/>
  <c r="DD16" i="33"/>
  <c r="AL216" i="58"/>
  <c r="V362" i="58"/>
  <c r="AS277" i="58"/>
  <c r="AS280" i="58" s="1"/>
  <c r="AS103" i="58"/>
  <c r="AS104" i="58" s="1"/>
  <c r="V249" i="12"/>
  <c r="AS551" i="58"/>
  <c r="AS100" i="58"/>
  <c r="BJ72" i="77"/>
  <c r="AR105" i="58"/>
  <c r="AR106" i="58" s="1"/>
  <c r="V21" i="80"/>
  <c r="V22" i="80" s="1"/>
  <c r="V168" i="12"/>
  <c r="AS370" i="58"/>
  <c r="AS371" i="58" s="1"/>
  <c r="CX698" i="12"/>
  <c r="Y13" i="77"/>
  <c r="Y29" i="77"/>
  <c r="AB11" i="77"/>
  <c r="AF12" i="77" s="1"/>
  <c r="Q16" i="77"/>
  <c r="AC15" i="77"/>
  <c r="V15" i="77"/>
  <c r="U15" i="77"/>
  <c r="R16" i="77"/>
  <c r="AB15" i="77"/>
  <c r="Z21" i="77"/>
  <c r="Z29" i="77"/>
  <c r="Z19" i="77"/>
  <c r="N11" i="77"/>
  <c r="O13" i="77" s="1"/>
  <c r="R21" i="77"/>
  <c r="Y27" i="77"/>
  <c r="Y31" i="77" s="1"/>
  <c r="P19" i="77"/>
  <c r="W27" i="77"/>
  <c r="W31" i="77" s="1"/>
  <c r="W22" i="77"/>
  <c r="Q29" i="77"/>
  <c r="R13" i="77"/>
  <c r="Q19" i="77"/>
  <c r="Q21" i="77"/>
  <c r="O29" i="77"/>
  <c r="AS101" i="58"/>
  <c r="BK235" i="77"/>
  <c r="BI235" i="77"/>
  <c r="BK347" i="77"/>
  <c r="BK348" i="77" s="1"/>
  <c r="AL22" i="77"/>
  <c r="AL27" i="77"/>
  <c r="AL31" i="77" s="1"/>
  <c r="BI219" i="77"/>
  <c r="BK219" i="77"/>
  <c r="V180" i="33"/>
  <c r="V185" i="33" s="1"/>
  <c r="CE300" i="90"/>
  <c r="CE302" i="90" s="1"/>
  <c r="CE366" i="90" s="1"/>
  <c r="CD366" i="90"/>
  <c r="AR102" i="58"/>
  <c r="I103" i="15" l="1"/>
  <c r="I105" i="15" s="1"/>
  <c r="I107" i="15" s="1"/>
  <c r="I30" i="48"/>
  <c r="I74" i="15"/>
  <c r="I83" i="15"/>
  <c r="I88" i="15" s="1"/>
  <c r="I90" i="15" s="1"/>
  <c r="I92" i="15" s="1"/>
  <c r="BK74" i="15"/>
  <c r="BK83" i="15"/>
  <c r="BK68" i="15"/>
  <c r="BB30" i="48"/>
  <c r="F70" i="52"/>
  <c r="F71" i="52" s="1"/>
  <c r="DA99" i="90"/>
  <c r="DA101" i="90" s="1"/>
  <c r="AW78" i="15"/>
  <c r="AW76" i="15"/>
  <c r="BF74" i="15"/>
  <c r="AW30" i="48"/>
  <c r="BF83" i="15"/>
  <c r="BF88" i="15" s="1"/>
  <c r="BF90" i="15" s="1"/>
  <c r="BF92" i="15" s="1"/>
  <c r="AC267" i="12"/>
  <c r="AC268" i="12" s="1"/>
  <c r="AC270" i="12"/>
  <c r="AC272" i="12"/>
  <c r="AD271" i="12"/>
  <c r="I67" i="52"/>
  <c r="AK70" i="15"/>
  <c r="AL69" i="15" s="1"/>
  <c r="CU503" i="12"/>
  <c r="CU501" i="12"/>
  <c r="J98" i="52"/>
  <c r="CW270" i="90"/>
  <c r="CW272" i="90" s="1"/>
  <c r="CE26" i="90"/>
  <c r="CE29" i="90"/>
  <c r="CD28" i="90"/>
  <c r="CD318" i="90"/>
  <c r="CD317" i="90" s="1"/>
  <c r="BA41" i="33"/>
  <c r="BA148" i="33"/>
  <c r="AJ58" i="77"/>
  <c r="AJ60" i="77"/>
  <c r="CZ353" i="90"/>
  <c r="K36" i="70"/>
  <c r="K42" i="70"/>
  <c r="K45" i="70" s="1"/>
  <c r="K50" i="70" s="1"/>
  <c r="AI78" i="15"/>
  <c r="AI76" i="15"/>
  <c r="BG32" i="15"/>
  <c r="K11" i="15"/>
  <c r="K32" i="15" s="1"/>
  <c r="Q21" i="64"/>
  <c r="R22" i="64" s="1"/>
  <c r="R19" i="64"/>
  <c r="AY43" i="15"/>
  <c r="AY68" i="15" s="1"/>
  <c r="AT68" i="15"/>
  <c r="AT74" i="15"/>
  <c r="AK30" i="48"/>
  <c r="AT83" i="15"/>
  <c r="AT88" i="15" s="1"/>
  <c r="AT90" i="15" s="1"/>
  <c r="AT92" i="15" s="1"/>
  <c r="W119" i="90"/>
  <c r="X117" i="90"/>
  <c r="BQ33" i="90"/>
  <c r="BP35" i="90"/>
  <c r="CE93" i="90"/>
  <c r="CE95" i="90" s="1"/>
  <c r="CE352" i="90"/>
  <c r="CD352" i="90"/>
  <c r="AS78" i="15"/>
  <c r="AS81" i="15" s="1"/>
  <c r="AS76" i="15"/>
  <c r="BI78" i="15"/>
  <c r="BI81" i="15" s="1"/>
  <c r="BI76" i="15"/>
  <c r="AZ83" i="15"/>
  <c r="AZ88" i="15" s="1"/>
  <c r="AZ90" i="15" s="1"/>
  <c r="AZ92" i="15" s="1"/>
  <c r="AZ68" i="15"/>
  <c r="AZ74" i="15"/>
  <c r="AQ30" i="48"/>
  <c r="H72" i="52"/>
  <c r="I68" i="15"/>
  <c r="Z353" i="90"/>
  <c r="AA99" i="90"/>
  <c r="AA101" i="90" s="1"/>
  <c r="AA353" i="90"/>
  <c r="V144" i="90"/>
  <c r="X111" i="90"/>
  <c r="X325" i="90"/>
  <c r="BR76" i="15"/>
  <c r="BR78" i="15"/>
  <c r="BR81" i="15" s="1"/>
  <c r="AP489" i="58"/>
  <c r="AP488" i="58"/>
  <c r="AO76" i="15"/>
  <c r="AO78" i="15"/>
  <c r="AO81" i="15" s="1"/>
  <c r="AK78" i="15"/>
  <c r="AK81" i="15" s="1"/>
  <c r="AK76" i="15"/>
  <c r="Q36" i="12"/>
  <c r="Q39" i="12"/>
  <c r="Q35" i="12"/>
  <c r="R41" i="12"/>
  <c r="Q37" i="12"/>
  <c r="Q34" i="12"/>
  <c r="BA30" i="48"/>
  <c r="BJ83" i="15"/>
  <c r="BJ88" i="15" s="1"/>
  <c r="BJ90" i="15" s="1"/>
  <c r="BJ92" i="15" s="1"/>
  <c r="BJ74" i="15"/>
  <c r="BE76" i="15"/>
  <c r="BE78" i="15"/>
  <c r="BE81" i="15" s="1"/>
  <c r="BB31" i="15"/>
  <c r="BA32" i="15"/>
  <c r="EV409" i="48"/>
  <c r="ET400" i="48"/>
  <c r="G64" i="15"/>
  <c r="AL70" i="15"/>
  <c r="AM69" i="15" s="1"/>
  <c r="AW81" i="15"/>
  <c r="BY110" i="33"/>
  <c r="CA110" i="33"/>
  <c r="BL110" i="33"/>
  <c r="BK86" i="15"/>
  <c r="L40" i="15"/>
  <c r="L86" i="15" s="1"/>
  <c r="CU673" i="12"/>
  <c r="CU671" i="12"/>
  <c r="BO64" i="15"/>
  <c r="M49" i="15"/>
  <c r="M64" i="15" s="1"/>
  <c r="Q12" i="80"/>
  <c r="R13" i="80" s="1"/>
  <c r="P301" i="71"/>
  <c r="Q302" i="71" s="1"/>
  <c r="R823" i="12"/>
  <c r="Q828" i="12"/>
  <c r="CC41" i="90"/>
  <c r="DA276" i="90"/>
  <c r="DA278" i="90" s="1"/>
  <c r="DB276" i="90" s="1"/>
  <c r="DB278" i="90" s="1"/>
  <c r="DA363" i="90"/>
  <c r="CR264" i="90"/>
  <c r="CR265" i="90" s="1"/>
  <c r="CR266" i="90" s="1"/>
  <c r="CS264" i="90" s="1"/>
  <c r="T266" i="90"/>
  <c r="K71" i="52"/>
  <c r="M20" i="90"/>
  <c r="BO22" i="90"/>
  <c r="BF68" i="15"/>
  <c r="CL165" i="12"/>
  <c r="W165" i="12"/>
  <c r="X165" i="12" s="1"/>
  <c r="CK231" i="12"/>
  <c r="CE220" i="90"/>
  <c r="DT297" i="48"/>
  <c r="DT250" i="48"/>
  <c r="CB55" i="33"/>
  <c r="CC166" i="33"/>
  <c r="CB150" i="33"/>
  <c r="CB116" i="33"/>
  <c r="CB48" i="33"/>
  <c r="D70" i="52"/>
  <c r="AA225" i="12"/>
  <c r="P346" i="12"/>
  <c r="DA227" i="90"/>
  <c r="DB227" i="90" s="1"/>
  <c r="DC227" i="90" s="1"/>
  <c r="W227" i="90"/>
  <c r="X227" i="90" s="1"/>
  <c r="Y227" i="90" s="1"/>
  <c r="Z227" i="90" s="1"/>
  <c r="AA227" i="90" s="1"/>
  <c r="AB227" i="90" s="1"/>
  <c r="AC227" i="90" s="1"/>
  <c r="AD227" i="90" s="1"/>
  <c r="CL355" i="90"/>
  <c r="CM246" i="90"/>
  <c r="CM248" i="90" s="1"/>
  <c r="CM358" i="90"/>
  <c r="DA228" i="90"/>
  <c r="DA230" i="90" s="1"/>
  <c r="DB228" i="90" s="1"/>
  <c r="DB230" i="90" s="1"/>
  <c r="DC228" i="90" s="1"/>
  <c r="DC230" i="90" s="1"/>
  <c r="W230" i="90"/>
  <c r="X228" i="90" s="1"/>
  <c r="X347" i="90" s="1"/>
  <c r="X349" i="90" s="1"/>
  <c r="CL358" i="90"/>
  <c r="CA183" i="90"/>
  <c r="CA185" i="90" s="1"/>
  <c r="CA338" i="90" s="1"/>
  <c r="W164" i="90"/>
  <c r="CU154" i="90"/>
  <c r="W144" i="90"/>
  <c r="BZ338" i="90"/>
  <c r="CD327" i="90"/>
  <c r="CE123" i="90"/>
  <c r="CE125" i="90" s="1"/>
  <c r="CA111" i="90"/>
  <c r="CA113" i="90" s="1"/>
  <c r="CA325" i="90" s="1"/>
  <c r="O128" i="90"/>
  <c r="O129" i="90" s="1"/>
  <c r="N129" i="90"/>
  <c r="O138" i="90"/>
  <c r="N139" i="90"/>
  <c r="AD199" i="90"/>
  <c r="AB128" i="90"/>
  <c r="AB130" i="90" s="1"/>
  <c r="AB346" i="90" s="1"/>
  <c r="BS219" i="90"/>
  <c r="N220" i="90"/>
  <c r="BT218" i="90"/>
  <c r="BT219" i="90" s="1"/>
  <c r="CW189" i="90"/>
  <c r="CX189" i="90" s="1"/>
  <c r="CY189" i="90" s="1"/>
  <c r="CZ189" i="90" s="1"/>
  <c r="DA189" i="90" s="1"/>
  <c r="DB189" i="90" s="1"/>
  <c r="DC189" i="90" s="1"/>
  <c r="W189" i="90"/>
  <c r="CH188" i="90"/>
  <c r="CH190" i="90" s="1"/>
  <c r="CI188" i="90" s="1"/>
  <c r="CI190" i="90" s="1"/>
  <c r="CJ163" i="90"/>
  <c r="CJ165" i="90" s="1"/>
  <c r="CJ334" i="90" s="1"/>
  <c r="R165" i="90"/>
  <c r="CG339" i="90"/>
  <c r="BX138" i="90"/>
  <c r="BX140" i="90" s="1"/>
  <c r="BY138" i="90" s="1"/>
  <c r="BY140" i="90" s="1"/>
  <c r="O140" i="90"/>
  <c r="AA618" i="12"/>
  <c r="AG61" i="33"/>
  <c r="AG63" i="33" s="1"/>
  <c r="AG58" i="33"/>
  <c r="CC58" i="33"/>
  <c r="CC61" i="33"/>
  <c r="CC63" i="33" s="1"/>
  <c r="Z69" i="33"/>
  <c r="AA27" i="33"/>
  <c r="BW61" i="33"/>
  <c r="BW63" i="33" s="1"/>
  <c r="BW58" i="33"/>
  <c r="BJ110" i="33"/>
  <c r="BC73" i="33"/>
  <c r="BC75" i="33" s="1"/>
  <c r="AW167" i="33"/>
  <c r="AV63" i="33"/>
  <c r="BF48" i="33"/>
  <c r="BF55" i="33"/>
  <c r="BF116" i="33"/>
  <c r="AI22" i="48"/>
  <c r="AI36" i="48" s="1"/>
  <c r="BA40" i="33"/>
  <c r="BA164" i="33"/>
  <c r="BA114" i="33"/>
  <c r="BA39" i="33"/>
  <c r="BA47" i="33"/>
  <c r="BF150" i="33" s="1"/>
  <c r="BA44" i="33"/>
  <c r="AR110" i="14"/>
  <c r="BA42" i="33"/>
  <c r="Z70" i="33"/>
  <c r="AA28" i="33"/>
  <c r="AB196" i="33"/>
  <c r="AV72" i="33"/>
  <c r="AV71" i="33"/>
  <c r="AV69" i="33"/>
  <c r="AV70" i="33"/>
  <c r="AV94" i="15"/>
  <c r="AV15" i="90"/>
  <c r="R118" i="90"/>
  <c r="S119" i="90"/>
  <c r="BR224" i="14"/>
  <c r="BJ219" i="77"/>
  <c r="E48" i="33"/>
  <c r="E41" i="33"/>
  <c r="M59" i="66"/>
  <c r="M57" i="66" s="1"/>
  <c r="M210" i="66" s="1"/>
  <c r="DA16" i="33"/>
  <c r="DF36" i="33"/>
  <c r="DF41" i="33" s="1"/>
  <c r="X283" i="58"/>
  <c r="U25" i="64"/>
  <c r="AL283" i="58"/>
  <c r="CZ16" i="33"/>
  <c r="CY17" i="33"/>
  <c r="CY145" i="33"/>
  <c r="BJ20" i="48"/>
  <c r="BJ363" i="77"/>
  <c r="AM216" i="58"/>
  <c r="DD145" i="33"/>
  <c r="U30" i="64"/>
  <c r="AG11" i="77"/>
  <c r="AH13" i="77" s="1"/>
  <c r="AG15" i="77"/>
  <c r="CX110" i="33"/>
  <c r="AH16" i="77"/>
  <c r="AN15" i="77"/>
  <c r="CX36" i="33"/>
  <c r="CX37" i="33"/>
  <c r="CX104" i="33"/>
  <c r="DE16" i="33"/>
  <c r="DE145" i="33"/>
  <c r="DE17" i="33"/>
  <c r="D102" i="52"/>
  <c r="D92" i="52"/>
  <c r="D96" i="52"/>
  <c r="D89" i="52"/>
  <c r="AH4" i="58"/>
  <c r="CM239" i="15"/>
  <c r="CM176" i="15"/>
  <c r="DE117" i="33"/>
  <c r="BJ234" i="77"/>
  <c r="BJ241" i="77" s="1"/>
  <c r="N6" i="58"/>
  <c r="N10" i="58"/>
  <c r="DE161" i="33"/>
  <c r="M43" i="66"/>
  <c r="L81" i="14"/>
  <c r="D87" i="52"/>
  <c r="D91" i="52"/>
  <c r="D100" i="52"/>
  <c r="D90" i="52"/>
  <c r="DJ145" i="33"/>
  <c r="CM238" i="15"/>
  <c r="DE88" i="33"/>
  <c r="DE90" i="33" s="1"/>
  <c r="DE91" i="33" s="1"/>
  <c r="DE92" i="33" s="1"/>
  <c r="CM237" i="15"/>
  <c r="DF161" i="33"/>
  <c r="CX20" i="33"/>
  <c r="BJ358" i="77" s="1"/>
  <c r="D101" i="52"/>
  <c r="D88" i="52"/>
  <c r="D95" i="52"/>
  <c r="D99" i="52"/>
  <c r="CM240" i="15"/>
  <c r="DE115" i="33"/>
  <c r="DE109" i="33"/>
  <c r="DE110" i="33" s="1"/>
  <c r="DJ17" i="33"/>
  <c r="CG17" i="33"/>
  <c r="BS82" i="14"/>
  <c r="CH94" i="33"/>
  <c r="CH93" i="33"/>
  <c r="BS83" i="14" s="1"/>
  <c r="BS88" i="14" s="1"/>
  <c r="CH97" i="33"/>
  <c r="CH98" i="33" s="1"/>
  <c r="CH99" i="33" s="1"/>
  <c r="BS86" i="14" s="1"/>
  <c r="BS90" i="14" s="1"/>
  <c r="F97" i="52"/>
  <c r="DR196" i="33"/>
  <c r="E313" i="90"/>
  <c r="E372" i="90" s="1"/>
  <c r="E80" i="15" s="1"/>
  <c r="E81" i="15" s="1"/>
  <c r="AI372" i="90"/>
  <c r="AI80" i="15" s="1"/>
  <c r="AI81" i="15" s="1"/>
  <c r="BJ104" i="33"/>
  <c r="BJ20" i="33"/>
  <c r="BJ37" i="33"/>
  <c r="BC162" i="33"/>
  <c r="BB162" i="33"/>
  <c r="AQ116" i="33"/>
  <c r="AQ55" i="33"/>
  <c r="AV150" i="33"/>
  <c r="AQ166" i="33"/>
  <c r="AQ48" i="33"/>
  <c r="AR166" i="33"/>
  <c r="I147" i="33"/>
  <c r="I163" i="33"/>
  <c r="BG162" i="33"/>
  <c r="BH162" i="33"/>
  <c r="AV20" i="48"/>
  <c r="BQ20" i="33"/>
  <c r="BQ104" i="33"/>
  <c r="BQ146" i="33"/>
  <c r="BQ37" i="33"/>
  <c r="BQ36" i="33"/>
  <c r="AU94" i="15"/>
  <c r="AU99" i="15" s="1"/>
  <c r="AU15" i="90"/>
  <c r="AP110" i="14"/>
  <c r="AX42" i="33"/>
  <c r="AX40" i="33"/>
  <c r="AG22" i="48"/>
  <c r="AG36" i="48" s="1"/>
  <c r="AX164" i="33"/>
  <c r="AX44" i="33"/>
  <c r="AX114" i="33"/>
  <c r="AY44" i="33"/>
  <c r="AX39" i="33"/>
  <c r="BC40" i="33"/>
  <c r="AY39" i="33"/>
  <c r="AY164" i="33"/>
  <c r="AX47" i="33"/>
  <c r="CA146" i="33"/>
  <c r="CA20" i="33"/>
  <c r="CA36" i="33"/>
  <c r="CA37" i="33"/>
  <c r="CA104" i="33"/>
  <c r="BD20" i="48"/>
  <c r="BL36" i="33"/>
  <c r="BL37" i="33"/>
  <c r="AR20" i="48"/>
  <c r="BL146" i="33"/>
  <c r="BL104" i="33"/>
  <c r="BL20" i="33"/>
  <c r="BO115" i="33"/>
  <c r="BO109" i="33"/>
  <c r="BO117" i="33"/>
  <c r="BO17" i="33"/>
  <c r="BO16" i="33"/>
  <c r="BO108" i="33"/>
  <c r="BO110" i="33" s="1"/>
  <c r="BO19" i="33"/>
  <c r="AK47" i="33"/>
  <c r="AK41" i="33"/>
  <c r="AK94" i="15"/>
  <c r="AK15" i="90"/>
  <c r="CD110" i="33"/>
  <c r="AS40" i="33"/>
  <c r="AS39" i="33"/>
  <c r="AL110" i="14"/>
  <c r="AT44" i="33"/>
  <c r="AS44" i="33"/>
  <c r="AT164" i="33"/>
  <c r="AS42" i="33"/>
  <c r="AT39" i="33"/>
  <c r="AC22" i="48"/>
  <c r="AC36" i="48" s="1"/>
  <c r="AS114" i="33"/>
  <c r="AS47" i="33"/>
  <c r="BB114" i="33"/>
  <c r="BB42" i="33"/>
  <c r="AS110" i="14"/>
  <c r="BB40" i="33"/>
  <c r="BB47" i="33"/>
  <c r="AJ22" i="48"/>
  <c r="AJ36" i="48" s="1"/>
  <c r="BB44" i="33"/>
  <c r="BC164" i="33"/>
  <c r="BC39" i="33"/>
  <c r="BC44" i="33"/>
  <c r="BB164" i="33"/>
  <c r="BB39" i="33"/>
  <c r="BP48" i="33"/>
  <c r="BP55" i="33"/>
  <c r="BP116" i="33"/>
  <c r="BP150" i="33"/>
  <c r="BE44" i="33"/>
  <c r="BE39" i="33"/>
  <c r="BE40" i="33"/>
  <c r="BE42" i="33"/>
  <c r="BE114" i="33"/>
  <c r="AN22" i="48"/>
  <c r="AN36" i="48" s="1"/>
  <c r="AW110" i="14"/>
  <c r="BH44" i="33"/>
  <c r="BG44" i="33"/>
  <c r="BG42" i="33"/>
  <c r="BH39" i="33"/>
  <c r="BG39" i="33"/>
  <c r="BG40" i="33"/>
  <c r="BG164" i="33"/>
  <c r="BG114" i="33"/>
  <c r="BG47" i="33"/>
  <c r="BH164" i="33"/>
  <c r="BG148" i="33"/>
  <c r="BG41" i="33"/>
  <c r="BV20" i="33"/>
  <c r="BV37" i="33"/>
  <c r="AZ20" i="48"/>
  <c r="BV104" i="33"/>
  <c r="BV36" i="33"/>
  <c r="BV146" i="33"/>
  <c r="AZ114" i="33"/>
  <c r="AZ42" i="33"/>
  <c r="AM164" i="33"/>
  <c r="AL114" i="33"/>
  <c r="AM39" i="33"/>
  <c r="AL39" i="33"/>
  <c r="AM44" i="33"/>
  <c r="AL44" i="33"/>
  <c r="AL42" i="33"/>
  <c r="AF110" i="14"/>
  <c r="AL40" i="33"/>
  <c r="BN42" i="33"/>
  <c r="BC110" i="14"/>
  <c r="BC94" i="15" s="1"/>
  <c r="BC99" i="15" s="1"/>
  <c r="BP164" i="33"/>
  <c r="BS40" i="33"/>
  <c r="BN39" i="33"/>
  <c r="BN44" i="33"/>
  <c r="BN164" i="33"/>
  <c r="BN40" i="33"/>
  <c r="BN114" i="33"/>
  <c r="AT22" i="48"/>
  <c r="BN47" i="33"/>
  <c r="AR48" i="33"/>
  <c r="AR116" i="33"/>
  <c r="AR55" i="33"/>
  <c r="AW150" i="33"/>
  <c r="AR150" i="33"/>
  <c r="BR48" i="33"/>
  <c r="BR150" i="33"/>
  <c r="BW150" i="33"/>
  <c r="BR55" i="33"/>
  <c r="BR116" i="33"/>
  <c r="I165" i="33"/>
  <c r="H165" i="33"/>
  <c r="CK212" i="33"/>
  <c r="CK216" i="33"/>
  <c r="CK214" i="33"/>
  <c r="CK195" i="33" s="1"/>
  <c r="CI185" i="14"/>
  <c r="CI172" i="14"/>
  <c r="R184" i="14"/>
  <c r="CI120" i="15"/>
  <c r="CI132" i="15" s="1"/>
  <c r="AU20" i="33"/>
  <c r="AU37" i="33"/>
  <c r="AU104" i="33"/>
  <c r="AJ55" i="33"/>
  <c r="AJ48" i="33"/>
  <c r="D5" i="58"/>
  <c r="E5" i="58"/>
  <c r="D10" i="58"/>
  <c r="BV110" i="33"/>
  <c r="BT16" i="33"/>
  <c r="BT108" i="33"/>
  <c r="BT17" i="33"/>
  <c r="BT19" i="33"/>
  <c r="BT109" i="33"/>
  <c r="BT115" i="33"/>
  <c r="BT117" i="33"/>
  <c r="G108" i="33"/>
  <c r="G24" i="33"/>
  <c r="H10" i="58"/>
  <c r="H6" i="58"/>
  <c r="I5" i="58"/>
  <c r="G109" i="33"/>
  <c r="G165" i="33"/>
  <c r="BU55" i="33"/>
  <c r="BU150" i="33"/>
  <c r="BU48" i="33"/>
  <c r="BZ150" i="33"/>
  <c r="BU116" i="33"/>
  <c r="BH99" i="15"/>
  <c r="BH101" i="15" s="1"/>
  <c r="BH97" i="15"/>
  <c r="AY38" i="48" s="1"/>
  <c r="AL41" i="33"/>
  <c r="AL47" i="33"/>
  <c r="AQ148" i="33"/>
  <c r="BP162" i="33"/>
  <c r="BN162" i="33"/>
  <c r="AS164" i="33"/>
  <c r="I110" i="14"/>
  <c r="I94" i="15" s="1"/>
  <c r="I42" i="33"/>
  <c r="I6" i="64"/>
  <c r="I10" i="64" s="1"/>
  <c r="H7" i="71"/>
  <c r="H8" i="71" s="1"/>
  <c r="I22" i="48"/>
  <c r="BK61" i="33"/>
  <c r="BK58" i="33"/>
  <c r="AO58" i="33"/>
  <c r="AO61" i="33"/>
  <c r="BB41" i="33"/>
  <c r="BB148" i="33"/>
  <c r="BD99" i="15"/>
  <c r="BD101" i="15" s="1"/>
  <c r="BD97" i="15"/>
  <c r="AU38" i="48" s="1"/>
  <c r="AJ94" i="15"/>
  <c r="AJ99" i="15" s="1"/>
  <c r="AJ101" i="15" s="1"/>
  <c r="AJ15" i="90"/>
  <c r="F107" i="14"/>
  <c r="F109" i="14" s="1"/>
  <c r="F19" i="33"/>
  <c r="E37" i="33"/>
  <c r="E20" i="48"/>
  <c r="E20" i="33"/>
  <c r="F165" i="33"/>
  <c r="F109" i="33"/>
  <c r="F110" i="33" s="1"/>
  <c r="F24" i="33"/>
  <c r="AH55" i="33"/>
  <c r="AH48" i="33"/>
  <c r="AZ110" i="33"/>
  <c r="EB278" i="48"/>
  <c r="EE278" i="48"/>
  <c r="BF166" i="33"/>
  <c r="BD166" i="33"/>
  <c r="BD116" i="33"/>
  <c r="BD55" i="33"/>
  <c r="BD48" i="33"/>
  <c r="BI150" i="33"/>
  <c r="AP40" i="33"/>
  <c r="AP39" i="33"/>
  <c r="AP44" i="33"/>
  <c r="AK42" i="33"/>
  <c r="G80" i="15"/>
  <c r="G96" i="15"/>
  <c r="CY354" i="90"/>
  <c r="CZ105" i="90"/>
  <c r="CZ107" i="90" s="1"/>
  <c r="BY83" i="90"/>
  <c r="BW203" i="14"/>
  <c r="BW224" i="14"/>
  <c r="BW226" i="14"/>
  <c r="BZ71" i="33"/>
  <c r="BZ72" i="33"/>
  <c r="BZ70" i="33"/>
  <c r="BZ69" i="33"/>
  <c r="BZ79" i="33"/>
  <c r="BZ67" i="33"/>
  <c r="BL111" i="14"/>
  <c r="BL96" i="14" s="1"/>
  <c r="BZ119" i="33"/>
  <c r="BZ78" i="33"/>
  <c r="V695" i="12"/>
  <c r="V696" i="12" s="1"/>
  <c r="CS11" i="33"/>
  <c r="P11" i="33" s="1"/>
  <c r="BV227" i="14"/>
  <c r="CG108" i="33"/>
  <c r="AF13" i="77"/>
  <c r="AF19" i="77"/>
  <c r="AF21" i="77"/>
  <c r="AF29" i="77"/>
  <c r="AH22" i="77"/>
  <c r="AH27" i="77"/>
  <c r="AG13" i="77"/>
  <c r="AG21" i="77"/>
  <c r="AG19" i="77"/>
  <c r="AG29" i="77"/>
  <c r="DS142" i="33"/>
  <c r="DS158" i="33"/>
  <c r="DR142" i="33"/>
  <c r="DS141" i="33"/>
  <c r="DR141" i="33"/>
  <c r="DS157" i="33"/>
  <c r="DR160" i="33"/>
  <c r="V44" i="12"/>
  <c r="V141" i="33"/>
  <c r="DR157" i="33"/>
  <c r="DC219" i="14"/>
  <c r="DC11" i="15" s="1"/>
  <c r="DB11" i="15"/>
  <c r="DB24" i="14"/>
  <c r="DB100" i="14"/>
  <c r="DC68" i="14"/>
  <c r="BY100" i="14"/>
  <c r="BZ68" i="14"/>
  <c r="DA97" i="14"/>
  <c r="DB70" i="14"/>
  <c r="W206" i="14"/>
  <c r="W209" i="14" s="1"/>
  <c r="X206" i="14" s="1"/>
  <c r="X209" i="14" s="1"/>
  <c r="Y206" i="14" s="1"/>
  <c r="Y209" i="14" s="1"/>
  <c r="Z206" i="14" s="1"/>
  <c r="Z209" i="14" s="1"/>
  <c r="AA206" i="14" s="1"/>
  <c r="AA209" i="14" s="1"/>
  <c r="AB206" i="14" s="1"/>
  <c r="AB209" i="14" s="1"/>
  <c r="AC206" i="14" s="1"/>
  <c r="AC209" i="14" s="1"/>
  <c r="AD206" i="14" s="1"/>
  <c r="AD209" i="14" s="1"/>
  <c r="G78" i="66"/>
  <c r="O64" i="14"/>
  <c r="H79" i="65" s="1"/>
  <c r="BX64" i="14"/>
  <c r="DC43" i="14"/>
  <c r="BR227" i="14"/>
  <c r="J20" i="48"/>
  <c r="J146" i="33"/>
  <c r="J20" i="33"/>
  <c r="J104" i="33"/>
  <c r="J162" i="33"/>
  <c r="D59" i="65"/>
  <c r="D57" i="65" s="1"/>
  <c r="D211" i="65" s="1"/>
  <c r="D43" i="65"/>
  <c r="D47" i="65" s="1"/>
  <c r="D42" i="65" s="1"/>
  <c r="D53" i="65"/>
  <c r="J36" i="33"/>
  <c r="L18" i="48"/>
  <c r="J128" i="14"/>
  <c r="J134" i="14"/>
  <c r="J108" i="14"/>
  <c r="J125" i="14"/>
  <c r="L108" i="14"/>
  <c r="L125" i="14"/>
  <c r="L128" i="14"/>
  <c r="L134" i="14"/>
  <c r="L104" i="33"/>
  <c r="L37" i="33"/>
  <c r="L20" i="33"/>
  <c r="L20" i="48"/>
  <c r="J110" i="33"/>
  <c r="DI145" i="33"/>
  <c r="H110" i="33"/>
  <c r="H20" i="48"/>
  <c r="H104" i="33"/>
  <c r="H146" i="33"/>
  <c r="H162" i="33"/>
  <c r="I162" i="33"/>
  <c r="H20" i="33"/>
  <c r="I146" i="33"/>
  <c r="H37" i="33"/>
  <c r="BY104" i="33"/>
  <c r="BY37" i="33"/>
  <c r="BY20" i="33"/>
  <c r="M117" i="33"/>
  <c r="M106" i="14"/>
  <c r="L4" i="71"/>
  <c r="L10" i="71" s="1"/>
  <c r="E28" i="53"/>
  <c r="M19" i="33"/>
  <c r="M17" i="33"/>
  <c r="M115" i="33"/>
  <c r="E193" i="65"/>
  <c r="E191" i="65" s="1"/>
  <c r="E95" i="65" s="1"/>
  <c r="E93" i="65" s="1"/>
  <c r="M145" i="33"/>
  <c r="M161" i="33"/>
  <c r="M108" i="33"/>
  <c r="M109" i="33"/>
  <c r="E44" i="65"/>
  <c r="M13" i="48"/>
  <c r="M18" i="48" s="1"/>
  <c r="M88" i="33"/>
  <c r="M90" i="33" s="1"/>
  <c r="M91" i="33" s="1"/>
  <c r="M92" i="33" s="1"/>
  <c r="BX162" i="33"/>
  <c r="BZ162" i="33"/>
  <c r="BX164" i="33"/>
  <c r="BB22" i="48"/>
  <c r="BX42" i="33"/>
  <c r="BX44" i="33"/>
  <c r="BK110" i="14"/>
  <c r="BK94" i="15" s="1"/>
  <c r="BX47" i="33"/>
  <c r="BZ44" i="33"/>
  <c r="BK28" i="12"/>
  <c r="BX40" i="33"/>
  <c r="F7" i="58"/>
  <c r="F8" i="58" s="1"/>
  <c r="BX39" i="33"/>
  <c r="BX114" i="33"/>
  <c r="BZ39" i="33"/>
  <c r="BZ164" i="33"/>
  <c r="CC40" i="33"/>
  <c r="L145" i="33"/>
  <c r="J4" i="71"/>
  <c r="J10" i="71" s="1"/>
  <c r="K19" i="33"/>
  <c r="K109" i="33"/>
  <c r="C28" i="53"/>
  <c r="L17" i="33"/>
  <c r="K108" i="33"/>
  <c r="K13" i="48"/>
  <c r="K18" i="48" s="1"/>
  <c r="C193" i="65"/>
  <c r="C191" i="65" s="1"/>
  <c r="C95" i="65" s="1"/>
  <c r="C93" i="65" s="1"/>
  <c r="C44" i="65"/>
  <c r="L161" i="33"/>
  <c r="K145" i="33"/>
  <c r="K161" i="33"/>
  <c r="K115" i="33"/>
  <c r="K106" i="14"/>
  <c r="K17" i="33"/>
  <c r="H36" i="33"/>
  <c r="AM70" i="77"/>
  <c r="W248" i="12"/>
  <c r="W250" i="12"/>
  <c r="AM75" i="77"/>
  <c r="DA69" i="14"/>
  <c r="DB69" i="14" s="1"/>
  <c r="DC69" i="14" s="1"/>
  <c r="W69" i="14" s="1"/>
  <c r="X69" i="14" s="1"/>
  <c r="Y69" i="14" s="1"/>
  <c r="Z69" i="14" s="1"/>
  <c r="AA69" i="14" s="1"/>
  <c r="AB69" i="14" s="1"/>
  <c r="AC69" i="14" s="1"/>
  <c r="AD69" i="14" s="1"/>
  <c r="CZ274" i="12"/>
  <c r="CZ293" i="12" s="1"/>
  <c r="AM47" i="77"/>
  <c r="AM71" i="77"/>
  <c r="CZ624" i="12"/>
  <c r="CZ623" i="12" s="1"/>
  <c r="CZ685" i="12" s="1"/>
  <c r="DA565" i="12"/>
  <c r="CZ695" i="12"/>
  <c r="CZ120" i="14" s="1"/>
  <c r="DC492" i="12"/>
  <c r="DC10" i="12" s="1"/>
  <c r="DU11" i="33" s="1"/>
  <c r="DU141" i="33" s="1"/>
  <c r="DB10" i="12"/>
  <c r="DT11" i="33" s="1"/>
  <c r="DC678" i="12"/>
  <c r="DB679" i="12"/>
  <c r="DA45" i="12"/>
  <c r="DA53" i="12"/>
  <c r="CZ472" i="12"/>
  <c r="DA471" i="12"/>
  <c r="CZ379" i="12"/>
  <c r="CZ381" i="12"/>
  <c r="AM54" i="77"/>
  <c r="CZ460" i="12"/>
  <c r="CZ494" i="12" s="1"/>
  <c r="CZ462" i="12"/>
  <c r="CZ512" i="12"/>
  <c r="DG161" i="33"/>
  <c r="DH19" i="33"/>
  <c r="DH36" i="33" s="1"/>
  <c r="DC493" i="12"/>
  <c r="DC11" i="12" s="1"/>
  <c r="DU12" i="33" s="1"/>
  <c r="DU142" i="33" s="1"/>
  <c r="DB11" i="12"/>
  <c r="DT12" i="33" s="1"/>
  <c r="DT158" i="33" s="1"/>
  <c r="DA634" i="12"/>
  <c r="CZ635" i="12"/>
  <c r="DM159" i="33"/>
  <c r="DA52" i="12"/>
  <c r="DA44" i="12"/>
  <c r="N226" i="14"/>
  <c r="BR220" i="14"/>
  <c r="BR203" i="14"/>
  <c r="U7" i="64"/>
  <c r="BB95" i="77"/>
  <c r="M38" i="53"/>
  <c r="U24" i="48"/>
  <c r="T9" i="71" s="1"/>
  <c r="X223" i="90"/>
  <c r="X225" i="90" s="1"/>
  <c r="X357" i="90" s="1"/>
  <c r="CX223" i="90"/>
  <c r="CX225" i="90" s="1"/>
  <c r="CY223" i="90" s="1"/>
  <c r="CY225" i="90" s="1"/>
  <c r="T22" i="77"/>
  <c r="DI17" i="33"/>
  <c r="DL159" i="33"/>
  <c r="CM156" i="33"/>
  <c r="CS82" i="14"/>
  <c r="DL15" i="33"/>
  <c r="J96" i="52"/>
  <c r="DJ110" i="33"/>
  <c r="AN364" i="58"/>
  <c r="AO364" i="58"/>
  <c r="AN366" i="58"/>
  <c r="AN365" i="58"/>
  <c r="T19" i="64"/>
  <c r="V623" i="12"/>
  <c r="V625" i="12" s="1"/>
  <c r="AM42" i="77"/>
  <c r="AM67" i="77"/>
  <c r="S13" i="77"/>
  <c r="U12" i="77"/>
  <c r="Q13" i="77"/>
  <c r="P21" i="77"/>
  <c r="P22" i="77" s="1"/>
  <c r="S21" i="77"/>
  <c r="S22" i="77" s="1"/>
  <c r="P29" i="77"/>
  <c r="R29" i="77"/>
  <c r="AD19" i="77"/>
  <c r="J14" i="77"/>
  <c r="N15" i="77" s="1"/>
  <c r="AD12" i="77"/>
  <c r="AD29" i="77"/>
  <c r="AC29" i="77"/>
  <c r="AG12" i="77"/>
  <c r="AH12" i="77"/>
  <c r="AE13" i="77"/>
  <c r="AT101" i="58"/>
  <c r="AT102" i="58" s="1"/>
  <c r="W12" i="77"/>
  <c r="S12" i="77"/>
  <c r="P13" i="77"/>
  <c r="BJ235" i="77"/>
  <c r="S29" i="77"/>
  <c r="O19" i="77"/>
  <c r="T13" i="77"/>
  <c r="CA347" i="12"/>
  <c r="CA353" i="12"/>
  <c r="CA354" i="12" s="1"/>
  <c r="BZ355" i="12"/>
  <c r="AW80" i="33"/>
  <c r="Z635" i="12"/>
  <c r="Z639" i="12"/>
  <c r="Z637" i="12"/>
  <c r="AV333" i="77"/>
  <c r="AY334" i="77" s="1"/>
  <c r="AY340" i="77" s="1"/>
  <c r="CZ145" i="33"/>
  <c r="CU161" i="33"/>
  <c r="X7" i="57"/>
  <c r="CZ17" i="33"/>
  <c r="CU16" i="33"/>
  <c r="AL15" i="77"/>
  <c r="S112" i="71"/>
  <c r="DF104" i="33"/>
  <c r="AG364" i="58"/>
  <c r="AN359" i="58"/>
  <c r="AO359" i="58"/>
  <c r="DJ93" i="33"/>
  <c r="CW83" i="14" s="1"/>
  <c r="DJ94" i="33"/>
  <c r="CS829" i="12"/>
  <c r="CS828" i="12"/>
  <c r="CS830" i="12"/>
  <c r="P240" i="12"/>
  <c r="CA241" i="12"/>
  <c r="CA239" i="12"/>
  <c r="P239" i="12" s="1"/>
  <c r="DJ104" i="33"/>
  <c r="DJ20" i="33"/>
  <c r="BI153" i="77" s="1"/>
  <c r="DJ36" i="33"/>
  <c r="DJ37" i="33"/>
  <c r="CZ143" i="33"/>
  <c r="CU159" i="33"/>
  <c r="AT270" i="58"/>
  <c r="DF37" i="33"/>
  <c r="AQ489" i="58"/>
  <c r="AD367" i="58"/>
  <c r="CV159" i="33"/>
  <c r="T282" i="58"/>
  <c r="U283" i="58" s="1"/>
  <c r="U281" i="58"/>
  <c r="X113" i="58"/>
  <c r="N18" i="59"/>
  <c r="BT14" i="48"/>
  <c r="Q176" i="71"/>
  <c r="Q178" i="71" s="1"/>
  <c r="R172" i="71"/>
  <c r="CR674" i="12"/>
  <c r="CR837" i="12"/>
  <c r="CO842" i="12"/>
  <c r="CO846" i="12" s="1"/>
  <c r="CO843" i="12"/>
  <c r="CO847" i="12" s="1"/>
  <c r="T143" i="33"/>
  <c r="AN143" i="33"/>
  <c r="T14" i="48"/>
  <c r="S15" i="33"/>
  <c r="AL12" i="77"/>
  <c r="BZ503" i="12"/>
  <c r="BZ501" i="12"/>
  <c r="BY671" i="12"/>
  <c r="BY673" i="12"/>
  <c r="Y363" i="58"/>
  <c r="Y359" i="58"/>
  <c r="P686" i="12"/>
  <c r="N171" i="71"/>
  <c r="N176" i="71" s="1"/>
  <c r="N178" i="71" s="1"/>
  <c r="O686" i="12"/>
  <c r="AN362" i="58"/>
  <c r="AO362" i="58"/>
  <c r="L671" i="12"/>
  <c r="L673" i="12"/>
  <c r="L674" i="12" s="1"/>
  <c r="N9" i="59"/>
  <c r="U488" i="58"/>
  <c r="U489" i="58"/>
  <c r="T489" i="58"/>
  <c r="T488" i="58"/>
  <c r="K36" i="57"/>
  <c r="O32" i="57"/>
  <c r="K34" i="57"/>
  <c r="BU671" i="12"/>
  <c r="BU673" i="12"/>
  <c r="BU674" i="12" s="1"/>
  <c r="Z365" i="58"/>
  <c r="Z366" i="58"/>
  <c r="AA367" i="58" s="1"/>
  <c r="CD830" i="12"/>
  <c r="CH829" i="12"/>
  <c r="CD828" i="12"/>
  <c r="CG145" i="33"/>
  <c r="S301" i="71"/>
  <c r="T12" i="80"/>
  <c r="T828" i="12"/>
  <c r="C13" i="62"/>
  <c r="C14" i="62" s="1"/>
  <c r="C15" i="62" s="1"/>
  <c r="T823" i="12"/>
  <c r="AI488" i="58"/>
  <c r="AI489" i="58"/>
  <c r="AC488" i="58"/>
  <c r="AC489" i="58"/>
  <c r="CF12" i="80"/>
  <c r="CJ828" i="12"/>
  <c r="AE354" i="58"/>
  <c r="AF355" i="58" s="1"/>
  <c r="V80" i="77"/>
  <c r="V57" i="77" s="1"/>
  <c r="CJ823" i="12"/>
  <c r="CP836" i="12"/>
  <c r="CP504" i="12"/>
  <c r="M501" i="12"/>
  <c r="M503" i="12"/>
  <c r="M504" i="12" s="1"/>
  <c r="AE489" i="58"/>
  <c r="AE488" i="58"/>
  <c r="Q16" i="80"/>
  <c r="P16" i="80"/>
  <c r="Y488" i="58"/>
  <c r="Y489" i="58"/>
  <c r="BN673" i="12"/>
  <c r="BN674" i="12" s="1"/>
  <c r="BN671" i="12"/>
  <c r="R237" i="71"/>
  <c r="S516" i="12"/>
  <c r="S823" i="12"/>
  <c r="S12" i="80"/>
  <c r="S13" i="80" s="1"/>
  <c r="R301" i="71"/>
  <c r="CN671" i="12"/>
  <c r="CN673" i="12"/>
  <c r="CH501" i="12"/>
  <c r="CH503" i="12"/>
  <c r="CJ37" i="12"/>
  <c r="CJ30" i="12"/>
  <c r="CN31" i="12" s="1"/>
  <c r="CJ106" i="14"/>
  <c r="CJ34" i="12"/>
  <c r="CJ36" i="12"/>
  <c r="CJ39" i="12"/>
  <c r="CJ35" i="12"/>
  <c r="CJ25" i="12"/>
  <c r="CJ49" i="12"/>
  <c r="CJ41" i="12"/>
  <c r="CN41" i="12"/>
  <c r="AO489" i="58"/>
  <c r="AO488" i="58"/>
  <c r="P306" i="71"/>
  <c r="Q306" i="71"/>
  <c r="DC159" i="33"/>
  <c r="DB143" i="33"/>
  <c r="DB15" i="33"/>
  <c r="DB17" i="33" s="1"/>
  <c r="DG143" i="33"/>
  <c r="CA14" i="48"/>
  <c r="CN504" i="12"/>
  <c r="CN836" i="12"/>
  <c r="S37" i="12"/>
  <c r="S39" i="12"/>
  <c r="S30" i="12"/>
  <c r="S36" i="12"/>
  <c r="S34" i="12"/>
  <c r="S41" i="12"/>
  <c r="S35" i="12"/>
  <c r="DB145" i="33"/>
  <c r="T39" i="12"/>
  <c r="T35" i="12"/>
  <c r="T34" i="12"/>
  <c r="T36" i="12"/>
  <c r="T37" i="12"/>
  <c r="T41" i="12"/>
  <c r="CF674" i="12"/>
  <c r="CF837" i="12"/>
  <c r="CF838" i="12" s="1"/>
  <c r="Q172" i="71"/>
  <c r="P172" i="71"/>
  <c r="P176" i="71"/>
  <c r="BR501" i="12"/>
  <c r="BR503" i="12"/>
  <c r="BR504" i="12" s="1"/>
  <c r="CD166" i="12"/>
  <c r="CC240" i="12"/>
  <c r="CC239" i="12" s="1"/>
  <c r="CT503" i="12"/>
  <c r="CT501" i="12"/>
  <c r="BX673" i="12"/>
  <c r="BX671" i="12"/>
  <c r="S38" i="12"/>
  <c r="DZ267" i="48"/>
  <c r="EE211" i="48"/>
  <c r="EB211" i="48"/>
  <c r="CB241" i="12"/>
  <c r="CB239" i="12"/>
  <c r="AD22" i="77"/>
  <c r="AD27" i="77"/>
  <c r="CJ671" i="12"/>
  <c r="CJ673" i="12"/>
  <c r="P308" i="71"/>
  <c r="Q309" i="71" s="1"/>
  <c r="P310" i="71"/>
  <c r="P304" i="71"/>
  <c r="CD671" i="12"/>
  <c r="CD673" i="12"/>
  <c r="CS503" i="12"/>
  <c r="CS501" i="12"/>
  <c r="S497" i="12"/>
  <c r="O17" i="48" s="1"/>
  <c r="S495" i="12"/>
  <c r="U121" i="14"/>
  <c r="U122" i="14" s="1"/>
  <c r="S489" i="58"/>
  <c r="S488" i="58"/>
  <c r="CL13" i="33"/>
  <c r="X216" i="58"/>
  <c r="Y216" i="58"/>
  <c r="BJ186" i="77"/>
  <c r="BJ193" i="77" s="1"/>
  <c r="DH108" i="33"/>
  <c r="CP176" i="15"/>
  <c r="CP186" i="14"/>
  <c r="CP175" i="15"/>
  <c r="CP238" i="15"/>
  <c r="AK4" i="58"/>
  <c r="AK10" i="58" s="1"/>
  <c r="DH109" i="33"/>
  <c r="DH117" i="33"/>
  <c r="CP240" i="15"/>
  <c r="CP237" i="15"/>
  <c r="DH115" i="33"/>
  <c r="V21" i="77"/>
  <c r="V22" i="77" s="1"/>
  <c r="CL140" i="33"/>
  <c r="AI5" i="58"/>
  <c r="DF110" i="33"/>
  <c r="CP239" i="15"/>
  <c r="CP654" i="12"/>
  <c r="V120" i="14"/>
  <c r="CX95" i="33"/>
  <c r="CG85" i="14" s="1"/>
  <c r="J18" i="59"/>
  <c r="AM6" i="58"/>
  <c r="DH88" i="33"/>
  <c r="DH90" i="33" s="1"/>
  <c r="DH91" i="33" s="1"/>
  <c r="DH92" i="33" s="1"/>
  <c r="DH93" i="33" s="1"/>
  <c r="CU83" i="14" s="1"/>
  <c r="AU68" i="57"/>
  <c r="AW68" i="57" s="1"/>
  <c r="DH17" i="33"/>
  <c r="CV20" i="33"/>
  <c r="CV37" i="33"/>
  <c r="BU20" i="48"/>
  <c r="CV104" i="33"/>
  <c r="DK145" i="33"/>
  <c r="T80" i="15"/>
  <c r="DK17" i="33"/>
  <c r="CU117" i="33"/>
  <c r="CU108" i="33"/>
  <c r="AM5" i="64"/>
  <c r="AM32" i="64" s="1"/>
  <c r="CU19" i="33"/>
  <c r="CU88" i="33"/>
  <c r="CU90" i="33" s="1"/>
  <c r="CU91" i="33" s="1"/>
  <c r="CU92" i="33" s="1"/>
  <c r="CD82" i="14" s="1"/>
  <c r="L44" i="66"/>
  <c r="BT13" i="48"/>
  <c r="BT18" i="48" s="1"/>
  <c r="CU109" i="33"/>
  <c r="CV16" i="33"/>
  <c r="X4" i="58"/>
  <c r="L192" i="66"/>
  <c r="L190" i="66" s="1"/>
  <c r="CC186" i="14"/>
  <c r="CV161" i="33"/>
  <c r="E50" i="56"/>
  <c r="CU115" i="33"/>
  <c r="V624" i="12"/>
  <c r="V38" i="80" s="1"/>
  <c r="V39" i="80" s="1"/>
  <c r="DG109" i="33"/>
  <c r="CO186" i="14"/>
  <c r="DG19" i="33"/>
  <c r="CO176" i="15"/>
  <c r="CO240" i="15"/>
  <c r="DG117" i="33"/>
  <c r="DG108" i="33"/>
  <c r="CO237" i="15"/>
  <c r="DG88" i="33"/>
  <c r="DG90" i="33" s="1"/>
  <c r="DG91" i="33" s="1"/>
  <c r="DG92" i="33" s="1"/>
  <c r="CO654" i="12"/>
  <c r="CO175" i="15"/>
  <c r="DG115" i="33"/>
  <c r="CO238" i="15"/>
  <c r="BJ202" i="77"/>
  <c r="BJ209" i="77" s="1"/>
  <c r="AJ4" i="58"/>
  <c r="CO239" i="15"/>
  <c r="DH161" i="33"/>
  <c r="DC104" i="33"/>
  <c r="DC36" i="33"/>
  <c r="DC37" i="33"/>
  <c r="DC20" i="33"/>
  <c r="BJ267" i="77" s="1"/>
  <c r="CB20" i="48"/>
  <c r="DC146" i="33"/>
  <c r="M8" i="57"/>
  <c r="O8" i="57"/>
  <c r="DH146" i="33"/>
  <c r="CQ239" i="15"/>
  <c r="CQ237" i="15"/>
  <c r="BK152" i="77"/>
  <c r="DI117" i="33"/>
  <c r="BJ169" i="77"/>
  <c r="BJ176" i="77" s="1"/>
  <c r="DI109" i="33"/>
  <c r="DI16" i="33"/>
  <c r="BJ170" i="77" s="1"/>
  <c r="AL4" i="58"/>
  <c r="AL6" i="58" s="1"/>
  <c r="CQ176" i="15"/>
  <c r="CQ186" i="14"/>
  <c r="DI19" i="33"/>
  <c r="DI146" i="33" s="1"/>
  <c r="DI115" i="33"/>
  <c r="CQ238" i="15"/>
  <c r="DJ161" i="33"/>
  <c r="CQ240" i="15"/>
  <c r="CQ654" i="12"/>
  <c r="DI108" i="33"/>
  <c r="DI88" i="33"/>
  <c r="DI90" i="33" s="1"/>
  <c r="DI91" i="33" s="1"/>
  <c r="DI92" i="33" s="1"/>
  <c r="CQ175" i="15"/>
  <c r="DJ16" i="33"/>
  <c r="BJ152" i="77" s="1"/>
  <c r="DI161" i="33"/>
  <c r="CH16" i="33"/>
  <c r="CG115" i="33"/>
  <c r="CG109" i="33"/>
  <c r="M4" i="58"/>
  <c r="BI13" i="48"/>
  <c r="BI18" i="48" s="1"/>
  <c r="CG88" i="33"/>
  <c r="CG90" i="33" s="1"/>
  <c r="CG91" i="33" s="1"/>
  <c r="CG117" i="33"/>
  <c r="CG19" i="33"/>
  <c r="AQ113" i="58"/>
  <c r="DA88" i="33"/>
  <c r="DA90" i="33" s="1"/>
  <c r="DA91" i="33" s="1"/>
  <c r="DA92" i="33" s="1"/>
  <c r="CI238" i="15"/>
  <c r="E3" i="79"/>
  <c r="DA109" i="33"/>
  <c r="DA115" i="33"/>
  <c r="DA19" i="33"/>
  <c r="CI175" i="15"/>
  <c r="AD4" i="58"/>
  <c r="AD10" i="58" s="1"/>
  <c r="CI237" i="15"/>
  <c r="DA108" i="33"/>
  <c r="CI239" i="15"/>
  <c r="BZ13" i="48"/>
  <c r="BZ18" i="48" s="1"/>
  <c r="DA17" i="33"/>
  <c r="CI240" i="15"/>
  <c r="DA145" i="33"/>
  <c r="DA117" i="33"/>
  <c r="CI186" i="14"/>
  <c r="CI138" i="15"/>
  <c r="CI176" i="15"/>
  <c r="DH16" i="33"/>
  <c r="CL82" i="14"/>
  <c r="DC94" i="33"/>
  <c r="DC93" i="33"/>
  <c r="CP83" i="14" s="1"/>
  <c r="DC97" i="33"/>
  <c r="DC98" i="33" s="1"/>
  <c r="DC99" i="33" s="1"/>
  <c r="CL86" i="14" s="1"/>
  <c r="DF145" i="33"/>
  <c r="DC110" i="33"/>
  <c r="DF17" i="33"/>
  <c r="T22" i="64"/>
  <c r="AA12" i="77"/>
  <c r="T111" i="58"/>
  <c r="U111" i="58"/>
  <c r="T112" i="58"/>
  <c r="AG355" i="58"/>
  <c r="AF366" i="58"/>
  <c r="AF365" i="58"/>
  <c r="Z216" i="58"/>
  <c r="AA216" i="58"/>
  <c r="AG111" i="58"/>
  <c r="AG112" i="58"/>
  <c r="AG113" i="58" s="1"/>
  <c r="AA111" i="58"/>
  <c r="Z112" i="58"/>
  <c r="AA113" i="58" s="1"/>
  <c r="X57" i="77"/>
  <c r="CG13" i="80"/>
  <c r="CH14" i="80"/>
  <c r="CG14" i="80"/>
  <c r="V216" i="58"/>
  <c r="W216" i="58"/>
  <c r="AN112" i="58"/>
  <c r="AO113" i="58" s="1"/>
  <c r="AO111" i="58"/>
  <c r="AC112" i="58"/>
  <c r="AC111" i="58"/>
  <c r="AD111" i="58"/>
  <c r="CS175" i="15"/>
  <c r="DK117" i="33"/>
  <c r="CS239" i="15"/>
  <c r="DK115" i="33"/>
  <c r="DK19" i="33"/>
  <c r="CS240" i="15"/>
  <c r="DK108" i="33"/>
  <c r="AN4" i="58"/>
  <c r="CS654" i="12"/>
  <c r="CS176" i="15"/>
  <c r="DK109" i="33"/>
  <c r="CS186" i="14"/>
  <c r="DK16" i="33"/>
  <c r="BJ134" i="77" s="1"/>
  <c r="BJ133" i="77"/>
  <c r="BJ140" i="77" s="1"/>
  <c r="DK88" i="33"/>
  <c r="DK90" i="33" s="1"/>
  <c r="DK91" i="33" s="1"/>
  <c r="DK92" i="33" s="1"/>
  <c r="CS237" i="15"/>
  <c r="CS238" i="15"/>
  <c r="DK161" i="33"/>
  <c r="FB428" i="48"/>
  <c r="I28" i="53"/>
  <c r="Q115" i="33"/>
  <c r="Q138" i="15"/>
  <c r="P4" i="71"/>
  <c r="P10" i="71" s="1"/>
  <c r="Q5" i="64"/>
  <c r="Q32" i="64" s="1"/>
  <c r="Q108" i="33"/>
  <c r="I44" i="65"/>
  <c r="BW61" i="48"/>
  <c r="Q186" i="14"/>
  <c r="Q13" i="48"/>
  <c r="H6" i="74"/>
  <c r="Q109" i="33"/>
  <c r="Q106" i="14"/>
  <c r="Q19" i="33"/>
  <c r="I193" i="65"/>
  <c r="I191" i="65" s="1"/>
  <c r="EN364" i="48"/>
  <c r="E5" i="75"/>
  <c r="E6" i="75" s="1"/>
  <c r="Q88" i="33"/>
  <c r="Q90" i="33" s="1"/>
  <c r="Q91" i="33" s="1"/>
  <c r="Q92" i="33" s="1"/>
  <c r="Q117" i="33"/>
  <c r="CK220" i="14"/>
  <c r="CK108" i="14"/>
  <c r="CK125" i="14"/>
  <c r="CK128" i="14"/>
  <c r="CK134" i="14"/>
  <c r="AD57" i="77"/>
  <c r="CQ27" i="12"/>
  <c r="CR27" i="12"/>
  <c r="CK27" i="12"/>
  <c r="CK26" i="12"/>
  <c r="L16" i="77"/>
  <c r="L11" i="57"/>
  <c r="O89" i="33"/>
  <c r="CT828" i="12"/>
  <c r="CT823" i="12"/>
  <c r="AO354" i="58"/>
  <c r="CO26" i="12"/>
  <c r="CP27" i="12"/>
  <c r="CS26" i="12"/>
  <c r="T25" i="12"/>
  <c r="AJ355" i="58"/>
  <c r="AJ365" i="58"/>
  <c r="AK355" i="58"/>
  <c r="AJ366" i="58"/>
  <c r="CG138" i="15"/>
  <c r="CG237" i="15"/>
  <c r="CG175" i="15"/>
  <c r="CY88" i="33"/>
  <c r="CY90" i="33" s="1"/>
  <c r="CY91" i="33" s="1"/>
  <c r="CY92" i="33" s="1"/>
  <c r="CY161" i="33"/>
  <c r="CY16" i="33"/>
  <c r="CY115" i="33"/>
  <c r="BJ344" i="77"/>
  <c r="BJ350" i="77" s="1"/>
  <c r="BX13" i="48"/>
  <c r="BX18" i="48" s="1"/>
  <c r="CY117" i="33"/>
  <c r="CY108" i="33"/>
  <c r="AB4" i="58"/>
  <c r="CY19" i="33"/>
  <c r="DD146" i="33" s="1"/>
  <c r="CY109" i="33"/>
  <c r="CG186" i="14"/>
  <c r="CG240" i="15"/>
  <c r="CG239" i="15"/>
  <c r="CG176" i="15"/>
  <c r="CG238" i="15"/>
  <c r="CH114" i="33"/>
  <c r="CH40" i="33"/>
  <c r="BJ22" i="48"/>
  <c r="N7" i="58"/>
  <c r="N8" i="58" s="1"/>
  <c r="BS110" i="14"/>
  <c r="CH42" i="33"/>
  <c r="CY114" i="48" s="1"/>
  <c r="CY113" i="48"/>
  <c r="CS31" i="12"/>
  <c r="CO31" i="12"/>
  <c r="AL355" i="58"/>
  <c r="AL366" i="58"/>
  <c r="AL367" i="58" s="1"/>
  <c r="AL365" i="58"/>
  <c r="K11" i="77"/>
  <c r="O12" i="77" s="1"/>
  <c r="J16" i="77"/>
  <c r="AA57" i="77"/>
  <c r="AB57" i="77"/>
  <c r="P144" i="33"/>
  <c r="Q144" i="33"/>
  <c r="Q15" i="48"/>
  <c r="AC12" i="77"/>
  <c r="CH47" i="33"/>
  <c r="CH150" i="33" s="1"/>
  <c r="T30" i="12"/>
  <c r="T31" i="12" s="1"/>
  <c r="AF283" i="58"/>
  <c r="CO220" i="14"/>
  <c r="CO108" i="14"/>
  <c r="CO128" i="14"/>
  <c r="CO134" i="14"/>
  <c r="CO81" i="14"/>
  <c r="CO79" i="14"/>
  <c r="CO125" i="14"/>
  <c r="CF19" i="33"/>
  <c r="CF109" i="33"/>
  <c r="CF17" i="33"/>
  <c r="CF88" i="33"/>
  <c r="CF90" i="33" s="1"/>
  <c r="CF91" i="33" s="1"/>
  <c r="CF92" i="33" s="1"/>
  <c r="CF145" i="33"/>
  <c r="CF115" i="33"/>
  <c r="CG16" i="33"/>
  <c r="L4" i="58"/>
  <c r="CF117" i="33"/>
  <c r="CF108" i="33"/>
  <c r="CF110" i="33" s="1"/>
  <c r="BH13" i="48"/>
  <c r="BH18" i="48" s="1"/>
  <c r="CG161" i="33"/>
  <c r="AE216" i="58"/>
  <c r="AF216" i="58"/>
  <c r="CL125" i="14"/>
  <c r="CL134" i="14"/>
  <c r="CL108" i="14"/>
  <c r="CL220" i="14"/>
  <c r="CL128" i="14"/>
  <c r="T110" i="33"/>
  <c r="AA13" i="77"/>
  <c r="S283" i="58"/>
  <c r="T283" i="58"/>
  <c r="AI113" i="58"/>
  <c r="AH113" i="58"/>
  <c r="CP26" i="12"/>
  <c r="CL26" i="12"/>
  <c r="CL27" i="12"/>
  <c r="CM26" i="12"/>
  <c r="S25" i="12"/>
  <c r="CQ26" i="12"/>
  <c r="CM27" i="12"/>
  <c r="CM125" i="14"/>
  <c r="CM128" i="14"/>
  <c r="CM134" i="14"/>
  <c r="CM220" i="14"/>
  <c r="CM108" i="14"/>
  <c r="S108" i="14" s="1"/>
  <c r="AH283" i="58"/>
  <c r="AI283" i="58"/>
  <c r="N139" i="33"/>
  <c r="N13" i="33"/>
  <c r="CD20" i="48"/>
  <c r="DE37" i="33"/>
  <c r="DF164" i="33" s="1"/>
  <c r="DE20" i="33"/>
  <c r="BJ236" i="77" s="1"/>
  <c r="DE104" i="33"/>
  <c r="DE36" i="33"/>
  <c r="DJ146" i="33"/>
  <c r="CE17" i="33"/>
  <c r="CE108" i="33"/>
  <c r="CE117" i="33"/>
  <c r="CE115" i="33"/>
  <c r="CE161" i="33"/>
  <c r="CE16" i="33"/>
  <c r="CE145" i="33"/>
  <c r="BG13" i="48"/>
  <c r="BG18" i="48" s="1"/>
  <c r="CF161" i="33"/>
  <c r="CI15" i="33"/>
  <c r="CE88" i="33"/>
  <c r="CE19" i="33"/>
  <c r="K4" i="58"/>
  <c r="CF16" i="33"/>
  <c r="CE109" i="33"/>
  <c r="T216" i="58"/>
  <c r="S216" i="58"/>
  <c r="AH10" i="58"/>
  <c r="CI13" i="80"/>
  <c r="CI14" i="80"/>
  <c r="BK13" i="48"/>
  <c r="BK18" i="48" s="1"/>
  <c r="C44" i="66"/>
  <c r="CJ16" i="33"/>
  <c r="CJ108" i="33"/>
  <c r="CJ109" i="33"/>
  <c r="AD5" i="64"/>
  <c r="CJ161" i="33"/>
  <c r="C192" i="66"/>
  <c r="C190" i="66" s="1"/>
  <c r="C94" i="66" s="1"/>
  <c r="C92" i="66" s="1"/>
  <c r="CJ115" i="33"/>
  <c r="CJ117" i="33"/>
  <c r="O4" i="58"/>
  <c r="CJ19" i="33"/>
  <c r="CJ36" i="33" s="1"/>
  <c r="CJ145" i="33"/>
  <c r="CJ17" i="33"/>
  <c r="BT186" i="14"/>
  <c r="CJ88" i="33"/>
  <c r="CJ90" i="33" s="1"/>
  <c r="CJ91" i="33" s="1"/>
  <c r="CJ92" i="33" s="1"/>
  <c r="CJ97" i="33" s="1"/>
  <c r="CJ98" i="33" s="1"/>
  <c r="CJ99" i="33" s="1"/>
  <c r="BT86" i="14" s="1"/>
  <c r="BT90" i="14" s="1"/>
  <c r="DE93" i="33"/>
  <c r="CR83" i="14" s="1"/>
  <c r="DE94" i="33"/>
  <c r="CN82" i="14"/>
  <c r="DE97" i="33"/>
  <c r="DE98" i="33" s="1"/>
  <c r="DE99" i="33" s="1"/>
  <c r="CN86" i="14" s="1"/>
  <c r="Z283" i="58"/>
  <c r="Y283" i="58"/>
  <c r="N44" i="66"/>
  <c r="AO5" i="64"/>
  <c r="AO32" i="64" s="1"/>
  <c r="CE186" i="14"/>
  <c r="AA7" i="57"/>
  <c r="AA10" i="57" s="1"/>
  <c r="AA11" i="57" s="1"/>
  <c r="CW19" i="33"/>
  <c r="CW108" i="33"/>
  <c r="Z4" i="58"/>
  <c r="CW117" i="33"/>
  <c r="CW88" i="33"/>
  <c r="CW90" i="33" s="1"/>
  <c r="CW91" i="33" s="1"/>
  <c r="CW92" i="33" s="1"/>
  <c r="CW115" i="33"/>
  <c r="N192" i="66"/>
  <c r="N190" i="66" s="1"/>
  <c r="N94" i="66" s="1"/>
  <c r="N92" i="66" s="1"/>
  <c r="CX16" i="33"/>
  <c r="G85" i="56"/>
  <c r="BB334" i="77"/>
  <c r="BB340" i="77" s="1"/>
  <c r="BV13" i="48"/>
  <c r="BV18" i="48" s="1"/>
  <c r="CW109" i="33"/>
  <c r="CX161" i="33"/>
  <c r="CW16" i="33"/>
  <c r="CW161" i="33"/>
  <c r="J13" i="57"/>
  <c r="N13" i="57" s="1"/>
  <c r="J15" i="77"/>
  <c r="J11" i="77"/>
  <c r="D42" i="57"/>
  <c r="AA21" i="77"/>
  <c r="AA29" i="77"/>
  <c r="AA19" i="77"/>
  <c r="BT122" i="14"/>
  <c r="O121" i="14"/>
  <c r="O122" i="14" s="1"/>
  <c r="V13" i="77"/>
  <c r="AC21" i="77"/>
  <c r="AC22" i="77" s="1"/>
  <c r="AC19" i="77"/>
  <c r="K16" i="77"/>
  <c r="AD13" i="77"/>
  <c r="AB21" i="77"/>
  <c r="AB22" i="77" s="1"/>
  <c r="AB13" i="77"/>
  <c r="V12" i="77"/>
  <c r="Z12" i="77"/>
  <c r="CL156" i="33"/>
  <c r="CK153" i="90"/>
  <c r="CK155" i="90" s="1"/>
  <c r="CK332" i="90" s="1"/>
  <c r="CA158" i="90"/>
  <c r="CA160" i="90" s="1"/>
  <c r="CA333" i="90" s="1"/>
  <c r="S6" i="52"/>
  <c r="S27" i="52" s="1"/>
  <c r="S87" i="52"/>
  <c r="CS9" i="33"/>
  <c r="CT139" i="33"/>
  <c r="CO155" i="33"/>
  <c r="CP155" i="33"/>
  <c r="CO139" i="33"/>
  <c r="CL57" i="90"/>
  <c r="CL59" i="90" s="1"/>
  <c r="T59" i="90"/>
  <c r="CL155" i="33"/>
  <c r="CM155" i="33"/>
  <c r="CL139" i="33"/>
  <c r="CN9" i="33"/>
  <c r="AU83" i="15"/>
  <c r="AU88" i="15" s="1"/>
  <c r="AU90" i="15" s="1"/>
  <c r="AU92" i="15" s="1"/>
  <c r="AL30" i="48"/>
  <c r="AU68" i="15"/>
  <c r="AU74" i="15"/>
  <c r="BB100" i="15"/>
  <c r="BB101" i="15" s="1"/>
  <c r="BB97" i="15"/>
  <c r="AS38" i="48" s="1"/>
  <c r="E69" i="52"/>
  <c r="R253" i="90"/>
  <c r="S252" i="90"/>
  <c r="AI18" i="64"/>
  <c r="AI21" i="64" s="1"/>
  <c r="BY14" i="12"/>
  <c r="BZ819" i="12"/>
  <c r="CC46" i="12"/>
  <c r="BY822" i="12"/>
  <c r="AY76" i="15"/>
  <c r="AY78" i="15"/>
  <c r="AY81" i="15" s="1"/>
  <c r="CN228" i="90"/>
  <c r="S230" i="90"/>
  <c r="CM349" i="90"/>
  <c r="N96" i="52"/>
  <c r="O64" i="52"/>
  <c r="CS671" i="12"/>
  <c r="CS673" i="12"/>
  <c r="CD203" i="90"/>
  <c r="CD205" i="90" s="1"/>
  <c r="CD342" i="90" s="1"/>
  <c r="CJ234" i="90"/>
  <c r="CJ236" i="90" s="1"/>
  <c r="CK234" i="90" s="1"/>
  <c r="CK236" i="90" s="1"/>
  <c r="CL234" i="90" s="1"/>
  <c r="CL236" i="90" s="1"/>
  <c r="CM234" i="90" s="1"/>
  <c r="CM236" i="90" s="1"/>
  <c r="R236" i="90"/>
  <c r="BZ168" i="90"/>
  <c r="BZ170" i="90" s="1"/>
  <c r="Y276" i="90"/>
  <c r="Y278" i="90" s="1"/>
  <c r="Y363" i="90" s="1"/>
  <c r="Q213" i="90"/>
  <c r="P214" i="90"/>
  <c r="CL143" i="90"/>
  <c r="CL145" i="90" s="1"/>
  <c r="CL330" i="90" s="1"/>
  <c r="O219" i="14"/>
  <c r="O203" i="14" s="1"/>
  <c r="BT224" i="14"/>
  <c r="O224" i="14" s="1"/>
  <c r="BT220" i="14"/>
  <c r="BT226" i="14"/>
  <c r="BT203" i="14"/>
  <c r="K99" i="52"/>
  <c r="CA75" i="90"/>
  <c r="CA77" i="90" s="1"/>
  <c r="CA322" i="90"/>
  <c r="J22" i="48"/>
  <c r="I7" i="71"/>
  <c r="I8" i="71" s="1"/>
  <c r="J42" i="33"/>
  <c r="J44" i="33"/>
  <c r="J40" i="33"/>
  <c r="J110" i="14"/>
  <c r="J94" i="15" s="1"/>
  <c r="J6" i="64"/>
  <c r="J10" i="64" s="1"/>
  <c r="BN95" i="15"/>
  <c r="BN79" i="15"/>
  <c r="J92" i="52"/>
  <c r="J94" i="52"/>
  <c r="J89" i="52"/>
  <c r="J93" i="52"/>
  <c r="J91" i="52"/>
  <c r="J88" i="52"/>
  <c r="J87" i="52"/>
  <c r="J90" i="52"/>
  <c r="J95" i="52"/>
  <c r="K98" i="52"/>
  <c r="CZ110" i="33"/>
  <c r="DN159" i="33"/>
  <c r="CN10" i="33"/>
  <c r="O10" i="33" s="1"/>
  <c r="CN31" i="33"/>
  <c r="R154" i="90"/>
  <c r="S153" i="90"/>
  <c r="CK133" i="90"/>
  <c r="CK135" i="90" s="1"/>
  <c r="CK328" i="90" s="1"/>
  <c r="U41" i="52"/>
  <c r="T55" i="52"/>
  <c r="R180" i="90"/>
  <c r="CJ178" i="90"/>
  <c r="CJ180" i="90" s="1"/>
  <c r="CJ337" i="90" s="1"/>
  <c r="Q42" i="12"/>
  <c r="P42" i="12"/>
  <c r="BZ63" i="90"/>
  <c r="BZ65" i="90" s="1"/>
  <c r="R89" i="90"/>
  <c r="R88" i="90" s="1"/>
  <c r="CJ87" i="90"/>
  <c r="CJ89" i="90" s="1"/>
  <c r="CK87" i="90" s="1"/>
  <c r="CK89" i="90" s="1"/>
  <c r="CL87" i="90" s="1"/>
  <c r="CL89" i="90" s="1"/>
  <c r="CM87" i="90" s="1"/>
  <c r="T238" i="71"/>
  <c r="S243" i="71"/>
  <c r="S238" i="71"/>
  <c r="CM838" i="12"/>
  <c r="CM844" i="12" s="1"/>
  <c r="BP29" i="70"/>
  <c r="BP35" i="70"/>
  <c r="BP28" i="70"/>
  <c r="Y123" i="90"/>
  <c r="Y125" i="90" s="1"/>
  <c r="Y327" i="90" s="1"/>
  <c r="T60" i="52"/>
  <c r="S92" i="52"/>
  <c r="J84" i="15"/>
  <c r="J75" i="15"/>
  <c r="J43" i="15"/>
  <c r="F99" i="52"/>
  <c r="E100" i="52"/>
  <c r="AP76" i="15"/>
  <c r="AP78" i="15"/>
  <c r="AP81" i="15" s="1"/>
  <c r="P95" i="52"/>
  <c r="Q63" i="52"/>
  <c r="L70" i="52"/>
  <c r="L71" i="52" s="1"/>
  <c r="CQ360" i="90"/>
  <c r="CQ258" i="90"/>
  <c r="CQ260" i="90" s="1"/>
  <c r="N65" i="52"/>
  <c r="M97" i="52"/>
  <c r="P112" i="71"/>
  <c r="P113" i="71" s="1"/>
  <c r="P111" i="71"/>
  <c r="CB117" i="90"/>
  <c r="CB119" i="90" s="1"/>
  <c r="CB326" i="90" s="1"/>
  <c r="CG223" i="33"/>
  <c r="CH211" i="33"/>
  <c r="BC95" i="15"/>
  <c r="BC79" i="15"/>
  <c r="BN81" i="15"/>
  <c r="AU100" i="15"/>
  <c r="AU101" i="15" s="1"/>
  <c r="AU97" i="15"/>
  <c r="AL38" i="48" s="1"/>
  <c r="F74" i="15"/>
  <c r="F83" i="15"/>
  <c r="F88" i="15" s="1"/>
  <c r="F90" i="15" s="1"/>
  <c r="F92" i="15" s="1"/>
  <c r="F30" i="48"/>
  <c r="F68" i="15"/>
  <c r="F70" i="15" s="1"/>
  <c r="F103" i="15"/>
  <c r="F105" i="15" s="1"/>
  <c r="F107" i="15" s="1"/>
  <c r="W365" i="58"/>
  <c r="W366" i="58"/>
  <c r="X367" i="58" s="1"/>
  <c r="W364" i="58"/>
  <c r="BZ150" i="90"/>
  <c r="BZ337" i="90"/>
  <c r="CD114" i="33"/>
  <c r="CD39" i="33"/>
  <c r="CD42" i="33"/>
  <c r="CD47" i="33"/>
  <c r="CD40" i="33"/>
  <c r="CD44" i="33"/>
  <c r="U61" i="52"/>
  <c r="X230" i="90"/>
  <c r="Y228" i="90" s="1"/>
  <c r="Y347" i="90" s="1"/>
  <c r="Y349" i="90" s="1"/>
  <c r="P94" i="52"/>
  <c r="Q93" i="52"/>
  <c r="Q62" i="52"/>
  <c r="CK838" i="12"/>
  <c r="CW226" i="33"/>
  <c r="CW85" i="33" s="1"/>
  <c r="Q85" i="33" s="1"/>
  <c r="W13" i="77"/>
  <c r="V19" i="77"/>
  <c r="AN12" i="77"/>
  <c r="CT110" i="33"/>
  <c r="Q78" i="14"/>
  <c r="Q80" i="14" s="1"/>
  <c r="P195" i="90"/>
  <c r="CB193" i="90"/>
  <c r="CB195" i="90" s="1"/>
  <c r="CB340" i="90" s="1"/>
  <c r="CD198" i="90"/>
  <c r="CD200" i="90" s="1"/>
  <c r="S133" i="90"/>
  <c r="R134" i="90"/>
  <c r="AQ99" i="15"/>
  <c r="AQ101" i="15" s="1"/>
  <c r="AQ97" i="15"/>
  <c r="AH38" i="48" s="1"/>
  <c r="Y270" i="90"/>
  <c r="Y272" i="90" s="1"/>
  <c r="AQ83" i="15"/>
  <c r="AQ88" i="15" s="1"/>
  <c r="AQ90" i="15" s="1"/>
  <c r="AQ92" i="15" s="1"/>
  <c r="AH30" i="48"/>
  <c r="AQ68" i="15"/>
  <c r="AQ74" i="15"/>
  <c r="M82" i="90"/>
  <c r="X327" i="90"/>
  <c r="CU139" i="33"/>
  <c r="CP139" i="33"/>
  <c r="CQ155" i="33"/>
  <c r="AL76" i="15"/>
  <c r="AL78" i="15"/>
  <c r="AL81" i="15" s="1"/>
  <c r="N69" i="90"/>
  <c r="O69" i="90" s="1"/>
  <c r="BS71" i="90"/>
  <c r="R178" i="71"/>
  <c r="R179" i="71" s="1"/>
  <c r="R177" i="71"/>
  <c r="S88" i="52"/>
  <c r="T56" i="52"/>
  <c r="AT100" i="15"/>
  <c r="AT101" i="15" s="1"/>
  <c r="AT97" i="15"/>
  <c r="AK38" i="48" s="1"/>
  <c r="BS58" i="33"/>
  <c r="BS61" i="33"/>
  <c r="CA326" i="90"/>
  <c r="AY58" i="33"/>
  <c r="AY61" i="33"/>
  <c r="G30" i="48"/>
  <c r="G74" i="15"/>
  <c r="G68" i="15"/>
  <c r="G103" i="15"/>
  <c r="G105" i="15" s="1"/>
  <c r="G107" i="15" s="1"/>
  <c r="G83" i="15"/>
  <c r="G88" i="15" s="1"/>
  <c r="G90" i="15" s="1"/>
  <c r="G92" i="15" s="1"/>
  <c r="CB200" i="14"/>
  <c r="P200" i="14"/>
  <c r="P202" i="14" s="1"/>
  <c r="P203" i="14" s="1"/>
  <c r="CA202" i="14"/>
  <c r="CA203" i="14" s="1"/>
  <c r="CN240" i="90"/>
  <c r="CN242" i="90" s="1"/>
  <c r="CO240" i="90" s="1"/>
  <c r="CO242" i="90" s="1"/>
  <c r="CP240" i="90" s="1"/>
  <c r="CP242" i="90" s="1"/>
  <c r="CQ240" i="90" s="1"/>
  <c r="CQ242" i="90" s="1"/>
  <c r="S242" i="90"/>
  <c r="AY99" i="15"/>
  <c r="AY101" i="15" s="1"/>
  <c r="AY97" i="15"/>
  <c r="AP38" i="48" s="1"/>
  <c r="CP34" i="90"/>
  <c r="CP32" i="90" s="1"/>
  <c r="F88" i="52"/>
  <c r="F87" i="52"/>
  <c r="F92" i="52"/>
  <c r="F93" i="52"/>
  <c r="F94" i="52"/>
  <c r="F89" i="52"/>
  <c r="F91" i="52"/>
  <c r="F90" i="52"/>
  <c r="F95" i="52"/>
  <c r="F96" i="52"/>
  <c r="H14" i="77"/>
  <c r="G70" i="52"/>
  <c r="CF842" i="12"/>
  <c r="CF846" i="12" s="1"/>
  <c r="CF844" i="12"/>
  <c r="CF839" i="12"/>
  <c r="H95" i="15"/>
  <c r="H100" i="15" s="1"/>
  <c r="H79" i="15"/>
  <c r="AM83" i="15"/>
  <c r="AM88" i="15" s="1"/>
  <c r="AM90" i="15" s="1"/>
  <c r="AM92" i="15" s="1"/>
  <c r="AM74" i="15"/>
  <c r="AM68" i="15"/>
  <c r="AM70" i="15" s="1"/>
  <c r="AN69" i="15" s="1"/>
  <c r="AN70" i="15" s="1"/>
  <c r="AO69" i="15" s="1"/>
  <c r="AO70" i="15" s="1"/>
  <c r="AP69" i="15" s="1"/>
  <c r="AP70" i="15" s="1"/>
  <c r="AQ69" i="15" s="1"/>
  <c r="AD30" i="48"/>
  <c r="CM51" i="90"/>
  <c r="CM52" i="90"/>
  <c r="M84" i="15"/>
  <c r="M88" i="15" s="1"/>
  <c r="M90" i="15" s="1"/>
  <c r="M92" i="15" s="1"/>
  <c r="M75" i="15"/>
  <c r="M43" i="15"/>
  <c r="M68" i="15" s="1"/>
  <c r="L9" i="59"/>
  <c r="L17" i="59"/>
  <c r="M9" i="59"/>
  <c r="CV673" i="12"/>
  <c r="CV671" i="12"/>
  <c r="I90" i="52"/>
  <c r="I93" i="52"/>
  <c r="I87" i="52"/>
  <c r="I88" i="52"/>
  <c r="I91" i="52"/>
  <c r="I89" i="52"/>
  <c r="I92" i="52"/>
  <c r="I94" i="52"/>
  <c r="I95" i="52"/>
  <c r="I98" i="52"/>
  <c r="I99" i="52"/>
  <c r="I96" i="52"/>
  <c r="I97" i="52"/>
  <c r="CA340" i="90"/>
  <c r="P175" i="90"/>
  <c r="CB173" i="90"/>
  <c r="CB175" i="90" s="1"/>
  <c r="CB336" i="90" s="1"/>
  <c r="BW219" i="90"/>
  <c r="BX218" i="90"/>
  <c r="O220" i="90"/>
  <c r="CC341" i="90"/>
  <c r="X362" i="90"/>
  <c r="CE47" i="90"/>
  <c r="O7" i="57"/>
  <c r="AU67" i="57"/>
  <c r="AW67" i="57" s="1"/>
  <c r="M7" i="57"/>
  <c r="BK78" i="15"/>
  <c r="BK81" i="15" s="1"/>
  <c r="BK76" i="15"/>
  <c r="BT26" i="12"/>
  <c r="BT27" i="12"/>
  <c r="AN116" i="33"/>
  <c r="AN48" i="33"/>
  <c r="AO166" i="33"/>
  <c r="AN55" i="33"/>
  <c r="AN166" i="33"/>
  <c r="BG100" i="15"/>
  <c r="BG101" i="15" s="1"/>
  <c r="BG97" i="15"/>
  <c r="AX38" i="48" s="1"/>
  <c r="BS227" i="14"/>
  <c r="CK252" i="90"/>
  <c r="CK254" i="90" s="1"/>
  <c r="N16" i="48"/>
  <c r="N670" i="12"/>
  <c r="M66" i="52"/>
  <c r="M67" i="52" s="1"/>
  <c r="R111" i="71"/>
  <c r="Q112" i="71"/>
  <c r="Q111" i="71"/>
  <c r="AN488" i="58"/>
  <c r="AN489" i="58"/>
  <c r="AQ209" i="58"/>
  <c r="AQ213" i="58"/>
  <c r="Z105" i="90"/>
  <c r="Z107" i="90" s="1"/>
  <c r="CA208" i="90"/>
  <c r="CA210" i="90" s="1"/>
  <c r="CA343" i="90" s="1"/>
  <c r="CK25" i="90"/>
  <c r="S25" i="90"/>
  <c r="K79" i="15"/>
  <c r="K95" i="15"/>
  <c r="Q235" i="90"/>
  <c r="R234" i="90"/>
  <c r="L32" i="15"/>
  <c r="D41" i="53"/>
  <c r="D42" i="53" s="1"/>
  <c r="BZ82" i="90"/>
  <c r="BZ81" i="90"/>
  <c r="P168" i="90"/>
  <c r="O169" i="90"/>
  <c r="BA100" i="15"/>
  <c r="E92" i="52"/>
  <c r="E96" i="52"/>
  <c r="E87" i="52"/>
  <c r="E91" i="52"/>
  <c r="E94" i="52"/>
  <c r="E95" i="52"/>
  <c r="E88" i="52"/>
  <c r="E90" i="52"/>
  <c r="E93" i="52"/>
  <c r="E89" i="52"/>
  <c r="E97" i="52"/>
  <c r="CC213" i="90"/>
  <c r="CC215" i="90" s="1"/>
  <c r="CC344" i="90" s="1"/>
  <c r="CD41" i="33"/>
  <c r="CD164" i="33"/>
  <c r="G71" i="52"/>
  <c r="CF843" i="12"/>
  <c r="CF847" i="12" s="1"/>
  <c r="E98" i="52"/>
  <c r="R90" i="52"/>
  <c r="Q91" i="52"/>
  <c r="R59" i="52"/>
  <c r="BV69" i="14"/>
  <c r="E84" i="66"/>
  <c r="BU71" i="14"/>
  <c r="BU73" i="14" s="1"/>
  <c r="AX78" i="15"/>
  <c r="AX81" i="15" s="1"/>
  <c r="AX76" i="15"/>
  <c r="R847" i="12"/>
  <c r="BO84" i="15"/>
  <c r="BO88" i="15" s="1"/>
  <c r="BO90" i="15" s="1"/>
  <c r="BO92" i="15" s="1"/>
  <c r="BO75" i="15"/>
  <c r="BO43" i="15"/>
  <c r="BO68" i="15" s="1"/>
  <c r="H68" i="15"/>
  <c r="H74" i="15"/>
  <c r="H30" i="48"/>
  <c r="H103" i="15"/>
  <c r="H105" i="15" s="1"/>
  <c r="H107" i="15" s="1"/>
  <c r="H83" i="15"/>
  <c r="H88" i="15" s="1"/>
  <c r="H90" i="15" s="1"/>
  <c r="H92" i="15" s="1"/>
  <c r="J69" i="52"/>
  <c r="I76" i="15"/>
  <c r="I78" i="15"/>
  <c r="I81" i="15" s="1"/>
  <c r="R230" i="12"/>
  <c r="Q230" i="12"/>
  <c r="AS489" i="58"/>
  <c r="AS488" i="58"/>
  <c r="P230" i="12"/>
  <c r="P353" i="12" s="1"/>
  <c r="P354" i="12" s="1"/>
  <c r="S230" i="12"/>
  <c r="U230" i="12"/>
  <c r="V232" i="12"/>
  <c r="U232" i="12"/>
  <c r="Q232" i="12"/>
  <c r="R232" i="12"/>
  <c r="S232" i="12"/>
  <c r="T232" i="12"/>
  <c r="T230" i="12"/>
  <c r="CB347" i="12"/>
  <c r="CC346" i="12"/>
  <c r="CB353" i="12"/>
  <c r="V230" i="12"/>
  <c r="T17" i="59"/>
  <c r="T18" i="59" s="1"/>
  <c r="BY354" i="12"/>
  <c r="BY355" i="12"/>
  <c r="AM73" i="33"/>
  <c r="G89" i="52"/>
  <c r="G96" i="52"/>
  <c r="G87" i="52"/>
  <c r="G94" i="52"/>
  <c r="G88" i="52"/>
  <c r="G91" i="52"/>
  <c r="G93" i="52"/>
  <c r="G90" i="52"/>
  <c r="G92" i="52"/>
  <c r="G95" i="52"/>
  <c r="G97" i="52"/>
  <c r="G101" i="52"/>
  <c r="G99" i="52"/>
  <c r="G100" i="52"/>
  <c r="G98" i="52"/>
  <c r="CE80" i="14"/>
  <c r="CF81" i="14" s="1"/>
  <c r="CG89" i="14" s="1"/>
  <c r="CF79" i="14"/>
  <c r="CB194" i="14"/>
  <c r="CC206" i="14"/>
  <c r="CC209" i="14" s="1"/>
  <c r="T32" i="64"/>
  <c r="V35" i="52"/>
  <c r="U89" i="52"/>
  <c r="H92" i="52"/>
  <c r="H93" i="52"/>
  <c r="H91" i="52"/>
  <c r="H90" i="52"/>
  <c r="H87" i="52"/>
  <c r="H94" i="52"/>
  <c r="H95" i="52"/>
  <c r="H98" i="52"/>
  <c r="H97" i="52"/>
  <c r="H102" i="52"/>
  <c r="H101" i="52"/>
  <c r="H96" i="52"/>
  <c r="H99" i="52"/>
  <c r="H100" i="52"/>
  <c r="H89" i="52"/>
  <c r="H88" i="52"/>
  <c r="CF78" i="14"/>
  <c r="CG25" i="14"/>
  <c r="V41" i="80"/>
  <c r="V42" i="80" s="1"/>
  <c r="V635" i="12"/>
  <c r="U167" i="71"/>
  <c r="U168" i="71" s="1"/>
  <c r="Z42" i="14"/>
  <c r="AA42" i="14" s="1"/>
  <c r="AB42" i="14" s="1"/>
  <c r="AC42" i="14" s="1"/>
  <c r="AD42" i="14" s="1"/>
  <c r="CH41" i="33"/>
  <c r="CH148" i="33"/>
  <c r="BY41" i="33"/>
  <c r="CD148" i="33"/>
  <c r="AM111" i="14"/>
  <c r="AM96" i="14" s="1"/>
  <c r="AT67" i="33"/>
  <c r="AT119" i="33"/>
  <c r="AT78" i="33"/>
  <c r="AT79" i="33"/>
  <c r="AV168" i="33"/>
  <c r="CM30" i="33"/>
  <c r="CN30" i="33" s="1"/>
  <c r="E189" i="66"/>
  <c r="E237" i="66"/>
  <c r="AT73" i="33"/>
  <c r="I48" i="33"/>
  <c r="I116" i="33"/>
  <c r="I55" i="33"/>
  <c r="BI72" i="33"/>
  <c r="BI71" i="33"/>
  <c r="BI69" i="33"/>
  <c r="BI70" i="33"/>
  <c r="BE55" i="33"/>
  <c r="BE116" i="33"/>
  <c r="BE48" i="33"/>
  <c r="BI63" i="33"/>
  <c r="BK167" i="33"/>
  <c r="BI167" i="33"/>
  <c r="AP48" i="33"/>
  <c r="AP55" i="33"/>
  <c r="AP116" i="33"/>
  <c r="CH55" i="33"/>
  <c r="BM78" i="33"/>
  <c r="BM79" i="33"/>
  <c r="BM119" i="33"/>
  <c r="BM67" i="33"/>
  <c r="BM75" i="33" s="1"/>
  <c r="BB111" i="14"/>
  <c r="BB96" i="14" s="1"/>
  <c r="BM152" i="33"/>
  <c r="AZ55" i="33"/>
  <c r="AZ48" i="33"/>
  <c r="AZ116" i="33"/>
  <c r="F238" i="65"/>
  <c r="N31" i="33"/>
  <c r="F33" i="53" s="1"/>
  <c r="F190" i="65"/>
  <c r="N136" i="15"/>
  <c r="BH73" i="33"/>
  <c r="BH75" i="33" s="1"/>
  <c r="AI73" i="33"/>
  <c r="AI75" i="33" s="1"/>
  <c r="AI80" i="33" s="1"/>
  <c r="AM67" i="33"/>
  <c r="AG111" i="14"/>
  <c r="AM79" i="33"/>
  <c r="AM119" i="33"/>
  <c r="AM78" i="33"/>
  <c r="D55" i="33"/>
  <c r="D48" i="33"/>
  <c r="CO31" i="33"/>
  <c r="CP29" i="33"/>
  <c r="L114" i="33"/>
  <c r="L47" i="33"/>
  <c r="L5" i="64"/>
  <c r="L41" i="33"/>
  <c r="E61" i="33"/>
  <c r="E63" i="33" s="1"/>
  <c r="E58" i="33"/>
  <c r="Z29" i="33"/>
  <c r="Y71" i="33"/>
  <c r="Y73" i="33" s="1"/>
  <c r="Z30" i="33"/>
  <c r="Y72" i="33"/>
  <c r="Y187" i="33"/>
  <c r="X203" i="33"/>
  <c r="X204" i="33" s="1"/>
  <c r="X180" i="33"/>
  <c r="X185" i="33" s="1"/>
  <c r="AD283" i="58"/>
  <c r="AC283" i="58"/>
  <c r="U21" i="77"/>
  <c r="U29" i="77"/>
  <c r="U19" i="77"/>
  <c r="U13" i="77"/>
  <c r="G14" i="77"/>
  <c r="G11" i="77" s="1"/>
  <c r="K12" i="77" s="1"/>
  <c r="O131" i="15"/>
  <c r="G31" i="53"/>
  <c r="O168" i="33"/>
  <c r="G32" i="53"/>
  <c r="O149" i="33"/>
  <c r="P168" i="33"/>
  <c r="P149" i="33"/>
  <c r="AV67" i="57"/>
  <c r="AT71" i="57"/>
  <c r="Y112" i="58"/>
  <c r="Z111" i="58"/>
  <c r="R112" i="58"/>
  <c r="S113" i="58" s="1"/>
  <c r="S111" i="58"/>
  <c r="AB19" i="77"/>
  <c r="AI216" i="58"/>
  <c r="AH216" i="58"/>
  <c r="AL113" i="58"/>
  <c r="AK113" i="58"/>
  <c r="AE111" i="58"/>
  <c r="AE112" i="58"/>
  <c r="AF111" i="58"/>
  <c r="Y111" i="58"/>
  <c r="AB12" i="77"/>
  <c r="BZ829" i="12"/>
  <c r="AF18" i="64"/>
  <c r="AF21" i="64" s="1"/>
  <c r="BV14" i="12"/>
  <c r="BV38" i="12" s="1"/>
  <c r="BV46" i="12"/>
  <c r="BW819" i="12"/>
  <c r="BV822" i="12"/>
  <c r="BV828" i="12" s="1"/>
  <c r="V144" i="33"/>
  <c r="W15" i="48"/>
  <c r="AR282" i="58"/>
  <c r="AR283" i="58" s="1"/>
  <c r="AR281" i="58"/>
  <c r="V49" i="80"/>
  <c r="V50" i="80" s="1"/>
  <c r="V461" i="12"/>
  <c r="N16" i="77"/>
  <c r="M11" i="77"/>
  <c r="Q12" i="77" s="1"/>
  <c r="M16" i="77"/>
  <c r="M15" i="77"/>
  <c r="Q15" i="77"/>
  <c r="CW141" i="33"/>
  <c r="CR141" i="33"/>
  <c r="CR13" i="33"/>
  <c r="AM113" i="58"/>
  <c r="AN113" i="58"/>
  <c r="CB820" i="12"/>
  <c r="CB819" i="12"/>
  <c r="CA14" i="12"/>
  <c r="CE46" i="12"/>
  <c r="CA822" i="12"/>
  <c r="AK18" i="64"/>
  <c r="CB54" i="12"/>
  <c r="P361" i="12"/>
  <c r="CB361" i="12"/>
  <c r="DZ269" i="48"/>
  <c r="EB213" i="48"/>
  <c r="EE213" i="48"/>
  <c r="CB829" i="12"/>
  <c r="BX830" i="12"/>
  <c r="BX14" i="12"/>
  <c r="BX38" i="12" s="1"/>
  <c r="CB46" i="12"/>
  <c r="BX822" i="12"/>
  <c r="BX828" i="12" s="1"/>
  <c r="BX46" i="12"/>
  <c r="BY819" i="12"/>
  <c r="AH18" i="64"/>
  <c r="BX820" i="12"/>
  <c r="BY54" i="12"/>
  <c r="BX54" i="12"/>
  <c r="BY820" i="12"/>
  <c r="CO140" i="33"/>
  <c r="CO13" i="33"/>
  <c r="CP156" i="33"/>
  <c r="CT140" i="33"/>
  <c r="CS10" i="33"/>
  <c r="CS140" i="33" s="1"/>
  <c r="I21" i="77"/>
  <c r="I29" i="77"/>
  <c r="I19" i="77"/>
  <c r="CR157" i="33"/>
  <c r="K9" i="57"/>
  <c r="CQ13" i="33"/>
  <c r="CQ159" i="33" s="1"/>
  <c r="CQ157" i="33"/>
  <c r="CV141" i="33"/>
  <c r="CQ141" i="33"/>
  <c r="CK140" i="33"/>
  <c r="CK13" i="33"/>
  <c r="CP143" i="33" s="1"/>
  <c r="CK156" i="33"/>
  <c r="Q43" i="12"/>
  <c r="O307" i="71"/>
  <c r="P827" i="12"/>
  <c r="P43" i="12"/>
  <c r="P12" i="12"/>
  <c r="BP14" i="48"/>
  <c r="CP15" i="33"/>
  <c r="CU143" i="33"/>
  <c r="CA829" i="12"/>
  <c r="BW830" i="12"/>
  <c r="R363" i="58"/>
  <c r="R364" i="58" s="1"/>
  <c r="R361" i="58"/>
  <c r="R362" i="58" s="1"/>
  <c r="P15" i="77"/>
  <c r="L11" i="77"/>
  <c r="CX142" i="33"/>
  <c r="P12" i="33"/>
  <c r="CT158" i="33"/>
  <c r="CR838" i="12"/>
  <c r="N307" i="71"/>
  <c r="N310" i="71" s="1"/>
  <c r="O43" i="12"/>
  <c r="O827" i="12"/>
  <c r="O12" i="12"/>
  <c r="BR122" i="14"/>
  <c r="N121" i="14"/>
  <c r="N122" i="14" s="1"/>
  <c r="M10" i="57"/>
  <c r="O10" i="57"/>
  <c r="AU70" i="57"/>
  <c r="AW70" i="57" s="1"/>
  <c r="AG18" i="64"/>
  <c r="BW46" i="12"/>
  <c r="BW822" i="12"/>
  <c r="BW14" i="12"/>
  <c r="BX819" i="12"/>
  <c r="BW54" i="12"/>
  <c r="CA46" i="12"/>
  <c r="BW820" i="12"/>
  <c r="EE214" i="48"/>
  <c r="EB214" i="48"/>
  <c r="DZ270" i="48"/>
  <c r="Q44" i="12"/>
  <c r="P44" i="12"/>
  <c r="BV830" i="12"/>
  <c r="P363" i="58"/>
  <c r="Q364" i="58" s="1"/>
  <c r="P361" i="58"/>
  <c r="O45" i="12"/>
  <c r="P45" i="12"/>
  <c r="S361" i="58"/>
  <c r="S363" i="58"/>
  <c r="T364" i="58" s="1"/>
  <c r="CT157" i="33"/>
  <c r="CO156" i="33"/>
  <c r="CR140" i="33"/>
  <c r="DZ212" i="48"/>
  <c r="CM13" i="33"/>
  <c r="CM159" i="33" s="1"/>
  <c r="CM140" i="33"/>
  <c r="AJ18" i="64"/>
  <c r="CA819" i="12"/>
  <c r="BZ822" i="12"/>
  <c r="BZ14" i="12"/>
  <c r="BZ820" i="12"/>
  <c r="BZ818" i="12" s="1"/>
  <c r="CD46" i="12"/>
  <c r="CA54" i="12"/>
  <c r="BZ46" i="12"/>
  <c r="CA820" i="12"/>
  <c r="BZ54" i="12"/>
  <c r="BV819" i="12"/>
  <c r="BU54" i="12"/>
  <c r="BU46" i="12"/>
  <c r="BU14" i="12"/>
  <c r="BU38" i="12" s="1"/>
  <c r="BU820" i="12"/>
  <c r="BU818" i="12" s="1"/>
  <c r="BU822" i="12"/>
  <c r="AE18" i="64"/>
  <c r="BV54" i="12"/>
  <c r="BV820" i="12"/>
  <c r="BY46" i="12"/>
  <c r="CP142" i="33"/>
  <c r="CK158" i="33"/>
  <c r="CL158" i="33"/>
  <c r="CK142" i="33"/>
  <c r="CN12" i="33"/>
  <c r="O12" i="33" s="1"/>
  <c r="O142" i="33" s="1"/>
  <c r="V12" i="33"/>
  <c r="V45" i="12"/>
  <c r="Z291" i="12"/>
  <c r="AA291" i="12" s="1"/>
  <c r="Y13" i="12"/>
  <c r="Y14" i="33" s="1"/>
  <c r="Y144" i="33" s="1"/>
  <c r="Z294" i="12"/>
  <c r="Z292" i="12"/>
  <c r="AA292" i="12" s="1"/>
  <c r="X144" i="33"/>
  <c r="AS281" i="58"/>
  <c r="AS282" i="58"/>
  <c r="BJ249" i="77"/>
  <c r="BJ255" i="77"/>
  <c r="DD110" i="33"/>
  <c r="CV823" i="12"/>
  <c r="AQ354" i="58"/>
  <c r="CV828" i="12"/>
  <c r="BB141" i="77"/>
  <c r="AC216" i="58"/>
  <c r="AD216" i="58"/>
  <c r="CU823" i="12"/>
  <c r="AP354" i="58"/>
  <c r="CU828" i="12"/>
  <c r="AC6" i="58"/>
  <c r="AC10" i="58"/>
  <c r="AC5" i="58"/>
  <c r="K53" i="66"/>
  <c r="K59" i="66"/>
  <c r="K57" i="66" s="1"/>
  <c r="K210" i="66" s="1"/>
  <c r="K43" i="66"/>
  <c r="CT37" i="33"/>
  <c r="CT104" i="33"/>
  <c r="BS20" i="48"/>
  <c r="CT20" i="33"/>
  <c r="DL108" i="33"/>
  <c r="DL115" i="33"/>
  <c r="CT240" i="15"/>
  <c r="BJ116" i="77"/>
  <c r="BJ123" i="77" s="1"/>
  <c r="CT237" i="15"/>
  <c r="AO4" i="58"/>
  <c r="DL88" i="33"/>
  <c r="DL19" i="33"/>
  <c r="DL117" i="33"/>
  <c r="CT238" i="15"/>
  <c r="CT175" i="15"/>
  <c r="DL109" i="33"/>
  <c r="DL17" i="33"/>
  <c r="CT239" i="15"/>
  <c r="DL145" i="33"/>
  <c r="CT186" i="14"/>
  <c r="DL161" i="33"/>
  <c r="DL16" i="33"/>
  <c r="BJ117" i="77" s="1"/>
  <c r="CT176" i="15"/>
  <c r="DM161" i="33"/>
  <c r="CE82" i="14"/>
  <c r="CV94" i="33"/>
  <c r="CV93" i="33"/>
  <c r="CI83" i="14" s="1"/>
  <c r="V472" i="12"/>
  <c r="U233" i="71"/>
  <c r="V55" i="80"/>
  <c r="V56" i="80" s="1"/>
  <c r="Q113" i="58"/>
  <c r="R113" i="58"/>
  <c r="U19" i="64"/>
  <c r="U21" i="64"/>
  <c r="U22" i="64" s="1"/>
  <c r="AP283" i="58"/>
  <c r="AQ283" i="58"/>
  <c r="BJ220" i="77"/>
  <c r="AC13" i="77"/>
  <c r="AS105" i="58"/>
  <c r="AS106" i="58" s="1"/>
  <c r="AG6" i="58"/>
  <c r="AG10" i="58"/>
  <c r="AH5" i="58"/>
  <c r="AG5" i="58"/>
  <c r="M47" i="66"/>
  <c r="M42" i="66" s="1"/>
  <c r="M40" i="66" s="1"/>
  <c r="EA223" i="48"/>
  <c r="EC217" i="48"/>
  <c r="EA225" i="48"/>
  <c r="EF217" i="48"/>
  <c r="EA221" i="48"/>
  <c r="T90" i="33"/>
  <c r="T91" i="33" s="1"/>
  <c r="T92" i="33" s="1"/>
  <c r="N7" i="56"/>
  <c r="R238" i="15"/>
  <c r="R138" i="15"/>
  <c r="Q4" i="71"/>
  <c r="R13" i="48"/>
  <c r="AV199" i="77"/>
  <c r="AX199" i="77" s="1"/>
  <c r="R240" i="15"/>
  <c r="R106" i="14"/>
  <c r="BC199" i="77"/>
  <c r="R115" i="33"/>
  <c r="R237" i="15"/>
  <c r="J28" i="53"/>
  <c r="R145" i="33"/>
  <c r="S161" i="33"/>
  <c r="R5" i="64"/>
  <c r="R32" i="64" s="1"/>
  <c r="R108" i="33"/>
  <c r="BX61" i="48"/>
  <c r="R117" i="33"/>
  <c r="R17" i="33"/>
  <c r="S17" i="33"/>
  <c r="BB199" i="77" s="1"/>
  <c r="R109" i="33"/>
  <c r="R19" i="33"/>
  <c r="J193" i="65"/>
  <c r="J191" i="65" s="1"/>
  <c r="J95" i="65" s="1"/>
  <c r="J93" i="65" s="1"/>
  <c r="BA262" i="77"/>
  <c r="BA268" i="77" s="1"/>
  <c r="R239" i="15"/>
  <c r="R88" i="33"/>
  <c r="J44" i="65"/>
  <c r="S145" i="33"/>
  <c r="R186" i="14"/>
  <c r="R161" i="33"/>
  <c r="F5" i="75"/>
  <c r="CW826" i="12"/>
  <c r="AR358" i="58" s="1"/>
  <c r="AR359" i="58" s="1"/>
  <c r="AR356" i="58"/>
  <c r="AR357" i="58" s="1"/>
  <c r="CV818" i="12"/>
  <c r="S113" i="71"/>
  <c r="T113" i="71"/>
  <c r="CT90" i="33"/>
  <c r="CT91" i="33" s="1"/>
  <c r="CT92" i="33" s="1"/>
  <c r="AA6" i="58"/>
  <c r="W10" i="58"/>
  <c r="U143" i="33"/>
  <c r="U15" i="33"/>
  <c r="V14" i="48"/>
  <c r="AT205" i="58"/>
  <c r="P185" i="14"/>
  <c r="P120" i="15"/>
  <c r="P132" i="15" s="1"/>
  <c r="U37" i="12"/>
  <c r="U36" i="12"/>
  <c r="U41" i="12"/>
  <c r="U35" i="12"/>
  <c r="U34" i="12"/>
  <c r="U39" i="12"/>
  <c r="AP216" i="58"/>
  <c r="DD90" i="33"/>
  <c r="DD91" i="33" s="1"/>
  <c r="DD92" i="33" s="1"/>
  <c r="CV106" i="14"/>
  <c r="CV25" i="12"/>
  <c r="CV34" i="12"/>
  <c r="CV37" i="12"/>
  <c r="CV41" i="12"/>
  <c r="CV30" i="12"/>
  <c r="CV31" i="12" s="1"/>
  <c r="CV39" i="12"/>
  <c r="CV36" i="12"/>
  <c r="CV35" i="12"/>
  <c r="CV49" i="12"/>
  <c r="M213" i="66"/>
  <c r="M222" i="66" s="1"/>
  <c r="M211" i="66"/>
  <c r="M212" i="66" s="1"/>
  <c r="S10" i="71"/>
  <c r="T128" i="14"/>
  <c r="T125" i="14"/>
  <c r="T220" i="14"/>
  <c r="T134" i="14"/>
  <c r="L59" i="65"/>
  <c r="L53" i="65"/>
  <c r="L43" i="65"/>
  <c r="AN355" i="58"/>
  <c r="AM365" i="58"/>
  <c r="AM355" i="58"/>
  <c r="AM366" i="58"/>
  <c r="AR208" i="58"/>
  <c r="AR209" i="58" s="1"/>
  <c r="CZ90" i="33"/>
  <c r="CZ91" i="33" s="1"/>
  <c r="CZ92" i="33" s="1"/>
  <c r="CZ20" i="33"/>
  <c r="CZ104" i="33"/>
  <c r="CZ36" i="33"/>
  <c r="CZ37" i="33"/>
  <c r="BY20" i="48"/>
  <c r="DE146" i="33"/>
  <c r="CZ146" i="33"/>
  <c r="S18" i="59"/>
  <c r="E38" i="56"/>
  <c r="F38" i="56" s="1"/>
  <c r="F30" i="56"/>
  <c r="BM14" i="48"/>
  <c r="DF97" i="33"/>
  <c r="DF98" i="33" s="1"/>
  <c r="DF99" i="33" s="1"/>
  <c r="CO86" i="14" s="1"/>
  <c r="DF94" i="33"/>
  <c r="CO82" i="14"/>
  <c r="DF93" i="33"/>
  <c r="CS83" i="14" s="1"/>
  <c r="BJ222" i="77"/>
  <c r="BJ223" i="77" s="1"/>
  <c r="CN110" i="14"/>
  <c r="DF42" i="33"/>
  <c r="AI7" i="58"/>
  <c r="AI8" i="58" s="1"/>
  <c r="DF47" i="33"/>
  <c r="DD37" i="33"/>
  <c r="DD104" i="33"/>
  <c r="DD20" i="33"/>
  <c r="CC20" i="48"/>
  <c r="DD36" i="33"/>
  <c r="AB367" i="58"/>
  <c r="AC367" i="58"/>
  <c r="AO146" i="33"/>
  <c r="T20" i="33"/>
  <c r="BB135" i="77" s="1"/>
  <c r="T20" i="48"/>
  <c r="T104" i="33"/>
  <c r="T37" i="33"/>
  <c r="T36" i="33"/>
  <c r="L40" i="53"/>
  <c r="L42" i="53"/>
  <c r="BZ65" i="48"/>
  <c r="BZ69" i="48"/>
  <c r="BZ67" i="48"/>
  <c r="CU41" i="12"/>
  <c r="CU25" i="12"/>
  <c r="CU49" i="12"/>
  <c r="CU30" i="12"/>
  <c r="CU39" i="12"/>
  <c r="CU35" i="12"/>
  <c r="CU37" i="12"/>
  <c r="CU106" i="14"/>
  <c r="CU36" i="12"/>
  <c r="CU34" i="12"/>
  <c r="X22" i="77"/>
  <c r="X27" i="77"/>
  <c r="X31" i="77" s="1"/>
  <c r="DN143" i="33"/>
  <c r="DN15" i="33"/>
  <c r="Y7" i="57"/>
  <c r="Y14" i="57"/>
  <c r="E85" i="56"/>
  <c r="Z14" i="57"/>
  <c r="CU237" i="15"/>
  <c r="DM108" i="33"/>
  <c r="DM145" i="33"/>
  <c r="DM17" i="33"/>
  <c r="DM109" i="33"/>
  <c r="CU176" i="15"/>
  <c r="CU240" i="15"/>
  <c r="DM16" i="33"/>
  <c r="BJ100" i="77" s="1"/>
  <c r="CU186" i="14"/>
  <c r="AP4" i="58"/>
  <c r="BJ99" i="77"/>
  <c r="BJ106" i="77" s="1"/>
  <c r="DM115" i="33"/>
  <c r="DM19" i="33"/>
  <c r="CU238" i="15"/>
  <c r="CU175" i="15"/>
  <c r="DM117" i="33"/>
  <c r="DM88" i="33"/>
  <c r="CU239" i="15"/>
  <c r="Q362" i="58"/>
  <c r="AS486" i="58"/>
  <c r="V6" i="80"/>
  <c r="V7" i="80" s="1"/>
  <c r="AT100" i="58"/>
  <c r="AT551" i="58"/>
  <c r="V252" i="12"/>
  <c r="V248" i="12"/>
  <c r="V12" i="64"/>
  <c r="V250" i="12"/>
  <c r="V24" i="80"/>
  <c r="V25" i="80" s="1"/>
  <c r="X167" i="12"/>
  <c r="W21" i="80"/>
  <c r="W22" i="80" s="1"/>
  <c r="CW9" i="12"/>
  <c r="AI34" i="77" s="1"/>
  <c r="AR107" i="58"/>
  <c r="AR110" i="58" s="1"/>
  <c r="AR486" i="58"/>
  <c r="J12" i="77"/>
  <c r="AB29" i="77"/>
  <c r="N19" i="77"/>
  <c r="N21" i="77"/>
  <c r="N29" i="77"/>
  <c r="Z22" i="77"/>
  <c r="Z27" i="77"/>
  <c r="Z31" i="77" s="1"/>
  <c r="R12" i="77"/>
  <c r="K19" i="77"/>
  <c r="V27" i="77"/>
  <c r="V31" i="77" s="1"/>
  <c r="R27" i="77"/>
  <c r="R31" i="77" s="1"/>
  <c r="R22" i="77"/>
  <c r="S27" i="77"/>
  <c r="S31" i="77" s="1"/>
  <c r="O27" i="77"/>
  <c r="O31" i="77" s="1"/>
  <c r="O22" i="77"/>
  <c r="Q27" i="77"/>
  <c r="Q31" i="77" s="1"/>
  <c r="Q22" i="77"/>
  <c r="V274" i="12"/>
  <c r="U101" i="71" s="1"/>
  <c r="U102" i="71" s="1"/>
  <c r="AS102" i="58"/>
  <c r="Q302" i="90"/>
  <c r="R300" i="90" s="1"/>
  <c r="CF300" i="90"/>
  <c r="CF302" i="90" s="1"/>
  <c r="G102" i="52" l="1"/>
  <c r="F72" i="52"/>
  <c r="G103" i="52" s="1"/>
  <c r="CB58" i="33"/>
  <c r="CB61" i="33"/>
  <c r="X231" i="12"/>
  <c r="Y165" i="12"/>
  <c r="CS265" i="90"/>
  <c r="CS266" i="90" s="1"/>
  <c r="BC31" i="15"/>
  <c r="BB32" i="15"/>
  <c r="AZ78" i="15"/>
  <c r="AZ81" i="15" s="1"/>
  <c r="AZ76" i="15"/>
  <c r="BR33" i="90"/>
  <c r="BQ35" i="90"/>
  <c r="BG83" i="15"/>
  <c r="BG88" i="15" s="1"/>
  <c r="BG90" i="15" s="1"/>
  <c r="BG92" i="15" s="1"/>
  <c r="BG74" i="15"/>
  <c r="AX30" i="48"/>
  <c r="BG68" i="15"/>
  <c r="Q29" i="90"/>
  <c r="R26" i="90" s="1"/>
  <c r="CF26" i="90"/>
  <c r="CE28" i="90"/>
  <c r="Q28" i="90" s="1"/>
  <c r="CE318" i="90"/>
  <c r="CE317" i="90" s="1"/>
  <c r="CF29" i="90"/>
  <c r="DB99" i="90"/>
  <c r="DB101" i="90" s="1"/>
  <c r="DB353" i="90" s="1"/>
  <c r="AB291" i="12"/>
  <c r="DT306" i="48"/>
  <c r="DT253" i="48"/>
  <c r="DT252" i="48"/>
  <c r="CM165" i="12"/>
  <c r="CL231" i="12"/>
  <c r="CL230" i="12" s="1"/>
  <c r="D71" i="52"/>
  <c r="BJ78" i="15"/>
  <c r="BJ81" i="15" s="1"/>
  <c r="BJ76" i="15"/>
  <c r="AB99" i="90"/>
  <c r="AB101" i="90" s="1"/>
  <c r="AB353" i="90" s="1"/>
  <c r="Y117" i="90"/>
  <c r="X119" i="90"/>
  <c r="X326" i="90" s="1"/>
  <c r="CU836" i="12"/>
  <c r="CU504" i="12"/>
  <c r="AD272" i="12"/>
  <c r="AD267" i="12"/>
  <c r="AD268" i="12" s="1"/>
  <c r="AD270" i="12"/>
  <c r="L43" i="15"/>
  <c r="K72" i="52"/>
  <c r="AB292" i="12"/>
  <c r="Q220" i="90"/>
  <c r="CF219" i="90"/>
  <c r="CF218" i="90"/>
  <c r="CF220" i="90" s="1"/>
  <c r="CR361" i="90"/>
  <c r="DB363" i="90"/>
  <c r="DC276" i="90"/>
  <c r="DC278" i="90" s="1"/>
  <c r="DC363" i="90" s="1"/>
  <c r="CF352" i="90"/>
  <c r="CF93" i="90"/>
  <c r="CF95" i="90" s="1"/>
  <c r="Q95" i="90"/>
  <c r="AT78" i="15"/>
  <c r="AT81" i="15" s="1"/>
  <c r="AT76" i="15"/>
  <c r="CX270" i="90"/>
  <c r="CX272" i="90" s="1"/>
  <c r="CX362" i="90" s="1"/>
  <c r="H73" i="52"/>
  <c r="H74" i="52" s="1"/>
  <c r="I68" i="52"/>
  <c r="Z13" i="12"/>
  <c r="Z14" i="33" s="1"/>
  <c r="AA294" i="12"/>
  <c r="W231" i="12"/>
  <c r="W232" i="12" s="1"/>
  <c r="CK232" i="12"/>
  <c r="CK230" i="12"/>
  <c r="W230" i="12" s="1"/>
  <c r="BO29" i="90"/>
  <c r="M22" i="90"/>
  <c r="BP20" i="90"/>
  <c r="BP22" i="90" s="1"/>
  <c r="U264" i="90"/>
  <c r="T265" i="90"/>
  <c r="CD39" i="90"/>
  <c r="CD40" i="90"/>
  <c r="CD41" i="90" s="1"/>
  <c r="CU837" i="12"/>
  <c r="CU674" i="12"/>
  <c r="BA68" i="15"/>
  <c r="BA74" i="15"/>
  <c r="AR30" i="48"/>
  <c r="BA83" i="15"/>
  <c r="BA88" i="15" s="1"/>
  <c r="BA90" i="15" s="1"/>
  <c r="BA92" i="15" s="1"/>
  <c r="K30" i="48"/>
  <c r="K68" i="15"/>
  <c r="K74" i="15"/>
  <c r="K103" i="15"/>
  <c r="K105" i="15" s="1"/>
  <c r="K107" i="15" s="1"/>
  <c r="K83" i="15"/>
  <c r="K88" i="15" s="1"/>
  <c r="K90" i="15" s="1"/>
  <c r="K92" i="15" s="1"/>
  <c r="CW362" i="90"/>
  <c r="K73" i="52"/>
  <c r="BF76" i="15"/>
  <c r="BF78" i="15"/>
  <c r="BF81" i="15" s="1"/>
  <c r="DA353" i="90"/>
  <c r="BK88" i="15"/>
  <c r="BK90" i="15" s="1"/>
  <c r="BK92" i="15" s="1"/>
  <c r="D72" i="52"/>
  <c r="D104" i="52" s="1"/>
  <c r="AB225" i="12"/>
  <c r="AB226" i="12" s="1"/>
  <c r="AA226" i="12"/>
  <c r="S248" i="90"/>
  <c r="CN246" i="90"/>
  <c r="CN248" i="90" s="1"/>
  <c r="CN355" i="90" s="1"/>
  <c r="CM355" i="90"/>
  <c r="CV154" i="90"/>
  <c r="CW154" i="90" s="1"/>
  <c r="CX154" i="90" s="1"/>
  <c r="CY154" i="90" s="1"/>
  <c r="CZ154" i="90" s="1"/>
  <c r="DA154" i="90" s="1"/>
  <c r="DB154" i="90" s="1"/>
  <c r="DC154" i="90" s="1"/>
  <c r="U154" i="90"/>
  <c r="CH339" i="90"/>
  <c r="W154" i="90"/>
  <c r="P185" i="90"/>
  <c r="CB183" i="90"/>
  <c r="CB185" i="90" s="1"/>
  <c r="CB338" i="90"/>
  <c r="Z354" i="90"/>
  <c r="AA105" i="90"/>
  <c r="AA107" i="90" s="1"/>
  <c r="CI339" i="90"/>
  <c r="R190" i="90"/>
  <c r="CJ188" i="90"/>
  <c r="CJ190" i="90" s="1"/>
  <c r="CK188" i="90" s="1"/>
  <c r="CK190" i="90" s="1"/>
  <c r="AC128" i="90"/>
  <c r="AC130" i="90" s="1"/>
  <c r="AC346" i="90" s="1"/>
  <c r="P138" i="90"/>
  <c r="O139" i="90"/>
  <c r="R164" i="90"/>
  <c r="S163" i="90"/>
  <c r="N219" i="90"/>
  <c r="O218" i="90"/>
  <c r="CB111" i="90"/>
  <c r="CB113" i="90" s="1"/>
  <c r="CB325" i="90" s="1"/>
  <c r="BZ138" i="90"/>
  <c r="BZ140" i="90" s="1"/>
  <c r="BZ329" i="90" s="1"/>
  <c r="CK163" i="90"/>
  <c r="CK165" i="90" s="1"/>
  <c r="CE327" i="90"/>
  <c r="CF123" i="90"/>
  <c r="CF125" i="90" s="1"/>
  <c r="AB618" i="12"/>
  <c r="AB619" i="12" s="1"/>
  <c r="AA619" i="12"/>
  <c r="AM75" i="33"/>
  <c r="AV99" i="15"/>
  <c r="AV101" i="15" s="1"/>
  <c r="AV97" i="15"/>
  <c r="AM38" i="48" s="1"/>
  <c r="AB28" i="33"/>
  <c r="AA70" i="33"/>
  <c r="BW71" i="33"/>
  <c r="BW70" i="33"/>
  <c r="BW69" i="33"/>
  <c r="BW72" i="33"/>
  <c r="CC79" i="33"/>
  <c r="CC119" i="33"/>
  <c r="CC78" i="33"/>
  <c r="BO111" i="14"/>
  <c r="BO96" i="14" s="1"/>
  <c r="CC67" i="33"/>
  <c r="Z72" i="33"/>
  <c r="AA30" i="33"/>
  <c r="BA116" i="33"/>
  <c r="BA48" i="33"/>
  <c r="BA150" i="33"/>
  <c r="BA55" i="33"/>
  <c r="BA166" i="33"/>
  <c r="BF58" i="33"/>
  <c r="BF61" i="33"/>
  <c r="BF63" i="33" s="1"/>
  <c r="BC80" i="33"/>
  <c r="BC118" i="33"/>
  <c r="BJ111" i="14"/>
  <c r="BJ96" i="14" s="1"/>
  <c r="BW79" i="33"/>
  <c r="BW78" i="33"/>
  <c r="BW119" i="33"/>
  <c r="BW67" i="33"/>
  <c r="CC71" i="33"/>
  <c r="CC72" i="33"/>
  <c r="CC69" i="33"/>
  <c r="CC70" i="33"/>
  <c r="CK218" i="33"/>
  <c r="AV73" i="33"/>
  <c r="AA69" i="33"/>
  <c r="AB27" i="33"/>
  <c r="AG72" i="33"/>
  <c r="AG71" i="33"/>
  <c r="AG69" i="33"/>
  <c r="AG70" i="33"/>
  <c r="Z71" i="33"/>
  <c r="Z73" i="33" s="1"/>
  <c r="AA29" i="33"/>
  <c r="AC196" i="33"/>
  <c r="AR94" i="15"/>
  <c r="AR15" i="90"/>
  <c r="AV119" i="33"/>
  <c r="AV79" i="33"/>
  <c r="AV78" i="33"/>
  <c r="AW168" i="33"/>
  <c r="AV67" i="33"/>
  <c r="AN111" i="14"/>
  <c r="AN96" i="14" s="1"/>
  <c r="AG78" i="33"/>
  <c r="AG67" i="33"/>
  <c r="AG79" i="33"/>
  <c r="S118" i="90"/>
  <c r="T119" i="90"/>
  <c r="T118" i="90" s="1"/>
  <c r="DF114" i="33"/>
  <c r="AK6" i="58"/>
  <c r="CS141" i="33"/>
  <c r="CQ82" i="14"/>
  <c r="DH37" i="33"/>
  <c r="DH44" i="33" s="1"/>
  <c r="CX141" i="33"/>
  <c r="DH94" i="33"/>
  <c r="DH20" i="33"/>
  <c r="DH104" i="33"/>
  <c r="BS87" i="14"/>
  <c r="CU94" i="33"/>
  <c r="J17" i="57"/>
  <c r="CG110" i="33"/>
  <c r="BS84" i="14"/>
  <c r="CH95" i="33"/>
  <c r="BS85" i="14" s="1"/>
  <c r="BS89" i="14" s="1"/>
  <c r="DH39" i="33"/>
  <c r="CF110" i="14"/>
  <c r="CX42" i="33"/>
  <c r="BW22" i="48"/>
  <c r="CF153" i="15"/>
  <c r="CF165" i="15" s="1"/>
  <c r="CF168" i="15" s="1"/>
  <c r="AA7" i="58"/>
  <c r="AA8" i="58" s="1"/>
  <c r="BJ360" i="77"/>
  <c r="BJ361" i="77" s="1"/>
  <c r="CX47" i="33"/>
  <c r="CX114" i="33"/>
  <c r="CX41" i="33"/>
  <c r="BD58" i="33"/>
  <c r="BD61" i="33"/>
  <c r="AH58" i="33"/>
  <c r="AH61" i="33"/>
  <c r="AH63" i="33" s="1"/>
  <c r="AO70" i="33"/>
  <c r="AO72" i="33"/>
  <c r="AO71" i="33"/>
  <c r="AO69" i="33"/>
  <c r="G110" i="33"/>
  <c r="G37" i="33"/>
  <c r="G147" i="33"/>
  <c r="G163" i="33"/>
  <c r="G36" i="33"/>
  <c r="R120" i="15"/>
  <c r="R132" i="15" s="1"/>
  <c r="R185" i="14"/>
  <c r="BV148" i="33"/>
  <c r="BV41" i="33"/>
  <c r="BW162" i="33"/>
  <c r="BV162" i="33"/>
  <c r="BG48" i="33"/>
  <c r="BG166" i="33"/>
  <c r="BG116" i="33"/>
  <c r="BG55" i="33"/>
  <c r="BG150" i="33"/>
  <c r="BH166" i="33"/>
  <c r="BB48" i="33"/>
  <c r="BB55" i="33"/>
  <c r="BC166" i="33"/>
  <c r="BB166" i="33"/>
  <c r="BB116" i="33"/>
  <c r="BB150" i="33"/>
  <c r="BQ41" i="33"/>
  <c r="BQ148" i="33"/>
  <c r="BR162" i="33"/>
  <c r="BQ162" i="33"/>
  <c r="H163" i="33"/>
  <c r="AQ58" i="33"/>
  <c r="AQ61" i="33"/>
  <c r="F147" i="33"/>
  <c r="F163" i="33"/>
  <c r="BK69" i="33"/>
  <c r="BK71" i="33"/>
  <c r="BK70" i="33"/>
  <c r="BK72" i="33"/>
  <c r="AL48" i="33"/>
  <c r="AL55" i="33"/>
  <c r="AL116" i="33"/>
  <c r="AM166" i="33"/>
  <c r="BT37" i="33"/>
  <c r="BT104" i="33"/>
  <c r="BT20" i="33"/>
  <c r="BT36" i="33"/>
  <c r="BT41" i="33" s="1"/>
  <c r="AL166" i="33"/>
  <c r="AU44" i="33"/>
  <c r="AU114" i="33"/>
  <c r="AU39" i="33"/>
  <c r="AU42" i="33"/>
  <c r="AU40" i="33"/>
  <c r="AU47" i="33"/>
  <c r="CL211" i="33"/>
  <c r="CK222" i="33"/>
  <c r="CK223" i="33" s="1"/>
  <c r="BR61" i="33"/>
  <c r="BR58" i="33"/>
  <c r="AZ44" i="33"/>
  <c r="AW94" i="15"/>
  <c r="AW15" i="90"/>
  <c r="AT166" i="33"/>
  <c r="AS116" i="33"/>
  <c r="AS166" i="33"/>
  <c r="AS48" i="33"/>
  <c r="AS150" i="33"/>
  <c r="AS55" i="33"/>
  <c r="AL94" i="15"/>
  <c r="AL15" i="90"/>
  <c r="AK55" i="33"/>
  <c r="AK48" i="33"/>
  <c r="BL162" i="33"/>
  <c r="BM162" i="33"/>
  <c r="BL114" i="33"/>
  <c r="BL42" i="33"/>
  <c r="BL44" i="33"/>
  <c r="BL39" i="33"/>
  <c r="BA110" i="14"/>
  <c r="BA94" i="15" s="1"/>
  <c r="BL47" i="33"/>
  <c r="BL164" i="33"/>
  <c r="BM44" i="33"/>
  <c r="BM164" i="33"/>
  <c r="BL40" i="33"/>
  <c r="AR22" i="48"/>
  <c r="BM39" i="33"/>
  <c r="BD22" i="48"/>
  <c r="CA47" i="33"/>
  <c r="CA44" i="33"/>
  <c r="CA164" i="33"/>
  <c r="CB39" i="33"/>
  <c r="CB164" i="33"/>
  <c r="CA42" i="33"/>
  <c r="CS114" i="48" s="1"/>
  <c r="BM28" i="12"/>
  <c r="CA39" i="33"/>
  <c r="CB44" i="33"/>
  <c r="H7" i="58"/>
  <c r="H8" i="58" s="1"/>
  <c r="BM110" i="14"/>
  <c r="BM94" i="15" s="1"/>
  <c r="CS113" i="48"/>
  <c r="CA40" i="33"/>
  <c r="CA114" i="33"/>
  <c r="AX48" i="33"/>
  <c r="AX150" i="33"/>
  <c r="AY166" i="33"/>
  <c r="BC150" i="33"/>
  <c r="AX55" i="33"/>
  <c r="AX116" i="33"/>
  <c r="AX166" i="33"/>
  <c r="AP15" i="90"/>
  <c r="AP94" i="15"/>
  <c r="BQ164" i="33"/>
  <c r="BR164" i="33"/>
  <c r="BQ39" i="33"/>
  <c r="BQ40" i="33"/>
  <c r="BQ42" i="33"/>
  <c r="AV22" i="48"/>
  <c r="BQ114" i="33"/>
  <c r="BQ47" i="33"/>
  <c r="BE110" i="14"/>
  <c r="BE94" i="15" s="1"/>
  <c r="BQ44" i="33"/>
  <c r="BR44" i="33"/>
  <c r="BR39" i="33"/>
  <c r="H147" i="33"/>
  <c r="AQ150" i="33"/>
  <c r="BJ114" i="33"/>
  <c r="BJ39" i="33"/>
  <c r="BJ42" i="33"/>
  <c r="BJ40" i="33"/>
  <c r="BJ44" i="33"/>
  <c r="BJ47" i="33"/>
  <c r="E22" i="48"/>
  <c r="E42" i="33"/>
  <c r="D7" i="71"/>
  <c r="D8" i="71" s="1"/>
  <c r="E6" i="64"/>
  <c r="E10" i="64" s="1"/>
  <c r="E44" i="33"/>
  <c r="BK63" i="33"/>
  <c r="BK151" i="33"/>
  <c r="BU58" i="33"/>
  <c r="BU61" i="33"/>
  <c r="AJ97" i="15"/>
  <c r="AA38" i="48" s="1"/>
  <c r="BN166" i="33"/>
  <c r="BN55" i="33"/>
  <c r="BN48" i="33"/>
  <c r="BN116" i="33"/>
  <c r="BP166" i="33"/>
  <c r="BN150" i="33"/>
  <c r="BS150" i="33"/>
  <c r="AZ39" i="33"/>
  <c r="BP58" i="33"/>
  <c r="BP61" i="33"/>
  <c r="AS94" i="15"/>
  <c r="AS15" i="90"/>
  <c r="BO104" i="33"/>
  <c r="BO36" i="33"/>
  <c r="BO41" i="33" s="1"/>
  <c r="BO37" i="33"/>
  <c r="BO20" i="33"/>
  <c r="BL148" i="33"/>
  <c r="BL41" i="33"/>
  <c r="CA41" i="33"/>
  <c r="CA148" i="33"/>
  <c r="DS196" i="33"/>
  <c r="F104" i="33"/>
  <c r="F20" i="48"/>
  <c r="F20" i="33"/>
  <c r="F146" i="33"/>
  <c r="F162" i="33"/>
  <c r="G162" i="33"/>
  <c r="F37" i="33"/>
  <c r="G146" i="33"/>
  <c r="F36" i="33"/>
  <c r="AO63" i="33"/>
  <c r="AT151" i="33"/>
  <c r="AQ167" i="33"/>
  <c r="I99" i="15"/>
  <c r="I101" i="15" s="1"/>
  <c r="I97" i="15"/>
  <c r="BT110" i="33"/>
  <c r="AJ58" i="33"/>
  <c r="AJ61" i="33"/>
  <c r="CK198" i="33"/>
  <c r="CK197" i="33"/>
  <c r="AR58" i="33"/>
  <c r="AR61" i="33"/>
  <c r="AZ40" i="33"/>
  <c r="AZ22" i="48"/>
  <c r="BV114" i="33"/>
  <c r="BV42" i="33"/>
  <c r="BV44" i="33"/>
  <c r="BV47" i="33"/>
  <c r="D7" i="58"/>
  <c r="D8" i="58" s="1"/>
  <c r="BI110" i="14"/>
  <c r="BI94" i="15" s="1"/>
  <c r="BI28" i="12"/>
  <c r="BV39" i="33"/>
  <c r="BV40" i="33"/>
  <c r="BW164" i="33"/>
  <c r="BW39" i="33"/>
  <c r="BW44" i="33"/>
  <c r="BV164" i="33"/>
  <c r="AK99" i="15"/>
  <c r="AK101" i="15" s="1"/>
  <c r="AK97" i="15"/>
  <c r="AB38" i="48" s="1"/>
  <c r="CA162" i="33"/>
  <c r="CB162" i="33"/>
  <c r="D40" i="65"/>
  <c r="D208" i="65" s="1"/>
  <c r="BW227" i="14"/>
  <c r="DA105" i="90"/>
  <c r="DA107" i="90" s="1"/>
  <c r="DA354" i="90" s="1"/>
  <c r="CZ354" i="90"/>
  <c r="W219" i="14"/>
  <c r="Y219" i="14" s="1"/>
  <c r="Y11" i="15" s="1"/>
  <c r="BZ73" i="33"/>
  <c r="BZ75" i="33" s="1"/>
  <c r="V700" i="12"/>
  <c r="V701" i="12" s="1"/>
  <c r="V24" i="64"/>
  <c r="W493" i="12"/>
  <c r="X493" i="12" s="1"/>
  <c r="W492" i="12"/>
  <c r="X492" i="12" s="1"/>
  <c r="AF22" i="77"/>
  <c r="AF27" i="77"/>
  <c r="AG22" i="77"/>
  <c r="AG27" i="77"/>
  <c r="W10" i="12"/>
  <c r="DT142" i="33"/>
  <c r="DU158" i="33"/>
  <c r="DT141" i="33"/>
  <c r="DU157" i="33"/>
  <c r="DT157" i="33"/>
  <c r="W11" i="12"/>
  <c r="V142" i="33"/>
  <c r="W11" i="15"/>
  <c r="CA68" i="14"/>
  <c r="BZ100" i="14"/>
  <c r="DC24" i="14"/>
  <c r="W24" i="14" s="1"/>
  <c r="X24" i="14" s="1"/>
  <c r="Y24" i="14" s="1"/>
  <c r="Z24" i="14" s="1"/>
  <c r="AA24" i="14" s="1"/>
  <c r="AB24" i="14" s="1"/>
  <c r="AC24" i="14" s="1"/>
  <c r="AD24" i="14" s="1"/>
  <c r="BY64" i="14"/>
  <c r="H78" i="66"/>
  <c r="DB97" i="14"/>
  <c r="DC70" i="14"/>
  <c r="DC100" i="14"/>
  <c r="W68" i="14"/>
  <c r="CY357" i="90"/>
  <c r="CZ223" i="90"/>
  <c r="CZ225" i="90" s="1"/>
  <c r="CZ121" i="14"/>
  <c r="W43" i="14"/>
  <c r="X43" i="14" s="1"/>
  <c r="Y43" i="14" s="1"/>
  <c r="Z43" i="14" s="1"/>
  <c r="AA43" i="14" s="1"/>
  <c r="AB43" i="14" s="1"/>
  <c r="AC43" i="14" s="1"/>
  <c r="AD43" i="14" s="1"/>
  <c r="K110" i="33"/>
  <c r="M110" i="33"/>
  <c r="L6" i="64"/>
  <c r="L10" i="64" s="1"/>
  <c r="L22" i="48"/>
  <c r="L110" i="14"/>
  <c r="L94" i="15" s="1"/>
  <c r="K7" i="71"/>
  <c r="K8" i="71" s="1"/>
  <c r="L42" i="33"/>
  <c r="D38" i="65"/>
  <c r="D214" i="65"/>
  <c r="D223" i="65" s="1"/>
  <c r="D212" i="65"/>
  <c r="D213" i="65" s="1"/>
  <c r="J114" i="33"/>
  <c r="J164" i="33"/>
  <c r="J47" i="33"/>
  <c r="J148" i="33"/>
  <c r="J41" i="33"/>
  <c r="J5" i="64"/>
  <c r="H47" i="33"/>
  <c r="H114" i="33"/>
  <c r="H5" i="64"/>
  <c r="H164" i="33"/>
  <c r="H41" i="33"/>
  <c r="I164" i="33"/>
  <c r="H148" i="33"/>
  <c r="I148" i="33"/>
  <c r="C40" i="53"/>
  <c r="C42" i="53"/>
  <c r="BK33" i="12"/>
  <c r="BL33" i="12"/>
  <c r="M82" i="14"/>
  <c r="M94" i="33"/>
  <c r="M93" i="33"/>
  <c r="M83" i="14" s="1"/>
  <c r="M88" i="14" s="1"/>
  <c r="M97" i="33"/>
  <c r="M98" i="33" s="1"/>
  <c r="M99" i="33" s="1"/>
  <c r="BY42" i="33"/>
  <c r="BY44" i="33"/>
  <c r="BY39" i="33"/>
  <c r="BY114" i="33"/>
  <c r="BY40" i="33"/>
  <c r="BY47" i="33"/>
  <c r="M128" i="14"/>
  <c r="M81" i="14"/>
  <c r="M125" i="14"/>
  <c r="M134" i="14"/>
  <c r="M108" i="14"/>
  <c r="M79" i="14"/>
  <c r="K108" i="14"/>
  <c r="K128" i="14"/>
  <c r="K125" i="14"/>
  <c r="K134" i="14"/>
  <c r="K162" i="33"/>
  <c r="K37" i="33"/>
  <c r="K20" i="48"/>
  <c r="K146" i="33"/>
  <c r="K20" i="33"/>
  <c r="L162" i="33"/>
  <c r="K104" i="33"/>
  <c r="L146" i="33"/>
  <c r="K36" i="33"/>
  <c r="BX48" i="33"/>
  <c r="BZ166" i="33"/>
  <c r="CC150" i="33"/>
  <c r="BX166" i="33"/>
  <c r="BX55" i="33"/>
  <c r="BX116" i="33"/>
  <c r="BX150" i="33"/>
  <c r="E53" i="65"/>
  <c r="E43" i="65"/>
  <c r="E47" i="65" s="1"/>
  <c r="E42" i="65" s="1"/>
  <c r="E59" i="65"/>
  <c r="E57" i="65" s="1"/>
  <c r="E211" i="65" s="1"/>
  <c r="M162" i="33"/>
  <c r="M20" i="48"/>
  <c r="M146" i="33"/>
  <c r="M37" i="33"/>
  <c r="M104" i="33"/>
  <c r="M20" i="33"/>
  <c r="M36" i="33"/>
  <c r="H6" i="64"/>
  <c r="H10" i="64" s="1"/>
  <c r="H44" i="33"/>
  <c r="H110" i="14"/>
  <c r="H42" i="33"/>
  <c r="I166" i="33" s="1"/>
  <c r="G7" i="71"/>
  <c r="G8" i="71" s="1"/>
  <c r="I44" i="33"/>
  <c r="H22" i="48"/>
  <c r="I40" i="33"/>
  <c r="C59" i="65"/>
  <c r="C57" i="65" s="1"/>
  <c r="C211" i="65" s="1"/>
  <c r="C53" i="65"/>
  <c r="C43" i="65"/>
  <c r="BK99" i="15"/>
  <c r="BK101" i="15" s="1"/>
  <c r="BK97" i="15"/>
  <c r="BB38" i="48" s="1"/>
  <c r="E42" i="53"/>
  <c r="E40" i="53"/>
  <c r="V685" i="12"/>
  <c r="V686" i="12" s="1"/>
  <c r="AM77" i="77"/>
  <c r="CZ378" i="12"/>
  <c r="CZ376" i="12" s="1"/>
  <c r="P368" i="12"/>
  <c r="CA355" i="12"/>
  <c r="DC679" i="12"/>
  <c r="W678" i="12"/>
  <c r="W460" i="12"/>
  <c r="W462" i="12"/>
  <c r="CZ625" i="12"/>
  <c r="DA274" i="12"/>
  <c r="CZ275" i="12"/>
  <c r="CZ295" i="12"/>
  <c r="AM59" i="77"/>
  <c r="AM81" i="77"/>
  <c r="CZ696" i="12"/>
  <c r="CZ700" i="12"/>
  <c r="CZ701" i="12" s="1"/>
  <c r="DA624" i="12"/>
  <c r="DA695" i="12"/>
  <c r="DA120" i="14" s="1"/>
  <c r="DA121" i="14" s="1"/>
  <c r="DA124" i="14" s="1"/>
  <c r="DB565" i="12"/>
  <c r="CZ664" i="12"/>
  <c r="DA623" i="12"/>
  <c r="DA685" i="12" s="1"/>
  <c r="DA687" i="12" s="1"/>
  <c r="CZ697" i="12"/>
  <c r="CZ698" i="12" s="1"/>
  <c r="CZ497" i="12"/>
  <c r="CZ495" i="12"/>
  <c r="DA635" i="12"/>
  <c r="DB634" i="12"/>
  <c r="CZ686" i="12"/>
  <c r="CZ661" i="12"/>
  <c r="DB45" i="12"/>
  <c r="DB53" i="12"/>
  <c r="DC53" i="12"/>
  <c r="DC45" i="12"/>
  <c r="DB52" i="12"/>
  <c r="DB44" i="12"/>
  <c r="CQ143" i="33"/>
  <c r="CZ513" i="12"/>
  <c r="CZ511" i="12"/>
  <c r="DB471" i="12"/>
  <c r="DA472" i="12"/>
  <c r="DA494" i="12"/>
  <c r="DC44" i="12"/>
  <c r="DC52" i="12"/>
  <c r="CX357" i="90"/>
  <c r="Y223" i="90"/>
  <c r="Y225" i="90" s="1"/>
  <c r="Y357" i="90" s="1"/>
  <c r="CL159" i="33"/>
  <c r="CL143" i="33"/>
  <c r="AD5" i="58"/>
  <c r="CH116" i="33"/>
  <c r="AC27" i="77"/>
  <c r="AC31" i="77" s="1"/>
  <c r="CN13" i="33"/>
  <c r="CN159" i="33" s="1"/>
  <c r="CH48" i="33"/>
  <c r="CL15" i="33"/>
  <c r="E44" i="66" s="1"/>
  <c r="AH6" i="58"/>
  <c r="AT370" i="58"/>
  <c r="AT371" i="58" s="1"/>
  <c r="AM48" i="77"/>
  <c r="AM72" i="77"/>
  <c r="AM43" i="77"/>
  <c r="AM68" i="77"/>
  <c r="P27" i="77"/>
  <c r="P31" i="77" s="1"/>
  <c r="M21" i="77"/>
  <c r="M27" i="77" s="1"/>
  <c r="M31" i="77" s="1"/>
  <c r="K29" i="77"/>
  <c r="K21" i="77"/>
  <c r="K22" i="77" s="1"/>
  <c r="L13" i="77"/>
  <c r="K13" i="77"/>
  <c r="N12" i="77"/>
  <c r="J19" i="77"/>
  <c r="J13" i="77"/>
  <c r="AM39" i="77"/>
  <c r="AM65" i="77"/>
  <c r="W57" i="77"/>
  <c r="CA368" i="12"/>
  <c r="DH97" i="33"/>
  <c r="DH98" i="33" s="1"/>
  <c r="DH99" i="33" s="1"/>
  <c r="CQ86" i="14" s="1"/>
  <c r="BJ155" i="77"/>
  <c r="BJ156" i="77" s="1"/>
  <c r="CR110" i="14"/>
  <c r="AM7" i="58"/>
  <c r="AM8" i="58" s="1"/>
  <c r="DJ47" i="33"/>
  <c r="DJ42" i="33"/>
  <c r="DJ41" i="33"/>
  <c r="DJ114" i="33"/>
  <c r="K28" i="53"/>
  <c r="S5" i="64"/>
  <c r="S32" i="64" s="1"/>
  <c r="BB198" i="77"/>
  <c r="BB205" i="77" s="1"/>
  <c r="S117" i="33"/>
  <c r="R4" i="71"/>
  <c r="R5" i="71" s="1"/>
  <c r="S240" i="15"/>
  <c r="AV134" i="77"/>
  <c r="S108" i="33"/>
  <c r="S19" i="33"/>
  <c r="S162" i="33" s="1"/>
  <c r="S239" i="15"/>
  <c r="S106" i="14"/>
  <c r="S237" i="15"/>
  <c r="S88" i="33"/>
  <c r="S90" i="33" s="1"/>
  <c r="S91" i="33" s="1"/>
  <c r="S92" i="33" s="1"/>
  <c r="BY61" i="48"/>
  <c r="T145" i="33"/>
  <c r="G5" i="75"/>
  <c r="H6" i="75" s="1"/>
  <c r="K193" i="65"/>
  <c r="K191" i="65" s="1"/>
  <c r="K95" i="65" s="1"/>
  <c r="K93" i="65" s="1"/>
  <c r="K44" i="65"/>
  <c r="T17" i="33"/>
  <c r="S13" i="48"/>
  <c r="S186" i="14"/>
  <c r="T161" i="33"/>
  <c r="S238" i="15"/>
  <c r="S115" i="33"/>
  <c r="S109" i="33"/>
  <c r="P242" i="12"/>
  <c r="P241" i="12"/>
  <c r="CW84" i="14"/>
  <c r="DJ95" i="33"/>
  <c r="CS85" i="14" s="1"/>
  <c r="CS89" i="14" s="1"/>
  <c r="BY674" i="12"/>
  <c r="BY837" i="12"/>
  <c r="Z364" i="58"/>
  <c r="Y366" i="58"/>
  <c r="Y365" i="58"/>
  <c r="Y364" i="58"/>
  <c r="BZ504" i="12"/>
  <c r="BZ836" i="12"/>
  <c r="BZ838" i="12" s="1"/>
  <c r="DO10" i="33"/>
  <c r="DO156" i="33" s="1"/>
  <c r="CD837" i="12"/>
  <c r="CD674" i="12"/>
  <c r="CC241" i="12"/>
  <c r="P177" i="71"/>
  <c r="P178" i="71"/>
  <c r="Q177" i="71"/>
  <c r="DG145" i="33"/>
  <c r="CA13" i="48"/>
  <c r="CA18" i="48" s="1"/>
  <c r="CJ239" i="15"/>
  <c r="DB117" i="33"/>
  <c r="BJ281" i="77"/>
  <c r="BJ288" i="77" s="1"/>
  <c r="CJ186" i="14"/>
  <c r="BK266" i="77"/>
  <c r="CJ237" i="15"/>
  <c r="CJ176" i="15"/>
  <c r="DB88" i="33"/>
  <c r="DB90" i="33" s="1"/>
  <c r="DB91" i="33" s="1"/>
  <c r="DB92" i="33" s="1"/>
  <c r="DB97" i="33" s="1"/>
  <c r="DB98" i="33" s="1"/>
  <c r="DB99" i="33" s="1"/>
  <c r="CK86" i="14" s="1"/>
  <c r="CJ238" i="15"/>
  <c r="DB115" i="33"/>
  <c r="AE4" i="58"/>
  <c r="DB108" i="33"/>
  <c r="DB16" i="33"/>
  <c r="BJ282" i="77" s="1"/>
  <c r="CJ240" i="15"/>
  <c r="DC161" i="33"/>
  <c r="DB19" i="33"/>
  <c r="DB109" i="33"/>
  <c r="DG17" i="33"/>
  <c r="CJ175" i="15"/>
  <c r="DB161" i="33"/>
  <c r="DC16" i="33"/>
  <c r="BJ266" i="77" s="1"/>
  <c r="CN674" i="12"/>
  <c r="CN837" i="12"/>
  <c r="S302" i="71"/>
  <c r="S312" i="71"/>
  <c r="S313" i="71"/>
  <c r="CJ674" i="12"/>
  <c r="CJ837" i="12"/>
  <c r="BX837" i="12"/>
  <c r="BX838" i="12" s="1"/>
  <c r="BX674" i="12"/>
  <c r="CE166" i="12"/>
  <c r="CD240" i="12"/>
  <c r="AE365" i="58"/>
  <c r="AE366" i="58"/>
  <c r="AE367" i="58" s="1"/>
  <c r="AE355" i="58"/>
  <c r="C16" i="62"/>
  <c r="C17" i="62"/>
  <c r="C18" i="62" s="1"/>
  <c r="C21" i="62" s="1"/>
  <c r="EE267" i="48"/>
  <c r="EB267" i="48"/>
  <c r="CJ27" i="12"/>
  <c r="CJ26" i="12"/>
  <c r="CN26" i="12"/>
  <c r="CH504" i="12"/>
  <c r="CH836" i="12"/>
  <c r="R302" i="71"/>
  <c r="R313" i="71"/>
  <c r="R314" i="71" s="1"/>
  <c r="R312" i="71"/>
  <c r="R243" i="71"/>
  <c r="R238" i="71"/>
  <c r="CP838" i="12"/>
  <c r="CP843" i="12" s="1"/>
  <c r="CS836" i="12"/>
  <c r="CS504" i="12"/>
  <c r="P312" i="71"/>
  <c r="Q311" i="71"/>
  <c r="P313" i="71"/>
  <c r="Q314" i="71" s="1"/>
  <c r="CT836" i="12"/>
  <c r="CT838" i="12" s="1"/>
  <c r="CT842" i="12" s="1"/>
  <c r="CT846" i="12" s="1"/>
  <c r="CT504" i="12"/>
  <c r="CJ134" i="14"/>
  <c r="CJ128" i="14"/>
  <c r="CJ125" i="14"/>
  <c r="CJ108" i="14"/>
  <c r="CJ220" i="14"/>
  <c r="CF14" i="80"/>
  <c r="CF13" i="80"/>
  <c r="T13" i="80"/>
  <c r="DH110" i="33"/>
  <c r="M29" i="77"/>
  <c r="CU93" i="33"/>
  <c r="CH83" i="14" s="1"/>
  <c r="V627" i="12"/>
  <c r="U80" i="71" s="1"/>
  <c r="CN140" i="33"/>
  <c r="S179" i="71"/>
  <c r="BU22" i="48"/>
  <c r="E69" i="56"/>
  <c r="AN6" i="64"/>
  <c r="CD110" i="14"/>
  <c r="CV42" i="33"/>
  <c r="Y7" i="58"/>
  <c r="Y8" i="58" s="1"/>
  <c r="CX44" i="33"/>
  <c r="CX39" i="33"/>
  <c r="M19" i="77"/>
  <c r="CN156" i="33"/>
  <c r="M13" i="77"/>
  <c r="CU110" i="33"/>
  <c r="DG110" i="33"/>
  <c r="E58" i="56"/>
  <c r="F58" i="56" s="1"/>
  <c r="F50" i="56"/>
  <c r="Y5" i="58"/>
  <c r="X10" i="58"/>
  <c r="L53" i="66"/>
  <c r="L43" i="66"/>
  <c r="L47" i="66" s="1"/>
  <c r="L42" i="66" s="1"/>
  <c r="L59" i="66"/>
  <c r="L57" i="66" s="1"/>
  <c r="L210" i="66" s="1"/>
  <c r="Q110" i="33"/>
  <c r="X5" i="58"/>
  <c r="CU37" i="33"/>
  <c r="CU104" i="33"/>
  <c r="BT20" i="48"/>
  <c r="CU20" i="33"/>
  <c r="CV162" i="33" s="1"/>
  <c r="V14" i="64"/>
  <c r="V697" i="12"/>
  <c r="V9" i="80" s="1"/>
  <c r="V10" i="80" s="1"/>
  <c r="CP88" i="14"/>
  <c r="CP87" i="14"/>
  <c r="DI94" i="33"/>
  <c r="DI93" i="33"/>
  <c r="CV83" i="14" s="1"/>
  <c r="DI97" i="33"/>
  <c r="DI98" i="33" s="1"/>
  <c r="DI99" i="33" s="1"/>
  <c r="CR86" i="14" s="1"/>
  <c r="CR82" i="14"/>
  <c r="BJ188" i="77"/>
  <c r="CB22" i="48"/>
  <c r="CK153" i="15"/>
  <c r="CK165" i="15" s="1"/>
  <c r="CK168" i="15" s="1"/>
  <c r="DC42" i="33"/>
  <c r="BJ269" i="77"/>
  <c r="BJ270" i="77" s="1"/>
  <c r="CK110" i="14"/>
  <c r="AF7" i="58"/>
  <c r="AF8" i="58" s="1"/>
  <c r="DC47" i="33"/>
  <c r="DC40" i="33"/>
  <c r="CP84" i="14"/>
  <c r="DC95" i="33"/>
  <c r="CL85" i="14" s="1"/>
  <c r="DH95" i="33"/>
  <c r="CQ85" i="14" s="1"/>
  <c r="CQ89" i="14" s="1"/>
  <c r="CU84" i="14"/>
  <c r="I6" i="79"/>
  <c r="I9" i="79"/>
  <c r="I7" i="79"/>
  <c r="I8" i="79"/>
  <c r="BI20" i="48"/>
  <c r="CG37" i="33"/>
  <c r="CG104" i="33"/>
  <c r="CG146" i="33"/>
  <c r="CG36" i="33"/>
  <c r="CG20" i="33"/>
  <c r="CH162" i="33" s="1"/>
  <c r="N5" i="58"/>
  <c r="M6" i="58"/>
  <c r="M10" i="58"/>
  <c r="DI110" i="33"/>
  <c r="DC41" i="33"/>
  <c r="DC114" i="33"/>
  <c r="DC148" i="33"/>
  <c r="AJ10" i="58"/>
  <c r="AJ6" i="58"/>
  <c r="AJ5" i="58"/>
  <c r="AK5" i="58"/>
  <c r="DG37" i="33"/>
  <c r="DH164" i="33" s="1"/>
  <c r="DG104" i="33"/>
  <c r="DG36" i="33"/>
  <c r="DG20" i="33"/>
  <c r="DA110" i="33"/>
  <c r="DA37" i="33"/>
  <c r="DC44" i="33" s="1"/>
  <c r="DA20" i="33"/>
  <c r="BZ20" i="48"/>
  <c r="DA36" i="33"/>
  <c r="DA104" i="33"/>
  <c r="DA146" i="33"/>
  <c r="DF146" i="33"/>
  <c r="AM5" i="58"/>
  <c r="AL10" i="58"/>
  <c r="AL5" i="58"/>
  <c r="DH114" i="33"/>
  <c r="DH148" i="33"/>
  <c r="DH41" i="33"/>
  <c r="DA94" i="33"/>
  <c r="DA97" i="33"/>
  <c r="DA98" i="33" s="1"/>
  <c r="DA99" i="33" s="1"/>
  <c r="CJ86" i="14" s="1"/>
  <c r="DA93" i="33"/>
  <c r="CN83" i="14" s="1"/>
  <c r="CJ82" i="14"/>
  <c r="DI37" i="33"/>
  <c r="DI164" i="33" s="1"/>
  <c r="DI36" i="33"/>
  <c r="DI148" i="33" s="1"/>
  <c r="DI20" i="33"/>
  <c r="DI162" i="33" s="1"/>
  <c r="DI104" i="33"/>
  <c r="BJ190" i="77"/>
  <c r="BJ191" i="77" s="1"/>
  <c r="DJ44" i="33"/>
  <c r="AK7" i="58"/>
  <c r="AK8" i="58" s="1"/>
  <c r="DH40" i="33"/>
  <c r="DJ39" i="33"/>
  <c r="CP110" i="14"/>
  <c r="DH42" i="33"/>
  <c r="DH47" i="33"/>
  <c r="CP82" i="14"/>
  <c r="DG97" i="33"/>
  <c r="DG98" i="33" s="1"/>
  <c r="DG99" i="33" s="1"/>
  <c r="CP86" i="14" s="1"/>
  <c r="DG93" i="33"/>
  <c r="CT83" i="14" s="1"/>
  <c r="DG94" i="33"/>
  <c r="Q128" i="14"/>
  <c r="EN339" i="48" s="1"/>
  <c r="EN341" i="48" s="1"/>
  <c r="EN342" i="48" s="1"/>
  <c r="EN344" i="48" s="1"/>
  <c r="Q134" i="14"/>
  <c r="Q125" i="14"/>
  <c r="Q81" i="14"/>
  <c r="Q79" i="14"/>
  <c r="Q220" i="14"/>
  <c r="I40" i="53"/>
  <c r="I42" i="53"/>
  <c r="AN10" i="58"/>
  <c r="AN6" i="58"/>
  <c r="AN5" i="58"/>
  <c r="BW69" i="48"/>
  <c r="BW67" i="48"/>
  <c r="BW65" i="48"/>
  <c r="DK93" i="33"/>
  <c r="CX83" i="14" s="1"/>
  <c r="CT82" i="14"/>
  <c r="DK94" i="33"/>
  <c r="CX84" i="14" s="1"/>
  <c r="DK97" i="33"/>
  <c r="DK98" i="33" s="1"/>
  <c r="DK99" i="33" s="1"/>
  <c r="CT86" i="14" s="1"/>
  <c r="DK110" i="33"/>
  <c r="T113" i="58"/>
  <c r="U113" i="58"/>
  <c r="H14" i="74"/>
  <c r="H9" i="74"/>
  <c r="H10" i="74" s="1"/>
  <c r="I59" i="65"/>
  <c r="I57" i="65" s="1"/>
  <c r="I211" i="65" s="1"/>
  <c r="I214" i="65" s="1"/>
  <c r="I223" i="65" s="1"/>
  <c r="I53" i="65"/>
  <c r="I43" i="65"/>
  <c r="I47" i="65" s="1"/>
  <c r="I42" i="65" s="1"/>
  <c r="AC113" i="58"/>
  <c r="AD113" i="58"/>
  <c r="AG367" i="58"/>
  <c r="AF367" i="58"/>
  <c r="CY110" i="33"/>
  <c r="Q94" i="33"/>
  <c r="Q93" i="33"/>
  <c r="Q83" i="14" s="1"/>
  <c r="Q82" i="14"/>
  <c r="Q104" i="33"/>
  <c r="Q20" i="33"/>
  <c r="Q37" i="33"/>
  <c r="Q20" i="48"/>
  <c r="AL146" i="33"/>
  <c r="Q30" i="56"/>
  <c r="Q18" i="48"/>
  <c r="DK37" i="33"/>
  <c r="DK20" i="33"/>
  <c r="DK104" i="33"/>
  <c r="DK36" i="33"/>
  <c r="DK146" i="33"/>
  <c r="BS14" i="90"/>
  <c r="BS94" i="15"/>
  <c r="AB10" i="58"/>
  <c r="AB5" i="58"/>
  <c r="AB6" i="58"/>
  <c r="AF6" i="58"/>
  <c r="CH82" i="14"/>
  <c r="CY93" i="33"/>
  <c r="CL83" i="14" s="1"/>
  <c r="CY97" i="33"/>
  <c r="CY98" i="33" s="1"/>
  <c r="CY99" i="33" s="1"/>
  <c r="CH86" i="14" s="1"/>
  <c r="CY94" i="33"/>
  <c r="AK367" i="58"/>
  <c r="AJ367" i="58"/>
  <c r="AO355" i="58"/>
  <c r="AO365" i="58"/>
  <c r="AO366" i="58"/>
  <c r="AO367" i="58" s="1"/>
  <c r="DF162" i="33"/>
  <c r="CY104" i="33"/>
  <c r="CY36" i="33"/>
  <c r="CY20" i="33"/>
  <c r="BX20" i="48"/>
  <c r="CY37" i="33"/>
  <c r="CZ164" i="33" s="1"/>
  <c r="CY146" i="33"/>
  <c r="L10" i="58"/>
  <c r="L6" i="58"/>
  <c r="M5" i="58"/>
  <c r="CF97" i="33"/>
  <c r="CF98" i="33" s="1"/>
  <c r="CF99" i="33" s="1"/>
  <c r="BQ86" i="14" s="1"/>
  <c r="BQ90" i="14" s="1"/>
  <c r="BQ82" i="14"/>
  <c r="CF93" i="33"/>
  <c r="BQ83" i="14" s="1"/>
  <c r="CF94" i="33"/>
  <c r="BH20" i="48"/>
  <c r="CF37" i="33"/>
  <c r="CF36" i="33"/>
  <c r="CF104" i="33"/>
  <c r="CF20" i="33"/>
  <c r="CF146" i="33"/>
  <c r="AA5" i="58"/>
  <c r="AD6" i="58"/>
  <c r="Z10" i="58"/>
  <c r="Z5" i="58"/>
  <c r="DE95" i="33"/>
  <c r="CN85" i="14" s="1"/>
  <c r="CR84" i="14"/>
  <c r="C59" i="66"/>
  <c r="C57" i="66" s="1"/>
  <c r="C210" i="66" s="1"/>
  <c r="C53" i="66"/>
  <c r="C43" i="66"/>
  <c r="K6" i="58"/>
  <c r="L5" i="58"/>
  <c r="K5" i="58"/>
  <c r="K10" i="58"/>
  <c r="CW110" i="33"/>
  <c r="CR87" i="14"/>
  <c r="CR88" i="14"/>
  <c r="CE20" i="33"/>
  <c r="CE104" i="33"/>
  <c r="BG20" i="48"/>
  <c r="CE146" i="33"/>
  <c r="CE37" i="33"/>
  <c r="CE36" i="33"/>
  <c r="CJ148" i="33" s="1"/>
  <c r="DE39" i="33"/>
  <c r="CM110" i="14"/>
  <c r="DE44" i="33"/>
  <c r="AH7" i="58"/>
  <c r="AH8" i="58" s="1"/>
  <c r="DE42" i="33"/>
  <c r="CD22" i="48"/>
  <c r="CM153" i="15"/>
  <c r="CM165" i="15" s="1"/>
  <c r="CM168" i="15" s="1"/>
  <c r="BJ238" i="77"/>
  <c r="BJ239" i="77" s="1"/>
  <c r="DE47" i="33"/>
  <c r="DF166" i="33" s="1"/>
  <c r="DJ40" i="33"/>
  <c r="G93" i="56"/>
  <c r="G88" i="56"/>
  <c r="G89" i="56" s="1"/>
  <c r="CW97" i="33"/>
  <c r="CW98" i="33" s="1"/>
  <c r="CW99" i="33" s="1"/>
  <c r="CF86" i="14" s="1"/>
  <c r="CW93" i="33"/>
  <c r="CJ83" i="14" s="1"/>
  <c r="CW94" i="33"/>
  <c r="CF82" i="14"/>
  <c r="CW20" i="33"/>
  <c r="CW104" i="33"/>
  <c r="CW36" i="33"/>
  <c r="CW37" i="33"/>
  <c r="BV20" i="48"/>
  <c r="N53" i="66"/>
  <c r="N59" i="66"/>
  <c r="N57" i="66" s="1"/>
  <c r="N210" i="66" s="1"/>
  <c r="N43" i="66"/>
  <c r="N47" i="66" s="1"/>
  <c r="N42" i="66" s="1"/>
  <c r="BT82" i="14"/>
  <c r="CJ93" i="33"/>
  <c r="BT83" i="14" s="1"/>
  <c r="CJ94" i="33"/>
  <c r="CJ104" i="33"/>
  <c r="BK20" i="48"/>
  <c r="CJ20" i="33"/>
  <c r="CJ162" i="33" s="1"/>
  <c r="CJ146" i="33"/>
  <c r="CJ37" i="33"/>
  <c r="CJ110" i="33"/>
  <c r="CE90" i="33"/>
  <c r="CI88" i="33"/>
  <c r="DE114" i="33"/>
  <c r="DE41" i="33"/>
  <c r="DJ148" i="33"/>
  <c r="S26" i="12"/>
  <c r="K29" i="53" s="1"/>
  <c r="T26" i="12"/>
  <c r="L29" i="53" s="1"/>
  <c r="O10" i="58"/>
  <c r="O6" i="58"/>
  <c r="O5" i="58"/>
  <c r="CI161" i="33"/>
  <c r="CI117" i="33"/>
  <c r="CI108" i="33"/>
  <c r="CI19" i="33"/>
  <c r="CI109" i="33"/>
  <c r="CI115" i="33"/>
  <c r="CI16" i="33"/>
  <c r="CI17" i="33"/>
  <c r="CI145" i="33"/>
  <c r="CE110" i="33"/>
  <c r="N15" i="33"/>
  <c r="N143" i="33"/>
  <c r="O14" i="48"/>
  <c r="AA27" i="77"/>
  <c r="AA31" i="77" s="1"/>
  <c r="AA22" i="77"/>
  <c r="J19" i="57"/>
  <c r="L19" i="57" s="1"/>
  <c r="L13" i="57"/>
  <c r="J29" i="77"/>
  <c r="J21" i="77"/>
  <c r="AB27" i="77"/>
  <c r="AB31" i="77" s="1"/>
  <c r="G16" i="77"/>
  <c r="L103" i="52"/>
  <c r="N67" i="52"/>
  <c r="M99" i="52"/>
  <c r="CQ34" i="90"/>
  <c r="CQ32" i="90" s="1"/>
  <c r="H76" i="15"/>
  <c r="H78" i="15"/>
  <c r="H81" i="15" s="1"/>
  <c r="CL252" i="90"/>
  <c r="CL254" i="90" s="1"/>
  <c r="CL359" i="90" s="1"/>
  <c r="AN58" i="33"/>
  <c r="AN61" i="33"/>
  <c r="P174" i="90"/>
  <c r="Q173" i="90"/>
  <c r="CV674" i="12"/>
  <c r="CV837" i="12"/>
  <c r="CV838" i="12" s="1"/>
  <c r="L18" i="59"/>
  <c r="M18" i="59"/>
  <c r="G72" i="52"/>
  <c r="CR240" i="90"/>
  <c r="CR242" i="90" s="1"/>
  <c r="T242" i="90"/>
  <c r="BS71" i="33"/>
  <c r="BS70" i="33"/>
  <c r="BS72" i="33"/>
  <c r="BS69" i="33"/>
  <c r="X63" i="90"/>
  <c r="X65" i="90" s="1"/>
  <c r="X320" i="90" s="1"/>
  <c r="F73" i="52"/>
  <c r="Q94" i="52"/>
  <c r="R93" i="52"/>
  <c r="R62" i="52"/>
  <c r="V61" i="52"/>
  <c r="G69" i="15"/>
  <c r="G70" i="15" s="1"/>
  <c r="F8" i="14"/>
  <c r="T260" i="90"/>
  <c r="CR258" i="90"/>
  <c r="CR260" i="90" s="1"/>
  <c r="BP32" i="70"/>
  <c r="BP30" i="70"/>
  <c r="BQ30" i="70" s="1"/>
  <c r="BP31" i="70"/>
  <c r="CL133" i="90"/>
  <c r="CL135" i="90" s="1"/>
  <c r="CL328" i="90" s="1"/>
  <c r="BT227" i="14"/>
  <c r="O226" i="14"/>
  <c r="O227" i="14" s="1"/>
  <c r="CM143" i="90"/>
  <c r="CM145" i="90" s="1"/>
  <c r="CM330" i="90" s="1"/>
  <c r="R235" i="90"/>
  <c r="S234" i="90"/>
  <c r="CE204" i="90"/>
  <c r="CE203" i="90"/>
  <c r="M68" i="52"/>
  <c r="BO79" i="15"/>
  <c r="BO81" i="15" s="1"/>
  <c r="BO95" i="15"/>
  <c r="BO76" i="15"/>
  <c r="BW69" i="14"/>
  <c r="F84" i="66"/>
  <c r="BV71" i="14"/>
  <c r="BV73" i="14" s="1"/>
  <c r="BZ843" i="12"/>
  <c r="BZ844" i="12"/>
  <c r="K100" i="15"/>
  <c r="T25" i="90"/>
  <c r="CL25" i="90"/>
  <c r="AQ215" i="58"/>
  <c r="AQ216" i="58" s="1"/>
  <c r="AQ214" i="58"/>
  <c r="CC200" i="14"/>
  <c r="CB202" i="14"/>
  <c r="CB203" i="14" s="1"/>
  <c r="G76" i="15"/>
  <c r="G78" i="15"/>
  <c r="G81" i="15" s="1"/>
  <c r="AY63" i="33"/>
  <c r="AY151" i="33"/>
  <c r="CK842" i="12"/>
  <c r="CK846" i="12" s="1"/>
  <c r="CK843" i="12"/>
  <c r="CK839" i="12"/>
  <c r="BC97" i="15"/>
  <c r="AT38" i="48" s="1"/>
  <c r="BC100" i="15"/>
  <c r="BC101" i="15" s="1"/>
  <c r="L102" i="52"/>
  <c r="U60" i="52"/>
  <c r="T92" i="52"/>
  <c r="T244" i="71"/>
  <c r="S245" i="71"/>
  <c r="S244" i="71"/>
  <c r="CA63" i="90"/>
  <c r="CA65" i="90" s="1"/>
  <c r="CA320" i="90" s="1"/>
  <c r="T6" i="52"/>
  <c r="T27" i="52" s="1"/>
  <c r="T87" i="52"/>
  <c r="CA168" i="90"/>
  <c r="CA170" i="90" s="1"/>
  <c r="CA335" i="90" s="1"/>
  <c r="CN234" i="90"/>
  <c r="CN236" i="90" s="1"/>
  <c r="S236" i="90"/>
  <c r="CS674" i="12"/>
  <c r="CS837" i="12"/>
  <c r="CS838" i="12" s="1"/>
  <c r="CS842" i="12" s="1"/>
  <c r="CS846" i="12" s="1"/>
  <c r="CM348" i="90"/>
  <c r="AU78" i="15"/>
  <c r="AU81" i="15" s="1"/>
  <c r="AU76" i="15"/>
  <c r="CN155" i="33"/>
  <c r="O9" i="33"/>
  <c r="O139" i="33" s="1"/>
  <c r="CN139" i="33"/>
  <c r="CL153" i="90"/>
  <c r="CL155" i="90" s="1"/>
  <c r="K100" i="52"/>
  <c r="J70" i="52"/>
  <c r="BZ842" i="12"/>
  <c r="BZ846" i="12" s="1"/>
  <c r="L68" i="15"/>
  <c r="L83" i="15"/>
  <c r="L88" i="15" s="1"/>
  <c r="L90" i="15" s="1"/>
  <c r="L92" i="15" s="1"/>
  <c r="L103" i="15"/>
  <c r="L105" i="15" s="1"/>
  <c r="L107" i="15" s="1"/>
  <c r="L30" i="48"/>
  <c r="L74" i="15"/>
  <c r="P210" i="90"/>
  <c r="CB208" i="90"/>
  <c r="CB210" i="90" s="1"/>
  <c r="CB343" i="90" s="1"/>
  <c r="R113" i="71"/>
  <c r="Q113" i="71"/>
  <c r="N66" i="52"/>
  <c r="M98" i="52"/>
  <c r="O219" i="90"/>
  <c r="P218" i="90"/>
  <c r="P219" i="90" s="1"/>
  <c r="AM78" i="15"/>
  <c r="AM81" i="15" s="1"/>
  <c r="AM76" i="15"/>
  <c r="H11" i="77"/>
  <c r="H13" i="77" s="1"/>
  <c r="I16" i="77"/>
  <c r="L15" i="77"/>
  <c r="AY71" i="33"/>
  <c r="AY70" i="33"/>
  <c r="AY69" i="33"/>
  <c r="AY72" i="33"/>
  <c r="CL188" i="90"/>
  <c r="CL190" i="90" s="1"/>
  <c r="CL339" i="90" s="1"/>
  <c r="U56" i="52"/>
  <c r="T88" i="52"/>
  <c r="N71" i="90"/>
  <c r="BT69" i="90"/>
  <c r="AQ76" i="15"/>
  <c r="AQ78" i="15"/>
  <c r="AQ81" i="15" s="1"/>
  <c r="Z270" i="90"/>
  <c r="Z272" i="90" s="1"/>
  <c r="CE199" i="90"/>
  <c r="CE198" i="90"/>
  <c r="CC193" i="90"/>
  <c r="CC195" i="90" s="1"/>
  <c r="CC340" i="90" s="1"/>
  <c r="CK844" i="12"/>
  <c r="CA148" i="90"/>
  <c r="BZ339" i="90"/>
  <c r="BZ331" i="90"/>
  <c r="R63" i="52"/>
  <c r="J95" i="15"/>
  <c r="J100" i="15" s="1"/>
  <c r="J79" i="15"/>
  <c r="BZ320" i="90"/>
  <c r="CK178" i="90"/>
  <c r="CK180" i="90" s="1"/>
  <c r="CK337" i="90" s="1"/>
  <c r="U55" i="52"/>
  <c r="V41" i="52"/>
  <c r="J71" i="52"/>
  <c r="J99" i="15"/>
  <c r="J101" i="15" s="1"/>
  <c r="J166" i="33"/>
  <c r="F74" i="52"/>
  <c r="BZ335" i="90"/>
  <c r="O96" i="52"/>
  <c r="P64" i="52"/>
  <c r="Q95" i="52" s="1"/>
  <c r="S229" i="90"/>
  <c r="T228" i="90"/>
  <c r="BY36" i="12"/>
  <c r="BY38" i="12"/>
  <c r="CC41" i="12"/>
  <c r="BY106" i="14"/>
  <c r="BY25" i="12"/>
  <c r="CC26" i="12" s="1"/>
  <c r="BY35" i="12"/>
  <c r="BY34" i="12"/>
  <c r="BY39" i="12"/>
  <c r="BY37" i="12"/>
  <c r="E101" i="52"/>
  <c r="F100" i="52"/>
  <c r="E70" i="52"/>
  <c r="U59" i="90"/>
  <c r="CM57" i="90"/>
  <c r="CM59" i="90" s="1"/>
  <c r="CS155" i="33"/>
  <c r="CS139" i="33"/>
  <c r="CT155" i="33"/>
  <c r="P9" i="33"/>
  <c r="CX139" i="33"/>
  <c r="N13" i="77"/>
  <c r="M12" i="77"/>
  <c r="S362" i="58"/>
  <c r="BW818" i="12"/>
  <c r="AT75" i="33"/>
  <c r="AT80" i="33" s="1"/>
  <c r="R91" i="52"/>
  <c r="S59" i="52"/>
  <c r="S90" i="52"/>
  <c r="CD213" i="90"/>
  <c r="CD215" i="90" s="1"/>
  <c r="BZ83" i="90"/>
  <c r="N671" i="12"/>
  <c r="N673" i="12"/>
  <c r="N674" i="12" s="1"/>
  <c r="CK359" i="90"/>
  <c r="CF45" i="90"/>
  <c r="Q47" i="90"/>
  <c r="CF46" i="90"/>
  <c r="CE324" i="90"/>
  <c r="CC173" i="90"/>
  <c r="CC175" i="90" s="1"/>
  <c r="CC336" i="90" s="1"/>
  <c r="M95" i="15"/>
  <c r="M79" i="15"/>
  <c r="M81" i="15" s="1"/>
  <c r="M76" i="15"/>
  <c r="CM53" i="90"/>
  <c r="T240" i="90"/>
  <c r="S241" i="90"/>
  <c r="CK339" i="90"/>
  <c r="BS167" i="33"/>
  <c r="BU167" i="33"/>
  <c r="BS63" i="33"/>
  <c r="AQ70" i="15"/>
  <c r="AR69" i="15" s="1"/>
  <c r="AR70" i="15" s="1"/>
  <c r="AS69" i="15" s="1"/>
  <c r="AS70" i="15" s="1"/>
  <c r="AT69" i="15" s="1"/>
  <c r="AT70" i="15" s="1"/>
  <c r="AU69" i="15" s="1"/>
  <c r="AU70" i="15" s="1"/>
  <c r="AV69" i="15" s="1"/>
  <c r="AV70" i="15" s="1"/>
  <c r="AW69" i="15" s="1"/>
  <c r="AW70" i="15" s="1"/>
  <c r="AX69" i="15" s="1"/>
  <c r="AX70" i="15" s="1"/>
  <c r="AY69" i="15" s="1"/>
  <c r="AY70" i="15" s="1"/>
  <c r="AZ69" i="15" s="1"/>
  <c r="AZ70" i="15" s="1"/>
  <c r="Y362" i="90"/>
  <c r="CD341" i="90"/>
  <c r="Q193" i="90"/>
  <c r="P194" i="90"/>
  <c r="CX226" i="33"/>
  <c r="CX85" i="33" s="1"/>
  <c r="Y230" i="90"/>
  <c r="Z228" i="90" s="1"/>
  <c r="CD48" i="33"/>
  <c r="CD116" i="33"/>
  <c r="CD166" i="33"/>
  <c r="CD55" i="33"/>
  <c r="F76" i="15"/>
  <c r="F78" i="15"/>
  <c r="F81" i="15" s="1"/>
  <c r="CH214" i="33"/>
  <c r="CH195" i="33" s="1"/>
  <c r="CH212" i="33"/>
  <c r="CH216" i="33"/>
  <c r="CC117" i="90"/>
  <c r="CC119" i="90" s="1"/>
  <c r="CC326" i="90" s="1"/>
  <c r="O65" i="52"/>
  <c r="N97" i="52"/>
  <c r="Z123" i="90"/>
  <c r="Z125" i="90" s="1"/>
  <c r="BP42" i="70"/>
  <c r="BP45" i="70" s="1"/>
  <c r="BP50" i="70" s="1"/>
  <c r="BP36" i="70"/>
  <c r="CM842" i="12"/>
  <c r="CM846" i="12" s="1"/>
  <c r="S846" i="12" s="1"/>
  <c r="CM843" i="12"/>
  <c r="CM847" i="12" s="1"/>
  <c r="S847" i="12" s="1"/>
  <c r="CM839" i="12"/>
  <c r="S87" i="90"/>
  <c r="CM89" i="90"/>
  <c r="R179" i="90"/>
  <c r="S178" i="90"/>
  <c r="BN100" i="15"/>
  <c r="BN101" i="15" s="1"/>
  <c r="BN97" i="15"/>
  <c r="BE38" i="48" s="1"/>
  <c r="P77" i="90"/>
  <c r="CB75" i="90"/>
  <c r="CB77" i="90" s="1"/>
  <c r="CB322" i="90" s="1"/>
  <c r="Z276" i="90"/>
  <c r="Z278" i="90" s="1"/>
  <c r="L72" i="52"/>
  <c r="L104" i="52" s="1"/>
  <c r="BU12" i="80"/>
  <c r="BY13" i="80" s="1"/>
  <c r="K80" i="77"/>
  <c r="BY828" i="12"/>
  <c r="T354" i="58"/>
  <c r="CB158" i="90"/>
  <c r="CB160" i="90" s="1"/>
  <c r="P160" i="90"/>
  <c r="CB354" i="12"/>
  <c r="CB355" i="12"/>
  <c r="CC347" i="12"/>
  <c r="CC353" i="12"/>
  <c r="CD346" i="12"/>
  <c r="BI73" i="33"/>
  <c r="CH25" i="14"/>
  <c r="CG78" i="14"/>
  <c r="CF80" i="14"/>
  <c r="CG81" i="14" s="1"/>
  <c r="CG79" i="14"/>
  <c r="CC194" i="14"/>
  <c r="CD206" i="14"/>
  <c r="CD209" i="14" s="1"/>
  <c r="W35" i="52"/>
  <c r="V89" i="52"/>
  <c r="V494" i="12"/>
  <c r="CV844" i="12"/>
  <c r="CV842" i="12"/>
  <c r="CV846" i="12" s="1"/>
  <c r="CW846" i="12" s="1"/>
  <c r="CX846" i="12" s="1"/>
  <c r="CV843" i="12"/>
  <c r="AM80" i="33"/>
  <c r="AM118" i="33"/>
  <c r="BM118" i="33"/>
  <c r="BM80" i="33"/>
  <c r="O30" i="33"/>
  <c r="CO30" i="33"/>
  <c r="AZ61" i="33"/>
  <c r="AZ63" i="33" s="1"/>
  <c r="AZ58" i="33"/>
  <c r="BH80" i="33"/>
  <c r="BH118" i="33"/>
  <c r="CH58" i="33"/>
  <c r="CH61" i="33"/>
  <c r="AP61" i="33"/>
  <c r="AP63" i="33" s="1"/>
  <c r="AP58" i="33"/>
  <c r="AY111" i="14"/>
  <c r="AY96" i="14" s="1"/>
  <c r="BI78" i="33"/>
  <c r="BI79" i="33"/>
  <c r="BI67" i="33"/>
  <c r="BK168" i="33"/>
  <c r="BI119" i="33"/>
  <c r="BI168" i="33"/>
  <c r="F237" i="66"/>
  <c r="F189" i="66"/>
  <c r="CJ114" i="33"/>
  <c r="CJ41" i="33"/>
  <c r="I61" i="33"/>
  <c r="I58" i="33"/>
  <c r="BE61" i="33"/>
  <c r="BE63" i="33" s="1"/>
  <c r="BE58" i="33"/>
  <c r="CQ29" i="33"/>
  <c r="CP31" i="33"/>
  <c r="E78" i="33"/>
  <c r="E67" i="33"/>
  <c r="E79" i="33"/>
  <c r="L48" i="33"/>
  <c r="L55" i="33"/>
  <c r="D30" i="53"/>
  <c r="D34" i="53" s="1"/>
  <c r="L116" i="33"/>
  <c r="D61" i="33"/>
  <c r="D63" i="33" s="1"/>
  <c r="D58" i="33"/>
  <c r="Y203" i="33"/>
  <c r="Y204" i="33" s="1"/>
  <c r="Z187" i="33"/>
  <c r="AA187" i="33" s="1"/>
  <c r="Y180" i="33"/>
  <c r="Y185" i="33" s="1"/>
  <c r="AS283" i="58"/>
  <c r="U27" i="77"/>
  <c r="U31" i="77" s="1"/>
  <c r="U22" i="77"/>
  <c r="CB818" i="12"/>
  <c r="AE113" i="58"/>
  <c r="AF113" i="58"/>
  <c r="R110" i="33"/>
  <c r="Y113" i="58"/>
  <c r="Z113" i="58"/>
  <c r="AT73" i="57"/>
  <c r="AV71" i="57"/>
  <c r="K15" i="77"/>
  <c r="H16" i="77"/>
  <c r="BV34" i="12"/>
  <c r="BV106" i="14"/>
  <c r="BV41" i="12"/>
  <c r="BV39" i="12"/>
  <c r="BV36" i="12"/>
  <c r="BV25" i="12"/>
  <c r="BV26" i="12" s="1"/>
  <c r="BV37" i="12"/>
  <c r="BV35" i="12"/>
  <c r="BX818" i="12"/>
  <c r="BR12" i="80"/>
  <c r="Q354" i="58"/>
  <c r="H80" i="77"/>
  <c r="V462" i="12"/>
  <c r="V13" i="64"/>
  <c r="V52" i="80"/>
  <c r="V53" i="80" s="1"/>
  <c r="V460" i="12"/>
  <c r="V464" i="12"/>
  <c r="W49" i="80"/>
  <c r="W50" i="80" s="1"/>
  <c r="X412" i="12"/>
  <c r="CA828" i="12"/>
  <c r="BW12" i="80"/>
  <c r="M80" i="77"/>
  <c r="N57" i="77" s="1"/>
  <c r="V354" i="58"/>
  <c r="CR15" i="33"/>
  <c r="CW143" i="33"/>
  <c r="BR14" i="48"/>
  <c r="CS142" i="33"/>
  <c r="DM110" i="33"/>
  <c r="EB269" i="48"/>
  <c r="EE269" i="48"/>
  <c r="CA38" i="12"/>
  <c r="CE41" i="12"/>
  <c r="CA35" i="12"/>
  <c r="CA34" i="12"/>
  <c r="CA39" i="12"/>
  <c r="CB49" i="12"/>
  <c r="CA106" i="14"/>
  <c r="CA25" i="12"/>
  <c r="CA37" i="12"/>
  <c r="CA36" i="12"/>
  <c r="N17" i="57"/>
  <c r="L17" i="57"/>
  <c r="BV818" i="12"/>
  <c r="CC361" i="12"/>
  <c r="CB368" i="12"/>
  <c r="AL19" i="64"/>
  <c r="AK21" i="64"/>
  <c r="AL22" i="64" s="1"/>
  <c r="CA818" i="12"/>
  <c r="CO159" i="33"/>
  <c r="CM143" i="33"/>
  <c r="CM15" i="33"/>
  <c r="BN14" i="48"/>
  <c r="CR143" i="33"/>
  <c r="S364" i="58"/>
  <c r="AG19" i="64"/>
  <c r="AG21" i="64"/>
  <c r="AG22" i="64" s="1"/>
  <c r="CR844" i="12"/>
  <c r="CR843" i="12"/>
  <c r="CR839" i="12"/>
  <c r="Q829" i="12"/>
  <c r="P829" i="12"/>
  <c r="BQ14" i="48"/>
  <c r="CQ15" i="33"/>
  <c r="CQ161" i="33" s="1"/>
  <c r="CV143" i="33"/>
  <c r="CR159" i="33"/>
  <c r="CX140" i="33"/>
  <c r="P10" i="33"/>
  <c r="P140" i="33" s="1"/>
  <c r="CS156" i="33"/>
  <c r="CT156" i="33"/>
  <c r="P354" i="58"/>
  <c r="BQ12" i="80"/>
  <c r="G80" i="77"/>
  <c r="G19" i="77"/>
  <c r="G21" i="77"/>
  <c r="G13" i="77"/>
  <c r="G29" i="77"/>
  <c r="BZ106" i="14"/>
  <c r="BZ39" i="12"/>
  <c r="BZ25" i="12"/>
  <c r="BZ37" i="12"/>
  <c r="CD41" i="12"/>
  <c r="BZ34" i="12"/>
  <c r="BZ35" i="12"/>
  <c r="BZ41" i="12"/>
  <c r="CA49" i="12"/>
  <c r="BZ36" i="12"/>
  <c r="BZ49" i="12"/>
  <c r="BU828" i="12"/>
  <c r="P18" i="64"/>
  <c r="P14" i="12"/>
  <c r="P822" i="12"/>
  <c r="P828" i="12" s="1"/>
  <c r="AE21" i="64"/>
  <c r="AF22" i="64" s="1"/>
  <c r="AF19" i="64"/>
  <c r="BU49" i="12"/>
  <c r="BU41" i="12"/>
  <c r="BV49" i="12"/>
  <c r="BU34" i="12"/>
  <c r="BU39" i="12"/>
  <c r="BU25" i="12"/>
  <c r="BU106" i="14"/>
  <c r="BU36" i="12"/>
  <c r="BU35" i="12"/>
  <c r="BU37" i="12"/>
  <c r="BY41" i="12"/>
  <c r="BZ38" i="12"/>
  <c r="AJ19" i="64"/>
  <c r="AK19" i="64"/>
  <c r="AJ21" i="64"/>
  <c r="EE212" i="48"/>
  <c r="EB212" i="48"/>
  <c r="DZ215" i="48"/>
  <c r="DZ268" i="48"/>
  <c r="BW38" i="12"/>
  <c r="BW25" i="12"/>
  <c r="BW34" i="12"/>
  <c r="BW36" i="12"/>
  <c r="BW41" i="12"/>
  <c r="BW106" i="14"/>
  <c r="BW37" i="12"/>
  <c r="BW39" i="12"/>
  <c r="BW49" i="12"/>
  <c r="CA41" i="12"/>
  <c r="BW35" i="12"/>
  <c r="O18" i="64"/>
  <c r="O21" i="64" s="1"/>
  <c r="O822" i="12"/>
  <c r="O14" i="12"/>
  <c r="L21" i="77"/>
  <c r="L19" i="77"/>
  <c r="L29" i="77"/>
  <c r="P12" i="77"/>
  <c r="CP117" i="33"/>
  <c r="T4" i="58"/>
  <c r="CP145" i="33"/>
  <c r="AI5" i="64"/>
  <c r="AI32" i="64" s="1"/>
  <c r="CP88" i="33"/>
  <c r="CP90" i="33" s="1"/>
  <c r="CP91" i="33" s="1"/>
  <c r="CP92" i="33" s="1"/>
  <c r="H44" i="66"/>
  <c r="BP13" i="48"/>
  <c r="BP18" i="48" s="1"/>
  <c r="CP109" i="33"/>
  <c r="CP19" i="33"/>
  <c r="CP115" i="33"/>
  <c r="H192" i="66"/>
  <c r="H190" i="66" s="1"/>
  <c r="CP108" i="33"/>
  <c r="CP110" i="33" s="1"/>
  <c r="CU17" i="33"/>
  <c r="CU145" i="33"/>
  <c r="BY186" i="14"/>
  <c r="O308" i="71"/>
  <c r="P309" i="71" s="1"/>
  <c r="O310" i="71"/>
  <c r="M9" i="57"/>
  <c r="K11" i="57"/>
  <c r="O9" i="57"/>
  <c r="AU69" i="57"/>
  <c r="BY818" i="12"/>
  <c r="AH21" i="64"/>
  <c r="AI19" i="64"/>
  <c r="AH19" i="64"/>
  <c r="J80" i="77"/>
  <c r="S354" i="58"/>
  <c r="BT12" i="80"/>
  <c r="EB270" i="48"/>
  <c r="EE270" i="48"/>
  <c r="I80" i="77"/>
  <c r="R354" i="58"/>
  <c r="R365" i="58" s="1"/>
  <c r="BS12" i="80"/>
  <c r="BV12" i="80"/>
  <c r="L80" i="77"/>
  <c r="U354" i="58"/>
  <c r="BZ828" i="12"/>
  <c r="Q141" i="33"/>
  <c r="P141" i="33"/>
  <c r="CR842" i="12"/>
  <c r="CR846" i="12" s="1"/>
  <c r="P142" i="33"/>
  <c r="Q142" i="33"/>
  <c r="BW828" i="12"/>
  <c r="T362" i="58"/>
  <c r="CK159" i="33"/>
  <c r="CK15" i="33"/>
  <c r="CP17" i="33" s="1"/>
  <c r="BL14" i="48"/>
  <c r="CK143" i="33"/>
  <c r="CS839" i="12"/>
  <c r="I27" i="77"/>
  <c r="I31" i="77" s="1"/>
  <c r="I22" i="77"/>
  <c r="CO143" i="33"/>
  <c r="CP159" i="33"/>
  <c r="BO14" i="48"/>
  <c r="CT143" i="33"/>
  <c r="CO15" i="33"/>
  <c r="CP16" i="33" s="1"/>
  <c r="CS13" i="33"/>
  <c r="BX34" i="12"/>
  <c r="BX25" i="12"/>
  <c r="BX106" i="14"/>
  <c r="BX39" i="12"/>
  <c r="BX41" i="12"/>
  <c r="CB41" i="12"/>
  <c r="BX49" i="12"/>
  <c r="BX37" i="12"/>
  <c r="BX36" i="12"/>
  <c r="BX35" i="12"/>
  <c r="BY49" i="12"/>
  <c r="Z144" i="33"/>
  <c r="AS107" i="58"/>
  <c r="AS110" i="58" s="1"/>
  <c r="AS112" i="58" s="1"/>
  <c r="AP6" i="58"/>
  <c r="AP10" i="58"/>
  <c r="AP5" i="58"/>
  <c r="CV237" i="15"/>
  <c r="CV240" i="15"/>
  <c r="CV176" i="15"/>
  <c r="CV239" i="15"/>
  <c r="CV175" i="15"/>
  <c r="CV238" i="15"/>
  <c r="DN17" i="33"/>
  <c r="DN117" i="33"/>
  <c r="DN19" i="33"/>
  <c r="DN109" i="33"/>
  <c r="DN16" i="33"/>
  <c r="BJ83" i="77" s="1"/>
  <c r="DN88" i="33"/>
  <c r="DN115" i="33"/>
  <c r="DN108" i="33"/>
  <c r="DN110" i="33" s="1"/>
  <c r="BJ82" i="77"/>
  <c r="BJ89" i="77" s="1"/>
  <c r="DN145" i="33"/>
  <c r="AQ4" i="58"/>
  <c r="CV186" i="14"/>
  <c r="CU26" i="12"/>
  <c r="CU27" i="12"/>
  <c r="U25" i="12"/>
  <c r="U26" i="12" s="1"/>
  <c r="M29" i="53" s="1"/>
  <c r="AG7" i="58"/>
  <c r="AG8" i="58" s="1"/>
  <c r="CL153" i="15"/>
  <c r="CL165" i="15" s="1"/>
  <c r="CL168" i="15" s="1"/>
  <c r="CL110" i="14"/>
  <c r="DD40" i="33"/>
  <c r="BJ252" i="77"/>
  <c r="BJ253" i="77" s="1"/>
  <c r="CC22" i="48"/>
  <c r="DD42" i="33"/>
  <c r="DD47" i="33"/>
  <c r="DE164" i="33"/>
  <c r="DD164" i="33"/>
  <c r="CL839" i="12"/>
  <c r="DF39" i="33"/>
  <c r="DF44" i="33"/>
  <c r="CU95" i="33"/>
  <c r="CD85" i="14" s="1"/>
  <c r="CD89" i="14" s="1"/>
  <c r="CH84" i="14"/>
  <c r="CH153" i="15"/>
  <c r="CH165" i="15" s="1"/>
  <c r="CH168" i="15" s="1"/>
  <c r="BJ326" i="77"/>
  <c r="BJ327" i="77" s="1"/>
  <c r="BJ334" i="77" s="1"/>
  <c r="DE40" i="33"/>
  <c r="CH110" i="14"/>
  <c r="BY22" i="48"/>
  <c r="CZ42" i="33"/>
  <c r="AC7" i="58"/>
  <c r="AC8" i="58" s="1"/>
  <c r="CZ39" i="33"/>
  <c r="CZ47" i="33"/>
  <c r="CZ44" i="33"/>
  <c r="CZ40" i="33"/>
  <c r="BJ331" i="77" s="1"/>
  <c r="CZ94" i="33"/>
  <c r="CI82" i="14"/>
  <c r="CZ93" i="33"/>
  <c r="CM83" i="14" s="1"/>
  <c r="CZ97" i="33"/>
  <c r="CZ98" i="33" s="1"/>
  <c r="CZ99" i="33" s="1"/>
  <c r="CI86" i="14" s="1"/>
  <c r="AM367" i="58"/>
  <c r="AN367" i="58"/>
  <c r="L47" i="65"/>
  <c r="L42" i="65" s="1"/>
  <c r="L40" i="65" s="1"/>
  <c r="CC82" i="14"/>
  <c r="CT93" i="33"/>
  <c r="CG83" i="14" s="1"/>
  <c r="CT94" i="33"/>
  <c r="BX67" i="48"/>
  <c r="BX69" i="48"/>
  <c r="BX65" i="48"/>
  <c r="N15" i="56"/>
  <c r="P15" i="56" s="1"/>
  <c r="P7" i="56"/>
  <c r="N10" i="56"/>
  <c r="EA230" i="48"/>
  <c r="EC225" i="48"/>
  <c r="EA226" i="48"/>
  <c r="EF225" i="48"/>
  <c r="EA256" i="48"/>
  <c r="DL90" i="33"/>
  <c r="DL91" i="33" s="1"/>
  <c r="DL92" i="33" s="1"/>
  <c r="O140" i="33"/>
  <c r="AT490" i="58"/>
  <c r="V664" i="12"/>
  <c r="DM90" i="33"/>
  <c r="DM91" i="33" s="1"/>
  <c r="DM92" i="33" s="1"/>
  <c r="DM104" i="33"/>
  <c r="DM36" i="33"/>
  <c r="DM146" i="33"/>
  <c r="DM37" i="33"/>
  <c r="DM20" i="33"/>
  <c r="F85" i="56"/>
  <c r="E93" i="56"/>
  <c r="E88" i="56"/>
  <c r="DB94" i="33"/>
  <c r="BZ73" i="48"/>
  <c r="BZ70" i="48"/>
  <c r="M207" i="66"/>
  <c r="M38" i="66"/>
  <c r="DF48" i="33"/>
  <c r="CN173" i="15"/>
  <c r="DF55" i="33"/>
  <c r="DF116" i="33"/>
  <c r="CS87" i="14"/>
  <c r="CS88" i="14"/>
  <c r="CL109" i="33"/>
  <c r="BV186" i="14"/>
  <c r="AF5" i="64"/>
  <c r="AF32" i="64" s="1"/>
  <c r="CL145" i="33"/>
  <c r="CZ41" i="33"/>
  <c r="DE148" i="33"/>
  <c r="CZ114" i="33"/>
  <c r="AR487" i="58"/>
  <c r="AR210" i="58"/>
  <c r="AR213" i="58" s="1"/>
  <c r="CV26" i="12"/>
  <c r="CV27" i="12"/>
  <c r="DD93" i="33"/>
  <c r="CQ83" i="14" s="1"/>
  <c r="DD97" i="33"/>
  <c r="DD98" i="33" s="1"/>
  <c r="DD99" i="33" s="1"/>
  <c r="CM86" i="14" s="1"/>
  <c r="DD94" i="33"/>
  <c r="CM82" i="14"/>
  <c r="AU35" i="77"/>
  <c r="BB88" i="77"/>
  <c r="BB96" i="77" s="1"/>
  <c r="U19" i="33"/>
  <c r="U17" i="33"/>
  <c r="BB89" i="77" s="1"/>
  <c r="M28" i="53"/>
  <c r="CA61" i="48"/>
  <c r="U88" i="33"/>
  <c r="U237" i="15"/>
  <c r="U238" i="15"/>
  <c r="T4" i="71"/>
  <c r="U109" i="33"/>
  <c r="U161" i="33"/>
  <c r="U13" i="48"/>
  <c r="U145" i="33"/>
  <c r="U240" i="15"/>
  <c r="U117" i="33"/>
  <c r="U108" i="33"/>
  <c r="U5" i="64"/>
  <c r="U32" i="64" s="1"/>
  <c r="U115" i="33"/>
  <c r="U186" i="14"/>
  <c r="U239" i="15"/>
  <c r="U106" i="14"/>
  <c r="BA272" i="77"/>
  <c r="BA274" i="77"/>
  <c r="J42" i="53"/>
  <c r="J40" i="53"/>
  <c r="R125" i="14"/>
  <c r="R134" i="14"/>
  <c r="R79" i="14"/>
  <c r="R220" i="14"/>
  <c r="R128" i="14"/>
  <c r="R81" i="14"/>
  <c r="Q5" i="71"/>
  <c r="Q10" i="71"/>
  <c r="T94" i="33"/>
  <c r="T93" i="33"/>
  <c r="T83" i="14" s="1"/>
  <c r="T82" i="14"/>
  <c r="T97" i="33"/>
  <c r="T98" i="33" s="1"/>
  <c r="T99" i="33" s="1"/>
  <c r="T86" i="14" s="1"/>
  <c r="T90" i="14" s="1"/>
  <c r="AO10" i="58"/>
  <c r="AO6" i="58"/>
  <c r="AO5" i="58"/>
  <c r="BS22" i="48"/>
  <c r="W7" i="58"/>
  <c r="W8" i="58" s="1"/>
  <c r="CB110" i="14"/>
  <c r="CT42" i="33"/>
  <c r="CB839" i="12"/>
  <c r="CU164" i="33"/>
  <c r="E33" i="56"/>
  <c r="AL6" i="64"/>
  <c r="CV44" i="33"/>
  <c r="X10" i="57"/>
  <c r="AV336" i="77"/>
  <c r="AY337" i="77" s="1"/>
  <c r="AY338" i="77" s="1"/>
  <c r="CV39" i="33"/>
  <c r="AP355" i="58"/>
  <c r="AP366" i="58"/>
  <c r="AP367" i="58" s="1"/>
  <c r="AP365" i="58"/>
  <c r="AQ366" i="58"/>
  <c r="AQ355" i="58"/>
  <c r="AQ365" i="58"/>
  <c r="M22" i="77"/>
  <c r="DN161" i="33"/>
  <c r="CU79" i="14"/>
  <c r="CU87" i="14" s="1"/>
  <c r="CU134" i="14"/>
  <c r="CU88" i="14"/>
  <c r="CU220" i="14"/>
  <c r="CU81" i="14"/>
  <c r="CU108" i="14"/>
  <c r="U108" i="14" s="1"/>
  <c r="CU125" i="14"/>
  <c r="CU128" i="14"/>
  <c r="CU31" i="12"/>
  <c r="U30" i="12"/>
  <c r="AO148" i="33"/>
  <c r="T41" i="33"/>
  <c r="T114" i="33"/>
  <c r="DD114" i="33"/>
  <c r="DD41" i="33"/>
  <c r="BJ250" i="77"/>
  <c r="DE162" i="33"/>
  <c r="DD162" i="33"/>
  <c r="CN14" i="90"/>
  <c r="CN94" i="15"/>
  <c r="CV220" i="14"/>
  <c r="CV108" i="14"/>
  <c r="CV81" i="14"/>
  <c r="CV128" i="14"/>
  <c r="CV79" i="14"/>
  <c r="CV87" i="14" s="1"/>
  <c r="CV134" i="14"/>
  <c r="CV125" i="14"/>
  <c r="F6" i="75"/>
  <c r="G6" i="75"/>
  <c r="J43" i="65"/>
  <c r="J53" i="65"/>
  <c r="J59" i="65"/>
  <c r="J57" i="65" s="1"/>
  <c r="J211" i="65" s="1"/>
  <c r="EF221" i="48"/>
  <c r="EC221" i="48"/>
  <c r="EF223" i="48"/>
  <c r="EC223" i="48"/>
  <c r="U234" i="71"/>
  <c r="CG92" i="33"/>
  <c r="DL110" i="33"/>
  <c r="K47" i="66"/>
  <c r="K42" i="66" s="1"/>
  <c r="T110" i="14"/>
  <c r="S7" i="71"/>
  <c r="S8" i="71" s="1"/>
  <c r="T22" i="48"/>
  <c r="T42" i="33"/>
  <c r="BB137" i="77"/>
  <c r="BB138" i="77" s="1"/>
  <c r="T6" i="64"/>
  <c r="T47" i="33"/>
  <c r="H7" i="75"/>
  <c r="DF95" i="33"/>
  <c r="CO85" i="14" s="1"/>
  <c r="CS84" i="14"/>
  <c r="DA162" i="33"/>
  <c r="BJ324" i="77"/>
  <c r="R90" i="33"/>
  <c r="R91" i="33" s="1"/>
  <c r="R92" i="33" s="1"/>
  <c r="AM146" i="33"/>
  <c r="R20" i="48"/>
  <c r="R146" i="33"/>
  <c r="R36" i="33"/>
  <c r="R20" i="33"/>
  <c r="BA263" i="77" s="1"/>
  <c r="R162" i="33"/>
  <c r="R104" i="33"/>
  <c r="R37" i="33"/>
  <c r="CV95" i="33"/>
  <c r="CE85" i="14" s="1"/>
  <c r="CE89" i="14" s="1"/>
  <c r="CI84" i="14"/>
  <c r="DL104" i="33"/>
  <c r="DL146" i="33"/>
  <c r="DL37" i="33"/>
  <c r="DL20" i="33"/>
  <c r="DL36" i="33"/>
  <c r="K211" i="66"/>
  <c r="K212" i="66" s="1"/>
  <c r="K213" i="66"/>
  <c r="K222" i="66" s="1"/>
  <c r="AR111" i="58"/>
  <c r="AR112" i="58"/>
  <c r="AR113" i="58" s="1"/>
  <c r="V376" i="12"/>
  <c r="V383" i="12" s="1"/>
  <c r="AT103" i="58"/>
  <c r="AT104" i="58" s="1"/>
  <c r="CW43" i="12"/>
  <c r="CW51" i="12"/>
  <c r="AR360" i="58"/>
  <c r="CW827" i="12"/>
  <c r="X168" i="12"/>
  <c r="X21" i="80"/>
  <c r="X22" i="80" s="1"/>
  <c r="Y167" i="12"/>
  <c r="U79" i="71"/>
  <c r="V25" i="64"/>
  <c r="V30" i="64"/>
  <c r="N27" i="77"/>
  <c r="N31" i="77" s="1"/>
  <c r="N22" i="77"/>
  <c r="K27" i="77"/>
  <c r="K31" i="77" s="1"/>
  <c r="V275" i="12"/>
  <c r="V27" i="80"/>
  <c r="V28" i="80" s="1"/>
  <c r="Q301" i="90"/>
  <c r="CF366" i="90"/>
  <c r="CG300" i="90"/>
  <c r="CG302" i="90" s="1"/>
  <c r="CG366" i="90" s="1"/>
  <c r="CT264" i="90" l="1"/>
  <c r="CS361" i="90"/>
  <c r="V154" i="90"/>
  <c r="K76" i="15"/>
  <c r="K78" i="15"/>
  <c r="K81" i="15" s="1"/>
  <c r="BO309" i="90"/>
  <c r="BO310" i="90" s="1"/>
  <c r="M29" i="90"/>
  <c r="BP26" i="90"/>
  <c r="AA13" i="12"/>
  <c r="AA14" i="33" s="1"/>
  <c r="AB294" i="12"/>
  <c r="R93" i="90"/>
  <c r="Q94" i="90"/>
  <c r="I69" i="52"/>
  <c r="Z117" i="90"/>
  <c r="Y119" i="90"/>
  <c r="CL232" i="12"/>
  <c r="CG29" i="90"/>
  <c r="CF28" i="90"/>
  <c r="CF318" i="90"/>
  <c r="CF317" i="90" s="1"/>
  <c r="CG26" i="90"/>
  <c r="CB69" i="33"/>
  <c r="CB71" i="33"/>
  <c r="CB72" i="33"/>
  <c r="CB70" i="33"/>
  <c r="J97" i="15"/>
  <c r="AA144" i="33"/>
  <c r="CY362" i="90"/>
  <c r="CY270" i="90"/>
  <c r="CY272" i="90" s="1"/>
  <c r="CG93" i="90"/>
  <c r="CG95" i="90" s="1"/>
  <c r="CG219" i="90"/>
  <c r="CG218" i="90"/>
  <c r="CG220" i="90" s="1"/>
  <c r="AC292" i="12"/>
  <c r="CN165" i="12"/>
  <c r="CM231" i="12"/>
  <c r="D73" i="52"/>
  <c r="D105" i="52" s="1"/>
  <c r="BB68" i="15"/>
  <c r="BB83" i="15"/>
  <c r="BB88" i="15" s="1"/>
  <c r="BB90" i="15" s="1"/>
  <c r="BB92" i="15" s="1"/>
  <c r="AS30" i="48"/>
  <c r="BB74" i="15"/>
  <c r="Z165" i="12"/>
  <c r="Y231" i="12"/>
  <c r="BA78" i="15"/>
  <c r="BA81" i="15" s="1"/>
  <c r="BA76" i="15"/>
  <c r="CE39" i="90"/>
  <c r="CE40" i="90"/>
  <c r="BQ20" i="90"/>
  <c r="BQ22" i="90" s="1"/>
  <c r="BP29" i="90"/>
  <c r="J99" i="52"/>
  <c r="I100" i="52"/>
  <c r="CU838" i="12"/>
  <c r="D103" i="52"/>
  <c r="DT308" i="48"/>
  <c r="DV308" i="48" s="1"/>
  <c r="DV252" i="48"/>
  <c r="AC291" i="12"/>
  <c r="BS33" i="90"/>
  <c r="BR35" i="90"/>
  <c r="J31" i="15"/>
  <c r="J32" i="15" s="1"/>
  <c r="BC32" i="15"/>
  <c r="X230" i="12"/>
  <c r="X232" i="12"/>
  <c r="V846" i="12"/>
  <c r="X846" i="12" s="1"/>
  <c r="Y846" i="12" s="1"/>
  <c r="Z846" i="12" s="1"/>
  <c r="AA846" i="12" s="1"/>
  <c r="AB846" i="12" s="1"/>
  <c r="AC846" i="12" s="1"/>
  <c r="AD846" i="12" s="1"/>
  <c r="CY846" i="12"/>
  <c r="CZ846" i="12" s="1"/>
  <c r="DA846" i="12" s="1"/>
  <c r="DB846" i="12" s="1"/>
  <c r="DC846" i="12" s="1"/>
  <c r="W846" i="12" s="1"/>
  <c r="Z363" i="90"/>
  <c r="AA276" i="90"/>
  <c r="AA278" i="90" s="1"/>
  <c r="AA363" i="90"/>
  <c r="Z362" i="90"/>
  <c r="AA270" i="90"/>
  <c r="AA272" i="90" s="1"/>
  <c r="AA362" i="90"/>
  <c r="L40" i="66"/>
  <c r="CN358" i="90"/>
  <c r="K74" i="52"/>
  <c r="D74" i="52"/>
  <c r="D106" i="52" s="1"/>
  <c r="H75" i="52"/>
  <c r="H76" i="52" s="1"/>
  <c r="Q219" i="90"/>
  <c r="R218" i="90"/>
  <c r="AC99" i="90"/>
  <c r="AC101" i="90" s="1"/>
  <c r="AC353" i="90" s="1"/>
  <c r="DV253" i="48"/>
  <c r="DT309" i="48"/>
  <c r="DV309" i="48" s="1"/>
  <c r="DC99" i="90"/>
  <c r="DC101" i="90" s="1"/>
  <c r="DC353" i="90"/>
  <c r="I70" i="52"/>
  <c r="BG76" i="15"/>
  <c r="BG78" i="15"/>
  <c r="BG81" i="15" s="1"/>
  <c r="CB63" i="33"/>
  <c r="CB151" i="33"/>
  <c r="CC167" i="33"/>
  <c r="AT118" i="33"/>
  <c r="AV75" i="33"/>
  <c r="BW73" i="33"/>
  <c r="BW75" i="33" s="1"/>
  <c r="AC225" i="12"/>
  <c r="AC226" i="12" s="1"/>
  <c r="AD225" i="12"/>
  <c r="AD226" i="12" s="1"/>
  <c r="CO246" i="90"/>
  <c r="CO248" i="90" s="1"/>
  <c r="CO358" i="90"/>
  <c r="Z230" i="90"/>
  <c r="AA228" i="90" s="1"/>
  <c r="AA347" i="90" s="1"/>
  <c r="AA349" i="90" s="1"/>
  <c r="S247" i="90"/>
  <c r="T246" i="90"/>
  <c r="CC183" i="90"/>
  <c r="CC185" i="90" s="1"/>
  <c r="CC338" i="90" s="1"/>
  <c r="Q183" i="90"/>
  <c r="P184" i="90"/>
  <c r="CE205" i="90"/>
  <c r="CG123" i="90"/>
  <c r="CG125" i="90" s="1"/>
  <c r="CG327" i="90" s="1"/>
  <c r="CF327" i="90"/>
  <c r="CA138" i="90"/>
  <c r="CA140" i="90" s="1"/>
  <c r="CA329" i="90" s="1"/>
  <c r="AD128" i="90"/>
  <c r="AD130" i="90" s="1"/>
  <c r="AD346" i="90"/>
  <c r="CL163" i="90"/>
  <c r="CL165" i="90" s="1"/>
  <c r="CL334" i="90" s="1"/>
  <c r="AB105" i="90"/>
  <c r="AB107" i="90" s="1"/>
  <c r="AB354" i="90"/>
  <c r="CK334" i="90"/>
  <c r="CC111" i="90"/>
  <c r="CC113" i="90" s="1"/>
  <c r="CC325" i="90" s="1"/>
  <c r="S188" i="90"/>
  <c r="R189" i="90"/>
  <c r="AA354" i="90"/>
  <c r="Z327" i="90"/>
  <c r="AA123" i="90"/>
  <c r="AA125" i="90" s="1"/>
  <c r="AA327" i="90"/>
  <c r="CJ339" i="90"/>
  <c r="AD618" i="12"/>
  <c r="AD619" i="12" s="1"/>
  <c r="AC618" i="12"/>
  <c r="AC619" i="12" s="1"/>
  <c r="AD196" i="33"/>
  <c r="AG73" i="33"/>
  <c r="AG75" i="33" s="1"/>
  <c r="AG80" i="33" s="1"/>
  <c r="CC73" i="33"/>
  <c r="CC75" i="33" s="1"/>
  <c r="AA71" i="33"/>
  <c r="AA73" i="33" s="1"/>
  <c r="AB29" i="33"/>
  <c r="AV80" i="33"/>
  <c r="AV118" i="33"/>
  <c r="BA58" i="33"/>
  <c r="BA61" i="33"/>
  <c r="AB30" i="33"/>
  <c r="AA72" i="33"/>
  <c r="BW118" i="33"/>
  <c r="BW80" i="33"/>
  <c r="AC28" i="33"/>
  <c r="AB70" i="33"/>
  <c r="AR99" i="15"/>
  <c r="AR101" i="15" s="1"/>
  <c r="AR97" i="15"/>
  <c r="AI38" i="48" s="1"/>
  <c r="BF79" i="33"/>
  <c r="AV111" i="14"/>
  <c r="AV96" i="14" s="1"/>
  <c r="BF67" i="33"/>
  <c r="BF78" i="33"/>
  <c r="BF119" i="33"/>
  <c r="AB187" i="33"/>
  <c r="AA203" i="33"/>
  <c r="AA204" i="33" s="1"/>
  <c r="AA180" i="33"/>
  <c r="AA185" i="33" s="1"/>
  <c r="BK73" i="33"/>
  <c r="AC27" i="33"/>
  <c r="AB69" i="33"/>
  <c r="BF70" i="33"/>
  <c r="BF71" i="33"/>
  <c r="BF69" i="33"/>
  <c r="BF72" i="33"/>
  <c r="CU162" i="33"/>
  <c r="DA164" i="33"/>
  <c r="CL108" i="33"/>
  <c r="E192" i="66"/>
  <c r="E190" i="66" s="1"/>
  <c r="E94" i="66" s="1"/>
  <c r="E92" i="66" s="1"/>
  <c r="CL115" i="33"/>
  <c r="CL88" i="33"/>
  <c r="CL90" i="33" s="1"/>
  <c r="BM13" i="48"/>
  <c r="BM18" i="48" s="1"/>
  <c r="CX116" i="33"/>
  <c r="CX55" i="33"/>
  <c r="CX48" i="33"/>
  <c r="CF173" i="15"/>
  <c r="CL117" i="33"/>
  <c r="CQ17" i="33"/>
  <c r="CL161" i="33"/>
  <c r="CM161" i="33"/>
  <c r="CR145" i="33"/>
  <c r="Q4" i="58"/>
  <c r="CL19" i="33"/>
  <c r="CL36" i="33" s="1"/>
  <c r="CL17" i="33"/>
  <c r="CF14" i="90"/>
  <c r="CF94" i="15"/>
  <c r="E40" i="65"/>
  <c r="E38" i="65" s="1"/>
  <c r="BV48" i="33"/>
  <c r="BV55" i="33"/>
  <c r="BW166" i="33"/>
  <c r="BV116" i="33"/>
  <c r="BV150" i="33"/>
  <c r="BV166" i="33"/>
  <c r="CK199" i="33"/>
  <c r="F42" i="33"/>
  <c r="F110" i="14"/>
  <c r="F94" i="15" s="1"/>
  <c r="F6" i="64"/>
  <c r="F10" i="64" s="1"/>
  <c r="F44" i="33"/>
  <c r="E7" i="71"/>
  <c r="E8" i="71" s="1"/>
  <c r="F22" i="48"/>
  <c r="BO42" i="33"/>
  <c r="BO47" i="33"/>
  <c r="BO44" i="33"/>
  <c r="BO114" i="33"/>
  <c r="BO39" i="33"/>
  <c r="BO40" i="33"/>
  <c r="AS99" i="15"/>
  <c r="AS101" i="15" s="1"/>
  <c r="AS97" i="15"/>
  <c r="AJ38" i="48" s="1"/>
  <c r="BU151" i="33"/>
  <c r="BU63" i="33"/>
  <c r="BZ151" i="33"/>
  <c r="AZ111" i="14"/>
  <c r="AZ96" i="14" s="1"/>
  <c r="BK119" i="33"/>
  <c r="BK78" i="33"/>
  <c r="BK67" i="33"/>
  <c r="BK79" i="33"/>
  <c r="BK152" i="33"/>
  <c r="BJ55" i="33"/>
  <c r="BJ48" i="33"/>
  <c r="BJ116" i="33"/>
  <c r="BQ48" i="33"/>
  <c r="BQ55" i="33"/>
  <c r="BQ150" i="33"/>
  <c r="BQ116" i="33"/>
  <c r="BR166" i="33"/>
  <c r="BQ166" i="33"/>
  <c r="AP99" i="15"/>
  <c r="AP101" i="15" s="1"/>
  <c r="AP97" i="15"/>
  <c r="AG38" i="48" s="1"/>
  <c r="AX61" i="33"/>
  <c r="AX58" i="33"/>
  <c r="BM99" i="15"/>
  <c r="BM101" i="15" s="1"/>
  <c r="BM97" i="15"/>
  <c r="BD38" i="48" s="1"/>
  <c r="BN33" i="12"/>
  <c r="BM33" i="12"/>
  <c r="BR151" i="33"/>
  <c r="BR63" i="33"/>
  <c r="BW151" i="33"/>
  <c r="AL58" i="33"/>
  <c r="AL61" i="33"/>
  <c r="BB58" i="33"/>
  <c r="BB61" i="33"/>
  <c r="BG61" i="33"/>
  <c r="BG58" i="33"/>
  <c r="AH72" i="33"/>
  <c r="AH69" i="33"/>
  <c r="AH70" i="33"/>
  <c r="AH71" i="33"/>
  <c r="BI33" i="12"/>
  <c r="BJ33" i="12"/>
  <c r="AO78" i="33"/>
  <c r="AO119" i="33"/>
  <c r="AT152" i="33"/>
  <c r="AO79" i="33"/>
  <c r="AO67" i="33"/>
  <c r="AI111" i="14"/>
  <c r="AI96" i="14" s="1"/>
  <c r="BP151" i="33"/>
  <c r="BP63" i="33"/>
  <c r="BN58" i="33"/>
  <c r="BN61" i="33"/>
  <c r="BU69" i="33"/>
  <c r="BU70" i="33"/>
  <c r="BU72" i="33"/>
  <c r="BU71" i="33"/>
  <c r="AL99" i="15"/>
  <c r="AL101" i="15" s="1"/>
  <c r="AL97" i="15"/>
  <c r="AC38" i="48" s="1"/>
  <c r="AW99" i="15"/>
  <c r="AW101" i="15" s="1"/>
  <c r="AW97" i="15"/>
  <c r="AN38" i="48" s="1"/>
  <c r="BT39" i="33"/>
  <c r="BT40" i="33"/>
  <c r="BT44" i="33"/>
  <c r="BT114" i="33"/>
  <c r="BT42" i="33"/>
  <c r="BT47" i="33"/>
  <c r="BK75" i="33"/>
  <c r="AR167" i="33"/>
  <c r="AQ63" i="33"/>
  <c r="AQ168" i="33" s="1"/>
  <c r="AV151" i="33"/>
  <c r="G6" i="64"/>
  <c r="G10" i="64" s="1"/>
  <c r="G42" i="33"/>
  <c r="G110" i="14"/>
  <c r="G94" i="15" s="1"/>
  <c r="F7" i="71"/>
  <c r="F8" i="71" s="1"/>
  <c r="G22" i="48"/>
  <c r="G44" i="33"/>
  <c r="BF167" i="33"/>
  <c r="BD151" i="33"/>
  <c r="BI151" i="33"/>
  <c r="BD167" i="33"/>
  <c r="BD63" i="33"/>
  <c r="BI99" i="15"/>
  <c r="BI101" i="15" s="1"/>
  <c r="BI97" i="15"/>
  <c r="AZ38" i="48" s="1"/>
  <c r="AR63" i="33"/>
  <c r="AW151" i="33"/>
  <c r="AR151" i="33"/>
  <c r="AJ63" i="33"/>
  <c r="F47" i="33"/>
  <c r="F148" i="33"/>
  <c r="F5" i="64"/>
  <c r="F164" i="33"/>
  <c r="F41" i="33"/>
  <c r="F114" i="33"/>
  <c r="DT196" i="33"/>
  <c r="BP71" i="33"/>
  <c r="BP72" i="33"/>
  <c r="BP70" i="33"/>
  <c r="BP69" i="33"/>
  <c r="CA55" i="33"/>
  <c r="CA116" i="33"/>
  <c r="CB166" i="33"/>
  <c r="CA150" i="33"/>
  <c r="CA166" i="33"/>
  <c r="CA48" i="33"/>
  <c r="BL116" i="33"/>
  <c r="BL48" i="33"/>
  <c r="BL55" i="33"/>
  <c r="BL150" i="33"/>
  <c r="BM166" i="33"/>
  <c r="BL166" i="33"/>
  <c r="AS58" i="33"/>
  <c r="AS61" i="33"/>
  <c r="CL214" i="33"/>
  <c r="CL195" i="33" s="1"/>
  <c r="CL216" i="33"/>
  <c r="CL212" i="33"/>
  <c r="AQ69" i="33"/>
  <c r="AQ71" i="33"/>
  <c r="AQ70" i="33"/>
  <c r="AQ72" i="33"/>
  <c r="G41" i="33"/>
  <c r="G114" i="33"/>
  <c r="G5" i="64"/>
  <c r="G148" i="33"/>
  <c r="G164" i="33"/>
  <c r="G47" i="33"/>
  <c r="BD69" i="33"/>
  <c r="BD72" i="33"/>
  <c r="BD71" i="33"/>
  <c r="BD70" i="33"/>
  <c r="CH218" i="33"/>
  <c r="CH222" i="33" s="1"/>
  <c r="AR70" i="33"/>
  <c r="AR69" i="33"/>
  <c r="AR71" i="33"/>
  <c r="AR72" i="33"/>
  <c r="AJ71" i="33"/>
  <c r="AJ69" i="33"/>
  <c r="AJ70" i="33"/>
  <c r="AJ72" i="33"/>
  <c r="BE99" i="15"/>
  <c r="BE101" i="15" s="1"/>
  <c r="BE97" i="15"/>
  <c r="AV38" i="48" s="1"/>
  <c r="BA99" i="15"/>
  <c r="BA101" i="15" s="1"/>
  <c r="BA97" i="15"/>
  <c r="AR38" i="48" s="1"/>
  <c r="AK61" i="33"/>
  <c r="AK63" i="33" s="1"/>
  <c r="AK58" i="33"/>
  <c r="BR71" i="33"/>
  <c r="BR69" i="33"/>
  <c r="BR72" i="33"/>
  <c r="BR70" i="33"/>
  <c r="AU116" i="33"/>
  <c r="AU48" i="33"/>
  <c r="AU55" i="33"/>
  <c r="AO73" i="33"/>
  <c r="AO75" i="33" s="1"/>
  <c r="AH78" i="33"/>
  <c r="AH67" i="33"/>
  <c r="AH79" i="33"/>
  <c r="DB274" i="12"/>
  <c r="DB293" i="12" s="1"/>
  <c r="DA293" i="12"/>
  <c r="DB105" i="90"/>
  <c r="DB107" i="90" s="1"/>
  <c r="DB354" i="90" s="1"/>
  <c r="BZ118" i="33"/>
  <c r="BZ80" i="33"/>
  <c r="Y492" i="12"/>
  <c r="X10" i="12"/>
  <c r="X11" i="33" s="1"/>
  <c r="Y493" i="12"/>
  <c r="X11" i="12"/>
  <c r="X12" i="33" s="1"/>
  <c r="W12" i="33"/>
  <c r="W45" i="12"/>
  <c r="W11" i="33"/>
  <c r="W44" i="12"/>
  <c r="U171" i="71"/>
  <c r="U172" i="71" s="1"/>
  <c r="I78" i="66"/>
  <c r="BZ64" i="14"/>
  <c r="DC97" i="14"/>
  <c r="W70" i="14"/>
  <c r="W100" i="14"/>
  <c r="X68" i="14"/>
  <c r="K84" i="66"/>
  <c r="P68" i="14"/>
  <c r="CB68" i="14"/>
  <c r="CA100" i="14"/>
  <c r="V121" i="14"/>
  <c r="DA223" i="90"/>
  <c r="DA225" i="90" s="1"/>
  <c r="DB223" i="90" s="1"/>
  <c r="DB225" i="90" s="1"/>
  <c r="CZ357" i="90"/>
  <c r="CZ124" i="14"/>
  <c r="D198" i="65"/>
  <c r="D91" i="65"/>
  <c r="J116" i="33"/>
  <c r="J150" i="33"/>
  <c r="J55" i="33"/>
  <c r="J48" i="33"/>
  <c r="D215" i="65"/>
  <c r="D224" i="65" s="1"/>
  <c r="D209" i="65"/>
  <c r="D210" i="65" s="1"/>
  <c r="L99" i="15"/>
  <c r="L101" i="15" s="1"/>
  <c r="L97" i="15"/>
  <c r="C212" i="65"/>
  <c r="C213" i="65" s="1"/>
  <c r="C214" i="65"/>
  <c r="C223" i="65" s="1"/>
  <c r="M110" i="14"/>
  <c r="M22" i="48"/>
  <c r="M44" i="33"/>
  <c r="L7" i="71"/>
  <c r="L8" i="71" s="1"/>
  <c r="M42" i="33"/>
  <c r="M166" i="33" s="1"/>
  <c r="M40" i="33"/>
  <c r="M6" i="64"/>
  <c r="M10" i="64" s="1"/>
  <c r="E212" i="65"/>
  <c r="E213" i="65" s="1"/>
  <c r="E214" i="65"/>
  <c r="E223" i="65" s="1"/>
  <c r="M100" i="33"/>
  <c r="M86" i="14"/>
  <c r="M90" i="14" s="1"/>
  <c r="M41" i="33"/>
  <c r="M47" i="33"/>
  <c r="M114" i="33"/>
  <c r="M148" i="33"/>
  <c r="M5" i="64"/>
  <c r="M164" i="33"/>
  <c r="BX61" i="33"/>
  <c r="BX58" i="33"/>
  <c r="K6" i="64"/>
  <c r="K10" i="64" s="1"/>
  <c r="K42" i="33"/>
  <c r="K22" i="48"/>
  <c r="L40" i="33"/>
  <c r="J7" i="71"/>
  <c r="J8" i="71" s="1"/>
  <c r="L44" i="33"/>
  <c r="K110" i="14"/>
  <c r="K94" i="15" s="1"/>
  <c r="K40" i="33"/>
  <c r="K44" i="33"/>
  <c r="M87" i="14"/>
  <c r="C47" i="65"/>
  <c r="C42" i="65" s="1"/>
  <c r="C40" i="65" s="1"/>
  <c r="H94" i="15"/>
  <c r="H15" i="90"/>
  <c r="K164" i="33"/>
  <c r="K41" i="33"/>
  <c r="L148" i="33"/>
  <c r="K5" i="64"/>
  <c r="L164" i="33"/>
  <c r="K148" i="33"/>
  <c r="K47" i="33"/>
  <c r="K114" i="33"/>
  <c r="CD150" i="33"/>
  <c r="BY48" i="33"/>
  <c r="BY55" i="33"/>
  <c r="BY116" i="33"/>
  <c r="M95" i="33"/>
  <c r="M85" i="14" s="1"/>
  <c r="M89" i="14" s="1"/>
  <c r="M84" i="14"/>
  <c r="H116" i="33"/>
  <c r="H55" i="33"/>
  <c r="H150" i="33"/>
  <c r="H48" i="33"/>
  <c r="I150" i="33"/>
  <c r="CZ510" i="12"/>
  <c r="AT275" i="58"/>
  <c r="AT276" i="58" s="1"/>
  <c r="W679" i="12"/>
  <c r="CZ665" i="12"/>
  <c r="DA275" i="12"/>
  <c r="CZ660" i="12"/>
  <c r="CZ667" i="12"/>
  <c r="DA664" i="12"/>
  <c r="DA665" i="12" s="1"/>
  <c r="DB624" i="12"/>
  <c r="DB695" i="12"/>
  <c r="DB120" i="14" s="1"/>
  <c r="DB121" i="14" s="1"/>
  <c r="DB124" i="14" s="1"/>
  <c r="DC565" i="12"/>
  <c r="W565" i="12" s="1"/>
  <c r="DA700" i="12"/>
  <c r="DA701" i="12" s="1"/>
  <c r="DA696" i="12"/>
  <c r="DA661" i="12"/>
  <c r="DA686" i="12"/>
  <c r="DA625" i="12"/>
  <c r="DA697" i="12"/>
  <c r="DA698" i="12" s="1"/>
  <c r="CZ383" i="12"/>
  <c r="CZ377" i="12"/>
  <c r="DA376" i="12"/>
  <c r="DA495" i="12"/>
  <c r="DA497" i="12"/>
  <c r="CZ687" i="12"/>
  <c r="DC471" i="12"/>
  <c r="W471" i="12" s="1"/>
  <c r="DB472" i="12"/>
  <c r="DB494" i="12"/>
  <c r="DC634" i="12"/>
  <c r="W634" i="12" s="1"/>
  <c r="DB635" i="12"/>
  <c r="Z223" i="90"/>
  <c r="Z225" i="90" s="1"/>
  <c r="S146" i="33"/>
  <c r="CK82" i="14"/>
  <c r="DB93" i="33"/>
  <c r="CO83" i="14" s="1"/>
  <c r="CO88" i="14" s="1"/>
  <c r="N19" i="57"/>
  <c r="DO140" i="33"/>
  <c r="CG162" i="33"/>
  <c r="EA310" i="48" s="1"/>
  <c r="EF310" i="48" s="1"/>
  <c r="S110" i="33"/>
  <c r="AM60" i="77"/>
  <c r="AM58" i="77"/>
  <c r="AM82" i="77"/>
  <c r="V15" i="64"/>
  <c r="V16" i="64" s="1"/>
  <c r="V698" i="12"/>
  <c r="DI40" i="33"/>
  <c r="CP839" i="12"/>
  <c r="CT843" i="12"/>
  <c r="K59" i="65"/>
  <c r="K43" i="65"/>
  <c r="K47" i="65" s="1"/>
  <c r="K42" i="65" s="1"/>
  <c r="K53" i="65"/>
  <c r="BY67" i="48"/>
  <c r="BY65" i="48"/>
  <c r="BY69" i="48"/>
  <c r="S134" i="14"/>
  <c r="S128" i="14"/>
  <c r="S220" i="14"/>
  <c r="S125" i="14"/>
  <c r="AX134" i="77"/>
  <c r="BC134" i="77"/>
  <c r="BA134" i="77"/>
  <c r="BB134" i="77"/>
  <c r="CR14" i="90"/>
  <c r="CR94" i="15"/>
  <c r="CR99" i="15" s="1"/>
  <c r="CR101" i="15" s="1"/>
  <c r="CT844" i="12"/>
  <c r="S93" i="33"/>
  <c r="S94" i="33"/>
  <c r="L82" i="14"/>
  <c r="S97" i="33"/>
  <c r="S98" i="33" s="1"/>
  <c r="S99" i="33" s="1"/>
  <c r="S82" i="14"/>
  <c r="S37" i="33"/>
  <c r="AN146" i="33"/>
  <c r="S20" i="48"/>
  <c r="S36" i="33"/>
  <c r="S40" i="33" s="1"/>
  <c r="S104" i="33"/>
  <c r="S20" i="33"/>
  <c r="BB200" i="77" s="1"/>
  <c r="T162" i="33"/>
  <c r="T146" i="33"/>
  <c r="R10" i="71"/>
  <c r="S5" i="71"/>
  <c r="K40" i="53"/>
  <c r="K42" i="53"/>
  <c r="DJ48" i="33"/>
  <c r="DJ116" i="33"/>
  <c r="CR173" i="15"/>
  <c r="DJ55" i="33"/>
  <c r="Z367" i="58"/>
  <c r="Y367" i="58"/>
  <c r="BY838" i="12"/>
  <c r="BY844" i="12" s="1"/>
  <c r="BZ847" i="12"/>
  <c r="D21" i="62"/>
  <c r="E21" i="62" s="1"/>
  <c r="C23" i="62"/>
  <c r="BX844" i="12"/>
  <c r="BX842" i="12"/>
  <c r="BX846" i="12" s="1"/>
  <c r="BX843" i="12"/>
  <c r="S314" i="71"/>
  <c r="DB146" i="33"/>
  <c r="DG146" i="33"/>
  <c r="CA20" i="48"/>
  <c r="DB104" i="33"/>
  <c r="DB37" i="33"/>
  <c r="DB36" i="33"/>
  <c r="DB148" i="33" s="1"/>
  <c r="DB20" i="33"/>
  <c r="DB110" i="33"/>
  <c r="R245" i="71"/>
  <c r="R246" i="71" s="1"/>
  <c r="R244" i="71"/>
  <c r="CH838" i="12"/>
  <c r="CH843" i="12" s="1"/>
  <c r="CD241" i="12"/>
  <c r="AE10" i="58"/>
  <c r="AF5" i="58"/>
  <c r="AE6" i="58"/>
  <c r="AE5" i="58"/>
  <c r="AI6" i="58"/>
  <c r="Q179" i="71"/>
  <c r="P179" i="71"/>
  <c r="CP844" i="12"/>
  <c r="CP847" i="12" s="1"/>
  <c r="CP842" i="12"/>
  <c r="CP846" i="12" s="1"/>
  <c r="CE240" i="12"/>
  <c r="CE239" i="12" s="1"/>
  <c r="CF166" i="12"/>
  <c r="Q166" i="12"/>
  <c r="CJ838" i="12"/>
  <c r="CJ844" i="12" s="1"/>
  <c r="CD838" i="12"/>
  <c r="CD844" i="12" s="1"/>
  <c r="CN838" i="12"/>
  <c r="CN844" i="12" s="1"/>
  <c r="CD239" i="12"/>
  <c r="DG39" i="33"/>
  <c r="AN10" i="64"/>
  <c r="AN33" i="64"/>
  <c r="DG44" i="33"/>
  <c r="F69" i="56"/>
  <c r="E70" i="56"/>
  <c r="F70" i="56" s="1"/>
  <c r="CD14" i="90"/>
  <c r="CD94" i="15"/>
  <c r="CS844" i="12"/>
  <c r="L213" i="66"/>
  <c r="L222" i="66" s="1"/>
  <c r="L211" i="66"/>
  <c r="L212" i="66" s="1"/>
  <c r="I10" i="79"/>
  <c r="E53" i="56"/>
  <c r="CC110" i="14"/>
  <c r="J20" i="57"/>
  <c r="AM6" i="64"/>
  <c r="CV164" i="33"/>
  <c r="BT22" i="48"/>
  <c r="CU42" i="33"/>
  <c r="CC839" i="12"/>
  <c r="X7" i="58"/>
  <c r="X8" i="58" s="1"/>
  <c r="CS843" i="12"/>
  <c r="CT88" i="14"/>
  <c r="CT87" i="14"/>
  <c r="DI114" i="33"/>
  <c r="DI41" i="33"/>
  <c r="DH162" i="33"/>
  <c r="BJ204" i="77"/>
  <c r="DG162" i="33"/>
  <c r="CG41" i="33"/>
  <c r="CG148" i="33"/>
  <c r="CP14" i="90"/>
  <c r="CP94" i="15"/>
  <c r="AL7" i="58"/>
  <c r="AL8" i="58" s="1"/>
  <c r="CQ839" i="12"/>
  <c r="DI47" i="33"/>
  <c r="DI166" i="33" s="1"/>
  <c r="DI42" i="33"/>
  <c r="DI39" i="33"/>
  <c r="CQ110" i="14"/>
  <c r="DI44" i="33"/>
  <c r="BJ173" i="77"/>
  <c r="BJ174" i="77" s="1"/>
  <c r="DJ164" i="33"/>
  <c r="CN84" i="14"/>
  <c r="DA95" i="33"/>
  <c r="CJ85" i="14" s="1"/>
  <c r="DG114" i="33"/>
  <c r="DG41" i="33"/>
  <c r="DI95" i="33"/>
  <c r="CR85" i="14" s="1"/>
  <c r="CR89" i="14" s="1"/>
  <c r="CV84" i="14"/>
  <c r="CI110" i="14"/>
  <c r="DA42" i="33"/>
  <c r="CI153" i="15"/>
  <c r="CI165" i="15" s="1"/>
  <c r="CI168" i="15" s="1"/>
  <c r="DA47" i="33"/>
  <c r="DA166" i="33" s="1"/>
  <c r="DA40" i="33"/>
  <c r="AD7" i="58"/>
  <c r="AD8" i="58" s="1"/>
  <c r="CI839" i="12"/>
  <c r="BZ22" i="48"/>
  <c r="DF40" i="33"/>
  <c r="DC39" i="33"/>
  <c r="DG95" i="33"/>
  <c r="CP85" i="14" s="1"/>
  <c r="CP89" i="14" s="1"/>
  <c r="CT84" i="14"/>
  <c r="DH150" i="33"/>
  <c r="DH48" i="33"/>
  <c r="DH55" i="33"/>
  <c r="DH116" i="33"/>
  <c r="CP173" i="15"/>
  <c r="BJ171" i="77"/>
  <c r="DJ162" i="33"/>
  <c r="DA41" i="33"/>
  <c r="DA114" i="33"/>
  <c r="DF148" i="33"/>
  <c r="CO839" i="12"/>
  <c r="CO110" i="14"/>
  <c r="BJ206" i="77"/>
  <c r="BJ207" i="77" s="1"/>
  <c r="DG47" i="33"/>
  <c r="DG42" i="33"/>
  <c r="AJ7" i="58"/>
  <c r="AJ8" i="58" s="1"/>
  <c r="DG164" i="33"/>
  <c r="M7" i="58"/>
  <c r="M8" i="58" s="1"/>
  <c r="CH164" i="33"/>
  <c r="CG40" i="33"/>
  <c r="BR110" i="14"/>
  <c r="CG114" i="33"/>
  <c r="CX113" i="48"/>
  <c r="CH44" i="33"/>
  <c r="CH39" i="33"/>
  <c r="CG47" i="33"/>
  <c r="CG42" i="33"/>
  <c r="CX114" i="48" s="1"/>
  <c r="BI22" i="48"/>
  <c r="CK173" i="15"/>
  <c r="DC48" i="33"/>
  <c r="DC55" i="33"/>
  <c r="DC116" i="33"/>
  <c r="DC150" i="33"/>
  <c r="CK14" i="90"/>
  <c r="CK94" i="15"/>
  <c r="I57" i="77"/>
  <c r="Q38" i="56"/>
  <c r="R38" i="56" s="1"/>
  <c r="R30" i="56"/>
  <c r="Q84" i="14"/>
  <c r="Q95" i="33"/>
  <c r="Q85" i="14" s="1"/>
  <c r="BJ135" i="77"/>
  <c r="DK162" i="33"/>
  <c r="I40" i="65"/>
  <c r="BJ137" i="77"/>
  <c r="BJ138" i="77" s="1"/>
  <c r="AN7" i="58"/>
  <c r="AN8" i="58" s="1"/>
  <c r="DK42" i="33"/>
  <c r="DK47" i="33"/>
  <c r="CS110" i="14"/>
  <c r="DK44" i="33"/>
  <c r="DK39" i="33"/>
  <c r="DK164" i="33"/>
  <c r="DK40" i="33"/>
  <c r="DK95" i="33"/>
  <c r="CT85" i="14" s="1"/>
  <c r="CT89" i="14" s="1"/>
  <c r="DK114" i="33"/>
  <c r="DK41" i="33"/>
  <c r="DK148" i="33"/>
  <c r="Q110" i="14"/>
  <c r="E7" i="75"/>
  <c r="FB430" i="48"/>
  <c r="Q6" i="64"/>
  <c r="Q22" i="48"/>
  <c r="Q33" i="56" s="1"/>
  <c r="Q42" i="33"/>
  <c r="AQ28" i="56"/>
  <c r="P7" i="71"/>
  <c r="P8" i="71" s="1"/>
  <c r="Q87" i="14"/>
  <c r="Q88" i="14"/>
  <c r="BW73" i="48"/>
  <c r="BW70" i="48"/>
  <c r="EN345" i="48"/>
  <c r="EN348" i="48"/>
  <c r="EN350" i="48" s="1"/>
  <c r="CY47" i="33"/>
  <c r="CZ166" i="33" s="1"/>
  <c r="DA44" i="33"/>
  <c r="CG839" i="12"/>
  <c r="BX22" i="48"/>
  <c r="CY42" i="33"/>
  <c r="BJ347" i="77"/>
  <c r="BJ348" i="77" s="1"/>
  <c r="DA39" i="33"/>
  <c r="CY40" i="33"/>
  <c r="CG153" i="15"/>
  <c r="AB7" i="58"/>
  <c r="AB8" i="58" s="1"/>
  <c r="CY164" i="33"/>
  <c r="CG110" i="14"/>
  <c r="CY41" i="33"/>
  <c r="CY114" i="33"/>
  <c r="O13" i="33"/>
  <c r="P14" i="48" s="1"/>
  <c r="DD148" i="33"/>
  <c r="CY162" i="33"/>
  <c r="BJ345" i="77"/>
  <c r="CY95" i="33"/>
  <c r="CH85" i="14" s="1"/>
  <c r="CH89" i="14" s="1"/>
  <c r="CL84" i="14"/>
  <c r="BS97" i="15"/>
  <c r="BJ38" i="48" s="1"/>
  <c r="BS99" i="15"/>
  <c r="BS101" i="15" s="1"/>
  <c r="CZ162" i="33"/>
  <c r="CI110" i="33"/>
  <c r="BQ84" i="14"/>
  <c r="CF95" i="33"/>
  <c r="BQ85" i="14" s="1"/>
  <c r="BQ89" i="14" s="1"/>
  <c r="CF41" i="33"/>
  <c r="CF148" i="33"/>
  <c r="BQ88" i="14"/>
  <c r="BQ87" i="14"/>
  <c r="CW113" i="48"/>
  <c r="L7" i="58"/>
  <c r="L8" i="58" s="1"/>
  <c r="CF40" i="33"/>
  <c r="CF114" i="33"/>
  <c r="BH22" i="48"/>
  <c r="CF47" i="33"/>
  <c r="CF42" i="33"/>
  <c r="CW114" i="48" s="1"/>
  <c r="BQ110" i="14"/>
  <c r="CG44" i="33"/>
  <c r="CG39" i="33"/>
  <c r="CG164" i="33"/>
  <c r="CI37" i="33"/>
  <c r="CI104" i="33"/>
  <c r="CI162" i="33"/>
  <c r="CI20" i="33"/>
  <c r="CI146" i="33"/>
  <c r="CI36" i="33"/>
  <c r="O7" i="58"/>
  <c r="O8" i="58" s="1"/>
  <c r="CZ113" i="48"/>
  <c r="CJ40" i="33"/>
  <c r="CJ42" i="33"/>
  <c r="CZ114" i="48" s="1"/>
  <c r="AD6" i="64"/>
  <c r="AD10" i="64" s="1"/>
  <c r="BT110" i="14"/>
  <c r="BK22" i="48"/>
  <c r="CJ39" i="33"/>
  <c r="CJ164" i="33"/>
  <c r="CJ44" i="33"/>
  <c r="CJ47" i="33"/>
  <c r="CW47" i="33"/>
  <c r="CW42" i="33"/>
  <c r="CW164" i="33"/>
  <c r="BV22" i="48"/>
  <c r="CE839" i="12"/>
  <c r="BB337" i="77"/>
  <c r="BB338" i="77" s="1"/>
  <c r="CE110" i="14"/>
  <c r="Z7" i="58"/>
  <c r="Z8" i="58" s="1"/>
  <c r="CX164" i="33"/>
  <c r="AO6" i="64"/>
  <c r="CY39" i="33"/>
  <c r="CW44" i="33"/>
  <c r="CY44" i="33"/>
  <c r="CW39" i="33"/>
  <c r="CM94" i="15"/>
  <c r="CM14" i="90"/>
  <c r="N115" i="33"/>
  <c r="N88" i="33"/>
  <c r="N90" i="33" s="1"/>
  <c r="N91" i="33" s="1"/>
  <c r="N92" i="33" s="1"/>
  <c r="N82" i="14" s="1"/>
  <c r="N109" i="33"/>
  <c r="F28" i="53"/>
  <c r="N108" i="33"/>
  <c r="N161" i="33"/>
  <c r="M4" i="71"/>
  <c r="M10" i="71" s="1"/>
  <c r="N106" i="14"/>
  <c r="F193" i="65"/>
  <c r="F191" i="65" s="1"/>
  <c r="F95" i="65" s="1"/>
  <c r="F93" i="65" s="1"/>
  <c r="N145" i="33"/>
  <c r="N17" i="33"/>
  <c r="N13" i="48"/>
  <c r="N18" i="48" s="1"/>
  <c r="N19" i="33"/>
  <c r="N117" i="33"/>
  <c r="F44" i="65"/>
  <c r="BT84" i="14"/>
  <c r="CJ95" i="33"/>
  <c r="BT85" i="14" s="1"/>
  <c r="BT89" i="14" s="1"/>
  <c r="N211" i="66"/>
  <c r="N212" i="66" s="1"/>
  <c r="N213" i="66"/>
  <c r="N222" i="66" s="1"/>
  <c r="CW114" i="33"/>
  <c r="CW41" i="33"/>
  <c r="CW95" i="33"/>
  <c r="CF85" i="14" s="1"/>
  <c r="CF89" i="14" s="1"/>
  <c r="CJ84" i="14"/>
  <c r="C211" i="66"/>
  <c r="C212" i="66" s="1"/>
  <c r="C213" i="66"/>
  <c r="C222" i="66" s="1"/>
  <c r="CE91" i="33"/>
  <c r="CI90" i="33"/>
  <c r="BT88" i="14"/>
  <c r="BT87" i="14"/>
  <c r="N40" i="66"/>
  <c r="CE41" i="33"/>
  <c r="CE148" i="33"/>
  <c r="CW162" i="33"/>
  <c r="CX162" i="33"/>
  <c r="DE48" i="33"/>
  <c r="CM173" i="15"/>
  <c r="DE55" i="33"/>
  <c r="DE116" i="33"/>
  <c r="DJ150" i="33"/>
  <c r="CF39" i="33"/>
  <c r="CE114" i="33"/>
  <c r="BP110" i="14"/>
  <c r="CF44" i="33"/>
  <c r="CE42" i="33"/>
  <c r="CV114" i="48" s="1"/>
  <c r="CE40" i="33"/>
  <c r="CE39" i="33"/>
  <c r="CV113" i="48"/>
  <c r="K7" i="58"/>
  <c r="K8" i="58" s="1"/>
  <c r="CE47" i="33"/>
  <c r="CE44" i="33"/>
  <c r="CF164" i="33"/>
  <c r="BG22" i="48"/>
  <c r="CE164" i="33"/>
  <c r="CF162" i="33"/>
  <c r="CE162" i="33"/>
  <c r="C47" i="66"/>
  <c r="C42" i="66" s="1"/>
  <c r="C40" i="66" s="1"/>
  <c r="J22" i="77"/>
  <c r="J27" i="77"/>
  <c r="J31" i="77" s="1"/>
  <c r="CI222" i="33"/>
  <c r="CI223" i="33" s="1"/>
  <c r="CH226" i="33"/>
  <c r="CH223" i="33"/>
  <c r="CY226" i="33"/>
  <c r="CY85" i="33" s="1"/>
  <c r="H69" i="15"/>
  <c r="H70" i="15" s="1"/>
  <c r="I69" i="15" s="1"/>
  <c r="I70" i="15" s="1"/>
  <c r="G8" i="14"/>
  <c r="AZ8" i="14"/>
  <c r="BA69" i="15"/>
  <c r="BA70" i="15" s="1"/>
  <c r="T32" i="90"/>
  <c r="CR34" i="90"/>
  <c r="CR32" i="90" s="1"/>
  <c r="CC158" i="90"/>
  <c r="CC160" i="90" s="1"/>
  <c r="CE213" i="90"/>
  <c r="Q139" i="33"/>
  <c r="P139" i="33"/>
  <c r="CN57" i="90"/>
  <c r="CN59" i="90" s="1"/>
  <c r="V59" i="90"/>
  <c r="V55" i="52"/>
  <c r="W41" i="52"/>
  <c r="CA150" i="90"/>
  <c r="CA337" i="90"/>
  <c r="V56" i="52"/>
  <c r="U88" i="52"/>
  <c r="H21" i="77"/>
  <c r="H29" i="77"/>
  <c r="I13" i="77"/>
  <c r="H19" i="77"/>
  <c r="CM153" i="90"/>
  <c r="CM155" i="90" s="1"/>
  <c r="CM332" i="90" s="1"/>
  <c r="S235" i="90"/>
  <c r="T234" i="90"/>
  <c r="BX69" i="14"/>
  <c r="O69" i="14"/>
  <c r="G84" i="66"/>
  <c r="BW71" i="14"/>
  <c r="BW73" i="14" s="1"/>
  <c r="CF203" i="90"/>
  <c r="CF205" i="90" s="1"/>
  <c r="CF342" i="90" s="1"/>
  <c r="Q205" i="90"/>
  <c r="CS258" i="90"/>
  <c r="CS260" i="90" s="1"/>
  <c r="CS360" i="90" s="1"/>
  <c r="G104" i="52"/>
  <c r="H103" i="52"/>
  <c r="AN72" i="33"/>
  <c r="AN71" i="33"/>
  <c r="AN69" i="33"/>
  <c r="AN70" i="33"/>
  <c r="N99" i="52"/>
  <c r="O67" i="52"/>
  <c r="CV847" i="12"/>
  <c r="CW847" i="12" s="1"/>
  <c r="CX847" i="12" s="1"/>
  <c r="S89" i="90"/>
  <c r="S88" i="90" s="1"/>
  <c r="CN87" i="90"/>
  <c r="O97" i="52"/>
  <c r="P65" i="52"/>
  <c r="CD173" i="90"/>
  <c r="CD175" i="90" s="1"/>
  <c r="CD336" i="90" s="1"/>
  <c r="CD344" i="90"/>
  <c r="K102" i="52"/>
  <c r="U6" i="52"/>
  <c r="U27" i="52" s="1"/>
  <c r="U87" i="52"/>
  <c r="CD340" i="90"/>
  <c r="CD193" i="90"/>
  <c r="CD195" i="90" s="1"/>
  <c r="BT70" i="90"/>
  <c r="O70" i="90" s="1"/>
  <c r="L76" i="15"/>
  <c r="L78" i="15"/>
  <c r="L81" i="15" s="1"/>
  <c r="K101" i="52"/>
  <c r="CL332" i="90"/>
  <c r="T236" i="90"/>
  <c r="CO234" i="90"/>
  <c r="CO236" i="90" s="1"/>
  <c r="U25" i="90"/>
  <c r="CM25" i="90"/>
  <c r="S145" i="90"/>
  <c r="CN143" i="90"/>
  <c r="CN145" i="90" s="1"/>
  <c r="BR30" i="70"/>
  <c r="BQ29" i="70"/>
  <c r="T259" i="90"/>
  <c r="U258" i="90"/>
  <c r="U260" i="90" s="1"/>
  <c r="V258" i="90" s="1"/>
  <c r="V260" i="90" s="1"/>
  <c r="W258" i="90" s="1"/>
  <c r="W260" i="90" s="1"/>
  <c r="F75" i="52"/>
  <c r="BS73" i="33"/>
  <c r="CM252" i="90"/>
  <c r="CM254" i="90" s="1"/>
  <c r="L12" i="77"/>
  <c r="Q158" i="90"/>
  <c r="P159" i="90"/>
  <c r="T365" i="58"/>
  <c r="T366" i="58"/>
  <c r="Q77" i="90"/>
  <c r="CC75" i="90"/>
  <c r="CC77" i="90" s="1"/>
  <c r="CC322" i="90"/>
  <c r="CD117" i="90"/>
  <c r="CD119" i="90" s="1"/>
  <c r="CD326" i="90" s="1"/>
  <c r="CD58" i="33"/>
  <c r="CD61" i="33"/>
  <c r="Z347" i="90"/>
  <c r="Z349" i="90" s="1"/>
  <c r="BS78" i="33"/>
  <c r="BS119" i="33"/>
  <c r="BS67" i="33"/>
  <c r="BS168" i="33"/>
  <c r="BS79" i="33"/>
  <c r="BG111" i="14"/>
  <c r="BG96" i="14" s="1"/>
  <c r="BU168" i="33"/>
  <c r="T59" i="52"/>
  <c r="S91" i="52"/>
  <c r="T90" i="52"/>
  <c r="E102" i="52"/>
  <c r="F101" i="52"/>
  <c r="E71" i="52"/>
  <c r="E72" i="52"/>
  <c r="BY128" i="14"/>
  <c r="BY134" i="14"/>
  <c r="BY220" i="14"/>
  <c r="BY125" i="14"/>
  <c r="BY108" i="14"/>
  <c r="BY79" i="14"/>
  <c r="BY81" i="14"/>
  <c r="CL178" i="90"/>
  <c r="CL180" i="90" s="1"/>
  <c r="CM188" i="90"/>
  <c r="CM190" i="90" s="1"/>
  <c r="CM339" i="90" s="1"/>
  <c r="CC208" i="90"/>
  <c r="CC210" i="90" s="1"/>
  <c r="P170" i="90"/>
  <c r="CB168" i="90"/>
  <c r="CB170" i="90" s="1"/>
  <c r="V60" i="52"/>
  <c r="U92" i="52"/>
  <c r="CK847" i="12"/>
  <c r="AY67" i="33"/>
  <c r="AY79" i="33"/>
  <c r="AQ111" i="14"/>
  <c r="AQ96" i="14" s="1"/>
  <c r="AY119" i="33"/>
  <c r="AY78" i="33"/>
  <c r="AY152" i="33"/>
  <c r="CD200" i="14"/>
  <c r="CC202" i="14"/>
  <c r="CC203" i="14" s="1"/>
  <c r="BO100" i="15"/>
  <c r="BO101" i="15" s="1"/>
  <c r="BO97" i="15"/>
  <c r="BF38" i="48" s="1"/>
  <c r="G73" i="52"/>
  <c r="CR360" i="90"/>
  <c r="W61" i="52"/>
  <c r="R94" i="52"/>
  <c r="S62" i="52"/>
  <c r="S93" i="52"/>
  <c r="Y63" i="90"/>
  <c r="Y65" i="90" s="1"/>
  <c r="Y320" i="90" s="1"/>
  <c r="U240" i="90"/>
  <c r="T241" i="90"/>
  <c r="CB333" i="90"/>
  <c r="P76" i="90"/>
  <c r="Q75" i="90"/>
  <c r="CI195" i="33"/>
  <c r="N195" i="33" s="1"/>
  <c r="CH198" i="33"/>
  <c r="CI198" i="33" s="1"/>
  <c r="CH197" i="33"/>
  <c r="S53" i="90"/>
  <c r="CN52" i="90"/>
  <c r="CN51" i="90"/>
  <c r="M100" i="15"/>
  <c r="CF47" i="90"/>
  <c r="CA82" i="90"/>
  <c r="CA81" i="90"/>
  <c r="BZ323" i="90"/>
  <c r="P96" i="52"/>
  <c r="Q64" i="52"/>
  <c r="S63" i="52"/>
  <c r="CE200" i="90"/>
  <c r="AY73" i="33"/>
  <c r="AY75" i="33" s="1"/>
  <c r="O66" i="52"/>
  <c r="N98" i="52"/>
  <c r="P209" i="90"/>
  <c r="Q208" i="90"/>
  <c r="CB63" i="90"/>
  <c r="CB65" i="90" s="1"/>
  <c r="T246" i="71"/>
  <c r="N68" i="52"/>
  <c r="M100" i="52"/>
  <c r="CE342" i="90"/>
  <c r="CM133" i="90"/>
  <c r="CM135" i="90" s="1"/>
  <c r="CM328" i="90" s="1"/>
  <c r="L73" i="52"/>
  <c r="F112" i="14"/>
  <c r="F15" i="14"/>
  <c r="F28" i="14" s="1"/>
  <c r="F75" i="14" s="1"/>
  <c r="U242" i="90"/>
  <c r="CS240" i="90"/>
  <c r="CS242" i="90" s="1"/>
  <c r="AN63" i="33"/>
  <c r="AN167" i="33"/>
  <c r="AO167" i="33"/>
  <c r="M69" i="52"/>
  <c r="J72" i="52"/>
  <c r="BI75" i="33"/>
  <c r="BI80" i="33" s="1"/>
  <c r="AS111" i="58"/>
  <c r="CX825" i="12"/>
  <c r="AS206" i="58"/>
  <c r="AS207" i="58" s="1"/>
  <c r="CC355" i="12"/>
  <c r="CC354" i="12"/>
  <c r="CD347" i="12"/>
  <c r="CE346" i="12"/>
  <c r="CD353" i="12"/>
  <c r="CD194" i="14"/>
  <c r="CE206" i="14"/>
  <c r="CE209" i="14" s="1"/>
  <c r="CH79" i="14"/>
  <c r="CH87" i="14" s="1"/>
  <c r="CG80" i="14"/>
  <c r="CH81" i="14" s="1"/>
  <c r="X35" i="52"/>
  <c r="W89" i="52"/>
  <c r="CI25" i="14"/>
  <c r="CH78" i="14"/>
  <c r="AT491" i="58"/>
  <c r="AT489" i="58" s="1"/>
  <c r="V497" i="12"/>
  <c r="R17" i="48" s="1"/>
  <c r="R18" i="48" s="1"/>
  <c r="V495" i="12"/>
  <c r="CH69" i="33"/>
  <c r="CH72" i="33"/>
  <c r="CH70" i="33"/>
  <c r="CH71" i="33"/>
  <c r="G238" i="65"/>
  <c r="O31" i="33"/>
  <c r="G33" i="53" s="1"/>
  <c r="G190" i="65"/>
  <c r="BE78" i="33"/>
  <c r="BE119" i="33"/>
  <c r="BE80" i="33"/>
  <c r="BE67" i="33"/>
  <c r="BE79" i="33"/>
  <c r="I63" i="33"/>
  <c r="I118" i="33"/>
  <c r="AP67" i="33"/>
  <c r="AP78" i="33"/>
  <c r="AP119" i="33"/>
  <c r="AP79" i="33"/>
  <c r="CH100" i="33"/>
  <c r="CH63" i="33"/>
  <c r="CH151" i="33"/>
  <c r="AZ67" i="33"/>
  <c r="AZ78" i="33"/>
  <c r="AZ79" i="33"/>
  <c r="AZ119" i="33"/>
  <c r="CP30" i="33"/>
  <c r="G237" i="66"/>
  <c r="G189" i="66"/>
  <c r="L58" i="33"/>
  <c r="L61" i="33"/>
  <c r="D67" i="33"/>
  <c r="D78" i="33"/>
  <c r="D79" i="33"/>
  <c r="CQ31" i="33"/>
  <c r="CR29" i="33"/>
  <c r="CS29" i="33" s="1"/>
  <c r="D35" i="53"/>
  <c r="D43" i="53"/>
  <c r="D44" i="53" s="1"/>
  <c r="D37" i="53"/>
  <c r="Z203" i="33"/>
  <c r="Z204" i="33" s="1"/>
  <c r="Z180" i="33"/>
  <c r="Z185" i="33" s="1"/>
  <c r="CL16" i="33"/>
  <c r="CN15" i="33"/>
  <c r="CT847" i="12"/>
  <c r="AT79" i="57"/>
  <c r="AV79" i="57" s="1"/>
  <c r="AT77" i="57"/>
  <c r="AV77" i="57" s="1"/>
  <c r="AV73" i="57"/>
  <c r="BV220" i="14"/>
  <c r="BV79" i="14"/>
  <c r="BV134" i="14"/>
  <c r="BV128" i="14"/>
  <c r="BV81" i="14"/>
  <c r="BV125" i="14"/>
  <c r="BV108" i="14"/>
  <c r="Q365" i="58"/>
  <c r="Q366" i="58"/>
  <c r="Y412" i="12"/>
  <c r="X49" i="80"/>
  <c r="X50" i="80" s="1"/>
  <c r="U81" i="71"/>
  <c r="CD361" i="12"/>
  <c r="CC368" i="12"/>
  <c r="V366" i="58"/>
  <c r="W367" i="58" s="1"/>
  <c r="W355" i="58"/>
  <c r="V365" i="58"/>
  <c r="CE26" i="12"/>
  <c r="CB27" i="12"/>
  <c r="CA108" i="14"/>
  <c r="P108" i="14" s="1"/>
  <c r="CA125" i="14"/>
  <c r="CA220" i="14"/>
  <c r="CA134" i="14"/>
  <c r="CA128" i="14"/>
  <c r="CA79" i="14"/>
  <c r="CA81" i="14"/>
  <c r="CA13" i="80"/>
  <c r="BX14" i="80"/>
  <c r="J192" i="66"/>
  <c r="J190" i="66" s="1"/>
  <c r="BR13" i="48"/>
  <c r="BR18" i="48" s="1"/>
  <c r="J44" i="66"/>
  <c r="CA186" i="14"/>
  <c r="CR115" i="33"/>
  <c r="CR109" i="33"/>
  <c r="CW145" i="33"/>
  <c r="AK5" i="64"/>
  <c r="AK32" i="64" s="1"/>
  <c r="CR108" i="33"/>
  <c r="CR19" i="33"/>
  <c r="CR146" i="33" s="1"/>
  <c r="CR117" i="33"/>
  <c r="V4" i="58"/>
  <c r="CW17" i="33"/>
  <c r="CR88" i="33"/>
  <c r="CT161" i="33"/>
  <c r="CT16" i="33"/>
  <c r="BX26" i="12"/>
  <c r="CB26" i="12"/>
  <c r="BX27" i="12"/>
  <c r="BY27" i="12"/>
  <c r="P25" i="12"/>
  <c r="BV13" i="80"/>
  <c r="BZ13" i="80"/>
  <c r="BW14" i="80"/>
  <c r="BV14" i="80"/>
  <c r="BT14" i="80"/>
  <c r="BT13" i="80"/>
  <c r="BX13" i="80"/>
  <c r="BU14" i="80"/>
  <c r="DZ217" i="48"/>
  <c r="EE215" i="48"/>
  <c r="EB215" i="48"/>
  <c r="BU27" i="12"/>
  <c r="BV27" i="12"/>
  <c r="O25" i="12"/>
  <c r="O26" i="12" s="1"/>
  <c r="G29" i="53" s="1"/>
  <c r="BU26" i="12"/>
  <c r="BY26" i="12"/>
  <c r="P34" i="12"/>
  <c r="P39" i="12"/>
  <c r="P37" i="12"/>
  <c r="Q41" i="12"/>
  <c r="P36" i="12"/>
  <c r="P35" i="12"/>
  <c r="P41" i="12"/>
  <c r="G22" i="77"/>
  <c r="G27" i="77"/>
  <c r="G31" i="77" s="1"/>
  <c r="P366" i="58"/>
  <c r="Q355" i="58"/>
  <c r="BS14" i="80"/>
  <c r="BW13" i="80"/>
  <c r="S366" i="58"/>
  <c r="S355" i="58"/>
  <c r="T355" i="58"/>
  <c r="AI22" i="64"/>
  <c r="AH22" i="64"/>
  <c r="K13" i="57"/>
  <c r="M11" i="57"/>
  <c r="O11" i="57"/>
  <c r="P311" i="71"/>
  <c r="O34" i="12"/>
  <c r="O41" i="12"/>
  <c r="O36" i="12"/>
  <c r="O38" i="12"/>
  <c r="O39" i="12"/>
  <c r="O37" i="12"/>
  <c r="O35" i="12"/>
  <c r="BW134" i="14"/>
  <c r="BW81" i="14"/>
  <c r="BW128" i="14"/>
  <c r="BW79" i="14"/>
  <c r="BW108" i="14"/>
  <c r="O108" i="14" s="1"/>
  <c r="BW125" i="14"/>
  <c r="BW220" i="14"/>
  <c r="BW26" i="12"/>
  <c r="CA26" i="12"/>
  <c r="BW27" i="12"/>
  <c r="P21" i="64"/>
  <c r="Q22" i="64" s="1"/>
  <c r="Q19" i="64"/>
  <c r="P19" i="64"/>
  <c r="BZ108" i="14"/>
  <c r="BZ79" i="14"/>
  <c r="BZ134" i="14"/>
  <c r="BZ81" i="14"/>
  <c r="BZ128" i="14"/>
  <c r="BZ220" i="14"/>
  <c r="BZ125" i="14"/>
  <c r="BJ332" i="77"/>
  <c r="CX143" i="33"/>
  <c r="CT159" i="33"/>
  <c r="CS159" i="33"/>
  <c r="CS143" i="33"/>
  <c r="CS847" i="12"/>
  <c r="U365" i="58"/>
  <c r="V355" i="58"/>
  <c r="U366" i="58"/>
  <c r="U355" i="58"/>
  <c r="R366" i="58"/>
  <c r="R355" i="58"/>
  <c r="J57" i="77"/>
  <c r="K57" i="77"/>
  <c r="H59" i="66"/>
  <c r="H57" i="66" s="1"/>
  <c r="H210" i="66" s="1"/>
  <c r="H53" i="66"/>
  <c r="H43" i="66"/>
  <c r="H47" i="66" s="1"/>
  <c r="H42" i="66" s="1"/>
  <c r="L22" i="77"/>
  <c r="L27" i="77"/>
  <c r="L31" i="77" s="1"/>
  <c r="N301" i="71"/>
  <c r="O12" i="80"/>
  <c r="P12" i="80"/>
  <c r="Q13" i="80" s="1"/>
  <c r="Q823" i="12"/>
  <c r="O301" i="71"/>
  <c r="O312" i="71" s="1"/>
  <c r="G57" i="77"/>
  <c r="H57" i="77"/>
  <c r="CR847" i="12"/>
  <c r="S365" i="58"/>
  <c r="R4" i="58"/>
  <c r="AG5" i="64"/>
  <c r="AG32" i="64" s="1"/>
  <c r="CM88" i="33"/>
  <c r="CM90" i="33" s="1"/>
  <c r="CM91" i="33" s="1"/>
  <c r="CM92" i="33" s="1"/>
  <c r="CM93" i="33" s="1"/>
  <c r="CM117" i="33"/>
  <c r="CM16" i="33"/>
  <c r="CM115" i="33"/>
  <c r="BW186" i="14"/>
  <c r="CM19" i="33"/>
  <c r="CM17" i="33"/>
  <c r="CM145" i="33"/>
  <c r="CM109" i="33"/>
  <c r="F44" i="66"/>
  <c r="CR17" i="33"/>
  <c r="F192" i="66"/>
  <c r="F190" i="66" s="1"/>
  <c r="F94" i="66" s="1"/>
  <c r="F92" i="66" s="1"/>
  <c r="CM108" i="33"/>
  <c r="CM110" i="33" s="1"/>
  <c r="BN13" i="48"/>
  <c r="BN18" i="48" s="1"/>
  <c r="CO161" i="33"/>
  <c r="AQ367" i="58"/>
  <c r="BX134" i="14"/>
  <c r="BX81" i="14"/>
  <c r="BX220" i="14"/>
  <c r="BX125" i="14"/>
  <c r="BX128" i="14"/>
  <c r="BX108" i="14"/>
  <c r="BX79" i="14"/>
  <c r="CO88" i="33"/>
  <c r="BX186" i="14"/>
  <c r="CO117" i="33"/>
  <c r="CP161" i="33"/>
  <c r="G192" i="66"/>
  <c r="G190" i="66" s="1"/>
  <c r="CO109" i="33"/>
  <c r="BO13" i="48"/>
  <c r="BO18" i="48" s="1"/>
  <c r="CO19" i="33"/>
  <c r="CO17" i="33"/>
  <c r="S4" i="58"/>
  <c r="T5" i="58" s="1"/>
  <c r="AH5" i="64"/>
  <c r="AH32" i="64" s="1"/>
  <c r="G44" i="66"/>
  <c r="CO108" i="33"/>
  <c r="CO115" i="33"/>
  <c r="CS15" i="33"/>
  <c r="CS17" i="33" s="1"/>
  <c r="CT145" i="33"/>
  <c r="CT17" i="33"/>
  <c r="CO16" i="33"/>
  <c r="CO145" i="33"/>
  <c r="CK145" i="33"/>
  <c r="BU186" i="14"/>
  <c r="CK109" i="33"/>
  <c r="AE5" i="64"/>
  <c r="AE32" i="64" s="1"/>
  <c r="CK88" i="33"/>
  <c r="D192" i="66"/>
  <c r="D190" i="66" s="1"/>
  <c r="D94" i="66" s="1"/>
  <c r="D92" i="66" s="1"/>
  <c r="CK117" i="33"/>
  <c r="CK108" i="33"/>
  <c r="D44" i="66"/>
  <c r="CK161" i="33"/>
  <c r="CK115" i="33"/>
  <c r="CK16" i="33"/>
  <c r="BL13" i="48"/>
  <c r="BL18" i="48" s="1"/>
  <c r="CK19" i="33"/>
  <c r="P4" i="58"/>
  <c r="T6" i="58" s="1"/>
  <c r="CK17" i="33"/>
  <c r="M57" i="77"/>
  <c r="L57" i="77"/>
  <c r="AW69" i="57"/>
  <c r="AU71" i="57"/>
  <c r="BP20" i="48"/>
  <c r="CP20" i="33"/>
  <c r="CP104" i="33"/>
  <c r="CP37" i="33"/>
  <c r="CP146" i="33"/>
  <c r="CP36" i="33"/>
  <c r="CU146" i="33"/>
  <c r="CP93" i="33"/>
  <c r="CC83" i="14" s="1"/>
  <c r="CP94" i="33"/>
  <c r="BY82" i="14"/>
  <c r="CP97" i="33"/>
  <c r="CP98" i="33" s="1"/>
  <c r="CP99" i="33" s="1"/>
  <c r="BY86" i="14" s="1"/>
  <c r="T10" i="58"/>
  <c r="X6" i="58"/>
  <c r="DZ271" i="48"/>
  <c r="EE268" i="48"/>
  <c r="EB268" i="48"/>
  <c r="AJ22" i="64"/>
  <c r="AK22" i="64"/>
  <c r="BU108" i="14"/>
  <c r="BU220" i="14"/>
  <c r="BU81" i="14"/>
  <c r="BU125" i="14"/>
  <c r="BU128" i="14"/>
  <c r="BU79" i="14"/>
  <c r="BU134" i="14"/>
  <c r="P38" i="12"/>
  <c r="CD26" i="12"/>
  <c r="CA27" i="12"/>
  <c r="BZ26" i="12"/>
  <c r="BZ27" i="12"/>
  <c r="BQ14" i="80"/>
  <c r="BR14" i="80"/>
  <c r="BU13" i="80"/>
  <c r="Q140" i="33"/>
  <c r="P13" i="33"/>
  <c r="CQ19" i="33"/>
  <c r="CQ109" i="33"/>
  <c r="CQ16" i="33"/>
  <c r="CQ88" i="33"/>
  <c r="I44" i="66"/>
  <c r="I192" i="66"/>
  <c r="I190" i="66" s="1"/>
  <c r="CV145" i="33"/>
  <c r="U4" i="58"/>
  <c r="U6" i="58" s="1"/>
  <c r="BQ13" i="48"/>
  <c r="BQ18" i="48" s="1"/>
  <c r="CV17" i="33"/>
  <c r="CQ108" i="33"/>
  <c r="CR161" i="33"/>
  <c r="CQ117" i="33"/>
  <c r="CQ145" i="33"/>
  <c r="CR16" i="33"/>
  <c r="AJ5" i="64"/>
  <c r="AJ32" i="64" s="1"/>
  <c r="CQ115" i="33"/>
  <c r="BZ186" i="14"/>
  <c r="O828" i="12"/>
  <c r="K40" i="66"/>
  <c r="BJ118" i="77"/>
  <c r="DL162" i="33"/>
  <c r="DM162" i="33"/>
  <c r="R94" i="33"/>
  <c r="R97" i="33"/>
  <c r="R98" i="33" s="1"/>
  <c r="R99" i="33" s="1"/>
  <c r="R93" i="33"/>
  <c r="R83" i="14" s="1"/>
  <c r="R82" i="14"/>
  <c r="J47" i="65"/>
  <c r="J42" i="65" s="1"/>
  <c r="E34" i="56"/>
  <c r="F34" i="56" s="1"/>
  <c r="F33" i="56"/>
  <c r="CQ88" i="14"/>
  <c r="CQ87" i="14"/>
  <c r="L208" i="65"/>
  <c r="CN108" i="33"/>
  <c r="CN161" i="33"/>
  <c r="CN17" i="33"/>
  <c r="CN19" i="33"/>
  <c r="CN117" i="33"/>
  <c r="CN109" i="33"/>
  <c r="CN145" i="33"/>
  <c r="CN16" i="33"/>
  <c r="CN115" i="33"/>
  <c r="DF58" i="33"/>
  <c r="DF61" i="33"/>
  <c r="CO84" i="14"/>
  <c r="DB95" i="33"/>
  <c r="CK85" i="14" s="1"/>
  <c r="E89" i="56"/>
  <c r="F88" i="56"/>
  <c r="DM40" i="33"/>
  <c r="DM47" i="33"/>
  <c r="BJ103" i="77"/>
  <c r="BJ104" i="77" s="1"/>
  <c r="AP7" i="58"/>
  <c r="AP8" i="58" s="1"/>
  <c r="DM44" i="33"/>
  <c r="DM39" i="33"/>
  <c r="CU839" i="12"/>
  <c r="CU110" i="14"/>
  <c r="DM42" i="33"/>
  <c r="CV82" i="14"/>
  <c r="DM94" i="33"/>
  <c r="DM97" i="33"/>
  <c r="DM98" i="33" s="1"/>
  <c r="DM99" i="33" s="1"/>
  <c r="CV86" i="14" s="1"/>
  <c r="DM93" i="33"/>
  <c r="CZ83" i="14" s="1"/>
  <c r="AO7" i="58"/>
  <c r="AO8" i="58" s="1"/>
  <c r="CT110" i="14"/>
  <c r="DL44" i="33"/>
  <c r="DL47" i="33"/>
  <c r="DL39" i="33"/>
  <c r="CT839" i="12"/>
  <c r="DM164" i="33"/>
  <c r="DL42" i="33"/>
  <c r="DL40" i="33"/>
  <c r="BJ120" i="77"/>
  <c r="BJ121" i="77" s="1"/>
  <c r="DL164" i="33"/>
  <c r="U37" i="33"/>
  <c r="T14" i="90"/>
  <c r="T94" i="15"/>
  <c r="AT277" i="58"/>
  <c r="V661" i="12"/>
  <c r="Z15" i="57"/>
  <c r="Y15" i="57"/>
  <c r="Y10" i="57"/>
  <c r="Y11" i="57" s="1"/>
  <c r="X11" i="57"/>
  <c r="CB94" i="15"/>
  <c r="CB14" i="90"/>
  <c r="T95" i="33"/>
  <c r="T85" i="14" s="1"/>
  <c r="T84" i="14"/>
  <c r="U110" i="33"/>
  <c r="U90" i="33"/>
  <c r="U91" i="33" s="1"/>
  <c r="U92" i="33" s="1"/>
  <c r="U146" i="33"/>
  <c r="U20" i="33"/>
  <c r="BB90" i="77" s="1"/>
  <c r="U104" i="33"/>
  <c r="U162" i="33"/>
  <c r="U20" i="48"/>
  <c r="AR215" i="58"/>
  <c r="AR216" i="58" s="1"/>
  <c r="AR214" i="58"/>
  <c r="CL110" i="33"/>
  <c r="M197" i="66"/>
  <c r="M90" i="66"/>
  <c r="V660" i="12"/>
  <c r="EF226" i="48"/>
  <c r="EC226" i="48"/>
  <c r="CH94" i="15"/>
  <c r="CH14" i="90"/>
  <c r="AQ6" i="58"/>
  <c r="AQ5" i="58"/>
  <c r="AQ10" i="58"/>
  <c r="DN36" i="33"/>
  <c r="DN146" i="33"/>
  <c r="DN20" i="33"/>
  <c r="BJ84" i="77" s="1"/>
  <c r="DN37" i="33"/>
  <c r="DN104" i="33"/>
  <c r="X474" i="12"/>
  <c r="X472" i="12" s="1"/>
  <c r="X476" i="12"/>
  <c r="AO150" i="33"/>
  <c r="L30" i="53"/>
  <c r="L34" i="53" s="1"/>
  <c r="T48" i="33"/>
  <c r="T65" i="80"/>
  <c r="T67" i="80" s="1"/>
  <c r="T116" i="33"/>
  <c r="T55" i="33"/>
  <c r="BR82" i="14"/>
  <c r="CG97" i="33"/>
  <c r="CG94" i="33"/>
  <c r="CG93" i="33"/>
  <c r="BR83" i="14" s="1"/>
  <c r="J214" i="65"/>
  <c r="J223" i="65" s="1"/>
  <c r="CN99" i="15"/>
  <c r="CN101" i="15" s="1"/>
  <c r="CN97" i="15"/>
  <c r="U79" i="14"/>
  <c r="U81" i="14"/>
  <c r="U220" i="14"/>
  <c r="U128" i="14"/>
  <c r="U125" i="14"/>
  <c r="U134" i="14"/>
  <c r="T5" i="71"/>
  <c r="T10" i="71"/>
  <c r="CA65" i="48"/>
  <c r="CA69" i="48"/>
  <c r="CA67" i="48"/>
  <c r="DD95" i="33"/>
  <c r="CM85" i="14" s="1"/>
  <c r="CQ84" i="14"/>
  <c r="CL146" i="33"/>
  <c r="CL104" i="33"/>
  <c r="E43" i="66"/>
  <c r="E53" i="66"/>
  <c r="E59" i="66"/>
  <c r="E57" i="66" s="1"/>
  <c r="E210" i="66" s="1"/>
  <c r="M214" i="66"/>
  <c r="M223" i="66" s="1"/>
  <c r="M208" i="66"/>
  <c r="M209" i="66" s="1"/>
  <c r="H85" i="56"/>
  <c r="F93" i="56"/>
  <c r="H93" i="56" s="1"/>
  <c r="DM114" i="33"/>
  <c r="DM41" i="33"/>
  <c r="DM148" i="33"/>
  <c r="V667" i="12"/>
  <c r="V16" i="48" s="1"/>
  <c r="V665" i="12"/>
  <c r="DL93" i="33"/>
  <c r="CY83" i="14" s="1"/>
  <c r="CU82" i="14"/>
  <c r="DL94" i="33"/>
  <c r="CY84" i="14" s="1"/>
  <c r="DL97" i="33"/>
  <c r="DL98" i="33" s="1"/>
  <c r="DL99" i="33" s="1"/>
  <c r="CU86" i="14" s="1"/>
  <c r="P10" i="56"/>
  <c r="N11" i="56"/>
  <c r="P11" i="56" s="1"/>
  <c r="CG84" i="14"/>
  <c r="CT95" i="33"/>
  <c r="CC85" i="14" s="1"/>
  <c r="CC89" i="14" s="1"/>
  <c r="DD116" i="33"/>
  <c r="DD55" i="33"/>
  <c r="DE166" i="33"/>
  <c r="CL173" i="15"/>
  <c r="DD48" i="33"/>
  <c r="DD150" i="33"/>
  <c r="DD166" i="33"/>
  <c r="DN90" i="33"/>
  <c r="DN91" i="33" s="1"/>
  <c r="DN92" i="33" s="1"/>
  <c r="CW82" i="14" s="1"/>
  <c r="L207" i="66"/>
  <c r="L38" i="66"/>
  <c r="DL41" i="33"/>
  <c r="DL148" i="33"/>
  <c r="DL114" i="33"/>
  <c r="U36" i="33"/>
  <c r="R6" i="64"/>
  <c r="R44" i="33"/>
  <c r="Q7" i="71"/>
  <c r="Q8" i="71" s="1"/>
  <c r="AQ30" i="56"/>
  <c r="R22" i="48"/>
  <c r="R47" i="33"/>
  <c r="R110" i="14"/>
  <c r="R42" i="33"/>
  <c r="BA265" i="77"/>
  <c r="BA266" i="77" s="1"/>
  <c r="F7" i="75"/>
  <c r="S44" i="33"/>
  <c r="R114" i="33"/>
  <c r="AM148" i="33"/>
  <c r="R41" i="33"/>
  <c r="T10" i="64"/>
  <c r="T33" i="64"/>
  <c r="U822" i="12"/>
  <c r="U31" i="12"/>
  <c r="AL10" i="64"/>
  <c r="AL33" i="64"/>
  <c r="M42" i="53"/>
  <c r="M40" i="53"/>
  <c r="AZ36" i="77"/>
  <c r="AX36" i="77"/>
  <c r="BA36" i="77"/>
  <c r="Q10" i="58"/>
  <c r="Q6" i="58"/>
  <c r="BJ101" i="77"/>
  <c r="EA259" i="48"/>
  <c r="EC259" i="48" s="1"/>
  <c r="EF256" i="48"/>
  <c r="EC256" i="48"/>
  <c r="EA237" i="48"/>
  <c r="EA241" i="48" s="1"/>
  <c r="EA250" i="48" s="1"/>
  <c r="EF230" i="48"/>
  <c r="BX73" i="48"/>
  <c r="BX70" i="48"/>
  <c r="CG87" i="14"/>
  <c r="CG88" i="14"/>
  <c r="CM84" i="14"/>
  <c r="CZ95" i="33"/>
  <c r="CI85" i="14" s="1"/>
  <c r="CI89" i="14" s="1"/>
  <c r="CZ55" i="33"/>
  <c r="CZ116" i="33"/>
  <c r="CH173" i="15"/>
  <c r="CZ48" i="33"/>
  <c r="DE150" i="33"/>
  <c r="CL14" i="90"/>
  <c r="CL94" i="15"/>
  <c r="X279" i="12"/>
  <c r="Y168" i="12"/>
  <c r="Y21" i="80"/>
  <c r="Y22" i="80" s="1"/>
  <c r="Z167" i="12"/>
  <c r="AA167" i="12" s="1"/>
  <c r="AR363" i="58"/>
  <c r="AR364" i="58" s="1"/>
  <c r="AR361" i="58"/>
  <c r="AR362" i="58" s="1"/>
  <c r="AT105" i="58"/>
  <c r="AT106" i="58" s="1"/>
  <c r="V377" i="12"/>
  <c r="U103" i="71"/>
  <c r="U104" i="71" s="1"/>
  <c r="V30" i="80"/>
  <c r="V31" i="80" s="1"/>
  <c r="CW830" i="12"/>
  <c r="CW829" i="12"/>
  <c r="V384" i="12"/>
  <c r="U105" i="71"/>
  <c r="U106" i="71" s="1"/>
  <c r="AS113" i="58"/>
  <c r="CH300" i="90"/>
  <c r="CH302" i="90" s="1"/>
  <c r="CH366" i="90" s="1"/>
  <c r="H77" i="52" l="1"/>
  <c r="H78" i="52"/>
  <c r="H80" i="52" s="1"/>
  <c r="H81" i="52" s="1"/>
  <c r="CY847" i="12"/>
  <c r="CZ847" i="12" s="1"/>
  <c r="DA847" i="12" s="1"/>
  <c r="DB847" i="12" s="1"/>
  <c r="DC847" i="12" s="1"/>
  <c r="W847" i="12" s="1"/>
  <c r="CB78" i="33"/>
  <c r="BN111" i="14"/>
  <c r="BN96" i="14" s="1"/>
  <c r="CB79" i="33"/>
  <c r="CB152" i="33"/>
  <c r="CB67" i="33"/>
  <c r="CC168" i="33"/>
  <c r="CB119" i="33"/>
  <c r="I102" i="52"/>
  <c r="J101" i="52"/>
  <c r="J74" i="15"/>
  <c r="J83" i="15"/>
  <c r="J88" i="15" s="1"/>
  <c r="J90" i="15" s="1"/>
  <c r="J92" i="15" s="1"/>
  <c r="J103" i="15"/>
  <c r="J105" i="15" s="1"/>
  <c r="J107" i="15" s="1"/>
  <c r="J30" i="48"/>
  <c r="J68" i="15"/>
  <c r="Y230" i="12"/>
  <c r="Y232" i="12"/>
  <c r="CM232" i="12"/>
  <c r="AD292" i="12"/>
  <c r="K75" i="52"/>
  <c r="Z119" i="90"/>
  <c r="AA117" i="90"/>
  <c r="AC294" i="12"/>
  <c r="AB13" i="12"/>
  <c r="AB14" i="33" s="1"/>
  <c r="AB144" i="33" s="1"/>
  <c r="CT265" i="90"/>
  <c r="CT266" i="90" s="1"/>
  <c r="CY826" i="12"/>
  <c r="AJ83" i="77"/>
  <c r="CL218" i="33"/>
  <c r="AB276" i="90"/>
  <c r="AB278" i="90" s="1"/>
  <c r="AD291" i="12"/>
  <c r="D75" i="52"/>
  <c r="CE41" i="90"/>
  <c r="Z231" i="12"/>
  <c r="Z232" i="12" s="1"/>
  <c r="AA165" i="12"/>
  <c r="CN231" i="12"/>
  <c r="CN232" i="12" s="1"/>
  <c r="CO165" i="12"/>
  <c r="CH93" i="90"/>
  <c r="CH95" i="90" s="1"/>
  <c r="CI93" i="90" s="1"/>
  <c r="CI95" i="90" s="1"/>
  <c r="CI352" i="90" s="1"/>
  <c r="CH352" i="90"/>
  <c r="CM230" i="12"/>
  <c r="I101" i="52"/>
  <c r="J100" i="52"/>
  <c r="Z357" i="90"/>
  <c r="AA223" i="90"/>
  <c r="AA225" i="90" s="1"/>
  <c r="AA357" i="90" s="1"/>
  <c r="BR73" i="33"/>
  <c r="AB270" i="90"/>
  <c r="AB272" i="90" s="1"/>
  <c r="AB362" i="90"/>
  <c r="N33" i="90"/>
  <c r="O33" i="90" s="1"/>
  <c r="P33" i="90" s="1"/>
  <c r="Q33" i="90" s="1"/>
  <c r="BT33" i="90"/>
  <c r="BS35" i="90"/>
  <c r="N35" i="90" s="1"/>
  <c r="CU844" i="12"/>
  <c r="CU842" i="12"/>
  <c r="CU846" i="12" s="1"/>
  <c r="U846" i="12" s="1"/>
  <c r="CU843" i="12"/>
  <c r="CU847" i="12" s="1"/>
  <c r="U847" i="12" s="1"/>
  <c r="BP309" i="90"/>
  <c r="BP310" i="90" s="1"/>
  <c r="BP28" i="90"/>
  <c r="BQ26" i="90"/>
  <c r="BB76" i="15"/>
  <c r="BB78" i="15"/>
  <c r="BB81" i="15" s="1"/>
  <c r="CH219" i="90"/>
  <c r="CH218" i="90"/>
  <c r="CH220" i="90" s="1"/>
  <c r="CG352" i="90"/>
  <c r="CB73" i="33"/>
  <c r="CB75" i="33" s="1"/>
  <c r="CG318" i="90"/>
  <c r="CG317" i="90" s="1"/>
  <c r="CH26" i="90"/>
  <c r="CG28" i="90"/>
  <c r="CH29" i="90"/>
  <c r="H79" i="52"/>
  <c r="CA83" i="90"/>
  <c r="CA323" i="90" s="1"/>
  <c r="CN53" i="90"/>
  <c r="I71" i="52"/>
  <c r="AD99" i="90"/>
  <c r="AD101" i="90" s="1"/>
  <c r="AD353" i="90"/>
  <c r="BC83" i="15"/>
  <c r="BC88" i="15" s="1"/>
  <c r="BC90" i="15" s="1"/>
  <c r="BC92" i="15" s="1"/>
  <c r="AT30" i="48"/>
  <c r="BC74" i="15"/>
  <c r="BC68" i="15"/>
  <c r="D29" i="52"/>
  <c r="BQ309" i="90"/>
  <c r="BQ310" i="90" s="1"/>
  <c r="BR20" i="90"/>
  <c r="BR22" i="90" s="1"/>
  <c r="CZ270" i="90"/>
  <c r="CZ272" i="90" s="1"/>
  <c r="Y326" i="90"/>
  <c r="Z326" i="90"/>
  <c r="N26" i="90"/>
  <c r="M309" i="90"/>
  <c r="M310" i="90" s="1"/>
  <c r="AA168" i="12"/>
  <c r="AB167" i="12"/>
  <c r="AA230" i="90"/>
  <c r="AB228" i="90" s="1"/>
  <c r="AB347" i="90" s="1"/>
  <c r="AB349" i="90" s="1"/>
  <c r="CO355" i="90"/>
  <c r="CP246" i="90"/>
  <c r="CP248" i="90" s="1"/>
  <c r="CP358" i="90" s="1"/>
  <c r="CD183" i="90"/>
  <c r="CD185" i="90" s="1"/>
  <c r="CD338" i="90" s="1"/>
  <c r="AC105" i="90"/>
  <c r="AC107" i="90" s="1"/>
  <c r="AC354" i="90" s="1"/>
  <c r="CD111" i="90"/>
  <c r="CD113" i="90" s="1"/>
  <c r="CD325" i="90" s="1"/>
  <c r="CM163" i="90"/>
  <c r="CM165" i="90" s="1"/>
  <c r="CB138" i="90"/>
  <c r="CB140" i="90" s="1"/>
  <c r="P140" i="90"/>
  <c r="CH123" i="90"/>
  <c r="CH125" i="90" s="1"/>
  <c r="CI123" i="90" s="1"/>
  <c r="CI125" i="90" s="1"/>
  <c r="CI327" i="90" s="1"/>
  <c r="AB123" i="90"/>
  <c r="AB125" i="90" s="1"/>
  <c r="AB327" i="90" s="1"/>
  <c r="BU73" i="33"/>
  <c r="BF73" i="33"/>
  <c r="BF75" i="33" s="1"/>
  <c r="AC69" i="33"/>
  <c r="AD27" i="33"/>
  <c r="AD69" i="33" s="1"/>
  <c r="BF151" i="33"/>
  <c r="BA63" i="33"/>
  <c r="BA151" i="33"/>
  <c r="BA167" i="33"/>
  <c r="AC29" i="33"/>
  <c r="AB71" i="33"/>
  <c r="AB73" i="33" s="1"/>
  <c r="AB180" i="33"/>
  <c r="AB185" i="33" s="1"/>
  <c r="AB203" i="33"/>
  <c r="AB204" i="33" s="1"/>
  <c r="AC187" i="33"/>
  <c r="BA71" i="33"/>
  <c r="BA70" i="33"/>
  <c r="BA72" i="33"/>
  <c r="BA69" i="33"/>
  <c r="CC118" i="33"/>
  <c r="CC80" i="33"/>
  <c r="AC70" i="33"/>
  <c r="AD28" i="33"/>
  <c r="AD70" i="33" s="1"/>
  <c r="AC30" i="33"/>
  <c r="AB72" i="33"/>
  <c r="BM20" i="48"/>
  <c r="CL20" i="33"/>
  <c r="N94" i="33"/>
  <c r="N84" i="14" s="1"/>
  <c r="CO87" i="14"/>
  <c r="CF99" i="15"/>
  <c r="CF101" i="15" s="1"/>
  <c r="CF97" i="15"/>
  <c r="BW38" i="48" s="1"/>
  <c r="CX58" i="33"/>
  <c r="CF119" i="15"/>
  <c r="CX61" i="33"/>
  <c r="CL37" i="33"/>
  <c r="E208" i="65"/>
  <c r="E209" i="65" s="1"/>
  <c r="E210" i="65" s="1"/>
  <c r="AS151" i="33"/>
  <c r="AS63" i="33"/>
  <c r="AT167" i="33"/>
  <c r="AS167" i="33"/>
  <c r="AK71" i="33"/>
  <c r="D71" i="33" s="1"/>
  <c r="AL63" i="33"/>
  <c r="AM167" i="33"/>
  <c r="S164" i="33"/>
  <c r="AS152" i="33"/>
  <c r="BD73" i="33"/>
  <c r="AS70" i="33"/>
  <c r="AU70" i="33" s="1"/>
  <c r="F70" i="33" s="1"/>
  <c r="AS72" i="33"/>
  <c r="AU72" i="33" s="1"/>
  <c r="F72" i="33" s="1"/>
  <c r="AS71" i="33"/>
  <c r="AU71" i="33" s="1"/>
  <c r="F71" i="33" s="1"/>
  <c r="AS69" i="33"/>
  <c r="BL61" i="33"/>
  <c r="BL58" i="33"/>
  <c r="CA61" i="33"/>
  <c r="CA58" i="33"/>
  <c r="BP167" i="33"/>
  <c r="BN63" i="33"/>
  <c r="BN167" i="33"/>
  <c r="BN151" i="33"/>
  <c r="BS151" i="33"/>
  <c r="AK70" i="33"/>
  <c r="D70" i="33" s="1"/>
  <c r="BG151" i="33"/>
  <c r="BG63" i="33"/>
  <c r="BG167" i="33"/>
  <c r="BH167" i="33"/>
  <c r="AL70" i="33"/>
  <c r="AL69" i="33"/>
  <c r="AL71" i="33"/>
  <c r="AL72" i="33"/>
  <c r="AP72" i="33" s="1"/>
  <c r="E72" i="33" s="1"/>
  <c r="AX69" i="33"/>
  <c r="AX71" i="33"/>
  <c r="AZ71" i="33" s="1"/>
  <c r="G71" i="33" s="1"/>
  <c r="AX70" i="33"/>
  <c r="AZ70" i="33" s="1"/>
  <c r="G70" i="33" s="1"/>
  <c r="AX72" i="33"/>
  <c r="AZ72" i="33" s="1"/>
  <c r="G72" i="33" s="1"/>
  <c r="BQ58" i="33"/>
  <c r="BQ61" i="33"/>
  <c r="BJ61" i="33"/>
  <c r="BJ63" i="33" s="1"/>
  <c r="BJ58" i="33"/>
  <c r="F99" i="15"/>
  <c r="F101" i="15" s="1"/>
  <c r="F97" i="15"/>
  <c r="AP71" i="33"/>
  <c r="E71" i="33" s="1"/>
  <c r="AK78" i="33"/>
  <c r="AK67" i="33"/>
  <c r="AK79" i="33"/>
  <c r="CM211" i="33"/>
  <c r="CL222" i="33"/>
  <c r="CL223" i="33" s="1"/>
  <c r="DU196" i="33"/>
  <c r="AJ78" i="33"/>
  <c r="AJ67" i="33"/>
  <c r="AJ79" i="33"/>
  <c r="AL168" i="33"/>
  <c r="BG70" i="33"/>
  <c r="BJ70" i="33" s="1"/>
  <c r="I70" i="33" s="1"/>
  <c r="BG71" i="33"/>
  <c r="BJ71" i="33" s="1"/>
  <c r="I71" i="33" s="1"/>
  <c r="BG72" i="33"/>
  <c r="BJ72" i="33" s="1"/>
  <c r="I72" i="33" s="1"/>
  <c r="BG69" i="33"/>
  <c r="S148" i="33"/>
  <c r="AP70" i="33"/>
  <c r="E70" i="33" s="1"/>
  <c r="AR73" i="33"/>
  <c r="G55" i="33"/>
  <c r="G150" i="33"/>
  <c r="G116" i="33"/>
  <c r="G48" i="33"/>
  <c r="BP73" i="33"/>
  <c r="F150" i="33"/>
  <c r="F48" i="33"/>
  <c r="F55" i="33"/>
  <c r="F116" i="33"/>
  <c r="AQ151" i="33"/>
  <c r="BK118" i="33"/>
  <c r="BK80" i="33"/>
  <c r="BN71" i="33"/>
  <c r="BN69" i="33"/>
  <c r="BN72" i="33"/>
  <c r="BN70" i="33"/>
  <c r="AH73" i="33"/>
  <c r="AH75" i="33" s="1"/>
  <c r="AH80" i="33" s="1"/>
  <c r="AK69" i="33"/>
  <c r="BC167" i="33"/>
  <c r="BB167" i="33"/>
  <c r="BB151" i="33"/>
  <c r="BB63" i="33"/>
  <c r="AX151" i="33"/>
  <c r="AX167" i="33"/>
  <c r="AY167" i="33"/>
  <c r="AX63" i="33"/>
  <c r="BC151" i="33"/>
  <c r="BU152" i="33"/>
  <c r="BU79" i="33"/>
  <c r="BU67" i="33"/>
  <c r="BU75" i="33" s="1"/>
  <c r="BU78" i="33"/>
  <c r="BU119" i="33"/>
  <c r="BZ152" i="33"/>
  <c r="BH111" i="14"/>
  <c r="BH96" i="14" s="1"/>
  <c r="AU61" i="33"/>
  <c r="AU63" i="33" s="1"/>
  <c r="AU58" i="33"/>
  <c r="AV152" i="33"/>
  <c r="AR168" i="33"/>
  <c r="AQ79" i="33"/>
  <c r="AQ67" i="33"/>
  <c r="AJ111" i="14"/>
  <c r="AJ96" i="14" s="1"/>
  <c r="AJ102" i="14" s="1"/>
  <c r="AQ78" i="33"/>
  <c r="AQ119" i="33"/>
  <c r="AQ152" i="33"/>
  <c r="BD111" i="14"/>
  <c r="BD96" i="14" s="1"/>
  <c r="BP152" i="33"/>
  <c r="BP67" i="33"/>
  <c r="BP79" i="33"/>
  <c r="BP119" i="33"/>
  <c r="BP78" i="33"/>
  <c r="BV58" i="33"/>
  <c r="BV61" i="33"/>
  <c r="BI118" i="33"/>
  <c r="AO118" i="33"/>
  <c r="AO80" i="33"/>
  <c r="AJ73" i="33"/>
  <c r="AJ75" i="33" s="1"/>
  <c r="AJ80" i="33" s="1"/>
  <c r="AQ73" i="33"/>
  <c r="CL198" i="33"/>
  <c r="CL197" i="33"/>
  <c r="CL199" i="33" s="1"/>
  <c r="AL167" i="33"/>
  <c r="AR79" i="33"/>
  <c r="AR119" i="33"/>
  <c r="AR78" i="33"/>
  <c r="AK111" i="14"/>
  <c r="AK96" i="14" s="1"/>
  <c r="AR67" i="33"/>
  <c r="AW152" i="33"/>
  <c r="AR152" i="33"/>
  <c r="AU111" i="14"/>
  <c r="AU96" i="14" s="1"/>
  <c r="BD67" i="33"/>
  <c r="BF168" i="33"/>
  <c r="BD168" i="33"/>
  <c r="BI152" i="33"/>
  <c r="BD78" i="33"/>
  <c r="BD79" i="33"/>
  <c r="BD119" i="33"/>
  <c r="BD152" i="33"/>
  <c r="G99" i="15"/>
  <c r="G101" i="15" s="1"/>
  <c r="G97" i="15"/>
  <c r="BT55" i="33"/>
  <c r="BT116" i="33"/>
  <c r="BT48" i="33"/>
  <c r="AK72" i="33"/>
  <c r="D72" i="33" s="1"/>
  <c r="BB71" i="33"/>
  <c r="BE71" i="33" s="1"/>
  <c r="H71" i="33" s="1"/>
  <c r="BB72" i="33"/>
  <c r="BE72" i="33" s="1"/>
  <c r="H72" i="33" s="1"/>
  <c r="BB69" i="33"/>
  <c r="BB70" i="33"/>
  <c r="BE70" i="33" s="1"/>
  <c r="H70" i="33" s="1"/>
  <c r="BR152" i="33"/>
  <c r="BR79" i="33"/>
  <c r="BR78" i="33"/>
  <c r="BR119" i="33"/>
  <c r="BW152" i="33"/>
  <c r="BR67" i="33"/>
  <c r="BR75" i="33" s="1"/>
  <c r="BF111" i="14"/>
  <c r="BF96" i="14" s="1"/>
  <c r="BO48" i="33"/>
  <c r="BO116" i="33"/>
  <c r="BO55" i="33"/>
  <c r="DC274" i="12"/>
  <c r="DC293" i="12" s="1"/>
  <c r="DB275" i="12"/>
  <c r="DC105" i="90"/>
  <c r="DC107" i="90" s="1"/>
  <c r="DC354" i="90" s="1"/>
  <c r="CO57" i="90"/>
  <c r="CO59" i="90" s="1"/>
  <c r="CP57" i="90" s="1"/>
  <c r="CP59" i="90" s="1"/>
  <c r="CQ57" i="90" s="1"/>
  <c r="CQ59" i="90" s="1"/>
  <c r="CR57" i="90" s="1"/>
  <c r="CR59" i="90" s="1"/>
  <c r="CS57" i="90" s="1"/>
  <c r="CS59" i="90" s="1"/>
  <c r="CT57" i="90" s="1"/>
  <c r="CT59" i="90" s="1"/>
  <c r="CU57" i="90" s="1"/>
  <c r="CU59" i="90" s="1"/>
  <c r="CV57" i="90" s="1"/>
  <c r="CV59" i="90" s="1"/>
  <c r="CW57" i="90" s="1"/>
  <c r="CW59" i="90" s="1"/>
  <c r="CX57" i="90" s="1"/>
  <c r="CX59" i="90" s="1"/>
  <c r="CY57" i="90" s="1"/>
  <c r="CY59" i="90" s="1"/>
  <c r="CZ57" i="90" s="1"/>
  <c r="CZ59" i="90" s="1"/>
  <c r="DA57" i="90" s="1"/>
  <c r="DA59" i="90" s="1"/>
  <c r="DB57" i="90" s="1"/>
  <c r="DB59" i="90" s="1"/>
  <c r="DC57" i="90" s="1"/>
  <c r="DC59" i="90" s="1"/>
  <c r="W59" i="90"/>
  <c r="X57" i="90" s="1"/>
  <c r="X59" i="90" s="1"/>
  <c r="Y57" i="90" s="1"/>
  <c r="Y59" i="90" s="1"/>
  <c r="Z57" i="90" s="1"/>
  <c r="Z59" i="90" s="1"/>
  <c r="AA57" i="90" s="1"/>
  <c r="AA59" i="90" s="1"/>
  <c r="AB57" i="90" s="1"/>
  <c r="AB59" i="90" s="1"/>
  <c r="AC57" i="90" s="1"/>
  <c r="AC59" i="90" s="1"/>
  <c r="AD57" i="90" s="1"/>
  <c r="AD59" i="90" s="1"/>
  <c r="CB118" i="33"/>
  <c r="CB80" i="33"/>
  <c r="DA667" i="12"/>
  <c r="X44" i="12"/>
  <c r="W695" i="12"/>
  <c r="X565" i="12"/>
  <c r="W35" i="80"/>
  <c r="W36" i="80" s="1"/>
  <c r="X45" i="12"/>
  <c r="Z493" i="12"/>
  <c r="Y11" i="12"/>
  <c r="Z492" i="12"/>
  <c r="Y10" i="12"/>
  <c r="EC310" i="48"/>
  <c r="W141" i="33"/>
  <c r="X141" i="33"/>
  <c r="W142" i="33"/>
  <c r="X142" i="33"/>
  <c r="AT280" i="58"/>
  <c r="Q100" i="14"/>
  <c r="P100" i="14"/>
  <c r="I85" i="65"/>
  <c r="P71" i="14"/>
  <c r="X70" i="14"/>
  <c r="W97" i="14"/>
  <c r="X100" i="14"/>
  <c r="Y68" i="14"/>
  <c r="J78" i="66"/>
  <c r="CA64" i="14"/>
  <c r="L84" i="66"/>
  <c r="CC68" i="14"/>
  <c r="CB100" i="14"/>
  <c r="DA357" i="90"/>
  <c r="BJ20" i="77"/>
  <c r="DB357" i="90"/>
  <c r="DC223" i="90"/>
  <c r="DC225" i="90" s="1"/>
  <c r="DC357" i="90" s="1"/>
  <c r="V124" i="14"/>
  <c r="BJ37" i="77"/>
  <c r="J61" i="33"/>
  <c r="J58" i="33"/>
  <c r="BY58" i="33"/>
  <c r="BY61" i="33"/>
  <c r="K150" i="33"/>
  <c r="L150" i="33"/>
  <c r="K55" i="33"/>
  <c r="K116" i="33"/>
  <c r="C30" i="53"/>
  <c r="C34" i="53" s="1"/>
  <c r="K48" i="33"/>
  <c r="H97" i="15"/>
  <c r="H99" i="15"/>
  <c r="H101" i="15" s="1"/>
  <c r="E91" i="65"/>
  <c r="E198" i="65"/>
  <c r="C208" i="65"/>
  <c r="C38" i="65"/>
  <c r="BX71" i="33"/>
  <c r="BX69" i="33"/>
  <c r="BX70" i="33"/>
  <c r="BX72" i="33"/>
  <c r="M55" i="33"/>
  <c r="M48" i="33"/>
  <c r="M150" i="33"/>
  <c r="E30" i="53"/>
  <c r="E34" i="53" s="1"/>
  <c r="M116" i="33"/>
  <c r="M94" i="15"/>
  <c r="M14" i="90"/>
  <c r="DM95" i="33"/>
  <c r="CV85" i="14" s="1"/>
  <c r="CV89" i="14" s="1"/>
  <c r="CZ84" i="14"/>
  <c r="H58" i="33"/>
  <c r="H61" i="33"/>
  <c r="K99" i="15"/>
  <c r="K101" i="15" s="1"/>
  <c r="K97" i="15"/>
  <c r="CC151" i="33"/>
  <c r="BX63" i="33"/>
  <c r="BX151" i="33"/>
  <c r="BX167" i="33"/>
  <c r="BZ167" i="33"/>
  <c r="L166" i="33"/>
  <c r="K166" i="33"/>
  <c r="V29" i="64"/>
  <c r="V27" i="64"/>
  <c r="W472" i="12"/>
  <c r="V233" i="71"/>
  <c r="V234" i="71" s="1"/>
  <c r="W55" i="80"/>
  <c r="W56" i="80" s="1"/>
  <c r="W635" i="12"/>
  <c r="X634" i="12"/>
  <c r="W41" i="80"/>
  <c r="W42" i="80" s="1"/>
  <c r="V167" i="71"/>
  <c r="V168" i="71" s="1"/>
  <c r="DB623" i="12"/>
  <c r="DB685" i="12" s="1"/>
  <c r="DB661" i="12" s="1"/>
  <c r="X471" i="12"/>
  <c r="W233" i="71" s="1"/>
  <c r="DA660" i="12"/>
  <c r="DB700" i="12"/>
  <c r="DB701" i="12" s="1"/>
  <c r="DB696" i="12"/>
  <c r="DB625" i="12"/>
  <c r="DB697" i="12"/>
  <c r="DB698" i="12" s="1"/>
  <c r="DC624" i="12"/>
  <c r="W624" i="12" s="1"/>
  <c r="DC695" i="12"/>
  <c r="DC120" i="14" s="1"/>
  <c r="DC494" i="12"/>
  <c r="W494" i="12" s="1"/>
  <c r="DC472" i="12"/>
  <c r="DI150" i="33"/>
  <c r="O15" i="33"/>
  <c r="DC635" i="12"/>
  <c r="CZ508" i="12"/>
  <c r="CZ515" i="12" s="1"/>
  <c r="DA383" i="12"/>
  <c r="DB376" i="12"/>
  <c r="DA377" i="12"/>
  <c r="DB495" i="12"/>
  <c r="DB497" i="12"/>
  <c r="CZ385" i="12"/>
  <c r="CZ290" i="12"/>
  <c r="CZ384" i="12"/>
  <c r="Q5" i="58"/>
  <c r="K40" i="65"/>
  <c r="K208" i="65" s="1"/>
  <c r="K215" i="65" s="1"/>
  <c r="K224" i="65" s="1"/>
  <c r="S246" i="71"/>
  <c r="S86" i="14"/>
  <c r="S90" i="14" s="1"/>
  <c r="L86" i="14"/>
  <c r="L90" i="14" s="1"/>
  <c r="S110" i="14"/>
  <c r="R7" i="71"/>
  <c r="R8" i="71" s="1"/>
  <c r="S22" i="48"/>
  <c r="S42" i="33"/>
  <c r="T166" i="33" s="1"/>
  <c r="S6" i="64"/>
  <c r="BB202" i="77"/>
  <c r="BB203" i="77" s="1"/>
  <c r="G7" i="75"/>
  <c r="H8" i="75" s="1"/>
  <c r="S47" i="33"/>
  <c r="T44" i="33"/>
  <c r="S84" i="14"/>
  <c r="S95" i="33"/>
  <c r="L84" i="14"/>
  <c r="BX847" i="12"/>
  <c r="DJ58" i="33"/>
  <c r="DJ61" i="33"/>
  <c r="S41" i="33"/>
  <c r="AN148" i="33"/>
  <c r="S114" i="33"/>
  <c r="T40" i="33"/>
  <c r="T148" i="33"/>
  <c r="T164" i="33"/>
  <c r="S83" i="14"/>
  <c r="L83" i="14"/>
  <c r="BY73" i="48"/>
  <c r="BY70" i="48"/>
  <c r="BY843" i="12"/>
  <c r="BY847" i="12" s="1"/>
  <c r="BY842" i="12"/>
  <c r="BY846" i="12" s="1"/>
  <c r="Q239" i="12"/>
  <c r="CD843" i="12"/>
  <c r="CD847" i="12" s="1"/>
  <c r="CD842" i="12"/>
  <c r="CD846" i="12" s="1"/>
  <c r="CD839" i="12"/>
  <c r="CG166" i="12"/>
  <c r="CF240" i="12"/>
  <c r="R166" i="12"/>
  <c r="DB162" i="33"/>
  <c r="BJ283" i="77"/>
  <c r="DC162" i="33"/>
  <c r="CN842" i="12"/>
  <c r="CN846" i="12" s="1"/>
  <c r="CN839" i="12"/>
  <c r="CN843" i="12"/>
  <c r="CN847" i="12" s="1"/>
  <c r="Q240" i="12"/>
  <c r="CE241" i="12"/>
  <c r="DG148" i="33"/>
  <c r="DB41" i="33"/>
  <c r="DB114" i="33"/>
  <c r="CJ842" i="12"/>
  <c r="CJ846" i="12" s="1"/>
  <c r="CJ843" i="12"/>
  <c r="CJ847" i="12" s="1"/>
  <c r="CH844" i="12"/>
  <c r="CH847" i="12" s="1"/>
  <c r="CH119" i="15" s="1"/>
  <c r="CH842" i="12"/>
  <c r="CH846" i="12" s="1"/>
  <c r="CH839" i="12"/>
  <c r="DD39" i="33"/>
  <c r="DB42" i="33"/>
  <c r="DB47" i="33"/>
  <c r="DB150" i="33" s="1"/>
  <c r="AE7" i="58"/>
  <c r="AE8" i="58" s="1"/>
  <c r="CJ839" i="12"/>
  <c r="DD44" i="33"/>
  <c r="CJ110" i="14"/>
  <c r="DB44" i="33"/>
  <c r="DB164" i="33"/>
  <c r="DC164" i="33"/>
  <c r="CJ153" i="15"/>
  <c r="BJ285" i="77"/>
  <c r="BJ286" i="77" s="1"/>
  <c r="DB39" i="33"/>
  <c r="DB40" i="33"/>
  <c r="CA22" i="48"/>
  <c r="DG40" i="33"/>
  <c r="N93" i="33"/>
  <c r="N83" i="14" s="1"/>
  <c r="N88" i="14" s="1"/>
  <c r="N97" i="33"/>
  <c r="N98" i="33" s="1"/>
  <c r="N99" i="33" s="1"/>
  <c r="N100" i="33" s="1"/>
  <c r="CD99" i="15"/>
  <c r="CD101" i="15" s="1"/>
  <c r="CD97" i="15"/>
  <c r="BU38" i="48" s="1"/>
  <c r="G94" i="66"/>
  <c r="G92" i="66" s="1"/>
  <c r="DN162" i="33"/>
  <c r="O143" i="33"/>
  <c r="P143" i="33"/>
  <c r="BW82" i="14"/>
  <c r="AM10" i="64"/>
  <c r="AM33" i="64"/>
  <c r="J28" i="57"/>
  <c r="AT80" i="57"/>
  <c r="J25" i="57"/>
  <c r="N20" i="57"/>
  <c r="N25" i="57" s="1"/>
  <c r="L20" i="57"/>
  <c r="J21" i="57"/>
  <c r="CC14" i="90"/>
  <c r="CC94" i="15"/>
  <c r="F53" i="56"/>
  <c r="E54" i="56"/>
  <c r="F54" i="56" s="1"/>
  <c r="BR14" i="90"/>
  <c r="BR94" i="15"/>
  <c r="CP97" i="15"/>
  <c r="CP99" i="15"/>
  <c r="CP101" i="15" s="1"/>
  <c r="CK99" i="15"/>
  <c r="CK101" i="15" s="1"/>
  <c r="CK97" i="15"/>
  <c r="CB38" i="48" s="1"/>
  <c r="DC58" i="33"/>
  <c r="DC61" i="33"/>
  <c r="DA55" i="33"/>
  <c r="CI173" i="15"/>
  <c r="DA48" i="33"/>
  <c r="DA116" i="33"/>
  <c r="DF150" i="33"/>
  <c r="CQ173" i="15"/>
  <c r="DI116" i="33"/>
  <c r="DI48" i="33"/>
  <c r="DI55" i="33"/>
  <c r="DJ166" i="33"/>
  <c r="CO14" i="90"/>
  <c r="CO94" i="15"/>
  <c r="CI94" i="15"/>
  <c r="CI14" i="90"/>
  <c r="CG48" i="33"/>
  <c r="CG55" i="33"/>
  <c r="CG116" i="33"/>
  <c r="CH166" i="33"/>
  <c r="CG150" i="33"/>
  <c r="CO173" i="15"/>
  <c r="DG55" i="33"/>
  <c r="DG48" i="33"/>
  <c r="DG116" i="33"/>
  <c r="DH166" i="33"/>
  <c r="DG166" i="33"/>
  <c r="DH58" i="33"/>
  <c r="DH61" i="33"/>
  <c r="CQ14" i="90"/>
  <c r="CQ94" i="15"/>
  <c r="CS14" i="90"/>
  <c r="CS94" i="15"/>
  <c r="CS99" i="15" s="1"/>
  <c r="CS101" i="15" s="1"/>
  <c r="Q34" i="56"/>
  <c r="R34" i="56" s="1"/>
  <c r="R33" i="56"/>
  <c r="Q14" i="90"/>
  <c r="Q94" i="15"/>
  <c r="CS173" i="15"/>
  <c r="DK48" i="33"/>
  <c r="DK116" i="33"/>
  <c r="DK55" i="33"/>
  <c r="DK166" i="33"/>
  <c r="DK150" i="33"/>
  <c r="I208" i="65"/>
  <c r="I215" i="65" s="1"/>
  <c r="I224" i="65" s="1"/>
  <c r="I38" i="65"/>
  <c r="Q33" i="64"/>
  <c r="Q10" i="64"/>
  <c r="CG165" i="15"/>
  <c r="CG168" i="15" s="1"/>
  <c r="R168" i="15" s="1"/>
  <c r="R153" i="15"/>
  <c r="R165" i="15" s="1"/>
  <c r="CY48" i="33"/>
  <c r="CY116" i="33"/>
  <c r="CY166" i="33"/>
  <c r="CG173" i="15"/>
  <c r="CY55" i="33"/>
  <c r="CG94" i="15"/>
  <c r="CG14" i="90"/>
  <c r="CN88" i="33"/>
  <c r="CM94" i="33"/>
  <c r="BW84" i="14" s="1"/>
  <c r="P22" i="64"/>
  <c r="CM97" i="33"/>
  <c r="CM98" i="33" s="1"/>
  <c r="CM99" i="33" s="1"/>
  <c r="BW86" i="14" s="1"/>
  <c r="BW90" i="14" s="1"/>
  <c r="BQ14" i="90"/>
  <c r="BQ94" i="15"/>
  <c r="CF150" i="33"/>
  <c r="CF116" i="33"/>
  <c r="CF48" i="33"/>
  <c r="CF55" i="33"/>
  <c r="CG166" i="33"/>
  <c r="C38" i="66"/>
  <c r="C207" i="66"/>
  <c r="BP14" i="90"/>
  <c r="BP94" i="15"/>
  <c r="N207" i="66"/>
  <c r="N38" i="66"/>
  <c r="CE92" i="33"/>
  <c r="CI91" i="33"/>
  <c r="CM99" i="15"/>
  <c r="CM101" i="15" s="1"/>
  <c r="CM97" i="15"/>
  <c r="CD38" i="48" s="1"/>
  <c r="CE94" i="15"/>
  <c r="CE14" i="90"/>
  <c r="BT94" i="15"/>
  <c r="BT14" i="90"/>
  <c r="CE166" i="33"/>
  <c r="CE116" i="33"/>
  <c r="CE150" i="33"/>
  <c r="CE48" i="33"/>
  <c r="CF166" i="33"/>
  <c r="CE55" i="33"/>
  <c r="DE61" i="33"/>
  <c r="DF167" i="33" s="1"/>
  <c r="DE58" i="33"/>
  <c r="N20" i="48"/>
  <c r="N36" i="33"/>
  <c r="N20" i="33"/>
  <c r="N162" i="33"/>
  <c r="N104" i="33"/>
  <c r="N146" i="33"/>
  <c r="N37" i="33"/>
  <c r="AO10" i="64"/>
  <c r="AO33" i="64"/>
  <c r="N108" i="14"/>
  <c r="N128" i="14"/>
  <c r="N134" i="14"/>
  <c r="N220" i="14"/>
  <c r="N125" i="14"/>
  <c r="N79" i="14"/>
  <c r="N81" i="14"/>
  <c r="F40" i="53"/>
  <c r="F42" i="53"/>
  <c r="CW55" i="33"/>
  <c r="CX166" i="33"/>
  <c r="CW48" i="33"/>
  <c r="CW116" i="33"/>
  <c r="CI164" i="33"/>
  <c r="CI148" i="33"/>
  <c r="CI41" i="33"/>
  <c r="F43" i="65"/>
  <c r="F47" i="65" s="1"/>
  <c r="F42" i="65" s="1"/>
  <c r="F59" i="65"/>
  <c r="F57" i="65" s="1"/>
  <c r="F211" i="65" s="1"/>
  <c r="F53" i="65"/>
  <c r="N110" i="33"/>
  <c r="CJ55" i="33"/>
  <c r="CJ48" i="33"/>
  <c r="CJ116" i="33"/>
  <c r="CJ166" i="33"/>
  <c r="CJ150" i="33"/>
  <c r="CI42" i="33"/>
  <c r="CI114" i="33"/>
  <c r="CI39" i="33"/>
  <c r="CI44" i="33"/>
  <c r="CI40" i="33"/>
  <c r="CI47" i="33"/>
  <c r="U32" i="90"/>
  <c r="CS34" i="90"/>
  <c r="CS32" i="90" s="1"/>
  <c r="CT240" i="90"/>
  <c r="CT242" i="90" s="1"/>
  <c r="V242" i="90"/>
  <c r="W240" i="90" s="1"/>
  <c r="AY80" i="33"/>
  <c r="AY118" i="33"/>
  <c r="CG46" i="90"/>
  <c r="CG45" i="90"/>
  <c r="CF324" i="90"/>
  <c r="G105" i="52"/>
  <c r="H104" i="52"/>
  <c r="G74" i="52"/>
  <c r="G75" i="52" s="1"/>
  <c r="CD202" i="14"/>
  <c r="CD203" i="14" s="1"/>
  <c r="CE200" i="14"/>
  <c r="W60" i="52"/>
  <c r="V92" i="52"/>
  <c r="U59" i="52"/>
  <c r="T91" i="52"/>
  <c r="U90" i="52"/>
  <c r="CE117" i="90"/>
  <c r="CE119" i="90" s="1"/>
  <c r="CE326" i="90" s="1"/>
  <c r="F76" i="52"/>
  <c r="BQ31" i="70"/>
  <c r="BQ32" i="70"/>
  <c r="T145" i="90"/>
  <c r="CO143" i="90"/>
  <c r="CO145" i="90" s="1"/>
  <c r="CP143" i="90" s="1"/>
  <c r="CP145" i="90" s="1"/>
  <c r="CQ143" i="90" s="1"/>
  <c r="CQ145" i="90" s="1"/>
  <c r="CR143" i="90" s="1"/>
  <c r="CR145" i="90" s="1"/>
  <c r="CS143" i="90" s="1"/>
  <c r="CS145" i="90" s="1"/>
  <c r="CT143" i="90" s="1"/>
  <c r="CT145" i="90" s="1"/>
  <c r="CU143" i="90" s="1"/>
  <c r="CU145" i="90" s="1"/>
  <c r="CV143" i="90" s="1"/>
  <c r="CV145" i="90" s="1"/>
  <c r="CW143" i="90" s="1"/>
  <c r="CW145" i="90" s="1"/>
  <c r="CX143" i="90" s="1"/>
  <c r="CX145" i="90" s="1"/>
  <c r="CY143" i="90" s="1"/>
  <c r="CY145" i="90" s="1"/>
  <c r="CZ143" i="90" s="1"/>
  <c r="CZ145" i="90" s="1"/>
  <c r="DA143" i="90" s="1"/>
  <c r="DA145" i="90" s="1"/>
  <c r="DB143" i="90" s="1"/>
  <c r="DB145" i="90" s="1"/>
  <c r="DC143" i="90" s="1"/>
  <c r="DC145" i="90" s="1"/>
  <c r="BT71" i="90"/>
  <c r="BU69" i="90" s="1"/>
  <c r="BU71" i="90" s="1"/>
  <c r="BV69" i="90" s="1"/>
  <c r="BV71" i="90" s="1"/>
  <c r="BW69" i="90" s="1"/>
  <c r="BW71" i="90" s="1"/>
  <c r="X41" i="52"/>
  <c r="W55" i="52"/>
  <c r="DZ69" i="15"/>
  <c r="J69" i="15"/>
  <c r="J70" i="15" s="1"/>
  <c r="I8" i="14"/>
  <c r="K103" i="52"/>
  <c r="V240" i="90"/>
  <c r="U241" i="90"/>
  <c r="F115" i="14"/>
  <c r="F15" i="90"/>
  <c r="CC63" i="90"/>
  <c r="CC65" i="90" s="1"/>
  <c r="CC320" i="90" s="1"/>
  <c r="CF198" i="90"/>
  <c r="CF200" i="90" s="1"/>
  <c r="CF341" i="90" s="1"/>
  <c r="Q200" i="90"/>
  <c r="CE341" i="90"/>
  <c r="Q96" i="52"/>
  <c r="R64" i="52"/>
  <c r="N198" i="33"/>
  <c r="N197" i="33"/>
  <c r="CC168" i="90"/>
  <c r="CC170" i="90" s="1"/>
  <c r="CC335" i="90" s="1"/>
  <c r="CM178" i="90"/>
  <c r="CM180" i="90" s="1"/>
  <c r="CM337" i="90" s="1"/>
  <c r="CD167" i="33"/>
  <c r="CD63" i="33"/>
  <c r="BS30" i="70"/>
  <c r="BS29" i="70" s="1"/>
  <c r="BR29" i="70"/>
  <c r="O29" i="70" s="1"/>
  <c r="O30" i="70" s="1"/>
  <c r="T143" i="90"/>
  <c r="S144" i="90"/>
  <c r="Q65" i="52"/>
  <c r="P97" i="52"/>
  <c r="R203" i="90"/>
  <c r="Q204" i="90"/>
  <c r="W56" i="52"/>
  <c r="V88" i="52"/>
  <c r="V6" i="52"/>
  <c r="V27" i="52" s="1"/>
  <c r="V87" i="52"/>
  <c r="BA8" i="14"/>
  <c r="BB69" i="15"/>
  <c r="BB70" i="15" s="1"/>
  <c r="AN119" i="33"/>
  <c r="AN67" i="33"/>
  <c r="AN79" i="33"/>
  <c r="AN78" i="33"/>
  <c r="AH111" i="14"/>
  <c r="AH96" i="14" s="1"/>
  <c r="AH102" i="14" s="1"/>
  <c r="AI95" i="14" s="1"/>
  <c r="AO168" i="33"/>
  <c r="AN168" i="33"/>
  <c r="L105" i="52"/>
  <c r="CB320" i="90"/>
  <c r="O98" i="52"/>
  <c r="P66" i="52"/>
  <c r="R95" i="52"/>
  <c r="CB81" i="90"/>
  <c r="P83" i="90"/>
  <c r="CB82" i="90"/>
  <c r="T62" i="52"/>
  <c r="S94" i="52"/>
  <c r="T93" i="52"/>
  <c r="X61" i="52"/>
  <c r="Q168" i="90"/>
  <c r="P169" i="90"/>
  <c r="CD208" i="90"/>
  <c r="CD210" i="90" s="1"/>
  <c r="CD343" i="90" s="1"/>
  <c r="CL337" i="90"/>
  <c r="E104" i="52"/>
  <c r="F103" i="52"/>
  <c r="E103" i="52"/>
  <c r="F102" i="52"/>
  <c r="R77" i="90"/>
  <c r="CD75" i="90"/>
  <c r="CD77" i="90" s="1"/>
  <c r="CD322" i="90" s="1"/>
  <c r="CN252" i="90"/>
  <c r="CN254" i="90" s="1"/>
  <c r="S254" i="90"/>
  <c r="BS75" i="33"/>
  <c r="V25" i="90"/>
  <c r="CN25" i="90"/>
  <c r="U236" i="90"/>
  <c r="CP234" i="90"/>
  <c r="CP236" i="90" s="1"/>
  <c r="J73" i="52"/>
  <c r="CE194" i="90"/>
  <c r="CE193" i="90"/>
  <c r="AN73" i="33"/>
  <c r="AP69" i="33"/>
  <c r="O71" i="14"/>
  <c r="O73" i="14" s="1"/>
  <c r="H85" i="65"/>
  <c r="CE214" i="90"/>
  <c r="CE215" i="90" s="1"/>
  <c r="CD158" i="90"/>
  <c r="CD160" i="90" s="1"/>
  <c r="CD333" i="90" s="1"/>
  <c r="AZ15" i="14"/>
  <c r="AZ28" i="14" s="1"/>
  <c r="AZ75" i="14" s="1"/>
  <c r="AZ112" i="14"/>
  <c r="CI226" i="33"/>
  <c r="CH227" i="33"/>
  <c r="N69" i="52"/>
  <c r="M101" i="52"/>
  <c r="M70" i="52"/>
  <c r="M71" i="52" s="1"/>
  <c r="M72" i="52" s="1"/>
  <c r="S135" i="90"/>
  <c r="CN133" i="90"/>
  <c r="CN135" i="90" s="1"/>
  <c r="N100" i="52"/>
  <c r="O68" i="52"/>
  <c r="T63" i="52"/>
  <c r="S95" i="52"/>
  <c r="CO52" i="90"/>
  <c r="CO51" i="90"/>
  <c r="CH199" i="33"/>
  <c r="CI199" i="33" s="1"/>
  <c r="CI197" i="33"/>
  <c r="Z63" i="90"/>
  <c r="Z65" i="90" s="1"/>
  <c r="CB335" i="90"/>
  <c r="CC343" i="90"/>
  <c r="CN188" i="90"/>
  <c r="CN190" i="90" s="1"/>
  <c r="S190" i="90"/>
  <c r="CJ123" i="90"/>
  <c r="CJ125" i="90" s="1"/>
  <c r="E73" i="52"/>
  <c r="Q76" i="90"/>
  <c r="R75" i="90"/>
  <c r="L74" i="52"/>
  <c r="CM359" i="90"/>
  <c r="CJ93" i="90"/>
  <c r="CJ95" i="90" s="1"/>
  <c r="CJ352" i="90" s="1"/>
  <c r="R95" i="90"/>
  <c r="T235" i="90"/>
  <c r="U234" i="90"/>
  <c r="CE174" i="90"/>
  <c r="CE173" i="90"/>
  <c r="T87" i="90"/>
  <c r="CN89" i="90"/>
  <c r="O99" i="52"/>
  <c r="P67" i="52"/>
  <c r="CT258" i="90"/>
  <c r="CT260" i="90" s="1"/>
  <c r="CT360" i="90" s="1"/>
  <c r="CG203" i="90"/>
  <c r="CG205" i="90" s="1"/>
  <c r="CG342" i="90" s="1"/>
  <c r="H84" i="66"/>
  <c r="BY69" i="14"/>
  <c r="BX71" i="14"/>
  <c r="BX73" i="14" s="1"/>
  <c r="S155" i="90"/>
  <c r="CN153" i="90"/>
  <c r="CN155" i="90" s="1"/>
  <c r="H27" i="77"/>
  <c r="H31" i="77" s="1"/>
  <c r="H22" i="77"/>
  <c r="CB148" i="90"/>
  <c r="CB150" i="90" s="1"/>
  <c r="CB331" i="90" s="1"/>
  <c r="P150" i="90"/>
  <c r="CA331" i="90"/>
  <c r="CA339" i="90"/>
  <c r="CC333" i="90"/>
  <c r="G112" i="14"/>
  <c r="G15" i="14"/>
  <c r="G28" i="14" s="1"/>
  <c r="G75" i="14" s="1"/>
  <c r="CZ226" i="33"/>
  <c r="CZ85" i="33" s="1"/>
  <c r="AT488" i="58"/>
  <c r="CX826" i="12"/>
  <c r="AS358" i="58" s="1"/>
  <c r="AS359" i="58" s="1"/>
  <c r="AS356" i="58"/>
  <c r="AS357" i="58" s="1"/>
  <c r="V508" i="12"/>
  <c r="AS208" i="58"/>
  <c r="AS209" i="58" s="1"/>
  <c r="AT206" i="58"/>
  <c r="AT207" i="58" s="1"/>
  <c r="CD355" i="12"/>
  <c r="CD354" i="12"/>
  <c r="CE347" i="12"/>
  <c r="Q346" i="12"/>
  <c r="Q353" i="12" s="1"/>
  <c r="Q354" i="12" s="1"/>
  <c r="CF346" i="12"/>
  <c r="CE353" i="12"/>
  <c r="CI79" i="14"/>
  <c r="CI87" i="14" s="1"/>
  <c r="CH80" i="14"/>
  <c r="CI81" i="14" s="1"/>
  <c r="CJ89" i="14" s="1"/>
  <c r="CH88" i="14"/>
  <c r="Y35" i="52"/>
  <c r="X89" i="52"/>
  <c r="CI78" i="14"/>
  <c r="CI88" i="14" s="1"/>
  <c r="CJ25" i="14"/>
  <c r="R25" i="14"/>
  <c r="CF206" i="14"/>
  <c r="CF209" i="14" s="1"/>
  <c r="CE194" i="14"/>
  <c r="Q194" i="14" s="1"/>
  <c r="CQ30" i="33"/>
  <c r="H237" i="66"/>
  <c r="H189" i="66"/>
  <c r="H94" i="66" s="1"/>
  <c r="H92" i="66" s="1"/>
  <c r="CH78" i="33"/>
  <c r="CH79" i="33"/>
  <c r="BS8" i="15"/>
  <c r="BS111" i="14"/>
  <c r="BS96" i="14" s="1"/>
  <c r="CH119" i="33"/>
  <c r="CH67" i="33"/>
  <c r="CH152" i="33"/>
  <c r="I111" i="14"/>
  <c r="I96" i="14" s="1"/>
  <c r="I78" i="33"/>
  <c r="I119" i="33"/>
  <c r="I67" i="33"/>
  <c r="I79" i="33"/>
  <c r="CH73" i="33"/>
  <c r="L63" i="33"/>
  <c r="L118" i="33"/>
  <c r="CU29" i="33"/>
  <c r="P29" i="33"/>
  <c r="CT29" i="33"/>
  <c r="CR31" i="33"/>
  <c r="CR36" i="33" s="1"/>
  <c r="CR148" i="33" s="1"/>
  <c r="CK110" i="33"/>
  <c r="R367" i="58"/>
  <c r="Q367" i="58"/>
  <c r="P13" i="80"/>
  <c r="CR110" i="33"/>
  <c r="Z412" i="12"/>
  <c r="Y49" i="80"/>
  <c r="Y50" i="80" s="1"/>
  <c r="J59" i="66"/>
  <c r="J57" i="66" s="1"/>
  <c r="J210" i="66" s="1"/>
  <c r="J53" i="66"/>
  <c r="J43" i="66"/>
  <c r="J47" i="66" s="1"/>
  <c r="J42" i="66" s="1"/>
  <c r="CR90" i="33"/>
  <c r="CR91" i="33" s="1"/>
  <c r="CR92" i="33" s="1"/>
  <c r="CW146" i="33"/>
  <c r="CR37" i="33"/>
  <c r="CR20" i="33"/>
  <c r="CT162" i="33" s="1"/>
  <c r="CR104" i="33"/>
  <c r="BR20" i="48"/>
  <c r="CS16" i="33"/>
  <c r="CQ110" i="33"/>
  <c r="V10" i="58"/>
  <c r="Z6" i="58"/>
  <c r="W5" i="58"/>
  <c r="CD368" i="12"/>
  <c r="CE361" i="12"/>
  <c r="EB271" i="48"/>
  <c r="EE271" i="48"/>
  <c r="CP95" i="33"/>
  <c r="BY85" i="14" s="1"/>
  <c r="BY89" i="14" s="1"/>
  <c r="CC84" i="14"/>
  <c r="D53" i="66"/>
  <c r="D43" i="66"/>
  <c r="D59" i="66"/>
  <c r="D57" i="66" s="1"/>
  <c r="D210" i="66" s="1"/>
  <c r="CK90" i="33"/>
  <c r="CK91" i="33" s="1"/>
  <c r="CK92" i="33" s="1"/>
  <c r="G59" i="66"/>
  <c r="G57" i="66" s="1"/>
  <c r="G210" i="66" s="1"/>
  <c r="G43" i="66"/>
  <c r="G53" i="66"/>
  <c r="CO20" i="33"/>
  <c r="CP162" i="33" s="1"/>
  <c r="BO20" i="48"/>
  <c r="CO37" i="33"/>
  <c r="CO104" i="33"/>
  <c r="CO36" i="33"/>
  <c r="CT146" i="33"/>
  <c r="CO146" i="33"/>
  <c r="V367" i="58"/>
  <c r="U367" i="58"/>
  <c r="K17" i="57"/>
  <c r="O13" i="57"/>
  <c r="M13" i="57"/>
  <c r="K19" i="57"/>
  <c r="CN110" i="33"/>
  <c r="I53" i="66"/>
  <c r="I59" i="66"/>
  <c r="I57" i="66" s="1"/>
  <c r="I210" i="66" s="1"/>
  <c r="I43" i="66"/>
  <c r="CQ20" i="33"/>
  <c r="CQ146" i="33"/>
  <c r="CQ36" i="33"/>
  <c r="CQ104" i="33"/>
  <c r="CQ37" i="33"/>
  <c r="CV146" i="33"/>
  <c r="BQ20" i="48"/>
  <c r="CC88" i="14"/>
  <c r="CC87" i="14"/>
  <c r="DE113" i="48"/>
  <c r="BP22" i="48"/>
  <c r="CP47" i="33"/>
  <c r="CP42" i="33"/>
  <c r="DE114" i="48" s="1"/>
  <c r="BY110" i="14"/>
  <c r="T7" i="58"/>
  <c r="T8" i="58" s="1"/>
  <c r="BY839" i="12"/>
  <c r="AI6" i="64"/>
  <c r="CU40" i="33"/>
  <c r="AW71" i="57"/>
  <c r="AU73" i="57"/>
  <c r="CX145" i="33"/>
  <c r="CS108" i="33"/>
  <c r="CS117" i="33"/>
  <c r="CS115" i="33"/>
  <c r="CS161" i="33"/>
  <c r="CS19" i="33"/>
  <c r="CS109" i="33"/>
  <c r="CX17" i="33"/>
  <c r="CS145" i="33"/>
  <c r="H40" i="66"/>
  <c r="S367" i="58"/>
  <c r="T367" i="58"/>
  <c r="V5" i="58"/>
  <c r="U10" i="58"/>
  <c r="U5" i="58"/>
  <c r="Y6" i="58"/>
  <c r="CQ90" i="33"/>
  <c r="CQ91" i="33" s="1"/>
  <c r="CQ92" i="33" s="1"/>
  <c r="Q14" i="48"/>
  <c r="EN351" i="48"/>
  <c r="P15" i="33"/>
  <c r="P17" i="33" s="1"/>
  <c r="Q143" i="33"/>
  <c r="P10" i="58"/>
  <c r="P5" i="58"/>
  <c r="P6" i="58"/>
  <c r="S6" i="58"/>
  <c r="S10" i="58"/>
  <c r="W6" i="58"/>
  <c r="S5" i="58"/>
  <c r="R10" i="58"/>
  <c r="R5" i="58"/>
  <c r="R6" i="58"/>
  <c r="V6" i="58"/>
  <c r="H211" i="66"/>
  <c r="H212" i="66" s="1"/>
  <c r="H213" i="66"/>
  <c r="H222" i="66" s="1"/>
  <c r="EB217" i="48"/>
  <c r="DZ225" i="48"/>
  <c r="DZ221" i="48"/>
  <c r="DZ223" i="48"/>
  <c r="EE217" i="48"/>
  <c r="DZ273" i="48"/>
  <c r="CP41" i="33"/>
  <c r="CP114" i="33"/>
  <c r="CP148" i="33"/>
  <c r="BL20" i="48"/>
  <c r="CK104" i="33"/>
  <c r="CK20" i="33"/>
  <c r="CK162" i="33" s="1"/>
  <c r="CK37" i="33"/>
  <c r="CP40" i="33" s="1"/>
  <c r="CK146" i="33"/>
  <c r="CK36" i="33"/>
  <c r="CO110" i="33"/>
  <c r="CO90" i="33"/>
  <c r="CS88" i="33"/>
  <c r="F59" i="66"/>
  <c r="F57" i="66" s="1"/>
  <c r="F210" i="66" s="1"/>
  <c r="F53" i="66"/>
  <c r="F43" i="66"/>
  <c r="F47" i="66" s="1"/>
  <c r="F42" i="66" s="1"/>
  <c r="CM146" i="33"/>
  <c r="CM37" i="33"/>
  <c r="CM36" i="33"/>
  <c r="BN20" i="48"/>
  <c r="CM104" i="33"/>
  <c r="CM20" i="33"/>
  <c r="CM162" i="33" s="1"/>
  <c r="O313" i="71"/>
  <c r="P314" i="71" s="1"/>
  <c r="P302" i="71"/>
  <c r="O302" i="71"/>
  <c r="N312" i="71"/>
  <c r="N313" i="71"/>
  <c r="P26" i="12"/>
  <c r="H29" i="53" s="1"/>
  <c r="Q26" i="12"/>
  <c r="I29" i="53" s="1"/>
  <c r="J40" i="65"/>
  <c r="CL99" i="15"/>
  <c r="CL101" i="15" s="1"/>
  <c r="CL97" i="15"/>
  <c r="CC38" i="48" s="1"/>
  <c r="F8" i="75"/>
  <c r="G8" i="75"/>
  <c r="R65" i="80"/>
  <c r="R67" i="80" s="1"/>
  <c r="J30" i="53"/>
  <c r="J34" i="53" s="1"/>
  <c r="R116" i="33"/>
  <c r="R48" i="33"/>
  <c r="AM150" i="33"/>
  <c r="R55" i="33"/>
  <c r="O19" i="33"/>
  <c r="O186" i="14"/>
  <c r="G44" i="65"/>
  <c r="O145" i="33"/>
  <c r="EX428" i="48"/>
  <c r="O161" i="33"/>
  <c r="G193" i="65"/>
  <c r="G191" i="65" s="1"/>
  <c r="G95" i="65" s="1"/>
  <c r="G93" i="65" s="1"/>
  <c r="N4" i="71"/>
  <c r="O13" i="48"/>
  <c r="O18" i="48" s="1"/>
  <c r="O115" i="33"/>
  <c r="G28" i="53"/>
  <c r="BT61" i="48"/>
  <c r="O88" i="33"/>
  <c r="O17" i="33"/>
  <c r="O106" i="14"/>
  <c r="O138" i="15"/>
  <c r="O108" i="33"/>
  <c r="O5" i="64"/>
  <c r="O32" i="64" s="1"/>
  <c r="O109" i="33"/>
  <c r="O117" i="33"/>
  <c r="E47" i="66"/>
  <c r="E42" i="66" s="1"/>
  <c r="Q7" i="58"/>
  <c r="Q8" i="58" s="1"/>
  <c r="CL42" i="33"/>
  <c r="DB114" i="48" s="1"/>
  <c r="AF6" i="64"/>
  <c r="DB113" i="48"/>
  <c r="CL40" i="33"/>
  <c r="BV110" i="14"/>
  <c r="BM22" i="48"/>
  <c r="CL47" i="33"/>
  <c r="DN41" i="33"/>
  <c r="DN148" i="33"/>
  <c r="DN114" i="33"/>
  <c r="U6" i="64"/>
  <c r="U44" i="33"/>
  <c r="BB92" i="77"/>
  <c r="BB93" i="77" s="1"/>
  <c r="U22" i="48"/>
  <c r="U42" i="33"/>
  <c r="U166" i="33" s="1"/>
  <c r="T7" i="71"/>
  <c r="T8" i="71" s="1"/>
  <c r="U110" i="14"/>
  <c r="U47" i="33"/>
  <c r="DL116" i="33"/>
  <c r="CT173" i="15"/>
  <c r="DL55" i="33"/>
  <c r="DL150" i="33"/>
  <c r="DL48" i="33"/>
  <c r="DM166" i="33"/>
  <c r="DL166" i="33"/>
  <c r="CU14" i="90"/>
  <c r="CU94" i="15"/>
  <c r="L215" i="65"/>
  <c r="L224" i="65" s="1"/>
  <c r="CM95" i="33"/>
  <c r="BW85" i="14" s="1"/>
  <c r="BW89" i="14" s="1"/>
  <c r="R86" i="14"/>
  <c r="R90" i="14" s="1"/>
  <c r="R100" i="33"/>
  <c r="CZ58" i="33"/>
  <c r="CZ61" i="33"/>
  <c r="T301" i="71"/>
  <c r="U823" i="12"/>
  <c r="U828" i="12"/>
  <c r="U12" i="80"/>
  <c r="U13" i="80" s="1"/>
  <c r="R33" i="64"/>
  <c r="R10" i="64"/>
  <c r="L90" i="66"/>
  <c r="L197" i="66"/>
  <c r="DD58" i="33"/>
  <c r="DD61" i="33"/>
  <c r="CL148" i="33"/>
  <c r="CL114" i="33"/>
  <c r="CL41" i="33"/>
  <c r="CA73" i="48"/>
  <c r="CA70" i="48"/>
  <c r="N86" i="14"/>
  <c r="N90" i="14" s="1"/>
  <c r="BR87" i="14"/>
  <c r="BR88" i="14"/>
  <c r="T61" i="33"/>
  <c r="T58" i="33"/>
  <c r="K121" i="53"/>
  <c r="K152" i="53" s="1"/>
  <c r="L37" i="53"/>
  <c r="L35" i="53"/>
  <c r="L118" i="53"/>
  <c r="L149" i="53" s="1"/>
  <c r="L43" i="53"/>
  <c r="Y476" i="12"/>
  <c r="Y474" i="12"/>
  <c r="CV110" i="14"/>
  <c r="DN47" i="33"/>
  <c r="DN44" i="33"/>
  <c r="DN42" i="33"/>
  <c r="DN39" i="33"/>
  <c r="CV839" i="12"/>
  <c r="BJ86" i="77"/>
  <c r="BJ87" i="77" s="1"/>
  <c r="DN40" i="33"/>
  <c r="AQ7" i="58"/>
  <c r="AQ8" i="58" s="1"/>
  <c r="X630" i="12"/>
  <c r="Y629" i="12"/>
  <c r="X628" i="12"/>
  <c r="X627" i="12" s="1"/>
  <c r="CB99" i="15"/>
  <c r="CB101" i="15" s="1"/>
  <c r="CB97" i="15"/>
  <c r="BS38" i="48" s="1"/>
  <c r="F89" i="56"/>
  <c r="H89" i="56" s="1"/>
  <c r="H88" i="56"/>
  <c r="CL91" i="33"/>
  <c r="R84" i="14"/>
  <c r="R95" i="33"/>
  <c r="R85" i="14" s="1"/>
  <c r="R89" i="14" s="1"/>
  <c r="R166" i="33"/>
  <c r="L214" i="66"/>
  <c r="L223" i="66" s="1"/>
  <c r="L208" i="66"/>
  <c r="L209" i="66" s="1"/>
  <c r="E211" i="66"/>
  <c r="E212" i="66" s="1"/>
  <c r="E213" i="66"/>
  <c r="E222" i="66" s="1"/>
  <c r="BR84" i="14"/>
  <c r="CG95" i="33"/>
  <c r="BR85" i="14" s="1"/>
  <c r="BR89" i="14" s="1"/>
  <c r="CH99" i="15"/>
  <c r="CH101" i="15" s="1"/>
  <c r="CH97" i="15"/>
  <c r="BY38" i="48" s="1"/>
  <c r="V689" i="12"/>
  <c r="U173" i="71"/>
  <c r="U176" i="71" s="1"/>
  <c r="CT14" i="90"/>
  <c r="CT94" i="15"/>
  <c r="DM55" i="33"/>
  <c r="DM150" i="33"/>
  <c r="DM48" i="33"/>
  <c r="CU173" i="15"/>
  <c r="DM116" i="33"/>
  <c r="DF63" i="33"/>
  <c r="DF118" i="33"/>
  <c r="DF100" i="33"/>
  <c r="Z23" i="77" s="1"/>
  <c r="CN104" i="33"/>
  <c r="CN146" i="33"/>
  <c r="CN20" i="33"/>
  <c r="CN37" i="33"/>
  <c r="CN162" i="33"/>
  <c r="CN36" i="33"/>
  <c r="BZ83" i="14"/>
  <c r="BW83" i="14"/>
  <c r="K207" i="66"/>
  <c r="K38" i="66"/>
  <c r="EA252" i="48"/>
  <c r="EA253" i="48"/>
  <c r="R14" i="90"/>
  <c r="R94" i="15"/>
  <c r="U40" i="33"/>
  <c r="U148" i="33"/>
  <c r="U164" i="33"/>
  <c r="U41" i="33"/>
  <c r="U114" i="33"/>
  <c r="DN94" i="33"/>
  <c r="DN93" i="33"/>
  <c r="DA83" i="14" s="1"/>
  <c r="DN97" i="33"/>
  <c r="DN98" i="33" s="1"/>
  <c r="DN99" i="33" s="1"/>
  <c r="CW86" i="14" s="1"/>
  <c r="DL95" i="33"/>
  <c r="CU85" i="14" s="1"/>
  <c r="CU89" i="14" s="1"/>
  <c r="CG98" i="33"/>
  <c r="U82" i="14"/>
  <c r="U94" i="33"/>
  <c r="U97" i="33"/>
  <c r="U98" i="33" s="1"/>
  <c r="U99" i="33" s="1"/>
  <c r="U86" i="14" s="1"/>
  <c r="U90" i="14" s="1"/>
  <c r="U93" i="33"/>
  <c r="U83" i="14" s="1"/>
  <c r="AT281" i="58"/>
  <c r="AT282" i="58"/>
  <c r="AT283" i="58" s="1"/>
  <c r="T99" i="15"/>
  <c r="T101" i="15" s="1"/>
  <c r="T97" i="15"/>
  <c r="DN164" i="33"/>
  <c r="DF71" i="33"/>
  <c r="DF69" i="33"/>
  <c r="DF70" i="33"/>
  <c r="DF72" i="33"/>
  <c r="R87" i="14"/>
  <c r="X277" i="12"/>
  <c r="X275" i="12" s="1"/>
  <c r="Y278" i="12"/>
  <c r="Y279" i="12" s="1"/>
  <c r="X256" i="12"/>
  <c r="X254" i="12"/>
  <c r="Y255" i="12"/>
  <c r="Z168" i="12"/>
  <c r="Z21" i="80"/>
  <c r="Z22" i="80" s="1"/>
  <c r="V79" i="71"/>
  <c r="AT486" i="58"/>
  <c r="AT107" i="58"/>
  <c r="AT110" i="58" s="1"/>
  <c r="V290" i="12"/>
  <c r="CI300" i="90"/>
  <c r="CI302" i="90" s="1"/>
  <c r="CI366" i="90" s="1"/>
  <c r="Z230" i="12" l="1"/>
  <c r="CU264" i="90"/>
  <c r="CU265" i="90" s="1"/>
  <c r="U265" i="90" s="1"/>
  <c r="U266" i="90" s="1"/>
  <c r="V264" i="90" s="1"/>
  <c r="CT361" i="90"/>
  <c r="CE175" i="90"/>
  <c r="CE336" i="90" s="1"/>
  <c r="Z320" i="90"/>
  <c r="AA63" i="90"/>
  <c r="AA65" i="90" s="1"/>
  <c r="AA320" i="90" s="1"/>
  <c r="CO25" i="90"/>
  <c r="CP25" i="90" s="1"/>
  <c r="CQ25" i="90" s="1"/>
  <c r="CR25" i="90" s="1"/>
  <c r="CS25" i="90" s="1"/>
  <c r="CT25" i="90" s="1"/>
  <c r="CU25" i="90" s="1"/>
  <c r="CV25" i="90" s="1"/>
  <c r="CW25" i="90" s="1"/>
  <c r="CX25" i="90" s="1"/>
  <c r="CY25" i="90" s="1"/>
  <c r="CZ25" i="90" s="1"/>
  <c r="DA25" i="90" s="1"/>
  <c r="DB25" i="90" s="1"/>
  <c r="DC25" i="90" s="1"/>
  <c r="W25" i="90"/>
  <c r="BU33" i="90"/>
  <c r="BT35" i="90"/>
  <c r="D107" i="52"/>
  <c r="D76" i="52"/>
  <c r="AC276" i="90"/>
  <c r="AC278" i="90" s="1"/>
  <c r="AC363" i="90"/>
  <c r="AD294" i="12"/>
  <c r="AD13" i="12" s="1"/>
  <c r="AD14" i="33" s="1"/>
  <c r="AD144" i="33" s="1"/>
  <c r="AC13" i="12"/>
  <c r="AC14" i="33" s="1"/>
  <c r="AC144" i="33" s="1"/>
  <c r="X25" i="90"/>
  <c r="Y25" i="90" s="1"/>
  <c r="Z25" i="90" s="1"/>
  <c r="AA25" i="90" s="1"/>
  <c r="AB25" i="90" s="1"/>
  <c r="AC25" i="90" s="1"/>
  <c r="AD25" i="90" s="1"/>
  <c r="CG47" i="90"/>
  <c r="Z11" i="12"/>
  <c r="AA493" i="12"/>
  <c r="CP355" i="90"/>
  <c r="DA270" i="90"/>
  <c r="DA272" i="90" s="1"/>
  <c r="DA362" i="90"/>
  <c r="BC76" i="15"/>
  <c r="BC78" i="15"/>
  <c r="BC81" i="15" s="1"/>
  <c r="CI218" i="90"/>
  <c r="CI219" i="90"/>
  <c r="AA231" i="12"/>
  <c r="AB165" i="12"/>
  <c r="AB363" i="90"/>
  <c r="AB117" i="90"/>
  <c r="AA119" i="90"/>
  <c r="AA326" i="90" s="1"/>
  <c r="V847" i="12"/>
  <c r="X847" i="12" s="1"/>
  <c r="Y847" i="12" s="1"/>
  <c r="Z847" i="12" s="1"/>
  <c r="AA847" i="12" s="1"/>
  <c r="AB847" i="12" s="1"/>
  <c r="AC847" i="12" s="1"/>
  <c r="AD847" i="12" s="1"/>
  <c r="CZ362" i="90"/>
  <c r="D19" i="52"/>
  <c r="E16" i="52" s="1"/>
  <c r="D21" i="52"/>
  <c r="E25" i="52"/>
  <c r="I103" i="52"/>
  <c r="J102" i="52"/>
  <c r="I72" i="52"/>
  <c r="CH28" i="90"/>
  <c r="CI26" i="90"/>
  <c r="CI29" i="90"/>
  <c r="CH318" i="90"/>
  <c r="CH317" i="90" s="1"/>
  <c r="AB223" i="90"/>
  <c r="AB225" i="90" s="1"/>
  <c r="AB357" i="90"/>
  <c r="CN230" i="12"/>
  <c r="J76" i="15"/>
  <c r="J78" i="15"/>
  <c r="J81" i="15" s="1"/>
  <c r="Z10" i="12"/>
  <c r="AA492" i="12"/>
  <c r="BS20" i="90"/>
  <c r="BR309" i="90"/>
  <c r="BR310" i="90" s="1"/>
  <c r="AC270" i="90"/>
  <c r="AC272" i="90" s="1"/>
  <c r="AC362" i="90"/>
  <c r="CP165" i="12"/>
  <c r="CO231" i="12"/>
  <c r="CF39" i="90"/>
  <c r="CF40" i="90"/>
  <c r="Q41" i="90"/>
  <c r="AJ61" i="77"/>
  <c r="AL61" i="77"/>
  <c r="K76" i="52"/>
  <c r="K77" i="52" s="1"/>
  <c r="K78" i="52"/>
  <c r="K79" i="52" s="1"/>
  <c r="K80" i="52" s="1"/>
  <c r="K81" i="52" s="1"/>
  <c r="K82" i="52" s="1"/>
  <c r="K114" i="52" s="1"/>
  <c r="I73" i="52"/>
  <c r="BN73" i="33"/>
  <c r="AB168" i="12"/>
  <c r="AC167" i="12"/>
  <c r="CU240" i="90"/>
  <c r="CU242" i="90" s="1"/>
  <c r="CV240" i="90" s="1"/>
  <c r="CV242" i="90" s="1"/>
  <c r="CW240" i="90" s="1"/>
  <c r="CW242" i="90" s="1"/>
  <c r="CX240" i="90" s="1"/>
  <c r="CX242" i="90" s="1"/>
  <c r="CY240" i="90" s="1"/>
  <c r="CY242" i="90" s="1"/>
  <c r="CZ240" i="90" s="1"/>
  <c r="CZ242" i="90" s="1"/>
  <c r="DA240" i="90" s="1"/>
  <c r="DA242" i="90" s="1"/>
  <c r="DB240" i="90" s="1"/>
  <c r="DB242" i="90" s="1"/>
  <c r="DC240" i="90" s="1"/>
  <c r="DC242" i="90" s="1"/>
  <c r="W242" i="90"/>
  <c r="W241" i="90" s="1"/>
  <c r="CQ246" i="90"/>
  <c r="CQ248" i="90" s="1"/>
  <c r="AB230" i="90"/>
  <c r="AC228" i="90" s="1"/>
  <c r="AC347" i="90" s="1"/>
  <c r="AC349" i="90" s="1"/>
  <c r="CE183" i="90"/>
  <c r="CE184" i="90"/>
  <c r="CF184" i="90" s="1"/>
  <c r="CG184" i="90" s="1"/>
  <c r="CH184" i="90" s="1"/>
  <c r="CI184" i="90" s="1"/>
  <c r="CJ184" i="90" s="1"/>
  <c r="CK184" i="90" s="1"/>
  <c r="CL184" i="90" s="1"/>
  <c r="CM184" i="90" s="1"/>
  <c r="CN184" i="90" s="1"/>
  <c r="CO184" i="90" s="1"/>
  <c r="CP184" i="90" s="1"/>
  <c r="CQ184" i="90" s="1"/>
  <c r="CE195" i="90"/>
  <c r="CE340" i="90" s="1"/>
  <c r="P139" i="90"/>
  <c r="Q138" i="90"/>
  <c r="AC123" i="90"/>
  <c r="AC125" i="90" s="1"/>
  <c r="AD123" i="90" s="1"/>
  <c r="AD125" i="90" s="1"/>
  <c r="AD327" i="90" s="1"/>
  <c r="CC138" i="90"/>
  <c r="CC140" i="90" s="1"/>
  <c r="CB329" i="90"/>
  <c r="CE111" i="90"/>
  <c r="CE113" i="90" s="1"/>
  <c r="CE325" i="90" s="1"/>
  <c r="CN163" i="90"/>
  <c r="CN165" i="90" s="1"/>
  <c r="S165" i="90"/>
  <c r="CH327" i="90"/>
  <c r="CM334" i="90"/>
  <c r="AD105" i="90"/>
  <c r="AD107" i="90" s="1"/>
  <c r="AD354" i="90" s="1"/>
  <c r="AA472" i="12"/>
  <c r="AA476" i="12"/>
  <c r="AA474" i="12"/>
  <c r="Z49" i="80"/>
  <c r="Z50" i="80" s="1"/>
  <c r="AA412" i="12"/>
  <c r="BP75" i="33"/>
  <c r="BA73" i="33"/>
  <c r="BA152" i="33"/>
  <c r="BA119" i="33"/>
  <c r="BA67" i="33"/>
  <c r="BA79" i="33"/>
  <c r="AR111" i="14"/>
  <c r="AR96" i="14" s="1"/>
  <c r="BA78" i="33"/>
  <c r="BF152" i="33"/>
  <c r="BA168" i="33"/>
  <c r="BF118" i="33"/>
  <c r="BF80" i="33"/>
  <c r="AC72" i="33"/>
  <c r="AD30" i="33"/>
  <c r="AD72" i="33" s="1"/>
  <c r="AC203" i="33"/>
  <c r="AC204" i="33" s="1"/>
  <c r="AD187" i="33"/>
  <c r="AC180" i="33"/>
  <c r="AC185" i="33" s="1"/>
  <c r="AC71" i="33"/>
  <c r="AC73" i="33" s="1"/>
  <c r="AD29" i="33"/>
  <c r="AD71" i="33" s="1"/>
  <c r="AD73" i="33" s="1"/>
  <c r="BZ84" i="14"/>
  <c r="N95" i="33"/>
  <c r="N85" i="14" s="1"/>
  <c r="N89" i="14" s="1"/>
  <c r="N199" i="33"/>
  <c r="E215" i="65"/>
  <c r="E224" i="65" s="1"/>
  <c r="CX70" i="33"/>
  <c r="CX69" i="33"/>
  <c r="CX72" i="33"/>
  <c r="CX71" i="33"/>
  <c r="CX100" i="33"/>
  <c r="R23" i="77" s="1"/>
  <c r="CX63" i="33"/>
  <c r="CX118" i="33"/>
  <c r="BR80" i="33"/>
  <c r="BR118" i="33"/>
  <c r="BB119" i="33"/>
  <c r="BB79" i="33"/>
  <c r="BB67" i="33"/>
  <c r="BC168" i="33"/>
  <c r="AS111" i="14"/>
  <c r="AS96" i="14" s="1"/>
  <c r="BB168" i="33"/>
  <c r="BB78" i="33"/>
  <c r="BB152" i="33"/>
  <c r="BL63" i="33"/>
  <c r="BM167" i="33"/>
  <c r="BL151" i="33"/>
  <c r="BL167" i="33"/>
  <c r="BV70" i="33"/>
  <c r="BV72" i="33"/>
  <c r="BV69" i="33"/>
  <c r="BV71" i="33"/>
  <c r="BP80" i="33"/>
  <c r="BP118" i="33"/>
  <c r="G61" i="33"/>
  <c r="H151" i="33" s="1"/>
  <c r="G58" i="33"/>
  <c r="BQ151" i="33"/>
  <c r="BR167" i="33"/>
  <c r="BQ63" i="33"/>
  <c r="BQ167" i="33"/>
  <c r="AL73" i="33"/>
  <c r="BG152" i="33"/>
  <c r="BG119" i="33"/>
  <c r="BG67" i="33"/>
  <c r="BG168" i="33"/>
  <c r="BG78" i="33"/>
  <c r="BG79" i="33"/>
  <c r="BH168" i="33"/>
  <c r="AW111" i="14"/>
  <c r="AW96" i="14" s="1"/>
  <c r="CA70" i="33"/>
  <c r="CD70" i="33" s="1"/>
  <c r="M70" i="33" s="1"/>
  <c r="CA69" i="33"/>
  <c r="CA72" i="33"/>
  <c r="CD72" i="33" s="1"/>
  <c r="M72" i="33" s="1"/>
  <c r="CA71" i="33"/>
  <c r="CD71" i="33" s="1"/>
  <c r="M71" i="33" s="1"/>
  <c r="AU69" i="33"/>
  <c r="AS73" i="33"/>
  <c r="BD75" i="33"/>
  <c r="BY70" i="33"/>
  <c r="L70" i="33" s="1"/>
  <c r="BV63" i="33"/>
  <c r="BW167" i="33"/>
  <c r="BV151" i="33"/>
  <c r="BV167" i="33"/>
  <c r="BU80" i="33"/>
  <c r="BU118" i="33"/>
  <c r="D69" i="33"/>
  <c r="D73" i="33" s="1"/>
  <c r="D75" i="33" s="1"/>
  <c r="D80" i="33" s="1"/>
  <c r="AK73" i="33"/>
  <c r="AK75" i="33" s="1"/>
  <c r="AK80" i="33" s="1"/>
  <c r="BB73" i="33"/>
  <c r="BE69" i="33"/>
  <c r="AQ75" i="33"/>
  <c r="AU119" i="33"/>
  <c r="AU78" i="33"/>
  <c r="AU79" i="33"/>
  <c r="AU67" i="33"/>
  <c r="F61" i="33"/>
  <c r="F58" i="33"/>
  <c r="BQ71" i="33"/>
  <c r="BT71" i="33" s="1"/>
  <c r="K71" i="33" s="1"/>
  <c r="BQ70" i="33"/>
  <c r="BT70" i="33" s="1"/>
  <c r="K70" i="33" s="1"/>
  <c r="BQ72" i="33"/>
  <c r="BT72" i="33" s="1"/>
  <c r="K72" i="33" s="1"/>
  <c r="BQ69" i="33"/>
  <c r="AX73" i="33"/>
  <c r="AZ69" i="33"/>
  <c r="CB167" i="33"/>
  <c r="CA63" i="33"/>
  <c r="CA151" i="33"/>
  <c r="CA167" i="33"/>
  <c r="BT61" i="33"/>
  <c r="BT63" i="33" s="1"/>
  <c r="BT58" i="33"/>
  <c r="AK95" i="14"/>
  <c r="AK102" i="14" s="1"/>
  <c r="AJ103" i="14"/>
  <c r="AP111" i="14"/>
  <c r="AP96" i="14" s="1"/>
  <c r="AX67" i="33"/>
  <c r="AX152" i="33"/>
  <c r="AX119" i="33"/>
  <c r="AY168" i="33"/>
  <c r="BC152" i="33"/>
  <c r="AX78" i="33"/>
  <c r="AX79" i="33"/>
  <c r="AX168" i="33"/>
  <c r="BJ78" i="33"/>
  <c r="BJ119" i="33"/>
  <c r="BJ67" i="33"/>
  <c r="BJ79" i="33"/>
  <c r="BY72" i="33"/>
  <c r="L72" i="33" s="1"/>
  <c r="BO61" i="33"/>
  <c r="BO63" i="33" s="1"/>
  <c r="BO58" i="33"/>
  <c r="AR75" i="33"/>
  <c r="BJ69" i="33"/>
  <c r="BG73" i="33"/>
  <c r="CM214" i="33"/>
  <c r="CM212" i="33"/>
  <c r="CM216" i="33"/>
  <c r="CN216" i="33" s="1"/>
  <c r="BP168" i="33"/>
  <c r="BN67" i="33"/>
  <c r="BN75" i="33" s="1"/>
  <c r="BN79" i="33"/>
  <c r="BN119" i="33"/>
  <c r="BC111" i="14"/>
  <c r="BC96" i="14" s="1"/>
  <c r="BN168" i="33"/>
  <c r="BN78" i="33"/>
  <c r="BN152" i="33"/>
  <c r="BS152" i="33"/>
  <c r="BL70" i="33"/>
  <c r="BO70" i="33" s="1"/>
  <c r="J70" i="33" s="1"/>
  <c r="BL72" i="33"/>
  <c r="BO72" i="33" s="1"/>
  <c r="J72" i="33" s="1"/>
  <c r="BL69" i="33"/>
  <c r="BL71" i="33"/>
  <c r="BO71" i="33" s="1"/>
  <c r="J71" i="33" s="1"/>
  <c r="AL79" i="33"/>
  <c r="AL119" i="33"/>
  <c r="AF111" i="14"/>
  <c r="AL78" i="33"/>
  <c r="AM168" i="33"/>
  <c r="AL67" i="33"/>
  <c r="AL75" i="33" s="1"/>
  <c r="AS79" i="33"/>
  <c r="AS168" i="33"/>
  <c r="AS78" i="33"/>
  <c r="AS67" i="33"/>
  <c r="AT168" i="33"/>
  <c r="AS119" i="33"/>
  <c r="AL111" i="14"/>
  <c r="AL96" i="14" s="1"/>
  <c r="DC275" i="12"/>
  <c r="W274" i="12"/>
  <c r="W27" i="80" s="1"/>
  <c r="W28" i="80" s="1"/>
  <c r="AN75" i="33"/>
  <c r="AN118" i="33" s="1"/>
  <c r="X35" i="80"/>
  <c r="X36" i="80" s="1"/>
  <c r="Y565" i="12"/>
  <c r="X695" i="12"/>
  <c r="W696" i="12"/>
  <c r="W700" i="12"/>
  <c r="W701" i="12" s="1"/>
  <c r="W6" i="80"/>
  <c r="W7" i="80" s="1"/>
  <c r="W24" i="64"/>
  <c r="Z44" i="12"/>
  <c r="Z11" i="33"/>
  <c r="Y45" i="12"/>
  <c r="Y12" i="33"/>
  <c r="Y142" i="33" s="1"/>
  <c r="Z45" i="12"/>
  <c r="Z12" i="33"/>
  <c r="Y44" i="12"/>
  <c r="Y11" i="33"/>
  <c r="Y141" i="33" s="1"/>
  <c r="CY9" i="12"/>
  <c r="DQ10" i="33" s="1"/>
  <c r="DQ140" i="33" s="1"/>
  <c r="W120" i="14"/>
  <c r="DC121" i="14"/>
  <c r="CD100" i="14"/>
  <c r="CC100" i="14"/>
  <c r="M84" i="66"/>
  <c r="Z68" i="14"/>
  <c r="Y100" i="14"/>
  <c r="P73" i="14"/>
  <c r="P71" i="80"/>
  <c r="CB64" i="14"/>
  <c r="CA71" i="14"/>
  <c r="CA73" i="14" s="1"/>
  <c r="K78" i="66"/>
  <c r="P64" i="14"/>
  <c r="I79" i="65" s="1"/>
  <c r="X97" i="14"/>
  <c r="Y70" i="14"/>
  <c r="BB44" i="77"/>
  <c r="V702" i="12"/>
  <c r="V122" i="14"/>
  <c r="J151" i="33"/>
  <c r="J118" i="33"/>
  <c r="J63" i="33"/>
  <c r="DN95" i="33"/>
  <c r="CW85" i="14" s="1"/>
  <c r="CW89" i="14" s="1"/>
  <c r="DA84" i="14"/>
  <c r="M61" i="33"/>
  <c r="M58" i="33"/>
  <c r="C35" i="53"/>
  <c r="C43" i="53"/>
  <c r="C44" i="53" s="1"/>
  <c r="C37" i="53"/>
  <c r="BZ168" i="33"/>
  <c r="CC152" i="33"/>
  <c r="BX79" i="33"/>
  <c r="BK111" i="14"/>
  <c r="BK96" i="14" s="1"/>
  <c r="BX168" i="33"/>
  <c r="BX119" i="33"/>
  <c r="BX78" i="33"/>
  <c r="BX67" i="33"/>
  <c r="BX152" i="33"/>
  <c r="H118" i="33"/>
  <c r="H63" i="33"/>
  <c r="I151" i="33"/>
  <c r="E43" i="53"/>
  <c r="E44" i="53" s="1"/>
  <c r="E35" i="53"/>
  <c r="E37" i="53"/>
  <c r="C91" i="65"/>
  <c r="C198" i="65"/>
  <c r="BY63" i="33"/>
  <c r="CD151" i="33"/>
  <c r="C209" i="65"/>
  <c r="C210" i="65" s="1"/>
  <c r="C215" i="65"/>
  <c r="C224" i="65" s="1"/>
  <c r="K61" i="33"/>
  <c r="K58" i="33"/>
  <c r="M99" i="15"/>
  <c r="M101" i="15" s="1"/>
  <c r="M97" i="15"/>
  <c r="BY69" i="33"/>
  <c r="BX73" i="33"/>
  <c r="DB687" i="12"/>
  <c r="DB664" i="12"/>
  <c r="DB660" i="12" s="1"/>
  <c r="DB686" i="12"/>
  <c r="X55" i="80"/>
  <c r="X56" i="80" s="1"/>
  <c r="AT487" i="58"/>
  <c r="W495" i="12"/>
  <c r="W497" i="12"/>
  <c r="W623" i="12"/>
  <c r="V515" i="12"/>
  <c r="W697" i="12"/>
  <c r="W698" i="12" s="1"/>
  <c r="W627" i="12"/>
  <c r="V80" i="71" s="1"/>
  <c r="X41" i="80"/>
  <c r="X42" i="80" s="1"/>
  <c r="Y634" i="12"/>
  <c r="W167" i="71"/>
  <c r="W168" i="71" s="1"/>
  <c r="DC696" i="12"/>
  <c r="DC700" i="12"/>
  <c r="DC701" i="12" s="1"/>
  <c r="DC623" i="12"/>
  <c r="DC625" i="12"/>
  <c r="DC697" i="12"/>
  <c r="DC698" i="12" s="1"/>
  <c r="AT210" i="58"/>
  <c r="CZ509" i="12"/>
  <c r="DA508" i="12"/>
  <c r="DA515" i="12" s="1"/>
  <c r="CZ825" i="12"/>
  <c r="CZ826" i="12" s="1"/>
  <c r="CZ289" i="12"/>
  <c r="AT208" i="58"/>
  <c r="AT209" i="58" s="1"/>
  <c r="DB383" i="12"/>
  <c r="DB377" i="12"/>
  <c r="DC376" i="12"/>
  <c r="W376" i="12" s="1"/>
  <c r="DA385" i="12"/>
  <c r="DA290" i="12"/>
  <c r="DA384" i="12"/>
  <c r="CZ491" i="12"/>
  <c r="CZ516" i="12"/>
  <c r="CZ517" i="12"/>
  <c r="DC497" i="12"/>
  <c r="DC495" i="12"/>
  <c r="AM34" i="77"/>
  <c r="BL310" i="77"/>
  <c r="AM55" i="77"/>
  <c r="AM78" i="77"/>
  <c r="N87" i="14"/>
  <c r="S10" i="64"/>
  <c r="S33" i="64"/>
  <c r="S14" i="90"/>
  <c r="S94" i="15"/>
  <c r="S48" i="33"/>
  <c r="AN150" i="33"/>
  <c r="S65" i="80"/>
  <c r="S67" i="80" s="1"/>
  <c r="K30" i="53"/>
  <c r="K34" i="53" s="1"/>
  <c r="S55" i="33"/>
  <c r="S116" i="33"/>
  <c r="T150" i="33"/>
  <c r="S150" i="33"/>
  <c r="L88" i="14"/>
  <c r="L87" i="14"/>
  <c r="DJ100" i="33"/>
  <c r="AD23" i="77" s="1"/>
  <c r="DJ118" i="33"/>
  <c r="DJ63" i="33"/>
  <c r="L85" i="14"/>
  <c r="L89" i="14" s="1"/>
  <c r="S85" i="14"/>
  <c r="S89" i="14" s="1"/>
  <c r="S166" i="33"/>
  <c r="DJ70" i="33"/>
  <c r="DJ71" i="33"/>
  <c r="DJ72" i="33"/>
  <c r="DJ69" i="33"/>
  <c r="P145" i="33"/>
  <c r="Q241" i="12"/>
  <c r="Q242" i="12"/>
  <c r="R240" i="12"/>
  <c r="CF241" i="12"/>
  <c r="CJ165" i="15"/>
  <c r="CJ168" i="15" s="1"/>
  <c r="S168" i="15" s="1"/>
  <c r="S153" i="15"/>
  <c r="S165" i="15" s="1"/>
  <c r="S166" i="15" s="1"/>
  <c r="CJ14" i="90"/>
  <c r="CJ94" i="15"/>
  <c r="DB48" i="33"/>
  <c r="DG150" i="33"/>
  <c r="CJ173" i="15"/>
  <c r="DB55" i="33"/>
  <c r="DB166" i="33"/>
  <c r="DC166" i="33"/>
  <c r="DB116" i="33"/>
  <c r="CF239" i="12"/>
  <c r="S166" i="12"/>
  <c r="CG240" i="12"/>
  <c r="CG239" i="12" s="1"/>
  <c r="CH166" i="12"/>
  <c r="CL164" i="33"/>
  <c r="N21" i="57"/>
  <c r="L21" i="57"/>
  <c r="AT81" i="57"/>
  <c r="AV81" i="57" s="1"/>
  <c r="AT85" i="57"/>
  <c r="AV85" i="57" s="1"/>
  <c r="AV80" i="57"/>
  <c r="N28" i="57"/>
  <c r="L28" i="57"/>
  <c r="CC97" i="15"/>
  <c r="BT38" i="48" s="1"/>
  <c r="CC99" i="15"/>
  <c r="CC101" i="15" s="1"/>
  <c r="CG58" i="33"/>
  <c r="CG61" i="33"/>
  <c r="CO99" i="15"/>
  <c r="CO101" i="15" s="1"/>
  <c r="CO97" i="15"/>
  <c r="DC100" i="33"/>
  <c r="W23" i="77" s="1"/>
  <c r="DC63" i="33"/>
  <c r="DC118" i="33"/>
  <c r="DC151" i="33"/>
  <c r="CN90" i="33"/>
  <c r="DH100" i="33"/>
  <c r="AB23" i="77" s="1"/>
  <c r="DH151" i="33"/>
  <c r="DH118" i="33"/>
  <c r="DH63" i="33"/>
  <c r="DC72" i="33"/>
  <c r="DC71" i="33"/>
  <c r="DC70" i="33"/>
  <c r="DC69" i="33"/>
  <c r="DH72" i="33"/>
  <c r="DH70" i="33"/>
  <c r="DH69" i="33"/>
  <c r="DH71" i="33"/>
  <c r="BR99" i="15"/>
  <c r="BR101" i="15" s="1"/>
  <c r="BR97" i="15"/>
  <c r="BI38" i="48" s="1"/>
  <c r="CQ99" i="15"/>
  <c r="CQ101" i="15" s="1"/>
  <c r="CQ97" i="15"/>
  <c r="DG58" i="33"/>
  <c r="DG61" i="33"/>
  <c r="CI97" i="15"/>
  <c r="BZ38" i="48" s="1"/>
  <c r="CI99" i="15"/>
  <c r="CI101" i="15" s="1"/>
  <c r="DI58" i="33"/>
  <c r="DI61" i="33"/>
  <c r="DI151" i="33" s="1"/>
  <c r="DA58" i="33"/>
  <c r="DA61" i="33"/>
  <c r="DA167" i="33" s="1"/>
  <c r="CI119" i="15"/>
  <c r="I91" i="65"/>
  <c r="I198" i="65"/>
  <c r="DK61" i="33"/>
  <c r="DK58" i="33"/>
  <c r="Q99" i="15"/>
  <c r="Q101" i="15" s="1"/>
  <c r="Q97" i="15"/>
  <c r="F40" i="65"/>
  <c r="F38" i="65" s="1"/>
  <c r="CG99" i="15"/>
  <c r="CG101" i="15" s="1"/>
  <c r="CG97" i="15"/>
  <c r="BX38" i="48" s="1"/>
  <c r="CY61" i="33"/>
  <c r="CZ167" i="33" s="1"/>
  <c r="CY58" i="33"/>
  <c r="CG119" i="15"/>
  <c r="CL39" i="33"/>
  <c r="CL44" i="33"/>
  <c r="CF61" i="33"/>
  <c r="CF58" i="33"/>
  <c r="BQ99" i="15"/>
  <c r="BQ101" i="15" s="1"/>
  <c r="BQ97" i="15"/>
  <c r="BH38" i="48" s="1"/>
  <c r="CJ61" i="33"/>
  <c r="CJ58" i="33"/>
  <c r="N5" i="64"/>
  <c r="N148" i="33"/>
  <c r="N164" i="33"/>
  <c r="N41" i="33"/>
  <c r="N114" i="33"/>
  <c r="N47" i="33"/>
  <c r="CE58" i="33"/>
  <c r="CE61" i="33"/>
  <c r="BP99" i="15"/>
  <c r="BP101" i="15" s="1"/>
  <c r="BP97" i="15"/>
  <c r="BG38" i="48" s="1"/>
  <c r="CE99" i="15"/>
  <c r="CE101" i="15" s="1"/>
  <c r="CE97" i="15"/>
  <c r="BV38" i="48" s="1"/>
  <c r="CE94" i="33"/>
  <c r="CE93" i="33"/>
  <c r="BP83" i="14" s="1"/>
  <c r="BP82" i="14"/>
  <c r="CE97" i="33"/>
  <c r="CI92" i="33"/>
  <c r="CI93" i="33" s="1"/>
  <c r="CI150" i="33"/>
  <c r="CI166" i="33"/>
  <c r="CI55" i="33"/>
  <c r="CI116" i="33"/>
  <c r="CI48" i="33"/>
  <c r="DE69" i="33"/>
  <c r="DE72" i="33"/>
  <c r="DE70" i="33"/>
  <c r="DE71" i="33"/>
  <c r="N197" i="66"/>
  <c r="N90" i="66"/>
  <c r="C214" i="66"/>
  <c r="C223" i="66" s="1"/>
  <c r="C208" i="66"/>
  <c r="C209" i="66" s="1"/>
  <c r="F214" i="65"/>
  <c r="F223" i="65" s="1"/>
  <c r="F212" i="65"/>
  <c r="F213" i="65" s="1"/>
  <c r="CW58" i="33"/>
  <c r="CW61" i="33"/>
  <c r="N44" i="33"/>
  <c r="N42" i="33"/>
  <c r="N166" i="33" s="1"/>
  <c r="N22" i="48"/>
  <c r="N40" i="33"/>
  <c r="N6" i="64"/>
  <c r="N10" i="64" s="1"/>
  <c r="N110" i="14"/>
  <c r="M7" i="71"/>
  <c r="M8" i="71" s="1"/>
  <c r="DE100" i="33"/>
  <c r="Y23" i="77" s="1"/>
  <c r="DE118" i="33"/>
  <c r="DE63" i="33"/>
  <c r="DF168" i="33" s="1"/>
  <c r="DJ151" i="33"/>
  <c r="BT99" i="15"/>
  <c r="BT101" i="15" s="1"/>
  <c r="BT97" i="15"/>
  <c r="BK38" i="48" s="1"/>
  <c r="N208" i="66"/>
  <c r="N209" i="66" s="1"/>
  <c r="N214" i="66"/>
  <c r="N223" i="66" s="1"/>
  <c r="C90" i="66"/>
  <c r="C197" i="66"/>
  <c r="P161" i="33"/>
  <c r="V491" i="12"/>
  <c r="V519" i="12" s="1"/>
  <c r="CX9" i="12"/>
  <c r="AJ34" i="77" s="1"/>
  <c r="N72" i="52"/>
  <c r="M104" i="52"/>
  <c r="CF213" i="90"/>
  <c r="CF215" i="90" s="1"/>
  <c r="CF344" i="90" s="1"/>
  <c r="Q215" i="90"/>
  <c r="CE344" i="90"/>
  <c r="U237" i="71"/>
  <c r="U238" i="71" s="1"/>
  <c r="V516" i="12"/>
  <c r="DA226" i="33"/>
  <c r="DA85" i="33" s="1"/>
  <c r="H106" i="52"/>
  <c r="G107" i="52"/>
  <c r="G76" i="52"/>
  <c r="G77" i="52" s="1"/>
  <c r="G78" i="52" s="1"/>
  <c r="V32" i="90"/>
  <c r="CT34" i="90"/>
  <c r="CT32" i="90" s="1"/>
  <c r="W32" i="90" s="1"/>
  <c r="CS110" i="33"/>
  <c r="V58" i="80"/>
  <c r="V59" i="80" s="1"/>
  <c r="CC148" i="90"/>
  <c r="CC150" i="90" s="1"/>
  <c r="CC331" i="90" s="1"/>
  <c r="CH203" i="90"/>
  <c r="CH205" i="90" s="1"/>
  <c r="CH342" i="90" s="1"/>
  <c r="T188" i="90"/>
  <c r="S189" i="90"/>
  <c r="CO53" i="90"/>
  <c r="AQ34" i="48"/>
  <c r="AQ36" i="48" s="1"/>
  <c r="AZ15" i="90"/>
  <c r="E69" i="33"/>
  <c r="E73" i="33" s="1"/>
  <c r="E75" i="33" s="1"/>
  <c r="E80" i="33" s="1"/>
  <c r="AP73" i="33"/>
  <c r="AP75" i="33" s="1"/>
  <c r="K104" i="52"/>
  <c r="T252" i="90"/>
  <c r="S253" i="90"/>
  <c r="S77" i="90"/>
  <c r="CE75" i="90"/>
  <c r="CE77" i="90" s="1"/>
  <c r="CE322" i="90" s="1"/>
  <c r="CE209" i="90"/>
  <c r="CF209" i="90" s="1"/>
  <c r="CG209" i="90" s="1"/>
  <c r="CH209" i="90" s="1"/>
  <c r="CI209" i="90" s="1"/>
  <c r="CJ209" i="90" s="1"/>
  <c r="CK209" i="90" s="1"/>
  <c r="CL209" i="90" s="1"/>
  <c r="CM209" i="90" s="1"/>
  <c r="CN209" i="90" s="1"/>
  <c r="CO209" i="90" s="1"/>
  <c r="CP209" i="90" s="1"/>
  <c r="CQ209" i="90" s="1"/>
  <c r="CR209" i="90" s="1"/>
  <c r="CE208" i="90"/>
  <c r="CE210" i="90" s="1"/>
  <c r="CE343" i="90" s="1"/>
  <c r="BY90" i="14"/>
  <c r="BS32" i="70"/>
  <c r="BS31" i="70"/>
  <c r="S180" i="90"/>
  <c r="CN178" i="90"/>
  <c r="CN180" i="90" s="1"/>
  <c r="J74" i="52"/>
  <c r="J8" i="14"/>
  <c r="K69" i="15"/>
  <c r="K70" i="15" s="1"/>
  <c r="U143" i="90"/>
  <c r="U145" i="90" s="1"/>
  <c r="V143" i="90" s="1"/>
  <c r="V145" i="90" s="1"/>
  <c r="W143" i="90" s="1"/>
  <c r="W145" i="90" s="1"/>
  <c r="T144" i="90"/>
  <c r="F77" i="52"/>
  <c r="X60" i="52"/>
  <c r="W92" i="52"/>
  <c r="G15" i="90"/>
  <c r="G115" i="14"/>
  <c r="P99" i="52"/>
  <c r="Q67" i="52"/>
  <c r="CK93" i="90"/>
  <c r="CK95" i="90" s="1"/>
  <c r="CK352" i="90" s="1"/>
  <c r="E105" i="52"/>
  <c r="F104" i="52"/>
  <c r="T190" i="90"/>
  <c r="CO188" i="90"/>
  <c r="CO190" i="90" s="1"/>
  <c r="CP188" i="90" s="1"/>
  <c r="CP190" i="90" s="1"/>
  <c r="CQ188" i="90" s="1"/>
  <c r="CQ190" i="90" s="1"/>
  <c r="CR188" i="90" s="1"/>
  <c r="CR190" i="90" s="1"/>
  <c r="CS188" i="90" s="1"/>
  <c r="CS190" i="90" s="1"/>
  <c r="CT188" i="90" s="1"/>
  <c r="CT190" i="90" s="1"/>
  <c r="CU188" i="90" s="1"/>
  <c r="CU190" i="90" s="1"/>
  <c r="CV188" i="90" s="1"/>
  <c r="CV190" i="90" s="1"/>
  <c r="CW188" i="90" s="1"/>
  <c r="CW190" i="90" s="1"/>
  <c r="CX188" i="90" s="1"/>
  <c r="CX190" i="90" s="1"/>
  <c r="CY188" i="90" s="1"/>
  <c r="CY190" i="90" s="1"/>
  <c r="CZ188" i="90" s="1"/>
  <c r="CZ190" i="90" s="1"/>
  <c r="DA188" i="90" s="1"/>
  <c r="DA190" i="90" s="1"/>
  <c r="DB188" i="90" s="1"/>
  <c r="DB190" i="90" s="1"/>
  <c r="DC188" i="90" s="1"/>
  <c r="DC190" i="90" s="1"/>
  <c r="T135" i="90"/>
  <c r="CO133" i="90"/>
  <c r="CO135" i="90" s="1"/>
  <c r="CP133" i="90" s="1"/>
  <c r="CP135" i="90" s="1"/>
  <c r="CQ133" i="90" s="1"/>
  <c r="CQ135" i="90" s="1"/>
  <c r="CR133" i="90" s="1"/>
  <c r="CR135" i="90" s="1"/>
  <c r="CS133" i="90" s="1"/>
  <c r="CS135" i="90" s="1"/>
  <c r="CT133" i="90" s="1"/>
  <c r="CT135" i="90" s="1"/>
  <c r="CU133" i="90" s="1"/>
  <c r="CU135" i="90" s="1"/>
  <c r="CV133" i="90" s="1"/>
  <c r="CV135" i="90" s="1"/>
  <c r="CW133" i="90" s="1"/>
  <c r="CW135" i="90" s="1"/>
  <c r="CX133" i="90" s="1"/>
  <c r="CX135" i="90" s="1"/>
  <c r="CY133" i="90" s="1"/>
  <c r="CY135" i="90" s="1"/>
  <c r="CZ133" i="90" s="1"/>
  <c r="CZ135" i="90" s="1"/>
  <c r="DA133" i="90" s="1"/>
  <c r="DA135" i="90" s="1"/>
  <c r="DB133" i="90" s="1"/>
  <c r="DB135" i="90" s="1"/>
  <c r="DC133" i="90" s="1"/>
  <c r="DC135" i="90" s="1"/>
  <c r="AN80" i="33"/>
  <c r="V236" i="90"/>
  <c r="W234" i="90" s="1"/>
  <c r="CQ234" i="90"/>
  <c r="CQ236" i="90" s="1"/>
  <c r="X258" i="90"/>
  <c r="X260" i="90" s="1"/>
  <c r="X360" i="90" s="1"/>
  <c r="CO252" i="90"/>
  <c r="CO254" i="90" s="1"/>
  <c r="R76" i="90"/>
  <c r="S75" i="90"/>
  <c r="Q81" i="90"/>
  <c r="P82" i="90"/>
  <c r="Q66" i="52"/>
  <c r="P98" i="52"/>
  <c r="BC69" i="15"/>
  <c r="BC70" i="15" s="1"/>
  <c r="BB8" i="14"/>
  <c r="Q199" i="90"/>
  <c r="R198" i="90"/>
  <c r="CD63" i="90"/>
  <c r="CD65" i="90" s="1"/>
  <c r="CD320" i="90" s="1"/>
  <c r="EA69" i="15"/>
  <c r="DZ70" i="15"/>
  <c r="W6" i="52"/>
  <c r="W27" i="52" s="1"/>
  <c r="W87" i="52"/>
  <c r="BX69" i="90"/>
  <c r="BX71" i="90" s="1"/>
  <c r="BY69" i="90" s="1"/>
  <c r="BY71" i="90" s="1"/>
  <c r="O71" i="90"/>
  <c r="CH46" i="90"/>
  <c r="CH324" i="90"/>
  <c r="CH45" i="90"/>
  <c r="CH47" i="90" s="1"/>
  <c r="Q148" i="90"/>
  <c r="P149" i="90"/>
  <c r="CO153" i="90"/>
  <c r="CO155" i="90" s="1"/>
  <c r="CP153" i="90" s="1"/>
  <c r="CP155" i="90" s="1"/>
  <c r="CQ153" i="90" s="1"/>
  <c r="CQ155" i="90" s="1"/>
  <c r="CR153" i="90" s="1"/>
  <c r="CR155" i="90" s="1"/>
  <c r="CS153" i="90" s="1"/>
  <c r="CS155" i="90" s="1"/>
  <c r="CT153" i="90" s="1"/>
  <c r="CT155" i="90" s="1"/>
  <c r="CU153" i="90" s="1"/>
  <c r="CU155" i="90" s="1"/>
  <c r="CV153" i="90" s="1"/>
  <c r="CV155" i="90" s="1"/>
  <c r="CW153" i="90" s="1"/>
  <c r="CW155" i="90" s="1"/>
  <c r="CX153" i="90" s="1"/>
  <c r="CX155" i="90" s="1"/>
  <c r="CY153" i="90" s="1"/>
  <c r="CY155" i="90" s="1"/>
  <c r="CZ153" i="90" s="1"/>
  <c r="CZ155" i="90" s="1"/>
  <c r="DA153" i="90" s="1"/>
  <c r="DA155" i="90" s="1"/>
  <c r="DB153" i="90" s="1"/>
  <c r="DB155" i="90" s="1"/>
  <c r="DC153" i="90" s="1"/>
  <c r="DC155" i="90" s="1"/>
  <c r="T155" i="90"/>
  <c r="BZ69" i="14"/>
  <c r="BY71" i="14"/>
  <c r="BY73" i="14" s="1"/>
  <c r="I84" i="66"/>
  <c r="CF173" i="90"/>
  <c r="CF175" i="90" s="1"/>
  <c r="CF336" i="90" s="1"/>
  <c r="Q175" i="90"/>
  <c r="CK123" i="90"/>
  <c r="CK125" i="90" s="1"/>
  <c r="CK327" i="90"/>
  <c r="N70" i="52"/>
  <c r="M102" i="52"/>
  <c r="U235" i="90"/>
  <c r="V234" i="90"/>
  <c r="CN359" i="90"/>
  <c r="E74" i="52"/>
  <c r="E75" i="52" s="1"/>
  <c r="CB83" i="90"/>
  <c r="BA15" i="14"/>
  <c r="BA28" i="14" s="1"/>
  <c r="BA75" i="14" s="1"/>
  <c r="BA112" i="14"/>
  <c r="X56" i="52"/>
  <c r="W88" i="52"/>
  <c r="CD78" i="33"/>
  <c r="CD119" i="33"/>
  <c r="CD79" i="33"/>
  <c r="CD67" i="33"/>
  <c r="CD168" i="33"/>
  <c r="S64" i="52"/>
  <c r="T95" i="52" s="1"/>
  <c r="R96" i="52"/>
  <c r="Y41" i="52"/>
  <c r="Y55" i="52" s="1"/>
  <c r="Y6" i="52" s="1"/>
  <c r="Y27" i="52" s="1"/>
  <c r="X55" i="52"/>
  <c r="M73" i="52"/>
  <c r="M74" i="52" s="1"/>
  <c r="CF200" i="14"/>
  <c r="Q200" i="14"/>
  <c r="Q202" i="14" s="1"/>
  <c r="Q203" i="14" s="1"/>
  <c r="CE202" i="14"/>
  <c r="CE203" i="14" s="1"/>
  <c r="G106" i="52"/>
  <c r="H105" i="52"/>
  <c r="X240" i="90"/>
  <c r="X242" i="90" s="1"/>
  <c r="Y240" i="90" s="1"/>
  <c r="Y242" i="90" s="1"/>
  <c r="Z240" i="90" s="1"/>
  <c r="Z242" i="90" s="1"/>
  <c r="AA240" i="90" s="1"/>
  <c r="AA242" i="90" s="1"/>
  <c r="AB240" i="90" s="1"/>
  <c r="AB242" i="90" s="1"/>
  <c r="AC240" i="90" s="1"/>
  <c r="AC242" i="90" s="1"/>
  <c r="AD240" i="90" s="1"/>
  <c r="AD242" i="90" s="1"/>
  <c r="V241" i="90"/>
  <c r="R226" i="33"/>
  <c r="T153" i="90"/>
  <c r="S154" i="90"/>
  <c r="CU258" i="90"/>
  <c r="CU260" i="90" s="1"/>
  <c r="CU360" i="90"/>
  <c r="CO87" i="90"/>
  <c r="T89" i="90"/>
  <c r="T88" i="90" s="1"/>
  <c r="S93" i="90"/>
  <c r="R94" i="90"/>
  <c r="L106" i="52"/>
  <c r="L75" i="52"/>
  <c r="CJ327" i="90"/>
  <c r="U63" i="52"/>
  <c r="P68" i="52"/>
  <c r="O100" i="52"/>
  <c r="T133" i="90"/>
  <c r="S134" i="90"/>
  <c r="N71" i="52"/>
  <c r="M103" i="52"/>
  <c r="N101" i="52"/>
  <c r="O69" i="52"/>
  <c r="CI227" i="33"/>
  <c r="N226" i="33"/>
  <c r="N227" i="33" s="1"/>
  <c r="CE159" i="90"/>
  <c r="CF159" i="90" s="1"/>
  <c r="CG159" i="90" s="1"/>
  <c r="CH159" i="90" s="1"/>
  <c r="CI159" i="90" s="1"/>
  <c r="CJ159" i="90" s="1"/>
  <c r="CK159" i="90" s="1"/>
  <c r="CL159" i="90" s="1"/>
  <c r="CM159" i="90" s="1"/>
  <c r="CN159" i="90" s="1"/>
  <c r="CO159" i="90" s="1"/>
  <c r="CP159" i="90" s="1"/>
  <c r="CQ159" i="90" s="1"/>
  <c r="CR159" i="90" s="1"/>
  <c r="CE158" i="90"/>
  <c r="Q195" i="90"/>
  <c r="CF193" i="90"/>
  <c r="CF195" i="90" s="1"/>
  <c r="BS118" i="33"/>
  <c r="BS80" i="33"/>
  <c r="Y61" i="52"/>
  <c r="U62" i="52"/>
  <c r="T94" i="52"/>
  <c r="U93" i="52"/>
  <c r="R65" i="52"/>
  <c r="Q97" i="52"/>
  <c r="BR31" i="70"/>
  <c r="BR32" i="70"/>
  <c r="H82" i="52"/>
  <c r="CD168" i="90"/>
  <c r="CD170" i="90" s="1"/>
  <c r="CD335" i="90" s="1"/>
  <c r="CG198" i="90"/>
  <c r="CG200" i="90" s="1"/>
  <c r="CG341" i="90" s="1"/>
  <c r="I112" i="14"/>
  <c r="I15" i="14"/>
  <c r="I28" i="14" s="1"/>
  <c r="I75" i="14" s="1"/>
  <c r="CF117" i="90"/>
  <c r="CF119" i="90" s="1"/>
  <c r="CF326" i="90" s="1"/>
  <c r="V59" i="52"/>
  <c r="U91" i="52"/>
  <c r="V90" i="52"/>
  <c r="CU266" i="90"/>
  <c r="CG324" i="90"/>
  <c r="V509" i="12"/>
  <c r="U235" i="71"/>
  <c r="U236" i="71" s="1"/>
  <c r="V825" i="12"/>
  <c r="V490" i="12"/>
  <c r="AS210" i="58"/>
  <c r="AS213" i="58" s="1"/>
  <c r="AS487" i="58"/>
  <c r="AT356" i="58"/>
  <c r="AT357" i="58" s="1"/>
  <c r="AT358" i="58"/>
  <c r="AT359" i="58" s="1"/>
  <c r="CG346" i="12"/>
  <c r="CF347" i="12"/>
  <c r="R346" i="12"/>
  <c r="R353" i="12" s="1"/>
  <c r="R354" i="12" s="1"/>
  <c r="CF353" i="12"/>
  <c r="CE355" i="12"/>
  <c r="CE354" i="12"/>
  <c r="X252" i="12"/>
  <c r="X249" i="12" s="1"/>
  <c r="Y472" i="12"/>
  <c r="Y471" i="12" s="1"/>
  <c r="Y55" i="80" s="1"/>
  <c r="CH75" i="33"/>
  <c r="CH80" i="33" s="1"/>
  <c r="CJ79" i="14"/>
  <c r="CJ87" i="14" s="1"/>
  <c r="CI80" i="14"/>
  <c r="CJ81" i="14" s="1"/>
  <c r="CK89" i="14" s="1"/>
  <c r="K61" i="65"/>
  <c r="K60" i="65" s="1"/>
  <c r="K57" i="65" s="1"/>
  <c r="R78" i="14"/>
  <c r="Y89" i="52"/>
  <c r="CF194" i="14"/>
  <c r="CG206" i="14"/>
  <c r="CG209" i="14" s="1"/>
  <c r="CJ78" i="14"/>
  <c r="CK25" i="14"/>
  <c r="CR30" i="33"/>
  <c r="I237" i="66"/>
  <c r="I189" i="66"/>
  <c r="I94" i="66" s="1"/>
  <c r="I92" i="66" s="1"/>
  <c r="N8" i="15"/>
  <c r="N32" i="15" s="1"/>
  <c r="BS32" i="15"/>
  <c r="P31" i="33"/>
  <c r="H33" i="53" s="1"/>
  <c r="CT31" i="33"/>
  <c r="CV29" i="33"/>
  <c r="Q29" i="33" s="1"/>
  <c r="CU31" i="33"/>
  <c r="L78" i="33"/>
  <c r="L119" i="33"/>
  <c r="L79" i="33"/>
  <c r="L67" i="33"/>
  <c r="L111" i="14"/>
  <c r="L96" i="14" s="1"/>
  <c r="DN166" i="33"/>
  <c r="CO162" i="33"/>
  <c r="J40" i="66"/>
  <c r="J38" i="66" s="1"/>
  <c r="F40" i="66"/>
  <c r="F38" i="66" s="1"/>
  <c r="CR162" i="33"/>
  <c r="X465" i="12"/>
  <c r="X467" i="12"/>
  <c r="V81" i="71"/>
  <c r="CW148" i="33"/>
  <c r="CR114" i="33"/>
  <c r="CR41" i="33"/>
  <c r="CR42" i="33"/>
  <c r="DG114" i="48" s="1"/>
  <c r="CW40" i="33"/>
  <c r="V7" i="58"/>
  <c r="V8" i="58" s="1"/>
  <c r="CA110" i="14"/>
  <c r="DG113" i="48"/>
  <c r="BR22" i="48"/>
  <c r="CA839" i="12"/>
  <c r="AK6" i="64"/>
  <c r="CR47" i="33"/>
  <c r="CR150" i="33" s="1"/>
  <c r="CT164" i="33"/>
  <c r="CT39" i="33"/>
  <c r="CT44" i="33"/>
  <c r="CR94" i="33"/>
  <c r="CR93" i="33"/>
  <c r="CE83" i="14" s="1"/>
  <c r="CA82" i="14"/>
  <c r="CR97" i="33"/>
  <c r="CR98" i="33" s="1"/>
  <c r="CR99" i="33" s="1"/>
  <c r="CA86" i="14" s="1"/>
  <c r="Q361" i="12"/>
  <c r="Q368" i="12" s="1"/>
  <c r="CF361" i="12"/>
  <c r="CE368" i="12"/>
  <c r="J211" i="66"/>
  <c r="J212" i="66" s="1"/>
  <c r="J213" i="66"/>
  <c r="J222" i="66" s="1"/>
  <c r="CO164" i="33"/>
  <c r="R7" i="58"/>
  <c r="R8" i="58" s="1"/>
  <c r="CM39" i="33"/>
  <c r="CM40" i="33"/>
  <c r="DC113" i="48"/>
  <c r="CM44" i="33"/>
  <c r="BW110" i="14"/>
  <c r="AG6" i="64"/>
  <c r="CR40" i="33"/>
  <c r="CM42" i="33"/>
  <c r="DC114" i="48" s="1"/>
  <c r="BN22" i="48"/>
  <c r="CM47" i="33"/>
  <c r="CM166" i="33" s="1"/>
  <c r="F213" i="66"/>
  <c r="F222" i="66" s="1"/>
  <c r="F211" i="66"/>
  <c r="F212" i="66" s="1"/>
  <c r="EE273" i="48"/>
  <c r="DZ279" i="48"/>
  <c r="EB273" i="48"/>
  <c r="DZ277" i="48"/>
  <c r="DZ226" i="48"/>
  <c r="DZ281" i="48"/>
  <c r="EE225" i="48"/>
  <c r="DZ256" i="48"/>
  <c r="EB225" i="48"/>
  <c r="DZ230" i="48"/>
  <c r="CQ164" i="33"/>
  <c r="CQ39" i="33"/>
  <c r="AJ6" i="64"/>
  <c r="BZ839" i="12"/>
  <c r="CR44" i="33"/>
  <c r="CQ44" i="33"/>
  <c r="BQ22" i="48"/>
  <c r="CV40" i="33"/>
  <c r="CR39" i="33"/>
  <c r="CQ42" i="33"/>
  <c r="DF114" i="48" s="1"/>
  <c r="BZ110" i="14"/>
  <c r="K20" i="57"/>
  <c r="CQ47" i="33"/>
  <c r="CQ166" i="33" s="1"/>
  <c r="U7" i="58"/>
  <c r="U8" i="58" s="1"/>
  <c r="DF113" i="48"/>
  <c r="CR164" i="33"/>
  <c r="BO22" i="48"/>
  <c r="AH6" i="64"/>
  <c r="CO40" i="33"/>
  <c r="DD113" i="48"/>
  <c r="BX110" i="14"/>
  <c r="BX839" i="12"/>
  <c r="CO42" i="33"/>
  <c r="DD114" i="48" s="1"/>
  <c r="S7" i="58"/>
  <c r="S8" i="58" s="1"/>
  <c r="CP164" i="33"/>
  <c r="CO47" i="33"/>
  <c r="CT40" i="33"/>
  <c r="CO39" i="33"/>
  <c r="G47" i="66"/>
  <c r="G42" i="66" s="1"/>
  <c r="G40" i="66" s="1"/>
  <c r="D211" i="66"/>
  <c r="D212" i="66" s="1"/>
  <c r="D213" i="66"/>
  <c r="D222" i="66" s="1"/>
  <c r="O110" i="33"/>
  <c r="EE223" i="48"/>
  <c r="EB223" i="48"/>
  <c r="FN403" i="48"/>
  <c r="FN413" i="48" s="1"/>
  <c r="H44" i="65"/>
  <c r="P138" i="15"/>
  <c r="P13" i="48"/>
  <c r="P18" i="48" s="1"/>
  <c r="P117" i="33"/>
  <c r="P108" i="33"/>
  <c r="O4" i="71"/>
  <c r="O5" i="71" s="1"/>
  <c r="P5" i="64"/>
  <c r="P32" i="64" s="1"/>
  <c r="BV61" i="48"/>
  <c r="P109" i="33"/>
  <c r="P106" i="14"/>
  <c r="EZ428" i="48"/>
  <c r="Q17" i="33"/>
  <c r="EN378" i="48" s="1"/>
  <c r="Q145" i="33"/>
  <c r="P115" i="33"/>
  <c r="S52" i="56"/>
  <c r="S62" i="56" s="1"/>
  <c r="P88" i="33"/>
  <c r="P90" i="33" s="1"/>
  <c r="P91" i="33" s="1"/>
  <c r="P92" i="33" s="1"/>
  <c r="H28" i="53"/>
  <c r="Q161" i="33"/>
  <c r="H193" i="65"/>
  <c r="H191" i="65" s="1"/>
  <c r="P19" i="33"/>
  <c r="P146" i="33" s="1"/>
  <c r="P186" i="14"/>
  <c r="CQ94" i="33"/>
  <c r="BZ82" i="14"/>
  <c r="CQ93" i="33"/>
  <c r="CD83" i="14" s="1"/>
  <c r="CQ97" i="33"/>
  <c r="CQ98" i="33" s="1"/>
  <c r="CQ99" i="33" s="1"/>
  <c r="BZ86" i="14" s="1"/>
  <c r="AI10" i="64"/>
  <c r="AI33" i="64"/>
  <c r="CP39" i="33"/>
  <c r="CQ148" i="33"/>
  <c r="CQ41" i="33"/>
  <c r="CQ114" i="33"/>
  <c r="I211" i="66"/>
  <c r="I212" i="66" s="1"/>
  <c r="I213" i="66"/>
  <c r="I222" i="66" s="1"/>
  <c r="M19" i="57"/>
  <c r="O19" i="57"/>
  <c r="CO41" i="33"/>
  <c r="CO114" i="33"/>
  <c r="CO148" i="33"/>
  <c r="CL162" i="33"/>
  <c r="CQ40" i="33"/>
  <c r="CM164" i="33"/>
  <c r="CM148" i="33"/>
  <c r="CM114" i="33"/>
  <c r="CM41" i="33"/>
  <c r="CO91" i="33"/>
  <c r="CS90" i="33"/>
  <c r="P7" i="58"/>
  <c r="P8" i="58" s="1"/>
  <c r="BL22" i="48"/>
  <c r="DA113" i="48"/>
  <c r="CK40" i="33"/>
  <c r="BU110" i="14"/>
  <c r="AE6" i="64"/>
  <c r="CK44" i="33"/>
  <c r="CK164" i="33"/>
  <c r="CK42" i="33"/>
  <c r="DA114" i="48" s="1"/>
  <c r="CK39" i="33"/>
  <c r="CK47" i="33"/>
  <c r="CL166" i="33" s="1"/>
  <c r="CQ162" i="33"/>
  <c r="EE221" i="48"/>
  <c r="EB221" i="48"/>
  <c r="EN375" i="48"/>
  <c r="EN377" i="48" s="1"/>
  <c r="EN353" i="48"/>
  <c r="EN355" i="48" s="1"/>
  <c r="AU79" i="57"/>
  <c r="AW79" i="57" s="1"/>
  <c r="AW73" i="57"/>
  <c r="AU80" i="57"/>
  <c r="AU77" i="57"/>
  <c r="AW77" i="57" s="1"/>
  <c r="CP116" i="33"/>
  <c r="CP150" i="33"/>
  <c r="CP48" i="33"/>
  <c r="CP55" i="33"/>
  <c r="CK93" i="33"/>
  <c r="BU83" i="14" s="1"/>
  <c r="BU82" i="14"/>
  <c r="CK94" i="33"/>
  <c r="CK97" i="33"/>
  <c r="CK98" i="33" s="1"/>
  <c r="CK99" i="33" s="1"/>
  <c r="BU86" i="14" s="1"/>
  <c r="BU90" i="14" s="1"/>
  <c r="CK41" i="33"/>
  <c r="CK148" i="33"/>
  <c r="CK114" i="33"/>
  <c r="H38" i="66"/>
  <c r="H207" i="66"/>
  <c r="CS20" i="33"/>
  <c r="CX146" i="33"/>
  <c r="CS162" i="33"/>
  <c r="CS37" i="33"/>
  <c r="CS104" i="33"/>
  <c r="CS146" i="33"/>
  <c r="BY94" i="15"/>
  <c r="BY14" i="90"/>
  <c r="CP44" i="33"/>
  <c r="I47" i="66"/>
  <c r="I42" i="66" s="1"/>
  <c r="I40" i="66" s="1"/>
  <c r="M17" i="57"/>
  <c r="O17" i="57"/>
  <c r="G211" i="66"/>
  <c r="G212" i="66" s="1"/>
  <c r="G213" i="66"/>
  <c r="G222" i="66" s="1"/>
  <c r="D47" i="66"/>
  <c r="D42" i="66" s="1"/>
  <c r="D40" i="66" s="1"/>
  <c r="Z278" i="12"/>
  <c r="E40" i="66"/>
  <c r="CG99" i="33"/>
  <c r="K90" i="66"/>
  <c r="K197" i="66"/>
  <c r="BW88" i="14"/>
  <c r="BW87" i="14"/>
  <c r="CN164" i="33"/>
  <c r="CN148" i="33"/>
  <c r="CN41" i="33"/>
  <c r="DF119" i="33"/>
  <c r="CN8" i="15"/>
  <c r="DF234" i="33"/>
  <c r="DF79" i="33"/>
  <c r="DF78" i="33"/>
  <c r="DF67" i="33"/>
  <c r="CN179" i="15" s="1"/>
  <c r="CN111" i="14"/>
  <c r="CN96" i="14" s="1"/>
  <c r="U178" i="71"/>
  <c r="U179" i="71" s="1"/>
  <c r="U177" i="71"/>
  <c r="CN91" i="33"/>
  <c r="CL92" i="33"/>
  <c r="DN55" i="33"/>
  <c r="CV173" i="15"/>
  <c r="DN48" i="33"/>
  <c r="DN150" i="33"/>
  <c r="DN116" i="33"/>
  <c r="Z476" i="12"/>
  <c r="Z474" i="12"/>
  <c r="L47" i="53"/>
  <c r="L44" i="53"/>
  <c r="T312" i="71"/>
  <c r="T302" i="71"/>
  <c r="T313" i="71"/>
  <c r="T314" i="71" s="1"/>
  <c r="CZ118" i="33"/>
  <c r="CZ100" i="33"/>
  <c r="T23" i="77" s="1"/>
  <c r="CZ63" i="33"/>
  <c r="DE151" i="33"/>
  <c r="DL58" i="33"/>
  <c r="DL61" i="33"/>
  <c r="U14" i="90"/>
  <c r="U94" i="15"/>
  <c r="CL150" i="33"/>
  <c r="CL116" i="33"/>
  <c r="CL48" i="33"/>
  <c r="CL55" i="33"/>
  <c r="BT65" i="48"/>
  <c r="BT67" i="48"/>
  <c r="O37" i="33"/>
  <c r="O20" i="48"/>
  <c r="O162" i="33"/>
  <c r="O104" i="33"/>
  <c r="O20" i="33"/>
  <c r="O36" i="33"/>
  <c r="O146" i="33"/>
  <c r="R234" i="33"/>
  <c r="R235" i="33" s="1"/>
  <c r="S233" i="33" s="1"/>
  <c r="R61" i="33"/>
  <c r="R58" i="33"/>
  <c r="J118" i="53"/>
  <c r="J149" i="53" s="1"/>
  <c r="J35" i="53"/>
  <c r="J43" i="53"/>
  <c r="J44" i="53" s="1"/>
  <c r="J37" i="53"/>
  <c r="I121" i="53"/>
  <c r="I152" i="53" s="1"/>
  <c r="U87" i="14"/>
  <c r="U88" i="14"/>
  <c r="W38" i="80"/>
  <c r="W39" i="80" s="1"/>
  <c r="W14" i="64"/>
  <c r="W234" i="71"/>
  <c r="K208" i="66"/>
  <c r="K209" i="66" s="1"/>
  <c r="K214" i="66"/>
  <c r="K223" i="66" s="1"/>
  <c r="BZ88" i="14"/>
  <c r="BZ87" i="14"/>
  <c r="DM61" i="33"/>
  <c r="DM58" i="33"/>
  <c r="U174" i="71"/>
  <c r="U175" i="71" s="1"/>
  <c r="X624" i="12"/>
  <c r="X623" i="12" s="1"/>
  <c r="W80" i="71"/>
  <c r="CV94" i="15"/>
  <c r="CV99" i="15" s="1"/>
  <c r="CV101" i="15" s="1"/>
  <c r="CV14" i="90"/>
  <c r="CV15" i="90"/>
  <c r="CZ72" i="33"/>
  <c r="CZ69" i="33"/>
  <c r="CZ70" i="33"/>
  <c r="CZ71" i="33"/>
  <c r="AF33" i="64"/>
  <c r="AF10" i="64"/>
  <c r="O79" i="14"/>
  <c r="O125" i="14"/>
  <c r="O81" i="14"/>
  <c r="O220" i="14"/>
  <c r="O134" i="14"/>
  <c r="O128" i="14"/>
  <c r="G42" i="53"/>
  <c r="G40" i="53"/>
  <c r="T28" i="53"/>
  <c r="N10" i="71"/>
  <c r="DF73" i="33"/>
  <c r="S386" i="71"/>
  <c r="T35" i="64"/>
  <c r="CO44" i="33"/>
  <c r="CN39" i="33"/>
  <c r="CN114" i="33"/>
  <c r="CN42" i="33"/>
  <c r="CN40" i="33"/>
  <c r="CN44" i="33"/>
  <c r="CN47" i="33"/>
  <c r="Y628" i="12"/>
  <c r="Z629" i="12"/>
  <c r="AA629" i="12" s="1"/>
  <c r="Y630" i="12"/>
  <c r="T71" i="33"/>
  <c r="T72" i="33"/>
  <c r="T70" i="33"/>
  <c r="T69" i="33"/>
  <c r="DD118" i="33"/>
  <c r="DD100" i="33"/>
  <c r="X23" i="77" s="1"/>
  <c r="DD63" i="33"/>
  <c r="DE167" i="33"/>
  <c r="DD167" i="33"/>
  <c r="U33" i="64"/>
  <c r="U10" i="64"/>
  <c r="BV94" i="15"/>
  <c r="BV14" i="90"/>
  <c r="G59" i="65"/>
  <c r="G57" i="65" s="1"/>
  <c r="G211" i="65" s="1"/>
  <c r="G43" i="65"/>
  <c r="G53" i="65"/>
  <c r="J208" i="65"/>
  <c r="J38" i="65"/>
  <c r="U95" i="33"/>
  <c r="U85" i="14" s="1"/>
  <c r="U84" i="14"/>
  <c r="R99" i="15"/>
  <c r="R101" i="15" s="1"/>
  <c r="R97" i="15"/>
  <c r="CT99" i="15"/>
  <c r="CT101" i="15" s="1"/>
  <c r="AO151" i="33"/>
  <c r="T100" i="33"/>
  <c r="T118" i="33"/>
  <c r="T63" i="33"/>
  <c r="DD71" i="33"/>
  <c r="DD70" i="33"/>
  <c r="DD72" i="33"/>
  <c r="DD69" i="33"/>
  <c r="CU99" i="15"/>
  <c r="CU101" i="15" s="1"/>
  <c r="U48" i="33"/>
  <c r="U55" i="33"/>
  <c r="M30" i="53"/>
  <c r="M34" i="53" s="1"/>
  <c r="U116" i="33"/>
  <c r="U150" i="33"/>
  <c r="O90" i="33"/>
  <c r="O91" i="33" s="1"/>
  <c r="O92" i="33" s="1"/>
  <c r="Y277" i="12"/>
  <c r="Y275" i="12" s="1"/>
  <c r="AT360" i="58"/>
  <c r="AT111" i="58"/>
  <c r="AT112" i="58"/>
  <c r="AT113" i="58" s="1"/>
  <c r="V387" i="12"/>
  <c r="U107" i="71"/>
  <c r="U110" i="71" s="1"/>
  <c r="W12" i="64"/>
  <c r="W24" i="80"/>
  <c r="W25" i="80" s="1"/>
  <c r="Y254" i="12"/>
  <c r="Y256" i="12"/>
  <c r="Z255" i="12"/>
  <c r="AA255" i="12" s="1"/>
  <c r="R302" i="90"/>
  <c r="S300" i="90" s="1"/>
  <c r="CJ300" i="90"/>
  <c r="CJ302" i="90" s="1"/>
  <c r="CJ366" i="90" s="1"/>
  <c r="AB492" i="12" l="1"/>
  <c r="AA10" i="12"/>
  <c r="AA252" i="12"/>
  <c r="AA249" i="12" s="1"/>
  <c r="AA256" i="12"/>
  <c r="AA254" i="12"/>
  <c r="AB255" i="12"/>
  <c r="AC327" i="90"/>
  <c r="I105" i="52"/>
  <c r="J104" i="52"/>
  <c r="CF41" i="90"/>
  <c r="AD270" i="90"/>
  <c r="AD272" i="90" s="1"/>
  <c r="AD362" i="90"/>
  <c r="AC165" i="12"/>
  <c r="AB231" i="12"/>
  <c r="CI220" i="90"/>
  <c r="DB270" i="90"/>
  <c r="DB272" i="90" s="1"/>
  <c r="DC270" i="90" s="1"/>
  <c r="DC272" i="90" s="1"/>
  <c r="DC362" i="90" s="1"/>
  <c r="AD276" i="90"/>
  <c r="AD278" i="90" s="1"/>
  <c r="AD363" i="90"/>
  <c r="CO230" i="12"/>
  <c r="CO232" i="12"/>
  <c r="I104" i="52"/>
  <c r="J103" i="52"/>
  <c r="D31" i="52"/>
  <c r="D124" i="52"/>
  <c r="D146" i="52" s="1"/>
  <c r="D18" i="52" s="1"/>
  <c r="D7" i="52" s="1"/>
  <c r="D8" i="52" s="1"/>
  <c r="D11" i="52" s="1"/>
  <c r="E124" i="52"/>
  <c r="F124" i="52" s="1"/>
  <c r="G124" i="52" s="1"/>
  <c r="H124" i="52" s="1"/>
  <c r="I124" i="52" s="1"/>
  <c r="J124" i="52" s="1"/>
  <c r="K124" i="52" s="1"/>
  <c r="L124" i="52" s="1"/>
  <c r="M124" i="52" s="1"/>
  <c r="N124" i="52" s="1"/>
  <c r="O124" i="52" s="1"/>
  <c r="P124" i="52" s="1"/>
  <c r="Q124" i="52" s="1"/>
  <c r="R124" i="52" s="1"/>
  <c r="S124" i="52" s="1"/>
  <c r="AA232" i="12"/>
  <c r="AA230" i="12"/>
  <c r="D77" i="52"/>
  <c r="D108" i="52"/>
  <c r="BU35" i="90"/>
  <c r="BV33" i="90"/>
  <c r="AB63" i="90"/>
  <c r="AB65" i="90" s="1"/>
  <c r="AB320" i="90" s="1"/>
  <c r="CE185" i="90"/>
  <c r="CE338" i="90" s="1"/>
  <c r="Q40" i="90"/>
  <c r="R39" i="90"/>
  <c r="CQ165" i="12"/>
  <c r="CP231" i="12"/>
  <c r="BS22" i="90"/>
  <c r="N20" i="90"/>
  <c r="AC223" i="90"/>
  <c r="AC225" i="90" s="1"/>
  <c r="AC357" i="90"/>
  <c r="CI318" i="90"/>
  <c r="CI317" i="90" s="1"/>
  <c r="CJ26" i="90"/>
  <c r="CI28" i="90"/>
  <c r="R28" i="90" s="1"/>
  <c r="R29" i="90"/>
  <c r="S26" i="90" s="1"/>
  <c r="CJ29" i="90"/>
  <c r="AB119" i="90"/>
  <c r="AC117" i="90"/>
  <c r="I74" i="52"/>
  <c r="AB493" i="12"/>
  <c r="AA11" i="12"/>
  <c r="CY827" i="12"/>
  <c r="AC168" i="12"/>
  <c r="AD167" i="12"/>
  <c r="CQ358" i="90"/>
  <c r="T248" i="90"/>
  <c r="CR246" i="90"/>
  <c r="CR248" i="90" s="1"/>
  <c r="CR355" i="90"/>
  <c r="AC230" i="90"/>
  <c r="AD228" i="90" s="1"/>
  <c r="AD230" i="90" s="1"/>
  <c r="CR234" i="90"/>
  <c r="CR236" i="90" s="1"/>
  <c r="CS234" i="90" s="1"/>
  <c r="CS236" i="90" s="1"/>
  <c r="CT234" i="90" s="1"/>
  <c r="CT236" i="90" s="1"/>
  <c r="CU234" i="90" s="1"/>
  <c r="CU236" i="90" s="1"/>
  <c r="CV234" i="90" s="1"/>
  <c r="CV236" i="90" s="1"/>
  <c r="CW234" i="90" s="1"/>
  <c r="CW236" i="90" s="1"/>
  <c r="CX234" i="90" s="1"/>
  <c r="CX236" i="90" s="1"/>
  <c r="CY234" i="90" s="1"/>
  <c r="CY236" i="90" s="1"/>
  <c r="CZ234" i="90" s="1"/>
  <c r="CZ236" i="90" s="1"/>
  <c r="DA234" i="90" s="1"/>
  <c r="DA236" i="90" s="1"/>
  <c r="DB234" i="90" s="1"/>
  <c r="DB236" i="90" s="1"/>
  <c r="DC234" i="90" s="1"/>
  <c r="DC236" i="90" s="1"/>
  <c r="W236" i="90"/>
  <c r="W235" i="90" s="1"/>
  <c r="CQ355" i="90"/>
  <c r="Q185" i="90"/>
  <c r="CF183" i="90"/>
  <c r="CF185" i="90" s="1"/>
  <c r="CG183" i="90" s="1"/>
  <c r="CG185" i="90" s="1"/>
  <c r="CF338" i="90"/>
  <c r="T163" i="90"/>
  <c r="S164" i="90"/>
  <c r="T165" i="90"/>
  <c r="CO163" i="90"/>
  <c r="CO165" i="90" s="1"/>
  <c r="CP163" i="90" s="1"/>
  <c r="CP165" i="90" s="1"/>
  <c r="CQ163" i="90" s="1"/>
  <c r="CQ165" i="90" s="1"/>
  <c r="CR163" i="90" s="1"/>
  <c r="CR165" i="90" s="1"/>
  <c r="CS163" i="90" s="1"/>
  <c r="CS165" i="90" s="1"/>
  <c r="CT163" i="90" s="1"/>
  <c r="CT165" i="90" s="1"/>
  <c r="CU163" i="90" s="1"/>
  <c r="CU165" i="90" s="1"/>
  <c r="CV163" i="90" s="1"/>
  <c r="CV165" i="90" s="1"/>
  <c r="CW163" i="90" s="1"/>
  <c r="CW165" i="90" s="1"/>
  <c r="CX163" i="90" s="1"/>
  <c r="CX165" i="90" s="1"/>
  <c r="CY163" i="90" s="1"/>
  <c r="CY165" i="90" s="1"/>
  <c r="CZ163" i="90" s="1"/>
  <c r="CZ165" i="90" s="1"/>
  <c r="DA163" i="90" s="1"/>
  <c r="DA165" i="90" s="1"/>
  <c r="DB163" i="90" s="1"/>
  <c r="DB165" i="90" s="1"/>
  <c r="DC163" i="90" s="1"/>
  <c r="DC165" i="90" s="1"/>
  <c r="CD138" i="90"/>
  <c r="CD140" i="90" s="1"/>
  <c r="CD329" i="90" s="1"/>
  <c r="CC329" i="90"/>
  <c r="CF111" i="90"/>
  <c r="CF113" i="90" s="1"/>
  <c r="CF325" i="90" s="1"/>
  <c r="AA627" i="12"/>
  <c r="AB629" i="12"/>
  <c r="AA630" i="12"/>
  <c r="AA628" i="12"/>
  <c r="Y56" i="80"/>
  <c r="AB476" i="12"/>
  <c r="AB472" i="12"/>
  <c r="AB474" i="12"/>
  <c r="AB412" i="12"/>
  <c r="Z277" i="12"/>
  <c r="AA278" i="12"/>
  <c r="BX75" i="33"/>
  <c r="BX80" i="33" s="1"/>
  <c r="BA75" i="33"/>
  <c r="BV73" i="33"/>
  <c r="AD203" i="33"/>
  <c r="AD204" i="33" s="1"/>
  <c r="AD180" i="33"/>
  <c r="AD185" i="33" s="1"/>
  <c r="Z100" i="14"/>
  <c r="AA68" i="14"/>
  <c r="CX234" i="33"/>
  <c r="CF118" i="15"/>
  <c r="CF121" i="15" s="1"/>
  <c r="CF128" i="15" s="1"/>
  <c r="CF139" i="15" s="1"/>
  <c r="CX79" i="33"/>
  <c r="CX67" i="33"/>
  <c r="CF179" i="15" s="1"/>
  <c r="CF184" i="15" s="1"/>
  <c r="CF8" i="15"/>
  <c r="CF32" i="15" s="1"/>
  <c r="CX78" i="33"/>
  <c r="CF111" i="14"/>
  <c r="CF96" i="14" s="1"/>
  <c r="CX119" i="33"/>
  <c r="CX73" i="33"/>
  <c r="R119" i="15"/>
  <c r="BN80" i="33"/>
  <c r="BN118" i="33"/>
  <c r="AL80" i="33"/>
  <c r="AL118" i="33"/>
  <c r="BL73" i="33"/>
  <c r="BO69" i="33"/>
  <c r="CN217" i="33"/>
  <c r="O216" i="33"/>
  <c r="O217" i="33" s="1"/>
  <c r="I69" i="33"/>
  <c r="I73" i="33" s="1"/>
  <c r="I75" i="33" s="1"/>
  <c r="I80" i="33" s="1"/>
  <c r="BJ73" i="33"/>
  <c r="BJ75" i="33" s="1"/>
  <c r="BO78" i="33"/>
  <c r="BO67" i="33"/>
  <c r="BO79" i="33"/>
  <c r="BO119" i="33"/>
  <c r="AL95" i="14"/>
  <c r="AL102" i="14" s="1"/>
  <c r="AK103" i="14"/>
  <c r="AX75" i="33"/>
  <c r="AQ118" i="33"/>
  <c r="AQ80" i="33"/>
  <c r="AU73" i="33"/>
  <c r="AU75" i="33" s="1"/>
  <c r="F69" i="33"/>
  <c r="F73" i="33" s="1"/>
  <c r="BA111" i="14"/>
  <c r="BA96" i="14" s="1"/>
  <c r="BL78" i="33"/>
  <c r="BL119" i="33"/>
  <c r="BL79" i="33"/>
  <c r="BL67" i="33"/>
  <c r="BM168" i="33"/>
  <c r="BL152" i="33"/>
  <c r="BL168" i="33"/>
  <c r="CN212" i="33"/>
  <c r="CM218" i="33"/>
  <c r="BQ73" i="33"/>
  <c r="BT69" i="33"/>
  <c r="BE73" i="33"/>
  <c r="BE75" i="33" s="1"/>
  <c r="BE118" i="33" s="1"/>
  <c r="H69" i="33"/>
  <c r="H73" i="33" s="1"/>
  <c r="CM195" i="33"/>
  <c r="CN214" i="33"/>
  <c r="BT119" i="33"/>
  <c r="BT79" i="33"/>
  <c r="BT67" i="33"/>
  <c r="BT78" i="33"/>
  <c r="F151" i="33"/>
  <c r="F118" i="33"/>
  <c r="F63" i="33"/>
  <c r="BD80" i="33"/>
  <c r="BD118" i="33"/>
  <c r="BG75" i="33"/>
  <c r="BB75" i="33"/>
  <c r="AR80" i="33"/>
  <c r="AR118" i="33"/>
  <c r="CA67" i="33"/>
  <c r="CB168" i="33"/>
  <c r="BM111" i="14"/>
  <c r="BM96" i="14" s="1"/>
  <c r="CA168" i="33"/>
  <c r="CA119" i="33"/>
  <c r="CA78" i="33"/>
  <c r="CA152" i="33"/>
  <c r="CA79" i="33"/>
  <c r="G151" i="33"/>
  <c r="G118" i="33"/>
  <c r="G63" i="33"/>
  <c r="H152" i="33" s="1"/>
  <c r="G69" i="33"/>
  <c r="G73" i="33" s="1"/>
  <c r="AZ73" i="33"/>
  <c r="AZ75" i="33" s="1"/>
  <c r="BY71" i="33"/>
  <c r="L71" i="33" s="1"/>
  <c r="BV67" i="33"/>
  <c r="BV119" i="33"/>
  <c r="BI111" i="14"/>
  <c r="BI96" i="14" s="1"/>
  <c r="BV79" i="33"/>
  <c r="BV78" i="33"/>
  <c r="BW168" i="33"/>
  <c r="BV152" i="33"/>
  <c r="BV168" i="33"/>
  <c r="AS75" i="33"/>
  <c r="CA73" i="33"/>
  <c r="CD69" i="33"/>
  <c r="BQ67" i="33"/>
  <c r="BE111" i="14"/>
  <c r="BE96" i="14" s="1"/>
  <c r="BR168" i="33"/>
  <c r="BQ119" i="33"/>
  <c r="BQ152" i="33"/>
  <c r="BQ79" i="33"/>
  <c r="BQ78" i="33"/>
  <c r="BQ168" i="33"/>
  <c r="J207" i="66"/>
  <c r="J208" i="66" s="1"/>
  <c r="J209" i="66" s="1"/>
  <c r="W275" i="12"/>
  <c r="X274" i="12"/>
  <c r="Y274" i="12" s="1"/>
  <c r="V101" i="71"/>
  <c r="V102" i="71" s="1"/>
  <c r="Z142" i="33"/>
  <c r="X24" i="64"/>
  <c r="X6" i="80"/>
  <c r="X7" i="80" s="1"/>
  <c r="X700" i="12"/>
  <c r="X701" i="12" s="1"/>
  <c r="X696" i="12"/>
  <c r="X120" i="14"/>
  <c r="X121" i="14" s="1"/>
  <c r="X124" i="14" s="1"/>
  <c r="X702" i="12" s="1"/>
  <c r="Y35" i="80"/>
  <c r="Y36" i="80" s="1"/>
  <c r="Z565" i="12"/>
  <c r="AA565" i="12" s="1"/>
  <c r="AB565" i="12" s="1"/>
  <c r="AC565" i="12" s="1"/>
  <c r="AD565" i="12" s="1"/>
  <c r="Y695" i="12"/>
  <c r="W25" i="64"/>
  <c r="W30" i="64"/>
  <c r="Z141" i="33"/>
  <c r="CY51" i="12"/>
  <c r="CY43" i="12"/>
  <c r="F208" i="65"/>
  <c r="F215" i="65" s="1"/>
  <c r="F224" i="65" s="1"/>
  <c r="DC124" i="14"/>
  <c r="W124" i="14" s="1"/>
  <c r="W121" i="14"/>
  <c r="L78" i="66"/>
  <c r="CC64" i="14"/>
  <c r="CB71" i="14"/>
  <c r="CB73" i="14" s="1"/>
  <c r="Z70" i="14"/>
  <c r="Y97" i="14"/>
  <c r="J78" i="33"/>
  <c r="J167" i="33" s="1"/>
  <c r="J67" i="33"/>
  <c r="J119" i="33"/>
  <c r="J79" i="33"/>
  <c r="J152" i="33"/>
  <c r="J111" i="14"/>
  <c r="J96" i="14" s="1"/>
  <c r="BX118" i="33"/>
  <c r="L69" i="33"/>
  <c r="K63" i="33"/>
  <c r="K151" i="33"/>
  <c r="L151" i="33"/>
  <c r="K118" i="33"/>
  <c r="BY67" i="33"/>
  <c r="CD152" i="33"/>
  <c r="BY78" i="33"/>
  <c r="BY79" i="33"/>
  <c r="BY119" i="33"/>
  <c r="H111" i="14"/>
  <c r="H96" i="14" s="1"/>
  <c r="H79" i="33"/>
  <c r="H78" i="33"/>
  <c r="H67" i="33"/>
  <c r="H119" i="33"/>
  <c r="I152" i="33"/>
  <c r="M118" i="33"/>
  <c r="M151" i="33"/>
  <c r="M63" i="33"/>
  <c r="DB665" i="12"/>
  <c r="DB667" i="12"/>
  <c r="AM83" i="77"/>
  <c r="AT213" i="58"/>
  <c r="AT214" i="58" s="1"/>
  <c r="W377" i="12"/>
  <c r="W383" i="12"/>
  <c r="W384" i="12" s="1"/>
  <c r="Z634" i="12"/>
  <c r="AA634" i="12" s="1"/>
  <c r="Y41" i="80"/>
  <c r="Y42" i="80" s="1"/>
  <c r="X167" i="71"/>
  <c r="X168" i="71" s="1"/>
  <c r="CZ490" i="12"/>
  <c r="CZ8" i="12" s="1"/>
  <c r="CZ9" i="12"/>
  <c r="CZ827" i="12" s="1"/>
  <c r="W625" i="12"/>
  <c r="W685" i="12"/>
  <c r="W686" i="12" s="1"/>
  <c r="X664" i="12"/>
  <c r="X682" i="12"/>
  <c r="DC685" i="12"/>
  <c r="DC664" i="12"/>
  <c r="W664" i="12" s="1"/>
  <c r="DC383" i="12"/>
  <c r="DC377" i="12"/>
  <c r="DB508" i="12"/>
  <c r="DA509" i="12"/>
  <c r="DA825" i="12"/>
  <c r="DA826" i="12" s="1"/>
  <c r="DB384" i="12"/>
  <c r="DB385" i="12"/>
  <c r="DB290" i="12"/>
  <c r="DA517" i="12"/>
  <c r="DA491" i="12"/>
  <c r="DA490" i="12" s="1"/>
  <c r="DA516" i="12"/>
  <c r="P110" i="33"/>
  <c r="DJ73" i="33"/>
  <c r="K118" i="53"/>
  <c r="K149" i="53" s="1"/>
  <c r="J121" i="53"/>
  <c r="J152" i="53" s="1"/>
  <c r="K43" i="53"/>
  <c r="K37" i="53"/>
  <c r="K35" i="53"/>
  <c r="S99" i="15"/>
  <c r="S101" i="15" s="1"/>
  <c r="S97" i="15"/>
  <c r="DJ234" i="33"/>
  <c r="DJ235" i="33" s="1"/>
  <c r="DK233" i="33" s="1"/>
  <c r="DJ79" i="33"/>
  <c r="DJ119" i="33"/>
  <c r="CR8" i="15"/>
  <c r="CR32" i="15" s="1"/>
  <c r="CR68" i="15" s="1"/>
  <c r="DJ78" i="33"/>
  <c r="CR111" i="14"/>
  <c r="CR96" i="14" s="1"/>
  <c r="DJ67" i="33"/>
  <c r="CR179" i="15" s="1"/>
  <c r="CR184" i="15" s="1"/>
  <c r="CR216" i="15" s="1"/>
  <c r="S58" i="33"/>
  <c r="S61" i="33"/>
  <c r="S151" i="33" s="1"/>
  <c r="P162" i="33"/>
  <c r="R242" i="12"/>
  <c r="R241" i="12"/>
  <c r="S239" i="12"/>
  <c r="R239" i="12"/>
  <c r="DB58" i="33"/>
  <c r="DB61" i="33"/>
  <c r="DB167" i="33" s="1"/>
  <c r="CJ97" i="15"/>
  <c r="CA38" i="48" s="1"/>
  <c r="CJ99" i="15"/>
  <c r="CJ101" i="15" s="1"/>
  <c r="T166" i="12"/>
  <c r="CI166" i="12"/>
  <c r="CH240" i="12"/>
  <c r="V9" i="12"/>
  <c r="V827" i="12" s="1"/>
  <c r="V829" i="12" s="1"/>
  <c r="DP10" i="33"/>
  <c r="DQ156" i="33" s="1"/>
  <c r="S240" i="12"/>
  <c r="CG241" i="12"/>
  <c r="DD151" i="33"/>
  <c r="BZ90" i="14"/>
  <c r="DI100" i="33"/>
  <c r="AC23" i="77" s="1"/>
  <c r="DI63" i="33"/>
  <c r="DJ167" i="33"/>
  <c r="DI118" i="33"/>
  <c r="DI70" i="33"/>
  <c r="DI72" i="33"/>
  <c r="DI69" i="33"/>
  <c r="DI71" i="33"/>
  <c r="DG69" i="33"/>
  <c r="DG71" i="33"/>
  <c r="DG70" i="33"/>
  <c r="DG72" i="33"/>
  <c r="DA63" i="33"/>
  <c r="DA100" i="33"/>
  <c r="U23" i="77" s="1"/>
  <c r="DA118" i="33"/>
  <c r="DF151" i="33"/>
  <c r="DC73" i="33"/>
  <c r="DH79" i="33"/>
  <c r="DH67" i="33"/>
  <c r="CP179" i="15" s="1"/>
  <c r="CP184" i="15" s="1"/>
  <c r="DH78" i="33"/>
  <c r="CP111" i="14"/>
  <c r="CP96" i="14" s="1"/>
  <c r="CP8" i="15"/>
  <c r="CP32" i="15" s="1"/>
  <c r="DH234" i="33"/>
  <c r="DH119" i="33"/>
  <c r="DH152" i="33"/>
  <c r="DI168" i="33"/>
  <c r="DC78" i="33"/>
  <c r="DC119" i="33"/>
  <c r="DC234" i="33"/>
  <c r="DC79" i="33"/>
  <c r="DC67" i="33"/>
  <c r="CK179" i="15" s="1"/>
  <c r="CK184" i="15" s="1"/>
  <c r="CK111" i="14"/>
  <c r="CK96" i="14" s="1"/>
  <c r="CK8" i="15"/>
  <c r="CK32" i="15" s="1"/>
  <c r="DC152" i="33"/>
  <c r="CH167" i="33"/>
  <c r="CG63" i="33"/>
  <c r="CG151" i="33"/>
  <c r="CG100" i="33"/>
  <c r="DG100" i="33"/>
  <c r="AA23" i="77" s="1"/>
  <c r="DG118" i="33"/>
  <c r="DG63" i="33"/>
  <c r="DH167" i="33"/>
  <c r="DG167" i="33"/>
  <c r="DA71" i="33"/>
  <c r="DA72" i="33"/>
  <c r="DA69" i="33"/>
  <c r="DA70" i="33"/>
  <c r="DH73" i="33"/>
  <c r="DI167" i="33"/>
  <c r="CG70" i="33"/>
  <c r="CG71" i="33"/>
  <c r="CG69" i="33"/>
  <c r="CG72" i="33"/>
  <c r="CF195" i="15"/>
  <c r="CF190" i="15"/>
  <c r="CF198" i="15" s="1"/>
  <c r="CF216" i="15"/>
  <c r="DK118" i="33"/>
  <c r="DK63" i="33"/>
  <c r="DK100" i="33"/>
  <c r="AE23" i="77" s="1"/>
  <c r="DK167" i="33"/>
  <c r="DK151" i="33"/>
  <c r="Q35" i="64"/>
  <c r="P386" i="71"/>
  <c r="DK71" i="33"/>
  <c r="DK72" i="33"/>
  <c r="DK69" i="33"/>
  <c r="DK70" i="33"/>
  <c r="U239" i="71"/>
  <c r="U240" i="71" s="1"/>
  <c r="CY70" i="33"/>
  <c r="CY71" i="33"/>
  <c r="CY69" i="33"/>
  <c r="CY72" i="33"/>
  <c r="CY167" i="33"/>
  <c r="CY63" i="33"/>
  <c r="DD152" i="33" s="1"/>
  <c r="CY100" i="33"/>
  <c r="S23" i="77" s="1"/>
  <c r="CY118" i="33"/>
  <c r="CF70" i="33"/>
  <c r="CF69" i="33"/>
  <c r="CF72" i="33"/>
  <c r="CF71" i="33"/>
  <c r="CF63" i="33"/>
  <c r="CF100" i="33"/>
  <c r="CF151" i="33"/>
  <c r="CG167" i="33"/>
  <c r="CW63" i="33"/>
  <c r="CX167" i="33"/>
  <c r="CW118" i="33"/>
  <c r="CW100" i="33"/>
  <c r="Q23" i="77" s="1"/>
  <c r="CE98" i="33"/>
  <c r="CI97" i="33"/>
  <c r="F207" i="66"/>
  <c r="F214" i="66" s="1"/>
  <c r="F223" i="66" s="1"/>
  <c r="CE95" i="33"/>
  <c r="BP85" i="14" s="1"/>
  <c r="BP89" i="14" s="1"/>
  <c r="BP84" i="14"/>
  <c r="CI94" i="33"/>
  <c r="CI95" i="33" s="1"/>
  <c r="F30" i="53"/>
  <c r="F34" i="53" s="1"/>
  <c r="N150" i="33"/>
  <c r="N48" i="33"/>
  <c r="N116" i="33"/>
  <c r="N55" i="33"/>
  <c r="CW70" i="33"/>
  <c r="CW72" i="33"/>
  <c r="CW71" i="33"/>
  <c r="CW69" i="33"/>
  <c r="DE73" i="33"/>
  <c r="CE151" i="33"/>
  <c r="CE63" i="33"/>
  <c r="CE167" i="33"/>
  <c r="CE100" i="33"/>
  <c r="CF167" i="33"/>
  <c r="CJ71" i="33"/>
  <c r="CJ72" i="33"/>
  <c r="CJ69" i="33"/>
  <c r="CJ70" i="33"/>
  <c r="CI61" i="33"/>
  <c r="CI58" i="33"/>
  <c r="DE234" i="33"/>
  <c r="CM111" i="14"/>
  <c r="CM96" i="14" s="1"/>
  <c r="DE78" i="33"/>
  <c r="DE79" i="33"/>
  <c r="DE119" i="33"/>
  <c r="DE67" i="33"/>
  <c r="CM179" i="15" s="1"/>
  <c r="CM184" i="15" s="1"/>
  <c r="CM8" i="15"/>
  <c r="CM32" i="15" s="1"/>
  <c r="DJ152" i="33"/>
  <c r="N14" i="90"/>
  <c r="N94" i="15"/>
  <c r="BP87" i="14"/>
  <c r="BP88" i="14"/>
  <c r="CE72" i="33"/>
  <c r="CE70" i="33"/>
  <c r="CE69" i="33"/>
  <c r="CE71" i="33"/>
  <c r="CJ167" i="33"/>
  <c r="CJ118" i="33"/>
  <c r="CJ151" i="33"/>
  <c r="CJ100" i="33"/>
  <c r="F23" i="77" s="1"/>
  <c r="CJ63" i="33"/>
  <c r="X233" i="71"/>
  <c r="X234" i="71" s="1"/>
  <c r="CX51" i="12"/>
  <c r="CX43" i="12"/>
  <c r="N74" i="52"/>
  <c r="M106" i="52"/>
  <c r="M75" i="52"/>
  <c r="CU34" i="90"/>
  <c r="CU32" i="90" s="1"/>
  <c r="H109" i="52"/>
  <c r="G79" i="52"/>
  <c r="DB226" i="33"/>
  <c r="S226" i="33" s="1"/>
  <c r="R85" i="33"/>
  <c r="Y87" i="52"/>
  <c r="CH198" i="90"/>
  <c r="CH200" i="90" s="1"/>
  <c r="CH341" i="90" s="1"/>
  <c r="H114" i="52"/>
  <c r="V62" i="52"/>
  <c r="U94" i="52"/>
  <c r="V93" i="52"/>
  <c r="CE160" i="90"/>
  <c r="N103" i="52"/>
  <c r="O71" i="52"/>
  <c r="U87" i="90"/>
  <c r="CO89" i="90"/>
  <c r="X6" i="52"/>
  <c r="X27" i="52" s="1"/>
  <c r="X87" i="52"/>
  <c r="AR34" i="48"/>
  <c r="AR36" i="48" s="1"/>
  <c r="BA15" i="90"/>
  <c r="E106" i="52"/>
  <c r="F105" i="52"/>
  <c r="N102" i="52"/>
  <c r="O70" i="52"/>
  <c r="J84" i="66"/>
  <c r="BZ71" i="14"/>
  <c r="BZ73" i="14" s="1"/>
  <c r="BC8" i="14"/>
  <c r="BD69" i="15"/>
  <c r="BD70" i="15" s="1"/>
  <c r="Y258" i="90"/>
  <c r="Y260" i="90" s="1"/>
  <c r="Y360" i="90" s="1"/>
  <c r="U188" i="90"/>
  <c r="U190" i="90" s="1"/>
  <c r="V188" i="90" s="1"/>
  <c r="V190" i="90" s="1"/>
  <c r="W188" i="90" s="1"/>
  <c r="W190" i="90" s="1"/>
  <c r="T189" i="90"/>
  <c r="CL93" i="90"/>
  <c r="CL95" i="90" s="1"/>
  <c r="J112" i="14"/>
  <c r="J15" i="14"/>
  <c r="J28" i="14" s="1"/>
  <c r="J75" i="14" s="1"/>
  <c r="C76" i="65"/>
  <c r="C74" i="65" s="1"/>
  <c r="C73" i="65" s="1"/>
  <c r="CS209" i="90"/>
  <c r="S76" i="90"/>
  <c r="T75" i="90"/>
  <c r="CP52" i="90"/>
  <c r="CP51" i="90"/>
  <c r="CI203" i="90"/>
  <c r="CI205" i="90" s="1"/>
  <c r="CV264" i="90"/>
  <c r="CU361" i="90"/>
  <c r="W59" i="52"/>
  <c r="V91" i="52"/>
  <c r="W90" i="52"/>
  <c r="R97" i="52"/>
  <c r="S65" i="52"/>
  <c r="CG193" i="90"/>
  <c r="CG195" i="90" s="1"/>
  <c r="O101" i="52"/>
  <c r="P69" i="52"/>
  <c r="P100" i="52"/>
  <c r="Q68" i="52"/>
  <c r="CG173" i="90"/>
  <c r="CG175" i="90" s="1"/>
  <c r="CG336" i="90" s="1"/>
  <c r="U153" i="90"/>
  <c r="U155" i="90" s="1"/>
  <c r="V153" i="90" s="1"/>
  <c r="V155" i="90" s="1"/>
  <c r="W153" i="90" s="1"/>
  <c r="W155" i="90" s="1"/>
  <c r="T154" i="90"/>
  <c r="CE63" i="90"/>
  <c r="CE65" i="90" s="1"/>
  <c r="CP252" i="90"/>
  <c r="CP254" i="90" s="1"/>
  <c r="CP359" i="90" s="1"/>
  <c r="E107" i="52"/>
  <c r="F106" i="52"/>
  <c r="R67" i="52"/>
  <c r="Q99" i="52"/>
  <c r="F78" i="52"/>
  <c r="G109" i="52" s="1"/>
  <c r="K105" i="52"/>
  <c r="J75" i="52"/>
  <c r="AP118" i="33"/>
  <c r="AP80" i="33"/>
  <c r="H108" i="52"/>
  <c r="R213" i="90"/>
  <c r="Q214" i="90"/>
  <c r="CE168" i="90"/>
  <c r="CE169" i="90"/>
  <c r="R193" i="90"/>
  <c r="Q194" i="90"/>
  <c r="CS159" i="90"/>
  <c r="CV258" i="90"/>
  <c r="CV260" i="90" s="1"/>
  <c r="CV360" i="90" s="1"/>
  <c r="CF202" i="14"/>
  <c r="CF203" i="14" s="1"/>
  <c r="CG200" i="14"/>
  <c r="T64" i="52"/>
  <c r="U95" i="52" s="1"/>
  <c r="S96" i="52"/>
  <c r="CL123" i="90"/>
  <c r="CL125" i="90" s="1"/>
  <c r="CL327" i="90" s="1"/>
  <c r="CI46" i="90"/>
  <c r="CI45" i="90"/>
  <c r="P69" i="90"/>
  <c r="CO359" i="90"/>
  <c r="V235" i="90"/>
  <c r="U133" i="90"/>
  <c r="U135" i="90" s="1"/>
  <c r="V133" i="90" s="1"/>
  <c r="V135" i="90" s="1"/>
  <c r="W133" i="90" s="1"/>
  <c r="W135" i="90" s="1"/>
  <c r="T134" i="90"/>
  <c r="Y60" i="52"/>
  <c r="Y92" i="52" s="1"/>
  <c r="X92" i="52"/>
  <c r="T180" i="90"/>
  <c r="CO178" i="90"/>
  <c r="CO180" i="90" s="1"/>
  <c r="CP178" i="90" s="1"/>
  <c r="CP180" i="90" s="1"/>
  <c r="CQ178" i="90" s="1"/>
  <c r="CQ180" i="90" s="1"/>
  <c r="CR178" i="90" s="1"/>
  <c r="CR180" i="90" s="1"/>
  <c r="CS178" i="90" s="1"/>
  <c r="CS180" i="90" s="1"/>
  <c r="CT178" i="90" s="1"/>
  <c r="CT180" i="90" s="1"/>
  <c r="CU178" i="90" s="1"/>
  <c r="CU180" i="90" s="1"/>
  <c r="CV178" i="90" s="1"/>
  <c r="CV180" i="90" s="1"/>
  <c r="CW178" i="90" s="1"/>
  <c r="CW180" i="90" s="1"/>
  <c r="CX178" i="90" s="1"/>
  <c r="CX180" i="90" s="1"/>
  <c r="CY178" i="90" s="1"/>
  <c r="CY180" i="90" s="1"/>
  <c r="CZ178" i="90" s="1"/>
  <c r="CZ180" i="90" s="1"/>
  <c r="DA178" i="90" s="1"/>
  <c r="DA180" i="90" s="1"/>
  <c r="DB178" i="90" s="1"/>
  <c r="DB180" i="90" s="1"/>
  <c r="DC178" i="90" s="1"/>
  <c r="DC180" i="90" s="1"/>
  <c r="CG117" i="90"/>
  <c r="CG119" i="90" s="1"/>
  <c r="CG326" i="90" s="1"/>
  <c r="I115" i="14"/>
  <c r="I15" i="90"/>
  <c r="CF340" i="90"/>
  <c r="V63" i="52"/>
  <c r="L107" i="52"/>
  <c r="L76" i="52"/>
  <c r="N73" i="52"/>
  <c r="M105" i="52"/>
  <c r="Y56" i="52"/>
  <c r="Y88" i="52" s="1"/>
  <c r="X88" i="52"/>
  <c r="CC82" i="90"/>
  <c r="CC81" i="90"/>
  <c r="CB323" i="90"/>
  <c r="R173" i="90"/>
  <c r="Q174" i="90"/>
  <c r="BZ69" i="90"/>
  <c r="BZ71" i="90" s="1"/>
  <c r="BZ321" i="90" s="1"/>
  <c r="EB69" i="15"/>
  <c r="EA70" i="15"/>
  <c r="BB112" i="14"/>
  <c r="BB15" i="14"/>
  <c r="BB28" i="14" s="1"/>
  <c r="BB75" i="14" s="1"/>
  <c r="R66" i="52"/>
  <c r="Q98" i="52"/>
  <c r="E76" i="52"/>
  <c r="K8" i="14"/>
  <c r="L69" i="15"/>
  <c r="L70" i="15" s="1"/>
  <c r="T178" i="90"/>
  <c r="S179" i="90"/>
  <c r="Q210" i="90"/>
  <c r="CF208" i="90"/>
  <c r="CF210" i="90" s="1"/>
  <c r="T77" i="90"/>
  <c r="CF75" i="90"/>
  <c r="CF77" i="90" s="1"/>
  <c r="CD148" i="90"/>
  <c r="CD150" i="90" s="1"/>
  <c r="CD331" i="90" s="1"/>
  <c r="H107" i="52"/>
  <c r="G108" i="52"/>
  <c r="CG213" i="90"/>
  <c r="CG215" i="90" s="1"/>
  <c r="N104" i="52"/>
  <c r="O72" i="52"/>
  <c r="X464" i="12"/>
  <c r="X461" i="12" s="1"/>
  <c r="X697" i="12" s="1"/>
  <c r="Y627" i="12"/>
  <c r="Y624" i="12" s="1"/>
  <c r="Y623" i="12" s="1"/>
  <c r="Y664" i="12" s="1"/>
  <c r="AS360" i="58"/>
  <c r="CX827" i="12"/>
  <c r="V15" i="80"/>
  <c r="V16" i="80" s="1"/>
  <c r="U303" i="71"/>
  <c r="U304" i="71" s="1"/>
  <c r="V826" i="12"/>
  <c r="U305" i="71" s="1"/>
  <c r="U306" i="71" s="1"/>
  <c r="AS214" i="58"/>
  <c r="AS215" i="58"/>
  <c r="AS216" i="58" s="1"/>
  <c r="U241" i="71"/>
  <c r="U242" i="71" s="1"/>
  <c r="Y252" i="12"/>
  <c r="Y249" i="12" s="1"/>
  <c r="Y248" i="12" s="1"/>
  <c r="W79" i="71"/>
  <c r="CF355" i="12"/>
  <c r="CF354" i="12"/>
  <c r="CG353" i="12"/>
  <c r="CG347" i="12"/>
  <c r="S346" i="12"/>
  <c r="S353" i="12" s="1"/>
  <c r="S354" i="12" s="1"/>
  <c r="CH346" i="12"/>
  <c r="Z472" i="12"/>
  <c r="Z471" i="12" s="1"/>
  <c r="CH118" i="33"/>
  <c r="DF75" i="33"/>
  <c r="DF80" i="33" s="1"/>
  <c r="CK78" i="14"/>
  <c r="CK88" i="14" s="1"/>
  <c r="CL25" i="14"/>
  <c r="K211" i="65"/>
  <c r="K214" i="65" s="1"/>
  <c r="K223" i="65" s="1"/>
  <c r="K38" i="65"/>
  <c r="CK79" i="14"/>
  <c r="CK87" i="14" s="1"/>
  <c r="CJ80" i="14"/>
  <c r="CK81" i="14" s="1"/>
  <c r="CL89" i="14" s="1"/>
  <c r="T124" i="52"/>
  <c r="CJ88" i="14"/>
  <c r="CG194" i="14"/>
  <c r="CH206" i="14"/>
  <c r="CH209" i="14" s="1"/>
  <c r="R80" i="14"/>
  <c r="S81" i="14" s="1"/>
  <c r="T89" i="14" s="1"/>
  <c r="S79" i="14"/>
  <c r="S87" i="14" s="1"/>
  <c r="R88" i="14"/>
  <c r="BS68" i="15"/>
  <c r="BS74" i="15"/>
  <c r="BJ30" i="48"/>
  <c r="BS83" i="15"/>
  <c r="BS88" i="15" s="1"/>
  <c r="BS90" i="15" s="1"/>
  <c r="BS92" i="15" s="1"/>
  <c r="CT30" i="33"/>
  <c r="J189" i="66"/>
  <c r="J94" i="66" s="1"/>
  <c r="J92" i="66" s="1"/>
  <c r="J237" i="66"/>
  <c r="N83" i="15"/>
  <c r="N88" i="15" s="1"/>
  <c r="N90" i="15" s="1"/>
  <c r="N92" i="15" s="1"/>
  <c r="N30" i="48"/>
  <c r="N68" i="15"/>
  <c r="N74" i="15"/>
  <c r="N103" i="15"/>
  <c r="N105" i="15" s="1"/>
  <c r="N107" i="15" s="1"/>
  <c r="CS30" i="33"/>
  <c r="CV31" i="33"/>
  <c r="CT36" i="33"/>
  <c r="CT47" i="33"/>
  <c r="CT150" i="33" s="1"/>
  <c r="CT97" i="33"/>
  <c r="CT98" i="33" s="1"/>
  <c r="CT99" i="33" s="1"/>
  <c r="CC86" i="14" s="1"/>
  <c r="CC90" i="14" s="1"/>
  <c r="CU36" i="33"/>
  <c r="CU97" i="33"/>
  <c r="CU98" i="33" s="1"/>
  <c r="CU99" i="33" s="1"/>
  <c r="CD86" i="14" s="1"/>
  <c r="Q31" i="33"/>
  <c r="Y467" i="12"/>
  <c r="Y465" i="12"/>
  <c r="Y464" i="12" s="1"/>
  <c r="W52" i="80"/>
  <c r="W53" i="80" s="1"/>
  <c r="W13" i="64"/>
  <c r="W15" i="64" s="1"/>
  <c r="CE87" i="14"/>
  <c r="CE88" i="14"/>
  <c r="J197" i="66"/>
  <c r="J90" i="66"/>
  <c r="CR116" i="33"/>
  <c r="CW150" i="33"/>
  <c r="CR48" i="33"/>
  <c r="CR55" i="33"/>
  <c r="CR95" i="33"/>
  <c r="CA85" i="14" s="1"/>
  <c r="CA89" i="14" s="1"/>
  <c r="CE84" i="14"/>
  <c r="AK33" i="64"/>
  <c r="AK10" i="64"/>
  <c r="CA14" i="90"/>
  <c r="CA94" i="15"/>
  <c r="O213" i="66"/>
  <c r="CF368" i="12"/>
  <c r="CG361" i="12"/>
  <c r="R361" i="12"/>
  <c r="I207" i="66"/>
  <c r="I38" i="66"/>
  <c r="G207" i="66"/>
  <c r="G38" i="66"/>
  <c r="DZ259" i="48"/>
  <c r="EB259" i="48" s="1"/>
  <c r="EE256" i="48"/>
  <c r="EB256" i="48"/>
  <c r="EB277" i="48"/>
  <c r="EE277" i="48"/>
  <c r="DD73" i="33"/>
  <c r="D207" i="66"/>
  <c r="D38" i="66"/>
  <c r="BY99" i="15"/>
  <c r="BY101" i="15" s="1"/>
  <c r="BY97" i="15"/>
  <c r="BP38" i="48" s="1"/>
  <c r="H214" i="66"/>
  <c r="H223" i="66" s="1"/>
  <c r="H208" i="66"/>
  <c r="H209" i="66" s="1"/>
  <c r="CP58" i="33"/>
  <c r="CP61" i="33"/>
  <c r="H42" i="53"/>
  <c r="H40" i="53"/>
  <c r="H53" i="65"/>
  <c r="H59" i="65"/>
  <c r="H57" i="65" s="1"/>
  <c r="H211" i="65" s="1"/>
  <c r="H214" i="65" s="1"/>
  <c r="H223" i="65" s="1"/>
  <c r="H43" i="65"/>
  <c r="H47" i="65" s="1"/>
  <c r="H42" i="65" s="1"/>
  <c r="M20" i="57"/>
  <c r="K21" i="57"/>
  <c r="K28" i="57"/>
  <c r="K25" i="57"/>
  <c r="O20" i="57"/>
  <c r="O25" i="57" s="1"/>
  <c r="EE230" i="48"/>
  <c r="DZ237" i="48"/>
  <c r="DZ241" i="48" s="1"/>
  <c r="DZ250" i="48" s="1"/>
  <c r="DZ312" i="48"/>
  <c r="EE281" i="48"/>
  <c r="DZ282" i="48"/>
  <c r="DZ286" i="48"/>
  <c r="EB281" i="48"/>
  <c r="EB279" i="48"/>
  <c r="EE279" i="48"/>
  <c r="CM150" i="33"/>
  <c r="CO166" i="33"/>
  <c r="CM116" i="33"/>
  <c r="CM55" i="33"/>
  <c r="CM48" i="33"/>
  <c r="AG33" i="64"/>
  <c r="AG10" i="64"/>
  <c r="AE10" i="64"/>
  <c r="AE33" i="64"/>
  <c r="CO116" i="33"/>
  <c r="CO48" i="33"/>
  <c r="CO55" i="33"/>
  <c r="CP166" i="33"/>
  <c r="CO150" i="33"/>
  <c r="AH33" i="64"/>
  <c r="AH10" i="64"/>
  <c r="H197" i="66"/>
  <c r="H90" i="66"/>
  <c r="BU84" i="14"/>
  <c r="CK95" i="33"/>
  <c r="BU85" i="14" s="1"/>
  <c r="BU89" i="14" s="1"/>
  <c r="AW80" i="57"/>
  <c r="AU81" i="57"/>
  <c r="AW81" i="57" s="1"/>
  <c r="CK116" i="33"/>
  <c r="CK48" i="33"/>
  <c r="CK150" i="33"/>
  <c r="CK166" i="33"/>
  <c r="CK55" i="33"/>
  <c r="CO92" i="33"/>
  <c r="CS91" i="33"/>
  <c r="CD87" i="14"/>
  <c r="CD88" i="14"/>
  <c r="P20" i="48"/>
  <c r="Q146" i="33"/>
  <c r="Q162" i="33"/>
  <c r="P36" i="33"/>
  <c r="P40" i="33" s="1"/>
  <c r="P37" i="33"/>
  <c r="S54" i="56"/>
  <c r="S53" i="56" s="1"/>
  <c r="P104" i="33"/>
  <c r="P20" i="33"/>
  <c r="FN404" i="48" s="1"/>
  <c r="FN405" i="48" s="1"/>
  <c r="P93" i="33"/>
  <c r="P83" i="14" s="1"/>
  <c r="P88" i="14" s="1"/>
  <c r="P94" i="33"/>
  <c r="P97" i="33"/>
  <c r="P98" i="33" s="1"/>
  <c r="P99" i="33" s="1"/>
  <c r="P82" i="14"/>
  <c r="EN379" i="48"/>
  <c r="BV67" i="48"/>
  <c r="BV65" i="48"/>
  <c r="BV69" i="48"/>
  <c r="BZ94" i="15"/>
  <c r="BZ14" i="90"/>
  <c r="AJ33" i="64"/>
  <c r="AJ10" i="64"/>
  <c r="EB226" i="48"/>
  <c r="EE226" i="48"/>
  <c r="BW94" i="15"/>
  <c r="BW14" i="90"/>
  <c r="CU44" i="33"/>
  <c r="CS42" i="33"/>
  <c r="CU39" i="33"/>
  <c r="CS114" i="33"/>
  <c r="CX40" i="33"/>
  <c r="CS44" i="33"/>
  <c r="CS39" i="33"/>
  <c r="CS40" i="33"/>
  <c r="BU88" i="14"/>
  <c r="BU87" i="14"/>
  <c r="BU94" i="15"/>
  <c r="BU14" i="90"/>
  <c r="CD84" i="14"/>
  <c r="CQ95" i="33"/>
  <c r="BZ85" i="14" s="1"/>
  <c r="BZ89" i="14" s="1"/>
  <c r="P81" i="14"/>
  <c r="Q89" i="14" s="1"/>
  <c r="P79" i="14"/>
  <c r="P220" i="14"/>
  <c r="P128" i="14"/>
  <c r="P134" i="14"/>
  <c r="P125" i="14"/>
  <c r="O10" i="71"/>
  <c r="P5" i="71"/>
  <c r="BX94" i="15"/>
  <c r="BX14" i="90"/>
  <c r="CQ150" i="33"/>
  <c r="CQ116" i="33"/>
  <c r="CQ48" i="33"/>
  <c r="CQ55" i="33"/>
  <c r="CR166" i="33"/>
  <c r="Z279" i="12"/>
  <c r="Z275" i="12" s="1"/>
  <c r="O93" i="33"/>
  <c r="O83" i="14" s="1"/>
  <c r="O82" i="14"/>
  <c r="O94" i="33"/>
  <c r="O97" i="33"/>
  <c r="O98" i="33" s="1"/>
  <c r="O99" i="33" s="1"/>
  <c r="M37" i="53"/>
  <c r="M118" i="53"/>
  <c r="M149" i="53" s="1"/>
  <c r="M35" i="53"/>
  <c r="M43" i="53"/>
  <c r="L121" i="53"/>
  <c r="L152" i="53" s="1"/>
  <c r="J198" i="65"/>
  <c r="J91" i="65"/>
  <c r="DM71" i="33"/>
  <c r="DM70" i="33"/>
  <c r="DM72" i="33"/>
  <c r="DM69" i="33"/>
  <c r="O22" i="48"/>
  <c r="N7" i="71"/>
  <c r="N8" i="71" s="1"/>
  <c r="O42" i="33"/>
  <c r="O44" i="33"/>
  <c r="O6" i="64"/>
  <c r="O40" i="33"/>
  <c r="O110" i="14"/>
  <c r="BT69" i="48"/>
  <c r="EX430" i="48"/>
  <c r="CL58" i="33"/>
  <c r="CL61" i="33"/>
  <c r="CL94" i="33"/>
  <c r="CL93" i="33"/>
  <c r="BV82" i="14"/>
  <c r="CL97" i="33"/>
  <c r="CN92" i="33"/>
  <c r="CN93" i="33" s="1"/>
  <c r="CA83" i="14" s="1"/>
  <c r="U61" i="33"/>
  <c r="U58" i="33"/>
  <c r="R35" i="64"/>
  <c r="Q386" i="71"/>
  <c r="J215" i="65"/>
  <c r="J224" i="65" s="1"/>
  <c r="BV99" i="15"/>
  <c r="BV101" i="15" s="1"/>
  <c r="BV97" i="15"/>
  <c r="BM38" i="48" s="1"/>
  <c r="Z630" i="12"/>
  <c r="Z628" i="12"/>
  <c r="DM63" i="33"/>
  <c r="DM118" i="33"/>
  <c r="DM151" i="33"/>
  <c r="DM100" i="33"/>
  <c r="AG23" i="77" s="1"/>
  <c r="R71" i="33"/>
  <c r="R72" i="33"/>
  <c r="R69" i="33"/>
  <c r="R70" i="33"/>
  <c r="DL100" i="33"/>
  <c r="AF23" i="77" s="1"/>
  <c r="DL63" i="33"/>
  <c r="DL151" i="33"/>
  <c r="DM167" i="33"/>
  <c r="DL118" i="33"/>
  <c r="DL167" i="33"/>
  <c r="CH118" i="15"/>
  <c r="CH121" i="15" s="1"/>
  <c r="CH128" i="15" s="1"/>
  <c r="CH139" i="15" s="1"/>
  <c r="CH111" i="14"/>
  <c r="CH96" i="14" s="1"/>
  <c r="CH8" i="15"/>
  <c r="CH32" i="15" s="1"/>
  <c r="CZ67" i="33"/>
  <c r="CH179" i="15" s="1"/>
  <c r="CH184" i="15" s="1"/>
  <c r="CZ79" i="33"/>
  <c r="CZ234" i="33"/>
  <c r="CZ78" i="33"/>
  <c r="CZ119" i="33"/>
  <c r="DE152" i="33"/>
  <c r="DN61" i="33"/>
  <c r="DN58" i="33"/>
  <c r="CN184" i="15"/>
  <c r="CN32" i="15"/>
  <c r="F90" i="66"/>
  <c r="F197" i="66"/>
  <c r="G47" i="65"/>
  <c r="G42" i="65" s="1"/>
  <c r="T73" i="33"/>
  <c r="CN116" i="33"/>
  <c r="CN48" i="33"/>
  <c r="CN166" i="33"/>
  <c r="CN150" i="33"/>
  <c r="CN55" i="33"/>
  <c r="R63" i="33"/>
  <c r="R118" i="33"/>
  <c r="AM151" i="33"/>
  <c r="DL69" i="33"/>
  <c r="DL72" i="33"/>
  <c r="DL70" i="33"/>
  <c r="DL71" i="33"/>
  <c r="E207" i="66"/>
  <c r="E38" i="66"/>
  <c r="AO152" i="33"/>
  <c r="T78" i="33"/>
  <c r="T79" i="33"/>
  <c r="T67" i="33"/>
  <c r="T111" i="14"/>
  <c r="T96" i="14" s="1"/>
  <c r="T119" i="33"/>
  <c r="G212" i="65"/>
  <c r="G213" i="65" s="1"/>
  <c r="G214" i="65"/>
  <c r="G223" i="65" s="1"/>
  <c r="DD119" i="33"/>
  <c r="DD234" i="33"/>
  <c r="DD78" i="33"/>
  <c r="DD67" i="33"/>
  <c r="CL179" i="15" s="1"/>
  <c r="CL184" i="15" s="1"/>
  <c r="CL8" i="15"/>
  <c r="CL32" i="15" s="1"/>
  <c r="CL111" i="14"/>
  <c r="CL96" i="14" s="1"/>
  <c r="DD79" i="33"/>
  <c r="DE168" i="33"/>
  <c r="DD168" i="33"/>
  <c r="CZ73" i="33"/>
  <c r="X38" i="80"/>
  <c r="X39" i="80" s="1"/>
  <c r="X14" i="64"/>
  <c r="X625" i="12"/>
  <c r="F198" i="65"/>
  <c r="F91" i="65"/>
  <c r="S234" i="33"/>
  <c r="S235" i="33" s="1"/>
  <c r="T233" i="33" s="1"/>
  <c r="O41" i="33"/>
  <c r="O164" i="33"/>
  <c r="O148" i="33"/>
  <c r="O47" i="33"/>
  <c r="O114" i="33"/>
  <c r="U99" i="15"/>
  <c r="U101" i="15" s="1"/>
  <c r="BR86" i="14"/>
  <c r="BR90" i="14" s="1"/>
  <c r="X12" i="64"/>
  <c r="X24" i="80"/>
  <c r="X25" i="80" s="1"/>
  <c r="X250" i="12"/>
  <c r="X380" i="12"/>
  <c r="U108" i="71"/>
  <c r="U109" i="71" s="1"/>
  <c r="W9" i="80"/>
  <c r="W10" i="80" s="1"/>
  <c r="X248" i="12"/>
  <c r="V43" i="12"/>
  <c r="Z254" i="12"/>
  <c r="Z256" i="12"/>
  <c r="U111" i="71"/>
  <c r="U112" i="71"/>
  <c r="U113" i="71" s="1"/>
  <c r="AT361" i="58"/>
  <c r="AT363" i="58"/>
  <c r="R301" i="90"/>
  <c r="CK300" i="90"/>
  <c r="CK302" i="90" s="1"/>
  <c r="CL300" i="90" s="1"/>
  <c r="CL302" i="90" s="1"/>
  <c r="CL366" i="90" s="1"/>
  <c r="AD347" i="90" l="1"/>
  <c r="AD349" i="90" s="1"/>
  <c r="CY830" i="12"/>
  <c r="CY829" i="12"/>
  <c r="AC119" i="90"/>
  <c r="AD326" i="90" s="1"/>
  <c r="AD117" i="90"/>
  <c r="AD119" i="90" s="1"/>
  <c r="AD223" i="90"/>
  <c r="AD225" i="90" s="1"/>
  <c r="AD357" i="90"/>
  <c r="CR165" i="12"/>
  <c r="CQ231" i="12"/>
  <c r="I75" i="52"/>
  <c r="AC492" i="12"/>
  <c r="AB10" i="12"/>
  <c r="CI47" i="90"/>
  <c r="CI324" i="90" s="1"/>
  <c r="Z97" i="14"/>
  <c r="AA70" i="14"/>
  <c r="AA12" i="33"/>
  <c r="AA142" i="33" s="1"/>
  <c r="AA45" i="12"/>
  <c r="AB326" i="90"/>
  <c r="AC326" i="90"/>
  <c r="CJ219" i="90"/>
  <c r="CJ218" i="90"/>
  <c r="R220" i="90"/>
  <c r="AC493" i="12"/>
  <c r="AB11" i="12"/>
  <c r="CK29" i="90"/>
  <c r="CJ318" i="90"/>
  <c r="CJ317" i="90" s="1"/>
  <c r="CK26" i="90"/>
  <c r="CJ28" i="90"/>
  <c r="S28" i="90" s="1"/>
  <c r="S29" i="90"/>
  <c r="T26" i="90" s="1"/>
  <c r="N22" i="90"/>
  <c r="BT20" i="90"/>
  <c r="BT22" i="90" s="1"/>
  <c r="BS309" i="90"/>
  <c r="BS310" i="90" s="1"/>
  <c r="AC63" i="90"/>
  <c r="AC65" i="90" s="1"/>
  <c r="AC320" i="90"/>
  <c r="I76" i="52"/>
  <c r="AB230" i="12"/>
  <c r="AB232" i="12"/>
  <c r="CG39" i="90"/>
  <c r="CG40" i="90"/>
  <c r="AB256" i="12"/>
  <c r="AC255" i="12"/>
  <c r="AB252" i="12"/>
  <c r="AB249" i="12" s="1"/>
  <c r="AB254" i="12"/>
  <c r="I106" i="52"/>
  <c r="J105" i="52"/>
  <c r="CP230" i="12"/>
  <c r="CP232" i="12"/>
  <c r="BW33" i="90"/>
  <c r="BV35" i="90"/>
  <c r="D109" i="52"/>
  <c r="D78" i="52"/>
  <c r="DB362" i="90"/>
  <c r="AD165" i="12"/>
  <c r="AD231" i="12" s="1"/>
  <c r="AC231" i="12"/>
  <c r="AA11" i="33"/>
  <c r="AA141" i="33" s="1"/>
  <c r="AA44" i="12"/>
  <c r="AD168" i="12"/>
  <c r="X234" i="90"/>
  <c r="X236" i="90" s="1"/>
  <c r="Y234" i="90" s="1"/>
  <c r="Y236" i="90" s="1"/>
  <c r="Z234" i="90" s="1"/>
  <c r="Z236" i="90" s="1"/>
  <c r="AA234" i="90" s="1"/>
  <c r="AA236" i="90" s="1"/>
  <c r="AB234" i="90" s="1"/>
  <c r="AB236" i="90" s="1"/>
  <c r="AC234" i="90" s="1"/>
  <c r="AC236" i="90" s="1"/>
  <c r="AD234" i="90" s="1"/>
  <c r="AD236" i="90" s="1"/>
  <c r="CR358" i="90"/>
  <c r="CS246" i="90"/>
  <c r="CS248" i="90" s="1"/>
  <c r="CS358" i="90" s="1"/>
  <c r="U246" i="90"/>
  <c r="U248" i="90" s="1"/>
  <c r="V246" i="90" s="1"/>
  <c r="T247" i="90"/>
  <c r="CG338" i="90"/>
  <c r="CH183" i="90"/>
  <c r="CH185" i="90" s="1"/>
  <c r="Q184" i="90"/>
  <c r="R183" i="90"/>
  <c r="CE170" i="90"/>
  <c r="U163" i="90"/>
  <c r="U165" i="90" s="1"/>
  <c r="V163" i="90" s="1"/>
  <c r="V165" i="90" s="1"/>
  <c r="W163" i="90" s="1"/>
  <c r="W165" i="90" s="1"/>
  <c r="X163" i="90" s="1"/>
  <c r="X165" i="90" s="1"/>
  <c r="X334" i="90" s="1"/>
  <c r="T164" i="90"/>
  <c r="CG111" i="90"/>
  <c r="CG113" i="90" s="1"/>
  <c r="CG325" i="90" s="1"/>
  <c r="CE139" i="90"/>
  <c r="CF139" i="90" s="1"/>
  <c r="CG139" i="90" s="1"/>
  <c r="CH139" i="90" s="1"/>
  <c r="CI139" i="90" s="1"/>
  <c r="CJ139" i="90" s="1"/>
  <c r="CK139" i="90" s="1"/>
  <c r="CL139" i="90" s="1"/>
  <c r="CM139" i="90" s="1"/>
  <c r="CN139" i="90" s="1"/>
  <c r="CO139" i="90" s="1"/>
  <c r="CP139" i="90" s="1"/>
  <c r="CQ139" i="90" s="1"/>
  <c r="CR139" i="90" s="1"/>
  <c r="CS139" i="90" s="1"/>
  <c r="CE138" i="90"/>
  <c r="AA695" i="12"/>
  <c r="AA120" i="14" s="1"/>
  <c r="AA624" i="12"/>
  <c r="AB628" i="12"/>
  <c r="AB630" i="12"/>
  <c r="AB627" i="12"/>
  <c r="AB624" i="12" s="1"/>
  <c r="AC629" i="12"/>
  <c r="AC474" i="12"/>
  <c r="AC476" i="12"/>
  <c r="AC472" i="12"/>
  <c r="AC412" i="12"/>
  <c r="AB695" i="12"/>
  <c r="AA464" i="12"/>
  <c r="AA461" i="12" s="1"/>
  <c r="AA467" i="12"/>
  <c r="AA465" i="12"/>
  <c r="AA275" i="12"/>
  <c r="AA279" i="12"/>
  <c r="AB278" i="12"/>
  <c r="AA277" i="12"/>
  <c r="BV75" i="33"/>
  <c r="BV118" i="33" s="1"/>
  <c r="AA100" i="14"/>
  <c r="AB68" i="14"/>
  <c r="BA80" i="33"/>
  <c r="BA118" i="33"/>
  <c r="AB634" i="12"/>
  <c r="Z55" i="80"/>
  <c r="Z56" i="80" s="1"/>
  <c r="AA471" i="12"/>
  <c r="CX75" i="33"/>
  <c r="CX80" i="33" s="1"/>
  <c r="H75" i="33"/>
  <c r="H80" i="33" s="1"/>
  <c r="CF74" i="15"/>
  <c r="CF103" i="15"/>
  <c r="CF105" i="15" s="1"/>
  <c r="CF107" i="15" s="1"/>
  <c r="CF68" i="15"/>
  <c r="BW30" i="48"/>
  <c r="CF83" i="15"/>
  <c r="CF88" i="15" s="1"/>
  <c r="CF90" i="15" s="1"/>
  <c r="CF92" i="15" s="1"/>
  <c r="BV80" i="33"/>
  <c r="BB118" i="33"/>
  <c r="BB80" i="33"/>
  <c r="BJ80" i="33"/>
  <c r="BJ118" i="33"/>
  <c r="J214" i="66"/>
  <c r="J223" i="66" s="1"/>
  <c r="L73" i="33"/>
  <c r="L75" i="33" s="1"/>
  <c r="L80" i="33" s="1"/>
  <c r="AS80" i="33"/>
  <c r="AS118" i="33"/>
  <c r="G67" i="33"/>
  <c r="G75" i="33" s="1"/>
  <c r="G80" i="33" s="1"/>
  <c r="G119" i="33"/>
  <c r="G111" i="14"/>
  <c r="G96" i="14" s="1"/>
  <c r="G78" i="33"/>
  <c r="H167" i="33" s="1"/>
  <c r="G79" i="33"/>
  <c r="G152" i="33"/>
  <c r="O214" i="33"/>
  <c r="O215" i="33" s="1"/>
  <c r="CN215" i="33"/>
  <c r="CO211" i="33"/>
  <c r="CM222" i="33"/>
  <c r="CS211" i="33"/>
  <c r="F119" i="33"/>
  <c r="F78" i="33"/>
  <c r="F167" i="33" s="1"/>
  <c r="F79" i="33"/>
  <c r="F111" i="14"/>
  <c r="F96" i="14" s="1"/>
  <c r="F102" i="14" s="1"/>
  <c r="F152" i="33"/>
  <c r="F67" i="33"/>
  <c r="CM198" i="33"/>
  <c r="CN198" i="33" s="1"/>
  <c r="CN195" i="33"/>
  <c r="O195" i="33" s="1"/>
  <c r="CM197" i="33"/>
  <c r="CN218" i="33"/>
  <c r="CN213" i="33"/>
  <c r="O212" i="33"/>
  <c r="BO73" i="33"/>
  <c r="BO75" i="33" s="1"/>
  <c r="J69" i="33"/>
  <c r="J73" i="33" s="1"/>
  <c r="J75" i="33" s="1"/>
  <c r="J80" i="33" s="1"/>
  <c r="M69" i="33"/>
  <c r="M73" i="33" s="1"/>
  <c r="CD73" i="33"/>
  <c r="CD75" i="33" s="1"/>
  <c r="AZ80" i="33"/>
  <c r="AZ118" i="33"/>
  <c r="CA75" i="33"/>
  <c r="BG118" i="33"/>
  <c r="BG80" i="33"/>
  <c r="AL103" i="14"/>
  <c r="AM95" i="14"/>
  <c r="AM102" i="14" s="1"/>
  <c r="K69" i="33"/>
  <c r="K73" i="33" s="1"/>
  <c r="BT73" i="33"/>
  <c r="BT75" i="33" s="1"/>
  <c r="F75" i="33"/>
  <c r="F80" i="33" s="1"/>
  <c r="AX118" i="33"/>
  <c r="AX80" i="33"/>
  <c r="BL75" i="33"/>
  <c r="BY73" i="33"/>
  <c r="BY75" i="33" s="1"/>
  <c r="BQ75" i="33"/>
  <c r="AU80" i="33"/>
  <c r="AU118" i="33"/>
  <c r="Y27" i="80"/>
  <c r="X101" i="71"/>
  <c r="Z274" i="12"/>
  <c r="X27" i="80"/>
  <c r="X28" i="80" s="1"/>
  <c r="W101" i="71"/>
  <c r="W102" i="71" s="1"/>
  <c r="DB151" i="33"/>
  <c r="Y700" i="12"/>
  <c r="Y701" i="12" s="1"/>
  <c r="Y6" i="80"/>
  <c r="Y7" i="80" s="1"/>
  <c r="Y120" i="14"/>
  <c r="Y121" i="14" s="1"/>
  <c r="Y124" i="14" s="1"/>
  <c r="Y702" i="12" s="1"/>
  <c r="Y696" i="12"/>
  <c r="Y24" i="64"/>
  <c r="Z35" i="80"/>
  <c r="Z36" i="80" s="1"/>
  <c r="Z695" i="12"/>
  <c r="X30" i="64"/>
  <c r="X25" i="64"/>
  <c r="F209" i="65"/>
  <c r="F210" i="65" s="1"/>
  <c r="CR190" i="15"/>
  <c r="W122" i="14"/>
  <c r="W702" i="12"/>
  <c r="AY21" i="77"/>
  <c r="M78" i="66"/>
  <c r="CC71" i="14"/>
  <c r="CC73" i="14" s="1"/>
  <c r="CD64" i="14"/>
  <c r="I167" i="33"/>
  <c r="M111" i="14"/>
  <c r="M96" i="14" s="1"/>
  <c r="M152" i="33"/>
  <c r="M78" i="33"/>
  <c r="M167" i="33" s="1"/>
  <c r="M79" i="33"/>
  <c r="M67" i="33"/>
  <c r="M119" i="33"/>
  <c r="K111" i="14"/>
  <c r="K96" i="14" s="1"/>
  <c r="K79" i="33"/>
  <c r="K78" i="33"/>
  <c r="K152" i="33"/>
  <c r="L152" i="33"/>
  <c r="K119" i="33"/>
  <c r="K67" i="33"/>
  <c r="AT215" i="58"/>
  <c r="CZ51" i="12"/>
  <c r="V10" i="33"/>
  <c r="V140" i="33" s="1"/>
  <c r="R368" i="12"/>
  <c r="U307" i="71"/>
  <c r="CZ43" i="12"/>
  <c r="W665" i="12"/>
  <c r="W667" i="12"/>
  <c r="W16" i="48" s="1"/>
  <c r="DR10" i="33"/>
  <c r="Z41" i="80"/>
  <c r="Z42" i="80" s="1"/>
  <c r="Y167" i="71"/>
  <c r="Y168" i="71" s="1"/>
  <c r="DR9" i="33"/>
  <c r="DC667" i="12"/>
  <c r="DC665" i="12"/>
  <c r="DC687" i="12"/>
  <c r="DC661" i="12"/>
  <c r="DC686" i="12"/>
  <c r="CZ830" i="12"/>
  <c r="CZ829" i="12"/>
  <c r="DB509" i="12"/>
  <c r="DC508" i="12"/>
  <c r="W508" i="12" s="1"/>
  <c r="DB825" i="12"/>
  <c r="DB826" i="12" s="1"/>
  <c r="DA9" i="12"/>
  <c r="DS10" i="33" s="1"/>
  <c r="CZ12" i="12"/>
  <c r="CZ42" i="12"/>
  <c r="DC384" i="12"/>
  <c r="DC290" i="12"/>
  <c r="W290" i="12" s="1"/>
  <c r="W387" i="12" s="1"/>
  <c r="DC385" i="12"/>
  <c r="DB515" i="12"/>
  <c r="CR103" i="15"/>
  <c r="CR105" i="15" s="1"/>
  <c r="CR107" i="15" s="1"/>
  <c r="DG151" i="33"/>
  <c r="F208" i="66"/>
  <c r="F209" i="66" s="1"/>
  <c r="CR74" i="15"/>
  <c r="CR83" i="15"/>
  <c r="CR88" i="15" s="1"/>
  <c r="CR90" i="15" s="1"/>
  <c r="CR92" i="15" s="1"/>
  <c r="S70" i="33"/>
  <c r="S72" i="33"/>
  <c r="S69" i="33"/>
  <c r="S71" i="33"/>
  <c r="R386" i="71"/>
  <c r="S35" i="64"/>
  <c r="K44" i="53"/>
  <c r="K47" i="53"/>
  <c r="CR195" i="15"/>
  <c r="S63" i="33"/>
  <c r="S152" i="33" s="1"/>
  <c r="S118" i="33"/>
  <c r="S100" i="33"/>
  <c r="AN151" i="33"/>
  <c r="T151" i="33"/>
  <c r="DJ75" i="33"/>
  <c r="DJ80" i="33" s="1"/>
  <c r="U166" i="12"/>
  <c r="CI240" i="12"/>
  <c r="CI239" i="12" s="1"/>
  <c r="CJ166" i="12"/>
  <c r="DB63" i="33"/>
  <c r="DB168" i="33" s="1"/>
  <c r="DC167" i="33"/>
  <c r="DB100" i="33"/>
  <c r="V23" i="77" s="1"/>
  <c r="DB118" i="33"/>
  <c r="DP140" i="33"/>
  <c r="DP156" i="33"/>
  <c r="DB70" i="33"/>
  <c r="DB72" i="33"/>
  <c r="DB69" i="33"/>
  <c r="DB71" i="33"/>
  <c r="S242" i="12"/>
  <c r="S241" i="12"/>
  <c r="CH239" i="12"/>
  <c r="CH241" i="12"/>
  <c r="T240" i="12"/>
  <c r="DH75" i="33"/>
  <c r="DH80" i="33" s="1"/>
  <c r="DA168" i="33"/>
  <c r="CI70" i="33"/>
  <c r="N70" i="33" s="1"/>
  <c r="DA73" i="33"/>
  <c r="DI73" i="33"/>
  <c r="CH168" i="33"/>
  <c r="CG79" i="33"/>
  <c r="CG119" i="33"/>
  <c r="CG152" i="33"/>
  <c r="CG67" i="33"/>
  <c r="BR111" i="14"/>
  <c r="BR96" i="14" s="1"/>
  <c r="CG78" i="33"/>
  <c r="CQ111" i="14"/>
  <c r="CQ96" i="14" s="1"/>
  <c r="DI234" i="33"/>
  <c r="DI78" i="33"/>
  <c r="DI119" i="33"/>
  <c r="DI67" i="33"/>
  <c r="CQ179" i="15" s="1"/>
  <c r="CQ184" i="15" s="1"/>
  <c r="CQ185" i="15" s="1"/>
  <c r="DJ168" i="33"/>
  <c r="DI79" i="33"/>
  <c r="CQ8" i="15"/>
  <c r="CQ32" i="15" s="1"/>
  <c r="DI152" i="33"/>
  <c r="CK195" i="15"/>
  <c r="CK216" i="15"/>
  <c r="CK190" i="15"/>
  <c r="CK198" i="15" s="1"/>
  <c r="CP190" i="15"/>
  <c r="CP216" i="15"/>
  <c r="CP195" i="15"/>
  <c r="CP103" i="15"/>
  <c r="CP105" i="15" s="1"/>
  <c r="CP107" i="15" s="1"/>
  <c r="CP74" i="15"/>
  <c r="CP68" i="15"/>
  <c r="CP83" i="15"/>
  <c r="CP88" i="15" s="1"/>
  <c r="CP90" i="15" s="1"/>
  <c r="CP92" i="15" s="1"/>
  <c r="CG73" i="33"/>
  <c r="DG79" i="33"/>
  <c r="DG234" i="33"/>
  <c r="DG119" i="33"/>
  <c r="CO111" i="14"/>
  <c r="CO96" i="14" s="1"/>
  <c r="DH168" i="33"/>
  <c r="CO8" i="15"/>
  <c r="DG67" i="33"/>
  <c r="CO179" i="15" s="1"/>
  <c r="DG78" i="33"/>
  <c r="DG168" i="33"/>
  <c r="CK68" i="15"/>
  <c r="CK103" i="15"/>
  <c r="CK105" i="15" s="1"/>
  <c r="CK107" i="15" s="1"/>
  <c r="CK74" i="15"/>
  <c r="CK83" i="15"/>
  <c r="CK88" i="15" s="1"/>
  <c r="CK90" i="15" s="1"/>
  <c r="CK92" i="15" s="1"/>
  <c r="CB30" i="48"/>
  <c r="DC75" i="33"/>
  <c r="DC80" i="33" s="1"/>
  <c r="DA119" i="33"/>
  <c r="DA67" i="33"/>
  <c r="CI179" i="15" s="1"/>
  <c r="CI184" i="15" s="1"/>
  <c r="DA234" i="33"/>
  <c r="CI111" i="14"/>
  <c r="CI96" i="14" s="1"/>
  <c r="DA79" i="33"/>
  <c r="CI118" i="15"/>
  <c r="CI121" i="15" s="1"/>
  <c r="CI128" i="15" s="1"/>
  <c r="CI139" i="15" s="1"/>
  <c r="DA78" i="33"/>
  <c r="CI8" i="15"/>
  <c r="CI32" i="15" s="1"/>
  <c r="DF152" i="33"/>
  <c r="DG73" i="33"/>
  <c r="DE75" i="33"/>
  <c r="DE80" i="33" s="1"/>
  <c r="CF73" i="33"/>
  <c r="DK73" i="33"/>
  <c r="CF227" i="15"/>
  <c r="CF222" i="15"/>
  <c r="DK79" i="33"/>
  <c r="DK78" i="33"/>
  <c r="CS8" i="15"/>
  <c r="CS32" i="15" s="1"/>
  <c r="CS111" i="14"/>
  <c r="CS96" i="14" s="1"/>
  <c r="DK67" i="33"/>
  <c r="CS179" i="15" s="1"/>
  <c r="CS184" i="15" s="1"/>
  <c r="DK119" i="33"/>
  <c r="DK168" i="33"/>
  <c r="DK152" i="33"/>
  <c r="DK234" i="33"/>
  <c r="DK235" i="33" s="1"/>
  <c r="DL233" i="33" s="1"/>
  <c r="DL234" i="33" s="1"/>
  <c r="DL235" i="33" s="1"/>
  <c r="DM233" i="33" s="1"/>
  <c r="U243" i="71"/>
  <c r="U245" i="71" s="1"/>
  <c r="U246" i="71" s="1"/>
  <c r="CY79" i="33"/>
  <c r="CG8" i="15"/>
  <c r="CG32" i="15" s="1"/>
  <c r="CG68" i="15" s="1"/>
  <c r="CY78" i="33"/>
  <c r="CY168" i="33"/>
  <c r="CY67" i="33"/>
  <c r="CG179" i="15" s="1"/>
  <c r="CG184" i="15" s="1"/>
  <c r="CG190" i="15" s="1"/>
  <c r="CG198" i="15" s="1"/>
  <c r="CG118" i="15"/>
  <c r="CG121" i="15" s="1"/>
  <c r="CG128" i="15" s="1"/>
  <c r="CG139" i="15" s="1"/>
  <c r="CY119" i="33"/>
  <c r="CY234" i="33"/>
  <c r="CG111" i="14"/>
  <c r="CG96" i="14" s="1"/>
  <c r="X80" i="71"/>
  <c r="CI71" i="33"/>
  <c r="N71" i="33" s="1"/>
  <c r="CY73" i="33"/>
  <c r="CZ168" i="33"/>
  <c r="W81" i="71"/>
  <c r="CA90" i="14"/>
  <c r="CI72" i="33"/>
  <c r="N72" i="33" s="1"/>
  <c r="CJ73" i="33"/>
  <c r="P164" i="33"/>
  <c r="CF79" i="33"/>
  <c r="BQ111" i="14"/>
  <c r="BQ96" i="14" s="1"/>
  <c r="CF78" i="33"/>
  <c r="CF67" i="33"/>
  <c r="CF119" i="33"/>
  <c r="CF152" i="33"/>
  <c r="CG168" i="33"/>
  <c r="CJ168" i="33"/>
  <c r="BT8" i="15"/>
  <c r="BT32" i="15" s="1"/>
  <c r="CJ67" i="33"/>
  <c r="CJ152" i="33"/>
  <c r="BT111" i="14"/>
  <c r="BT96" i="14" s="1"/>
  <c r="CJ119" i="33"/>
  <c r="CJ79" i="33"/>
  <c r="CJ78" i="33"/>
  <c r="EA254" i="48" s="1"/>
  <c r="CW73" i="33"/>
  <c r="N58" i="33"/>
  <c r="N61" i="33"/>
  <c r="F37" i="53"/>
  <c r="F43" i="53"/>
  <c r="F44" i="53" s="1"/>
  <c r="F35" i="53"/>
  <c r="CE73" i="33"/>
  <c r="CI69" i="33"/>
  <c r="CM74" i="15"/>
  <c r="CM68" i="15"/>
  <c r="CM83" i="15"/>
  <c r="CM88" i="15" s="1"/>
  <c r="CM90" i="15" s="1"/>
  <c r="CM92" i="15" s="1"/>
  <c r="CD30" i="48"/>
  <c r="CM103" i="15"/>
  <c r="CM105" i="15" s="1"/>
  <c r="CM107" i="15" s="1"/>
  <c r="CI167" i="33"/>
  <c r="CI100" i="33"/>
  <c r="CI151" i="33"/>
  <c r="CI63" i="33"/>
  <c r="CE67" i="33"/>
  <c r="BP111" i="14"/>
  <c r="BP96" i="14" s="1"/>
  <c r="CF168" i="33"/>
  <c r="CE79" i="33"/>
  <c r="CE152" i="33"/>
  <c r="CE78" i="33"/>
  <c r="CE119" i="33"/>
  <c r="CE168" i="33"/>
  <c r="N99" i="15"/>
  <c r="N101" i="15" s="1"/>
  <c r="N97" i="15"/>
  <c r="CM216" i="15"/>
  <c r="CM195" i="15"/>
  <c r="CM190" i="15"/>
  <c r="CE99" i="33"/>
  <c r="CI98" i="33"/>
  <c r="CE8" i="15"/>
  <c r="CE32" i="15" s="1"/>
  <c r="CW78" i="33"/>
  <c r="CW234" i="33"/>
  <c r="CW79" i="33"/>
  <c r="CW119" i="33"/>
  <c r="CW67" i="33"/>
  <c r="CE111" i="14"/>
  <c r="CE96" i="14" s="1"/>
  <c r="CX168" i="33"/>
  <c r="CV34" i="90"/>
  <c r="CV32" i="90"/>
  <c r="P72" i="52"/>
  <c r="O104" i="52"/>
  <c r="U75" i="90"/>
  <c r="T76" i="90"/>
  <c r="E108" i="52"/>
  <c r="F107" i="52"/>
  <c r="E77" i="52"/>
  <c r="AS34" i="48"/>
  <c r="AS36" i="48" s="1"/>
  <c r="BB15" i="90"/>
  <c r="CC83" i="90"/>
  <c r="L108" i="52"/>
  <c r="L77" i="52"/>
  <c r="Y163" i="90"/>
  <c r="Y165" i="90" s="1"/>
  <c r="Y334" i="90" s="1"/>
  <c r="U64" i="52"/>
  <c r="V95" i="52" s="1"/>
  <c r="T96" i="52"/>
  <c r="S67" i="52"/>
  <c r="R99" i="52"/>
  <c r="CQ252" i="90"/>
  <c r="CQ254" i="90" s="1"/>
  <c r="CQ359" i="90" s="1"/>
  <c r="P101" i="52"/>
  <c r="Q69" i="52"/>
  <c r="T65" i="52"/>
  <c r="S97" i="52"/>
  <c r="X59" i="52"/>
  <c r="W91" i="52"/>
  <c r="X90" i="52"/>
  <c r="CP53" i="90"/>
  <c r="O103" i="52"/>
  <c r="P71" i="52"/>
  <c r="CG208" i="90"/>
  <c r="CG210" i="90" s="1"/>
  <c r="CA69" i="90"/>
  <c r="CA71" i="90" s="1"/>
  <c r="CA321" i="90" s="1"/>
  <c r="O73" i="52"/>
  <c r="N105" i="52"/>
  <c r="CH117" i="90"/>
  <c r="CH119" i="90" s="1"/>
  <c r="CH326" i="90" s="1"/>
  <c r="CW258" i="90"/>
  <c r="CW260" i="90" s="1"/>
  <c r="CW360" i="90"/>
  <c r="Q170" i="90"/>
  <c r="CF168" i="90"/>
  <c r="CF170" i="90" s="1"/>
  <c r="CF335" i="90" s="1"/>
  <c r="CT209" i="90"/>
  <c r="J115" i="14"/>
  <c r="J15" i="90"/>
  <c r="X143" i="90"/>
  <c r="X145" i="90" s="1"/>
  <c r="BE69" i="15"/>
  <c r="BE70" i="15" s="1"/>
  <c r="BD8" i="14"/>
  <c r="O74" i="52"/>
  <c r="N106" i="52"/>
  <c r="CH213" i="90"/>
  <c r="CH215" i="90" s="1"/>
  <c r="CH344" i="90" s="1"/>
  <c r="U77" i="90"/>
  <c r="CG75" i="90"/>
  <c r="CG77" i="90" s="1"/>
  <c r="R208" i="90"/>
  <c r="Q209" i="90"/>
  <c r="L8" i="14"/>
  <c r="M69" i="15"/>
  <c r="M70" i="15" s="1"/>
  <c r="S66" i="52"/>
  <c r="R98" i="52"/>
  <c r="U178" i="90"/>
  <c r="U180" i="90" s="1"/>
  <c r="V178" i="90" s="1"/>
  <c r="V180" i="90" s="1"/>
  <c r="T179" i="90"/>
  <c r="CJ46" i="90"/>
  <c r="R47" i="90"/>
  <c r="CJ45" i="90"/>
  <c r="CM123" i="90"/>
  <c r="CM125" i="90" s="1"/>
  <c r="CN123" i="90" s="1"/>
  <c r="CN125" i="90" s="1"/>
  <c r="CO123" i="90" s="1"/>
  <c r="CO125" i="90" s="1"/>
  <c r="CP123" i="90" s="1"/>
  <c r="CP125" i="90" s="1"/>
  <c r="CQ123" i="90" s="1"/>
  <c r="CQ125" i="90" s="1"/>
  <c r="CR123" i="90" s="1"/>
  <c r="CR125" i="90" s="1"/>
  <c r="CS123" i="90" s="1"/>
  <c r="CS125" i="90" s="1"/>
  <c r="CT123" i="90" s="1"/>
  <c r="CT125" i="90" s="1"/>
  <c r="CU123" i="90" s="1"/>
  <c r="CU125" i="90" s="1"/>
  <c r="CV123" i="90" s="1"/>
  <c r="CV125" i="90" s="1"/>
  <c r="CW123" i="90" s="1"/>
  <c r="CW125" i="90" s="1"/>
  <c r="CX123" i="90" s="1"/>
  <c r="CX125" i="90" s="1"/>
  <c r="CY123" i="90" s="1"/>
  <c r="CY125" i="90" s="1"/>
  <c r="CZ123" i="90" s="1"/>
  <c r="CZ125" i="90" s="1"/>
  <c r="DA123" i="90" s="1"/>
  <c r="DA125" i="90" s="1"/>
  <c r="DB123" i="90" s="1"/>
  <c r="DB125" i="90" s="1"/>
  <c r="DC123" i="90" s="1"/>
  <c r="DC125" i="90" s="1"/>
  <c r="K106" i="52"/>
  <c r="J107" i="52"/>
  <c r="J76" i="52"/>
  <c r="CF63" i="90"/>
  <c r="CF65" i="90" s="1"/>
  <c r="CF320" i="90" s="1"/>
  <c r="Q100" i="52"/>
  <c r="R68" i="52"/>
  <c r="CH193" i="90"/>
  <c r="CH195" i="90" s="1"/>
  <c r="R205" i="90"/>
  <c r="CJ203" i="90"/>
  <c r="CJ205" i="90" s="1"/>
  <c r="CJ342" i="90" s="1"/>
  <c r="CM93" i="90"/>
  <c r="BC112" i="14"/>
  <c r="BC15" i="14"/>
  <c r="BC28" i="14" s="1"/>
  <c r="BC75" i="14" s="1"/>
  <c r="P70" i="52"/>
  <c r="O102" i="52"/>
  <c r="U89" i="90"/>
  <c r="U88" i="90" s="1"/>
  <c r="CP87" i="90"/>
  <c r="Q160" i="90"/>
  <c r="CF158" i="90"/>
  <c r="CF160" i="90" s="1"/>
  <c r="CF333" i="90" s="1"/>
  <c r="CE333" i="90"/>
  <c r="W62" i="52"/>
  <c r="V94" i="52"/>
  <c r="W93" i="52"/>
  <c r="CI198" i="90"/>
  <c r="CI200" i="90" s="1"/>
  <c r="CI341" i="90" s="1"/>
  <c r="CG344" i="90"/>
  <c r="CE149" i="90"/>
  <c r="CE148" i="90"/>
  <c r="CE150" i="90" s="1"/>
  <c r="CF322" i="90"/>
  <c r="CF343" i="90"/>
  <c r="K112" i="14"/>
  <c r="D76" i="65"/>
  <c r="D74" i="65" s="1"/>
  <c r="D73" i="65" s="1"/>
  <c r="K15" i="14"/>
  <c r="K28" i="14" s="1"/>
  <c r="K75" i="14" s="1"/>
  <c r="EB70" i="15"/>
  <c r="EC69" i="15"/>
  <c r="EC70" i="15" s="1"/>
  <c r="ED69" i="15" s="1"/>
  <c r="W63" i="52"/>
  <c r="CH200" i="14"/>
  <c r="CG202" i="14"/>
  <c r="CG203" i="14" s="1"/>
  <c r="CT159" i="90"/>
  <c r="CE335" i="90"/>
  <c r="F79" i="52"/>
  <c r="CE320" i="90"/>
  <c r="CH173" i="90"/>
  <c r="CH175" i="90" s="1"/>
  <c r="CH336" i="90" s="1"/>
  <c r="CG340" i="90"/>
  <c r="CV265" i="90"/>
  <c r="CI342" i="90"/>
  <c r="C96" i="65"/>
  <c r="C92" i="65" s="1"/>
  <c r="C89" i="65" s="1"/>
  <c r="C71" i="65"/>
  <c r="CT139" i="90"/>
  <c r="CL352" i="90"/>
  <c r="Z258" i="90"/>
  <c r="Z260" i="90" s="1"/>
  <c r="H110" i="52"/>
  <c r="G80" i="52"/>
  <c r="N75" i="52"/>
  <c r="M107" i="52"/>
  <c r="M76" i="52"/>
  <c r="AT216" i="58"/>
  <c r="X79" i="71"/>
  <c r="CX829" i="12"/>
  <c r="CX830" i="12"/>
  <c r="AS361" i="58"/>
  <c r="AS362" i="58" s="1"/>
  <c r="AS363" i="58"/>
  <c r="AS364" i="58" s="1"/>
  <c r="Z627" i="12"/>
  <c r="Y80" i="71" s="1"/>
  <c r="Y233" i="71"/>
  <c r="Y234" i="71" s="1"/>
  <c r="CG354" i="12"/>
  <c r="CG355" i="12"/>
  <c r="CI346" i="12"/>
  <c r="CH347" i="12"/>
  <c r="T346" i="12"/>
  <c r="T353" i="12" s="1"/>
  <c r="T354" i="12" s="1"/>
  <c r="CH353" i="12"/>
  <c r="Z252" i="12"/>
  <c r="Z249" i="12" s="1"/>
  <c r="CL79" i="14"/>
  <c r="CL87" i="14" s="1"/>
  <c r="CK80" i="14"/>
  <c r="CL81" i="14" s="1"/>
  <c r="CM89" i="14" s="1"/>
  <c r="U124" i="52"/>
  <c r="K91" i="65"/>
  <c r="K198" i="65"/>
  <c r="CH194" i="14"/>
  <c r="CI206" i="14"/>
  <c r="CI209" i="14" s="1"/>
  <c r="CM25" i="14"/>
  <c r="CL78" i="14"/>
  <c r="CL88" i="14" s="1"/>
  <c r="BS76" i="15"/>
  <c r="BS78" i="15"/>
  <c r="BS81" i="15" s="1"/>
  <c r="P30" i="33"/>
  <c r="CS31" i="33"/>
  <c r="CU30" i="33"/>
  <c r="K189" i="66"/>
  <c r="K94" i="66" s="1"/>
  <c r="K92" i="66" s="1"/>
  <c r="K237" i="66"/>
  <c r="N78" i="15"/>
  <c r="N81" i="15" s="1"/>
  <c r="N76" i="15"/>
  <c r="CV36" i="33"/>
  <c r="CV97" i="33"/>
  <c r="CV98" i="33" s="1"/>
  <c r="CV99" i="33" s="1"/>
  <c r="CE86" i="14" s="1"/>
  <c r="P148" i="33"/>
  <c r="CU114" i="33"/>
  <c r="CU41" i="33"/>
  <c r="CZ148" i="33"/>
  <c r="CU148" i="33"/>
  <c r="CY150" i="33"/>
  <c r="CT116" i="33"/>
  <c r="CT48" i="33"/>
  <c r="CT55" i="33"/>
  <c r="CT166" i="33"/>
  <c r="I33" i="53"/>
  <c r="Q97" i="33"/>
  <c r="Q98" i="33" s="1"/>
  <c r="Q99" i="33" s="1"/>
  <c r="Q36" i="33"/>
  <c r="Q40" i="33" s="1"/>
  <c r="CT41" i="33"/>
  <c r="CY148" i="33"/>
  <c r="CT114" i="33"/>
  <c r="CT148" i="33"/>
  <c r="CZ75" i="33"/>
  <c r="CZ80" i="33" s="1"/>
  <c r="H40" i="65"/>
  <c r="H208" i="65" s="1"/>
  <c r="H215" i="65" s="1"/>
  <c r="H224" i="65" s="1"/>
  <c r="P87" i="14"/>
  <c r="W27" i="64"/>
  <c r="W29" i="64"/>
  <c r="W16" i="64"/>
  <c r="X81" i="71"/>
  <c r="Y461" i="12"/>
  <c r="S17" i="48"/>
  <c r="S18" i="48" s="1"/>
  <c r="X460" i="12"/>
  <c r="X494" i="12" s="1"/>
  <c r="X13" i="64"/>
  <c r="X15" i="64" s="1"/>
  <c r="X512" i="12"/>
  <c r="X462" i="12"/>
  <c r="X52" i="80"/>
  <c r="X53" i="80" s="1"/>
  <c r="Z465" i="12"/>
  <c r="Z467" i="12"/>
  <c r="CR58" i="33"/>
  <c r="CR61" i="33"/>
  <c r="CR151" i="33" s="1"/>
  <c r="CG368" i="12"/>
  <c r="CH361" i="12"/>
  <c r="S361" i="12"/>
  <c r="S368" i="12" s="1"/>
  <c r="CA97" i="15"/>
  <c r="BR38" i="48" s="1"/>
  <c r="CA99" i="15"/>
  <c r="CA101" i="15" s="1"/>
  <c r="P110" i="14"/>
  <c r="P42" i="33"/>
  <c r="Q166" i="33" s="1"/>
  <c r="S56" i="56"/>
  <c r="S57" i="56" s="1"/>
  <c r="P22" i="48"/>
  <c r="O7" i="71"/>
  <c r="O8" i="71" s="1"/>
  <c r="EZ430" i="48"/>
  <c r="FN407" i="48"/>
  <c r="FN408" i="48" s="1"/>
  <c r="P6" i="64"/>
  <c r="D7" i="75"/>
  <c r="E8" i="75" s="1"/>
  <c r="Q44" i="33"/>
  <c r="CO93" i="33"/>
  <c r="CO94" i="33"/>
  <c r="BX82" i="14"/>
  <c r="CS92" i="33"/>
  <c r="CO97" i="33"/>
  <c r="I197" i="66"/>
  <c r="I90" i="66"/>
  <c r="BU99" i="15"/>
  <c r="BU101" i="15" s="1"/>
  <c r="BU97" i="15"/>
  <c r="BL38" i="48" s="1"/>
  <c r="BZ97" i="15"/>
  <c r="BQ38" i="48" s="1"/>
  <c r="BZ99" i="15"/>
  <c r="BZ101" i="15" s="1"/>
  <c r="P86" i="14"/>
  <c r="P90" i="14" s="1"/>
  <c r="P100" i="33"/>
  <c r="CM58" i="33"/>
  <c r="CM61" i="33"/>
  <c r="CM167" i="33" s="1"/>
  <c r="EB282" i="48"/>
  <c r="EE282" i="48"/>
  <c r="O21" i="57"/>
  <c r="M21" i="57"/>
  <c r="D208" i="66"/>
  <c r="D209" i="66" s="1"/>
  <c r="D214" i="66"/>
  <c r="D223" i="66" s="1"/>
  <c r="V9" i="66"/>
  <c r="G90" i="66"/>
  <c r="G197" i="66"/>
  <c r="BW97" i="15"/>
  <c r="BN38" i="48" s="1"/>
  <c r="BW99" i="15"/>
  <c r="BW101" i="15" s="1"/>
  <c r="EE312" i="48"/>
  <c r="DZ315" i="48"/>
  <c r="EB315" i="48" s="1"/>
  <c r="EB312" i="48"/>
  <c r="CP72" i="33"/>
  <c r="CP71" i="33"/>
  <c r="CP69" i="33"/>
  <c r="CP70" i="33"/>
  <c r="R73" i="33"/>
  <c r="CQ58" i="33"/>
  <c r="CQ61" i="33"/>
  <c r="CQ167" i="33" s="1"/>
  <c r="P95" i="33"/>
  <c r="P85" i="14" s="1"/>
  <c r="P89" i="14" s="1"/>
  <c r="P84" i="14"/>
  <c r="CO58" i="33"/>
  <c r="CO61" i="33"/>
  <c r="CP63" i="33"/>
  <c r="CP118" i="33"/>
  <c r="CP100" i="33"/>
  <c r="K23" i="77" s="1"/>
  <c r="CP151" i="33"/>
  <c r="G208" i="66"/>
  <c r="G209" i="66" s="1"/>
  <c r="G214" i="66"/>
  <c r="G223" i="66" s="1"/>
  <c r="P44" i="33"/>
  <c r="BX99" i="15"/>
  <c r="BX101" i="15" s="1"/>
  <c r="BX97" i="15"/>
  <c r="BO38" i="48" s="1"/>
  <c r="BV70" i="48"/>
  <c r="BV73" i="48"/>
  <c r="P114" i="33"/>
  <c r="P41" i="33"/>
  <c r="P47" i="33"/>
  <c r="P150" i="33" s="1"/>
  <c r="CK61" i="33"/>
  <c r="CL167" i="33" s="1"/>
  <c r="CK58" i="33"/>
  <c r="EE286" i="48"/>
  <c r="DZ293" i="48"/>
  <c r="DZ297" i="48" s="1"/>
  <c r="DZ306" i="48" s="1"/>
  <c r="DZ253" i="48"/>
  <c r="DZ252" i="48"/>
  <c r="O28" i="57"/>
  <c r="M28" i="57"/>
  <c r="D197" i="66"/>
  <c r="D90" i="66"/>
  <c r="I214" i="66"/>
  <c r="I223" i="66" s="1"/>
  <c r="I208" i="66"/>
  <c r="I209" i="66" s="1"/>
  <c r="G40" i="65"/>
  <c r="T234" i="33"/>
  <c r="T235" i="33" s="1"/>
  <c r="U233" i="33" s="1"/>
  <c r="Y682" i="12"/>
  <c r="CL103" i="15"/>
  <c r="CL105" i="15" s="1"/>
  <c r="CL107" i="15" s="1"/>
  <c r="CL83" i="15"/>
  <c r="CL88" i="15" s="1"/>
  <c r="CL90" i="15" s="1"/>
  <c r="CL92" i="15" s="1"/>
  <c r="CL74" i="15"/>
  <c r="CL68" i="15"/>
  <c r="CC30" i="48"/>
  <c r="E208" i="66"/>
  <c r="E209" i="66" s="1"/>
  <c r="E214" i="66"/>
  <c r="E223" i="66" s="1"/>
  <c r="DL73" i="33"/>
  <c r="T75" i="33"/>
  <c r="T80" i="33" s="1"/>
  <c r="CN186" i="15"/>
  <c r="CN190" i="15"/>
  <c r="CR191" i="15" s="1"/>
  <c r="CN216" i="15"/>
  <c r="CR217" i="15" s="1"/>
  <c r="CN195" i="15"/>
  <c r="CR196" i="15" s="1"/>
  <c r="BY83" i="14"/>
  <c r="BV83" i="14"/>
  <c r="O87" i="14"/>
  <c r="O88" i="14"/>
  <c r="CG195" i="15"/>
  <c r="CL195" i="15"/>
  <c r="CL190" i="15"/>
  <c r="CL186" i="15"/>
  <c r="CL216" i="15"/>
  <c r="CP185" i="15"/>
  <c r="CM186" i="15"/>
  <c r="R111" i="14"/>
  <c r="R96" i="14" s="1"/>
  <c r="R79" i="33"/>
  <c r="R118" i="15"/>
  <c r="R121" i="15" s="1"/>
  <c r="R67" i="33"/>
  <c r="R119" i="33"/>
  <c r="R78" i="33"/>
  <c r="AM152" i="33"/>
  <c r="CN58" i="33"/>
  <c r="CN61" i="33"/>
  <c r="CN74" i="15"/>
  <c r="CN68" i="15"/>
  <c r="CN103" i="15"/>
  <c r="CN105" i="15" s="1"/>
  <c r="CN107" i="15" s="1"/>
  <c r="CN83" i="15"/>
  <c r="CN88" i="15" s="1"/>
  <c r="CN90" i="15" s="1"/>
  <c r="CN92" i="15" s="1"/>
  <c r="DN70" i="33"/>
  <c r="DN71" i="33"/>
  <c r="DN69" i="33"/>
  <c r="DN72" i="33"/>
  <c r="CH216" i="15"/>
  <c r="CH190" i="15"/>
  <c r="CH198" i="15" s="1"/>
  <c r="CH195" i="15"/>
  <c r="DM152" i="33"/>
  <c r="DM78" i="33"/>
  <c r="DM67" i="33"/>
  <c r="CU179" i="15" s="1"/>
  <c r="CU184" i="15" s="1"/>
  <c r="CU111" i="14"/>
  <c r="CU96" i="14" s="1"/>
  <c r="DM119" i="33"/>
  <c r="CU8" i="15"/>
  <c r="CU32" i="15" s="1"/>
  <c r="DM79" i="33"/>
  <c r="U63" i="33"/>
  <c r="U151" i="33"/>
  <c r="U118" i="33"/>
  <c r="U100" i="33"/>
  <c r="CA87" i="14"/>
  <c r="CA88" i="14"/>
  <c r="CL95" i="33"/>
  <c r="BV85" i="14" s="1"/>
  <c r="BV89" i="14" s="1"/>
  <c r="BV84" i="14"/>
  <c r="BY84" i="14"/>
  <c r="CN94" i="33"/>
  <c r="O10" i="64"/>
  <c r="O33" i="64"/>
  <c r="CR78" i="15"/>
  <c r="CR76" i="15"/>
  <c r="O86" i="14"/>
  <c r="O90" i="14" s="1"/>
  <c r="O100" i="33"/>
  <c r="X665" i="12"/>
  <c r="X667" i="12"/>
  <c r="X16" i="48" s="1"/>
  <c r="BZ71" i="48"/>
  <c r="DN100" i="33"/>
  <c r="AH23" i="77" s="1"/>
  <c r="DN118" i="33"/>
  <c r="DN63" i="33"/>
  <c r="DN151" i="33"/>
  <c r="CH103" i="15"/>
  <c r="CH105" i="15" s="1"/>
  <c r="CH107" i="15" s="1"/>
  <c r="CH74" i="15"/>
  <c r="BY30" i="48"/>
  <c r="CH83" i="15"/>
  <c r="CH88" i="15" s="1"/>
  <c r="CH90" i="15" s="1"/>
  <c r="CH92" i="15" s="1"/>
  <c r="CH68" i="15"/>
  <c r="DL79" i="33"/>
  <c r="CT111" i="14"/>
  <c r="CT96" i="14" s="1"/>
  <c r="DL78" i="33"/>
  <c r="DL67" i="33"/>
  <c r="CT179" i="15" s="1"/>
  <c r="DM168" i="33"/>
  <c r="CT8" i="15"/>
  <c r="DL119" i="33"/>
  <c r="DL152" i="33"/>
  <c r="DL168" i="33"/>
  <c r="CN97" i="33"/>
  <c r="CL98" i="33"/>
  <c r="CL118" i="33"/>
  <c r="CL63" i="33"/>
  <c r="CL151" i="33"/>
  <c r="CL100" i="33"/>
  <c r="H23" i="77" s="1"/>
  <c r="BT70" i="48"/>
  <c r="BT73" i="48"/>
  <c r="DM73" i="33"/>
  <c r="CR222" i="15"/>
  <c r="AD24" i="77" s="1"/>
  <c r="CR227" i="15"/>
  <c r="O84" i="14"/>
  <c r="O95" i="33"/>
  <c r="O85" i="14" s="1"/>
  <c r="O89" i="14" s="1"/>
  <c r="O55" i="33"/>
  <c r="O48" i="33"/>
  <c r="O150" i="33"/>
  <c r="G30" i="53"/>
  <c r="G34" i="53" s="1"/>
  <c r="O116" i="33"/>
  <c r="E197" i="66"/>
  <c r="E90" i="66"/>
  <c r="Y625" i="12"/>
  <c r="Y38" i="80"/>
  <c r="Y39" i="80" s="1"/>
  <c r="Y14" i="64"/>
  <c r="DD75" i="33"/>
  <c r="DD80" i="33" s="1"/>
  <c r="DN167" i="33"/>
  <c r="U69" i="33"/>
  <c r="U70" i="33"/>
  <c r="U71" i="33"/>
  <c r="U72" i="33"/>
  <c r="CL69" i="33"/>
  <c r="CL72" i="33"/>
  <c r="CL71" i="33"/>
  <c r="CL70" i="33"/>
  <c r="O94" i="15"/>
  <c r="O14" i="90"/>
  <c r="O166" i="33"/>
  <c r="CR198" i="15"/>
  <c r="CR185" i="15"/>
  <c r="M44" i="53"/>
  <c r="M47" i="53"/>
  <c r="X683" i="12"/>
  <c r="X681" i="12"/>
  <c r="V105" i="71"/>
  <c r="V106" i="71" s="1"/>
  <c r="Y24" i="80"/>
  <c r="Y25" i="80" s="1"/>
  <c r="Y250" i="12"/>
  <c r="Y12" i="64"/>
  <c r="Y380" i="12"/>
  <c r="U308" i="71"/>
  <c r="U309" i="71" s="1"/>
  <c r="U310" i="71"/>
  <c r="U311" i="71" s="1"/>
  <c r="X379" i="12"/>
  <c r="X381" i="12"/>
  <c r="X9" i="80"/>
  <c r="X10" i="80" s="1"/>
  <c r="X698" i="12"/>
  <c r="W30" i="80"/>
  <c r="W31" i="80" s="1"/>
  <c r="V103" i="71"/>
  <c r="V104" i="71" s="1"/>
  <c r="CK366" i="90"/>
  <c r="CM300" i="90"/>
  <c r="CM302" i="90" s="1"/>
  <c r="AD232" i="12" l="1"/>
  <c r="D79" i="52"/>
  <c r="D110" i="52"/>
  <c r="I108" i="52"/>
  <c r="I77" i="52"/>
  <c r="BU20" i="90"/>
  <c r="BU22" i="90" s="1"/>
  <c r="BT309" i="90"/>
  <c r="BT310" i="90" s="1"/>
  <c r="AD493" i="12"/>
  <c r="AD11" i="12" s="1"/>
  <c r="AC11" i="12"/>
  <c r="AB11" i="33"/>
  <c r="AB141" i="33" s="1"/>
  <c r="AB44" i="12"/>
  <c r="CR231" i="12"/>
  <c r="CS165" i="12"/>
  <c r="Z360" i="90"/>
  <c r="AA258" i="90"/>
  <c r="AA260" i="90" s="1"/>
  <c r="AB250" i="12"/>
  <c r="AB248" i="12"/>
  <c r="AB380" i="12"/>
  <c r="CG41" i="90"/>
  <c r="O20" i="90"/>
  <c r="O21" i="90" s="1"/>
  <c r="N309" i="90"/>
  <c r="N310" i="90" s="1"/>
  <c r="R219" i="90"/>
  <c r="S218" i="90"/>
  <c r="AB70" i="14"/>
  <c r="AA97" i="14"/>
  <c r="AD492" i="12"/>
  <c r="AD10" i="12" s="1"/>
  <c r="AC10" i="12"/>
  <c r="AC230" i="12"/>
  <c r="AD230" i="12"/>
  <c r="AC232" i="12"/>
  <c r="AC252" i="12"/>
  <c r="AC249" i="12" s="1"/>
  <c r="AC254" i="12"/>
  <c r="AC256" i="12"/>
  <c r="AD255" i="12"/>
  <c r="AD63" i="90"/>
  <c r="AD65" i="90" s="1"/>
  <c r="AD320" i="90" s="1"/>
  <c r="CL26" i="90"/>
  <c r="CK28" i="90"/>
  <c r="T28" i="90" s="1"/>
  <c r="CK318" i="90"/>
  <c r="CK317" i="90" s="1"/>
  <c r="CL29" i="90"/>
  <c r="T29" i="90"/>
  <c r="U26" i="90" s="1"/>
  <c r="CJ220" i="90"/>
  <c r="I107" i="52"/>
  <c r="J106" i="52"/>
  <c r="CV266" i="90"/>
  <c r="BX33" i="90"/>
  <c r="BW35" i="90"/>
  <c r="O35" i="90" s="1"/>
  <c r="AB12" i="33"/>
  <c r="AB142" i="33" s="1"/>
  <c r="AB45" i="12"/>
  <c r="CQ230" i="12"/>
  <c r="CQ232" i="12"/>
  <c r="AA700" i="12"/>
  <c r="AA701" i="12" s="1"/>
  <c r="CS355" i="90"/>
  <c r="CT246" i="90"/>
  <c r="CT248" i="90" s="1"/>
  <c r="CH338" i="90"/>
  <c r="CI183" i="90"/>
  <c r="CI185" i="90" s="1"/>
  <c r="CU209" i="90"/>
  <c r="CE140" i="90"/>
  <c r="CH111" i="90"/>
  <c r="CH113" i="90" s="1"/>
  <c r="CH325" i="90" s="1"/>
  <c r="Z248" i="12"/>
  <c r="AA248" i="12"/>
  <c r="AA250" i="12"/>
  <c r="AA380" i="12"/>
  <c r="AC630" i="12"/>
  <c r="AD629" i="12"/>
  <c r="AC627" i="12"/>
  <c r="AC624" i="12" s="1"/>
  <c r="AC625" i="12" s="1"/>
  <c r="AC628" i="12"/>
  <c r="AB625" i="12"/>
  <c r="AB623" i="12"/>
  <c r="AD476" i="12"/>
  <c r="AD474" i="12"/>
  <c r="AD472" i="12"/>
  <c r="AA696" i="12"/>
  <c r="AD412" i="12"/>
  <c r="AD695" i="12" s="1"/>
  <c r="AC695" i="12"/>
  <c r="AB120" i="14"/>
  <c r="AB696" i="12"/>
  <c r="AB700" i="12"/>
  <c r="AB701" i="12" s="1"/>
  <c r="AB467" i="12"/>
  <c r="AB465" i="12"/>
  <c r="AB464" i="12"/>
  <c r="AB461" i="12" s="1"/>
  <c r="AB460" i="12" s="1"/>
  <c r="AA697" i="12"/>
  <c r="AC278" i="12"/>
  <c r="AB275" i="12"/>
  <c r="AB277" i="12"/>
  <c r="AB279" i="12"/>
  <c r="AC68" i="14"/>
  <c r="AB100" i="14"/>
  <c r="AC634" i="12"/>
  <c r="AB471" i="12"/>
  <c r="Y101" i="71"/>
  <c r="Y102" i="71" s="1"/>
  <c r="AA274" i="12"/>
  <c r="W178" i="90"/>
  <c r="W180" i="90" s="1"/>
  <c r="X178" i="90" s="1"/>
  <c r="X180" i="90" s="1"/>
  <c r="Y178" i="90" s="1"/>
  <c r="Y180" i="90" s="1"/>
  <c r="Z178" i="90" s="1"/>
  <c r="Z180" i="90" s="1"/>
  <c r="AA178" i="90" s="1"/>
  <c r="AA180" i="90" s="1"/>
  <c r="AB178" i="90" s="1"/>
  <c r="AB180" i="90" s="1"/>
  <c r="AC178" i="90" s="1"/>
  <c r="AC180" i="90" s="1"/>
  <c r="AD178" i="90" s="1"/>
  <c r="AD180" i="90" s="1"/>
  <c r="K75" i="33"/>
  <c r="K80" i="33" s="1"/>
  <c r="CF78" i="15"/>
  <c r="CF81" i="15" s="1"/>
  <c r="CF76" i="15"/>
  <c r="M75" i="33"/>
  <c r="M80" i="33" s="1"/>
  <c r="BY118" i="33"/>
  <c r="BY80" i="33"/>
  <c r="CO212" i="33"/>
  <c r="CO214" i="33"/>
  <c r="CO195" i="33" s="1"/>
  <c r="CO216" i="33"/>
  <c r="AN95" i="14"/>
  <c r="AN102" i="14" s="1"/>
  <c r="AM103" i="14"/>
  <c r="CA80" i="33"/>
  <c r="CA118" i="33"/>
  <c r="CN222" i="33"/>
  <c r="CN223" i="33" s="1"/>
  <c r="CM223" i="33"/>
  <c r="BQ80" i="33"/>
  <c r="BQ118" i="33"/>
  <c r="BL118" i="33"/>
  <c r="BL80" i="33"/>
  <c r="BT80" i="33"/>
  <c r="BT118" i="33"/>
  <c r="BO80" i="33"/>
  <c r="BO118" i="33"/>
  <c r="CM199" i="33"/>
  <c r="CN197" i="33"/>
  <c r="CN199" i="33" s="1"/>
  <c r="G167" i="33"/>
  <c r="CD80" i="33"/>
  <c r="CD118" i="33"/>
  <c r="O213" i="33"/>
  <c r="O218" i="33"/>
  <c r="P211" i="33" s="1"/>
  <c r="O197" i="33"/>
  <c r="O198" i="33"/>
  <c r="G95" i="14"/>
  <c r="G102" i="14" s="1"/>
  <c r="F103" i="14"/>
  <c r="Z27" i="80"/>
  <c r="Z28" i="80" s="1"/>
  <c r="X102" i="71"/>
  <c r="Y28" i="80"/>
  <c r="DR13" i="33"/>
  <c r="DR15" i="33" s="1"/>
  <c r="BJ12" i="77" s="1"/>
  <c r="Z6" i="80"/>
  <c r="Z7" i="80" s="1"/>
  <c r="Z24" i="64"/>
  <c r="Z696" i="12"/>
  <c r="Z700" i="12"/>
  <c r="Z701" i="12" s="1"/>
  <c r="Z120" i="14"/>
  <c r="Z121" i="14" s="1"/>
  <c r="Z124" i="14" s="1"/>
  <c r="Z702" i="12" s="1"/>
  <c r="Y25" i="64"/>
  <c r="Y30" i="64"/>
  <c r="CD90" i="14"/>
  <c r="N78" i="66"/>
  <c r="CE64" i="14"/>
  <c r="CD71" i="14"/>
  <c r="CD73" i="14" s="1"/>
  <c r="Q164" i="33"/>
  <c r="K167" i="33"/>
  <c r="L167" i="33"/>
  <c r="V108" i="71"/>
  <c r="V109" i="71" s="1"/>
  <c r="X387" i="12"/>
  <c r="W108" i="71" s="1"/>
  <c r="W509" i="12"/>
  <c r="W515" i="12"/>
  <c r="W516" i="12" s="1"/>
  <c r="W825" i="12"/>
  <c r="W826" i="12" s="1"/>
  <c r="DS140" i="33"/>
  <c r="DC660" i="12"/>
  <c r="W660" i="12" s="1"/>
  <c r="W661" i="12"/>
  <c r="W689" i="12" s="1"/>
  <c r="T239" i="12"/>
  <c r="DC515" i="12"/>
  <c r="DC517" i="12" s="1"/>
  <c r="DS156" i="33"/>
  <c r="DR140" i="33"/>
  <c r="DR156" i="33"/>
  <c r="DR139" i="33"/>
  <c r="CZ822" i="12"/>
  <c r="CZ828" i="12" s="1"/>
  <c r="CZ14" i="12"/>
  <c r="CZ46" i="12"/>
  <c r="DA819" i="12"/>
  <c r="DC509" i="12"/>
  <c r="DC825" i="12"/>
  <c r="DC826" i="12" s="1"/>
  <c r="DB516" i="12"/>
  <c r="DB517" i="12"/>
  <c r="DB491" i="12"/>
  <c r="DA43" i="12"/>
  <c r="DA51" i="12"/>
  <c r="DA827" i="12"/>
  <c r="CG74" i="15"/>
  <c r="CG76" i="15" s="1"/>
  <c r="CG103" i="15"/>
  <c r="CG105" i="15" s="1"/>
  <c r="CG107" i="15" s="1"/>
  <c r="S73" i="33"/>
  <c r="CG83" i="15"/>
  <c r="CG88" i="15" s="1"/>
  <c r="CG90" i="15" s="1"/>
  <c r="CG92" i="15" s="1"/>
  <c r="BX30" i="48"/>
  <c r="AN152" i="33"/>
  <c r="S119" i="33"/>
  <c r="S79" i="33"/>
  <c r="S67" i="33"/>
  <c r="S78" i="33"/>
  <c r="S167" i="33" s="1"/>
  <c r="S111" i="14"/>
  <c r="S96" i="14" s="1"/>
  <c r="T152" i="33"/>
  <c r="DB73" i="33"/>
  <c r="CG216" i="15"/>
  <c r="CG227" i="15" s="1"/>
  <c r="R179" i="15"/>
  <c r="R184" i="15" s="1"/>
  <c r="R190" i="15" s="1"/>
  <c r="R216" i="15" s="1"/>
  <c r="R222" i="15" s="1"/>
  <c r="U239" i="12"/>
  <c r="DG152" i="33"/>
  <c r="CJ240" i="12"/>
  <c r="CJ239" i="12" s="1"/>
  <c r="V239" i="12" s="1"/>
  <c r="CK166" i="12"/>
  <c r="W166" i="12" s="1"/>
  <c r="V166" i="12"/>
  <c r="U240" i="12"/>
  <c r="CI241" i="12"/>
  <c r="T241" i="12"/>
  <c r="T242" i="12"/>
  <c r="DB234" i="33"/>
  <c r="DB79" i="33"/>
  <c r="DC168" i="33"/>
  <c r="DB67" i="33"/>
  <c r="CJ8" i="15"/>
  <c r="DB78" i="33"/>
  <c r="DB119" i="33"/>
  <c r="CJ111" i="14"/>
  <c r="CJ96" i="14" s="1"/>
  <c r="DB152" i="33"/>
  <c r="DI75" i="33"/>
  <c r="DI80" i="33" s="1"/>
  <c r="R8" i="15"/>
  <c r="R32" i="15" s="1"/>
  <c r="R103" i="15" s="1"/>
  <c r="R105" i="15" s="1"/>
  <c r="R107" i="15" s="1"/>
  <c r="CF75" i="33"/>
  <c r="CF80" i="33" s="1"/>
  <c r="DG75" i="33"/>
  <c r="DG80" i="33" s="1"/>
  <c r="CG75" i="33"/>
  <c r="CQ74" i="15"/>
  <c r="CQ68" i="15"/>
  <c r="CQ83" i="15"/>
  <c r="CQ88" i="15" s="1"/>
  <c r="CQ90" i="15" s="1"/>
  <c r="CQ92" i="15" s="1"/>
  <c r="CQ103" i="15"/>
  <c r="CQ105" i="15" s="1"/>
  <c r="CQ107" i="15" s="1"/>
  <c r="CO32" i="15"/>
  <c r="T8" i="15"/>
  <c r="T32" i="15" s="1"/>
  <c r="CQ190" i="15"/>
  <c r="CQ191" i="15" s="1"/>
  <c r="CQ216" i="15"/>
  <c r="CQ217" i="15" s="1"/>
  <c r="CQ195" i="15"/>
  <c r="CQ186" i="15"/>
  <c r="CR186" i="15"/>
  <c r="CK222" i="15"/>
  <c r="CK227" i="15"/>
  <c r="DK75" i="33"/>
  <c r="DK80" i="33" s="1"/>
  <c r="CK76" i="15"/>
  <c r="CK78" i="15"/>
  <c r="CK81" i="15" s="1"/>
  <c r="CP227" i="15"/>
  <c r="CP222" i="15"/>
  <c r="CI195" i="15"/>
  <c r="R195" i="15" s="1"/>
  <c r="CI216" i="15"/>
  <c r="CI190" i="15"/>
  <c r="CI198" i="15" s="1"/>
  <c r="R198" i="15" s="1"/>
  <c r="CP78" i="15"/>
  <c r="CP81" i="15" s="1"/>
  <c r="CP76" i="15"/>
  <c r="CI83" i="15"/>
  <c r="CI88" i="15" s="1"/>
  <c r="CI90" i="15" s="1"/>
  <c r="CI92" i="15" s="1"/>
  <c r="CI74" i="15"/>
  <c r="CI103" i="15"/>
  <c r="CI105" i="15" s="1"/>
  <c r="CI107" i="15" s="1"/>
  <c r="CI68" i="15"/>
  <c r="BZ30" i="48"/>
  <c r="CO184" i="15"/>
  <c r="T179" i="15"/>
  <c r="T184" i="15" s="1"/>
  <c r="CP198" i="15"/>
  <c r="DA75" i="33"/>
  <c r="DA80" i="33" s="1"/>
  <c r="CY75" i="33"/>
  <c r="CY80" i="33" s="1"/>
  <c r="CS103" i="15"/>
  <c r="CS105" i="15" s="1"/>
  <c r="CS107" i="15" s="1"/>
  <c r="CS68" i="15"/>
  <c r="CS83" i="15"/>
  <c r="CS88" i="15" s="1"/>
  <c r="CS90" i="15" s="1"/>
  <c r="CS92" i="15" s="1"/>
  <c r="CS74" i="15"/>
  <c r="R24" i="77"/>
  <c r="CF230" i="15"/>
  <c r="R25" i="77" s="1"/>
  <c r="U244" i="71"/>
  <c r="CS185" i="15"/>
  <c r="CS216" i="15"/>
  <c r="CS195" i="15"/>
  <c r="CS190" i="15"/>
  <c r="CS186" i="15"/>
  <c r="CF118" i="33"/>
  <c r="CJ75" i="33"/>
  <c r="CJ80" i="33" s="1"/>
  <c r="BP86" i="14"/>
  <c r="BP90" i="14" s="1"/>
  <c r="CI99" i="33"/>
  <c r="CM227" i="15"/>
  <c r="CM222" i="15"/>
  <c r="N69" i="33"/>
  <c r="N73" i="33" s="1"/>
  <c r="CI73" i="33"/>
  <c r="EC254" i="48"/>
  <c r="EF254" i="48"/>
  <c r="CE75" i="33"/>
  <c r="N151" i="33"/>
  <c r="N118" i="33"/>
  <c r="N63" i="33"/>
  <c r="CE68" i="15"/>
  <c r="CE74" i="15"/>
  <c r="BV30" i="48"/>
  <c r="CE83" i="15"/>
  <c r="CE88" i="15" s="1"/>
  <c r="CE90" i="15" s="1"/>
  <c r="CE92" i="15" s="1"/>
  <c r="CE103" i="15"/>
  <c r="CE105" i="15" s="1"/>
  <c r="CE107" i="15" s="1"/>
  <c r="CM198" i="15"/>
  <c r="BT68" i="15"/>
  <c r="BT74" i="15"/>
  <c r="BT83" i="15"/>
  <c r="BT88" i="15" s="1"/>
  <c r="BT90" i="15" s="1"/>
  <c r="BT92" i="15" s="1"/>
  <c r="BK30" i="48"/>
  <c r="CI119" i="33"/>
  <c r="CI168" i="33"/>
  <c r="CI67" i="33"/>
  <c r="CI78" i="33"/>
  <c r="CI152" i="33"/>
  <c r="CI79" i="33"/>
  <c r="CM76" i="15"/>
  <c r="CM78" i="15"/>
  <c r="CM81" i="15" s="1"/>
  <c r="CW75" i="33"/>
  <c r="CW80" i="33" s="1"/>
  <c r="Q148" i="33"/>
  <c r="M108" i="52"/>
  <c r="N76" i="52"/>
  <c r="M77" i="52"/>
  <c r="CU139" i="90"/>
  <c r="CI173" i="90"/>
  <c r="CI175" i="90" s="1"/>
  <c r="CI200" i="14"/>
  <c r="CH202" i="14"/>
  <c r="CH203" i="14" s="1"/>
  <c r="X63" i="52"/>
  <c r="R200" i="90"/>
  <c r="CJ198" i="90"/>
  <c r="CJ200" i="90" s="1"/>
  <c r="CJ341" i="90" s="1"/>
  <c r="Q159" i="90"/>
  <c r="R158" i="90"/>
  <c r="CM94" i="90"/>
  <c r="CM95" i="90" s="1"/>
  <c r="CK203" i="90"/>
  <c r="CK205" i="90" s="1"/>
  <c r="S68" i="52"/>
  <c r="R100" i="52"/>
  <c r="CM327" i="90"/>
  <c r="T66" i="52"/>
  <c r="S98" i="52"/>
  <c r="BD112" i="14"/>
  <c r="BD15" i="14"/>
  <c r="BD28" i="14" s="1"/>
  <c r="BD75" i="14" s="1"/>
  <c r="X153" i="90"/>
  <c r="X155" i="90" s="1"/>
  <c r="CG168" i="90"/>
  <c r="CG170" i="90" s="1"/>
  <c r="CG335" i="90" s="1"/>
  <c r="CX258" i="90"/>
  <c r="CX260" i="90" s="1"/>
  <c r="CX360" i="90"/>
  <c r="CB69" i="90"/>
  <c r="CB71" i="90" s="1"/>
  <c r="CB321" i="90"/>
  <c r="Q101" i="52"/>
  <c r="R69" i="52"/>
  <c r="CO197" i="33"/>
  <c r="CO198" i="33"/>
  <c r="CD81" i="90"/>
  <c r="CC323" i="90"/>
  <c r="CW264" i="90"/>
  <c r="CV361" i="90"/>
  <c r="X62" i="52"/>
  <c r="W94" i="52"/>
  <c r="X93" i="52"/>
  <c r="AT34" i="48"/>
  <c r="AT36" i="48" s="1"/>
  <c r="BC15" i="90"/>
  <c r="R204" i="90"/>
  <c r="S203" i="90"/>
  <c r="N69" i="15"/>
  <c r="N70" i="15" s="1"/>
  <c r="M8" i="14"/>
  <c r="V77" i="90"/>
  <c r="W75" i="90" s="1"/>
  <c r="CH75" i="90"/>
  <c r="CH77" i="90" s="1"/>
  <c r="W77" i="90" s="1"/>
  <c r="CI213" i="90"/>
  <c r="CI215" i="90" s="1"/>
  <c r="CI344" i="90" s="1"/>
  <c r="BF69" i="15"/>
  <c r="BF70" i="15" s="1"/>
  <c r="BE8" i="14"/>
  <c r="Q169" i="90"/>
  <c r="R168" i="90"/>
  <c r="CI117" i="90"/>
  <c r="CI119" i="90" s="1"/>
  <c r="CI326" i="90" s="1"/>
  <c r="Q71" i="52"/>
  <c r="P103" i="52"/>
  <c r="Y59" i="52"/>
  <c r="Y91" i="52" s="1"/>
  <c r="X91" i="52"/>
  <c r="Y90" i="52"/>
  <c r="X133" i="90"/>
  <c r="X135" i="90" s="1"/>
  <c r="X328" i="90" s="1"/>
  <c r="P104" i="52"/>
  <c r="Q72" i="52"/>
  <c r="N107" i="52"/>
  <c r="O75" i="52"/>
  <c r="D96" i="65"/>
  <c r="D92" i="65" s="1"/>
  <c r="D89" i="65" s="1"/>
  <c r="D71" i="65"/>
  <c r="CF148" i="90"/>
  <c r="CF150" i="90" s="1"/>
  <c r="CF331" i="90" s="1"/>
  <c r="Q150" i="90"/>
  <c r="CP89" i="90"/>
  <c r="V87" i="90"/>
  <c r="X188" i="90"/>
  <c r="X190" i="90" s="1"/>
  <c r="X339" i="90" s="1"/>
  <c r="CI193" i="90"/>
  <c r="CI195" i="90" s="1"/>
  <c r="CI340" i="90" s="1"/>
  <c r="CJ47" i="90"/>
  <c r="L112" i="14"/>
  <c r="L15" i="14"/>
  <c r="L28" i="14" s="1"/>
  <c r="L75" i="14" s="1"/>
  <c r="E76" i="65"/>
  <c r="E74" i="65" s="1"/>
  <c r="E73" i="65" s="1"/>
  <c r="V75" i="90"/>
  <c r="U76" i="90"/>
  <c r="Y143" i="90"/>
  <c r="Y145" i="90" s="1"/>
  <c r="Y330" i="90" s="1"/>
  <c r="CH208" i="90"/>
  <c r="CH210" i="90" s="1"/>
  <c r="CH343" i="90" s="1"/>
  <c r="CQ51" i="90"/>
  <c r="CQ52" i="90"/>
  <c r="T67" i="52"/>
  <c r="S99" i="52"/>
  <c r="L109" i="52"/>
  <c r="L78" i="52"/>
  <c r="CW34" i="90"/>
  <c r="CW32" i="90"/>
  <c r="H111" i="52"/>
  <c r="G81" i="52"/>
  <c r="C69" i="65"/>
  <c r="F80" i="52"/>
  <c r="G110" i="52"/>
  <c r="CU159" i="90"/>
  <c r="CV159" i="90" s="1"/>
  <c r="CW159" i="90" s="1"/>
  <c r="CX159" i="90" s="1"/>
  <c r="CY159" i="90" s="1"/>
  <c r="CZ159" i="90" s="1"/>
  <c r="EE69" i="15"/>
  <c r="ED70" i="15"/>
  <c r="K15" i="90"/>
  <c r="K115" i="14"/>
  <c r="CE331" i="90"/>
  <c r="CG158" i="90"/>
  <c r="CG160" i="90" s="1"/>
  <c r="Q70" i="52"/>
  <c r="P102" i="52"/>
  <c r="CH340" i="90"/>
  <c r="CG63" i="90"/>
  <c r="CG65" i="90" s="1"/>
  <c r="J108" i="52"/>
  <c r="K107" i="52"/>
  <c r="J77" i="52"/>
  <c r="CG322" i="90"/>
  <c r="O106" i="52"/>
  <c r="P74" i="52"/>
  <c r="X330" i="90"/>
  <c r="P73" i="52"/>
  <c r="O105" i="52"/>
  <c r="CG343" i="90"/>
  <c r="U65" i="52"/>
  <c r="T97" i="52"/>
  <c r="T254" i="90"/>
  <c r="CR252" i="90"/>
  <c r="CR254" i="90" s="1"/>
  <c r="CR359" i="90" s="1"/>
  <c r="V64" i="52"/>
  <c r="U96" i="52"/>
  <c r="Z163" i="90"/>
  <c r="Z165" i="90" s="1"/>
  <c r="E109" i="52"/>
  <c r="F108" i="52"/>
  <c r="E78" i="52"/>
  <c r="Y79" i="71"/>
  <c r="Z624" i="12"/>
  <c r="V235" i="71"/>
  <c r="V236" i="71" s="1"/>
  <c r="AT364" i="58"/>
  <c r="AT362" i="58"/>
  <c r="X377" i="12"/>
  <c r="X376" i="12" s="1"/>
  <c r="W103" i="71" s="1"/>
  <c r="W104" i="71" s="1"/>
  <c r="X679" i="12"/>
  <c r="Z464" i="12"/>
  <c r="Z461" i="12" s="1"/>
  <c r="AA460" i="12" s="1"/>
  <c r="AA494" i="12" s="1"/>
  <c r="U346" i="12"/>
  <c r="U353" i="12" s="1"/>
  <c r="U354" i="12" s="1"/>
  <c r="CI353" i="12"/>
  <c r="CI347" i="12"/>
  <c r="CJ346" i="12"/>
  <c r="CH354" i="12"/>
  <c r="CH355" i="12"/>
  <c r="CJ206" i="14"/>
  <c r="CJ209" i="14" s="1"/>
  <c r="CI194" i="14"/>
  <c r="R194" i="14" s="1"/>
  <c r="CM79" i="14"/>
  <c r="CM87" i="14" s="1"/>
  <c r="CL80" i="14"/>
  <c r="CM81" i="14" s="1"/>
  <c r="CN89" i="14" s="1"/>
  <c r="V124" i="52"/>
  <c r="CM78" i="14"/>
  <c r="CM88" i="14" s="1"/>
  <c r="S25" i="14"/>
  <c r="CV30" i="33"/>
  <c r="L237" i="66"/>
  <c r="L189" i="66"/>
  <c r="L94" i="66" s="1"/>
  <c r="L92" i="66" s="1"/>
  <c r="CU47" i="33"/>
  <c r="CS36" i="33"/>
  <c r="CS47" i="33"/>
  <c r="H190" i="65"/>
  <c r="H95" i="65" s="1"/>
  <c r="H93" i="65" s="1"/>
  <c r="H238" i="65"/>
  <c r="CV114" i="33"/>
  <c r="DA148" i="33"/>
  <c r="CV41" i="33"/>
  <c r="CV148" i="33"/>
  <c r="AL148" i="33"/>
  <c r="Q41" i="33"/>
  <c r="Q114" i="33"/>
  <c r="R40" i="33"/>
  <c r="R164" i="33"/>
  <c r="R148" i="33"/>
  <c r="Q100" i="33"/>
  <c r="Q86" i="14"/>
  <c r="Q90" i="14" s="1"/>
  <c r="CT61" i="33"/>
  <c r="CT58" i="33"/>
  <c r="R75" i="33"/>
  <c r="R80" i="33" s="1"/>
  <c r="DM75" i="33"/>
  <c r="DM80" i="33" s="1"/>
  <c r="H38" i="65"/>
  <c r="V9" i="65" s="1"/>
  <c r="X27" i="64"/>
  <c r="X29" i="64"/>
  <c r="X16" i="64"/>
  <c r="X495" i="12"/>
  <c r="X497" i="12"/>
  <c r="T17" i="48" s="1"/>
  <c r="T18" i="48" s="1"/>
  <c r="Y512" i="12"/>
  <c r="Y52" i="80"/>
  <c r="Y53" i="80" s="1"/>
  <c r="Y462" i="12"/>
  <c r="Y13" i="64"/>
  <c r="Y15" i="64" s="1"/>
  <c r="Y460" i="12"/>
  <c r="Y494" i="12" s="1"/>
  <c r="Y697" i="12"/>
  <c r="Y698" i="12" s="1"/>
  <c r="X511" i="12"/>
  <c r="X513" i="12"/>
  <c r="CH368" i="12"/>
  <c r="CI361" i="12"/>
  <c r="T361" i="12"/>
  <c r="T368" i="12" s="1"/>
  <c r="CR63" i="33"/>
  <c r="CR152" i="33" s="1"/>
  <c r="CR100" i="33"/>
  <c r="M23" i="77" s="1"/>
  <c r="CR118" i="33"/>
  <c r="CW151" i="33"/>
  <c r="CR69" i="33"/>
  <c r="CR72" i="33"/>
  <c r="CR71" i="33"/>
  <c r="CR70" i="33"/>
  <c r="DZ309" i="48"/>
  <c r="DZ308" i="48"/>
  <c r="DN73" i="33"/>
  <c r="O214" i="66"/>
  <c r="CM100" i="33"/>
  <c r="I23" i="77" s="1"/>
  <c r="CM118" i="33"/>
  <c r="CM63" i="33"/>
  <c r="CM168" i="33" s="1"/>
  <c r="CM151" i="33"/>
  <c r="CO167" i="33"/>
  <c r="CO95" i="33"/>
  <c r="BX85" i="14" s="1"/>
  <c r="BX89" i="14" s="1"/>
  <c r="CB84" i="14"/>
  <c r="BX84" i="14"/>
  <c r="CS94" i="33"/>
  <c r="P33" i="64"/>
  <c r="P10" i="64"/>
  <c r="CK70" i="33"/>
  <c r="CK72" i="33"/>
  <c r="CK71" i="33"/>
  <c r="CK69" i="33"/>
  <c r="CO118" i="33"/>
  <c r="CO63" i="33"/>
  <c r="CO100" i="33"/>
  <c r="J23" i="77" s="1"/>
  <c r="CP167" i="33"/>
  <c r="CO151" i="33"/>
  <c r="CB82" i="14"/>
  <c r="CS93" i="33"/>
  <c r="CF83" i="14" s="1"/>
  <c r="P166" i="33"/>
  <c r="P48" i="33"/>
  <c r="P116" i="33"/>
  <c r="P55" i="33"/>
  <c r="P65" i="80"/>
  <c r="P67" i="80" s="1"/>
  <c r="H30" i="53"/>
  <c r="H34" i="53" s="1"/>
  <c r="W9" i="66"/>
  <c r="U10" i="66" s="1"/>
  <c r="V12" i="66"/>
  <c r="CM72" i="33"/>
  <c r="CM71" i="33"/>
  <c r="CM70" i="33"/>
  <c r="CM69" i="33"/>
  <c r="CS97" i="33"/>
  <c r="CO98" i="33"/>
  <c r="CB83" i="14"/>
  <c r="BX83" i="14"/>
  <c r="CP78" i="33"/>
  <c r="CP119" i="33"/>
  <c r="CP152" i="33"/>
  <c r="CP79" i="33"/>
  <c r="CP67" i="33"/>
  <c r="BY8" i="15"/>
  <c r="BY32" i="15" s="1"/>
  <c r="BY111" i="14"/>
  <c r="BY96" i="14" s="1"/>
  <c r="CR167" i="33"/>
  <c r="CQ151" i="33"/>
  <c r="CQ63" i="33"/>
  <c r="CQ118" i="33"/>
  <c r="CQ100" i="33"/>
  <c r="CK167" i="33"/>
  <c r="CK118" i="33"/>
  <c r="CK100" i="33"/>
  <c r="G23" i="77" s="1"/>
  <c r="CK151" i="33"/>
  <c r="CK63" i="33"/>
  <c r="CL168" i="33" s="1"/>
  <c r="CO71" i="33"/>
  <c r="CO72" i="33"/>
  <c r="CO70" i="33"/>
  <c r="CO69" i="33"/>
  <c r="CQ70" i="33"/>
  <c r="CQ72" i="33"/>
  <c r="CQ71" i="33"/>
  <c r="CQ69" i="33"/>
  <c r="CP73" i="33"/>
  <c r="P94" i="15"/>
  <c r="P14" i="90"/>
  <c r="U234" i="33"/>
  <c r="U235" i="33" s="1"/>
  <c r="V233" i="33" s="1"/>
  <c r="O61" i="33"/>
  <c r="O58" i="33"/>
  <c r="DJ175" i="33"/>
  <c r="CR230" i="15"/>
  <c r="AD25" i="77" s="1"/>
  <c r="CL99" i="33"/>
  <c r="CN98" i="33"/>
  <c r="U152" i="33"/>
  <c r="U79" i="33"/>
  <c r="U67" i="33"/>
  <c r="U111" i="14"/>
  <c r="U96" i="14" s="1"/>
  <c r="U78" i="33"/>
  <c r="U119" i="33"/>
  <c r="R128" i="15"/>
  <c r="R139" i="15" s="1"/>
  <c r="R124" i="15"/>
  <c r="CL198" i="15"/>
  <c r="CL192" i="15"/>
  <c r="CP191" i="15"/>
  <c r="CM192" i="15"/>
  <c r="BY87" i="14"/>
  <c r="BY88" i="14"/>
  <c r="Y681" i="12"/>
  <c r="Y683" i="12"/>
  <c r="G208" i="65"/>
  <c r="G38" i="65"/>
  <c r="O99" i="15"/>
  <c r="O101" i="15" s="1"/>
  <c r="O97" i="15"/>
  <c r="CL73" i="33"/>
  <c r="R83" i="15"/>
  <c r="R88" i="15" s="1"/>
  <c r="R90" i="15" s="1"/>
  <c r="R92" i="15" s="1"/>
  <c r="R74" i="15"/>
  <c r="G37" i="53"/>
  <c r="G43" i="53"/>
  <c r="G44" i="53" s="1"/>
  <c r="G118" i="53"/>
  <c r="G149" i="53" s="1"/>
  <c r="G35" i="53"/>
  <c r="T34" i="53"/>
  <c r="CT32" i="15"/>
  <c r="U8" i="15"/>
  <c r="U32" i="15" s="1"/>
  <c r="DN67" i="33"/>
  <c r="CV179" i="15" s="1"/>
  <c r="CV184" i="15" s="1"/>
  <c r="DN152" i="33"/>
  <c r="DN79" i="33"/>
  <c r="DN78" i="33"/>
  <c r="CV8" i="15"/>
  <c r="CV32" i="15" s="1"/>
  <c r="DN119" i="33"/>
  <c r="CV111" i="14"/>
  <c r="CV96" i="14" s="1"/>
  <c r="DN168" i="33"/>
  <c r="CU195" i="15"/>
  <c r="CU185" i="15"/>
  <c r="CU190" i="15"/>
  <c r="CU216" i="15"/>
  <c r="BX71" i="48"/>
  <c r="CL197" i="15"/>
  <c r="CP196" i="15"/>
  <c r="CM197" i="15"/>
  <c r="CN227" i="15"/>
  <c r="CR228" i="15" s="1"/>
  <c r="CN222" i="15"/>
  <c r="CR223" i="15" s="1"/>
  <c r="CN218" i="15"/>
  <c r="DL75" i="33"/>
  <c r="DL80" i="33" s="1"/>
  <c r="BV111" i="14"/>
  <c r="BV96" i="14" s="1"/>
  <c r="CL152" i="33"/>
  <c r="CL79" i="33"/>
  <c r="CL67" i="33"/>
  <c r="BV8" i="15"/>
  <c r="CL78" i="33"/>
  <c r="CL119" i="33"/>
  <c r="CH78" i="15"/>
  <c r="CH81" i="15" s="1"/>
  <c r="CH76" i="15"/>
  <c r="CU74" i="15"/>
  <c r="CU68" i="15"/>
  <c r="CU83" i="15"/>
  <c r="CU88" i="15" s="1"/>
  <c r="CU90" i="15" s="1"/>
  <c r="CU92" i="15" s="1"/>
  <c r="CU103" i="15"/>
  <c r="CU105" i="15" s="1"/>
  <c r="CU107" i="15" s="1"/>
  <c r="CN167" i="33"/>
  <c r="CN100" i="33"/>
  <c r="CN63" i="33"/>
  <c r="CN151" i="33"/>
  <c r="CL222" i="15"/>
  <c r="CL227" i="15"/>
  <c r="CL218" i="15"/>
  <c r="CP217" i="15"/>
  <c r="CM218" i="15"/>
  <c r="CN198" i="15"/>
  <c r="CN192" i="15"/>
  <c r="Y665" i="12"/>
  <c r="Y667" i="12"/>
  <c r="Y16" i="48" s="1"/>
  <c r="U73" i="33"/>
  <c r="CT184" i="15"/>
  <c r="U179" i="15"/>
  <c r="U184" i="15" s="1"/>
  <c r="CN95" i="33"/>
  <c r="CA84" i="14"/>
  <c r="DM234" i="33"/>
  <c r="DM235" i="33" s="1"/>
  <c r="DN233" i="33" s="1"/>
  <c r="CH222" i="15"/>
  <c r="CH227" i="15"/>
  <c r="CN76" i="15"/>
  <c r="CN78" i="15"/>
  <c r="CN81" i="15" s="1"/>
  <c r="CG222" i="15"/>
  <c r="V169" i="71"/>
  <c r="V170" i="71" s="1"/>
  <c r="W44" i="80"/>
  <c r="W45" i="80" s="1"/>
  <c r="BV88" i="14"/>
  <c r="BV87" i="14"/>
  <c r="CN197" i="15"/>
  <c r="CL78" i="15"/>
  <c r="CL81" i="15" s="1"/>
  <c r="CL76" i="15"/>
  <c r="Y379" i="12"/>
  <c r="Y381" i="12"/>
  <c r="V107" i="71"/>
  <c r="V110" i="71" s="1"/>
  <c r="Z24" i="80"/>
  <c r="Z25" i="80" s="1"/>
  <c r="Z250" i="12"/>
  <c r="Z12" i="64"/>
  <c r="Z380" i="12"/>
  <c r="S302" i="90"/>
  <c r="CN300" i="90"/>
  <c r="CN302" i="90" s="1"/>
  <c r="CN366" i="90" s="1"/>
  <c r="CM366" i="90"/>
  <c r="BY33" i="90" l="1"/>
  <c r="BX35" i="90"/>
  <c r="CJ356" i="90"/>
  <c r="CK219" i="90"/>
  <c r="CK218" i="90"/>
  <c r="AD254" i="12"/>
  <c r="AD256" i="12"/>
  <c r="AD252" i="12"/>
  <c r="AD249" i="12" s="1"/>
  <c r="AD11" i="33"/>
  <c r="AD44" i="12"/>
  <c r="AB379" i="12"/>
  <c r="AB381" i="12"/>
  <c r="AB258" i="90"/>
  <c r="AB260" i="90" s="1"/>
  <c r="AB360" i="90"/>
  <c r="CR230" i="12"/>
  <c r="CR232" i="12"/>
  <c r="AD12" i="33"/>
  <c r="AD45" i="12"/>
  <c r="CW265" i="90"/>
  <c r="CM29" i="90"/>
  <c r="U29" i="90"/>
  <c r="V26" i="90" s="1"/>
  <c r="CM26" i="90"/>
  <c r="CL28" i="90"/>
  <c r="U28" i="90" s="1"/>
  <c r="CL318" i="90"/>
  <c r="CL317" i="90" s="1"/>
  <c r="AC70" i="14"/>
  <c r="AB97" i="14"/>
  <c r="BU309" i="90"/>
  <c r="BU310" i="90" s="1"/>
  <c r="BV20" i="90"/>
  <c r="D111" i="52"/>
  <c r="D80" i="52"/>
  <c r="O34" i="90"/>
  <c r="O309" i="90"/>
  <c r="O310" i="90" s="1"/>
  <c r="AC380" i="12"/>
  <c r="AC250" i="12"/>
  <c r="AC248" i="12"/>
  <c r="AC11" i="33"/>
  <c r="AC141" i="33" s="1"/>
  <c r="AC44" i="12"/>
  <c r="CH40" i="90"/>
  <c r="CH39" i="90"/>
  <c r="CH41" i="90" s="1"/>
  <c r="AA360" i="90"/>
  <c r="CT165" i="12"/>
  <c r="CS231" i="12"/>
  <c r="AC12" i="33"/>
  <c r="AC142" i="33" s="1"/>
  <c r="AC45" i="12"/>
  <c r="I109" i="52"/>
  <c r="I78" i="52"/>
  <c r="CZ30" i="12"/>
  <c r="CZ31" i="12" s="1"/>
  <c r="CU246" i="90"/>
  <c r="CU248" i="90" s="1"/>
  <c r="CT355" i="90"/>
  <c r="CT358" i="90"/>
  <c r="CI338" i="90"/>
  <c r="CJ183" i="90"/>
  <c r="CJ185" i="90" s="1"/>
  <c r="R185" i="90"/>
  <c r="U139" i="90"/>
  <c r="Q140" i="90"/>
  <c r="CF138" i="90"/>
  <c r="CF140" i="90" s="1"/>
  <c r="CG138" i="90" s="1"/>
  <c r="CG140" i="90" s="1"/>
  <c r="CE329" i="90"/>
  <c r="U159" i="90"/>
  <c r="CI111" i="90"/>
  <c r="CI113" i="90" s="1"/>
  <c r="CI325" i="90" s="1"/>
  <c r="DA159" i="90"/>
  <c r="DB159" i="90" s="1"/>
  <c r="DC159" i="90" s="1"/>
  <c r="W159" i="90"/>
  <c r="CV209" i="90"/>
  <c r="U209" i="90"/>
  <c r="Z334" i="90"/>
  <c r="AA163" i="90"/>
  <c r="AA165" i="90" s="1"/>
  <c r="AA334" i="90" s="1"/>
  <c r="V209" i="90"/>
  <c r="AA379" i="12"/>
  <c r="AA381" i="12"/>
  <c r="Z623" i="12"/>
  <c r="Z664" i="12" s="1"/>
  <c r="Z667" i="12" s="1"/>
  <c r="AA623" i="12"/>
  <c r="AA625" i="12"/>
  <c r="AB664" i="12"/>
  <c r="AD628" i="12"/>
  <c r="AD627" i="12"/>
  <c r="AD624" i="12" s="1"/>
  <c r="AD630" i="12"/>
  <c r="AC623" i="12"/>
  <c r="AC682" i="12" s="1"/>
  <c r="AA121" i="14"/>
  <c r="AA124" i="14" s="1"/>
  <c r="AA702" i="12" s="1"/>
  <c r="AB121" i="14"/>
  <c r="AB124" i="14" s="1"/>
  <c r="AB702" i="12" s="1"/>
  <c r="AC120" i="14"/>
  <c r="AC696" i="12"/>
  <c r="AC700" i="12"/>
  <c r="AC701" i="12" s="1"/>
  <c r="AD120" i="14"/>
  <c r="AD696" i="12"/>
  <c r="AD700" i="12"/>
  <c r="AD701" i="12" s="1"/>
  <c r="AB697" i="12"/>
  <c r="AB698" i="12" s="1"/>
  <c r="AB512" i="12"/>
  <c r="AB462" i="12"/>
  <c r="AA462" i="12"/>
  <c r="AC465" i="12"/>
  <c r="AC467" i="12"/>
  <c r="AC464" i="12"/>
  <c r="AC461" i="12" s="1"/>
  <c r="AA512" i="12"/>
  <c r="AC275" i="12"/>
  <c r="AC277" i="12"/>
  <c r="AD278" i="12"/>
  <c r="AC279" i="12"/>
  <c r="CO218" i="33"/>
  <c r="CO222" i="33" s="1"/>
  <c r="CO223" i="33" s="1"/>
  <c r="AC100" i="14"/>
  <c r="AD68" i="14"/>
  <c r="AD100" i="14" s="1"/>
  <c r="AB667" i="12"/>
  <c r="AD634" i="12"/>
  <c r="AA497" i="12"/>
  <c r="AC471" i="12"/>
  <c r="AB494" i="12"/>
  <c r="CZ106" i="14"/>
  <c r="CZ220" i="14" s="1"/>
  <c r="AB274" i="12"/>
  <c r="O199" i="33"/>
  <c r="CP211" i="33"/>
  <c r="CG78" i="15"/>
  <c r="CG81" i="15" s="1"/>
  <c r="G103" i="14"/>
  <c r="H95" i="14"/>
  <c r="H102" i="14" s="1"/>
  <c r="P212" i="33"/>
  <c r="P214" i="33"/>
  <c r="P195" i="33" s="1"/>
  <c r="P216" i="33"/>
  <c r="AN103" i="14"/>
  <c r="AO95" i="14"/>
  <c r="AO102" i="14" s="1"/>
  <c r="W76" i="90"/>
  <c r="DR143" i="33"/>
  <c r="Z30" i="64"/>
  <c r="Z25" i="64"/>
  <c r="CE71" i="14"/>
  <c r="CF64" i="14"/>
  <c r="Q64" i="14"/>
  <c r="J79" i="65" s="1"/>
  <c r="CE90" i="14"/>
  <c r="W109" i="71"/>
  <c r="Y387" i="12"/>
  <c r="Z387" i="12" s="1"/>
  <c r="DC516" i="12"/>
  <c r="DC491" i="12"/>
  <c r="DC490" i="12" s="1"/>
  <c r="Y679" i="12"/>
  <c r="V174" i="71"/>
  <c r="V175" i="71" s="1"/>
  <c r="X689" i="12"/>
  <c r="CZ202" i="15"/>
  <c r="CZ203" i="15"/>
  <c r="CZ204" i="15"/>
  <c r="CZ208" i="15"/>
  <c r="DR17" i="33"/>
  <c r="DR18" i="33"/>
  <c r="DR88" i="33"/>
  <c r="DR145" i="33"/>
  <c r="DR24" i="33"/>
  <c r="BJ15" i="77" s="1"/>
  <c r="DA830" i="12"/>
  <c r="DA829" i="12"/>
  <c r="CZ38" i="12"/>
  <c r="CZ25" i="12"/>
  <c r="CZ39" i="12"/>
  <c r="CZ37" i="12"/>
  <c r="CZ41" i="12"/>
  <c r="CZ36" i="12"/>
  <c r="CZ35" i="12"/>
  <c r="CZ34" i="12"/>
  <c r="DB490" i="12"/>
  <c r="DB9" i="12"/>
  <c r="D69" i="65"/>
  <c r="D36" i="65" s="1"/>
  <c r="S75" i="33"/>
  <c r="S80" i="33" s="1"/>
  <c r="X678" i="12"/>
  <c r="X685" i="12" s="1"/>
  <c r="W171" i="71" s="1"/>
  <c r="BY71" i="48"/>
  <c r="T167" i="33"/>
  <c r="R30" i="48"/>
  <c r="R68" i="15"/>
  <c r="R145" i="15"/>
  <c r="R147" i="15" s="1"/>
  <c r="R149" i="15" s="1"/>
  <c r="CJ179" i="15"/>
  <c r="DB75" i="33"/>
  <c r="DB80" i="33" s="1"/>
  <c r="U242" i="12"/>
  <c r="U241" i="12"/>
  <c r="X166" i="12"/>
  <c r="CL166" i="12"/>
  <c r="CK240" i="12"/>
  <c r="S8" i="15"/>
  <c r="S32" i="15" s="1"/>
  <c r="CJ32" i="15"/>
  <c r="V240" i="12"/>
  <c r="CJ241" i="12"/>
  <c r="CU186" i="15"/>
  <c r="Z625" i="12"/>
  <c r="Z38" i="80"/>
  <c r="Z39" i="80" s="1"/>
  <c r="Z14" i="64"/>
  <c r="CG118" i="33"/>
  <c r="CG80" i="33"/>
  <c r="CQ197" i="15"/>
  <c r="CR197" i="15"/>
  <c r="T103" i="15"/>
  <c r="T105" i="15" s="1"/>
  <c r="T107" i="15" s="1"/>
  <c r="T30" i="48"/>
  <c r="T83" i="15"/>
  <c r="T88" i="15" s="1"/>
  <c r="T90" i="15" s="1"/>
  <c r="T92" i="15" s="1"/>
  <c r="T68" i="15"/>
  <c r="T74" i="15"/>
  <c r="CI222" i="15"/>
  <c r="CI227" i="15"/>
  <c r="R227" i="15" s="1"/>
  <c r="T190" i="15"/>
  <c r="T216" i="15"/>
  <c r="CQ196" i="15"/>
  <c r="W24" i="77"/>
  <c r="CK230" i="15"/>
  <c r="W25" i="77" s="1"/>
  <c r="CQ227" i="15"/>
  <c r="CQ222" i="15"/>
  <c r="CQ218" i="15"/>
  <c r="CR218" i="15"/>
  <c r="CO83" i="15"/>
  <c r="CO88" i="15" s="1"/>
  <c r="CO90" i="15" s="1"/>
  <c r="CO92" i="15" s="1"/>
  <c r="CO68" i="15"/>
  <c r="CO103" i="15"/>
  <c r="CO105" i="15" s="1"/>
  <c r="CO107" i="15" s="1"/>
  <c r="CO74" i="15"/>
  <c r="CO195" i="15"/>
  <c r="CO190" i="15"/>
  <c r="CS191" i="15" s="1"/>
  <c r="CO216" i="15"/>
  <c r="CS217" i="15" s="1"/>
  <c r="CO185" i="15"/>
  <c r="CO186" i="15"/>
  <c r="CP186" i="15"/>
  <c r="CI76" i="15"/>
  <c r="CI78" i="15"/>
  <c r="CI81" i="15" s="1"/>
  <c r="AB24" i="77"/>
  <c r="CP230" i="15"/>
  <c r="DH175" i="33"/>
  <c r="CQ192" i="15"/>
  <c r="CQ198" i="15"/>
  <c r="CQ199" i="15" s="1"/>
  <c r="CR192" i="15"/>
  <c r="CQ78" i="15"/>
  <c r="CQ81" i="15" s="1"/>
  <c r="CQ76" i="15"/>
  <c r="CS197" i="15"/>
  <c r="CS78" i="15"/>
  <c r="CS76" i="15"/>
  <c r="CS227" i="15"/>
  <c r="CS222" i="15"/>
  <c r="AE24" i="77" s="1"/>
  <c r="CS218" i="15"/>
  <c r="CS198" i="15"/>
  <c r="CS192" i="15"/>
  <c r="Y81" i="71"/>
  <c r="Y24" i="77"/>
  <c r="CM230" i="15"/>
  <c r="CE76" i="15"/>
  <c r="CE78" i="15"/>
  <c r="CE81" i="15" s="1"/>
  <c r="CI75" i="33"/>
  <c r="BT78" i="15"/>
  <c r="BT81" i="15" s="1"/>
  <c r="BT76" i="15"/>
  <c r="CE80" i="33"/>
  <c r="CE118" i="33"/>
  <c r="N119" i="33"/>
  <c r="N78" i="33"/>
  <c r="N167" i="33" s="1"/>
  <c r="N118" i="15"/>
  <c r="N121" i="15" s="1"/>
  <c r="N79" i="33"/>
  <c r="N152" i="33"/>
  <c r="N67" i="33"/>
  <c r="N75" i="33" s="1"/>
  <c r="N80" i="33" s="1"/>
  <c r="N111" i="14"/>
  <c r="N96" i="14" s="1"/>
  <c r="CN69" i="33"/>
  <c r="O69" i="33" s="1"/>
  <c r="X383" i="12"/>
  <c r="X290" i="12" s="1"/>
  <c r="X30" i="80"/>
  <c r="X31" i="80" s="1"/>
  <c r="S95" i="90"/>
  <c r="CN93" i="90"/>
  <c r="CM352" i="90"/>
  <c r="H198" i="65"/>
  <c r="U252" i="90"/>
  <c r="U254" i="90" s="1"/>
  <c r="V252" i="90" s="1"/>
  <c r="V254" i="90" s="1"/>
  <c r="W252" i="90" s="1"/>
  <c r="W254" i="90" s="1"/>
  <c r="T253" i="90"/>
  <c r="Q102" i="52"/>
  <c r="R70" i="52"/>
  <c r="F81" i="52"/>
  <c r="G111" i="52"/>
  <c r="CQ53" i="90"/>
  <c r="L115" i="14"/>
  <c r="L15" i="90"/>
  <c r="CJ193" i="90"/>
  <c r="CJ195" i="90" s="1"/>
  <c r="CJ340" i="90" s="1"/>
  <c r="R195" i="90"/>
  <c r="V89" i="90"/>
  <c r="CQ87" i="90"/>
  <c r="O107" i="52"/>
  <c r="P75" i="52"/>
  <c r="Q103" i="52"/>
  <c r="R71" i="52"/>
  <c r="V76" i="90"/>
  <c r="X76" i="90" s="1"/>
  <c r="Y76" i="90" s="1"/>
  <c r="Z76" i="90" s="1"/>
  <c r="AA76" i="90" s="1"/>
  <c r="AB76" i="90" s="1"/>
  <c r="AC76" i="90" s="1"/>
  <c r="AD76" i="90" s="1"/>
  <c r="Y62" i="52"/>
  <c r="X94" i="52"/>
  <c r="Y93" i="52"/>
  <c r="S69" i="52"/>
  <c r="R101" i="52"/>
  <c r="R200" i="14"/>
  <c r="R202" i="14" s="1"/>
  <c r="CJ200" i="14"/>
  <c r="CI202" i="14"/>
  <c r="CI203" i="14" s="1"/>
  <c r="CV139" i="90"/>
  <c r="CW139" i="90" s="1"/>
  <c r="CX139" i="90" s="1"/>
  <c r="CY139" i="90" s="1"/>
  <c r="CZ139" i="90" s="1"/>
  <c r="DA139" i="90" s="1"/>
  <c r="DB139" i="90" s="1"/>
  <c r="DC139" i="90" s="1"/>
  <c r="W64" i="52"/>
  <c r="V96" i="52"/>
  <c r="Q73" i="52"/>
  <c r="P105" i="52"/>
  <c r="CH158" i="90"/>
  <c r="CH160" i="90" s="1"/>
  <c r="G82" i="52"/>
  <c r="H112" i="52"/>
  <c r="CX34" i="90"/>
  <c r="CX32" i="90" s="1"/>
  <c r="Q149" i="90"/>
  <c r="R148" i="90"/>
  <c r="CJ213" i="90"/>
  <c r="CJ215" i="90" s="1"/>
  <c r="CJ344" i="90" s="1"/>
  <c r="R215" i="90"/>
  <c r="M15" i="14"/>
  <c r="M28" i="14" s="1"/>
  <c r="M75" i="14" s="1"/>
  <c r="M112" i="14"/>
  <c r="F76" i="65"/>
  <c r="F74" i="65" s="1"/>
  <c r="F73" i="65" s="1"/>
  <c r="CD82" i="90"/>
  <c r="CD83" i="90" s="1"/>
  <c r="CH168" i="90"/>
  <c r="CH170" i="90" s="1"/>
  <c r="CH335" i="90" s="1"/>
  <c r="S100" i="52"/>
  <c r="T68" i="52"/>
  <c r="W95" i="52"/>
  <c r="R175" i="90"/>
  <c r="CJ173" i="90"/>
  <c r="CJ175" i="90" s="1"/>
  <c r="CJ336" i="90" s="1"/>
  <c r="N77" i="52"/>
  <c r="M109" i="52"/>
  <c r="M78" i="52"/>
  <c r="E110" i="52"/>
  <c r="E79" i="52"/>
  <c r="F109" i="52"/>
  <c r="V65" i="52"/>
  <c r="U97" i="52"/>
  <c r="P106" i="52"/>
  <c r="Q74" i="52"/>
  <c r="CH63" i="90"/>
  <c r="CH65" i="90" s="1"/>
  <c r="CH320" i="90" s="1"/>
  <c r="CG333" i="90"/>
  <c r="C36" i="65"/>
  <c r="C218" i="65"/>
  <c r="C219" i="65" s="1"/>
  <c r="C220" i="65" s="1"/>
  <c r="C199" i="65"/>
  <c r="C201" i="65" s="1"/>
  <c r="U67" i="52"/>
  <c r="T99" i="52"/>
  <c r="CI208" i="90"/>
  <c r="CI210" i="90" s="1"/>
  <c r="CI343" i="90" s="1"/>
  <c r="E71" i="65"/>
  <c r="E96" i="65"/>
  <c r="E92" i="65" s="1"/>
  <c r="E89" i="65" s="1"/>
  <c r="CK45" i="90"/>
  <c r="CK46" i="90"/>
  <c r="CJ324" i="90"/>
  <c r="Y188" i="90"/>
  <c r="Y190" i="90" s="1"/>
  <c r="Y339" i="90" s="1"/>
  <c r="Q104" i="52"/>
  <c r="R72" i="52"/>
  <c r="CJ117" i="90"/>
  <c r="CJ119" i="90" s="1"/>
  <c r="CJ326" i="90" s="1"/>
  <c r="BE112" i="14"/>
  <c r="BE15" i="14"/>
  <c r="BE28" i="14" s="1"/>
  <c r="BE75" i="14" s="1"/>
  <c r="CI75" i="90"/>
  <c r="CI77" i="90" s="1"/>
  <c r="CI322" i="90" s="1"/>
  <c r="N8" i="14"/>
  <c r="O69" i="15"/>
  <c r="CO199" i="33"/>
  <c r="Y153" i="90"/>
  <c r="Y155" i="90" s="1"/>
  <c r="Y332" i="90" s="1"/>
  <c r="U66" i="52"/>
  <c r="T98" i="52"/>
  <c r="CL203" i="90"/>
  <c r="CL205" i="90" s="1"/>
  <c r="CK341" i="90"/>
  <c r="CK198" i="90"/>
  <c r="CK200" i="90" s="1"/>
  <c r="Y63" i="52"/>
  <c r="X95" i="52"/>
  <c r="CI336" i="90"/>
  <c r="N108" i="52"/>
  <c r="O76" i="52"/>
  <c r="CS252" i="90"/>
  <c r="CS254" i="90" s="1"/>
  <c r="CS359" i="90" s="1"/>
  <c r="J109" i="52"/>
  <c r="K108" i="52"/>
  <c r="J78" i="52"/>
  <c r="CG320" i="90"/>
  <c r="EE70" i="15"/>
  <c r="EF69" i="15"/>
  <c r="L110" i="52"/>
  <c r="L79" i="52"/>
  <c r="Z143" i="90"/>
  <c r="Z145" i="90" s="1"/>
  <c r="CG148" i="90"/>
  <c r="CG150" i="90" s="1"/>
  <c r="CG331" i="90" s="1"/>
  <c r="Y133" i="90"/>
  <c r="Y135" i="90" s="1"/>
  <c r="Y328" i="90" s="1"/>
  <c r="BF8" i="14"/>
  <c r="BG69" i="15"/>
  <c r="BG70" i="15" s="1"/>
  <c r="CH322" i="90"/>
  <c r="CC69" i="90"/>
  <c r="CC71" i="90" s="1"/>
  <c r="CC321" i="90" s="1"/>
  <c r="CY258" i="90"/>
  <c r="CY260" i="90" s="1"/>
  <c r="X332" i="90"/>
  <c r="BD15" i="90"/>
  <c r="AU34" i="48"/>
  <c r="AU36" i="48" s="1"/>
  <c r="CK342" i="90"/>
  <c r="R199" i="90"/>
  <c r="S198" i="90"/>
  <c r="V159" i="90"/>
  <c r="V303" i="71"/>
  <c r="V304" i="71" s="1"/>
  <c r="X509" i="12"/>
  <c r="X508" i="12" s="1"/>
  <c r="W58" i="80"/>
  <c r="W59" i="80" s="1"/>
  <c r="Y377" i="12"/>
  <c r="Y376" i="12" s="1"/>
  <c r="Y383" i="12" s="1"/>
  <c r="CK346" i="12"/>
  <c r="W346" i="12" s="1"/>
  <c r="W353" i="12" s="1"/>
  <c r="CJ347" i="12"/>
  <c r="CJ353" i="12"/>
  <c r="V346" i="12"/>
  <c r="CI355" i="12"/>
  <c r="CI354" i="12"/>
  <c r="H91" i="65"/>
  <c r="W124" i="52"/>
  <c r="L61" i="65"/>
  <c r="L60" i="65" s="1"/>
  <c r="L57" i="65" s="1"/>
  <c r="S78" i="14"/>
  <c r="CK206" i="14"/>
  <c r="CK209" i="14" s="1"/>
  <c r="CJ194" i="14"/>
  <c r="CM80" i="14"/>
  <c r="CN81" i="14" s="1"/>
  <c r="CO89" i="14" s="1"/>
  <c r="CN79" i="14"/>
  <c r="CN87" i="14" s="1"/>
  <c r="CN88" i="14"/>
  <c r="M189" i="66"/>
  <c r="M94" i="66" s="1"/>
  <c r="M92" i="66" s="1"/>
  <c r="M237" i="66"/>
  <c r="Q30" i="33"/>
  <c r="CV47" i="33"/>
  <c r="CV166" i="33" s="1"/>
  <c r="CS55" i="33"/>
  <c r="CS48" i="33"/>
  <c r="CX150" i="33"/>
  <c r="CS116" i="33"/>
  <c r="CS166" i="33"/>
  <c r="CS150" i="33"/>
  <c r="CU116" i="33"/>
  <c r="CU166" i="33"/>
  <c r="CU55" i="33"/>
  <c r="CZ150" i="33"/>
  <c r="CU150" i="33"/>
  <c r="CU48" i="33"/>
  <c r="CS148" i="33"/>
  <c r="CS164" i="33"/>
  <c r="CS41" i="33"/>
  <c r="CX148" i="33"/>
  <c r="CY151" i="33"/>
  <c r="CT118" i="33"/>
  <c r="CT100" i="33"/>
  <c r="N23" i="77" s="1"/>
  <c r="CT63" i="33"/>
  <c r="CT168" i="33" s="1"/>
  <c r="CT151" i="33"/>
  <c r="CT167" i="33"/>
  <c r="CT72" i="33"/>
  <c r="CT70" i="33"/>
  <c r="CT71" i="33"/>
  <c r="CT69" i="33"/>
  <c r="U75" i="33"/>
  <c r="U80" i="33" s="1"/>
  <c r="CN72" i="33"/>
  <c r="O72" i="33" s="1"/>
  <c r="CN70" i="33"/>
  <c r="O70" i="33" s="1"/>
  <c r="CK73" i="33"/>
  <c r="CN71" i="33"/>
  <c r="O71" i="33" s="1"/>
  <c r="Y9" i="80"/>
  <c r="Y10" i="80" s="1"/>
  <c r="Y16" i="64"/>
  <c r="Y29" i="64"/>
  <c r="Y27" i="64"/>
  <c r="Z460" i="12"/>
  <c r="Z494" i="12" s="1"/>
  <c r="AA495" i="12" s="1"/>
  <c r="Z462" i="12"/>
  <c r="Z52" i="80"/>
  <c r="Z53" i="80" s="1"/>
  <c r="Z512" i="12"/>
  <c r="Z13" i="64"/>
  <c r="Z697" i="12"/>
  <c r="Z698" i="12" s="1"/>
  <c r="Y497" i="12"/>
  <c r="U17" i="48" s="1"/>
  <c r="U18" i="48" s="1"/>
  <c r="Y495" i="12"/>
  <c r="Y511" i="12"/>
  <c r="Y513" i="12"/>
  <c r="CQ73" i="33"/>
  <c r="CM73" i="33"/>
  <c r="U361" i="12"/>
  <c r="U368" i="12" s="1"/>
  <c r="CI368" i="12"/>
  <c r="CJ361" i="12"/>
  <c r="DN75" i="33"/>
  <c r="DN80" i="33" s="1"/>
  <c r="CS72" i="33"/>
  <c r="CR73" i="33"/>
  <c r="CS70" i="33"/>
  <c r="CR67" i="33"/>
  <c r="CA8" i="15"/>
  <c r="CA32" i="15" s="1"/>
  <c r="CW152" i="33"/>
  <c r="CR78" i="33"/>
  <c r="CR119" i="33"/>
  <c r="CA111" i="14"/>
  <c r="CA96" i="14" s="1"/>
  <c r="CR79" i="33"/>
  <c r="P97" i="15"/>
  <c r="P99" i="15"/>
  <c r="P101" i="15" s="1"/>
  <c r="CO73" i="33"/>
  <c r="CS69" i="33"/>
  <c r="CP75" i="33"/>
  <c r="CP80" i="33" s="1"/>
  <c r="CO99" i="33"/>
  <c r="CS98" i="33"/>
  <c r="H52" i="53"/>
  <c r="H53" i="53" s="1"/>
  <c r="P234" i="33"/>
  <c r="P58" i="33"/>
  <c r="P61" i="33"/>
  <c r="P151" i="33" s="1"/>
  <c r="CP168" i="33"/>
  <c r="CO119" i="33"/>
  <c r="CO67" i="33"/>
  <c r="CO234" i="33"/>
  <c r="CO235" i="33" s="1"/>
  <c r="CP233" i="33" s="1"/>
  <c r="BX111" i="14"/>
  <c r="BX96" i="14" s="1"/>
  <c r="CO78" i="33"/>
  <c r="BX8" i="15"/>
  <c r="CO79" i="33"/>
  <c r="CO152" i="33"/>
  <c r="CS95" i="33"/>
  <c r="CB85" i="14" s="1"/>
  <c r="CB89" i="14" s="1"/>
  <c r="CF84" i="14"/>
  <c r="V12" i="65"/>
  <c r="W9" i="65"/>
  <c r="U10" i="65" s="1"/>
  <c r="L23" i="77"/>
  <c r="K23" i="57"/>
  <c r="CS71" i="33"/>
  <c r="CR168" i="33"/>
  <c r="CQ119" i="33"/>
  <c r="CQ79" i="33"/>
  <c r="CQ152" i="33"/>
  <c r="CQ78" i="33"/>
  <c r="BZ111" i="14"/>
  <c r="BZ96" i="14" s="1"/>
  <c r="BZ8" i="15"/>
  <c r="BZ32" i="15" s="1"/>
  <c r="CQ67" i="33"/>
  <c r="CQ168" i="33"/>
  <c r="CM78" i="33"/>
  <c r="DZ254" i="48" s="1"/>
  <c r="BW111" i="14"/>
  <c r="BW96" i="14" s="1"/>
  <c r="BW8" i="15"/>
  <c r="BW32" i="15" s="1"/>
  <c r="CM79" i="33"/>
  <c r="CM119" i="33"/>
  <c r="CM67" i="33"/>
  <c r="CM75" i="33" s="1"/>
  <c r="CM80" i="33" s="1"/>
  <c r="CO168" i="33"/>
  <c r="CM152" i="33"/>
  <c r="BX87" i="14"/>
  <c r="BX88" i="14"/>
  <c r="H35" i="53"/>
  <c r="G121" i="53"/>
  <c r="G152" i="53" s="1"/>
  <c r="H43" i="53"/>
  <c r="H44" i="53" s="1"/>
  <c r="H37" i="53"/>
  <c r="H118" i="53"/>
  <c r="H149" i="53" s="1"/>
  <c r="CF88" i="14"/>
  <c r="CF87" i="14"/>
  <c r="CK152" i="33"/>
  <c r="CK119" i="33"/>
  <c r="CK78" i="33"/>
  <c r="BU111" i="14"/>
  <c r="BU96" i="14" s="1"/>
  <c r="BU8" i="15"/>
  <c r="BU32" i="15" s="1"/>
  <c r="CK79" i="33"/>
  <c r="CK67" i="33"/>
  <c r="CK168" i="33"/>
  <c r="BY68" i="15"/>
  <c r="BP30" i="48"/>
  <c r="BY83" i="15"/>
  <c r="BY88" i="15" s="1"/>
  <c r="BY90" i="15" s="1"/>
  <c r="BY92" i="15" s="1"/>
  <c r="BY74" i="15"/>
  <c r="CB87" i="14"/>
  <c r="CB88" i="14"/>
  <c r="DN234" i="33"/>
  <c r="DN235" i="33" s="1"/>
  <c r="DO233" i="33" s="1"/>
  <c r="CL230" i="15"/>
  <c r="X24" i="77"/>
  <c r="CL224" i="15"/>
  <c r="CP223" i="15"/>
  <c r="CM224" i="15"/>
  <c r="R78" i="15"/>
  <c r="R81" i="15" s="1"/>
  <c r="J124" i="53" s="1"/>
  <c r="J155" i="53" s="1"/>
  <c r="R76" i="15"/>
  <c r="N386" i="71"/>
  <c r="O35" i="64"/>
  <c r="CN99" i="33"/>
  <c r="BV86" i="14"/>
  <c r="BV90" i="14" s="1"/>
  <c r="O63" i="33"/>
  <c r="O151" i="33"/>
  <c r="O118" i="33"/>
  <c r="CG230" i="15"/>
  <c r="S24" i="77"/>
  <c r="U185" i="15"/>
  <c r="U216" i="15"/>
  <c r="U190" i="15"/>
  <c r="CN200" i="15"/>
  <c r="CN78" i="33"/>
  <c r="CN168" i="33"/>
  <c r="CN152" i="33"/>
  <c r="CN67" i="33"/>
  <c r="CN119" i="33"/>
  <c r="CN79" i="33"/>
  <c r="BV32" i="15"/>
  <c r="CN229" i="15"/>
  <c r="CU191" i="15"/>
  <c r="CU198" i="15"/>
  <c r="U103" i="15"/>
  <c r="U105" i="15" s="1"/>
  <c r="U107" i="15" s="1"/>
  <c r="U83" i="15"/>
  <c r="U88" i="15" s="1"/>
  <c r="U90" i="15" s="1"/>
  <c r="U92" i="15" s="1"/>
  <c r="U30" i="48"/>
  <c r="U74" i="15"/>
  <c r="U68" i="15"/>
  <c r="G91" i="65"/>
  <c r="G198" i="65"/>
  <c r="CH230" i="15"/>
  <c r="T25" i="77" s="1"/>
  <c r="T24" i="77"/>
  <c r="CT185" i="15"/>
  <c r="CT186" i="15"/>
  <c r="CT216" i="15"/>
  <c r="CT195" i="15"/>
  <c r="CT190" i="15"/>
  <c r="CL229" i="15"/>
  <c r="CP228" i="15"/>
  <c r="CM229" i="15"/>
  <c r="CT103" i="15"/>
  <c r="CT105" i="15" s="1"/>
  <c r="CT107" i="15" s="1"/>
  <c r="CT68" i="15"/>
  <c r="CT74" i="15"/>
  <c r="CT83" i="15"/>
  <c r="CT88" i="15" s="1"/>
  <c r="CT90" i="15" s="1"/>
  <c r="CT92" i="15" s="1"/>
  <c r="CL75" i="33"/>
  <c r="CL80" i="33" s="1"/>
  <c r="R142" i="15"/>
  <c r="V171" i="71"/>
  <c r="V172" i="71" s="1"/>
  <c r="CU76" i="15"/>
  <c r="CU78" i="15"/>
  <c r="CN224" i="15"/>
  <c r="Z24" i="77"/>
  <c r="DF175" i="33"/>
  <c r="CN230" i="15"/>
  <c r="CR231" i="15" s="1"/>
  <c r="CU217" i="15"/>
  <c r="CU227" i="15"/>
  <c r="CU222" i="15"/>
  <c r="CU196" i="15"/>
  <c r="CV83" i="15"/>
  <c r="CV88" i="15" s="1"/>
  <c r="CV90" i="15" s="1"/>
  <c r="CV92" i="15" s="1"/>
  <c r="CV103" i="15"/>
  <c r="CV105" i="15" s="1"/>
  <c r="CV107" i="15" s="1"/>
  <c r="CV74" i="15"/>
  <c r="CV216" i="15"/>
  <c r="CV190" i="15"/>
  <c r="CV195" i="15"/>
  <c r="CV185" i="15"/>
  <c r="CV186" i="15"/>
  <c r="G209" i="65"/>
  <c r="G210" i="65" s="1"/>
  <c r="G215" i="65"/>
  <c r="G224" i="65" s="1"/>
  <c r="J209" i="65"/>
  <c r="H209" i="65"/>
  <c r="I209" i="65"/>
  <c r="L209" i="65"/>
  <c r="N210" i="65"/>
  <c r="K209" i="65"/>
  <c r="CL200" i="15"/>
  <c r="CP199" i="15"/>
  <c r="CM200" i="15"/>
  <c r="CA71" i="48"/>
  <c r="U167" i="33"/>
  <c r="CR199" i="15"/>
  <c r="Z379" i="12"/>
  <c r="Z381" i="12"/>
  <c r="V111" i="71"/>
  <c r="V112" i="71"/>
  <c r="V113" i="71" s="1"/>
  <c r="CO300" i="90"/>
  <c r="CO302" i="90" s="1"/>
  <c r="CO366" i="90" s="1"/>
  <c r="T300" i="90"/>
  <c r="S301" i="90"/>
  <c r="AB377" i="12" l="1"/>
  <c r="CI40" i="90"/>
  <c r="CI39" i="90"/>
  <c r="CI41" i="90" s="1"/>
  <c r="CY360" i="90"/>
  <c r="CZ258" i="90"/>
  <c r="CZ260" i="90" s="1"/>
  <c r="I110" i="52"/>
  <c r="I79" i="52"/>
  <c r="CS230" i="12"/>
  <c r="CS232" i="12"/>
  <c r="D112" i="52"/>
  <c r="D81" i="52"/>
  <c r="AD142" i="33"/>
  <c r="AC258" i="90"/>
  <c r="AC260" i="90" s="1"/>
  <c r="AC360" i="90" s="1"/>
  <c r="AD141" i="33"/>
  <c r="CK47" i="90"/>
  <c r="CK324" i="90" s="1"/>
  <c r="CF329" i="90"/>
  <c r="CU165" i="12"/>
  <c r="CT231" i="12"/>
  <c r="AC379" i="12"/>
  <c r="AC381" i="12"/>
  <c r="AC377" i="12" s="1"/>
  <c r="AC97" i="14"/>
  <c r="AD70" i="14"/>
  <c r="AD97" i="14" s="1"/>
  <c r="CW266" i="90"/>
  <c r="AD380" i="12"/>
  <c r="AD248" i="12"/>
  <c r="AD250" i="12"/>
  <c r="CK220" i="90"/>
  <c r="BZ33" i="90"/>
  <c r="BY35" i="90"/>
  <c r="CM318" i="90"/>
  <c r="CM317" i="90" s="1"/>
  <c r="V29" i="90"/>
  <c r="W26" i="90" s="1"/>
  <c r="CN29" i="90"/>
  <c r="CM28" i="90"/>
  <c r="V28" i="90" s="1"/>
  <c r="CN26" i="90"/>
  <c r="Z665" i="12"/>
  <c r="AA377" i="12"/>
  <c r="CU358" i="90"/>
  <c r="CV246" i="90"/>
  <c r="CV248" i="90" s="1"/>
  <c r="CV358" i="90" s="1"/>
  <c r="CU355" i="90"/>
  <c r="S183" i="90"/>
  <c r="R184" i="90"/>
  <c r="CJ338" i="90"/>
  <c r="CK183" i="90"/>
  <c r="CK185" i="90" s="1"/>
  <c r="CL183" i="90" s="1"/>
  <c r="CL185" i="90" s="1"/>
  <c r="CK338" i="90"/>
  <c r="V139" i="90"/>
  <c r="Z330" i="90"/>
  <c r="AA143" i="90"/>
  <c r="AA145" i="90" s="1"/>
  <c r="CJ325" i="90"/>
  <c r="CJ111" i="90"/>
  <c r="CJ113" i="90" s="1"/>
  <c r="CG329" i="90"/>
  <c r="CH138" i="90"/>
  <c r="CH140" i="90" s="1"/>
  <c r="CI138" i="90" s="1"/>
  <c r="CI140" i="90" s="1"/>
  <c r="CI329" i="90" s="1"/>
  <c r="Q139" i="90"/>
  <c r="R138" i="90"/>
  <c r="AB163" i="90"/>
  <c r="AB165" i="90" s="1"/>
  <c r="AB334" i="90" s="1"/>
  <c r="CW209" i="90"/>
  <c r="CX209" i="90" s="1"/>
  <c r="CY209" i="90" s="1"/>
  <c r="CZ209" i="90" s="1"/>
  <c r="DA209" i="90" s="1"/>
  <c r="DB209" i="90" s="1"/>
  <c r="DC209" i="90" s="1"/>
  <c r="W139" i="90"/>
  <c r="Z682" i="12"/>
  <c r="Z683" i="12" s="1"/>
  <c r="AC664" i="12"/>
  <c r="AC665" i="12" s="1"/>
  <c r="AD623" i="12"/>
  <c r="AD682" i="12" s="1"/>
  <c r="AD625" i="12"/>
  <c r="AA682" i="12"/>
  <c r="AA664" i="12"/>
  <c r="AA665" i="12" s="1"/>
  <c r="AC681" i="12"/>
  <c r="AC679" i="12" s="1"/>
  <c r="AC683" i="12"/>
  <c r="AB682" i="12"/>
  <c r="AD121" i="14"/>
  <c r="AD124" i="14" s="1"/>
  <c r="AD702" i="12" s="1"/>
  <c r="AC121" i="14"/>
  <c r="AC124" i="14" s="1"/>
  <c r="AC702" i="12" s="1"/>
  <c r="AA513" i="12"/>
  <c r="AA511" i="12"/>
  <c r="AA509" i="12" s="1"/>
  <c r="AB513" i="12"/>
  <c r="AB511" i="12"/>
  <c r="AB509" i="12" s="1"/>
  <c r="AC697" i="12"/>
  <c r="AC698" i="12" s="1"/>
  <c r="AC512" i="12"/>
  <c r="AC462" i="12"/>
  <c r="AC460" i="12"/>
  <c r="AC494" i="12" s="1"/>
  <c r="AD465" i="12"/>
  <c r="AD467" i="12"/>
  <c r="AD464" i="12"/>
  <c r="AD461" i="12" s="1"/>
  <c r="AD460" i="12" s="1"/>
  <c r="AA698" i="12"/>
  <c r="AD275" i="12"/>
  <c r="AD277" i="12"/>
  <c r="AD279" i="12"/>
  <c r="AB495" i="12"/>
  <c r="AB497" i="12"/>
  <c r="AD471" i="12"/>
  <c r="Y108" i="71"/>
  <c r="AA387" i="12"/>
  <c r="AB387" i="12" s="1"/>
  <c r="AC387" i="12" s="1"/>
  <c r="AD387" i="12" s="1"/>
  <c r="CZ127" i="14"/>
  <c r="BJ21" i="77" s="1"/>
  <c r="CZ125" i="14"/>
  <c r="AC274" i="12"/>
  <c r="P197" i="33"/>
  <c r="P198" i="33"/>
  <c r="AP95" i="14"/>
  <c r="AP102" i="14" s="1"/>
  <c r="AO103" i="14"/>
  <c r="P218" i="33"/>
  <c r="Q211" i="33" s="1"/>
  <c r="I95" i="14"/>
  <c r="I102" i="14" s="1"/>
  <c r="H103" i="14"/>
  <c r="CP214" i="33"/>
  <c r="CP195" i="33" s="1"/>
  <c r="CP216" i="33"/>
  <c r="CP212" i="33"/>
  <c r="AG24" i="77"/>
  <c r="CQ89" i="90"/>
  <c r="W87" i="90"/>
  <c r="X108" i="71"/>
  <c r="X109" i="71" s="1"/>
  <c r="CF71" i="14"/>
  <c r="CG64" i="14"/>
  <c r="CF90" i="14"/>
  <c r="CE73" i="14"/>
  <c r="DC9" i="12"/>
  <c r="DU10" i="33" s="1"/>
  <c r="DU140" i="33" s="1"/>
  <c r="W490" i="12"/>
  <c r="W491" i="12"/>
  <c r="W519" i="12" s="1"/>
  <c r="V241" i="71" s="1"/>
  <c r="V242" i="71" s="1"/>
  <c r="CK239" i="12"/>
  <c r="W239" i="12" s="1"/>
  <c r="W240" i="12"/>
  <c r="DT10" i="33"/>
  <c r="Y689" i="12"/>
  <c r="W174" i="71"/>
  <c r="W175" i="71" s="1"/>
  <c r="X661" i="12"/>
  <c r="W173" i="71" s="1"/>
  <c r="X44" i="80"/>
  <c r="X45" i="80" s="1"/>
  <c r="CZ26" i="12"/>
  <c r="DR19" i="33"/>
  <c r="CZ107" i="14"/>
  <c r="CZ31" i="14" s="1"/>
  <c r="CZ33" i="14" s="1"/>
  <c r="DR22" i="33"/>
  <c r="DR23" i="33"/>
  <c r="DR147" i="33"/>
  <c r="Y678" i="12"/>
  <c r="Y685" i="12" s="1"/>
  <c r="X171" i="71" s="1"/>
  <c r="X172" i="71" s="1"/>
  <c r="W169" i="71"/>
  <c r="W170" i="71" s="1"/>
  <c r="X686" i="12"/>
  <c r="DB43" i="12"/>
  <c r="DB51" i="12"/>
  <c r="DB827" i="12"/>
  <c r="D218" i="65"/>
  <c r="D219" i="65" s="1"/>
  <c r="D220" i="65" s="1"/>
  <c r="D199" i="65"/>
  <c r="D201" i="65" s="1"/>
  <c r="CK241" i="12"/>
  <c r="V241" i="12"/>
  <c r="V242" i="12"/>
  <c r="CL240" i="12"/>
  <c r="CM166" i="12"/>
  <c r="CA30" i="48"/>
  <c r="CJ83" i="15"/>
  <c r="CJ88" i="15" s="1"/>
  <c r="CJ90" i="15" s="1"/>
  <c r="CJ92" i="15" s="1"/>
  <c r="CJ68" i="15"/>
  <c r="CJ103" i="15"/>
  <c r="CJ105" i="15" s="1"/>
  <c r="CJ107" i="15" s="1"/>
  <c r="CJ74" i="15"/>
  <c r="Y166" i="12"/>
  <c r="X240" i="12"/>
  <c r="S103" i="15"/>
  <c r="S105" i="15" s="1"/>
  <c r="S107" i="15" s="1"/>
  <c r="S74" i="15"/>
  <c r="S83" i="15"/>
  <c r="S88" i="15" s="1"/>
  <c r="S90" i="15" s="1"/>
  <c r="S92" i="15" s="1"/>
  <c r="S68" i="15"/>
  <c r="S30" i="48"/>
  <c r="CJ184" i="15"/>
  <c r="S179" i="15"/>
  <c r="S184" i="15" s="1"/>
  <c r="CU218" i="15"/>
  <c r="CU192" i="15"/>
  <c r="CU197" i="15"/>
  <c r="X384" i="12"/>
  <c r="U191" i="15"/>
  <c r="Z15" i="64"/>
  <c r="Z29" i="64" s="1"/>
  <c r="CO196" i="15"/>
  <c r="CO197" i="15"/>
  <c r="CP197" i="15"/>
  <c r="T195" i="15"/>
  <c r="CQ230" i="15"/>
  <c r="CQ231" i="15" s="1"/>
  <c r="AC24" i="77"/>
  <c r="CQ224" i="15"/>
  <c r="DI175" i="33"/>
  <c r="CR224" i="15"/>
  <c r="O73" i="33"/>
  <c r="CS196" i="15"/>
  <c r="CQ229" i="15"/>
  <c r="CR229" i="15"/>
  <c r="BB139" i="77"/>
  <c r="T222" i="15"/>
  <c r="T175" i="33" s="1"/>
  <c r="CQ223" i="15"/>
  <c r="AB25" i="77"/>
  <c r="CO217" i="15"/>
  <c r="CO227" i="15"/>
  <c r="CO222" i="15"/>
  <c r="CS223" i="15" s="1"/>
  <c r="CO218" i="15"/>
  <c r="CP218" i="15"/>
  <c r="CO76" i="15"/>
  <c r="CO78" i="15"/>
  <c r="CO81" i="15" s="1"/>
  <c r="U24" i="77"/>
  <c r="CI230" i="15"/>
  <c r="U25" i="77" s="1"/>
  <c r="CQ200" i="15"/>
  <c r="CR200" i="15"/>
  <c r="CO191" i="15"/>
  <c r="CO198" i="15"/>
  <c r="CS199" i="15" s="1"/>
  <c r="CP192" i="15"/>
  <c r="CO192" i="15"/>
  <c r="CQ228" i="15"/>
  <c r="T76" i="15"/>
  <c r="L127" i="53" s="1"/>
  <c r="T78" i="15"/>
  <c r="T81" i="15" s="1"/>
  <c r="L124" i="53" s="1"/>
  <c r="L155" i="53" s="1"/>
  <c r="V237" i="71"/>
  <c r="V238" i="71" s="1"/>
  <c r="CS230" i="15"/>
  <c r="AE25" i="77" s="1"/>
  <c r="DK175" i="33"/>
  <c r="CS224" i="15"/>
  <c r="CS200" i="15"/>
  <c r="CS229" i="15"/>
  <c r="CQ75" i="33"/>
  <c r="CQ80" i="33" s="1"/>
  <c r="W105" i="71"/>
  <c r="W106" i="71" s="1"/>
  <c r="CI118" i="33"/>
  <c r="CI80" i="33"/>
  <c r="Y25" i="77"/>
  <c r="N124" i="15"/>
  <c r="N128" i="15"/>
  <c r="N139" i="15" s="1"/>
  <c r="N142" i="15" s="1"/>
  <c r="W15" i="80"/>
  <c r="W16" i="80" s="1"/>
  <c r="X103" i="71"/>
  <c r="X104" i="71" s="1"/>
  <c r="CE81" i="90"/>
  <c r="CE83" i="90" s="1"/>
  <c r="CD323" i="90"/>
  <c r="CY34" i="90"/>
  <c r="CY32" i="90"/>
  <c r="CZ34" i="90" s="1"/>
  <c r="CZ32" i="90" s="1"/>
  <c r="BF15" i="14"/>
  <c r="BF28" i="14" s="1"/>
  <c r="BF75" i="14" s="1"/>
  <c r="BF112" i="14"/>
  <c r="CK117" i="90"/>
  <c r="CK119" i="90" s="1"/>
  <c r="CK326" i="90" s="1"/>
  <c r="E69" i="65"/>
  <c r="C205" i="65"/>
  <c r="C206" i="65" s="1"/>
  <c r="C207" i="65" s="1"/>
  <c r="C197" i="65"/>
  <c r="C200" i="65" s="1"/>
  <c r="C156" i="65"/>
  <c r="Q106" i="52"/>
  <c r="R74" i="52"/>
  <c r="W65" i="52"/>
  <c r="V97" i="52"/>
  <c r="U68" i="52"/>
  <c r="T100" i="52"/>
  <c r="M115" i="14"/>
  <c r="M15" i="90" s="1"/>
  <c r="M11" i="48"/>
  <c r="CK213" i="90"/>
  <c r="CK215" i="90" s="1"/>
  <c r="CK344" i="90" s="1"/>
  <c r="R73" i="52"/>
  <c r="Q105" i="52"/>
  <c r="L111" i="52"/>
  <c r="L80" i="52"/>
  <c r="O108" i="52"/>
  <c r="P76" i="52"/>
  <c r="CM203" i="90"/>
  <c r="CM205" i="90" s="1"/>
  <c r="CM342" i="90" s="1"/>
  <c r="V66" i="52"/>
  <c r="U98" i="52"/>
  <c r="V67" i="52"/>
  <c r="U99" i="52"/>
  <c r="N78" i="52"/>
  <c r="M110" i="52"/>
  <c r="M79" i="52"/>
  <c r="CK173" i="90"/>
  <c r="CK175" i="90" s="1"/>
  <c r="CK336" i="90" s="1"/>
  <c r="D197" i="65"/>
  <c r="D205" i="65"/>
  <c r="D206" i="65" s="1"/>
  <c r="D207" i="65" s="1"/>
  <c r="D156" i="65"/>
  <c r="CI158" i="90"/>
  <c r="CI160" i="90" s="1"/>
  <c r="CJ202" i="14"/>
  <c r="CJ203" i="14" s="1"/>
  <c r="CK200" i="14"/>
  <c r="CK193" i="90"/>
  <c r="CK195" i="90" s="1"/>
  <c r="CK340" i="90" s="1"/>
  <c r="F82" i="52"/>
  <c r="G112" i="52"/>
  <c r="S70" i="52"/>
  <c r="R102" i="52"/>
  <c r="X159" i="90"/>
  <c r="CD69" i="90"/>
  <c r="CD71" i="90" s="1"/>
  <c r="Z133" i="90"/>
  <c r="Z135" i="90" s="1"/>
  <c r="CH148" i="90"/>
  <c r="CH150" i="90" s="1"/>
  <c r="CH331" i="90" s="1"/>
  <c r="J110" i="52"/>
  <c r="K109" i="52"/>
  <c r="J79" i="52"/>
  <c r="CT252" i="90"/>
  <c r="CT254" i="90" s="1"/>
  <c r="CT359" i="90" s="1"/>
  <c r="CL198" i="90"/>
  <c r="CL200" i="90" s="1"/>
  <c r="CL342" i="90"/>
  <c r="N112" i="14"/>
  <c r="G76" i="65"/>
  <c r="G74" i="65" s="1"/>
  <c r="G73" i="65" s="1"/>
  <c r="N15" i="14"/>
  <c r="N28" i="14" s="1"/>
  <c r="N75" i="14" s="1"/>
  <c r="BE15" i="90"/>
  <c r="AV34" i="48"/>
  <c r="AV36" i="48" s="1"/>
  <c r="S72" i="52"/>
  <c r="R104" i="52"/>
  <c r="Z188" i="90"/>
  <c r="Z190" i="90" s="1"/>
  <c r="R210" i="90"/>
  <c r="CJ208" i="90"/>
  <c r="CJ210" i="90" s="1"/>
  <c r="CJ343" i="90" s="1"/>
  <c r="CI63" i="90"/>
  <c r="CI65" i="90" s="1"/>
  <c r="CI320" i="90"/>
  <c r="E111" i="52"/>
  <c r="E80" i="52"/>
  <c r="F110" i="52"/>
  <c r="R174" i="90"/>
  <c r="S173" i="90"/>
  <c r="S213" i="90"/>
  <c r="R214" i="90"/>
  <c r="CH333" i="90"/>
  <c r="CP197" i="33"/>
  <c r="CP198" i="33"/>
  <c r="T69" i="52"/>
  <c r="S101" i="52"/>
  <c r="Y94" i="52"/>
  <c r="S71" i="52"/>
  <c r="R103" i="52"/>
  <c r="V88" i="90"/>
  <c r="T53" i="90"/>
  <c r="CR51" i="90"/>
  <c r="CR52" i="90"/>
  <c r="CN95" i="90"/>
  <c r="CN94" i="90"/>
  <c r="BG8" i="14"/>
  <c r="BH69" i="15"/>
  <c r="BH70" i="15" s="1"/>
  <c r="EF70" i="15"/>
  <c r="EG69" i="15"/>
  <c r="EG70" i="15" s="1"/>
  <c r="EH69" i="15" s="1"/>
  <c r="Z153" i="90"/>
  <c r="Z155" i="90" s="1"/>
  <c r="CJ75" i="90"/>
  <c r="CJ77" i="90" s="1"/>
  <c r="CL46" i="90"/>
  <c r="CL45" i="90"/>
  <c r="O77" i="52"/>
  <c r="N109" i="52"/>
  <c r="CI168" i="90"/>
  <c r="CI170" i="90" s="1"/>
  <c r="CI335" i="90" s="1"/>
  <c r="F71" i="65"/>
  <c r="F96" i="65"/>
  <c r="F92" i="65" s="1"/>
  <c r="F89" i="65" s="1"/>
  <c r="G114" i="52"/>
  <c r="H113" i="52"/>
  <c r="H115" i="52" s="1"/>
  <c r="X64" i="52"/>
  <c r="W96" i="52"/>
  <c r="P107" i="52"/>
  <c r="Q75" i="52"/>
  <c r="S193" i="90"/>
  <c r="R194" i="90"/>
  <c r="R140" i="90"/>
  <c r="CJ138" i="90"/>
  <c r="CJ140" i="90" s="1"/>
  <c r="CJ329" i="90" s="1"/>
  <c r="S94" i="90"/>
  <c r="T93" i="90"/>
  <c r="CO75" i="33"/>
  <c r="CO80" i="33" s="1"/>
  <c r="V305" i="71"/>
  <c r="V306" i="71" s="1"/>
  <c r="X58" i="80"/>
  <c r="X59" i="80" s="1"/>
  <c r="X825" i="12"/>
  <c r="X826" i="12" s="1"/>
  <c r="W305" i="71" s="1"/>
  <c r="W235" i="71"/>
  <c r="W236" i="71" s="1"/>
  <c r="X515" i="12"/>
  <c r="Z377" i="12"/>
  <c r="Z376" i="12" s="1"/>
  <c r="Y30" i="80"/>
  <c r="Y31" i="80" s="1"/>
  <c r="Y509" i="12"/>
  <c r="Y508" i="12" s="1"/>
  <c r="X235" i="71" s="1"/>
  <c r="V353" i="12"/>
  <c r="V354" i="12" s="1"/>
  <c r="CJ355" i="12"/>
  <c r="CJ354" i="12"/>
  <c r="CK353" i="12"/>
  <c r="CK347" i="12"/>
  <c r="CL346" i="12"/>
  <c r="CT152" i="33"/>
  <c r="CL206" i="14"/>
  <c r="CL209" i="14" s="1"/>
  <c r="CK194" i="14"/>
  <c r="S80" i="14"/>
  <c r="T81" i="14" s="1"/>
  <c r="U89" i="14" s="1"/>
  <c r="T79" i="14"/>
  <c r="T87" i="14" s="1"/>
  <c r="T88" i="14"/>
  <c r="S88" i="14"/>
  <c r="X124" i="52"/>
  <c r="L211" i="65"/>
  <c r="L38" i="65"/>
  <c r="CU61" i="33"/>
  <c r="CU58" i="33"/>
  <c r="CS61" i="33"/>
  <c r="CS58" i="33"/>
  <c r="I238" i="65"/>
  <c r="I190" i="65"/>
  <c r="I95" i="65" s="1"/>
  <c r="I93" i="65" s="1"/>
  <c r="Q47" i="33"/>
  <c r="CW166" i="33"/>
  <c r="CV48" i="33"/>
  <c r="CV55" i="33"/>
  <c r="DA150" i="33"/>
  <c r="CV150" i="33"/>
  <c r="CV116" i="33"/>
  <c r="CN73" i="33"/>
  <c r="CN75" i="33" s="1"/>
  <c r="CN80" i="33" s="1"/>
  <c r="CK75" i="33"/>
  <c r="CK80" i="33" s="1"/>
  <c r="CT73" i="33"/>
  <c r="CT67" i="33"/>
  <c r="CT78" i="33"/>
  <c r="CT234" i="33"/>
  <c r="CT119" i="33"/>
  <c r="CY152" i="33"/>
  <c r="CB8" i="15"/>
  <c r="CB111" i="14"/>
  <c r="CB96" i="14" s="1"/>
  <c r="CT79" i="33"/>
  <c r="Z495" i="12"/>
  <c r="Z497" i="12"/>
  <c r="Z9" i="80"/>
  <c r="Z10" i="80" s="1"/>
  <c r="Z513" i="12"/>
  <c r="Z511" i="12"/>
  <c r="BR30" i="48"/>
  <c r="CA83" i="15"/>
  <c r="CA88" i="15" s="1"/>
  <c r="CA90" i="15" s="1"/>
  <c r="CA92" i="15" s="1"/>
  <c r="CA74" i="15"/>
  <c r="CA68" i="15"/>
  <c r="CR75" i="33"/>
  <c r="CR80" i="33" s="1"/>
  <c r="CK361" i="12"/>
  <c r="W361" i="12" s="1"/>
  <c r="CJ368" i="12"/>
  <c r="V361" i="12"/>
  <c r="P35" i="64"/>
  <c r="O386" i="71"/>
  <c r="BN30" i="48"/>
  <c r="BW74" i="15"/>
  <c r="BW83" i="15"/>
  <c r="BW88" i="15" s="1"/>
  <c r="BW90" i="15" s="1"/>
  <c r="BW92" i="15" s="1"/>
  <c r="BW68" i="15"/>
  <c r="BX32" i="15"/>
  <c r="P8" i="15"/>
  <c r="P32" i="15" s="1"/>
  <c r="BY78" i="15"/>
  <c r="BY81" i="15" s="1"/>
  <c r="BY76" i="15"/>
  <c r="CS73" i="33"/>
  <c r="O8" i="15"/>
  <c r="O32" i="15" s="1"/>
  <c r="O74" i="15" s="1"/>
  <c r="EE254" i="48"/>
  <c r="EB254" i="48"/>
  <c r="DZ310" i="48"/>
  <c r="I50" i="53"/>
  <c r="H55" i="53"/>
  <c r="BX86" i="14"/>
  <c r="BX90" i="14" s="1"/>
  <c r="CS99" i="33"/>
  <c r="CB86" i="14" s="1"/>
  <c r="CB90" i="14" s="1"/>
  <c r="BU83" i="15"/>
  <c r="BU88" i="15" s="1"/>
  <c r="BU90" i="15" s="1"/>
  <c r="BU92" i="15" s="1"/>
  <c r="BU68" i="15"/>
  <c r="BL30" i="48"/>
  <c r="BU74" i="15"/>
  <c r="P70" i="33"/>
  <c r="P72" i="33"/>
  <c r="P69" i="33"/>
  <c r="P71" i="33"/>
  <c r="BZ74" i="15"/>
  <c r="BQ30" i="48"/>
  <c r="BZ68" i="15"/>
  <c r="BZ83" i="15"/>
  <c r="BZ88" i="15" s="1"/>
  <c r="BZ90" i="15" s="1"/>
  <c r="BZ92" i="15" s="1"/>
  <c r="M23" i="57"/>
  <c r="O23" i="57"/>
  <c r="CP234" i="33"/>
  <c r="CP235" i="33" s="1"/>
  <c r="CQ233" i="33" s="1"/>
  <c r="CQ234" i="33" s="1"/>
  <c r="CQ235" i="33" s="1"/>
  <c r="CR233" i="33" s="1"/>
  <c r="CR234" i="33" s="1"/>
  <c r="P118" i="33"/>
  <c r="P63" i="33"/>
  <c r="P152" i="33" s="1"/>
  <c r="CT76" i="15"/>
  <c r="CT78" i="15"/>
  <c r="CV196" i="15"/>
  <c r="CV197" i="15"/>
  <c r="CV78" i="15"/>
  <c r="CV76" i="15"/>
  <c r="CU228" i="15"/>
  <c r="U76" i="15"/>
  <c r="M127" i="53" s="1"/>
  <c r="U78" i="15"/>
  <c r="BB94" i="77"/>
  <c r="U217" i="15"/>
  <c r="U222" i="15"/>
  <c r="N16" i="56"/>
  <c r="J127" i="53"/>
  <c r="X25" i="77"/>
  <c r="CL232" i="15"/>
  <c r="CP231" i="15"/>
  <c r="CM232" i="15"/>
  <c r="CU230" i="15"/>
  <c r="DM175" i="33"/>
  <c r="CU223" i="15"/>
  <c r="BV83" i="15"/>
  <c r="BV88" i="15" s="1"/>
  <c r="BV90" i="15" s="1"/>
  <c r="BV92" i="15" s="1"/>
  <c r="BV74" i="15"/>
  <c r="BM30" i="48"/>
  <c r="BV68" i="15"/>
  <c r="CV198" i="15"/>
  <c r="CV192" i="15"/>
  <c r="CV191" i="15"/>
  <c r="V173" i="71"/>
  <c r="V176" i="71" s="1"/>
  <c r="CT191" i="15"/>
  <c r="CT198" i="15"/>
  <c r="CT192" i="15"/>
  <c r="CU199" i="15"/>
  <c r="I210" i="65"/>
  <c r="L210" i="65"/>
  <c r="K210" i="65"/>
  <c r="H210" i="65"/>
  <c r="J210" i="65"/>
  <c r="CV222" i="15"/>
  <c r="AH24" i="77" s="1"/>
  <c r="CV227" i="15"/>
  <c r="CV218" i="15"/>
  <c r="CV217" i="15"/>
  <c r="CT196" i="15"/>
  <c r="CT197" i="15"/>
  <c r="U195" i="15"/>
  <c r="S25" i="77"/>
  <c r="N215" i="65"/>
  <c r="O215" i="65"/>
  <c r="Z25" i="77"/>
  <c r="CN232" i="15"/>
  <c r="J161" i="53"/>
  <c r="J163" i="53" s="1"/>
  <c r="CT227" i="15"/>
  <c r="CT222" i="15"/>
  <c r="AF24" i="77" s="1"/>
  <c r="CT217" i="15"/>
  <c r="CT218" i="15"/>
  <c r="W172" i="71"/>
  <c r="O78" i="33"/>
  <c r="O111" i="14"/>
  <c r="O96" i="14" s="1"/>
  <c r="O119" i="33"/>
  <c r="O152" i="33"/>
  <c r="O79" i="33"/>
  <c r="O118" i="15"/>
  <c r="O121" i="15" s="1"/>
  <c r="O67" i="33"/>
  <c r="W107" i="71"/>
  <c r="X105" i="71"/>
  <c r="Y384" i="12"/>
  <c r="Y290" i="12"/>
  <c r="CP300" i="90"/>
  <c r="CP302" i="90" s="1"/>
  <c r="CP366" i="90" s="1"/>
  <c r="CP218" i="33" l="1"/>
  <c r="CV355" i="90"/>
  <c r="CL219" i="90"/>
  <c r="CL218" i="90"/>
  <c r="CL220" i="90" s="1"/>
  <c r="CL356" i="90" s="1"/>
  <c r="CK356" i="90"/>
  <c r="CW361" i="90"/>
  <c r="CX264" i="90"/>
  <c r="DA258" i="90"/>
  <c r="DA260" i="90" s="1"/>
  <c r="DB258" i="90" s="1"/>
  <c r="DB260" i="90" s="1"/>
  <c r="D113" i="52"/>
  <c r="D82" i="52"/>
  <c r="D114" i="52" s="1"/>
  <c r="D115" i="52" s="1"/>
  <c r="D38" i="52" s="1"/>
  <c r="I111" i="52"/>
  <c r="I80" i="52"/>
  <c r="DA34" i="90"/>
  <c r="CT230" i="12"/>
  <c r="CT232" i="12"/>
  <c r="AD258" i="90"/>
  <c r="AD260" i="90" s="1"/>
  <c r="AD360" i="90" s="1"/>
  <c r="R41" i="90"/>
  <c r="CJ40" i="90"/>
  <c r="CJ39" i="90"/>
  <c r="CO26" i="90"/>
  <c r="W29" i="90"/>
  <c r="CN28" i="90"/>
  <c r="W28" i="90" s="1"/>
  <c r="CO29" i="90"/>
  <c r="BZ35" i="90"/>
  <c r="BZ319" i="90" s="1"/>
  <c r="CA33" i="90"/>
  <c r="AD379" i="12"/>
  <c r="AD377" i="12" s="1"/>
  <c r="AD381" i="12"/>
  <c r="CU231" i="12"/>
  <c r="CU232" i="12" s="1"/>
  <c r="CV165" i="12"/>
  <c r="CZ360" i="90"/>
  <c r="Z681" i="12"/>
  <c r="Z679" i="12" s="1"/>
  <c r="Z678" i="12" s="1"/>
  <c r="Y169" i="71" s="1"/>
  <c r="DR146" i="33"/>
  <c r="CW246" i="90"/>
  <c r="CW248" i="90" s="1"/>
  <c r="CW355" i="90" s="1"/>
  <c r="CH329" i="90"/>
  <c r="CL338" i="90"/>
  <c r="CM183" i="90"/>
  <c r="CM185" i="90" s="1"/>
  <c r="Z332" i="90"/>
  <c r="AA153" i="90"/>
  <c r="AA155" i="90" s="1"/>
  <c r="AA332" i="90" s="1"/>
  <c r="Z328" i="90"/>
  <c r="AA133" i="90"/>
  <c r="AA135" i="90" s="1"/>
  <c r="AA328" i="90"/>
  <c r="AC163" i="90"/>
  <c r="AC165" i="90" s="1"/>
  <c r="AC334" i="90" s="1"/>
  <c r="AB143" i="90"/>
  <c r="AB145" i="90" s="1"/>
  <c r="AB330" i="90" s="1"/>
  <c r="Z339" i="90"/>
  <c r="AA188" i="90"/>
  <c r="AA190" i="90" s="1"/>
  <c r="AA339" i="90" s="1"/>
  <c r="W209" i="90"/>
  <c r="X209" i="90" s="1"/>
  <c r="Y209" i="90" s="1"/>
  <c r="Z209" i="90" s="1"/>
  <c r="AA209" i="90" s="1"/>
  <c r="AA330" i="90"/>
  <c r="CK111" i="90"/>
  <c r="CK113" i="90" s="1"/>
  <c r="CK325" i="90" s="1"/>
  <c r="AC667" i="12"/>
  <c r="AA681" i="12"/>
  <c r="AA679" i="12" s="1"/>
  <c r="AA683" i="12"/>
  <c r="AB681" i="12"/>
  <c r="AB683" i="12"/>
  <c r="AD681" i="12"/>
  <c r="AD679" i="12" s="1"/>
  <c r="AD683" i="12"/>
  <c r="AA667" i="12"/>
  <c r="AB665" i="12"/>
  <c r="AD664" i="12"/>
  <c r="AD512" i="12"/>
  <c r="AD697" i="12"/>
  <c r="AD698" i="12" s="1"/>
  <c r="AD462" i="12"/>
  <c r="AD494" i="12"/>
  <c r="AD497" i="12" s="1"/>
  <c r="AC511" i="12"/>
  <c r="AC513" i="12"/>
  <c r="Y109" i="71"/>
  <c r="X169" i="71"/>
  <c r="X170" i="71" s="1"/>
  <c r="Y686" i="12"/>
  <c r="AC497" i="12"/>
  <c r="AC495" i="12"/>
  <c r="CZ133" i="14"/>
  <c r="B174" i="14" s="1"/>
  <c r="Z30" i="80"/>
  <c r="Z31" i="80" s="1"/>
  <c r="AA376" i="12"/>
  <c r="CZ104" i="15"/>
  <c r="CZ209" i="15"/>
  <c r="AD274" i="12"/>
  <c r="J95" i="14"/>
  <c r="J102" i="14" s="1"/>
  <c r="I103" i="14"/>
  <c r="AP103" i="14"/>
  <c r="AQ95" i="14"/>
  <c r="AQ102" i="14" s="1"/>
  <c r="Q214" i="33"/>
  <c r="Q195" i="33" s="1"/>
  <c r="Q216" i="33"/>
  <c r="Q212" i="33"/>
  <c r="P199" i="33"/>
  <c r="D200" i="65"/>
  <c r="AG25" i="77"/>
  <c r="CR87" i="90"/>
  <c r="CR89" i="90" s="1"/>
  <c r="CS87" i="90" s="1"/>
  <c r="CS89" i="90" s="1"/>
  <c r="CT87" i="90" s="1"/>
  <c r="CT89" i="90" s="1"/>
  <c r="CU87" i="90" s="1"/>
  <c r="CU89" i="90" s="1"/>
  <c r="CV87" i="90" s="1"/>
  <c r="CV89" i="90" s="1"/>
  <c r="CW87" i="90" s="1"/>
  <c r="CW89" i="90" s="1"/>
  <c r="CX87" i="90" s="1"/>
  <c r="CX89" i="90" s="1"/>
  <c r="CY87" i="90" s="1"/>
  <c r="CY89" i="90" s="1"/>
  <c r="CZ87" i="90" s="1"/>
  <c r="CZ89" i="90" s="1"/>
  <c r="DA87" i="90" s="1"/>
  <c r="DA89" i="90" s="1"/>
  <c r="DB87" i="90" s="1"/>
  <c r="DB89" i="90" s="1"/>
  <c r="DC87" i="90" s="1"/>
  <c r="DC89" i="90" s="1"/>
  <c r="W89" i="90"/>
  <c r="DC51" i="12"/>
  <c r="CG71" i="14"/>
  <c r="CH64" i="14"/>
  <c r="CF73" i="14"/>
  <c r="CG90" i="14"/>
  <c r="W9" i="12"/>
  <c r="W10" i="33" s="1"/>
  <c r="W140" i="33" s="1"/>
  <c r="W368" i="12"/>
  <c r="DC43" i="12"/>
  <c r="DC827" i="12"/>
  <c r="DC830" i="12" s="1"/>
  <c r="X519" i="12"/>
  <c r="Y519" i="12" s="1"/>
  <c r="X241" i="71" s="1"/>
  <c r="X106" i="71"/>
  <c r="W176" i="71"/>
  <c r="W178" i="71" s="1"/>
  <c r="Y44" i="80"/>
  <c r="Y45" i="80" s="1"/>
  <c r="X660" i="12"/>
  <c r="Y661" i="12"/>
  <c r="Y660" i="12" s="1"/>
  <c r="X239" i="12"/>
  <c r="Z689" i="12"/>
  <c r="X174" i="71"/>
  <c r="X175" i="71" s="1"/>
  <c r="W354" i="12"/>
  <c r="DT140" i="33"/>
  <c r="DU156" i="33"/>
  <c r="DT156" i="33"/>
  <c r="W242" i="12"/>
  <c r="W241" i="12"/>
  <c r="DR109" i="33"/>
  <c r="DR108" i="33"/>
  <c r="DR37" i="33"/>
  <c r="BJ16" i="77" s="1"/>
  <c r="DR20" i="33"/>
  <c r="BJ14" i="77" s="1"/>
  <c r="DR238" i="33"/>
  <c r="DB829" i="12"/>
  <c r="DB830" i="12"/>
  <c r="R230" i="15"/>
  <c r="Q405" i="71" s="1"/>
  <c r="Q428" i="71" s="1"/>
  <c r="O75" i="33"/>
  <c r="O80" i="33" s="1"/>
  <c r="S190" i="15"/>
  <c r="S185" i="15"/>
  <c r="T185" i="15"/>
  <c r="CN185" i="15"/>
  <c r="CJ195" i="15"/>
  <c r="CJ216" i="15"/>
  <c r="CK186" i="15"/>
  <c r="CJ190" i="15"/>
  <c r="X241" i="12"/>
  <c r="CM240" i="12"/>
  <c r="CM239" i="12" s="1"/>
  <c r="CN166" i="12"/>
  <c r="Y240" i="12"/>
  <c r="Y239" i="12" s="1"/>
  <c r="Z166" i="12"/>
  <c r="CL241" i="12"/>
  <c r="CL239" i="12"/>
  <c r="S76" i="15"/>
  <c r="K127" i="53" s="1"/>
  <c r="S78" i="15"/>
  <c r="S81" i="15" s="1"/>
  <c r="K124" i="53" s="1"/>
  <c r="K155" i="53" s="1"/>
  <c r="CJ78" i="15"/>
  <c r="CJ81" i="15" s="1"/>
  <c r="CJ76" i="15"/>
  <c r="Z27" i="64"/>
  <c r="Z16" i="64"/>
  <c r="CO228" i="15"/>
  <c r="T227" i="15"/>
  <c r="CP229" i="15"/>
  <c r="CO229" i="15"/>
  <c r="U196" i="15"/>
  <c r="L128" i="53"/>
  <c r="L158" i="53"/>
  <c r="CO199" i="15"/>
  <c r="CP200" i="15"/>
  <c r="T198" i="15"/>
  <c r="CO200" i="15"/>
  <c r="CS228" i="15"/>
  <c r="AA24" i="77"/>
  <c r="CO230" i="15"/>
  <c r="CO223" i="15"/>
  <c r="DG175" i="33"/>
  <c r="CP224" i="15"/>
  <c r="CO224" i="15"/>
  <c r="CQ232" i="15"/>
  <c r="AC25" i="77"/>
  <c r="CR232" i="15"/>
  <c r="V239" i="71"/>
  <c r="V243" i="71" s="1"/>
  <c r="W110" i="71"/>
  <c r="W111" i="71" s="1"/>
  <c r="CS232" i="15"/>
  <c r="W237" i="71"/>
  <c r="W238" i="71" s="1"/>
  <c r="Y515" i="12"/>
  <c r="Y516" i="12" s="1"/>
  <c r="X516" i="12"/>
  <c r="CU224" i="15"/>
  <c r="Y103" i="71"/>
  <c r="Y104" i="71" s="1"/>
  <c r="W306" i="71"/>
  <c r="Q107" i="52"/>
  <c r="R75" i="52"/>
  <c r="F69" i="65"/>
  <c r="BG112" i="14"/>
  <c r="BG15" i="14"/>
  <c r="BG28" i="14" s="1"/>
  <c r="BG75" i="14" s="1"/>
  <c r="CP199" i="33"/>
  <c r="CK208" i="90"/>
  <c r="CK210" i="90" s="1"/>
  <c r="CK343" i="90" s="1"/>
  <c r="N79" i="52"/>
  <c r="M111" i="52"/>
  <c r="M80" i="52"/>
  <c r="W67" i="52"/>
  <c r="V99" i="52"/>
  <c r="W66" i="52"/>
  <c r="V98" i="52"/>
  <c r="Q76" i="52"/>
  <c r="P108" i="52"/>
  <c r="V68" i="52"/>
  <c r="U100" i="52"/>
  <c r="E218" i="65"/>
  <c r="E219" i="65" s="1"/>
  <c r="E220" i="65" s="1"/>
  <c r="E199" i="65"/>
  <c r="E36" i="65"/>
  <c r="CK138" i="90"/>
  <c r="CK140" i="90" s="1"/>
  <c r="CK329" i="90" s="1"/>
  <c r="O109" i="52"/>
  <c r="P77" i="52"/>
  <c r="CK75" i="90"/>
  <c r="CK77" i="90" s="1"/>
  <c r="CK322" i="90" s="1"/>
  <c r="EI69" i="15"/>
  <c r="EH70" i="15"/>
  <c r="CO93" i="90"/>
  <c r="CN352" i="90"/>
  <c r="T71" i="52"/>
  <c r="S103" i="52"/>
  <c r="U69" i="52"/>
  <c r="T101" i="52"/>
  <c r="E112" i="52"/>
  <c r="E81" i="52"/>
  <c r="F111" i="52"/>
  <c r="S208" i="90"/>
  <c r="R209" i="90"/>
  <c r="CM198" i="90"/>
  <c r="CM200" i="90" s="1"/>
  <c r="CM341" i="90" s="1"/>
  <c r="J111" i="52"/>
  <c r="K110" i="52"/>
  <c r="J80" i="52"/>
  <c r="CI148" i="90"/>
  <c r="CI150" i="90" s="1"/>
  <c r="CI331" i="90" s="1"/>
  <c r="CE69" i="90"/>
  <c r="CE71" i="90" s="1"/>
  <c r="CE321" i="90" s="1"/>
  <c r="S102" i="52"/>
  <c r="T70" i="52"/>
  <c r="R160" i="90"/>
  <c r="CJ158" i="90"/>
  <c r="CJ160" i="90" s="1"/>
  <c r="CJ333" i="90" s="1"/>
  <c r="X252" i="90"/>
  <c r="X254" i="90" s="1"/>
  <c r="X359" i="90" s="1"/>
  <c r="AW34" i="48"/>
  <c r="AW36" i="48" s="1"/>
  <c r="BF15" i="90"/>
  <c r="S138" i="90"/>
  <c r="R139" i="90"/>
  <c r="X75" i="90"/>
  <c r="X77" i="90" s="1"/>
  <c r="X322" i="90" s="1"/>
  <c r="H17" i="52"/>
  <c r="H38" i="52"/>
  <c r="CL47" i="90"/>
  <c r="CJ322" i="90"/>
  <c r="CR53" i="90"/>
  <c r="CJ63" i="90"/>
  <c r="CJ65" i="90" s="1"/>
  <c r="CJ320" i="90" s="1"/>
  <c r="T72" i="52"/>
  <c r="S104" i="52"/>
  <c r="G96" i="65"/>
  <c r="G92" i="65" s="1"/>
  <c r="G89" i="65" s="1"/>
  <c r="G71" i="65"/>
  <c r="CL341" i="90"/>
  <c r="CD321" i="90"/>
  <c r="Y159" i="90"/>
  <c r="X219" i="90"/>
  <c r="CI333" i="90"/>
  <c r="CL173" i="90"/>
  <c r="CL175" i="90" s="1"/>
  <c r="CL336" i="90" s="1"/>
  <c r="N110" i="52"/>
  <c r="O78" i="52"/>
  <c r="S205" i="90"/>
  <c r="CN203" i="90"/>
  <c r="CN205" i="90" s="1"/>
  <c r="L112" i="52"/>
  <c r="L81" i="52"/>
  <c r="S73" i="52"/>
  <c r="R105" i="52"/>
  <c r="X65" i="52"/>
  <c r="W97" i="52"/>
  <c r="CL117" i="90"/>
  <c r="CL119" i="90" s="1"/>
  <c r="CL326" i="90" s="1"/>
  <c r="CF82" i="90"/>
  <c r="Q83" i="90"/>
  <c r="CF81" i="90"/>
  <c r="Y64" i="52"/>
  <c r="X96" i="52"/>
  <c r="R170" i="90"/>
  <c r="CJ168" i="90"/>
  <c r="CJ170" i="90" s="1"/>
  <c r="CJ335" i="90" s="1"/>
  <c r="BH8" i="14"/>
  <c r="BI69" i="15"/>
  <c r="BI70" i="15" s="1"/>
  <c r="N11" i="48"/>
  <c r="N115" i="14"/>
  <c r="N15" i="90" s="1"/>
  <c r="CU252" i="90"/>
  <c r="CU254" i="90" s="1"/>
  <c r="F114" i="52"/>
  <c r="G113" i="52"/>
  <c r="G115" i="52" s="1"/>
  <c r="CL193" i="90"/>
  <c r="CL195" i="90" s="1"/>
  <c r="CK202" i="14"/>
  <c r="CK203" i="14" s="1"/>
  <c r="CL200" i="14"/>
  <c r="Y95" i="52"/>
  <c r="CL213" i="90"/>
  <c r="CL215" i="90" s="1"/>
  <c r="CL344" i="90" s="1"/>
  <c r="S74" i="52"/>
  <c r="R106" i="52"/>
  <c r="CE323" i="90"/>
  <c r="Y58" i="80"/>
  <c r="Y59" i="80" s="1"/>
  <c r="X15" i="80"/>
  <c r="X16" i="80" s="1"/>
  <c r="W303" i="71"/>
  <c r="W304" i="71" s="1"/>
  <c r="X236" i="71"/>
  <c r="Z383" i="12"/>
  <c r="Y105" i="71" s="1"/>
  <c r="Y106" i="71" s="1"/>
  <c r="Y825" i="12"/>
  <c r="Y826" i="12" s="1"/>
  <c r="X305" i="71" s="1"/>
  <c r="X306" i="71" s="1"/>
  <c r="Z509" i="12"/>
  <c r="Z508" i="12" s="1"/>
  <c r="CL353" i="12"/>
  <c r="CL347" i="12"/>
  <c r="CM346" i="12"/>
  <c r="X346" i="12"/>
  <c r="CK355" i="12"/>
  <c r="CK354" i="12"/>
  <c r="L214" i="65"/>
  <c r="L223" i="65" s="1"/>
  <c r="H212" i="65"/>
  <c r="L212" i="65"/>
  <c r="K212" i="65"/>
  <c r="J212" i="65"/>
  <c r="I212" i="65"/>
  <c r="N213" i="65"/>
  <c r="Y124" i="52"/>
  <c r="CL194" i="14"/>
  <c r="CM206" i="14"/>
  <c r="CM209" i="14" s="1"/>
  <c r="L91" i="65"/>
  <c r="L198" i="65"/>
  <c r="Q55" i="33"/>
  <c r="Q65" i="80"/>
  <c r="Q67" i="80" s="1"/>
  <c r="I30" i="53"/>
  <c r="I34" i="53" s="1"/>
  <c r="Q48" i="33"/>
  <c r="AL150" i="33"/>
  <c r="R150" i="33"/>
  <c r="Q116" i="33"/>
  <c r="Q150" i="33"/>
  <c r="CT75" i="33"/>
  <c r="CT80" i="33" s="1"/>
  <c r="CU69" i="33"/>
  <c r="CU70" i="33"/>
  <c r="CU71" i="33"/>
  <c r="CU72" i="33"/>
  <c r="CX151" i="33"/>
  <c r="CS151" i="33"/>
  <c r="CS167" i="33"/>
  <c r="CS100" i="33"/>
  <c r="CS63" i="33"/>
  <c r="CV58" i="33"/>
  <c r="CV61" i="33"/>
  <c r="CU63" i="33"/>
  <c r="CU151" i="33"/>
  <c r="CU167" i="33"/>
  <c r="CU118" i="33"/>
  <c r="CU100" i="33"/>
  <c r="CZ151" i="33"/>
  <c r="CB32" i="15"/>
  <c r="CN118" i="33"/>
  <c r="O103" i="15"/>
  <c r="O105" i="15" s="1"/>
  <c r="O107" i="15" s="1"/>
  <c r="O145" i="15"/>
  <c r="O147" i="15" s="1"/>
  <c r="O149" i="15" s="1"/>
  <c r="CK368" i="12"/>
  <c r="CL361" i="12"/>
  <c r="CA78" i="15"/>
  <c r="CA81" i="15" s="1"/>
  <c r="CA76" i="15"/>
  <c r="V368" i="12"/>
  <c r="O68" i="15"/>
  <c r="O70" i="15" s="1"/>
  <c r="P69" i="15" s="1"/>
  <c r="BU76" i="15"/>
  <c r="BU78" i="15"/>
  <c r="BU81" i="15" s="1"/>
  <c r="EE310" i="48"/>
  <c r="EB310" i="48"/>
  <c r="BO30" i="48"/>
  <c r="BX68" i="15"/>
  <c r="BX74" i="15"/>
  <c r="BX83" i="15"/>
  <c r="BX88" i="15" s="1"/>
  <c r="BX90" i="15" s="1"/>
  <c r="BX92" i="15" s="1"/>
  <c r="P145" i="15"/>
  <c r="P147" i="15" s="1"/>
  <c r="P149" i="15" s="1"/>
  <c r="P83" i="15"/>
  <c r="P88" i="15" s="1"/>
  <c r="P90" i="15" s="1"/>
  <c r="P92" i="15" s="1"/>
  <c r="P68" i="15"/>
  <c r="P103" i="15"/>
  <c r="P105" i="15" s="1"/>
  <c r="P107" i="15" s="1"/>
  <c r="P30" i="48"/>
  <c r="P74" i="15"/>
  <c r="O30" i="48"/>
  <c r="P73" i="33"/>
  <c r="O83" i="15"/>
  <c r="O88" i="15" s="1"/>
  <c r="O90" i="15" s="1"/>
  <c r="O92" i="15" s="1"/>
  <c r="P67" i="33"/>
  <c r="P78" i="33"/>
  <c r="P118" i="15"/>
  <c r="P121" i="15" s="1"/>
  <c r="P122" i="15" s="1"/>
  <c r="P79" i="33"/>
  <c r="P111" i="14"/>
  <c r="P96" i="14" s="1"/>
  <c r="P119" i="33"/>
  <c r="BZ76" i="15"/>
  <c r="BZ78" i="15"/>
  <c r="BZ81" i="15" s="1"/>
  <c r="BW78" i="15"/>
  <c r="BW81" i="15" s="1"/>
  <c r="BW76" i="15"/>
  <c r="CT199" i="15"/>
  <c r="CT200" i="15"/>
  <c r="U198" i="15"/>
  <c r="U223" i="15"/>
  <c r="U175" i="33"/>
  <c r="CT228" i="15"/>
  <c r="CT229" i="15"/>
  <c r="U227" i="15"/>
  <c r="DN175" i="33"/>
  <c r="CV224" i="15"/>
  <c r="CV223" i="15"/>
  <c r="CV230" i="15"/>
  <c r="AH25" i="77" s="1"/>
  <c r="O78" i="15"/>
  <c r="O81" i="15" s="1"/>
  <c r="G124" i="53" s="1"/>
  <c r="G155" i="53" s="1"/>
  <c r="O76" i="15"/>
  <c r="G127" i="53" s="1"/>
  <c r="CV229" i="15"/>
  <c r="CV228" i="15"/>
  <c r="V178" i="71"/>
  <c r="V179" i="71" s="1"/>
  <c r="V177" i="71"/>
  <c r="BV78" i="15"/>
  <c r="BV81" i="15" s="1"/>
  <c r="BV76" i="15"/>
  <c r="CU231" i="15"/>
  <c r="O124" i="15"/>
  <c r="O122" i="15"/>
  <c r="O128" i="15"/>
  <c r="O139" i="15" s="1"/>
  <c r="J158" i="53"/>
  <c r="J128" i="53"/>
  <c r="M158" i="53"/>
  <c r="M128" i="53"/>
  <c r="CT223" i="15"/>
  <c r="DL175" i="33"/>
  <c r="CT224" i="15"/>
  <c r="CT230" i="15"/>
  <c r="AF25" i="77" s="1"/>
  <c r="BT71" i="48"/>
  <c r="O167" i="33"/>
  <c r="CU200" i="15"/>
  <c r="CV200" i="15"/>
  <c r="CV199" i="15"/>
  <c r="CU229" i="15"/>
  <c r="X107" i="71"/>
  <c r="X110" i="71" s="1"/>
  <c r="CQ300" i="90"/>
  <c r="CQ302" i="90" s="1"/>
  <c r="CQ366" i="90" s="1"/>
  <c r="CU230" i="12" l="1"/>
  <c r="Z240" i="12"/>
  <c r="AA166" i="12"/>
  <c r="CV231" i="12"/>
  <c r="CW165" i="12"/>
  <c r="CA35" i="90"/>
  <c r="CB33" i="90"/>
  <c r="X29" i="90"/>
  <c r="X26" i="90"/>
  <c r="S39" i="90"/>
  <c r="R40" i="90"/>
  <c r="DA32" i="90"/>
  <c r="I112" i="52"/>
  <c r="I81" i="52"/>
  <c r="DA360" i="90"/>
  <c r="CO28" i="90"/>
  <c r="CP26" i="90"/>
  <c r="CP29" i="90"/>
  <c r="CJ41" i="90"/>
  <c r="DB360" i="90"/>
  <c r="DC258" i="90"/>
  <c r="DC260" i="90" s="1"/>
  <c r="DC360" i="90" s="1"/>
  <c r="CM219" i="90"/>
  <c r="CM218" i="90"/>
  <c r="CM220" i="90" s="1"/>
  <c r="CP222" i="33"/>
  <c r="CP223" i="33" s="1"/>
  <c r="CQ211" i="33"/>
  <c r="CW358" i="90"/>
  <c r="CX246" i="90"/>
  <c r="CM338" i="90"/>
  <c r="S185" i="90"/>
  <c r="CN183" i="90"/>
  <c r="CN185" i="90" s="1"/>
  <c r="CL111" i="90"/>
  <c r="CL113" i="90" s="1"/>
  <c r="CL325" i="90" s="1"/>
  <c r="AB188" i="90"/>
  <c r="AB190" i="90" s="1"/>
  <c r="AB339" i="90" s="1"/>
  <c r="AD163" i="90"/>
  <c r="AD165" i="90" s="1"/>
  <c r="AD334" i="90"/>
  <c r="AB209" i="90"/>
  <c r="AB153" i="90"/>
  <c r="AB155" i="90" s="1"/>
  <c r="AB332" i="90" s="1"/>
  <c r="AC143" i="90"/>
  <c r="AC145" i="90" s="1"/>
  <c r="AD143" i="90" s="1"/>
  <c r="AD145" i="90" s="1"/>
  <c r="AD330" i="90" s="1"/>
  <c r="AB133" i="90"/>
  <c r="AB135" i="90" s="1"/>
  <c r="AB328" i="90" s="1"/>
  <c r="AC509" i="12"/>
  <c r="AB679" i="12"/>
  <c r="AD667" i="12"/>
  <c r="AD665" i="12"/>
  <c r="AD495" i="12"/>
  <c r="AD511" i="12"/>
  <c r="AD513" i="12"/>
  <c r="Y170" i="71"/>
  <c r="Y174" i="71"/>
  <c r="Y175" i="71" s="1"/>
  <c r="AA689" i="12"/>
  <c r="Z685" i="12"/>
  <c r="Z661" i="12" s="1"/>
  <c r="Z660" i="12" s="1"/>
  <c r="AA678" i="12"/>
  <c r="AA685" i="12" s="1"/>
  <c r="AA508" i="12"/>
  <c r="AA515" i="12" s="1"/>
  <c r="CZ134" i="14"/>
  <c r="BJ18" i="77"/>
  <c r="CZ38" i="15"/>
  <c r="CZ43" i="15" s="1"/>
  <c r="AB376" i="12"/>
  <c r="AB383" i="12" s="1"/>
  <c r="AA383" i="12"/>
  <c r="Z825" i="12"/>
  <c r="Z826" i="12" s="1"/>
  <c r="Y305" i="71" s="1"/>
  <c r="Y306" i="71" s="1"/>
  <c r="Q218" i="33"/>
  <c r="R211" i="33" s="1"/>
  <c r="R216" i="33" s="1"/>
  <c r="AQ103" i="14"/>
  <c r="AR95" i="14"/>
  <c r="AR102" i="14" s="1"/>
  <c r="Q198" i="33"/>
  <c r="Q197" i="33"/>
  <c r="K95" i="14"/>
  <c r="K102" i="14" s="1"/>
  <c r="J103" i="14"/>
  <c r="W88" i="90"/>
  <c r="X87" i="90"/>
  <c r="X89" i="90" s="1"/>
  <c r="Y87" i="90" s="1"/>
  <c r="Y89" i="90" s="1"/>
  <c r="Z87" i="90" s="1"/>
  <c r="Z89" i="90" s="1"/>
  <c r="AA87" i="90" s="1"/>
  <c r="AA89" i="90" s="1"/>
  <c r="AB87" i="90" s="1"/>
  <c r="AB89" i="90" s="1"/>
  <c r="AC87" i="90" s="1"/>
  <c r="AC89" i="90" s="1"/>
  <c r="AD87" i="90" s="1"/>
  <c r="AD89" i="90" s="1"/>
  <c r="DA174" i="14"/>
  <c r="DD174" i="14"/>
  <c r="CZ174" i="14"/>
  <c r="DC174" i="14"/>
  <c r="DB174" i="14"/>
  <c r="CH71" i="14"/>
  <c r="CI64" i="14"/>
  <c r="CG73" i="14"/>
  <c r="CH90" i="14"/>
  <c r="W827" i="12"/>
  <c r="W829" i="12" s="1"/>
  <c r="W43" i="12"/>
  <c r="DC829" i="12"/>
  <c r="Z519" i="12"/>
  <c r="X491" i="12"/>
  <c r="W241" i="71"/>
  <c r="W242" i="71" s="1"/>
  <c r="X173" i="71"/>
  <c r="X176" i="71" s="1"/>
  <c r="X178" i="71" s="1"/>
  <c r="X179" i="71" s="1"/>
  <c r="W177" i="71"/>
  <c r="Z44" i="80"/>
  <c r="Z45" i="80" s="1"/>
  <c r="DR239" i="33"/>
  <c r="CZ110" i="14"/>
  <c r="CZ94" i="15" s="1"/>
  <c r="CZ99" i="15" s="1"/>
  <c r="DR40" i="33"/>
  <c r="DR42" i="33"/>
  <c r="V240" i="71"/>
  <c r="W112" i="71"/>
  <c r="W113" i="71" s="1"/>
  <c r="V307" i="71"/>
  <c r="V310" i="71" s="1"/>
  <c r="V311" i="71" s="1"/>
  <c r="Z241" i="12"/>
  <c r="CN240" i="12"/>
  <c r="CN239" i="12" s="1"/>
  <c r="CO166" i="12"/>
  <c r="CJ198" i="15"/>
  <c r="CK192" i="15"/>
  <c r="CN191" i="15"/>
  <c r="S216" i="15"/>
  <c r="S191" i="15"/>
  <c r="T191" i="15"/>
  <c r="CM241" i="12"/>
  <c r="K128" i="53"/>
  <c r="K158" i="53"/>
  <c r="CK218" i="15"/>
  <c r="CN217" i="15"/>
  <c r="CJ222" i="15"/>
  <c r="CJ227" i="15"/>
  <c r="Y241" i="12"/>
  <c r="Z239" i="12"/>
  <c r="CN196" i="15"/>
  <c r="CK197" i="15"/>
  <c r="S195" i="15"/>
  <c r="CO231" i="15"/>
  <c r="AA25" i="77"/>
  <c r="CO232" i="15"/>
  <c r="CP232" i="15"/>
  <c r="T230" i="15"/>
  <c r="S405" i="71" s="1"/>
  <c r="S428" i="71" s="1"/>
  <c r="S429" i="71" s="1"/>
  <c r="U228" i="15"/>
  <c r="CS231" i="15"/>
  <c r="Y491" i="12"/>
  <c r="Y9" i="12" s="1"/>
  <c r="Y10" i="33" s="1"/>
  <c r="X237" i="71"/>
  <c r="X238" i="71" s="1"/>
  <c r="G69" i="65"/>
  <c r="Z290" i="12"/>
  <c r="Y107" i="71" s="1"/>
  <c r="Y110" i="71" s="1"/>
  <c r="Z384" i="12"/>
  <c r="G38" i="52"/>
  <c r="H39" i="52" s="1"/>
  <c r="G17" i="52"/>
  <c r="BH15" i="14"/>
  <c r="BH28" i="14" s="1"/>
  <c r="BH75" i="14" s="1"/>
  <c r="BH112" i="14"/>
  <c r="CF83" i="90"/>
  <c r="T73" i="52"/>
  <c r="S105" i="52"/>
  <c r="T205" i="90"/>
  <c r="CO203" i="90"/>
  <c r="CO205" i="90" s="1"/>
  <c r="CP203" i="90" s="1"/>
  <c r="CP205" i="90" s="1"/>
  <c r="CQ203" i="90" s="1"/>
  <c r="CQ205" i="90" s="1"/>
  <c r="CR203" i="90" s="1"/>
  <c r="CR205" i="90" s="1"/>
  <c r="CS203" i="90" s="1"/>
  <c r="CS205" i="90" s="1"/>
  <c r="CT203" i="90" s="1"/>
  <c r="CT205" i="90" s="1"/>
  <c r="CU203" i="90" s="1"/>
  <c r="CU205" i="90" s="1"/>
  <c r="CV203" i="90" s="1"/>
  <c r="CV205" i="90" s="1"/>
  <c r="CW203" i="90" s="1"/>
  <c r="CW205" i="90" s="1"/>
  <c r="CX203" i="90" s="1"/>
  <c r="CX205" i="90" s="1"/>
  <c r="CY203" i="90" s="1"/>
  <c r="CY205" i="90" s="1"/>
  <c r="CZ203" i="90" s="1"/>
  <c r="CZ205" i="90" s="1"/>
  <c r="DA203" i="90" s="1"/>
  <c r="DA205" i="90" s="1"/>
  <c r="DB203" i="90" s="1"/>
  <c r="DB205" i="90" s="1"/>
  <c r="DC203" i="90" s="1"/>
  <c r="DC205" i="90" s="1"/>
  <c r="CM46" i="90"/>
  <c r="CM45" i="90"/>
  <c r="CL324" i="90"/>
  <c r="CO94" i="90"/>
  <c r="CO95" i="90" s="1"/>
  <c r="CL75" i="90"/>
  <c r="CL77" i="90" s="1"/>
  <c r="CL322" i="90" s="1"/>
  <c r="CL138" i="90"/>
  <c r="CL140" i="90" s="1"/>
  <c r="CL329" i="90" s="1"/>
  <c r="E201" i="65"/>
  <c r="E200" i="65"/>
  <c r="X67" i="52"/>
  <c r="W99" i="52"/>
  <c r="BG15" i="90"/>
  <c r="AX34" i="48"/>
  <c r="AX36" i="48" s="1"/>
  <c r="S106" i="52"/>
  <c r="T74" i="52"/>
  <c r="CM193" i="90"/>
  <c r="CM195" i="90" s="1"/>
  <c r="CM340" i="90" s="1"/>
  <c r="Q82" i="90"/>
  <c r="R81" i="90"/>
  <c r="S204" i="90"/>
  <c r="T203" i="90"/>
  <c r="U72" i="52"/>
  <c r="T104" i="52"/>
  <c r="Y75" i="90"/>
  <c r="Y77" i="90" s="1"/>
  <c r="Y322" i="90" s="1"/>
  <c r="Y252" i="90"/>
  <c r="Y254" i="90" s="1"/>
  <c r="Y359" i="90" s="1"/>
  <c r="CK158" i="90"/>
  <c r="CK160" i="90" s="1"/>
  <c r="CK333" i="90" s="1"/>
  <c r="U71" i="52"/>
  <c r="T103" i="52"/>
  <c r="P109" i="52"/>
  <c r="Q77" i="52"/>
  <c r="N80" i="52"/>
  <c r="M112" i="52"/>
  <c r="M81" i="52"/>
  <c r="F36" i="65"/>
  <c r="F199" i="65"/>
  <c r="F218" i="65"/>
  <c r="F219" i="65" s="1"/>
  <c r="F220" i="65" s="1"/>
  <c r="CL340" i="90"/>
  <c r="CV359" i="90"/>
  <c r="CV252" i="90"/>
  <c r="CV254" i="90" s="1"/>
  <c r="CK168" i="90"/>
  <c r="CK170" i="90" s="1"/>
  <c r="CK335" i="90" s="1"/>
  <c r="Y65" i="52"/>
  <c r="X97" i="52"/>
  <c r="L113" i="52"/>
  <c r="L82" i="52"/>
  <c r="L114" i="52" s="1"/>
  <c r="CM173" i="90"/>
  <c r="CM175" i="90" s="1"/>
  <c r="CM336" i="90" s="1"/>
  <c r="CK63" i="90"/>
  <c r="CK65" i="90" s="1"/>
  <c r="CK320" i="90" s="1"/>
  <c r="CS52" i="90"/>
  <c r="CS51" i="90"/>
  <c r="CS53" i="90" s="1"/>
  <c r="H128" i="52"/>
  <c r="H28" i="52"/>
  <c r="S158" i="90"/>
  <c r="R159" i="90"/>
  <c r="CJ148" i="90"/>
  <c r="CJ150" i="90" s="1"/>
  <c r="CJ331" i="90" s="1"/>
  <c r="R150" i="90"/>
  <c r="EI70" i="15"/>
  <c r="EJ69" i="15"/>
  <c r="X66" i="52"/>
  <c r="W98" i="52"/>
  <c r="S75" i="52"/>
  <c r="R107" i="52"/>
  <c r="CM213" i="90"/>
  <c r="CM200" i="14"/>
  <c r="CL202" i="14"/>
  <c r="CL203" i="14" s="1"/>
  <c r="CU359" i="90"/>
  <c r="BJ69" i="15"/>
  <c r="BJ70" i="15" s="1"/>
  <c r="BI8" i="14"/>
  <c r="R169" i="90"/>
  <c r="S168" i="90"/>
  <c r="Y96" i="52"/>
  <c r="CM117" i="90"/>
  <c r="CM119" i="90" s="1"/>
  <c r="CN117" i="90" s="1"/>
  <c r="CN119" i="90" s="1"/>
  <c r="CO117" i="90" s="1"/>
  <c r="CO119" i="90" s="1"/>
  <c r="CP117" i="90" s="1"/>
  <c r="CP119" i="90" s="1"/>
  <c r="CQ117" i="90" s="1"/>
  <c r="CQ119" i="90" s="1"/>
  <c r="CR117" i="90" s="1"/>
  <c r="CR119" i="90" s="1"/>
  <c r="CS117" i="90" s="1"/>
  <c r="CS119" i="90" s="1"/>
  <c r="CT117" i="90" s="1"/>
  <c r="CT119" i="90" s="1"/>
  <c r="CU117" i="90" s="1"/>
  <c r="CU119" i="90" s="1"/>
  <c r="CV117" i="90" s="1"/>
  <c r="CV119" i="90" s="1"/>
  <c r="CW117" i="90" s="1"/>
  <c r="CW119" i="90" s="1"/>
  <c r="CX117" i="90" s="1"/>
  <c r="CX119" i="90" s="1"/>
  <c r="CY117" i="90" s="1"/>
  <c r="CY119" i="90" s="1"/>
  <c r="CZ117" i="90" s="1"/>
  <c r="CZ119" i="90" s="1"/>
  <c r="DA117" i="90" s="1"/>
  <c r="DA119" i="90" s="1"/>
  <c r="DB117" i="90" s="1"/>
  <c r="DB119" i="90" s="1"/>
  <c r="DC117" i="90" s="1"/>
  <c r="DC119" i="90" s="1"/>
  <c r="P78" i="52"/>
  <c r="O110" i="52"/>
  <c r="Z159" i="90"/>
  <c r="Y219" i="90"/>
  <c r="U70" i="52"/>
  <c r="T102" i="52"/>
  <c r="CF69" i="90"/>
  <c r="CF71" i="90" s="1"/>
  <c r="J112" i="52"/>
  <c r="K111" i="52"/>
  <c r="J81" i="52"/>
  <c r="S200" i="90"/>
  <c r="CN198" i="90"/>
  <c r="CN200" i="90" s="1"/>
  <c r="E113" i="52"/>
  <c r="E82" i="52"/>
  <c r="F112" i="52"/>
  <c r="V69" i="52"/>
  <c r="U101" i="52"/>
  <c r="E156" i="65"/>
  <c r="E205" i="65"/>
  <c r="E206" i="65" s="1"/>
  <c r="E207" i="65" s="1"/>
  <c r="E197" i="65"/>
  <c r="W68" i="52"/>
  <c r="V100" i="52"/>
  <c r="Q108" i="52"/>
  <c r="R76" i="52"/>
  <c r="N111" i="52"/>
  <c r="O79" i="52"/>
  <c r="CL208" i="90"/>
  <c r="CL210" i="90" s="1"/>
  <c r="CL343" i="90" s="1"/>
  <c r="U199" i="15"/>
  <c r="Z515" i="12"/>
  <c r="Y237" i="71" s="1"/>
  <c r="Z58" i="80"/>
  <c r="Z59" i="80" s="1"/>
  <c r="Y235" i="71"/>
  <c r="Y236" i="71" s="1"/>
  <c r="Y15" i="80"/>
  <c r="Y16" i="80" s="1"/>
  <c r="X303" i="71"/>
  <c r="X304" i="71" s="1"/>
  <c r="CN346" i="12"/>
  <c r="CM353" i="12"/>
  <c r="CM347" i="12"/>
  <c r="Y346" i="12"/>
  <c r="X353" i="12"/>
  <c r="X354" i="12" s="1"/>
  <c r="CL354" i="12"/>
  <c r="CL355" i="12"/>
  <c r="CM194" i="14"/>
  <c r="S194" i="14" s="1"/>
  <c r="CN206" i="14"/>
  <c r="CN209" i="14" s="1"/>
  <c r="N214" i="65"/>
  <c r="O214" i="65"/>
  <c r="J213" i="65"/>
  <c r="L213" i="65"/>
  <c r="I213" i="65"/>
  <c r="K213" i="65"/>
  <c r="H213" i="65"/>
  <c r="J23" i="57"/>
  <c r="O23" i="77"/>
  <c r="CV72" i="33"/>
  <c r="CV69" i="33"/>
  <c r="CV70" i="33"/>
  <c r="CV71" i="33"/>
  <c r="CU67" i="33"/>
  <c r="CU79" i="33"/>
  <c r="CU78" i="33"/>
  <c r="CC8" i="15"/>
  <c r="CC32" i="15" s="1"/>
  <c r="CZ152" i="33"/>
  <c r="CU119" i="33"/>
  <c r="CC111" i="14"/>
  <c r="CC96" i="14" s="1"/>
  <c r="CU152" i="33"/>
  <c r="CU234" i="33"/>
  <c r="CU168" i="33"/>
  <c r="I118" i="53"/>
  <c r="I149" i="53" s="1"/>
  <c r="H121" i="53"/>
  <c r="H152" i="53" s="1"/>
  <c r="I37" i="53"/>
  <c r="I35" i="53"/>
  <c r="I43" i="53"/>
  <c r="I44" i="53" s="1"/>
  <c r="CS79" i="33"/>
  <c r="CS152" i="33"/>
  <c r="CS168" i="33"/>
  <c r="CS78" i="33"/>
  <c r="CX152" i="33"/>
  <c r="CS67" i="33"/>
  <c r="CS75" i="33" s="1"/>
  <c r="CS118" i="33" s="1"/>
  <c r="CS119" i="33"/>
  <c r="CU73" i="33"/>
  <c r="Q58" i="33"/>
  <c r="I52" i="53"/>
  <c r="I53" i="53" s="1"/>
  <c r="Q61" i="33"/>
  <c r="Q234" i="33"/>
  <c r="DA151" i="33"/>
  <c r="CV100" i="33"/>
  <c r="P23" i="77" s="1"/>
  <c r="CW167" i="33"/>
  <c r="CV167" i="33"/>
  <c r="CV118" i="33"/>
  <c r="CV151" i="33"/>
  <c r="CV63" i="33"/>
  <c r="CB83" i="15"/>
  <c r="CB88" i="15" s="1"/>
  <c r="CB90" i="15" s="1"/>
  <c r="CB92" i="15" s="1"/>
  <c r="BS30" i="48"/>
  <c r="CB74" i="15"/>
  <c r="CB103" i="15"/>
  <c r="CB105" i="15" s="1"/>
  <c r="CB107" i="15" s="1"/>
  <c r="CB68" i="15"/>
  <c r="P70" i="15"/>
  <c r="P8" i="14" s="1"/>
  <c r="V244" i="71"/>
  <c r="V245" i="71"/>
  <c r="V246" i="71" s="1"/>
  <c r="X361" i="12"/>
  <c r="CL368" i="12"/>
  <c r="CM361" i="12"/>
  <c r="O8" i="14"/>
  <c r="O112" i="14" s="1"/>
  <c r="P128" i="15"/>
  <c r="P139" i="15" s="1"/>
  <c r="P124" i="15"/>
  <c r="P125" i="15" s="1"/>
  <c r="BV71" i="48"/>
  <c r="P75" i="33"/>
  <c r="P80" i="33" s="1"/>
  <c r="BX78" i="15"/>
  <c r="BX81" i="15" s="1"/>
  <c r="BX76" i="15"/>
  <c r="P167" i="33"/>
  <c r="P78" i="15"/>
  <c r="P81" i="15" s="1"/>
  <c r="H124" i="53" s="1"/>
  <c r="H155" i="53" s="1"/>
  <c r="P76" i="15"/>
  <c r="H127" i="53" s="1"/>
  <c r="CT232" i="15"/>
  <c r="CT231" i="15"/>
  <c r="U230" i="15"/>
  <c r="O125" i="15"/>
  <c r="G158" i="53"/>
  <c r="G128" i="53"/>
  <c r="W179" i="71"/>
  <c r="CU232" i="15"/>
  <c r="O140" i="15"/>
  <c r="O142" i="15"/>
  <c r="CV232" i="15"/>
  <c r="CV231" i="15"/>
  <c r="X111" i="71"/>
  <c r="X112" i="71"/>
  <c r="CR300" i="90"/>
  <c r="CR302" i="90" s="1"/>
  <c r="CR366" i="90" s="1"/>
  <c r="T302" i="90"/>
  <c r="I113" i="52" l="1"/>
  <c r="I115" i="52" s="1"/>
  <c r="I82" i="52"/>
  <c r="I114" i="52" s="1"/>
  <c r="CA319" i="90"/>
  <c r="P35" i="90"/>
  <c r="P34" i="90" s="1"/>
  <c r="CX165" i="12"/>
  <c r="CW231" i="12"/>
  <c r="CM356" i="90"/>
  <c r="CN219" i="90"/>
  <c r="S220" i="90"/>
  <c r="CN218" i="90"/>
  <c r="CV230" i="12"/>
  <c r="CV232" i="12"/>
  <c r="CK39" i="90"/>
  <c r="CK41" i="90" s="1"/>
  <c r="CK40" i="90"/>
  <c r="DB34" i="90"/>
  <c r="DB32" i="90"/>
  <c r="Y29" i="90"/>
  <c r="Y26" i="90"/>
  <c r="X28" i="90"/>
  <c r="AB166" i="12"/>
  <c r="AA240" i="12"/>
  <c r="CQ214" i="33"/>
  <c r="CQ195" i="33" s="1"/>
  <c r="CQ212" i="33"/>
  <c r="CQ218" i="33" s="1"/>
  <c r="CQ216" i="33"/>
  <c r="CP28" i="90"/>
  <c r="CQ26" i="90"/>
  <c r="CQ29" i="90"/>
  <c r="CC33" i="90"/>
  <c r="CB35" i="90"/>
  <c r="CX247" i="90"/>
  <c r="V247" i="90" s="1"/>
  <c r="V248" i="90" s="1"/>
  <c r="W246" i="90" s="1"/>
  <c r="W248" i="90" s="1"/>
  <c r="X246" i="90" s="1"/>
  <c r="X248" i="90" s="1"/>
  <c r="T185" i="90"/>
  <c r="CO183" i="90"/>
  <c r="CO185" i="90" s="1"/>
  <c r="CP183" i="90" s="1"/>
  <c r="CP185" i="90" s="1"/>
  <c r="CQ183" i="90" s="1"/>
  <c r="CQ185" i="90" s="1"/>
  <c r="CR183" i="90" s="1"/>
  <c r="CR185" i="90" s="1"/>
  <c r="CS183" i="90" s="1"/>
  <c r="CS185" i="90" s="1"/>
  <c r="CT183" i="90" s="1"/>
  <c r="CT185" i="90" s="1"/>
  <c r="CU183" i="90" s="1"/>
  <c r="CU185" i="90" s="1"/>
  <c r="CV183" i="90" s="1"/>
  <c r="CV185" i="90" s="1"/>
  <c r="CW183" i="90" s="1"/>
  <c r="CW185" i="90" s="1"/>
  <c r="CX183" i="90" s="1"/>
  <c r="CX185" i="90" s="1"/>
  <c r="CY183" i="90" s="1"/>
  <c r="CY185" i="90" s="1"/>
  <c r="CZ183" i="90" s="1"/>
  <c r="CZ185" i="90" s="1"/>
  <c r="DA183" i="90" s="1"/>
  <c r="DA185" i="90" s="1"/>
  <c r="DB183" i="90" s="1"/>
  <c r="DB185" i="90" s="1"/>
  <c r="DC183" i="90" s="1"/>
  <c r="DC185" i="90" s="1"/>
  <c r="S184" i="90"/>
  <c r="T183" i="90"/>
  <c r="Z219" i="90"/>
  <c r="AA159" i="90"/>
  <c r="AC330" i="90"/>
  <c r="AC209" i="90"/>
  <c r="AC188" i="90"/>
  <c r="AC190" i="90" s="1"/>
  <c r="AD188" i="90" s="1"/>
  <c r="AD190" i="90" s="1"/>
  <c r="AD339" i="90" s="1"/>
  <c r="AC133" i="90"/>
  <c r="AC135" i="90" s="1"/>
  <c r="AD133" i="90" s="1"/>
  <c r="AD135" i="90" s="1"/>
  <c r="AD328" i="90" s="1"/>
  <c r="AC153" i="90"/>
  <c r="AC155" i="90" s="1"/>
  <c r="AC332" i="90" s="1"/>
  <c r="CM111" i="90"/>
  <c r="CM113" i="90" s="1"/>
  <c r="CN111" i="90" s="1"/>
  <c r="CN113" i="90" s="1"/>
  <c r="CO111" i="90" s="1"/>
  <c r="CO113" i="90" s="1"/>
  <c r="CP111" i="90" s="1"/>
  <c r="CP113" i="90" s="1"/>
  <c r="CQ111" i="90" s="1"/>
  <c r="CQ113" i="90" s="1"/>
  <c r="CR111" i="90" s="1"/>
  <c r="CR113" i="90" s="1"/>
  <c r="CS111" i="90" s="1"/>
  <c r="CS113" i="90" s="1"/>
  <c r="CT111" i="90" s="1"/>
  <c r="CT113" i="90" s="1"/>
  <c r="CU111" i="90" s="1"/>
  <c r="CU113" i="90" s="1"/>
  <c r="CV111" i="90" s="1"/>
  <c r="CV113" i="90" s="1"/>
  <c r="CW111" i="90" s="1"/>
  <c r="CW113" i="90" s="1"/>
  <c r="CX111" i="90" s="1"/>
  <c r="CX113" i="90" s="1"/>
  <c r="CY111" i="90" s="1"/>
  <c r="CY113" i="90" s="1"/>
  <c r="CZ111" i="90" s="1"/>
  <c r="CZ113" i="90" s="1"/>
  <c r="DA111" i="90" s="1"/>
  <c r="DA113" i="90" s="1"/>
  <c r="DB111" i="90" s="1"/>
  <c r="DB113" i="90" s="1"/>
  <c r="DC111" i="90" s="1"/>
  <c r="DC113" i="90" s="1"/>
  <c r="CM325" i="90"/>
  <c r="AD509" i="12"/>
  <c r="Y303" i="71"/>
  <c r="Y304" i="71" s="1"/>
  <c r="X177" i="71"/>
  <c r="AB678" i="12"/>
  <c r="AB685" i="12" s="1"/>
  <c r="AB686" i="12" s="1"/>
  <c r="Z686" i="12"/>
  <c r="Y171" i="71"/>
  <c r="Y172" i="71" s="1"/>
  <c r="AB689" i="12"/>
  <c r="AA661" i="12"/>
  <c r="AA660" i="12" s="1"/>
  <c r="AA686" i="12"/>
  <c r="CZ84" i="15"/>
  <c r="CZ75" i="15"/>
  <c r="CZ95" i="15" s="1"/>
  <c r="CZ100" i="15" s="1"/>
  <c r="CZ101" i="15" s="1"/>
  <c r="AA825" i="12"/>
  <c r="AA826" i="12" s="1"/>
  <c r="AA516" i="12"/>
  <c r="Y241" i="71"/>
  <c r="Y242" i="71" s="1"/>
  <c r="AA519" i="12"/>
  <c r="AB508" i="12"/>
  <c r="AB515" i="12" s="1"/>
  <c r="AB516" i="12" s="1"/>
  <c r="AB290" i="12"/>
  <c r="AB384" i="12"/>
  <c r="Z15" i="80"/>
  <c r="Z16" i="80" s="1"/>
  <c r="AA384" i="12"/>
  <c r="AA290" i="12"/>
  <c r="AC376" i="12"/>
  <c r="AC383" i="12" s="1"/>
  <c r="R212" i="33"/>
  <c r="R214" i="33"/>
  <c r="R195" i="33" s="1"/>
  <c r="R198" i="33" s="1"/>
  <c r="Q199" i="33"/>
  <c r="AS95" i="14"/>
  <c r="AS102" i="14" s="1"/>
  <c r="AR103" i="14"/>
  <c r="L95" i="14"/>
  <c r="L102" i="14" s="1"/>
  <c r="K103" i="14"/>
  <c r="V308" i="71"/>
  <c r="V309" i="71" s="1"/>
  <c r="CI71" i="14"/>
  <c r="CJ64" i="14"/>
  <c r="R64" i="14"/>
  <c r="K79" i="65" s="1"/>
  <c r="CH73" i="14"/>
  <c r="CI90" i="14"/>
  <c r="Y173" i="71"/>
  <c r="X9" i="12"/>
  <c r="Y43" i="12" s="1"/>
  <c r="W239" i="71"/>
  <c r="X490" i="12"/>
  <c r="X242" i="71"/>
  <c r="X113" i="71"/>
  <c r="Y238" i="71"/>
  <c r="Y490" i="12"/>
  <c r="CN228" i="15"/>
  <c r="S227" i="15"/>
  <c r="CK229" i="15"/>
  <c r="CN223" i="15"/>
  <c r="CJ230" i="15"/>
  <c r="V24" i="77"/>
  <c r="CK224" i="15"/>
  <c r="T217" i="15"/>
  <c r="S217" i="15"/>
  <c r="S222" i="15"/>
  <c r="CO240" i="12"/>
  <c r="CP166" i="12"/>
  <c r="CN199" i="15"/>
  <c r="S198" i="15"/>
  <c r="CK200" i="15"/>
  <c r="S196" i="15"/>
  <c r="T196" i="15"/>
  <c r="CN241" i="12"/>
  <c r="L115" i="52"/>
  <c r="L38" i="52" s="1"/>
  <c r="X307" i="71"/>
  <c r="X308" i="71" s="1"/>
  <c r="Y827" i="12"/>
  <c r="X239" i="71"/>
  <c r="CS80" i="33"/>
  <c r="Z516" i="12"/>
  <c r="Z491" i="12"/>
  <c r="Y239" i="71" s="1"/>
  <c r="CU75" i="33"/>
  <c r="CU80" i="33" s="1"/>
  <c r="G36" i="65"/>
  <c r="G199" i="65"/>
  <c r="G218" i="65"/>
  <c r="G219" i="65" s="1"/>
  <c r="G220" i="65" s="1"/>
  <c r="CM208" i="90"/>
  <c r="CM210" i="90" s="1"/>
  <c r="CM343" i="90" s="1"/>
  <c r="R108" i="52"/>
  <c r="S76" i="52"/>
  <c r="W69" i="52"/>
  <c r="V101" i="52"/>
  <c r="CO198" i="90"/>
  <c r="CO200" i="90" s="1"/>
  <c r="CP198" i="90" s="1"/>
  <c r="CP200" i="90" s="1"/>
  <c r="CQ198" i="90" s="1"/>
  <c r="CQ200" i="90" s="1"/>
  <c r="CR198" i="90" s="1"/>
  <c r="CR200" i="90" s="1"/>
  <c r="CS198" i="90" s="1"/>
  <c r="CS200" i="90" s="1"/>
  <c r="CT198" i="90" s="1"/>
  <c r="CT200" i="90" s="1"/>
  <c r="CU198" i="90" s="1"/>
  <c r="CU200" i="90" s="1"/>
  <c r="CV198" i="90" s="1"/>
  <c r="CV200" i="90" s="1"/>
  <c r="CW198" i="90" s="1"/>
  <c r="CW200" i="90" s="1"/>
  <c r="CX198" i="90" s="1"/>
  <c r="CX200" i="90" s="1"/>
  <c r="CY198" i="90" s="1"/>
  <c r="CY200" i="90" s="1"/>
  <c r="CZ198" i="90" s="1"/>
  <c r="CZ200" i="90" s="1"/>
  <c r="DA198" i="90" s="1"/>
  <c r="DA200" i="90" s="1"/>
  <c r="DB198" i="90" s="1"/>
  <c r="DB200" i="90" s="1"/>
  <c r="DC198" i="90" s="1"/>
  <c r="DC200" i="90" s="1"/>
  <c r="T200" i="90"/>
  <c r="V70" i="52"/>
  <c r="U102" i="52"/>
  <c r="P110" i="52"/>
  <c r="Q78" i="52"/>
  <c r="BK69" i="15"/>
  <c r="BK70" i="15" s="1"/>
  <c r="BJ8" i="14"/>
  <c r="S107" i="52"/>
  <c r="T75" i="52"/>
  <c r="CR211" i="33"/>
  <c r="CQ222" i="33"/>
  <c r="CQ223" i="33" s="1"/>
  <c r="CN173" i="90"/>
  <c r="CN175" i="90" s="1"/>
  <c r="S175" i="90"/>
  <c r="Y97" i="52"/>
  <c r="CW252" i="90"/>
  <c r="CW254" i="90" s="1"/>
  <c r="F201" i="65"/>
  <c r="N112" i="52"/>
  <c r="O80" i="52"/>
  <c r="V72" i="52"/>
  <c r="U104" i="52"/>
  <c r="CN193" i="90"/>
  <c r="CN195" i="90" s="1"/>
  <c r="S195" i="90"/>
  <c r="CM75" i="90"/>
  <c r="CM77" i="90" s="1"/>
  <c r="CN75" i="90" s="1"/>
  <c r="CN77" i="90" s="1"/>
  <c r="CO75" i="90" s="1"/>
  <c r="CO77" i="90" s="1"/>
  <c r="CP75" i="90" s="1"/>
  <c r="CP77" i="90" s="1"/>
  <c r="CQ75" i="90" s="1"/>
  <c r="CQ77" i="90" s="1"/>
  <c r="CR75" i="90" s="1"/>
  <c r="CR77" i="90" s="1"/>
  <c r="CS75" i="90" s="1"/>
  <c r="CS77" i="90" s="1"/>
  <c r="CT75" i="90" s="1"/>
  <c r="CT77" i="90" s="1"/>
  <c r="CU75" i="90" s="1"/>
  <c r="CU77" i="90" s="1"/>
  <c r="CV75" i="90" s="1"/>
  <c r="CV77" i="90" s="1"/>
  <c r="CW75" i="90" s="1"/>
  <c r="CW77" i="90" s="1"/>
  <c r="CX75" i="90" s="1"/>
  <c r="CX77" i="90" s="1"/>
  <c r="CY75" i="90" s="1"/>
  <c r="CY77" i="90" s="1"/>
  <c r="CZ75" i="90" s="1"/>
  <c r="CZ77" i="90" s="1"/>
  <c r="DA75" i="90" s="1"/>
  <c r="DA77" i="90" s="1"/>
  <c r="DB75" i="90" s="1"/>
  <c r="DB77" i="90" s="1"/>
  <c r="DC75" i="90" s="1"/>
  <c r="DC77" i="90" s="1"/>
  <c r="CM47" i="90"/>
  <c r="U203" i="90"/>
  <c r="U205" i="90" s="1"/>
  <c r="V203" i="90" s="1"/>
  <c r="V205" i="90" s="1"/>
  <c r="W203" i="90" s="1"/>
  <c r="W205" i="90" s="1"/>
  <c r="T204" i="90"/>
  <c r="BH15" i="90"/>
  <c r="AY34" i="48"/>
  <c r="AY36" i="48" s="1"/>
  <c r="T198" i="90"/>
  <c r="S199" i="90"/>
  <c r="CG69" i="90"/>
  <c r="CG71" i="90" s="1"/>
  <c r="CG321" i="90" s="1"/>
  <c r="Y66" i="52"/>
  <c r="X98" i="52"/>
  <c r="R149" i="90"/>
  <c r="S148" i="90"/>
  <c r="F156" i="65"/>
  <c r="F197" i="65"/>
  <c r="F200" i="65" s="1"/>
  <c r="F205" i="65"/>
  <c r="F206" i="65" s="1"/>
  <c r="F207" i="65" s="1"/>
  <c r="V71" i="52"/>
  <c r="U103" i="52"/>
  <c r="Z252" i="90"/>
  <c r="Z254" i="90" s="1"/>
  <c r="Y67" i="52"/>
  <c r="X99" i="52"/>
  <c r="CP93" i="90"/>
  <c r="CO352" i="90"/>
  <c r="G28" i="52"/>
  <c r="G127" i="52"/>
  <c r="O111" i="52"/>
  <c r="P79" i="52"/>
  <c r="E114" i="52"/>
  <c r="E115" i="52" s="1"/>
  <c r="F113" i="52"/>
  <c r="F115" i="52" s="1"/>
  <c r="J113" i="52"/>
  <c r="K112" i="52"/>
  <c r="J82" i="52"/>
  <c r="CF321" i="90"/>
  <c r="CM326" i="90"/>
  <c r="EK69" i="15"/>
  <c r="EK70" i="15" s="1"/>
  <c r="EJ70" i="15"/>
  <c r="CK148" i="90"/>
  <c r="CK150" i="90" s="1"/>
  <c r="CK331" i="90" s="1"/>
  <c r="I128" i="52"/>
  <c r="J128" i="52" s="1"/>
  <c r="K128" i="52" s="1"/>
  <c r="CL63" i="90"/>
  <c r="CL65" i="90" s="1"/>
  <c r="CL320" i="90" s="1"/>
  <c r="CL168" i="90"/>
  <c r="CL170" i="90" s="1"/>
  <c r="CL335" i="90" s="1"/>
  <c r="M113" i="52"/>
  <c r="N81" i="52"/>
  <c r="M82" i="52"/>
  <c r="Q109" i="52"/>
  <c r="R77" i="52"/>
  <c r="Z75" i="90"/>
  <c r="Z77" i="90" s="1"/>
  <c r="U74" i="52"/>
  <c r="T106" i="52"/>
  <c r="CM138" i="90"/>
  <c r="CM140" i="90" s="1"/>
  <c r="CM329" i="90" s="1"/>
  <c r="U73" i="52"/>
  <c r="T105" i="52"/>
  <c r="X68" i="52"/>
  <c r="W100" i="52"/>
  <c r="BI112" i="14"/>
  <c r="BI15" i="14"/>
  <c r="BI28" i="14" s="1"/>
  <c r="BI75" i="14" s="1"/>
  <c r="CN200" i="14"/>
  <c r="CM202" i="14"/>
  <c r="CM203" i="14" s="1"/>
  <c r="S200" i="14"/>
  <c r="S202" i="14" s="1"/>
  <c r="CT51" i="90"/>
  <c r="CT52" i="90"/>
  <c r="CQ198" i="33"/>
  <c r="CQ197" i="33"/>
  <c r="CL158" i="90"/>
  <c r="CL160" i="90" s="1"/>
  <c r="CL333" i="90" s="1"/>
  <c r="CG81" i="90"/>
  <c r="CG82" i="90"/>
  <c r="CF323" i="90"/>
  <c r="Z346" i="12"/>
  <c r="Y353" i="12"/>
  <c r="Y354" i="12" s="1"/>
  <c r="CM355" i="12"/>
  <c r="CM354" i="12"/>
  <c r="CN353" i="12"/>
  <c r="CO346" i="12"/>
  <c r="CN347" i="12"/>
  <c r="CV73" i="33"/>
  <c r="CN194" i="14"/>
  <c r="CO206" i="14"/>
  <c r="CO209" i="14" s="1"/>
  <c r="CW168" i="33"/>
  <c r="CV67" i="33"/>
  <c r="CV152" i="33"/>
  <c r="CV234" i="33"/>
  <c r="CV79" i="33"/>
  <c r="DA152" i="33"/>
  <c r="CV119" i="33"/>
  <c r="CV78" i="33"/>
  <c r="CD111" i="14"/>
  <c r="CD96" i="14" s="1"/>
  <c r="CD8" i="15"/>
  <c r="I55" i="53"/>
  <c r="I58" i="53" s="1"/>
  <c r="J50" i="53"/>
  <c r="J52" i="53" s="1"/>
  <c r="J53" i="53" s="1"/>
  <c r="K50" i="53" s="1"/>
  <c r="K53" i="53" s="1"/>
  <c r="Q72" i="33"/>
  <c r="Q71" i="33"/>
  <c r="Q70" i="33"/>
  <c r="Q69" i="33"/>
  <c r="CC83" i="15"/>
  <c r="CC88" i="15" s="1"/>
  <c r="CC90" i="15" s="1"/>
  <c r="CC92" i="15" s="1"/>
  <c r="CC103" i="15"/>
  <c r="CC105" i="15" s="1"/>
  <c r="CC107" i="15" s="1"/>
  <c r="BT30" i="48"/>
  <c r="CC68" i="15"/>
  <c r="CC74" i="15"/>
  <c r="CV168" i="33"/>
  <c r="AL151" i="33"/>
  <c r="Q63" i="33"/>
  <c r="Q118" i="33"/>
  <c r="Q151" i="33"/>
  <c r="R151" i="33"/>
  <c r="N23" i="57"/>
  <c r="L23" i="57"/>
  <c r="AT82" i="57"/>
  <c r="AV82" i="57" s="1"/>
  <c r="CB78" i="15"/>
  <c r="CB81" i="15" s="1"/>
  <c r="CB76" i="15"/>
  <c r="O15" i="14"/>
  <c r="O28" i="14" s="1"/>
  <c r="O75" i="14" s="1"/>
  <c r="H76" i="65"/>
  <c r="H74" i="65" s="1"/>
  <c r="H73" i="65" s="1"/>
  <c r="H71" i="65" s="1"/>
  <c r="Q69" i="15"/>
  <c r="Y361" i="12"/>
  <c r="X368" i="12"/>
  <c r="CN361" i="12"/>
  <c r="CM368" i="12"/>
  <c r="H158" i="53"/>
  <c r="H128" i="53"/>
  <c r="P142" i="15"/>
  <c r="P143" i="15" s="1"/>
  <c r="P140" i="15"/>
  <c r="G161" i="53"/>
  <c r="G163" i="53" s="1"/>
  <c r="O143" i="15"/>
  <c r="U231" i="15"/>
  <c r="T405" i="71"/>
  <c r="O11" i="48"/>
  <c r="O115" i="14"/>
  <c r="O15" i="90" s="1"/>
  <c r="P112" i="14"/>
  <c r="I76" i="65"/>
  <c r="I74" i="65" s="1"/>
  <c r="I73" i="65" s="1"/>
  <c r="P15" i="14"/>
  <c r="P28" i="14" s="1"/>
  <c r="P75" i="14" s="1"/>
  <c r="Y111" i="71"/>
  <c r="Y112" i="71"/>
  <c r="Y113" i="71" s="1"/>
  <c r="CS300" i="90"/>
  <c r="CS302" i="90" s="1"/>
  <c r="CS366" i="90" s="1"/>
  <c r="T301" i="90"/>
  <c r="U300" i="90"/>
  <c r="U302" i="90" s="1"/>
  <c r="CD33" i="90" l="1"/>
  <c r="CC35" i="90"/>
  <c r="AC166" i="12"/>
  <c r="AB240" i="12"/>
  <c r="AB239" i="12" s="1"/>
  <c r="DC34" i="90"/>
  <c r="DC32" i="90" s="1"/>
  <c r="CR26" i="90"/>
  <c r="CQ28" i="90"/>
  <c r="CR29" i="90"/>
  <c r="Z322" i="90"/>
  <c r="AA322" i="90"/>
  <c r="AA75" i="90"/>
  <c r="AA77" i="90" s="1"/>
  <c r="Z359" i="90"/>
  <c r="AA252" i="90"/>
  <c r="AA254" i="90" s="1"/>
  <c r="AA359" i="90"/>
  <c r="CN220" i="90"/>
  <c r="CW230" i="12"/>
  <c r="CW232" i="12"/>
  <c r="CT53" i="90"/>
  <c r="AC328" i="90"/>
  <c r="CB319" i="90"/>
  <c r="CC319" i="90"/>
  <c r="AA239" i="12"/>
  <c r="AA241" i="12"/>
  <c r="Y28" i="90"/>
  <c r="Z26" i="90"/>
  <c r="Z29" i="90"/>
  <c r="CL39" i="90"/>
  <c r="CL40" i="90"/>
  <c r="T218" i="90"/>
  <c r="S219" i="90"/>
  <c r="CY165" i="12"/>
  <c r="CX231" i="12"/>
  <c r="I38" i="52"/>
  <c r="I39" i="52" s="1"/>
  <c r="I17" i="52"/>
  <c r="X358" i="90"/>
  <c r="Y246" i="90"/>
  <c r="Y248" i="90" s="1"/>
  <c r="CX248" i="90"/>
  <c r="AC339" i="90"/>
  <c r="U183" i="90"/>
  <c r="U185" i="90" s="1"/>
  <c r="V183" i="90" s="1"/>
  <c r="V185" i="90" s="1"/>
  <c r="W183" i="90" s="1"/>
  <c r="W185" i="90" s="1"/>
  <c r="T184" i="90"/>
  <c r="AD209" i="90"/>
  <c r="AD153" i="90"/>
  <c r="AD155" i="90" s="1"/>
  <c r="AD332" i="90" s="1"/>
  <c r="AB159" i="90"/>
  <c r="AA219" i="90"/>
  <c r="Z353" i="12"/>
  <c r="Z354" i="12" s="1"/>
  <c r="AA346" i="12"/>
  <c r="R197" i="33"/>
  <c r="Y176" i="71"/>
  <c r="Y177" i="71" s="1"/>
  <c r="AC689" i="12"/>
  <c r="AB661" i="12"/>
  <c r="AB660" i="12" s="1"/>
  <c r="AC678" i="12"/>
  <c r="AC685" i="12" s="1"/>
  <c r="AC686" i="12" s="1"/>
  <c r="CZ79" i="15"/>
  <c r="AB825" i="12"/>
  <c r="AB826" i="12" s="1"/>
  <c r="AB519" i="12"/>
  <c r="AA491" i="12"/>
  <c r="AA490" i="12" s="1"/>
  <c r="AC508" i="12"/>
  <c r="AD508" i="12" s="1"/>
  <c r="AD515" i="12" s="1"/>
  <c r="AC384" i="12"/>
  <c r="AC290" i="12"/>
  <c r="AD376" i="12"/>
  <c r="R218" i="33"/>
  <c r="S211" i="33" s="1"/>
  <c r="S216" i="33" s="1"/>
  <c r="L103" i="14"/>
  <c r="M95" i="14"/>
  <c r="M102" i="14" s="1"/>
  <c r="AT95" i="14"/>
  <c r="AT102" i="14" s="1"/>
  <c r="AS103" i="14"/>
  <c r="R199" i="33"/>
  <c r="CM322" i="90"/>
  <c r="CK64" i="14"/>
  <c r="CJ71" i="14"/>
  <c r="CI73" i="14"/>
  <c r="CJ90" i="14"/>
  <c r="L17" i="52"/>
  <c r="L28" i="52" s="1"/>
  <c r="X240" i="71"/>
  <c r="W240" i="71"/>
  <c r="W243" i="71"/>
  <c r="X827" i="12"/>
  <c r="X829" i="12" s="1"/>
  <c r="X43" i="12"/>
  <c r="W307" i="71"/>
  <c r="X10" i="33"/>
  <c r="X243" i="71"/>
  <c r="CQ166" i="12"/>
  <c r="CP240" i="12"/>
  <c r="CP239" i="12" s="1"/>
  <c r="CO241" i="12"/>
  <c r="J58" i="53"/>
  <c r="CO239" i="12"/>
  <c r="S199" i="15"/>
  <c r="T199" i="15"/>
  <c r="T223" i="15"/>
  <c r="S223" i="15"/>
  <c r="S228" i="15"/>
  <c r="T228" i="15"/>
  <c r="CN231" i="15"/>
  <c r="V25" i="77"/>
  <c r="S230" i="15"/>
  <c r="CK232" i="15"/>
  <c r="CV75" i="33"/>
  <c r="CV80" i="33" s="1"/>
  <c r="X310" i="71"/>
  <c r="Z490" i="12"/>
  <c r="Z9" i="12"/>
  <c r="Z10" i="33" s="1"/>
  <c r="Z140" i="33" s="1"/>
  <c r="G201" i="65"/>
  <c r="G197" i="65"/>
  <c r="G200" i="65" s="1"/>
  <c r="G156" i="65"/>
  <c r="G205" i="65"/>
  <c r="G206" i="65" s="1"/>
  <c r="G207" i="65" s="1"/>
  <c r="F38" i="52"/>
  <c r="F17" i="52"/>
  <c r="L128" i="52"/>
  <c r="E38" i="52"/>
  <c r="E17" i="52"/>
  <c r="H96" i="65"/>
  <c r="H92" i="65" s="1"/>
  <c r="H89" i="65" s="1"/>
  <c r="H69" i="65" s="1"/>
  <c r="CG83" i="90"/>
  <c r="CQ199" i="33"/>
  <c r="V73" i="52"/>
  <c r="U105" i="52"/>
  <c r="N113" i="52"/>
  <c r="O81" i="52"/>
  <c r="Y99" i="52"/>
  <c r="W71" i="52"/>
  <c r="V103" i="52"/>
  <c r="CH69" i="90"/>
  <c r="CH71" i="90" s="1"/>
  <c r="CH321" i="90" s="1"/>
  <c r="X183" i="90"/>
  <c r="X185" i="90" s="1"/>
  <c r="X338" i="90" s="1"/>
  <c r="T175" i="90"/>
  <c r="CO173" i="90"/>
  <c r="CO175" i="90" s="1"/>
  <c r="CP173" i="90" s="1"/>
  <c r="CP175" i="90" s="1"/>
  <c r="CQ173" i="90" s="1"/>
  <c r="CQ175" i="90" s="1"/>
  <c r="CR173" i="90" s="1"/>
  <c r="CR175" i="90" s="1"/>
  <c r="CS173" i="90" s="1"/>
  <c r="CS175" i="90" s="1"/>
  <c r="CT173" i="90" s="1"/>
  <c r="CT175" i="90" s="1"/>
  <c r="CU173" i="90" s="1"/>
  <c r="CU175" i="90" s="1"/>
  <c r="CV173" i="90" s="1"/>
  <c r="CV175" i="90" s="1"/>
  <c r="CW173" i="90" s="1"/>
  <c r="CW175" i="90" s="1"/>
  <c r="CX173" i="90" s="1"/>
  <c r="CX175" i="90" s="1"/>
  <c r="CY173" i="90" s="1"/>
  <c r="CY175" i="90" s="1"/>
  <c r="CZ173" i="90" s="1"/>
  <c r="CZ175" i="90" s="1"/>
  <c r="DA173" i="90" s="1"/>
  <c r="DA175" i="90" s="1"/>
  <c r="DB173" i="90" s="1"/>
  <c r="DB175" i="90" s="1"/>
  <c r="DC173" i="90" s="1"/>
  <c r="DC175" i="90" s="1"/>
  <c r="CU52" i="90"/>
  <c r="CU51" i="90"/>
  <c r="CN202" i="14"/>
  <c r="CN203" i="14" s="1"/>
  <c r="CO200" i="14"/>
  <c r="CN138" i="90"/>
  <c r="CN140" i="90" s="1"/>
  <c r="S140" i="90"/>
  <c r="R109" i="52"/>
  <c r="S77" i="52"/>
  <c r="CM63" i="90"/>
  <c r="CM65" i="90" s="1"/>
  <c r="CN63" i="90" s="1"/>
  <c r="CN65" i="90" s="1"/>
  <c r="CO63" i="90" s="1"/>
  <c r="CO65" i="90" s="1"/>
  <c r="CP63" i="90" s="1"/>
  <c r="CP65" i="90" s="1"/>
  <c r="CQ63" i="90" s="1"/>
  <c r="CQ65" i="90" s="1"/>
  <c r="CR63" i="90" s="1"/>
  <c r="CR65" i="90" s="1"/>
  <c r="CS63" i="90" s="1"/>
  <c r="CS65" i="90" s="1"/>
  <c r="CT63" i="90" s="1"/>
  <c r="CT65" i="90" s="1"/>
  <c r="CU63" i="90" s="1"/>
  <c r="CU65" i="90" s="1"/>
  <c r="CV63" i="90" s="1"/>
  <c r="CV65" i="90" s="1"/>
  <c r="CW63" i="90" s="1"/>
  <c r="CW65" i="90" s="1"/>
  <c r="CX63" i="90" s="1"/>
  <c r="CX65" i="90" s="1"/>
  <c r="CY63" i="90" s="1"/>
  <c r="CY65" i="90" s="1"/>
  <c r="CZ63" i="90" s="1"/>
  <c r="CZ65" i="90" s="1"/>
  <c r="DA63" i="90" s="1"/>
  <c r="DA65" i="90" s="1"/>
  <c r="DB63" i="90" s="1"/>
  <c r="DB65" i="90" s="1"/>
  <c r="DC63" i="90" s="1"/>
  <c r="DC65" i="90" s="1"/>
  <c r="K113" i="52"/>
  <c r="K115" i="52" s="1"/>
  <c r="J114" i="52"/>
  <c r="J115" i="52" s="1"/>
  <c r="CP94" i="90"/>
  <c r="CP95" i="90"/>
  <c r="W72" i="52"/>
  <c r="V104" i="52"/>
  <c r="BJ15" i="14"/>
  <c r="BJ28" i="14" s="1"/>
  <c r="BJ75" i="14" s="1"/>
  <c r="BJ112" i="14"/>
  <c r="CM333" i="90"/>
  <c r="CM158" i="90"/>
  <c r="CM160" i="90" s="1"/>
  <c r="Y68" i="52"/>
  <c r="X100" i="52"/>
  <c r="V74" i="52"/>
  <c r="U106" i="52"/>
  <c r="CL331" i="90"/>
  <c r="CL148" i="90"/>
  <c r="CL150" i="90" s="1"/>
  <c r="P111" i="52"/>
  <c r="Q79" i="52"/>
  <c r="H127" i="52"/>
  <c r="I127" i="52" s="1"/>
  <c r="CN45" i="90"/>
  <c r="CN46" i="90"/>
  <c r="S47" i="90"/>
  <c r="CM324" i="90"/>
  <c r="T193" i="90"/>
  <c r="S194" i="90"/>
  <c r="P80" i="52"/>
  <c r="O112" i="52"/>
  <c r="CX252" i="90"/>
  <c r="CX254" i="90" s="1"/>
  <c r="CX265" i="90" s="1"/>
  <c r="CR214" i="33"/>
  <c r="CR216" i="33"/>
  <c r="CS216" i="33" s="1"/>
  <c r="CS217" i="33" s="1"/>
  <c r="CR212" i="33"/>
  <c r="CS212" i="33" s="1"/>
  <c r="BK8" i="14"/>
  <c r="BL69" i="15"/>
  <c r="BL70" i="15" s="1"/>
  <c r="W70" i="52"/>
  <c r="V102" i="52"/>
  <c r="X69" i="52"/>
  <c r="W101" i="52"/>
  <c r="S210" i="90"/>
  <c r="CN208" i="90"/>
  <c r="CN210" i="90" s="1"/>
  <c r="BI15" i="90"/>
  <c r="AZ34" i="48"/>
  <c r="AZ36" i="48" s="1"/>
  <c r="M114" i="52"/>
  <c r="M115" i="52" s="1"/>
  <c r="N82" i="52"/>
  <c r="CM168" i="90"/>
  <c r="CM170" i="90" s="1"/>
  <c r="CM335" i="90" s="1"/>
  <c r="Y98" i="52"/>
  <c r="CO193" i="90"/>
  <c r="CO195" i="90" s="1"/>
  <c r="CP193" i="90" s="1"/>
  <c r="CP195" i="90" s="1"/>
  <c r="CQ193" i="90" s="1"/>
  <c r="CQ195" i="90" s="1"/>
  <c r="CR193" i="90" s="1"/>
  <c r="CR195" i="90" s="1"/>
  <c r="CS193" i="90" s="1"/>
  <c r="CS195" i="90" s="1"/>
  <c r="CT193" i="90" s="1"/>
  <c r="CT195" i="90" s="1"/>
  <c r="CU193" i="90" s="1"/>
  <c r="CU195" i="90" s="1"/>
  <c r="CV193" i="90" s="1"/>
  <c r="CV195" i="90" s="1"/>
  <c r="CW193" i="90" s="1"/>
  <c r="CW195" i="90" s="1"/>
  <c r="CX193" i="90" s="1"/>
  <c r="CX195" i="90" s="1"/>
  <c r="CY193" i="90" s="1"/>
  <c r="CY195" i="90" s="1"/>
  <c r="CZ193" i="90" s="1"/>
  <c r="CZ195" i="90" s="1"/>
  <c r="DA193" i="90" s="1"/>
  <c r="DA195" i="90" s="1"/>
  <c r="DB193" i="90" s="1"/>
  <c r="DB195" i="90" s="1"/>
  <c r="DC193" i="90" s="1"/>
  <c r="DC195" i="90" s="1"/>
  <c r="T195" i="90"/>
  <c r="CW359" i="90"/>
  <c r="S174" i="90"/>
  <c r="T173" i="90"/>
  <c r="U75" i="52"/>
  <c r="T107" i="52"/>
  <c r="Q110" i="52"/>
  <c r="R78" i="52"/>
  <c r="U198" i="90"/>
  <c r="U200" i="90" s="1"/>
  <c r="V198" i="90" s="1"/>
  <c r="V200" i="90" s="1"/>
  <c r="W198" i="90" s="1"/>
  <c r="W200" i="90" s="1"/>
  <c r="T199" i="90"/>
  <c r="T76" i="52"/>
  <c r="S108" i="52"/>
  <c r="Q73" i="33"/>
  <c r="CO347" i="12"/>
  <c r="CP346" i="12"/>
  <c r="CO353" i="12"/>
  <c r="CN354" i="12"/>
  <c r="CN355" i="12"/>
  <c r="J55" i="53"/>
  <c r="CO194" i="14"/>
  <c r="CP206" i="14"/>
  <c r="CP209" i="14" s="1"/>
  <c r="CC78" i="15"/>
  <c r="CC81" i="15" s="1"/>
  <c r="CC76" i="15"/>
  <c r="CD32" i="15"/>
  <c r="Q8" i="15"/>
  <c r="Q32" i="15" s="1"/>
  <c r="Q111" i="14"/>
  <c r="Q96" i="14" s="1"/>
  <c r="AL152" i="33"/>
  <c r="Q79" i="33"/>
  <c r="Q67" i="33"/>
  <c r="Q152" i="33"/>
  <c r="Q118" i="15"/>
  <c r="Q121" i="15" s="1"/>
  <c r="Q119" i="33"/>
  <c r="Q78" i="33"/>
  <c r="R152" i="33"/>
  <c r="Y240" i="71"/>
  <c r="Y243" i="71"/>
  <c r="CO361" i="12"/>
  <c r="CN368" i="12"/>
  <c r="Z361" i="12"/>
  <c r="Y368" i="12"/>
  <c r="H161" i="53"/>
  <c r="H163" i="53" s="1"/>
  <c r="L50" i="53"/>
  <c r="L53" i="53" s="1"/>
  <c r="K58" i="53"/>
  <c r="K55" i="53"/>
  <c r="T428" i="71"/>
  <c r="T429" i="71" s="1"/>
  <c r="T406" i="71"/>
  <c r="I96" i="65"/>
  <c r="I92" i="65" s="1"/>
  <c r="I89" i="65" s="1"/>
  <c r="I71" i="65"/>
  <c r="P115" i="14"/>
  <c r="P15" i="90" s="1"/>
  <c r="P69" i="80"/>
  <c r="P70" i="80" s="1"/>
  <c r="P72" i="80" s="1"/>
  <c r="P11" i="48"/>
  <c r="CT300" i="90"/>
  <c r="CT302" i="90" s="1"/>
  <c r="CT366" i="90" s="1"/>
  <c r="V300" i="90"/>
  <c r="V302" i="90" s="1"/>
  <c r="CX232" i="12" l="1"/>
  <c r="CX230" i="12"/>
  <c r="AB241" i="12"/>
  <c r="CX266" i="90"/>
  <c r="CY231" i="12"/>
  <c r="CY232" i="12" s="1"/>
  <c r="CZ165" i="12"/>
  <c r="CL41" i="90"/>
  <c r="AB252" i="90"/>
  <c r="AB254" i="90" s="1"/>
  <c r="AD166" i="12"/>
  <c r="AD240" i="12" s="1"/>
  <c r="AC240" i="12"/>
  <c r="AC239" i="12" s="1"/>
  <c r="CX359" i="90"/>
  <c r="CN47" i="90"/>
  <c r="I129" i="52"/>
  <c r="I28" i="52"/>
  <c r="AA26" i="90"/>
  <c r="AA29" i="90"/>
  <c r="Z28" i="90"/>
  <c r="CC309" i="90"/>
  <c r="CC310" i="90" s="1"/>
  <c r="CO219" i="90"/>
  <c r="CN356" i="90"/>
  <c r="CO218" i="90"/>
  <c r="AB75" i="90"/>
  <c r="AB77" i="90" s="1"/>
  <c r="AB322" i="90" s="1"/>
  <c r="CR28" i="90"/>
  <c r="CS29" i="90"/>
  <c r="CS26" i="90"/>
  <c r="CD35" i="90"/>
  <c r="CD309" i="90" s="1"/>
  <c r="CD310" i="90" s="1"/>
  <c r="CE33" i="90"/>
  <c r="CY246" i="90"/>
  <c r="CY248" i="90" s="1"/>
  <c r="CY355" i="90" s="1"/>
  <c r="CX355" i="90"/>
  <c r="CX358" i="90"/>
  <c r="Y358" i="90"/>
  <c r="Z246" i="90"/>
  <c r="Z248" i="90" s="1"/>
  <c r="AC159" i="90"/>
  <c r="AB219" i="90"/>
  <c r="AB346" i="12"/>
  <c r="AA353" i="12"/>
  <c r="AA354" i="12" s="1"/>
  <c r="Z368" i="12"/>
  <c r="AA361" i="12"/>
  <c r="Y178" i="71"/>
  <c r="Y179" i="71" s="1"/>
  <c r="AD678" i="12"/>
  <c r="AD825" i="12" s="1"/>
  <c r="AD689" i="12"/>
  <c r="AC661" i="12"/>
  <c r="AC660" i="12" s="1"/>
  <c r="AC515" i="12"/>
  <c r="AC516" i="12" s="1"/>
  <c r="AA9" i="12"/>
  <c r="AA10" i="33" s="1"/>
  <c r="AA140" i="33" s="1"/>
  <c r="AC825" i="12"/>
  <c r="AC826" i="12" s="1"/>
  <c r="AC519" i="12"/>
  <c r="AB491" i="12"/>
  <c r="AD383" i="12"/>
  <c r="S214" i="33"/>
  <c r="S195" i="33" s="1"/>
  <c r="S197" i="33" s="1"/>
  <c r="S212" i="33"/>
  <c r="S218" i="33" s="1"/>
  <c r="T211" i="33" s="1"/>
  <c r="T214" i="33" s="1"/>
  <c r="T195" i="33" s="1"/>
  <c r="S198" i="33"/>
  <c r="S199" i="33" s="1"/>
  <c r="AU95" i="14"/>
  <c r="AU102" i="14" s="1"/>
  <c r="AT103" i="14"/>
  <c r="CR218" i="33"/>
  <c r="CR222" i="33" s="1"/>
  <c r="CS222" i="33" s="1"/>
  <c r="M103" i="14"/>
  <c r="N95" i="14"/>
  <c r="N102" i="14" s="1"/>
  <c r="W300" i="90"/>
  <c r="W302" i="90" s="1"/>
  <c r="CM320" i="90"/>
  <c r="L132" i="52"/>
  <c r="M132" i="52" s="1"/>
  <c r="CJ73" i="14"/>
  <c r="CK90" i="14"/>
  <c r="CK71" i="14"/>
  <c r="CL64" i="14"/>
  <c r="X244" i="71"/>
  <c r="W244" i="71"/>
  <c r="W245" i="71"/>
  <c r="W246" i="71" s="1"/>
  <c r="X245" i="71"/>
  <c r="W310" i="71"/>
  <c r="W311" i="71" s="1"/>
  <c r="W308" i="71"/>
  <c r="Y829" i="12"/>
  <c r="X140" i="33"/>
  <c r="Y140" i="33"/>
  <c r="T231" i="15"/>
  <c r="S231" i="15"/>
  <c r="R405" i="71"/>
  <c r="CP241" i="12"/>
  <c r="CR166" i="12"/>
  <c r="CQ240" i="12"/>
  <c r="CQ241" i="12" s="1"/>
  <c r="Z43" i="12"/>
  <c r="Y307" i="71"/>
  <c r="Y308" i="71" s="1"/>
  <c r="Y309" i="71" s="1"/>
  <c r="Z827" i="12"/>
  <c r="Z829" i="12" s="1"/>
  <c r="Q75" i="33"/>
  <c r="Q80" i="33" s="1"/>
  <c r="CR223" i="33"/>
  <c r="J127" i="52"/>
  <c r="K127" i="52" s="1"/>
  <c r="L127" i="52" s="1"/>
  <c r="V75" i="52"/>
  <c r="U107" i="52"/>
  <c r="U193" i="90"/>
  <c r="U195" i="90" s="1"/>
  <c r="V193" i="90" s="1"/>
  <c r="V195" i="90" s="1"/>
  <c r="W193" i="90" s="1"/>
  <c r="W195" i="90" s="1"/>
  <c r="T194" i="90"/>
  <c r="N114" i="52"/>
  <c r="N115" i="52" s="1"/>
  <c r="O82" i="52"/>
  <c r="CO208" i="90"/>
  <c r="CO210" i="90" s="1"/>
  <c r="CP208" i="90" s="1"/>
  <c r="CP210" i="90" s="1"/>
  <c r="CQ208" i="90" s="1"/>
  <c r="CQ210" i="90" s="1"/>
  <c r="CR208" i="90" s="1"/>
  <c r="CR210" i="90" s="1"/>
  <c r="CS208" i="90" s="1"/>
  <c r="CS210" i="90" s="1"/>
  <c r="CT208" i="90" s="1"/>
  <c r="CT210" i="90" s="1"/>
  <c r="CU208" i="90" s="1"/>
  <c r="CU210" i="90" s="1"/>
  <c r="CV208" i="90" s="1"/>
  <c r="CV210" i="90" s="1"/>
  <c r="CW208" i="90" s="1"/>
  <c r="CW210" i="90" s="1"/>
  <c r="CX208" i="90" s="1"/>
  <c r="CX210" i="90" s="1"/>
  <c r="CY208" i="90" s="1"/>
  <c r="CY210" i="90" s="1"/>
  <c r="CZ208" i="90" s="1"/>
  <c r="CZ210" i="90" s="1"/>
  <c r="DA208" i="90" s="1"/>
  <c r="DA210" i="90" s="1"/>
  <c r="DB208" i="90" s="1"/>
  <c r="DB210" i="90" s="1"/>
  <c r="DC208" i="90" s="1"/>
  <c r="DC210" i="90" s="1"/>
  <c r="T210" i="90"/>
  <c r="CS213" i="33"/>
  <c r="CY252" i="90"/>
  <c r="CY254" i="90" s="1"/>
  <c r="CY359" i="90"/>
  <c r="CM148" i="90"/>
  <c r="CM150" i="90" s="1"/>
  <c r="CM331" i="90"/>
  <c r="BJ15" i="90"/>
  <c r="BA34" i="48"/>
  <c r="BA36" i="48" s="1"/>
  <c r="X203" i="90"/>
  <c r="X205" i="90" s="1"/>
  <c r="X342" i="90" s="1"/>
  <c r="K17" i="52"/>
  <c r="K38" i="52"/>
  <c r="CI69" i="90"/>
  <c r="CI71" i="90" s="1"/>
  <c r="CI321" i="90" s="1"/>
  <c r="E28" i="52"/>
  <c r="E26" i="52" s="1"/>
  <c r="E125" i="52"/>
  <c r="R110" i="52"/>
  <c r="S78" i="52"/>
  <c r="M17" i="52"/>
  <c r="M38" i="52"/>
  <c r="M39" i="52" s="1"/>
  <c r="S209" i="90"/>
  <c r="T208" i="90"/>
  <c r="X70" i="52"/>
  <c r="W102" i="52"/>
  <c r="CO45" i="90"/>
  <c r="CO46" i="90"/>
  <c r="Y100" i="52"/>
  <c r="T138" i="90"/>
  <c r="S139" i="90"/>
  <c r="CU53" i="90"/>
  <c r="U173" i="90"/>
  <c r="U175" i="90" s="1"/>
  <c r="V173" i="90" s="1"/>
  <c r="V175" i="90" s="1"/>
  <c r="W173" i="90" s="1"/>
  <c r="W175" i="90" s="1"/>
  <c r="T174" i="90"/>
  <c r="Y183" i="90"/>
  <c r="Y185" i="90" s="1"/>
  <c r="Y338" i="90" s="1"/>
  <c r="M128" i="52"/>
  <c r="CH82" i="90"/>
  <c r="CH81" i="90"/>
  <c r="CH83" i="90" s="1"/>
  <c r="CG323" i="90"/>
  <c r="U76" i="52"/>
  <c r="T108" i="52"/>
  <c r="BL8" i="14"/>
  <c r="BM69" i="15"/>
  <c r="BM70" i="15" s="1"/>
  <c r="R79" i="52"/>
  <c r="Q111" i="52"/>
  <c r="S160" i="90"/>
  <c r="CN158" i="90"/>
  <c r="CN160" i="90" s="1"/>
  <c r="X72" i="52"/>
  <c r="W104" i="52"/>
  <c r="T77" i="52"/>
  <c r="S109" i="52"/>
  <c r="T140" i="90"/>
  <c r="CO138" i="90"/>
  <c r="CO140" i="90" s="1"/>
  <c r="CP138" i="90" s="1"/>
  <c r="CP140" i="90" s="1"/>
  <c r="CQ138" i="90" s="1"/>
  <c r="CQ140" i="90" s="1"/>
  <c r="CR138" i="90" s="1"/>
  <c r="CR140" i="90" s="1"/>
  <c r="CS138" i="90" s="1"/>
  <c r="CS140" i="90" s="1"/>
  <c r="CT138" i="90" s="1"/>
  <c r="CT140" i="90" s="1"/>
  <c r="CU138" i="90" s="1"/>
  <c r="CU140" i="90" s="1"/>
  <c r="CV138" i="90" s="1"/>
  <c r="CV140" i="90" s="1"/>
  <c r="CW138" i="90" s="1"/>
  <c r="CW140" i="90" s="1"/>
  <c r="CX138" i="90" s="1"/>
  <c r="CX140" i="90" s="1"/>
  <c r="CY138" i="90" s="1"/>
  <c r="CY140" i="90" s="1"/>
  <c r="CZ138" i="90" s="1"/>
  <c r="CZ140" i="90" s="1"/>
  <c r="DA138" i="90" s="1"/>
  <c r="DA140" i="90" s="1"/>
  <c r="DB138" i="90" s="1"/>
  <c r="DB140" i="90" s="1"/>
  <c r="DC138" i="90" s="1"/>
  <c r="DC140" i="90" s="1"/>
  <c r="W73" i="52"/>
  <c r="V105" i="52"/>
  <c r="F28" i="52"/>
  <c r="F126" i="52"/>
  <c r="S170" i="90"/>
  <c r="CN168" i="90"/>
  <c r="CN170" i="90" s="1"/>
  <c r="Y69" i="52"/>
  <c r="Y101" i="52" s="1"/>
  <c r="X101" i="52"/>
  <c r="BK15" i="14"/>
  <c r="BK28" i="14" s="1"/>
  <c r="BK75" i="14" s="1"/>
  <c r="BK112" i="14"/>
  <c r="CR195" i="33"/>
  <c r="CS214" i="33"/>
  <c r="CS215" i="33" s="1"/>
  <c r="P112" i="52"/>
  <c r="Q80" i="52"/>
  <c r="W74" i="52"/>
  <c r="V106" i="52"/>
  <c r="CQ93" i="90"/>
  <c r="CP352" i="90"/>
  <c r="J17" i="52"/>
  <c r="J38" i="52"/>
  <c r="J39" i="52" s="1"/>
  <c r="CO202" i="14"/>
  <c r="CO203" i="14" s="1"/>
  <c r="CP200" i="14"/>
  <c r="X71" i="52"/>
  <c r="W103" i="52"/>
  <c r="O113" i="52"/>
  <c r="P81" i="52"/>
  <c r="F39" i="52"/>
  <c r="G39" i="52"/>
  <c r="CO354" i="12"/>
  <c r="CO355" i="12"/>
  <c r="CP353" i="12"/>
  <c r="CP347" i="12"/>
  <c r="CQ346" i="12"/>
  <c r="CQ206" i="14"/>
  <c r="CQ209" i="14" s="1"/>
  <c r="CP194" i="14"/>
  <c r="BU30" i="48"/>
  <c r="CD68" i="15"/>
  <c r="CD74" i="15"/>
  <c r="CD103" i="15"/>
  <c r="CD105" i="15" s="1"/>
  <c r="CD107" i="15" s="1"/>
  <c r="CD83" i="15"/>
  <c r="CD88" i="15" s="1"/>
  <c r="CD90" i="15" s="1"/>
  <c r="CD92" i="15" s="1"/>
  <c r="Q68" i="15"/>
  <c r="Q70" i="15" s="1"/>
  <c r="Q103" i="15"/>
  <c r="Q105" i="15" s="1"/>
  <c r="Q107" i="15" s="1"/>
  <c r="Q83" i="15"/>
  <c r="Q88" i="15" s="1"/>
  <c r="Q90" i="15" s="1"/>
  <c r="Q92" i="15" s="1"/>
  <c r="Q145" i="15"/>
  <c r="Q147" i="15" s="1"/>
  <c r="Q149" i="15" s="1"/>
  <c r="Q74" i="15"/>
  <c r="Q30" i="48"/>
  <c r="Q128" i="15"/>
  <c r="Q139" i="15" s="1"/>
  <c r="R122" i="15"/>
  <c r="Q122" i="15"/>
  <c r="Q124" i="15"/>
  <c r="R167" i="33"/>
  <c r="Q167" i="33"/>
  <c r="BW71" i="48"/>
  <c r="Y245" i="71"/>
  <c r="Y244" i="71"/>
  <c r="CP361" i="12"/>
  <c r="CO368" i="12"/>
  <c r="L58" i="53"/>
  <c r="M50" i="53"/>
  <c r="M53" i="53" s="1"/>
  <c r="L55" i="53"/>
  <c r="I69" i="65"/>
  <c r="H218" i="65"/>
  <c r="H199" i="65"/>
  <c r="H36" i="65"/>
  <c r="CU300" i="90"/>
  <c r="CU302" i="90" s="1"/>
  <c r="CU366" i="90" s="1"/>
  <c r="AD241" i="12" l="1"/>
  <c r="AA28" i="90"/>
  <c r="AB29" i="90"/>
  <c r="AB26" i="90"/>
  <c r="AC252" i="90"/>
  <c r="AC254" i="90" s="1"/>
  <c r="AC75" i="90"/>
  <c r="AC77" i="90" s="1"/>
  <c r="AC322" i="90"/>
  <c r="AB359" i="90"/>
  <c r="CX361" i="90"/>
  <c r="CY264" i="90"/>
  <c r="CO47" i="90"/>
  <c r="CZ359" i="90"/>
  <c r="CZ252" i="90"/>
  <c r="CZ254" i="90" s="1"/>
  <c r="CY265" i="90"/>
  <c r="V265" i="90" s="1"/>
  <c r="V266" i="90" s="1"/>
  <c r="W264" i="90" s="1"/>
  <c r="W266" i="90" s="1"/>
  <c r="X264" i="90" s="1"/>
  <c r="X266" i="90" s="1"/>
  <c r="CE35" i="90"/>
  <c r="CF33" i="90"/>
  <c r="CS28" i="90"/>
  <c r="CT29" i="90"/>
  <c r="CT26" i="90"/>
  <c r="CO220" i="90"/>
  <c r="CD319" i="90"/>
  <c r="CD312" i="90" s="1"/>
  <c r="BU27" i="48" s="1"/>
  <c r="AC241" i="12"/>
  <c r="AD239" i="12"/>
  <c r="CM40" i="90"/>
  <c r="CM39" i="90"/>
  <c r="CM41" i="90" s="1"/>
  <c r="J129" i="52"/>
  <c r="K129" i="52" s="1"/>
  <c r="CZ231" i="12"/>
  <c r="DA165" i="12"/>
  <c r="CY230" i="12"/>
  <c r="Z358" i="90"/>
  <c r="AA246" i="90"/>
  <c r="AA248" i="90" s="1"/>
  <c r="CY358" i="90"/>
  <c r="CZ355" i="90"/>
  <c r="CZ246" i="90"/>
  <c r="CZ248" i="90" s="1"/>
  <c r="CZ358" i="90"/>
  <c r="AD159" i="90"/>
  <c r="AD219" i="90" s="1"/>
  <c r="AC219" i="90"/>
  <c r="AC346" i="12"/>
  <c r="AB353" i="12"/>
  <c r="AB354" i="12" s="1"/>
  <c r="AB361" i="12"/>
  <c r="AA368" i="12"/>
  <c r="T216" i="33"/>
  <c r="T212" i="33"/>
  <c r="AD685" i="12"/>
  <c r="AD686" i="12" s="1"/>
  <c r="AD516" i="12"/>
  <c r="AA827" i="12"/>
  <c r="AA829" i="12" s="1"/>
  <c r="AA43" i="12"/>
  <c r="AD826" i="12"/>
  <c r="AD519" i="12"/>
  <c r="AD491" i="12" s="1"/>
  <c r="AD490" i="12" s="1"/>
  <c r="AC491" i="12"/>
  <c r="AB490" i="12"/>
  <c r="AB9" i="12"/>
  <c r="AD384" i="12"/>
  <c r="AD290" i="12"/>
  <c r="T197" i="33"/>
  <c r="T198" i="33"/>
  <c r="T218" i="33"/>
  <c r="U211" i="33" s="1"/>
  <c r="U216" i="33" s="1"/>
  <c r="N103" i="14"/>
  <c r="O95" i="14"/>
  <c r="O102" i="14" s="1"/>
  <c r="AV95" i="14"/>
  <c r="AV102" i="14" s="1"/>
  <c r="AU103" i="14"/>
  <c r="CL90" i="14"/>
  <c r="CK73" i="14"/>
  <c r="CM64" i="14"/>
  <c r="CL71" i="14"/>
  <c r="Y246" i="71"/>
  <c r="X246" i="71"/>
  <c r="W309" i="71"/>
  <c r="X309" i="71"/>
  <c r="X311" i="71"/>
  <c r="CQ239" i="12"/>
  <c r="R428" i="71"/>
  <c r="R406" i="71"/>
  <c r="S406" i="71"/>
  <c r="CR240" i="12"/>
  <c r="CS166" i="12"/>
  <c r="Y310" i="71"/>
  <c r="Y311" i="71" s="1"/>
  <c r="M127" i="52"/>
  <c r="P113" i="52"/>
  <c r="Q81" i="52"/>
  <c r="CQ200" i="14"/>
  <c r="CP202" i="14"/>
  <c r="CP203" i="14" s="1"/>
  <c r="T168" i="90"/>
  <c r="S169" i="90"/>
  <c r="X73" i="52"/>
  <c r="W105" i="52"/>
  <c r="T160" i="90"/>
  <c r="CO158" i="90"/>
  <c r="CO160" i="90" s="1"/>
  <c r="CP158" i="90" s="1"/>
  <c r="CP160" i="90" s="1"/>
  <c r="CQ158" i="90" s="1"/>
  <c r="CQ160" i="90" s="1"/>
  <c r="CR158" i="90" s="1"/>
  <c r="CR160" i="90" s="1"/>
  <c r="CS158" i="90" s="1"/>
  <c r="CS160" i="90" s="1"/>
  <c r="CT158" i="90" s="1"/>
  <c r="CT160" i="90" s="1"/>
  <c r="CU158" i="90" s="1"/>
  <c r="CU160" i="90" s="1"/>
  <c r="CV158" i="90" s="1"/>
  <c r="CV160" i="90" s="1"/>
  <c r="CW158" i="90" s="1"/>
  <c r="CW160" i="90" s="1"/>
  <c r="CX158" i="90" s="1"/>
  <c r="CX160" i="90" s="1"/>
  <c r="CY158" i="90" s="1"/>
  <c r="CY160" i="90" s="1"/>
  <c r="CZ158" i="90" s="1"/>
  <c r="CZ160" i="90" s="1"/>
  <c r="DA158" i="90" s="1"/>
  <c r="DA160" i="90" s="1"/>
  <c r="DB158" i="90" s="1"/>
  <c r="DB160" i="90" s="1"/>
  <c r="DC158" i="90" s="1"/>
  <c r="DC160" i="90" s="1"/>
  <c r="BL15" i="14"/>
  <c r="BL28" i="14" s="1"/>
  <c r="BL75" i="14" s="1"/>
  <c r="BL112" i="14"/>
  <c r="Z183" i="90"/>
  <c r="Z185" i="90" s="1"/>
  <c r="T78" i="52"/>
  <c r="S110" i="52"/>
  <c r="F125" i="52"/>
  <c r="E146" i="52"/>
  <c r="E18" i="52" s="1"/>
  <c r="Y203" i="90"/>
  <c r="Y205" i="90" s="1"/>
  <c r="Y342" i="90" s="1"/>
  <c r="S150" i="90"/>
  <c r="CN148" i="90"/>
  <c r="CN150" i="90" s="1"/>
  <c r="CM214" i="90"/>
  <c r="CM215" i="90" s="1"/>
  <c r="X198" i="90"/>
  <c r="X200" i="90" s="1"/>
  <c r="X341" i="90" s="1"/>
  <c r="Y71" i="52"/>
  <c r="Y103" i="52" s="1"/>
  <c r="X103" i="52"/>
  <c r="CQ94" i="90"/>
  <c r="CQ95" i="90" s="1"/>
  <c r="G126" i="52"/>
  <c r="U77" i="52"/>
  <c r="T109" i="52"/>
  <c r="Y72" i="52"/>
  <c r="X104" i="52"/>
  <c r="S159" i="90"/>
  <c r="T158" i="90"/>
  <c r="Y70" i="52"/>
  <c r="Y102" i="52" s="1"/>
  <c r="X102" i="52"/>
  <c r="E10" i="52"/>
  <c r="E13" i="52" s="1"/>
  <c r="E29" i="52"/>
  <c r="F25" i="52" s="1"/>
  <c r="K39" i="52"/>
  <c r="L39" i="52"/>
  <c r="CS218" i="33"/>
  <c r="CT211" i="33" s="1"/>
  <c r="O114" i="52"/>
  <c r="O115" i="52" s="1"/>
  <c r="P82" i="52"/>
  <c r="O46" i="52"/>
  <c r="X74" i="52"/>
  <c r="W106" i="52"/>
  <c r="CR197" i="33"/>
  <c r="CR198" i="33"/>
  <c r="CS198" i="33" s="1"/>
  <c r="CS195" i="33"/>
  <c r="N132" i="52"/>
  <c r="V76" i="52"/>
  <c r="U108" i="52"/>
  <c r="CI81" i="90"/>
  <c r="CI83" i="90" s="1"/>
  <c r="CI323" i="90" s="1"/>
  <c r="CI82" i="90"/>
  <c r="K28" i="52"/>
  <c r="K131" i="52"/>
  <c r="N38" i="52"/>
  <c r="N39" i="52" s="1"/>
  <c r="N17" i="52"/>
  <c r="W75" i="52"/>
  <c r="V107" i="52"/>
  <c r="CS223" i="33"/>
  <c r="J28" i="52"/>
  <c r="J130" i="52"/>
  <c r="R80" i="52"/>
  <c r="Q112" i="52"/>
  <c r="BB34" i="48"/>
  <c r="BB36" i="48" s="1"/>
  <c r="BK15" i="90"/>
  <c r="T170" i="90"/>
  <c r="CO168" i="90"/>
  <c r="CO170" i="90" s="1"/>
  <c r="CP168" i="90" s="1"/>
  <c r="CP170" i="90" s="1"/>
  <c r="CQ168" i="90" s="1"/>
  <c r="CQ170" i="90" s="1"/>
  <c r="CR168" i="90" s="1"/>
  <c r="CR170" i="90" s="1"/>
  <c r="CS168" i="90" s="1"/>
  <c r="CS170" i="90" s="1"/>
  <c r="CT168" i="90" s="1"/>
  <c r="CT170" i="90" s="1"/>
  <c r="CU168" i="90" s="1"/>
  <c r="CU170" i="90" s="1"/>
  <c r="CV168" i="90" s="1"/>
  <c r="CV170" i="90" s="1"/>
  <c r="CW168" i="90" s="1"/>
  <c r="CW170" i="90" s="1"/>
  <c r="CX168" i="90" s="1"/>
  <c r="CX170" i="90" s="1"/>
  <c r="CY168" i="90" s="1"/>
  <c r="CY170" i="90" s="1"/>
  <c r="CZ168" i="90" s="1"/>
  <c r="CZ170" i="90" s="1"/>
  <c r="DA168" i="90" s="1"/>
  <c r="DA170" i="90" s="1"/>
  <c r="DB168" i="90" s="1"/>
  <c r="DB170" i="90" s="1"/>
  <c r="DC168" i="90" s="1"/>
  <c r="DC170" i="90" s="1"/>
  <c r="U138" i="90"/>
  <c r="U140" i="90" s="1"/>
  <c r="V138" i="90" s="1"/>
  <c r="V140" i="90" s="1"/>
  <c r="W138" i="90" s="1"/>
  <c r="W140" i="90" s="1"/>
  <c r="T139" i="90"/>
  <c r="S79" i="52"/>
  <c r="R111" i="52"/>
  <c r="BM8" i="14"/>
  <c r="BN69" i="15"/>
  <c r="BN70" i="15" s="1"/>
  <c r="CH323" i="90"/>
  <c r="CV52" i="90"/>
  <c r="CV51" i="90"/>
  <c r="U53" i="90"/>
  <c r="CP45" i="90"/>
  <c r="CP46" i="90"/>
  <c r="M28" i="52"/>
  <c r="M133" i="52"/>
  <c r="CJ69" i="90"/>
  <c r="CJ71" i="90" s="1"/>
  <c r="CJ321" i="90" s="1"/>
  <c r="U208" i="90"/>
  <c r="U210" i="90" s="1"/>
  <c r="V208" i="90" s="1"/>
  <c r="V210" i="90" s="1"/>
  <c r="W208" i="90" s="1"/>
  <c r="W210" i="90" s="1"/>
  <c r="T209" i="90"/>
  <c r="N128" i="52"/>
  <c r="O128" i="52" s="1"/>
  <c r="CP355" i="12"/>
  <c r="CP354" i="12"/>
  <c r="CQ347" i="12"/>
  <c r="CR346" i="12"/>
  <c r="CQ353" i="12"/>
  <c r="CQ194" i="14"/>
  <c r="T194" i="14" s="1"/>
  <c r="CR206" i="14"/>
  <c r="CR209" i="14" s="1"/>
  <c r="Q142" i="15"/>
  <c r="Q140" i="15"/>
  <c r="R140" i="15"/>
  <c r="Q78" i="15"/>
  <c r="Q81" i="15" s="1"/>
  <c r="I124" i="53" s="1"/>
  <c r="I155" i="53" s="1"/>
  <c r="Q76" i="15"/>
  <c r="I127" i="53" s="1"/>
  <c r="Q8" i="14"/>
  <c r="R69" i="15"/>
  <c r="R70" i="15" s="1"/>
  <c r="CD76" i="15"/>
  <c r="CD78" i="15"/>
  <c r="CD81" i="15" s="1"/>
  <c r="R125" i="15"/>
  <c r="Q125" i="15"/>
  <c r="CQ361" i="12"/>
  <c r="CP368" i="12"/>
  <c r="M55" i="53"/>
  <c r="M58" i="53"/>
  <c r="N50" i="53"/>
  <c r="N53" i="53" s="1"/>
  <c r="H201" i="65"/>
  <c r="H197" i="65"/>
  <c r="H200" i="65" s="1"/>
  <c r="H205" i="65"/>
  <c r="V11" i="65"/>
  <c r="H156" i="65"/>
  <c r="I218" i="65"/>
  <c r="I36" i="65"/>
  <c r="I199" i="65"/>
  <c r="CV300" i="90"/>
  <c r="CV302" i="90" s="1"/>
  <c r="X300" i="90"/>
  <c r="X302" i="90" s="1"/>
  <c r="X49" i="14" s="1"/>
  <c r="L129" i="52" l="1"/>
  <c r="M129" i="52" s="1"/>
  <c r="CV53" i="90"/>
  <c r="CE319" i="90"/>
  <c r="CE312" i="90" s="1"/>
  <c r="BV27" i="48" s="1"/>
  <c r="Q35" i="90"/>
  <c r="CE309" i="90"/>
  <c r="CE310" i="90" s="1"/>
  <c r="AD252" i="90"/>
  <c r="AD254" i="90" s="1"/>
  <c r="AD359" i="90"/>
  <c r="DA231" i="12"/>
  <c r="DB165" i="12"/>
  <c r="CU29" i="90"/>
  <c r="CU26" i="90"/>
  <c r="CT28" i="90"/>
  <c r="X361" i="90"/>
  <c r="Y264" i="90"/>
  <c r="Y266" i="90" s="1"/>
  <c r="Z264" i="90" s="1"/>
  <c r="Z266" i="90" s="1"/>
  <c r="CZ230" i="12"/>
  <c r="CZ232" i="12"/>
  <c r="CN39" i="90"/>
  <c r="CN41" i="90" s="1"/>
  <c r="S41" i="90"/>
  <c r="CN40" i="90"/>
  <c r="DA252" i="90"/>
  <c r="DA254" i="90" s="1"/>
  <c r="DB252" i="90" s="1"/>
  <c r="DB254" i="90" s="1"/>
  <c r="CY266" i="90"/>
  <c r="AD75" i="90"/>
  <c r="AD77" i="90" s="1"/>
  <c r="AD322" i="90"/>
  <c r="AB28" i="90"/>
  <c r="AC26" i="90"/>
  <c r="AC29" i="90"/>
  <c r="CP47" i="90"/>
  <c r="CO356" i="90"/>
  <c r="CP219" i="90"/>
  <c r="CP218" i="90"/>
  <c r="CP220" i="90" s="1"/>
  <c r="CF35" i="90"/>
  <c r="CG33" i="90"/>
  <c r="AC359" i="90"/>
  <c r="AB246" i="90"/>
  <c r="AB248" i="90" s="1"/>
  <c r="AB358" i="90" s="1"/>
  <c r="DA246" i="90"/>
  <c r="DA248" i="90" s="1"/>
  <c r="DA358" i="90" s="1"/>
  <c r="DA355" i="90"/>
  <c r="AA358" i="90"/>
  <c r="Z338" i="90"/>
  <c r="AA183" i="90"/>
  <c r="AA185" i="90" s="1"/>
  <c r="AC361" i="12"/>
  <c r="AB368" i="12"/>
  <c r="AC353" i="12"/>
  <c r="AC354" i="12" s="1"/>
  <c r="AD346" i="12"/>
  <c r="AD353" i="12" s="1"/>
  <c r="AD661" i="12"/>
  <c r="AD660" i="12" s="1"/>
  <c r="AC490" i="12"/>
  <c r="AC9" i="12"/>
  <c r="AB827" i="12"/>
  <c r="AB829" i="12" s="1"/>
  <c r="AB10" i="33"/>
  <c r="AB140" i="33" s="1"/>
  <c r="AB43" i="12"/>
  <c r="U214" i="33"/>
  <c r="U195" i="33" s="1"/>
  <c r="U212" i="33"/>
  <c r="T199" i="33"/>
  <c r="AW95" i="14"/>
  <c r="AW102" i="14" s="1"/>
  <c r="AV103" i="14"/>
  <c r="P95" i="14"/>
  <c r="P102" i="14" s="1"/>
  <c r="O103" i="14"/>
  <c r="U197" i="33"/>
  <c r="U198" i="33"/>
  <c r="CL73" i="14"/>
  <c r="CM90" i="14"/>
  <c r="CM71" i="14"/>
  <c r="CN64" i="14"/>
  <c r="S64" i="14"/>
  <c r="L79" i="65" s="1"/>
  <c r="E34" i="52"/>
  <c r="F26" i="52" s="1"/>
  <c r="F10" i="52" s="1"/>
  <c r="F13" i="52" s="1"/>
  <c r="CR239" i="12"/>
  <c r="CR241" i="12"/>
  <c r="CT166" i="12"/>
  <c r="CS240" i="12"/>
  <c r="CS239" i="12" s="1"/>
  <c r="BM15" i="14"/>
  <c r="BM28" i="14" s="1"/>
  <c r="BM75" i="14" s="1"/>
  <c r="BM112" i="14"/>
  <c r="K130" i="52"/>
  <c r="L131" i="52"/>
  <c r="M131" i="52" s="1"/>
  <c r="Y74" i="52"/>
  <c r="X106" i="52"/>
  <c r="O17" i="52"/>
  <c r="O38" i="52"/>
  <c r="O39" i="52" s="1"/>
  <c r="P128" i="52"/>
  <c r="Q128" i="52" s="1"/>
  <c r="R128" i="52" s="1"/>
  <c r="S128" i="52" s="1"/>
  <c r="T128" i="52" s="1"/>
  <c r="U128" i="52" s="1"/>
  <c r="V128" i="52" s="1"/>
  <c r="W128" i="52" s="1"/>
  <c r="X128" i="52" s="1"/>
  <c r="Y128" i="52" s="1"/>
  <c r="Y104" i="52"/>
  <c r="Y198" i="90"/>
  <c r="Y200" i="90" s="1"/>
  <c r="Y341" i="90" s="1"/>
  <c r="T150" i="90"/>
  <c r="CO148" i="90"/>
  <c r="CO150" i="90" s="1"/>
  <c r="CP148" i="90" s="1"/>
  <c r="CP150" i="90" s="1"/>
  <c r="CQ148" i="90" s="1"/>
  <c r="CQ150" i="90" s="1"/>
  <c r="CR148" i="90" s="1"/>
  <c r="CR150" i="90" s="1"/>
  <c r="CS148" i="90" s="1"/>
  <c r="CS150" i="90" s="1"/>
  <c r="CT148" i="90" s="1"/>
  <c r="CT150" i="90" s="1"/>
  <c r="CU148" i="90" s="1"/>
  <c r="CU150" i="90" s="1"/>
  <c r="CV148" i="90" s="1"/>
  <c r="CV150" i="90" s="1"/>
  <c r="CW148" i="90" s="1"/>
  <c r="CW150" i="90" s="1"/>
  <c r="CX148" i="90" s="1"/>
  <c r="CX150" i="90" s="1"/>
  <c r="CY148" i="90" s="1"/>
  <c r="CY150" i="90" s="1"/>
  <c r="CZ148" i="90" s="1"/>
  <c r="CZ150" i="90" s="1"/>
  <c r="DA148" i="90" s="1"/>
  <c r="DA150" i="90" s="1"/>
  <c r="DB148" i="90" s="1"/>
  <c r="DB150" i="90" s="1"/>
  <c r="DC148" i="90" s="1"/>
  <c r="DC150" i="90" s="1"/>
  <c r="E7" i="52"/>
  <c r="E8" i="52" s="1"/>
  <c r="E11" i="52" s="1"/>
  <c r="E19" i="52"/>
  <c r="G125" i="52"/>
  <c r="F146" i="52"/>
  <c r="F18" i="52" s="1"/>
  <c r="F7" i="52" s="1"/>
  <c r="F8" i="52" s="1"/>
  <c r="BC11" i="48"/>
  <c r="BC34" i="48"/>
  <c r="BC36" i="48" s="1"/>
  <c r="BL15" i="90"/>
  <c r="CK69" i="90"/>
  <c r="CK71" i="90" s="1"/>
  <c r="CK321" i="90" s="1"/>
  <c r="CQ46" i="90"/>
  <c r="CQ45" i="90"/>
  <c r="CP309" i="90"/>
  <c r="CP310" i="90" s="1"/>
  <c r="X75" i="52"/>
  <c r="W107" i="52"/>
  <c r="W76" i="52"/>
  <c r="V108" i="52"/>
  <c r="CT212" i="33"/>
  <c r="CT216" i="33"/>
  <c r="CT214" i="33"/>
  <c r="CT195" i="33" s="1"/>
  <c r="H126" i="52"/>
  <c r="X193" i="90"/>
  <c r="X195" i="90" s="1"/>
  <c r="X340" i="90" s="1"/>
  <c r="T148" i="90"/>
  <c r="S149" i="90"/>
  <c r="U158" i="90"/>
  <c r="U160" i="90" s="1"/>
  <c r="V158" i="90" s="1"/>
  <c r="V160" i="90" s="1"/>
  <c r="W158" i="90" s="1"/>
  <c r="W160" i="90" s="1"/>
  <c r="T159" i="90"/>
  <c r="T200" i="14"/>
  <c r="T202" i="14" s="1"/>
  <c r="CQ202" i="14"/>
  <c r="CQ203" i="14" s="1"/>
  <c r="CR200" i="14"/>
  <c r="S111" i="52"/>
  <c r="T79" i="52"/>
  <c r="N134" i="52"/>
  <c r="N28" i="52"/>
  <c r="X173" i="90"/>
  <c r="X175" i="90" s="1"/>
  <c r="X336" i="90" s="1"/>
  <c r="O132" i="52"/>
  <c r="P132" i="52" s="1"/>
  <c r="CR199" i="33"/>
  <c r="CS197" i="33"/>
  <c r="CS199" i="33" s="1"/>
  <c r="O44" i="52"/>
  <c r="O45" i="52" s="1"/>
  <c r="V77" i="52"/>
  <c r="U109" i="52"/>
  <c r="U78" i="52"/>
  <c r="T110" i="52"/>
  <c r="R81" i="52"/>
  <c r="Q113" i="52"/>
  <c r="N133" i="52"/>
  <c r="O133" i="52" s="1"/>
  <c r="BN8" i="14"/>
  <c r="BO69" i="15"/>
  <c r="BO70" i="15" s="1"/>
  <c r="T169" i="90"/>
  <c r="U168" i="90"/>
  <c r="U170" i="90" s="1"/>
  <c r="V168" i="90" s="1"/>
  <c r="V170" i="90" s="1"/>
  <c r="W168" i="90" s="1"/>
  <c r="W170" i="90" s="1"/>
  <c r="R112" i="52"/>
  <c r="S80" i="52"/>
  <c r="R83" i="90"/>
  <c r="CJ81" i="90"/>
  <c r="CJ82" i="90"/>
  <c r="Q82" i="52"/>
  <c r="P114" i="52"/>
  <c r="P115" i="52" s="1"/>
  <c r="P46" i="52"/>
  <c r="T95" i="90"/>
  <c r="CR93" i="90"/>
  <c r="CQ352" i="90"/>
  <c r="CN213" i="90"/>
  <c r="S215" i="90"/>
  <c r="CM344" i="90"/>
  <c r="Z203" i="90"/>
  <c r="Z205" i="90" s="1"/>
  <c r="Y73" i="52"/>
  <c r="Y105" i="52" s="1"/>
  <c r="X105" i="52"/>
  <c r="N127" i="52"/>
  <c r="CR347" i="12"/>
  <c r="CS346" i="12"/>
  <c r="CR353" i="12"/>
  <c r="CQ355" i="12"/>
  <c r="CQ354" i="12"/>
  <c r="CR194" i="14"/>
  <c r="CS206" i="14"/>
  <c r="CS209" i="14" s="1"/>
  <c r="R8" i="14"/>
  <c r="S69" i="15"/>
  <c r="S70" i="15" s="1"/>
  <c r="J76" i="65"/>
  <c r="J74" i="65" s="1"/>
  <c r="J73" i="65" s="1"/>
  <c r="Q112" i="14"/>
  <c r="Q15" i="14"/>
  <c r="Q28" i="14" s="1"/>
  <c r="Q75" i="14" s="1"/>
  <c r="I158" i="53"/>
  <c r="I128" i="53"/>
  <c r="Q143" i="15"/>
  <c r="R143" i="15"/>
  <c r="I161" i="53"/>
  <c r="I163" i="53" s="1"/>
  <c r="CR361" i="12"/>
  <c r="CQ368" i="12"/>
  <c r="O50" i="53"/>
  <c r="O53" i="53" s="1"/>
  <c r="N55" i="53"/>
  <c r="N58" i="53"/>
  <c r="I201" i="65"/>
  <c r="W11" i="65"/>
  <c r="W10" i="65"/>
  <c r="Z10" i="65" s="1"/>
  <c r="I205" i="65"/>
  <c r="I156" i="65"/>
  <c r="I197" i="65"/>
  <c r="I200" i="65" s="1"/>
  <c r="CW300" i="90"/>
  <c r="CW302" i="90" s="1"/>
  <c r="Y300" i="90"/>
  <c r="Y302" i="90" s="1"/>
  <c r="Y49" i="14" s="1"/>
  <c r="X366" i="90"/>
  <c r="CV366" i="90"/>
  <c r="N129" i="52" l="1"/>
  <c r="Q129" i="52" s="1"/>
  <c r="R129" i="52" s="1"/>
  <c r="S129" i="52" s="1"/>
  <c r="T129" i="52" s="1"/>
  <c r="CF319" i="90"/>
  <c r="CF312" i="90" s="1"/>
  <c r="CF309" i="90"/>
  <c r="CF310" i="90" s="1"/>
  <c r="DA359" i="90"/>
  <c r="CO40" i="90"/>
  <c r="CO39" i="90"/>
  <c r="CO41" i="90" s="1"/>
  <c r="Y361" i="90"/>
  <c r="Q34" i="90"/>
  <c r="R33" i="90"/>
  <c r="Q309" i="90"/>
  <c r="Q310" i="90" s="1"/>
  <c r="CQ219" i="90"/>
  <c r="CQ218" i="90"/>
  <c r="CQ220" i="90" s="1"/>
  <c r="CP356" i="90"/>
  <c r="DB359" i="90"/>
  <c r="DC252" i="90"/>
  <c r="DC254" i="90" s="1"/>
  <c r="DC359" i="90"/>
  <c r="Z361" i="90"/>
  <c r="AA264" i="90"/>
  <c r="AA266" i="90" s="1"/>
  <c r="AA361" i="90" s="1"/>
  <c r="CV26" i="90"/>
  <c r="CV29" i="90"/>
  <c r="CU28" i="90"/>
  <c r="O129" i="52"/>
  <c r="P129" i="52" s="1"/>
  <c r="AD26" i="90"/>
  <c r="AD29" i="90"/>
  <c r="AD28" i="90" s="1"/>
  <c r="AC28" i="90"/>
  <c r="DB231" i="12"/>
  <c r="DB230" i="12" s="1"/>
  <c r="DC165" i="12"/>
  <c r="DC231" i="12" s="1"/>
  <c r="CG35" i="90"/>
  <c r="CH33" i="90"/>
  <c r="CZ264" i="90"/>
  <c r="CZ266" i="90" s="1"/>
  <c r="DA264" i="90" s="1"/>
  <c r="DA266" i="90" s="1"/>
  <c r="CY361" i="90"/>
  <c r="S40" i="90"/>
  <c r="T39" i="90"/>
  <c r="DA230" i="12"/>
  <c r="DA232" i="12"/>
  <c r="CW51" i="90"/>
  <c r="CW53" i="90" s="1"/>
  <c r="CW52" i="90"/>
  <c r="DB358" i="90"/>
  <c r="DB246" i="90"/>
  <c r="DB248" i="90" s="1"/>
  <c r="AC246" i="90"/>
  <c r="AC248" i="90" s="1"/>
  <c r="AC358" i="90" s="1"/>
  <c r="Z342" i="90"/>
  <c r="AA203" i="90"/>
  <c r="AA205" i="90" s="1"/>
  <c r="AB183" i="90"/>
  <c r="AB185" i="90" s="1"/>
  <c r="AB338" i="90"/>
  <c r="AA338" i="90"/>
  <c r="AD354" i="12"/>
  <c r="AD361" i="12"/>
  <c r="AD368" i="12" s="1"/>
  <c r="AC368" i="12"/>
  <c r="U218" i="33"/>
  <c r="V211" i="33" s="1"/>
  <c r="V212" i="33" s="1"/>
  <c r="AD9" i="12"/>
  <c r="AD10" i="33" s="1"/>
  <c r="AC827" i="12"/>
  <c r="AC829" i="12" s="1"/>
  <c r="AC10" i="33"/>
  <c r="AC140" i="33" s="1"/>
  <c r="AC43" i="12"/>
  <c r="V216" i="33"/>
  <c r="U199" i="33"/>
  <c r="Q95" i="14"/>
  <c r="Q102" i="14" s="1"/>
  <c r="P103" i="14"/>
  <c r="CT218" i="33"/>
  <c r="CT222" i="33" s="1"/>
  <c r="CT223" i="33" s="1"/>
  <c r="AX95" i="14"/>
  <c r="AX102" i="14" s="1"/>
  <c r="AW103" i="14"/>
  <c r="CN71" i="14"/>
  <c r="CO64" i="14"/>
  <c r="CN90" i="14"/>
  <c r="CM73" i="14"/>
  <c r="F11" i="52"/>
  <c r="CU166" i="12"/>
  <c r="CT240" i="12"/>
  <c r="CT239" i="12" s="1"/>
  <c r="CS241" i="12"/>
  <c r="N131" i="52"/>
  <c r="O131" i="52" s="1"/>
  <c r="CU211" i="33"/>
  <c r="R82" i="52"/>
  <c r="Q114" i="52"/>
  <c r="Q115" i="52" s="1"/>
  <c r="Q46" i="52"/>
  <c r="V78" i="52"/>
  <c r="U110" i="52"/>
  <c r="Y173" i="90"/>
  <c r="Y175" i="90" s="1"/>
  <c r="Y336" i="90" s="1"/>
  <c r="X138" i="90"/>
  <c r="X140" i="90" s="1"/>
  <c r="X329" i="90" s="1"/>
  <c r="Q132" i="52"/>
  <c r="R132" i="52" s="1"/>
  <c r="CR94" i="90"/>
  <c r="CR95" i="90" s="1"/>
  <c r="CJ83" i="90"/>
  <c r="S112" i="52"/>
  <c r="T80" i="52"/>
  <c r="BP69" i="15"/>
  <c r="BP70" i="15" s="1"/>
  <c r="BO8" i="14"/>
  <c r="X208" i="90"/>
  <c r="X210" i="90" s="1"/>
  <c r="P133" i="52"/>
  <c r="Y193" i="90"/>
  <c r="Y195" i="90" s="1"/>
  <c r="Y340" i="90" s="1"/>
  <c r="CQ47" i="90"/>
  <c r="G146" i="52"/>
  <c r="G18" i="52" s="1"/>
  <c r="G7" i="52" s="1"/>
  <c r="G8" i="52" s="1"/>
  <c r="H125" i="52"/>
  <c r="H146" i="52" s="1"/>
  <c r="H18" i="52" s="1"/>
  <c r="H7" i="52" s="1"/>
  <c r="H8" i="52" s="1"/>
  <c r="T149" i="90"/>
  <c r="U148" i="90"/>
  <c r="U150" i="90" s="1"/>
  <c r="V148" i="90" s="1"/>
  <c r="F29" i="52"/>
  <c r="G25" i="52" s="1"/>
  <c r="BD11" i="48"/>
  <c r="BD34" i="48"/>
  <c r="BD36" i="48" s="1"/>
  <c r="BM15" i="90"/>
  <c r="S214" i="90"/>
  <c r="T213" i="90"/>
  <c r="P44" i="52"/>
  <c r="P45" i="52" s="1"/>
  <c r="P47" i="52"/>
  <c r="S81" i="90"/>
  <c r="R82" i="90"/>
  <c r="BN15" i="14"/>
  <c r="BN28" i="14" s="1"/>
  <c r="BN75" i="14" s="1"/>
  <c r="BN112" i="14"/>
  <c r="W77" i="52"/>
  <c r="V109" i="52"/>
  <c r="O134" i="52"/>
  <c r="P134" i="52" s="1"/>
  <c r="I126" i="52"/>
  <c r="CT198" i="33"/>
  <c r="CT197" i="33"/>
  <c r="F16" i="52"/>
  <c r="F19" i="52" s="1"/>
  <c r="E21" i="52"/>
  <c r="E31" i="52" s="1"/>
  <c r="Z198" i="90"/>
  <c r="Z200" i="90" s="1"/>
  <c r="L130" i="52"/>
  <c r="M130" i="52" s="1"/>
  <c r="CN214" i="90"/>
  <c r="CN215" i="90" s="1"/>
  <c r="T94" i="90"/>
  <c r="U93" i="90"/>
  <c r="P17" i="52"/>
  <c r="P38" i="52"/>
  <c r="P39" i="52" s="1"/>
  <c r="S81" i="52"/>
  <c r="R113" i="52"/>
  <c r="U79" i="52"/>
  <c r="T111" i="52"/>
  <c r="CR202" i="14"/>
  <c r="CR203" i="14" s="1"/>
  <c r="CS200" i="14"/>
  <c r="X76" i="52"/>
  <c r="W108" i="52"/>
  <c r="Y75" i="52"/>
  <c r="X107" i="52"/>
  <c r="Y106" i="52"/>
  <c r="O47" i="52"/>
  <c r="CL69" i="90"/>
  <c r="CL71" i="90" s="1"/>
  <c r="CL321" i="90" s="1"/>
  <c r="O135" i="52"/>
  <c r="O28" i="52"/>
  <c r="O127" i="52"/>
  <c r="CR355" i="12"/>
  <c r="CR354" i="12"/>
  <c r="CS347" i="12"/>
  <c r="CS353" i="12"/>
  <c r="CT346" i="12"/>
  <c r="CS194" i="14"/>
  <c r="CT206" i="14"/>
  <c r="CT209" i="14" s="1"/>
  <c r="Q115" i="14"/>
  <c r="Q15" i="90" s="1"/>
  <c r="Q69" i="80"/>
  <c r="Q70" i="80" s="1"/>
  <c r="Q72" i="80" s="1"/>
  <c r="Q11" i="48"/>
  <c r="J71" i="65"/>
  <c r="J96" i="65"/>
  <c r="J92" i="65" s="1"/>
  <c r="J89" i="65" s="1"/>
  <c r="T69" i="15"/>
  <c r="T70" i="15" s="1"/>
  <c r="S8" i="14"/>
  <c r="R15" i="14"/>
  <c r="R28" i="14" s="1"/>
  <c r="R75" i="14" s="1"/>
  <c r="K76" i="65"/>
  <c r="K74" i="65" s="1"/>
  <c r="K73" i="65" s="1"/>
  <c r="R112" i="14"/>
  <c r="CS361" i="12"/>
  <c r="CR368" i="12"/>
  <c r="O55" i="53"/>
  <c r="O58" i="53"/>
  <c r="P50" i="53"/>
  <c r="P53" i="53" s="1"/>
  <c r="Z9" i="65"/>
  <c r="Z300" i="90"/>
  <c r="Z302" i="90" s="1"/>
  <c r="CX300" i="90"/>
  <c r="CX302" i="90" s="1"/>
  <c r="Y366" i="90"/>
  <c r="CW366" i="90"/>
  <c r="DC232" i="12" l="1"/>
  <c r="CG319" i="90"/>
  <c r="CG312" i="90" s="1"/>
  <c r="BX27" i="48" s="1"/>
  <c r="CG309" i="90"/>
  <c r="CG310" i="90" s="1"/>
  <c r="CW29" i="90"/>
  <c r="CW26" i="90"/>
  <c r="CV28" i="90"/>
  <c r="CP39" i="90"/>
  <c r="CP41" i="90" s="1"/>
  <c r="CP40" i="90"/>
  <c r="BW27" i="48"/>
  <c r="CZ361" i="90"/>
  <c r="CQ356" i="90"/>
  <c r="T220" i="90"/>
  <c r="CR219" i="90"/>
  <c r="CR218" i="90"/>
  <c r="CR220" i="90" s="1"/>
  <c r="U129" i="52"/>
  <c r="V129" i="52" s="1"/>
  <c r="W129" i="52" s="1"/>
  <c r="X129" i="52" s="1"/>
  <c r="Y129" i="52" s="1"/>
  <c r="CX51" i="90"/>
  <c r="CX53" i="90" s="1"/>
  <c r="CX52" i="90"/>
  <c r="DA361" i="90"/>
  <c r="DB264" i="90"/>
  <c r="DB266" i="90" s="1"/>
  <c r="DC264" i="90" s="1"/>
  <c r="DC266" i="90" s="1"/>
  <c r="DC361" i="90" s="1"/>
  <c r="DB232" i="12"/>
  <c r="DC230" i="12"/>
  <c r="CI33" i="90"/>
  <c r="CI35" i="90" s="1"/>
  <c r="CH35" i="90"/>
  <c r="CH319" i="90" s="1"/>
  <c r="CH312" i="90" s="1"/>
  <c r="BY27" i="48" s="1"/>
  <c r="AB264" i="90"/>
  <c r="AB266" i="90" s="1"/>
  <c r="AD246" i="90"/>
  <c r="AD248" i="90" s="1"/>
  <c r="AD358" i="90" s="1"/>
  <c r="DB355" i="90"/>
  <c r="DC246" i="90"/>
  <c r="DC248" i="90" s="1"/>
  <c r="DC355" i="90" s="1"/>
  <c r="DC358" i="90"/>
  <c r="Z341" i="90"/>
  <c r="AA198" i="90"/>
  <c r="AA200" i="90" s="1"/>
  <c r="AA341" i="90" s="1"/>
  <c r="AC183" i="90"/>
  <c r="AC185" i="90" s="1"/>
  <c r="AC338" i="90" s="1"/>
  <c r="AB203" i="90"/>
  <c r="AB205" i="90" s="1"/>
  <c r="AB342" i="90" s="1"/>
  <c r="AA342" i="90"/>
  <c r="V214" i="33"/>
  <c r="V195" i="33" s="1"/>
  <c r="AD43" i="12"/>
  <c r="AD827" i="12"/>
  <c r="AD829" i="12" s="1"/>
  <c r="AD140" i="33"/>
  <c r="Z49" i="14"/>
  <c r="AA300" i="90"/>
  <c r="AA302" i="90" s="1"/>
  <c r="AY95" i="14"/>
  <c r="AY102" i="14" s="1"/>
  <c r="AX103" i="14"/>
  <c r="R95" i="14"/>
  <c r="R102" i="14" s="1"/>
  <c r="Q103" i="14"/>
  <c r="CP64" i="14"/>
  <c r="CO71" i="14"/>
  <c r="CN73" i="14"/>
  <c r="CO90" i="14"/>
  <c r="I125" i="52"/>
  <c r="J125" i="52" s="1"/>
  <c r="CT241" i="12"/>
  <c r="CV166" i="12"/>
  <c r="CU240" i="12"/>
  <c r="CU241" i="12" s="1"/>
  <c r="T215" i="90"/>
  <c r="CO213" i="90"/>
  <c r="CS93" i="90"/>
  <c r="CR352" i="90"/>
  <c r="N130" i="52"/>
  <c r="O130" i="52" s="1"/>
  <c r="Q134" i="52"/>
  <c r="R134" i="52" s="1"/>
  <c r="X158" i="90"/>
  <c r="X160" i="90" s="1"/>
  <c r="X333" i="90" s="1"/>
  <c r="CT199" i="33"/>
  <c r="CR46" i="90"/>
  <c r="T47" i="90"/>
  <c r="T309" i="90" s="1"/>
  <c r="T310" i="90" s="1"/>
  <c r="CR45" i="90"/>
  <c r="CQ309" i="90"/>
  <c r="CQ310" i="90" s="1"/>
  <c r="BQ69" i="15"/>
  <c r="BQ70" i="15" s="1"/>
  <c r="BP8" i="14"/>
  <c r="W78" i="52"/>
  <c r="V110" i="52"/>
  <c r="Q44" i="52"/>
  <c r="Q45" i="52" s="1"/>
  <c r="CU216" i="33"/>
  <c r="CU214" i="33"/>
  <c r="CU195" i="33" s="1"/>
  <c r="CU212" i="33"/>
  <c r="T81" i="52"/>
  <c r="S113" i="52"/>
  <c r="P127" i="52"/>
  <c r="Y107" i="52"/>
  <c r="V79" i="52"/>
  <c r="U111" i="52"/>
  <c r="P136" i="52"/>
  <c r="P28" i="52"/>
  <c r="P131" i="52"/>
  <c r="CS219" i="90"/>
  <c r="CS218" i="90"/>
  <c r="CR356" i="90"/>
  <c r="V150" i="90"/>
  <c r="W148" i="90" s="1"/>
  <c r="W150" i="90" s="1"/>
  <c r="Z193" i="90"/>
  <c r="Z195" i="90" s="1"/>
  <c r="Y208" i="90"/>
  <c r="Y210" i="90" s="1"/>
  <c r="Y343" i="90" s="1"/>
  <c r="U80" i="52"/>
  <c r="T112" i="52"/>
  <c r="P135" i="52"/>
  <c r="CS202" i="14"/>
  <c r="CS203" i="14" s="1"/>
  <c r="CT200" i="14"/>
  <c r="X168" i="90"/>
  <c r="X170" i="90" s="1"/>
  <c r="X335" i="90" s="1"/>
  <c r="X77" i="52"/>
  <c r="W109" i="52"/>
  <c r="BE34" i="48"/>
  <c r="BE36" i="48" s="1"/>
  <c r="BN15" i="90"/>
  <c r="BE11" i="48"/>
  <c r="X343" i="90"/>
  <c r="Z173" i="90"/>
  <c r="Z175" i="90" s="1"/>
  <c r="S82" i="52"/>
  <c r="R114" i="52"/>
  <c r="R115" i="52" s="1"/>
  <c r="R46" i="52"/>
  <c r="S132" i="52"/>
  <c r="T132" i="52" s="1"/>
  <c r="U132" i="52" s="1"/>
  <c r="V132" i="52" s="1"/>
  <c r="W132" i="52" s="1"/>
  <c r="X132" i="52" s="1"/>
  <c r="Y132" i="52" s="1"/>
  <c r="CM69" i="90"/>
  <c r="CM71" i="90" s="1"/>
  <c r="CN69" i="90" s="1"/>
  <c r="CN71" i="90" s="1"/>
  <c r="CO69" i="90" s="1"/>
  <c r="CO71" i="90" s="1"/>
  <c r="CP69" i="90" s="1"/>
  <c r="CP71" i="90" s="1"/>
  <c r="CQ69" i="90" s="1"/>
  <c r="CQ71" i="90" s="1"/>
  <c r="CR69" i="90" s="1"/>
  <c r="CR71" i="90" s="1"/>
  <c r="CS69" i="90" s="1"/>
  <c r="CS71" i="90" s="1"/>
  <c r="CT69" i="90" s="1"/>
  <c r="CT71" i="90" s="1"/>
  <c r="CU69" i="90" s="1"/>
  <c r="CU71" i="90" s="1"/>
  <c r="CV69" i="90" s="1"/>
  <c r="CV71" i="90" s="1"/>
  <c r="CW69" i="90" s="1"/>
  <c r="CW71" i="90" s="1"/>
  <c r="CX69" i="90" s="1"/>
  <c r="CX71" i="90" s="1"/>
  <c r="CY69" i="90" s="1"/>
  <c r="CY71" i="90" s="1"/>
  <c r="CZ69" i="90" s="1"/>
  <c r="CZ71" i="90" s="1"/>
  <c r="DA69" i="90" s="1"/>
  <c r="DA71" i="90" s="1"/>
  <c r="DB69" i="90" s="1"/>
  <c r="DB71" i="90" s="1"/>
  <c r="DC69" i="90" s="1"/>
  <c r="DC71" i="90" s="1"/>
  <c r="Y76" i="52"/>
  <c r="Y108" i="52" s="1"/>
  <c r="X108" i="52"/>
  <c r="G16" i="52"/>
  <c r="G19" i="52" s="1"/>
  <c r="F21" i="52"/>
  <c r="F31" i="52" s="1"/>
  <c r="Q17" i="52"/>
  <c r="Q38" i="52"/>
  <c r="Q39" i="52" s="1"/>
  <c r="F34" i="52"/>
  <c r="G26" i="52" s="1"/>
  <c r="Q133" i="52"/>
  <c r="R133" i="52" s="1"/>
  <c r="S133" i="52" s="1"/>
  <c r="BO112" i="14"/>
  <c r="BO15" i="14"/>
  <c r="BO28" i="14" s="1"/>
  <c r="BO75" i="14" s="1"/>
  <c r="CK81" i="90"/>
  <c r="CK82" i="90"/>
  <c r="CJ323" i="90"/>
  <c r="Y138" i="90"/>
  <c r="Y140" i="90" s="1"/>
  <c r="Y329" i="90" s="1"/>
  <c r="J126" i="52"/>
  <c r="K126" i="52" s="1"/>
  <c r="CS355" i="12"/>
  <c r="CS354" i="12"/>
  <c r="CT353" i="12"/>
  <c r="CT347" i="12"/>
  <c r="CU346" i="12"/>
  <c r="CT194" i="14"/>
  <c r="CU206" i="14"/>
  <c r="CU209" i="14" s="1"/>
  <c r="R11" i="48"/>
  <c r="R115" i="14"/>
  <c r="R15" i="90" s="1"/>
  <c r="R69" i="80"/>
  <c r="R70" i="80" s="1"/>
  <c r="R72" i="80" s="1"/>
  <c r="J69" i="65"/>
  <c r="K96" i="65"/>
  <c r="K92" i="65" s="1"/>
  <c r="K89" i="65" s="1"/>
  <c r="K71" i="65"/>
  <c r="S112" i="14"/>
  <c r="L76" i="65"/>
  <c r="L74" i="65" s="1"/>
  <c r="L73" i="65" s="1"/>
  <c r="S15" i="14"/>
  <c r="S28" i="14" s="1"/>
  <c r="S75" i="14" s="1"/>
  <c r="U69" i="15"/>
  <c r="U70" i="15" s="1"/>
  <c r="T8" i="14"/>
  <c r="CT361" i="12"/>
  <c r="CS368" i="12"/>
  <c r="P55" i="53"/>
  <c r="P58" i="53"/>
  <c r="Q50" i="53"/>
  <c r="Q53" i="53" s="1"/>
  <c r="CW372" i="90"/>
  <c r="Y58" i="15"/>
  <c r="CY300" i="90"/>
  <c r="CY302" i="90" s="1"/>
  <c r="CX366" i="90"/>
  <c r="Z366" i="90"/>
  <c r="R35" i="90" l="1"/>
  <c r="CJ33" i="90"/>
  <c r="CJ35" i="90" s="1"/>
  <c r="CI309" i="90"/>
  <c r="CI310" i="90" s="1"/>
  <c r="CX29" i="90"/>
  <c r="CX26" i="90"/>
  <c r="CW28" i="90"/>
  <c r="AC264" i="90"/>
  <c r="AC266" i="90" s="1"/>
  <c r="AC361" i="90" s="1"/>
  <c r="CQ39" i="90"/>
  <c r="CQ41" i="90" s="1"/>
  <c r="CQ40" i="90"/>
  <c r="Q47" i="52"/>
  <c r="AB361" i="90"/>
  <c r="CI319" i="90"/>
  <c r="CI312" i="90" s="1"/>
  <c r="BZ27" i="48" s="1"/>
  <c r="CH309" i="90"/>
  <c r="CH310" i="90" s="1"/>
  <c r="DB361" i="90"/>
  <c r="CY52" i="90"/>
  <c r="CY51" i="90"/>
  <c r="CY53" i="90" s="1"/>
  <c r="U218" i="90"/>
  <c r="T219" i="90"/>
  <c r="Z340" i="90"/>
  <c r="AA193" i="90"/>
  <c r="AA195" i="90" s="1"/>
  <c r="AD183" i="90"/>
  <c r="AD185" i="90" s="1"/>
  <c r="AD338" i="90" s="1"/>
  <c r="Z336" i="90"/>
  <c r="AA173" i="90"/>
  <c r="AA175" i="90" s="1"/>
  <c r="AA336" i="90" s="1"/>
  <c r="AC203" i="90"/>
  <c r="AC205" i="90" s="1"/>
  <c r="AC342" i="90" s="1"/>
  <c r="AB198" i="90"/>
  <c r="AB200" i="90" s="1"/>
  <c r="AB341" i="90" s="1"/>
  <c r="V218" i="33"/>
  <c r="W211" i="33" s="1"/>
  <c r="W216" i="33" s="1"/>
  <c r="V198" i="33"/>
  <c r="V197" i="33"/>
  <c r="AA366" i="90"/>
  <c r="AA49" i="14"/>
  <c r="AB300" i="90"/>
  <c r="AB302" i="90" s="1"/>
  <c r="AB49" i="14" s="1"/>
  <c r="CU218" i="33"/>
  <c r="CV211" i="33" s="1"/>
  <c r="S95" i="14"/>
  <c r="S102" i="14" s="1"/>
  <c r="R103" i="14"/>
  <c r="AZ95" i="14"/>
  <c r="AZ102" i="14" s="1"/>
  <c r="AY103" i="14"/>
  <c r="CK83" i="90"/>
  <c r="CL81" i="90" s="1"/>
  <c r="CO73" i="14"/>
  <c r="CP90" i="14"/>
  <c r="CQ64" i="14"/>
  <c r="CP71" i="14"/>
  <c r="CZ300" i="90"/>
  <c r="CZ302" i="90" s="1"/>
  <c r="I146" i="52"/>
  <c r="I18" i="52" s="1"/>
  <c r="I7" i="52" s="1"/>
  <c r="I8" i="52" s="1"/>
  <c r="CW166" i="12"/>
  <c r="CV240" i="12"/>
  <c r="CU239" i="12"/>
  <c r="Q135" i="52"/>
  <c r="R135" i="52" s="1"/>
  <c r="S134" i="52"/>
  <c r="T134" i="52" s="1"/>
  <c r="CY366" i="90"/>
  <c r="CS220" i="90"/>
  <c r="CS356" i="90" s="1"/>
  <c r="G10" i="52"/>
  <c r="G29" i="52"/>
  <c r="H25" i="52" s="1"/>
  <c r="CU222" i="33"/>
  <c r="CU223" i="33" s="1"/>
  <c r="T133" i="52"/>
  <c r="U133" i="52" s="1"/>
  <c r="Z138" i="90"/>
  <c r="Z140" i="90" s="1"/>
  <c r="BF34" i="48"/>
  <c r="BF36" i="48" s="1"/>
  <c r="BF11" i="48"/>
  <c r="BO15" i="90"/>
  <c r="CM321" i="90"/>
  <c r="R44" i="52"/>
  <c r="R45" i="52" s="1"/>
  <c r="J146" i="52"/>
  <c r="J18" i="52" s="1"/>
  <c r="J7" i="52" s="1"/>
  <c r="J8" i="52" s="1"/>
  <c r="Y77" i="52"/>
  <c r="X109" i="52"/>
  <c r="CU197" i="33"/>
  <c r="CU198" i="33"/>
  <c r="BR69" i="15"/>
  <c r="BR70" i="15" s="1"/>
  <c r="BQ8" i="14"/>
  <c r="Y158" i="90"/>
  <c r="Y160" i="90" s="1"/>
  <c r="Y333" i="90" s="1"/>
  <c r="P130" i="52"/>
  <c r="Q130" i="52" s="1"/>
  <c r="CO214" i="90"/>
  <c r="CO215" i="90" s="1"/>
  <c r="CP213" i="90" s="1"/>
  <c r="H16" i="52"/>
  <c r="H19" i="52" s="1"/>
  <c r="G21" i="52"/>
  <c r="R17" i="52"/>
  <c r="R38" i="52"/>
  <c r="R39" i="52" s="1"/>
  <c r="CU200" i="14"/>
  <c r="CT202" i="14"/>
  <c r="CT203" i="14" s="1"/>
  <c r="W79" i="52"/>
  <c r="V111" i="52"/>
  <c r="X78" i="52"/>
  <c r="W110" i="52"/>
  <c r="U213" i="90"/>
  <c r="U215" i="90" s="1"/>
  <c r="V213" i="90" s="1"/>
  <c r="V215" i="90" s="1"/>
  <c r="W213" i="90" s="1"/>
  <c r="W215" i="90" s="1"/>
  <c r="T214" i="90"/>
  <c r="L126" i="52"/>
  <c r="M126" i="52" s="1"/>
  <c r="T82" i="52"/>
  <c r="S114" i="52"/>
  <c r="S115" i="52" s="1"/>
  <c r="S46" i="52"/>
  <c r="V80" i="52"/>
  <c r="U112" i="52"/>
  <c r="Q131" i="52"/>
  <c r="U81" i="52"/>
  <c r="T113" i="52"/>
  <c r="CR47" i="90"/>
  <c r="CS94" i="90"/>
  <c r="Q137" i="52"/>
  <c r="Q28" i="52"/>
  <c r="Y168" i="90"/>
  <c r="Y170" i="90" s="1"/>
  <c r="Y335" i="90" s="1"/>
  <c r="Z208" i="90"/>
  <c r="Z210" i="90" s="1"/>
  <c r="Q136" i="52"/>
  <c r="R136" i="52" s="1"/>
  <c r="Q127" i="52"/>
  <c r="BP112" i="14"/>
  <c r="BP15" i="14"/>
  <c r="BP28" i="14" s="1"/>
  <c r="BP75" i="14" s="1"/>
  <c r="K125" i="52"/>
  <c r="CT354" i="12"/>
  <c r="CT355" i="12"/>
  <c r="CV346" i="12"/>
  <c r="CU347" i="12"/>
  <c r="CU353" i="12"/>
  <c r="CV206" i="14"/>
  <c r="CV209" i="14" s="1"/>
  <c r="CU194" i="14"/>
  <c r="U194" i="14" s="1"/>
  <c r="CW96" i="15"/>
  <c r="AI30" i="77" s="1"/>
  <c r="CW80" i="15"/>
  <c r="T112" i="14"/>
  <c r="T15" i="14"/>
  <c r="T28" i="14" s="1"/>
  <c r="T75" i="14" s="1"/>
  <c r="V69" i="15"/>
  <c r="U8" i="14"/>
  <c r="J218" i="65"/>
  <c r="J199" i="65"/>
  <c r="J201" i="65" s="1"/>
  <c r="J36" i="65"/>
  <c r="S69" i="80"/>
  <c r="S70" i="80" s="1"/>
  <c r="S72" i="80" s="1"/>
  <c r="S11" i="48"/>
  <c r="S115" i="14"/>
  <c r="S15" i="90" s="1"/>
  <c r="L96" i="65"/>
  <c r="L92" i="65" s="1"/>
  <c r="L89" i="65" s="1"/>
  <c r="L71" i="65"/>
  <c r="K69" i="65"/>
  <c r="CT368" i="12"/>
  <c r="CU361" i="12"/>
  <c r="Q58" i="53"/>
  <c r="R50" i="53"/>
  <c r="R53" i="53" s="1"/>
  <c r="R58" i="53" s="1"/>
  <c r="Q55" i="53"/>
  <c r="Z58" i="15"/>
  <c r="CX28" i="90" l="1"/>
  <c r="CY26" i="90"/>
  <c r="CY29" i="90"/>
  <c r="CZ51" i="90"/>
  <c r="CZ53" i="90" s="1"/>
  <c r="DA51" i="90" s="1"/>
  <c r="DA53" i="90" s="1"/>
  <c r="DB51" i="90" s="1"/>
  <c r="DB53" i="90" s="1"/>
  <c r="DC51" i="90" s="1"/>
  <c r="DC53" i="90" s="1"/>
  <c r="W53" i="90" s="1"/>
  <c r="V53" i="90"/>
  <c r="AD264" i="90"/>
  <c r="AD266" i="90" s="1"/>
  <c r="AD361" i="90"/>
  <c r="R312" i="90"/>
  <c r="R27" i="48" s="1"/>
  <c r="CJ319" i="90"/>
  <c r="CJ312" i="90" s="1"/>
  <c r="CA27" i="48" s="1"/>
  <c r="CK33" i="90"/>
  <c r="CK35" i="90" s="1"/>
  <c r="CJ309" i="90"/>
  <c r="CJ310" i="90" s="1"/>
  <c r="V199" i="33"/>
  <c r="T41" i="90"/>
  <c r="CR39" i="90"/>
  <c r="CR40" i="90"/>
  <c r="R34" i="90"/>
  <c r="S33" i="90"/>
  <c r="R309" i="90"/>
  <c r="R310" i="90" s="1"/>
  <c r="Z343" i="90"/>
  <c r="AA208" i="90"/>
  <c r="AA210" i="90" s="1"/>
  <c r="AA343" i="90" s="1"/>
  <c r="AC198" i="90"/>
  <c r="AC200" i="90" s="1"/>
  <c r="AD198" i="90" s="1"/>
  <c r="AD200" i="90" s="1"/>
  <c r="AD341" i="90" s="1"/>
  <c r="AB173" i="90"/>
  <c r="AB175" i="90" s="1"/>
  <c r="AB336" i="90" s="1"/>
  <c r="AB193" i="90"/>
  <c r="AB195" i="90" s="1"/>
  <c r="AB340" i="90" s="1"/>
  <c r="AA340" i="90"/>
  <c r="Z329" i="90"/>
  <c r="AA138" i="90"/>
  <c r="AA140" i="90" s="1"/>
  <c r="AA329" i="90" s="1"/>
  <c r="AD203" i="90"/>
  <c r="AD205" i="90" s="1"/>
  <c r="AD342" i="90" s="1"/>
  <c r="CU199" i="33"/>
  <c r="W212" i="33"/>
  <c r="W218" i="33" s="1"/>
  <c r="X211" i="33" s="1"/>
  <c r="W214" i="33"/>
  <c r="W195" i="33" s="1"/>
  <c r="AA58" i="15"/>
  <c r="AB58" i="15"/>
  <c r="AC300" i="90"/>
  <c r="AC302" i="90" s="1"/>
  <c r="AB366" i="90"/>
  <c r="G31" i="52"/>
  <c r="T95" i="14"/>
  <c r="T102" i="14" s="1"/>
  <c r="S103" i="14"/>
  <c r="BA95" i="14"/>
  <c r="BA102" i="14" s="1"/>
  <c r="AZ103" i="14"/>
  <c r="G34" i="52"/>
  <c r="H26" i="52" s="1"/>
  <c r="H10" i="52" s="1"/>
  <c r="CZ49" i="14"/>
  <c r="CZ58" i="15" s="1"/>
  <c r="CK309" i="90"/>
  <c r="CK310" i="90" s="1"/>
  <c r="CL82" i="90"/>
  <c r="CK323" i="90"/>
  <c r="CL83" i="90"/>
  <c r="CL323" i="90" s="1"/>
  <c r="CQ90" i="14"/>
  <c r="CP73" i="14"/>
  <c r="T64" i="14"/>
  <c r="CR64" i="14"/>
  <c r="CQ71" i="14"/>
  <c r="CZ366" i="90"/>
  <c r="DA300" i="90"/>
  <c r="DA302" i="90" s="1"/>
  <c r="CT219" i="90"/>
  <c r="CT218" i="90"/>
  <c r="R130" i="52"/>
  <c r="S130" i="52" s="1"/>
  <c r="T130" i="52" s="1"/>
  <c r="CX166" i="12"/>
  <c r="CY166" i="12" s="1"/>
  <c r="CW240" i="12"/>
  <c r="CV239" i="12"/>
  <c r="CV241" i="12"/>
  <c r="S135" i="52"/>
  <c r="T135" i="52" s="1"/>
  <c r="U134" i="52"/>
  <c r="V134" i="52" s="1"/>
  <c r="W134" i="52" s="1"/>
  <c r="V133" i="52"/>
  <c r="W133" i="52" s="1"/>
  <c r="X133" i="52" s="1"/>
  <c r="Y133" i="52" s="1"/>
  <c r="S136" i="52"/>
  <c r="T136" i="52" s="1"/>
  <c r="U136" i="52" s="1"/>
  <c r="CP214" i="90"/>
  <c r="CP215" i="90" s="1"/>
  <c r="CQ213" i="90" s="1"/>
  <c r="L125" i="52"/>
  <c r="L146" i="52" s="1"/>
  <c r="L18" i="52" s="1"/>
  <c r="L7" i="52" s="1"/>
  <c r="L8" i="52" s="1"/>
  <c r="W80" i="52"/>
  <c r="V112" i="52"/>
  <c r="S44" i="52"/>
  <c r="S45" i="52" s="1"/>
  <c r="R138" i="52"/>
  <c r="R28" i="52"/>
  <c r="CV216" i="33"/>
  <c r="CV214" i="33"/>
  <c r="CV195" i="33" s="1"/>
  <c r="CV212" i="33"/>
  <c r="BG11" i="48"/>
  <c r="BG34" i="48"/>
  <c r="BG36" i="48" s="1"/>
  <c r="BP115" i="14"/>
  <c r="BP15" i="90" s="1"/>
  <c r="R137" i="52"/>
  <c r="S137" i="52" s="1"/>
  <c r="V81" i="52"/>
  <c r="U113" i="52"/>
  <c r="S17" i="52"/>
  <c r="S38" i="52"/>
  <c r="S39" i="52" s="1"/>
  <c r="Y78" i="52"/>
  <c r="X110" i="52"/>
  <c r="N126" i="52"/>
  <c r="O126" i="52" s="1"/>
  <c r="P126" i="52" s="1"/>
  <c r="Q126" i="52" s="1"/>
  <c r="R126" i="52" s="1"/>
  <c r="S126" i="52" s="1"/>
  <c r="T126" i="52" s="1"/>
  <c r="U126" i="52" s="1"/>
  <c r="V126" i="52" s="1"/>
  <c r="W126" i="52" s="1"/>
  <c r="X126" i="52" s="1"/>
  <c r="Y126" i="52" s="1"/>
  <c r="G13" i="52"/>
  <c r="G11" i="52"/>
  <c r="CS95" i="90"/>
  <c r="U82" i="52"/>
  <c r="T114" i="52"/>
  <c r="T115" i="52" s="1"/>
  <c r="T46" i="52"/>
  <c r="H21" i="52"/>
  <c r="I16" i="52"/>
  <c r="I19" i="52" s="1"/>
  <c r="BQ15" i="14"/>
  <c r="BQ28" i="14" s="1"/>
  <c r="BQ75" i="14" s="1"/>
  <c r="BQ112" i="14"/>
  <c r="Y109" i="52"/>
  <c r="R47" i="52"/>
  <c r="K146" i="52"/>
  <c r="K18" i="52" s="1"/>
  <c r="K7" i="52" s="1"/>
  <c r="K8" i="52" s="1"/>
  <c r="R127" i="52"/>
  <c r="Z168" i="90"/>
  <c r="Z170" i="90" s="1"/>
  <c r="CS46" i="90"/>
  <c r="CS45" i="90"/>
  <c r="CR309" i="90"/>
  <c r="CR310" i="90" s="1"/>
  <c r="R131" i="52"/>
  <c r="S131" i="52" s="1"/>
  <c r="X79" i="52"/>
  <c r="W111" i="52"/>
  <c r="CV200" i="14"/>
  <c r="U200" i="14"/>
  <c r="U202" i="14" s="1"/>
  <c r="CU202" i="14"/>
  <c r="CU203" i="14" s="1"/>
  <c r="Z158" i="90"/>
  <c r="Z160" i="90" s="1"/>
  <c r="BS69" i="15"/>
  <c r="BS70" i="15" s="1"/>
  <c r="BR8" i="14"/>
  <c r="CW346" i="12"/>
  <c r="CX346" i="12" s="1"/>
  <c r="CY346" i="12" s="1"/>
  <c r="CV347" i="12"/>
  <c r="CV353" i="12"/>
  <c r="CU355" i="12"/>
  <c r="CU354" i="12"/>
  <c r="L69" i="65"/>
  <c r="L218" i="65" s="1"/>
  <c r="CW206" i="14"/>
  <c r="CW209" i="14" s="1"/>
  <c r="CX206" i="14" s="1"/>
  <c r="CX209" i="14" s="1"/>
  <c r="CV194" i="14"/>
  <c r="K199" i="65"/>
  <c r="K201" i="65" s="1"/>
  <c r="K218" i="65"/>
  <c r="K36" i="65"/>
  <c r="U112" i="14"/>
  <c r="U15" i="14"/>
  <c r="U28" i="14" s="1"/>
  <c r="U75" i="14" s="1"/>
  <c r="J156" i="65"/>
  <c r="J205" i="65"/>
  <c r="J197" i="65"/>
  <c r="J200" i="65" s="1"/>
  <c r="T11" i="48"/>
  <c r="T69" i="80"/>
  <c r="T70" i="80" s="1"/>
  <c r="T72" i="80" s="1"/>
  <c r="T115" i="14"/>
  <c r="T15" i="90" s="1"/>
  <c r="CU368" i="12"/>
  <c r="CV361" i="12"/>
  <c r="H70" i="53"/>
  <c r="V49" i="14"/>
  <c r="X216" i="33" l="1"/>
  <c r="X212" i="33"/>
  <c r="X51" i="90"/>
  <c r="X53" i="90" s="1"/>
  <c r="CS47" i="90"/>
  <c r="CR41" i="90"/>
  <c r="CL319" i="90"/>
  <c r="CL312" i="90" s="1"/>
  <c r="CC27" i="48" s="1"/>
  <c r="CL33" i="90"/>
  <c r="CL35" i="90" s="1"/>
  <c r="CY28" i="90"/>
  <c r="CZ29" i="90"/>
  <c r="CZ26" i="90"/>
  <c r="AC341" i="90"/>
  <c r="U39" i="90"/>
  <c r="T40" i="90"/>
  <c r="CK319" i="90"/>
  <c r="CK312" i="90" s="1"/>
  <c r="CB27" i="48" s="1"/>
  <c r="S47" i="52"/>
  <c r="CY240" i="12"/>
  <c r="CZ166" i="12"/>
  <c r="Z335" i="90"/>
  <c r="AA168" i="90"/>
  <c r="AA170" i="90" s="1"/>
  <c r="AA335" i="90"/>
  <c r="Z333" i="90"/>
  <c r="AA158" i="90"/>
  <c r="AA160" i="90" s="1"/>
  <c r="AA333" i="90" s="1"/>
  <c r="AC173" i="90"/>
  <c r="AC175" i="90" s="1"/>
  <c r="AC336" i="90" s="1"/>
  <c r="AB208" i="90"/>
  <c r="AB210" i="90" s="1"/>
  <c r="AB343" i="90"/>
  <c r="AB138" i="90"/>
  <c r="AB140" i="90" s="1"/>
  <c r="AB329" i="90" s="1"/>
  <c r="AC193" i="90"/>
  <c r="AC195" i="90" s="1"/>
  <c r="AC340" i="90"/>
  <c r="W198" i="33"/>
  <c r="W197" i="33"/>
  <c r="X214" i="33"/>
  <c r="X195" i="33" s="1"/>
  <c r="X198" i="33" s="1"/>
  <c r="X199" i="33" s="1"/>
  <c r="X52" i="15" s="1"/>
  <c r="AC366" i="90"/>
  <c r="AC49" i="14"/>
  <c r="AD300" i="90"/>
  <c r="AD302" i="90" s="1"/>
  <c r="AD366" i="90" s="1"/>
  <c r="X197" i="33"/>
  <c r="X218" i="33"/>
  <c r="Y211" i="33" s="1"/>
  <c r="Y216" i="33" s="1"/>
  <c r="T103" i="14"/>
  <c r="U95" i="14"/>
  <c r="U102" i="14" s="1"/>
  <c r="BA103" i="14"/>
  <c r="BB95" i="14"/>
  <c r="BB102" i="14" s="1"/>
  <c r="DA49" i="14"/>
  <c r="CM81" i="90"/>
  <c r="CX194" i="14"/>
  <c r="CY206" i="14"/>
  <c r="CY209" i="14" s="1"/>
  <c r="CY194" i="14" s="1"/>
  <c r="CY353" i="12"/>
  <c r="CY347" i="12"/>
  <c r="CS64" i="14"/>
  <c r="CR71" i="14"/>
  <c r="CQ73" i="14"/>
  <c r="CR90" i="14"/>
  <c r="DA366" i="90"/>
  <c r="DB300" i="90"/>
  <c r="DB302" i="90" s="1"/>
  <c r="CT220" i="90"/>
  <c r="CT356" i="90" s="1"/>
  <c r="M125" i="52"/>
  <c r="M146" i="52" s="1"/>
  <c r="M18" i="52" s="1"/>
  <c r="M7" i="52" s="1"/>
  <c r="M8" i="52" s="1"/>
  <c r="U130" i="52"/>
  <c r="V130" i="52" s="1"/>
  <c r="W130" i="52" s="1"/>
  <c r="X130" i="52" s="1"/>
  <c r="Y130" i="52" s="1"/>
  <c r="H29" i="52"/>
  <c r="I25" i="52" s="1"/>
  <c r="CW239" i="12"/>
  <c r="CW241" i="12"/>
  <c r="CX240" i="12"/>
  <c r="U135" i="52"/>
  <c r="V135" i="52" s="1"/>
  <c r="CX353" i="12"/>
  <c r="CX347" i="12"/>
  <c r="L36" i="65"/>
  <c r="L156" i="65" s="1"/>
  <c r="L199" i="65"/>
  <c r="L201" i="65" s="1"/>
  <c r="T131" i="52"/>
  <c r="V136" i="52"/>
  <c r="W136" i="52" s="1"/>
  <c r="BT69" i="15"/>
  <c r="BT70" i="15" s="1"/>
  <c r="BS8" i="14"/>
  <c r="CT93" i="90"/>
  <c r="CS352" i="90"/>
  <c r="X148" i="90"/>
  <c r="S139" i="52"/>
  <c r="S28" i="52"/>
  <c r="X213" i="90"/>
  <c r="X215" i="90" s="1"/>
  <c r="X344" i="90" s="1"/>
  <c r="CQ214" i="90"/>
  <c r="CQ215" i="90" s="1"/>
  <c r="CR213" i="90" s="1"/>
  <c r="CR215" i="90" s="1"/>
  <c r="CS213" i="90" s="1"/>
  <c r="CS215" i="90" s="1"/>
  <c r="CT213" i="90" s="1"/>
  <c r="CT215" i="90" s="1"/>
  <c r="CU213" i="90" s="1"/>
  <c r="CU215" i="90" s="1"/>
  <c r="CV213" i="90" s="1"/>
  <c r="CV215" i="90" s="1"/>
  <c r="CW213" i="90" s="1"/>
  <c r="CW215" i="90" s="1"/>
  <c r="CX213" i="90" s="1"/>
  <c r="CX215" i="90" s="1"/>
  <c r="CY213" i="90" s="1"/>
  <c r="CY215" i="90" s="1"/>
  <c r="CZ213" i="90" s="1"/>
  <c r="CZ215" i="90" s="1"/>
  <c r="DA213" i="90" s="1"/>
  <c r="DA215" i="90" s="1"/>
  <c r="DB213" i="90" s="1"/>
  <c r="DB215" i="90" s="1"/>
  <c r="DC213" i="90" s="1"/>
  <c r="DC215" i="90" s="1"/>
  <c r="CM82" i="90"/>
  <c r="CM83" i="90" s="1"/>
  <c r="CW200" i="14"/>
  <c r="CX200" i="14" s="1"/>
  <c r="CV202" i="14"/>
  <c r="CV203" i="14" s="1"/>
  <c r="CT46" i="90"/>
  <c r="CT45" i="90"/>
  <c r="CS309" i="90"/>
  <c r="CS310" i="90" s="1"/>
  <c r="S127" i="52"/>
  <c r="I21" i="52"/>
  <c r="J16" i="52"/>
  <c r="J19" i="52" s="1"/>
  <c r="T44" i="52"/>
  <c r="T45" i="52" s="1"/>
  <c r="W81" i="52"/>
  <c r="V113" i="52"/>
  <c r="H13" i="52"/>
  <c r="H11" i="52"/>
  <c r="CV218" i="33"/>
  <c r="Y79" i="52"/>
  <c r="X111" i="52"/>
  <c r="BH11" i="48"/>
  <c r="BH34" i="48"/>
  <c r="BH36" i="48" s="1"/>
  <c r="BQ115" i="14"/>
  <c r="BQ15" i="90" s="1"/>
  <c r="T17" i="52"/>
  <c r="T38" i="52"/>
  <c r="T39" i="52" s="1"/>
  <c r="Y110" i="52"/>
  <c r="T137" i="52"/>
  <c r="S138" i="52"/>
  <c r="T138" i="52" s="1"/>
  <c r="X80" i="52"/>
  <c r="W112" i="52"/>
  <c r="BR112" i="14"/>
  <c r="BR15" i="14"/>
  <c r="BR28" i="14" s="1"/>
  <c r="BR75" i="14" s="1"/>
  <c r="V82" i="52"/>
  <c r="U114" i="52"/>
  <c r="U115" i="52" s="1"/>
  <c r="U46" i="52"/>
  <c r="X134" i="52"/>
  <c r="Y134" i="52" s="1"/>
  <c r="CV197" i="33"/>
  <c r="CV198" i="33"/>
  <c r="CV355" i="12"/>
  <c r="CV354" i="12"/>
  <c r="CW347" i="12"/>
  <c r="CW353" i="12"/>
  <c r="L219" i="65"/>
  <c r="J219" i="65"/>
  <c r="N220" i="65"/>
  <c r="J220" i="65" s="1"/>
  <c r="I219" i="65"/>
  <c r="CW194" i="14"/>
  <c r="U11" i="48"/>
  <c r="U115" i="14"/>
  <c r="U15" i="90" s="1"/>
  <c r="H219" i="65"/>
  <c r="K205" i="65"/>
  <c r="K197" i="65"/>
  <c r="K200" i="65" s="1"/>
  <c r="K156" i="65"/>
  <c r="K219" i="65"/>
  <c r="CV368" i="12"/>
  <c r="CW361" i="12"/>
  <c r="CX361" i="12" s="1"/>
  <c r="CY361" i="12" s="1"/>
  <c r="V58" i="15"/>
  <c r="Y214" i="33" l="1"/>
  <c r="Y195" i="33" s="1"/>
  <c r="Y197" i="33" s="1"/>
  <c r="DA166" i="12"/>
  <c r="CZ240" i="12"/>
  <c r="CZ239" i="12" s="1"/>
  <c r="CZ28" i="90"/>
  <c r="DA26" i="90"/>
  <c r="DA29" i="90"/>
  <c r="U41" i="90"/>
  <c r="CS39" i="90"/>
  <c r="CS41" i="90" s="1"/>
  <c r="X345" i="90"/>
  <c r="Y51" i="90"/>
  <c r="Y53" i="90" s="1"/>
  <c r="Y345" i="90"/>
  <c r="Y111" i="52"/>
  <c r="CM33" i="90"/>
  <c r="CM35" i="90" s="1"/>
  <c r="CL309" i="90"/>
  <c r="CL310" i="90" s="1"/>
  <c r="Y212" i="33"/>
  <c r="X355" i="90"/>
  <c r="AC138" i="90"/>
  <c r="AC140" i="90" s="1"/>
  <c r="AD138" i="90" s="1"/>
  <c r="AD140" i="90" s="1"/>
  <c r="AD329" i="90" s="1"/>
  <c r="AD173" i="90"/>
  <c r="AD175" i="90" s="1"/>
  <c r="AD336" i="90"/>
  <c r="AD193" i="90"/>
  <c r="AD195" i="90" s="1"/>
  <c r="AD340" i="90" s="1"/>
  <c r="AC208" i="90"/>
  <c r="AC210" i="90" s="1"/>
  <c r="AC343" i="90" s="1"/>
  <c r="AB168" i="90"/>
  <c r="AB170" i="90" s="1"/>
  <c r="AB335" i="90" s="1"/>
  <c r="AB158" i="90"/>
  <c r="AB160" i="90" s="1"/>
  <c r="AB333" i="90"/>
  <c r="Y218" i="33"/>
  <c r="Z211" i="33" s="1"/>
  <c r="Z212" i="33" s="1"/>
  <c r="W199" i="33"/>
  <c r="AD49" i="14"/>
  <c r="AC58" i="15"/>
  <c r="Y198" i="33"/>
  <c r="Z216" i="33"/>
  <c r="H31" i="52"/>
  <c r="Y199" i="33"/>
  <c r="Y52" i="15" s="1"/>
  <c r="BC95" i="14"/>
  <c r="BC102" i="14" s="1"/>
  <c r="BB103" i="14"/>
  <c r="U103" i="14"/>
  <c r="V95" i="14"/>
  <c r="CV199" i="33"/>
  <c r="DB49" i="14"/>
  <c r="CX202" i="14"/>
  <c r="CX203" i="14" s="1"/>
  <c r="CY200" i="14"/>
  <c r="CY202" i="14" s="1"/>
  <c r="CY203" i="14" s="1"/>
  <c r="CY239" i="12"/>
  <c r="CY368" i="12" s="1"/>
  <c r="CY241" i="12"/>
  <c r="CY355" i="12"/>
  <c r="CY354" i="12"/>
  <c r="CS90" i="14"/>
  <c r="CR73" i="14"/>
  <c r="CT64" i="14"/>
  <c r="CS71" i="14"/>
  <c r="H34" i="52"/>
  <c r="I26" i="52" s="1"/>
  <c r="I10" i="52" s="1"/>
  <c r="I13" i="52" s="1"/>
  <c r="DB366" i="90"/>
  <c r="DA58" i="15"/>
  <c r="DC300" i="90"/>
  <c r="DC302" i="90" s="1"/>
  <c r="CU219" i="90"/>
  <c r="U219" i="90" s="1"/>
  <c r="U220" i="90" s="1"/>
  <c r="V218" i="90" s="1"/>
  <c r="CU218" i="90"/>
  <c r="U138" i="52"/>
  <c r="V138" i="52" s="1"/>
  <c r="W138" i="52" s="1"/>
  <c r="N125" i="52"/>
  <c r="N146" i="52" s="1"/>
  <c r="N18" i="52" s="1"/>
  <c r="N7" i="52" s="1"/>
  <c r="N8" i="52" s="1"/>
  <c r="CX239" i="12"/>
  <c r="CX368" i="12" s="1"/>
  <c r="CX241" i="12"/>
  <c r="L197" i="65"/>
  <c r="L200" i="65" s="1"/>
  <c r="U131" i="52"/>
  <c r="V131" i="52" s="1"/>
  <c r="W131" i="52" s="1"/>
  <c r="X131" i="52" s="1"/>
  <c r="Y131" i="52" s="1"/>
  <c r="W135" i="52"/>
  <c r="X135" i="52" s="1"/>
  <c r="Y135" i="52" s="1"/>
  <c r="L205" i="65"/>
  <c r="I206" i="65" s="1"/>
  <c r="CX355" i="12"/>
  <c r="CX354" i="12"/>
  <c r="U17" i="52"/>
  <c r="U38" i="52"/>
  <c r="U39" i="52" s="1"/>
  <c r="BR115" i="14"/>
  <c r="BR15" i="90" s="1"/>
  <c r="BI11" i="48"/>
  <c r="BI34" i="48"/>
  <c r="BI36" i="48" s="1"/>
  <c r="U137" i="52"/>
  <c r="S83" i="90"/>
  <c r="CN81" i="90"/>
  <c r="CN83" i="90" s="1"/>
  <c r="CM309" i="90"/>
  <c r="CM310" i="90" s="1"/>
  <c r="CM323" i="90"/>
  <c r="T139" i="52"/>
  <c r="U139" i="52" s="1"/>
  <c r="C75" i="66"/>
  <c r="C73" i="66" s="1"/>
  <c r="C72" i="66" s="1"/>
  <c r="BS112" i="14"/>
  <c r="BS15" i="14"/>
  <c r="BS28" i="14" s="1"/>
  <c r="BS75" i="14" s="1"/>
  <c r="W82" i="52"/>
  <c r="V114" i="52"/>
  <c r="V115" i="52" s="1"/>
  <c r="V46" i="52"/>
  <c r="CW211" i="33"/>
  <c r="CV222" i="33"/>
  <c r="CV223" i="33" s="1"/>
  <c r="K16" i="52"/>
  <c r="K19" i="52" s="1"/>
  <c r="J21" i="52"/>
  <c r="T127" i="52"/>
  <c r="Y213" i="90"/>
  <c r="Y215" i="90" s="1"/>
  <c r="Y344" i="90" s="1"/>
  <c r="BU69" i="15"/>
  <c r="BU70" i="15" s="1"/>
  <c r="BT8" i="14"/>
  <c r="K220" i="65"/>
  <c r="Y80" i="52"/>
  <c r="X112" i="52"/>
  <c r="X81" i="52"/>
  <c r="W113" i="52"/>
  <c r="CW202" i="14"/>
  <c r="CW203" i="14" s="1"/>
  <c r="CT94" i="90"/>
  <c r="CT95" i="90" s="1"/>
  <c r="U44" i="52"/>
  <c r="U45" i="52" s="1"/>
  <c r="T140" i="52"/>
  <c r="T28" i="52"/>
  <c r="T47" i="52"/>
  <c r="CT47" i="90"/>
  <c r="X150" i="90"/>
  <c r="X337" i="90"/>
  <c r="X136" i="52"/>
  <c r="Y136" i="52" s="1"/>
  <c r="M156" i="65"/>
  <c r="CW354" i="12"/>
  <c r="CW355" i="12"/>
  <c r="CZ346" i="12"/>
  <c r="I220" i="65"/>
  <c r="L220" i="65"/>
  <c r="H220" i="65"/>
  <c r="CW368" i="12"/>
  <c r="CZ241" i="12" l="1"/>
  <c r="V41" i="90"/>
  <c r="CT39" i="90"/>
  <c r="CT41" i="90" s="1"/>
  <c r="Z214" i="33"/>
  <c r="Z195" i="33" s="1"/>
  <c r="Z197" i="33" s="1"/>
  <c r="U40" i="90"/>
  <c r="V39" i="90"/>
  <c r="Y355" i="90"/>
  <c r="Z51" i="90"/>
  <c r="Z53" i="90" s="1"/>
  <c r="Z345" i="90" s="1"/>
  <c r="DA28" i="90"/>
  <c r="DB26" i="90"/>
  <c r="DB29" i="90"/>
  <c r="DB166" i="12"/>
  <c r="DA240" i="12"/>
  <c r="CM319" i="90"/>
  <c r="CM312" i="90" s="1"/>
  <c r="S35" i="90"/>
  <c r="S34" i="90" s="1"/>
  <c r="CN33" i="90"/>
  <c r="CN35" i="90" s="1"/>
  <c r="CO33" i="90" s="1"/>
  <c r="CO35" i="90" s="1"/>
  <c r="CP33" i="90" s="1"/>
  <c r="CP35" i="90" s="1"/>
  <c r="CQ33" i="90" s="1"/>
  <c r="AC329" i="90"/>
  <c r="AC168" i="90"/>
  <c r="AC170" i="90" s="1"/>
  <c r="AC335" i="90" s="1"/>
  <c r="AC158" i="90"/>
  <c r="AC160" i="90" s="1"/>
  <c r="AD208" i="90"/>
  <c r="AD210" i="90" s="1"/>
  <c r="AD343" i="90" s="1"/>
  <c r="AD58" i="15"/>
  <c r="Z198" i="33"/>
  <c r="Z199" i="33" s="1"/>
  <c r="Z52" i="15" s="1"/>
  <c r="Z218" i="33"/>
  <c r="AA211" i="33" s="1"/>
  <c r="X138" i="52"/>
  <c r="Y138" i="52" s="1"/>
  <c r="I11" i="52"/>
  <c r="BC103" i="14"/>
  <c r="BD95" i="14"/>
  <c r="BD102" i="14" s="1"/>
  <c r="DC49" i="14"/>
  <c r="W49" i="14" s="1"/>
  <c r="CT90" i="14"/>
  <c r="CS73" i="14"/>
  <c r="CT71" i="14"/>
  <c r="CU64" i="14"/>
  <c r="V194" i="14"/>
  <c r="CZ206" i="14"/>
  <c r="CZ209" i="14" s="1"/>
  <c r="I29" i="52"/>
  <c r="J25" i="52" s="1"/>
  <c r="DB58" i="15"/>
  <c r="DC366" i="90"/>
  <c r="CZ347" i="12"/>
  <c r="DA346" i="12"/>
  <c r="CZ353" i="12"/>
  <c r="CU220" i="90"/>
  <c r="CU356" i="90" s="1"/>
  <c r="O125" i="52"/>
  <c r="N207" i="65"/>
  <c r="L207" i="65" s="1"/>
  <c r="V139" i="52"/>
  <c r="L206" i="65"/>
  <c r="K206" i="65"/>
  <c r="H206" i="65"/>
  <c r="J206" i="65"/>
  <c r="Y148" i="90"/>
  <c r="X331" i="90"/>
  <c r="U140" i="52"/>
  <c r="V140" i="52" s="1"/>
  <c r="Y81" i="52"/>
  <c r="X113" i="52"/>
  <c r="BU8" i="14"/>
  <c r="BV69" i="15"/>
  <c r="BV70" i="15" s="1"/>
  <c r="CU46" i="90"/>
  <c r="CU45" i="90"/>
  <c r="CT309" i="90"/>
  <c r="CT310" i="90" s="1"/>
  <c r="CU93" i="90"/>
  <c r="CT352" i="90"/>
  <c r="CZ200" i="14"/>
  <c r="K21" i="52"/>
  <c r="L16" i="52"/>
  <c r="L19" i="52" s="1"/>
  <c r="V44" i="52"/>
  <c r="V45" i="52" s="1"/>
  <c r="BJ11" i="48"/>
  <c r="BJ34" i="48"/>
  <c r="BJ36" i="48" s="1"/>
  <c r="BS115" i="14"/>
  <c r="BS15" i="90" s="1"/>
  <c r="U28" i="52"/>
  <c r="U141" i="52"/>
  <c r="V38" i="52"/>
  <c r="V39" i="52" s="1"/>
  <c r="V17" i="52"/>
  <c r="C95" i="66"/>
  <c r="C91" i="66" s="1"/>
  <c r="C88" i="66" s="1"/>
  <c r="C70" i="66"/>
  <c r="CO81" i="90"/>
  <c r="CO83" i="90" s="1"/>
  <c r="CN309" i="90"/>
  <c r="CN310" i="90" s="1"/>
  <c r="U47" i="52"/>
  <c r="Y112" i="52"/>
  <c r="D75" i="66"/>
  <c r="D73" i="66" s="1"/>
  <c r="D72" i="66" s="1"/>
  <c r="BT15" i="14"/>
  <c r="BT28" i="14" s="1"/>
  <c r="BT75" i="14" s="1"/>
  <c r="BT112" i="14"/>
  <c r="Z213" i="90"/>
  <c r="Z215" i="90" s="1"/>
  <c r="U127" i="52"/>
  <c r="CW214" i="33"/>
  <c r="CW195" i="33" s="1"/>
  <c r="CW212" i="33"/>
  <c r="CW216" i="33"/>
  <c r="X82" i="52"/>
  <c r="W114" i="52"/>
  <c r="W115" i="52" s="1"/>
  <c r="W46" i="52"/>
  <c r="S82" i="90"/>
  <c r="T81" i="90"/>
  <c r="S309" i="90"/>
  <c r="S310" i="90" s="1"/>
  <c r="V137" i="52"/>
  <c r="W137" i="52" s="1"/>
  <c r="X137" i="52" s="1"/>
  <c r="CD27" i="48" l="1"/>
  <c r="S312" i="90"/>
  <c r="S27" i="48" s="1"/>
  <c r="DA241" i="12"/>
  <c r="CQ35" i="90"/>
  <c r="T33" i="90"/>
  <c r="DC166" i="12"/>
  <c r="DC240" i="12" s="1"/>
  <c r="DB240" i="12"/>
  <c r="Z355" i="90"/>
  <c r="DA239" i="12"/>
  <c r="CU39" i="90"/>
  <c r="CU41" i="90" s="1"/>
  <c r="CV39" i="90" s="1"/>
  <c r="CV41" i="90" s="1"/>
  <c r="CW39" i="90" s="1"/>
  <c r="CW41" i="90" s="1"/>
  <c r="CX39" i="90" s="1"/>
  <c r="CX41" i="90" s="1"/>
  <c r="CY39" i="90" s="1"/>
  <c r="CY41" i="90" s="1"/>
  <c r="CZ39" i="90" s="1"/>
  <c r="CZ41" i="90" s="1"/>
  <c r="DA39" i="90" s="1"/>
  <c r="DA41" i="90" s="1"/>
  <c r="DB39" i="90" s="1"/>
  <c r="DB41" i="90" s="1"/>
  <c r="DC39" i="90" s="1"/>
  <c r="DC41" i="90" s="1"/>
  <c r="W41" i="90"/>
  <c r="X39" i="90" s="1"/>
  <c r="X41" i="90" s="1"/>
  <c r="Y39" i="90" s="1"/>
  <c r="Y41" i="90" s="1"/>
  <c r="Z39" i="90" s="1"/>
  <c r="Z41" i="90" s="1"/>
  <c r="AA39" i="90" s="1"/>
  <c r="AA41" i="90" s="1"/>
  <c r="AB39" i="90" s="1"/>
  <c r="AB41" i="90" s="1"/>
  <c r="AC39" i="90" s="1"/>
  <c r="AC41" i="90" s="1"/>
  <c r="AD39" i="90" s="1"/>
  <c r="AD41" i="90" s="1"/>
  <c r="DB28" i="90"/>
  <c r="DC26" i="90"/>
  <c r="DC29" i="90"/>
  <c r="DC28" i="90" s="1"/>
  <c r="W39" i="90"/>
  <c r="W40" i="90" s="1"/>
  <c r="V40" i="90"/>
  <c r="AA51" i="90"/>
  <c r="AA53" i="90" s="1"/>
  <c r="AA345" i="90"/>
  <c r="AA355" i="90"/>
  <c r="AD158" i="90"/>
  <c r="AD160" i="90" s="1"/>
  <c r="AD333" i="90" s="1"/>
  <c r="AC333" i="90"/>
  <c r="Z344" i="90"/>
  <c r="AA213" i="90"/>
  <c r="AA215" i="90" s="1"/>
  <c r="AA344" i="90" s="1"/>
  <c r="AD168" i="90"/>
  <c r="AD170" i="90" s="1"/>
  <c r="AD335" i="90" s="1"/>
  <c r="CW218" i="33"/>
  <c r="AA212" i="33"/>
  <c r="AA214" i="33"/>
  <c r="AA195" i="33" s="1"/>
  <c r="AA216" i="33"/>
  <c r="I31" i="52"/>
  <c r="BD103" i="14"/>
  <c r="BE95" i="14"/>
  <c r="BE102" i="14" s="1"/>
  <c r="U64" i="14"/>
  <c r="CU71" i="14"/>
  <c r="CV64" i="14"/>
  <c r="CU90" i="14"/>
  <c r="CT73" i="14"/>
  <c r="L21" i="53"/>
  <c r="L22" i="53" s="1"/>
  <c r="CZ194" i="14"/>
  <c r="DA206" i="14"/>
  <c r="DA209" i="14" s="1"/>
  <c r="CZ202" i="14"/>
  <c r="DA200" i="14"/>
  <c r="I34" i="52"/>
  <c r="J26" i="52" s="1"/>
  <c r="J10" i="52" s="1"/>
  <c r="J13" i="52" s="1"/>
  <c r="X58" i="15"/>
  <c r="DC58" i="15"/>
  <c r="W58" i="15" s="1"/>
  <c r="CZ354" i="12"/>
  <c r="CZ355" i="12"/>
  <c r="DA347" i="12"/>
  <c r="DB346" i="12"/>
  <c r="DA353" i="12"/>
  <c r="CZ361" i="12"/>
  <c r="CV219" i="90"/>
  <c r="CV218" i="90"/>
  <c r="O146" i="52"/>
  <c r="O18" i="52" s="1"/>
  <c r="O7" i="52" s="1"/>
  <c r="O8" i="52" s="1"/>
  <c r="P125" i="52"/>
  <c r="I207" i="65"/>
  <c r="J207" i="65"/>
  <c r="H207" i="65"/>
  <c r="K207" i="65"/>
  <c r="W139" i="52"/>
  <c r="X139" i="52" s="1"/>
  <c r="Y139" i="52" s="1"/>
  <c r="Y82" i="52"/>
  <c r="X114" i="52"/>
  <c r="X115" i="52" s="1"/>
  <c r="X46" i="52"/>
  <c r="CW222" i="33"/>
  <c r="CW223" i="33" s="1"/>
  <c r="CX211" i="33"/>
  <c r="BT115" i="14"/>
  <c r="BT15" i="90" s="1"/>
  <c r="BK11" i="48"/>
  <c r="BK34" i="48"/>
  <c r="BK36" i="48" s="1"/>
  <c r="M16" i="52"/>
  <c r="M19" i="52" s="1"/>
  <c r="L21" i="52"/>
  <c r="V127" i="52"/>
  <c r="W127" i="52" s="1"/>
  <c r="V28" i="52"/>
  <c r="V142" i="52"/>
  <c r="W142" i="52" s="1"/>
  <c r="X142" i="52" s="1"/>
  <c r="Y142" i="52" s="1"/>
  <c r="V141" i="52"/>
  <c r="W141" i="52" s="1"/>
  <c r="X141" i="52" s="1"/>
  <c r="Y141" i="52" s="1"/>
  <c r="CU94" i="90"/>
  <c r="U94" i="90" s="1"/>
  <c r="U95" i="90" s="1"/>
  <c r="Y137" i="52"/>
  <c r="W44" i="52"/>
  <c r="W45" i="52" s="1"/>
  <c r="W47" i="52"/>
  <c r="D95" i="66"/>
  <c r="D91" i="66" s="1"/>
  <c r="D88" i="66" s="1"/>
  <c r="D70" i="66"/>
  <c r="CP81" i="90"/>
  <c r="CP83" i="90" s="1"/>
  <c r="CQ81" i="90" s="1"/>
  <c r="CQ83" i="90" s="1"/>
  <c r="CO309" i="90"/>
  <c r="CO310" i="90" s="1"/>
  <c r="V200" i="14"/>
  <c r="BV8" i="14"/>
  <c r="BW69" i="15"/>
  <c r="BW70" i="15" s="1"/>
  <c r="W140" i="52"/>
  <c r="Y150" i="90"/>
  <c r="Y337" i="90"/>
  <c r="W38" i="52"/>
  <c r="W39" i="52" s="1"/>
  <c r="W17" i="52"/>
  <c r="CW197" i="33"/>
  <c r="CW198" i="33"/>
  <c r="C68" i="66"/>
  <c r="V47" i="52"/>
  <c r="CU47" i="90"/>
  <c r="BU15" i="14"/>
  <c r="BU28" i="14" s="1"/>
  <c r="BU75" i="14" s="1"/>
  <c r="E75" i="66"/>
  <c r="E73" i="66" s="1"/>
  <c r="E72" i="66" s="1"/>
  <c r="BU112" i="14"/>
  <c r="Y113" i="52"/>
  <c r="CU95" i="90" l="1"/>
  <c r="DB241" i="12"/>
  <c r="DC239" i="12"/>
  <c r="DB239" i="12"/>
  <c r="DC241" i="12"/>
  <c r="AB51" i="90"/>
  <c r="AB53" i="90" s="1"/>
  <c r="AB345" i="90"/>
  <c r="AB355" i="90"/>
  <c r="AA218" i="33"/>
  <c r="AB211" i="33" s="1"/>
  <c r="AB216" i="33" s="1"/>
  <c r="T35" i="90"/>
  <c r="T34" i="90" s="1"/>
  <c r="CR33" i="90"/>
  <c r="AB213" i="90"/>
  <c r="AB215" i="90" s="1"/>
  <c r="AB344" i="90" s="1"/>
  <c r="AB214" i="33"/>
  <c r="AB195" i="33" s="1"/>
  <c r="AA197" i="33"/>
  <c r="AA199" i="33" s="1"/>
  <c r="AA52" i="15" s="1"/>
  <c r="AA198" i="33"/>
  <c r="CW199" i="33"/>
  <c r="BE103" i="14"/>
  <c r="BF95" i="14"/>
  <c r="BF102" i="14" s="1"/>
  <c r="J29" i="52"/>
  <c r="J34" i="52" s="1"/>
  <c r="CV220" i="90"/>
  <c r="CW219" i="90" s="1"/>
  <c r="DA194" i="14"/>
  <c r="DB206" i="14"/>
  <c r="DB209" i="14" s="1"/>
  <c r="CW64" i="14"/>
  <c r="CV71" i="14"/>
  <c r="V64" i="14"/>
  <c r="DB200" i="14"/>
  <c r="DA202" i="14"/>
  <c r="CV90" i="14"/>
  <c r="CU73" i="14"/>
  <c r="J11" i="52"/>
  <c r="CZ368" i="12"/>
  <c r="DA361" i="12"/>
  <c r="DB347" i="12"/>
  <c r="DC346" i="12"/>
  <c r="DB353" i="12"/>
  <c r="DA355" i="12"/>
  <c r="DA354" i="12"/>
  <c r="P146" i="52"/>
  <c r="P18" i="52" s="1"/>
  <c r="P7" i="52" s="1"/>
  <c r="P8" i="52" s="1"/>
  <c r="Q125" i="52"/>
  <c r="Q146" i="52" s="1"/>
  <c r="Q18" i="52" s="1"/>
  <c r="Q7" i="52" s="1"/>
  <c r="Q8" i="52" s="1"/>
  <c r="X127" i="52"/>
  <c r="Y127" i="52" s="1"/>
  <c r="E95" i="66"/>
  <c r="E91" i="66" s="1"/>
  <c r="E88" i="66" s="1"/>
  <c r="E70" i="66"/>
  <c r="Z148" i="90"/>
  <c r="Y331" i="90"/>
  <c r="BV112" i="14"/>
  <c r="BV15" i="14"/>
  <c r="BV28" i="14" s="1"/>
  <c r="BV75" i="14" s="1"/>
  <c r="F75" i="66"/>
  <c r="F73" i="66" s="1"/>
  <c r="F72" i="66" s="1"/>
  <c r="W28" i="52"/>
  <c r="W143" i="52"/>
  <c r="X143" i="52" s="1"/>
  <c r="Y143" i="52" s="1"/>
  <c r="M21" i="52"/>
  <c r="N16" i="52"/>
  <c r="N19" i="52" s="1"/>
  <c r="X44" i="52"/>
  <c r="X45" i="52" s="1"/>
  <c r="U47" i="90"/>
  <c r="CV45" i="90"/>
  <c r="CV47" i="90" s="1"/>
  <c r="CW45" i="90" s="1"/>
  <c r="CW47" i="90" s="1"/>
  <c r="CX45" i="90" s="1"/>
  <c r="CX47" i="90" s="1"/>
  <c r="CY45" i="90" s="1"/>
  <c r="CY47" i="90" s="1"/>
  <c r="C217" i="66"/>
  <c r="C218" i="66" s="1"/>
  <c r="C219" i="66" s="1"/>
  <c r="C36" i="66"/>
  <c r="C198" i="66"/>
  <c r="C200" i="66" s="1"/>
  <c r="X140" i="52"/>
  <c r="Y140" i="52" s="1"/>
  <c r="T83" i="90"/>
  <c r="CR81" i="90"/>
  <c r="CR83" i="90" s="1"/>
  <c r="CV93" i="90"/>
  <c r="CU309" i="90"/>
  <c r="CU310" i="90" s="1"/>
  <c r="CU352" i="90"/>
  <c r="X38" i="52"/>
  <c r="X39" i="52" s="1"/>
  <c r="X17" i="52"/>
  <c r="V202" i="14"/>
  <c r="BL34" i="48"/>
  <c r="BL36" i="48" s="1"/>
  <c r="BL11" i="48"/>
  <c r="BU115" i="14"/>
  <c r="BU15" i="90" s="1"/>
  <c r="BW8" i="14"/>
  <c r="BX69" i="15"/>
  <c r="BX70" i="15" s="1"/>
  <c r="D68" i="66"/>
  <c r="V93" i="90"/>
  <c r="U309" i="90"/>
  <c r="U310" i="90" s="1"/>
  <c r="CX212" i="33"/>
  <c r="CX216" i="33"/>
  <c r="CX214" i="33"/>
  <c r="CX195" i="33" s="1"/>
  <c r="Y114" i="52"/>
  <c r="Y115" i="52" s="1"/>
  <c r="Y46" i="52"/>
  <c r="AB212" i="33" l="1"/>
  <c r="AB218" i="33" s="1"/>
  <c r="AC211" i="33" s="1"/>
  <c r="AC212" i="33" s="1"/>
  <c r="AC218" i="33" s="1"/>
  <c r="AD211" i="33" s="1"/>
  <c r="U33" i="90"/>
  <c r="CR35" i="90"/>
  <c r="V47" i="90"/>
  <c r="CZ45" i="90"/>
  <c r="CZ47" i="90" s="1"/>
  <c r="AC51" i="90"/>
  <c r="AC53" i="90" s="1"/>
  <c r="AC355" i="90"/>
  <c r="AC213" i="90"/>
  <c r="AC215" i="90" s="1"/>
  <c r="AC344" i="90"/>
  <c r="AC214" i="33"/>
  <c r="AC195" i="33" s="1"/>
  <c r="AC216" i="33"/>
  <c r="CX218" i="33"/>
  <c r="AB197" i="33"/>
  <c r="AB198" i="33"/>
  <c r="J31" i="52"/>
  <c r="BF103" i="14"/>
  <c r="BG95" i="14"/>
  <c r="BG102" i="14" s="1"/>
  <c r="K25" i="52"/>
  <c r="CV356" i="90"/>
  <c r="CW218" i="90"/>
  <c r="CX114" i="14"/>
  <c r="CX116" i="14" s="1"/>
  <c r="CY114" i="14"/>
  <c r="CY116" i="14" s="1"/>
  <c r="CW90" i="14"/>
  <c r="CV73" i="14"/>
  <c r="W64" i="14"/>
  <c r="X64" i="14" s="1"/>
  <c r="Y64" i="14" s="1"/>
  <c r="Z64" i="14" s="1"/>
  <c r="AA64" i="14" s="1"/>
  <c r="AB64" i="14" s="1"/>
  <c r="AC64" i="14" s="1"/>
  <c r="AD64" i="14" s="1"/>
  <c r="CX64" i="14"/>
  <c r="CY64" i="14" s="1"/>
  <c r="CY71" i="14" s="1"/>
  <c r="CY73" i="14" s="1"/>
  <c r="CW71" i="14"/>
  <c r="CW73" i="14" s="1"/>
  <c r="DC200" i="14"/>
  <c r="DB202" i="14"/>
  <c r="DB194" i="14"/>
  <c r="DC206" i="14"/>
  <c r="DC209" i="14" s="1"/>
  <c r="DC194" i="14" s="1"/>
  <c r="W194" i="14" s="1"/>
  <c r="X194" i="14" s="1"/>
  <c r="Y194" i="14" s="1"/>
  <c r="Z194" i="14" s="1"/>
  <c r="AA194" i="14" s="1"/>
  <c r="AB194" i="14" s="1"/>
  <c r="AC194" i="14" s="1"/>
  <c r="AD194" i="14" s="1"/>
  <c r="DC347" i="12"/>
  <c r="DC353" i="12"/>
  <c r="DB361" i="12"/>
  <c r="DA368" i="12"/>
  <c r="DB355" i="12"/>
  <c r="DB354" i="12"/>
  <c r="CW220" i="90"/>
  <c r="R125" i="52"/>
  <c r="R146" i="52" s="1"/>
  <c r="R18" i="52" s="1"/>
  <c r="R7" i="52" s="1"/>
  <c r="R8" i="52" s="1"/>
  <c r="K26" i="52"/>
  <c r="K10" i="52" s="1"/>
  <c r="E68" i="66"/>
  <c r="E36" i="66" s="1"/>
  <c r="Y44" i="52"/>
  <c r="Y45" i="52" s="1"/>
  <c r="G75" i="66"/>
  <c r="G73" i="66" s="1"/>
  <c r="G72" i="66" s="1"/>
  <c r="BW15" i="14"/>
  <c r="BW28" i="14" s="1"/>
  <c r="BW75" i="14" s="1"/>
  <c r="BW112" i="14"/>
  <c r="O16" i="52"/>
  <c r="O19" i="52" s="1"/>
  <c r="CU114" i="14"/>
  <c r="CW114" i="14"/>
  <c r="CW116" i="14" s="1"/>
  <c r="BX114" i="14"/>
  <c r="CP114" i="14"/>
  <c r="CG114" i="14"/>
  <c r="CC114" i="14"/>
  <c r="CE114" i="14"/>
  <c r="CR114" i="14"/>
  <c r="CV114" i="14"/>
  <c r="CV116" i="14" s="1"/>
  <c r="CS114" i="14"/>
  <c r="N21" i="52"/>
  <c r="BZ114" i="14"/>
  <c r="CL114" i="14"/>
  <c r="CH114" i="14"/>
  <c r="CJ114" i="14"/>
  <c r="CM114" i="14"/>
  <c r="CN114" i="14"/>
  <c r="CI114" i="14"/>
  <c r="BY114" i="14"/>
  <c r="CB114" i="14"/>
  <c r="CO114" i="14"/>
  <c r="CQ114" i="14"/>
  <c r="CD114" i="14"/>
  <c r="CA114" i="14"/>
  <c r="CT114" i="14"/>
  <c r="CF114" i="14"/>
  <c r="CK114" i="14"/>
  <c r="F95" i="66"/>
  <c r="F91" i="66" s="1"/>
  <c r="F88" i="66" s="1"/>
  <c r="F70" i="66"/>
  <c r="Y38" i="52"/>
  <c r="Y39" i="52" s="1"/>
  <c r="Y17" i="52"/>
  <c r="D36" i="66"/>
  <c r="D198" i="66"/>
  <c r="D200" i="66" s="1"/>
  <c r="D217" i="66"/>
  <c r="D218" i="66" s="1"/>
  <c r="D219" i="66" s="1"/>
  <c r="CV94" i="90"/>
  <c r="CV95" i="90"/>
  <c r="CS81" i="90"/>
  <c r="CS83" i="90" s="1"/>
  <c r="U83" i="90"/>
  <c r="Z150" i="90"/>
  <c r="Z337" i="90"/>
  <c r="CX197" i="33"/>
  <c r="CX198" i="33"/>
  <c r="X28" i="52"/>
  <c r="X144" i="52"/>
  <c r="T82" i="90"/>
  <c r="U81" i="90"/>
  <c r="C196" i="66"/>
  <c r="C199" i="66" s="1"/>
  <c r="C155" i="66"/>
  <c r="C204" i="66"/>
  <c r="C205" i="66" s="1"/>
  <c r="C206" i="66" s="1"/>
  <c r="BM34" i="48"/>
  <c r="BM36" i="48" s="1"/>
  <c r="BM11" i="48"/>
  <c r="BV115" i="14"/>
  <c r="BV15" i="90" s="1"/>
  <c r="CY211" i="33"/>
  <c r="CX222" i="33"/>
  <c r="CX223" i="33" s="1"/>
  <c r="BY69" i="15"/>
  <c r="BY70" i="15" s="1"/>
  <c r="BX8" i="14"/>
  <c r="X47" i="52"/>
  <c r="CS33" i="90" l="1"/>
  <c r="U35" i="90"/>
  <c r="U34" i="90" s="1"/>
  <c r="AB199" i="33"/>
  <c r="AB52" i="15" s="1"/>
  <c r="AC345" i="90"/>
  <c r="AD51" i="90"/>
  <c r="AD53" i="90" s="1"/>
  <c r="AD345" i="90" s="1"/>
  <c r="AD355" i="90"/>
  <c r="DA45" i="90"/>
  <c r="DA47" i="90" s="1"/>
  <c r="DB45" i="90" s="1"/>
  <c r="DB47" i="90" s="1"/>
  <c r="DC45" i="90" s="1"/>
  <c r="DC47" i="90" s="1"/>
  <c r="W47" i="90"/>
  <c r="Z331" i="90"/>
  <c r="AA148" i="90"/>
  <c r="AD213" i="90"/>
  <c r="AD215" i="90" s="1"/>
  <c r="AD344" i="90" s="1"/>
  <c r="AC197" i="33"/>
  <c r="AC198" i="33"/>
  <c r="AD216" i="33"/>
  <c r="AD212" i="33"/>
  <c r="AD214" i="33"/>
  <c r="AD195" i="33" s="1"/>
  <c r="CX199" i="33"/>
  <c r="BG103" i="14"/>
  <c r="BH95" i="14"/>
  <c r="BH102" i="14" s="1"/>
  <c r="CX71" i="14"/>
  <c r="CZ64" i="14"/>
  <c r="DA64" i="14" s="1"/>
  <c r="DB64" i="14" s="1"/>
  <c r="DC64" i="14" s="1"/>
  <c r="W200" i="14"/>
  <c r="DC202" i="14"/>
  <c r="K29" i="52"/>
  <c r="L25" i="52" s="1"/>
  <c r="DB368" i="12"/>
  <c r="DC361" i="12"/>
  <c r="DC368" i="12" s="1"/>
  <c r="DC354" i="12"/>
  <c r="DC355" i="12"/>
  <c r="CX219" i="90"/>
  <c r="CX218" i="90"/>
  <c r="CW356" i="90"/>
  <c r="S125" i="52"/>
  <c r="T125" i="52" s="1"/>
  <c r="T146" i="52" s="1"/>
  <c r="T18" i="52" s="1"/>
  <c r="T7" i="52" s="1"/>
  <c r="T8" i="52" s="1"/>
  <c r="K13" i="52"/>
  <c r="K11" i="52"/>
  <c r="E198" i="66"/>
  <c r="E200" i="66" s="1"/>
  <c r="E217" i="66"/>
  <c r="E218" i="66" s="1"/>
  <c r="E219" i="66" s="1"/>
  <c r="V81" i="90"/>
  <c r="U82" i="90"/>
  <c r="D155" i="66"/>
  <c r="D196" i="66"/>
  <c r="D199" i="66" s="1"/>
  <c r="D204" i="66"/>
  <c r="D205" i="66" s="1"/>
  <c r="D206" i="66" s="1"/>
  <c r="P16" i="52"/>
  <c r="P19" i="52" s="1"/>
  <c r="O21" i="52"/>
  <c r="CY214" i="33"/>
  <c r="CY195" i="33" s="1"/>
  <c r="CY216" i="33"/>
  <c r="CY212" i="33"/>
  <c r="V83" i="90"/>
  <c r="W81" i="90" s="1"/>
  <c r="CT81" i="90"/>
  <c r="CT83" i="90" s="1"/>
  <c r="Y144" i="52"/>
  <c r="Y145" i="52"/>
  <c r="Y28" i="52"/>
  <c r="X45" i="90"/>
  <c r="X47" i="90" s="1"/>
  <c r="X324" i="90" s="1"/>
  <c r="G70" i="66"/>
  <c r="G95" i="66"/>
  <c r="G91" i="66" s="1"/>
  <c r="G88" i="66" s="1"/>
  <c r="BX15" i="14"/>
  <c r="BX28" i="14" s="1"/>
  <c r="BX75" i="14" s="1"/>
  <c r="H75" i="66"/>
  <c r="H73" i="66" s="1"/>
  <c r="H72" i="66" s="1"/>
  <c r="BX112" i="14"/>
  <c r="CW93" i="90"/>
  <c r="CV309" i="90"/>
  <c r="CV310" i="90" s="1"/>
  <c r="CV352" i="90"/>
  <c r="BZ69" i="15"/>
  <c r="BZ70" i="15" s="1"/>
  <c r="BY8" i="14"/>
  <c r="E155" i="66"/>
  <c r="E204" i="66"/>
  <c r="E205" i="66" s="1"/>
  <c r="E206" i="66" s="1"/>
  <c r="E196" i="66"/>
  <c r="F68" i="66"/>
  <c r="BN34" i="48"/>
  <c r="BN36" i="48" s="1"/>
  <c r="G114" i="53"/>
  <c r="BN11" i="48"/>
  <c r="BW115" i="14"/>
  <c r="BW15" i="90" s="1"/>
  <c r="Y47" i="52"/>
  <c r="AD218" i="33" l="1"/>
  <c r="V33" i="90"/>
  <c r="CS35" i="90"/>
  <c r="AA150" i="90"/>
  <c r="AA337" i="90"/>
  <c r="CW94" i="90"/>
  <c r="CW95" i="90" s="1"/>
  <c r="AD197" i="33"/>
  <c r="AD198" i="33"/>
  <c r="AC199" i="33"/>
  <c r="AC52" i="15" s="1"/>
  <c r="BH103" i="14"/>
  <c r="BI95" i="14"/>
  <c r="BI102" i="14" s="1"/>
  <c r="CU81" i="90"/>
  <c r="CU83" i="90" s="1"/>
  <c r="CV81" i="90" s="1"/>
  <c r="CV83" i="90" s="1"/>
  <c r="CW81" i="90" s="1"/>
  <c r="CW83" i="90" s="1"/>
  <c r="CX81" i="90" s="1"/>
  <c r="CX83" i="90" s="1"/>
  <c r="CY81" i="90" s="1"/>
  <c r="CY83" i="90" s="1"/>
  <c r="CZ81" i="90" s="1"/>
  <c r="CZ83" i="90" s="1"/>
  <c r="DA81" i="90" s="1"/>
  <c r="DA83" i="90" s="1"/>
  <c r="DB81" i="90" s="1"/>
  <c r="DB83" i="90" s="1"/>
  <c r="DC81" i="90" s="1"/>
  <c r="DC83" i="90" s="1"/>
  <c r="W83" i="90"/>
  <c r="W82" i="90" s="1"/>
  <c r="CX73" i="14"/>
  <c r="W202" i="14"/>
  <c r="X200" i="14"/>
  <c r="K31" i="52"/>
  <c r="K34" i="52"/>
  <c r="L26" i="52" s="1"/>
  <c r="L10" i="52" s="1"/>
  <c r="CX220" i="90"/>
  <c r="CY219" i="90" s="1"/>
  <c r="V219" i="90" s="1"/>
  <c r="V220" i="90" s="1"/>
  <c r="E199" i="66"/>
  <c r="U125" i="52"/>
  <c r="U146" i="52" s="1"/>
  <c r="U18" i="52" s="1"/>
  <c r="U7" i="52" s="1"/>
  <c r="U8" i="52" s="1"/>
  <c r="S146" i="52"/>
  <c r="S18" i="52" s="1"/>
  <c r="S7" i="52" s="1"/>
  <c r="S8" i="52" s="1"/>
  <c r="G68" i="66"/>
  <c r="G217" i="66" s="1"/>
  <c r="G218" i="66" s="1"/>
  <c r="G219" i="66" s="1"/>
  <c r="CA69" i="15"/>
  <c r="CA70" i="15" s="1"/>
  <c r="BZ8" i="14"/>
  <c r="BX116" i="14"/>
  <c r="BO11" i="48"/>
  <c r="BX115" i="14"/>
  <c r="BX15" i="90" s="1"/>
  <c r="BO34" i="48"/>
  <c r="BO36" i="48" s="1"/>
  <c r="CY218" i="33"/>
  <c r="H70" i="66"/>
  <c r="H95" i="66"/>
  <c r="H91" i="66" s="1"/>
  <c r="H88" i="66" s="1"/>
  <c r="V82" i="90"/>
  <c r="CY197" i="33"/>
  <c r="CY198" i="33"/>
  <c r="F36" i="66"/>
  <c r="F198" i="66"/>
  <c r="F200" i="66" s="1"/>
  <c r="F217" i="66"/>
  <c r="F218" i="66" s="1"/>
  <c r="F219" i="66" s="1"/>
  <c r="Y45" i="90"/>
  <c r="Y47" i="90" s="1"/>
  <c r="G145" i="53"/>
  <c r="G116" i="53"/>
  <c r="BY15" i="14"/>
  <c r="BY28" i="14" s="1"/>
  <c r="BY75" i="14" s="1"/>
  <c r="I75" i="66"/>
  <c r="I73" i="66" s="1"/>
  <c r="I72" i="66" s="1"/>
  <c r="BY112" i="14"/>
  <c r="P21" i="52"/>
  <c r="Q16" i="52"/>
  <c r="Q19" i="52" s="1"/>
  <c r="CT33" i="90" l="1"/>
  <c r="V35" i="90"/>
  <c r="V34" i="90" s="1"/>
  <c r="CW309" i="90"/>
  <c r="CW310" i="90" s="1"/>
  <c r="CW352" i="90"/>
  <c r="CX93" i="90"/>
  <c r="AB148" i="90"/>
  <c r="AA331" i="90"/>
  <c r="AD199" i="33"/>
  <c r="AD52" i="15" s="1"/>
  <c r="CY199" i="33"/>
  <c r="BI103" i="14"/>
  <c r="BJ95" i="14"/>
  <c r="BJ102" i="14" s="1"/>
  <c r="W218" i="90"/>
  <c r="W220" i="90" s="1"/>
  <c r="Y200" i="14"/>
  <c r="X201" i="14"/>
  <c r="CY218" i="90"/>
  <c r="CY220" i="90" s="1"/>
  <c r="CX356" i="90"/>
  <c r="V125" i="52"/>
  <c r="W125" i="52" s="1"/>
  <c r="L13" i="52"/>
  <c r="L11" i="52"/>
  <c r="L29" i="52"/>
  <c r="L34" i="52" s="1"/>
  <c r="H68" i="66"/>
  <c r="H36" i="66" s="1"/>
  <c r="G198" i="66"/>
  <c r="G200" i="66" s="1"/>
  <c r="G36" i="66"/>
  <c r="G155" i="66" s="1"/>
  <c r="G119" i="53"/>
  <c r="G125" i="53"/>
  <c r="G122" i="53"/>
  <c r="R16" i="52"/>
  <c r="R19" i="52" s="1"/>
  <c r="Q21" i="52"/>
  <c r="Z45" i="90"/>
  <c r="Z47" i="90" s="1"/>
  <c r="BY115" i="14"/>
  <c r="BY15" i="90" s="1"/>
  <c r="BP34" i="48"/>
  <c r="BP36" i="48" s="1"/>
  <c r="BP11" i="48"/>
  <c r="BY116" i="14"/>
  <c r="Y324" i="90"/>
  <c r="F196" i="66"/>
  <c r="F199" i="66" s="1"/>
  <c r="F204" i="66"/>
  <c r="F205" i="66" s="1"/>
  <c r="F206" i="66" s="1"/>
  <c r="F155" i="66"/>
  <c r="CY222" i="33"/>
  <c r="CY223" i="33" s="1"/>
  <c r="CZ211" i="33"/>
  <c r="BZ112" i="14"/>
  <c r="BZ15" i="14"/>
  <c r="BZ28" i="14" s="1"/>
  <c r="BZ75" i="14" s="1"/>
  <c r="J75" i="66"/>
  <c r="J73" i="66" s="1"/>
  <c r="J72" i="66" s="1"/>
  <c r="I95" i="66"/>
  <c r="I91" i="66" s="1"/>
  <c r="I88" i="66" s="1"/>
  <c r="I70" i="66"/>
  <c r="X81" i="90"/>
  <c r="X83" i="90" s="1"/>
  <c r="X323" i="90" s="1"/>
  <c r="CA8" i="14"/>
  <c r="CB69" i="15"/>
  <c r="CB70" i="15" s="1"/>
  <c r="Z324" i="90" l="1"/>
  <c r="AA45" i="90"/>
  <c r="AA47" i="90" s="1"/>
  <c r="AA324" i="90"/>
  <c r="CT35" i="90"/>
  <c r="W33" i="90"/>
  <c r="AB150" i="90"/>
  <c r="AB337" i="90"/>
  <c r="CX94" i="90"/>
  <c r="CX95" i="90" s="1"/>
  <c r="BJ103" i="14"/>
  <c r="BK95" i="14"/>
  <c r="BK102" i="14" s="1"/>
  <c r="X218" i="90"/>
  <c r="X220" i="90" s="1"/>
  <c r="Y201" i="14"/>
  <c r="Z200" i="14"/>
  <c r="V55" i="15"/>
  <c r="CZ218" i="90"/>
  <c r="CZ220" i="90" s="1"/>
  <c r="V55" i="14"/>
  <c r="CY356" i="90"/>
  <c r="V146" i="52"/>
  <c r="V18" i="52" s="1"/>
  <c r="V7" i="52" s="1"/>
  <c r="V8" i="52" s="1"/>
  <c r="L31" i="52"/>
  <c r="BS114" i="14"/>
  <c r="BS116" i="14" s="1"/>
  <c r="BQ114" i="14"/>
  <c r="BQ116" i="14" s="1"/>
  <c r="M25" i="52"/>
  <c r="BP114" i="14"/>
  <c r="BP116" i="14" s="1"/>
  <c r="M114" i="14"/>
  <c r="M116" i="14" s="1"/>
  <c r="BR114" i="14"/>
  <c r="BR116" i="14" s="1"/>
  <c r="H217" i="66"/>
  <c r="H218" i="66" s="1"/>
  <c r="H219" i="66" s="1"/>
  <c r="H198" i="66"/>
  <c r="H200" i="66" s="1"/>
  <c r="G204" i="66"/>
  <c r="G205" i="66" s="1"/>
  <c r="G206" i="66" s="1"/>
  <c r="V11" i="66"/>
  <c r="W11" i="66" s="1"/>
  <c r="G196" i="66"/>
  <c r="G199" i="66" s="1"/>
  <c r="CA112" i="14"/>
  <c r="K75" i="66"/>
  <c r="K73" i="66" s="1"/>
  <c r="K72" i="66" s="1"/>
  <c r="CA15" i="14"/>
  <c r="CA28" i="14" s="1"/>
  <c r="CA75" i="14" s="1"/>
  <c r="BQ11" i="48"/>
  <c r="BQ34" i="48"/>
  <c r="BQ36" i="48" s="1"/>
  <c r="BZ115" i="14"/>
  <c r="BZ15" i="90" s="1"/>
  <c r="BZ116" i="14"/>
  <c r="H196" i="66"/>
  <c r="H155" i="66"/>
  <c r="H204" i="66"/>
  <c r="H205" i="66" s="1"/>
  <c r="H206" i="66" s="1"/>
  <c r="Y81" i="90"/>
  <c r="Y83" i="90" s="1"/>
  <c r="Y323" i="90" s="1"/>
  <c r="CZ214" i="33"/>
  <c r="CZ195" i="33" s="1"/>
  <c r="CZ212" i="33"/>
  <c r="CZ216" i="33"/>
  <c r="CB8" i="14"/>
  <c r="CC69" i="15"/>
  <c r="CC70" i="15" s="1"/>
  <c r="I68" i="66"/>
  <c r="J70" i="66"/>
  <c r="J95" i="66"/>
  <c r="J91" i="66" s="1"/>
  <c r="J88" i="66" s="1"/>
  <c r="X125" i="52"/>
  <c r="W146" i="52"/>
  <c r="W18" i="52" s="1"/>
  <c r="W7" i="52" s="1"/>
  <c r="W8" i="52" s="1"/>
  <c r="S16" i="52"/>
  <c r="S19" i="52" s="1"/>
  <c r="R21" i="52"/>
  <c r="CU33" i="90" l="1"/>
  <c r="CU35" i="90" s="1"/>
  <c r="CV33" i="90" s="1"/>
  <c r="CV35" i="90" s="1"/>
  <c r="CW33" i="90" s="1"/>
  <c r="CW35" i="90" s="1"/>
  <c r="CX33" i="90" s="1"/>
  <c r="CX35" i="90" s="1"/>
  <c r="CY33" i="90" s="1"/>
  <c r="CY35" i="90" s="1"/>
  <c r="CZ33" i="90" s="1"/>
  <c r="CZ35" i="90" s="1"/>
  <c r="DA33" i="90" s="1"/>
  <c r="DA35" i="90" s="1"/>
  <c r="DB33" i="90" s="1"/>
  <c r="DB35" i="90" s="1"/>
  <c r="DC33" i="90" s="1"/>
  <c r="DC35" i="90" s="1"/>
  <c r="W35" i="90"/>
  <c r="Z201" i="14"/>
  <c r="AA200" i="14"/>
  <c r="AB45" i="90"/>
  <c r="AB47" i="90" s="1"/>
  <c r="AB324" i="90" s="1"/>
  <c r="W34" i="90"/>
  <c r="CX309" i="90"/>
  <c r="CX310" i="90" s="1"/>
  <c r="CX352" i="90"/>
  <c r="CX313" i="90" s="1"/>
  <c r="CY93" i="90"/>
  <c r="AC148" i="90"/>
  <c r="AB331" i="90"/>
  <c r="X356" i="90"/>
  <c r="X55" i="14"/>
  <c r="CZ356" i="90"/>
  <c r="CZ55" i="14"/>
  <c r="BL95" i="14"/>
  <c r="BL102" i="14" s="1"/>
  <c r="BK103" i="14"/>
  <c r="CZ218" i="33"/>
  <c r="Y218" i="90"/>
  <c r="Y220" i="90" s="1"/>
  <c r="DA218" i="90"/>
  <c r="DA220" i="90" s="1"/>
  <c r="M26" i="52"/>
  <c r="M29" i="52" s="1"/>
  <c r="H199" i="66"/>
  <c r="W10" i="66"/>
  <c r="Z10" i="66" s="1"/>
  <c r="Z9" i="66" s="1"/>
  <c r="DA211" i="33"/>
  <c r="CZ222" i="33"/>
  <c r="CZ223" i="33" s="1"/>
  <c r="CB15" i="14"/>
  <c r="CB28" i="14" s="1"/>
  <c r="CB75" i="14" s="1"/>
  <c r="L75" i="66"/>
  <c r="L73" i="66" s="1"/>
  <c r="L72" i="66" s="1"/>
  <c r="CB112" i="14"/>
  <c r="V56" i="14"/>
  <c r="J68" i="66"/>
  <c r="T16" i="52"/>
  <c r="T19" i="52" s="1"/>
  <c r="S21" i="52"/>
  <c r="I198" i="66"/>
  <c r="I200" i="66" s="1"/>
  <c r="I217" i="66"/>
  <c r="I218" i="66" s="1"/>
  <c r="I219" i="66" s="1"/>
  <c r="I36" i="66"/>
  <c r="K95" i="66"/>
  <c r="K91" i="66" s="1"/>
  <c r="K88" i="66" s="1"/>
  <c r="K70" i="66"/>
  <c r="Y125" i="52"/>
  <c r="Y146" i="52" s="1"/>
  <c r="Y18" i="52" s="1"/>
  <c r="Y7" i="52" s="1"/>
  <c r="Y8" i="52" s="1"/>
  <c r="X146" i="52"/>
  <c r="X18" i="52" s="1"/>
  <c r="X7" i="52" s="1"/>
  <c r="X8" i="52" s="1"/>
  <c r="CD69" i="15"/>
  <c r="CD70" i="15" s="1"/>
  <c r="CC8" i="14"/>
  <c r="CZ197" i="33"/>
  <c r="CZ198" i="33"/>
  <c r="Z81" i="90"/>
  <c r="Z83" i="90" s="1"/>
  <c r="BR34" i="48"/>
  <c r="BR36" i="48" s="1"/>
  <c r="CA115" i="14"/>
  <c r="CA15" i="90" s="1"/>
  <c r="BR11" i="48"/>
  <c r="H114" i="53"/>
  <c r="CA116" i="14"/>
  <c r="AA201" i="14" l="1"/>
  <c r="AB200" i="14"/>
  <c r="Z323" i="90"/>
  <c r="AA81" i="90"/>
  <c r="AA83" i="90" s="1"/>
  <c r="AC45" i="90"/>
  <c r="AC47" i="90" s="1"/>
  <c r="AD45" i="90" s="1"/>
  <c r="AD47" i="90" s="1"/>
  <c r="AD324" i="90" s="1"/>
  <c r="AC324" i="90"/>
  <c r="CY94" i="90"/>
  <c r="V94" i="90" s="1"/>
  <c r="V95" i="90" s="1"/>
  <c r="AC150" i="90"/>
  <c r="AC337" i="90"/>
  <c r="Y356" i="90"/>
  <c r="Z218" i="90"/>
  <c r="Z220" i="90" s="1"/>
  <c r="Z356" i="90" s="1"/>
  <c r="CZ199" i="33"/>
  <c r="BL103" i="14"/>
  <c r="BM95" i="14"/>
  <c r="BM102" i="14" s="1"/>
  <c r="Y55" i="14"/>
  <c r="Y55" i="15" s="1"/>
  <c r="CZ55" i="15"/>
  <c r="DB218" i="90"/>
  <c r="DB220" i="90" s="1"/>
  <c r="DA55" i="14"/>
  <c r="DA356" i="90"/>
  <c r="BV114" i="14"/>
  <c r="BV116" i="14" s="1"/>
  <c r="N114" i="14"/>
  <c r="N116" i="14" s="1"/>
  <c r="BW114" i="14"/>
  <c r="BW116" i="14" s="1"/>
  <c r="BT114" i="14"/>
  <c r="BT116" i="14" s="1"/>
  <c r="M31" i="52"/>
  <c r="BU114" i="14"/>
  <c r="BU116" i="14" s="1"/>
  <c r="N25" i="52"/>
  <c r="M10" i="52"/>
  <c r="M34" i="52"/>
  <c r="K68" i="66"/>
  <c r="V113" i="14"/>
  <c r="BS11" i="48"/>
  <c r="BS34" i="48"/>
  <c r="BS36" i="48" s="1"/>
  <c r="CB115" i="14"/>
  <c r="CB15" i="90" s="1"/>
  <c r="CB116" i="14"/>
  <c r="M75" i="66"/>
  <c r="M73" i="66" s="1"/>
  <c r="M72" i="66" s="1"/>
  <c r="CC112" i="14"/>
  <c r="CC15" i="14"/>
  <c r="CC28" i="14" s="1"/>
  <c r="CC75" i="14" s="1"/>
  <c r="I196" i="66"/>
  <c r="I199" i="66" s="1"/>
  <c r="I155" i="66"/>
  <c r="I204" i="66"/>
  <c r="I205" i="66" s="1"/>
  <c r="I206" i="66" s="1"/>
  <c r="T21" i="52"/>
  <c r="U16" i="52"/>
  <c r="U19" i="52" s="1"/>
  <c r="L70" i="66"/>
  <c r="L95" i="66"/>
  <c r="L91" i="66" s="1"/>
  <c r="L88" i="66" s="1"/>
  <c r="H116" i="53"/>
  <c r="H145" i="53"/>
  <c r="CD8" i="14"/>
  <c r="CE69" i="15"/>
  <c r="CE70" i="15" s="1"/>
  <c r="J36" i="66"/>
  <c r="J198" i="66"/>
  <c r="J200" i="66" s="1"/>
  <c r="J217" i="66"/>
  <c r="J218" i="66" s="1"/>
  <c r="J219" i="66" s="1"/>
  <c r="V49" i="15"/>
  <c r="DA212" i="33"/>
  <c r="DA214" i="33"/>
  <c r="DA195" i="33" s="1"/>
  <c r="DA216" i="33"/>
  <c r="AB81" i="90" l="1"/>
  <c r="AB83" i="90" s="1"/>
  <c r="AB323" i="90" s="1"/>
  <c r="AC200" i="14"/>
  <c r="AB201" i="14"/>
  <c r="AA323" i="90"/>
  <c r="CY95" i="90"/>
  <c r="CY352" i="90" s="1"/>
  <c r="CY313" i="90" s="1"/>
  <c r="V313" i="90" s="1"/>
  <c r="CZ93" i="90"/>
  <c r="CZ95" i="90" s="1"/>
  <c r="CY309" i="90"/>
  <c r="AD148" i="90"/>
  <c r="AC331" i="90"/>
  <c r="AA218" i="90"/>
  <c r="AA220" i="90" s="1"/>
  <c r="W93" i="90"/>
  <c r="W95" i="90" s="1"/>
  <c r="V309" i="90"/>
  <c r="V310" i="90" s="1"/>
  <c r="Z55" i="14"/>
  <c r="BM103" i="14"/>
  <c r="BN95" i="14"/>
  <c r="BN102" i="14" s="1"/>
  <c r="DA218" i="33"/>
  <c r="DB211" i="33" s="1"/>
  <c r="DA55" i="15"/>
  <c r="DB356" i="90"/>
  <c r="DB55" i="14"/>
  <c r="DC218" i="90"/>
  <c r="DC220" i="90" s="1"/>
  <c r="V50" i="33"/>
  <c r="V26" i="48" s="1"/>
  <c r="M13" i="52"/>
  <c r="M11" i="52"/>
  <c r="N26" i="52"/>
  <c r="N10" i="52" s="1"/>
  <c r="DA222" i="33"/>
  <c r="DA223" i="33" s="1"/>
  <c r="DA198" i="33"/>
  <c r="DA197" i="33"/>
  <c r="H125" i="53"/>
  <c r="H119" i="53"/>
  <c r="H122" i="53"/>
  <c r="CE8" i="14"/>
  <c r="CF69" i="15"/>
  <c r="CF70" i="15" s="1"/>
  <c r="J196" i="66"/>
  <c r="J199" i="66" s="1"/>
  <c r="J155" i="66"/>
  <c r="J204" i="66"/>
  <c r="J205" i="66" s="1"/>
  <c r="J206" i="66" s="1"/>
  <c r="CD15" i="14"/>
  <c r="CD28" i="14" s="1"/>
  <c r="CD75" i="14" s="1"/>
  <c r="CD112" i="14"/>
  <c r="N75" i="66"/>
  <c r="N73" i="66" s="1"/>
  <c r="N72" i="66" s="1"/>
  <c r="L68" i="66"/>
  <c r="BT11" i="48"/>
  <c r="BT34" i="48"/>
  <c r="BT36" i="48" s="1"/>
  <c r="CC115" i="14"/>
  <c r="CC15" i="90" s="1"/>
  <c r="CC116" i="14"/>
  <c r="V10" i="48"/>
  <c r="V16" i="52"/>
  <c r="V19" i="52" s="1"/>
  <c r="U21" i="52"/>
  <c r="M95" i="66"/>
  <c r="M91" i="66" s="1"/>
  <c r="M88" i="66" s="1"/>
  <c r="M70" i="66"/>
  <c r="K198" i="66"/>
  <c r="K200" i="66" s="1"/>
  <c r="K36" i="66"/>
  <c r="K217" i="66"/>
  <c r="K218" i="66" s="1"/>
  <c r="K219" i="66" s="1"/>
  <c r="AC201" i="14" l="1"/>
  <c r="AD200" i="14"/>
  <c r="AD201" i="14" s="1"/>
  <c r="AC81" i="90"/>
  <c r="AC83" i="90" s="1"/>
  <c r="AC323" i="90"/>
  <c r="AB218" i="90"/>
  <c r="AB220" i="90" s="1"/>
  <c r="AA55" i="14"/>
  <c r="AA55" i="15" s="1"/>
  <c r="AD150" i="90"/>
  <c r="AD331" i="90" s="1"/>
  <c r="AD337" i="90"/>
  <c r="CZ352" i="90"/>
  <c r="CZ313" i="90" s="1"/>
  <c r="DR50" i="33" s="1"/>
  <c r="CZ56" i="14"/>
  <c r="CZ309" i="90"/>
  <c r="DA93" i="90"/>
  <c r="DA95" i="90" s="1"/>
  <c r="DA352" i="90" s="1"/>
  <c r="DA313" i="90" s="1"/>
  <c r="DS50" i="33" s="1"/>
  <c r="AA356" i="90"/>
  <c r="X93" i="90"/>
  <c r="X95" i="90" s="1"/>
  <c r="X352" i="90" s="1"/>
  <c r="X313" i="90" s="1"/>
  <c r="X50" i="33" s="1"/>
  <c r="X26" i="48" s="1"/>
  <c r="W309" i="90"/>
  <c r="D6" i="84"/>
  <c r="CY310" i="90"/>
  <c r="DC356" i="90"/>
  <c r="Z55" i="15"/>
  <c r="BO95" i="14"/>
  <c r="BO102" i="14" s="1"/>
  <c r="BN103" i="14"/>
  <c r="DA199" i="33"/>
  <c r="DC55" i="14"/>
  <c r="DB55" i="15"/>
  <c r="N29" i="52"/>
  <c r="N34" i="52" s="1"/>
  <c r="N13" i="52"/>
  <c r="N11" i="52"/>
  <c r="M68" i="66"/>
  <c r="L217" i="66"/>
  <c r="L218" i="66" s="1"/>
  <c r="L219" i="66" s="1"/>
  <c r="L198" i="66"/>
  <c r="L200" i="66" s="1"/>
  <c r="L36" i="66"/>
  <c r="CE112" i="14"/>
  <c r="CE15" i="14"/>
  <c r="CE28" i="14" s="1"/>
  <c r="CE75" i="14" s="1"/>
  <c r="N95" i="66"/>
  <c r="N91" i="66" s="1"/>
  <c r="N88" i="66" s="1"/>
  <c r="N70" i="66"/>
  <c r="K204" i="66"/>
  <c r="K205" i="66" s="1"/>
  <c r="K206" i="66" s="1"/>
  <c r="K196" i="66"/>
  <c r="K199" i="66" s="1"/>
  <c r="K155" i="66"/>
  <c r="BU11" i="48"/>
  <c r="BU34" i="48"/>
  <c r="BU36" i="48" s="1"/>
  <c r="CD115" i="14"/>
  <c r="CD15" i="90" s="1"/>
  <c r="CD116" i="14"/>
  <c r="V21" i="52"/>
  <c r="W16" i="52"/>
  <c r="W19" i="52" s="1"/>
  <c r="CG69" i="15"/>
  <c r="CG70" i="15" s="1"/>
  <c r="CF8" i="14"/>
  <c r="DB212" i="33"/>
  <c r="DB216" i="33"/>
  <c r="DB214" i="33"/>
  <c r="DB195" i="33" s="1"/>
  <c r="AD81" i="90" l="1"/>
  <c r="AD83" i="90" s="1"/>
  <c r="AD323" i="90" s="1"/>
  <c r="D12" i="84"/>
  <c r="E23" i="84" s="1"/>
  <c r="AB55" i="14"/>
  <c r="AB55" i="15" s="1"/>
  <c r="AC218" i="90"/>
  <c r="AC220" i="90" s="1"/>
  <c r="AC356" i="90" s="1"/>
  <c r="X56" i="14"/>
  <c r="X113" i="14" s="1"/>
  <c r="Y93" i="90"/>
  <c r="Y95" i="90" s="1"/>
  <c r="X309" i="90"/>
  <c r="CZ49" i="15"/>
  <c r="CZ113" i="14"/>
  <c r="AB356" i="90"/>
  <c r="DA309" i="90"/>
  <c r="DB93" i="90"/>
  <c r="DB95" i="90" s="1"/>
  <c r="DA56" i="14"/>
  <c r="DB218" i="33"/>
  <c r="DB222" i="33" s="1"/>
  <c r="DB223" i="33" s="1"/>
  <c r="BO103" i="14"/>
  <c r="BP95" i="14"/>
  <c r="BP102" i="14" s="1"/>
  <c r="DC55" i="15"/>
  <c r="W55" i="15" s="1"/>
  <c r="W55" i="14"/>
  <c r="O25" i="52"/>
  <c r="O26" i="52" s="1"/>
  <c r="O10" i="52" s="1"/>
  <c r="N31" i="52"/>
  <c r="O114" i="14"/>
  <c r="O116" i="14" s="1"/>
  <c r="DC211" i="33"/>
  <c r="CG8" i="14"/>
  <c r="CH69" i="15"/>
  <c r="CH70" i="15" s="1"/>
  <c r="W21" i="52"/>
  <c r="X16" i="52"/>
  <c r="X19" i="52" s="1"/>
  <c r="CE115" i="14"/>
  <c r="CE15" i="90" s="1"/>
  <c r="BV34" i="48"/>
  <c r="BV36" i="48" s="1"/>
  <c r="BV11" i="48"/>
  <c r="CE116" i="14"/>
  <c r="DB198" i="33"/>
  <c r="DB197" i="33"/>
  <c r="DB199" i="33" s="1"/>
  <c r="CF15" i="14"/>
  <c r="CF28" i="14" s="1"/>
  <c r="CF75" i="14" s="1"/>
  <c r="CF112" i="14"/>
  <c r="N68" i="66"/>
  <c r="L204" i="66"/>
  <c r="L205" i="66" s="1"/>
  <c r="L206" i="66" s="1"/>
  <c r="L196" i="66"/>
  <c r="L199" i="66" s="1"/>
  <c r="L155" i="66"/>
  <c r="M36" i="66"/>
  <c r="M198" i="66"/>
  <c r="M200" i="66" s="1"/>
  <c r="M217" i="66"/>
  <c r="M218" i="66" s="1"/>
  <c r="M219" i="66" s="1"/>
  <c r="D23" i="84" l="1"/>
  <c r="F23" i="84"/>
  <c r="Z93" i="90"/>
  <c r="Z95" i="90" s="1"/>
  <c r="Y56" i="14"/>
  <c r="Y309" i="90"/>
  <c r="DA49" i="15"/>
  <c r="DA113" i="14"/>
  <c r="DA114" i="14" s="1"/>
  <c r="X310" i="90"/>
  <c r="X10" i="48"/>
  <c r="DB352" i="90"/>
  <c r="DB313" i="90" s="1"/>
  <c r="DT50" i="33" s="1"/>
  <c r="DB309" i="90"/>
  <c r="DC93" i="90"/>
  <c r="DC95" i="90" s="1"/>
  <c r="DC352" i="90" s="1"/>
  <c r="DC313" i="90" s="1"/>
  <c r="DB56" i="14"/>
  <c r="CZ310" i="90"/>
  <c r="CZ14" i="90"/>
  <c r="CZ114" i="14"/>
  <c r="Y352" i="90"/>
  <c r="Y313" i="90" s="1"/>
  <c r="Y50" i="33" s="1"/>
  <c r="Y26" i="48" s="1"/>
  <c r="AC55" i="14"/>
  <c r="AC55" i="15" s="1"/>
  <c r="AD218" i="90"/>
  <c r="AD220" i="90" s="1"/>
  <c r="BP103" i="14"/>
  <c r="BQ95" i="14"/>
  <c r="BQ102" i="14" s="1"/>
  <c r="X55" i="15"/>
  <c r="O13" i="52"/>
  <c r="O11" i="52"/>
  <c r="O29" i="52"/>
  <c r="O34" i="52" s="1"/>
  <c r="CH8" i="14"/>
  <c r="CI69" i="15"/>
  <c r="CI70" i="15" s="1"/>
  <c r="CG15" i="14"/>
  <c r="CG28" i="14" s="1"/>
  <c r="CG75" i="14" s="1"/>
  <c r="CG112" i="14"/>
  <c r="M204" i="66"/>
  <c r="M205" i="66" s="1"/>
  <c r="M206" i="66" s="1"/>
  <c r="M196" i="66"/>
  <c r="M199" i="66" s="1"/>
  <c r="M155" i="66"/>
  <c r="N217" i="66"/>
  <c r="N218" i="66" s="1"/>
  <c r="N219" i="66" s="1"/>
  <c r="N198" i="66"/>
  <c r="N200" i="66" s="1"/>
  <c r="N36" i="66"/>
  <c r="X21" i="52"/>
  <c r="Y16" i="52"/>
  <c r="Y19" i="52" s="1"/>
  <c r="Y21" i="52" s="1"/>
  <c r="DC212" i="33"/>
  <c r="DC214" i="33"/>
  <c r="DC195" i="33" s="1"/>
  <c r="DC216" i="33"/>
  <c r="BW11" i="48"/>
  <c r="CF115" i="14"/>
  <c r="CF15" i="90" s="1"/>
  <c r="BW34" i="48"/>
  <c r="BW36" i="48" s="1"/>
  <c r="CF116" i="14"/>
  <c r="W313" i="90" l="1"/>
  <c r="DU50" i="33"/>
  <c r="W50" i="33" s="1"/>
  <c r="W26" i="48" s="1"/>
  <c r="DA310" i="90"/>
  <c r="AD356" i="90"/>
  <c r="AD55" i="14"/>
  <c r="AD55" i="15" s="1"/>
  <c r="DB49" i="15"/>
  <c r="DB113" i="14"/>
  <c r="DB114" i="14" s="1"/>
  <c r="AA93" i="90"/>
  <c r="AA95" i="90" s="1"/>
  <c r="AA352" i="90" s="1"/>
  <c r="AA313" i="90" s="1"/>
  <c r="AA50" i="33" s="1"/>
  <c r="Z56" i="14"/>
  <c r="Z309" i="90"/>
  <c r="DC56" i="14"/>
  <c r="DC309" i="90"/>
  <c r="Z352" i="90"/>
  <c r="Z313" i="90" s="1"/>
  <c r="Z50" i="33" s="1"/>
  <c r="Y49" i="15"/>
  <c r="Y113" i="14"/>
  <c r="Y10" i="48" s="1"/>
  <c r="DC218" i="33"/>
  <c r="DC222" i="33" s="1"/>
  <c r="DC223" i="33" s="1"/>
  <c r="BR95" i="14"/>
  <c r="BR102" i="14" s="1"/>
  <c r="BQ103" i="14"/>
  <c r="P25" i="52"/>
  <c r="P114" i="14"/>
  <c r="P116" i="14" s="1"/>
  <c r="O31" i="52"/>
  <c r="CG115" i="14"/>
  <c r="CG15" i="90" s="1"/>
  <c r="BX11" i="48"/>
  <c r="BX34" i="48"/>
  <c r="BX36" i="48" s="1"/>
  <c r="CG116" i="14"/>
  <c r="CI8" i="14"/>
  <c r="CJ69" i="15"/>
  <c r="CJ70" i="15" s="1"/>
  <c r="CH15" i="14"/>
  <c r="CH28" i="14" s="1"/>
  <c r="CH75" i="14" s="1"/>
  <c r="CH112" i="14"/>
  <c r="DC197" i="33"/>
  <c r="DC198" i="33"/>
  <c r="N204" i="66"/>
  <c r="N205" i="66" s="1"/>
  <c r="N206" i="66" s="1"/>
  <c r="N196" i="66"/>
  <c r="N199" i="66" s="1"/>
  <c r="N155" i="66"/>
  <c r="Z49" i="15" l="1"/>
  <c r="Z113" i="14"/>
  <c r="Z310" i="90" s="1"/>
  <c r="AB93" i="90"/>
  <c r="AB95" i="90" s="1"/>
  <c r="AA56" i="14"/>
  <c r="AA309" i="90"/>
  <c r="W56" i="14"/>
  <c r="DC49" i="15"/>
  <c r="W49" i="15" s="1"/>
  <c r="DC113" i="14"/>
  <c r="DC114" i="14" s="1"/>
  <c r="DB310" i="90"/>
  <c r="Y310" i="90"/>
  <c r="DC199" i="33"/>
  <c r="DD211" i="33"/>
  <c r="DD214" i="33" s="1"/>
  <c r="DD195" i="33" s="1"/>
  <c r="BS95" i="14"/>
  <c r="BS102" i="14" s="1"/>
  <c r="BR103" i="14"/>
  <c r="P26" i="52"/>
  <c r="P10" i="52" s="1"/>
  <c r="CI15" i="14"/>
  <c r="CI28" i="14" s="1"/>
  <c r="CI75" i="14" s="1"/>
  <c r="CI112" i="14"/>
  <c r="BY11" i="48"/>
  <c r="BY34" i="48"/>
  <c r="BY36" i="48" s="1"/>
  <c r="CH115" i="14"/>
  <c r="CH15" i="90" s="1"/>
  <c r="CH116" i="14"/>
  <c r="CJ8" i="14"/>
  <c r="CK69" i="15"/>
  <c r="CK70" i="15" s="1"/>
  <c r="DD216" i="33"/>
  <c r="DD212" i="33"/>
  <c r="DC310" i="90" l="1"/>
  <c r="AA49" i="15"/>
  <c r="AA113" i="14"/>
  <c r="AA114" i="14" s="1"/>
  <c r="AB370" i="90" s="1"/>
  <c r="X49" i="15"/>
  <c r="W113" i="14"/>
  <c r="AC93" i="90"/>
  <c r="AC95" i="90" s="1"/>
  <c r="AB56" i="14"/>
  <c r="AB309" i="90"/>
  <c r="AB352" i="90"/>
  <c r="AB313" i="90" s="1"/>
  <c r="AB50" i="33" s="1"/>
  <c r="BT95" i="14"/>
  <c r="BT102" i="14" s="1"/>
  <c r="BS103" i="14"/>
  <c r="DD218" i="33"/>
  <c r="DE211" i="33" s="1"/>
  <c r="P29" i="52"/>
  <c r="Q25" i="52" s="1"/>
  <c r="P11" i="52"/>
  <c r="P13" i="52"/>
  <c r="DD198" i="33"/>
  <c r="DD197" i="33"/>
  <c r="DD199" i="33" s="1"/>
  <c r="CK8" i="14"/>
  <c r="CL69" i="15"/>
  <c r="CL70" i="15" s="1"/>
  <c r="BZ11" i="48"/>
  <c r="CI115" i="14"/>
  <c r="CI15" i="90" s="1"/>
  <c r="BZ34" i="48"/>
  <c r="BZ36" i="48" s="1"/>
  <c r="CI116" i="14"/>
  <c r="CJ15" i="14"/>
  <c r="CJ28" i="14" s="1"/>
  <c r="CJ75" i="14" s="1"/>
  <c r="CJ112" i="14"/>
  <c r="DD222" i="33" l="1"/>
  <c r="DD223" i="33" s="1"/>
  <c r="AA310" i="90"/>
  <c r="AD93" i="90"/>
  <c r="AD95" i="90" s="1"/>
  <c r="AC56" i="14"/>
  <c r="AC309" i="90"/>
  <c r="W310" i="90"/>
  <c r="W10" i="48"/>
  <c r="AC352" i="90"/>
  <c r="AC313" i="90" s="1"/>
  <c r="AC50" i="33" s="1"/>
  <c r="AB49" i="15"/>
  <c r="AB113" i="14"/>
  <c r="AB114" i="14" s="1"/>
  <c r="AC370" i="90" s="1"/>
  <c r="BU95" i="14"/>
  <c r="BU102" i="14" s="1"/>
  <c r="BT103" i="14"/>
  <c r="P34" i="52"/>
  <c r="Q26" i="52" s="1"/>
  <c r="Q10" i="52" s="1"/>
  <c r="Q114" i="14"/>
  <c r="Q116" i="14" s="1"/>
  <c r="P31" i="52"/>
  <c r="CM69" i="15"/>
  <c r="CM70" i="15" s="1"/>
  <c r="CL8" i="14"/>
  <c r="CK15" i="14"/>
  <c r="CK28" i="14" s="1"/>
  <c r="CK75" i="14" s="1"/>
  <c r="CK112" i="14"/>
  <c r="CJ116" i="14"/>
  <c r="CJ115" i="14"/>
  <c r="CJ15" i="90" s="1"/>
  <c r="CA34" i="48"/>
  <c r="CA36" i="48" s="1"/>
  <c r="CA11" i="48"/>
  <c r="DE214" i="33"/>
  <c r="DE195" i="33" s="1"/>
  <c r="DE216" i="33"/>
  <c r="DE212" i="33"/>
  <c r="AB310" i="90" l="1"/>
  <c r="AD352" i="90"/>
  <c r="AD313" i="90" s="1"/>
  <c r="AD50" i="33" s="1"/>
  <c r="AD56" i="14"/>
  <c r="AD309" i="90"/>
  <c r="AC49" i="15"/>
  <c r="AC113" i="14"/>
  <c r="AC114" i="14" s="1"/>
  <c r="AD370" i="90" s="1"/>
  <c r="DE218" i="33"/>
  <c r="DE222" i="33" s="1"/>
  <c r="DE223" i="33" s="1"/>
  <c r="BV95" i="14"/>
  <c r="BV102" i="14" s="1"/>
  <c r="BU103" i="14"/>
  <c r="Q29" i="52"/>
  <c r="Q34" i="52" s="1"/>
  <c r="Q13" i="52"/>
  <c r="Q11" i="52"/>
  <c r="DF211" i="33"/>
  <c r="CB11" i="48"/>
  <c r="CK116" i="14"/>
  <c r="CB34" i="48"/>
  <c r="CB36" i="48" s="1"/>
  <c r="CK115" i="14"/>
  <c r="CK15" i="90" s="1"/>
  <c r="CL112" i="14"/>
  <c r="CL15" i="14"/>
  <c r="CL28" i="14" s="1"/>
  <c r="CL75" i="14" s="1"/>
  <c r="CN69" i="15"/>
  <c r="CN70" i="15" s="1"/>
  <c r="CM8" i="14"/>
  <c r="DE198" i="33"/>
  <c r="DE197" i="33"/>
  <c r="DE199" i="33" l="1"/>
  <c r="AC310" i="90"/>
  <c r="AD49" i="15"/>
  <c r="AD113" i="14"/>
  <c r="AD114" i="14" s="1"/>
  <c r="BV103" i="14"/>
  <c r="BW95" i="14"/>
  <c r="BW102" i="14" s="1"/>
  <c r="Q31" i="52"/>
  <c r="R114" i="14"/>
  <c r="R116" i="14" s="1"/>
  <c r="R25" i="52"/>
  <c r="R26" i="52" s="1"/>
  <c r="R10" i="52" s="1"/>
  <c r="CM112" i="14"/>
  <c r="CM15" i="14"/>
  <c r="CM28" i="14" s="1"/>
  <c r="CM75" i="14" s="1"/>
  <c r="CN8" i="14"/>
  <c r="CO69" i="15"/>
  <c r="CO70" i="15" s="1"/>
  <c r="CC34" i="48"/>
  <c r="CC36" i="48" s="1"/>
  <c r="CC11" i="48"/>
  <c r="CL116" i="14"/>
  <c r="CL115" i="14"/>
  <c r="CL15" i="90" s="1"/>
  <c r="DF212" i="33"/>
  <c r="DF216" i="33"/>
  <c r="DF214" i="33"/>
  <c r="DF195" i="33" s="1"/>
  <c r="AD310" i="90" l="1"/>
  <c r="DF218" i="33"/>
  <c r="DF222" i="33" s="1"/>
  <c r="DF223" i="33" s="1"/>
  <c r="BW103" i="14"/>
  <c r="BX95" i="14"/>
  <c r="BX102" i="14" s="1"/>
  <c r="R29" i="52"/>
  <c r="R34" i="52" s="1"/>
  <c r="R11" i="52"/>
  <c r="R13" i="52"/>
  <c r="DG211" i="33"/>
  <c r="CP69" i="15"/>
  <c r="CP70" i="15" s="1"/>
  <c r="CO8" i="14"/>
  <c r="CN112" i="14"/>
  <c r="CN15" i="14"/>
  <c r="CN28" i="14" s="1"/>
  <c r="CN75" i="14" s="1"/>
  <c r="DF198" i="33"/>
  <c r="DF226" i="33"/>
  <c r="DF197" i="33"/>
  <c r="CD11" i="48"/>
  <c r="CM115" i="14"/>
  <c r="CM15" i="90" s="1"/>
  <c r="CD34" i="48"/>
  <c r="CD36" i="48" s="1"/>
  <c r="CM116" i="14"/>
  <c r="DF199" i="33" l="1"/>
  <c r="BX103" i="14"/>
  <c r="BY95" i="14"/>
  <c r="BY102" i="14" s="1"/>
  <c r="S114" i="14"/>
  <c r="S116" i="14" s="1"/>
  <c r="S25" i="52"/>
  <c r="S26" i="52" s="1"/>
  <c r="R31" i="52"/>
  <c r="CO15" i="14"/>
  <c r="CO28" i="14" s="1"/>
  <c r="CO75" i="14" s="1"/>
  <c r="CO112" i="14"/>
  <c r="CN115" i="14"/>
  <c r="CN15" i="90" s="1"/>
  <c r="CN116" i="14"/>
  <c r="CP8" i="14"/>
  <c r="CQ69" i="15"/>
  <c r="CQ70" i="15" s="1"/>
  <c r="DG216" i="33"/>
  <c r="DG214" i="33"/>
  <c r="DG195" i="33" s="1"/>
  <c r="DG212" i="33"/>
  <c r="DG218" i="33" s="1"/>
  <c r="BY103" i="14" l="1"/>
  <c r="BZ95" i="14"/>
  <c r="BZ102" i="14" s="1"/>
  <c r="S10" i="52"/>
  <c r="S29" i="52"/>
  <c r="DH211" i="33"/>
  <c r="DG222" i="33"/>
  <c r="DG223" i="33" s="1"/>
  <c r="DG226" i="33"/>
  <c r="DG198" i="33"/>
  <c r="DG197" i="33"/>
  <c r="DG199" i="33" s="1"/>
  <c r="CR69" i="15"/>
  <c r="CR70" i="15" s="1"/>
  <c r="CQ8" i="14"/>
  <c r="CO116" i="14"/>
  <c r="CO115" i="14"/>
  <c r="CO15" i="90" s="1"/>
  <c r="CP112" i="14"/>
  <c r="CP15" i="14"/>
  <c r="CP28" i="14" s="1"/>
  <c r="CP75" i="14" s="1"/>
  <c r="CA95" i="14" l="1"/>
  <c r="CA102" i="14" s="1"/>
  <c r="BZ103" i="14"/>
  <c r="S31" i="52"/>
  <c r="T25" i="52"/>
  <c r="T114" i="14"/>
  <c r="T116" i="14" s="1"/>
  <c r="S11" i="52"/>
  <c r="S13" i="52"/>
  <c r="S34" i="52"/>
  <c r="CS69" i="15"/>
  <c r="CS70" i="15" s="1"/>
  <c r="CR8" i="14"/>
  <c r="CP116" i="14"/>
  <c r="CP115" i="14"/>
  <c r="CP15" i="90" s="1"/>
  <c r="CQ112" i="14"/>
  <c r="CQ15" i="14"/>
  <c r="CQ28" i="14" s="1"/>
  <c r="CQ75" i="14" s="1"/>
  <c r="DH214" i="33"/>
  <c r="DH195" i="33" s="1"/>
  <c r="DH212" i="33"/>
  <c r="DH216" i="33"/>
  <c r="DH218" i="33" l="1"/>
  <c r="DI211" i="33" s="1"/>
  <c r="CA103" i="14"/>
  <c r="CB95" i="14"/>
  <c r="CB102" i="14" s="1"/>
  <c r="T26" i="52"/>
  <c r="T10" i="52" s="1"/>
  <c r="CQ115" i="14"/>
  <c r="CQ15" i="90" s="1"/>
  <c r="CQ116" i="14"/>
  <c r="CR368" i="90"/>
  <c r="DH197" i="33"/>
  <c r="DH198" i="33"/>
  <c r="DH226" i="33"/>
  <c r="CR112" i="14"/>
  <c r="CR15" i="14"/>
  <c r="CR28" i="14" s="1"/>
  <c r="CR75" i="14" s="1"/>
  <c r="CT69" i="15"/>
  <c r="CT70" i="15" s="1"/>
  <c r="CS8" i="14"/>
  <c r="DH222" i="33" l="1"/>
  <c r="DH223" i="33" s="1"/>
  <c r="CC95" i="14"/>
  <c r="CC102" i="14" s="1"/>
  <c r="CB103" i="14"/>
  <c r="T13" i="52"/>
  <c r="T11" i="52"/>
  <c r="T29" i="52"/>
  <c r="CR116" i="14"/>
  <c r="CR115" i="14"/>
  <c r="CR15" i="90" s="1"/>
  <c r="CS368" i="90"/>
  <c r="CS372" i="90" s="1"/>
  <c r="CS15" i="14"/>
  <c r="CS28" i="14" s="1"/>
  <c r="CS75" i="14" s="1"/>
  <c r="CS112" i="14"/>
  <c r="DH199" i="33"/>
  <c r="CU69" i="15"/>
  <c r="CU70" i="15" s="1"/>
  <c r="CT8" i="14"/>
  <c r="CR372" i="90"/>
  <c r="DI216" i="33"/>
  <c r="DI212" i="33"/>
  <c r="DI214" i="33"/>
  <c r="DI195" i="33" s="1"/>
  <c r="DI218" i="33" l="1"/>
  <c r="DI222" i="33" s="1"/>
  <c r="DI223" i="33" s="1"/>
  <c r="CD95" i="14"/>
  <c r="CD102" i="14" s="1"/>
  <c r="CC103" i="14"/>
  <c r="U114" i="14"/>
  <c r="U116" i="14" s="1"/>
  <c r="T31" i="52"/>
  <c r="U25" i="52"/>
  <c r="T34" i="52"/>
  <c r="DJ211" i="33"/>
  <c r="CS80" i="15"/>
  <c r="CS81" i="15" s="1"/>
  <c r="CS96" i="15"/>
  <c r="AE30" i="77" s="1"/>
  <c r="AE31" i="77" s="1"/>
  <c r="DI198" i="33"/>
  <c r="DI197" i="33"/>
  <c r="DI226" i="33"/>
  <c r="T226" i="33" s="1"/>
  <c r="CR96" i="15"/>
  <c r="AD30" i="77" s="1"/>
  <c r="AD31" i="77" s="1"/>
  <c r="CR80" i="15"/>
  <c r="CR81" i="15" s="1"/>
  <c r="CV69" i="15"/>
  <c r="CU8" i="14"/>
  <c r="CV66" i="15"/>
  <c r="CT15" i="14"/>
  <c r="CT28" i="14" s="1"/>
  <c r="CT75" i="14" s="1"/>
  <c r="CT112" i="14"/>
  <c r="CS115" i="14"/>
  <c r="CS15" i="90" s="1"/>
  <c r="CT368" i="90"/>
  <c r="CS116" i="14"/>
  <c r="DI199" i="33" l="1"/>
  <c r="CE95" i="14"/>
  <c r="CE102" i="14" s="1"/>
  <c r="CD103" i="14"/>
  <c r="U26" i="52"/>
  <c r="U10" i="52" s="1"/>
  <c r="L9" i="53"/>
  <c r="CT116" i="14"/>
  <c r="CT115" i="14"/>
  <c r="CT15" i="90" s="1"/>
  <c r="CU368" i="90"/>
  <c r="CU372" i="90" s="1"/>
  <c r="V66" i="15"/>
  <c r="CV68" i="15"/>
  <c r="CV70" i="15" s="1"/>
  <c r="CR97" i="15"/>
  <c r="CS97" i="15"/>
  <c r="CT372" i="90"/>
  <c r="CU112" i="14"/>
  <c r="CU15" i="14"/>
  <c r="CU28" i="14" s="1"/>
  <c r="CU75" i="14" s="1"/>
  <c r="DJ214" i="33"/>
  <c r="DJ195" i="33" s="1"/>
  <c r="DJ216" i="33"/>
  <c r="DJ212" i="33"/>
  <c r="DJ218" i="33" s="1"/>
  <c r="CE103" i="14" l="1"/>
  <c r="CF95" i="14"/>
  <c r="CF102" i="14" s="1"/>
  <c r="U29" i="52"/>
  <c r="U34" i="52" s="1"/>
  <c r="U13" i="52"/>
  <c r="U11" i="52"/>
  <c r="U368" i="90"/>
  <c r="U372" i="90" s="1"/>
  <c r="U80" i="15" s="1"/>
  <c r="U81" i="15" s="1"/>
  <c r="M124" i="53" s="1"/>
  <c r="M155" i="53" s="1"/>
  <c r="DK211" i="33"/>
  <c r="DJ222" i="33"/>
  <c r="DJ223" i="33" s="1"/>
  <c r="CU96" i="15"/>
  <c r="AG30" i="77" s="1"/>
  <c r="AG31" i="77" s="1"/>
  <c r="CU80" i="15"/>
  <c r="CU81" i="15" s="1"/>
  <c r="DJ197" i="33"/>
  <c r="DJ198" i="33"/>
  <c r="DJ226" i="33"/>
  <c r="CT80" i="15"/>
  <c r="CT81" i="15" s="1"/>
  <c r="CT96" i="15"/>
  <c r="AF30" i="77" s="1"/>
  <c r="AF31" i="77" s="1"/>
  <c r="CW69" i="15"/>
  <c r="CV9" i="14"/>
  <c r="CU115" i="14"/>
  <c r="CU15" i="90" s="1"/>
  <c r="CV368" i="90"/>
  <c r="CV372" i="90" s="1"/>
  <c r="CU116" i="14"/>
  <c r="K114" i="53"/>
  <c r="P114" i="53"/>
  <c r="J114" i="53"/>
  <c r="R114" i="53"/>
  <c r="I114" i="53"/>
  <c r="M114" i="53"/>
  <c r="N114" i="53"/>
  <c r="L11" i="53"/>
  <c r="L15" i="53" s="1"/>
  <c r="Q114" i="53"/>
  <c r="L114" i="53"/>
  <c r="H69" i="53"/>
  <c r="O114" i="53"/>
  <c r="CF103" i="14" l="1"/>
  <c r="CG95" i="14"/>
  <c r="CG102" i="14" s="1"/>
  <c r="V114" i="14"/>
  <c r="U31" i="52"/>
  <c r="V25" i="52"/>
  <c r="V26" i="52" s="1"/>
  <c r="V10" i="52" s="1"/>
  <c r="U96" i="15"/>
  <c r="U97" i="15" s="1"/>
  <c r="U35" i="64" s="1"/>
  <c r="O145" i="53"/>
  <c r="O116" i="53"/>
  <c r="R116" i="53"/>
  <c r="R145" i="53"/>
  <c r="CV96" i="15"/>
  <c r="AH30" i="77" s="1"/>
  <c r="AH31" i="77" s="1"/>
  <c r="CV80" i="15"/>
  <c r="CV81" i="15" s="1"/>
  <c r="CT97" i="15"/>
  <c r="DJ199" i="33"/>
  <c r="L116" i="53"/>
  <c r="L145" i="53"/>
  <c r="M116" i="53"/>
  <c r="M145" i="53"/>
  <c r="P116" i="53"/>
  <c r="P145" i="53"/>
  <c r="N145" i="53"/>
  <c r="N116" i="53"/>
  <c r="J116" i="53"/>
  <c r="J145" i="53"/>
  <c r="Q145" i="53"/>
  <c r="Q116" i="53"/>
  <c r="I116" i="53"/>
  <c r="I145" i="53"/>
  <c r="K145" i="53"/>
  <c r="K116" i="53"/>
  <c r="CV14" i="14"/>
  <c r="CV78" i="14" s="1"/>
  <c r="CU97" i="15"/>
  <c r="DK214" i="33"/>
  <c r="DK195" i="33" s="1"/>
  <c r="DK212" i="33"/>
  <c r="DK216" i="33"/>
  <c r="CG103" i="14" l="1"/>
  <c r="CH95" i="14"/>
  <c r="CH102" i="14" s="1"/>
  <c r="DK218" i="33"/>
  <c r="DK222" i="33" s="1"/>
  <c r="DK223" i="33" s="1"/>
  <c r="V29" i="52"/>
  <c r="W25" i="52" s="1"/>
  <c r="V13" i="52"/>
  <c r="V11" i="52"/>
  <c r="CV15" i="14"/>
  <c r="CV28" i="14" s="1"/>
  <c r="CV75" i="14" s="1"/>
  <c r="K119" i="53"/>
  <c r="K122" i="53"/>
  <c r="K125" i="53"/>
  <c r="CV97" i="15"/>
  <c r="DK226" i="33"/>
  <c r="DK197" i="33"/>
  <c r="DK198" i="33"/>
  <c r="M119" i="53"/>
  <c r="M125" i="53"/>
  <c r="CV80" i="14"/>
  <c r="CV88" i="14"/>
  <c r="I125" i="53"/>
  <c r="I119" i="53"/>
  <c r="I122" i="53"/>
  <c r="J125" i="53"/>
  <c r="J122" i="53"/>
  <c r="J119" i="53"/>
  <c r="L125" i="53"/>
  <c r="L122" i="53"/>
  <c r="L119" i="53"/>
  <c r="DL211" i="33" l="1"/>
  <c r="DL216" i="33" s="1"/>
  <c r="CI95" i="14"/>
  <c r="CI102" i="14" s="1"/>
  <c r="CH103" i="14"/>
  <c r="V34" i="52"/>
  <c r="W26" i="52" s="1"/>
  <c r="W114" i="14"/>
  <c r="X370" i="90" s="1"/>
  <c r="V31" i="52"/>
  <c r="DL214" i="33"/>
  <c r="DL195" i="33" s="1"/>
  <c r="DK199" i="33"/>
  <c r="DL212" i="33" l="1"/>
  <c r="DL218" i="33" s="1"/>
  <c r="DL222" i="33" s="1"/>
  <c r="DL223" i="33" s="1"/>
  <c r="CI103" i="14"/>
  <c r="CJ95" i="14"/>
  <c r="CJ102" i="14" s="1"/>
  <c r="W10" i="52"/>
  <c r="W29" i="52"/>
  <c r="DL197" i="33"/>
  <c r="DL199" i="33" s="1"/>
  <c r="DL226" i="33"/>
  <c r="DL198" i="33"/>
  <c r="DM211" i="33" l="1"/>
  <c r="DM216" i="33" s="1"/>
  <c r="CJ103" i="14"/>
  <c r="CK95" i="14"/>
  <c r="CK102" i="14" s="1"/>
  <c r="W11" i="52"/>
  <c r="W13" i="52"/>
  <c r="X114" i="14"/>
  <c r="Y370" i="90" s="1"/>
  <c r="W31" i="52"/>
  <c r="X25" i="52"/>
  <c r="W34" i="52"/>
  <c r="DM212" i="33"/>
  <c r="DM214" i="33" l="1"/>
  <c r="DM195" i="33" s="1"/>
  <c r="DM198" i="33" s="1"/>
  <c r="CK103" i="14"/>
  <c r="CL95" i="14"/>
  <c r="CL102" i="14" s="1"/>
  <c r="X26" i="52"/>
  <c r="X10" i="52" s="1"/>
  <c r="DM226" i="33"/>
  <c r="U226" i="33" s="1"/>
  <c r="DM197" i="33" l="1"/>
  <c r="DM199" i="33" s="1"/>
  <c r="DM218" i="33"/>
  <c r="CL103" i="14"/>
  <c r="CM95" i="14"/>
  <c r="CM102" i="14" s="1"/>
  <c r="X29" i="52"/>
  <c r="X34" i="52" s="1"/>
  <c r="X13" i="52"/>
  <c r="X11" i="52"/>
  <c r="DM222" i="33"/>
  <c r="DM223" i="33" s="1"/>
  <c r="DN211" i="33"/>
  <c r="CM103" i="14" l="1"/>
  <c r="CN95" i="14"/>
  <c r="CN102" i="14" s="1"/>
  <c r="Y114" i="14"/>
  <c r="Z370" i="90" s="1"/>
  <c r="Y25" i="52"/>
  <c r="Y26" i="52" s="1"/>
  <c r="Y10" i="52" s="1"/>
  <c r="X31" i="52"/>
  <c r="DN216" i="33"/>
  <c r="DN214" i="33"/>
  <c r="DN195" i="33" s="1"/>
  <c r="DN212" i="33"/>
  <c r="CO95" i="14" l="1"/>
  <c r="CO102" i="14" s="1"/>
  <c r="CN103" i="14"/>
  <c r="DN218" i="33"/>
  <c r="DO211" i="33" s="1"/>
  <c r="Y29" i="52"/>
  <c r="Z114" i="14" s="1"/>
  <c r="AA370" i="90" s="1"/>
  <c r="Y13" i="52"/>
  <c r="Y11" i="52"/>
  <c r="DN198" i="33"/>
  <c r="DN226" i="33"/>
  <c r="DN197" i="33"/>
  <c r="Y34" i="52" l="1"/>
  <c r="DN222" i="33"/>
  <c r="DN223" i="33" s="1"/>
  <c r="CP95" i="14"/>
  <c r="CP102" i="14" s="1"/>
  <c r="CO103" i="14"/>
  <c r="Y31" i="52"/>
  <c r="DN199" i="33"/>
  <c r="DO216" i="33"/>
  <c r="DO214" i="33"/>
  <c r="DO195" i="33" s="1"/>
  <c r="DO212" i="33"/>
  <c r="DO218" i="33" l="1"/>
  <c r="DP211" i="33" s="1"/>
  <c r="DP214" i="33" s="1"/>
  <c r="DP195" i="33" s="1"/>
  <c r="CQ95" i="14"/>
  <c r="CQ102" i="14" s="1"/>
  <c r="CP103" i="14"/>
  <c r="DO226" i="33"/>
  <c r="DO198" i="33"/>
  <c r="DO197" i="33"/>
  <c r="DO222" i="33" l="1"/>
  <c r="DO223" i="33" s="1"/>
  <c r="DP212" i="33"/>
  <c r="DP216" i="33"/>
  <c r="CR95" i="14"/>
  <c r="CR102" i="14" s="1"/>
  <c r="CQ103" i="14"/>
  <c r="DP226" i="33"/>
  <c r="DP198" i="33"/>
  <c r="DP197" i="33"/>
  <c r="DO199" i="33"/>
  <c r="DP218" i="33" l="1"/>
  <c r="DP199" i="33"/>
  <c r="CS95" i="14"/>
  <c r="CS102" i="14" s="1"/>
  <c r="CR103" i="14"/>
  <c r="DQ211" i="33" l="1"/>
  <c r="DP222" i="33"/>
  <c r="DP223" i="33" s="1"/>
  <c r="CT95" i="14"/>
  <c r="CT102" i="14" s="1"/>
  <c r="CS103" i="14"/>
  <c r="DQ214" i="33" l="1"/>
  <c r="DQ195" i="33" s="1"/>
  <c r="DQ212" i="33"/>
  <c r="DQ218" i="33" s="1"/>
  <c r="DQ216" i="33"/>
  <c r="CT103" i="14"/>
  <c r="CU95" i="14"/>
  <c r="CU102" i="14" s="1"/>
  <c r="DQ222" i="33" l="1"/>
  <c r="DQ223" i="33" s="1"/>
  <c r="DR211" i="33"/>
  <c r="DQ197" i="33"/>
  <c r="DQ226" i="33"/>
  <c r="DQ198" i="33"/>
  <c r="CV95" i="14"/>
  <c r="CV102" i="14" s="1"/>
  <c r="CU103" i="14"/>
  <c r="V226" i="33"/>
  <c r="DQ199" i="33" l="1"/>
  <c r="DR212" i="33"/>
  <c r="DR214" i="33"/>
  <c r="DR195" i="33" s="1"/>
  <c r="DR216" i="33"/>
  <c r="CW95" i="14"/>
  <c r="CV103" i="14"/>
  <c r="V82" i="33"/>
  <c r="V9" i="48" s="1"/>
  <c r="V234" i="15"/>
  <c r="DR226" i="33"/>
  <c r="V52" i="15"/>
  <c r="V85" i="33"/>
  <c r="DR197" i="33" l="1"/>
  <c r="DR199" i="33" s="1"/>
  <c r="CZ52" i="15" s="1"/>
  <c r="DR198" i="33"/>
  <c r="DR218" i="33"/>
  <c r="V61" i="15"/>
  <c r="V64" i="15" s="1"/>
  <c r="V172" i="33"/>
  <c r="V173" i="33"/>
  <c r="DR85" i="33"/>
  <c r="W226" i="33"/>
  <c r="V84" i="33"/>
  <c r="DR82" i="33"/>
  <c r="CZ234" i="15" s="1"/>
  <c r="V83" i="33"/>
  <c r="V106" i="15" s="1"/>
  <c r="DR222" i="33" l="1"/>
  <c r="DR223" i="33" s="1"/>
  <c r="DS211" i="33"/>
  <c r="V174" i="33"/>
  <c r="U425" i="71" s="1"/>
  <c r="U427" i="71" s="1"/>
  <c r="DR84" i="33"/>
  <c r="DR83" i="33"/>
  <c r="DR173" i="33"/>
  <c r="DR172" i="33" s="1"/>
  <c r="DS212" i="33" l="1"/>
  <c r="DS218" i="33" s="1"/>
  <c r="DT211" i="33" s="1"/>
  <c r="DS216" i="33"/>
  <c r="DS214" i="33"/>
  <c r="DS195" i="33" s="1"/>
  <c r="DS222" i="33"/>
  <c r="DS223" i="33" s="1"/>
  <c r="U426" i="71"/>
  <c r="CZ106" i="15"/>
  <c r="CZ61" i="15"/>
  <c r="DS197" i="33" l="1"/>
  <c r="DS226" i="33"/>
  <c r="DS198" i="33"/>
  <c r="DT214" i="33"/>
  <c r="DT195" i="33" s="1"/>
  <c r="DT216" i="33"/>
  <c r="DT212" i="33"/>
  <c r="DT218" i="33"/>
  <c r="CZ64" i="15"/>
  <c r="DS82" i="33" l="1"/>
  <c r="DS85" i="33"/>
  <c r="DS199" i="33"/>
  <c r="DA52" i="15" s="1"/>
  <c r="DT222" i="33"/>
  <c r="DT223" i="33" s="1"/>
  <c r="DU211" i="33"/>
  <c r="DT198" i="33"/>
  <c r="DT197" i="33"/>
  <c r="DS84" i="33" l="1"/>
  <c r="DT226" i="33"/>
  <c r="DS83" i="33"/>
  <c r="DA106" i="15" s="1"/>
  <c r="DA234" i="15"/>
  <c r="DS173" i="33"/>
  <c r="DS172" i="33" s="1"/>
  <c r="DA61" i="15" s="1"/>
  <c r="DA64" i="15" s="1"/>
  <c r="DT199" i="33"/>
  <c r="DB52" i="15" s="1"/>
  <c r="DU216" i="33"/>
  <c r="DU212" i="33"/>
  <c r="DU214" i="33"/>
  <c r="DU195" i="33" s="1"/>
  <c r="DT82" i="33" l="1"/>
  <c r="DT85" i="33"/>
  <c r="DU226" i="33" s="1"/>
  <c r="DU218" i="33"/>
  <c r="DU222" i="33" s="1"/>
  <c r="DU223" i="33" s="1"/>
  <c r="DU198" i="33"/>
  <c r="DU197" i="33"/>
  <c r="DT83" i="33" l="1"/>
  <c r="DB106" i="15" s="1"/>
  <c r="DT84" i="33"/>
  <c r="DB234" i="15"/>
  <c r="DT173" i="33"/>
  <c r="DT172" i="33" s="1"/>
  <c r="DB61" i="15" s="1"/>
  <c r="DB64" i="15" s="1"/>
  <c r="DU199" i="33"/>
  <c r="DC52" i="15" s="1"/>
  <c r="W52" i="15" s="1"/>
  <c r="DU82" i="33"/>
  <c r="DC234" i="15" s="1"/>
  <c r="DU85" i="33"/>
  <c r="W85" i="33" l="1"/>
  <c r="DU84" i="33"/>
  <c r="W84" i="33" s="1"/>
  <c r="DU83" i="33"/>
  <c r="W82" i="33"/>
  <c r="DU173" i="33"/>
  <c r="DU172" i="33" s="1"/>
  <c r="W234" i="15"/>
  <c r="W9" i="48" l="1"/>
  <c r="W173" i="33"/>
  <c r="DC106" i="15"/>
  <c r="W83" i="33"/>
  <c r="W106" i="15" s="1"/>
  <c r="DC61" i="15"/>
  <c r="W172" i="33"/>
  <c r="X226" i="33"/>
  <c r="X85" i="33" s="1"/>
  <c r="AR483" i="58"/>
  <c r="AR484" i="58"/>
  <c r="CW8" i="12"/>
  <c r="AI33" i="77" s="1"/>
  <c r="AI14" i="77" s="1"/>
  <c r="W174" i="33" l="1"/>
  <c r="X84" i="33"/>
  <c r="Y226" i="33"/>
  <c r="Y85" i="33" s="1"/>
  <c r="Y83" i="33" s="1"/>
  <c r="Y106" i="15" s="1"/>
  <c r="DC64" i="15"/>
  <c r="W61" i="15"/>
  <c r="W64" i="15" s="1"/>
  <c r="X82" i="33"/>
  <c r="X234" i="15" s="1"/>
  <c r="X83" i="33"/>
  <c r="X106" i="15" s="1"/>
  <c r="AI11" i="77"/>
  <c r="AI16" i="77"/>
  <c r="AI15" i="77"/>
  <c r="DO9" i="33"/>
  <c r="DO155" i="33" s="1"/>
  <c r="CW50" i="12"/>
  <c r="CW42" i="12"/>
  <c r="CW12" i="12"/>
  <c r="CW822" i="12" s="1"/>
  <c r="AI80" i="77" s="1"/>
  <c r="AI57" i="77" s="1"/>
  <c r="CW282" i="12"/>
  <c r="X173" i="33" l="1"/>
  <c r="X9" i="48"/>
  <c r="Y82" i="33"/>
  <c r="Y234" i="15" s="1"/>
  <c r="Z226" i="33"/>
  <c r="Z85" i="33" s="1"/>
  <c r="Y84" i="33"/>
  <c r="AI21" i="77"/>
  <c r="AI12" i="77"/>
  <c r="AI19" i="77"/>
  <c r="AI13" i="77"/>
  <c r="AI29" i="77"/>
  <c r="DO139" i="33"/>
  <c r="DO13" i="33"/>
  <c r="DO15" i="33" s="1"/>
  <c r="CW14" i="12"/>
  <c r="CW30" i="12" s="1"/>
  <c r="CW31" i="12" s="1"/>
  <c r="CX819" i="12"/>
  <c r="CW54" i="12"/>
  <c r="CW820" i="12"/>
  <c r="CW818" i="12" s="1"/>
  <c r="CW46" i="12"/>
  <c r="CX8" i="12"/>
  <c r="AS483" i="58"/>
  <c r="CY8" i="12"/>
  <c r="DQ9" i="33" s="1"/>
  <c r="AT483" i="58"/>
  <c r="V281" i="12"/>
  <c r="DQ13" i="33" l="1"/>
  <c r="DQ139" i="33"/>
  <c r="Z84" i="33"/>
  <c r="AA226" i="33"/>
  <c r="AA85" i="33" s="1"/>
  <c r="Z83" i="33"/>
  <c r="Z106" i="15" s="1"/>
  <c r="Y173" i="33"/>
  <c r="Y9" i="48"/>
  <c r="Z82" i="33"/>
  <c r="Z234" i="15" s="1"/>
  <c r="DP9" i="33"/>
  <c r="AJ33" i="77"/>
  <c r="AJ14" i="77" s="1"/>
  <c r="AI27" i="77"/>
  <c r="AI31" i="77" s="1"/>
  <c r="AI22" i="77"/>
  <c r="CY42" i="12"/>
  <c r="CY50" i="12"/>
  <c r="CY12" i="12"/>
  <c r="DO143" i="33"/>
  <c r="DO159" i="33"/>
  <c r="CX12" i="12"/>
  <c r="CX42" i="12"/>
  <c r="CX50" i="12"/>
  <c r="CW238" i="15"/>
  <c r="CW237" i="15"/>
  <c r="CW240" i="15"/>
  <c r="CW176" i="15"/>
  <c r="CW239" i="15"/>
  <c r="CW175" i="15"/>
  <c r="CW186" i="14"/>
  <c r="DO117" i="33"/>
  <c r="DO109" i="33"/>
  <c r="DO16" i="33"/>
  <c r="DO88" i="33"/>
  <c r="DO90" i="33" s="1"/>
  <c r="DO91" i="33" s="1"/>
  <c r="DO92" i="33" s="1"/>
  <c r="CX82" i="14" s="1"/>
  <c r="DO19" i="33"/>
  <c r="DO108" i="33"/>
  <c r="DO110" i="33" s="1"/>
  <c r="DS112" i="33" s="1"/>
  <c r="DO115" i="33"/>
  <c r="DO145" i="33"/>
  <c r="DO17" i="33"/>
  <c r="DO161" i="33"/>
  <c r="CW38" i="12"/>
  <c r="CW106" i="14"/>
  <c r="AR354" i="58"/>
  <c r="CW823" i="12"/>
  <c r="CW828" i="12"/>
  <c r="CW34" i="12"/>
  <c r="CW49" i="12"/>
  <c r="CW36" i="12"/>
  <c r="CW25" i="12"/>
  <c r="CW35" i="12"/>
  <c r="CW39" i="12"/>
  <c r="CW41" i="12"/>
  <c r="CW37" i="12"/>
  <c r="AR4" i="58"/>
  <c r="BJ64" i="77"/>
  <c r="BJ65" i="77" s="1"/>
  <c r="AT484" i="58"/>
  <c r="X281" i="12"/>
  <c r="AS484" i="58"/>
  <c r="V289" i="12"/>
  <c r="V293" i="12" s="1"/>
  <c r="V295" i="12" s="1"/>
  <c r="CY820" i="12" l="1"/>
  <c r="CY822" i="12"/>
  <c r="DQ15" i="33"/>
  <c r="DQ143" i="33"/>
  <c r="CX822" i="12"/>
  <c r="AJ80" i="77" s="1"/>
  <c r="CY819" i="12"/>
  <c r="CY818" i="12" s="1"/>
  <c r="DS113" i="33"/>
  <c r="DS110" i="33"/>
  <c r="DS111" i="33"/>
  <c r="AA84" i="33"/>
  <c r="AB226" i="33"/>
  <c r="AB85" i="33" s="1"/>
  <c r="AA83" i="33"/>
  <c r="AA106" i="15" s="1"/>
  <c r="Z173" i="33"/>
  <c r="AA82" i="33"/>
  <c r="AA234" i="15" s="1"/>
  <c r="DP155" i="33"/>
  <c r="DQ155" i="33"/>
  <c r="DP139" i="33"/>
  <c r="DP13" i="33"/>
  <c r="AJ11" i="77"/>
  <c r="AN16" i="77"/>
  <c r="AJ15" i="77"/>
  <c r="AJ16" i="77"/>
  <c r="AL16" i="77"/>
  <c r="AJ57" i="77"/>
  <c r="AL57" i="77"/>
  <c r="CY46" i="12"/>
  <c r="CY54" i="12"/>
  <c r="CY14" i="12"/>
  <c r="CZ50" i="12"/>
  <c r="CX46" i="12"/>
  <c r="CX54" i="12"/>
  <c r="CX14" i="12"/>
  <c r="DO37" i="33"/>
  <c r="DO36" i="33"/>
  <c r="DO146" i="33"/>
  <c r="DO20" i="33"/>
  <c r="DO104" i="33"/>
  <c r="CW108" i="14"/>
  <c r="CW128" i="14"/>
  <c r="CW134" i="14"/>
  <c r="CW220" i="14"/>
  <c r="CW125" i="14"/>
  <c r="CW79" i="14"/>
  <c r="CW87" i="14" s="1"/>
  <c r="CW81" i="14"/>
  <c r="DO93" i="33"/>
  <c r="DB83" i="14" s="1"/>
  <c r="DO97" i="33"/>
  <c r="DO98" i="33" s="1"/>
  <c r="DO99" i="33" s="1"/>
  <c r="CX86" i="14" s="1"/>
  <c r="CX90" i="14" s="1"/>
  <c r="DO94" i="33"/>
  <c r="CW26" i="12"/>
  <c r="CW27" i="12"/>
  <c r="AR365" i="58"/>
  <c r="AR366" i="58"/>
  <c r="AR367" i="58" s="1"/>
  <c r="AR355" i="58"/>
  <c r="BJ67" i="77"/>
  <c r="DR155" i="33"/>
  <c r="AR6" i="58"/>
  <c r="AR5" i="58"/>
  <c r="V8" i="12"/>
  <c r="X293" i="12"/>
  <c r="Y281" i="12"/>
  <c r="CY38" i="12" l="1"/>
  <c r="CY106" i="14"/>
  <c r="BK13" i="77"/>
  <c r="CY239" i="15"/>
  <c r="CY175" i="15"/>
  <c r="DQ117" i="33"/>
  <c r="DQ115" i="33"/>
  <c r="CY237" i="15"/>
  <c r="CY240" i="15"/>
  <c r="DQ109" i="33"/>
  <c r="DQ108" i="33"/>
  <c r="DQ110" i="33" s="1"/>
  <c r="DU112" i="33" s="1"/>
  <c r="CY238" i="15"/>
  <c r="CY186" i="14"/>
  <c r="DQ88" i="33"/>
  <c r="DQ90" i="33" s="1"/>
  <c r="DQ91" i="33" s="1"/>
  <c r="DQ92" i="33" s="1"/>
  <c r="CY176" i="15"/>
  <c r="DQ19" i="33"/>
  <c r="DQ145" i="33"/>
  <c r="DQ17" i="33"/>
  <c r="CY823" i="12"/>
  <c r="CY828" i="12"/>
  <c r="AB84" i="33"/>
  <c r="AC226" i="33"/>
  <c r="AC85" i="33" s="1"/>
  <c r="AB83" i="33"/>
  <c r="AB106" i="15" s="1"/>
  <c r="AB82" i="33"/>
  <c r="AB234" i="15" s="1"/>
  <c r="AA173" i="33"/>
  <c r="DP159" i="33"/>
  <c r="DQ159" i="33"/>
  <c r="DP143" i="33"/>
  <c r="DP15" i="33"/>
  <c r="CX106" i="14"/>
  <c r="CX128" i="14" s="1"/>
  <c r="CX30" i="12"/>
  <c r="CX31" i="12" s="1"/>
  <c r="AJ19" i="77"/>
  <c r="AJ13" i="77"/>
  <c r="AJ21" i="77"/>
  <c r="AJ12" i="77"/>
  <c r="AJ29" i="77"/>
  <c r="AU12" i="77"/>
  <c r="AX13" i="77" s="1"/>
  <c r="AL13" i="77"/>
  <c r="BJ299" i="77"/>
  <c r="BI282" i="77"/>
  <c r="BK282" i="77"/>
  <c r="BM247" i="77"/>
  <c r="BW53" i="77" s="1"/>
  <c r="AN13" i="77"/>
  <c r="CY25" i="12"/>
  <c r="CY41" i="12"/>
  <c r="CY30" i="12"/>
  <c r="CY31" i="12" s="1"/>
  <c r="CY49" i="12"/>
  <c r="CY37" i="12"/>
  <c r="CY39" i="12"/>
  <c r="CY36" i="12"/>
  <c r="CY35" i="12"/>
  <c r="CY34" i="12"/>
  <c r="AO33" i="77"/>
  <c r="DO95" i="33"/>
  <c r="CX85" i="14" s="1"/>
  <c r="CX89" i="14" s="1"/>
  <c r="DB84" i="14"/>
  <c r="AM33" i="77"/>
  <c r="CZ819" i="12"/>
  <c r="CZ820" i="12"/>
  <c r="CZ54" i="12"/>
  <c r="AO16" i="77"/>
  <c r="DO162" i="33"/>
  <c r="CX41" i="12"/>
  <c r="CX49" i="12"/>
  <c r="CX25" i="12"/>
  <c r="CX35" i="12"/>
  <c r="CX39" i="12"/>
  <c r="CX36" i="12"/>
  <c r="CX37" i="12"/>
  <c r="CX34" i="12"/>
  <c r="CX38" i="12"/>
  <c r="DO41" i="33"/>
  <c r="DO114" i="33"/>
  <c r="DO148" i="33"/>
  <c r="CW110" i="14"/>
  <c r="CW94" i="15" s="1"/>
  <c r="DO40" i="33"/>
  <c r="DO47" i="33"/>
  <c r="DO42" i="33"/>
  <c r="DO39" i="33"/>
  <c r="DO44" i="33"/>
  <c r="DO164" i="33"/>
  <c r="BJ73" i="77"/>
  <c r="X289" i="12"/>
  <c r="X8" i="12" s="1"/>
  <c r="X295" i="12"/>
  <c r="V9" i="33"/>
  <c r="V42" i="12"/>
  <c r="V12" i="12"/>
  <c r="CX820" i="12"/>
  <c r="CX818" i="12" s="1"/>
  <c r="BJ66" i="77"/>
  <c r="DR159" i="33"/>
  <c r="Y293" i="12"/>
  <c r="Z281" i="12"/>
  <c r="AR7" i="58"/>
  <c r="AR8" i="58" s="1"/>
  <c r="BJ68" i="77"/>
  <c r="BJ69" i="77" s="1"/>
  <c r="DQ104" i="33" l="1"/>
  <c r="DQ37" i="33"/>
  <c r="DQ36" i="33"/>
  <c r="DQ20" i="33"/>
  <c r="DQ146" i="33"/>
  <c r="DU111" i="33"/>
  <c r="DU113" i="33"/>
  <c r="DU110" i="33"/>
  <c r="Z293" i="12"/>
  <c r="Z289" i="12" s="1"/>
  <c r="Z8" i="12" s="1"/>
  <c r="AA281" i="12"/>
  <c r="DQ93" i="33"/>
  <c r="DQ97" i="33"/>
  <c r="DQ98" i="33" s="1"/>
  <c r="DQ99" i="33" s="1"/>
  <c r="DQ94" i="33"/>
  <c r="DQ95" i="33" s="1"/>
  <c r="CY128" i="14"/>
  <c r="CY134" i="14"/>
  <c r="CY108" i="14"/>
  <c r="CY220" i="14"/>
  <c r="CY125" i="14"/>
  <c r="V31" i="12"/>
  <c r="AC84" i="33"/>
  <c r="AD226" i="33"/>
  <c r="AD85" i="33" s="1"/>
  <c r="AC83" i="33"/>
  <c r="AC106" i="15" s="1"/>
  <c r="AC82" i="33"/>
  <c r="AC234" i="15" s="1"/>
  <c r="AB173" i="33"/>
  <c r="CX125" i="14"/>
  <c r="CX108" i="14"/>
  <c r="CX134" i="14"/>
  <c r="CX220" i="14"/>
  <c r="CX186" i="14"/>
  <c r="DQ161" i="33"/>
  <c r="DQ16" i="33"/>
  <c r="CX238" i="15"/>
  <c r="DP16" i="33"/>
  <c r="CX239" i="15"/>
  <c r="CX240" i="15"/>
  <c r="CX176" i="15"/>
  <c r="DP145" i="33"/>
  <c r="BI30" i="77"/>
  <c r="CX175" i="15"/>
  <c r="CX237" i="15"/>
  <c r="BK30" i="77"/>
  <c r="DP17" i="33"/>
  <c r="DP19" i="33"/>
  <c r="DP104" i="33" s="1"/>
  <c r="DP108" i="33"/>
  <c r="DP115" i="33"/>
  <c r="DP161" i="33"/>
  <c r="DP109" i="33"/>
  <c r="DP88" i="33"/>
  <c r="DP90" i="33" s="1"/>
  <c r="DP91" i="33" s="1"/>
  <c r="DP92" i="33" s="1"/>
  <c r="DP117" i="33"/>
  <c r="AJ27" i="77"/>
  <c r="AJ22" i="77"/>
  <c r="AV138" i="77"/>
  <c r="AV139" i="77" s="1"/>
  <c r="AV93" i="77"/>
  <c r="AV94" i="77" s="1"/>
  <c r="CY27" i="12"/>
  <c r="CY26" i="12"/>
  <c r="AM14" i="77"/>
  <c r="AO15" i="77"/>
  <c r="AO14" i="77"/>
  <c r="V108" i="14"/>
  <c r="CZ108" i="14"/>
  <c r="CZ818" i="12"/>
  <c r="AM57" i="77"/>
  <c r="CZ823" i="12"/>
  <c r="CZ49" i="12"/>
  <c r="DP36" i="33"/>
  <c r="CX27" i="12"/>
  <c r="CX26" i="12"/>
  <c r="AM16" i="77"/>
  <c r="AM11" i="77"/>
  <c r="BL298" i="77"/>
  <c r="BL299" i="77" s="1"/>
  <c r="AO11" i="77"/>
  <c r="CW99" i="15"/>
  <c r="CW101" i="15" s="1"/>
  <c r="CW97" i="15"/>
  <c r="CW173" i="15"/>
  <c r="DO55" i="33"/>
  <c r="DO48" i="33"/>
  <c r="DO116" i="33"/>
  <c r="DO150" i="33"/>
  <c r="DO166" i="33"/>
  <c r="BJ70" i="77"/>
  <c r="BJ71" i="77" s="1"/>
  <c r="AR9" i="58"/>
  <c r="AR10" i="58" s="1"/>
  <c r="AT354" i="58"/>
  <c r="CW14" i="90"/>
  <c r="Y295" i="12"/>
  <c r="Y289" i="12"/>
  <c r="Y8" i="12" s="1"/>
  <c r="V13" i="33"/>
  <c r="V139" i="33"/>
  <c r="AS354" i="58"/>
  <c r="CX823" i="12"/>
  <c r="CX828" i="12"/>
  <c r="V14" i="12"/>
  <c r="V18" i="64"/>
  <c r="X9" i="33"/>
  <c r="X12" i="12"/>
  <c r="Z295" i="12" l="1"/>
  <c r="DQ114" i="33"/>
  <c r="DQ41" i="33"/>
  <c r="DQ148" i="33"/>
  <c r="AB281" i="12"/>
  <c r="AA293" i="12"/>
  <c r="CY110" i="14"/>
  <c r="CY94" i="15" s="1"/>
  <c r="CY99" i="15" s="1"/>
  <c r="CY101" i="15" s="1"/>
  <c r="DQ47" i="33"/>
  <c r="DQ42" i="33"/>
  <c r="DQ40" i="33"/>
  <c r="DQ39" i="33"/>
  <c r="DQ44" i="33"/>
  <c r="AD84" i="33"/>
  <c r="AD83" i="33"/>
  <c r="AD106" i="15" s="1"/>
  <c r="AD82" i="33"/>
  <c r="AC173" i="33"/>
  <c r="DP37" i="33"/>
  <c r="DQ164" i="33" s="1"/>
  <c r="DP146" i="33"/>
  <c r="DP20" i="33"/>
  <c r="DP162" i="33" s="1"/>
  <c r="DP110" i="33"/>
  <c r="DT112" i="33" s="1"/>
  <c r="DP97" i="33"/>
  <c r="DP98" i="33" s="1"/>
  <c r="DP99" i="33" s="1"/>
  <c r="CY86" i="14" s="1"/>
  <c r="CY90" i="14" s="1"/>
  <c r="CY82" i="14"/>
  <c r="DP94" i="33"/>
  <c r="DP95" i="33" s="1"/>
  <c r="CY85" i="14" s="1"/>
  <c r="DP93" i="33"/>
  <c r="DC83" i="14" s="1"/>
  <c r="AM15" i="77"/>
  <c r="DA108" i="14"/>
  <c r="DB108" i="14" s="1"/>
  <c r="DC108" i="14" s="1"/>
  <c r="W108" i="14" s="1"/>
  <c r="X108" i="14" s="1"/>
  <c r="Y108" i="14" s="1"/>
  <c r="Z108" i="14" s="1"/>
  <c r="AA108" i="14" s="1"/>
  <c r="CZ11" i="14"/>
  <c r="BJ29" i="77"/>
  <c r="DR161" i="33"/>
  <c r="DR16" i="33"/>
  <c r="BJ13" i="77" s="1"/>
  <c r="CZ27" i="12"/>
  <c r="DP42" i="33"/>
  <c r="DP40" i="33"/>
  <c r="DP39" i="33"/>
  <c r="DP114" i="33"/>
  <c r="DP41" i="33"/>
  <c r="DP148" i="33"/>
  <c r="AM12" i="77"/>
  <c r="AO12" i="77"/>
  <c r="AO13" i="77"/>
  <c r="AM13" i="77"/>
  <c r="DO58" i="33"/>
  <c r="DO61" i="33"/>
  <c r="X14" i="12"/>
  <c r="X30" i="12" s="1"/>
  <c r="X18" i="64"/>
  <c r="Y819" i="12"/>
  <c r="V19" i="64"/>
  <c r="V21" i="64"/>
  <c r="V22" i="64" s="1"/>
  <c r="AS4" i="58"/>
  <c r="BJ46" i="77"/>
  <c r="X13" i="33"/>
  <c r="V36" i="12"/>
  <c r="V41" i="12"/>
  <c r="V35" i="12"/>
  <c r="V37" i="12"/>
  <c r="V39" i="12"/>
  <c r="V34" i="12"/>
  <c r="AS355" i="58"/>
  <c r="AS366" i="58"/>
  <c r="AS367" i="58" s="1"/>
  <c r="AS365" i="58"/>
  <c r="V25" i="12"/>
  <c r="V26" i="12" s="1"/>
  <c r="N29" i="53" s="1"/>
  <c r="Y9" i="33"/>
  <c r="Y12" i="12"/>
  <c r="Y42" i="12"/>
  <c r="V15" i="33"/>
  <c r="V143" i="33"/>
  <c r="W14" i="48"/>
  <c r="AT4" i="58"/>
  <c r="BJ30" i="77"/>
  <c r="DR163" i="33"/>
  <c r="Z9" i="33"/>
  <c r="Z12" i="12"/>
  <c r="AA819" i="12" s="1"/>
  <c r="Z42" i="12"/>
  <c r="V38" i="12"/>
  <c r="V30" i="12"/>
  <c r="CX104" i="15"/>
  <c r="AT365" i="58"/>
  <c r="AT355" i="58"/>
  <c r="AT366" i="58"/>
  <c r="AC281" i="12" l="1"/>
  <c r="AB293" i="12"/>
  <c r="CY173" i="15"/>
  <c r="DQ116" i="33"/>
  <c r="DQ55" i="33"/>
  <c r="DQ48" i="33"/>
  <c r="DQ150" i="33"/>
  <c r="AA295" i="12"/>
  <c r="AA289" i="12"/>
  <c r="AA8" i="12" s="1"/>
  <c r="DP164" i="33"/>
  <c r="DP47" i="33"/>
  <c r="DQ166" i="33" s="1"/>
  <c r="AB108" i="14"/>
  <c r="DT113" i="33"/>
  <c r="DT110" i="33"/>
  <c r="DT111" i="33"/>
  <c r="DP44" i="33"/>
  <c r="CX110" i="14"/>
  <c r="CX94" i="15" s="1"/>
  <c r="CX99" i="15" s="1"/>
  <c r="CX101" i="15" s="1"/>
  <c r="AD173" i="33"/>
  <c r="AD234" i="15"/>
  <c r="DQ162" i="33"/>
  <c r="DC84" i="14"/>
  <c r="CZ23" i="15"/>
  <c r="BJ38" i="77"/>
  <c r="BJ32" i="77"/>
  <c r="CX173" i="15"/>
  <c r="DP48" i="33"/>
  <c r="DP116" i="33"/>
  <c r="DP150" i="33"/>
  <c r="DP166" i="33"/>
  <c r="BJ49" i="77"/>
  <c r="DO118" i="33"/>
  <c r="DO63" i="33"/>
  <c r="DO100" i="33"/>
  <c r="AI23" i="77" s="1"/>
  <c r="DO151" i="33"/>
  <c r="DO167" i="33"/>
  <c r="DO72" i="33"/>
  <c r="DO71" i="33"/>
  <c r="DO70" i="33"/>
  <c r="DO69" i="33"/>
  <c r="AT367" i="58"/>
  <c r="V202" i="15"/>
  <c r="V237" i="15" s="1"/>
  <c r="V822" i="12"/>
  <c r="Z14" i="12"/>
  <c r="Z30" i="12" s="1"/>
  <c r="Z18" i="64"/>
  <c r="V106" i="14"/>
  <c r="U4" i="71"/>
  <c r="U5" i="71" s="1"/>
  <c r="V88" i="33"/>
  <c r="V145" i="33"/>
  <c r="V13" i="48"/>
  <c r="V17" i="33"/>
  <c r="BB36" i="77" s="1"/>
  <c r="V161" i="33"/>
  <c r="BB35" i="77"/>
  <c r="CB61" i="48"/>
  <c r="N28" i="53"/>
  <c r="V5" i="64"/>
  <c r="Z13" i="33"/>
  <c r="Z139" i="33"/>
  <c r="BJ55" i="77"/>
  <c r="V127" i="14"/>
  <c r="V11" i="14"/>
  <c r="AT5" i="58"/>
  <c r="AT6" i="58"/>
  <c r="V203" i="15"/>
  <c r="V238" i="15" s="1"/>
  <c r="Y139" i="33"/>
  <c r="Y13" i="33"/>
  <c r="V18" i="33"/>
  <c r="V208" i="15"/>
  <c r="V240" i="15" s="1"/>
  <c r="X35" i="12"/>
  <c r="X36" i="12"/>
  <c r="X37" i="12"/>
  <c r="X39" i="12"/>
  <c r="X25" i="12"/>
  <c r="X34" i="12"/>
  <c r="CZ27" i="14"/>
  <c r="Z819" i="12"/>
  <c r="Y18" i="64"/>
  <c r="Y14" i="12"/>
  <c r="X15" i="33"/>
  <c r="Y14" i="48"/>
  <c r="AS6" i="58"/>
  <c r="AS5" i="58"/>
  <c r="X21" i="64"/>
  <c r="V204" i="15"/>
  <c r="V239" i="15" s="1"/>
  <c r="X38" i="12"/>
  <c r="AA9" i="33" l="1"/>
  <c r="AA12" i="12"/>
  <c r="AA42" i="12"/>
  <c r="AB295" i="12"/>
  <c r="AB289" i="12"/>
  <c r="AB8" i="12" s="1"/>
  <c r="DQ58" i="33"/>
  <c r="DQ61" i="33"/>
  <c r="AD281" i="12"/>
  <c r="AD293" i="12" s="1"/>
  <c r="AC293" i="12"/>
  <c r="DP55" i="33"/>
  <c r="Y38" i="12"/>
  <c r="Y30" i="12"/>
  <c r="AC108" i="14"/>
  <c r="Z38" i="12"/>
  <c r="CZ26" i="15"/>
  <c r="V27" i="14"/>
  <c r="CZ25" i="15"/>
  <c r="V26" i="33"/>
  <c r="V117" i="33" s="1"/>
  <c r="DR26" i="33"/>
  <c r="W26" i="33" s="1"/>
  <c r="BJ35" i="77"/>
  <c r="BL304" i="77"/>
  <c r="DP61" i="33"/>
  <c r="DQ167" i="33" s="1"/>
  <c r="DP58" i="33"/>
  <c r="AM18" i="77"/>
  <c r="BL301" i="77"/>
  <c r="AM20" i="77"/>
  <c r="DO73" i="33"/>
  <c r="DO67" i="33"/>
  <c r="CW179" i="15" s="1"/>
  <c r="CW184" i="15" s="1"/>
  <c r="CW111" i="14"/>
  <c r="CW96" i="14" s="1"/>
  <c r="CW102" i="14" s="1"/>
  <c r="CX95" i="14" s="1"/>
  <c r="DO78" i="33"/>
  <c r="CW8" i="15"/>
  <c r="CW32" i="15" s="1"/>
  <c r="DO119" i="33"/>
  <c r="DO79" i="33"/>
  <c r="DO152" i="33"/>
  <c r="DO168" i="33"/>
  <c r="DO234" i="33"/>
  <c r="DO235" i="33" s="1"/>
  <c r="DP233" i="33" s="1"/>
  <c r="V18" i="48"/>
  <c r="V23" i="15"/>
  <c r="Y143" i="33"/>
  <c r="Y15" i="33"/>
  <c r="V22" i="33"/>
  <c r="AS9" i="58"/>
  <c r="AS10" i="58" s="1"/>
  <c r="BJ52" i="77"/>
  <c r="BJ53" i="77" s="1"/>
  <c r="X106" i="14"/>
  <c r="X127" i="14"/>
  <c r="X202" i="15"/>
  <c r="X203" i="15"/>
  <c r="X204" i="15"/>
  <c r="X208" i="15"/>
  <c r="W4" i="71"/>
  <c r="CD61" i="48"/>
  <c r="X13" i="48"/>
  <c r="X18" i="48" s="1"/>
  <c r="X88" i="33"/>
  <c r="X5" i="64"/>
  <c r="P28" i="53"/>
  <c r="V107" i="14"/>
  <c r="CB64" i="48"/>
  <c r="CB65" i="48" s="1"/>
  <c r="BJ48" i="77"/>
  <c r="Y35" i="12"/>
  <c r="Y36" i="12"/>
  <c r="Y37" i="12"/>
  <c r="Y39" i="12"/>
  <c r="Y41" i="12"/>
  <c r="Y25" i="12"/>
  <c r="Y26" i="12" s="1"/>
  <c r="Q29" i="53" s="1"/>
  <c r="Y34" i="12"/>
  <c r="Y21" i="64"/>
  <c r="Y22" i="64" s="1"/>
  <c r="Y19" i="64"/>
  <c r="V23" i="33"/>
  <c r="Z25" i="12"/>
  <c r="Z36" i="12"/>
  <c r="Z41" i="12"/>
  <c r="Z35" i="12"/>
  <c r="Z37" i="12"/>
  <c r="Z39" i="12"/>
  <c r="Z34" i="12"/>
  <c r="V128" i="14"/>
  <c r="V133" i="14"/>
  <c r="V104" i="15"/>
  <c r="BB45" i="77"/>
  <c r="V19" i="33"/>
  <c r="U301" i="71"/>
  <c r="V12" i="80"/>
  <c r="V13" i="80" s="1"/>
  <c r="V823" i="12"/>
  <c r="V828" i="12"/>
  <c r="AT9" i="58"/>
  <c r="AT10" i="58" s="1"/>
  <c r="V209" i="15"/>
  <c r="Z15" i="33"/>
  <c r="Z143" i="33"/>
  <c r="V79" i="14"/>
  <c r="V81" i="14"/>
  <c r="V125" i="14"/>
  <c r="V220" i="14"/>
  <c r="Z19" i="64"/>
  <c r="Z21" i="64"/>
  <c r="DQ69" i="33" l="1"/>
  <c r="DQ70" i="33"/>
  <c r="DQ72" i="33"/>
  <c r="DQ71" i="33"/>
  <c r="AC295" i="12"/>
  <c r="AC289" i="12"/>
  <c r="AC8" i="12" s="1"/>
  <c r="AB42" i="12"/>
  <c r="AB9" i="33"/>
  <c r="AB12" i="12"/>
  <c r="AA14" i="12"/>
  <c r="AB819" i="12"/>
  <c r="AD295" i="12"/>
  <c r="AD289" i="12"/>
  <c r="AD8" i="12" s="1"/>
  <c r="AA13" i="33"/>
  <c r="AA139" i="33"/>
  <c r="DQ63" i="33"/>
  <c r="DQ118" i="33"/>
  <c r="DQ100" i="33"/>
  <c r="DQ151" i="33"/>
  <c r="AD108" i="14"/>
  <c r="V174" i="14"/>
  <c r="V33" i="14"/>
  <c r="V26" i="15"/>
  <c r="DR162" i="33"/>
  <c r="BJ17" i="77"/>
  <c r="V205" i="15"/>
  <c r="V10" i="15"/>
  <c r="V25" i="15"/>
  <c r="W31" i="33"/>
  <c r="CZ66" i="14"/>
  <c r="CZ10" i="15"/>
  <c r="CZ205" i="15"/>
  <c r="V31" i="33"/>
  <c r="N33" i="53" s="1"/>
  <c r="N31" i="53"/>
  <c r="BJ33" i="77"/>
  <c r="BJ34" i="77" s="1"/>
  <c r="DR164" i="33"/>
  <c r="DR39" i="33"/>
  <c r="DR44" i="33"/>
  <c r="DR31" i="33"/>
  <c r="DR36" i="33" s="1"/>
  <c r="DR117" i="33"/>
  <c r="AM28" i="77"/>
  <c r="AO29" i="77"/>
  <c r="AO28" i="77"/>
  <c r="DP71" i="33"/>
  <c r="DP69" i="33"/>
  <c r="DP72" i="33"/>
  <c r="DP70" i="33"/>
  <c r="DP100" i="33"/>
  <c r="AJ23" i="77" s="1"/>
  <c r="DP63" i="33"/>
  <c r="DQ168" i="33" s="1"/>
  <c r="DP118" i="33"/>
  <c r="DP151" i="33"/>
  <c r="DP167" i="33"/>
  <c r="CW103" i="14"/>
  <c r="BJ31" i="77"/>
  <c r="V36" i="33"/>
  <c r="V148" i="33" s="1"/>
  <c r="AS7" i="58"/>
  <c r="AS8" i="58" s="1"/>
  <c r="BJ50" i="77"/>
  <c r="BJ51" i="77" s="1"/>
  <c r="BL300" i="77"/>
  <c r="AM19" i="77"/>
  <c r="BL302" i="77"/>
  <c r="BL303" i="77" s="1"/>
  <c r="AM21" i="77"/>
  <c r="AO21" i="77"/>
  <c r="BL311" i="77"/>
  <c r="BL305" i="77"/>
  <c r="CW190" i="15"/>
  <c r="CW195" i="15"/>
  <c r="CW216" i="15"/>
  <c r="CW185" i="15"/>
  <c r="CW186" i="15"/>
  <c r="CW74" i="15"/>
  <c r="CW68" i="15"/>
  <c r="CW70" i="15" s="1"/>
  <c r="CW83" i="15"/>
  <c r="CW88" i="15" s="1"/>
  <c r="CW90" i="15" s="1"/>
  <c r="CW92" i="15" s="1"/>
  <c r="CW103" i="15"/>
  <c r="CW105" i="15" s="1"/>
  <c r="CW107" i="15" s="1"/>
  <c r="DO75" i="33"/>
  <c r="DO80" i="33" s="1"/>
  <c r="CV165" i="14"/>
  <c r="CV164" i="14" s="1"/>
  <c r="Z22" i="64"/>
  <c r="Z26" i="12"/>
  <c r="R29" i="53" s="1"/>
  <c r="V20" i="33"/>
  <c r="BB37" i="77" s="1"/>
  <c r="V20" i="48"/>
  <c r="V146" i="33"/>
  <c r="V104" i="33"/>
  <c r="V162" i="33"/>
  <c r="V66" i="14"/>
  <c r="X133" i="14"/>
  <c r="X104" i="15"/>
  <c r="X209" i="15"/>
  <c r="V38" i="15"/>
  <c r="V24" i="33"/>
  <c r="V108" i="33"/>
  <c r="V135" i="14"/>
  <c r="N39" i="53" s="1"/>
  <c r="V134" i="14"/>
  <c r="V24" i="48"/>
  <c r="BB42" i="77"/>
  <c r="BB43" i="77" s="1"/>
  <c r="V7" i="64"/>
  <c r="V32" i="64" s="1"/>
  <c r="N38" i="53"/>
  <c r="N40" i="53" s="1"/>
  <c r="AT7" i="58"/>
  <c r="AT8" i="58" s="1"/>
  <c r="X11" i="14"/>
  <c r="X125" i="14"/>
  <c r="X220" i="14"/>
  <c r="Z106" i="14"/>
  <c r="Z127" i="14"/>
  <c r="Z202" i="15"/>
  <c r="Z203" i="15"/>
  <c r="Z204" i="15"/>
  <c r="Z208" i="15"/>
  <c r="Y4" i="71"/>
  <c r="Z17" i="33"/>
  <c r="Z88" i="33"/>
  <c r="Z145" i="33"/>
  <c r="Z161" i="33"/>
  <c r="R28" i="53"/>
  <c r="Z5" i="64"/>
  <c r="V37" i="33"/>
  <c r="V109" i="33"/>
  <c r="V165" i="33"/>
  <c r="V238" i="33"/>
  <c r="V239" i="33" s="1"/>
  <c r="Y127" i="14"/>
  <c r="Y106" i="14"/>
  <c r="Y202" i="15"/>
  <c r="Y204" i="15"/>
  <c r="Y208" i="15"/>
  <c r="X4" i="71"/>
  <c r="X5" i="71" s="1"/>
  <c r="Y203" i="15"/>
  <c r="Y17" i="33"/>
  <c r="Y145" i="33"/>
  <c r="Y13" i="48"/>
  <c r="Y18" i="48" s="1"/>
  <c r="Y88" i="33"/>
  <c r="Y161" i="33"/>
  <c r="Y5" i="64"/>
  <c r="Q28" i="53"/>
  <c r="S28" i="53" s="1"/>
  <c r="A84" i="53" s="1"/>
  <c r="U312" i="71"/>
  <c r="U313" i="71"/>
  <c r="U314" i="71" s="1"/>
  <c r="U302" i="71"/>
  <c r="AD9" i="33" l="1"/>
  <c r="AD12" i="12"/>
  <c r="AD42" i="12"/>
  <c r="AA30" i="12"/>
  <c r="AA822" i="12" s="1"/>
  <c r="AA828" i="12" s="1"/>
  <c r="AA37" i="12"/>
  <c r="AA36" i="12"/>
  <c r="AA39" i="12"/>
  <c r="AA35" i="12"/>
  <c r="AA25" i="12"/>
  <c r="AA26" i="12" s="1"/>
  <c r="AA41" i="12"/>
  <c r="AA34" i="12"/>
  <c r="CY111" i="14"/>
  <c r="CY96" i="14" s="1"/>
  <c r="DQ67" i="33"/>
  <c r="CY179" i="15" s="1"/>
  <c r="CY184" i="15" s="1"/>
  <c r="CY8" i="15"/>
  <c r="CY32" i="15" s="1"/>
  <c r="DQ78" i="33"/>
  <c r="DQ119" i="33"/>
  <c r="DQ79" i="33"/>
  <c r="DQ152" i="33"/>
  <c r="AC9" i="33"/>
  <c r="AC12" i="12"/>
  <c r="AC42" i="12"/>
  <c r="AA38" i="12"/>
  <c r="AB14" i="12"/>
  <c r="AB38" i="12" s="1"/>
  <c r="AC819" i="12"/>
  <c r="AA15" i="33"/>
  <c r="AA143" i="33"/>
  <c r="AB13" i="33"/>
  <c r="AB139" i="33"/>
  <c r="DQ73" i="33"/>
  <c r="DQ75" i="33" s="1"/>
  <c r="DQ80" i="33" s="1"/>
  <c r="CV19" i="14"/>
  <c r="AM29" i="77"/>
  <c r="W174" i="14"/>
  <c r="CZ99" i="14"/>
  <c r="CZ45" i="14"/>
  <c r="BL308" i="77"/>
  <c r="BL309" i="77" s="1"/>
  <c r="DP73" i="33"/>
  <c r="DP79" i="33"/>
  <c r="CX111" i="14"/>
  <c r="CX96" i="14" s="1"/>
  <c r="CX102" i="14" s="1"/>
  <c r="DP67" i="33"/>
  <c r="CX179" i="15" s="1"/>
  <c r="CX184" i="15" s="1"/>
  <c r="CY186" i="15" s="1"/>
  <c r="CX8" i="15"/>
  <c r="CX32" i="15" s="1"/>
  <c r="DP78" i="33"/>
  <c r="DP119" i="33"/>
  <c r="DP152" i="33"/>
  <c r="DP168" i="33"/>
  <c r="DP234" i="33"/>
  <c r="DP235" i="33" s="1"/>
  <c r="DQ233" i="33" s="1"/>
  <c r="DQ234" i="33" s="1"/>
  <c r="DQ235" i="33" s="1"/>
  <c r="CW9" i="14"/>
  <c r="CW14" i="14" s="1"/>
  <c r="CW15" i="14" s="1"/>
  <c r="CW28" i="14" s="1"/>
  <c r="CW75" i="14" s="1"/>
  <c r="CX69" i="15"/>
  <c r="V40" i="33"/>
  <c r="V114" i="33"/>
  <c r="V164" i="33"/>
  <c r="V41" i="33"/>
  <c r="CX14" i="90"/>
  <c r="AO22" i="77"/>
  <c r="AM22" i="77"/>
  <c r="CW222" i="15"/>
  <c r="AI24" i="77" s="1"/>
  <c r="CW227" i="15"/>
  <c r="CW217" i="15"/>
  <c r="CW218" i="15"/>
  <c r="CW76" i="15"/>
  <c r="CW78" i="15"/>
  <c r="CW81" i="15" s="1"/>
  <c r="CW196" i="15"/>
  <c r="CW197" i="15"/>
  <c r="CW198" i="15"/>
  <c r="CW191" i="15"/>
  <c r="CW192" i="15"/>
  <c r="U9" i="71"/>
  <c r="U10" i="71" s="1"/>
  <c r="X134" i="14"/>
  <c r="B178" i="14"/>
  <c r="X38" i="15"/>
  <c r="P38" i="53"/>
  <c r="P40" i="53" s="1"/>
  <c r="X24" i="48"/>
  <c r="W9" i="71" s="1"/>
  <c r="W10" i="71" s="1"/>
  <c r="X7" i="64"/>
  <c r="X32" i="64" s="1"/>
  <c r="V110" i="33"/>
  <c r="CY14" i="90"/>
  <c r="V99" i="14"/>
  <c r="Y11" i="14"/>
  <c r="Y125" i="14"/>
  <c r="Y220" i="14"/>
  <c r="V45" i="14"/>
  <c r="CV18" i="14"/>
  <c r="Y133" i="14"/>
  <c r="Y209" i="15"/>
  <c r="Y104" i="15"/>
  <c r="V110" i="14"/>
  <c r="U7" i="71"/>
  <c r="U8" i="71" s="1"/>
  <c r="V22" i="48"/>
  <c r="V44" i="33"/>
  <c r="V42" i="33"/>
  <c r="V166" i="33" s="1"/>
  <c r="V6" i="64"/>
  <c r="BB39" i="77"/>
  <c r="BB40" i="77" s="1"/>
  <c r="Y5" i="71"/>
  <c r="Z133" i="14"/>
  <c r="Z104" i="15"/>
  <c r="Z209" i="15"/>
  <c r="BB38" i="77"/>
  <c r="V147" i="33"/>
  <c r="V163" i="33"/>
  <c r="CB66" i="48"/>
  <c r="Z11" i="14"/>
  <c r="Z125" i="14"/>
  <c r="Z220" i="14"/>
  <c r="V75" i="15"/>
  <c r="V84" i="15"/>
  <c r="V43" i="15"/>
  <c r="CY68" i="15" l="1"/>
  <c r="CY103" i="15"/>
  <c r="CY105" i="15" s="1"/>
  <c r="CY107" i="15" s="1"/>
  <c r="CY83" i="15"/>
  <c r="CY88" i="15" s="1"/>
  <c r="CY90" i="15" s="1"/>
  <c r="CY92" i="15" s="1"/>
  <c r="CY74" i="15"/>
  <c r="AB15" i="33"/>
  <c r="AB143" i="33"/>
  <c r="CY195" i="15"/>
  <c r="CY196" i="15" s="1"/>
  <c r="CY190" i="15"/>
  <c r="CY216" i="15"/>
  <c r="CY185" i="15"/>
  <c r="AB30" i="12"/>
  <c r="AB35" i="12"/>
  <c r="AB37" i="12"/>
  <c r="AB25" i="12"/>
  <c r="AB26" i="12" s="1"/>
  <c r="AB41" i="12"/>
  <c r="AB39" i="12"/>
  <c r="AB36" i="12"/>
  <c r="AB34" i="12"/>
  <c r="AC14" i="12"/>
  <c r="AC38" i="12" s="1"/>
  <c r="AD819" i="12"/>
  <c r="AD14" i="12"/>
  <c r="AA88" i="33"/>
  <c r="AA127" i="14"/>
  <c r="AA203" i="15"/>
  <c r="AA208" i="15"/>
  <c r="AA106" i="14"/>
  <c r="AA202" i="15"/>
  <c r="AA204" i="15"/>
  <c r="AA17" i="33"/>
  <c r="AA145" i="33"/>
  <c r="AA161" i="33"/>
  <c r="AC139" i="33"/>
  <c r="AC13" i="33"/>
  <c r="AD13" i="33"/>
  <c r="AD139" i="33"/>
  <c r="CX103" i="14"/>
  <c r="CY95" i="14"/>
  <c r="CY102" i="14" s="1"/>
  <c r="CY103" i="14" s="1"/>
  <c r="V31" i="15"/>
  <c r="CZ46" i="14"/>
  <c r="CZ59" i="14" s="1"/>
  <c r="CZ31" i="15"/>
  <c r="DR41" i="33"/>
  <c r="DR114" i="33"/>
  <c r="DR148" i="33"/>
  <c r="DP75" i="33"/>
  <c r="DP80" i="33" s="1"/>
  <c r="CX83" i="15"/>
  <c r="CX88" i="15" s="1"/>
  <c r="CX90" i="15" s="1"/>
  <c r="CX92" i="15" s="1"/>
  <c r="CX103" i="15"/>
  <c r="CX105" i="15" s="1"/>
  <c r="CX107" i="15" s="1"/>
  <c r="CX74" i="15"/>
  <c r="CX68" i="15"/>
  <c r="CX70" i="15" s="1"/>
  <c r="CX216" i="15"/>
  <c r="CY218" i="15" s="1"/>
  <c r="CX195" i="15"/>
  <c r="CY197" i="15" s="1"/>
  <c r="CX190" i="15"/>
  <c r="CY192" i="15" s="1"/>
  <c r="CX185" i="15"/>
  <c r="CX186" i="15"/>
  <c r="CW230" i="15"/>
  <c r="AI25" i="77" s="1"/>
  <c r="CW223" i="15"/>
  <c r="CW224" i="15"/>
  <c r="CW199" i="15"/>
  <c r="CW200" i="15"/>
  <c r="CW228" i="15"/>
  <c r="CW229" i="15"/>
  <c r="CW78" i="14"/>
  <c r="V46" i="14"/>
  <c r="V59" i="14" s="1"/>
  <c r="Z23" i="15"/>
  <c r="B179" i="14"/>
  <c r="Y134" i="14"/>
  <c r="Y135" i="14"/>
  <c r="Q39" i="53" s="1"/>
  <c r="Y38" i="15"/>
  <c r="Y24" i="48"/>
  <c r="X9" i="71" s="1"/>
  <c r="X10" i="71" s="1"/>
  <c r="Q38" i="53"/>
  <c r="Q40" i="53" s="1"/>
  <c r="Y7" i="64"/>
  <c r="Y32" i="64" s="1"/>
  <c r="Y23" i="15"/>
  <c r="V14" i="90"/>
  <c r="V94" i="15"/>
  <c r="X178" i="14"/>
  <c r="B180" i="14"/>
  <c r="Z134" i="14"/>
  <c r="Z135" i="14"/>
  <c r="R39" i="53" s="1"/>
  <c r="Z38" i="15"/>
  <c r="Z7" i="64"/>
  <c r="Z32" i="64" s="1"/>
  <c r="R38" i="53"/>
  <c r="R40" i="53" s="1"/>
  <c r="V79" i="15"/>
  <c r="V95" i="15"/>
  <c r="V100" i="15" s="1"/>
  <c r="CB67" i="48"/>
  <c r="CB69" i="48"/>
  <c r="V33" i="64"/>
  <c r="X43" i="15"/>
  <c r="X84" i="15"/>
  <c r="X75" i="15"/>
  <c r="AD36" i="12" l="1"/>
  <c r="AD41" i="12"/>
  <c r="AD25" i="12"/>
  <c r="AD30" i="12"/>
  <c r="AD37" i="12"/>
  <c r="AD39" i="12"/>
  <c r="AD35" i="12"/>
  <c r="AD34" i="12"/>
  <c r="CY76" i="15"/>
  <c r="CY78" i="15"/>
  <c r="AA133" i="14"/>
  <c r="AA209" i="15"/>
  <c r="AA104" i="15"/>
  <c r="AD143" i="33"/>
  <c r="AD15" i="33"/>
  <c r="AA220" i="14"/>
  <c r="AA125" i="14"/>
  <c r="AA11" i="14"/>
  <c r="AA23" i="15" s="1"/>
  <c r="CY222" i="15"/>
  <c r="CY227" i="15"/>
  <c r="CY228" i="15" s="1"/>
  <c r="CY217" i="15"/>
  <c r="AB203" i="15"/>
  <c r="AB127" i="14"/>
  <c r="AB145" i="33"/>
  <c r="AB88" i="33"/>
  <c r="AB17" i="33"/>
  <c r="AB161" i="33"/>
  <c r="AB202" i="15"/>
  <c r="AB204" i="15"/>
  <c r="AB106" i="14"/>
  <c r="AB208" i="15"/>
  <c r="AC15" i="33"/>
  <c r="AC143" i="33"/>
  <c r="AD38" i="12"/>
  <c r="AC30" i="12"/>
  <c r="AC25" i="12"/>
  <c r="AC26" i="12" s="1"/>
  <c r="AC39" i="12"/>
  <c r="AC37" i="12"/>
  <c r="AC35" i="12"/>
  <c r="AC41" i="12"/>
  <c r="AC36" i="12"/>
  <c r="AC34" i="12"/>
  <c r="AB31" i="12"/>
  <c r="AB822" i="12"/>
  <c r="CY198" i="15"/>
  <c r="CY199" i="15" s="1"/>
  <c r="CY191" i="15"/>
  <c r="Z180" i="14"/>
  <c r="AA180" i="14"/>
  <c r="AB180" i="14"/>
  <c r="AC180" i="14"/>
  <c r="AD180" i="14"/>
  <c r="CX9" i="14"/>
  <c r="CX14" i="14" s="1"/>
  <c r="CX78" i="14" s="1"/>
  <c r="CY69" i="15"/>
  <c r="CY70" i="15" s="1"/>
  <c r="CY9" i="14" s="1"/>
  <c r="CZ9" i="14" s="1"/>
  <c r="DA9" i="14" s="1"/>
  <c r="DB9" i="14" s="1"/>
  <c r="DC9" i="14" s="1"/>
  <c r="W9" i="14" s="1"/>
  <c r="CX76" i="15"/>
  <c r="CX78" i="15"/>
  <c r="CX196" i="15"/>
  <c r="CX197" i="15"/>
  <c r="CX198" i="15"/>
  <c r="CY200" i="15" s="1"/>
  <c r="CX191" i="15"/>
  <c r="CX192" i="15"/>
  <c r="CX222" i="15"/>
  <c r="CX227" i="15"/>
  <c r="CY229" i="15" s="1"/>
  <c r="CX217" i="15"/>
  <c r="CX218" i="15"/>
  <c r="CX79" i="14"/>
  <c r="CX87" i="14" s="1"/>
  <c r="CW80" i="14"/>
  <c r="CX81" i="14" s="1"/>
  <c r="CY89" i="14" s="1"/>
  <c r="CW88" i="14"/>
  <c r="CW231" i="15"/>
  <c r="CW232" i="15"/>
  <c r="Y178" i="14"/>
  <c r="Z178" i="14" s="1"/>
  <c r="CB70" i="48"/>
  <c r="CB73" i="48"/>
  <c r="Y43" i="15"/>
  <c r="Y84" i="15"/>
  <c r="Y75" i="15"/>
  <c r="Y179" i="14"/>
  <c r="Z179" i="14" s="1"/>
  <c r="AA179" i="14" s="1"/>
  <c r="X79" i="15"/>
  <c r="X95" i="15"/>
  <c r="X100" i="15" s="1"/>
  <c r="V99" i="15"/>
  <c r="V101" i="15" s="1"/>
  <c r="Z75" i="15"/>
  <c r="Z43" i="15"/>
  <c r="Z84" i="15"/>
  <c r="AB823" i="12" l="1"/>
  <c r="AB828" i="12"/>
  <c r="AC145" i="33"/>
  <c r="AC202" i="15"/>
  <c r="AC17" i="33"/>
  <c r="AC106" i="14"/>
  <c r="AC88" i="33"/>
  <c r="AC204" i="15"/>
  <c r="AC203" i="15"/>
  <c r="AC161" i="33"/>
  <c r="AC127" i="14"/>
  <c r="AC208" i="15"/>
  <c r="AD822" i="12"/>
  <c r="AD828" i="12" s="1"/>
  <c r="AD31" i="12"/>
  <c r="AC31" i="12"/>
  <c r="AC822" i="12"/>
  <c r="AB209" i="15"/>
  <c r="AB104" i="15"/>
  <c r="AB133" i="14"/>
  <c r="CY230" i="15"/>
  <c r="CY231" i="15" s="1"/>
  <c r="CY223" i="15"/>
  <c r="AD17" i="33"/>
  <c r="AD204" i="15"/>
  <c r="AD161" i="33"/>
  <c r="AD203" i="15"/>
  <c r="AD145" i="33"/>
  <c r="AD88" i="33"/>
  <c r="AD127" i="14"/>
  <c r="AD202" i="15"/>
  <c r="AD106" i="14"/>
  <c r="AD208" i="15"/>
  <c r="AA38" i="15"/>
  <c r="AA134" i="14"/>
  <c r="AA135" i="14"/>
  <c r="AD26" i="12"/>
  <c r="AB220" i="14"/>
  <c r="AB125" i="14"/>
  <c r="AB11" i="14"/>
  <c r="AB23" i="15" s="1"/>
  <c r="AA178" i="14"/>
  <c r="AB179" i="14"/>
  <c r="AJ24" i="77"/>
  <c r="CY224" i="15"/>
  <c r="CY14" i="14"/>
  <c r="CY78" i="14" s="1"/>
  <c r="CX80" i="14"/>
  <c r="CY81" i="14" s="1"/>
  <c r="CY79" i="14"/>
  <c r="CY87" i="14" s="1"/>
  <c r="V9" i="14"/>
  <c r="X9" i="14"/>
  <c r="Y9" i="14" s="1"/>
  <c r="Z9" i="14" s="1"/>
  <c r="AA9" i="14" s="1"/>
  <c r="AB9" i="14" s="1"/>
  <c r="AC9" i="14" s="1"/>
  <c r="AD9" i="14" s="1"/>
  <c r="CX15" i="14"/>
  <c r="CX28" i="14" s="1"/>
  <c r="CX75" i="14" s="1"/>
  <c r="CX88" i="14"/>
  <c r="CX230" i="15"/>
  <c r="CX223" i="15"/>
  <c r="CX224" i="15"/>
  <c r="CX228" i="15"/>
  <c r="CX229" i="15"/>
  <c r="CX199" i="15"/>
  <c r="CX200" i="15"/>
  <c r="Y95" i="15"/>
  <c r="Y100" i="15" s="1"/>
  <c r="Y79" i="15"/>
  <c r="Z79" i="15"/>
  <c r="Z95" i="15"/>
  <c r="Z100" i="15" s="1"/>
  <c r="AA75" i="15" l="1"/>
  <c r="AA84" i="15"/>
  <c r="AA43" i="15"/>
  <c r="AD133" i="14"/>
  <c r="AD209" i="15"/>
  <c r="AD104" i="15"/>
  <c r="AD823" i="12"/>
  <c r="AC823" i="12"/>
  <c r="AC828" i="12"/>
  <c r="AB134" i="14"/>
  <c r="AB38" i="15"/>
  <c r="AB135" i="14"/>
  <c r="AC133" i="14"/>
  <c r="AC209" i="15"/>
  <c r="AC104" i="15"/>
  <c r="AD220" i="14"/>
  <c r="AD125" i="14"/>
  <c r="AD11" i="14"/>
  <c r="AC125" i="14"/>
  <c r="AC220" i="14"/>
  <c r="AC11" i="14"/>
  <c r="AC23" i="15" s="1"/>
  <c r="AC179" i="14"/>
  <c r="AD179" i="14" s="1"/>
  <c r="AB178" i="14"/>
  <c r="AJ25" i="77"/>
  <c r="CY232" i="15"/>
  <c r="CZ14" i="14"/>
  <c r="CZ24" i="15" s="1"/>
  <c r="CY15" i="14"/>
  <c r="CY28" i="14" s="1"/>
  <c r="CY75" i="14" s="1"/>
  <c r="CY80" i="14"/>
  <c r="CY88" i="14"/>
  <c r="V14" i="14"/>
  <c r="CX231" i="15"/>
  <c r="CX232" i="15"/>
  <c r="AD38" i="15" l="1"/>
  <c r="AD134" i="14"/>
  <c r="AD135" i="14"/>
  <c r="AB84" i="15"/>
  <c r="AB43" i="15"/>
  <c r="AB75" i="15"/>
  <c r="AD23" i="15"/>
  <c r="AC38" i="15"/>
  <c r="AC134" i="14"/>
  <c r="AC135" i="14"/>
  <c r="AA95" i="15"/>
  <c r="AA100" i="15" s="1"/>
  <c r="AA79" i="15"/>
  <c r="AC178" i="14"/>
  <c r="AD178" i="14" s="1"/>
  <c r="V24" i="15"/>
  <c r="N41" i="53" s="1"/>
  <c r="N42" i="53" s="1"/>
  <c r="AC75" i="15" l="1"/>
  <c r="AC84" i="15"/>
  <c r="AC43" i="15"/>
  <c r="AB95" i="15"/>
  <c r="AB100" i="15" s="1"/>
  <c r="AB79" i="15"/>
  <c r="AD75" i="15"/>
  <c r="AD84" i="15"/>
  <c r="AD43" i="15"/>
  <c r="DO175" i="33"/>
  <c r="AD95" i="15" l="1"/>
  <c r="AD100" i="15" s="1"/>
  <c r="AD79" i="15"/>
  <c r="AC95" i="15"/>
  <c r="AC100" i="15" s="1"/>
  <c r="AC79" i="15"/>
  <c r="CW15" i="90"/>
  <c r="CX368" i="90"/>
  <c r="CX372" i="90" l="1"/>
  <c r="CX96" i="15" l="1"/>
  <c r="CX80" i="15"/>
  <c r="CX81" i="15" s="1"/>
  <c r="CX97" i="15" l="1"/>
  <c r="AJ30" i="77"/>
  <c r="AJ31" i="77" s="1"/>
  <c r="BJ36" i="77"/>
  <c r="CW165" i="14" l="1"/>
  <c r="CW19" i="14" s="1"/>
  <c r="CW164" i="14" l="1"/>
  <c r="CW18" i="14" l="1"/>
  <c r="CZ172" i="14" l="1"/>
  <c r="V172" i="14"/>
  <c r="DA172" i="14" l="1"/>
  <c r="DP175" i="33"/>
  <c r="DB172" i="14" l="1"/>
  <c r="DC172" i="14" l="1"/>
  <c r="W172" i="14" l="1"/>
  <c r="X172" i="14" s="1"/>
  <c r="Y172" i="14" s="1"/>
  <c r="Z172" i="14" s="1"/>
  <c r="AA172" i="14" s="1"/>
  <c r="AB172" i="14" l="1"/>
  <c r="AA184" i="14"/>
  <c r="CY368" i="90"/>
  <c r="CX15" i="90"/>
  <c r="AC172" i="14" l="1"/>
  <c r="AB184" i="14"/>
  <c r="AA9" i="15"/>
  <c r="AA185" i="14"/>
  <c r="AA186" i="14"/>
  <c r="AA226" i="14"/>
  <c r="CY372" i="90"/>
  <c r="V368" i="90"/>
  <c r="V372" i="90" s="1"/>
  <c r="AD172" i="14" l="1"/>
  <c r="AD184" i="14" s="1"/>
  <c r="AC184" i="14"/>
  <c r="AA45" i="33"/>
  <c r="AA115" i="33" s="1"/>
  <c r="AB9" i="15"/>
  <c r="AB186" i="14"/>
  <c r="AB226" i="14"/>
  <c r="AB45" i="33" s="1"/>
  <c r="AB185" i="14"/>
  <c r="CY96" i="15"/>
  <c r="CY97" i="15" s="1"/>
  <c r="CY80" i="15"/>
  <c r="CY81" i="15" s="1"/>
  <c r="V52" i="33"/>
  <c r="V80" i="15"/>
  <c r="V96" i="15"/>
  <c r="V97" i="15" s="1"/>
  <c r="V35" i="64" s="1"/>
  <c r="AD9" i="15" l="1"/>
  <c r="AD226" i="14"/>
  <c r="AD45" i="33" s="1"/>
  <c r="AD185" i="14"/>
  <c r="AD186" i="14"/>
  <c r="AA227" i="14"/>
  <c r="AB227" i="14"/>
  <c r="AB168" i="33"/>
  <c r="AB149" i="33"/>
  <c r="AB115" i="33"/>
  <c r="AC186" i="14"/>
  <c r="AC9" i="15"/>
  <c r="AC226" i="14"/>
  <c r="AC185" i="14"/>
  <c r="V28" i="48"/>
  <c r="V8" i="64"/>
  <c r="V10" i="64" s="1"/>
  <c r="V96" i="33"/>
  <c r="AC45" i="33" l="1"/>
  <c r="AD149" i="33" s="1"/>
  <c r="AD227" i="14"/>
  <c r="AD115" i="33"/>
  <c r="AM31" i="77"/>
  <c r="AO31" i="77"/>
  <c r="AC168" i="33" l="1"/>
  <c r="AC115" i="33"/>
  <c r="AC149" i="33"/>
  <c r="AD168" i="33"/>
  <c r="AC227" i="14"/>
  <c r="DA295" i="12" l="1"/>
  <c r="DA289" i="12" l="1"/>
  <c r="DA8" i="12" s="1"/>
  <c r="DA50" i="12" s="1"/>
  <c r="DA42" i="12" l="1"/>
  <c r="DA12" i="12"/>
  <c r="DA54" i="12" s="1"/>
  <c r="DS9" i="33"/>
  <c r="DS13" i="33" s="1"/>
  <c r="DS15" i="33" s="1"/>
  <c r="DA822" i="12" l="1"/>
  <c r="DA828" i="12" s="1"/>
  <c r="DS139" i="33"/>
  <c r="DS155" i="33"/>
  <c r="DS159" i="33"/>
  <c r="DS143" i="33"/>
  <c r="DA46" i="12"/>
  <c r="DA14" i="12"/>
  <c r="DA820" i="12"/>
  <c r="DA818" i="12" s="1"/>
  <c r="DB819" i="12"/>
  <c r="DA202" i="15"/>
  <c r="DA203" i="15"/>
  <c r="DA204" i="15"/>
  <c r="DA208" i="15"/>
  <c r="DS16" i="33"/>
  <c r="DS17" i="33"/>
  <c r="DS18" i="33"/>
  <c r="DS88" i="33"/>
  <c r="DS145" i="33"/>
  <c r="DS24" i="33"/>
  <c r="DS161" i="33"/>
  <c r="DS26" i="33"/>
  <c r="DA66" i="14" s="1"/>
  <c r="DA39" i="12" l="1"/>
  <c r="DA30" i="12"/>
  <c r="DA31" i="12" s="1"/>
  <c r="DA35" i="12"/>
  <c r="DA34" i="12"/>
  <c r="DA823" i="12"/>
  <c r="DA36" i="12"/>
  <c r="DA106" i="14"/>
  <c r="DA127" i="14" s="1"/>
  <c r="DA49" i="12"/>
  <c r="DA41" i="12"/>
  <c r="DA38" i="12"/>
  <c r="DA37" i="12"/>
  <c r="DA25" i="12"/>
  <c r="DA27" i="12" s="1"/>
  <c r="DS19" i="33"/>
  <c r="DA107" i="14"/>
  <c r="DA99" i="14"/>
  <c r="DA10" i="15"/>
  <c r="DA205" i="15"/>
  <c r="DS31" i="33"/>
  <c r="DS117" i="33"/>
  <c r="DS22" i="33"/>
  <c r="DS23" i="33"/>
  <c r="DS147" i="33"/>
  <c r="DS163" i="33"/>
  <c r="DS36" i="33" l="1"/>
  <c r="DS37" i="33"/>
  <c r="DS44" i="33" s="1"/>
  <c r="DC289" i="12"/>
  <c r="DC8" i="12" s="1"/>
  <c r="DU9" i="33" s="1"/>
  <c r="DS109" i="33"/>
  <c r="DS108" i="33"/>
  <c r="DA27" i="14"/>
  <c r="DA25" i="15" s="1"/>
  <c r="DA125" i="14"/>
  <c r="DA220" i="14"/>
  <c r="DA11" i="14"/>
  <c r="DA23" i="15" s="1"/>
  <c r="DA14" i="14"/>
  <c r="DA24" i="15" s="1"/>
  <c r="DA26" i="12"/>
  <c r="DS20" i="33"/>
  <c r="DS162" i="33" s="1"/>
  <c r="DS146" i="33"/>
  <c r="DA209" i="15"/>
  <c r="DA133" i="14"/>
  <c r="B175" i="14" s="1"/>
  <c r="DA104" i="15"/>
  <c r="DA31" i="14"/>
  <c r="DA33" i="14" s="1"/>
  <c r="DA45" i="14"/>
  <c r="DS238" i="33"/>
  <c r="DS164" i="33" l="1"/>
  <c r="DS42" i="33"/>
  <c r="DS40" i="33"/>
  <c r="DS39" i="33"/>
  <c r="DA110" i="14"/>
  <c r="DA14" i="90" s="1"/>
  <c r="DC295" i="12"/>
  <c r="DB175" i="14"/>
  <c r="DA175" i="14"/>
  <c r="DD175" i="14"/>
  <c r="DC175" i="14"/>
  <c r="DS239" i="33"/>
  <c r="DS41" i="33"/>
  <c r="DS148" i="33"/>
  <c r="DS114" i="33"/>
  <c r="DA38" i="15"/>
  <c r="DA134" i="14"/>
  <c r="DA46" i="14"/>
  <c r="DA59" i="14" s="1"/>
  <c r="DA26" i="15"/>
  <c r="DA31" i="15"/>
  <c r="DU13" i="33"/>
  <c r="DU139" i="33"/>
  <c r="DB295" i="12"/>
  <c r="DB289" i="12"/>
  <c r="DC42" i="12"/>
  <c r="DC12" i="12"/>
  <c r="DA94" i="15" l="1"/>
  <c r="DA99" i="15" s="1"/>
  <c r="X822" i="12"/>
  <c r="W175" i="14"/>
  <c r="V175" i="14"/>
  <c r="DB8" i="12"/>
  <c r="W8" i="12" s="1"/>
  <c r="W289" i="12"/>
  <c r="W293" i="12" s="1"/>
  <c r="W295" i="12" s="1"/>
  <c r="DA43" i="15"/>
  <c r="DA75" i="15"/>
  <c r="DA84" i="15"/>
  <c r="DU15" i="33"/>
  <c r="DU143" i="33"/>
  <c r="DC46" i="12"/>
  <c r="DC822" i="12"/>
  <c r="DC14" i="12"/>
  <c r="DC30" i="12" s="1"/>
  <c r="AA31" i="12" l="1"/>
  <c r="W301" i="71"/>
  <c r="X12" i="80"/>
  <c r="X828" i="12"/>
  <c r="DC50" i="12"/>
  <c r="X42" i="12"/>
  <c r="W9" i="33"/>
  <c r="DB50" i="12"/>
  <c r="W42" i="12"/>
  <c r="DB42" i="12"/>
  <c r="W12" i="12"/>
  <c r="W14" i="12" s="1"/>
  <c r="DB12" i="12"/>
  <c r="DC54" i="12" s="1"/>
  <c r="DT9" i="33"/>
  <c r="DT155" i="33" s="1"/>
  <c r="DC38" i="12"/>
  <c r="DC106" i="14"/>
  <c r="DA79" i="15"/>
  <c r="DA95" i="15"/>
  <c r="DC202" i="15"/>
  <c r="DC203" i="15"/>
  <c r="DC204" i="15"/>
  <c r="DC208" i="15"/>
  <c r="DU17" i="33"/>
  <c r="DU18" i="33"/>
  <c r="DU88" i="33"/>
  <c r="DU145" i="33"/>
  <c r="DU24" i="33"/>
  <c r="DC828" i="12"/>
  <c r="DC36" i="12"/>
  <c r="DC39" i="12"/>
  <c r="DC35" i="12"/>
  <c r="DC25" i="12"/>
  <c r="DC41" i="12"/>
  <c r="DC37" i="12"/>
  <c r="DC31" i="12"/>
  <c r="DC34" i="12"/>
  <c r="Y31" i="12" l="1"/>
  <c r="Y822" i="12"/>
  <c r="W313" i="71"/>
  <c r="W312" i="71"/>
  <c r="Z822" i="12"/>
  <c r="AA823" i="12" s="1"/>
  <c r="Z31" i="12"/>
  <c r="W13" i="33"/>
  <c r="X14" i="48" s="1"/>
  <c r="W139" i="33"/>
  <c r="DU155" i="33"/>
  <c r="DT139" i="33"/>
  <c r="DC819" i="12"/>
  <c r="DT13" i="33"/>
  <c r="DT143" i="33" s="1"/>
  <c r="X139" i="33"/>
  <c r="X819" i="12"/>
  <c r="W18" i="64"/>
  <c r="W19" i="64" s="1"/>
  <c r="DB54" i="12"/>
  <c r="DC820" i="12"/>
  <c r="DB822" i="12"/>
  <c r="DB823" i="12" s="1"/>
  <c r="DB820" i="12"/>
  <c r="DB818" i="12" s="1"/>
  <c r="DB14" i="12"/>
  <c r="DB46" i="12"/>
  <c r="W38" i="12"/>
  <c r="W39" i="12"/>
  <c r="W35" i="12"/>
  <c r="W36" i="12"/>
  <c r="W37" i="12"/>
  <c r="W41" i="12"/>
  <c r="X41" i="12"/>
  <c r="W34" i="12"/>
  <c r="DU19" i="33"/>
  <c r="DC107" i="14"/>
  <c r="DC31" i="14" s="1"/>
  <c r="DC33" i="14" s="1"/>
  <c r="W33" i="14" s="1"/>
  <c r="DA100" i="15"/>
  <c r="DA101" i="15" s="1"/>
  <c r="DC11" i="14"/>
  <c r="W11" i="14" s="1"/>
  <c r="DC127" i="14"/>
  <c r="DC125" i="14"/>
  <c r="DC220" i="14"/>
  <c r="DU22" i="33"/>
  <c r="DU108" i="33" s="1"/>
  <c r="DU23" i="33"/>
  <c r="DU109" i="33" s="1"/>
  <c r="DU147" i="33"/>
  <c r="DC26" i="12"/>
  <c r="DU37" i="33" l="1"/>
  <c r="DC110" i="14" s="1"/>
  <c r="DC94" i="15" s="1"/>
  <c r="DC99" i="15" s="1"/>
  <c r="DC49" i="12"/>
  <c r="DB30" i="12"/>
  <c r="DB31" i="12" s="1"/>
  <c r="W31" i="12" s="1"/>
  <c r="Y828" i="12"/>
  <c r="X301" i="71"/>
  <c r="Y12" i="80"/>
  <c r="Y13" i="80" s="1"/>
  <c r="Y823" i="12"/>
  <c r="Y301" i="71"/>
  <c r="Z12" i="80"/>
  <c r="Z828" i="12"/>
  <c r="Z823" i="12"/>
  <c r="X143" i="33"/>
  <c r="W15" i="33"/>
  <c r="W143" i="33"/>
  <c r="DB25" i="12"/>
  <c r="DC27" i="12" s="1"/>
  <c r="DT15" i="33"/>
  <c r="X19" i="64"/>
  <c r="DC818" i="12"/>
  <c r="DT159" i="33"/>
  <c r="DU159" i="33"/>
  <c r="W21" i="64"/>
  <c r="W22" i="64" s="1"/>
  <c r="DB828" i="12"/>
  <c r="DC823" i="12"/>
  <c r="DB39" i="12"/>
  <c r="DB35" i="12"/>
  <c r="DB36" i="12"/>
  <c r="DB37" i="12"/>
  <c r="DB41" i="12"/>
  <c r="DB106" i="14"/>
  <c r="DB220" i="14" s="1"/>
  <c r="DB34" i="12"/>
  <c r="DB38" i="12"/>
  <c r="DB49" i="12"/>
  <c r="DU20" i="33"/>
  <c r="DU146" i="33"/>
  <c r="DC133" i="14"/>
  <c r="B177" i="14" s="1"/>
  <c r="DC104" i="15"/>
  <c r="DC209" i="15"/>
  <c r="DU238" i="33"/>
  <c r="DU239" i="33" s="1"/>
  <c r="DC14" i="90" l="1"/>
  <c r="DU40" i="33"/>
  <c r="DU42" i="33"/>
  <c r="Z13" i="80"/>
  <c r="X313" i="71"/>
  <c r="X314" i="71" s="1"/>
  <c r="X302" i="71"/>
  <c r="X312" i="71"/>
  <c r="Y313" i="71"/>
  <c r="Y312" i="71"/>
  <c r="Y302" i="71"/>
  <c r="DD177" i="14"/>
  <c r="DC177" i="14"/>
  <c r="V177" i="14"/>
  <c r="W13" i="48"/>
  <c r="W18" i="48" s="1"/>
  <c r="W106" i="14"/>
  <c r="W5" i="64"/>
  <c r="AY12" i="77"/>
  <c r="DB27" i="12"/>
  <c r="CC61" i="48"/>
  <c r="X145" i="33"/>
  <c r="O28" i="53"/>
  <c r="DT161" i="33"/>
  <c r="DU161" i="33"/>
  <c r="DU16" i="33"/>
  <c r="DB26" i="12"/>
  <c r="DT26" i="33"/>
  <c r="DB66" i="14" s="1"/>
  <c r="DB99" i="14" s="1"/>
  <c r="DT16" i="33"/>
  <c r="DB208" i="15"/>
  <c r="W208" i="15" s="1"/>
  <c r="W240" i="15" s="1"/>
  <c r="X161" i="33"/>
  <c r="V4" i="71"/>
  <c r="W5" i="71" s="1"/>
  <c r="X17" i="33"/>
  <c r="W161" i="33"/>
  <c r="W145" i="33"/>
  <c r="W17" i="33"/>
  <c r="AY13" i="77" s="1"/>
  <c r="W88" i="33"/>
  <c r="W117" i="33"/>
  <c r="DT18" i="33"/>
  <c r="W18" i="33" s="1"/>
  <c r="W107" i="14" s="1"/>
  <c r="DB203" i="15"/>
  <c r="W203" i="15" s="1"/>
  <c r="W238" i="15" s="1"/>
  <c r="DT145" i="33"/>
  <c r="DT17" i="33"/>
  <c r="DT24" i="33"/>
  <c r="DT22" i="33" s="1"/>
  <c r="DT88" i="33"/>
  <c r="DB204" i="15"/>
  <c r="W204" i="15" s="1"/>
  <c r="W239" i="15" s="1"/>
  <c r="DB127" i="14"/>
  <c r="DB202" i="15"/>
  <c r="W202" i="15" s="1"/>
  <c r="W237" i="15" s="1"/>
  <c r="DB14" i="14"/>
  <c r="DC14" i="14" s="1"/>
  <c r="X22" i="64"/>
  <c r="DB125" i="14"/>
  <c r="DB11" i="14"/>
  <c r="DB23" i="15" s="1"/>
  <c r="DB27" i="14"/>
  <c r="DC27" i="14" s="1"/>
  <c r="W25" i="12"/>
  <c r="W26" i="12" s="1"/>
  <c r="W30" i="12"/>
  <c r="W822" i="12" s="1"/>
  <c r="O31" i="53"/>
  <c r="X26" i="33"/>
  <c r="DC134" i="14"/>
  <c r="DC38" i="15"/>
  <c r="Y314" i="71" l="1"/>
  <c r="W177" i="14"/>
  <c r="DB133" i="14"/>
  <c r="W127" i="14"/>
  <c r="W104" i="15" s="1"/>
  <c r="DC25" i="15"/>
  <c r="W27" i="14"/>
  <c r="X27" i="14" s="1"/>
  <c r="DC24" i="15"/>
  <c r="W14" i="14"/>
  <c r="X14" i="14" s="1"/>
  <c r="W125" i="14"/>
  <c r="W220" i="14"/>
  <c r="DT117" i="33"/>
  <c r="DB10" i="15"/>
  <c r="DT19" i="33"/>
  <c r="DT147" i="33"/>
  <c r="DT31" i="33"/>
  <c r="V5" i="71"/>
  <c r="DU26" i="33"/>
  <c r="DC66" i="14" s="1"/>
  <c r="DB205" i="15"/>
  <c r="X23" i="15"/>
  <c r="DT108" i="33"/>
  <c r="W22" i="33"/>
  <c r="DB104" i="15"/>
  <c r="DU163" i="33"/>
  <c r="DB107" i="14"/>
  <c r="DB31" i="14" s="1"/>
  <c r="DB33" i="14" s="1"/>
  <c r="DT23" i="33"/>
  <c r="DT238" i="33" s="1"/>
  <c r="DT163" i="33"/>
  <c r="CC64" i="48"/>
  <c r="CC65" i="48" s="1"/>
  <c r="W19" i="33"/>
  <c r="W146" i="33" s="1"/>
  <c r="O29" i="53"/>
  <c r="DB209" i="15"/>
  <c r="W209" i="15" s="1"/>
  <c r="DB24" i="15"/>
  <c r="DB25" i="15"/>
  <c r="DC23" i="15"/>
  <c r="W23" i="15" s="1"/>
  <c r="X26" i="12"/>
  <c r="P29" i="53" s="1"/>
  <c r="X31" i="12"/>
  <c r="W828" i="12"/>
  <c r="W823" i="12"/>
  <c r="V301" i="71"/>
  <c r="W12" i="80"/>
  <c r="X823" i="12"/>
  <c r="O33" i="53"/>
  <c r="X10" i="15"/>
  <c r="X117" i="33"/>
  <c r="X205" i="15"/>
  <c r="P31" i="53"/>
  <c r="X31" i="33"/>
  <c r="Y26" i="33"/>
  <c r="DC75" i="15"/>
  <c r="DC84" i="15"/>
  <c r="DC43" i="15"/>
  <c r="DT36" i="33" l="1"/>
  <c r="DT41" i="33" s="1"/>
  <c r="DT146" i="33"/>
  <c r="DB134" i="14"/>
  <c r="B176" i="14"/>
  <c r="DB38" i="15"/>
  <c r="W38" i="15" s="1"/>
  <c r="W43" i="15" s="1"/>
  <c r="W133" i="14"/>
  <c r="AY19" i="77" s="1"/>
  <c r="AY20" i="77" s="1"/>
  <c r="AY22" i="77"/>
  <c r="W128" i="14"/>
  <c r="DC99" i="14"/>
  <c r="W66" i="14"/>
  <c r="W25" i="15"/>
  <c r="DT37" i="33"/>
  <c r="DT164" i="33" s="1"/>
  <c r="W24" i="15"/>
  <c r="DU31" i="33"/>
  <c r="DU36" i="33" s="1"/>
  <c r="DC10" i="15"/>
  <c r="W10" i="15" s="1"/>
  <c r="DT20" i="33"/>
  <c r="DT162" i="33" s="1"/>
  <c r="DC205" i="15"/>
  <c r="W205" i="15" s="1"/>
  <c r="DU117" i="33"/>
  <c r="DT239" i="33"/>
  <c r="W238" i="33"/>
  <c r="W239" i="33" s="1"/>
  <c r="DB45" i="14"/>
  <c r="DB46" i="14" s="1"/>
  <c r="DB59" i="14" s="1"/>
  <c r="DT109" i="33"/>
  <c r="W23" i="33"/>
  <c r="W24" i="33" s="1"/>
  <c r="AY15" i="77" s="1"/>
  <c r="W104" i="33"/>
  <c r="X106" i="33" s="1"/>
  <c r="W108" i="33"/>
  <c r="W162" i="33"/>
  <c r="W20" i="33"/>
  <c r="AY14" i="77" s="1"/>
  <c r="W20" i="48"/>
  <c r="W13" i="80"/>
  <c r="X13" i="80"/>
  <c r="V313" i="71"/>
  <c r="V302" i="71"/>
  <c r="V312" i="71"/>
  <c r="W302" i="71"/>
  <c r="P33" i="53"/>
  <c r="X25" i="15"/>
  <c r="Y27" i="14"/>
  <c r="Y14" i="14"/>
  <c r="X24" i="15"/>
  <c r="Y205" i="15"/>
  <c r="Y117" i="33"/>
  <c r="Y10" i="15"/>
  <c r="Y31" i="33"/>
  <c r="Z26" i="33"/>
  <c r="AA26" i="33" s="1"/>
  <c r="Q31" i="53"/>
  <c r="DC79" i="15"/>
  <c r="DC95" i="15"/>
  <c r="DC100" i="15" s="1"/>
  <c r="DC101" i="15" s="1"/>
  <c r="DB26" i="15"/>
  <c r="DC26" i="15"/>
  <c r="AA10" i="15" l="1"/>
  <c r="AA205" i="15"/>
  <c r="AA31" i="33"/>
  <c r="AA117" i="33"/>
  <c r="AB26" i="33"/>
  <c r="DC176" i="14"/>
  <c r="DC184" i="14" s="1"/>
  <c r="DB176" i="14"/>
  <c r="DB184" i="14" s="1"/>
  <c r="DD176" i="14"/>
  <c r="CZ184" i="14"/>
  <c r="DB84" i="15"/>
  <c r="DB43" i="15"/>
  <c r="W84" i="15"/>
  <c r="W75" i="15"/>
  <c r="W95" i="15" s="1"/>
  <c r="W100" i="15" s="1"/>
  <c r="DB75" i="15"/>
  <c r="DB95" i="15" s="1"/>
  <c r="DB100" i="15" s="1"/>
  <c r="W7" i="64"/>
  <c r="W32" i="64" s="1"/>
  <c r="O38" i="53"/>
  <c r="O40" i="53" s="1"/>
  <c r="X184" i="14"/>
  <c r="X135" i="14"/>
  <c r="P39" i="53" s="1"/>
  <c r="W135" i="14"/>
  <c r="O39" i="53" s="1"/>
  <c r="W24" i="48"/>
  <c r="V9" i="71" s="1"/>
  <c r="V10" i="71" s="1"/>
  <c r="W134" i="14"/>
  <c r="W99" i="14"/>
  <c r="X66" i="14"/>
  <c r="W37" i="33"/>
  <c r="DU164" i="33"/>
  <c r="DT40" i="33"/>
  <c r="DB110" i="14"/>
  <c r="DB14" i="90" s="1"/>
  <c r="DU44" i="33"/>
  <c r="DU39" i="33"/>
  <c r="DT44" i="33"/>
  <c r="DT39" i="33"/>
  <c r="DT42" i="33"/>
  <c r="W36" i="33"/>
  <c r="W114" i="33" s="1"/>
  <c r="X107" i="33"/>
  <c r="X105" i="33"/>
  <c r="Y106" i="33"/>
  <c r="DT148" i="33"/>
  <c r="DT114" i="33"/>
  <c r="DU162" i="33"/>
  <c r="W26" i="15"/>
  <c r="DC45" i="14"/>
  <c r="DB31" i="15"/>
  <c r="W165" i="33"/>
  <c r="W109" i="33"/>
  <c r="W110" i="33" s="1"/>
  <c r="X112" i="33" s="1"/>
  <c r="W163" i="33"/>
  <c r="W147" i="33"/>
  <c r="CC66" i="48"/>
  <c r="V314" i="71"/>
  <c r="W314" i="71"/>
  <c r="Q33" i="53"/>
  <c r="Y25" i="15"/>
  <c r="Z27" i="14"/>
  <c r="AA27" i="14" s="1"/>
  <c r="Z31" i="33"/>
  <c r="Z10" i="15"/>
  <c r="R31" i="53"/>
  <c r="Z205" i="15"/>
  <c r="Z117" i="33"/>
  <c r="Z14" i="14"/>
  <c r="AA14" i="14" s="1"/>
  <c r="Y24" i="15"/>
  <c r="DU41" i="33"/>
  <c r="DU114" i="33"/>
  <c r="DU148" i="33"/>
  <c r="W110" i="14" l="1"/>
  <c r="W94" i="15" s="1"/>
  <c r="W99" i="15" s="1"/>
  <c r="W101" i="15" s="1"/>
  <c r="AB14" i="14"/>
  <c r="AB27" i="14"/>
  <c r="AB25" i="15" s="1"/>
  <c r="Z24" i="15"/>
  <c r="AA24" i="15"/>
  <c r="Z25" i="15"/>
  <c r="AA25" i="15"/>
  <c r="AB10" i="15"/>
  <c r="AB205" i="15"/>
  <c r="AB31" i="33"/>
  <c r="AB117" i="33"/>
  <c r="AC26" i="33"/>
  <c r="W176" i="14"/>
  <c r="DA184" i="14"/>
  <c r="W184" i="14" s="1"/>
  <c r="DC226" i="14"/>
  <c r="DC9" i="15"/>
  <c r="DC186" i="14"/>
  <c r="DC185" i="14"/>
  <c r="V176" i="14"/>
  <c r="CZ226" i="14"/>
  <c r="CZ9" i="15"/>
  <c r="CZ185" i="14"/>
  <c r="CZ186" i="14"/>
  <c r="DB226" i="14"/>
  <c r="DT45" i="33" s="1"/>
  <c r="DB9" i="15"/>
  <c r="DB186" i="14"/>
  <c r="DB185" i="14"/>
  <c r="X104" i="33"/>
  <c r="X18" i="33" s="1"/>
  <c r="CD64" i="48" s="1"/>
  <c r="W79" i="15"/>
  <c r="DB79" i="15"/>
  <c r="W6" i="64"/>
  <c r="W33" i="64" s="1"/>
  <c r="AY16" i="77"/>
  <c r="AY17" i="77" s="1"/>
  <c r="W22" i="48"/>
  <c r="W42" i="33"/>
  <c r="W166" i="33" s="1"/>
  <c r="W44" i="33"/>
  <c r="X99" i="14"/>
  <c r="Y66" i="14"/>
  <c r="V7" i="71"/>
  <c r="V8" i="71" s="1"/>
  <c r="DC46" i="14"/>
  <c r="DC59" i="14" s="1"/>
  <c r="W45" i="14"/>
  <c r="W46" i="14" s="1"/>
  <c r="W59" i="14" s="1"/>
  <c r="DB94" i="15"/>
  <c r="DB99" i="15" s="1"/>
  <c r="DB101" i="15" s="1"/>
  <c r="W40" i="33"/>
  <c r="W148" i="33"/>
  <c r="W41" i="33"/>
  <c r="W164" i="33"/>
  <c r="Y112" i="33"/>
  <c r="X111" i="33"/>
  <c r="X113" i="33"/>
  <c r="Y107" i="33"/>
  <c r="Y105" i="33"/>
  <c r="Z106" i="33"/>
  <c r="AA106" i="33" s="1"/>
  <c r="DC31" i="15"/>
  <c r="W31" i="15" s="1"/>
  <c r="O41" i="53" s="1"/>
  <c r="O42" i="53" s="1"/>
  <c r="CC67" i="48"/>
  <c r="CC69" i="48"/>
  <c r="Y184" i="14"/>
  <c r="R33" i="53"/>
  <c r="X226" i="14"/>
  <c r="X186" i="14"/>
  <c r="X185" i="14"/>
  <c r="X9" i="15"/>
  <c r="W14" i="90" l="1"/>
  <c r="AC27" i="14"/>
  <c r="AC25" i="15" s="1"/>
  <c r="AC14" i="14"/>
  <c r="AB24" i="15"/>
  <c r="AC10" i="15"/>
  <c r="AC205" i="15"/>
  <c r="AA105" i="33"/>
  <c r="AA107" i="33"/>
  <c r="AB106" i="33"/>
  <c r="AC31" i="33"/>
  <c r="AC117" i="33"/>
  <c r="AD26" i="33"/>
  <c r="V184" i="14"/>
  <c r="V9" i="15"/>
  <c r="DU45" i="33"/>
  <c r="DC227" i="14" s="1"/>
  <c r="DB227" i="14"/>
  <c r="DT149" i="33"/>
  <c r="DT115" i="33"/>
  <c r="DT89" i="33"/>
  <c r="DT90" i="33" s="1"/>
  <c r="DT91" i="33" s="1"/>
  <c r="DT92" i="33" s="1"/>
  <c r="DT47" i="33"/>
  <c r="W186" i="14"/>
  <c r="W185" i="14"/>
  <c r="DA185" i="14"/>
  <c r="DA186" i="14"/>
  <c r="DA9" i="15"/>
  <c r="W9" i="15" s="1"/>
  <c r="DA226" i="14"/>
  <c r="DR45" i="33"/>
  <c r="X107" i="14"/>
  <c r="X31" i="14" s="1"/>
  <c r="X33" i="14" s="1"/>
  <c r="X19" i="33"/>
  <c r="X20" i="48" s="1"/>
  <c r="X110" i="33"/>
  <c r="X24" i="33" s="1"/>
  <c r="X23" i="33" s="1"/>
  <c r="Y104" i="33"/>
  <c r="Y18" i="33" s="1"/>
  <c r="Y19" i="33" s="1"/>
  <c r="Z66" i="14"/>
  <c r="Y99" i="14"/>
  <c r="Y113" i="33"/>
  <c r="Z112" i="33"/>
  <c r="AA112" i="33" s="1"/>
  <c r="Y111" i="33"/>
  <c r="Z105" i="33"/>
  <c r="Z107" i="33"/>
  <c r="CD65" i="48"/>
  <c r="CC73" i="48"/>
  <c r="CC70" i="48"/>
  <c r="Z184" i="14"/>
  <c r="Z9" i="15" s="1"/>
  <c r="X45" i="33"/>
  <c r="X227" i="14" s="1"/>
  <c r="Y9" i="15"/>
  <c r="Y186" i="14"/>
  <c r="Y226" i="14"/>
  <c r="Y45" i="33" s="1"/>
  <c r="Y185" i="14"/>
  <c r="AA104" i="33" l="1"/>
  <c r="AA18" i="33" s="1"/>
  <c r="AA107" i="14" s="1"/>
  <c r="AA31" i="14" s="1"/>
  <c r="AA33" i="14" s="1"/>
  <c r="Z99" i="14"/>
  <c r="AA66" i="14"/>
  <c r="AD14" i="14"/>
  <c r="AC24" i="15"/>
  <c r="AD27" i="14"/>
  <c r="AD25" i="15" s="1"/>
  <c r="AD10" i="15"/>
  <c r="AD205" i="15"/>
  <c r="AA111" i="33"/>
  <c r="AA110" i="33" s="1"/>
  <c r="AA24" i="33" s="1"/>
  <c r="AA113" i="33"/>
  <c r="AB112" i="33"/>
  <c r="AB105" i="33"/>
  <c r="AB107" i="33"/>
  <c r="AC106" i="33"/>
  <c r="AD31" i="33"/>
  <c r="AD117" i="33"/>
  <c r="CZ227" i="14"/>
  <c r="DU165" i="33"/>
  <c r="X20" i="33"/>
  <c r="DS45" i="33"/>
  <c r="DA227" i="14" s="1"/>
  <c r="DR89" i="33"/>
  <c r="DR90" i="33" s="1"/>
  <c r="DR91" i="33" s="1"/>
  <c r="DR92" i="33" s="1"/>
  <c r="DR115" i="33"/>
  <c r="DR47" i="33"/>
  <c r="DR149" i="33"/>
  <c r="DU115" i="33"/>
  <c r="DU89" i="33"/>
  <c r="DU90" i="33" s="1"/>
  <c r="DU91" i="33" s="1"/>
  <c r="DU92" i="33" s="1"/>
  <c r="DU47" i="33"/>
  <c r="DU166" i="33" s="1"/>
  <c r="V185" i="14"/>
  <c r="V186" i="14"/>
  <c r="W226" i="14"/>
  <c r="DT116" i="33"/>
  <c r="DT48" i="33"/>
  <c r="DT150" i="33"/>
  <c r="V226" i="14"/>
  <c r="DU149" i="33"/>
  <c r="DB82" i="14"/>
  <c r="DT93" i="33"/>
  <c r="DT94" i="33"/>
  <c r="DT95" i="33" s="1"/>
  <c r="DB85" i="14" s="1"/>
  <c r="Y110" i="33"/>
  <c r="Y24" i="33" s="1"/>
  <c r="Y22" i="33" s="1"/>
  <c r="X162" i="33"/>
  <c r="CD66" i="48"/>
  <c r="CD67" i="48" s="1"/>
  <c r="X147" i="33"/>
  <c r="X45" i="14"/>
  <c r="X31" i="15" s="1"/>
  <c r="X146" i="33"/>
  <c r="X37" i="33"/>
  <c r="X36" i="33"/>
  <c r="X148" i="33" s="1"/>
  <c r="X22" i="33"/>
  <c r="X108" i="33" s="1"/>
  <c r="X163" i="33"/>
  <c r="Y107" i="14"/>
  <c r="Y31" i="14" s="1"/>
  <c r="Y33" i="14" s="1"/>
  <c r="Y26" i="15" s="1"/>
  <c r="Z104" i="33"/>
  <c r="Z18" i="33" s="1"/>
  <c r="Z19" i="33" s="1"/>
  <c r="Z111" i="33"/>
  <c r="Z113" i="33"/>
  <c r="X109" i="33"/>
  <c r="X165" i="33"/>
  <c r="Y146" i="33"/>
  <c r="Y162" i="33"/>
  <c r="Y20" i="33"/>
  <c r="Y20" i="48"/>
  <c r="X26" i="15"/>
  <c r="Z186" i="14"/>
  <c r="Z185" i="14"/>
  <c r="Z226" i="14"/>
  <c r="Z45" i="33" s="1"/>
  <c r="Y227" i="14"/>
  <c r="Y149" i="33"/>
  <c r="Y168" i="33"/>
  <c r="Y115" i="33"/>
  <c r="Q32" i="53"/>
  <c r="P32" i="53"/>
  <c r="X89" i="33"/>
  <c r="X90" i="33" s="1"/>
  <c r="X91" i="33" s="1"/>
  <c r="X92" i="33" s="1"/>
  <c r="X115" i="33"/>
  <c r="AA89" i="33" l="1"/>
  <c r="AA90" i="33" s="1"/>
  <c r="AA91" i="33" s="1"/>
  <c r="AA92" i="33" s="1"/>
  <c r="AA82" i="14" s="1"/>
  <c r="AA19" i="33"/>
  <c r="AA37" i="33" s="1"/>
  <c r="AA110" i="14" s="1"/>
  <c r="X6" i="64"/>
  <c r="X33" i="64" s="1"/>
  <c r="AB104" i="33"/>
  <c r="AB18" i="33" s="1"/>
  <c r="AB107" i="14" s="1"/>
  <c r="AB31" i="14" s="1"/>
  <c r="AB33" i="14" s="1"/>
  <c r="AB26" i="15" s="1"/>
  <c r="AD24" i="15"/>
  <c r="AA99" i="14"/>
  <c r="AB66" i="14"/>
  <c r="AC105" i="33"/>
  <c r="AC107" i="33"/>
  <c r="AD106" i="33"/>
  <c r="AB111" i="33"/>
  <c r="AB113" i="33"/>
  <c r="AC112" i="33"/>
  <c r="Z227" i="14"/>
  <c r="AA149" i="33"/>
  <c r="AA168" i="33"/>
  <c r="AA22" i="33"/>
  <c r="AA23" i="33"/>
  <c r="W45" i="33"/>
  <c r="DC82" i="14"/>
  <c r="DU93" i="33"/>
  <c r="DU94" i="33"/>
  <c r="DU95" i="33" s="1"/>
  <c r="DC85" i="14" s="1"/>
  <c r="DS165" i="33"/>
  <c r="DR94" i="33"/>
  <c r="DR95" i="33" s="1"/>
  <c r="CZ85" i="14" s="1"/>
  <c r="CZ89" i="14" s="1"/>
  <c r="CZ82" i="14"/>
  <c r="DR93" i="33"/>
  <c r="DU150" i="33"/>
  <c r="V45" i="33"/>
  <c r="CX165" i="14"/>
  <c r="CY165" i="14" s="1"/>
  <c r="CY164" i="14" s="1"/>
  <c r="CY18" i="14" s="1"/>
  <c r="DR165" i="33"/>
  <c r="DR116" i="33"/>
  <c r="DR150" i="33"/>
  <c r="DR48" i="33"/>
  <c r="DU116" i="33"/>
  <c r="DU48" i="33"/>
  <c r="DS115" i="33"/>
  <c r="DS89" i="33"/>
  <c r="DS90" i="33" s="1"/>
  <c r="DS91" i="33" s="1"/>
  <c r="DS92" i="33" s="1"/>
  <c r="DS149" i="33"/>
  <c r="DS47" i="33"/>
  <c r="DS166" i="33" s="1"/>
  <c r="DT165" i="33"/>
  <c r="X114" i="33"/>
  <c r="Y147" i="33"/>
  <c r="Y89" i="33"/>
  <c r="Y90" i="33" s="1"/>
  <c r="Y91" i="33" s="1"/>
  <c r="Y92" i="33" s="1"/>
  <c r="Y94" i="33" s="1"/>
  <c r="Y37" i="33"/>
  <c r="Y47" i="33" s="1"/>
  <c r="Q30" i="53" s="1"/>
  <c r="Q34" i="53" s="1"/>
  <c r="Y163" i="33"/>
  <c r="Y36" i="33"/>
  <c r="Y148" i="33" s="1"/>
  <c r="Y23" i="33"/>
  <c r="Y238" i="33" s="1"/>
  <c r="Y239" i="33" s="1"/>
  <c r="X22" i="48"/>
  <c r="X42" i="33"/>
  <c r="X166" i="33" s="1"/>
  <c r="W7" i="71"/>
  <c r="W8" i="71" s="1"/>
  <c r="X47" i="33"/>
  <c r="X48" i="33" s="1"/>
  <c r="X110" i="14"/>
  <c r="X94" i="15" s="1"/>
  <c r="X99" i="15" s="1"/>
  <c r="X101" i="15" s="1"/>
  <c r="X44" i="33"/>
  <c r="CD69" i="48"/>
  <c r="CD70" i="48" s="1"/>
  <c r="X46" i="14"/>
  <c r="X59" i="14" s="1"/>
  <c r="Z110" i="33"/>
  <c r="Z24" i="33" s="1"/>
  <c r="Z22" i="33" s="1"/>
  <c r="X238" i="33"/>
  <c r="X239" i="33" s="1"/>
  <c r="X40" i="33"/>
  <c r="X164" i="33"/>
  <c r="X41" i="33"/>
  <c r="Z107" i="14"/>
  <c r="Z31" i="14" s="1"/>
  <c r="Z33" i="14" s="1"/>
  <c r="Y45" i="14"/>
  <c r="Y46" i="14" s="1"/>
  <c r="Y59" i="14" s="1"/>
  <c r="Y108" i="33"/>
  <c r="P41" i="53"/>
  <c r="P42" i="53" s="1"/>
  <c r="Z146" i="33"/>
  <c r="Z162" i="33"/>
  <c r="Z20" i="33"/>
  <c r="X82" i="14"/>
  <c r="X93" i="33"/>
  <c r="X83" i="14" s="1"/>
  <c r="X94" i="33"/>
  <c r="R32" i="53"/>
  <c r="Z168" i="33"/>
  <c r="Z115" i="33"/>
  <c r="Z149" i="33"/>
  <c r="AA36" i="33" l="1"/>
  <c r="AA41" i="33" s="1"/>
  <c r="AA162" i="33"/>
  <c r="AA20" i="33"/>
  <c r="AA146" i="33"/>
  <c r="AC104" i="33"/>
  <c r="AC18" i="33" s="1"/>
  <c r="AC107" i="14" s="1"/>
  <c r="AC31" i="14" s="1"/>
  <c r="AC33" i="14" s="1"/>
  <c r="AC26" i="15" s="1"/>
  <c r="AB19" i="33"/>
  <c r="AB162" i="33" s="1"/>
  <c r="AB110" i="33"/>
  <c r="AB24" i="33" s="1"/>
  <c r="AB89" i="33" s="1"/>
  <c r="AB90" i="33" s="1"/>
  <c r="AB91" i="33" s="1"/>
  <c r="AB92" i="33" s="1"/>
  <c r="AB82" i="14" s="1"/>
  <c r="AB99" i="14"/>
  <c r="AC66" i="14"/>
  <c r="AA94" i="15"/>
  <c r="AA99" i="15" s="1"/>
  <c r="AA101" i="15" s="1"/>
  <c r="AA14" i="90"/>
  <c r="Z26" i="15"/>
  <c r="AA26" i="15"/>
  <c r="AA108" i="33"/>
  <c r="AA238" i="33"/>
  <c r="AA239" i="33" s="1"/>
  <c r="AA109" i="33"/>
  <c r="AA42" i="33"/>
  <c r="AA47" i="33"/>
  <c r="AA163" i="33"/>
  <c r="AC111" i="33"/>
  <c r="AC110" i="33" s="1"/>
  <c r="AC24" i="33" s="1"/>
  <c r="AC113" i="33"/>
  <c r="AD112" i="33"/>
  <c r="AD105" i="33"/>
  <c r="AD107" i="33"/>
  <c r="AA147" i="33"/>
  <c r="AA93" i="33"/>
  <c r="AA83" i="14" s="1"/>
  <c r="AA94" i="33"/>
  <c r="CY19" i="14"/>
  <c r="V115" i="33"/>
  <c r="V168" i="33"/>
  <c r="V47" i="33"/>
  <c r="N32" i="53"/>
  <c r="V89" i="33"/>
  <c r="V90" i="33" s="1"/>
  <c r="V91" i="33" s="1"/>
  <c r="V92" i="33" s="1"/>
  <c r="V149" i="33"/>
  <c r="CZ207" i="15"/>
  <c r="V207" i="15"/>
  <c r="V206" i="15"/>
  <c r="CZ206" i="15"/>
  <c r="V227" i="14"/>
  <c r="CX164" i="14"/>
  <c r="CX19" i="14"/>
  <c r="W149" i="33"/>
  <c r="W168" i="33"/>
  <c r="W115" i="33"/>
  <c r="W89" i="33"/>
  <c r="W90" i="33" s="1"/>
  <c r="W91" i="33" s="1"/>
  <c r="W92" i="33" s="1"/>
  <c r="W47" i="33"/>
  <c r="X150" i="33" s="1"/>
  <c r="O32" i="53"/>
  <c r="X149" i="33"/>
  <c r="X168" i="33"/>
  <c r="DA82" i="14"/>
  <c r="DS94" i="33"/>
  <c r="DS95" i="33" s="1"/>
  <c r="DA85" i="14" s="1"/>
  <c r="DS93" i="33"/>
  <c r="DS48" i="33"/>
  <c r="DS116" i="33"/>
  <c r="DS150" i="33"/>
  <c r="DT166" i="33"/>
  <c r="V180" i="15"/>
  <c r="DR166" i="33"/>
  <c r="W227" i="14"/>
  <c r="Y48" i="33"/>
  <c r="Y93" i="33"/>
  <c r="Y83" i="14" s="1"/>
  <c r="Y116" i="33"/>
  <c r="Y164" i="33"/>
  <c r="Z23" i="33"/>
  <c r="Z109" i="33" s="1"/>
  <c r="X7" i="71"/>
  <c r="X8" i="71" s="1"/>
  <c r="Y114" i="33"/>
  <c r="CD73" i="48"/>
  <c r="Y41" i="33"/>
  <c r="Y40" i="33"/>
  <c r="Y110" i="14"/>
  <c r="Y94" i="15" s="1"/>
  <c r="Y99" i="15" s="1"/>
  <c r="Y101" i="15" s="1"/>
  <c r="Y44" i="33"/>
  <c r="Y22" i="48"/>
  <c r="Y42" i="33"/>
  <c r="Y166" i="33" s="1"/>
  <c r="X14" i="90"/>
  <c r="Y6" i="64"/>
  <c r="Y33" i="64" s="1"/>
  <c r="Y82" i="14"/>
  <c r="P30" i="53"/>
  <c r="P34" i="53" s="1"/>
  <c r="P35" i="53" s="1"/>
  <c r="Y150" i="33"/>
  <c r="Y165" i="33"/>
  <c r="Y109" i="33"/>
  <c r="Z36" i="33"/>
  <c r="Z41" i="33" s="1"/>
  <c r="X116" i="33"/>
  <c r="Z163" i="33"/>
  <c r="Z37" i="33"/>
  <c r="Z47" i="33" s="1"/>
  <c r="R30" i="53" s="1"/>
  <c r="R34" i="53" s="1"/>
  <c r="Z147" i="33"/>
  <c r="Z89" i="33"/>
  <c r="Z90" i="33" s="1"/>
  <c r="Z91" i="33" s="1"/>
  <c r="Z92" i="33" s="1"/>
  <c r="Z82" i="14" s="1"/>
  <c r="Z45" i="14"/>
  <c r="AA45" i="14" s="1"/>
  <c r="Y31" i="15"/>
  <c r="Q41" i="53" s="1"/>
  <c r="Q42" i="53" s="1"/>
  <c r="Z108" i="33"/>
  <c r="Y84" i="14"/>
  <c r="Y95" i="33"/>
  <c r="Y85" i="14" s="1"/>
  <c r="Q118" i="53"/>
  <c r="S34" i="53"/>
  <c r="R121" i="53" s="1"/>
  <c r="Q35" i="53"/>
  <c r="P121" i="53"/>
  <c r="X95" i="33"/>
  <c r="X85" i="14" s="1"/>
  <c r="X84" i="14"/>
  <c r="AA114" i="33" l="1"/>
  <c r="AB22" i="33"/>
  <c r="AB108" i="33" s="1"/>
  <c r="AC89" i="33"/>
  <c r="AC90" i="33" s="1"/>
  <c r="AC91" i="33" s="1"/>
  <c r="AC92" i="33" s="1"/>
  <c r="AC82" i="14" s="1"/>
  <c r="AC19" i="33"/>
  <c r="AC146" i="33" s="1"/>
  <c r="AB146" i="33"/>
  <c r="AB20" i="33"/>
  <c r="AB37" i="33"/>
  <c r="AB110" i="14" s="1"/>
  <c r="AB94" i="15" s="1"/>
  <c r="AB99" i="15" s="1"/>
  <c r="AB101" i="15" s="1"/>
  <c r="AB163" i="33"/>
  <c r="AB36" i="33"/>
  <c r="AB114" i="33" s="1"/>
  <c r="AB147" i="33"/>
  <c r="AD104" i="33"/>
  <c r="AD18" i="33" s="1"/>
  <c r="AD107" i="14" s="1"/>
  <c r="AD31" i="14" s="1"/>
  <c r="AD33" i="14" s="1"/>
  <c r="AD26" i="15" s="1"/>
  <c r="AB23" i="33"/>
  <c r="AB165" i="33" s="1"/>
  <c r="AB45" i="14"/>
  <c r="AA46" i="14"/>
  <c r="AA59" i="14" s="1"/>
  <c r="AA95" i="33"/>
  <c r="AA85" i="14" s="1"/>
  <c r="AA84" i="14"/>
  <c r="AD66" i="14"/>
  <c r="AC99" i="14"/>
  <c r="Z31" i="15"/>
  <c r="R41" i="53" s="1"/>
  <c r="R42" i="53" s="1"/>
  <c r="AA31" i="15"/>
  <c r="AD111" i="33"/>
  <c r="AD113" i="33"/>
  <c r="AA44" i="33"/>
  <c r="AA164" i="33"/>
  <c r="AA40" i="33"/>
  <c r="AA165" i="33"/>
  <c r="AC22" i="33"/>
  <c r="AC23" i="33"/>
  <c r="AC147" i="33"/>
  <c r="AC163" i="33"/>
  <c r="AA148" i="33"/>
  <c r="AA48" i="33"/>
  <c r="AA116" i="33"/>
  <c r="AA150" i="33"/>
  <c r="AB93" i="33"/>
  <c r="AB83" i="14" s="1"/>
  <c r="AB94" i="33"/>
  <c r="CX18" i="14"/>
  <c r="V19" i="14"/>
  <c r="V165" i="14"/>
  <c r="CZ165" i="14"/>
  <c r="DA207" i="15"/>
  <c r="DB207" i="15" s="1"/>
  <c r="DC207" i="15" s="1"/>
  <c r="N30" i="53"/>
  <c r="N34" i="53" s="1"/>
  <c r="V55" i="33"/>
  <c r="V150" i="33"/>
  <c r="V48" i="33"/>
  <c r="V116" i="33"/>
  <c r="W116" i="33"/>
  <c r="W150" i="33"/>
  <c r="W48" i="33"/>
  <c r="O30" i="53"/>
  <c r="O34" i="53" s="1"/>
  <c r="W82" i="14"/>
  <c r="W93" i="33"/>
  <c r="W83" i="14" s="1"/>
  <c r="W94" i="33"/>
  <c r="DA206" i="15"/>
  <c r="CZ180" i="15"/>
  <c r="V93" i="33"/>
  <c r="V83" i="14" s="1"/>
  <c r="V87" i="14" s="1"/>
  <c r="V94" i="33"/>
  <c r="V82" i="14"/>
  <c r="Z238" i="33"/>
  <c r="Z239" i="33" s="1"/>
  <c r="Z165" i="33"/>
  <c r="P118" i="53"/>
  <c r="P149" i="53" s="1"/>
  <c r="O121" i="53"/>
  <c r="O122" i="53" s="1"/>
  <c r="Z94" i="33"/>
  <c r="Z84" i="14" s="1"/>
  <c r="Z93" i="33"/>
  <c r="Z83" i="14" s="1"/>
  <c r="Z110" i="14"/>
  <c r="Z14" i="90" s="1"/>
  <c r="Z148" i="33"/>
  <c r="Y14" i="90"/>
  <c r="Z164" i="33"/>
  <c r="Z48" i="33"/>
  <c r="Z114" i="33"/>
  <c r="Z40" i="33"/>
  <c r="Z150" i="33"/>
  <c r="Z116" i="33"/>
  <c r="Z44" i="33"/>
  <c r="Y7" i="71"/>
  <c r="Y8" i="71" s="1"/>
  <c r="Z6" i="64"/>
  <c r="Z33" i="64" s="1"/>
  <c r="Z42" i="33"/>
  <c r="Z166" i="33" s="1"/>
  <c r="Z46" i="14"/>
  <c r="Z59" i="14" s="1"/>
  <c r="R118" i="53"/>
  <c r="Q121" i="53"/>
  <c r="R35" i="53"/>
  <c r="R152" i="53"/>
  <c r="R122" i="53"/>
  <c r="Q149" i="53"/>
  <c r="Q119" i="53"/>
  <c r="P152" i="53"/>
  <c r="P122" i="53"/>
  <c r="AB109" i="33" l="1"/>
  <c r="AB42" i="33"/>
  <c r="AB166" i="33" s="1"/>
  <c r="AC37" i="33"/>
  <c r="AC110" i="14" s="1"/>
  <c r="AC14" i="90" s="1"/>
  <c r="AC36" i="33"/>
  <c r="AC148" i="33" s="1"/>
  <c r="AC162" i="33"/>
  <c r="AC20" i="33"/>
  <c r="AB148" i="33"/>
  <c r="AB41" i="33"/>
  <c r="AB164" i="33"/>
  <c r="AB40" i="33"/>
  <c r="AD19" i="33"/>
  <c r="AD146" i="33" s="1"/>
  <c r="AB238" i="33"/>
  <c r="AB239" i="33" s="1"/>
  <c r="AB47" i="33"/>
  <c r="AB116" i="33" s="1"/>
  <c r="AD110" i="33"/>
  <c r="AD24" i="33" s="1"/>
  <c r="AD89" i="33" s="1"/>
  <c r="AD90" i="33" s="1"/>
  <c r="AD91" i="33" s="1"/>
  <c r="AD92" i="33" s="1"/>
  <c r="AD82" i="14" s="1"/>
  <c r="AB14" i="90"/>
  <c r="AB44" i="33"/>
  <c r="AB95" i="33"/>
  <c r="AB85" i="14" s="1"/>
  <c r="AB84" i="14"/>
  <c r="AD99" i="14"/>
  <c r="AC45" i="14"/>
  <c r="AB31" i="15"/>
  <c r="AB46" i="14"/>
  <c r="AB59" i="14" s="1"/>
  <c r="AC109" i="33"/>
  <c r="AC165" i="33"/>
  <c r="AC108" i="33"/>
  <c r="AC238" i="33"/>
  <c r="AC239" i="33" s="1"/>
  <c r="AC93" i="33"/>
  <c r="AC83" i="14" s="1"/>
  <c r="AC94" i="33"/>
  <c r="AA166" i="33"/>
  <c r="V95" i="33"/>
  <c r="V85" i="14" s="1"/>
  <c r="V89" i="14" s="1"/>
  <c r="V84" i="14"/>
  <c r="DB206" i="15"/>
  <c r="DA180" i="15"/>
  <c r="O35" i="53"/>
  <c r="O118" i="53"/>
  <c r="N121" i="53"/>
  <c r="M121" i="53"/>
  <c r="N35" i="53"/>
  <c r="N118" i="53"/>
  <c r="W84" i="14"/>
  <c r="W95" i="33"/>
  <c r="W85" i="14" s="1"/>
  <c r="W89" i="14" s="1"/>
  <c r="W207" i="15"/>
  <c r="X207" i="15" s="1"/>
  <c r="Y207" i="15" s="1"/>
  <c r="Z207" i="15" s="1"/>
  <c r="AA207" i="15" s="1"/>
  <c r="AB207" i="15" s="1"/>
  <c r="AC207" i="15" s="1"/>
  <c r="AD207" i="15" s="1"/>
  <c r="V164" i="14"/>
  <c r="V166" i="14" s="1"/>
  <c r="CZ164" i="14"/>
  <c r="V234" i="33"/>
  <c r="V235" i="33" s="1"/>
  <c r="W233" i="33" s="1"/>
  <c r="DA165" i="14"/>
  <c r="CZ19" i="14"/>
  <c r="V57" i="33"/>
  <c r="O152" i="53"/>
  <c r="Z95" i="33"/>
  <c r="Z85" i="14" s="1"/>
  <c r="P119" i="53"/>
  <c r="Z94" i="15"/>
  <c r="Z99" i="15" s="1"/>
  <c r="Z101" i="15" s="1"/>
  <c r="Q152" i="53"/>
  <c r="Q122" i="53"/>
  <c r="R149" i="53"/>
  <c r="R119" i="53"/>
  <c r="AC94" i="15" l="1"/>
  <c r="AC99" i="15" s="1"/>
  <c r="AC101" i="15" s="1"/>
  <c r="AC114" i="33"/>
  <c r="AC47" i="33"/>
  <c r="AC150" i="33" s="1"/>
  <c r="AC44" i="33"/>
  <c r="AC42" i="33"/>
  <c r="AC166" i="33" s="1"/>
  <c r="AC41" i="33"/>
  <c r="AC164" i="33"/>
  <c r="AC40" i="33"/>
  <c r="AD37" i="33"/>
  <c r="AD110" i="14" s="1"/>
  <c r="AD14" i="90" s="1"/>
  <c r="AD147" i="33"/>
  <c r="AD162" i="33"/>
  <c r="AD22" i="33"/>
  <c r="AD108" i="33" s="1"/>
  <c r="AB48" i="33"/>
  <c r="AD20" i="33"/>
  <c r="AD163" i="33"/>
  <c r="AD36" i="33"/>
  <c r="AD40" i="33" s="1"/>
  <c r="AD23" i="33"/>
  <c r="AD109" i="33" s="1"/>
  <c r="AB150" i="33"/>
  <c r="AC95" i="33"/>
  <c r="AC85" i="14" s="1"/>
  <c r="AC84" i="14"/>
  <c r="AD45" i="14"/>
  <c r="AC31" i="15"/>
  <c r="AC46" i="14"/>
  <c r="AC59" i="14" s="1"/>
  <c r="AD93" i="33"/>
  <c r="AD83" i="14" s="1"/>
  <c r="AD94" i="33"/>
  <c r="N152" i="53"/>
  <c r="N122" i="53"/>
  <c r="DC206" i="15"/>
  <c r="DC180" i="15" s="1"/>
  <c r="DB180" i="15"/>
  <c r="M122" i="53"/>
  <c r="M152" i="53"/>
  <c r="DA19" i="14"/>
  <c r="DB165" i="14"/>
  <c r="CZ18" i="14"/>
  <c r="CZ20" i="14" s="1"/>
  <c r="CZ78" i="14" s="1"/>
  <c r="DA164" i="14"/>
  <c r="CZ166" i="14"/>
  <c r="N149" i="53"/>
  <c r="N119" i="53"/>
  <c r="O149" i="53"/>
  <c r="O119" i="53"/>
  <c r="N36" i="53"/>
  <c r="V97" i="33"/>
  <c r="V98" i="33" s="1"/>
  <c r="V99" i="33" s="1"/>
  <c r="V86" i="14" s="1"/>
  <c r="V90" i="14" s="1"/>
  <c r="V58" i="33"/>
  <c r="V61" i="33"/>
  <c r="V18" i="14"/>
  <c r="DR233" i="33"/>
  <c r="AO23" i="77"/>
  <c r="AM23" i="77"/>
  <c r="AC116" i="33" l="1"/>
  <c r="AC48" i="33"/>
  <c r="AD164" i="33"/>
  <c r="AD114" i="33"/>
  <c r="AD148" i="33"/>
  <c r="AD42" i="33"/>
  <c r="AD166" i="33" s="1"/>
  <c r="AD41" i="33"/>
  <c r="AD94" i="15"/>
  <c r="AD99" i="15" s="1"/>
  <c r="AD101" i="15" s="1"/>
  <c r="AD44" i="33"/>
  <c r="AD238" i="33"/>
  <c r="AD239" i="33" s="1"/>
  <c r="AD47" i="33"/>
  <c r="AD48" i="33" s="1"/>
  <c r="AD165" i="33"/>
  <c r="AD95" i="33"/>
  <c r="AD85" i="14" s="1"/>
  <c r="AD84" i="14"/>
  <c r="AD31" i="15"/>
  <c r="AD46" i="14"/>
  <c r="AD59" i="14" s="1"/>
  <c r="W180" i="15"/>
  <c r="W206" i="15"/>
  <c r="X206" i="15" s="1"/>
  <c r="Y206" i="15" s="1"/>
  <c r="V72" i="33"/>
  <c r="V71" i="33"/>
  <c r="V70" i="33"/>
  <c r="V69" i="33"/>
  <c r="DA166" i="14"/>
  <c r="DB164" i="14"/>
  <c r="DA18" i="14"/>
  <c r="DA20" i="14" s="1"/>
  <c r="DA78" i="14" s="1"/>
  <c r="V8" i="15"/>
  <c r="V32" i="15" s="1"/>
  <c r="CZ80" i="14"/>
  <c r="DA81" i="14" s="1"/>
  <c r="DB89" i="14" s="1"/>
  <c r="DA79" i="14"/>
  <c r="DA87" i="14" s="1"/>
  <c r="V63" i="33"/>
  <c r="V100" i="33"/>
  <c r="V118" i="33"/>
  <c r="V151" i="33"/>
  <c r="V20" i="14"/>
  <c r="V78" i="14" s="1"/>
  <c r="N37" i="53"/>
  <c r="N43" i="53"/>
  <c r="DC165" i="14"/>
  <c r="DB19" i="14"/>
  <c r="AD150" i="33" l="1"/>
  <c r="AD116" i="33"/>
  <c r="X180" i="15"/>
  <c r="DB79" i="14"/>
  <c r="DB87" i="14" s="1"/>
  <c r="DA80" i="14"/>
  <c r="DB81" i="14" s="1"/>
  <c r="DC89" i="14" s="1"/>
  <c r="V88" i="14"/>
  <c r="V80" i="14"/>
  <c r="W81" i="14" s="1"/>
  <c r="X89" i="14" s="1"/>
  <c r="W79" i="14"/>
  <c r="W87" i="14" s="1"/>
  <c r="DB166" i="14"/>
  <c r="DB18" i="14"/>
  <c r="DB20" i="14" s="1"/>
  <c r="DB78" i="14" s="1"/>
  <c r="DB88" i="14" s="1"/>
  <c r="DC164" i="14"/>
  <c r="CZ95" i="14"/>
  <c r="W165" i="14"/>
  <c r="X165" i="14" s="1"/>
  <c r="DC19" i="14"/>
  <c r="W19" i="14" s="1"/>
  <c r="CZ79" i="14"/>
  <c r="CZ87" i="14" s="1"/>
  <c r="CZ81" i="14"/>
  <c r="DA89" i="14" s="1"/>
  <c r="CZ88" i="14"/>
  <c r="V78" i="33"/>
  <c r="V152" i="33"/>
  <c r="V119" i="33"/>
  <c r="V79" i="33"/>
  <c r="V67" i="33"/>
  <c r="V111" i="14"/>
  <c r="V96" i="14" s="1"/>
  <c r="V102" i="14" s="1"/>
  <c r="Y180" i="15"/>
  <c r="Z206" i="15"/>
  <c r="N47" i="53"/>
  <c r="N44" i="53"/>
  <c r="DA88" i="14"/>
  <c r="V103" i="15"/>
  <c r="V105" i="15" s="1"/>
  <c r="V107" i="15" s="1"/>
  <c r="V74" i="15"/>
  <c r="V68" i="15"/>
  <c r="V70" i="15" s="1"/>
  <c r="V83" i="15"/>
  <c r="V88" i="15" s="1"/>
  <c r="V90" i="15" s="1"/>
  <c r="V92" i="15" s="1"/>
  <c r="V30" i="48"/>
  <c r="V73" i="33"/>
  <c r="V75" i="33" s="1"/>
  <c r="V80" i="33" s="1"/>
  <c r="V179" i="15"/>
  <c r="V184" i="15" s="1"/>
  <c r="V67" i="14"/>
  <c r="V71" i="14" s="1"/>
  <c r="V73" i="14" s="1"/>
  <c r="Z180" i="15" l="1"/>
  <c r="AA206" i="15"/>
  <c r="Y165" i="14"/>
  <c r="X19" i="14"/>
  <c r="W69" i="15"/>
  <c r="V8" i="14"/>
  <c r="V103" i="14"/>
  <c r="W95" i="14"/>
  <c r="V185" i="15"/>
  <c r="V216" i="15"/>
  <c r="V190" i="15"/>
  <c r="V78" i="15"/>
  <c r="V81" i="15" s="1"/>
  <c r="N124" i="53" s="1"/>
  <c r="V76" i="15"/>
  <c r="N127" i="53" s="1"/>
  <c r="CZ69" i="15"/>
  <c r="CB71" i="48"/>
  <c r="V167" i="33"/>
  <c r="DC79" i="14"/>
  <c r="DC87" i="14" s="1"/>
  <c r="DB80" i="14"/>
  <c r="DC81" i="14" s="1"/>
  <c r="DC18" i="14"/>
  <c r="W164" i="14"/>
  <c r="DC166" i="14"/>
  <c r="V191" i="15" l="1"/>
  <c r="AA180" i="15"/>
  <c r="AB206" i="15"/>
  <c r="W166" i="14"/>
  <c r="X164" i="14"/>
  <c r="N128" i="53"/>
  <c r="N158" i="53"/>
  <c r="V15" i="14"/>
  <c r="V28" i="14" s="1"/>
  <c r="V75" i="14" s="1"/>
  <c r="V112" i="14"/>
  <c r="Y19" i="14"/>
  <c r="Z165" i="14"/>
  <c r="W18" i="14"/>
  <c r="DC20" i="14"/>
  <c r="DQ175" i="33"/>
  <c r="N125" i="53"/>
  <c r="N155" i="53"/>
  <c r="V222" i="15"/>
  <c r="V217" i="15"/>
  <c r="BB41" i="77"/>
  <c r="V195" i="15"/>
  <c r="V196" i="15" s="1"/>
  <c r="Z19" i="14" l="1"/>
  <c r="AA165" i="14"/>
  <c r="AB180" i="15"/>
  <c r="AC206" i="15"/>
  <c r="V198" i="15"/>
  <c r="V227" i="15"/>
  <c r="V228" i="15" s="1"/>
  <c r="DC78" i="14"/>
  <c r="W20" i="14"/>
  <c r="W78" i="14" s="1"/>
  <c r="V11" i="48"/>
  <c r="V116" i="14"/>
  <c r="V115" i="14"/>
  <c r="V15" i="90" s="1"/>
  <c r="V223" i="15"/>
  <c r="V175" i="33"/>
  <c r="AM24" i="77"/>
  <c r="CZ368" i="90"/>
  <c r="CY15" i="90"/>
  <c r="BJ19" i="77"/>
  <c r="X18" i="14"/>
  <c r="X20" i="14" s="1"/>
  <c r="X78" i="14" s="1"/>
  <c r="Y164" i="14"/>
  <c r="X166" i="14"/>
  <c r="V199" i="15" l="1"/>
  <c r="AA19" i="14"/>
  <c r="AB165" i="14"/>
  <c r="AC180" i="15"/>
  <c r="AD206" i="15"/>
  <c r="AD180" i="15" s="1"/>
  <c r="X88" i="14"/>
  <c r="W80" i="14"/>
  <c r="X81" i="14" s="1"/>
  <c r="Y89" i="14" s="1"/>
  <c r="X79" i="14"/>
  <c r="X87" i="14" s="1"/>
  <c r="W88" i="14"/>
  <c r="Y18" i="14"/>
  <c r="Y20" i="14" s="1"/>
  <c r="Y78" i="14" s="1"/>
  <c r="Z164" i="14"/>
  <c r="AA164" i="14" s="1"/>
  <c r="Y166" i="14"/>
  <c r="DR52" i="33"/>
  <c r="CZ372" i="90"/>
  <c r="DC80" i="14"/>
  <c r="DC88" i="14"/>
  <c r="Y79" i="14"/>
  <c r="Y87" i="14" s="1"/>
  <c r="X80" i="14"/>
  <c r="Y81" i="14" s="1"/>
  <c r="Z89" i="14" s="1"/>
  <c r="V230" i="15"/>
  <c r="AM25" i="77"/>
  <c r="V425" i="71"/>
  <c r="AA18" i="14" l="1"/>
  <c r="AA20" i="14" s="1"/>
  <c r="AA166" i="14"/>
  <c r="AB164" i="14"/>
  <c r="AB19" i="14"/>
  <c r="AC165" i="14"/>
  <c r="Y80" i="14"/>
  <c r="Z81" i="14" s="1"/>
  <c r="AA89" i="14" s="1"/>
  <c r="Z79" i="14"/>
  <c r="Z87" i="14" s="1"/>
  <c r="DR96" i="33"/>
  <c r="DR55" i="33"/>
  <c r="CZ80" i="15"/>
  <c r="CZ96" i="15"/>
  <c r="CZ97" i="15" s="1"/>
  <c r="U405" i="71"/>
  <c r="V231" i="15"/>
  <c r="Y88" i="14"/>
  <c r="Z166" i="14"/>
  <c r="Z18" i="14"/>
  <c r="Z20" i="14" s="1"/>
  <c r="Z78" i="14" s="1"/>
  <c r="V427" i="71"/>
  <c r="V426" i="71"/>
  <c r="Z80" i="14" l="1"/>
  <c r="AA81" i="14" s="1"/>
  <c r="AB89" i="14" s="1"/>
  <c r="AA79" i="14"/>
  <c r="AA87" i="14" s="1"/>
  <c r="AB18" i="14"/>
  <c r="AB20" i="14" s="1"/>
  <c r="AC164" i="14"/>
  <c r="AB166" i="14"/>
  <c r="AA78" i="14"/>
  <c r="AC19" i="14"/>
  <c r="AD165" i="14"/>
  <c r="AD19" i="14" s="1"/>
  <c r="U406" i="71"/>
  <c r="U428" i="71"/>
  <c r="U429" i="71" s="1"/>
  <c r="DR57" i="33"/>
  <c r="DR97" i="33" s="1"/>
  <c r="DR98" i="33" s="1"/>
  <c r="DR99" i="33" s="1"/>
  <c r="CZ86" i="14" s="1"/>
  <c r="CZ90" i="14" s="1"/>
  <c r="Z88" i="14"/>
  <c r="AA80" i="14" l="1"/>
  <c r="AB81" i="14" s="1"/>
  <c r="AC89" i="14" s="1"/>
  <c r="AB79" i="14"/>
  <c r="AB87" i="14" s="1"/>
  <c r="AB78" i="14"/>
  <c r="AC18" i="14"/>
  <c r="AC20" i="14" s="1"/>
  <c r="AD164" i="14"/>
  <c r="AC166" i="14"/>
  <c r="AA88" i="14"/>
  <c r="DR61" i="33"/>
  <c r="AB80" i="14" l="1"/>
  <c r="AC81" i="14" s="1"/>
  <c r="AD89" i="14" s="1"/>
  <c r="AC79" i="14"/>
  <c r="AC87" i="14" s="1"/>
  <c r="AD18" i="14"/>
  <c r="AD20" i="14" s="1"/>
  <c r="AD166" i="14"/>
  <c r="AB88" i="14"/>
  <c r="AC78" i="14"/>
  <c r="DR118" i="33"/>
  <c r="DR151" i="33"/>
  <c r="DR167" i="33"/>
  <c r="DR63" i="33"/>
  <c r="DR100" i="33"/>
  <c r="AC80" i="14" l="1"/>
  <c r="AD81" i="14" s="1"/>
  <c r="AD79" i="14"/>
  <c r="AD87" i="14" s="1"/>
  <c r="AD78" i="14"/>
  <c r="AD80" i="14" s="1"/>
  <c r="AC88" i="14"/>
  <c r="DR234" i="33"/>
  <c r="DR235" i="33" s="1"/>
  <c r="DS233" i="33" s="1"/>
  <c r="DR119" i="33"/>
  <c r="DR79" i="33"/>
  <c r="DR67" i="33"/>
  <c r="CZ8" i="15"/>
  <c r="CZ32" i="15" s="1"/>
  <c r="DR152" i="33"/>
  <c r="CZ111" i="14"/>
  <c r="DR168" i="33"/>
  <c r="DR78" i="33"/>
  <c r="AD88" i="14" l="1"/>
  <c r="DR75" i="33"/>
  <c r="DR80" i="33" s="1"/>
  <c r="CZ179" i="15"/>
  <c r="CZ184" i="15" s="1"/>
  <c r="CZ103" i="15"/>
  <c r="CZ105" i="15" s="1"/>
  <c r="CZ107" i="15" s="1"/>
  <c r="CZ83" i="15"/>
  <c r="CZ88" i="15" s="1"/>
  <c r="CZ90" i="15" s="1"/>
  <c r="CZ92" i="15" s="1"/>
  <c r="CZ74" i="15"/>
  <c r="CZ68" i="15"/>
  <c r="CZ70" i="15" s="1"/>
  <c r="CZ96" i="14"/>
  <c r="CZ102" i="14" s="1"/>
  <c r="CZ67" i="14"/>
  <c r="CZ71" i="14" s="1"/>
  <c r="CZ73" i="14" s="1"/>
  <c r="DA95" i="14" l="1"/>
  <c r="CZ103" i="14"/>
  <c r="CZ76" i="15"/>
  <c r="CZ78" i="15"/>
  <c r="CZ81" i="15" s="1"/>
  <c r="CZ8" i="14"/>
  <c r="DA69" i="15"/>
  <c r="CZ195" i="15"/>
  <c r="CZ190" i="15"/>
  <c r="CZ216" i="15"/>
  <c r="CZ186" i="15"/>
  <c r="CZ185" i="15"/>
  <c r="CZ192" i="15" l="1"/>
  <c r="CZ191" i="15"/>
  <c r="CZ198" i="15"/>
  <c r="CZ217" i="15"/>
  <c r="CZ218" i="15"/>
  <c r="CZ222" i="15"/>
  <c r="CZ227" i="15"/>
  <c r="CZ196" i="15"/>
  <c r="CZ197" i="15"/>
  <c r="CZ112" i="14"/>
  <c r="CZ15" i="14"/>
  <c r="CZ28" i="14" s="1"/>
  <c r="CZ75" i="14" s="1"/>
  <c r="CZ229" i="15" l="1"/>
  <c r="CZ228" i="15"/>
  <c r="CZ200" i="15"/>
  <c r="CZ199" i="15"/>
  <c r="DA368" i="90"/>
  <c r="CZ116" i="14"/>
  <c r="CZ115" i="14"/>
  <c r="CZ15" i="90" s="1"/>
  <c r="DR175" i="33"/>
  <c r="CZ224" i="15"/>
  <c r="CZ230" i="15"/>
  <c r="CZ223" i="15"/>
  <c r="DS52" i="33" l="1"/>
  <c r="DA372" i="90"/>
  <c r="CZ232" i="15"/>
  <c r="CZ231" i="15"/>
  <c r="DS55" i="33" l="1"/>
  <c r="DS96" i="33"/>
  <c r="DA96" i="15"/>
  <c r="DA97" i="15" s="1"/>
  <c r="DA80" i="15"/>
  <c r="DS57" i="33" l="1"/>
  <c r="DS97" i="33" s="1"/>
  <c r="DS98" i="33" s="1"/>
  <c r="DS99" i="33" s="1"/>
  <c r="DA86" i="14" s="1"/>
  <c r="DA90" i="14" s="1"/>
  <c r="DS61" i="33" l="1"/>
  <c r="DS63" i="33" l="1"/>
  <c r="DS167" i="33"/>
  <c r="DS151" i="33"/>
  <c r="DS100" i="33"/>
  <c r="DS118" i="33"/>
  <c r="DS152" i="33" l="1"/>
  <c r="DA111" i="14"/>
  <c r="DS234" i="33"/>
  <c r="DS235" i="33" s="1"/>
  <c r="DT233" i="33" s="1"/>
  <c r="DS78" i="33"/>
  <c r="DA8" i="15"/>
  <c r="DA32" i="15" s="1"/>
  <c r="DS79" i="33"/>
  <c r="DS119" i="33"/>
  <c r="DS67" i="33"/>
  <c r="DS168" i="33"/>
  <c r="DA179" i="15" l="1"/>
  <c r="DA184" i="15" s="1"/>
  <c r="DS75" i="33"/>
  <c r="DS80" i="33" s="1"/>
  <c r="DA83" i="15"/>
  <c r="DA88" i="15" s="1"/>
  <c r="DA90" i="15" s="1"/>
  <c r="DA92" i="15" s="1"/>
  <c r="DA68" i="15"/>
  <c r="DA70" i="15" s="1"/>
  <c r="DA103" i="15"/>
  <c r="DA105" i="15" s="1"/>
  <c r="DA107" i="15" s="1"/>
  <c r="DA74" i="15"/>
  <c r="DA96" i="14"/>
  <c r="DA102" i="14" s="1"/>
  <c r="DA67" i="14"/>
  <c r="DA71" i="14" s="1"/>
  <c r="DA73" i="14" s="1"/>
  <c r="DB69" i="15" l="1"/>
  <c r="DA8" i="14"/>
  <c r="DA190" i="15"/>
  <c r="DA195" i="15"/>
  <c r="DA186" i="15"/>
  <c r="DA216" i="15"/>
  <c r="DA185" i="15"/>
  <c r="DA103" i="14"/>
  <c r="DB95" i="14"/>
  <c r="DA78" i="15"/>
  <c r="DA81" i="15" s="1"/>
  <c r="DA76" i="15"/>
  <c r="DA196" i="15" l="1"/>
  <c r="DA197" i="15"/>
  <c r="DA192" i="15"/>
  <c r="DA198" i="15"/>
  <c r="DA191" i="15"/>
  <c r="DA217" i="15"/>
  <c r="DA218" i="15"/>
  <c r="DA222" i="15"/>
  <c r="DA227" i="15"/>
  <c r="DA112" i="14"/>
  <c r="DA15" i="14"/>
  <c r="DA28" i="14" s="1"/>
  <c r="DA75" i="14" s="1"/>
  <c r="DA223" i="15" l="1"/>
  <c r="DA224" i="15"/>
  <c r="DS175" i="33"/>
  <c r="DA230" i="15"/>
  <c r="DA200" i="15"/>
  <c r="DA199" i="15"/>
  <c r="DA228" i="15"/>
  <c r="DA229" i="15"/>
  <c r="DA115" i="14"/>
  <c r="DA15" i="90" s="1"/>
  <c r="DA116" i="14"/>
  <c r="DB368" i="90"/>
  <c r="DA232" i="15" l="1"/>
  <c r="DA231" i="15"/>
  <c r="DT52" i="33"/>
  <c r="DB372" i="90"/>
  <c r="X33" i="90"/>
  <c r="DB80" i="15" l="1"/>
  <c r="DB96" i="15"/>
  <c r="DB97" i="15" s="1"/>
  <c r="DT96" i="33"/>
  <c r="DT55" i="33"/>
  <c r="DT57" i="33" l="1"/>
  <c r="DT97" i="33" s="1"/>
  <c r="DT98" i="33" s="1"/>
  <c r="DT99" i="33" s="1"/>
  <c r="DB86" i="14" s="1"/>
  <c r="DB90" i="14" s="1"/>
  <c r="DT61" i="33" l="1"/>
  <c r="DT63" i="33" l="1"/>
  <c r="DT100" i="33"/>
  <c r="DT167" i="33"/>
  <c r="DT118" i="33"/>
  <c r="DT151" i="33"/>
  <c r="DT78" i="33" l="1"/>
  <c r="DT79" i="33"/>
  <c r="DT119" i="33"/>
  <c r="DB111" i="14"/>
  <c r="DT152" i="33"/>
  <c r="DT234" i="33"/>
  <c r="DT235" i="33" s="1"/>
  <c r="DU233" i="33" s="1"/>
  <c r="DB8" i="15"/>
  <c r="DB32" i="15" s="1"/>
  <c r="DT67" i="33"/>
  <c r="DT168" i="33"/>
  <c r="DT75" i="33" l="1"/>
  <c r="DT80" i="33" s="1"/>
  <c r="DB179" i="15"/>
  <c r="DB184" i="15" s="1"/>
  <c r="DB67" i="14"/>
  <c r="DB71" i="14" s="1"/>
  <c r="DB73" i="14" s="1"/>
  <c r="DB96" i="14"/>
  <c r="DB102" i="14" s="1"/>
  <c r="DB83" i="15"/>
  <c r="DB88" i="15" s="1"/>
  <c r="DB90" i="15" s="1"/>
  <c r="DB92" i="15" s="1"/>
  <c r="DB74" i="15"/>
  <c r="DB68" i="15"/>
  <c r="DB70" i="15" s="1"/>
  <c r="DB103" i="15"/>
  <c r="DB105" i="15" s="1"/>
  <c r="DB107" i="15" s="1"/>
  <c r="DC95" i="14" l="1"/>
  <c r="DB103" i="14"/>
  <c r="DC69" i="15"/>
  <c r="DB8" i="14"/>
  <c r="DB78" i="15"/>
  <c r="DB81" i="15" s="1"/>
  <c r="DB76" i="15"/>
  <c r="DB185" i="15"/>
  <c r="DB186" i="15"/>
  <c r="DB216" i="15"/>
  <c r="DB190" i="15"/>
  <c r="DB195" i="15"/>
  <c r="DB217" i="15" l="1"/>
  <c r="DB227" i="15"/>
  <c r="DB218" i="15"/>
  <c r="DB222" i="15"/>
  <c r="DB15" i="14"/>
  <c r="DB28" i="14" s="1"/>
  <c r="DB75" i="14" s="1"/>
  <c r="DB112" i="14"/>
  <c r="DB196" i="15"/>
  <c r="DB197" i="15"/>
  <c r="DB192" i="15"/>
  <c r="DB198" i="15"/>
  <c r="DB191" i="15"/>
  <c r="DB230" i="15" l="1"/>
  <c r="DB224" i="15"/>
  <c r="DB223" i="15"/>
  <c r="DT175" i="33"/>
  <c r="DB200" i="15"/>
  <c r="DB199" i="15"/>
  <c r="DC368" i="90"/>
  <c r="DB116" i="14"/>
  <c r="DB115" i="14"/>
  <c r="DB15" i="90" s="1"/>
  <c r="DB229" i="15"/>
  <c r="DB228" i="15"/>
  <c r="DB232" i="15" l="1"/>
  <c r="DB231" i="15"/>
  <c r="W368" i="90"/>
  <c r="W372" i="90" s="1"/>
  <c r="DU52" i="33"/>
  <c r="DC372" i="90"/>
  <c r="W96" i="15" l="1"/>
  <c r="W97" i="15" s="1"/>
  <c r="W35" i="64" s="1"/>
  <c r="W80" i="15"/>
  <c r="DC80" i="15"/>
  <c r="DC96" i="15"/>
  <c r="DC97" i="15" s="1"/>
  <c r="W52" i="33"/>
  <c r="DU55" i="33"/>
  <c r="DU96" i="33"/>
  <c r="W8" i="64" l="1"/>
  <c r="W10" i="64" s="1"/>
  <c r="W55" i="33"/>
  <c r="W234" i="33" s="1"/>
  <c r="W235" i="33" s="1"/>
  <c r="X233" i="33" s="1"/>
  <c r="W28" i="48"/>
  <c r="W96" i="33"/>
  <c r="DU57" i="33"/>
  <c r="DU61" i="33" s="1"/>
  <c r="DU167" i="33" l="1"/>
  <c r="DU151" i="33"/>
  <c r="DU63" i="33"/>
  <c r="DU118" i="33"/>
  <c r="DU100" i="33"/>
  <c r="DU97" i="33"/>
  <c r="DU98" i="33" s="1"/>
  <c r="DU99" i="33" s="1"/>
  <c r="DC86" i="14" s="1"/>
  <c r="DC90" i="14" s="1"/>
  <c r="W57" i="33"/>
  <c r="W61" i="33" l="1"/>
  <c r="W58" i="33"/>
  <c r="W97" i="33"/>
  <c r="W98" i="33" s="1"/>
  <c r="W99" i="33" s="1"/>
  <c r="W86" i="14" s="1"/>
  <c r="W90" i="14" s="1"/>
  <c r="O36" i="53"/>
  <c r="DU119" i="33"/>
  <c r="DC111" i="14"/>
  <c r="DU67" i="33"/>
  <c r="DU152" i="33"/>
  <c r="DU234" i="33"/>
  <c r="DU235" i="33" s="1"/>
  <c r="DC8" i="15"/>
  <c r="DU168" i="33"/>
  <c r="DU78" i="33"/>
  <c r="DU79" i="33"/>
  <c r="O37" i="53" l="1"/>
  <c r="O43" i="53"/>
  <c r="W118" i="33"/>
  <c r="W151" i="33"/>
  <c r="W100" i="33"/>
  <c r="W63" i="33"/>
  <c r="DC179" i="15"/>
  <c r="DU75" i="33"/>
  <c r="DU80" i="33" s="1"/>
  <c r="W8" i="15"/>
  <c r="W32" i="15" s="1"/>
  <c r="DC32" i="15"/>
  <c r="DC96" i="14"/>
  <c r="DC102" i="14" s="1"/>
  <c r="DC67" i="14"/>
  <c r="W69" i="33"/>
  <c r="W71" i="33"/>
  <c r="W70" i="33"/>
  <c r="W72" i="33"/>
  <c r="W73" i="33" l="1"/>
  <c r="W74" i="15"/>
  <c r="W83" i="15"/>
  <c r="W88" i="15" s="1"/>
  <c r="W90" i="15" s="1"/>
  <c r="W92" i="15" s="1"/>
  <c r="W30" i="48"/>
  <c r="W68" i="15"/>
  <c r="W70" i="15" s="1"/>
  <c r="W103" i="15"/>
  <c r="W105" i="15" s="1"/>
  <c r="W107" i="15" s="1"/>
  <c r="DC71" i="14"/>
  <c r="DC73" i="14" s="1"/>
  <c r="W67" i="14"/>
  <c r="W71" i="14" s="1"/>
  <c r="W73" i="14" s="1"/>
  <c r="DC184" i="15"/>
  <c r="W179" i="15"/>
  <c r="W184" i="15" s="1"/>
  <c r="DC74" i="15"/>
  <c r="DC83" i="15"/>
  <c r="DC88" i="15" s="1"/>
  <c r="DC90" i="15" s="1"/>
  <c r="DC92" i="15" s="1"/>
  <c r="DC68" i="15"/>
  <c r="DC70" i="15" s="1"/>
  <c r="DC8" i="14" s="1"/>
  <c r="DC103" i="15"/>
  <c r="DC105" i="15" s="1"/>
  <c r="DC107" i="15" s="1"/>
  <c r="W111" i="14"/>
  <c r="W96" i="14" s="1"/>
  <c r="W102" i="14" s="1"/>
  <c r="W119" i="33"/>
  <c r="W152" i="33"/>
  <c r="W79" i="33"/>
  <c r="W67" i="33"/>
  <c r="W78" i="33"/>
  <c r="O47" i="53"/>
  <c r="O44" i="53"/>
  <c r="W75" i="33" l="1"/>
  <c r="W80" i="33" s="1"/>
  <c r="DC103" i="14"/>
  <c r="W78" i="15"/>
  <c r="W81" i="15" s="1"/>
  <c r="O124" i="53" s="1"/>
  <c r="W76" i="15"/>
  <c r="O127" i="53" s="1"/>
  <c r="X95" i="14"/>
  <c r="W103" i="14"/>
  <c r="DC76" i="15"/>
  <c r="DC78" i="15"/>
  <c r="DC81" i="15" s="1"/>
  <c r="W8" i="14"/>
  <c r="X69" i="15"/>
  <c r="W167" i="33"/>
  <c r="CC71" i="48"/>
  <c r="W185" i="15"/>
  <c r="W190" i="15"/>
  <c r="W216" i="15"/>
  <c r="DC216" i="15"/>
  <c r="DC186" i="15"/>
  <c r="DC195" i="15"/>
  <c r="DC190" i="15"/>
  <c r="DC185" i="15"/>
  <c r="DC15" i="14"/>
  <c r="DC28" i="14" s="1"/>
  <c r="DC75" i="14" s="1"/>
  <c r="DC112" i="14"/>
  <c r="W191" i="15" l="1"/>
  <c r="DC116" i="14"/>
  <c r="DC115" i="14"/>
  <c r="DC15" i="90" s="1"/>
  <c r="W15" i="14"/>
  <c r="W28" i="14" s="1"/>
  <c r="W75" i="14" s="1"/>
  <c r="W112" i="14"/>
  <c r="DC222" i="15"/>
  <c r="DC227" i="15"/>
  <c r="DC218" i="15"/>
  <c r="DC217" i="15"/>
  <c r="O128" i="53"/>
  <c r="O158" i="53"/>
  <c r="DC197" i="15"/>
  <c r="DC196" i="15"/>
  <c r="W195" i="15"/>
  <c r="W196" i="15" s="1"/>
  <c r="DC192" i="15"/>
  <c r="DC191" i="15"/>
  <c r="DC198" i="15"/>
  <c r="W217" i="15"/>
  <c r="W222" i="15"/>
  <c r="O125" i="53"/>
  <c r="O155" i="53"/>
  <c r="DU175" i="33" l="1"/>
  <c r="DC223" i="15"/>
  <c r="DC230" i="15"/>
  <c r="DC224" i="15"/>
  <c r="DC199" i="15"/>
  <c r="W198" i="15"/>
  <c r="DC200" i="15"/>
  <c r="W116" i="14"/>
  <c r="W11" i="48"/>
  <c r="X368" i="90"/>
  <c r="W115" i="14"/>
  <c r="W15" i="90" s="1"/>
  <c r="AY18" i="77"/>
  <c r="W223" i="15"/>
  <c r="W175" i="33"/>
  <c r="DC229" i="15"/>
  <c r="W227" i="15"/>
  <c r="W228" i="15" s="1"/>
  <c r="DC228" i="15"/>
  <c r="W199" i="15" l="1"/>
  <c r="DC232" i="15"/>
  <c r="DC231" i="15"/>
  <c r="W230" i="15"/>
  <c r="X372" i="90"/>
  <c r="X52" i="33"/>
  <c r="X96" i="15" l="1"/>
  <c r="X97" i="15" s="1"/>
  <c r="X35" i="64" s="1"/>
  <c r="X80" i="15"/>
  <c r="W231" i="15"/>
  <c r="V405" i="71"/>
  <c r="X96" i="33"/>
  <c r="X28" i="48"/>
  <c r="X8" i="64"/>
  <c r="X10" i="64" s="1"/>
  <c r="X55" i="33"/>
  <c r="X57" i="33" l="1"/>
  <c r="X234" i="33"/>
  <c r="X235" i="33" s="1"/>
  <c r="Y233" i="33" s="1"/>
  <c r="V428" i="71"/>
  <c r="V429" i="71" s="1"/>
  <c r="V406" i="71"/>
  <c r="X97" i="33" l="1"/>
  <c r="X98" i="33" s="1"/>
  <c r="X99" i="33" s="1"/>
  <c r="X86" i="14" s="1"/>
  <c r="X90" i="14" s="1"/>
  <c r="P36" i="53"/>
  <c r="X61" i="33"/>
  <c r="X118" i="33" l="1"/>
  <c r="X151" i="33"/>
  <c r="X100" i="33"/>
  <c r="X63" i="33"/>
  <c r="P37" i="53"/>
  <c r="P43" i="53"/>
  <c r="X152" i="33" l="1"/>
  <c r="X79" i="33"/>
  <c r="X111" i="14"/>
  <c r="X96" i="14" s="1"/>
  <c r="X102" i="14" s="1"/>
  <c r="X67" i="33"/>
  <c r="X78" i="33"/>
  <c r="X8" i="15"/>
  <c r="X32" i="15" s="1"/>
  <c r="X119" i="33"/>
  <c r="P47" i="53"/>
  <c r="P44" i="53"/>
  <c r="Y95" i="14" l="1"/>
  <c r="X88" i="15"/>
  <c r="X90" i="15" s="1"/>
  <c r="X92" i="15" s="1"/>
  <c r="X30" i="48"/>
  <c r="X103" i="15"/>
  <c r="X105" i="15" s="1"/>
  <c r="X107" i="15" s="1"/>
  <c r="X83" i="15"/>
  <c r="X74" i="15"/>
  <c r="X179" i="15"/>
  <c r="X184" i="15" s="1"/>
  <c r="X75" i="33"/>
  <c r="X80" i="33" s="1"/>
  <c r="CD71" i="48"/>
  <c r="X167" i="33"/>
  <c r="X78" i="15" l="1"/>
  <c r="X81" i="15" s="1"/>
  <c r="P124" i="53" s="1"/>
  <c r="X76" i="15"/>
  <c r="P127" i="53" s="1"/>
  <c r="X185" i="15"/>
  <c r="X216" i="15"/>
  <c r="X227" i="15" s="1"/>
  <c r="X195" i="15"/>
  <c r="X196" i="15" s="1"/>
  <c r="X190" i="15"/>
  <c r="X217" i="15" l="1"/>
  <c r="X222" i="15"/>
  <c r="X228" i="15"/>
  <c r="P155" i="53"/>
  <c r="P125" i="53"/>
  <c r="X198" i="15"/>
  <c r="X191" i="15"/>
  <c r="P158" i="53"/>
  <c r="P128" i="53"/>
  <c r="X199" i="15" l="1"/>
  <c r="X172" i="33"/>
  <c r="X223" i="15"/>
  <c r="X230" i="15"/>
  <c r="X61" i="15" l="1"/>
  <c r="X67" i="14" s="1"/>
  <c r="X174" i="33"/>
  <c r="X231" i="15"/>
  <c r="W405" i="71"/>
  <c r="W406" i="71" l="1"/>
  <c r="W428" i="71"/>
  <c r="X71" i="14"/>
  <c r="W425" i="71"/>
  <c r="X176" i="33"/>
  <c r="W427" i="71" l="1"/>
  <c r="W426" i="71"/>
  <c r="W429" i="71"/>
  <c r="X73" i="14"/>
  <c r="X103" i="14"/>
  <c r="E4" i="73" l="1"/>
  <c r="F4" i="73"/>
  <c r="G4" i="73"/>
  <c r="H4" i="73"/>
  <c r="E5" i="73"/>
  <c r="F5" i="73"/>
  <c r="G5" i="73"/>
  <c r="K46" i="73" s="1"/>
  <c r="H5" i="73"/>
  <c r="H6" i="73" s="1"/>
  <c r="H9" i="73"/>
  <c r="K22" i="73"/>
  <c r="O26" i="73" s="1"/>
  <c r="K23" i="73"/>
  <c r="K24" i="73"/>
  <c r="K25" i="73"/>
  <c r="K26" i="73"/>
  <c r="K42" i="73"/>
  <c r="O46" i="73" s="1"/>
  <c r="K43" i="73"/>
  <c r="K44" i="73"/>
  <c r="K45" i="73"/>
  <c r="N46" i="73"/>
  <c r="T46" i="73"/>
  <c r="K62" i="73"/>
  <c r="K63" i="73"/>
  <c r="K64" i="73"/>
  <c r="K65" i="73"/>
  <c r="N66" i="73"/>
  <c r="O66" i="73"/>
  <c r="P66" i="73"/>
  <c r="Q66" i="73"/>
  <c r="R66" i="73"/>
  <c r="S66" i="73"/>
  <c r="T66" i="73"/>
  <c r="E20" i="84"/>
  <c r="E22" i="84" s="1"/>
  <c r="E24" i="84" s="1"/>
  <c r="E26" i="84" s="1"/>
  <c r="E29" i="84"/>
  <c r="E31" i="84" s="1"/>
  <c r="P43" i="73" l="1"/>
  <c r="P44" i="73" s="1"/>
  <c r="P45" i="73" s="1"/>
  <c r="N43" i="73"/>
  <c r="N44" i="73" s="1"/>
  <c r="N45" i="73" s="1"/>
  <c r="N47" i="73" s="1"/>
  <c r="R43" i="73"/>
  <c r="R44" i="73" s="1"/>
  <c r="R45" i="73" s="1"/>
  <c r="R47" i="73" s="1"/>
  <c r="Q26" i="73"/>
  <c r="P46" i="73"/>
  <c r="R26" i="73"/>
  <c r="N26" i="73"/>
  <c r="R46" i="73"/>
  <c r="T26" i="73"/>
  <c r="P26" i="73"/>
  <c r="Q46" i="73"/>
  <c r="S26" i="73"/>
  <c r="E32" i="84"/>
  <c r="E33" i="84"/>
  <c r="F6" i="73"/>
  <c r="G6" i="73"/>
  <c r="K66" i="73"/>
  <c r="O23" i="73"/>
  <c r="O24" i="73" s="1"/>
  <c r="O25" i="73" s="1"/>
  <c r="O27" i="73" s="1"/>
  <c r="S23" i="73"/>
  <c r="S24" i="73" s="1"/>
  <c r="S25" i="73" s="1"/>
  <c r="S27" i="73" s="1"/>
  <c r="H10" i="73" s="1"/>
  <c r="P23" i="73"/>
  <c r="P24" i="73" s="1"/>
  <c r="P25" i="73" s="1"/>
  <c r="T23" i="73"/>
  <c r="T24" i="73" s="1"/>
  <c r="T25" i="73" s="1"/>
  <c r="T27" i="73" s="1"/>
  <c r="N23" i="73"/>
  <c r="N24" i="73" s="1"/>
  <c r="N25" i="73" s="1"/>
  <c r="R23" i="73"/>
  <c r="R24" i="73" s="1"/>
  <c r="R25" i="73" s="1"/>
  <c r="R27" i="73" s="1"/>
  <c r="Q23" i="73"/>
  <c r="Q24" i="73" s="1"/>
  <c r="Q25" i="73" s="1"/>
  <c r="Q27" i="73" s="1"/>
  <c r="S46" i="73"/>
  <c r="S43" i="73"/>
  <c r="S44" i="73" s="1"/>
  <c r="S45" i="73" s="1"/>
  <c r="S47" i="73" s="1"/>
  <c r="O43" i="73"/>
  <c r="O44" i="73" s="1"/>
  <c r="O45" i="73" s="1"/>
  <c r="O47" i="73" s="1"/>
  <c r="Q43" i="73"/>
  <c r="Q44" i="73" s="1"/>
  <c r="Q45" i="73" s="1"/>
  <c r="T43" i="73"/>
  <c r="T44" i="73" s="1"/>
  <c r="T45" i="73" s="1"/>
  <c r="T47" i="73" s="1"/>
  <c r="N27" i="73" l="1"/>
  <c r="Q47" i="73"/>
  <c r="P27" i="73"/>
  <c r="P47" i="73"/>
  <c r="E34" i="84"/>
  <c r="E35" i="84"/>
  <c r="P63" i="73"/>
  <c r="P64" i="73" s="1"/>
  <c r="P65" i="73" s="1"/>
  <c r="P67" i="73" s="1"/>
  <c r="T63" i="73"/>
  <c r="T64" i="73" s="1"/>
  <c r="T65" i="73" s="1"/>
  <c r="T67" i="73" s="1"/>
  <c r="Q63" i="73"/>
  <c r="Q64" i="73" s="1"/>
  <c r="Q65" i="73" s="1"/>
  <c r="Q67" i="73" s="1"/>
  <c r="O63" i="73"/>
  <c r="O64" i="73" s="1"/>
  <c r="O65" i="73" s="1"/>
  <c r="O67" i="73" s="1"/>
  <c r="S63" i="73"/>
  <c r="S64" i="73" s="1"/>
  <c r="S65" i="73" s="1"/>
  <c r="S67" i="73" s="1"/>
  <c r="N63" i="73"/>
  <c r="N64" i="73" s="1"/>
  <c r="N65" i="73" s="1"/>
  <c r="N67" i="73" s="1"/>
  <c r="R63" i="73"/>
  <c r="R64" i="73" s="1"/>
  <c r="R65" i="73" s="1"/>
  <c r="R67" i="73" s="1"/>
  <c r="DG6" i="14" l="1"/>
  <c r="X8" i="14"/>
  <c r="Y8" i="14"/>
  <c r="Z8" i="14"/>
  <c r="AA8" i="14"/>
  <c r="AB8" i="14"/>
  <c r="AC8" i="14"/>
  <c r="AD8" i="14"/>
  <c r="X15" i="14"/>
  <c r="Y15" i="14"/>
  <c r="Z15" i="14"/>
  <c r="AA15" i="14"/>
  <c r="AB15" i="14"/>
  <c r="AC15" i="14"/>
  <c r="AD15" i="14"/>
  <c r="X28" i="14"/>
  <c r="Y28" i="14"/>
  <c r="Z28" i="14"/>
  <c r="AA28" i="14"/>
  <c r="AB28" i="14"/>
  <c r="AC28" i="14"/>
  <c r="AD28" i="14"/>
  <c r="Y67" i="14"/>
  <c r="Z67" i="14"/>
  <c r="AA67" i="14"/>
  <c r="AB67" i="14"/>
  <c r="AC67" i="14"/>
  <c r="AD67" i="14"/>
  <c r="Y71" i="14"/>
  <c r="Z71" i="14"/>
  <c r="AA71" i="14"/>
  <c r="AB71" i="14"/>
  <c r="AC71" i="14"/>
  <c r="AD71" i="14"/>
  <c r="Y73" i="14"/>
  <c r="Z73" i="14"/>
  <c r="AA73" i="14"/>
  <c r="AB73" i="14"/>
  <c r="AC73" i="14"/>
  <c r="AD73" i="14"/>
  <c r="X75" i="14"/>
  <c r="Y75" i="14"/>
  <c r="Z75" i="14"/>
  <c r="AA75" i="14"/>
  <c r="AB75" i="14"/>
  <c r="AC75" i="14"/>
  <c r="AD75" i="14"/>
  <c r="Y86" i="14"/>
  <c r="Z86" i="14"/>
  <c r="AA86" i="14"/>
  <c r="AB86" i="14"/>
  <c r="AC86" i="14"/>
  <c r="AD86" i="14"/>
  <c r="Y90" i="14"/>
  <c r="Z90" i="14"/>
  <c r="AA90" i="14"/>
  <c r="AB90" i="14"/>
  <c r="AC90" i="14"/>
  <c r="AD90" i="14"/>
  <c r="Z95" i="14"/>
  <c r="AA95" i="14"/>
  <c r="AB95" i="14"/>
  <c r="AC95" i="14"/>
  <c r="AD95" i="14"/>
  <c r="Y96" i="14"/>
  <c r="Z96" i="14"/>
  <c r="AA96" i="14"/>
  <c r="AB96" i="14"/>
  <c r="AC96" i="14"/>
  <c r="AD96" i="14"/>
  <c r="Y102" i="14"/>
  <c r="Z102" i="14"/>
  <c r="AA102" i="14"/>
  <c r="AB102" i="14"/>
  <c r="AC102" i="14"/>
  <c r="AD102" i="14"/>
  <c r="Y103" i="14"/>
  <c r="Z103" i="14"/>
  <c r="AA103" i="14"/>
  <c r="AB103" i="14"/>
  <c r="AC103" i="14"/>
  <c r="AD103" i="14"/>
  <c r="Y111" i="14"/>
  <c r="Z111" i="14"/>
  <c r="AA111" i="14"/>
  <c r="AB111" i="14"/>
  <c r="AC111" i="14"/>
  <c r="AD111" i="14"/>
  <c r="X112" i="14"/>
  <c r="Y112" i="14"/>
  <c r="Z112" i="14"/>
  <c r="AA112" i="14"/>
  <c r="AB112" i="14"/>
  <c r="AC112" i="14"/>
  <c r="AD112" i="14"/>
  <c r="X115" i="14"/>
  <c r="Y115" i="14"/>
  <c r="Z115" i="14"/>
  <c r="AA115" i="14"/>
  <c r="AB115" i="14"/>
  <c r="AC115" i="14"/>
  <c r="AD115" i="14"/>
  <c r="X116" i="14"/>
  <c r="Y116" i="14"/>
  <c r="Z116" i="14"/>
  <c r="AA116" i="14"/>
  <c r="AB116" i="14"/>
  <c r="AC116" i="14"/>
  <c r="AD116" i="14"/>
  <c r="X15" i="90"/>
  <c r="Y15" i="90"/>
  <c r="Z15" i="90"/>
  <c r="AA15" i="90"/>
  <c r="AB15" i="90"/>
  <c r="AC15" i="90"/>
  <c r="AD15" i="90"/>
  <c r="BW20" i="90"/>
  <c r="BX20" i="90"/>
  <c r="BY20" i="90"/>
  <c r="BZ20" i="90"/>
  <c r="CT20" i="90"/>
  <c r="CU20" i="90"/>
  <c r="CV20" i="90"/>
  <c r="CW20" i="90"/>
  <c r="CX20" i="90"/>
  <c r="CY20" i="90"/>
  <c r="CZ20" i="90"/>
  <c r="DA20" i="90"/>
  <c r="DB20" i="90"/>
  <c r="DC20" i="90"/>
  <c r="BV21" i="90"/>
  <c r="BW21" i="90"/>
  <c r="BX21" i="90"/>
  <c r="BY21" i="90"/>
  <c r="BZ21" i="90"/>
  <c r="CS21" i="90"/>
  <c r="CT21" i="90"/>
  <c r="CU21" i="90"/>
  <c r="CV21" i="90"/>
  <c r="CW21" i="90"/>
  <c r="CX21" i="90"/>
  <c r="CY21" i="90"/>
  <c r="CZ21" i="90"/>
  <c r="DA21" i="90"/>
  <c r="DB21" i="90"/>
  <c r="DC21" i="90"/>
  <c r="BV22" i="90"/>
  <c r="BW22" i="90"/>
  <c r="BX22" i="90"/>
  <c r="BY22" i="90"/>
  <c r="BZ22" i="90"/>
  <c r="CS22" i="90"/>
  <c r="CT22" i="90"/>
  <c r="CU22" i="90"/>
  <c r="CV22" i="90"/>
  <c r="CW22" i="90"/>
  <c r="CX22" i="90"/>
  <c r="CY22" i="90"/>
  <c r="CZ22" i="90"/>
  <c r="DA22" i="90"/>
  <c r="DB22" i="90"/>
  <c r="DC22" i="90"/>
  <c r="Q26" i="90"/>
  <c r="CB26" i="90"/>
  <c r="P28" i="90"/>
  <c r="CA28" i="90"/>
  <c r="CB28" i="90"/>
  <c r="P29" i="90"/>
  <c r="CA29" i="90"/>
  <c r="CB29" i="90"/>
  <c r="X32" i="90"/>
  <c r="Y32" i="90"/>
  <c r="Z32" i="90"/>
  <c r="AA32" i="90"/>
  <c r="AB32" i="90"/>
  <c r="AC32" i="90"/>
  <c r="AD32" i="90"/>
  <c r="Y33" i="90"/>
  <c r="Z33" i="90"/>
  <c r="AA33" i="90"/>
  <c r="AB33" i="90"/>
  <c r="AC33" i="90"/>
  <c r="AD33" i="90"/>
  <c r="X34" i="90"/>
  <c r="Y34" i="90"/>
  <c r="Z34" i="90"/>
  <c r="AA34" i="90"/>
  <c r="AB34" i="90"/>
  <c r="AC34" i="90"/>
  <c r="AD34" i="90"/>
  <c r="X35" i="90"/>
  <c r="Y35" i="90"/>
  <c r="Z35" i="90"/>
  <c r="AA35" i="90"/>
  <c r="AB35" i="90"/>
  <c r="AC35" i="90"/>
  <c r="AD35" i="90"/>
  <c r="Q228" i="90"/>
  <c r="BY228" i="90"/>
  <c r="BZ228" i="90"/>
  <c r="CA228" i="90"/>
  <c r="CB228" i="90"/>
  <c r="CC228" i="90"/>
  <c r="BX229" i="90"/>
  <c r="BY229" i="90"/>
  <c r="BZ229" i="90"/>
  <c r="CA229" i="90"/>
  <c r="CB229" i="90"/>
  <c r="BX230" i="90"/>
  <c r="BY230" i="90"/>
  <c r="BZ230" i="90"/>
  <c r="CA230" i="90"/>
  <c r="CB230" i="90"/>
  <c r="P309" i="90"/>
  <c r="BV309" i="90"/>
  <c r="BW309" i="90"/>
  <c r="BX309" i="90"/>
  <c r="BY309" i="90"/>
  <c r="BZ309" i="90"/>
  <c r="CA309" i="90"/>
  <c r="CB309" i="90"/>
  <c r="P310" i="90"/>
  <c r="BV310" i="90"/>
  <c r="BW310" i="90"/>
  <c r="BX310" i="90"/>
  <c r="BY310" i="90"/>
  <c r="BZ310" i="90"/>
  <c r="CA310" i="90"/>
  <c r="CB310" i="90"/>
  <c r="P312" i="90"/>
  <c r="Q312" i="90"/>
  <c r="BZ312" i="90"/>
  <c r="CA312" i="90"/>
  <c r="CB312" i="90"/>
  <c r="CC312" i="90"/>
  <c r="O315" i="90"/>
  <c r="BW315" i="90"/>
  <c r="BX315" i="90"/>
  <c r="BY315" i="90"/>
  <c r="BZ315" i="90"/>
  <c r="CA315" i="90"/>
  <c r="CA317" i="90"/>
  <c r="CB317" i="90"/>
  <c r="CA318" i="90"/>
  <c r="CB318" i="90"/>
  <c r="X319" i="90"/>
  <c r="Y319" i="90"/>
  <c r="Z319" i="90"/>
  <c r="AA319" i="90"/>
  <c r="AB319" i="90"/>
  <c r="AC319" i="90"/>
  <c r="AD319" i="90"/>
  <c r="BZ347" i="90"/>
  <c r="CA347" i="90"/>
  <c r="CB347" i="90"/>
  <c r="CC347" i="90"/>
  <c r="CD347" i="90"/>
  <c r="BZ348" i="90"/>
  <c r="CA348" i="90"/>
  <c r="CB348" i="90"/>
  <c r="CC348" i="90"/>
  <c r="CD348" i="90"/>
  <c r="BZ349" i="90"/>
  <c r="CA349" i="90"/>
  <c r="CB349" i="90"/>
  <c r="CC349" i="90"/>
  <c r="Y368" i="90"/>
  <c r="Z368" i="90"/>
  <c r="AA368" i="90"/>
  <c r="AB368" i="90"/>
  <c r="AC368" i="90"/>
  <c r="AD368" i="90"/>
  <c r="Y372" i="90"/>
  <c r="Z372" i="90"/>
  <c r="AA372" i="90"/>
  <c r="AB372" i="90"/>
  <c r="AC372" i="90"/>
  <c r="AD372" i="90"/>
  <c r="Y8" i="15"/>
  <c r="Z8" i="15"/>
  <c r="AA8" i="15"/>
  <c r="AB8" i="15"/>
  <c r="AC8" i="15"/>
  <c r="AD8" i="15"/>
  <c r="Y32" i="15"/>
  <c r="Z32" i="15"/>
  <c r="AA32" i="15"/>
  <c r="AB32" i="15"/>
  <c r="AC32" i="15"/>
  <c r="AD32" i="15"/>
  <c r="X53" i="15"/>
  <c r="Y53" i="15"/>
  <c r="Z53" i="15"/>
  <c r="AA53" i="15"/>
  <c r="AB53" i="15"/>
  <c r="AC53" i="15"/>
  <c r="AD53" i="15"/>
  <c r="Y61" i="15"/>
  <c r="Z61" i="15"/>
  <c r="AA61" i="15"/>
  <c r="AB61" i="15"/>
  <c r="AC61" i="15"/>
  <c r="AD61" i="15"/>
  <c r="X64" i="15"/>
  <c r="Y64" i="15"/>
  <c r="Z64" i="15"/>
  <c r="AA64" i="15"/>
  <c r="AB64" i="15"/>
  <c r="AC64" i="15"/>
  <c r="AD64" i="15"/>
  <c r="X68" i="15"/>
  <c r="Y68" i="15"/>
  <c r="Z68" i="15"/>
  <c r="AA68" i="15"/>
  <c r="AB68" i="15"/>
  <c r="AC68" i="15"/>
  <c r="AD68" i="15"/>
  <c r="Y69" i="15"/>
  <c r="Z69" i="15"/>
  <c r="AA69" i="15"/>
  <c r="AB69" i="15"/>
  <c r="AC69" i="15"/>
  <c r="AD69" i="15"/>
  <c r="X70" i="15"/>
  <c r="Y70" i="15"/>
  <c r="Z70" i="15"/>
  <c r="AA70" i="15"/>
  <c r="AB70" i="15"/>
  <c r="AC70" i="15"/>
  <c r="AD70" i="15"/>
  <c r="Y74" i="15"/>
  <c r="Z74" i="15"/>
  <c r="AA74" i="15"/>
  <c r="AB74" i="15"/>
  <c r="AC74" i="15"/>
  <c r="AD74" i="15"/>
  <c r="Y76" i="15"/>
  <c r="Z76" i="15"/>
  <c r="AA76" i="15"/>
  <c r="AB76" i="15"/>
  <c r="AC76" i="15"/>
  <c r="AD76" i="15"/>
  <c r="Y78" i="15"/>
  <c r="Z78" i="15"/>
  <c r="AA78" i="15"/>
  <c r="AB78" i="15"/>
  <c r="AC78" i="15"/>
  <c r="AD78" i="15"/>
  <c r="Y80" i="15"/>
  <c r="Z80" i="15"/>
  <c r="AA80" i="15"/>
  <c r="AB80" i="15"/>
  <c r="AC80" i="15"/>
  <c r="AD80" i="15"/>
  <c r="Y81" i="15"/>
  <c r="Z81" i="15"/>
  <c r="AA81" i="15"/>
  <c r="AB81" i="15"/>
  <c r="AC81" i="15"/>
  <c r="AD81" i="15"/>
  <c r="Y83" i="15"/>
  <c r="Z83" i="15"/>
  <c r="AA83" i="15"/>
  <c r="AB83" i="15"/>
  <c r="AC83" i="15"/>
  <c r="AD83" i="15"/>
  <c r="Y88" i="15"/>
  <c r="Z88" i="15"/>
  <c r="AA88" i="15"/>
  <c r="AB88" i="15"/>
  <c r="AC88" i="15"/>
  <c r="AD88" i="15"/>
  <c r="Y90" i="15"/>
  <c r="Z90" i="15"/>
  <c r="AA90" i="15"/>
  <c r="AB90" i="15"/>
  <c r="AC90" i="15"/>
  <c r="AD90" i="15"/>
  <c r="Y92" i="15"/>
  <c r="Z92" i="15"/>
  <c r="AA92" i="15"/>
  <c r="AB92" i="15"/>
  <c r="AC92" i="15"/>
  <c r="AD92" i="15"/>
  <c r="Y96" i="15"/>
  <c r="Z96" i="15"/>
  <c r="AA96" i="15"/>
  <c r="AB96" i="15"/>
  <c r="AC96" i="15"/>
  <c r="AD96" i="15"/>
  <c r="Y97" i="15"/>
  <c r="Z97" i="15"/>
  <c r="AA97" i="15"/>
  <c r="AB97" i="15"/>
  <c r="AC97" i="15"/>
  <c r="AD97" i="15"/>
  <c r="Y103" i="15"/>
  <c r="Z103" i="15"/>
  <c r="AA103" i="15"/>
  <c r="AB103" i="15"/>
  <c r="AC103" i="15"/>
  <c r="AD103" i="15"/>
  <c r="Y105" i="15"/>
  <c r="Z105" i="15"/>
  <c r="AA105" i="15"/>
  <c r="AB105" i="15"/>
  <c r="AC105" i="15"/>
  <c r="AD105" i="15"/>
  <c r="Y107" i="15"/>
  <c r="Z107" i="15"/>
  <c r="AA107" i="15"/>
  <c r="AB107" i="15"/>
  <c r="AC107" i="15"/>
  <c r="AD107" i="15"/>
  <c r="Y179" i="15"/>
  <c r="Z179" i="15"/>
  <c r="AA179" i="15"/>
  <c r="AB179" i="15"/>
  <c r="AC179" i="15"/>
  <c r="AD179" i="15"/>
  <c r="Y184" i="15"/>
  <c r="Z184" i="15"/>
  <c r="AA184" i="15"/>
  <c r="AB184" i="15"/>
  <c r="AC184" i="15"/>
  <c r="AD184" i="15"/>
  <c r="Y185" i="15"/>
  <c r="Z185" i="15"/>
  <c r="AA185" i="15"/>
  <c r="AB185" i="15"/>
  <c r="AC185" i="15"/>
  <c r="AD185" i="15"/>
  <c r="Y190" i="15"/>
  <c r="Z190" i="15"/>
  <c r="AA190" i="15"/>
  <c r="AB190" i="15"/>
  <c r="AC190" i="15"/>
  <c r="AD190" i="15"/>
  <c r="Y191" i="15"/>
  <c r="Z191" i="15"/>
  <c r="AA191" i="15"/>
  <c r="AB191" i="15"/>
  <c r="AC191" i="15"/>
  <c r="AD191" i="15"/>
  <c r="Y195" i="15"/>
  <c r="Z195" i="15"/>
  <c r="AA195" i="15"/>
  <c r="AB195" i="15"/>
  <c r="AC195" i="15"/>
  <c r="AD195" i="15"/>
  <c r="Y196" i="15"/>
  <c r="Z196" i="15"/>
  <c r="AA196" i="15"/>
  <c r="AB196" i="15"/>
  <c r="AC196" i="15"/>
  <c r="AD196" i="15"/>
  <c r="Y198" i="15"/>
  <c r="Z198" i="15"/>
  <c r="AA198" i="15"/>
  <c r="AB198" i="15"/>
  <c r="AC198" i="15"/>
  <c r="AD198" i="15"/>
  <c r="Y199" i="15"/>
  <c r="Z199" i="15"/>
  <c r="AA199" i="15"/>
  <c r="AB199" i="15"/>
  <c r="AC199" i="15"/>
  <c r="AD199" i="15"/>
  <c r="Y216" i="15"/>
  <c r="Z216" i="15"/>
  <c r="AA216" i="15"/>
  <c r="AB216" i="15"/>
  <c r="AC216" i="15"/>
  <c r="AD216" i="15"/>
  <c r="Y217" i="15"/>
  <c r="Z217" i="15"/>
  <c r="AA217" i="15"/>
  <c r="AB217" i="15"/>
  <c r="AC217" i="15"/>
  <c r="AD217" i="15"/>
  <c r="Y222" i="15"/>
  <c r="Z222" i="15"/>
  <c r="AA222" i="15"/>
  <c r="AB222" i="15"/>
  <c r="AC222" i="15"/>
  <c r="AD222" i="15"/>
  <c r="Y223" i="15"/>
  <c r="Z223" i="15"/>
  <c r="AA223" i="15"/>
  <c r="AB223" i="15"/>
  <c r="AC223" i="15"/>
  <c r="AD223" i="15"/>
  <c r="Y227" i="15"/>
  <c r="Z227" i="15"/>
  <c r="AA227" i="15"/>
  <c r="AB227" i="15"/>
  <c r="AC227" i="15"/>
  <c r="AD227" i="15"/>
  <c r="Y228" i="15"/>
  <c r="Z228" i="15"/>
  <c r="AA228" i="15"/>
  <c r="AB228" i="15"/>
  <c r="AC228" i="15"/>
  <c r="AD228" i="15"/>
  <c r="Y230" i="15"/>
  <c r="Z230" i="15"/>
  <c r="AA230" i="15"/>
  <c r="AB230" i="15"/>
  <c r="AC230" i="15"/>
  <c r="AD230" i="15"/>
  <c r="Y231" i="15"/>
  <c r="Z231" i="15"/>
  <c r="AA231" i="15"/>
  <c r="AB231" i="15"/>
  <c r="AC231" i="15"/>
  <c r="AD231" i="15"/>
  <c r="X405" i="71"/>
  <c r="Y405" i="71"/>
  <c r="X406" i="71"/>
  <c r="Y406" i="71"/>
  <c r="X425" i="71"/>
  <c r="Y425" i="71"/>
  <c r="X426" i="71"/>
  <c r="Y426" i="71"/>
  <c r="X427" i="71"/>
  <c r="Y427" i="71"/>
  <c r="X428" i="71"/>
  <c r="Y428" i="71"/>
  <c r="X429" i="71"/>
  <c r="Y429" i="71"/>
  <c r="D13" i="73"/>
  <c r="E13" i="73"/>
  <c r="F13" i="73"/>
  <c r="G13" i="73"/>
  <c r="H13" i="73"/>
  <c r="E14" i="73"/>
  <c r="F14" i="73"/>
  <c r="G14" i="73"/>
  <c r="H14" i="73"/>
  <c r="H17" i="73"/>
  <c r="H18" i="73"/>
  <c r="K32" i="73"/>
  <c r="K33" i="73"/>
  <c r="N33" i="73"/>
  <c r="O33" i="73"/>
  <c r="P33" i="73"/>
  <c r="Q33" i="73"/>
  <c r="R33" i="73"/>
  <c r="S33" i="73"/>
  <c r="T33" i="73"/>
  <c r="K34" i="73"/>
  <c r="N34" i="73"/>
  <c r="O34" i="73"/>
  <c r="P34" i="73"/>
  <c r="Q34" i="73"/>
  <c r="R34" i="73"/>
  <c r="S34" i="73"/>
  <c r="T34" i="73"/>
  <c r="K35" i="73"/>
  <c r="N35" i="73"/>
  <c r="O35" i="73"/>
  <c r="P35" i="73"/>
  <c r="Q35" i="73"/>
  <c r="R35" i="73"/>
  <c r="S35" i="73"/>
  <c r="T35" i="73"/>
  <c r="K36" i="73"/>
  <c r="N36" i="73"/>
  <c r="O36" i="73"/>
  <c r="P36" i="73"/>
  <c r="Q36" i="73"/>
  <c r="R36" i="73"/>
  <c r="S36" i="73"/>
  <c r="T36" i="73"/>
  <c r="N37" i="73"/>
  <c r="O37" i="73"/>
  <c r="P37" i="73"/>
  <c r="Q37" i="73"/>
  <c r="R37" i="73"/>
  <c r="S37" i="73"/>
  <c r="T37" i="73"/>
  <c r="K52" i="73"/>
  <c r="K53" i="73"/>
  <c r="N53" i="73"/>
  <c r="O53" i="73"/>
  <c r="P53" i="73"/>
  <c r="Q53" i="73"/>
  <c r="R53" i="73"/>
  <c r="S53" i="73"/>
  <c r="T53" i="73"/>
  <c r="K54" i="73"/>
  <c r="N54" i="73"/>
  <c r="O54" i="73"/>
  <c r="P54" i="73"/>
  <c r="Q54" i="73"/>
  <c r="R54" i="73"/>
  <c r="S54" i="73"/>
  <c r="T54" i="73"/>
  <c r="K55" i="73"/>
  <c r="N55" i="73"/>
  <c r="O55" i="73"/>
  <c r="P55" i="73"/>
  <c r="Q55" i="73"/>
  <c r="R55" i="73"/>
  <c r="S55" i="73"/>
  <c r="T55" i="73"/>
  <c r="K56" i="73"/>
  <c r="N56" i="73"/>
  <c r="O56" i="73"/>
  <c r="P56" i="73"/>
  <c r="Q56" i="73"/>
  <c r="R56" i="73"/>
  <c r="S56" i="73"/>
  <c r="T56" i="73"/>
  <c r="N57" i="73"/>
  <c r="O57" i="73"/>
  <c r="P57" i="73"/>
  <c r="Q57" i="73"/>
  <c r="R57" i="73"/>
  <c r="S57" i="73"/>
  <c r="T57" i="73"/>
  <c r="K72" i="73"/>
  <c r="K73" i="73"/>
  <c r="N73" i="73"/>
  <c r="O73" i="73"/>
  <c r="P73" i="73"/>
  <c r="Q73" i="73"/>
  <c r="R73" i="73"/>
  <c r="S73" i="73"/>
  <c r="T73" i="73"/>
  <c r="K74" i="73"/>
  <c r="N74" i="73"/>
  <c r="O74" i="73"/>
  <c r="P74" i="73"/>
  <c r="Q74" i="73"/>
  <c r="R74" i="73"/>
  <c r="S74" i="73"/>
  <c r="T74" i="73"/>
  <c r="K75" i="73"/>
  <c r="N75" i="73"/>
  <c r="O75" i="73"/>
  <c r="P75" i="73"/>
  <c r="Q75" i="73"/>
  <c r="R75" i="73"/>
  <c r="S75" i="73"/>
  <c r="T75" i="73"/>
  <c r="K76" i="73"/>
  <c r="N76" i="73"/>
  <c r="O76" i="73"/>
  <c r="P76" i="73"/>
  <c r="Q76" i="73"/>
  <c r="R76" i="73"/>
  <c r="S76" i="73"/>
  <c r="T76" i="73"/>
  <c r="N77" i="73"/>
  <c r="O77" i="73"/>
  <c r="P77" i="73"/>
  <c r="Q77" i="73"/>
  <c r="R77" i="73"/>
  <c r="S77" i="73"/>
  <c r="T77" i="73"/>
  <c r="Y52" i="33"/>
  <c r="Z52" i="33"/>
  <c r="AA52" i="33"/>
  <c r="AB52" i="33"/>
  <c r="AC52" i="33"/>
  <c r="AD52" i="33"/>
  <c r="Y55" i="33"/>
  <c r="Z55" i="33"/>
  <c r="AA55" i="33"/>
  <c r="AB55" i="33"/>
  <c r="AC55" i="33"/>
  <c r="AD55" i="33"/>
  <c r="Y57" i="33"/>
  <c r="Z57" i="33"/>
  <c r="AA57" i="33"/>
  <c r="AB57" i="33"/>
  <c r="AC57" i="33"/>
  <c r="AD57" i="33"/>
  <c r="Y61" i="33"/>
  <c r="Z61" i="33"/>
  <c r="AA61" i="33"/>
  <c r="AB61" i="33"/>
  <c r="AC61" i="33"/>
  <c r="AD61" i="33"/>
  <c r="Y63" i="33"/>
  <c r="Z63" i="33"/>
  <c r="AA63" i="33"/>
  <c r="AB63" i="33"/>
  <c r="AC63" i="33"/>
  <c r="AD63" i="33"/>
  <c r="Y67" i="33"/>
  <c r="Z67" i="33"/>
  <c r="AA67" i="33"/>
  <c r="AB67" i="33"/>
  <c r="AC67" i="33"/>
  <c r="AD67" i="33"/>
  <c r="Y75" i="33"/>
  <c r="Z75" i="33"/>
  <c r="AA75" i="33"/>
  <c r="AB75" i="33"/>
  <c r="AC75" i="33"/>
  <c r="AD75" i="33"/>
  <c r="Y78" i="33"/>
  <c r="Z78" i="33"/>
  <c r="AA78" i="33"/>
  <c r="AB78" i="33"/>
  <c r="AC78" i="33"/>
  <c r="AD78" i="33"/>
  <c r="Y79" i="33"/>
  <c r="Z79" i="33"/>
  <c r="AA79" i="33"/>
  <c r="AB79" i="33"/>
  <c r="AC79" i="33"/>
  <c r="AD79" i="33"/>
  <c r="Y80" i="33"/>
  <c r="Z80" i="33"/>
  <c r="AA80" i="33"/>
  <c r="AB80" i="33"/>
  <c r="AC80" i="33"/>
  <c r="AD80" i="33"/>
  <c r="Y96" i="33"/>
  <c r="Z96" i="33"/>
  <c r="AA96" i="33"/>
  <c r="AB96" i="33"/>
  <c r="AC96" i="33"/>
  <c r="AD96" i="33"/>
  <c r="Y97" i="33"/>
  <c r="Z97" i="33"/>
  <c r="AA97" i="33"/>
  <c r="AB97" i="33"/>
  <c r="AC97" i="33"/>
  <c r="AD97" i="33"/>
  <c r="Y98" i="33"/>
  <c r="Z98" i="33"/>
  <c r="AA98" i="33"/>
  <c r="AB98" i="33"/>
  <c r="AC98" i="33"/>
  <c r="AD98" i="33"/>
  <c r="Y99" i="33"/>
  <c r="Z99" i="33"/>
  <c r="AA99" i="33"/>
  <c r="AB99" i="33"/>
  <c r="AC99" i="33"/>
  <c r="AD99" i="33"/>
  <c r="Y100" i="33"/>
  <c r="Z100" i="33"/>
  <c r="AA100" i="33"/>
  <c r="AB100" i="33"/>
  <c r="AC100" i="33"/>
  <c r="AD100" i="33"/>
  <c r="Y118" i="33"/>
  <c r="Z118" i="33"/>
  <c r="AA118" i="33"/>
  <c r="AB118" i="33"/>
  <c r="AC118" i="33"/>
  <c r="AD118" i="33"/>
  <c r="Y119" i="33"/>
  <c r="Z119" i="33"/>
  <c r="AA119" i="33"/>
  <c r="AB119" i="33"/>
  <c r="AC119" i="33"/>
  <c r="AD119" i="33"/>
  <c r="Y151" i="33"/>
  <c r="Z151" i="33"/>
  <c r="AA151" i="33"/>
  <c r="AB151" i="33"/>
  <c r="AC151" i="33"/>
  <c r="AD151" i="33"/>
  <c r="Y152" i="33"/>
  <c r="Z152" i="33"/>
  <c r="AA152" i="33"/>
  <c r="AB152" i="33"/>
  <c r="AC152" i="33"/>
  <c r="AD152" i="33"/>
  <c r="Y167" i="33"/>
  <c r="Z167" i="33"/>
  <c r="AA167" i="33"/>
  <c r="AB167" i="33"/>
  <c r="AC167" i="33"/>
  <c r="AD167" i="33"/>
  <c r="Y172" i="33"/>
  <c r="Z172" i="33"/>
  <c r="AA172" i="33"/>
  <c r="AB172" i="33"/>
  <c r="AC172" i="33"/>
  <c r="AD172" i="33"/>
  <c r="Y174" i="33"/>
  <c r="Z174" i="33"/>
  <c r="AA174" i="33"/>
  <c r="AB174" i="33"/>
  <c r="AC174" i="33"/>
  <c r="AD174" i="33"/>
  <c r="Y176" i="33"/>
  <c r="Z176" i="33"/>
  <c r="AA176" i="33"/>
  <c r="AB176" i="33"/>
  <c r="AC176" i="33"/>
  <c r="AD176" i="33"/>
  <c r="Z233" i="33"/>
  <c r="AA233" i="33"/>
  <c r="AB233" i="33"/>
  <c r="AC233" i="33"/>
  <c r="AD233" i="33"/>
  <c r="Y234" i="33"/>
  <c r="Z234" i="33"/>
  <c r="AA234" i="33"/>
  <c r="AB234" i="33"/>
  <c r="AC234" i="33"/>
  <c r="AD234" i="33"/>
  <c r="Y235" i="33"/>
  <c r="Z235" i="33"/>
  <c r="AA235" i="33"/>
  <c r="AB235" i="33"/>
  <c r="AC235" i="33"/>
  <c r="AD235" i="33"/>
  <c r="X11" i="48"/>
  <c r="Y11" i="48"/>
  <c r="P27" i="48"/>
  <c r="Q27" i="48"/>
  <c r="BQ27" i="48"/>
  <c r="BR27" i="48"/>
  <c r="BS27" i="48"/>
  <c r="BT27" i="48"/>
  <c r="Y28" i="48"/>
  <c r="Y30" i="48"/>
  <c r="T483" i="12"/>
  <c r="CP483" i="12"/>
  <c r="CP484" i="12"/>
  <c r="CT484" i="12"/>
  <c r="CP485" i="12"/>
  <c r="CQ485" i="12"/>
  <c r="Y8" i="64"/>
  <c r="Z8" i="64"/>
  <c r="Y10" i="64"/>
  <c r="Z10" i="64"/>
  <c r="Y35" i="64"/>
  <c r="Z35" i="64"/>
  <c r="Q36" i="53"/>
  <c r="R36" i="53"/>
  <c r="Q37" i="53"/>
  <c r="R37" i="53"/>
  <c r="Q43" i="53"/>
  <c r="R43" i="53"/>
  <c r="Q44" i="53"/>
  <c r="R44" i="53"/>
  <c r="Q47" i="53"/>
  <c r="R47" i="53"/>
  <c r="D62" i="53"/>
  <c r="E62" i="53"/>
  <c r="F62" i="53"/>
  <c r="G62" i="53"/>
  <c r="H62" i="53"/>
  <c r="K65" i="53"/>
  <c r="L65" i="53"/>
  <c r="M65" i="53"/>
  <c r="N65" i="53"/>
  <c r="O65" i="53"/>
  <c r="K66" i="53"/>
  <c r="L66" i="53"/>
  <c r="M66" i="53"/>
  <c r="N66" i="53"/>
  <c r="O66" i="53"/>
  <c r="H67" i="53"/>
  <c r="H68" i="53"/>
  <c r="K69" i="53"/>
  <c r="L69" i="53"/>
  <c r="M69" i="53"/>
  <c r="N69" i="53"/>
  <c r="O69" i="53"/>
  <c r="K70" i="53"/>
  <c r="L70" i="53"/>
  <c r="M70" i="53"/>
  <c r="N70" i="53"/>
  <c r="O70" i="53"/>
  <c r="K71" i="53"/>
  <c r="L71" i="53"/>
  <c r="M71" i="53"/>
  <c r="N71" i="53"/>
  <c r="O71" i="53"/>
  <c r="H72" i="53"/>
  <c r="K72" i="53"/>
  <c r="L72" i="53"/>
  <c r="M72" i="53"/>
  <c r="N72" i="53"/>
  <c r="O72" i="53"/>
  <c r="K73" i="53"/>
  <c r="L73" i="53"/>
  <c r="M73" i="53"/>
  <c r="N73" i="53"/>
  <c r="O73" i="53"/>
  <c r="H74" i="53"/>
  <c r="H75" i="53"/>
  <c r="Q124" i="53"/>
  <c r="R124" i="53"/>
  <c r="Q125" i="53"/>
  <c r="R125" i="53"/>
  <c r="Q127" i="53"/>
  <c r="R127" i="53"/>
  <c r="Q128" i="53"/>
  <c r="R128" i="53"/>
  <c r="G136" i="53"/>
  <c r="H136" i="53"/>
  <c r="I136" i="53"/>
  <c r="J136" i="53"/>
  <c r="K136" i="53"/>
  <c r="L136" i="53"/>
  <c r="M136" i="53"/>
  <c r="N136" i="53"/>
  <c r="O136" i="53"/>
  <c r="P136" i="53"/>
  <c r="Q136" i="53"/>
  <c r="R136" i="53"/>
  <c r="G137" i="53"/>
  <c r="H137" i="53"/>
  <c r="I137" i="53"/>
  <c r="J137" i="53"/>
  <c r="K137" i="53"/>
  <c r="L137" i="53"/>
  <c r="M137" i="53"/>
  <c r="N137" i="53"/>
  <c r="O137" i="53"/>
  <c r="P137" i="53"/>
  <c r="Q137" i="53"/>
  <c r="R137" i="53"/>
  <c r="G147" i="53"/>
  <c r="H147" i="53"/>
  <c r="I147" i="53"/>
  <c r="J147" i="53"/>
  <c r="K147" i="53"/>
  <c r="L147" i="53"/>
  <c r="M147" i="53"/>
  <c r="N147" i="53"/>
  <c r="O147" i="53"/>
  <c r="P147" i="53"/>
  <c r="Q147" i="53"/>
  <c r="R147" i="53"/>
  <c r="G150" i="53"/>
  <c r="H150" i="53"/>
  <c r="I150" i="53"/>
  <c r="J150" i="53"/>
  <c r="K150" i="53"/>
  <c r="L150" i="53"/>
  <c r="M150" i="53"/>
  <c r="N150" i="53"/>
  <c r="O150" i="53"/>
  <c r="P150" i="53"/>
  <c r="Q150" i="53"/>
  <c r="R150" i="53"/>
  <c r="G153" i="53"/>
  <c r="H153" i="53"/>
  <c r="I153" i="53"/>
  <c r="J153" i="53"/>
  <c r="K153" i="53"/>
  <c r="L153" i="53"/>
  <c r="M153" i="53"/>
  <c r="N153" i="53"/>
  <c r="O153" i="53"/>
  <c r="P153" i="53"/>
  <c r="Q153" i="53"/>
  <c r="R153" i="53"/>
  <c r="Q155" i="53"/>
  <c r="R155" i="53"/>
  <c r="G156" i="53"/>
  <c r="H156" i="53"/>
  <c r="I156" i="53"/>
  <c r="J156" i="53"/>
  <c r="K156" i="53"/>
  <c r="L156" i="53"/>
  <c r="M156" i="53"/>
  <c r="N156" i="53"/>
  <c r="O156" i="53"/>
  <c r="P156" i="53"/>
  <c r="Q156" i="53"/>
  <c r="R156" i="53"/>
  <c r="Q158" i="53"/>
  <c r="R158" i="53"/>
  <c r="G159" i="53"/>
  <c r="H159" i="53"/>
  <c r="I159" i="53"/>
  <c r="J159" i="53"/>
  <c r="K159" i="53"/>
  <c r="L159" i="53"/>
  <c r="M159" i="53"/>
  <c r="N159" i="53"/>
  <c r="O159" i="53"/>
  <c r="P159" i="53"/>
  <c r="Q159" i="53"/>
  <c r="R159" i="53"/>
  <c r="D20" i="84"/>
  <c r="F20" i="84"/>
  <c r="D22" i="84"/>
  <c r="F22" i="84"/>
  <c r="D24" i="84"/>
  <c r="F24" i="84"/>
  <c r="D26" i="84"/>
  <c r="F26" i="84"/>
  <c r="D29" i="84"/>
  <c r="F29" i="84"/>
  <c r="D31" i="84"/>
  <c r="F31" i="84"/>
  <c r="D32" i="84"/>
  <c r="F32" i="84"/>
  <c r="D33" i="84"/>
  <c r="F33" i="84"/>
  <c r="D34" i="84"/>
  <c r="F34" i="84"/>
  <c r="D35" i="84"/>
  <c r="F35" i="84"/>
</calcChain>
</file>

<file path=xl/comments1.xml><?xml version="1.0" encoding="utf-8"?>
<comments xmlns="http://schemas.openxmlformats.org/spreadsheetml/2006/main">
  <authors>
    <author>laml</author>
  </authors>
  <commentList>
    <comment ref="P78" authorId="0">
      <text>
        <r>
          <rPr>
            <sz val="8"/>
            <color indexed="81"/>
            <rFont val="Tahoma"/>
            <family val="2"/>
          </rPr>
          <t>restated for Switch and Data</t>
        </r>
      </text>
    </comment>
    <comment ref="Q78" authorId="0">
      <text>
        <r>
          <rPr>
            <sz val="8"/>
            <color indexed="81"/>
            <rFont val="Tahoma"/>
            <family val="2"/>
          </rPr>
          <t>restated for Switch and Data</t>
        </r>
      </text>
    </comment>
    <comment ref="R78" authorId="0">
      <text>
        <r>
          <rPr>
            <sz val="8"/>
            <color indexed="81"/>
            <rFont val="Tahoma"/>
            <family val="2"/>
          </rPr>
          <t>restated for Switch and Data</t>
        </r>
      </text>
    </comment>
    <comment ref="S78" authorId="0">
      <text>
        <r>
          <rPr>
            <sz val="8"/>
            <color indexed="81"/>
            <rFont val="Tahoma"/>
            <family val="2"/>
          </rPr>
          <t>restated for Switch and Data</t>
        </r>
      </text>
    </comment>
    <comment ref="T78" authorId="0">
      <text>
        <r>
          <rPr>
            <sz val="8"/>
            <color indexed="81"/>
            <rFont val="Tahoma"/>
            <family val="2"/>
          </rPr>
          <t>restated for Switch and Data</t>
        </r>
      </text>
    </comment>
    <comment ref="W492" authorId="0">
      <text>
        <r>
          <rPr>
            <sz val="8"/>
            <color indexed="81"/>
            <rFont val="Tahoma"/>
            <family val="2"/>
          </rPr>
          <t>Per press release:  $30M 2011 FY revenues, 50% CAGR for past 3 years</t>
        </r>
      </text>
    </comment>
    <comment ref="Y528" authorId="0">
      <text>
        <r>
          <rPr>
            <sz val="8"/>
            <color indexed="81"/>
            <rFont val="Tahoma"/>
            <family val="2"/>
          </rPr>
          <t>per earnings call</t>
        </r>
      </text>
    </comment>
    <comment ref="Z528" authorId="0">
      <text>
        <r>
          <rPr>
            <sz val="8"/>
            <color indexed="81"/>
            <rFont val="Tahoma"/>
            <family val="2"/>
          </rPr>
          <t>per earnings call</t>
        </r>
      </text>
    </comment>
  </commentList>
</comments>
</file>

<file path=xl/comments2.xml><?xml version="1.0" encoding="utf-8"?>
<comments xmlns="http://schemas.openxmlformats.org/spreadsheetml/2006/main">
  <authors>
    <author>laml</author>
  </authors>
  <commentList>
    <comment ref="E16" authorId="0">
      <text>
        <r>
          <rPr>
            <sz val="8"/>
            <color indexed="81"/>
            <rFont val="Tahoma"/>
            <family val="2"/>
          </rPr>
          <t>cash cost of revenues</t>
        </r>
      </text>
    </comment>
    <comment ref="E18" authorId="0">
      <text>
        <r>
          <rPr>
            <sz val="8"/>
            <color indexed="81"/>
            <rFont val="Tahoma"/>
            <family val="2"/>
          </rPr>
          <t>cash S + G&amp;A</t>
        </r>
      </text>
    </comment>
  </commentList>
</comments>
</file>

<file path=xl/comments3.xml><?xml version="1.0" encoding="utf-8"?>
<comments xmlns="http://schemas.openxmlformats.org/spreadsheetml/2006/main">
  <authors>
    <author>laml</author>
  </authors>
  <commentList>
    <comment ref="P69" authorId="0">
      <text>
        <r>
          <rPr>
            <b/>
            <sz val="8"/>
            <color indexed="81"/>
            <rFont val="Tahoma"/>
            <family val="2"/>
          </rPr>
          <t>laml:</t>
        </r>
        <r>
          <rPr>
            <sz val="8"/>
            <color indexed="81"/>
            <rFont val="Tahoma"/>
            <family val="2"/>
          </rPr>
          <t xml:space="preserve">
midpoint of 615-665</t>
        </r>
      </text>
    </comment>
  </commentList>
</comments>
</file>

<file path=xl/comments4.xml><?xml version="1.0" encoding="utf-8"?>
<comments xmlns="http://schemas.openxmlformats.org/spreadsheetml/2006/main">
  <authors>
    <author>laml</author>
  </authors>
  <commentList>
    <comment ref="B427" authorId="0">
      <text>
        <r>
          <rPr>
            <sz val="8"/>
            <color indexed="81"/>
            <rFont val="Tahoma"/>
            <family val="2"/>
          </rPr>
          <t>current price for dividend yield</t>
        </r>
      </text>
    </comment>
  </commentList>
</comments>
</file>

<file path=xl/comments5.xml><?xml version="1.0" encoding="utf-8"?>
<comments xmlns="http://schemas.openxmlformats.org/spreadsheetml/2006/main">
  <authors>
    <author>Lam, Lisa (Research)</author>
  </authors>
  <commentList>
    <comment ref="BG13" authorId="0">
      <text>
        <r>
          <rPr>
            <sz val="9"/>
            <color indexed="81"/>
            <rFont val="Tahoma"/>
            <family val="2"/>
          </rPr>
          <t>prior quarter revenue</t>
        </r>
      </text>
    </comment>
    <comment ref="BJ15" authorId="0">
      <text>
        <r>
          <rPr>
            <sz val="10"/>
            <color indexed="81"/>
            <rFont val="Tahoma"/>
            <family val="2"/>
          </rPr>
          <t>includes synergies and integration costs</t>
        </r>
      </text>
    </comment>
    <comment ref="AL18" authorId="0">
      <text>
        <r>
          <rPr>
            <sz val="9"/>
            <color indexed="81"/>
            <rFont val="Tahoma"/>
            <family val="2"/>
          </rPr>
          <t>cash COGS</t>
        </r>
      </text>
    </comment>
    <comment ref="AL20" authorId="0">
      <text>
        <r>
          <rPr>
            <sz val="9"/>
            <color indexed="81"/>
            <rFont val="Tahoma"/>
            <family val="2"/>
          </rPr>
          <t>cash SG&amp;A</t>
        </r>
      </text>
    </comment>
    <comment ref="BJ20" authorId="0">
      <text>
        <r>
          <rPr>
            <sz val="9"/>
            <color indexed="81"/>
            <rFont val="Tahoma"/>
            <family val="2"/>
          </rPr>
          <t>include Telecity and Bit-isle capex</t>
        </r>
      </text>
    </comment>
    <comment ref="BG30" authorId="0">
      <text>
        <r>
          <rPr>
            <sz val="9"/>
            <color indexed="81"/>
            <rFont val="Tahoma"/>
            <family val="2"/>
          </rPr>
          <t>prior quarter revenue</t>
        </r>
      </text>
    </comment>
    <comment ref="BJ32" authorId="0">
      <text>
        <r>
          <rPr>
            <sz val="10"/>
            <color indexed="81"/>
            <rFont val="Tahoma"/>
            <family val="2"/>
          </rPr>
          <t>includes synergies and integration costs</t>
        </r>
      </text>
    </comment>
    <comment ref="BJ37" authorId="0">
      <text>
        <r>
          <rPr>
            <sz val="9"/>
            <color indexed="81"/>
            <rFont val="Tahoma"/>
            <family val="2"/>
          </rPr>
          <t>include Telecity and Bit-isle capex</t>
        </r>
      </text>
    </comment>
    <comment ref="BG47" authorId="0">
      <text>
        <r>
          <rPr>
            <sz val="9"/>
            <color indexed="81"/>
            <rFont val="Tahoma"/>
            <family val="2"/>
          </rPr>
          <t>prior quarter revenue</t>
        </r>
      </text>
    </comment>
    <comment ref="BJ49" authorId="0">
      <text>
        <r>
          <rPr>
            <sz val="10"/>
            <color indexed="81"/>
            <rFont val="Tahoma"/>
            <family val="2"/>
          </rPr>
          <t>includes synergies and integration costs</t>
        </r>
      </text>
    </comment>
    <comment ref="BJ54" authorId="0">
      <text>
        <r>
          <rPr>
            <sz val="9"/>
            <color indexed="81"/>
            <rFont val="Tahoma"/>
            <family val="2"/>
          </rPr>
          <t>include Telecity and Bit-isle capex</t>
        </r>
      </text>
    </comment>
    <comment ref="BG65" authorId="0">
      <text>
        <r>
          <rPr>
            <sz val="9"/>
            <color indexed="81"/>
            <rFont val="Tahoma"/>
            <family val="2"/>
          </rPr>
          <t>prior quarter revenue</t>
        </r>
      </text>
    </comment>
    <comment ref="BJ67" authorId="0">
      <text>
        <r>
          <rPr>
            <sz val="10"/>
            <color indexed="81"/>
            <rFont val="Tahoma"/>
            <family val="2"/>
          </rPr>
          <t>includes synergies and integration costs</t>
        </r>
      </text>
    </comment>
    <comment ref="BJ72" authorId="0">
      <text>
        <r>
          <rPr>
            <sz val="9"/>
            <color indexed="81"/>
            <rFont val="Tahoma"/>
            <family val="2"/>
          </rPr>
          <t>include Telecity and Bit-isle capex</t>
        </r>
      </text>
    </comment>
    <comment ref="BG83" authorId="0">
      <text>
        <r>
          <rPr>
            <sz val="9"/>
            <color indexed="81"/>
            <rFont val="Tahoma"/>
            <family val="2"/>
          </rPr>
          <t>prior quarter revenue</t>
        </r>
      </text>
    </comment>
    <comment ref="BJ85" authorId="0">
      <text>
        <r>
          <rPr>
            <sz val="10"/>
            <color indexed="81"/>
            <rFont val="Tahoma"/>
            <family val="2"/>
          </rPr>
          <t>includes synergies and integration costs</t>
        </r>
      </text>
    </comment>
    <comment ref="BJ90" authorId="0">
      <text>
        <r>
          <rPr>
            <sz val="9"/>
            <color indexed="81"/>
            <rFont val="Tahoma"/>
            <family val="2"/>
          </rPr>
          <t>include Telecity and Bit-isle capex</t>
        </r>
      </text>
    </comment>
    <comment ref="BG100" authorId="0">
      <text>
        <r>
          <rPr>
            <sz val="9"/>
            <color indexed="81"/>
            <rFont val="Tahoma"/>
            <family val="2"/>
          </rPr>
          <t>prior quarter revenue</t>
        </r>
      </text>
    </comment>
    <comment ref="BJ102" authorId="0">
      <text>
        <r>
          <rPr>
            <sz val="10"/>
            <color indexed="81"/>
            <rFont val="Tahoma"/>
            <family val="2"/>
          </rPr>
          <t>includes synergies and integration costs</t>
        </r>
      </text>
    </comment>
    <comment ref="BJ107" authorId="0">
      <text>
        <r>
          <rPr>
            <sz val="9"/>
            <color indexed="81"/>
            <rFont val="Tahoma"/>
            <family val="2"/>
          </rPr>
          <t>include Telecity and Bit-isle capex</t>
        </r>
      </text>
    </comment>
    <comment ref="BG117" authorId="0">
      <text>
        <r>
          <rPr>
            <sz val="9"/>
            <color indexed="81"/>
            <rFont val="Tahoma"/>
            <family val="2"/>
          </rPr>
          <t>prior quarter revenue</t>
        </r>
      </text>
    </comment>
    <comment ref="BJ119" authorId="0">
      <text>
        <r>
          <rPr>
            <sz val="10"/>
            <color indexed="81"/>
            <rFont val="Tahoma"/>
            <family val="2"/>
          </rPr>
          <t>includes synergies and integration costs</t>
        </r>
      </text>
    </comment>
    <comment ref="BG134" authorId="0">
      <text>
        <r>
          <rPr>
            <sz val="9"/>
            <color indexed="81"/>
            <rFont val="Tahoma"/>
            <family val="2"/>
          </rPr>
          <t>prior quarter revenue</t>
        </r>
      </text>
    </comment>
    <comment ref="BJ136" authorId="0">
      <text>
        <r>
          <rPr>
            <sz val="10"/>
            <color indexed="81"/>
            <rFont val="Tahoma"/>
            <family val="2"/>
          </rPr>
          <t>includes synergies and integration costs</t>
        </r>
      </text>
    </comment>
    <comment ref="BG152" authorId="0">
      <text>
        <r>
          <rPr>
            <sz val="9"/>
            <color indexed="81"/>
            <rFont val="Tahoma"/>
            <family val="2"/>
          </rPr>
          <t>prior quarter revenue</t>
        </r>
      </text>
    </comment>
    <comment ref="BJ154" authorId="0">
      <text>
        <r>
          <rPr>
            <sz val="10"/>
            <color indexed="81"/>
            <rFont val="Tahoma"/>
            <family val="2"/>
          </rPr>
          <t>includes synergies and integration costs</t>
        </r>
      </text>
    </comment>
    <comment ref="BG170" authorId="0">
      <text>
        <r>
          <rPr>
            <sz val="9"/>
            <color indexed="81"/>
            <rFont val="Tahoma"/>
            <family val="2"/>
          </rPr>
          <t>prior quarter revenue</t>
        </r>
      </text>
    </comment>
    <comment ref="BG187" authorId="0">
      <text>
        <r>
          <rPr>
            <sz val="9"/>
            <color indexed="81"/>
            <rFont val="Tahoma"/>
            <family val="2"/>
          </rPr>
          <t>prior quarter revenue</t>
        </r>
      </text>
    </comment>
    <comment ref="BG203" authorId="0">
      <text>
        <r>
          <rPr>
            <sz val="9"/>
            <color indexed="81"/>
            <rFont val="Tahoma"/>
            <family val="2"/>
          </rPr>
          <t>prior quarter revenue</t>
        </r>
      </text>
    </comment>
    <comment ref="BG219" authorId="0">
      <text>
        <r>
          <rPr>
            <sz val="9"/>
            <color indexed="81"/>
            <rFont val="Tahoma"/>
            <family val="2"/>
          </rPr>
          <t>prior quarter revenue</t>
        </r>
      </text>
    </comment>
    <comment ref="BG235" authorId="0">
      <text>
        <r>
          <rPr>
            <sz val="9"/>
            <color indexed="81"/>
            <rFont val="Tahoma"/>
            <family val="2"/>
          </rPr>
          <t>prior quarter revenue</t>
        </r>
      </text>
    </comment>
  </commentList>
</comments>
</file>

<file path=xl/comments6.xml><?xml version="1.0" encoding="utf-8"?>
<comments xmlns="http://schemas.openxmlformats.org/spreadsheetml/2006/main">
  <authors>
    <author>katzedwa</author>
    <author>Lam, Lisa (Research)</author>
    <author>laml</author>
  </authors>
  <commentList>
    <comment ref="BG13" authorId="0">
      <text>
        <r>
          <rPr>
            <b/>
            <sz val="8"/>
            <color indexed="81"/>
            <rFont val="Tahoma"/>
            <family val="2"/>
          </rPr>
          <t>katzedwa:</t>
        </r>
        <r>
          <rPr>
            <sz val="8"/>
            <color indexed="81"/>
            <rFont val="Tahoma"/>
            <family val="2"/>
          </rPr>
          <t xml:space="preserve">
Non-recurring revenue adjustment in connection with the adoption of SAB No. 108 ($1.179)</t>
        </r>
      </text>
    </comment>
    <comment ref="N14" authorId="0">
      <text>
        <r>
          <rPr>
            <b/>
            <sz val="8"/>
            <color indexed="81"/>
            <rFont val="Tahoma"/>
            <family val="2"/>
          </rPr>
          <t>katzedwa:</t>
        </r>
        <r>
          <rPr>
            <sz val="8"/>
            <color indexed="81"/>
            <rFont val="Tahoma"/>
            <family val="2"/>
          </rPr>
          <t xml:space="preserve">
Guidance: $855-$875M; incorporates $3M net impact from currency adjustments</t>
        </r>
      </text>
    </comment>
    <comment ref="BP14" authorId="0">
      <text>
        <r>
          <rPr>
            <b/>
            <sz val="8"/>
            <color indexed="81"/>
            <rFont val="Tahoma"/>
            <family val="2"/>
          </rPr>
          <t>katzedwa:</t>
        </r>
        <r>
          <rPr>
            <sz val="8"/>
            <color indexed="81"/>
            <rFont val="Tahoma"/>
            <family val="2"/>
          </rPr>
          <t xml:space="preserve">
Guidance $198-$200M</t>
        </r>
      </text>
    </comment>
    <comment ref="BQ14" authorId="0">
      <text>
        <r>
          <rPr>
            <b/>
            <sz val="8"/>
            <color indexed="81"/>
            <rFont val="Tahoma"/>
            <family val="2"/>
          </rPr>
          <t>katzedwa:</t>
        </r>
        <r>
          <rPr>
            <sz val="8"/>
            <color indexed="81"/>
            <rFont val="Tahoma"/>
            <family val="2"/>
          </rPr>
          <t xml:space="preserve">
Guidance is $206 - $210M</t>
        </r>
      </text>
    </comment>
    <comment ref="BR14" authorId="0">
      <text>
        <r>
          <rPr>
            <b/>
            <sz val="8"/>
            <color indexed="81"/>
            <rFont val="Tahoma"/>
            <family val="2"/>
          </rPr>
          <t>katzedwa:</t>
        </r>
        <r>
          <rPr>
            <sz val="8"/>
            <color indexed="81"/>
            <rFont val="Tahoma"/>
            <family val="2"/>
          </rPr>
          <t xml:space="preserve">
Guidance $221M - $225M</t>
        </r>
      </text>
    </comment>
    <comment ref="B30" authorId="1">
      <text>
        <r>
          <rPr>
            <sz val="10"/>
            <color indexed="81"/>
            <rFont val="Tahoma"/>
            <family val="2"/>
          </rPr>
          <t xml:space="preserve">4Q16 and prior - less Bit-isle and Telecity
3Q17 and beyond - less Verizon assets
1Q19 and beyond - less Itconic and IS2 (Istanbul)
</t>
        </r>
      </text>
    </comment>
    <comment ref="CR30" authorId="1">
      <text>
        <r>
          <rPr>
            <sz val="10"/>
            <color indexed="81"/>
            <rFont val="Tahoma"/>
            <family val="2"/>
          </rPr>
          <t>5/6 month of Telecity</t>
        </r>
      </text>
    </comment>
    <comment ref="CV30" authorId="1">
      <text>
        <r>
          <rPr>
            <sz val="10"/>
            <color indexed="81"/>
            <rFont val="Tahoma"/>
            <family val="2"/>
          </rPr>
          <t>see b30 comment</t>
        </r>
      </text>
    </comment>
    <comment ref="CZ30" authorId="1">
      <text>
        <r>
          <rPr>
            <sz val="10"/>
            <color indexed="81"/>
            <rFont val="Tahoma"/>
            <family val="2"/>
          </rPr>
          <t>includes VZ
see B30 comment</t>
        </r>
      </text>
    </comment>
    <comment ref="CZ31" authorId="1">
      <text>
        <r>
          <rPr>
            <sz val="10"/>
            <color indexed="81"/>
            <rFont val="Tahoma"/>
            <family val="2"/>
          </rPr>
          <t>assume 2Q17 VZ revenues for full quarter</t>
        </r>
      </text>
    </comment>
    <comment ref="DA31" authorId="1">
      <text>
        <r>
          <rPr>
            <sz val="10"/>
            <color indexed="81"/>
            <rFont val="Tahoma"/>
            <family val="2"/>
          </rPr>
          <t>5/1/17 VZ asset close
add back 1 month of revenues</t>
        </r>
      </text>
    </comment>
    <comment ref="CJ167" authorId="1">
      <text>
        <r>
          <rPr>
            <sz val="10"/>
            <color indexed="81"/>
            <rFont val="Tahoma"/>
            <family val="2"/>
          </rPr>
          <t>restated in 1Q15</t>
        </r>
      </text>
    </comment>
    <comment ref="CK167" authorId="1">
      <text>
        <r>
          <rPr>
            <sz val="10"/>
            <color indexed="81"/>
            <rFont val="Tahoma"/>
            <family val="2"/>
          </rPr>
          <t>restated in 1Q15</t>
        </r>
      </text>
    </comment>
    <comment ref="CL167" authorId="1">
      <text>
        <r>
          <rPr>
            <sz val="10"/>
            <color indexed="81"/>
            <rFont val="Tahoma"/>
            <family val="2"/>
          </rPr>
          <t>restated in 1Q15</t>
        </r>
      </text>
    </comment>
    <comment ref="CM167" authorId="1">
      <text>
        <r>
          <rPr>
            <sz val="10"/>
            <color indexed="81"/>
            <rFont val="Tahoma"/>
            <family val="2"/>
          </rPr>
          <t>restated in 1Q15</t>
        </r>
      </text>
    </comment>
    <comment ref="CY167" authorId="1">
      <text>
        <r>
          <rPr>
            <sz val="10"/>
            <color indexed="81"/>
            <rFont val="Tahoma"/>
            <family val="2"/>
          </rPr>
          <t>includes 26.1k from Verizon</t>
        </r>
      </text>
    </comment>
    <comment ref="CT172" authorId="1">
      <text>
        <r>
          <rPr>
            <sz val="10"/>
            <color indexed="81"/>
            <rFont val="Tahoma"/>
            <family val="2"/>
          </rPr>
          <t>Telecity / Bit-isle in reported revenues but not in cabinet metrics</t>
        </r>
      </text>
    </comment>
    <comment ref="CZ175" authorId="1">
      <text>
        <r>
          <rPr>
            <sz val="10"/>
            <color indexed="81"/>
            <rFont val="Tahoma"/>
            <family val="2"/>
          </rPr>
          <t>announced 4Q16
previously 550</t>
        </r>
      </text>
    </comment>
    <comment ref="DB177" authorId="1">
      <text>
        <r>
          <rPr>
            <sz val="10"/>
            <color indexed="81"/>
            <rFont val="Tahoma"/>
            <family val="2"/>
          </rPr>
          <t>announced 4Q17</t>
        </r>
      </text>
    </comment>
    <comment ref="CQ179" authorId="1">
      <text>
        <r>
          <rPr>
            <sz val="10"/>
            <color indexed="81"/>
            <rFont val="Tahoma"/>
            <family val="2"/>
          </rPr>
          <t>announced in 4Q14</t>
        </r>
      </text>
    </comment>
    <comment ref="CQ184" authorId="1">
      <text>
        <r>
          <rPr>
            <sz val="10"/>
            <color indexed="81"/>
            <rFont val="Tahoma"/>
            <family val="2"/>
          </rPr>
          <t>announced in 2Q15</t>
        </r>
      </text>
    </comment>
    <comment ref="CU185" authorId="1">
      <text>
        <r>
          <rPr>
            <sz val="10"/>
            <color indexed="81"/>
            <rFont val="Tahoma"/>
            <family val="2"/>
          </rPr>
          <t>announced 1Q16</t>
        </r>
      </text>
    </comment>
    <comment ref="CQ189" authorId="1">
      <text>
        <r>
          <rPr>
            <sz val="10"/>
            <color indexed="81"/>
            <rFont val="Tahoma"/>
            <family val="2"/>
          </rPr>
          <t>announced in 1Q15</t>
        </r>
      </text>
    </comment>
    <comment ref="CP191" authorId="2">
      <text>
        <r>
          <rPr>
            <sz val="10"/>
            <color indexed="81"/>
            <rFont val="Tahoma"/>
            <family val="2"/>
          </rPr>
          <t>announced 3Q14</t>
        </r>
      </text>
    </comment>
    <comment ref="CU192" authorId="1">
      <text>
        <r>
          <rPr>
            <sz val="10"/>
            <color indexed="81"/>
            <rFont val="Tahoma"/>
            <family val="2"/>
          </rPr>
          <t>announced 1Q16</t>
        </r>
      </text>
    </comment>
    <comment ref="CX193" authorId="1">
      <text>
        <r>
          <rPr>
            <sz val="10"/>
            <color indexed="81"/>
            <rFont val="Tahoma"/>
            <family val="2"/>
          </rPr>
          <t>announced 2Q16
increased 2Q17.  Previously 1275</t>
        </r>
      </text>
    </comment>
    <comment ref="DC194" authorId="1">
      <text>
        <r>
          <rPr>
            <sz val="10"/>
            <color indexed="81"/>
            <rFont val="Tahoma"/>
            <family val="2"/>
          </rPr>
          <t>announced 4Q17</t>
        </r>
      </text>
    </comment>
    <comment ref="DA196" authorId="1">
      <text>
        <r>
          <rPr>
            <sz val="10"/>
            <color indexed="81"/>
            <rFont val="Tahoma"/>
            <family val="2"/>
          </rPr>
          <t xml:space="preserve">announced 3Q17
</t>
        </r>
      </text>
    </comment>
    <comment ref="DB197" authorId="1">
      <text>
        <r>
          <rPr>
            <sz val="10"/>
            <color indexed="81"/>
            <rFont val="Tahoma"/>
            <family val="2"/>
          </rPr>
          <t>announced 4Q17</t>
        </r>
      </text>
    </comment>
    <comment ref="CY200" authorId="1">
      <text>
        <r>
          <rPr>
            <sz val="10"/>
            <color indexed="81"/>
            <rFont val="Tahoma"/>
            <family val="2"/>
          </rPr>
          <t>announced 2Q17</t>
        </r>
      </text>
    </comment>
    <comment ref="DB201" authorId="1">
      <text>
        <r>
          <rPr>
            <sz val="10"/>
            <color indexed="81"/>
            <rFont val="Tahoma"/>
            <family val="2"/>
          </rPr>
          <t>announced 3Q17</t>
        </r>
      </text>
    </comment>
    <comment ref="CV204" authorId="1">
      <text>
        <r>
          <rPr>
            <sz val="10"/>
            <color indexed="81"/>
            <rFont val="Tahoma"/>
            <family val="2"/>
          </rPr>
          <t>announced 1Q16</t>
        </r>
      </text>
    </comment>
    <comment ref="CN205" authorId="2">
      <text>
        <r>
          <rPr>
            <sz val="8"/>
            <color indexed="81"/>
            <rFont val="Tahoma"/>
            <family val="2"/>
          </rPr>
          <t>announced 3Q13</t>
        </r>
      </text>
    </comment>
    <comment ref="CO207" authorId="2">
      <text>
        <r>
          <rPr>
            <sz val="10"/>
            <color indexed="81"/>
            <rFont val="Tahoma"/>
            <family val="2"/>
          </rPr>
          <t>announced 4Q13</t>
        </r>
      </text>
    </comment>
    <comment ref="CP209" authorId="2">
      <text>
        <r>
          <rPr>
            <sz val="10"/>
            <color indexed="81"/>
            <rFont val="Tahoma"/>
            <family val="2"/>
          </rPr>
          <t>announced 3Q14</t>
        </r>
      </text>
    </comment>
    <comment ref="CZ210" authorId="1">
      <text>
        <r>
          <rPr>
            <sz val="10"/>
            <color indexed="81"/>
            <rFont val="Tahoma"/>
            <family val="2"/>
          </rPr>
          <t>announced 4Q16
previously 315 for 4Q17</t>
        </r>
      </text>
    </comment>
    <comment ref="CO212" authorId="2">
      <text>
        <r>
          <rPr>
            <sz val="10"/>
            <color indexed="81"/>
            <rFont val="Tahoma"/>
            <family val="2"/>
          </rPr>
          <t>announced 3Q14</t>
        </r>
      </text>
    </comment>
    <comment ref="CK213" authorId="2">
      <text>
        <r>
          <rPr>
            <sz val="8"/>
            <color indexed="81"/>
            <rFont val="Tahoma"/>
            <family val="2"/>
          </rPr>
          <t>announced 3Q13</t>
        </r>
      </text>
    </comment>
    <comment ref="CV214" authorId="1">
      <text>
        <r>
          <rPr>
            <sz val="10"/>
            <color indexed="81"/>
            <rFont val="Tahoma"/>
            <family val="2"/>
          </rPr>
          <t>announced 3Q15</t>
        </r>
      </text>
    </comment>
    <comment ref="DC215" authorId="1">
      <text>
        <r>
          <rPr>
            <sz val="10"/>
            <color indexed="81"/>
            <rFont val="Tahoma"/>
            <family val="2"/>
          </rPr>
          <t>announced 3Q17</t>
        </r>
      </text>
    </comment>
    <comment ref="DB216" authorId="1">
      <text>
        <r>
          <rPr>
            <sz val="10"/>
            <color indexed="81"/>
            <rFont val="Tahoma"/>
            <family val="2"/>
          </rPr>
          <t>announced 4Q17</t>
        </r>
      </text>
    </comment>
    <comment ref="CP219" authorId="1">
      <text>
        <r>
          <rPr>
            <sz val="9"/>
            <color indexed="81"/>
            <rFont val="Tahoma"/>
            <family val="2"/>
          </rPr>
          <t>announced 2Q14</t>
        </r>
      </text>
    </comment>
    <comment ref="CW220" authorId="1">
      <text>
        <r>
          <rPr>
            <sz val="10"/>
            <color indexed="81"/>
            <rFont val="Tahoma"/>
            <family val="2"/>
          </rPr>
          <t>announced 1Q16
increased in 2Q17 previously 795</t>
        </r>
      </text>
    </comment>
    <comment ref="DC221" authorId="1">
      <text>
        <r>
          <rPr>
            <sz val="10"/>
            <color indexed="81"/>
            <rFont val="Tahoma"/>
            <family val="2"/>
          </rPr>
          <t>announced 4Q17</t>
        </r>
      </text>
    </comment>
    <comment ref="CX223" authorId="1">
      <text>
        <r>
          <rPr>
            <sz val="10"/>
            <color indexed="81"/>
            <rFont val="Tahoma"/>
            <family val="2"/>
          </rPr>
          <t>announced 4Q16</t>
        </r>
      </text>
    </comment>
    <comment ref="CJ249" authorId="1">
      <text>
        <r>
          <rPr>
            <sz val="10"/>
            <color indexed="81"/>
            <rFont val="Tahoma"/>
            <family val="2"/>
          </rPr>
          <t>restated in 1Q15</t>
        </r>
      </text>
    </comment>
    <comment ref="CK249" authorId="1">
      <text>
        <r>
          <rPr>
            <sz val="10"/>
            <color indexed="81"/>
            <rFont val="Tahoma"/>
            <family val="2"/>
          </rPr>
          <t>restated in 1Q15</t>
        </r>
      </text>
    </comment>
    <comment ref="CL249" authorId="1">
      <text>
        <r>
          <rPr>
            <sz val="10"/>
            <color indexed="81"/>
            <rFont val="Tahoma"/>
            <family val="2"/>
          </rPr>
          <t>restated in 1Q15</t>
        </r>
      </text>
    </comment>
    <comment ref="CM249" authorId="1">
      <text>
        <r>
          <rPr>
            <sz val="10"/>
            <color indexed="81"/>
            <rFont val="Tahoma"/>
            <family val="2"/>
          </rPr>
          <t>restated in 1Q15</t>
        </r>
      </text>
    </comment>
    <comment ref="CV249" authorId="1">
      <text>
        <r>
          <rPr>
            <sz val="10"/>
            <color indexed="81"/>
            <rFont val="Tahoma"/>
            <family val="2"/>
          </rPr>
          <t>LinkedIn churn</t>
        </r>
      </text>
    </comment>
    <comment ref="CY249" authorId="1">
      <text>
        <r>
          <rPr>
            <sz val="10"/>
            <color indexed="81"/>
            <rFont val="Tahoma"/>
            <family val="2"/>
          </rPr>
          <t>56.1k excluding VZ</t>
        </r>
      </text>
    </comment>
    <comment ref="BX252" authorId="0">
      <text>
        <r>
          <rPr>
            <b/>
            <sz val="8"/>
            <color indexed="81"/>
            <rFont val="Tahoma"/>
            <family val="2"/>
          </rPr>
          <t>katzedwa:</t>
        </r>
        <r>
          <rPr>
            <sz val="8"/>
            <color indexed="81"/>
            <rFont val="Tahoma"/>
            <family val="2"/>
          </rPr>
          <t xml:space="preserve">
Reported as 74%</t>
        </r>
      </text>
    </comment>
    <comment ref="CF274" authorId="2">
      <text>
        <r>
          <rPr>
            <sz val="8"/>
            <color indexed="81"/>
            <rFont val="Tahoma"/>
            <family val="2"/>
          </rPr>
          <t>down due to timing of customer installations</t>
        </r>
      </text>
    </comment>
    <comment ref="CG274" authorId="2">
      <text>
        <r>
          <rPr>
            <sz val="8"/>
            <color indexed="81"/>
            <rFont val="Tahoma"/>
            <family val="2"/>
          </rPr>
          <t>down due to timing of customer installations</t>
        </r>
      </text>
    </comment>
    <comment ref="CJ274" authorId="1">
      <text>
        <r>
          <rPr>
            <sz val="10"/>
            <color indexed="81"/>
            <rFont val="Tahoma"/>
            <family val="2"/>
          </rPr>
          <t>restated in 1Q15</t>
        </r>
      </text>
    </comment>
    <comment ref="CK274" authorId="1">
      <text>
        <r>
          <rPr>
            <sz val="10"/>
            <color indexed="81"/>
            <rFont val="Tahoma"/>
            <family val="2"/>
          </rPr>
          <t>restated in 1Q15</t>
        </r>
      </text>
    </comment>
    <comment ref="CL274" authorId="1">
      <text>
        <r>
          <rPr>
            <sz val="10"/>
            <color indexed="81"/>
            <rFont val="Tahoma"/>
            <family val="2"/>
          </rPr>
          <t>restated in 1Q15</t>
        </r>
      </text>
    </comment>
    <comment ref="CM274" authorId="1">
      <text>
        <r>
          <rPr>
            <sz val="10"/>
            <color indexed="81"/>
            <rFont val="Tahoma"/>
            <family val="2"/>
          </rPr>
          <t>restated in 1Q15</t>
        </r>
      </text>
    </comment>
    <comment ref="CY274" authorId="1">
      <text>
        <r>
          <rPr>
            <sz val="10"/>
            <color indexed="81"/>
            <rFont val="Tahoma"/>
            <family val="2"/>
          </rPr>
          <t>$2,579 excluding VZ</t>
        </r>
      </text>
    </comment>
    <comment ref="BZ281" authorId="2">
      <text>
        <r>
          <rPr>
            <sz val="8"/>
            <color indexed="81"/>
            <rFont val="Tahoma"/>
            <family val="2"/>
          </rPr>
          <t>includes 700K fX headwinds</t>
        </r>
      </text>
    </comment>
    <comment ref="CA281" authorId="2">
      <text>
        <r>
          <rPr>
            <sz val="8"/>
            <color indexed="81"/>
            <rFont val="Tahoma"/>
            <family val="2"/>
          </rPr>
          <t>per earnings call</t>
        </r>
      </text>
    </comment>
    <comment ref="CB281" authorId="2">
      <text>
        <r>
          <rPr>
            <sz val="8"/>
            <color indexed="81"/>
            <rFont val="Tahoma"/>
            <family val="2"/>
          </rPr>
          <t>per earnings call</t>
        </r>
      </text>
    </comment>
    <comment ref="CC281" authorId="2">
      <text>
        <r>
          <rPr>
            <sz val="8"/>
            <color indexed="81"/>
            <rFont val="Tahoma"/>
            <family val="2"/>
          </rPr>
          <t>per company</t>
        </r>
      </text>
    </comment>
    <comment ref="CD281" authorId="2">
      <text>
        <r>
          <rPr>
            <sz val="8"/>
            <color indexed="81"/>
            <rFont val="Tahoma"/>
            <family val="2"/>
          </rPr>
          <t>per company</t>
        </r>
      </text>
    </comment>
    <comment ref="CE281" authorId="2">
      <text>
        <r>
          <rPr>
            <sz val="8"/>
            <color indexed="81"/>
            <rFont val="Tahoma"/>
            <family val="2"/>
          </rPr>
          <t>per company</t>
        </r>
      </text>
    </comment>
    <comment ref="CF281" authorId="2">
      <text>
        <r>
          <rPr>
            <sz val="8"/>
            <color indexed="81"/>
            <rFont val="Tahoma"/>
            <family val="2"/>
          </rPr>
          <t>per company</t>
        </r>
      </text>
    </comment>
    <comment ref="CY281" authorId="1">
      <text>
        <r>
          <rPr>
            <sz val="10"/>
            <color indexed="81"/>
            <rFont val="Tahoma"/>
            <family val="2"/>
          </rPr>
          <t>uses ex VZ metrics for MRR/cab and avg cab</t>
        </r>
      </text>
    </comment>
    <comment ref="B284" authorId="1">
      <text>
        <r>
          <rPr>
            <sz val="10"/>
            <color indexed="81"/>
            <rFont val="Tahoma"/>
            <family val="2"/>
          </rPr>
          <t>close 5/1/17
$3.6B acquisition
post close forecasts (EQIX provided)
revenues ~$450M
adjusted EBITDA ~$270M (60% margin)
10% interconnection revenues
29 data centers, 15 metros
immediately accretive to AFFO 
financing via March 2017 debt and equity raise</t>
        </r>
      </text>
    </comment>
    <comment ref="CQ284" authorId="1">
      <text>
        <r>
          <rPr>
            <sz val="10"/>
            <color indexed="81"/>
            <rFont val="Tahoma"/>
            <family val="2"/>
          </rPr>
          <t>$21.6M of revenues reported by EQIX since 11/2 acquisition.  60 days of revenues.  92 days in quarter</t>
        </r>
      </text>
    </comment>
    <comment ref="Q289" authorId="2">
      <text>
        <r>
          <rPr>
            <sz val="8"/>
            <color indexed="81"/>
            <rFont val="Tahoma"/>
            <family val="2"/>
          </rPr>
          <t>adjusted for asset sale announced 9/4/12</t>
        </r>
      </text>
    </comment>
    <comment ref="CK294" authorId="1">
      <text>
        <r>
          <rPr>
            <sz val="9"/>
            <color indexed="81"/>
            <rFont val="Tahoma"/>
            <family val="2"/>
          </rPr>
          <t>$2M earlier termination fee from LinkedIn</t>
        </r>
      </text>
    </comment>
    <comment ref="B304" authorId="2">
      <text>
        <r>
          <rPr>
            <sz val="8"/>
            <color indexed="81"/>
            <rFont val="Tahoma"/>
            <family val="2"/>
          </rPr>
          <t xml:space="preserve">9/4/12 announced asset sale of 16 data centers for $75M.  Expected close in 4Q12.  </t>
        </r>
      </text>
    </comment>
    <comment ref="B306" authorId="2">
      <text>
        <r>
          <rPr>
            <sz val="8"/>
            <color indexed="81"/>
            <rFont val="Tahoma"/>
            <family val="2"/>
          </rPr>
          <t>provided by 8-K, 10/15/12</t>
        </r>
      </text>
    </comment>
    <comment ref="B323" authorId="2">
      <text>
        <r>
          <rPr>
            <sz val="8"/>
            <color indexed="81"/>
            <rFont val="Tahoma"/>
            <family val="2"/>
          </rPr>
          <t>% of reported results</t>
        </r>
      </text>
    </comment>
    <comment ref="BO359" authorId="0">
      <text>
        <r>
          <rPr>
            <b/>
            <sz val="8"/>
            <color indexed="81"/>
            <rFont val="Tahoma"/>
            <family val="2"/>
          </rPr>
          <t>katzedwa:</t>
        </r>
        <r>
          <rPr>
            <sz val="8"/>
            <color indexed="81"/>
            <rFont val="Tahoma"/>
            <family val="2"/>
          </rPr>
          <t xml:space="preserve">
Reflected churn from customer upgrades to 10-Gig ports and non-billing ports that were decommissioned</t>
        </r>
      </text>
    </comment>
    <comment ref="CJ376" authorId="1">
      <text>
        <r>
          <rPr>
            <sz val="10"/>
            <color indexed="81"/>
            <rFont val="Tahoma"/>
            <family val="2"/>
          </rPr>
          <t>restated in 1Q15</t>
        </r>
      </text>
    </comment>
    <comment ref="CK376" authorId="1">
      <text>
        <r>
          <rPr>
            <sz val="10"/>
            <color indexed="81"/>
            <rFont val="Tahoma"/>
            <family val="2"/>
          </rPr>
          <t>restated in 1Q15</t>
        </r>
      </text>
    </comment>
    <comment ref="CL376" authorId="1">
      <text>
        <r>
          <rPr>
            <sz val="10"/>
            <color indexed="81"/>
            <rFont val="Tahoma"/>
            <family val="2"/>
          </rPr>
          <t>restated in 1Q15</t>
        </r>
      </text>
    </comment>
    <comment ref="CM376" authorId="1">
      <text>
        <r>
          <rPr>
            <sz val="10"/>
            <color indexed="81"/>
            <rFont val="Tahoma"/>
            <family val="2"/>
          </rPr>
          <t>restated in 1Q15</t>
        </r>
      </text>
    </comment>
    <comment ref="CY376" authorId="1">
      <text>
        <r>
          <rPr>
            <sz val="10"/>
            <color indexed="81"/>
            <rFont val="Tahoma"/>
            <family val="2"/>
          </rPr>
          <t>115100 ex VZ</t>
        </r>
      </text>
    </comment>
    <comment ref="CD410" authorId="2">
      <text>
        <r>
          <rPr>
            <sz val="8"/>
            <color indexed="81"/>
            <rFont val="Tahoma"/>
            <family val="2"/>
          </rPr>
          <t xml:space="preserve">restated 3Q13, starting in 3Q12
</t>
        </r>
      </text>
    </comment>
    <comment ref="CE410" authorId="2">
      <text>
        <r>
          <rPr>
            <sz val="8"/>
            <color indexed="81"/>
            <rFont val="Tahoma"/>
            <family val="2"/>
          </rPr>
          <t xml:space="preserve">restated 3Q13, starting in 3Q12
</t>
        </r>
      </text>
    </comment>
    <comment ref="CF410" authorId="2">
      <text>
        <r>
          <rPr>
            <sz val="8"/>
            <color indexed="81"/>
            <rFont val="Tahoma"/>
            <family val="2"/>
          </rPr>
          <t xml:space="preserve">restated 3Q13, starting in 3Q12
</t>
        </r>
      </text>
    </comment>
    <comment ref="CG410" authorId="2">
      <text>
        <r>
          <rPr>
            <sz val="8"/>
            <color indexed="81"/>
            <rFont val="Tahoma"/>
            <family val="2"/>
          </rPr>
          <t xml:space="preserve">restated 3Q13, starting in 3Q12
</t>
        </r>
      </text>
    </comment>
    <comment ref="CJ410" authorId="1">
      <text>
        <r>
          <rPr>
            <sz val="10"/>
            <color indexed="81"/>
            <rFont val="Tahoma"/>
            <family val="2"/>
          </rPr>
          <t>restated in 1Q15</t>
        </r>
      </text>
    </comment>
    <comment ref="CK410" authorId="1">
      <text>
        <r>
          <rPr>
            <sz val="10"/>
            <color indexed="81"/>
            <rFont val="Tahoma"/>
            <family val="2"/>
          </rPr>
          <t>restated in 1Q15</t>
        </r>
      </text>
    </comment>
    <comment ref="CL410" authorId="1">
      <text>
        <r>
          <rPr>
            <sz val="10"/>
            <color indexed="81"/>
            <rFont val="Tahoma"/>
            <family val="2"/>
          </rPr>
          <t>restated in 1Q15</t>
        </r>
      </text>
    </comment>
    <comment ref="CM410" authorId="1">
      <text>
        <r>
          <rPr>
            <sz val="10"/>
            <color indexed="81"/>
            <rFont val="Tahoma"/>
            <family val="2"/>
          </rPr>
          <t>restated in 1Q15</t>
        </r>
      </text>
    </comment>
    <comment ref="CU410" authorId="1">
      <text>
        <r>
          <rPr>
            <sz val="10"/>
            <color indexed="81"/>
            <rFont val="Tahoma"/>
            <family val="2"/>
          </rPr>
          <t>includes 6.3k for Bit-isle</t>
        </r>
      </text>
    </comment>
    <comment ref="CD412" authorId="2">
      <text>
        <r>
          <rPr>
            <sz val="8"/>
            <color indexed="81"/>
            <rFont val="Tahoma"/>
            <family val="2"/>
          </rPr>
          <t xml:space="preserve">restated 3Q13, starting in 3Q12
</t>
        </r>
      </text>
    </comment>
    <comment ref="CE412" authorId="2">
      <text>
        <r>
          <rPr>
            <sz val="8"/>
            <color indexed="81"/>
            <rFont val="Tahoma"/>
            <family val="2"/>
          </rPr>
          <t xml:space="preserve">restated 3Q13, starting in 3Q12
</t>
        </r>
      </text>
    </comment>
    <comment ref="CF412" authorId="2">
      <text>
        <r>
          <rPr>
            <sz val="8"/>
            <color indexed="81"/>
            <rFont val="Tahoma"/>
            <family val="2"/>
          </rPr>
          <t xml:space="preserve">restated 3Q13, starting in 3Q12
</t>
        </r>
      </text>
    </comment>
    <comment ref="CG412" authorId="2">
      <text>
        <r>
          <rPr>
            <sz val="8"/>
            <color indexed="81"/>
            <rFont val="Tahoma"/>
            <family val="2"/>
          </rPr>
          <t xml:space="preserve">restated 3Q13, starting in 3Q12
</t>
        </r>
      </text>
    </comment>
    <comment ref="CW418" authorId="1">
      <text>
        <r>
          <rPr>
            <sz val="10"/>
            <color indexed="81"/>
            <rFont val="Tahoma"/>
            <family val="2"/>
          </rPr>
          <t xml:space="preserve">Telecity / Bit-isle </t>
        </r>
      </text>
    </comment>
    <comment ref="CW419" authorId="1">
      <text>
        <r>
          <rPr>
            <sz val="10"/>
            <color indexed="81"/>
            <rFont val="Tahoma"/>
            <family val="2"/>
          </rPr>
          <t>announced 1Q16</t>
        </r>
      </text>
    </comment>
    <comment ref="CV422" authorId="1">
      <text>
        <r>
          <rPr>
            <sz val="10"/>
            <color indexed="81"/>
            <rFont val="Tahoma"/>
            <family val="2"/>
          </rPr>
          <t>announced 4Q15</t>
        </r>
      </text>
    </comment>
    <comment ref="DC423" authorId="1">
      <text>
        <r>
          <rPr>
            <sz val="10"/>
            <color indexed="81"/>
            <rFont val="Tahoma"/>
            <family val="2"/>
          </rPr>
          <t>announced 3Q17</t>
        </r>
      </text>
    </comment>
    <comment ref="CY425" authorId="1">
      <text>
        <r>
          <rPr>
            <sz val="10"/>
            <color indexed="81"/>
            <rFont val="Tahoma"/>
            <family val="2"/>
          </rPr>
          <t>announced 2Q17</t>
        </r>
      </text>
    </comment>
    <comment ref="CR427" authorId="1">
      <text>
        <r>
          <rPr>
            <sz val="10"/>
            <color indexed="81"/>
            <rFont val="Tahoma"/>
            <family val="2"/>
          </rPr>
          <t>announced 1Q15
for 1Q16</t>
        </r>
      </text>
    </comment>
    <comment ref="DB428" authorId="1">
      <text>
        <r>
          <rPr>
            <sz val="10"/>
            <color indexed="81"/>
            <rFont val="Tahoma"/>
            <family val="2"/>
          </rPr>
          <t xml:space="preserve">announced 3Q17
</t>
        </r>
      </text>
    </comment>
    <comment ref="CP434" authorId="1">
      <text>
        <r>
          <rPr>
            <sz val="10"/>
            <color indexed="81"/>
            <rFont val="Tahoma"/>
            <family val="2"/>
          </rPr>
          <t>announced 1Q15</t>
        </r>
      </text>
    </comment>
    <comment ref="CW435" authorId="1">
      <text>
        <r>
          <rPr>
            <sz val="10"/>
            <color indexed="81"/>
            <rFont val="Tahoma"/>
            <family val="2"/>
          </rPr>
          <t>announced 2Q16</t>
        </r>
      </text>
    </comment>
    <comment ref="CR437" authorId="1">
      <text>
        <r>
          <rPr>
            <sz val="10"/>
            <color indexed="81"/>
            <rFont val="Tahoma"/>
            <family val="2"/>
          </rPr>
          <t>announced 1Q15
for 1Q16</t>
        </r>
      </text>
    </comment>
    <comment ref="DB438" authorId="1">
      <text>
        <r>
          <rPr>
            <sz val="10"/>
            <color indexed="81"/>
            <rFont val="Tahoma"/>
            <family val="2"/>
          </rPr>
          <t xml:space="preserve">announced 3Q17
</t>
        </r>
      </text>
    </comment>
    <comment ref="B441" authorId="1">
      <text>
        <r>
          <rPr>
            <sz val="10"/>
            <color indexed="81"/>
            <rFont val="Tahoma"/>
            <family val="2"/>
          </rPr>
          <t>deferred.  Previously 300 cabinets for 1Q16</t>
        </r>
      </text>
    </comment>
    <comment ref="DB441" authorId="1">
      <text>
        <r>
          <rPr>
            <sz val="10"/>
            <color indexed="81"/>
            <rFont val="Tahoma"/>
            <family val="2"/>
          </rPr>
          <t>announced 3Q17</t>
        </r>
      </text>
    </comment>
    <comment ref="CT445" authorId="1">
      <text>
        <r>
          <rPr>
            <sz val="10"/>
            <color indexed="81"/>
            <rFont val="Tahoma"/>
            <family val="2"/>
          </rPr>
          <t>Telecity / Bit-isle in reported revenues but not in cabinet metrics</t>
        </r>
      </text>
    </comment>
    <comment ref="CY446" authorId="1">
      <text>
        <r>
          <rPr>
            <sz val="10"/>
            <color indexed="81"/>
            <rFont val="Tahoma"/>
            <family val="2"/>
          </rPr>
          <t>Telecity / Bit-isle in reported revenues but not in cabinet metrics</t>
        </r>
      </text>
    </comment>
    <comment ref="CZ449" authorId="1">
      <text>
        <r>
          <rPr>
            <sz val="10"/>
            <color indexed="81"/>
            <rFont val="Tahoma"/>
            <family val="2"/>
          </rPr>
          <t>announced 2Q17</t>
        </r>
      </text>
    </comment>
    <comment ref="BY450" authorId="2">
      <text>
        <r>
          <rPr>
            <sz val="8"/>
            <color indexed="81"/>
            <rFont val="Tahoma"/>
            <family val="2"/>
          </rPr>
          <t>phased opening</t>
        </r>
      </text>
    </comment>
    <comment ref="BZ450" authorId="2">
      <text>
        <r>
          <rPr>
            <sz val="8"/>
            <color indexed="81"/>
            <rFont val="Tahoma"/>
            <family val="2"/>
          </rPr>
          <t>phased opening</t>
        </r>
      </text>
    </comment>
    <comment ref="CA450" authorId="2">
      <text>
        <r>
          <rPr>
            <sz val="8"/>
            <color indexed="81"/>
            <rFont val="Tahoma"/>
            <family val="2"/>
          </rPr>
          <t>phased opening</t>
        </r>
      </text>
    </comment>
    <comment ref="CR453" authorId="1">
      <text>
        <r>
          <rPr>
            <sz val="10"/>
            <color indexed="81"/>
            <rFont val="Tahoma"/>
            <family val="2"/>
          </rPr>
          <t>announced 3Q14
for 1Q16</t>
        </r>
      </text>
    </comment>
    <comment ref="CD461" authorId="2">
      <text>
        <r>
          <rPr>
            <sz val="8"/>
            <color indexed="81"/>
            <rFont val="Tahoma"/>
            <family val="2"/>
          </rPr>
          <t xml:space="preserve">restated 3Q13, starting in 3Q12
</t>
        </r>
      </text>
    </comment>
    <comment ref="CE461" authorId="2">
      <text>
        <r>
          <rPr>
            <sz val="8"/>
            <color indexed="81"/>
            <rFont val="Tahoma"/>
            <family val="2"/>
          </rPr>
          <t xml:space="preserve">restated 3Q13, starting in 3Q12
</t>
        </r>
      </text>
    </comment>
    <comment ref="CF461" authorId="2">
      <text>
        <r>
          <rPr>
            <sz val="8"/>
            <color indexed="81"/>
            <rFont val="Tahoma"/>
            <family val="2"/>
          </rPr>
          <t xml:space="preserve">restated 3Q13, starting in 3Q12
</t>
        </r>
      </text>
    </comment>
    <comment ref="CG461" authorId="2">
      <text>
        <r>
          <rPr>
            <sz val="8"/>
            <color indexed="81"/>
            <rFont val="Tahoma"/>
            <family val="2"/>
          </rPr>
          <t xml:space="preserve">restated 3Q13, starting in 3Q12
</t>
        </r>
      </text>
    </comment>
    <comment ref="CJ461" authorId="1">
      <text>
        <r>
          <rPr>
            <sz val="10"/>
            <color indexed="81"/>
            <rFont val="Tahoma"/>
            <family val="2"/>
          </rPr>
          <t>restated in 1Q15</t>
        </r>
      </text>
    </comment>
    <comment ref="CK461" authorId="1">
      <text>
        <r>
          <rPr>
            <sz val="10"/>
            <color indexed="81"/>
            <rFont val="Tahoma"/>
            <family val="2"/>
          </rPr>
          <t>restated in 1Q15</t>
        </r>
      </text>
    </comment>
    <comment ref="CL461" authorId="1">
      <text>
        <r>
          <rPr>
            <sz val="10"/>
            <color indexed="81"/>
            <rFont val="Tahoma"/>
            <family val="2"/>
          </rPr>
          <t>restated in 1Q15</t>
        </r>
      </text>
    </comment>
    <comment ref="CM461" authorId="1">
      <text>
        <r>
          <rPr>
            <sz val="10"/>
            <color indexed="81"/>
            <rFont val="Tahoma"/>
            <family val="2"/>
          </rPr>
          <t>restated in 1Q15</t>
        </r>
      </text>
    </comment>
    <comment ref="CU461" authorId="1">
      <text>
        <r>
          <rPr>
            <sz val="10"/>
            <color indexed="81"/>
            <rFont val="Tahoma"/>
            <family val="2"/>
          </rPr>
          <t>includes 6.3k for Bit-isle</t>
        </r>
      </text>
    </comment>
    <comment ref="CD471" authorId="2">
      <text>
        <r>
          <rPr>
            <sz val="8"/>
            <color indexed="81"/>
            <rFont val="Tahoma"/>
            <family val="2"/>
          </rPr>
          <t xml:space="preserve">restated 3Q13, starting in 3Q12
</t>
        </r>
      </text>
    </comment>
    <comment ref="CE471" authorId="2">
      <text>
        <r>
          <rPr>
            <sz val="8"/>
            <color indexed="81"/>
            <rFont val="Tahoma"/>
            <family val="2"/>
          </rPr>
          <t xml:space="preserve">restated 3Q13, starting in 3Q12
</t>
        </r>
      </text>
    </comment>
    <comment ref="CF471" authorId="2">
      <text>
        <r>
          <rPr>
            <sz val="8"/>
            <color indexed="81"/>
            <rFont val="Tahoma"/>
            <family val="2"/>
          </rPr>
          <t xml:space="preserve">restated 3Q13, starting in 3Q12
</t>
        </r>
      </text>
    </comment>
    <comment ref="CG471" authorId="2">
      <text>
        <r>
          <rPr>
            <sz val="8"/>
            <color indexed="81"/>
            <rFont val="Tahoma"/>
            <family val="2"/>
          </rPr>
          <t xml:space="preserve">restated 3Q13, starting in 3Q12
</t>
        </r>
      </text>
    </comment>
    <comment ref="CJ471" authorId="1">
      <text>
        <r>
          <rPr>
            <sz val="10"/>
            <color indexed="81"/>
            <rFont val="Tahoma"/>
            <family val="2"/>
          </rPr>
          <t>restated in 1Q15</t>
        </r>
      </text>
    </comment>
    <comment ref="CK471" authorId="1">
      <text>
        <r>
          <rPr>
            <sz val="10"/>
            <color indexed="81"/>
            <rFont val="Tahoma"/>
            <family val="2"/>
          </rPr>
          <t>restated in 1Q15</t>
        </r>
      </text>
    </comment>
    <comment ref="CL471" authorId="1">
      <text>
        <r>
          <rPr>
            <sz val="10"/>
            <color indexed="81"/>
            <rFont val="Tahoma"/>
            <family val="2"/>
          </rPr>
          <t>restated in 1Q15</t>
        </r>
      </text>
    </comment>
    <comment ref="CM471" authorId="1">
      <text>
        <r>
          <rPr>
            <sz val="10"/>
            <color indexed="81"/>
            <rFont val="Tahoma"/>
            <family val="2"/>
          </rPr>
          <t>restated in 1Q15</t>
        </r>
      </text>
    </comment>
    <comment ref="B478" authorId="2">
      <text>
        <r>
          <rPr>
            <sz val="8"/>
            <color indexed="81"/>
            <rFont val="Tahoma"/>
            <family val="2"/>
          </rPr>
          <t>acquisition.  Closed July 2011.  HK, Shanghai, Singapore</t>
        </r>
      </text>
    </comment>
    <comment ref="CD478" authorId="2">
      <text>
        <r>
          <rPr>
            <sz val="8"/>
            <color indexed="81"/>
            <rFont val="Tahoma"/>
            <family val="2"/>
          </rPr>
          <t>3Q12 revenue for AsiaTone and ancotel is $16.1M.  Assume AsiaTone is 60% of combined revenues, ancotel is 40%.
AsiaTone had $30M revenues in 2011 (50% CAGR).  Ancotel had $21.4M revenues in 2011 (20% CAGR)</t>
        </r>
      </text>
    </comment>
    <comment ref="CE478" authorId="2">
      <text>
        <r>
          <rPr>
            <sz val="8"/>
            <color indexed="81"/>
            <rFont val="Tahoma"/>
            <family val="2"/>
          </rPr>
          <t>4Q12 revenue for AsiaTone and ancotel is $18.4M.  Assume AsiaTone is 60% of combined revenues, ancotel is 40%.
AsiaTone had $30M revenues in 2011 (50% CAGR).  Ancotel had $21.4M revenues in 2011 (20% CAGR)</t>
        </r>
      </text>
    </comment>
    <comment ref="CF478" authorId="2">
      <text>
        <r>
          <rPr>
            <sz val="8"/>
            <color indexed="81"/>
            <rFont val="Tahoma"/>
            <family val="2"/>
          </rPr>
          <t>per earnings call</t>
        </r>
      </text>
    </comment>
    <comment ref="B481" authorId="1">
      <text>
        <r>
          <rPr>
            <sz val="10"/>
            <color indexed="81"/>
            <rFont val="Tahoma"/>
            <family val="2"/>
          </rPr>
          <t>acquisition closed
Financials of Bit-isle consolidated as of Nov 2nd
5 data centers in Tokyo, 1 in Osaka
FYE of historicals is July 31st.  Use 4Q (Bit-isle FY) as proxy for 2Q (EQIX FY)
Acquisition value of ¥33.2B or ~$275.4M</t>
        </r>
      </text>
    </comment>
    <comment ref="V481" authorId="1">
      <text>
        <r>
          <rPr>
            <sz val="10"/>
            <color indexed="81"/>
            <rFont val="Tahoma"/>
            <family val="2"/>
          </rPr>
          <t>Bit-isle MIS revenues not included in MRR/cabinet metric</t>
        </r>
      </text>
    </comment>
    <comment ref="W481" authorId="1">
      <text>
        <r>
          <rPr>
            <sz val="10"/>
            <color indexed="81"/>
            <rFont val="Tahoma"/>
            <family val="2"/>
          </rPr>
          <t>Bit-isle MIS revenues not included in MRR/cabinet metric</t>
        </r>
      </text>
    </comment>
    <comment ref="X481" authorId="1">
      <text>
        <r>
          <rPr>
            <sz val="10"/>
            <color indexed="81"/>
            <rFont val="Tahoma"/>
            <family val="2"/>
          </rPr>
          <t>Bit-isle MIS revenues not included in MRR/cabinet metric</t>
        </r>
      </text>
    </comment>
    <comment ref="Y481" authorId="1">
      <text>
        <r>
          <rPr>
            <sz val="10"/>
            <color indexed="81"/>
            <rFont val="Tahoma"/>
            <family val="2"/>
          </rPr>
          <t>Bit-isle MIS revenues not included in MRR/cabinet metric</t>
        </r>
      </text>
    </comment>
    <comment ref="Z481" authorId="1">
      <text>
        <r>
          <rPr>
            <sz val="10"/>
            <color indexed="81"/>
            <rFont val="Tahoma"/>
            <family val="2"/>
          </rPr>
          <t>Bit-isle MIS revenues not included in MRR/cabinet metric</t>
        </r>
      </text>
    </comment>
    <comment ref="CQ481" authorId="1">
      <text>
        <r>
          <rPr>
            <sz val="10"/>
            <color indexed="81"/>
            <rFont val="Tahoma"/>
            <family val="2"/>
          </rPr>
          <t>$21.6M of revenues reported by EQIX since 11/2 acquisition.  60 days of revenues.  92 days in quarter</t>
        </r>
      </text>
    </comment>
    <comment ref="CV481" authorId="1">
      <text>
        <r>
          <rPr>
            <sz val="10"/>
            <color indexed="81"/>
            <rFont val="Tahoma"/>
            <family val="2"/>
          </rPr>
          <t>Bit-isle MIS revenues not included in MRR/cabinet metric</t>
        </r>
      </text>
    </comment>
    <comment ref="CW481" authorId="1">
      <text>
        <r>
          <rPr>
            <sz val="10"/>
            <color indexed="81"/>
            <rFont val="Tahoma"/>
            <family val="2"/>
          </rPr>
          <t>Bit-isle MIS revenues not included in MRR/cabinet metric</t>
        </r>
      </text>
    </comment>
    <comment ref="CX481" authorId="1">
      <text>
        <r>
          <rPr>
            <sz val="10"/>
            <color indexed="81"/>
            <rFont val="Tahoma"/>
            <family val="2"/>
          </rPr>
          <t>Bit-isle MIS revenues not included in MRR/cabinet metric</t>
        </r>
      </text>
    </comment>
    <comment ref="CY481" authorId="1">
      <text>
        <r>
          <rPr>
            <sz val="10"/>
            <color indexed="81"/>
            <rFont val="Tahoma"/>
            <family val="2"/>
          </rPr>
          <t>Bit-isle MIS revenues not included in MRR/cabinet metric</t>
        </r>
      </text>
    </comment>
    <comment ref="B486" authorId="1">
      <text>
        <r>
          <rPr>
            <sz val="10"/>
            <color indexed="81"/>
            <rFont val="Tahoma"/>
            <family val="2"/>
          </rPr>
          <t>MS FX estimates</t>
        </r>
      </text>
    </comment>
    <comment ref="X494" authorId="1">
      <text>
        <r>
          <rPr>
            <sz val="10"/>
            <color indexed="81"/>
            <rFont val="Tahoma"/>
            <family val="2"/>
          </rPr>
          <t>formula change
to account for Bit-isle MIS revenues not included in MRR/cab metrci</t>
        </r>
      </text>
    </comment>
    <comment ref="Y494" authorId="1">
      <text>
        <r>
          <rPr>
            <sz val="10"/>
            <color indexed="81"/>
            <rFont val="Tahoma"/>
            <family val="2"/>
          </rPr>
          <t>formula change
to account for Bit-isle MIS revenues not included in MRR/cab metrci</t>
        </r>
      </text>
    </comment>
    <comment ref="Z494" authorId="1">
      <text>
        <r>
          <rPr>
            <sz val="10"/>
            <color indexed="81"/>
            <rFont val="Tahoma"/>
            <family val="2"/>
          </rPr>
          <t>formula change
to account for Bit-isle MIS revenues not included in MRR/cab metrci</t>
        </r>
      </text>
    </comment>
    <comment ref="CQ497" authorId="1">
      <text>
        <r>
          <rPr>
            <sz val="10"/>
            <color indexed="81"/>
            <rFont val="Tahoma"/>
            <family val="2"/>
          </rPr>
          <t>$21.6M from Bit-isle</t>
        </r>
      </text>
    </comment>
    <comment ref="CD508" authorId="2">
      <text>
        <r>
          <rPr>
            <sz val="8"/>
            <color indexed="81"/>
            <rFont val="Tahoma"/>
            <family val="2"/>
          </rPr>
          <t xml:space="preserve">restated 3Q13, starting in 3Q12
</t>
        </r>
      </text>
    </comment>
    <comment ref="CE508" authorId="2">
      <text>
        <r>
          <rPr>
            <sz val="8"/>
            <color indexed="81"/>
            <rFont val="Tahoma"/>
            <family val="2"/>
          </rPr>
          <t xml:space="preserve">restated 3Q13, starting in 3Q12
</t>
        </r>
      </text>
    </comment>
    <comment ref="CF508" authorId="2">
      <text>
        <r>
          <rPr>
            <sz val="8"/>
            <color indexed="81"/>
            <rFont val="Tahoma"/>
            <family val="2"/>
          </rPr>
          <t xml:space="preserve">restated 3Q13, starting in 3Q12
</t>
        </r>
      </text>
    </comment>
    <comment ref="CG508" authorId="2">
      <text>
        <r>
          <rPr>
            <sz val="8"/>
            <color indexed="81"/>
            <rFont val="Tahoma"/>
            <family val="2"/>
          </rPr>
          <t xml:space="preserve">restated 3Q13, starting in 3Q12
</t>
        </r>
      </text>
    </comment>
    <comment ref="CM508" authorId="1">
      <text>
        <r>
          <rPr>
            <sz val="10"/>
            <color indexed="81"/>
            <rFont val="Tahoma"/>
            <family val="2"/>
          </rPr>
          <t>restated in 4Q15</t>
        </r>
      </text>
    </comment>
    <comment ref="CN508" authorId="1">
      <text>
        <r>
          <rPr>
            <sz val="10"/>
            <color indexed="81"/>
            <rFont val="Tahoma"/>
            <family val="2"/>
          </rPr>
          <t>restated in 4Q15</t>
        </r>
      </text>
    </comment>
    <comment ref="CO508" authorId="1">
      <text>
        <r>
          <rPr>
            <sz val="10"/>
            <color indexed="81"/>
            <rFont val="Tahoma"/>
            <family val="2"/>
          </rPr>
          <t>restated in 4Q15</t>
        </r>
      </text>
    </comment>
    <comment ref="CP508" authorId="1">
      <text>
        <r>
          <rPr>
            <sz val="10"/>
            <color indexed="81"/>
            <rFont val="Tahoma"/>
            <family val="2"/>
          </rPr>
          <t>restated in 4Q15</t>
        </r>
      </text>
    </comment>
    <comment ref="CU508" authorId="1">
      <text>
        <r>
          <rPr>
            <sz val="10"/>
            <color indexed="81"/>
            <rFont val="Tahoma"/>
            <family val="2"/>
          </rPr>
          <t>1.3k from Bit-isle</t>
        </r>
      </text>
    </comment>
    <comment ref="CN521" authorId="1">
      <text>
        <r>
          <rPr>
            <sz val="10"/>
            <color indexed="81"/>
            <rFont val="Tahoma"/>
            <family val="2"/>
          </rPr>
          <t>restated in 1Q16
656 previously</t>
        </r>
      </text>
    </comment>
    <comment ref="CO521" authorId="1">
      <text>
        <r>
          <rPr>
            <sz val="10"/>
            <color indexed="81"/>
            <rFont val="Tahoma"/>
            <family val="2"/>
          </rPr>
          <t>restated in 1Q16
707 previously</t>
        </r>
      </text>
    </comment>
    <comment ref="CP521" authorId="1">
      <text>
        <r>
          <rPr>
            <sz val="10"/>
            <color indexed="81"/>
            <rFont val="Tahoma"/>
            <family val="2"/>
          </rPr>
          <t>restated in 1Q16
778 previously</t>
        </r>
      </text>
    </comment>
    <comment ref="CQ521" authorId="1">
      <text>
        <r>
          <rPr>
            <sz val="10"/>
            <color indexed="81"/>
            <rFont val="Tahoma"/>
            <family val="2"/>
          </rPr>
          <t>restated in 1Q16
820 previously</t>
        </r>
      </text>
    </comment>
    <comment ref="CD563" authorId="2">
      <text>
        <r>
          <rPr>
            <sz val="8"/>
            <color indexed="81"/>
            <rFont val="Tahoma"/>
            <family val="2"/>
          </rPr>
          <t>restated 3Q13, starting in 3Q12 to include ancotel</t>
        </r>
      </text>
    </comment>
    <comment ref="CE563" authorId="2">
      <text>
        <r>
          <rPr>
            <sz val="8"/>
            <color indexed="81"/>
            <rFont val="Tahoma"/>
            <family val="2"/>
          </rPr>
          <t>restated 3Q13, starting in 3Q12 to include ancotel</t>
        </r>
      </text>
    </comment>
    <comment ref="CF563" authorId="2">
      <text>
        <r>
          <rPr>
            <sz val="8"/>
            <color indexed="81"/>
            <rFont val="Tahoma"/>
            <family val="2"/>
          </rPr>
          <t>restated 3Q13, starting in 3Q12 to include ancotel</t>
        </r>
      </text>
    </comment>
    <comment ref="CG563" authorId="2">
      <text>
        <r>
          <rPr>
            <sz val="8"/>
            <color indexed="81"/>
            <rFont val="Tahoma"/>
            <family val="2"/>
          </rPr>
          <t>restated 3Q13, starting in 3Q12 to include ancotel</t>
        </r>
      </text>
    </comment>
    <comment ref="CJ563" authorId="1">
      <text>
        <r>
          <rPr>
            <sz val="10"/>
            <color indexed="81"/>
            <rFont val="Tahoma"/>
            <family val="2"/>
          </rPr>
          <t>restated in 1Q15</t>
        </r>
      </text>
    </comment>
    <comment ref="CK563" authorId="1">
      <text>
        <r>
          <rPr>
            <sz val="10"/>
            <color indexed="81"/>
            <rFont val="Tahoma"/>
            <family val="2"/>
          </rPr>
          <t>restated in 1Q15</t>
        </r>
      </text>
    </comment>
    <comment ref="CL563" authorId="1">
      <text>
        <r>
          <rPr>
            <sz val="10"/>
            <color indexed="81"/>
            <rFont val="Tahoma"/>
            <family val="2"/>
          </rPr>
          <t>restated in 1Q15</t>
        </r>
      </text>
    </comment>
    <comment ref="CM563" authorId="1">
      <text>
        <r>
          <rPr>
            <sz val="10"/>
            <color indexed="81"/>
            <rFont val="Tahoma"/>
            <family val="2"/>
          </rPr>
          <t>restated in 1Q15</t>
        </r>
      </text>
    </comment>
    <comment ref="CU563" authorId="1">
      <text>
        <r>
          <rPr>
            <sz val="10"/>
            <color indexed="81"/>
            <rFont val="Tahoma"/>
            <family val="2"/>
          </rPr>
          <t>38.5k from Telecity</t>
        </r>
      </text>
    </comment>
    <comment ref="CD565" authorId="2">
      <text>
        <r>
          <rPr>
            <sz val="8"/>
            <color indexed="81"/>
            <rFont val="Tahoma"/>
            <family val="2"/>
          </rPr>
          <t>restated 3Q13, starting in 3Q12 to include ancotel</t>
        </r>
      </text>
    </comment>
    <comment ref="CE565" authorId="2">
      <text>
        <r>
          <rPr>
            <sz val="8"/>
            <color indexed="81"/>
            <rFont val="Tahoma"/>
            <family val="2"/>
          </rPr>
          <t>restated 3Q13, starting in 3Q12 to include ancotel</t>
        </r>
      </text>
    </comment>
    <comment ref="CF565" authorId="2">
      <text>
        <r>
          <rPr>
            <sz val="8"/>
            <color indexed="81"/>
            <rFont val="Tahoma"/>
            <family val="2"/>
          </rPr>
          <t>restated 3Q13, starting in 3Q12 to include ancotel</t>
        </r>
      </text>
    </comment>
    <comment ref="CG565" authorId="2">
      <text>
        <r>
          <rPr>
            <sz val="8"/>
            <color indexed="81"/>
            <rFont val="Tahoma"/>
            <family val="2"/>
          </rPr>
          <t>restated 3Q13, starting in 3Q12 to include ancotel</t>
        </r>
      </text>
    </comment>
    <comment ref="CT570" authorId="1">
      <text>
        <r>
          <rPr>
            <sz val="10"/>
            <color indexed="81"/>
            <rFont val="Tahoma"/>
            <family val="2"/>
          </rPr>
          <t>announced in 3Q15</t>
        </r>
      </text>
    </comment>
    <comment ref="DA572" authorId="1">
      <text>
        <r>
          <rPr>
            <sz val="9"/>
            <color indexed="81"/>
            <rFont val="Arial"/>
            <family val="2"/>
          </rPr>
          <t>announced 2Q17</t>
        </r>
      </text>
    </comment>
    <comment ref="CO574" authorId="1">
      <text>
        <r>
          <rPr>
            <sz val="10"/>
            <color indexed="81"/>
            <rFont val="Tahoma"/>
            <family val="2"/>
          </rPr>
          <t>announced 4Q14</t>
        </r>
      </text>
    </comment>
    <comment ref="CX576" authorId="1">
      <text>
        <r>
          <rPr>
            <sz val="10"/>
            <color indexed="81"/>
            <rFont val="Tahoma"/>
            <family val="2"/>
          </rPr>
          <t>announced in 4Q15
capacity for additional 2,600</t>
        </r>
      </text>
    </comment>
    <comment ref="CX577" authorId="1">
      <text>
        <r>
          <rPr>
            <sz val="10"/>
            <color indexed="81"/>
            <rFont val="Tahoma"/>
            <family val="2"/>
          </rPr>
          <t>announced 4Q16</t>
        </r>
      </text>
    </comment>
    <comment ref="X578" authorId="1">
      <text>
        <r>
          <rPr>
            <sz val="10"/>
            <color indexed="81"/>
            <rFont val="Tahoma"/>
            <family val="2"/>
          </rPr>
          <t>announced 3Q17</t>
        </r>
      </text>
    </comment>
    <comment ref="CW579" authorId="1">
      <text>
        <r>
          <rPr>
            <sz val="10"/>
            <color indexed="81"/>
            <rFont val="Tahoma"/>
            <family val="2"/>
          </rPr>
          <t>announced 3Q16</t>
        </r>
      </text>
    </comment>
    <comment ref="CT580" authorId="1">
      <text>
        <r>
          <rPr>
            <sz val="10"/>
            <color indexed="81"/>
            <rFont val="Tahoma"/>
            <family val="2"/>
          </rPr>
          <t>announced in 4Q15
Telecity in progress
updated in 2Q16 (previously 550)
updated in 3Q16 (previously 885)</t>
        </r>
      </text>
    </comment>
    <comment ref="CX583" authorId="1">
      <text>
        <r>
          <rPr>
            <sz val="10"/>
            <color indexed="81"/>
            <rFont val="Arial"/>
            <family val="2"/>
          </rPr>
          <t>announced 4Q16
1Q17:  lowered from 625</t>
        </r>
      </text>
    </comment>
    <comment ref="CY584" authorId="1">
      <text>
        <r>
          <rPr>
            <sz val="10"/>
            <color indexed="81"/>
            <rFont val="Arial"/>
            <family val="2"/>
          </rPr>
          <t xml:space="preserve">announced 2Q17
</t>
        </r>
      </text>
    </comment>
    <comment ref="CO586" authorId="1">
      <text>
        <r>
          <rPr>
            <sz val="10"/>
            <color indexed="81"/>
            <rFont val="Tahoma"/>
            <family val="2"/>
          </rPr>
          <t>announced 4Q14</t>
        </r>
      </text>
    </comment>
    <comment ref="CP587" authorId="1">
      <text>
        <r>
          <rPr>
            <sz val="10"/>
            <color indexed="81"/>
            <rFont val="Tahoma"/>
            <family val="2"/>
          </rPr>
          <t>announced in 1Q15</t>
        </r>
      </text>
    </comment>
    <comment ref="CY588" authorId="1">
      <text>
        <r>
          <rPr>
            <sz val="10"/>
            <color indexed="81"/>
            <rFont val="Tahoma"/>
            <family val="2"/>
          </rPr>
          <t>announced 3Q16</t>
        </r>
      </text>
    </comment>
    <comment ref="CP589" authorId="1">
      <text>
        <r>
          <rPr>
            <sz val="10"/>
            <color indexed="81"/>
            <rFont val="Tahoma"/>
            <family val="2"/>
          </rPr>
          <t>announced 4Q14</t>
        </r>
      </text>
    </comment>
    <comment ref="CR590" authorId="1">
      <text>
        <r>
          <rPr>
            <sz val="9"/>
            <color indexed="81"/>
            <rFont val="Arial"/>
            <family val="2"/>
          </rPr>
          <t>announced 2Q15</t>
        </r>
      </text>
    </comment>
    <comment ref="DA592" authorId="1">
      <text>
        <r>
          <rPr>
            <sz val="9"/>
            <color indexed="81"/>
            <rFont val="Arial"/>
            <family val="2"/>
          </rPr>
          <t>announced 4Q15</t>
        </r>
      </text>
    </comment>
    <comment ref="X593" authorId="1">
      <text>
        <r>
          <rPr>
            <sz val="10"/>
            <color indexed="81"/>
            <rFont val="Arial"/>
            <family val="2"/>
          </rPr>
          <t>announced 3Q17</t>
        </r>
      </text>
    </comment>
    <comment ref="CX594" authorId="1">
      <text>
        <r>
          <rPr>
            <sz val="10"/>
            <color indexed="81"/>
            <rFont val="Arial"/>
            <family val="2"/>
          </rPr>
          <t>announced 2Q16</t>
        </r>
      </text>
    </comment>
    <comment ref="DC595" authorId="1">
      <text>
        <r>
          <rPr>
            <sz val="10"/>
            <color indexed="81"/>
            <rFont val="Arial"/>
            <family val="2"/>
          </rPr>
          <t>announced 3Q17</t>
        </r>
      </text>
    </comment>
    <comment ref="CW596" authorId="1">
      <text>
        <r>
          <rPr>
            <sz val="10"/>
            <color indexed="81"/>
            <rFont val="Tahoma"/>
            <family val="2"/>
          </rPr>
          <t>announced 3Q16</t>
        </r>
      </text>
    </comment>
    <comment ref="CN601" authorId="2">
      <text>
        <r>
          <rPr>
            <sz val="8"/>
            <color indexed="81"/>
            <rFont val="Tahoma"/>
            <family val="2"/>
          </rPr>
          <t>announced 3Q13</t>
        </r>
      </text>
    </comment>
    <comment ref="CT602" authorId="2">
      <text>
        <r>
          <rPr>
            <sz val="8"/>
            <color indexed="81"/>
            <rFont val="Tahoma"/>
            <family val="2"/>
          </rPr>
          <t>announced 3Q15</t>
        </r>
      </text>
    </comment>
    <comment ref="CY603" authorId="2">
      <text>
        <r>
          <rPr>
            <sz val="10"/>
            <color indexed="81"/>
            <rFont val="Tahoma"/>
            <family val="2"/>
          </rPr>
          <t>announced 2Q17</t>
        </r>
      </text>
    </comment>
    <comment ref="DC604" authorId="2">
      <text>
        <r>
          <rPr>
            <sz val="10"/>
            <color indexed="81"/>
            <rFont val="Tahoma"/>
            <family val="2"/>
          </rPr>
          <t>announced 3Q17</t>
        </r>
      </text>
    </comment>
    <comment ref="CZ605" authorId="2">
      <text>
        <r>
          <rPr>
            <sz val="10"/>
            <color indexed="81"/>
            <rFont val="Tahoma"/>
            <family val="2"/>
          </rPr>
          <t>announced 1Q17</t>
        </r>
      </text>
    </comment>
    <comment ref="CO608" authorId="2">
      <text>
        <r>
          <rPr>
            <sz val="8"/>
            <color indexed="81"/>
            <rFont val="Tahoma"/>
            <family val="2"/>
          </rPr>
          <t>announced 2Q14</t>
        </r>
      </text>
    </comment>
    <comment ref="CW609" authorId="2">
      <text>
        <r>
          <rPr>
            <sz val="10"/>
            <color indexed="81"/>
            <rFont val="Tahoma"/>
            <family val="2"/>
          </rPr>
          <t>announced 2Q16</t>
        </r>
      </text>
    </comment>
    <comment ref="CZ610" authorId="2">
      <text>
        <r>
          <rPr>
            <sz val="10"/>
            <color indexed="81"/>
            <rFont val="Tahoma"/>
            <family val="2"/>
          </rPr>
          <t>announced 1Q17</t>
        </r>
      </text>
    </comment>
    <comment ref="DB612" authorId="1">
      <text>
        <r>
          <rPr>
            <sz val="9"/>
            <color indexed="81"/>
            <rFont val="Arial"/>
            <family val="2"/>
          </rPr>
          <t>announced 3Q17</t>
        </r>
      </text>
    </comment>
    <comment ref="CT613" authorId="1">
      <text>
        <r>
          <rPr>
            <sz val="10"/>
            <color indexed="81"/>
            <rFont val="Tahoma"/>
            <family val="2"/>
          </rPr>
          <t>announced in 4Q15
Telecity in progress</t>
        </r>
      </text>
    </comment>
    <comment ref="CW616" authorId="1">
      <text>
        <r>
          <rPr>
            <sz val="10"/>
            <color indexed="81"/>
            <rFont val="Tahoma"/>
            <family val="2"/>
          </rPr>
          <t>announced 3Q16</t>
        </r>
      </text>
    </comment>
    <comment ref="U618" authorId="1">
      <text>
        <r>
          <rPr>
            <sz val="10"/>
            <color indexed="81"/>
            <rFont val="Tahoma"/>
            <family val="2"/>
          </rPr>
          <t>back out Telecity b/c not included in company provided metrics</t>
        </r>
      </text>
    </comment>
    <comment ref="V618" authorId="1">
      <text>
        <r>
          <rPr>
            <sz val="10"/>
            <color indexed="81"/>
            <rFont val="Tahoma"/>
            <family val="2"/>
          </rPr>
          <t>back out Telecity b/c not included in company provided metrics</t>
        </r>
      </text>
    </comment>
    <comment ref="CT618" authorId="1">
      <text>
        <r>
          <rPr>
            <sz val="10"/>
            <color indexed="81"/>
            <rFont val="Tahoma"/>
            <family val="2"/>
          </rPr>
          <t>back out Telecity b/c not included in company provided metrics</t>
        </r>
      </text>
    </comment>
    <comment ref="CU618" authorId="1">
      <text>
        <r>
          <rPr>
            <sz val="10"/>
            <color indexed="81"/>
            <rFont val="Tahoma"/>
            <family val="2"/>
          </rPr>
          <t>38.5k from Telecity</t>
        </r>
      </text>
    </comment>
    <comment ref="CV618" authorId="1">
      <text>
        <r>
          <rPr>
            <sz val="10"/>
            <color indexed="81"/>
            <rFont val="Tahoma"/>
            <family val="2"/>
          </rPr>
          <t>38.5k from Telecity</t>
        </r>
      </text>
    </comment>
    <comment ref="BY624" authorId="2">
      <text>
        <r>
          <rPr>
            <sz val="8"/>
            <color indexed="81"/>
            <rFont val="Tahoma"/>
            <family val="2"/>
          </rPr>
          <t>restated, 2Q12</t>
        </r>
      </text>
    </comment>
    <comment ref="CD624" authorId="2">
      <text>
        <r>
          <rPr>
            <sz val="8"/>
            <color indexed="81"/>
            <rFont val="Tahoma"/>
            <family val="2"/>
          </rPr>
          <t>restated 3Q13, starting in 3Q12 to include ancotel</t>
        </r>
      </text>
    </comment>
    <comment ref="CE624" authorId="2">
      <text>
        <r>
          <rPr>
            <sz val="8"/>
            <color indexed="81"/>
            <rFont val="Tahoma"/>
            <family val="2"/>
          </rPr>
          <t>restated 3Q13, starting in 3Q12 to include ancotel</t>
        </r>
      </text>
    </comment>
    <comment ref="CF624" authorId="2">
      <text>
        <r>
          <rPr>
            <sz val="8"/>
            <color indexed="81"/>
            <rFont val="Tahoma"/>
            <family val="2"/>
          </rPr>
          <t>restated 3Q13, starting in 3Q12 to include ancotel</t>
        </r>
      </text>
    </comment>
    <comment ref="CG624" authorId="2">
      <text>
        <r>
          <rPr>
            <sz val="8"/>
            <color indexed="81"/>
            <rFont val="Tahoma"/>
            <family val="2"/>
          </rPr>
          <t>restated 3Q13, starting in 3Q12 to include ancotel</t>
        </r>
      </text>
    </comment>
    <comment ref="CJ624" authorId="1">
      <text>
        <r>
          <rPr>
            <sz val="10"/>
            <color indexed="81"/>
            <rFont val="Tahoma"/>
            <family val="2"/>
          </rPr>
          <t>restated in 1Q15</t>
        </r>
      </text>
    </comment>
    <comment ref="CK624" authorId="1">
      <text>
        <r>
          <rPr>
            <sz val="10"/>
            <color indexed="81"/>
            <rFont val="Tahoma"/>
            <family val="2"/>
          </rPr>
          <t>restated in 1Q15</t>
        </r>
      </text>
    </comment>
    <comment ref="CL624" authorId="1">
      <text>
        <r>
          <rPr>
            <sz val="10"/>
            <color indexed="81"/>
            <rFont val="Tahoma"/>
            <family val="2"/>
          </rPr>
          <t>restated in 1Q15</t>
        </r>
      </text>
    </comment>
    <comment ref="CM624" authorId="1">
      <text>
        <r>
          <rPr>
            <sz val="10"/>
            <color indexed="81"/>
            <rFont val="Tahoma"/>
            <family val="2"/>
          </rPr>
          <t>restated in 1Q15</t>
        </r>
      </text>
    </comment>
    <comment ref="CU624" authorId="1">
      <text>
        <r>
          <rPr>
            <sz val="10"/>
            <color indexed="81"/>
            <rFont val="Tahoma"/>
            <family val="2"/>
          </rPr>
          <t>29.9k from Telecity</t>
        </r>
      </text>
    </comment>
    <comment ref="CV624" authorId="1">
      <text>
        <r>
          <rPr>
            <sz val="10"/>
            <color indexed="81"/>
            <rFont val="Tahoma"/>
            <family val="2"/>
          </rPr>
          <t>29.9k from Telecity</t>
        </r>
      </text>
    </comment>
    <comment ref="CW624" authorId="1">
      <text>
        <r>
          <rPr>
            <sz val="10"/>
            <color indexed="81"/>
            <rFont val="Tahoma"/>
            <family val="2"/>
          </rPr>
          <t>29.9k from Telecity</t>
        </r>
      </text>
    </comment>
    <comment ref="BY634" authorId="2">
      <text>
        <r>
          <rPr>
            <sz val="8"/>
            <color indexed="81"/>
            <rFont val="Tahoma"/>
            <family val="2"/>
          </rPr>
          <t>restated, 2Q12</t>
        </r>
      </text>
    </comment>
    <comment ref="CD634" authorId="2">
      <text>
        <r>
          <rPr>
            <sz val="8"/>
            <color indexed="81"/>
            <rFont val="Tahoma"/>
            <family val="2"/>
          </rPr>
          <t>restated 3Q13, starting in 3Q12 to include ancotel</t>
        </r>
      </text>
    </comment>
    <comment ref="CE634" authorId="2">
      <text>
        <r>
          <rPr>
            <sz val="8"/>
            <color indexed="81"/>
            <rFont val="Tahoma"/>
            <family val="2"/>
          </rPr>
          <t>restated 3Q13, starting in 3Q12 to include ancotel</t>
        </r>
      </text>
    </comment>
    <comment ref="CF634" authorId="2">
      <text>
        <r>
          <rPr>
            <sz val="8"/>
            <color indexed="81"/>
            <rFont val="Tahoma"/>
            <family val="2"/>
          </rPr>
          <t>restated 3Q13, starting in 3Q12 to include ancotel</t>
        </r>
      </text>
    </comment>
    <comment ref="CG634" authorId="2">
      <text>
        <r>
          <rPr>
            <sz val="8"/>
            <color indexed="81"/>
            <rFont val="Tahoma"/>
            <family val="2"/>
          </rPr>
          <t>restated 3Q13, starting in 3Q12 to include ancotel</t>
        </r>
      </text>
    </comment>
    <comment ref="CJ634" authorId="1">
      <text>
        <r>
          <rPr>
            <sz val="10"/>
            <color indexed="81"/>
            <rFont val="Tahoma"/>
            <family val="2"/>
          </rPr>
          <t>restated in 1Q15</t>
        </r>
      </text>
    </comment>
    <comment ref="CK634" authorId="1">
      <text>
        <r>
          <rPr>
            <sz val="10"/>
            <color indexed="81"/>
            <rFont val="Tahoma"/>
            <family val="2"/>
          </rPr>
          <t>restated in 1Q15</t>
        </r>
      </text>
    </comment>
    <comment ref="CL634" authorId="1">
      <text>
        <r>
          <rPr>
            <sz val="10"/>
            <color indexed="81"/>
            <rFont val="Tahoma"/>
            <family val="2"/>
          </rPr>
          <t>restated in 1Q15</t>
        </r>
      </text>
    </comment>
    <comment ref="CM634" authorId="1">
      <text>
        <r>
          <rPr>
            <sz val="10"/>
            <color indexed="81"/>
            <rFont val="Tahoma"/>
            <family val="2"/>
          </rPr>
          <t>restated in 1Q15</t>
        </r>
      </text>
    </comment>
    <comment ref="B641" authorId="2">
      <text>
        <r>
          <rPr>
            <sz val="8"/>
            <color indexed="81"/>
            <rFont val="Tahoma"/>
            <family val="2"/>
          </rPr>
          <t>tuck-in acquisition in Germany.  Closed July 2012</t>
        </r>
      </text>
    </comment>
    <comment ref="CD641" authorId="2">
      <text>
        <r>
          <rPr>
            <sz val="8"/>
            <color indexed="81"/>
            <rFont val="Tahoma"/>
            <family val="2"/>
          </rPr>
          <t>3Q12 revenue for AsiaTone and ancotel is $16.1M.  Assume AsiaTone is 60% of combined revenues, ancotel is 40%.
AsiaTone had $30M revenues in 2011 (50% CAGR).  Ancotel had $21.4M revenues in 2011 (20% CAGR)</t>
        </r>
      </text>
    </comment>
    <comment ref="CE641" authorId="2">
      <text>
        <r>
          <rPr>
            <sz val="8"/>
            <color indexed="81"/>
            <rFont val="Tahoma"/>
            <family val="2"/>
          </rPr>
          <t>4Q12 revenue for AsiaTone and ancotel is $18.4M.  Assume AsiaTone is 60% of combined revenues, ancotel is 40%.
AsiaTone had $30M revenues in 2011 (50% CAGR).  Ancotel had $21.4M revenues in 2011 (20% CAGR)</t>
        </r>
      </text>
    </comment>
    <comment ref="CF641" authorId="2">
      <text>
        <r>
          <rPr>
            <sz val="8"/>
            <color indexed="81"/>
            <rFont val="Tahoma"/>
            <family val="2"/>
          </rPr>
          <t>per earnings call</t>
        </r>
      </text>
    </comment>
    <comment ref="B642" authorId="1">
      <text>
        <r>
          <rPr>
            <sz val="10"/>
            <color indexed="81"/>
            <rFont val="Tahoma"/>
            <family val="2"/>
          </rPr>
          <t xml:space="preserve">10/10/17 close
Spain / Portugal
5 facilities
</t>
        </r>
      </text>
    </comment>
    <comment ref="W642" authorId="1">
      <text>
        <r>
          <rPr>
            <sz val="10"/>
            <color indexed="81"/>
            <rFont val="Tahoma"/>
            <family val="2"/>
          </rPr>
          <t>$65M guidance 
for both Itconic and Istanbul
divide 5 DC Itconic, 1 DC Istanbul</t>
        </r>
      </text>
    </comment>
    <comment ref="B643" authorId="1">
      <text>
        <r>
          <rPr>
            <sz val="10"/>
            <color indexed="81"/>
            <rFont val="Tahoma"/>
            <family val="2"/>
          </rPr>
          <t>10/9/17 close
1 facility purchased from Zenium</t>
        </r>
      </text>
    </comment>
    <comment ref="W643" authorId="1">
      <text>
        <r>
          <rPr>
            <sz val="10"/>
            <color indexed="81"/>
            <rFont val="Tahoma"/>
            <family val="2"/>
          </rPr>
          <t>$65M guidance 
for both Itconic and Istanbul
divide 5 DC Itconic, 1 DC Istanbul</t>
        </r>
      </text>
    </comment>
    <comment ref="CR647" authorId="1">
      <text>
        <r>
          <rPr>
            <sz val="9"/>
            <color indexed="81"/>
            <rFont val="Tahoma"/>
            <family val="2"/>
          </rPr>
          <t>divested assets ~$115M annually
5/6th of quarter of Telecity</t>
        </r>
      </text>
    </comment>
    <comment ref="CS647" authorId="1">
      <text>
        <r>
          <rPr>
            <sz val="9"/>
            <color indexed="81"/>
            <rFont val="Tahoma"/>
            <family val="2"/>
          </rPr>
          <t xml:space="preserve">divested assets ~$115M annually
</t>
        </r>
      </text>
    </comment>
    <comment ref="CT647" authorId="1">
      <text>
        <r>
          <rPr>
            <sz val="10"/>
            <color indexed="81"/>
            <rFont val="Tahoma"/>
            <family val="2"/>
          </rPr>
          <t>divestiture completed</t>
        </r>
      </text>
    </comment>
    <comment ref="B653" authorId="1">
      <text>
        <r>
          <rPr>
            <sz val="10"/>
            <color indexed="81"/>
            <rFont val="Tahoma"/>
            <family val="2"/>
          </rPr>
          <t>As of 5/6/16
MS FX estimates</t>
        </r>
      </text>
    </comment>
    <comment ref="CN655" authorId="1">
      <text>
        <r>
          <rPr>
            <sz val="10"/>
            <color indexed="81"/>
            <rFont val="Tahoma"/>
            <family val="2"/>
          </rPr>
          <t>11/20/15 Prosepctus
"Disposal" revenues for first 9 months of 2015</t>
        </r>
      </text>
    </comment>
    <comment ref="CO655" authorId="1">
      <text>
        <r>
          <rPr>
            <sz val="10"/>
            <color indexed="81"/>
            <rFont val="Tahoma"/>
            <family val="2"/>
          </rPr>
          <t>11/20/15 Prosepctus
"Disposal" revenues for first 9 months of 2015</t>
        </r>
      </text>
    </comment>
    <comment ref="CP655" authorId="1">
      <text>
        <r>
          <rPr>
            <sz val="10"/>
            <color indexed="81"/>
            <rFont val="Tahoma"/>
            <family val="2"/>
          </rPr>
          <t>11/20/15 Prosepctus
"Disposal" revenues for first 9 months of 2015</t>
        </r>
      </text>
    </comment>
    <comment ref="CQ655" authorId="1">
      <text>
        <r>
          <rPr>
            <sz val="10"/>
            <color indexed="81"/>
            <rFont val="Tahoma"/>
            <family val="2"/>
          </rPr>
          <t>11/20/15 Prosepctus
"Disposal" revenues for first 9 months of 2015</t>
        </r>
      </text>
    </comment>
    <comment ref="CR655" authorId="1">
      <text>
        <r>
          <rPr>
            <sz val="10"/>
            <color indexed="81"/>
            <rFont val="Tahoma"/>
            <family val="2"/>
          </rPr>
          <t>4Q15 earnings for 7 Telecity assets</t>
        </r>
      </text>
    </comment>
    <comment ref="CS655" authorId="1">
      <text>
        <r>
          <rPr>
            <sz val="10"/>
            <color indexed="81"/>
            <rFont val="Tahoma"/>
            <family val="2"/>
          </rPr>
          <t>4Q15 earnings for 7 Telecity assets</t>
        </r>
      </text>
    </comment>
    <comment ref="BZ678" authorId="2">
      <text>
        <r>
          <rPr>
            <sz val="8"/>
            <color indexed="81"/>
            <rFont val="Tahoma"/>
            <family val="2"/>
          </rPr>
          <t>restated, 3Q12</t>
        </r>
      </text>
    </comment>
    <comment ref="CD678" authorId="2">
      <text>
        <r>
          <rPr>
            <sz val="8"/>
            <color indexed="81"/>
            <rFont val="Tahoma"/>
            <family val="2"/>
          </rPr>
          <t>restated 3Q13, starting in 3Q12 to include ancotel</t>
        </r>
      </text>
    </comment>
    <comment ref="CE678" authorId="2">
      <text>
        <r>
          <rPr>
            <sz val="8"/>
            <color indexed="81"/>
            <rFont val="Tahoma"/>
            <family val="2"/>
          </rPr>
          <t>restated 3Q13, starting in 3Q12 to include ancotel</t>
        </r>
      </text>
    </comment>
    <comment ref="CF678" authorId="2">
      <text>
        <r>
          <rPr>
            <sz val="8"/>
            <color indexed="81"/>
            <rFont val="Tahoma"/>
            <family val="2"/>
          </rPr>
          <t>restated 3Q13, starting in 3Q12 to include ancotel</t>
        </r>
      </text>
    </comment>
    <comment ref="CG678" authorId="2">
      <text>
        <r>
          <rPr>
            <sz val="8"/>
            <color indexed="81"/>
            <rFont val="Tahoma"/>
            <family val="2"/>
          </rPr>
          <t>restated 3Q13, starting in 3Q12 to include ancotel</t>
        </r>
      </text>
    </comment>
    <comment ref="CU678" authorId="1">
      <text>
        <r>
          <rPr>
            <sz val="10"/>
            <color indexed="81"/>
            <rFont val="Tahoma"/>
            <family val="2"/>
          </rPr>
          <t>35k from Telecity</t>
        </r>
      </text>
    </comment>
    <comment ref="CN691" authorId="1">
      <text>
        <r>
          <rPr>
            <sz val="10"/>
            <color indexed="81"/>
            <rFont val="Tahoma"/>
            <family val="2"/>
          </rPr>
          <t>restated in 1Q16 
previously 355</t>
        </r>
      </text>
    </comment>
    <comment ref="CO691" authorId="1">
      <text>
        <r>
          <rPr>
            <sz val="10"/>
            <color indexed="81"/>
            <rFont val="Tahoma"/>
            <family val="2"/>
          </rPr>
          <t>restated in 1Q16 
previously 360</t>
        </r>
      </text>
    </comment>
    <comment ref="CP691" authorId="1">
      <text>
        <r>
          <rPr>
            <sz val="10"/>
            <color indexed="81"/>
            <rFont val="Tahoma"/>
            <family val="2"/>
          </rPr>
          <t>restated in 1Q16 
previously 383</t>
        </r>
      </text>
    </comment>
    <comment ref="CQ691" authorId="1">
      <text>
        <r>
          <rPr>
            <sz val="10"/>
            <color indexed="81"/>
            <rFont val="Tahoma"/>
            <family val="2"/>
          </rPr>
          <t>restated in 1Q16 
previously 409</t>
        </r>
      </text>
    </comment>
    <comment ref="BU697" authorId="2">
      <text>
        <r>
          <rPr>
            <sz val="8"/>
            <color indexed="81"/>
            <rFont val="Tahoma"/>
            <family val="2"/>
          </rPr>
          <t>PF for switch and data</t>
        </r>
      </text>
    </comment>
    <comment ref="BT709" authorId="0">
      <text>
        <r>
          <rPr>
            <b/>
            <sz val="8"/>
            <color indexed="81"/>
            <rFont val="Tahoma"/>
            <family val="2"/>
          </rPr>
          <t>&lt;$10M</t>
        </r>
      </text>
    </comment>
    <comment ref="BU709" authorId="0">
      <text>
        <r>
          <rPr>
            <b/>
            <sz val="8"/>
            <color indexed="81"/>
            <rFont val="Tahoma"/>
            <family val="2"/>
          </rPr>
          <t>&lt;$10M</t>
        </r>
      </text>
    </comment>
    <comment ref="BT710" authorId="0">
      <text>
        <r>
          <rPr>
            <b/>
            <sz val="8"/>
            <color indexed="81"/>
            <rFont val="Tahoma"/>
            <family val="2"/>
          </rPr>
          <t>Assuming phased opening over two quarters</t>
        </r>
      </text>
    </comment>
    <comment ref="BU710" authorId="0">
      <text>
        <r>
          <rPr>
            <b/>
            <sz val="8"/>
            <color indexed="81"/>
            <rFont val="Tahoma"/>
            <family val="2"/>
          </rPr>
          <t>Assuming phased opening over two quarters</t>
        </r>
      </text>
    </comment>
    <comment ref="BV718" authorId="0">
      <text>
        <r>
          <rPr>
            <b/>
            <sz val="8"/>
            <color indexed="81"/>
            <rFont val="Tahoma"/>
            <family val="2"/>
          </rPr>
          <t>$35M incurred by Equinix, $25M by Switch and Data</t>
        </r>
      </text>
    </comment>
    <comment ref="BV719" authorId="0">
      <text>
        <r>
          <rPr>
            <b/>
            <sz val="8"/>
            <color indexed="81"/>
            <rFont val="Tahoma"/>
            <family val="2"/>
          </rPr>
          <t>400 cabinets in 3Q10, 1050 by 1Q11</t>
        </r>
      </text>
    </comment>
    <comment ref="BT738" authorId="0">
      <text>
        <r>
          <rPr>
            <b/>
            <sz val="8"/>
            <color indexed="81"/>
            <rFont val="Tahoma"/>
            <family val="2"/>
          </rPr>
          <t>$80 - $90</t>
        </r>
      </text>
    </comment>
    <comment ref="BU791" authorId="0">
      <text>
        <r>
          <rPr>
            <b/>
            <sz val="8"/>
            <color indexed="81"/>
            <rFont val="Tahoma"/>
            <family val="2"/>
          </rPr>
          <t>katzedwa:</t>
        </r>
        <r>
          <rPr>
            <sz val="8"/>
            <color indexed="81"/>
            <rFont val="Tahoma"/>
            <family val="2"/>
          </rPr>
          <t xml:space="preserve">
Includes SDXC</t>
        </r>
      </text>
    </comment>
    <comment ref="CD791" authorId="2">
      <text>
        <r>
          <rPr>
            <sz val="8"/>
            <color indexed="81"/>
            <rFont val="Tahoma"/>
            <family val="2"/>
          </rPr>
          <t>restated 3Q13, starting in 3Q12 to include ancotel and AsisTone</t>
        </r>
      </text>
    </comment>
    <comment ref="CE791" authorId="2">
      <text>
        <r>
          <rPr>
            <sz val="8"/>
            <color indexed="81"/>
            <rFont val="Tahoma"/>
            <family val="2"/>
          </rPr>
          <t>restated 3Q13, starting in 3Q12 to include ancotel and AsisTone</t>
        </r>
      </text>
    </comment>
    <comment ref="CF791" authorId="2">
      <text>
        <r>
          <rPr>
            <sz val="8"/>
            <color indexed="81"/>
            <rFont val="Tahoma"/>
            <family val="2"/>
          </rPr>
          <t>restated 3Q13, starting in 3Q12 to include ancotel and AsisTone</t>
        </r>
      </text>
    </comment>
    <comment ref="CG791" authorId="2">
      <text>
        <r>
          <rPr>
            <sz val="8"/>
            <color indexed="81"/>
            <rFont val="Tahoma"/>
            <family val="2"/>
          </rPr>
          <t>restated 3Q13, starting in 3Q12 to include ancotel and AsisTone</t>
        </r>
      </text>
    </comment>
    <comment ref="CL791" authorId="1">
      <text>
        <r>
          <rPr>
            <sz val="10"/>
            <color indexed="81"/>
            <rFont val="Tahoma"/>
            <family val="2"/>
          </rPr>
          <t>tracking sheet starts rounding customer counts to 10s.  Before was precise</t>
        </r>
      </text>
    </comment>
    <comment ref="AQ799" authorId="0">
      <text>
        <r>
          <rPr>
            <b/>
            <sz val="8"/>
            <color indexed="81"/>
            <rFont val="Tahoma"/>
            <family val="2"/>
          </rPr>
          <t>katzedwa:</t>
        </r>
        <r>
          <rPr>
            <sz val="8"/>
            <color indexed="81"/>
            <rFont val="Tahoma"/>
            <family val="2"/>
          </rPr>
          <t xml:space="preserve">
Acquired STT and Pihana</t>
        </r>
      </text>
    </comment>
    <comment ref="AR799" authorId="0">
      <text>
        <r>
          <rPr>
            <b/>
            <sz val="8"/>
            <color indexed="81"/>
            <rFont val="Tahoma"/>
            <family val="2"/>
          </rPr>
          <t>katzedwa:</t>
        </r>
        <r>
          <rPr>
            <sz val="8"/>
            <color indexed="81"/>
            <rFont val="Tahoma"/>
            <family val="2"/>
          </rPr>
          <t xml:space="preserve">
Precombination</t>
        </r>
      </text>
    </comment>
    <comment ref="AS799" authorId="0">
      <text>
        <r>
          <rPr>
            <b/>
            <sz val="8"/>
            <color indexed="81"/>
            <rFont val="Tahoma"/>
            <family val="2"/>
          </rPr>
          <t>katzedwa:</t>
        </r>
        <r>
          <rPr>
            <sz val="8"/>
            <color indexed="81"/>
            <rFont val="Tahoma"/>
            <family val="2"/>
          </rPr>
          <t xml:space="preserve">
Estimated "more than 600"</t>
        </r>
      </text>
    </comment>
    <comment ref="AT799" authorId="0">
      <text>
        <r>
          <rPr>
            <b/>
            <sz val="8"/>
            <color indexed="81"/>
            <rFont val="Tahoma"/>
            <family val="2"/>
          </rPr>
          <t>katzedwa:</t>
        </r>
        <r>
          <rPr>
            <sz val="8"/>
            <color indexed="81"/>
            <rFont val="Tahoma"/>
            <family val="2"/>
          </rPr>
          <t xml:space="preserve">
Estimated "more than 650"</t>
        </r>
      </text>
    </comment>
    <comment ref="AU799" authorId="0">
      <text>
        <r>
          <rPr>
            <b/>
            <sz val="8"/>
            <color indexed="81"/>
            <rFont val="Tahoma"/>
            <family val="2"/>
          </rPr>
          <t>katzedwa:</t>
        </r>
        <r>
          <rPr>
            <sz val="8"/>
            <color indexed="81"/>
            <rFont val="Tahoma"/>
            <family val="2"/>
          </rPr>
          <t xml:space="preserve">
Estimated "more than 700"</t>
        </r>
      </text>
    </comment>
    <comment ref="BJ799" authorId="0">
      <text>
        <r>
          <rPr>
            <b/>
            <sz val="8"/>
            <color indexed="81"/>
            <rFont val="Tahoma"/>
            <family val="2"/>
          </rPr>
          <t>katzedwa:</t>
        </r>
        <r>
          <rPr>
            <sz val="8"/>
            <color indexed="81"/>
            <rFont val="Tahoma"/>
            <family val="2"/>
          </rPr>
          <t xml:space="preserve">
1453 excluding IXEurope acquisition</t>
        </r>
      </text>
    </comment>
    <comment ref="BU799" authorId="0">
      <text>
        <r>
          <rPr>
            <b/>
            <sz val="8"/>
            <color indexed="81"/>
            <rFont val="Tahoma"/>
            <family val="2"/>
          </rPr>
          <t>katzedwa:</t>
        </r>
        <r>
          <rPr>
            <sz val="8"/>
            <color indexed="81"/>
            <rFont val="Tahoma"/>
            <family val="2"/>
          </rPr>
          <t xml:space="preserve">
Includes SDXC</t>
        </r>
      </text>
    </comment>
    <comment ref="CE799" authorId="2">
      <text>
        <r>
          <rPr>
            <sz val="8"/>
            <color indexed="81"/>
            <rFont val="Tahoma"/>
            <family val="2"/>
          </rPr>
          <t>defined as "totla global customers starting in 4Q13 non-financial tracking sheet</t>
        </r>
      </text>
    </comment>
    <comment ref="CJ799" authorId="1">
      <text>
        <r>
          <rPr>
            <sz val="10"/>
            <color indexed="81"/>
            <rFont val="Tahoma"/>
            <family val="2"/>
          </rPr>
          <t>restated in 1Q15</t>
        </r>
      </text>
    </comment>
    <comment ref="CK799" authorId="1">
      <text>
        <r>
          <rPr>
            <sz val="10"/>
            <color indexed="81"/>
            <rFont val="Tahoma"/>
            <family val="2"/>
          </rPr>
          <t>restated in 1Q15</t>
        </r>
      </text>
    </comment>
    <comment ref="CL799" authorId="1">
      <text>
        <r>
          <rPr>
            <sz val="10"/>
            <color indexed="81"/>
            <rFont val="Tahoma"/>
            <family val="2"/>
          </rPr>
          <t>restated in 1Q15</t>
        </r>
      </text>
    </comment>
    <comment ref="CM799" authorId="1">
      <text>
        <r>
          <rPr>
            <sz val="10"/>
            <color indexed="81"/>
            <rFont val="Tahoma"/>
            <family val="2"/>
          </rPr>
          <t>restated in 1Q15</t>
        </r>
      </text>
    </comment>
    <comment ref="CO799" authorId="1">
      <text>
        <r>
          <rPr>
            <sz val="9"/>
            <color indexed="81"/>
            <rFont val="Tahoma"/>
            <family val="2"/>
          </rPr>
          <t>rounding changed</t>
        </r>
      </text>
    </comment>
    <comment ref="BJ804" authorId="0">
      <text>
        <r>
          <rPr>
            <b/>
            <sz val="8"/>
            <color indexed="81"/>
            <rFont val="Tahoma"/>
            <family val="2"/>
          </rPr>
          <t>katzedwa:</t>
        </r>
        <r>
          <rPr>
            <sz val="8"/>
            <color indexed="81"/>
            <rFont val="Tahoma"/>
            <family val="2"/>
          </rPr>
          <t xml:space="preserve">
Ex-Europe</t>
        </r>
      </text>
    </comment>
    <comment ref="BZ807" authorId="2">
      <text>
        <r>
          <rPr>
            <sz val="8"/>
            <color indexed="81"/>
            <rFont val="Tahoma"/>
            <family val="2"/>
          </rPr>
          <t>restated 3q12</t>
        </r>
      </text>
    </comment>
    <comment ref="CA807" authorId="2">
      <text>
        <r>
          <rPr>
            <sz val="8"/>
            <color indexed="81"/>
            <rFont val="Tahoma"/>
            <family val="2"/>
          </rPr>
          <t>restated 3q12</t>
        </r>
      </text>
    </comment>
    <comment ref="CB807" authorId="2">
      <text>
        <r>
          <rPr>
            <sz val="8"/>
            <color indexed="81"/>
            <rFont val="Tahoma"/>
            <family val="2"/>
          </rPr>
          <t>restated 3q12</t>
        </r>
      </text>
    </comment>
    <comment ref="CC807" authorId="2">
      <text>
        <r>
          <rPr>
            <sz val="8"/>
            <color indexed="81"/>
            <rFont val="Tahoma"/>
            <family val="2"/>
          </rPr>
          <t>restated 3q12</t>
        </r>
      </text>
    </comment>
    <comment ref="CI807" authorId="1">
      <text>
        <r>
          <rPr>
            <sz val="10"/>
            <color indexed="81"/>
            <rFont val="Tahoma"/>
            <family val="2"/>
          </rPr>
          <t>in balance sheet financial page</t>
        </r>
      </text>
    </comment>
    <comment ref="CM807" authorId="1">
      <text>
        <r>
          <rPr>
            <sz val="10"/>
            <color indexed="81"/>
            <rFont val="Tahoma"/>
            <family val="2"/>
          </rPr>
          <t>in balance sheet financial page</t>
        </r>
      </text>
    </comment>
    <comment ref="CN807" authorId="1">
      <text>
        <r>
          <rPr>
            <sz val="10"/>
            <color indexed="81"/>
            <rFont val="Tahoma"/>
            <family val="2"/>
          </rPr>
          <t>in balance sheet financial page</t>
        </r>
      </text>
    </comment>
    <comment ref="CO807" authorId="1">
      <text>
        <r>
          <rPr>
            <sz val="10"/>
            <color indexed="81"/>
            <rFont val="Tahoma"/>
            <family val="2"/>
          </rPr>
          <t>in balance sheet financial page</t>
        </r>
      </text>
    </comment>
    <comment ref="CP807" authorId="1">
      <text>
        <r>
          <rPr>
            <sz val="10"/>
            <color indexed="81"/>
            <rFont val="Tahoma"/>
            <family val="2"/>
          </rPr>
          <t>in balance sheet financial page</t>
        </r>
      </text>
    </comment>
    <comment ref="CQ807" authorId="1">
      <text>
        <r>
          <rPr>
            <sz val="10"/>
            <color indexed="81"/>
            <rFont val="Tahoma"/>
            <family val="2"/>
          </rPr>
          <t>in balance sheet financial page</t>
        </r>
      </text>
    </comment>
    <comment ref="CR807" authorId="1">
      <text>
        <r>
          <rPr>
            <sz val="10"/>
            <color indexed="81"/>
            <rFont val="Tahoma"/>
            <family val="2"/>
          </rPr>
          <t>in balance sheet financial page</t>
        </r>
      </text>
    </comment>
    <comment ref="CS807" authorId="1">
      <text>
        <r>
          <rPr>
            <sz val="10"/>
            <color indexed="81"/>
            <rFont val="Tahoma"/>
            <family val="2"/>
          </rPr>
          <t>in balance sheet financial page</t>
        </r>
      </text>
    </comment>
    <comment ref="CT807" authorId="1">
      <text>
        <r>
          <rPr>
            <sz val="10"/>
            <color indexed="81"/>
            <rFont val="Tahoma"/>
            <family val="2"/>
          </rPr>
          <t>in balance sheet financial page</t>
        </r>
      </text>
    </comment>
    <comment ref="CU807" authorId="1">
      <text>
        <r>
          <rPr>
            <sz val="10"/>
            <color indexed="81"/>
            <rFont val="Tahoma"/>
            <family val="2"/>
          </rPr>
          <t>in balance sheet financial page</t>
        </r>
      </text>
    </comment>
    <comment ref="CV807" authorId="1">
      <text>
        <r>
          <rPr>
            <sz val="10"/>
            <color indexed="81"/>
            <rFont val="Tahoma"/>
            <family val="2"/>
          </rPr>
          <t>in balance sheet financial page</t>
        </r>
      </text>
    </comment>
    <comment ref="CN809" authorId="1">
      <text>
        <r>
          <rPr>
            <sz val="10"/>
            <color indexed="81"/>
            <rFont val="Tahoma"/>
            <family val="2"/>
          </rPr>
          <t>restated in 1Q16 
previously 1892</t>
        </r>
      </text>
    </comment>
    <comment ref="CO809" authorId="1">
      <text>
        <r>
          <rPr>
            <sz val="10"/>
            <color indexed="81"/>
            <rFont val="Tahoma"/>
            <family val="2"/>
          </rPr>
          <t>restated in 1Q16 
previously 2018</t>
        </r>
      </text>
    </comment>
    <comment ref="CP809" authorId="1">
      <text>
        <r>
          <rPr>
            <sz val="10"/>
            <color indexed="81"/>
            <rFont val="Tahoma"/>
            <family val="2"/>
          </rPr>
          <t>restated in 1Q16 
previously 2145</t>
        </r>
      </text>
    </comment>
    <comment ref="CQ809" authorId="1">
      <text>
        <r>
          <rPr>
            <sz val="10"/>
            <color indexed="81"/>
            <rFont val="Tahoma"/>
            <family val="2"/>
          </rPr>
          <t>restated in 1Q16 
previously 2247</t>
        </r>
      </text>
    </comment>
    <comment ref="CA813" authorId="2">
      <text>
        <r>
          <rPr>
            <sz val="8"/>
            <color indexed="81"/>
            <rFont val="Tahoma"/>
            <family val="2"/>
          </rPr>
          <t>restated</t>
        </r>
      </text>
    </comment>
    <comment ref="CJ813" authorId="1">
      <text>
        <r>
          <rPr>
            <sz val="10"/>
            <color indexed="81"/>
            <rFont val="Tahoma"/>
            <family val="2"/>
          </rPr>
          <t>restated in 1Q15</t>
        </r>
      </text>
    </comment>
    <comment ref="CK813" authorId="1">
      <text>
        <r>
          <rPr>
            <sz val="10"/>
            <color indexed="81"/>
            <rFont val="Tahoma"/>
            <family val="2"/>
          </rPr>
          <t>restated in 1Q15</t>
        </r>
      </text>
    </comment>
    <comment ref="CL813" authorId="1">
      <text>
        <r>
          <rPr>
            <sz val="10"/>
            <color indexed="81"/>
            <rFont val="Tahoma"/>
            <family val="2"/>
          </rPr>
          <t>restated in 1Q15</t>
        </r>
      </text>
    </comment>
    <comment ref="CM813" authorId="1">
      <text>
        <r>
          <rPr>
            <sz val="10"/>
            <color indexed="81"/>
            <rFont val="Tahoma"/>
            <family val="2"/>
          </rPr>
          <t>restated in 1Q15</t>
        </r>
      </text>
    </comment>
    <comment ref="X822" authorId="1">
      <text>
        <r>
          <rPr>
            <sz val="10"/>
            <color indexed="81"/>
            <rFont val="Tahoma"/>
            <family val="2"/>
          </rPr>
          <t>Telecity / Bit-isle in reported revenues but not in cabinet metrics</t>
        </r>
      </text>
    </comment>
    <comment ref="CR822" authorId="1">
      <text>
        <r>
          <rPr>
            <sz val="10"/>
            <color indexed="81"/>
            <rFont val="Tahoma"/>
            <family val="2"/>
          </rPr>
          <t>Telecity / Bit-isle in reported revenues but not in cabinet metrics</t>
        </r>
      </text>
    </comment>
    <comment ref="CS822" authorId="1">
      <text>
        <r>
          <rPr>
            <sz val="10"/>
            <color indexed="81"/>
            <rFont val="Tahoma"/>
            <family val="2"/>
          </rPr>
          <t>Telecity / Bit-isle in reported revenues but not in cabinet metrics</t>
        </r>
      </text>
    </comment>
    <comment ref="CT822" authorId="1">
      <text>
        <r>
          <rPr>
            <sz val="10"/>
            <color indexed="81"/>
            <rFont val="Tahoma"/>
            <family val="2"/>
          </rPr>
          <t>Telecity / Bit-isle in reported revenues but not in cabinet metrics</t>
        </r>
      </text>
    </comment>
    <comment ref="CU822" authorId="1">
      <text>
        <r>
          <rPr>
            <sz val="10"/>
            <color indexed="81"/>
            <rFont val="Tahoma"/>
            <family val="2"/>
          </rPr>
          <t>formula change
Telecity and Bit-isle metics added in 4Q16</t>
        </r>
      </text>
    </comment>
    <comment ref="CW822" authorId="1">
      <text>
        <r>
          <rPr>
            <sz val="10"/>
            <color indexed="81"/>
            <rFont val="Tahoma"/>
            <family val="2"/>
          </rPr>
          <t>backing out VZ data center revenues b/c not in operational metrics</t>
        </r>
      </text>
    </comment>
    <comment ref="CX822" authorId="1">
      <text>
        <r>
          <rPr>
            <sz val="10"/>
            <color indexed="81"/>
            <rFont val="Tahoma"/>
            <family val="2"/>
          </rPr>
          <t>backing out VZ data center revenues b/c not in operational metrics</t>
        </r>
      </text>
    </comment>
    <comment ref="CY822" authorId="1">
      <text>
        <r>
          <rPr>
            <sz val="10"/>
            <color indexed="81"/>
            <rFont val="Tahoma"/>
            <family val="2"/>
          </rPr>
          <t>backing out VZ data center revenues b/c not in operational metrics</t>
        </r>
      </text>
    </comment>
  </commentList>
</comments>
</file>

<file path=xl/comments7.xml><?xml version="1.0" encoding="utf-8"?>
<comments xmlns="http://schemas.openxmlformats.org/spreadsheetml/2006/main">
  <authors>
    <author>katzedwa</author>
    <author>laml</author>
    <author>Lam, Lisa (Research)</author>
  </authors>
  <commentList>
    <comment ref="BS14" authorId="0">
      <text>
        <r>
          <rPr>
            <b/>
            <sz val="8"/>
            <color indexed="81"/>
            <rFont val="Tahoma"/>
            <family val="2"/>
          </rPr>
          <t>katzedwa:</t>
        </r>
        <r>
          <rPr>
            <sz val="8"/>
            <color indexed="81"/>
            <rFont val="Tahoma"/>
            <family val="2"/>
          </rPr>
          <t xml:space="preserve">
Additional $1.179M due to SAB 108 (non-recurring revenue adjustment)</t>
        </r>
      </text>
    </comment>
    <comment ref="N15" authorId="0">
      <text>
        <r>
          <rPr>
            <b/>
            <sz val="8"/>
            <color indexed="81"/>
            <rFont val="Tahoma"/>
            <family val="2"/>
          </rPr>
          <t>katzedwa:</t>
        </r>
        <r>
          <rPr>
            <sz val="8"/>
            <color indexed="81"/>
            <rFont val="Tahoma"/>
            <family val="2"/>
          </rPr>
          <t xml:space="preserve">
Guidance (3Q09): $877.50M  (EQIX)
$206.0M (SDXC)
$1083.50M (Pro-forma)</t>
        </r>
      </text>
    </comment>
    <comment ref="O15" authorId="0">
      <text>
        <r>
          <rPr>
            <b/>
            <sz val="8"/>
            <color indexed="81"/>
            <rFont val="Tahoma"/>
            <family val="2"/>
          </rPr>
          <t>katzedwa:</t>
        </r>
        <r>
          <rPr>
            <sz val="8"/>
            <color indexed="81"/>
            <rFont val="Tahoma"/>
            <family val="2"/>
          </rPr>
          <t xml:space="preserve">
1216</t>
        </r>
      </text>
    </comment>
    <comment ref="P15" authorId="0">
      <text>
        <r>
          <rPr>
            <b/>
            <sz val="8"/>
            <color indexed="81"/>
            <rFont val="Tahoma"/>
            <family val="2"/>
          </rPr>
          <t>katzedwa:</t>
        </r>
        <r>
          <rPr>
            <sz val="8"/>
            <color indexed="81"/>
            <rFont val="Tahoma"/>
            <family val="2"/>
          </rPr>
          <t xml:space="preserve">
1500</t>
        </r>
      </text>
    </comment>
    <comment ref="Q15" authorId="1">
      <text>
        <r>
          <rPr>
            <sz val="8"/>
            <color indexed="81"/>
            <rFont val="Tahoma"/>
            <family val="2"/>
          </rPr>
          <t>1890-1895M</t>
        </r>
      </text>
    </comment>
    <comment ref="R15" authorId="1">
      <text>
        <r>
          <rPr>
            <sz val="12"/>
            <color indexed="81"/>
            <rFont val="Tahoma"/>
            <family val="2"/>
          </rPr>
          <t>guidance:  $2145-2149M</t>
        </r>
      </text>
    </comment>
    <comment ref="AQ15" authorId="1">
      <text>
        <r>
          <rPr>
            <b/>
            <sz val="8"/>
            <color indexed="81"/>
            <rFont val="Tahoma"/>
            <family val="2"/>
          </rPr>
          <t xml:space="preserve">4Q00: </t>
        </r>
        <r>
          <rPr>
            <sz val="8"/>
            <color indexed="81"/>
            <rFont val="Tahoma"/>
            <family val="2"/>
          </rPr>
          <t xml:space="preserve">For first quarter 2001, the Company expects revenue to be in the range of $10.5 to $12.5 million. </t>
        </r>
      </text>
    </comment>
    <comment ref="AU15" authorId="1">
      <text>
        <r>
          <rPr>
            <b/>
            <sz val="8"/>
            <color indexed="81"/>
            <rFont val="Tahoma"/>
            <family val="2"/>
          </rPr>
          <t xml:space="preserve">1Q01: </t>
        </r>
        <r>
          <rPr>
            <sz val="8"/>
            <color indexed="81"/>
            <rFont val="Tahoma"/>
            <family val="2"/>
          </rPr>
          <t xml:space="preserve">Equinix expects to see significant revenue growth in the year 2001. Full year revenues are projected to be in the range of $72 to $77M
</t>
        </r>
        <r>
          <rPr>
            <b/>
            <sz val="8"/>
            <color indexed="81"/>
            <rFont val="Tahoma"/>
            <family val="2"/>
          </rPr>
          <t xml:space="preserve">2Q01: </t>
        </r>
        <r>
          <rPr>
            <sz val="8"/>
            <color indexed="81"/>
            <rFont val="Tahoma"/>
            <family val="2"/>
          </rPr>
          <t xml:space="preserve">Full year revenues are projected to be in the range of $68 to $72M
</t>
        </r>
        <r>
          <rPr>
            <b/>
            <sz val="8"/>
            <color indexed="81"/>
            <rFont val="Tahoma"/>
            <family val="2"/>
          </rPr>
          <t xml:space="preserve">3Q01: </t>
        </r>
        <r>
          <rPr>
            <sz val="8"/>
            <color indexed="81"/>
            <rFont val="Tahoma"/>
            <family val="2"/>
          </rPr>
          <t xml:space="preserve">Full year revenues are projected to be in the range of $64.0 to $66.0M
</t>
        </r>
        <r>
          <rPr>
            <b/>
            <sz val="8"/>
            <color indexed="81"/>
            <rFont val="Tahoma"/>
            <family val="2"/>
          </rPr>
          <t xml:space="preserve">4Q01: </t>
        </r>
        <r>
          <rPr>
            <sz val="8"/>
            <color indexed="81"/>
            <rFont val="Tahoma"/>
            <family val="2"/>
          </rPr>
          <t xml:space="preserve">"For the year, we continued to grow our revenues sequentially and increased our net customer base by 70% with leading names such as British Telecom, Genuity, Google, MSN, and SBC in addition to the top customers won in fourth quarter. The company delivered new products to an expanded customer base, grew revenues nearly four-fold over last year and performed well ahead of EBITDA expectations;"  "We expect the momentum of new customers as well as growth from our existing customer base to drive our success in 2002," said VanCamp. "As we drive toward profitability, Equinix will continue to grow our long-term leadership position. We will continue to provide customers with Internet exchange services that leverage our unique position as a core hub for the Internet, to help customers increase performance while reducing the overall costs of operations."
</t>
        </r>
      </text>
    </comment>
    <comment ref="AZ15" authorId="1">
      <text>
        <r>
          <rPr>
            <b/>
            <sz val="8"/>
            <color indexed="81"/>
            <rFont val="Tahoma"/>
            <family val="2"/>
          </rPr>
          <t xml:space="preserve">1Q02:   </t>
        </r>
        <r>
          <rPr>
            <sz val="8"/>
            <color indexed="81"/>
            <rFont val="Tahoma"/>
            <family val="2"/>
          </rPr>
          <t xml:space="preserve">"Despite a continued challenging market, we have demonstrated once again that the company is executing and focused on the right things," said Peter Van Camp, chairman and CEO of Equinix. "We are driving this company towards operating cash flow positive this year while continuing to reduce our debt, positioning us to be a long-term leader."
</t>
        </r>
        <r>
          <rPr>
            <b/>
            <sz val="8"/>
            <color indexed="81"/>
            <rFont val="Tahoma"/>
            <family val="2"/>
          </rPr>
          <t xml:space="preserve">2Q02:  </t>
        </r>
        <r>
          <rPr>
            <sz val="8"/>
            <color indexed="81"/>
            <rFont val="Tahoma"/>
            <family val="2"/>
          </rPr>
          <t xml:space="preserve">"Equinix continues to execute in the face of weakness in the telecommunications sector," said Peter Van Camp, chairman and CEO of Equinix. "This weakness impacted results in the quarter, as seen in events such as the surprising news from WorldCom and Teleglobe's bankruptcy filing. The encouraging news, however, is that new contractual commitments won in the second quarter were the highest since 2000."
</t>
        </r>
        <r>
          <rPr>
            <b/>
            <sz val="8"/>
            <color indexed="81"/>
            <rFont val="Tahoma"/>
            <family val="2"/>
          </rPr>
          <t xml:space="preserve">3Q02: </t>
        </r>
        <r>
          <rPr>
            <sz val="8"/>
            <color indexed="81"/>
            <rFont val="Tahoma"/>
            <family val="2"/>
          </rPr>
          <t xml:space="preserve">"The third quarter performance showed solid improvement over the second quarter, back in line with expectations," said Peter Van Camp, CEO of Equinix. "Most importantly, through our planned acquisition of assets and a new cash investment in our business, we answered significant questions for our customers and shareholders about our long-term viability. As we continue to see industry consolidation and contraction, Equinix will be in a unique position of strength to leverage the opportunities this creates."
</t>
        </r>
        <r>
          <rPr>
            <b/>
            <sz val="8"/>
            <color indexed="81"/>
            <rFont val="Tahoma"/>
            <family val="2"/>
          </rPr>
          <t xml:space="preserve">4Q02:  </t>
        </r>
        <r>
          <rPr>
            <sz val="8"/>
            <color indexed="81"/>
            <rFont val="Tahoma"/>
            <family val="2"/>
          </rPr>
          <t>"Fiscal 2002 proved to be a pivotal year for Equinix, highlighted by our transition to a global business, the meaningful improvements to our balance sheet, and our leadership in key segments of the business," said Peter Van Camp, CEO of Equinix. "We signed 147 new customers, grew revenue by more than 20%, extended our successful business model to the Asia-Pacific region and increased our footprint by 25%, all while dramatically reducing our debt service obligations and operating costs. In 2003, Equinix expects to benefit from continued industry consolidation and the growing demand for network diversity, as enterprise and network customers seek improved reliability and performance from their Internet operations."</t>
        </r>
      </text>
    </comment>
    <comment ref="BE15" authorId="1">
      <text>
        <r>
          <rPr>
            <b/>
            <sz val="8"/>
            <color indexed="81"/>
            <rFont val="Tahoma"/>
            <family val="2"/>
          </rPr>
          <t xml:space="preserve">1Q03: </t>
        </r>
        <r>
          <rPr>
            <sz val="8"/>
            <color indexed="81"/>
            <rFont val="Tahoma"/>
            <family val="2"/>
          </rPr>
          <t xml:space="preserve">"This was a solid first quarter, demonstrating great momentum into 2003. The quality of new bookings, the rise in revenues from our margin rich exchange services, and progress in our Asia integration
efforts has made it possible to accelerate our timeline to an operating cash flow positive position," said Peter Van Camp, CEO of Equinix.On a pre-acquisition Equinix basis, which excludes the Pihana Pacific and i-STT operations, recurring revenues were $19.3 million. This represents a 17% increase over the same quarter last year and a 10% increase over fourth quarter of 2002.
</t>
        </r>
        <r>
          <rPr>
            <b/>
            <sz val="8"/>
            <color indexed="81"/>
            <rFont val="Tahoma"/>
            <family val="2"/>
          </rPr>
          <t xml:space="preserve">2Q03: </t>
        </r>
        <r>
          <rPr>
            <sz val="8"/>
            <color indexed="81"/>
            <rFont val="Tahoma"/>
            <family val="2"/>
          </rPr>
          <t xml:space="preserve">"We believe the significant rise in new customers, including our recent win with Amazon.com, the strong growth in customer interconnections, and continued industry consolidation, validate that our network-neutral business model is winning in the marketplace," said Peter Van Camp, CEO of Equinix. "With our solid revenue growth and high flow through margins, Equinix is approaching an inflection point in our model. Our visibility on the revenue line and fixed cost model give us confidence to reaffirm our timeline to reach an operating cash flow positive position in September of this year."
</t>
        </r>
        <r>
          <rPr>
            <b/>
            <sz val="8"/>
            <color indexed="81"/>
            <rFont val="Tahoma"/>
            <family val="2"/>
          </rPr>
          <t xml:space="preserve">3Q03: </t>
        </r>
        <r>
          <rPr>
            <sz val="8"/>
            <color indexed="81"/>
            <rFont val="Tahoma"/>
            <family val="2"/>
          </rPr>
          <t xml:space="preserve">U.S. interconnection services revenue increased by 17% over second quarter 2003 and grew to 22% of total U.S. recurring revenues for the quarter while total interconnection services revenue improved to 19% of total recurring revenues. Customer cross-connects grew to 6,011, a 14% increase over the prior quarter and a 119% increase over same quarter last year. Ports on the Equinix GigE Exchange were reported at 239, a 12% increase over the second quarter 2003 and a 112% increase over the same quarter last year; "Our revenue growth, quality of new customer additions, and most
importantly, the arrival of a positive operating cash flow position for all of the third quarter clearly affirms the company's position at an important inflection point," said Peter Van Camp, CEO of Equinix. "It is exciting to be in this position of strength as this market consolidates, particularly with opportunities such as the Sprint Santa Clara center."
</t>
        </r>
        <r>
          <rPr>
            <b/>
            <sz val="8"/>
            <color indexed="81"/>
            <rFont val="Tahoma"/>
            <family val="2"/>
          </rPr>
          <t xml:space="preserve">4Q03:  </t>
        </r>
        <r>
          <rPr>
            <sz val="8"/>
            <color indexed="81"/>
            <rFont val="Tahoma"/>
            <family val="2"/>
          </rPr>
          <t>"2003 was a breakthrough year for Equinix, achieving exceptional results as we build this company towards market leadership," said Peter Van Camp, CEO of Equinix. "Our network-neutral model and
interconnection services remain key differentiators in a market that is undergoing significant changes. We expect this strategic advantage to continue to make us a growth leader in our industry in 2004."</t>
        </r>
      </text>
    </comment>
    <comment ref="BJ15" authorId="1">
      <text>
        <r>
          <rPr>
            <b/>
            <sz val="8"/>
            <color indexed="81"/>
            <rFont val="Tahoma"/>
            <family val="2"/>
          </rPr>
          <t xml:space="preserve">1Q04: </t>
        </r>
        <r>
          <rPr>
            <sz val="8"/>
            <color indexed="81"/>
            <rFont val="Tahoma"/>
            <family val="2"/>
          </rPr>
          <t xml:space="preserve">"Equinix delivered a great quarter with solid revenue gains and continued expansion of operating margins," said Peter Van Camp, CEO of Equinix. "We continue to see excellent opportunities for further
growth evidenced by strong bookings, our expansion in the Washington, D.C. market and our confidence in the outlook for the year."
</t>
        </r>
        <r>
          <rPr>
            <b/>
            <sz val="8"/>
            <color indexed="81"/>
            <rFont val="Tahoma"/>
            <family val="2"/>
          </rPr>
          <t xml:space="preserve">2Q04: </t>
        </r>
        <r>
          <rPr>
            <sz val="8"/>
            <color indexed="81"/>
            <rFont val="Tahoma"/>
            <family val="2"/>
          </rPr>
          <t xml:space="preserve">"We couldn't be more pleased with where we are at the midpoint of 2004. We've continued to see strong growth from our existing customers while adding 86 new customers," said Peter Van Camp, CEO of Equinix. "With a great first half behind us and solid visibility from our recurring revenue model, we are raising our revenue targets for 2004."
</t>
        </r>
        <r>
          <rPr>
            <b/>
            <sz val="8"/>
            <color indexed="81"/>
            <rFont val="Tahoma"/>
            <family val="2"/>
          </rPr>
          <t xml:space="preserve">3Q04: </t>
        </r>
        <r>
          <rPr>
            <sz val="8"/>
            <color indexed="81"/>
            <rFont val="Tahoma"/>
            <family val="2"/>
          </rPr>
          <t xml:space="preserve">"Third quarter was another great one for Equinix, contributing to what is shaping up to be a very solid 2004," said Peter Van Camp, CEO of Equinix. "With this strong momentum, we see ourselves on a path for
market leadership in 2005."
</t>
        </r>
        <r>
          <rPr>
            <b/>
            <sz val="8"/>
            <color indexed="81"/>
            <rFont val="Tahoma"/>
            <family val="2"/>
          </rPr>
          <t xml:space="preserve">4Q04: </t>
        </r>
        <r>
          <rPr>
            <sz val="8"/>
            <color indexed="81"/>
            <rFont val="Tahoma"/>
            <family val="2"/>
          </rPr>
          <t>"2004 was a breakout year as we exceeded all of our expectations," said Peter Van Camp, CEO of Equinix. "As we look to 2005, we continue to aggressively execute on all fronts, positioning Equinix for another
great year as we drive towards market leadership."</t>
        </r>
      </text>
    </comment>
    <comment ref="BO15" authorId="1">
      <text>
        <r>
          <rPr>
            <b/>
            <sz val="8"/>
            <color indexed="81"/>
            <rFont val="Tahoma"/>
            <family val="2"/>
          </rPr>
          <t xml:space="preserve">1Q05:  </t>
        </r>
        <r>
          <rPr>
            <sz val="8"/>
            <color indexed="81"/>
            <rFont val="Tahoma"/>
            <family val="2"/>
          </rPr>
          <t xml:space="preserve">"First quarter was a strong start to 2005. Particularly pleasing was the incremental recurring revenue growth achieved, which was the best we've seen to date," said Peter Van Camp, CEO of Equinix. "Great anchor bookings in our new Washington, D.C. and Silicon Valley IBX
centers contributed to our momentum."
</t>
        </r>
        <r>
          <rPr>
            <b/>
            <sz val="8"/>
            <color indexed="81"/>
            <rFont val="Tahoma"/>
            <family val="2"/>
          </rPr>
          <t xml:space="preserve">2Q05: </t>
        </r>
        <r>
          <rPr>
            <sz val="8"/>
            <color indexed="81"/>
            <rFont val="Tahoma"/>
            <family val="2"/>
          </rPr>
          <t xml:space="preserve">"Equinix delivered strong results in the second quarter contributing to a solid first half for the company," said Peter Van
Camp, CEO of Equinix. "Significant in this was the level of our bookings and the quality of our new customers. This was a new high for the company, setting up a second half of continued strong growth."
</t>
        </r>
        <r>
          <rPr>
            <b/>
            <sz val="8"/>
            <color indexed="81"/>
            <rFont val="Tahoma"/>
            <family val="2"/>
          </rPr>
          <t xml:space="preserve">3Q05: </t>
        </r>
        <r>
          <rPr>
            <sz val="8"/>
            <color indexed="81"/>
            <rFont val="Tahoma"/>
            <family val="2"/>
          </rPr>
          <t xml:space="preserve">"Our market position, customer momentum, and brand have never been
stronger," said Peter Van Camp, CEO of Equinix. "With the continued solid demand for our services and recent data center acquisitions to support the demand, we believe we are well-positioned for 2006."
</t>
        </r>
        <r>
          <rPr>
            <b/>
            <sz val="8"/>
            <color indexed="81"/>
            <rFont val="Tahoma"/>
            <family val="2"/>
          </rPr>
          <t xml:space="preserve">4Q05: </t>
        </r>
        <r>
          <rPr>
            <sz val="8"/>
            <color indexed="81"/>
            <rFont val="Tahoma"/>
            <family val="2"/>
          </rPr>
          <t xml:space="preserve">The Company also announced that it will build out a new center at its Washington, D.C. area campus to further expand its Washington, D.C. area Internet Business Exchange(TM) (IBX(R)) center. Equinix also announced that it intends to expand in the Chicago metro area and has identified a potential site and commenced performing its due diligence for possible expansion.
</t>
        </r>
      </text>
    </comment>
    <comment ref="CJ15" authorId="0">
      <text>
        <r>
          <rPr>
            <b/>
            <sz val="8"/>
            <color indexed="81"/>
            <rFont val="Tahoma"/>
            <family val="2"/>
          </rPr>
          <t>katzedwa:</t>
        </r>
        <r>
          <rPr>
            <sz val="8"/>
            <color indexed="81"/>
            <rFont val="Tahoma"/>
            <family val="2"/>
          </rPr>
          <t xml:space="preserve">
Guidance (4Q09): $245 - $247M (includes ~$5M of currency headwinds compared to prior expectations)</t>
        </r>
      </text>
    </comment>
    <comment ref="CN15" authorId="0">
      <text>
        <r>
          <rPr>
            <b/>
            <sz val="8"/>
            <color indexed="81"/>
            <rFont val="Tahoma"/>
            <family val="2"/>
          </rPr>
          <t>katzedwa:</t>
        </r>
        <r>
          <rPr>
            <sz val="8"/>
            <color indexed="81"/>
            <rFont val="Tahoma"/>
            <family val="2"/>
          </rPr>
          <t xml:space="preserve">
Guidance (4Q09): $1.05 - $1.075B (including $22M in currency headwinds compared to prior expectations)</t>
        </r>
      </text>
    </comment>
    <comment ref="CO15" authorId="0">
      <text>
        <r>
          <rPr>
            <b/>
            <sz val="8"/>
            <color indexed="81"/>
            <rFont val="Tahoma"/>
            <family val="2"/>
          </rPr>
          <t>354 - 356</t>
        </r>
      </text>
    </comment>
    <comment ref="CP15" authorId="0">
      <text>
        <r>
          <rPr>
            <b/>
            <sz val="8"/>
            <color indexed="81"/>
            <rFont val="Tahoma"/>
            <family val="2"/>
          </rPr>
          <t>376 - 378</t>
        </r>
      </text>
    </comment>
    <comment ref="CQ15" authorId="0">
      <text>
        <r>
          <rPr>
            <b/>
            <sz val="8"/>
            <color indexed="81"/>
            <rFont val="Tahoma"/>
            <family val="2"/>
          </rPr>
          <t>412 - 417</t>
        </r>
      </text>
    </comment>
    <comment ref="CS15" authorId="0">
      <text>
        <r>
          <rPr>
            <b/>
            <sz val="8"/>
            <color indexed="81"/>
            <rFont val="Tahoma"/>
            <family val="2"/>
          </rPr>
          <t>1500
1590</t>
        </r>
      </text>
    </comment>
    <comment ref="Q18" authorId="1">
      <text>
        <r>
          <rPr>
            <sz val="8"/>
            <color indexed="81"/>
            <rFont val="Tahoma"/>
            <family val="2"/>
          </rPr>
          <t>$586 - $606</t>
        </r>
      </text>
    </comment>
    <comment ref="AJ18" authorId="0">
      <text>
        <r>
          <rPr>
            <b/>
            <sz val="8"/>
            <color indexed="81"/>
            <rFont val="Tahoma"/>
            <family val="2"/>
          </rPr>
          <t>katzedwa:</t>
        </r>
        <r>
          <rPr>
            <sz val="8"/>
            <color indexed="81"/>
            <rFont val="Tahoma"/>
            <family val="2"/>
          </rPr>
          <t xml:space="preserve">
Backing out $324,000 of D&amp;A, $104,000 of share-based comp</t>
        </r>
      </text>
    </comment>
    <comment ref="AL18" authorId="0">
      <text>
        <r>
          <rPr>
            <b/>
            <sz val="8"/>
            <color indexed="81"/>
            <rFont val="Tahoma"/>
            <family val="2"/>
          </rPr>
          <t>katzedwa:</t>
        </r>
        <r>
          <rPr>
            <sz val="8"/>
            <color indexed="81"/>
            <rFont val="Tahoma"/>
            <family val="2"/>
          </rPr>
          <t xml:space="preserve">
Backing out $984,000 of D&amp;A, $106,000 of share-based comp</t>
        </r>
      </text>
    </comment>
    <comment ref="AM18" authorId="0">
      <text>
        <r>
          <rPr>
            <b/>
            <sz val="8"/>
            <color indexed="81"/>
            <rFont val="Tahoma"/>
            <family val="2"/>
          </rPr>
          <t>katzedwa:</t>
        </r>
        <r>
          <rPr>
            <sz val="8"/>
            <color indexed="81"/>
            <rFont val="Tahoma"/>
            <family val="2"/>
          </rPr>
          <t xml:space="preserve">
Backing out $1.319M of D&amp;A, $108,000 of share-based comp</t>
        </r>
      </text>
    </comment>
    <comment ref="AN18" authorId="0">
      <text>
        <r>
          <rPr>
            <b/>
            <sz val="8"/>
            <color indexed="81"/>
            <rFont val="Tahoma"/>
            <family val="2"/>
          </rPr>
          <t>katzedwa:</t>
        </r>
        <r>
          <rPr>
            <sz val="8"/>
            <color indexed="81"/>
            <rFont val="Tahoma"/>
            <family val="2"/>
          </rPr>
          <t xml:space="preserve">
Backing out $2.567M of D&amp;A, $220,000 of share-based comp</t>
        </r>
      </text>
    </comment>
    <comment ref="AO18" authorId="0">
      <text>
        <r>
          <rPr>
            <b/>
            <sz val="8"/>
            <color indexed="81"/>
            <rFont val="Tahoma"/>
            <family val="2"/>
          </rPr>
          <t>katzedwa:</t>
        </r>
        <r>
          <rPr>
            <sz val="8"/>
            <color indexed="81"/>
            <rFont val="Tahoma"/>
            <family val="2"/>
          </rPr>
          <t xml:space="preserve">
Backing out $6.6M (estimated plug) of D&amp;A, $332,000 of share-based comp</t>
        </r>
      </text>
    </comment>
    <comment ref="AQ18" authorId="0">
      <text>
        <r>
          <rPr>
            <b/>
            <sz val="8"/>
            <color indexed="81"/>
            <rFont val="Tahoma"/>
            <family val="2"/>
          </rPr>
          <t>katzedwa:</t>
        </r>
        <r>
          <rPr>
            <sz val="8"/>
            <color indexed="81"/>
            <rFont val="Tahoma"/>
            <family val="2"/>
          </rPr>
          <t xml:space="preserve">
Backing out $9.1M (estimated plug) of D&amp;A, $241,000 of share-based comp</t>
        </r>
      </text>
    </comment>
    <comment ref="AR18" authorId="0">
      <text>
        <r>
          <rPr>
            <b/>
            <sz val="8"/>
            <color indexed="81"/>
            <rFont val="Tahoma"/>
            <family val="2"/>
          </rPr>
          <t>katzedwa:</t>
        </r>
        <r>
          <rPr>
            <sz val="8"/>
            <color indexed="81"/>
            <rFont val="Tahoma"/>
            <family val="2"/>
          </rPr>
          <t xml:space="preserve">
Backing out $11.3M (estimated plug) of D&amp;A, $152,000 of share-based comp</t>
        </r>
      </text>
    </comment>
    <comment ref="AS18" authorId="0">
      <text>
        <r>
          <rPr>
            <b/>
            <sz val="8"/>
            <color indexed="81"/>
            <rFont val="Tahoma"/>
            <family val="2"/>
          </rPr>
          <t>katzedwa:</t>
        </r>
        <r>
          <rPr>
            <sz val="8"/>
            <color indexed="81"/>
            <rFont val="Tahoma"/>
            <family val="2"/>
          </rPr>
          <t xml:space="preserve">
Backing out $9.6M (estimated plug) of D&amp;A, $19,000 of share-based comp</t>
        </r>
      </text>
    </comment>
    <comment ref="AT18" authorId="0">
      <text>
        <r>
          <rPr>
            <b/>
            <sz val="8"/>
            <color indexed="81"/>
            <rFont val="Tahoma"/>
            <family val="2"/>
          </rPr>
          <t>katzedwa:</t>
        </r>
        <r>
          <rPr>
            <sz val="8"/>
            <color indexed="81"/>
            <rFont val="Tahoma"/>
            <family val="2"/>
          </rPr>
          <t xml:space="preserve">
Backing out $10.0M (estimated plug) of D&amp;A, $14,000 of share-based comp</t>
        </r>
      </text>
    </comment>
    <comment ref="AV18" authorId="0">
      <text>
        <r>
          <rPr>
            <b/>
            <sz val="8"/>
            <color indexed="81"/>
            <rFont val="Tahoma"/>
            <family val="2"/>
          </rPr>
          <t>katzedwa:</t>
        </r>
        <r>
          <rPr>
            <sz val="8"/>
            <color indexed="81"/>
            <rFont val="Tahoma"/>
            <family val="2"/>
          </rPr>
          <t xml:space="preserve">
Backing out $10.9M (estimated plug) of D&amp;A, $91,000 of share-based comp</t>
        </r>
      </text>
    </comment>
    <comment ref="AW18" authorId="0">
      <text>
        <r>
          <rPr>
            <b/>
            <sz val="8"/>
            <color indexed="81"/>
            <rFont val="Tahoma"/>
            <family val="2"/>
          </rPr>
          <t>katzedwa:</t>
        </r>
        <r>
          <rPr>
            <sz val="8"/>
            <color indexed="81"/>
            <rFont val="Tahoma"/>
            <family val="2"/>
          </rPr>
          <t xml:space="preserve">
Backing out $11.9M (estimated plug) of D&amp;A, $76,000 of share-based comp</t>
        </r>
      </text>
    </comment>
    <comment ref="AX18" authorId="0">
      <text>
        <r>
          <rPr>
            <b/>
            <sz val="8"/>
            <color indexed="81"/>
            <rFont val="Tahoma"/>
            <family val="2"/>
          </rPr>
          <t>katzedwa:</t>
        </r>
        <r>
          <rPr>
            <sz val="8"/>
            <color indexed="81"/>
            <rFont val="Tahoma"/>
            <family val="2"/>
          </rPr>
          <t xml:space="preserve">
Backing out $12.2M (estimated plug) of D&amp;A, $49,000 of share-based comp</t>
        </r>
      </text>
    </comment>
    <comment ref="AY18" authorId="0">
      <text>
        <r>
          <rPr>
            <b/>
            <sz val="8"/>
            <color indexed="81"/>
            <rFont val="Tahoma"/>
            <family val="2"/>
          </rPr>
          <t>katzedwa:</t>
        </r>
        <r>
          <rPr>
            <sz val="8"/>
            <color indexed="81"/>
            <rFont val="Tahoma"/>
            <family val="2"/>
          </rPr>
          <t xml:space="preserve">
Backing out $12.8M (estimated plug) of D&amp;A, $50,000 of share-based comp</t>
        </r>
      </text>
    </comment>
    <comment ref="Q20" authorId="1">
      <text>
        <r>
          <rPr>
            <sz val="8"/>
            <color indexed="81"/>
            <rFont val="Tahoma"/>
            <family val="2"/>
          </rPr>
          <t>68.5% at midpoint</t>
        </r>
      </text>
    </comment>
    <comment ref="R20" authorId="1">
      <text>
        <r>
          <rPr>
            <sz val="10"/>
            <color indexed="81"/>
            <rFont val="Tahoma"/>
            <family val="2"/>
          </rPr>
          <t>guidance:  68%</t>
        </r>
      </text>
    </comment>
    <comment ref="BG20" authorId="0">
      <text>
        <r>
          <rPr>
            <b/>
            <sz val="8"/>
            <color indexed="81"/>
            <rFont val="Tahoma"/>
            <family val="2"/>
          </rPr>
          <t>katzedwa:</t>
        </r>
        <r>
          <rPr>
            <sz val="8"/>
            <color indexed="81"/>
            <rFont val="Tahoma"/>
            <family val="2"/>
          </rPr>
          <t xml:space="preserve">
Guidance (1Q04): Cash gross margins are
expected to be in the range of 45-46%.</t>
        </r>
      </text>
    </comment>
    <comment ref="BH20" authorId="0">
      <text>
        <r>
          <rPr>
            <b/>
            <sz val="8"/>
            <color indexed="81"/>
            <rFont val="Tahoma"/>
            <family val="2"/>
          </rPr>
          <t>katzedwa:</t>
        </r>
        <r>
          <rPr>
            <sz val="8"/>
            <color indexed="81"/>
            <rFont val="Tahoma"/>
            <family val="2"/>
          </rPr>
          <t xml:space="preserve">
Guidance (2Q04): Cash gross margins are
expected to be in the range of 49-50%.</t>
        </r>
      </text>
    </comment>
    <comment ref="BJ20" authorId="0">
      <text>
        <r>
          <rPr>
            <b/>
            <sz val="8"/>
            <color indexed="81"/>
            <rFont val="Tahoma"/>
            <family val="2"/>
          </rPr>
          <t>katzedwa:</t>
        </r>
        <r>
          <rPr>
            <sz val="8"/>
            <color indexed="81"/>
            <rFont val="Tahoma"/>
            <family val="2"/>
          </rPr>
          <t xml:space="preserve">
Guidance (3Q03): Expected to be 45 - 50%
Guidance (4Q03): Expected to be 45 - 50%
Guidance (1Q04): Expected to be 45 - 50%
Guidance (2Q04): Expected to be 47 - 49%
Guidance (3Q04): Expected to be ~49%</t>
        </r>
      </text>
    </comment>
    <comment ref="BK20" authorId="0">
      <text>
        <r>
          <rPr>
            <b/>
            <sz val="8"/>
            <color indexed="81"/>
            <rFont val="Tahoma"/>
            <family val="2"/>
          </rPr>
          <t>katzedwa:</t>
        </r>
        <r>
          <rPr>
            <sz val="8"/>
            <color indexed="81"/>
            <rFont val="Tahoma"/>
            <family val="2"/>
          </rPr>
          <t xml:space="preserve">
Guidance (4Q04): Cash gross margins are expected to be in the range of 51 - 52%.</t>
        </r>
      </text>
    </comment>
    <comment ref="BL20" authorId="0">
      <text>
        <r>
          <rPr>
            <b/>
            <sz val="8"/>
            <color indexed="81"/>
            <rFont val="Tahoma"/>
            <family val="2"/>
          </rPr>
          <t>katzedwa:</t>
        </r>
        <r>
          <rPr>
            <sz val="8"/>
            <color indexed="81"/>
            <rFont val="Tahoma"/>
            <family val="2"/>
          </rPr>
          <t xml:space="preserve">
Guidance (1Q05): Cash gross margins are expected to be in the range of 52 - 53%.</t>
        </r>
      </text>
    </comment>
    <comment ref="BM20" authorId="0">
      <text>
        <r>
          <rPr>
            <b/>
            <sz val="8"/>
            <color indexed="81"/>
            <rFont val="Tahoma"/>
            <family val="2"/>
          </rPr>
          <t>katzedwa:</t>
        </r>
        <r>
          <rPr>
            <sz val="8"/>
            <color indexed="81"/>
            <rFont val="Tahoma"/>
            <family val="2"/>
          </rPr>
          <t xml:space="preserve">
Guidance (2Q05): Cash gross margins are expected to be ~56%.</t>
        </r>
      </text>
    </comment>
    <comment ref="BO20" authorId="0">
      <text>
        <r>
          <rPr>
            <b/>
            <sz val="8"/>
            <color indexed="81"/>
            <rFont val="Tahoma"/>
            <family val="2"/>
          </rPr>
          <t>katzedwa:</t>
        </r>
        <r>
          <rPr>
            <sz val="8"/>
            <color indexed="81"/>
            <rFont val="Tahoma"/>
            <family val="2"/>
          </rPr>
          <t xml:space="preserve">
Guidance (3Q04): Expected to be 52 - 54%
Guidance (4Q04): Expected to be 53 - 55%
Guidance (1Q05): Expected to be 53 - 56%
Guidance (2Q05): Expected to be 55 - 56%
Guidance (3Q05): Expected to be 56 - 57%</t>
        </r>
      </text>
    </comment>
    <comment ref="BP20" authorId="0">
      <text>
        <r>
          <rPr>
            <b/>
            <sz val="8"/>
            <color indexed="81"/>
            <rFont val="Tahoma"/>
            <family val="2"/>
          </rPr>
          <t>katzedwa:</t>
        </r>
        <r>
          <rPr>
            <sz val="8"/>
            <color indexed="81"/>
            <rFont val="Tahoma"/>
            <family val="2"/>
          </rPr>
          <t xml:space="preserve">
Guidance (4Q05): Cash gross margins are expected to be in the range of 57 - 59%.</t>
        </r>
      </text>
    </comment>
    <comment ref="BQ20" authorId="0">
      <text>
        <r>
          <rPr>
            <b/>
            <sz val="8"/>
            <color indexed="81"/>
            <rFont val="Tahoma"/>
            <family val="2"/>
          </rPr>
          <t>katzedwa:</t>
        </r>
        <r>
          <rPr>
            <sz val="8"/>
            <color indexed="81"/>
            <rFont val="Tahoma"/>
            <family val="2"/>
          </rPr>
          <t xml:space="preserve">
Guidance (1Q06): Cash gross margins are expected to be ~60%.</t>
        </r>
      </text>
    </comment>
    <comment ref="BR20" authorId="0">
      <text>
        <r>
          <rPr>
            <b/>
            <sz val="8"/>
            <color indexed="81"/>
            <rFont val="Tahoma"/>
            <family val="2"/>
          </rPr>
          <t>katzedwa:</t>
        </r>
        <r>
          <rPr>
            <sz val="8"/>
            <color indexed="81"/>
            <rFont val="Tahoma"/>
            <family val="2"/>
          </rPr>
          <t xml:space="preserve">
Guidance (2Q06): Cash gross margins are expected to be ~60%.</t>
        </r>
      </text>
    </comment>
    <comment ref="BT20" authorId="0">
      <text>
        <r>
          <rPr>
            <b/>
            <sz val="8"/>
            <color indexed="81"/>
            <rFont val="Tahoma"/>
            <family val="2"/>
          </rPr>
          <t>katzedwa:</t>
        </r>
        <r>
          <rPr>
            <sz val="8"/>
            <color indexed="81"/>
            <rFont val="Tahoma"/>
            <family val="2"/>
          </rPr>
          <t xml:space="preserve">
Guidance (4Q04): Expected to be 53 - 55%
Guidance (1Q06): Expected to be 58 - 60%
Guidance (2Q06): Expected to be 60 - 61%
Guidance (3Q06): Expected to be 60 - 61%</t>
        </r>
      </text>
    </comment>
    <comment ref="BU20" authorId="0">
      <text>
        <r>
          <rPr>
            <b/>
            <sz val="8"/>
            <color indexed="81"/>
            <rFont val="Tahoma"/>
            <family val="2"/>
          </rPr>
          <t>katzedwa:</t>
        </r>
        <r>
          <rPr>
            <sz val="8"/>
            <color indexed="81"/>
            <rFont val="Tahoma"/>
            <family val="2"/>
          </rPr>
          <t xml:space="preserve">
Guidance (4Q06): Cash gross margins are expected to be ~61%</t>
        </r>
      </text>
    </comment>
    <comment ref="BV20" authorId="0">
      <text>
        <r>
          <rPr>
            <b/>
            <sz val="8"/>
            <color indexed="81"/>
            <rFont val="Tahoma"/>
            <family val="2"/>
          </rPr>
          <t>katzedwa:</t>
        </r>
        <r>
          <rPr>
            <sz val="8"/>
            <color indexed="81"/>
            <rFont val="Tahoma"/>
            <family val="2"/>
          </rPr>
          <t xml:space="preserve">
Guidance (1Q07): Cash gross margins are expected to be ~61%.</t>
        </r>
      </text>
    </comment>
    <comment ref="BW20" authorId="0">
      <text>
        <r>
          <rPr>
            <b/>
            <sz val="8"/>
            <color indexed="81"/>
            <rFont val="Tahoma"/>
            <family val="2"/>
          </rPr>
          <t>katzedwa:</t>
        </r>
        <r>
          <rPr>
            <sz val="8"/>
            <color indexed="81"/>
            <rFont val="Tahoma"/>
            <family val="2"/>
          </rPr>
          <t xml:space="preserve">
Guidance (2Q07): Cash gross margins are expected to be ~61%.</t>
        </r>
      </text>
    </comment>
    <comment ref="BY20" authorId="0">
      <text>
        <r>
          <rPr>
            <b/>
            <sz val="8"/>
            <color indexed="81"/>
            <rFont val="Tahoma"/>
            <family val="2"/>
          </rPr>
          <t>katzedwa:</t>
        </r>
        <r>
          <rPr>
            <sz val="8"/>
            <color indexed="81"/>
            <rFont val="Tahoma"/>
            <family val="2"/>
          </rPr>
          <t xml:space="preserve">
Guidance (4Q06): 59 - 61%
Guidance (1Q07): ~60%
Guidance (2Q07): 61 - 62%
Guidance (3Q07): ~62%</t>
        </r>
      </text>
    </comment>
    <comment ref="BZ20" authorId="0">
      <text>
        <r>
          <rPr>
            <b/>
            <sz val="8"/>
            <color indexed="81"/>
            <rFont val="Tahoma"/>
            <family val="2"/>
          </rPr>
          <t>katzedwa:</t>
        </r>
        <r>
          <rPr>
            <sz val="8"/>
            <color indexed="81"/>
            <rFont val="Tahoma"/>
            <family val="2"/>
          </rPr>
          <t xml:space="preserve">
Guidance (4Q07): Cash gross margins are expected to be ~58%</t>
        </r>
      </text>
    </comment>
    <comment ref="CA20" authorId="0">
      <text>
        <r>
          <rPr>
            <b/>
            <sz val="8"/>
            <color indexed="81"/>
            <rFont val="Tahoma"/>
            <family val="2"/>
          </rPr>
          <t>katzedwa:</t>
        </r>
        <r>
          <rPr>
            <sz val="8"/>
            <color indexed="81"/>
            <rFont val="Tahoma"/>
            <family val="2"/>
          </rPr>
          <t xml:space="preserve">
Guidance (1Q08): Cash gross margins are expected to be between 60% and 61%.</t>
        </r>
      </text>
    </comment>
    <comment ref="CB20" authorId="0">
      <text>
        <r>
          <rPr>
            <b/>
            <sz val="8"/>
            <color indexed="81"/>
            <rFont val="Tahoma"/>
            <family val="2"/>
          </rPr>
          <t>katzedwa:</t>
        </r>
        <r>
          <rPr>
            <sz val="8"/>
            <color indexed="81"/>
            <rFont val="Tahoma"/>
            <family val="2"/>
          </rPr>
          <t xml:space="preserve">
Guidance (2Q08): ~61%.</t>
        </r>
      </text>
    </comment>
    <comment ref="CD20" authorId="0">
      <text>
        <r>
          <rPr>
            <b/>
            <sz val="8"/>
            <color indexed="81"/>
            <rFont val="Tahoma"/>
            <family val="2"/>
          </rPr>
          <t>katzedwa:</t>
        </r>
        <r>
          <rPr>
            <sz val="8"/>
            <color indexed="81"/>
            <rFont val="Tahoma"/>
            <family val="2"/>
          </rPr>
          <t xml:space="preserve">
Guidance (4Q07): 60%
Guidance (1Q08): ~60 - 61%
Guidance (2Q08): ~61%
Guidance (3Q08): ~61 - 62%</t>
        </r>
      </text>
    </comment>
    <comment ref="CE20" authorId="0">
      <text>
        <r>
          <rPr>
            <b/>
            <sz val="8"/>
            <color indexed="81"/>
            <rFont val="Tahoma"/>
            <family val="2"/>
          </rPr>
          <t>katzedwa:</t>
        </r>
        <r>
          <rPr>
            <sz val="8"/>
            <color indexed="81"/>
            <rFont val="Tahoma"/>
            <family val="2"/>
          </rPr>
          <t xml:space="preserve">
Guidance (4Q08): ~63%</t>
        </r>
      </text>
    </comment>
    <comment ref="CF20" authorId="0">
      <text>
        <r>
          <rPr>
            <b/>
            <sz val="8"/>
            <color indexed="81"/>
            <rFont val="Tahoma"/>
            <family val="2"/>
          </rPr>
          <t>katzedwa:</t>
        </r>
        <r>
          <rPr>
            <sz val="8"/>
            <color indexed="81"/>
            <rFont val="Tahoma"/>
            <family val="2"/>
          </rPr>
          <t xml:space="preserve">
Guidance (1Q09): Cash gross margins are expected to be between 63% and 64%.</t>
        </r>
      </text>
    </comment>
    <comment ref="CG20" authorId="0">
      <text>
        <r>
          <rPr>
            <b/>
            <sz val="8"/>
            <color indexed="81"/>
            <rFont val="Tahoma"/>
            <family val="2"/>
          </rPr>
          <t>katzedwa:</t>
        </r>
        <r>
          <rPr>
            <sz val="8"/>
            <color indexed="81"/>
            <rFont val="Tahoma"/>
            <family val="2"/>
          </rPr>
          <t xml:space="preserve">
Guidance (2Q09): ~63 - 64%</t>
        </r>
      </text>
    </comment>
    <comment ref="CI20" authorId="0">
      <text>
        <r>
          <rPr>
            <b/>
            <sz val="8"/>
            <color indexed="81"/>
            <rFont val="Tahoma"/>
            <family val="2"/>
          </rPr>
          <t>katzedwa:</t>
        </r>
        <r>
          <rPr>
            <sz val="8"/>
            <color indexed="81"/>
            <rFont val="Tahoma"/>
            <family val="2"/>
          </rPr>
          <t xml:space="preserve">
Guidance (4Q08): ~63%
Guidance (1Q09): ~62 - 63%
Guidance (2Q09): ~63 - 64%
Guidance (3Q09): ~63 - 64%</t>
        </r>
      </text>
    </comment>
    <comment ref="CJ20" authorId="0">
      <text>
        <r>
          <rPr>
            <b/>
            <sz val="8"/>
            <color indexed="81"/>
            <rFont val="Tahoma"/>
            <family val="2"/>
          </rPr>
          <t>katzedwa:</t>
        </r>
        <r>
          <rPr>
            <sz val="8"/>
            <color indexed="81"/>
            <rFont val="Tahoma"/>
            <family val="2"/>
          </rPr>
          <t xml:space="preserve">
Guidance (4Q09): ~64%</t>
        </r>
      </text>
    </comment>
    <comment ref="CN20" authorId="0">
      <text>
        <r>
          <rPr>
            <b/>
            <sz val="8"/>
            <color indexed="81"/>
            <rFont val="Tahoma"/>
            <family val="2"/>
          </rPr>
          <t>katzedwa:</t>
        </r>
        <r>
          <rPr>
            <sz val="8"/>
            <color indexed="81"/>
            <rFont val="Tahoma"/>
            <family val="2"/>
          </rPr>
          <t xml:space="preserve">
Guidance (4Q09): Cash gross margins expected to be 64%</t>
        </r>
      </text>
    </comment>
    <comment ref="CO20" authorId="0">
      <text>
        <r>
          <rPr>
            <b/>
            <sz val="8"/>
            <color indexed="81"/>
            <rFont val="Tahoma"/>
            <family val="2"/>
          </rPr>
          <t>64%</t>
        </r>
      </text>
    </comment>
    <comment ref="CQ20" authorId="0">
      <text>
        <r>
          <rPr>
            <b/>
            <sz val="8"/>
            <color indexed="81"/>
            <rFont val="Tahoma"/>
            <family val="2"/>
          </rPr>
          <t>65%</t>
        </r>
      </text>
    </comment>
    <comment ref="CR20" authorId="0">
      <text>
        <r>
          <rPr>
            <b/>
            <sz val="8"/>
            <color indexed="81"/>
            <rFont val="Tahoma"/>
            <family val="2"/>
          </rPr>
          <t>65%</t>
        </r>
      </text>
    </comment>
    <comment ref="CT20" authorId="1">
      <text>
        <r>
          <rPr>
            <sz val="8"/>
            <color indexed="81"/>
            <rFont val="Tahoma"/>
            <family val="2"/>
          </rPr>
          <t>guidance:  66%</t>
        </r>
      </text>
    </comment>
    <comment ref="AL22" authorId="0">
      <text>
        <r>
          <rPr>
            <b/>
            <sz val="8"/>
            <color indexed="81"/>
            <rFont val="Tahoma"/>
            <family val="2"/>
          </rPr>
          <t>katzedwa:</t>
        </r>
        <r>
          <rPr>
            <sz val="8"/>
            <color indexed="81"/>
            <rFont val="Tahoma"/>
            <family val="2"/>
          </rPr>
          <t xml:space="preserve">
Backing out $1.358M of share-based comp</t>
        </r>
      </text>
    </comment>
    <comment ref="AM22" authorId="0">
      <text>
        <r>
          <rPr>
            <b/>
            <sz val="8"/>
            <color indexed="81"/>
            <rFont val="Tahoma"/>
            <family val="2"/>
          </rPr>
          <t>katzedwa:</t>
        </r>
        <r>
          <rPr>
            <sz val="8"/>
            <color indexed="81"/>
            <rFont val="Tahoma"/>
            <family val="2"/>
          </rPr>
          <t xml:space="preserve">
Backing out $1.612M of share-based comp</t>
        </r>
      </text>
    </comment>
    <comment ref="AN22" authorId="0">
      <text>
        <r>
          <rPr>
            <b/>
            <sz val="8"/>
            <color indexed="81"/>
            <rFont val="Tahoma"/>
            <family val="2"/>
          </rPr>
          <t>katzedwa:</t>
        </r>
        <r>
          <rPr>
            <sz val="8"/>
            <color indexed="81"/>
            <rFont val="Tahoma"/>
            <family val="2"/>
          </rPr>
          <t xml:space="preserve">
Backing out $2.351M of share-based comp</t>
        </r>
      </text>
    </comment>
    <comment ref="AO22" authorId="0">
      <text>
        <r>
          <rPr>
            <b/>
            <sz val="8"/>
            <color indexed="81"/>
            <rFont val="Tahoma"/>
            <family val="2"/>
          </rPr>
          <t>katzedwa:</t>
        </r>
        <r>
          <rPr>
            <sz val="8"/>
            <color indexed="81"/>
            <rFont val="Tahoma"/>
            <family val="2"/>
          </rPr>
          <t xml:space="preserve">
Backing out $997,000 of share-based comp</t>
        </r>
      </text>
    </comment>
    <comment ref="AQ22" authorId="0">
      <text>
        <r>
          <rPr>
            <b/>
            <sz val="8"/>
            <color indexed="81"/>
            <rFont val="Tahoma"/>
            <family val="2"/>
          </rPr>
          <t>katzedwa:</t>
        </r>
        <r>
          <rPr>
            <sz val="8"/>
            <color indexed="81"/>
            <rFont val="Tahoma"/>
            <family val="2"/>
          </rPr>
          <t xml:space="preserve">
Backing out $1.083M of share-based comp</t>
        </r>
      </text>
    </comment>
    <comment ref="AR22" authorId="0">
      <text>
        <r>
          <rPr>
            <b/>
            <sz val="8"/>
            <color indexed="81"/>
            <rFont val="Tahoma"/>
            <family val="2"/>
          </rPr>
          <t>katzedwa:</t>
        </r>
        <r>
          <rPr>
            <sz val="8"/>
            <color indexed="81"/>
            <rFont val="Tahoma"/>
            <family val="2"/>
          </rPr>
          <t xml:space="preserve">
Backing out $765,000 of share-based comp</t>
        </r>
      </text>
    </comment>
    <comment ref="AS22" authorId="0">
      <text>
        <r>
          <rPr>
            <b/>
            <sz val="8"/>
            <color indexed="81"/>
            <rFont val="Tahoma"/>
            <family val="2"/>
          </rPr>
          <t>katzedwa:</t>
        </r>
        <r>
          <rPr>
            <sz val="8"/>
            <color indexed="81"/>
            <rFont val="Tahoma"/>
            <family val="2"/>
          </rPr>
          <t xml:space="preserve">
Backing out $496,000 of share-based comp</t>
        </r>
      </text>
    </comment>
    <comment ref="AT22" authorId="0">
      <text>
        <r>
          <rPr>
            <b/>
            <sz val="8"/>
            <color indexed="81"/>
            <rFont val="Tahoma"/>
            <family val="2"/>
          </rPr>
          <t>katzedwa:</t>
        </r>
        <r>
          <rPr>
            <sz val="8"/>
            <color indexed="81"/>
            <rFont val="Tahoma"/>
            <family val="2"/>
          </rPr>
          <t xml:space="preserve">
Backing out $486,000 of share-based comp</t>
        </r>
      </text>
    </comment>
    <comment ref="AV22" authorId="0">
      <text>
        <r>
          <rPr>
            <b/>
            <sz val="8"/>
            <color indexed="81"/>
            <rFont val="Tahoma"/>
            <family val="2"/>
          </rPr>
          <t>katzedwa:</t>
        </r>
        <r>
          <rPr>
            <sz val="8"/>
            <color indexed="81"/>
            <rFont val="Tahoma"/>
            <family val="2"/>
          </rPr>
          <t xml:space="preserve">
Backing out $433,000 of share-based comp</t>
        </r>
      </text>
    </comment>
    <comment ref="AW22" authorId="0">
      <text>
        <r>
          <rPr>
            <b/>
            <sz val="8"/>
            <color indexed="81"/>
            <rFont val="Tahoma"/>
            <family val="2"/>
          </rPr>
          <t>katzedwa:</t>
        </r>
        <r>
          <rPr>
            <sz val="8"/>
            <color indexed="81"/>
            <rFont val="Tahoma"/>
            <family val="2"/>
          </rPr>
          <t xml:space="preserve">
Backing out $151,000 of share-based comp</t>
        </r>
      </text>
    </comment>
    <comment ref="AX22" authorId="0">
      <text>
        <r>
          <rPr>
            <b/>
            <sz val="8"/>
            <color indexed="81"/>
            <rFont val="Tahoma"/>
            <family val="2"/>
          </rPr>
          <t>katzedwa:</t>
        </r>
        <r>
          <rPr>
            <sz val="8"/>
            <color indexed="81"/>
            <rFont val="Tahoma"/>
            <family val="2"/>
          </rPr>
          <t xml:space="preserve">
Backing out $218,000 of share-based comp</t>
        </r>
      </text>
    </comment>
    <comment ref="AY22" authorId="0">
      <text>
        <r>
          <rPr>
            <b/>
            <sz val="8"/>
            <color indexed="81"/>
            <rFont val="Tahoma"/>
            <family val="2"/>
          </rPr>
          <t>katzedwa:</t>
        </r>
        <r>
          <rPr>
            <sz val="8"/>
            <color indexed="81"/>
            <rFont val="Tahoma"/>
            <family val="2"/>
          </rPr>
          <t xml:space="preserve">
Backing out $150,000 of share-based comp</t>
        </r>
      </text>
    </comment>
    <comment ref="AI23" authorId="0">
      <text>
        <r>
          <rPr>
            <b/>
            <sz val="8"/>
            <color indexed="81"/>
            <rFont val="Tahoma"/>
            <family val="2"/>
          </rPr>
          <t>katzedwa:</t>
        </r>
        <r>
          <rPr>
            <sz val="8"/>
            <color indexed="81"/>
            <rFont val="Tahoma"/>
            <family val="2"/>
          </rPr>
          <t xml:space="preserve">
Backing out $112,000 of D&amp;A</t>
        </r>
      </text>
    </comment>
    <comment ref="AJ23" authorId="0">
      <text>
        <r>
          <rPr>
            <b/>
            <sz val="8"/>
            <color indexed="81"/>
            <rFont val="Tahoma"/>
            <family val="2"/>
          </rPr>
          <t>katzedwa:</t>
        </r>
        <r>
          <rPr>
            <sz val="8"/>
            <color indexed="81"/>
            <rFont val="Tahoma"/>
            <family val="2"/>
          </rPr>
          <t xml:space="preserve">
Backing out $37,000 of D&amp;A, $2.501M of share-based comp</t>
        </r>
      </text>
    </comment>
    <comment ref="AL23" authorId="0">
      <text>
        <r>
          <rPr>
            <b/>
            <sz val="8"/>
            <color indexed="81"/>
            <rFont val="Tahoma"/>
            <family val="2"/>
          </rPr>
          <t>katzedwa:</t>
        </r>
        <r>
          <rPr>
            <sz val="8"/>
            <color indexed="81"/>
            <rFont val="Tahoma"/>
            <family val="2"/>
          </rPr>
          <t xml:space="preserve">
Backing out $652,000 of D&amp;A and $2.018M of share-based comp</t>
        </r>
      </text>
    </comment>
    <comment ref="AM23" authorId="0">
      <text>
        <r>
          <rPr>
            <b/>
            <sz val="8"/>
            <color indexed="81"/>
            <rFont val="Tahoma"/>
            <family val="2"/>
          </rPr>
          <t>katzedwa:</t>
        </r>
        <r>
          <rPr>
            <sz val="8"/>
            <color indexed="81"/>
            <rFont val="Tahoma"/>
            <family val="2"/>
          </rPr>
          <t xml:space="preserve">
Backing out $652,000 of D&amp;A and $4.828M of share-based comp</t>
        </r>
      </text>
    </comment>
    <comment ref="AN23" authorId="0">
      <text>
        <r>
          <rPr>
            <b/>
            <sz val="8"/>
            <color indexed="81"/>
            <rFont val="Tahoma"/>
            <family val="2"/>
          </rPr>
          <t>katzedwa:</t>
        </r>
        <r>
          <rPr>
            <sz val="8"/>
            <color indexed="81"/>
            <rFont val="Tahoma"/>
            <family val="2"/>
          </rPr>
          <t xml:space="preserve">
Backing out $652,000 of D&amp;A and $7.515M of share-based comp</t>
        </r>
      </text>
    </comment>
    <comment ref="AO23" authorId="0">
      <text>
        <r>
          <rPr>
            <b/>
            <sz val="8"/>
            <color indexed="81"/>
            <rFont val="Tahoma"/>
            <family val="2"/>
          </rPr>
          <t>katzedwa:</t>
        </r>
        <r>
          <rPr>
            <sz val="8"/>
            <color indexed="81"/>
            <rFont val="Tahoma"/>
            <family val="2"/>
          </rPr>
          <t xml:space="preserve">
Backing out $1.387M (estimated plug) of D&amp;A and $8.448M of share-based comp</t>
        </r>
      </text>
    </comment>
    <comment ref="AQ23" authorId="0">
      <text>
        <r>
          <rPr>
            <b/>
            <sz val="8"/>
            <color indexed="81"/>
            <rFont val="Tahoma"/>
            <family val="2"/>
          </rPr>
          <t>katzedwa:</t>
        </r>
        <r>
          <rPr>
            <sz val="8"/>
            <color indexed="81"/>
            <rFont val="Tahoma"/>
            <family val="2"/>
          </rPr>
          <t xml:space="preserve">
Backing out $1.425M (estimated plug) of D&amp;A and $6.825M of share-based comp</t>
        </r>
      </text>
    </comment>
    <comment ref="AR23" authorId="0">
      <text>
        <r>
          <rPr>
            <b/>
            <sz val="8"/>
            <color indexed="81"/>
            <rFont val="Tahoma"/>
            <family val="2"/>
          </rPr>
          <t>katzedwa:</t>
        </r>
        <r>
          <rPr>
            <sz val="8"/>
            <color indexed="81"/>
            <rFont val="Tahoma"/>
            <family val="2"/>
          </rPr>
          <t xml:space="preserve">
Backing out $2.184M (estimated plug) of D&amp;A and $4.076M of share-based comp</t>
        </r>
      </text>
    </comment>
    <comment ref="AS23" authorId="0">
      <text>
        <r>
          <rPr>
            <b/>
            <sz val="8"/>
            <color indexed="81"/>
            <rFont val="Tahoma"/>
            <family val="2"/>
          </rPr>
          <t>katzedwa:</t>
        </r>
        <r>
          <rPr>
            <sz val="8"/>
            <color indexed="81"/>
            <rFont val="Tahoma"/>
            <family val="2"/>
          </rPr>
          <t xml:space="preserve">
Backing out $2.835M (estimated plug) of D&amp;A and $2.384M of share-based comp</t>
        </r>
      </text>
    </comment>
    <comment ref="AT23" authorId="0">
      <text>
        <r>
          <rPr>
            <b/>
            <sz val="8"/>
            <color indexed="81"/>
            <rFont val="Tahoma"/>
            <family val="2"/>
          </rPr>
          <t>katzedwa:</t>
        </r>
        <r>
          <rPr>
            <sz val="8"/>
            <color indexed="81"/>
            <rFont val="Tahoma"/>
            <family val="2"/>
          </rPr>
          <t xml:space="preserve">
Backing out $3.201M (estimated plug) of D&amp;A and $2.536M of share-based comp</t>
        </r>
      </text>
    </comment>
    <comment ref="AV23" authorId="0">
      <text>
        <r>
          <rPr>
            <b/>
            <sz val="8"/>
            <color indexed="81"/>
            <rFont val="Tahoma"/>
            <family val="2"/>
          </rPr>
          <t>katzedwa:</t>
        </r>
        <r>
          <rPr>
            <sz val="8"/>
            <color indexed="81"/>
            <rFont val="Tahoma"/>
            <family val="2"/>
          </rPr>
          <t xml:space="preserve">
Backing out $1.159M (estimated plug) of D&amp;A and $2.057M of share-based comp</t>
        </r>
      </text>
    </comment>
    <comment ref="AW23" authorId="0">
      <text>
        <r>
          <rPr>
            <b/>
            <sz val="8"/>
            <color indexed="81"/>
            <rFont val="Tahoma"/>
            <family val="2"/>
          </rPr>
          <t>katzedwa:</t>
        </r>
        <r>
          <rPr>
            <sz val="8"/>
            <color indexed="81"/>
            <rFont val="Tahoma"/>
            <family val="2"/>
          </rPr>
          <t xml:space="preserve">
Backing out $1.460M (estimated plug) of D&amp;A and $1.340M of share-based comp</t>
        </r>
      </text>
    </comment>
    <comment ref="AX23" authorId="0">
      <text>
        <r>
          <rPr>
            <b/>
            <sz val="8"/>
            <color indexed="81"/>
            <rFont val="Tahoma"/>
            <family val="2"/>
          </rPr>
          <t>katzedwa:</t>
        </r>
        <r>
          <rPr>
            <sz val="8"/>
            <color indexed="81"/>
            <rFont val="Tahoma"/>
            <family val="2"/>
          </rPr>
          <t xml:space="preserve">
Backing out $1.880M (estimated plug) of D&amp;A and $1.225M of share-based comp</t>
        </r>
      </text>
    </comment>
    <comment ref="AY23" authorId="0">
      <text>
        <r>
          <rPr>
            <b/>
            <sz val="8"/>
            <color indexed="81"/>
            <rFont val="Tahoma"/>
            <family val="2"/>
          </rPr>
          <t>katzedwa:</t>
        </r>
        <r>
          <rPr>
            <sz val="8"/>
            <color indexed="81"/>
            <rFont val="Tahoma"/>
            <family val="2"/>
          </rPr>
          <t xml:space="preserve">
Backing out $1.783M (estimated plug) of D&amp;A and $2.057M of share-based comp</t>
        </r>
      </text>
    </comment>
    <comment ref="P24" authorId="0">
      <text>
        <r>
          <rPr>
            <b/>
            <sz val="8"/>
            <color indexed="81"/>
            <rFont val="Tahoma"/>
            <family val="2"/>
          </rPr>
          <t>katzedwa:</t>
        </r>
        <r>
          <rPr>
            <sz val="8"/>
            <color indexed="81"/>
            <rFont val="Tahoma"/>
            <family val="2"/>
          </rPr>
          <t xml:space="preserve">
315</t>
        </r>
      </text>
    </comment>
    <comment ref="Q24" authorId="1">
      <text>
        <r>
          <rPr>
            <sz val="8"/>
            <color indexed="81"/>
            <rFont val="Tahoma"/>
            <family val="2"/>
          </rPr>
          <t>$410 - $415M</t>
        </r>
      </text>
    </comment>
    <comment ref="R24" authorId="1">
      <text>
        <r>
          <rPr>
            <sz val="10"/>
            <color indexed="81"/>
            <rFont val="Tahoma"/>
            <family val="2"/>
          </rPr>
          <t>guidance:  $470-475M</t>
        </r>
      </text>
    </comment>
    <comment ref="BG24" authorId="0">
      <text>
        <r>
          <rPr>
            <b/>
            <sz val="8"/>
            <color indexed="81"/>
            <rFont val="Tahoma"/>
            <family val="2"/>
          </rPr>
          <t>katzedwa:</t>
        </r>
        <r>
          <rPr>
            <sz val="8"/>
            <color indexed="81"/>
            <rFont val="Tahoma"/>
            <family val="2"/>
          </rPr>
          <t xml:space="preserve">
Guidance (1Q04): Cash selling, general and
administrative expenses are expected to be in the range of $10.0 to
$11.0 million. </t>
        </r>
      </text>
    </comment>
    <comment ref="BH24" authorId="0">
      <text>
        <r>
          <rPr>
            <b/>
            <sz val="8"/>
            <color indexed="81"/>
            <rFont val="Tahoma"/>
            <family val="2"/>
          </rPr>
          <t>katzedwa:</t>
        </r>
        <r>
          <rPr>
            <sz val="8"/>
            <color indexed="81"/>
            <rFont val="Tahoma"/>
            <family val="2"/>
          </rPr>
          <t xml:space="preserve">
Guidance (2Q04): Cash selling, general and
administrative expenses are expected to be approximately $11.0
million.</t>
        </r>
      </text>
    </comment>
    <comment ref="BK24" authorId="0">
      <text>
        <r>
          <rPr>
            <b/>
            <sz val="8"/>
            <color indexed="81"/>
            <rFont val="Tahoma"/>
            <family val="2"/>
          </rPr>
          <t>katzedwa:</t>
        </r>
        <r>
          <rPr>
            <sz val="8"/>
            <color indexed="81"/>
            <rFont val="Tahoma"/>
            <family val="2"/>
          </rPr>
          <t xml:space="preserve">
Guidance (4Q04): Cash selling, general and
administrative expenses are expected to be in the range of $12.5 to
$13.5 million. </t>
        </r>
      </text>
    </comment>
    <comment ref="BL24" authorId="0">
      <text>
        <r>
          <rPr>
            <b/>
            <sz val="8"/>
            <color indexed="81"/>
            <rFont val="Tahoma"/>
            <family val="2"/>
          </rPr>
          <t>katzedwa:</t>
        </r>
        <r>
          <rPr>
            <sz val="8"/>
            <color indexed="81"/>
            <rFont val="Tahoma"/>
            <family val="2"/>
          </rPr>
          <t xml:space="preserve">
Guidance (1Q05): Cash selling, general and
administrative expenses are expected to be in the range of $12.5 to
$13.5 million. </t>
        </r>
      </text>
    </comment>
    <comment ref="BM24" authorId="0">
      <text>
        <r>
          <rPr>
            <b/>
            <sz val="8"/>
            <color indexed="81"/>
            <rFont val="Tahoma"/>
            <family val="2"/>
          </rPr>
          <t>katzedwa:</t>
        </r>
        <r>
          <rPr>
            <sz val="8"/>
            <color indexed="81"/>
            <rFont val="Tahoma"/>
            <family val="2"/>
          </rPr>
          <t xml:space="preserve">
Guidance (2Q05): Cash selling, general and
administrative expenses are expected to be in the range of $13 to
$14 million. </t>
        </r>
      </text>
    </comment>
    <comment ref="BO24" authorId="0">
      <text>
        <r>
          <rPr>
            <b/>
            <sz val="8"/>
            <color indexed="81"/>
            <rFont val="Tahoma"/>
            <family val="2"/>
          </rPr>
          <t>katzedwa:</t>
        </r>
        <r>
          <rPr>
            <sz val="8"/>
            <color indexed="81"/>
            <rFont val="Tahoma"/>
            <family val="2"/>
          </rPr>
          <t xml:space="preserve">
Guidance (3Q04): Cash selling, general and administrative expenses are
expected to be in the range of $48.0 to $50.0 million. 
Guidance (4Q04): Cash selling, general and administrative
expenses are expected to be in the range of $50.0 to $52.0 million.
Guidance (1Q05): Cash selling, general and administrative
expenses are expected to be in the range of $51.0 to $53.0 million.
Guidance (2Q05): Cash selling, general and administrative
expenses are expected to be $53.0 million.
Guidance (3Q05): Cash selling, general and administrative
expenses are expected to be $55.0 million.</t>
        </r>
      </text>
    </comment>
    <comment ref="BP24" authorId="0">
      <text>
        <r>
          <rPr>
            <b/>
            <sz val="8"/>
            <color indexed="81"/>
            <rFont val="Tahoma"/>
            <family val="2"/>
          </rPr>
          <t>katzedwa:</t>
        </r>
        <r>
          <rPr>
            <sz val="8"/>
            <color indexed="81"/>
            <rFont val="Tahoma"/>
            <family val="2"/>
          </rPr>
          <t xml:space="preserve">
Guidance (4Q05): Cash selling, general and
administrative expenses are expected to be in the range of $15M</t>
        </r>
      </text>
    </comment>
    <comment ref="BQ24" authorId="0">
      <text>
        <r>
          <rPr>
            <b/>
            <sz val="8"/>
            <color indexed="81"/>
            <rFont val="Tahoma"/>
            <family val="2"/>
          </rPr>
          <t>katzedwa:</t>
        </r>
        <r>
          <rPr>
            <sz val="8"/>
            <color indexed="81"/>
            <rFont val="Tahoma"/>
            <family val="2"/>
          </rPr>
          <t xml:space="preserve">
Guidance (1Q06): Cash selling, general and
administrative expenses are expected to be ~16.5</t>
        </r>
      </text>
    </comment>
    <comment ref="BR24" authorId="0">
      <text>
        <r>
          <rPr>
            <b/>
            <sz val="8"/>
            <color indexed="81"/>
            <rFont val="Tahoma"/>
            <family val="2"/>
          </rPr>
          <t>katzedwa:</t>
        </r>
        <r>
          <rPr>
            <sz val="8"/>
            <color indexed="81"/>
            <rFont val="Tahoma"/>
            <family val="2"/>
          </rPr>
          <t xml:space="preserve">
Guidance (2Q05): Cash selling, general and
administrative expenses are expected to be ~$18M</t>
        </r>
      </text>
    </comment>
    <comment ref="BT24" authorId="0">
      <text>
        <r>
          <rPr>
            <b/>
            <sz val="8"/>
            <color indexed="81"/>
            <rFont val="Tahoma"/>
            <family val="2"/>
          </rPr>
          <t>katzedwa:</t>
        </r>
        <r>
          <rPr>
            <sz val="8"/>
            <color indexed="81"/>
            <rFont val="Tahoma"/>
            <family val="2"/>
          </rPr>
          <t xml:space="preserve">
Guidance (3Q04): Cash selling, general and administrative expenses are
expected to be in the range of $48.0 to $50.0 million. 
Guidance (4Q04): Cash selling, general and administrative
expenses are expected to be in the range of $50.0 to $52.0 million.
Guidance (1Q06): Cash selling, general and administrative
expenses are expected to be in the range of ~64 million.
Guidance (2Q06): Cash selling, general and administrative
expenses are expected to be $68 - $70 million.
Guidance (3Q06): Cash selling, general and administrative
expenses are expected to be $70 - $71M</t>
        </r>
      </text>
    </comment>
    <comment ref="BU24" authorId="0">
      <text>
        <r>
          <rPr>
            <b/>
            <sz val="8"/>
            <color indexed="81"/>
            <rFont val="Tahoma"/>
            <family val="2"/>
          </rPr>
          <t>katzedwa:</t>
        </r>
        <r>
          <rPr>
            <sz val="8"/>
            <color indexed="81"/>
            <rFont val="Tahoma"/>
            <family val="2"/>
          </rPr>
          <t xml:space="preserve">
Guidance (4Q06): ~20M</t>
        </r>
      </text>
    </comment>
    <comment ref="BV24" authorId="0">
      <text>
        <r>
          <rPr>
            <b/>
            <sz val="8"/>
            <color indexed="81"/>
            <rFont val="Tahoma"/>
            <family val="2"/>
          </rPr>
          <t>katzedwa:</t>
        </r>
        <r>
          <rPr>
            <sz val="8"/>
            <color indexed="81"/>
            <rFont val="Tahoma"/>
            <family val="2"/>
          </rPr>
          <t xml:space="preserve">
Guidance (1Q07): 20 - 21M</t>
        </r>
      </text>
    </comment>
    <comment ref="BW24" authorId="0">
      <text>
        <r>
          <rPr>
            <b/>
            <sz val="8"/>
            <color indexed="81"/>
            <rFont val="Tahoma"/>
            <family val="2"/>
          </rPr>
          <t>katzedwa:</t>
        </r>
        <r>
          <rPr>
            <sz val="8"/>
            <color indexed="81"/>
            <rFont val="Tahoma"/>
            <family val="2"/>
          </rPr>
          <t xml:space="preserve">
Guidance (2Q07): 22 - 23M</t>
        </r>
      </text>
    </comment>
    <comment ref="BY24" authorId="0">
      <text>
        <r>
          <rPr>
            <b/>
            <sz val="8"/>
            <color indexed="81"/>
            <rFont val="Tahoma"/>
            <family val="2"/>
          </rPr>
          <t>katzedwa:</t>
        </r>
        <r>
          <rPr>
            <sz val="8"/>
            <color indexed="81"/>
            <rFont val="Tahoma"/>
            <family val="2"/>
          </rPr>
          <t xml:space="preserve">
Guidance (4Q06): ~78 - 80M
Guidance (1Q07): ~79 - 81M
Guidance (2Q07): ~88M
Guidance (3Q07): NA</t>
        </r>
      </text>
    </comment>
    <comment ref="BZ24" authorId="0">
      <text>
        <r>
          <rPr>
            <b/>
            <sz val="8"/>
            <color indexed="81"/>
            <rFont val="Tahoma"/>
            <family val="2"/>
          </rPr>
          <t>katzedwa:</t>
        </r>
        <r>
          <rPr>
            <sz val="8"/>
            <color indexed="81"/>
            <rFont val="Tahoma"/>
            <family val="2"/>
          </rPr>
          <t xml:space="preserve">
Guidance (4Q07): ~34M</t>
        </r>
      </text>
    </comment>
    <comment ref="CA24" authorId="0">
      <text>
        <r>
          <rPr>
            <b/>
            <sz val="8"/>
            <color indexed="81"/>
            <rFont val="Tahoma"/>
            <family val="2"/>
          </rPr>
          <t>katzedwa:</t>
        </r>
        <r>
          <rPr>
            <sz val="8"/>
            <color indexed="81"/>
            <rFont val="Tahoma"/>
            <family val="2"/>
          </rPr>
          <t xml:space="preserve">
Guidance (1Q08): ~$37M</t>
        </r>
      </text>
    </comment>
    <comment ref="CB24" authorId="0">
      <text>
        <r>
          <rPr>
            <b/>
            <sz val="8"/>
            <color indexed="81"/>
            <rFont val="Tahoma"/>
            <family val="2"/>
          </rPr>
          <t>katzedwa:</t>
        </r>
        <r>
          <rPr>
            <sz val="8"/>
            <color indexed="81"/>
            <rFont val="Tahoma"/>
            <family val="2"/>
          </rPr>
          <t xml:space="preserve">
Guidance (2Q08): ~$38M</t>
        </r>
      </text>
    </comment>
    <comment ref="CD24" authorId="0">
      <text>
        <r>
          <rPr>
            <b/>
            <sz val="8"/>
            <color indexed="81"/>
            <rFont val="Tahoma"/>
            <family val="2"/>
          </rPr>
          <t>katzedwa:</t>
        </r>
        <r>
          <rPr>
            <sz val="8"/>
            <color indexed="81"/>
            <rFont val="Tahoma"/>
            <family val="2"/>
          </rPr>
          <t xml:space="preserve">
Guidance (2Q08): $148M
Guidance (3Q08): $145M</t>
        </r>
      </text>
    </comment>
    <comment ref="CE24" authorId="0">
      <text>
        <r>
          <rPr>
            <b/>
            <sz val="8"/>
            <color indexed="81"/>
            <rFont val="Tahoma"/>
            <family val="2"/>
          </rPr>
          <t>katzedwa:</t>
        </r>
        <r>
          <rPr>
            <sz val="8"/>
            <color indexed="81"/>
            <rFont val="Tahoma"/>
            <family val="2"/>
          </rPr>
          <t xml:space="preserve">
Guidance (4Q08): $40M</t>
        </r>
      </text>
    </comment>
    <comment ref="CF24" authorId="0">
      <text>
        <r>
          <rPr>
            <b/>
            <sz val="8"/>
            <color indexed="81"/>
            <rFont val="Tahoma"/>
            <family val="2"/>
          </rPr>
          <t>katzedwa:</t>
        </r>
        <r>
          <rPr>
            <sz val="8"/>
            <color indexed="81"/>
            <rFont val="Tahoma"/>
            <family val="2"/>
          </rPr>
          <t xml:space="preserve">
Guidance (1Q09): $39M</t>
        </r>
      </text>
    </comment>
    <comment ref="CG24" authorId="0">
      <text>
        <r>
          <rPr>
            <b/>
            <sz val="8"/>
            <color indexed="81"/>
            <rFont val="Tahoma"/>
            <family val="2"/>
          </rPr>
          <t>katzedwa:</t>
        </r>
        <r>
          <rPr>
            <sz val="8"/>
            <color indexed="81"/>
            <rFont val="Tahoma"/>
            <family val="2"/>
          </rPr>
          <t xml:space="preserve">
Guidance (2Q09): $43M</t>
        </r>
      </text>
    </comment>
    <comment ref="CI24" authorId="0">
      <text>
        <r>
          <rPr>
            <b/>
            <sz val="8"/>
            <color indexed="81"/>
            <rFont val="Tahoma"/>
            <family val="2"/>
          </rPr>
          <t>katzedwa:</t>
        </r>
        <r>
          <rPr>
            <sz val="8"/>
            <color indexed="81"/>
            <rFont val="Tahoma"/>
            <family val="2"/>
          </rPr>
          <t xml:space="preserve">
Guidance (4Q08): $160 - $170M
Guidance (1Q09): $160 - $170M
Guidance (2Q09): $160 - $170M
Guidance (3Q09): ~$160M</t>
        </r>
      </text>
    </comment>
    <comment ref="CJ24" authorId="0">
      <text>
        <r>
          <rPr>
            <b/>
            <sz val="8"/>
            <color indexed="81"/>
            <rFont val="Tahoma"/>
            <family val="2"/>
          </rPr>
          <t>katzedwa:</t>
        </r>
        <r>
          <rPr>
            <sz val="8"/>
            <color indexed="81"/>
            <rFont val="Tahoma"/>
            <family val="2"/>
          </rPr>
          <t xml:space="preserve">
Guidance (4Q09): $46M</t>
        </r>
      </text>
    </comment>
    <comment ref="CL24" authorId="0">
      <text>
        <r>
          <rPr>
            <b/>
            <sz val="8"/>
            <color indexed="81"/>
            <rFont val="Tahoma"/>
            <family val="2"/>
          </rPr>
          <t>$75M</t>
        </r>
      </text>
    </comment>
    <comment ref="CN24" authorId="0">
      <text>
        <r>
          <rPr>
            <b/>
            <sz val="8"/>
            <color indexed="81"/>
            <rFont val="Tahoma"/>
            <family val="2"/>
          </rPr>
          <t>katzedwa:</t>
        </r>
        <r>
          <rPr>
            <sz val="8"/>
            <color indexed="81"/>
            <rFont val="Tahoma"/>
            <family val="2"/>
          </rPr>
          <t xml:space="preserve">
Guidance (4Q09): $200 - $220M
Guidance (2Q10): $250M</t>
        </r>
      </text>
    </comment>
    <comment ref="CO24" authorId="0">
      <text>
        <r>
          <rPr>
            <b/>
            <sz val="8"/>
            <color indexed="81"/>
            <rFont val="Tahoma"/>
            <family val="2"/>
          </rPr>
          <t>75</t>
        </r>
      </text>
    </comment>
    <comment ref="AS27" authorId="0">
      <text>
        <r>
          <rPr>
            <b/>
            <sz val="8"/>
            <color indexed="81"/>
            <rFont val="Tahoma"/>
            <family val="2"/>
          </rPr>
          <t>katzedwa:</t>
        </r>
        <r>
          <rPr>
            <sz val="8"/>
            <color indexed="81"/>
            <rFont val="Tahoma"/>
            <family val="2"/>
          </rPr>
          <t xml:space="preserve">
As announced in the quarter, the Company has focused its
international services strategy around new partnerships with leading
international Internet exchange partners InterXion in Europe and
Pihana Pacific in Asia/Pacific. These partnerships allow Equinix to
address customer requirements in 29 international markets. </t>
        </r>
        <r>
          <rPr>
            <b/>
            <sz val="8"/>
            <color indexed="81"/>
            <rFont val="Tahoma"/>
            <family val="2"/>
          </rPr>
          <t xml:space="preserve">As a
result, the Company has taken a restructuring charge of $48.6 million primarily related to the write-down of European assets. </t>
        </r>
        <r>
          <rPr>
            <sz val="8"/>
            <color indexed="81"/>
            <rFont val="Tahoma"/>
            <family val="2"/>
          </rPr>
          <t xml:space="preserve">This charge also includes $1.3 million related to an approximate 15% workforce
reduction in the quarter. The reduction in force was taken primarily
in headquarter positions and will not affect the Company's premium
services, customer support or ability to grow the business.
</t>
        </r>
      </text>
    </comment>
    <comment ref="BI27" authorId="0">
      <text>
        <r>
          <rPr>
            <b/>
            <sz val="8"/>
            <color indexed="81"/>
            <rFont val="Tahoma"/>
            <family val="2"/>
          </rPr>
          <t>katzedwa:</t>
        </r>
        <r>
          <rPr>
            <sz val="8"/>
            <color indexed="81"/>
            <rFont val="Tahoma"/>
            <family val="2"/>
          </rPr>
          <t xml:space="preserve">
The company was able to expand its footprint by 26% through the
acquisition of fully built-out data centers at costs significantly
below those costs we would incur to expand our existing centers. As a
result, the company made the decision to exit leases for excess space
located in its Secaucus and Los Angeles markets and recorded a
restructuring charge totaling $17.7 million.
</t>
        </r>
      </text>
    </comment>
    <comment ref="BN27" authorId="0">
      <text>
        <r>
          <rPr>
            <b/>
            <sz val="8"/>
            <color indexed="81"/>
            <rFont val="Tahoma"/>
            <family val="2"/>
          </rPr>
          <t>katzedwa:</t>
        </r>
        <r>
          <rPr>
            <sz val="8"/>
            <color indexed="81"/>
            <rFont val="Tahoma"/>
            <family val="2"/>
          </rPr>
          <t xml:space="preserve">
The exit of
the San Jose ground lease resulted in the recognition of a
restructuring charge totaling $33.8 million in the quarter.
</t>
        </r>
      </text>
    </comment>
    <comment ref="CJ28" authorId="0">
      <text>
        <r>
          <rPr>
            <b/>
            <sz val="8"/>
            <color indexed="81"/>
            <rFont val="Tahoma"/>
            <family val="2"/>
          </rPr>
          <t>katzedwa:</t>
        </r>
        <r>
          <rPr>
            <sz val="8"/>
            <color indexed="81"/>
            <rFont val="Tahoma"/>
            <family val="2"/>
          </rPr>
          <t xml:space="preserve">
Write down of $4.994M of acqusition costs</t>
        </r>
      </text>
    </comment>
    <comment ref="G30" authorId="0">
      <text>
        <r>
          <rPr>
            <b/>
            <sz val="8"/>
            <color indexed="81"/>
            <rFont val="Tahoma"/>
            <family val="2"/>
          </rPr>
          <t>katzedwa:</t>
        </r>
        <r>
          <rPr>
            <sz val="8"/>
            <color indexed="81"/>
            <rFont val="Tahoma"/>
            <family val="2"/>
          </rPr>
          <t xml:space="preserve">
EBITDA
excludes approximately $240,000 of one-time transaction in period announced, </t>
        </r>
        <r>
          <rPr>
            <b/>
            <sz val="8"/>
            <color indexed="81"/>
            <rFont val="Tahoma"/>
            <family val="2"/>
          </rPr>
          <t>later restated to include in EBITDA</t>
        </r>
      </text>
    </comment>
    <comment ref="AY30" authorId="0">
      <text>
        <r>
          <rPr>
            <b/>
            <sz val="8"/>
            <color indexed="81"/>
            <rFont val="Tahoma"/>
            <family val="2"/>
          </rPr>
          <t>katzedwa:</t>
        </r>
        <r>
          <rPr>
            <sz val="8"/>
            <color indexed="81"/>
            <rFont val="Tahoma"/>
            <family val="2"/>
          </rPr>
          <t xml:space="preserve">
EBITDA
excludes approximately $240,000 of one-time transaction in period announced, </t>
        </r>
        <r>
          <rPr>
            <b/>
            <sz val="8"/>
            <color indexed="81"/>
            <rFont val="Tahoma"/>
            <family val="2"/>
          </rPr>
          <t>later restated to include in EBITDA</t>
        </r>
      </text>
    </comment>
    <comment ref="BS30" authorId="0">
      <text>
        <r>
          <rPr>
            <b/>
            <sz val="8"/>
            <color indexed="81"/>
            <rFont val="Tahoma"/>
            <family val="2"/>
          </rPr>
          <t>katzedwa:</t>
        </r>
        <r>
          <rPr>
            <sz val="8"/>
            <color indexed="81"/>
            <rFont val="Tahoma"/>
            <family val="2"/>
          </rPr>
          <t xml:space="preserve">
Backed out of revenue (increase in non-recurring revenues due to adoption of SAB 108)</t>
        </r>
      </text>
    </comment>
    <comment ref="DJ34" authorId="2">
      <text>
        <r>
          <rPr>
            <sz val="10"/>
            <color indexed="81"/>
            <rFont val="Tahoma"/>
            <family val="2"/>
          </rPr>
          <t>$13.3M</t>
        </r>
      </text>
    </comment>
    <comment ref="DK34" authorId="2">
      <text>
        <r>
          <rPr>
            <sz val="10"/>
            <color indexed="81"/>
            <rFont val="Tahoma"/>
            <family val="2"/>
          </rPr>
          <t>$10.4M</t>
        </r>
      </text>
    </comment>
    <comment ref="DL34" authorId="2">
      <text>
        <r>
          <rPr>
            <sz val="10"/>
            <color indexed="81"/>
            <rFont val="Tahoma"/>
            <family val="2"/>
          </rPr>
          <t>$19 in quarter</t>
        </r>
      </text>
    </comment>
    <comment ref="X36" authorId="2">
      <text>
        <r>
          <rPr>
            <sz val="9"/>
            <color indexed="81"/>
            <rFont val="Tahoma"/>
            <family val="2"/>
          </rPr>
          <t>includes Telecity synergies</t>
        </r>
      </text>
    </comment>
    <comment ref="Y36" authorId="2">
      <text>
        <r>
          <rPr>
            <sz val="9"/>
            <color indexed="81"/>
            <rFont val="Tahoma"/>
            <family val="2"/>
          </rPr>
          <t>includes Telecity synergies</t>
        </r>
      </text>
    </comment>
    <comment ref="Z36" authorId="2">
      <text>
        <r>
          <rPr>
            <sz val="9"/>
            <color indexed="81"/>
            <rFont val="Tahoma"/>
            <family val="2"/>
          </rPr>
          <t>includes Telecity synergies</t>
        </r>
      </text>
    </comment>
    <comment ref="P37" authorId="0">
      <text>
        <r>
          <rPr>
            <b/>
            <sz val="8"/>
            <color indexed="81"/>
            <rFont val="Tahoma"/>
            <family val="2"/>
          </rPr>
          <t>katzedwa:</t>
        </r>
        <r>
          <rPr>
            <sz val="8"/>
            <color indexed="81"/>
            <rFont val="Tahoma"/>
            <family val="2"/>
          </rPr>
          <t xml:space="preserve">
675
685</t>
        </r>
      </text>
    </comment>
    <comment ref="Q37" authorId="1">
      <text>
        <r>
          <rPr>
            <sz val="8"/>
            <color indexed="81"/>
            <rFont val="Tahoma"/>
            <family val="2"/>
          </rPr>
          <t>$880 - $885M</t>
        </r>
      </text>
    </comment>
    <comment ref="R37" authorId="1">
      <text>
        <r>
          <rPr>
            <sz val="12"/>
            <color indexed="81"/>
            <rFont val="Tahoma"/>
            <family val="2"/>
          </rPr>
          <t>guidance:  $988-992M</t>
        </r>
      </text>
    </comment>
    <comment ref="X37" authorId="2">
      <text>
        <r>
          <rPr>
            <sz val="9"/>
            <color indexed="81"/>
            <rFont val="Tahoma"/>
            <family val="2"/>
          </rPr>
          <t>includes Telecity synergies</t>
        </r>
      </text>
    </comment>
    <comment ref="Y37" authorId="2">
      <text>
        <r>
          <rPr>
            <sz val="9"/>
            <color indexed="81"/>
            <rFont val="Tahoma"/>
            <family val="2"/>
          </rPr>
          <t>includes Telecity synergies</t>
        </r>
      </text>
    </comment>
    <comment ref="Z37" authorId="2">
      <text>
        <r>
          <rPr>
            <sz val="9"/>
            <color indexed="81"/>
            <rFont val="Tahoma"/>
            <family val="2"/>
          </rPr>
          <t>includes Telecity synergies</t>
        </r>
      </text>
    </comment>
    <comment ref="AQ37" authorId="1">
      <text>
        <r>
          <rPr>
            <b/>
            <sz val="8"/>
            <color indexed="81"/>
            <rFont val="Tahoma"/>
            <family val="2"/>
          </rPr>
          <t xml:space="preserve">4Q00: </t>
        </r>
        <r>
          <rPr>
            <sz val="8"/>
            <color indexed="81"/>
            <rFont val="Tahoma"/>
            <family val="2"/>
          </rPr>
          <t xml:space="preserve">EBITDA loss for the first quarter of 2001 is expected to be between $16 and $18 million "EBITDA losses peaked during the strong fourth quarter. </t>
        </r>
        <r>
          <rPr>
            <b/>
            <sz val="8"/>
            <color indexed="81"/>
            <rFont val="Tahoma"/>
            <family val="2"/>
          </rPr>
          <t>We expect
to see a sequential decline throughout 2001, leading up to the expectation that the Company will be EBITDA positive during the fourth quarter,"</t>
        </r>
        <r>
          <rPr>
            <sz val="8"/>
            <color indexed="81"/>
            <rFont val="Tahoma"/>
            <family val="2"/>
          </rPr>
          <t xml:space="preserve"> said Phil Koen, CFO of Equinix.
</t>
        </r>
      </text>
    </comment>
    <comment ref="AU37" authorId="1">
      <text>
        <r>
          <rPr>
            <b/>
            <sz val="8"/>
            <color indexed="81"/>
            <rFont val="Tahoma"/>
            <family val="2"/>
          </rPr>
          <t xml:space="preserve">1Q01: </t>
        </r>
        <r>
          <rPr>
            <sz val="8"/>
            <color indexed="81"/>
            <rFont val="Tahoma"/>
            <family val="2"/>
          </rPr>
          <t xml:space="preserve">EBITDA losses continuing to decline quarter over quarter, with fourth quarter EBITDA losses in the range of $2 to $4 million. EBITDA losses for the year 2001 are expected to be in the range of $41 to $43 million. The Company expects to achieve EBITDA breakeven in fourth quarter 2001.
</t>
        </r>
        <r>
          <rPr>
            <b/>
            <sz val="8"/>
            <color indexed="81"/>
            <rFont val="Tahoma"/>
            <family val="2"/>
          </rPr>
          <t xml:space="preserve">2Q01: </t>
        </r>
        <r>
          <rPr>
            <sz val="8"/>
            <color indexed="81"/>
            <rFont val="Tahoma"/>
            <family val="2"/>
          </rPr>
          <t xml:space="preserve">EBITDA losses in the range of $41 to $43 million (full year). The Company expects to achieve EBITDA breakeven within the fourth quarter
</t>
        </r>
        <r>
          <rPr>
            <b/>
            <sz val="8"/>
            <color indexed="81"/>
            <rFont val="Tahoma"/>
            <family val="2"/>
          </rPr>
          <t xml:space="preserve">3Q01: </t>
        </r>
        <r>
          <rPr>
            <sz val="8"/>
            <color indexed="81"/>
            <rFont val="Tahoma"/>
            <family val="2"/>
          </rPr>
          <t xml:space="preserve">EBITDA losses in the range of $39.5 to $40.5 million. The Company reaffirms guidance to achieve EBITDA breakeven within the fourth quarter 2001.
</t>
        </r>
        <r>
          <rPr>
            <b/>
            <sz val="8"/>
            <color indexed="81"/>
            <rFont val="Tahoma"/>
            <family val="2"/>
          </rPr>
          <t xml:space="preserve">4Q01: </t>
        </r>
        <r>
          <rPr>
            <sz val="8"/>
            <color indexed="81"/>
            <rFont val="Tahoma"/>
            <family val="2"/>
          </rPr>
          <t xml:space="preserve">"Despite the challenging market, Equinix has succeeded in meeting the EBITDA profitability commitments we first set during our IPO a year and a half ago," said Peter Van Camp, chairman and CEO of Equinix.
</t>
        </r>
      </text>
    </comment>
    <comment ref="CJ37" authorId="0">
      <text>
        <r>
          <rPr>
            <b/>
            <sz val="8"/>
            <color indexed="81"/>
            <rFont val="Tahoma"/>
            <family val="2"/>
          </rPr>
          <t>katzedwa:</t>
        </r>
        <r>
          <rPr>
            <sz val="8"/>
            <color indexed="81"/>
            <rFont val="Tahoma"/>
            <family val="2"/>
          </rPr>
          <t xml:space="preserve">
Guidance (4Q09): $110 - $112M</t>
        </r>
      </text>
    </comment>
    <comment ref="CN37" authorId="0">
      <text>
        <r>
          <rPr>
            <b/>
            <sz val="8"/>
            <color indexed="81"/>
            <rFont val="Tahoma"/>
            <family val="2"/>
          </rPr>
          <t>katzedwa:</t>
        </r>
        <r>
          <rPr>
            <sz val="8"/>
            <color indexed="81"/>
            <rFont val="Tahoma"/>
            <family val="2"/>
          </rPr>
          <t xml:space="preserve">
Guidance (4Q09): $460 - $480M</t>
        </r>
      </text>
    </comment>
    <comment ref="CO37" authorId="0">
      <text>
        <r>
          <rPr>
            <b/>
            <sz val="8"/>
            <color indexed="81"/>
            <rFont val="Tahoma"/>
            <family val="2"/>
          </rPr>
          <t>151 - 153</t>
        </r>
      </text>
    </comment>
    <comment ref="CP37" authorId="0">
      <text>
        <r>
          <rPr>
            <b/>
            <sz val="8"/>
            <color indexed="81"/>
            <rFont val="Tahoma"/>
            <family val="2"/>
          </rPr>
          <t>166 - 170</t>
        </r>
      </text>
    </comment>
    <comment ref="CS37" authorId="0">
      <text>
        <r>
          <rPr>
            <b/>
            <sz val="8"/>
            <color indexed="81"/>
            <rFont val="Tahoma"/>
            <family val="2"/>
          </rPr>
          <t>katzedwa:</t>
        </r>
        <r>
          <rPr>
            <sz val="8"/>
            <color indexed="81"/>
            <rFont val="Tahoma"/>
            <family val="2"/>
          </rPr>
          <t xml:space="preserve">
675
720</t>
        </r>
      </text>
    </comment>
    <comment ref="AZ42" authorId="1">
      <text>
        <r>
          <rPr>
            <b/>
            <sz val="8"/>
            <color indexed="81"/>
            <rFont val="Tahoma"/>
            <family val="2"/>
          </rPr>
          <t xml:space="preserve">1Q02: </t>
        </r>
        <r>
          <rPr>
            <sz val="8"/>
            <color indexed="81"/>
            <rFont val="Tahoma"/>
            <family val="2"/>
          </rPr>
          <t xml:space="preserve">"As we look towards year-end, given the continued uncertainty
around the timing of a market turnaround, revenue projections are somewhat volatile," said Renee Lanam, CFO of Equinix. "With this in mind, and our demonstrated ability to manage costs and productivity, we believe that the most appropriate measure to monitor our success is operating cash flow, as it provides the best visibility into our
operating performance."
</t>
        </r>
        <r>
          <rPr>
            <b/>
            <sz val="8"/>
            <color indexed="81"/>
            <rFont val="Tahoma"/>
            <family val="2"/>
          </rPr>
          <t xml:space="preserve">2Q02:   </t>
        </r>
        <r>
          <rPr>
            <sz val="8"/>
            <color indexed="81"/>
            <rFont val="Tahoma"/>
            <family val="2"/>
          </rPr>
          <t xml:space="preserve">"As evidenced by the retirement of additional debt this quarter, management remains focused on the continued de-leveraging of the business," said Renee Lanam, CFO of Equinix. "We are currently working jointly with our bondholders and senior lenders to exchange a significant amount of our remaining debt for equity and to adjust covenants to reflect current market conditions."
</t>
        </r>
        <r>
          <rPr>
            <b/>
            <sz val="8"/>
            <color indexed="81"/>
            <rFont val="Tahoma"/>
            <family val="2"/>
          </rPr>
          <t xml:space="preserve">3Q02:  </t>
        </r>
        <r>
          <rPr>
            <sz val="8"/>
            <color indexed="81"/>
            <rFont val="Tahoma"/>
            <family val="2"/>
          </rPr>
          <t xml:space="preserve">"Over the past twelve months, Equinix has dramatically reduced its
debt obligations and significantly improved its balance sheet," said Renee Lanam, CFO of Equinix. "As a result of our de-leveraging activities over the past year and the proposed transaction, post-closing our annual cash interest payments will be reduced to approximately one quarter of what they were a year ago."
</t>
        </r>
        <r>
          <rPr>
            <b/>
            <sz val="8"/>
            <color indexed="81"/>
            <rFont val="Tahoma"/>
            <family val="2"/>
          </rPr>
          <t xml:space="preserve">4Q02: </t>
        </r>
        <r>
          <rPr>
            <sz val="8"/>
            <color indexed="81"/>
            <rFont val="Tahoma"/>
            <family val="2"/>
          </rPr>
          <t>The company expects to
be cash flow positive from operations by year-end 2003, and cash flow positive by June 2004.</t>
        </r>
      </text>
    </comment>
    <comment ref="BE42" authorId="1">
      <text>
        <r>
          <rPr>
            <b/>
            <sz val="8"/>
            <color indexed="81"/>
            <rFont val="Tahoma"/>
            <family val="2"/>
          </rPr>
          <t xml:space="preserve">3Q03: </t>
        </r>
        <r>
          <rPr>
            <sz val="8"/>
            <color indexed="81"/>
            <rFont val="Tahoma"/>
            <family val="2"/>
          </rPr>
          <t xml:space="preserve">For 2004, total revenues are expected to be in the range of $150
to $162 million. Cash gross margins are expected to be in the range of 45-50%. Selling, general and administrative expenses, excluding non-cash depreciation, amortization and stock-based compensation are expected to increase 3-5%.
</t>
        </r>
        <r>
          <rPr>
            <b/>
            <sz val="8"/>
            <color indexed="81"/>
            <rFont val="Tahoma"/>
            <family val="2"/>
          </rPr>
          <t xml:space="preserve">4Q03: </t>
        </r>
        <r>
          <rPr>
            <sz val="8"/>
            <color indexed="81"/>
            <rFont val="Tahoma"/>
            <family val="2"/>
          </rPr>
          <t xml:space="preserve">U.S. interconnection services revenue increased by 12% over  third quarter 2003 and grew to 23% of total U.S. recurring revenues for the quarter while total interconnection service revenue represented 20% of total recurring revenues. Customer cross-connects grew to 6,713, a 12% increase over the prior quarter and a 98% increase over same quarter last year. Ports on the Equinix GigE Exchange were reported at 267, a 12% increase over the third quarter 2003, and a 77% increase over the same quarter last year.
</t>
        </r>
      </text>
    </comment>
    <comment ref="BZ45" authorId="0">
      <text>
        <r>
          <rPr>
            <b/>
            <sz val="8"/>
            <color indexed="81"/>
            <rFont val="Tahoma"/>
            <family val="2"/>
          </rPr>
          <t>katzedwa:</t>
        </r>
        <r>
          <rPr>
            <sz val="8"/>
            <color indexed="81"/>
            <rFont val="Tahoma"/>
            <family val="2"/>
          </rPr>
          <t xml:space="preserve">
Prior to restatement: $35.923</t>
        </r>
      </text>
    </comment>
    <comment ref="CA45" authorId="0">
      <text>
        <r>
          <rPr>
            <b/>
            <sz val="8"/>
            <color indexed="81"/>
            <rFont val="Tahoma"/>
            <family val="2"/>
          </rPr>
          <t>katzedwa:</t>
        </r>
        <r>
          <rPr>
            <sz val="8"/>
            <color indexed="81"/>
            <rFont val="Tahoma"/>
            <family val="2"/>
          </rPr>
          <t xml:space="preserve">
Prior to restatement: $38.785</t>
        </r>
      </text>
    </comment>
    <comment ref="CB45" authorId="0">
      <text>
        <r>
          <rPr>
            <b/>
            <sz val="8"/>
            <color indexed="81"/>
            <rFont val="Tahoma"/>
            <family val="2"/>
          </rPr>
          <t>katzedwa:</t>
        </r>
        <r>
          <rPr>
            <sz val="8"/>
            <color indexed="81"/>
            <rFont val="Tahoma"/>
            <family val="2"/>
          </rPr>
          <t xml:space="preserve">
Prior to restatement: $42.077M</t>
        </r>
      </text>
    </comment>
    <comment ref="CC45" authorId="0">
      <text>
        <r>
          <rPr>
            <b/>
            <sz val="8"/>
            <color indexed="81"/>
            <rFont val="Tahoma"/>
            <family val="2"/>
          </rPr>
          <t>katzedwa:</t>
        </r>
        <r>
          <rPr>
            <sz val="8"/>
            <color indexed="81"/>
            <rFont val="Tahoma"/>
            <family val="2"/>
          </rPr>
          <t xml:space="preserve">
Prior to restatement: $42.062M</t>
        </r>
      </text>
    </comment>
    <comment ref="BJ47" authorId="1">
      <text>
        <r>
          <rPr>
            <b/>
            <sz val="8"/>
            <color indexed="81"/>
            <rFont val="Tahoma"/>
            <family val="2"/>
          </rPr>
          <t xml:space="preserve">1Q04: </t>
        </r>
        <r>
          <rPr>
            <sz val="8"/>
            <color indexed="81"/>
            <rFont val="Tahoma"/>
            <family val="2"/>
          </rPr>
          <t xml:space="preserve">Equinix added 82 new customers in the first quarter including BellSouth, Burrelle's Information Services, First Commercial Bank Ltd., MCI Worldcom Asia Pte., Misys International Banking Systems, Postini, Tommy Hilfiger, XO Asia and Viacom. The company received additional orders in the quarter from more than 50% of its existing U.S. customers including Amazon.com, IBM, Ticketmaster and Yahoo! The company ended the quarter with approximately 775 customers and a utilization rate in its existing centers of 43%.
</t>
        </r>
        <r>
          <rPr>
            <b/>
            <sz val="8"/>
            <color indexed="81"/>
            <rFont val="Tahoma"/>
            <family val="2"/>
          </rPr>
          <t>2Q04:</t>
        </r>
        <r>
          <rPr>
            <sz val="8"/>
            <color indexed="81"/>
            <rFont val="Tahoma"/>
            <family val="2"/>
          </rPr>
          <t xml:space="preserve">  Equinix added 86 new customers in the second quarter including Ask Jeeves Japan, AT Kearney, Born Capital Markets, Buena Vista, General Mills, MCI Worldcom Asia Pacific, Patagonia, SAP Asia, Swisscom, United Online, Washington Mutual and Watson Wyatt. The company received additional orders in the quarter from more than 50% of its existing U.S. customers including Amazon.com, America Online, Goldman Sachs, Google, IBM and Yahoo! The company ended the quarter with approximately 830 customers and a weighted average utilization rate of 41% in its existing IBX centers, including its expansion property in Ashburn, Virginia. The number of cabinets billing at the end of the quarter was approximately 10,100 out of a total of 24,500, up from approximately 9,400 the previous quarter.
</t>
        </r>
        <r>
          <rPr>
            <b/>
            <sz val="8"/>
            <color indexed="81"/>
            <rFont val="Tahoma"/>
            <family val="2"/>
          </rPr>
          <t xml:space="preserve">3Q04: </t>
        </r>
        <r>
          <rPr>
            <sz val="8"/>
            <color indexed="81"/>
            <rFont val="Tahoma"/>
            <family val="2"/>
          </rPr>
          <t xml:space="preserve">Equinix achieved record bookings in the quarter adding 87 new customers including Bank of Nova Scotia, First Commercial Bank Limited, Force 10, Korea Telecom, NTT Communications Corporation, and Tower Insurance Company of New York. The company received additional orders in the quarter from more than 47% of its existing U.S. customers. The number of cabinets billing at the end of the quarter was approximately 10,750, up from approximately 10,100 the previous quarter. Churn was less than 1% for the quarter on a cabinet basis, or about 3% on a monthly recurring revenue basis. The company ended the quarter with 896 customers and a weighted average utilization rate of 43% in its existing IBX centers, including the expansion property in Ashburn, Virginia. Average monthly recurring revenue per cabinet on a weighted average basis increased to $1,270 from $1,254 the previous quarter.
</t>
        </r>
        <r>
          <rPr>
            <b/>
            <sz val="8"/>
            <color indexed="81"/>
            <rFont val="Tahoma"/>
            <family val="2"/>
          </rPr>
          <t xml:space="preserve">4Q04: </t>
        </r>
        <r>
          <rPr>
            <sz val="8"/>
            <color indexed="81"/>
            <rFont val="Tahoma"/>
            <family val="2"/>
          </rPr>
          <t>Equinix added 69 new customers in the fourth quarter and 324 customers for the year 2004. Customers added in the fourth quarter included Arsenal Digital, Belgacom SA, China Merchant Bank, INET ATS (Instinet, LLC), Movielink, Solo Cup, Telecom New Zealand and Virgin Blue. The company received additional orders in the quarter from approximately 50% of its existing US customers including Doubleclick, Merrill Lynch, Ticketmaster, the U.S. Government, WebEx and Yahoo!.; The number of cabinets billing as of December 31, 2004 was approximately 11,100, up from approximately 10,750 the previous quarter, and up from 8,200 as of December 31, 2003. Churn was 4.1% for the quarter on a cabinet basis, primarily related to a customer contract which the company elected not to renew. Monthly recurring revenue churn was approximately 3% in the quarter. Churn, on both a cabinet and monthly recurring revenue basis, was approximately 12% for the year ended December 31, 2004. The company ended the year with 950 customers and a weighted-average utilization rate of 45% in its existing IBX centers, excluding the new Silicon Valley IBX, which is scheduled to open for customers in March 2005. Average monthly recurring revenue per cabinet on a weighted-average basis increased to $1,292 for the quarter from $1,270 the previous quarter.</t>
        </r>
      </text>
    </comment>
    <comment ref="BO47" authorId="1">
      <text>
        <r>
          <rPr>
            <b/>
            <sz val="8"/>
            <color indexed="81"/>
            <rFont val="Tahoma"/>
            <family val="2"/>
          </rPr>
          <t xml:space="preserve">1Q05: </t>
        </r>
        <r>
          <rPr>
            <sz val="8"/>
            <color indexed="81"/>
            <rFont val="Tahoma"/>
            <family val="2"/>
          </rPr>
          <t xml:space="preserve">Equinix added 75 new customers in the quarter including Con Edison, Gamania Digital Entertainment Co. Ltd, Neighborcare, New York Magazine, Taiwan Business Bank, TC Group, L.L.C, Telekom Malaysia (Hong Kong) Ltd and XM Satellite Radio and ended the quarter with 1,005 customers. The company received additional orders in the quarter from 47% of its existing U.S. customers.
</t>
        </r>
        <r>
          <rPr>
            <b/>
            <sz val="8"/>
            <color indexed="81"/>
            <rFont val="Tahoma"/>
            <family val="2"/>
          </rPr>
          <t xml:space="preserve">2Q05:  </t>
        </r>
        <r>
          <rPr>
            <sz val="8"/>
            <color indexed="81"/>
            <rFont val="Tahoma"/>
            <family val="2"/>
          </rPr>
          <t xml:space="preserve">On a same IBX basis (defined as IBX centers which have been available for new customer installs for at least four full quarters), revenue was $51.3 million; cost of revenues were $35.6 million; cost of revenues, excluding depreciation, amortization, accretion and stock-based compensation, were $21.4 million and cash gross margins for the quarter were 58%. EBITDA on a same IBX basis was $17.0 million.
</t>
        </r>
        <r>
          <rPr>
            <b/>
            <sz val="8"/>
            <color indexed="81"/>
            <rFont val="Tahoma"/>
            <family val="2"/>
          </rPr>
          <t xml:space="preserve">3Q05: </t>
        </r>
        <r>
          <rPr>
            <sz val="8"/>
            <color indexed="81"/>
            <rFont val="Tahoma"/>
            <family val="2"/>
          </rPr>
          <t xml:space="preserve">In October, Equinix filed a shelf registration statement with the Securities and Exchange Commission in order to register approximately 10.2 million shares of the Company's common stock on behalf of STT Communications Ltd. At the time any securities are offered for sale, one or more prospectus supplements will be provided containing specific information about the terms of any such offering. On a same IBX basis (defined as IBX centers which have been available for new customer installs for at least four full quarters), revenues were $54.8 million; cost of revenues were $37.3 million; cost of revenues, excluding depreciation, amortization, accretion and stock-based compensation, were $23.3 million and cash gross margins for the quarter were 57%. EBITDA on a same IBX basis was $16.9 million. Included in the same IBX results were certain selling, general and administrative expenses such as the costs related to our recent S-3 registration statement filing and related costs and
severance charges.
</t>
        </r>
        <r>
          <rPr>
            <b/>
            <sz val="8"/>
            <color indexed="81"/>
            <rFont val="Tahoma"/>
            <family val="2"/>
          </rPr>
          <t xml:space="preserve">4Q04: </t>
        </r>
        <r>
          <rPr>
            <sz val="8"/>
            <color indexed="81"/>
            <rFont val="Tahoma"/>
            <family val="2"/>
          </rPr>
          <t>Equinix added 69 new customers in the fourth quarter and 324 customers for the year 2004. Customers added in the fourth quarter included Arsenal Digital, Belgacom SA, China Merchant Bank, INET ATS (Instinet, LLC), Movielink, Solo Cup, Telecom New Zealand and Virgin Blue. The company received additional orders in the quarter from approximately 50% of its existing US customers including Doubleclick, Merrill Lynch, Ticketmaster, the U.S. Government, WebEx and Yahoo!.; The number of cabinets billing as of December 31, 2004 was approximately 11,100, up from approximately 10,750 the previous quarter, and up from 8,200 as of December 31, 2003. Churn was 4.1% for the quarter on a cabinet basis, primarily related to a customer contract which the company elected not to renew. Monthly recurring revenue churn was approximately 3% in the quarter. Churn, on both a cabinet and monthly recurring revenue basis, was approximately 12% for the year ended December 31, 2004. The company ended the year with 950 customers and a weighted-average utilization rate of 45% in its existing IBX centers, excluding the new Silicon Valley IBX, which is scheduled to open for customers in March 2005. Average monthly recurring revenue per cabinet on a weighted-average basis increased to $1,292 for the quarter from $1,270 the previous quarter.</t>
        </r>
      </text>
    </comment>
    <comment ref="BZ50" authorId="0">
      <text>
        <r>
          <rPr>
            <b/>
            <sz val="8"/>
            <color indexed="81"/>
            <rFont val="Tahoma"/>
            <family val="2"/>
          </rPr>
          <t>katzedwa:</t>
        </r>
        <r>
          <rPr>
            <sz val="8"/>
            <color indexed="81"/>
            <rFont val="Tahoma"/>
            <family val="2"/>
          </rPr>
          <t xml:space="preserve">
Prior to restatement: $13.594</t>
        </r>
      </text>
    </comment>
    <comment ref="CA50" authorId="0">
      <text>
        <r>
          <rPr>
            <b/>
            <sz val="8"/>
            <color indexed="81"/>
            <rFont val="Tahoma"/>
            <family val="2"/>
          </rPr>
          <t>katzedwa:</t>
        </r>
        <r>
          <rPr>
            <sz val="8"/>
            <color indexed="81"/>
            <rFont val="Tahoma"/>
            <family val="2"/>
          </rPr>
          <t xml:space="preserve">
Prior to restatement: $12.823</t>
        </r>
      </text>
    </comment>
    <comment ref="CB50" authorId="0">
      <text>
        <r>
          <rPr>
            <b/>
            <sz val="8"/>
            <color indexed="81"/>
            <rFont val="Tahoma"/>
            <family val="2"/>
          </rPr>
          <t>katzedwa:</t>
        </r>
        <r>
          <rPr>
            <sz val="8"/>
            <color indexed="81"/>
            <rFont val="Tahoma"/>
            <family val="2"/>
          </rPr>
          <t xml:space="preserve">
Prior to restatement: $13.88M</t>
        </r>
      </text>
    </comment>
    <comment ref="CC50" authorId="0">
      <text>
        <r>
          <rPr>
            <b/>
            <sz val="8"/>
            <color indexed="81"/>
            <rFont val="Tahoma"/>
            <family val="2"/>
          </rPr>
          <t>katzedwa:</t>
        </r>
        <r>
          <rPr>
            <sz val="8"/>
            <color indexed="81"/>
            <rFont val="Tahoma"/>
            <family val="2"/>
          </rPr>
          <t xml:space="preserve">
Prior to restatement: $14.744M</t>
        </r>
      </text>
    </comment>
    <comment ref="AV53" authorId="0">
      <text>
        <r>
          <rPr>
            <b/>
            <sz val="8"/>
            <color indexed="81"/>
            <rFont val="Tahoma"/>
            <family val="2"/>
          </rPr>
          <t>katzedwa:</t>
        </r>
        <r>
          <rPr>
            <sz val="8"/>
            <color indexed="81"/>
            <rFont val="Tahoma"/>
            <family val="2"/>
          </rPr>
          <t xml:space="preserve">
Company retires $25 million in high yield debt in first quarter; $17.3 million retired subsequent to quarter-end
</t>
        </r>
      </text>
    </comment>
    <comment ref="CL53" authorId="0">
      <text>
        <r>
          <rPr>
            <b/>
            <sz val="8"/>
            <color indexed="81"/>
            <rFont val="Tahoma"/>
            <family val="2"/>
          </rPr>
          <t>katzedwa:</t>
        </r>
        <r>
          <rPr>
            <sz val="8"/>
            <color indexed="81"/>
            <rFont val="Tahoma"/>
            <family val="2"/>
          </rPr>
          <t xml:space="preserve">
Other-than-temporary impairment recovery (loss) on investments</t>
        </r>
      </text>
    </comment>
    <comment ref="U57" authorId="2">
      <text>
        <r>
          <rPr>
            <sz val="10"/>
            <color indexed="81"/>
            <rFont val="Tahoma"/>
            <family val="2"/>
          </rPr>
          <t>Guidance:  $69M</t>
        </r>
      </text>
    </comment>
    <comment ref="CC57" authorId="0">
      <text>
        <r>
          <rPr>
            <b/>
            <sz val="8"/>
            <color indexed="81"/>
            <rFont val="Tahoma"/>
            <family val="2"/>
          </rPr>
          <t>katzedwa:</t>
        </r>
        <r>
          <rPr>
            <sz val="8"/>
            <color indexed="81"/>
            <rFont val="Tahoma"/>
            <family val="2"/>
          </rPr>
          <t xml:space="preserve">
The Company recorded a net income tax benefit in the fourth quarter of 2008 of $104.9 million, which was largely the result of the Company releasing its valuation allowances for its U.S. and Australian operations and recording the associated net deferred tax assets on its balance sheet. As a result, net income for the fourth quarter was $116.5 million, or $11.6 million excluding the net income tax benefit. </t>
        </r>
      </text>
    </comment>
    <comment ref="X58" authorId="1">
      <text>
        <r>
          <rPr>
            <sz val="10"/>
            <color indexed="81"/>
            <rFont val="Tahoma"/>
            <family val="2"/>
          </rPr>
          <t>assume 35% taxes on interational pre-tax amount (based on international EBITDA %)
Guidance:  10-15%</t>
        </r>
      </text>
    </comment>
    <comment ref="Y58" authorId="1">
      <text>
        <r>
          <rPr>
            <sz val="10"/>
            <color indexed="81"/>
            <rFont val="Tahoma"/>
            <family val="2"/>
          </rPr>
          <t>assume 35% taxes on interational pre-tax amount (based on international EBITDA %)
Guidance:  10-15%</t>
        </r>
      </text>
    </comment>
    <comment ref="Z58" authorId="1">
      <text>
        <r>
          <rPr>
            <sz val="10"/>
            <color indexed="81"/>
            <rFont val="Tahoma"/>
            <family val="2"/>
          </rPr>
          <t>assume 35% taxes on interational pre-tax amount (based on international EBITDA %)
Guidance:  10-15%</t>
        </r>
      </text>
    </comment>
    <comment ref="BP62" authorId="0">
      <text>
        <r>
          <rPr>
            <b/>
            <sz val="8"/>
            <color indexed="81"/>
            <rFont val="Tahoma"/>
            <family val="2"/>
          </rPr>
          <t>katzedwa:</t>
        </r>
        <r>
          <rPr>
            <sz val="8"/>
            <color indexed="81"/>
            <rFont val="Tahoma"/>
            <family val="2"/>
          </rPr>
          <t xml:space="preserve">
Change in accounting principle</t>
        </r>
      </text>
    </comment>
    <comment ref="BU75" authorId="0">
      <text>
        <r>
          <rPr>
            <b/>
            <sz val="8"/>
            <color indexed="81"/>
            <rFont val="Tahoma"/>
            <family val="2"/>
          </rPr>
          <t>katzedwa:</t>
        </r>
        <r>
          <rPr>
            <sz val="8"/>
            <color indexed="81"/>
            <rFont val="Tahoma"/>
            <family val="2"/>
          </rPr>
          <t xml:space="preserve">
Guidance (4Q06): Net loss to approximate 2M</t>
        </r>
      </text>
    </comment>
    <comment ref="BV75" authorId="0">
      <text>
        <r>
          <rPr>
            <b/>
            <sz val="8"/>
            <color indexed="81"/>
            <rFont val="Tahoma"/>
            <family val="2"/>
          </rPr>
          <t>katzedwa:</t>
        </r>
        <r>
          <rPr>
            <sz val="8"/>
            <color indexed="81"/>
            <rFont val="Tahoma"/>
            <family val="2"/>
          </rPr>
          <t xml:space="preserve">
Guidance (1Q07): Net loss to approximate 3M</t>
        </r>
      </text>
    </comment>
    <comment ref="BW75" authorId="0">
      <text>
        <r>
          <rPr>
            <b/>
            <sz val="8"/>
            <color indexed="81"/>
            <rFont val="Tahoma"/>
            <family val="2"/>
          </rPr>
          <t>katzedwa:</t>
        </r>
        <r>
          <rPr>
            <sz val="8"/>
            <color indexed="81"/>
            <rFont val="Tahoma"/>
            <family val="2"/>
          </rPr>
          <t xml:space="preserve">
Guidance (2Q07): Net loss to approximate 2M</t>
        </r>
      </text>
    </comment>
    <comment ref="BY75" authorId="0">
      <text>
        <r>
          <rPr>
            <b/>
            <sz val="8"/>
            <color indexed="81"/>
            <rFont val="Tahoma"/>
            <family val="2"/>
          </rPr>
          <t>katzedwa:</t>
        </r>
        <r>
          <rPr>
            <sz val="8"/>
            <color indexed="81"/>
            <rFont val="Tahoma"/>
            <family val="2"/>
          </rPr>
          <t xml:space="preserve">
Guidance (1Q07): Net loss is expected to be 22M</t>
        </r>
      </text>
    </comment>
    <comment ref="BS77" authorId="0">
      <text>
        <r>
          <rPr>
            <b/>
            <sz val="8"/>
            <color indexed="81"/>
            <rFont val="Tahoma"/>
            <family val="2"/>
          </rPr>
          <t>katzedwa:</t>
        </r>
        <r>
          <rPr>
            <sz val="8"/>
            <color indexed="81"/>
            <rFont val="Tahoma"/>
            <family val="2"/>
          </rPr>
          <t xml:space="preserve">
Effect of assumed conversation of convertible subordinated debentures</t>
        </r>
      </text>
    </comment>
    <comment ref="CC77" authorId="0">
      <text>
        <r>
          <rPr>
            <b/>
            <sz val="8"/>
            <color indexed="81"/>
            <rFont val="Tahoma"/>
            <family val="2"/>
          </rPr>
          <t>katzedwa:</t>
        </r>
        <r>
          <rPr>
            <sz val="8"/>
            <color indexed="81"/>
            <rFont val="Tahoma"/>
            <family val="2"/>
          </rPr>
          <t xml:space="preserve">
Effect of assumed conversion of convertible subordinated debentures and notes (interest expense, net of tax)</t>
        </r>
      </text>
    </comment>
    <comment ref="CD77" authorId="0">
      <text>
        <r>
          <rPr>
            <b/>
            <sz val="8"/>
            <color indexed="81"/>
            <rFont val="Tahoma"/>
            <family val="2"/>
          </rPr>
          <t>katzedwa:</t>
        </r>
        <r>
          <rPr>
            <sz val="8"/>
            <color indexed="81"/>
            <rFont val="Tahoma"/>
            <family val="2"/>
          </rPr>
          <t xml:space="preserve">
Effect of assumed conversion of convertible subordinated debentures and notes (interest expense, net of tax)</t>
        </r>
      </text>
    </comment>
    <comment ref="CI77" authorId="0">
      <text>
        <r>
          <rPr>
            <b/>
            <sz val="8"/>
            <color indexed="81"/>
            <rFont val="Tahoma"/>
            <family val="2"/>
          </rPr>
          <t>katzedwa:</t>
        </r>
        <r>
          <rPr>
            <sz val="8"/>
            <color indexed="81"/>
            <rFont val="Tahoma"/>
            <family val="2"/>
          </rPr>
          <t xml:space="preserve">
Effect of assumed conversion of convertible subordinated debentures and notes (interest expense, net of tax)</t>
        </r>
      </text>
    </comment>
    <comment ref="AS80" authorId="0">
      <text>
        <r>
          <rPr>
            <b/>
            <sz val="8"/>
            <color indexed="81"/>
            <rFont val="Tahoma"/>
            <family val="2"/>
          </rPr>
          <t>katzedwa:</t>
        </r>
        <r>
          <rPr>
            <sz val="8"/>
            <color indexed="81"/>
            <rFont val="Tahoma"/>
            <family val="2"/>
          </rPr>
          <t xml:space="preserve">
Excluding restructuring charge</t>
        </r>
      </text>
    </comment>
    <comment ref="AU80" authorId="0">
      <text>
        <r>
          <rPr>
            <b/>
            <sz val="8"/>
            <color indexed="81"/>
            <rFont val="Tahoma"/>
            <family val="2"/>
          </rPr>
          <t>katzedwa:</t>
        </r>
        <r>
          <rPr>
            <sz val="8"/>
            <color indexed="81"/>
            <rFont val="Tahoma"/>
            <family val="2"/>
          </rPr>
          <t xml:space="preserve">
Excluding restructuring charge</t>
        </r>
      </text>
    </comment>
    <comment ref="AV80" authorId="0">
      <text>
        <r>
          <rPr>
            <b/>
            <sz val="8"/>
            <color indexed="81"/>
            <rFont val="Tahoma"/>
            <family val="2"/>
          </rPr>
          <t>katzedwa:</t>
        </r>
        <r>
          <rPr>
            <sz val="8"/>
            <color indexed="81"/>
            <rFont val="Tahoma"/>
            <family val="2"/>
          </rPr>
          <t xml:space="preserve">
Pro-forma for gain on debt extinguishment</t>
        </r>
      </text>
    </comment>
    <comment ref="AW80" authorId="0">
      <text>
        <r>
          <rPr>
            <b/>
            <sz val="8"/>
            <color indexed="81"/>
            <rFont val="Tahoma"/>
            <family val="2"/>
          </rPr>
          <t>katzedwa:</t>
        </r>
        <r>
          <rPr>
            <sz val="8"/>
            <color indexed="81"/>
            <rFont val="Tahoma"/>
            <family val="2"/>
          </rPr>
          <t xml:space="preserve">
Pro-forma for gain on debt extinguishment and restructuring charge</t>
        </r>
      </text>
    </comment>
    <comment ref="AX80" authorId="0">
      <text>
        <r>
          <rPr>
            <b/>
            <sz val="8"/>
            <color indexed="81"/>
            <rFont val="Tahoma"/>
            <family val="2"/>
          </rPr>
          <t>katzedwa:</t>
        </r>
        <r>
          <rPr>
            <sz val="8"/>
            <color indexed="81"/>
            <rFont val="Tahoma"/>
            <family val="2"/>
          </rPr>
          <t xml:space="preserve">
Pro-forma for restructuring charge</t>
        </r>
      </text>
    </comment>
    <comment ref="AY80" authorId="0">
      <text>
        <r>
          <rPr>
            <b/>
            <sz val="8"/>
            <color indexed="81"/>
            <rFont val="Tahoma"/>
            <family val="2"/>
          </rPr>
          <t>katzedwa:</t>
        </r>
        <r>
          <rPr>
            <sz val="8"/>
            <color indexed="81"/>
            <rFont val="Tahoma"/>
            <family val="2"/>
          </rPr>
          <t xml:space="preserve">
Pro-forma for restructuring charge and gain on debt extinguishment</t>
        </r>
      </text>
    </comment>
    <comment ref="AZ80" authorId="0">
      <text>
        <r>
          <rPr>
            <b/>
            <sz val="8"/>
            <color indexed="81"/>
            <rFont val="Tahoma"/>
            <family val="2"/>
          </rPr>
          <t>katzedwa:</t>
        </r>
        <r>
          <rPr>
            <sz val="8"/>
            <color indexed="81"/>
            <rFont val="Tahoma"/>
            <family val="2"/>
          </rPr>
          <t xml:space="preserve">
Pro-forma for restructuring charge and gain on debt extinguishment</t>
        </r>
      </text>
    </comment>
    <comment ref="BF80" authorId="0">
      <text>
        <r>
          <rPr>
            <b/>
            <sz val="8"/>
            <color indexed="81"/>
            <rFont val="Tahoma"/>
            <family val="2"/>
          </rPr>
          <t>katzedwa:</t>
        </r>
        <r>
          <rPr>
            <sz val="8"/>
            <color indexed="81"/>
            <rFont val="Tahoma"/>
            <family val="2"/>
          </rPr>
          <t xml:space="preserve">
Pro forma basic and diluted net loss per share excludes the
$16,211,000 loss on debt extinguishment and conversion in the quarter ended March 31, 2004.
</t>
        </r>
      </text>
    </comment>
    <comment ref="BI80" authorId="0">
      <text>
        <r>
          <rPr>
            <b/>
            <sz val="8"/>
            <color indexed="81"/>
            <rFont val="Tahoma"/>
            <family val="2"/>
          </rPr>
          <t>katzedwa:</t>
        </r>
        <r>
          <rPr>
            <sz val="8"/>
            <color indexed="81"/>
            <rFont val="Tahoma"/>
            <family val="2"/>
          </rPr>
          <t xml:space="preserve">
Pro forma basic and diluted net loss per share excludes the $17,685,000 restructuring charge during the three and twelve months ended December 31, 2004. The pro forma basic and diluted net loss per share also excludes the $16,211,000 loss on debt extinguishment and conversion during the twelve months ended December 31, 2004.
</t>
        </r>
      </text>
    </comment>
    <comment ref="BJ80" authorId="0">
      <text>
        <r>
          <rPr>
            <b/>
            <sz val="8"/>
            <color indexed="81"/>
            <rFont val="Tahoma"/>
            <family val="2"/>
          </rPr>
          <t>katzedwa:</t>
        </r>
        <r>
          <rPr>
            <sz val="8"/>
            <color indexed="81"/>
            <rFont val="Tahoma"/>
            <family val="2"/>
          </rPr>
          <t xml:space="preserve">
Pro forma basic and diluted net loss per share excludes the $17,685,000 restructuring charge during the three and twelve months ended December 31, 2004. The pro forma basic and diluted net loss per share also excludes the $16,211,000 loss on debt extinguishment and conversion during the twelve months ended December 31, 2004.
</t>
        </r>
      </text>
    </comment>
    <comment ref="BT80" authorId="0">
      <text>
        <r>
          <rPr>
            <b/>
            <sz val="8"/>
            <color indexed="81"/>
            <rFont val="Tahoma"/>
            <family val="2"/>
          </rPr>
          <t>katzedwa:</t>
        </r>
        <r>
          <rPr>
            <sz val="8"/>
            <color indexed="81"/>
            <rFont val="Tahoma"/>
            <family val="2"/>
          </rPr>
          <t xml:space="preserve">
Guidance (1Q06): Net loss expected to be ~$15M</t>
        </r>
      </text>
    </comment>
    <comment ref="AJ82" authorId="0">
      <text>
        <r>
          <rPr>
            <b/>
            <sz val="8"/>
            <color indexed="81"/>
            <rFont val="Tahoma"/>
            <family val="2"/>
          </rPr>
          <t>katzedwa:</t>
        </r>
        <r>
          <rPr>
            <sz val="8"/>
            <color indexed="81"/>
            <rFont val="Tahoma"/>
            <family val="2"/>
          </rPr>
          <t xml:space="preserve">
Pro-forma for IPO</t>
        </r>
      </text>
    </comment>
    <comment ref="AJ83" authorId="0">
      <text>
        <r>
          <rPr>
            <b/>
            <sz val="8"/>
            <color indexed="81"/>
            <rFont val="Tahoma"/>
            <family val="2"/>
          </rPr>
          <t>katzedwa:</t>
        </r>
        <r>
          <rPr>
            <sz val="8"/>
            <color indexed="81"/>
            <rFont val="Tahoma"/>
            <family val="2"/>
          </rPr>
          <t xml:space="preserve">
Pro-forma for IPO</t>
        </r>
      </text>
    </comment>
    <comment ref="J85" authorId="0">
      <text>
        <r>
          <rPr>
            <b/>
            <sz val="8"/>
            <color indexed="81"/>
            <rFont val="Tahoma"/>
            <family val="2"/>
          </rPr>
          <t>katzedwa:</t>
        </r>
        <r>
          <rPr>
            <sz val="8"/>
            <color indexed="81"/>
            <rFont val="Tahoma"/>
            <family val="2"/>
          </rPr>
          <t xml:space="preserve">
Assumed</t>
        </r>
      </text>
    </comment>
    <comment ref="DJ85" authorId="2">
      <text>
        <r>
          <rPr>
            <sz val="10"/>
            <color indexed="81"/>
            <rFont val="Tahoma"/>
            <family val="2"/>
          </rPr>
          <t>presentation, market capitalization</t>
        </r>
      </text>
    </comment>
    <comment ref="DK85" authorId="2">
      <text>
        <r>
          <rPr>
            <sz val="10"/>
            <color indexed="81"/>
            <rFont val="Tahoma"/>
            <family val="2"/>
          </rPr>
          <t>presentation, market capitalization</t>
        </r>
      </text>
    </comment>
    <comment ref="DO85" authorId="2">
      <text>
        <r>
          <rPr>
            <sz val="10"/>
            <color indexed="81"/>
            <rFont val="Tahoma"/>
            <family val="2"/>
          </rPr>
          <t>presentation</t>
        </r>
      </text>
    </comment>
    <comment ref="DP85" authorId="2">
      <text>
        <r>
          <rPr>
            <sz val="10"/>
            <color indexed="81"/>
            <rFont val="Tahoma"/>
            <family val="2"/>
          </rPr>
          <t>presentation</t>
        </r>
      </text>
    </comment>
    <comment ref="DQ85" authorId="2">
      <text>
        <r>
          <rPr>
            <sz val="10"/>
            <color indexed="81"/>
            <rFont val="Tahoma"/>
            <family val="2"/>
          </rPr>
          <t>presentation</t>
        </r>
      </text>
    </comment>
    <comment ref="CL104" authorId="0">
      <text>
        <r>
          <rPr>
            <b/>
            <sz val="8"/>
            <color indexed="81"/>
            <rFont val="Tahoma"/>
            <family val="2"/>
          </rPr>
          <t>63 - 64%</t>
        </r>
      </text>
    </comment>
    <comment ref="CN104" authorId="0">
      <text>
        <r>
          <rPr>
            <b/>
            <sz val="8"/>
            <color indexed="81"/>
            <rFont val="Tahoma"/>
            <family val="2"/>
          </rPr>
          <t>64%</t>
        </r>
      </text>
    </comment>
    <comment ref="DO110" authorId="2">
      <text>
        <r>
          <rPr>
            <sz val="10"/>
            <color indexed="81"/>
            <rFont val="Tahoma"/>
            <family val="2"/>
          </rPr>
          <t>18.5% excluding integration costs</t>
        </r>
      </text>
    </comment>
    <comment ref="DP110" authorId="2">
      <text>
        <r>
          <rPr>
            <sz val="10"/>
            <color indexed="81"/>
            <rFont val="Tahoma"/>
            <family val="2"/>
          </rPr>
          <t>18.5% excluding integration costs</t>
        </r>
      </text>
    </comment>
    <comment ref="DQ110" authorId="2">
      <text>
        <r>
          <rPr>
            <sz val="10"/>
            <color indexed="81"/>
            <rFont val="Tahoma"/>
            <family val="2"/>
          </rPr>
          <t>18.5% excluding integration costs</t>
        </r>
      </text>
    </comment>
    <comment ref="B121" authorId="2">
      <text>
        <r>
          <rPr>
            <sz val="10"/>
            <color indexed="81"/>
            <rFont val="Tahoma"/>
            <family val="2"/>
          </rPr>
          <t>$30M total for Bit-isle and Telecity
1/2 realized in 2016
1/2 realized in 2017</t>
        </r>
      </text>
    </comment>
    <comment ref="C128" authorId="2">
      <text>
        <r>
          <rPr>
            <sz val="10"/>
            <color indexed="81"/>
            <rFont val="Tahoma"/>
            <family val="2"/>
          </rPr>
          <t>$30M for both Telecity and Bit-isle</t>
        </r>
      </text>
    </comment>
    <comment ref="DE172" authorId="1">
      <text>
        <r>
          <rPr>
            <sz val="10"/>
            <color indexed="81"/>
            <rFont val="Tahoma"/>
            <family val="2"/>
          </rPr>
          <t xml:space="preserve">10/16/14 press release
First E&amp;P purge of $416M, up to 20% in cash
EQIX guidance:  Total E&amp;P purge range:  $1-1.1B
Assume 2 payments:  first after PLR ruling, second after REIT conversion in 2015
Assume 20% cash / 80% stock
</t>
        </r>
      </text>
    </comment>
    <comment ref="T175" authorId="2">
      <text>
        <r>
          <rPr>
            <sz val="10"/>
            <color indexed="81"/>
            <rFont val="Tahoma"/>
            <family val="2"/>
          </rPr>
          <t>normalized for E&amp;P purge</t>
        </r>
      </text>
    </comment>
    <comment ref="U175" authorId="2">
      <text>
        <r>
          <rPr>
            <sz val="10"/>
            <color indexed="81"/>
            <rFont val="Tahoma"/>
            <family val="2"/>
          </rPr>
          <t>normalized for E&amp;P purge</t>
        </r>
      </text>
    </comment>
    <comment ref="CT185" authorId="1">
      <text>
        <r>
          <rPr>
            <sz val="8"/>
            <color indexed="81"/>
            <rFont val="Tahoma"/>
            <family val="2"/>
          </rPr>
          <t>earnings presentation</t>
        </r>
      </text>
    </comment>
    <comment ref="DB185" authorId="1">
      <text>
        <r>
          <rPr>
            <sz val="10"/>
            <color indexed="81"/>
            <rFont val="Tahoma"/>
            <family val="2"/>
          </rPr>
          <t>per 1Q14 PR</t>
        </r>
      </text>
    </comment>
    <comment ref="DC185" authorId="1">
      <text>
        <r>
          <rPr>
            <sz val="10"/>
            <color indexed="81"/>
            <rFont val="Tahoma"/>
            <family val="2"/>
          </rPr>
          <t>per 1Q14 PR</t>
        </r>
      </text>
    </comment>
    <comment ref="DD185" authorId="1">
      <text>
        <r>
          <rPr>
            <sz val="10"/>
            <color indexed="81"/>
            <rFont val="Tahoma"/>
            <family val="2"/>
          </rPr>
          <t>YTD per press release</t>
        </r>
      </text>
    </comment>
    <comment ref="CZ187" authorId="1">
      <text>
        <r>
          <rPr>
            <sz val="8"/>
            <color indexed="81"/>
            <rFont val="Tahoma"/>
            <family val="2"/>
          </rPr>
          <t>TF("eqix","TF.PR.PriceAverageOverRange(sdate=#1,edate=#2)",,CO1,CQ1)</t>
        </r>
      </text>
    </comment>
    <comment ref="DA187" authorId="1">
      <text>
        <r>
          <rPr>
            <sz val="8"/>
            <color indexed="81"/>
            <rFont val="Tahoma"/>
            <family val="2"/>
          </rPr>
          <t>TF("eqix","TF.PR.PriceAverageOverRange(sdate=#1,edate=#2)",,CO1,CQ1)</t>
        </r>
      </text>
    </comment>
    <comment ref="DB187" authorId="1">
      <text>
        <r>
          <rPr>
            <sz val="8"/>
            <color indexed="81"/>
            <rFont val="Tahoma"/>
            <family val="2"/>
          </rPr>
          <t>TF("eqix","TF.PR.PriceAverageOverRange(sdate=#1,edate=#2)",,CO1,CQ1)</t>
        </r>
      </text>
    </comment>
    <comment ref="DC187" authorId="1">
      <text>
        <r>
          <rPr>
            <sz val="8"/>
            <color indexed="81"/>
            <rFont val="Tahoma"/>
            <family val="2"/>
          </rPr>
          <t>TF("eqix","TF.PR.PriceAverageOverRange(sdate=#1,edate=#2)",,CO1,CQ1)</t>
        </r>
      </text>
    </comment>
    <comment ref="DD187" authorId="1">
      <text>
        <r>
          <rPr>
            <sz val="8"/>
            <color indexed="81"/>
            <rFont val="Tahoma"/>
            <family val="2"/>
          </rPr>
          <t>TF("eqix","TF.PR.PriceAverageOverRange(sdate=#1,edate=#2)",,CO1,CQ1)</t>
        </r>
      </text>
    </comment>
    <comment ref="DE187" authorId="1">
      <text>
        <r>
          <rPr>
            <sz val="8"/>
            <color indexed="81"/>
            <rFont val="Tahoma"/>
            <family val="2"/>
          </rPr>
          <t>TF("eqix","TF.PR.PriceAverageOverRange(sdate=#1,edate=#2)",,CO1,CQ1)</t>
        </r>
      </text>
    </comment>
    <comment ref="DF187" authorId="1">
      <text>
        <r>
          <rPr>
            <sz val="8"/>
            <color indexed="81"/>
            <rFont val="Tahoma"/>
            <family val="2"/>
          </rPr>
          <t>TF("eqix","TF.PR.PriceAverageOverRange(sdate=#1,edate=#2)",,CO1,CQ1)</t>
        </r>
      </text>
    </comment>
    <comment ref="DG187" authorId="1">
      <text>
        <r>
          <rPr>
            <sz val="8"/>
            <color indexed="81"/>
            <rFont val="Tahoma"/>
            <family val="2"/>
          </rPr>
          <t>TF("eqix","TF.PR.PriceAverageOverRange(sdate=#1,edate=#2)",,CO1,CQ1)</t>
        </r>
      </text>
    </comment>
    <comment ref="DH187" authorId="1">
      <text>
        <r>
          <rPr>
            <sz val="8"/>
            <color indexed="81"/>
            <rFont val="Tahoma"/>
            <family val="2"/>
          </rPr>
          <t>TF("eqix","TF.PR.PriceAverageOverRange(sdate=#1,edate=#2)",,CO1,CQ1)</t>
        </r>
      </text>
    </comment>
    <comment ref="DI187" authorId="1">
      <text>
        <r>
          <rPr>
            <sz val="8"/>
            <color indexed="81"/>
            <rFont val="Tahoma"/>
            <family val="2"/>
          </rPr>
          <t>TF("eqix","TF.PR.PriceAverageOverRange(sdate=#1,edate=#2)",,CO1,CQ1)</t>
        </r>
      </text>
    </comment>
    <comment ref="DJ187" authorId="1">
      <text>
        <r>
          <rPr>
            <sz val="8"/>
            <color indexed="81"/>
            <rFont val="Tahoma"/>
            <family val="2"/>
          </rPr>
          <t>TF("eqix","TF.PR.PriceAverageOverRange(sdate=#1,edate=#2)",,CO1,CQ1)</t>
        </r>
      </text>
    </comment>
    <comment ref="DK187" authorId="1">
      <text>
        <r>
          <rPr>
            <sz val="8"/>
            <color indexed="81"/>
            <rFont val="Tahoma"/>
            <family val="2"/>
          </rPr>
          <t>TF("eqix","TF.PR.PriceAverageOverRange(sdate=#1,edate=#2)",,CO1,CQ1)</t>
        </r>
      </text>
    </comment>
    <comment ref="DL187" authorId="1">
      <text>
        <r>
          <rPr>
            <sz val="8"/>
            <color indexed="81"/>
            <rFont val="Tahoma"/>
            <family val="2"/>
          </rPr>
          <t>TF("eqix","TF.PR.PriceAverageOverRange(sdate=#1,edate=#2)",,CO1,CQ1)</t>
        </r>
      </text>
    </comment>
    <comment ref="DM187" authorId="1">
      <text>
        <r>
          <rPr>
            <sz val="10"/>
            <color indexed="81"/>
            <rFont val="Tahoma"/>
            <family val="2"/>
          </rPr>
          <t>normalized for E&amp;P purge</t>
        </r>
      </text>
    </comment>
    <comment ref="DN187" authorId="1">
      <text>
        <r>
          <rPr>
            <sz val="10"/>
            <color indexed="81"/>
            <rFont val="Tahoma"/>
            <family val="2"/>
          </rPr>
          <t>$15.3 in quarter</t>
        </r>
      </text>
    </comment>
    <comment ref="DO187" authorId="1">
      <text>
        <r>
          <rPr>
            <sz val="10"/>
            <color indexed="81"/>
            <rFont val="Tahoma"/>
            <family val="2"/>
          </rPr>
          <t>$15.3 in quarter</t>
        </r>
      </text>
    </comment>
    <comment ref="DP187" authorId="1">
      <text>
        <r>
          <rPr>
            <sz val="10"/>
            <color indexed="81"/>
            <rFont val="Tahoma"/>
            <family val="2"/>
          </rPr>
          <t>$15.3 in quarter</t>
        </r>
      </text>
    </comment>
    <comment ref="DQ187" authorId="1">
      <text>
        <r>
          <rPr>
            <sz val="10"/>
            <color indexed="81"/>
            <rFont val="Tahoma"/>
            <family val="2"/>
          </rPr>
          <t>$15.3 in quarter</t>
        </r>
      </text>
    </comment>
    <comment ref="DE202" authorId="1">
      <text>
        <r>
          <rPr>
            <sz val="10"/>
            <color indexed="81"/>
            <rFont val="Tahoma"/>
            <family val="2"/>
          </rPr>
          <t xml:space="preserve">10/16/14 press release
First E&amp;P purge of $416M, up to 20% in cash
EQIX guidance:  Total E&amp;P purge range:  $1-1.1B
Assume 2 payments:  first after PLR ruling, second after REIT conversion in 2015
Assume 20% cash / 80% stock
</t>
        </r>
      </text>
    </comment>
    <comment ref="DC207" authorId="2">
      <text>
        <r>
          <rPr>
            <sz val="10"/>
            <color indexed="81"/>
            <rFont val="Tahoma"/>
            <family val="2"/>
          </rPr>
          <t>per 2Q14 10-Q</t>
        </r>
      </text>
    </comment>
    <comment ref="DE207" authorId="1">
      <text>
        <r>
          <rPr>
            <sz val="10"/>
            <color indexed="81"/>
            <rFont val="Tahoma"/>
            <family val="2"/>
          </rPr>
          <t>matures 10/15/14
per 10/15/14 8-K:  converted into 1,595,496 shares of common stock</t>
        </r>
      </text>
    </comment>
    <comment ref="DJ207" authorId="1">
      <text>
        <r>
          <rPr>
            <sz val="10"/>
            <color indexed="81"/>
            <rFont val="Tahoma"/>
            <family val="2"/>
          </rPr>
          <t>matures 3/15/16
per 4Q15 presentation:  converted into 1,960,896 shares of common stock</t>
        </r>
      </text>
    </comment>
    <comment ref="DC208" authorId="1">
      <text>
        <r>
          <rPr>
            <sz val="10"/>
            <color indexed="81"/>
            <rFont val="Tahoma"/>
            <family val="2"/>
          </rPr>
          <t>total amount exchanged, less cash of $5.4M
"In June 2014, the Company entered into an agreement with a note holder to exchange an aggregate of $217,199,000 of the principal amount of the 3.00% Convertible Subordinated Notes for 1,948,578 shares of the Company’s common stock and $5,387,000 in cash"</t>
        </r>
      </text>
    </comment>
    <comment ref="CT235" authorId="1">
      <text>
        <r>
          <rPr>
            <sz val="8"/>
            <color indexed="81"/>
            <rFont val="Tahoma"/>
            <family val="2"/>
          </rPr>
          <t>per earnings call</t>
        </r>
      </text>
    </comment>
    <comment ref="B238" authorId="1">
      <text>
        <r>
          <rPr>
            <sz val="8"/>
            <color indexed="81"/>
            <rFont val="Tahoma"/>
            <family val="2"/>
          </rPr>
          <t>cost of revenues, sg&amp;a less d&amp;a, stock-based comp</t>
        </r>
      </text>
    </comment>
    <comment ref="B239" authorId="1">
      <text>
        <r>
          <rPr>
            <sz val="8"/>
            <color indexed="81"/>
            <rFont val="Tahoma"/>
            <family val="2"/>
          </rPr>
          <t>16% of cash opex per 2012 analyst day presentation</t>
        </r>
      </text>
    </comment>
  </commentList>
</comments>
</file>

<file path=xl/comments8.xml><?xml version="1.0" encoding="utf-8"?>
<comments xmlns="http://schemas.openxmlformats.org/spreadsheetml/2006/main">
  <authors>
    <author>katzedwa</author>
    <author>laml</author>
    <author>Lam, Lisa (Research)</author>
  </authors>
  <commentList>
    <comment ref="H8" authorId="0">
      <text>
        <r>
          <rPr>
            <b/>
            <sz val="8"/>
            <color indexed="81"/>
            <rFont val="Tahoma"/>
            <family val="2"/>
          </rPr>
          <t>katzedwa:</t>
        </r>
        <r>
          <rPr>
            <sz val="8"/>
            <color indexed="81"/>
            <rFont val="Tahoma"/>
            <family val="2"/>
          </rPr>
          <t xml:space="preserve">
Re-classification as of 2004 10-K (Cash was as of 2003 60.428, ST Investments 12.543)</t>
        </r>
      </text>
    </comment>
    <comment ref="AY8" authorId="0">
      <text>
        <r>
          <rPr>
            <b/>
            <sz val="8"/>
            <color indexed="81"/>
            <rFont val="Tahoma"/>
            <family val="2"/>
          </rPr>
          <t>katzedwa:</t>
        </r>
        <r>
          <rPr>
            <sz val="8"/>
            <color indexed="81"/>
            <rFont val="Tahoma"/>
            <family val="2"/>
          </rPr>
          <t xml:space="preserve">
Revised (Cash 25.938 and ST Investments 64.50)  to reflect purchases of short term and long term investments</t>
        </r>
      </text>
    </comment>
    <comment ref="AG31" authorId="0">
      <text>
        <r>
          <rPr>
            <b/>
            <sz val="8"/>
            <color indexed="81"/>
            <rFont val="Tahoma"/>
            <family val="2"/>
          </rPr>
          <t>katzedwa:</t>
        </r>
        <r>
          <rPr>
            <sz val="8"/>
            <color indexed="81"/>
            <rFont val="Tahoma"/>
            <family val="2"/>
          </rPr>
          <t xml:space="preserve">
Total not broken out between payables and accruals</t>
        </r>
      </text>
    </comment>
    <comment ref="AH31" authorId="0">
      <text>
        <r>
          <rPr>
            <b/>
            <sz val="8"/>
            <color indexed="81"/>
            <rFont val="Tahoma"/>
            <family val="2"/>
          </rPr>
          <t>katzedwa:</t>
        </r>
        <r>
          <rPr>
            <sz val="8"/>
            <color indexed="81"/>
            <rFont val="Tahoma"/>
            <family val="2"/>
          </rPr>
          <t xml:space="preserve">
Total not broken out between payables and accruals</t>
        </r>
      </text>
    </comment>
    <comment ref="AJ31" authorId="0">
      <text>
        <r>
          <rPr>
            <b/>
            <sz val="8"/>
            <color indexed="81"/>
            <rFont val="Tahoma"/>
            <family val="2"/>
          </rPr>
          <t>katzedwa:</t>
        </r>
        <r>
          <rPr>
            <sz val="8"/>
            <color indexed="81"/>
            <rFont val="Tahoma"/>
            <family val="2"/>
          </rPr>
          <t xml:space="preserve">
Total not broken out between payables and accruals</t>
        </r>
      </text>
    </comment>
    <comment ref="AK31" authorId="0">
      <text>
        <r>
          <rPr>
            <b/>
            <sz val="8"/>
            <color indexed="81"/>
            <rFont val="Tahoma"/>
            <family val="2"/>
          </rPr>
          <t>katzedwa:</t>
        </r>
        <r>
          <rPr>
            <sz val="8"/>
            <color indexed="81"/>
            <rFont val="Tahoma"/>
            <family val="2"/>
          </rPr>
          <t xml:space="preserve">
Total not broken out between payables and accruals</t>
        </r>
      </text>
    </comment>
    <comment ref="AL31" authorId="0">
      <text>
        <r>
          <rPr>
            <b/>
            <sz val="8"/>
            <color indexed="81"/>
            <rFont val="Tahoma"/>
            <family val="2"/>
          </rPr>
          <t>katzedwa:</t>
        </r>
        <r>
          <rPr>
            <sz val="8"/>
            <color indexed="81"/>
            <rFont val="Tahoma"/>
            <family val="2"/>
          </rPr>
          <t xml:space="preserve">
Total not broken out between payables and accruals</t>
        </r>
      </text>
    </comment>
    <comment ref="AN31" authorId="0">
      <text>
        <r>
          <rPr>
            <b/>
            <sz val="8"/>
            <color indexed="81"/>
            <rFont val="Tahoma"/>
            <family val="2"/>
          </rPr>
          <t>katzedwa:</t>
        </r>
        <r>
          <rPr>
            <sz val="8"/>
            <color indexed="81"/>
            <rFont val="Tahoma"/>
            <family val="2"/>
          </rPr>
          <t xml:space="preserve">
Total not broken out between payables and accruals</t>
        </r>
      </text>
    </comment>
    <comment ref="AO31" authorId="0">
      <text>
        <r>
          <rPr>
            <b/>
            <sz val="8"/>
            <color indexed="81"/>
            <rFont val="Tahoma"/>
            <family val="2"/>
          </rPr>
          <t>katzedwa:</t>
        </r>
        <r>
          <rPr>
            <sz val="8"/>
            <color indexed="81"/>
            <rFont val="Tahoma"/>
            <family val="2"/>
          </rPr>
          <t xml:space="preserve">
Total not broken out between payables and accruals</t>
        </r>
      </text>
    </comment>
    <comment ref="AP31" authorId="0">
      <text>
        <r>
          <rPr>
            <b/>
            <sz val="8"/>
            <color indexed="81"/>
            <rFont val="Tahoma"/>
            <family val="2"/>
          </rPr>
          <t>katzedwa:</t>
        </r>
        <r>
          <rPr>
            <sz val="8"/>
            <color indexed="81"/>
            <rFont val="Tahoma"/>
            <family val="2"/>
          </rPr>
          <t xml:space="preserve">
Total not broken out between payables and accruals</t>
        </r>
      </text>
    </comment>
    <comment ref="AR31" authorId="0">
      <text>
        <r>
          <rPr>
            <b/>
            <sz val="8"/>
            <color indexed="81"/>
            <rFont val="Tahoma"/>
            <family val="2"/>
          </rPr>
          <t>katzedwa:</t>
        </r>
        <r>
          <rPr>
            <sz val="8"/>
            <color indexed="81"/>
            <rFont val="Tahoma"/>
            <family val="2"/>
          </rPr>
          <t xml:space="preserve">
Total not broken out between payables and accruals</t>
        </r>
      </text>
    </comment>
    <comment ref="AS31" authorId="0">
      <text>
        <r>
          <rPr>
            <b/>
            <sz val="8"/>
            <color indexed="81"/>
            <rFont val="Tahoma"/>
            <family val="2"/>
          </rPr>
          <t>katzedwa:</t>
        </r>
        <r>
          <rPr>
            <sz val="8"/>
            <color indexed="81"/>
            <rFont val="Tahoma"/>
            <family val="2"/>
          </rPr>
          <t xml:space="preserve">
Total not broken out between payables and accruals</t>
        </r>
      </text>
    </comment>
    <comment ref="AV31" authorId="0">
      <text>
        <r>
          <rPr>
            <b/>
            <sz val="8"/>
            <color indexed="81"/>
            <rFont val="Tahoma"/>
            <family val="2"/>
          </rPr>
          <t>katzedwa:</t>
        </r>
        <r>
          <rPr>
            <sz val="8"/>
            <color indexed="81"/>
            <rFont val="Tahoma"/>
            <family val="2"/>
          </rPr>
          <t xml:space="preserve">
Total not broken out between payables and accruals</t>
        </r>
      </text>
    </comment>
    <comment ref="AW31" authorId="0">
      <text>
        <r>
          <rPr>
            <b/>
            <sz val="8"/>
            <color indexed="81"/>
            <rFont val="Tahoma"/>
            <family val="2"/>
          </rPr>
          <t>katzedwa:</t>
        </r>
        <r>
          <rPr>
            <sz val="8"/>
            <color indexed="81"/>
            <rFont val="Tahoma"/>
            <family val="2"/>
          </rPr>
          <t xml:space="preserve">
Total not broken out between payables and accruals</t>
        </r>
      </text>
    </comment>
    <comment ref="AX31" authorId="0">
      <text>
        <r>
          <rPr>
            <b/>
            <sz val="8"/>
            <color indexed="81"/>
            <rFont val="Tahoma"/>
            <family val="2"/>
          </rPr>
          <t>katzedwa:</t>
        </r>
        <r>
          <rPr>
            <sz val="8"/>
            <color indexed="81"/>
            <rFont val="Tahoma"/>
            <family val="2"/>
          </rPr>
          <t xml:space="preserve">
Total not broken out between payables and accruals</t>
        </r>
      </text>
    </comment>
    <comment ref="BN31" authorId="0">
      <text>
        <r>
          <rPr>
            <b/>
            <sz val="8"/>
            <color indexed="81"/>
            <rFont val="Tahoma"/>
            <family val="2"/>
          </rPr>
          <t>katzedwa:</t>
        </r>
        <r>
          <rPr>
            <sz val="8"/>
            <color indexed="81"/>
            <rFont val="Tahoma"/>
            <family val="2"/>
          </rPr>
          <t xml:space="preserve">
Total not broken out between payables and accruals</t>
        </r>
      </text>
    </comment>
    <comment ref="AG42" authorId="0">
      <text>
        <r>
          <rPr>
            <b/>
            <sz val="8"/>
            <color indexed="81"/>
            <rFont val="Tahoma"/>
            <family val="2"/>
          </rPr>
          <t>katzedwa:</t>
        </r>
        <r>
          <rPr>
            <sz val="8"/>
            <color indexed="81"/>
            <rFont val="Tahoma"/>
            <family val="2"/>
          </rPr>
          <t xml:space="preserve">
Total of current portions of debt facilities and capital leases</t>
        </r>
      </text>
    </comment>
    <comment ref="AH42" authorId="0">
      <text>
        <r>
          <rPr>
            <b/>
            <sz val="8"/>
            <color indexed="81"/>
            <rFont val="Tahoma"/>
            <family val="2"/>
          </rPr>
          <t>katzedwa:</t>
        </r>
        <r>
          <rPr>
            <sz val="8"/>
            <color indexed="81"/>
            <rFont val="Tahoma"/>
            <family val="2"/>
          </rPr>
          <t xml:space="preserve">
Total of current portions of debt facilities and capital leases</t>
        </r>
      </text>
    </comment>
    <comment ref="AI42" authorId="0">
      <text>
        <r>
          <rPr>
            <b/>
            <sz val="8"/>
            <color indexed="81"/>
            <rFont val="Tahoma"/>
            <family val="2"/>
          </rPr>
          <t>katzedwa:</t>
        </r>
        <r>
          <rPr>
            <sz val="8"/>
            <color indexed="81"/>
            <rFont val="Tahoma"/>
            <family val="2"/>
          </rPr>
          <t xml:space="preserve">
Total of current portions of debt facilities and capital leases</t>
        </r>
      </text>
    </comment>
    <comment ref="AJ42" authorId="0">
      <text>
        <r>
          <rPr>
            <b/>
            <sz val="8"/>
            <color indexed="81"/>
            <rFont val="Tahoma"/>
            <family val="2"/>
          </rPr>
          <t>katzedwa:</t>
        </r>
        <r>
          <rPr>
            <sz val="8"/>
            <color indexed="81"/>
            <rFont val="Tahoma"/>
            <family val="2"/>
          </rPr>
          <t xml:space="preserve">
Total of current portions of debt facilities and capital leases</t>
        </r>
      </text>
    </comment>
    <comment ref="AK42" authorId="0">
      <text>
        <r>
          <rPr>
            <b/>
            <sz val="8"/>
            <color indexed="81"/>
            <rFont val="Tahoma"/>
            <family val="2"/>
          </rPr>
          <t>katzedwa:</t>
        </r>
        <r>
          <rPr>
            <sz val="8"/>
            <color indexed="81"/>
            <rFont val="Tahoma"/>
            <family val="2"/>
          </rPr>
          <t xml:space="preserve">
Total of current portions of debt facilities and capital leases</t>
        </r>
      </text>
    </comment>
    <comment ref="AL42" authorId="0">
      <text>
        <r>
          <rPr>
            <b/>
            <sz val="8"/>
            <color indexed="81"/>
            <rFont val="Tahoma"/>
            <family val="2"/>
          </rPr>
          <t>katzedwa:</t>
        </r>
        <r>
          <rPr>
            <sz val="8"/>
            <color indexed="81"/>
            <rFont val="Tahoma"/>
            <family val="2"/>
          </rPr>
          <t xml:space="preserve">
Total of current portions of debt facilities and capital leases</t>
        </r>
      </text>
    </comment>
    <comment ref="AM42" authorId="0">
      <text>
        <r>
          <rPr>
            <b/>
            <sz val="8"/>
            <color indexed="81"/>
            <rFont val="Tahoma"/>
            <family val="2"/>
          </rPr>
          <t>katzedwa:</t>
        </r>
        <r>
          <rPr>
            <sz val="8"/>
            <color indexed="81"/>
            <rFont val="Tahoma"/>
            <family val="2"/>
          </rPr>
          <t xml:space="preserve">
Total of current portions of debt facilities and capital leases</t>
        </r>
      </text>
    </comment>
    <comment ref="AN42" authorId="0">
      <text>
        <r>
          <rPr>
            <b/>
            <sz val="8"/>
            <color indexed="81"/>
            <rFont val="Tahoma"/>
            <family val="2"/>
          </rPr>
          <t>katzedwa:</t>
        </r>
        <r>
          <rPr>
            <sz val="8"/>
            <color indexed="81"/>
            <rFont val="Tahoma"/>
            <family val="2"/>
          </rPr>
          <t xml:space="preserve">
Total of current portions of debt facilities and capital leases</t>
        </r>
      </text>
    </comment>
    <comment ref="AO42" authorId="0">
      <text>
        <r>
          <rPr>
            <b/>
            <sz val="8"/>
            <color indexed="81"/>
            <rFont val="Tahoma"/>
            <family val="2"/>
          </rPr>
          <t>katzedwa:</t>
        </r>
        <r>
          <rPr>
            <sz val="8"/>
            <color indexed="81"/>
            <rFont val="Tahoma"/>
            <family val="2"/>
          </rPr>
          <t xml:space="preserve">
Total of current portions of debt facilities and capital leases</t>
        </r>
      </text>
    </comment>
    <comment ref="AP42" authorId="0">
      <text>
        <r>
          <rPr>
            <b/>
            <sz val="8"/>
            <color indexed="81"/>
            <rFont val="Tahoma"/>
            <family val="2"/>
          </rPr>
          <t>katzedwa:</t>
        </r>
        <r>
          <rPr>
            <sz val="8"/>
            <color indexed="81"/>
            <rFont val="Tahoma"/>
            <family val="2"/>
          </rPr>
          <t xml:space="preserve">
Total of current portions of debt facilities and capital leases</t>
        </r>
      </text>
    </comment>
    <comment ref="AG55" authorId="0">
      <text>
        <r>
          <rPr>
            <b/>
            <sz val="8"/>
            <color indexed="81"/>
            <rFont val="Tahoma"/>
            <family val="2"/>
          </rPr>
          <t>katzedwa:</t>
        </r>
        <r>
          <rPr>
            <sz val="8"/>
            <color indexed="81"/>
            <rFont val="Tahoma"/>
            <family val="2"/>
          </rPr>
          <t xml:space="preserve">
Total of debt facilities and lease obligations, less current portions</t>
        </r>
      </text>
    </comment>
    <comment ref="AH55" authorId="0">
      <text>
        <r>
          <rPr>
            <b/>
            <sz val="8"/>
            <color indexed="81"/>
            <rFont val="Tahoma"/>
            <family val="2"/>
          </rPr>
          <t>katzedwa:</t>
        </r>
        <r>
          <rPr>
            <sz val="8"/>
            <color indexed="81"/>
            <rFont val="Tahoma"/>
            <family val="2"/>
          </rPr>
          <t xml:space="preserve">
Total of debt facilities and lease obligations, less current portions</t>
        </r>
      </text>
    </comment>
    <comment ref="AI55" authorId="0">
      <text>
        <r>
          <rPr>
            <b/>
            <sz val="8"/>
            <color indexed="81"/>
            <rFont val="Tahoma"/>
            <family val="2"/>
          </rPr>
          <t>katzedwa:</t>
        </r>
        <r>
          <rPr>
            <sz val="8"/>
            <color indexed="81"/>
            <rFont val="Tahoma"/>
            <family val="2"/>
          </rPr>
          <t xml:space="preserve">
Total of debt facilities and lease obligations, less current portions</t>
        </r>
      </text>
    </comment>
    <comment ref="AJ55" authorId="0">
      <text>
        <r>
          <rPr>
            <b/>
            <sz val="8"/>
            <color indexed="81"/>
            <rFont val="Tahoma"/>
            <family val="2"/>
          </rPr>
          <t>katzedwa:</t>
        </r>
        <r>
          <rPr>
            <sz val="8"/>
            <color indexed="81"/>
            <rFont val="Tahoma"/>
            <family val="2"/>
          </rPr>
          <t xml:space="preserve">
Total of debt facilities and lease obligations, less current portions</t>
        </r>
      </text>
    </comment>
    <comment ref="AK55" authorId="0">
      <text>
        <r>
          <rPr>
            <b/>
            <sz val="8"/>
            <color indexed="81"/>
            <rFont val="Tahoma"/>
            <family val="2"/>
          </rPr>
          <t>katzedwa:</t>
        </r>
        <r>
          <rPr>
            <sz val="8"/>
            <color indexed="81"/>
            <rFont val="Tahoma"/>
            <family val="2"/>
          </rPr>
          <t xml:space="preserve">
Total of debt facilities and lease obligations, less current portions</t>
        </r>
      </text>
    </comment>
    <comment ref="AL55" authorId="0">
      <text>
        <r>
          <rPr>
            <b/>
            <sz val="8"/>
            <color indexed="81"/>
            <rFont val="Tahoma"/>
            <family val="2"/>
          </rPr>
          <t>katzedwa:</t>
        </r>
        <r>
          <rPr>
            <sz val="8"/>
            <color indexed="81"/>
            <rFont val="Tahoma"/>
            <family val="2"/>
          </rPr>
          <t xml:space="preserve">
Total of debt facilities and lease obligations, less current portions</t>
        </r>
      </text>
    </comment>
    <comment ref="AM55" authorId="0">
      <text>
        <r>
          <rPr>
            <b/>
            <sz val="8"/>
            <color indexed="81"/>
            <rFont val="Tahoma"/>
            <family val="2"/>
          </rPr>
          <t>katzedwa:</t>
        </r>
        <r>
          <rPr>
            <sz val="8"/>
            <color indexed="81"/>
            <rFont val="Tahoma"/>
            <family val="2"/>
          </rPr>
          <t xml:space="preserve">
Total of debt facilities and lease obligations, less current portions</t>
        </r>
      </text>
    </comment>
    <comment ref="AN55" authorId="0">
      <text>
        <r>
          <rPr>
            <b/>
            <sz val="8"/>
            <color indexed="81"/>
            <rFont val="Tahoma"/>
            <family val="2"/>
          </rPr>
          <t>katzedwa:</t>
        </r>
        <r>
          <rPr>
            <sz val="8"/>
            <color indexed="81"/>
            <rFont val="Tahoma"/>
            <family val="2"/>
          </rPr>
          <t xml:space="preserve">
Total of debt facilities and lease obligations, less current portions</t>
        </r>
      </text>
    </comment>
    <comment ref="AO55" authorId="0">
      <text>
        <r>
          <rPr>
            <b/>
            <sz val="8"/>
            <color indexed="81"/>
            <rFont val="Tahoma"/>
            <family val="2"/>
          </rPr>
          <t>katzedwa:</t>
        </r>
        <r>
          <rPr>
            <sz val="8"/>
            <color indexed="81"/>
            <rFont val="Tahoma"/>
            <family val="2"/>
          </rPr>
          <t xml:space="preserve">
Total of debt facilities and lease obligations, less current portions</t>
        </r>
      </text>
    </comment>
    <comment ref="AP55" authorId="0">
      <text>
        <r>
          <rPr>
            <b/>
            <sz val="8"/>
            <color indexed="81"/>
            <rFont val="Tahoma"/>
            <family val="2"/>
          </rPr>
          <t>katzedwa:</t>
        </r>
        <r>
          <rPr>
            <sz val="8"/>
            <color indexed="81"/>
            <rFont val="Tahoma"/>
            <family val="2"/>
          </rPr>
          <t xml:space="preserve">
Total of debt facilities and lease obligations, less current portions</t>
        </r>
      </text>
    </comment>
    <comment ref="AQ55" authorId="0">
      <text>
        <r>
          <rPr>
            <b/>
            <sz val="8"/>
            <color indexed="81"/>
            <rFont val="Tahoma"/>
            <family val="2"/>
          </rPr>
          <t>katzedwa:</t>
        </r>
        <r>
          <rPr>
            <sz val="8"/>
            <color indexed="81"/>
            <rFont val="Tahoma"/>
            <family val="2"/>
          </rPr>
          <t xml:space="preserve">
Total of debt facilities and lease obligations, less current portions</t>
        </r>
      </text>
    </comment>
    <comment ref="AR55" authorId="0">
      <text>
        <r>
          <rPr>
            <b/>
            <sz val="8"/>
            <color indexed="81"/>
            <rFont val="Tahoma"/>
            <family val="2"/>
          </rPr>
          <t>katzedwa:</t>
        </r>
        <r>
          <rPr>
            <sz val="8"/>
            <color indexed="81"/>
            <rFont val="Tahoma"/>
            <family val="2"/>
          </rPr>
          <t xml:space="preserve">
Total of debt facilities and lease obligations, less current portions</t>
        </r>
      </text>
    </comment>
    <comment ref="CA67" authorId="1">
      <text>
        <r>
          <rPr>
            <sz val="8"/>
            <color indexed="81"/>
            <rFont val="Tahoma"/>
            <family val="2"/>
          </rPr>
          <t>plug to match BS to company PF adjustments on 3q12 earnings release</t>
        </r>
      </text>
    </comment>
    <comment ref="CC67" authorId="1">
      <text>
        <r>
          <rPr>
            <sz val="8"/>
            <color indexed="81"/>
            <rFont val="Tahoma"/>
            <family val="2"/>
          </rPr>
          <t>plug to match BS to company PF adjustments on 3q12 earnings release</t>
        </r>
      </text>
    </comment>
    <comment ref="BU121" authorId="0">
      <text>
        <r>
          <rPr>
            <b/>
            <sz val="8"/>
            <color indexed="81"/>
            <rFont val="Tahoma"/>
            <family val="2"/>
          </rPr>
          <t>katzedwa:</t>
        </r>
        <r>
          <rPr>
            <sz val="8"/>
            <color indexed="81"/>
            <rFont val="Tahoma"/>
            <family val="2"/>
          </rPr>
          <t xml:space="preserve">
Ex-SDXC Adds with Merger</t>
        </r>
      </text>
    </comment>
    <comment ref="B124" authorId="2">
      <text>
        <r>
          <rPr>
            <sz val="10"/>
            <color indexed="81"/>
            <rFont val="Tahoma"/>
            <family val="2"/>
          </rPr>
          <t>renamed in 1Q15 from "expansion capex"</t>
        </r>
      </text>
    </comment>
    <comment ref="O124" authorId="0">
      <text>
        <r>
          <rPr>
            <b/>
            <sz val="8"/>
            <color indexed="81"/>
            <rFont val="Tahoma"/>
            <family val="2"/>
          </rPr>
          <t>katzedwa:</t>
        </r>
        <r>
          <rPr>
            <sz val="8"/>
            <color indexed="81"/>
            <rFont val="Tahoma"/>
            <family val="2"/>
          </rPr>
          <t xml:space="preserve">
Guidance: 420 - 470</t>
        </r>
      </text>
    </comment>
    <comment ref="P124" authorId="0">
      <text>
        <r>
          <rPr>
            <b/>
            <sz val="8"/>
            <color indexed="81"/>
            <rFont val="Tahoma"/>
            <family val="2"/>
          </rPr>
          <t>katzedwa:</t>
        </r>
        <r>
          <rPr>
            <sz val="8"/>
            <color indexed="81"/>
            <rFont val="Tahoma"/>
            <family val="2"/>
          </rPr>
          <t xml:space="preserve">
Guidance (1Q11): $500 - $550M</t>
        </r>
      </text>
    </comment>
    <comment ref="Q124" authorId="0">
      <text>
        <r>
          <rPr>
            <sz val="8"/>
            <color indexed="81"/>
            <rFont val="Tahoma"/>
            <family val="2"/>
          </rPr>
          <t>$625 - $645m</t>
        </r>
      </text>
    </comment>
    <comment ref="R124" authorId="1">
      <text>
        <r>
          <rPr>
            <sz val="10"/>
            <color indexed="81"/>
            <rFont val="Tahoma"/>
            <family val="2"/>
          </rPr>
          <t>guidance:  $410-460mm</t>
        </r>
      </text>
    </comment>
    <comment ref="BV124" authorId="0">
      <text>
        <r>
          <rPr>
            <b/>
            <sz val="8"/>
            <color indexed="81"/>
            <rFont val="Tahoma"/>
            <family val="2"/>
          </rPr>
          <t>katzedwa:</t>
        </r>
        <r>
          <rPr>
            <sz val="8"/>
            <color indexed="81"/>
            <rFont val="Tahoma"/>
            <family val="2"/>
          </rPr>
          <t xml:space="preserve">
Guidance: 140 - 165</t>
        </r>
      </text>
    </comment>
    <comment ref="BW124" authorId="0">
      <text>
        <r>
          <rPr>
            <b/>
            <sz val="8"/>
            <color indexed="81"/>
            <rFont val="Tahoma"/>
            <family val="2"/>
          </rPr>
          <t xml:space="preserve">Guidance: </t>
        </r>
        <r>
          <rPr>
            <b/>
            <sz val="8"/>
            <color indexed="81"/>
            <rFont val="Tahoma"/>
            <family val="2"/>
          </rPr>
          <t>96 - 116</t>
        </r>
      </text>
    </comment>
    <comment ref="BX124" authorId="0">
      <text>
        <r>
          <rPr>
            <b/>
            <sz val="8"/>
            <color indexed="81"/>
            <rFont val="Tahoma"/>
            <family val="2"/>
          </rPr>
          <t>160</t>
        </r>
      </text>
    </comment>
    <comment ref="CJ124" authorId="2">
      <text>
        <r>
          <rPr>
            <sz val="10"/>
            <color indexed="81"/>
            <rFont val="Tahoma"/>
            <family val="2"/>
          </rPr>
          <t>restated in 1Q15</t>
        </r>
      </text>
    </comment>
    <comment ref="CK124" authorId="2">
      <text>
        <r>
          <rPr>
            <sz val="10"/>
            <color indexed="81"/>
            <rFont val="Tahoma"/>
            <family val="2"/>
          </rPr>
          <t>restated in 1Q15</t>
        </r>
      </text>
    </comment>
    <comment ref="CL124" authorId="2">
      <text>
        <r>
          <rPr>
            <sz val="10"/>
            <color indexed="81"/>
            <rFont val="Tahoma"/>
            <family val="2"/>
          </rPr>
          <t>restated in 1Q15</t>
        </r>
      </text>
    </comment>
    <comment ref="CM124" authorId="2">
      <text>
        <r>
          <rPr>
            <sz val="10"/>
            <color indexed="81"/>
            <rFont val="Tahoma"/>
            <family val="2"/>
          </rPr>
          <t>restated in 1Q15</t>
        </r>
      </text>
    </comment>
    <comment ref="CQ124" authorId="2">
      <text>
        <r>
          <rPr>
            <sz val="10"/>
            <color indexed="81"/>
            <rFont val="Tahoma"/>
            <family val="2"/>
          </rPr>
          <t>includes Bit-isle as of Nov 2nd</t>
        </r>
      </text>
    </comment>
    <comment ref="CR124" authorId="2">
      <text>
        <r>
          <rPr>
            <sz val="10"/>
            <color indexed="81"/>
            <rFont val="Tahoma"/>
            <family val="2"/>
          </rPr>
          <t>includes Telecity as of Jan 15th</t>
        </r>
      </text>
    </comment>
    <comment ref="CS124" authorId="2">
      <text>
        <r>
          <rPr>
            <sz val="10"/>
            <color indexed="81"/>
            <rFont val="Tahoma"/>
            <family val="2"/>
          </rPr>
          <t>includes Telecity as of Jan 15th</t>
        </r>
      </text>
    </comment>
    <comment ref="CT124" authorId="2">
      <text>
        <r>
          <rPr>
            <sz val="10"/>
            <color indexed="81"/>
            <rFont val="Tahoma"/>
            <family val="2"/>
          </rPr>
          <t>includes Telecity as of Jan 15th</t>
        </r>
      </text>
    </comment>
    <comment ref="CU124" authorId="2">
      <text>
        <r>
          <rPr>
            <sz val="10"/>
            <color indexed="81"/>
            <rFont val="Tahoma"/>
            <family val="2"/>
          </rPr>
          <t>includes Telecity as of Jan 15th</t>
        </r>
      </text>
    </comment>
    <comment ref="CV124" authorId="2">
      <text>
        <r>
          <rPr>
            <sz val="10"/>
            <color indexed="81"/>
            <rFont val="Tahoma"/>
            <family val="2"/>
          </rPr>
          <t>includes Telecity as of Jan 15th</t>
        </r>
      </text>
    </comment>
    <comment ref="B127" authorId="2">
      <text>
        <r>
          <rPr>
            <sz val="9"/>
            <color indexed="81"/>
            <rFont val="Tahoma"/>
            <family val="2"/>
          </rPr>
          <t>newly defined on 2Q14</t>
        </r>
      </text>
    </comment>
    <comment ref="O127" authorId="0">
      <text>
        <r>
          <rPr>
            <b/>
            <sz val="8"/>
            <color indexed="81"/>
            <rFont val="Tahoma"/>
            <family val="2"/>
          </rPr>
          <t>katzedwa:</t>
        </r>
        <r>
          <rPr>
            <sz val="8"/>
            <color indexed="81"/>
            <rFont val="Tahoma"/>
            <family val="2"/>
          </rPr>
          <t xml:space="preserve">
Guidance: 420 - 470</t>
        </r>
      </text>
    </comment>
    <comment ref="P127" authorId="0">
      <text>
        <r>
          <rPr>
            <b/>
            <sz val="8"/>
            <color indexed="81"/>
            <rFont val="Tahoma"/>
            <family val="2"/>
          </rPr>
          <t>katzedwa:</t>
        </r>
        <r>
          <rPr>
            <sz val="8"/>
            <color indexed="81"/>
            <rFont val="Tahoma"/>
            <family val="2"/>
          </rPr>
          <t xml:space="preserve">
Guidance (1Q11): $115M</t>
        </r>
      </text>
    </comment>
    <comment ref="Q127" authorId="0">
      <text>
        <r>
          <rPr>
            <sz val="8"/>
            <color indexed="81"/>
            <rFont val="Tahoma"/>
            <family val="2"/>
          </rPr>
          <t>$145mm</t>
        </r>
      </text>
    </comment>
    <comment ref="R127" authorId="1">
      <text>
        <r>
          <rPr>
            <sz val="10"/>
            <color indexed="81"/>
            <rFont val="Tahoma"/>
            <family val="2"/>
          </rPr>
          <t>guidance:  $165mm</t>
        </r>
      </text>
    </comment>
    <comment ref="S127" authorId="1">
      <text>
        <r>
          <rPr>
            <sz val="10"/>
            <color indexed="81"/>
            <rFont val="Tahoma"/>
            <family val="2"/>
          </rPr>
          <t>guidance:  $165mm</t>
        </r>
      </text>
    </comment>
    <comment ref="T127" authorId="1">
      <text>
        <r>
          <rPr>
            <sz val="10"/>
            <color indexed="81"/>
            <rFont val="Tahoma"/>
            <family val="2"/>
          </rPr>
          <t>guidance:  $165mm</t>
        </r>
      </text>
    </comment>
    <comment ref="U127" authorId="1">
      <text>
        <r>
          <rPr>
            <sz val="10"/>
            <color indexed="81"/>
            <rFont val="Tahoma"/>
            <family val="2"/>
          </rPr>
          <t>guidance:  $165mm</t>
        </r>
      </text>
    </comment>
    <comment ref="V127" authorId="1">
      <text>
        <r>
          <rPr>
            <sz val="10"/>
            <color indexed="81"/>
            <rFont val="Tahoma"/>
            <family val="2"/>
          </rPr>
          <t>guidance:  $165mm</t>
        </r>
      </text>
    </comment>
    <comment ref="W127" authorId="1">
      <text>
        <r>
          <rPr>
            <sz val="10"/>
            <color indexed="81"/>
            <rFont val="Tahoma"/>
            <family val="2"/>
          </rPr>
          <t>guidance:  $165mm</t>
        </r>
      </text>
    </comment>
    <comment ref="AX127" authorId="0">
      <text>
        <r>
          <rPr>
            <b/>
            <sz val="8"/>
            <color indexed="81"/>
            <rFont val="Tahoma"/>
            <family val="2"/>
          </rPr>
          <t>katzedwa:</t>
        </r>
        <r>
          <rPr>
            <sz val="8"/>
            <color indexed="81"/>
            <rFont val="Tahoma"/>
            <family val="2"/>
          </rPr>
          <t xml:space="preserve">
$1.5M directly related to directly billable capex to complete US govt project</t>
        </r>
      </text>
    </comment>
    <comment ref="AY127" authorId="0">
      <text>
        <r>
          <rPr>
            <b/>
            <sz val="8"/>
            <color indexed="81"/>
            <rFont val="Tahoma"/>
            <family val="2"/>
          </rPr>
          <t>katzedwa:</t>
        </r>
        <r>
          <rPr>
            <sz val="8"/>
            <color indexed="81"/>
            <rFont val="Tahoma"/>
            <family val="2"/>
          </rPr>
          <t xml:space="preserve">
$539,000 directly related to directly billable capex to complete US govt project</t>
        </r>
      </text>
    </comment>
    <comment ref="BP127" authorId="0">
      <text>
        <r>
          <rPr>
            <b/>
            <sz val="8"/>
            <color indexed="81"/>
            <rFont val="Tahoma"/>
            <family val="2"/>
          </rPr>
          <t>katzedwa:</t>
        </r>
        <r>
          <rPr>
            <sz val="8"/>
            <color indexed="81"/>
            <rFont val="Tahoma"/>
            <family val="2"/>
          </rPr>
          <t xml:space="preserve">
Guidance: $20M</t>
        </r>
      </text>
    </comment>
    <comment ref="BV127" authorId="0">
      <text>
        <r>
          <rPr>
            <b/>
            <sz val="8"/>
            <color indexed="81"/>
            <rFont val="Tahoma"/>
            <family val="2"/>
          </rPr>
          <t>katzedwa:</t>
        </r>
        <r>
          <rPr>
            <sz val="8"/>
            <color indexed="81"/>
            <rFont val="Tahoma"/>
            <family val="2"/>
          </rPr>
          <t xml:space="preserve">
Guidance: 45</t>
        </r>
      </text>
    </comment>
    <comment ref="BW127" authorId="0">
      <text>
        <r>
          <rPr>
            <b/>
            <sz val="8"/>
            <color indexed="81"/>
            <rFont val="Tahoma"/>
            <family val="2"/>
          </rPr>
          <t>Guidance: $28</t>
        </r>
      </text>
    </comment>
    <comment ref="BX127" authorId="0">
      <text>
        <r>
          <rPr>
            <b/>
            <sz val="8"/>
            <color indexed="81"/>
            <rFont val="Tahoma"/>
            <family val="2"/>
          </rPr>
          <t>25</t>
        </r>
      </text>
    </comment>
    <comment ref="CJ127" authorId="2">
      <text>
        <r>
          <rPr>
            <sz val="10"/>
            <color indexed="81"/>
            <rFont val="Tahoma"/>
            <family val="2"/>
          </rPr>
          <t>restated in 1Q15</t>
        </r>
      </text>
    </comment>
    <comment ref="CK127" authorId="2">
      <text>
        <r>
          <rPr>
            <sz val="10"/>
            <color indexed="81"/>
            <rFont val="Tahoma"/>
            <family val="2"/>
          </rPr>
          <t>restated in 1Q15</t>
        </r>
      </text>
    </comment>
    <comment ref="CL127" authorId="2">
      <text>
        <r>
          <rPr>
            <sz val="10"/>
            <color indexed="81"/>
            <rFont val="Tahoma"/>
            <family val="2"/>
          </rPr>
          <t>restated in 1Q15</t>
        </r>
      </text>
    </comment>
    <comment ref="CM127" authorId="2">
      <text>
        <r>
          <rPr>
            <sz val="10"/>
            <color indexed="81"/>
            <rFont val="Tahoma"/>
            <family val="2"/>
          </rPr>
          <t>restated in 1Q15</t>
        </r>
      </text>
    </comment>
    <comment ref="CQ127" authorId="2">
      <text>
        <r>
          <rPr>
            <sz val="10"/>
            <color indexed="81"/>
            <rFont val="Tahoma"/>
            <family val="2"/>
          </rPr>
          <t>includes Bit-isle as of Nov 2nd</t>
        </r>
      </text>
    </comment>
    <comment ref="CR127" authorId="2">
      <text>
        <r>
          <rPr>
            <sz val="10"/>
            <color indexed="81"/>
            <rFont val="Tahoma"/>
            <family val="2"/>
          </rPr>
          <t>includes Telecity as of Jan 15th</t>
        </r>
      </text>
    </comment>
    <comment ref="Z128" authorId="0">
      <text>
        <r>
          <rPr>
            <b/>
            <sz val="8"/>
            <color indexed="81"/>
            <rFont val="Tahoma"/>
            <family val="2"/>
          </rPr>
          <t>katzedwa:</t>
        </r>
        <r>
          <rPr>
            <sz val="8"/>
            <color indexed="81"/>
            <rFont val="Tahoma"/>
            <family val="2"/>
          </rPr>
          <t xml:space="preserve">
Long-term guidance: 5%</t>
        </r>
      </text>
    </comment>
    <comment ref="B130" authorId="2">
      <text>
        <r>
          <rPr>
            <sz val="10"/>
            <color indexed="81"/>
            <rFont val="Tahoma"/>
            <family val="2"/>
          </rPr>
          <t>temporary, until historical numbers available via EQIX</t>
        </r>
      </text>
    </comment>
    <comment ref="B131" authorId="2">
      <text>
        <r>
          <rPr>
            <sz val="10"/>
            <color indexed="81"/>
            <rFont val="Tahoma"/>
            <family val="2"/>
          </rPr>
          <t>temporary, until historical numbers available via EQIX
expansion capex only
maintenance capex captured in recurring capex calc</t>
        </r>
      </text>
    </comment>
    <comment ref="P133" authorId="0">
      <text>
        <r>
          <rPr>
            <b/>
            <sz val="8"/>
            <color indexed="81"/>
            <rFont val="Tahoma"/>
            <family val="2"/>
          </rPr>
          <t>katzedwa:</t>
        </r>
        <r>
          <rPr>
            <sz val="8"/>
            <color indexed="81"/>
            <rFont val="Tahoma"/>
            <family val="2"/>
          </rPr>
          <t xml:space="preserve">
615 - 665</t>
        </r>
      </text>
    </comment>
    <comment ref="Q133" authorId="0">
      <text>
        <r>
          <rPr>
            <b/>
            <sz val="8"/>
            <color indexed="81"/>
            <rFont val="Tahoma"/>
            <family val="2"/>
          </rPr>
          <t>$770 - $790M</t>
        </r>
      </text>
    </comment>
    <comment ref="R133" authorId="1">
      <text>
        <r>
          <rPr>
            <sz val="10"/>
            <color indexed="81"/>
            <rFont val="Tahoma"/>
            <family val="2"/>
          </rPr>
          <t>guidance:  $575 - 625mm</t>
        </r>
      </text>
    </comment>
    <comment ref="S133" authorId="1">
      <text>
        <r>
          <rPr>
            <sz val="10"/>
            <color indexed="81"/>
            <rFont val="Tahoma"/>
            <family val="2"/>
          </rPr>
          <t>guidance:  $575 - 625mm</t>
        </r>
      </text>
    </comment>
    <comment ref="CQ137" authorId="2">
      <text>
        <r>
          <rPr>
            <sz val="10"/>
            <color indexed="81"/>
            <rFont val="Tahoma"/>
            <family val="2"/>
          </rPr>
          <t>Bit-isle</t>
        </r>
      </text>
    </comment>
    <comment ref="CR137" authorId="2">
      <text>
        <r>
          <rPr>
            <sz val="10"/>
            <color indexed="81"/>
            <rFont val="Tahoma"/>
            <family val="2"/>
          </rPr>
          <t>Telecity</t>
        </r>
      </text>
    </comment>
    <comment ref="CR140" authorId="2">
      <text>
        <r>
          <rPr>
            <sz val="9"/>
            <color indexed="81"/>
            <rFont val="Tahoma"/>
            <family val="2"/>
          </rPr>
          <t>USD/GBP</t>
        </r>
      </text>
    </comment>
    <comment ref="CR144" authorId="2">
      <text>
        <r>
          <rPr>
            <sz val="10"/>
            <color indexed="81"/>
            <rFont val="Tahoma"/>
            <family val="2"/>
          </rPr>
          <t>price of November offering</t>
        </r>
      </text>
    </comment>
    <comment ref="CR145" authorId="2">
      <text>
        <r>
          <rPr>
            <sz val="10"/>
            <color indexed="81"/>
            <rFont val="Tahoma"/>
            <family val="2"/>
          </rPr>
          <t>11/20 prospectus p. S-31 + Note 6
Telecity capital leases (current, non-current), adjusted for fair value
Telecity mortgage and loans payable to be payed down by EQIX</t>
        </r>
      </text>
    </comment>
    <comment ref="B155" authorId="2">
      <text>
        <r>
          <rPr>
            <sz val="10"/>
            <color indexed="81"/>
            <rFont val="Tahoma"/>
            <family val="2"/>
          </rPr>
          <t>resated in 4Q15.  Previously was "IBX plant and machinery", "IBX equipment"</t>
        </r>
      </text>
    </comment>
    <comment ref="B157" authorId="2">
      <text>
        <r>
          <rPr>
            <sz val="10"/>
            <color indexed="81"/>
            <rFont val="Tahoma"/>
            <family val="2"/>
          </rPr>
          <t>resated in 4Q15.  Previously was "buildings", "site improvements"</t>
        </r>
      </text>
    </comment>
    <comment ref="B160" authorId="2">
      <text>
        <r>
          <rPr>
            <sz val="10"/>
            <color indexed="81"/>
            <rFont val="Tahoma"/>
            <family val="2"/>
          </rPr>
          <t>resated in 4Q15.  Previously was "computer equipment and software", "furniture and fixtures"</t>
        </r>
      </text>
    </comment>
    <comment ref="BM164" authorId="0">
      <text>
        <r>
          <rPr>
            <b/>
            <sz val="8"/>
            <color indexed="81"/>
            <rFont val="Tahoma"/>
            <family val="2"/>
          </rPr>
          <t>katzedwa:</t>
        </r>
        <r>
          <rPr>
            <sz val="8"/>
            <color indexed="81"/>
            <rFont val="Tahoma"/>
            <family val="2"/>
          </rPr>
          <t xml:space="preserve">
Adjusted for rounding for consistency with financial statements</t>
        </r>
      </text>
    </comment>
    <comment ref="CE165" authorId="1">
      <text>
        <r>
          <rPr>
            <sz val="10"/>
            <color indexed="81"/>
            <rFont val="Tahoma"/>
            <family val="2"/>
          </rPr>
          <t>17.789 is a plug to match new balance sheet b/c of accounting change in 2Q13</t>
        </r>
      </text>
    </comment>
    <comment ref="BM166" authorId="0">
      <text>
        <r>
          <rPr>
            <b/>
            <sz val="8"/>
            <color indexed="81"/>
            <rFont val="Tahoma"/>
            <family val="2"/>
          </rPr>
          <t>katzedwa:</t>
        </r>
        <r>
          <rPr>
            <sz val="8"/>
            <color indexed="81"/>
            <rFont val="Tahoma"/>
            <family val="2"/>
          </rPr>
          <t xml:space="preserve">
Adjusted for rounding for consistency with financial statements</t>
        </r>
      </text>
    </comment>
    <comment ref="BU207" authorId="0">
      <text>
        <r>
          <rPr>
            <b/>
            <sz val="8"/>
            <color indexed="81"/>
            <rFont val="Tahoma"/>
            <family val="2"/>
          </rPr>
          <t>katzedwa:</t>
        </r>
        <r>
          <rPr>
            <sz val="8"/>
            <color indexed="81"/>
            <rFont val="Tahoma"/>
            <family val="2"/>
          </rPr>
          <t xml:space="preserve">
Switch and Data</t>
        </r>
      </text>
    </comment>
  </commentList>
</comments>
</file>

<file path=xl/comments9.xml><?xml version="1.0" encoding="utf-8"?>
<comments xmlns="http://schemas.openxmlformats.org/spreadsheetml/2006/main">
  <authors>
    <author>marchetj</author>
    <author>katzedwa</author>
    <author>laml</author>
    <author>Lam, Lisa (Research)</author>
  </authors>
  <commentList>
    <comment ref="EG18" authorId="0">
      <text>
        <r>
          <rPr>
            <b/>
            <sz val="8"/>
            <color indexed="81"/>
            <rFont val="Tahoma"/>
            <family val="2"/>
          </rPr>
          <t>marchetj:</t>
        </r>
        <r>
          <rPr>
            <sz val="8"/>
            <color indexed="81"/>
            <rFont val="Tahoma"/>
            <family val="2"/>
          </rPr>
          <t xml:space="preserve">
Gain on sale of Honolulu IBX</t>
        </r>
      </text>
    </comment>
    <comment ref="ED21" authorId="0">
      <text>
        <r>
          <rPr>
            <b/>
            <sz val="8"/>
            <color indexed="81"/>
            <rFont val="Tahoma"/>
            <family val="2"/>
          </rPr>
          <t>marchetj:</t>
        </r>
        <r>
          <rPr>
            <sz val="8"/>
            <color indexed="81"/>
            <rFont val="Tahoma"/>
            <family val="2"/>
          </rPr>
          <t xml:space="preserve">
cum. Effect of acctg change
</t>
        </r>
      </text>
    </comment>
    <comment ref="BP25" authorId="1">
      <text>
        <r>
          <rPr>
            <b/>
            <sz val="8"/>
            <color indexed="81"/>
            <rFont val="Tahoma"/>
            <family val="2"/>
          </rPr>
          <t>katzedwa:</t>
        </r>
        <r>
          <rPr>
            <sz val="8"/>
            <color indexed="81"/>
            <rFont val="Tahoma"/>
            <family val="2"/>
          </rPr>
          <t xml:space="preserve">
Deferred tax assets, net</t>
        </r>
      </text>
    </comment>
    <comment ref="BQ25" authorId="1">
      <text>
        <r>
          <rPr>
            <b/>
            <sz val="8"/>
            <color indexed="81"/>
            <rFont val="Tahoma"/>
            <family val="2"/>
          </rPr>
          <t>katzedwa:</t>
        </r>
        <r>
          <rPr>
            <sz val="8"/>
            <color indexed="81"/>
            <rFont val="Tahoma"/>
            <family val="2"/>
          </rPr>
          <t xml:space="preserve">
DTAs</t>
        </r>
      </text>
    </comment>
    <comment ref="BR25" authorId="1">
      <text>
        <r>
          <rPr>
            <b/>
            <sz val="8"/>
            <color indexed="81"/>
            <rFont val="Tahoma"/>
            <family val="2"/>
          </rPr>
          <t>katzedwa:</t>
        </r>
        <r>
          <rPr>
            <sz val="8"/>
            <color indexed="81"/>
            <rFont val="Tahoma"/>
            <family val="2"/>
          </rPr>
          <t xml:space="preserve">
DTAs</t>
        </r>
      </text>
    </comment>
    <comment ref="CE31" authorId="2">
      <text>
        <r>
          <rPr>
            <sz val="10"/>
            <color indexed="81"/>
            <rFont val="Tahoma"/>
            <family val="2"/>
          </rPr>
          <t>17.789 is a plug to match new balance sheet b/c of accounting change in 2Q13</t>
        </r>
      </text>
    </comment>
    <comment ref="CH31" authorId="2">
      <text>
        <r>
          <rPr>
            <sz val="10"/>
            <color indexed="81"/>
            <rFont val="Tahoma"/>
            <family val="2"/>
          </rPr>
          <t>17.789 is a plug to match new balance sheet b/c of accounting change in 2Q13</t>
        </r>
      </text>
    </comment>
    <comment ref="H35" authorId="1">
      <text>
        <r>
          <rPr>
            <b/>
            <sz val="8"/>
            <color indexed="81"/>
            <rFont val="Tahoma"/>
            <family val="2"/>
          </rPr>
          <t>katzedwa:</t>
        </r>
        <r>
          <rPr>
            <sz val="8"/>
            <color indexed="81"/>
            <rFont val="Tahoma"/>
            <family val="2"/>
          </rPr>
          <t xml:space="preserve">
Re-classification as of 2004 10-K (Cash was as of 2003 60.428, ST Investments 12.543, Purchase of Investments was 12.638</t>
        </r>
      </text>
    </comment>
    <comment ref="CH35" authorId="2">
      <text>
        <r>
          <rPr>
            <sz val="8"/>
            <color indexed="81"/>
            <rFont val="Tahoma"/>
            <family val="2"/>
          </rPr>
          <t>includes purchase of NY IBX, AsiaTone, and real estate</t>
        </r>
      </text>
    </comment>
    <comment ref="CI35" authorId="2">
      <text>
        <r>
          <rPr>
            <sz val="10"/>
            <color indexed="81"/>
            <rFont val="Tahoma"/>
            <family val="2"/>
          </rPr>
          <t>includes purchase of Frankfurt Kleyer 90 carrier hotel</t>
        </r>
      </text>
    </comment>
    <comment ref="CJ35" authorId="2">
      <text>
        <r>
          <rPr>
            <sz val="10"/>
            <color indexed="81"/>
            <rFont val="Tahoma"/>
            <family val="2"/>
          </rPr>
          <t>$16.8M is buying land of Melbourne facility</t>
        </r>
      </text>
    </comment>
    <comment ref="CN35" authorId="3">
      <text>
        <r>
          <rPr>
            <sz val="10"/>
            <color indexed="81"/>
            <rFont val="Tahoma"/>
            <family val="2"/>
          </rPr>
          <t>$38M is real estate purchase</t>
        </r>
      </text>
    </comment>
    <comment ref="DI36" authorId="1">
      <text>
        <r>
          <rPr>
            <b/>
            <sz val="8"/>
            <color indexed="81"/>
            <rFont val="Tahoma"/>
            <family val="2"/>
          </rPr>
          <t>katzedwa:</t>
        </r>
        <r>
          <rPr>
            <sz val="8"/>
            <color indexed="81"/>
            <rFont val="Tahoma"/>
            <family val="2"/>
          </rPr>
          <t xml:space="preserve">
Sales and maturities</t>
        </r>
      </text>
    </comment>
    <comment ref="DJ36" authorId="1">
      <text>
        <r>
          <rPr>
            <b/>
            <sz val="8"/>
            <color indexed="81"/>
            <rFont val="Tahoma"/>
            <family val="2"/>
          </rPr>
          <t>katzedwa:</t>
        </r>
        <r>
          <rPr>
            <sz val="8"/>
            <color indexed="81"/>
            <rFont val="Tahoma"/>
            <family val="2"/>
          </rPr>
          <t xml:space="preserve">
Sales and maturities</t>
        </r>
      </text>
    </comment>
    <comment ref="DK36" authorId="1">
      <text>
        <r>
          <rPr>
            <b/>
            <sz val="8"/>
            <color indexed="81"/>
            <rFont val="Tahoma"/>
            <family val="2"/>
          </rPr>
          <t>katzedwa:</t>
        </r>
        <r>
          <rPr>
            <sz val="8"/>
            <color indexed="81"/>
            <rFont val="Tahoma"/>
            <family val="2"/>
          </rPr>
          <t xml:space="preserve">
Sales and maturities</t>
        </r>
      </text>
    </comment>
    <comment ref="DL36" authorId="1">
      <text>
        <r>
          <rPr>
            <b/>
            <sz val="8"/>
            <color indexed="81"/>
            <rFont val="Tahoma"/>
            <family val="2"/>
          </rPr>
          <t>katzedwa:</t>
        </r>
        <r>
          <rPr>
            <sz val="8"/>
            <color indexed="81"/>
            <rFont val="Tahoma"/>
            <family val="2"/>
          </rPr>
          <t xml:space="preserve">
Sales and maturities</t>
        </r>
      </text>
    </comment>
    <comment ref="DM36" authorId="1">
      <text>
        <r>
          <rPr>
            <b/>
            <sz val="8"/>
            <color indexed="81"/>
            <rFont val="Tahoma"/>
            <family val="2"/>
          </rPr>
          <t>katzedwa:</t>
        </r>
        <r>
          <rPr>
            <sz val="8"/>
            <color indexed="81"/>
            <rFont val="Tahoma"/>
            <family val="2"/>
          </rPr>
          <t xml:space="preserve">
Sales and maturities</t>
        </r>
      </text>
    </comment>
    <comment ref="DN36" authorId="1">
      <text>
        <r>
          <rPr>
            <b/>
            <sz val="8"/>
            <color indexed="81"/>
            <rFont val="Tahoma"/>
            <family val="2"/>
          </rPr>
          <t>katzedwa:</t>
        </r>
        <r>
          <rPr>
            <sz val="8"/>
            <color indexed="81"/>
            <rFont val="Tahoma"/>
            <family val="2"/>
          </rPr>
          <t xml:space="preserve">
Sales and maturities</t>
        </r>
      </text>
    </comment>
    <comment ref="DO36" authorId="1">
      <text>
        <r>
          <rPr>
            <b/>
            <sz val="8"/>
            <color indexed="81"/>
            <rFont val="Tahoma"/>
            <family val="2"/>
          </rPr>
          <t>katzedwa:</t>
        </r>
        <r>
          <rPr>
            <sz val="8"/>
            <color indexed="81"/>
            <rFont val="Tahoma"/>
            <family val="2"/>
          </rPr>
          <t xml:space="preserve">
Sales and maturities</t>
        </r>
      </text>
    </comment>
    <comment ref="DP36" authorId="1">
      <text>
        <r>
          <rPr>
            <b/>
            <sz val="8"/>
            <color indexed="81"/>
            <rFont val="Tahoma"/>
            <family val="2"/>
          </rPr>
          <t>katzedwa:</t>
        </r>
        <r>
          <rPr>
            <sz val="8"/>
            <color indexed="81"/>
            <rFont val="Tahoma"/>
            <family val="2"/>
          </rPr>
          <t xml:space="preserve">
Sales and maturities</t>
        </r>
      </text>
    </comment>
    <comment ref="DQ36" authorId="1">
      <text>
        <r>
          <rPr>
            <b/>
            <sz val="8"/>
            <color indexed="81"/>
            <rFont val="Tahoma"/>
            <family val="2"/>
          </rPr>
          <t>katzedwa:</t>
        </r>
        <r>
          <rPr>
            <sz val="8"/>
            <color indexed="81"/>
            <rFont val="Tahoma"/>
            <family val="2"/>
          </rPr>
          <t xml:space="preserve">
Sales and maturities</t>
        </r>
      </text>
    </comment>
    <comment ref="N38" authorId="1">
      <text>
        <r>
          <rPr>
            <b/>
            <sz val="8"/>
            <color indexed="81"/>
            <rFont val="Tahoma"/>
            <family val="2"/>
          </rPr>
          <t>katzedwa:</t>
        </r>
        <r>
          <rPr>
            <sz val="8"/>
            <color indexed="81"/>
            <rFont val="Tahoma"/>
            <family val="2"/>
          </rPr>
          <t xml:space="preserve">
Guidance: $325-$375M (1Q09)
Guidance: $375 (2Q09)
Guidance: $435 (Sept 2009); (3Q): $395 - $400M</t>
        </r>
      </text>
    </comment>
    <comment ref="BP38" authorId="1">
      <text>
        <r>
          <rPr>
            <b/>
            <sz val="8"/>
            <color indexed="81"/>
            <rFont val="Tahoma"/>
            <family val="2"/>
          </rPr>
          <t>katzedwa:</t>
        </r>
        <r>
          <rPr>
            <sz val="8"/>
            <color indexed="81"/>
            <rFont val="Tahoma"/>
            <family val="2"/>
          </rPr>
          <t xml:space="preserve">
Guidance: $100-$110M</t>
        </r>
      </text>
    </comment>
    <comment ref="BT38" authorId="1">
      <text>
        <r>
          <rPr>
            <b/>
            <sz val="8"/>
            <color indexed="81"/>
            <rFont val="Tahoma"/>
            <family val="2"/>
          </rPr>
          <t>katzedwa:</t>
        </r>
        <r>
          <rPr>
            <sz val="8"/>
            <color indexed="81"/>
            <rFont val="Tahoma"/>
            <family val="2"/>
          </rPr>
          <t xml:space="preserve">
Guidance (4Q09): $110 - $130M [$20M ongoing and $90 - $110 of expansion]</t>
        </r>
      </text>
    </comment>
    <comment ref="DI40" authorId="1">
      <text>
        <r>
          <rPr>
            <b/>
            <sz val="8"/>
            <color indexed="81"/>
            <rFont val="Tahoma"/>
            <family val="2"/>
          </rPr>
          <t>katzedwa:</t>
        </r>
        <r>
          <rPr>
            <sz val="8"/>
            <color indexed="81"/>
            <rFont val="Tahoma"/>
            <family val="2"/>
          </rPr>
          <t xml:space="preserve">
Accrued construction costs</t>
        </r>
      </text>
    </comment>
    <comment ref="DJ40" authorId="1">
      <text>
        <r>
          <rPr>
            <b/>
            <sz val="8"/>
            <color indexed="81"/>
            <rFont val="Tahoma"/>
            <family val="2"/>
          </rPr>
          <t>katzedwa:</t>
        </r>
        <r>
          <rPr>
            <sz val="8"/>
            <color indexed="81"/>
            <rFont val="Tahoma"/>
            <family val="2"/>
          </rPr>
          <t xml:space="preserve">
Accrued construction costs</t>
        </r>
      </text>
    </comment>
    <comment ref="DK40" authorId="1">
      <text>
        <r>
          <rPr>
            <b/>
            <sz val="8"/>
            <color indexed="81"/>
            <rFont val="Tahoma"/>
            <family val="2"/>
          </rPr>
          <t>katzedwa:</t>
        </r>
        <r>
          <rPr>
            <sz val="8"/>
            <color indexed="81"/>
            <rFont val="Tahoma"/>
            <family val="2"/>
          </rPr>
          <t xml:space="preserve">
Accrued construction costs</t>
        </r>
      </text>
    </comment>
    <comment ref="DL40" authorId="1">
      <text>
        <r>
          <rPr>
            <b/>
            <sz val="8"/>
            <color indexed="81"/>
            <rFont val="Tahoma"/>
            <family val="2"/>
          </rPr>
          <t>katzedwa:</t>
        </r>
        <r>
          <rPr>
            <sz val="8"/>
            <color indexed="81"/>
            <rFont val="Tahoma"/>
            <family val="2"/>
          </rPr>
          <t xml:space="preserve">
Accrued construction costs</t>
        </r>
      </text>
    </comment>
    <comment ref="DM40" authorId="1">
      <text>
        <r>
          <rPr>
            <b/>
            <sz val="8"/>
            <color indexed="81"/>
            <rFont val="Tahoma"/>
            <family val="2"/>
          </rPr>
          <t>katzedwa:</t>
        </r>
        <r>
          <rPr>
            <sz val="8"/>
            <color indexed="81"/>
            <rFont val="Tahoma"/>
            <family val="2"/>
          </rPr>
          <t xml:space="preserve">
Accrued construction costs</t>
        </r>
      </text>
    </comment>
    <comment ref="DN40" authorId="1">
      <text>
        <r>
          <rPr>
            <b/>
            <sz val="8"/>
            <color indexed="81"/>
            <rFont val="Tahoma"/>
            <family val="2"/>
          </rPr>
          <t>katzedwa:</t>
        </r>
        <r>
          <rPr>
            <sz val="8"/>
            <color indexed="81"/>
            <rFont val="Tahoma"/>
            <family val="2"/>
          </rPr>
          <t xml:space="preserve">
Accrued construction costs</t>
        </r>
      </text>
    </comment>
    <comment ref="DO40" authorId="1">
      <text>
        <r>
          <rPr>
            <b/>
            <sz val="8"/>
            <color indexed="81"/>
            <rFont val="Tahoma"/>
            <family val="2"/>
          </rPr>
          <t>katzedwa:</t>
        </r>
        <r>
          <rPr>
            <sz val="8"/>
            <color indexed="81"/>
            <rFont val="Tahoma"/>
            <family val="2"/>
          </rPr>
          <t xml:space="preserve">
Accrued construction costs</t>
        </r>
      </text>
    </comment>
    <comment ref="DP40" authorId="1">
      <text>
        <r>
          <rPr>
            <b/>
            <sz val="8"/>
            <color indexed="81"/>
            <rFont val="Tahoma"/>
            <family val="2"/>
          </rPr>
          <t>katzedwa:</t>
        </r>
        <r>
          <rPr>
            <sz val="8"/>
            <color indexed="81"/>
            <rFont val="Tahoma"/>
            <family val="2"/>
          </rPr>
          <t xml:space="preserve">
Accrued construction costs</t>
        </r>
      </text>
    </comment>
    <comment ref="DQ40" authorId="1">
      <text>
        <r>
          <rPr>
            <b/>
            <sz val="8"/>
            <color indexed="81"/>
            <rFont val="Tahoma"/>
            <family val="2"/>
          </rPr>
          <t>katzedwa:</t>
        </r>
        <r>
          <rPr>
            <sz val="8"/>
            <color indexed="81"/>
            <rFont val="Tahoma"/>
            <family val="2"/>
          </rPr>
          <t xml:space="preserve">
Accrued construction costs</t>
        </r>
      </text>
    </comment>
    <comment ref="CD41" authorId="2">
      <text>
        <r>
          <rPr>
            <sz val="8"/>
            <color indexed="81"/>
            <rFont val="Tahoma"/>
            <family val="2"/>
          </rPr>
          <t>AsiaTone and ancotel</t>
        </r>
      </text>
    </comment>
    <comment ref="CE41" authorId="2">
      <text>
        <r>
          <rPr>
            <sz val="8"/>
            <color indexed="81"/>
            <rFont val="Tahoma"/>
            <family val="2"/>
          </rPr>
          <t>Dubai IBX, Asia Tone, real estate, 16 data center divestiture</t>
        </r>
      </text>
    </comment>
    <comment ref="CW41" authorId="3">
      <text>
        <r>
          <rPr>
            <sz val="10"/>
            <color indexed="81"/>
            <rFont val="Tahoma"/>
            <family val="2"/>
          </rPr>
          <t>VZ data centers</t>
        </r>
      </text>
    </comment>
    <comment ref="CY41" authorId="3">
      <text>
        <r>
          <rPr>
            <sz val="10"/>
            <color indexed="81"/>
            <rFont val="Tahoma"/>
            <family val="2"/>
          </rPr>
          <t xml:space="preserve">Infomart </t>
        </r>
      </text>
    </comment>
    <comment ref="EB41" authorId="0">
      <text>
        <r>
          <rPr>
            <sz val="9"/>
            <color indexed="81"/>
            <rFont val="Tahoma"/>
            <family val="2"/>
          </rPr>
          <t>net income from discontinued ops</t>
        </r>
      </text>
    </comment>
    <comment ref="EC41" authorId="0">
      <text>
        <r>
          <rPr>
            <b/>
            <sz val="8"/>
            <color indexed="81"/>
            <rFont val="Tahoma"/>
            <family val="2"/>
          </rPr>
          <t>marchetj:</t>
        </r>
        <r>
          <rPr>
            <sz val="8"/>
            <color indexed="81"/>
            <rFont val="Tahoma"/>
            <family val="2"/>
          </rPr>
          <t xml:space="preserve">
($53.759) for purchase of Ashburn campus property</t>
        </r>
      </text>
    </comment>
    <comment ref="EE41" authorId="0">
      <text>
        <r>
          <rPr>
            <b/>
            <sz val="8"/>
            <color indexed="81"/>
            <rFont val="Tahoma"/>
            <family val="2"/>
          </rPr>
          <t>marchetj:</t>
        </r>
        <r>
          <rPr>
            <sz val="8"/>
            <color indexed="81"/>
            <rFont val="Tahoma"/>
            <family val="2"/>
          </rPr>
          <t xml:space="preserve">
purchase of Chicago IBX property</t>
        </r>
      </text>
    </comment>
    <comment ref="EG41" authorId="0">
      <text>
        <r>
          <rPr>
            <b/>
            <sz val="8"/>
            <color indexed="81"/>
            <rFont val="Tahoma"/>
            <family val="2"/>
          </rPr>
          <t>marchetj:</t>
        </r>
        <r>
          <rPr>
            <sz val="8"/>
            <color indexed="81"/>
            <rFont val="Tahoma"/>
            <family val="2"/>
          </rPr>
          <t xml:space="preserve">
$9.530 for Honolulu IBX sale</t>
        </r>
      </text>
    </comment>
    <comment ref="EH41" authorId="0">
      <text>
        <r>
          <rPr>
            <b/>
            <sz val="8"/>
            <color indexed="81"/>
            <rFont val="Tahoma"/>
            <family val="2"/>
          </rPr>
          <t>marchetj:</t>
        </r>
        <r>
          <rPr>
            <sz val="8"/>
            <color indexed="81"/>
            <rFont val="Tahoma"/>
            <family val="2"/>
          </rPr>
          <t xml:space="preserve">
purchase of San Jose IBX property
</t>
        </r>
      </text>
    </comment>
    <comment ref="EI41" authorId="0">
      <text>
        <r>
          <rPr>
            <b/>
            <sz val="8"/>
            <color indexed="81"/>
            <rFont val="Tahoma"/>
            <family val="2"/>
          </rPr>
          <t>marchetj:</t>
        </r>
        <r>
          <rPr>
            <sz val="8"/>
            <color indexed="81"/>
            <rFont val="Tahoma"/>
            <family val="2"/>
          </rPr>
          <t xml:space="preserve">
($49.040) cost of LA IBX property
</t>
        </r>
      </text>
    </comment>
    <comment ref="EJ41" authorId="0">
      <text>
        <r>
          <rPr>
            <b/>
            <sz val="8"/>
            <color indexed="81"/>
            <rFont val="Tahoma"/>
            <family val="2"/>
          </rPr>
          <t>marchetj:</t>
        </r>
        <r>
          <rPr>
            <sz val="8"/>
            <color indexed="81"/>
            <rFont val="Tahoma"/>
            <family val="2"/>
          </rPr>
          <t xml:space="preserve">
includes $541.7 for IXE europe purchase</t>
        </r>
      </text>
    </comment>
    <comment ref="EL41" authorId="1">
      <text>
        <r>
          <rPr>
            <b/>
            <sz val="8"/>
            <color indexed="81"/>
            <rFont val="Tahoma"/>
            <family val="2"/>
          </rPr>
          <t>katzedwa:</t>
        </r>
        <r>
          <rPr>
            <sz val="8"/>
            <color indexed="81"/>
            <rFont val="Tahoma"/>
            <family val="2"/>
          </rPr>
          <t xml:space="preserve">
Purchase of Virtu, net of cash acquired</t>
        </r>
      </text>
    </comment>
    <comment ref="EM41" authorId="1">
      <text>
        <r>
          <rPr>
            <b/>
            <sz val="8"/>
            <color indexed="81"/>
            <rFont val="Tahoma"/>
            <family val="2"/>
          </rPr>
          <t>katzedwa:</t>
        </r>
        <r>
          <rPr>
            <sz val="8"/>
            <color indexed="81"/>
            <rFont val="Tahoma"/>
            <family val="2"/>
          </rPr>
          <t xml:space="preserve">
Purchase of Virtu, net of cash acquired</t>
        </r>
      </text>
    </comment>
    <comment ref="CD42" authorId="2">
      <text>
        <r>
          <rPr>
            <sz val="8"/>
            <color indexed="81"/>
            <rFont val="Tahoma"/>
            <family val="2"/>
          </rPr>
          <t>plug to reconcile to 3q12 press release.  Historicals adjusted for 16 data center sale</t>
        </r>
      </text>
    </comment>
    <comment ref="CE42" authorId="2">
      <text>
        <r>
          <rPr>
            <sz val="8"/>
            <color indexed="81"/>
            <rFont val="Tahoma"/>
            <family val="2"/>
          </rPr>
          <t>plug to reconcile to 3q12 press release.  Historicals adjusted for 16 data center sale</t>
        </r>
      </text>
    </comment>
    <comment ref="CI42" authorId="2">
      <text>
        <r>
          <rPr>
            <sz val="8"/>
            <color indexed="81"/>
            <rFont val="Tahoma"/>
            <family val="2"/>
          </rPr>
          <t>plug to reconcile to 3q12 press release.  Historicals adjusted for 16 data center sale</t>
        </r>
      </text>
    </comment>
    <comment ref="DI42" authorId="1">
      <text>
        <r>
          <rPr>
            <b/>
            <sz val="8"/>
            <color indexed="81"/>
            <rFont val="Tahoma"/>
            <family val="2"/>
          </rPr>
          <t>katzedwa:</t>
        </r>
        <r>
          <rPr>
            <sz val="8"/>
            <color indexed="81"/>
            <rFont val="Tahoma"/>
            <family val="2"/>
          </rPr>
          <t xml:space="preserve">
Sale of restricted cash and short-term investments ($26.0) purchase of restricted cash and short-term investments ($24.246)</t>
        </r>
      </text>
    </comment>
    <comment ref="DJ42" authorId="1">
      <text>
        <r>
          <rPr>
            <b/>
            <sz val="8"/>
            <color indexed="81"/>
            <rFont val="Tahoma"/>
            <family val="2"/>
          </rPr>
          <t>katzedwa:</t>
        </r>
        <r>
          <rPr>
            <sz val="8"/>
            <color indexed="81"/>
            <rFont val="Tahoma"/>
            <family val="2"/>
          </rPr>
          <t xml:space="preserve">
Sale of restricted cash and short-term investments</t>
        </r>
      </text>
    </comment>
    <comment ref="DK42" authorId="1">
      <text>
        <r>
          <rPr>
            <b/>
            <sz val="8"/>
            <color indexed="81"/>
            <rFont val="Tahoma"/>
            <family val="2"/>
          </rPr>
          <t>katzedwa:</t>
        </r>
        <r>
          <rPr>
            <sz val="8"/>
            <color indexed="81"/>
            <rFont val="Tahoma"/>
            <family val="2"/>
          </rPr>
          <t xml:space="preserve">
Sale of restricted cash and short-term investments ($16.220) and purchase of restricted cash and short-term investments ($0.822)</t>
        </r>
      </text>
    </comment>
    <comment ref="DL42" authorId="1">
      <text>
        <r>
          <rPr>
            <b/>
            <sz val="8"/>
            <color indexed="81"/>
            <rFont val="Tahoma"/>
            <family val="2"/>
          </rPr>
          <t>katzedwa:</t>
        </r>
        <r>
          <rPr>
            <sz val="8"/>
            <color indexed="81"/>
            <rFont val="Tahoma"/>
            <family val="2"/>
          </rPr>
          <t xml:space="preserve">
Sale of restricted cash and short-term investments ($20.972) and purchase of restricted cash and short-term investments ($25.325)</t>
        </r>
      </text>
    </comment>
    <comment ref="DM42" authorId="1">
      <text>
        <r>
          <rPr>
            <b/>
            <sz val="8"/>
            <color indexed="81"/>
            <rFont val="Tahoma"/>
            <family val="2"/>
          </rPr>
          <t>katzedwa:</t>
        </r>
        <r>
          <rPr>
            <sz val="8"/>
            <color indexed="81"/>
            <rFont val="Tahoma"/>
            <family val="2"/>
          </rPr>
          <t xml:space="preserve">
Sale of restricted cash and short-term investments ($25.197) and purchase of restricted cash and short-term investments ($25.020)</t>
        </r>
      </text>
    </comment>
    <comment ref="DN42" authorId="1">
      <text>
        <r>
          <rPr>
            <b/>
            <sz val="8"/>
            <color indexed="81"/>
            <rFont val="Tahoma"/>
            <family val="2"/>
          </rPr>
          <t>katzedwa:</t>
        </r>
        <r>
          <rPr>
            <sz val="8"/>
            <color indexed="81"/>
            <rFont val="Tahoma"/>
            <family val="2"/>
          </rPr>
          <t xml:space="preserve">
Sale of restricted cash and short-term investments ($2.854) and purchase of restricted cash and short-term investments ($5.090)</t>
        </r>
      </text>
    </comment>
    <comment ref="DO42" authorId="1">
      <text>
        <r>
          <rPr>
            <b/>
            <sz val="8"/>
            <color indexed="81"/>
            <rFont val="Tahoma"/>
            <family val="2"/>
          </rPr>
          <t>katzedwa:</t>
        </r>
        <r>
          <rPr>
            <sz val="8"/>
            <color indexed="81"/>
            <rFont val="Tahoma"/>
            <family val="2"/>
          </rPr>
          <t xml:space="preserve">
Sale of restricted cash and short-term investments ($5.820) and purchase of restricted cash and short-term investments ($5.090)</t>
        </r>
      </text>
    </comment>
    <comment ref="DP42" authorId="1">
      <text>
        <r>
          <rPr>
            <b/>
            <sz val="8"/>
            <color indexed="81"/>
            <rFont val="Tahoma"/>
            <family val="2"/>
          </rPr>
          <t>katzedwa:</t>
        </r>
        <r>
          <rPr>
            <sz val="8"/>
            <color indexed="81"/>
            <rFont val="Tahoma"/>
            <family val="2"/>
          </rPr>
          <t xml:space="preserve">
Sale of restricted cash and short-term investments ($5.820) and purchase of restricted cash and short-term investments ($5.090)</t>
        </r>
      </text>
    </comment>
    <comment ref="DQ42" authorId="1">
      <text>
        <r>
          <rPr>
            <b/>
            <sz val="8"/>
            <color indexed="81"/>
            <rFont val="Tahoma"/>
            <family val="2"/>
          </rPr>
          <t>katzedwa:</t>
        </r>
        <r>
          <rPr>
            <sz val="8"/>
            <color indexed="81"/>
            <rFont val="Tahoma"/>
            <family val="2"/>
          </rPr>
          <t xml:space="preserve">
Sale of restricted cash and short-term investments ($3.904) and purchase of restricted cash and short-term investments ($5.090)</t>
        </r>
      </text>
    </comment>
    <comment ref="DR42" authorId="1">
      <text>
        <r>
          <rPr>
            <b/>
            <sz val="8"/>
            <color indexed="81"/>
            <rFont val="Tahoma"/>
            <family val="2"/>
          </rPr>
          <t>katzedwa:</t>
        </r>
        <r>
          <rPr>
            <sz val="8"/>
            <color indexed="81"/>
            <rFont val="Tahoma"/>
            <family val="2"/>
          </rPr>
          <t xml:space="preserve">
Sale of restricted cash and short-term investments</t>
        </r>
      </text>
    </comment>
    <comment ref="DS42" authorId="1">
      <text>
        <r>
          <rPr>
            <b/>
            <sz val="8"/>
            <color indexed="81"/>
            <rFont val="Tahoma"/>
            <family val="2"/>
          </rPr>
          <t>katzedwa:</t>
        </r>
        <r>
          <rPr>
            <sz val="8"/>
            <color indexed="81"/>
            <rFont val="Tahoma"/>
            <family val="2"/>
          </rPr>
          <t xml:space="preserve">
Sale of restricted cash and short term investments ($2.27) and purchase of restricted cash ($0.05)</t>
        </r>
      </text>
    </comment>
    <comment ref="DT42" authorId="1">
      <text>
        <r>
          <rPr>
            <b/>
            <sz val="8"/>
            <color indexed="81"/>
            <rFont val="Tahoma"/>
            <family val="2"/>
          </rPr>
          <t>katzedwa:</t>
        </r>
        <r>
          <rPr>
            <sz val="8"/>
            <color indexed="81"/>
            <rFont val="Tahoma"/>
            <family val="2"/>
          </rPr>
          <t xml:space="preserve">
Sale of restricted cash and short term investments ($2.256) and purchase of restricted cash ($0.05)</t>
        </r>
      </text>
    </comment>
    <comment ref="DU42" authorId="1">
      <text>
        <r>
          <rPr>
            <b/>
            <sz val="8"/>
            <color indexed="81"/>
            <rFont val="Tahoma"/>
            <family val="2"/>
          </rPr>
          <t>katzedwa:</t>
        </r>
        <r>
          <rPr>
            <sz val="8"/>
            <color indexed="81"/>
            <rFont val="Tahoma"/>
            <family val="2"/>
          </rPr>
          <t xml:space="preserve">
Sale of restricted cash and short term investments ($2.265) and purchase of restricted cash ($0.05)</t>
        </r>
      </text>
    </comment>
    <comment ref="DY42" authorId="1">
      <text>
        <r>
          <rPr>
            <b/>
            <sz val="8"/>
            <color indexed="81"/>
            <rFont val="Tahoma"/>
            <family val="2"/>
          </rPr>
          <t>katzedwa:</t>
        </r>
        <r>
          <rPr>
            <sz val="8"/>
            <color indexed="81"/>
            <rFont val="Tahoma"/>
            <family val="2"/>
          </rPr>
          <t xml:space="preserve">
Sale of restricted cash and short term investments</t>
        </r>
      </text>
    </comment>
    <comment ref="EL42" authorId="1">
      <text>
        <r>
          <rPr>
            <b/>
            <sz val="8"/>
            <color indexed="81"/>
            <rFont val="Tahoma"/>
            <family val="2"/>
          </rPr>
          <t>katzedwa:</t>
        </r>
        <r>
          <rPr>
            <sz val="8"/>
            <color indexed="81"/>
            <rFont val="Tahoma"/>
            <family val="2"/>
          </rPr>
          <t xml:space="preserve">
Purchase of restricted cash</t>
        </r>
      </text>
    </comment>
    <comment ref="EM42" authorId="1">
      <text>
        <r>
          <rPr>
            <b/>
            <sz val="8"/>
            <color indexed="81"/>
            <rFont val="Tahoma"/>
            <family val="2"/>
          </rPr>
          <t>katzedwa:</t>
        </r>
        <r>
          <rPr>
            <sz val="8"/>
            <color indexed="81"/>
            <rFont val="Tahoma"/>
            <family val="2"/>
          </rPr>
          <t xml:space="preserve">
Purchase of and release of restricted cash</t>
        </r>
      </text>
    </comment>
    <comment ref="EN42" authorId="1">
      <text>
        <r>
          <rPr>
            <b/>
            <sz val="8"/>
            <color indexed="81"/>
            <rFont val="Tahoma"/>
            <family val="2"/>
          </rPr>
          <t>katzedwa:</t>
        </r>
        <r>
          <rPr>
            <sz val="8"/>
            <color indexed="81"/>
            <rFont val="Tahoma"/>
            <family val="2"/>
          </rPr>
          <t xml:space="preserve">
Purchase of and release of restricted cash</t>
        </r>
      </text>
    </comment>
    <comment ref="EO42" authorId="1">
      <text>
        <r>
          <rPr>
            <b/>
            <sz val="8"/>
            <color indexed="81"/>
            <rFont val="Tahoma"/>
            <family val="2"/>
          </rPr>
          <t>katzedwa:</t>
        </r>
        <r>
          <rPr>
            <sz val="8"/>
            <color indexed="81"/>
            <rFont val="Tahoma"/>
            <family val="2"/>
          </rPr>
          <t xml:space="preserve">
Purchase of and release of restricted cash</t>
        </r>
      </text>
    </comment>
    <comment ref="EO49" authorId="1">
      <text>
        <r>
          <rPr>
            <b/>
            <sz val="8"/>
            <color indexed="81"/>
            <rFont val="Tahoma"/>
            <family val="2"/>
          </rPr>
          <t>katzedwa:</t>
        </r>
        <r>
          <rPr>
            <sz val="8"/>
            <color indexed="81"/>
            <rFont val="Tahoma"/>
            <family val="2"/>
          </rPr>
          <t xml:space="preserve">
Proceeds and repayment</t>
        </r>
      </text>
    </comment>
    <comment ref="DI55" authorId="1">
      <text>
        <r>
          <rPr>
            <b/>
            <sz val="8"/>
            <color indexed="81"/>
            <rFont val="Tahoma"/>
            <family val="2"/>
          </rPr>
          <t>katzedwa:</t>
        </r>
        <r>
          <rPr>
            <sz val="8"/>
            <color indexed="81"/>
            <rFont val="Tahoma"/>
            <family val="2"/>
          </rPr>
          <t xml:space="preserve">
Net repayment</t>
        </r>
      </text>
    </comment>
    <comment ref="DJ55" authorId="1">
      <text>
        <r>
          <rPr>
            <b/>
            <sz val="8"/>
            <color indexed="81"/>
            <rFont val="Tahoma"/>
            <family val="2"/>
          </rPr>
          <t>katzedwa:</t>
        </r>
        <r>
          <rPr>
            <sz val="8"/>
            <color indexed="81"/>
            <rFont val="Tahoma"/>
            <family val="2"/>
          </rPr>
          <t xml:space="preserve">
Net proceeds</t>
        </r>
      </text>
    </comment>
    <comment ref="DK55" authorId="1">
      <text>
        <r>
          <rPr>
            <b/>
            <sz val="8"/>
            <color indexed="81"/>
            <rFont val="Tahoma"/>
            <family val="2"/>
          </rPr>
          <t>katzedwa:</t>
        </r>
        <r>
          <rPr>
            <sz val="8"/>
            <color indexed="81"/>
            <rFont val="Tahoma"/>
            <family val="2"/>
          </rPr>
          <t xml:space="preserve">
Net proceeds</t>
        </r>
      </text>
    </comment>
    <comment ref="DL55" authorId="1">
      <text>
        <r>
          <rPr>
            <b/>
            <sz val="8"/>
            <color indexed="81"/>
            <rFont val="Tahoma"/>
            <family val="2"/>
          </rPr>
          <t>katzedwa:</t>
        </r>
        <r>
          <rPr>
            <sz val="8"/>
            <color indexed="81"/>
            <rFont val="Tahoma"/>
            <family val="2"/>
          </rPr>
          <t xml:space="preserve">
Net proceeds</t>
        </r>
      </text>
    </comment>
    <comment ref="DM55" authorId="1">
      <text>
        <r>
          <rPr>
            <b/>
            <sz val="8"/>
            <color indexed="81"/>
            <rFont val="Tahoma"/>
            <family val="2"/>
          </rPr>
          <t>katzedwa:</t>
        </r>
        <r>
          <rPr>
            <sz val="8"/>
            <color indexed="81"/>
            <rFont val="Tahoma"/>
            <family val="2"/>
          </rPr>
          <t xml:space="preserve">
Net proceeds</t>
        </r>
      </text>
    </comment>
    <comment ref="DM57" authorId="1">
      <text>
        <r>
          <rPr>
            <b/>
            <sz val="8"/>
            <color indexed="81"/>
            <rFont val="Tahoma"/>
            <family val="2"/>
          </rPr>
          <t>katzedwa:</t>
        </r>
        <r>
          <rPr>
            <sz val="8"/>
            <color indexed="81"/>
            <rFont val="Tahoma"/>
            <family val="2"/>
          </rPr>
          <t xml:space="preserve">
Net proceeds</t>
        </r>
      </text>
    </comment>
    <comment ref="DQ58" authorId="1">
      <text>
        <r>
          <rPr>
            <b/>
            <sz val="8"/>
            <color indexed="81"/>
            <rFont val="Tahoma"/>
            <family val="2"/>
          </rPr>
          <t>katzedwa:</t>
        </r>
        <r>
          <rPr>
            <sz val="8"/>
            <color indexed="81"/>
            <rFont val="Tahoma"/>
            <family val="2"/>
          </rPr>
          <t xml:space="preserve">
Includes debt extinguishment costs</t>
        </r>
      </text>
    </comment>
    <comment ref="CG60" authorId="2">
      <text>
        <r>
          <rPr>
            <sz val="8"/>
            <color indexed="81"/>
            <rFont val="Tahoma"/>
            <family val="2"/>
          </rPr>
          <t>debt extinguishment costs</t>
        </r>
      </text>
    </comment>
    <comment ref="AY63" authorId="1">
      <text>
        <r>
          <rPr>
            <b/>
            <sz val="8"/>
            <color indexed="81"/>
            <rFont val="Tahoma"/>
            <family val="2"/>
          </rPr>
          <t>katzedwa:</t>
        </r>
        <r>
          <rPr>
            <sz val="8"/>
            <color indexed="81"/>
            <rFont val="Tahoma"/>
            <family val="2"/>
          </rPr>
          <t xml:space="preserve">
Plug to reconcile cash flow for revision (see comment in cash on B/S)</t>
        </r>
      </text>
    </comment>
    <comment ref="CL63" authorId="3">
      <text>
        <r>
          <rPr>
            <sz val="9"/>
            <color indexed="81"/>
            <rFont val="Tahoma"/>
            <family val="2"/>
          </rPr>
          <t>purchase of remaining portion of ALOG</t>
        </r>
      </text>
    </comment>
    <comment ref="DI63" authorId="1">
      <text>
        <r>
          <rPr>
            <b/>
            <sz val="8"/>
            <color indexed="81"/>
            <rFont val="Tahoma"/>
            <family val="2"/>
          </rPr>
          <t>katzedwa:</t>
        </r>
        <r>
          <rPr>
            <sz val="8"/>
            <color indexed="81"/>
            <rFont val="Tahoma"/>
            <family val="2"/>
          </rPr>
          <t xml:space="preserve">
Repurchase of common and preferred stock</t>
        </r>
      </text>
    </comment>
    <comment ref="DJ63" authorId="1">
      <text>
        <r>
          <rPr>
            <b/>
            <sz val="8"/>
            <color indexed="81"/>
            <rFont val="Tahoma"/>
            <family val="2"/>
          </rPr>
          <t>katzedwa:</t>
        </r>
        <r>
          <rPr>
            <sz val="8"/>
            <color indexed="81"/>
            <rFont val="Tahoma"/>
            <family val="2"/>
          </rPr>
          <t xml:space="preserve">
Repurchase of common and preferred stock</t>
        </r>
      </text>
    </comment>
    <comment ref="DK63" authorId="1">
      <text>
        <r>
          <rPr>
            <b/>
            <sz val="8"/>
            <color indexed="81"/>
            <rFont val="Tahoma"/>
            <family val="2"/>
          </rPr>
          <t>katzedwa:</t>
        </r>
        <r>
          <rPr>
            <sz val="8"/>
            <color indexed="81"/>
            <rFont val="Tahoma"/>
            <family val="2"/>
          </rPr>
          <t xml:space="preserve">
Repurchase of common and preferred stock</t>
        </r>
      </text>
    </comment>
    <comment ref="DL63" authorId="1">
      <text>
        <r>
          <rPr>
            <b/>
            <sz val="8"/>
            <color indexed="81"/>
            <rFont val="Tahoma"/>
            <family val="2"/>
          </rPr>
          <t>katzedwa:</t>
        </r>
        <r>
          <rPr>
            <sz val="8"/>
            <color indexed="81"/>
            <rFont val="Tahoma"/>
            <family val="2"/>
          </rPr>
          <t xml:space="preserve">
Repurchase of common and preferred stock</t>
        </r>
      </text>
    </comment>
    <comment ref="DM63" authorId="1">
      <text>
        <r>
          <rPr>
            <b/>
            <sz val="8"/>
            <color indexed="81"/>
            <rFont val="Tahoma"/>
            <family val="2"/>
          </rPr>
          <t>katzedwa:</t>
        </r>
        <r>
          <rPr>
            <sz val="8"/>
            <color indexed="81"/>
            <rFont val="Tahoma"/>
            <family val="2"/>
          </rPr>
          <t xml:space="preserve">
Repurchase of common and preferred stock</t>
        </r>
      </text>
    </comment>
    <comment ref="DQ63" authorId="1">
      <text>
        <r>
          <rPr>
            <b/>
            <sz val="8"/>
            <color indexed="81"/>
            <rFont val="Tahoma"/>
            <family val="2"/>
          </rPr>
          <t>katzedwa:</t>
        </r>
        <r>
          <rPr>
            <sz val="8"/>
            <color indexed="81"/>
            <rFont val="Tahoma"/>
            <family val="2"/>
          </rPr>
          <t xml:space="preserve">
Acquisition of cash from i-STT and Pihana, less acquisition costs</t>
        </r>
      </text>
    </comment>
    <comment ref="CS66" authorId="3">
      <text>
        <r>
          <rPr>
            <sz val="10"/>
            <color indexed="81"/>
            <rFont val="Tahoma"/>
            <family val="2"/>
          </rPr>
          <t>includes "Change in cash balances included in assets held for sale"</t>
        </r>
      </text>
    </comment>
    <comment ref="CT66" authorId="3">
      <text>
        <r>
          <rPr>
            <sz val="10"/>
            <color indexed="81"/>
            <rFont val="Tahoma"/>
            <family val="2"/>
          </rPr>
          <t>includes "Change in cash balances included in assets held for sale"</t>
        </r>
      </text>
    </comment>
    <comment ref="B88" authorId="1">
      <text>
        <r>
          <rPr>
            <b/>
            <sz val="8"/>
            <color indexed="81"/>
            <rFont val="Tahoma"/>
            <family val="2"/>
          </rPr>
          <t>katzedwa:</t>
        </r>
        <r>
          <rPr>
            <sz val="8"/>
            <color indexed="81"/>
            <rFont val="Tahoma"/>
            <family val="2"/>
          </rPr>
          <t xml:space="preserve">
As defined by the company: Operating Cash Flow + Investing Cash Flow (excluding sales, purchases, and maturities of short and long term investments)</t>
        </r>
      </text>
    </comment>
    <comment ref="B92" authorId="1">
      <text>
        <r>
          <rPr>
            <b/>
            <sz val="8"/>
            <color indexed="81"/>
            <rFont val="Tahoma"/>
            <family val="2"/>
          </rPr>
          <t>katzedwa:</t>
        </r>
        <r>
          <rPr>
            <sz val="8"/>
            <color indexed="81"/>
            <rFont val="Tahoma"/>
            <family val="2"/>
          </rPr>
          <t xml:space="preserve">
As defined by the company: FCF (as defined by the company) excluding any purchases or sales of real estate and acqusitions and proceeds from asset sales</t>
        </r>
      </text>
    </comment>
    <comment ref="R119" authorId="2">
      <text>
        <r>
          <rPr>
            <sz val="10"/>
            <color indexed="81"/>
            <rFont val="Tahoma"/>
            <family val="2"/>
          </rPr>
          <t>adds back estimated US taxes paid
Assumes international taxes paid are 35%.  Assumes international pre-tax amount is proportional to international EBITDA</t>
        </r>
      </text>
    </comment>
    <comment ref="C138" authorId="2">
      <text>
        <r>
          <rPr>
            <sz val="8"/>
            <color indexed="81"/>
            <rFont val="Tahoma"/>
            <family val="2"/>
          </rPr>
          <t>LT ongoing capex guidance</t>
        </r>
      </text>
    </comment>
    <comment ref="B158" authorId="2">
      <text>
        <r>
          <rPr>
            <sz val="10"/>
            <color indexed="81"/>
            <rFont val="Tahoma"/>
            <family val="2"/>
          </rPr>
          <t xml:space="preserve">EQIX rent expense cash vs. accural reconciliation.  Impacted by pricing escalators (less cash than average rent across full lease duration earlier on)
1.  Accounting:  Total rent over whole agreement.  Straight line across agreement duration
2.  Cash:  amount paid in period
</t>
        </r>
      </text>
    </comment>
    <comment ref="B159" authorId="2">
      <text>
        <r>
          <rPr>
            <sz val="10"/>
            <color indexed="81"/>
            <rFont val="Tahoma"/>
            <family val="2"/>
          </rPr>
          <t>cash vs. accrual
impacted by cash for installation at beginning of lease term</t>
        </r>
        <r>
          <rPr>
            <sz val="8"/>
            <color indexed="81"/>
            <rFont val="Tahoma"/>
            <family val="2"/>
          </rPr>
          <t xml:space="preserve">
</t>
        </r>
      </text>
    </comment>
    <comment ref="C160" authorId="2">
      <text>
        <r>
          <rPr>
            <sz val="8"/>
            <color indexed="81"/>
            <rFont val="Tahoma"/>
            <family val="2"/>
          </rPr>
          <t>LT ongoing capex guidance</t>
        </r>
      </text>
    </comment>
    <comment ref="CR215" authorId="3">
      <text>
        <r>
          <rPr>
            <sz val="9"/>
            <color indexed="81"/>
            <rFont val="Tahoma"/>
            <family val="2"/>
          </rPr>
          <t>net income from discontinued ops</t>
        </r>
      </text>
    </comment>
    <comment ref="CS215" authorId="3">
      <text>
        <r>
          <rPr>
            <sz val="9"/>
            <color indexed="81"/>
            <rFont val="Tahoma"/>
            <family val="2"/>
          </rPr>
          <t>net income from discontinued ops</t>
        </r>
      </text>
    </comment>
  </commentList>
</comments>
</file>

<file path=xl/comments10.xml><?xml version="1.0" encoding="utf-8"?>
<comments xmlns="http://schemas.openxmlformats.org/spreadsheetml/2006/main">
  <authors>
    <author>Leon Michaelides</author>
    <author>falfalkj</author>
  </authors>
  <commentList>
    <comment ref="D22" authorId="0">
      <text>
        <r>
          <rPr>
            <b/>
            <sz val="8"/>
            <color indexed="81"/>
            <rFont val="Tahoma"/>
            <family val="2"/>
          </rPr>
          <t>Leon Michaelides:</t>
        </r>
        <r>
          <rPr>
            <sz val="8"/>
            <color indexed="81"/>
            <rFont val="Tahoma"/>
            <family val="2"/>
          </rPr>
          <t xml:space="preserve">
This is assuming that the take on portfolio of leases is on average half way through their life.   Use the simple example to calculate what % this will be using the same assumptions as in the first year for this model.</t>
        </r>
      </text>
    </comment>
    <comment ref="B34" authorId="0">
      <text>
        <r>
          <rPr>
            <b/>
            <sz val="8"/>
            <color indexed="81"/>
            <rFont val="Tahoma"/>
            <family val="2"/>
          </rPr>
          <t>Leon Michaelides:</t>
        </r>
        <r>
          <rPr>
            <sz val="8"/>
            <color indexed="81"/>
            <rFont val="Tahoma"/>
            <family val="2"/>
          </rPr>
          <t xml:space="preserve">
If the company only begins using operating leases during the historical periods included in the template then for first year set weighted average interest rate equal to the interest implicit in new leases signed.</t>
        </r>
      </text>
    </comment>
    <comment ref="B38" authorId="0">
      <text>
        <r>
          <rPr>
            <b/>
            <sz val="8"/>
            <color indexed="81"/>
            <rFont val="Tahoma"/>
            <family val="2"/>
          </rPr>
          <t>Leon Michaelides:</t>
        </r>
        <r>
          <rPr>
            <sz val="8"/>
            <color indexed="81"/>
            <rFont val="Tahoma"/>
            <family val="2"/>
          </rPr>
          <t xml:space="preserve">
Present Value of the Increase in lease payments each year.  This is the PV of new leases signed and is equavilent to the capital spending financed through operating leases.
Either use an assumed growth rate or forecast capex explicitly.</t>
        </r>
      </text>
    </comment>
    <comment ref="B44" authorId="0">
      <text>
        <r>
          <rPr>
            <b/>
            <sz val="8"/>
            <color indexed="81"/>
            <rFont val="Tahoma"/>
            <family val="2"/>
          </rPr>
          <t>Leon Michaelides:</t>
        </r>
        <r>
          <rPr>
            <sz val="8"/>
            <color indexed="81"/>
            <rFont val="Tahoma"/>
            <family val="2"/>
          </rPr>
          <t xml:space="preserve">
non cancelable leases only</t>
        </r>
      </text>
    </comment>
    <comment ref="B50" authorId="1">
      <text>
        <r>
          <rPr>
            <sz val="8"/>
            <color indexed="81"/>
            <rFont val="Tahoma"/>
            <family val="2"/>
          </rPr>
          <t>='Op Lease Analysis'!P32-5</t>
        </r>
      </text>
    </comment>
    <comment ref="B117" authorId="0">
      <text>
        <r>
          <rPr>
            <b/>
            <sz val="8"/>
            <color indexed="81"/>
            <rFont val="Tahoma"/>
            <family val="2"/>
          </rPr>
          <t>Leon Michaelides:</t>
        </r>
        <r>
          <rPr>
            <sz val="8"/>
            <color indexed="81"/>
            <rFont val="Tahoma"/>
            <family val="2"/>
          </rPr>
          <t xml:space="preserve">
Present Value of the Increase in lease payments each year.  This is the PV of new leases signed and is equavilent to the capital spending financed through operating leases.</t>
        </r>
      </text>
    </comment>
    <comment ref="D123" authorId="0">
      <text>
        <r>
          <rPr>
            <b/>
            <sz val="8"/>
            <color indexed="81"/>
            <rFont val="Tahoma"/>
            <family val="2"/>
          </rPr>
          <t>Leon Michaelides:</t>
        </r>
        <r>
          <rPr>
            <sz val="8"/>
            <color indexed="81"/>
            <rFont val="Tahoma"/>
            <family val="2"/>
          </rPr>
          <t xml:space="preserve">
factor to apply to smooth depreciation of the take on carrying value of leased assets.  This is to depreciate them on a reducing balance method to similate a portfolio where leases would roll off over time.</t>
        </r>
      </text>
    </comment>
  </commentList>
</comments>
</file>

<file path=xl/comments11.xml><?xml version="1.0" encoding="utf-8"?>
<comments xmlns="http://schemas.openxmlformats.org/spreadsheetml/2006/main">
  <authors>
    <author>laml</author>
  </authors>
  <commentList>
    <comment ref="B64" authorId="0">
      <text>
        <r>
          <rPr>
            <sz val="10"/>
            <color indexed="81"/>
            <rFont val="Tahoma"/>
            <family val="2"/>
          </rPr>
          <t>annualized net operating profit after tax (NOPAT) / (net debt + shareholder equity)</t>
        </r>
      </text>
    </comment>
  </commentList>
</comments>
</file>

<file path=xl/comments12.xml><?xml version="1.0" encoding="utf-8"?>
<comments xmlns="http://schemas.openxmlformats.org/spreadsheetml/2006/main">
  <authors>
    <author>Lam, Lisa (Research)</author>
    <author>katzedwa</author>
    <author>laml</author>
  </authors>
  <commentList>
    <comment ref="CQ7" authorId="0">
      <text>
        <r>
          <rPr>
            <sz val="10"/>
            <color indexed="81"/>
            <rFont val="Tahoma"/>
            <family val="2"/>
          </rPr>
          <t>for cash portion of Telecity</t>
        </r>
      </text>
    </comment>
    <comment ref="CR7" authorId="0">
      <text>
        <r>
          <rPr>
            <sz val="10"/>
            <color indexed="81"/>
            <rFont val="Tahoma"/>
            <family val="2"/>
          </rPr>
          <t xml:space="preserve">Telecity acquisition - equity component
each Telecity share exchanged for 0.0327 new EQIX shares
per 4Q15 presentation
</t>
        </r>
      </text>
    </comment>
    <comment ref="CV7" authorId="0">
      <text>
        <r>
          <rPr>
            <sz val="10"/>
            <color indexed="81"/>
            <rFont val="Tahoma"/>
            <family val="2"/>
          </rPr>
          <t>per debt summary</t>
        </r>
      </text>
    </comment>
    <comment ref="CQ10" authorId="0">
      <text>
        <r>
          <rPr>
            <sz val="10"/>
            <color indexed="81"/>
            <rFont val="Tahoma"/>
            <family val="2"/>
          </rPr>
          <t>includes greenshoe</t>
        </r>
      </text>
    </comment>
    <comment ref="B19" authorId="1">
      <text>
        <r>
          <rPr>
            <b/>
            <sz val="8"/>
            <color indexed="81"/>
            <rFont val="Tahoma"/>
            <family val="2"/>
          </rPr>
          <t>katzedwa:</t>
        </r>
        <r>
          <rPr>
            <sz val="8"/>
            <color indexed="81"/>
            <rFont val="Tahoma"/>
            <family val="2"/>
          </rPr>
          <t xml:space="preserve">
Each $1,000 principal is convertible into 25.3165 shares, representing an initial conversion price of $39.50/share</t>
        </r>
      </text>
    </comment>
    <comment ref="X20" authorId="1">
      <text>
        <r>
          <rPr>
            <b/>
            <sz val="8"/>
            <color indexed="81"/>
            <rFont val="Tahoma"/>
            <family val="2"/>
          </rPr>
          <t>katzedwa:</t>
        </r>
        <r>
          <rPr>
            <sz val="8"/>
            <color indexed="81"/>
            <rFont val="Tahoma"/>
            <family val="2"/>
          </rPr>
          <t xml:space="preserve">
Due 2024</t>
        </r>
      </text>
    </comment>
    <comment ref="Y20" authorId="1">
      <text>
        <r>
          <rPr>
            <b/>
            <sz val="8"/>
            <color indexed="81"/>
            <rFont val="Tahoma"/>
            <family val="2"/>
          </rPr>
          <t>katzedwa:</t>
        </r>
        <r>
          <rPr>
            <sz val="8"/>
            <color indexed="81"/>
            <rFont val="Tahoma"/>
            <family val="2"/>
          </rPr>
          <t xml:space="preserve">
Due 2024</t>
        </r>
      </text>
    </comment>
    <comment ref="Z20" authorId="1">
      <text>
        <r>
          <rPr>
            <b/>
            <sz val="8"/>
            <color indexed="81"/>
            <rFont val="Tahoma"/>
            <family val="2"/>
          </rPr>
          <t>katzedwa:</t>
        </r>
        <r>
          <rPr>
            <sz val="8"/>
            <color indexed="81"/>
            <rFont val="Tahoma"/>
            <family val="2"/>
          </rPr>
          <t xml:space="preserve">
Due 2024</t>
        </r>
      </text>
    </comment>
    <comment ref="AV20" authorId="1">
      <text>
        <r>
          <rPr>
            <b/>
            <sz val="8"/>
            <color indexed="81"/>
            <rFont val="Tahoma"/>
            <family val="2"/>
          </rPr>
          <t>katzedwa:</t>
        </r>
        <r>
          <rPr>
            <sz val="8"/>
            <color indexed="81"/>
            <rFont val="Tahoma"/>
            <family val="2"/>
          </rPr>
          <t xml:space="preserve">
Issued February 11, 2004</t>
        </r>
      </text>
    </comment>
    <comment ref="N21" authorId="1">
      <text>
        <r>
          <rPr>
            <b/>
            <sz val="8"/>
            <color indexed="81"/>
            <rFont val="Tahoma"/>
            <family val="2"/>
          </rPr>
          <t>katzedwa:</t>
        </r>
        <r>
          <rPr>
            <sz val="8"/>
            <color indexed="81"/>
            <rFont val="Tahoma"/>
            <family val="2"/>
          </rPr>
          <t xml:space="preserve">
Assume repayment</t>
        </r>
      </text>
    </comment>
    <comment ref="BH21" authorId="1">
      <text>
        <r>
          <rPr>
            <b/>
            <sz val="8"/>
            <color indexed="81"/>
            <rFont val="Tahoma"/>
            <family val="2"/>
          </rPr>
          <t>katzedwa:</t>
        </r>
        <r>
          <rPr>
            <sz val="8"/>
            <color indexed="81"/>
            <rFont val="Tahoma"/>
            <family val="2"/>
          </rPr>
          <t xml:space="preserve">
March 2007: Exchanged 1367090 shares for $54M, each holder also received accrued and upaid interest through redemption date of $111,000, as well as present value of interest through 02/15/2009 and an incremental fee of $3,395,000; recorded loss of $3,395,000, $53,229,000 credited to stockholders' equity offset by $771,000 of unamortized debt issuance costs since at the time of issuance the debentures did not contain a beneficial conversion feature; remaining $32.25M convertible into 816,458 shares</t>
        </r>
      </text>
    </comment>
    <comment ref="BO21" authorId="1">
      <text>
        <r>
          <rPr>
            <b/>
            <sz val="8"/>
            <color indexed="81"/>
            <rFont val="Tahoma"/>
            <family val="2"/>
          </rPr>
          <t>katzedwa:</t>
        </r>
        <r>
          <rPr>
            <sz val="8"/>
            <color indexed="81"/>
            <rFont val="Tahoma"/>
            <family val="2"/>
          </rPr>
          <t xml:space="preserve">
November 2008: Holders exchanged for 331,644 shares
December 31, 2008: $19.2 outstanding, convertible into 484,813 shares. Because of illiquid trading (which depressed the price of the common stock), parity provision clause was triggered; holders given right to convert at any time; reclassified as a current liability</t>
        </r>
      </text>
    </comment>
    <comment ref="BP21" authorId="1">
      <text>
        <r>
          <rPr>
            <b/>
            <sz val="8"/>
            <color indexed="81"/>
            <rFont val="Tahoma"/>
            <family val="2"/>
          </rPr>
          <t xml:space="preserve">katzedwa:
</t>
        </r>
        <r>
          <rPr>
            <sz val="8"/>
            <color indexed="81"/>
            <rFont val="Tahoma"/>
            <family val="2"/>
          </rPr>
          <t>Holders had right to purchase all or portion of shares on February 15, none did so (classified as a current liability)</t>
        </r>
      </text>
    </comment>
    <comment ref="B25" authorId="1">
      <text>
        <r>
          <rPr>
            <b/>
            <sz val="8"/>
            <color indexed="81"/>
            <rFont val="Tahoma"/>
            <family val="2"/>
          </rPr>
          <t>katzedwa:</t>
        </r>
        <r>
          <rPr>
            <sz val="8"/>
            <color indexed="81"/>
            <rFont val="Tahoma"/>
            <family val="2"/>
          </rPr>
          <t xml:space="preserve">
Interest is payable every April 15 and October 15; initial conversion rate is 8.9259 shares of common per $1,000 principal ($112.03 per share price); at conversion, holders receive either cash or common stock or combination of both at company's election</t>
        </r>
      </text>
    </comment>
    <comment ref="O26" authorId="1">
      <text>
        <r>
          <rPr>
            <b/>
            <sz val="8"/>
            <color indexed="81"/>
            <rFont val="Tahoma"/>
            <family val="2"/>
          </rPr>
          <t>katzedwa:</t>
        </r>
        <r>
          <rPr>
            <sz val="8"/>
            <color indexed="81"/>
            <rFont val="Tahoma"/>
            <family val="2"/>
          </rPr>
          <t xml:space="preserve">
May redeem all or a portion of notes at any time after April 16, 2010 for cash but only if closing sale price of common stock for at least 20 of the 30 consecutive trading days immediately prior to the day we give notice of redemption is greater than 130% of the applicable conversion price per share of common on the date of the notice ($145.64 per share as of December 31, 2008); in no event would the total number of share exceed 11.6036 per $1,000 principal, subject to anti-dilution agreements or the equivalent of $86.18 per share of common stock or a total of 2.9M shares</t>
        </r>
      </text>
    </comment>
    <comment ref="BH26" authorId="1">
      <text>
        <r>
          <rPr>
            <b/>
            <sz val="8"/>
            <color indexed="81"/>
            <rFont val="Tahoma"/>
            <family val="2"/>
          </rPr>
          <t>katzedwa:</t>
        </r>
        <r>
          <rPr>
            <sz val="8"/>
            <color indexed="81"/>
            <rFont val="Tahoma"/>
            <family val="2"/>
          </rPr>
          <t xml:space="preserve">
Issued March 2007</t>
        </r>
      </text>
    </comment>
    <comment ref="CB28" authorId="2">
      <text>
        <r>
          <rPr>
            <sz val="8"/>
            <color indexed="81"/>
            <rFont val="Tahoma"/>
            <family val="2"/>
          </rPr>
          <t>allocate remaining convert discount here</t>
        </r>
      </text>
    </comment>
    <comment ref="B32" authorId="2">
      <text>
        <r>
          <rPr>
            <sz val="10"/>
            <color indexed="81"/>
            <rFont val="Tahoma"/>
            <family val="2"/>
          </rPr>
          <t>Matures 10/15/14
Issued 9/2007
base conversion rate:  7.436 shares of common stock per $1,000 principal amount of 3.00% Convertible Subordinated Notes, subject to adjustment. This represents a base conversion price of approximately $134.48 per share of common stock. If, at the time of conversion, the applicable stock price of the Company’s common stock exceeds the base conversion price, the conversion rate will be determined pursuant to a formula resulting in the receipt of up to 4.4616 additional shares of common stock per $1,000 principal amount of the 3.00% Convertible Subordinated Notes, subject to adjustment. However, in no event would the total number of shares issuable upon conversion of the 3.00% Convertible Subordinated Notes exceed 11.8976 per $1,000 principal amount of 3.00% Convertible Subordinated Notes, subject to anti-dilution adjustments, or the equivalent of $84.05 per share of the Company’s common stock or a total of 4,711,283 shares of the Company’s common stock. As of June 30, 2013, had the holders of the 3.00% Convertible Subordinated Notes converted their notes, the 3.00% Convertible Subordinated Notes would have been convertible into 3,466,917 shares of the Company’s common stock.</t>
        </r>
      </text>
    </comment>
    <comment ref="CM32" authorId="2">
      <text>
        <r>
          <rPr>
            <sz val="10"/>
            <color indexed="81"/>
            <rFont val="Tahoma"/>
            <family val="2"/>
          </rPr>
          <t>matures 10/15/14
per 10/15/14 8-K:  converted into 1,595,496 shares of common stock</t>
        </r>
      </text>
    </comment>
    <comment ref="BJ33" authorId="1">
      <text>
        <r>
          <rPr>
            <b/>
            <sz val="8"/>
            <color indexed="81"/>
            <rFont val="Tahoma"/>
            <family val="2"/>
          </rPr>
          <t>katzedwa:</t>
        </r>
        <r>
          <rPr>
            <sz val="8"/>
            <color indexed="81"/>
            <rFont val="Tahoma"/>
            <family val="2"/>
          </rPr>
          <t xml:space="preserve">
Issued September 2007</t>
        </r>
      </text>
    </comment>
    <comment ref="CK34" authorId="2">
      <text>
        <r>
          <rPr>
            <sz val="10"/>
            <color indexed="81"/>
            <rFont val="Tahoma"/>
            <family val="2"/>
          </rPr>
          <t>total amount exchanged for stock + cash of $5.4M</t>
        </r>
      </text>
    </comment>
    <comment ref="BY40" authorId="2">
      <text>
        <r>
          <rPr>
            <sz val="8"/>
            <color indexed="81"/>
            <rFont val="Tahoma"/>
            <family val="2"/>
          </rPr>
          <t>20.594mm per 2Q11 debt summary</t>
        </r>
      </text>
    </comment>
    <comment ref="BZ40" authorId="2">
      <text>
        <r>
          <rPr>
            <sz val="8"/>
            <color indexed="81"/>
            <rFont val="Tahoma"/>
            <family val="2"/>
          </rPr>
          <t>40.054mm per 3Q11 debt summary</t>
        </r>
      </text>
    </comment>
    <comment ref="CA40" authorId="2">
      <text>
        <r>
          <rPr>
            <sz val="8"/>
            <color indexed="81"/>
            <rFont val="Tahoma"/>
            <family val="2"/>
          </rPr>
          <t>52.104mm per 4Q11 debt summary</t>
        </r>
      </text>
    </comment>
    <comment ref="CB40" authorId="2">
      <text>
        <r>
          <rPr>
            <sz val="8"/>
            <color indexed="81"/>
            <rFont val="Tahoma"/>
            <family val="2"/>
          </rPr>
          <t>per 1Q12 debt summary</t>
        </r>
      </text>
    </comment>
    <comment ref="CC40" authorId="2">
      <text>
        <r>
          <rPr>
            <sz val="8"/>
            <color indexed="81"/>
            <rFont val="Tahoma"/>
            <family val="2"/>
          </rPr>
          <t>per 1Q12 debt summary</t>
        </r>
      </text>
    </comment>
    <comment ref="CD40" authorId="2">
      <text>
        <r>
          <rPr>
            <sz val="8"/>
            <color indexed="81"/>
            <rFont val="Tahoma"/>
            <family val="2"/>
          </rPr>
          <t>per 1Q12 debt summary</t>
        </r>
      </text>
    </comment>
    <comment ref="CE40" authorId="2">
      <text>
        <r>
          <rPr>
            <sz val="8"/>
            <color indexed="81"/>
            <rFont val="Tahoma"/>
            <family val="2"/>
          </rPr>
          <t>per 1Q12 debt summary</t>
        </r>
      </text>
    </comment>
    <comment ref="CF40" authorId="2">
      <text>
        <r>
          <rPr>
            <sz val="8"/>
            <color indexed="81"/>
            <rFont val="Tahoma"/>
            <family val="2"/>
          </rPr>
          <t>per 1Q12 debt summary</t>
        </r>
      </text>
    </comment>
    <comment ref="CG40" authorId="2">
      <text>
        <r>
          <rPr>
            <sz val="8"/>
            <color indexed="81"/>
            <rFont val="Tahoma"/>
            <family val="2"/>
          </rPr>
          <t>per 1Q12 debt summary</t>
        </r>
      </text>
    </comment>
    <comment ref="CH40" authorId="2">
      <text>
        <r>
          <rPr>
            <sz val="8"/>
            <color indexed="81"/>
            <rFont val="Tahoma"/>
            <family val="2"/>
          </rPr>
          <t>per 1Q12 debt summary</t>
        </r>
      </text>
    </comment>
    <comment ref="CI40" authorId="2">
      <text>
        <r>
          <rPr>
            <sz val="8"/>
            <color indexed="81"/>
            <rFont val="Tahoma"/>
            <family val="2"/>
          </rPr>
          <t>per 1Q12 debt summary</t>
        </r>
      </text>
    </comment>
    <comment ref="CB46" authorId="2">
      <text>
        <r>
          <rPr>
            <sz val="8"/>
            <color indexed="81"/>
            <rFont val="Tahoma"/>
            <family val="2"/>
          </rPr>
          <t>per debt summary</t>
        </r>
      </text>
    </comment>
    <comment ref="CC46" authorId="2">
      <text>
        <r>
          <rPr>
            <sz val="8"/>
            <color indexed="81"/>
            <rFont val="Tahoma"/>
            <family val="2"/>
          </rPr>
          <t>per debt summary</t>
        </r>
      </text>
    </comment>
    <comment ref="CD46" authorId="2">
      <text>
        <r>
          <rPr>
            <sz val="8"/>
            <color indexed="81"/>
            <rFont val="Tahoma"/>
            <family val="2"/>
          </rPr>
          <t>per debt summary</t>
        </r>
      </text>
    </comment>
    <comment ref="CE46" authorId="2">
      <text>
        <r>
          <rPr>
            <sz val="8"/>
            <color indexed="81"/>
            <rFont val="Tahoma"/>
            <family val="2"/>
          </rPr>
          <t>per debt summary</t>
        </r>
      </text>
    </comment>
    <comment ref="CF46" authorId="2">
      <text>
        <r>
          <rPr>
            <sz val="8"/>
            <color indexed="81"/>
            <rFont val="Tahoma"/>
            <family val="2"/>
          </rPr>
          <t>per debt summary</t>
        </r>
      </text>
    </comment>
    <comment ref="CG46" authorId="2">
      <text>
        <r>
          <rPr>
            <sz val="8"/>
            <color indexed="81"/>
            <rFont val="Tahoma"/>
            <family val="2"/>
          </rPr>
          <t>per debt summary</t>
        </r>
      </text>
    </comment>
    <comment ref="CH46" authorId="2">
      <text>
        <r>
          <rPr>
            <sz val="8"/>
            <color indexed="81"/>
            <rFont val="Tahoma"/>
            <family val="2"/>
          </rPr>
          <t>per debt summary</t>
        </r>
      </text>
    </comment>
    <comment ref="CI46" authorId="2">
      <text>
        <r>
          <rPr>
            <sz val="8"/>
            <color indexed="81"/>
            <rFont val="Tahoma"/>
            <family val="2"/>
          </rPr>
          <t>per debt summary</t>
        </r>
      </text>
    </comment>
    <comment ref="CJ46" authorId="2">
      <text>
        <r>
          <rPr>
            <sz val="8"/>
            <color indexed="81"/>
            <rFont val="Tahoma"/>
            <family val="2"/>
          </rPr>
          <t>per debt summary</t>
        </r>
      </text>
    </comment>
    <comment ref="CK46" authorId="2">
      <text>
        <r>
          <rPr>
            <sz val="8"/>
            <color indexed="81"/>
            <rFont val="Tahoma"/>
            <family val="2"/>
          </rPr>
          <t>per debt summary</t>
        </r>
      </text>
    </comment>
    <comment ref="CL46" authorId="2">
      <text>
        <r>
          <rPr>
            <sz val="8"/>
            <color indexed="81"/>
            <rFont val="Tahoma"/>
            <family val="2"/>
          </rPr>
          <t>per debt summary</t>
        </r>
      </text>
    </comment>
    <comment ref="CM46" authorId="2">
      <text>
        <r>
          <rPr>
            <sz val="8"/>
            <color indexed="81"/>
            <rFont val="Tahoma"/>
            <family val="2"/>
          </rPr>
          <t>per debt summary</t>
        </r>
      </text>
    </comment>
    <comment ref="CN46" authorId="2">
      <text>
        <r>
          <rPr>
            <sz val="8"/>
            <color indexed="81"/>
            <rFont val="Tahoma"/>
            <family val="2"/>
          </rPr>
          <t>per debt summary</t>
        </r>
      </text>
    </comment>
    <comment ref="CO46" authorId="2">
      <text>
        <r>
          <rPr>
            <sz val="8"/>
            <color indexed="81"/>
            <rFont val="Tahoma"/>
            <family val="2"/>
          </rPr>
          <t>per debt summary</t>
        </r>
      </text>
    </comment>
    <comment ref="CP46" authorId="2">
      <text>
        <r>
          <rPr>
            <sz val="8"/>
            <color indexed="81"/>
            <rFont val="Tahoma"/>
            <family val="2"/>
          </rPr>
          <t>per debt summary</t>
        </r>
      </text>
    </comment>
    <comment ref="CQ46" authorId="2">
      <text>
        <r>
          <rPr>
            <sz val="8"/>
            <color indexed="81"/>
            <rFont val="Tahoma"/>
            <family val="2"/>
          </rPr>
          <t>per debt summary</t>
        </r>
      </text>
    </comment>
    <comment ref="CR46" authorId="2">
      <text>
        <r>
          <rPr>
            <sz val="10"/>
            <color indexed="81"/>
            <rFont val="Tahoma"/>
            <family val="2"/>
          </rPr>
          <t>per debt summary</t>
        </r>
      </text>
    </comment>
    <comment ref="CS46" authorId="2">
      <text>
        <r>
          <rPr>
            <sz val="10"/>
            <color indexed="81"/>
            <rFont val="Tahoma"/>
            <family val="2"/>
          </rPr>
          <t>per debt summary</t>
        </r>
      </text>
    </comment>
    <comment ref="CI52" authorId="2">
      <text>
        <r>
          <rPr>
            <sz val="8"/>
            <color indexed="81"/>
            <rFont val="Tahoma"/>
            <family val="2"/>
          </rPr>
          <t>per debt summary</t>
        </r>
      </text>
    </comment>
    <comment ref="CJ52" authorId="2">
      <text>
        <r>
          <rPr>
            <sz val="8"/>
            <color indexed="81"/>
            <rFont val="Tahoma"/>
            <family val="2"/>
          </rPr>
          <t>per debt summary</t>
        </r>
      </text>
    </comment>
    <comment ref="CK52" authorId="2">
      <text>
        <r>
          <rPr>
            <sz val="8"/>
            <color indexed="81"/>
            <rFont val="Tahoma"/>
            <family val="2"/>
          </rPr>
          <t>per debt summary</t>
        </r>
      </text>
    </comment>
    <comment ref="CL52" authorId="2">
      <text>
        <r>
          <rPr>
            <sz val="8"/>
            <color indexed="81"/>
            <rFont val="Tahoma"/>
            <family val="2"/>
          </rPr>
          <t>per debt summary</t>
        </r>
      </text>
    </comment>
    <comment ref="CM52" authorId="2">
      <text>
        <r>
          <rPr>
            <sz val="10"/>
            <color indexed="81"/>
            <rFont val="Tahoma"/>
            <family val="2"/>
          </rPr>
          <t xml:space="preserve">per debt summary
</t>
        </r>
      </text>
    </comment>
    <comment ref="CN52" authorId="2">
      <text>
        <r>
          <rPr>
            <sz val="10"/>
            <color indexed="81"/>
            <rFont val="Tahoma"/>
            <family val="2"/>
          </rPr>
          <t xml:space="preserve">per debt summary
</t>
        </r>
      </text>
    </comment>
    <comment ref="CO52" authorId="2">
      <text>
        <r>
          <rPr>
            <sz val="10"/>
            <color indexed="81"/>
            <rFont val="Tahoma"/>
            <family val="2"/>
          </rPr>
          <t xml:space="preserve">per debt summary
</t>
        </r>
      </text>
    </comment>
    <comment ref="CP52" authorId="2">
      <text>
        <r>
          <rPr>
            <sz val="10"/>
            <color indexed="81"/>
            <rFont val="Tahoma"/>
            <family val="2"/>
          </rPr>
          <t xml:space="preserve">per debt summary
</t>
        </r>
      </text>
    </comment>
    <comment ref="CQ52" authorId="2">
      <text>
        <r>
          <rPr>
            <sz val="10"/>
            <color indexed="81"/>
            <rFont val="Tahoma"/>
            <family val="2"/>
          </rPr>
          <t xml:space="preserve">per debt summary
</t>
        </r>
      </text>
    </comment>
    <comment ref="CR52" authorId="2">
      <text>
        <r>
          <rPr>
            <sz val="10"/>
            <color indexed="81"/>
            <rFont val="Tahoma"/>
            <family val="2"/>
          </rPr>
          <t xml:space="preserve">per debt summary
</t>
        </r>
      </text>
    </comment>
    <comment ref="CS52" authorId="2">
      <text>
        <r>
          <rPr>
            <sz val="10"/>
            <color indexed="81"/>
            <rFont val="Tahoma"/>
            <family val="2"/>
          </rPr>
          <t>per debt summary
include debt discount</t>
        </r>
      </text>
    </comment>
    <comment ref="CT52" authorId="2">
      <text>
        <r>
          <rPr>
            <sz val="10"/>
            <color indexed="81"/>
            <rFont val="Tahoma"/>
            <family val="2"/>
          </rPr>
          <t>per debt summary
include debt discount</t>
        </r>
      </text>
    </comment>
    <comment ref="CD58" authorId="2">
      <text>
        <r>
          <rPr>
            <sz val="8"/>
            <color indexed="81"/>
            <rFont val="Tahoma"/>
            <family val="2"/>
          </rPr>
          <t>per debt summary</t>
        </r>
      </text>
    </comment>
    <comment ref="CE58" authorId="2">
      <text>
        <r>
          <rPr>
            <sz val="8"/>
            <color indexed="81"/>
            <rFont val="Tahoma"/>
            <family val="2"/>
          </rPr>
          <t>per debt summary</t>
        </r>
      </text>
    </comment>
    <comment ref="B62" authorId="1">
      <text>
        <r>
          <rPr>
            <b/>
            <sz val="8"/>
            <color indexed="81"/>
            <rFont val="Tahoma"/>
            <family val="2"/>
          </rPr>
          <t>katzedwa:</t>
        </r>
        <r>
          <rPr>
            <sz val="8"/>
            <color indexed="81"/>
            <rFont val="Tahoma"/>
            <family val="2"/>
          </rPr>
          <t xml:space="preserve">
Interest paid in periods of one, two, three or six months at company’s election</t>
        </r>
      </text>
    </comment>
    <comment ref="BJ63" authorId="1">
      <text>
        <r>
          <rPr>
            <b/>
            <sz val="8"/>
            <color indexed="81"/>
            <rFont val="Tahoma"/>
            <family val="2"/>
          </rPr>
          <t>katzedwa:</t>
        </r>
        <r>
          <rPr>
            <sz val="8"/>
            <color indexed="81"/>
            <rFont val="Tahoma"/>
            <family val="2"/>
          </rPr>
          <t xml:space="preserve">
Assumed with IXEurope in September 2007</t>
        </r>
      </text>
    </comment>
    <comment ref="BL63" authorId="1">
      <text>
        <r>
          <rPr>
            <b/>
            <sz val="8"/>
            <color indexed="81"/>
            <rFont val="Tahoma"/>
            <family val="2"/>
          </rPr>
          <t>katzedwa:</t>
        </r>
        <r>
          <rPr>
            <sz val="8"/>
            <color indexed="81"/>
            <rFont val="Tahoma"/>
            <family val="2"/>
          </rPr>
          <t xml:space="preserve">
Received additional advances of $30.9M, bringing cumulative loan payable to $116.5M</t>
        </r>
      </text>
    </comment>
    <comment ref="O69" authorId="1">
      <text>
        <r>
          <rPr>
            <b/>
            <sz val="8"/>
            <color indexed="81"/>
            <rFont val="Tahoma"/>
            <family val="2"/>
          </rPr>
          <t>katzedwa:</t>
        </r>
        <r>
          <rPr>
            <sz val="8"/>
            <color indexed="81"/>
            <rFont val="Tahoma"/>
            <family val="2"/>
          </rPr>
          <t xml:space="preserve">
Assume qualifications of options met to extend maturity past January 31, 2010 for two additional years in one year increments</t>
        </r>
      </text>
    </comment>
    <comment ref="BH69" authorId="1">
      <text>
        <r>
          <rPr>
            <b/>
            <sz val="8"/>
            <color indexed="81"/>
            <rFont val="Tahoma"/>
            <family val="2"/>
          </rPr>
          <t>katzedwa:</t>
        </r>
        <r>
          <rPr>
            <sz val="8"/>
            <color indexed="81"/>
            <rFont val="Tahoma"/>
            <family val="2"/>
          </rPr>
          <t xml:space="preserve">
Entered into February 2007 of up to $110,000,000</t>
        </r>
      </text>
    </comment>
    <comment ref="BT70" authorId="1">
      <text>
        <r>
          <rPr>
            <b/>
            <sz val="8"/>
            <color indexed="81"/>
            <rFont val="Tahoma"/>
            <family val="2"/>
          </rPr>
          <t>katzedwa:</t>
        </r>
        <r>
          <rPr>
            <sz val="8"/>
            <color indexed="81"/>
            <rFont val="Tahoma"/>
            <family val="2"/>
          </rPr>
          <t xml:space="preserve">
Repaid Chicago construction loan</t>
        </r>
      </text>
    </comment>
    <comment ref="BJ81" authorId="1">
      <text>
        <r>
          <rPr>
            <b/>
            <sz val="8"/>
            <color indexed="81"/>
            <rFont val="Tahoma"/>
            <family val="2"/>
          </rPr>
          <t>katzedwa:</t>
        </r>
        <r>
          <rPr>
            <sz val="8"/>
            <color indexed="81"/>
            <rFont val="Tahoma"/>
            <family val="2"/>
          </rPr>
          <t xml:space="preserve">
Entered into credit facility ($48.438M available) in August 2007 comprised of 23,000,000 Singapore Dollars and 2,932,500,000 Japanese Yen</t>
        </r>
      </text>
    </comment>
    <comment ref="BL81" authorId="1">
      <text>
        <r>
          <rPr>
            <b/>
            <sz val="8"/>
            <color indexed="81"/>
            <rFont val="Tahoma"/>
            <family val="2"/>
          </rPr>
          <t>katzedwa:</t>
        </r>
        <r>
          <rPr>
            <sz val="8"/>
            <color indexed="81"/>
            <rFont val="Tahoma"/>
            <family val="2"/>
          </rPr>
          <t xml:space="preserve">
January 2008: Facility amended to allow subsidiary in Australia to borrow up to 32M Australian Dollars under the facility under same general terms</t>
        </r>
      </text>
    </comment>
    <comment ref="BO81" authorId="1">
      <text>
        <r>
          <rPr>
            <b/>
            <sz val="8"/>
            <color indexed="81"/>
            <rFont val="Tahoma"/>
            <family val="2"/>
          </rPr>
          <t>katzedwa:</t>
        </r>
        <r>
          <rPr>
            <sz val="8"/>
            <color indexed="81"/>
            <rFont val="Tahoma"/>
            <family val="2"/>
          </rPr>
          <t xml:space="preserve">
4Q 2008: Facility amended to allow subsidiary in Hong Kong to borrow up to 156M Hong Kong Dollars under the facility under same general terms ($91M total)</t>
        </r>
      </text>
    </comment>
    <comment ref="BU82" authorId="1">
      <text>
        <r>
          <rPr>
            <b/>
            <sz val="8"/>
            <color indexed="81"/>
            <rFont val="Tahoma"/>
            <family val="2"/>
          </rPr>
          <t>katzedwa:</t>
        </r>
        <r>
          <rPr>
            <sz val="8"/>
            <color indexed="81"/>
            <rFont val="Tahoma"/>
            <family val="2"/>
          </rPr>
          <t xml:space="preserve">
New financing</t>
        </r>
      </text>
    </comment>
    <comment ref="BY82" authorId="2">
      <text>
        <r>
          <rPr>
            <sz val="8"/>
            <color indexed="81"/>
            <rFont val="Tahoma"/>
            <family val="2"/>
          </rPr>
          <t>192.844mm per 2Q11 debt summary</t>
        </r>
      </text>
    </comment>
    <comment ref="BZ82" authorId="2">
      <text>
        <r>
          <rPr>
            <sz val="8"/>
            <color indexed="81"/>
            <rFont val="Tahoma"/>
            <family val="2"/>
          </rPr>
          <t>184.844mm per 3Q11 debt summary</t>
        </r>
      </text>
    </comment>
    <comment ref="CA82" authorId="2">
      <text>
        <r>
          <rPr>
            <sz val="8"/>
            <color indexed="81"/>
            <rFont val="Tahoma"/>
            <family val="2"/>
          </rPr>
          <t>per 4Q11 debt summary</t>
        </r>
      </text>
    </comment>
    <comment ref="CB82" authorId="2">
      <text>
        <r>
          <rPr>
            <sz val="8"/>
            <color indexed="81"/>
            <rFont val="Tahoma"/>
            <family val="2"/>
          </rPr>
          <t>per debt summary</t>
        </r>
      </text>
    </comment>
    <comment ref="CC82" authorId="2">
      <text>
        <r>
          <rPr>
            <sz val="8"/>
            <color indexed="81"/>
            <rFont val="Tahoma"/>
            <family val="2"/>
          </rPr>
          <t>per debt summary</t>
        </r>
      </text>
    </comment>
    <comment ref="CE82" authorId="2">
      <text>
        <r>
          <rPr>
            <sz val="8"/>
            <color indexed="81"/>
            <rFont val="Tahoma"/>
            <family val="2"/>
          </rPr>
          <t>other loans payable</t>
        </r>
      </text>
    </comment>
    <comment ref="CF82" authorId="2">
      <text>
        <r>
          <rPr>
            <sz val="8"/>
            <color indexed="81"/>
            <rFont val="Tahoma"/>
            <family val="2"/>
          </rPr>
          <t>other loans payable</t>
        </r>
      </text>
    </comment>
    <comment ref="CG82" authorId="2">
      <text>
        <r>
          <rPr>
            <sz val="8"/>
            <color indexed="81"/>
            <rFont val="Tahoma"/>
            <family val="2"/>
          </rPr>
          <t>other loans payable</t>
        </r>
      </text>
    </comment>
    <comment ref="CH82" authorId="2">
      <text>
        <r>
          <rPr>
            <sz val="8"/>
            <color indexed="81"/>
            <rFont val="Tahoma"/>
            <family val="2"/>
          </rPr>
          <t>other loans payable</t>
        </r>
      </text>
    </comment>
    <comment ref="CI82" authorId="2">
      <text>
        <r>
          <rPr>
            <sz val="8"/>
            <color indexed="81"/>
            <rFont val="Tahoma"/>
            <family val="2"/>
          </rPr>
          <t>other loans payable</t>
        </r>
      </text>
    </comment>
    <comment ref="CJ82" authorId="2">
      <text>
        <r>
          <rPr>
            <sz val="8"/>
            <color indexed="81"/>
            <rFont val="Tahoma"/>
            <family val="2"/>
          </rPr>
          <t>other loans payable</t>
        </r>
      </text>
    </comment>
    <comment ref="CK82" authorId="2">
      <text>
        <r>
          <rPr>
            <sz val="8"/>
            <color indexed="81"/>
            <rFont val="Tahoma"/>
            <family val="2"/>
          </rPr>
          <t>other loans payable</t>
        </r>
      </text>
    </comment>
    <comment ref="CL82" authorId="2">
      <text>
        <r>
          <rPr>
            <sz val="8"/>
            <color indexed="81"/>
            <rFont val="Tahoma"/>
            <family val="2"/>
          </rPr>
          <t>other loans payable</t>
        </r>
      </text>
    </comment>
    <comment ref="CM82" authorId="2">
      <text>
        <r>
          <rPr>
            <sz val="10"/>
            <color indexed="81"/>
            <rFont val="Tahoma"/>
            <family val="2"/>
          </rPr>
          <t>previously "other loans payable"
"other loans payable" now bucketed w/ "mortgage payable"</t>
        </r>
      </text>
    </comment>
    <comment ref="BJ87" authorId="1">
      <text>
        <r>
          <rPr>
            <b/>
            <sz val="8"/>
            <color indexed="81"/>
            <rFont val="Tahoma"/>
            <family val="2"/>
          </rPr>
          <t>katzedwa:</t>
        </r>
        <r>
          <rPr>
            <sz val="8"/>
            <color indexed="81"/>
            <rFont val="Tahoma"/>
            <family val="2"/>
          </rPr>
          <t xml:space="preserve">
Entered into credit facility ($48.438M available) in August 2007 comprised of 23,000,000 Singapore Dollars and 2,932,500,000 Japanese Yen</t>
        </r>
      </text>
    </comment>
    <comment ref="BL87" authorId="1">
      <text>
        <r>
          <rPr>
            <b/>
            <sz val="8"/>
            <color indexed="81"/>
            <rFont val="Tahoma"/>
            <family val="2"/>
          </rPr>
          <t>katzedwa:</t>
        </r>
        <r>
          <rPr>
            <sz val="8"/>
            <color indexed="81"/>
            <rFont val="Tahoma"/>
            <family val="2"/>
          </rPr>
          <t xml:space="preserve">
January 2008: Facility amended to allow subsidiary in Australia to borrow up to 32M Australian Dollars under the facility under same general terms</t>
        </r>
      </text>
    </comment>
    <comment ref="B92" authorId="2">
      <text>
        <r>
          <rPr>
            <sz val="8"/>
            <color indexed="81"/>
            <rFont val="Tahoma"/>
            <family val="2"/>
          </rPr>
          <t>$200M senior secured term loan facility
L+175bps, depended on consolidated leveraged ratio
matures on June 2017</t>
        </r>
      </text>
    </comment>
    <comment ref="BJ93" authorId="1">
      <text>
        <r>
          <rPr>
            <b/>
            <sz val="8"/>
            <color indexed="81"/>
            <rFont val="Tahoma"/>
            <family val="2"/>
          </rPr>
          <t>katzedwa:</t>
        </r>
        <r>
          <rPr>
            <sz val="8"/>
            <color indexed="81"/>
            <rFont val="Tahoma"/>
            <family val="2"/>
          </rPr>
          <t xml:space="preserve">
Entered into credit facility ($48.438M available) in August 2007 comprised of 23,000,000 Singapore Dollars and 2,932,500,000 Japanese Yen</t>
        </r>
      </text>
    </comment>
    <comment ref="BL93" authorId="1">
      <text>
        <r>
          <rPr>
            <b/>
            <sz val="8"/>
            <color indexed="81"/>
            <rFont val="Tahoma"/>
            <family val="2"/>
          </rPr>
          <t>katzedwa:</t>
        </r>
        <r>
          <rPr>
            <sz val="8"/>
            <color indexed="81"/>
            <rFont val="Tahoma"/>
            <family val="2"/>
          </rPr>
          <t xml:space="preserve">
January 2008: Facility amended to allow subsidiary in Australia to borrow up to 32M Australian Dollars under the facility under same general terms</t>
        </r>
      </text>
    </comment>
    <comment ref="CM94" authorId="2">
      <text>
        <r>
          <rPr>
            <sz val="8"/>
            <color indexed="81"/>
            <rFont val="Tahoma"/>
            <family val="2"/>
          </rPr>
          <t>per debt summary</t>
        </r>
      </text>
    </comment>
    <comment ref="CN94" authorId="2">
      <text>
        <r>
          <rPr>
            <sz val="8"/>
            <color indexed="81"/>
            <rFont val="Tahoma"/>
            <family val="2"/>
          </rPr>
          <t>per debt summary</t>
        </r>
      </text>
    </comment>
    <comment ref="CO94" authorId="2">
      <text>
        <r>
          <rPr>
            <sz val="8"/>
            <color indexed="81"/>
            <rFont val="Tahoma"/>
            <family val="2"/>
          </rPr>
          <t>per debt summary</t>
        </r>
      </text>
    </comment>
    <comment ref="CP94" authorId="2">
      <text>
        <r>
          <rPr>
            <sz val="8"/>
            <color indexed="81"/>
            <rFont val="Tahoma"/>
            <family val="2"/>
          </rPr>
          <t>per debt summary</t>
        </r>
      </text>
    </comment>
    <comment ref="CQ94" authorId="2">
      <text>
        <r>
          <rPr>
            <sz val="8"/>
            <color indexed="81"/>
            <rFont val="Tahoma"/>
            <family val="2"/>
          </rPr>
          <t>per debt summary</t>
        </r>
      </text>
    </comment>
    <comment ref="CR94" authorId="0">
      <text>
        <r>
          <rPr>
            <sz val="10"/>
            <color indexed="81"/>
            <rFont val="Tahoma"/>
            <family val="2"/>
          </rPr>
          <t>per debt summary
proposed expansion of term loan for Telecity acquisition</t>
        </r>
      </text>
    </comment>
    <comment ref="CS94" authorId="0">
      <text>
        <r>
          <rPr>
            <sz val="10"/>
            <color indexed="81"/>
            <rFont val="Tahoma"/>
            <family val="2"/>
          </rPr>
          <t>per debt summary
proposed expansion of term loan for Telecity acquisition</t>
        </r>
      </text>
    </comment>
    <comment ref="BL99" authorId="1">
      <text>
        <r>
          <rPr>
            <sz val="8"/>
            <color indexed="81"/>
            <rFont val="Tahoma"/>
            <family val="2"/>
          </rPr>
          <t>per debt summary</t>
        </r>
      </text>
    </comment>
    <comment ref="BL105" authorId="1">
      <text>
        <r>
          <rPr>
            <sz val="10"/>
            <color indexed="81"/>
            <rFont val="Tahoma"/>
            <family val="2"/>
          </rPr>
          <t>priced 3/8/17
UoP:  VZ data center acquisition</t>
        </r>
      </text>
    </comment>
    <comment ref="CY106" authorId="0">
      <text>
        <r>
          <rPr>
            <sz val="9"/>
            <color indexed="81"/>
            <rFont val="Tahoma"/>
            <family val="2"/>
          </rPr>
          <t>10-K
On December 12, 2017, using the proceeds from the sale of 2.875% Euro Senior Notes due 2026 and amounts borrowed under the Term Loan Facility, the Company repaid in full amounts outstanding under the 2014 Term Loan A Facility, the Term B Loans and the Term B-2 Loan, and terminated the 2014 Senior Credit Facility.</t>
        </r>
      </text>
    </comment>
    <comment ref="B110" authorId="1">
      <text>
        <r>
          <rPr>
            <b/>
            <sz val="8"/>
            <color indexed="81"/>
            <rFont val="Tahoma"/>
            <family val="2"/>
          </rPr>
          <t>katzedwa:</t>
        </r>
        <r>
          <rPr>
            <sz val="8"/>
            <color indexed="81"/>
            <rFont val="Tahoma"/>
            <family val="2"/>
          </rPr>
          <t xml:space="preserve">
Reflected as of December 31, 2008 as current liability due to non-compliance with certain financial covanents, renegotiating (should be completed in April 2009</t>
        </r>
      </text>
    </comment>
    <comment ref="X111" authorId="1">
      <text>
        <r>
          <rPr>
            <b/>
            <sz val="8"/>
            <color indexed="81"/>
            <rFont val="Tahoma"/>
            <family val="2"/>
          </rPr>
          <t>katzedwa:</t>
        </r>
        <r>
          <rPr>
            <sz val="8"/>
            <color indexed="81"/>
            <rFont val="Tahoma"/>
            <family val="2"/>
          </rPr>
          <t xml:space="preserve">
Final maturity of January 2016</t>
        </r>
      </text>
    </comment>
    <comment ref="Y111" authorId="1">
      <text>
        <r>
          <rPr>
            <b/>
            <sz val="8"/>
            <color indexed="81"/>
            <rFont val="Tahoma"/>
            <family val="2"/>
          </rPr>
          <t>katzedwa:</t>
        </r>
        <r>
          <rPr>
            <sz val="8"/>
            <color indexed="81"/>
            <rFont val="Tahoma"/>
            <family val="2"/>
          </rPr>
          <t xml:space="preserve">
Final maturity of January 2016</t>
        </r>
      </text>
    </comment>
    <comment ref="Z111" authorId="1">
      <text>
        <r>
          <rPr>
            <b/>
            <sz val="8"/>
            <color indexed="81"/>
            <rFont val="Tahoma"/>
            <family val="2"/>
          </rPr>
          <t>katzedwa:</t>
        </r>
        <r>
          <rPr>
            <sz val="8"/>
            <color indexed="81"/>
            <rFont val="Tahoma"/>
            <family val="2"/>
          </rPr>
          <t xml:space="preserve">
Final maturity of January 2016</t>
        </r>
      </text>
    </comment>
    <comment ref="BL111" authorId="1">
      <text>
        <r>
          <rPr>
            <b/>
            <sz val="8"/>
            <color indexed="81"/>
            <rFont val="Tahoma"/>
            <family val="2"/>
          </rPr>
          <t>katzedwa:</t>
        </r>
        <r>
          <rPr>
            <sz val="8"/>
            <color indexed="81"/>
            <rFont val="Tahoma"/>
            <family val="2"/>
          </rPr>
          <t xml:space="preserve">
February 2008: As a result of the Virtu acqusition, the company assumed credit facilities totaling 5,500,000 Euros; as of March 31, 2008, the company's wholly owned subsidiary was not in compliance with the convanents as of December 31, 2007, however, the company obtained a waiver in April 2008 from the lender. As of March 31, this amount is represented as a current liability within the current portion of mortgage and loans payable. The facility is not committed and can therefore be called by the lender</t>
        </r>
      </text>
    </comment>
    <comment ref="BO111" authorId="1">
      <text>
        <r>
          <rPr>
            <b/>
            <sz val="8"/>
            <color indexed="81"/>
            <rFont val="Tahoma"/>
            <family val="2"/>
          </rPr>
          <t>katzedwa:</t>
        </r>
        <r>
          <rPr>
            <sz val="8"/>
            <color indexed="81"/>
            <rFont val="Tahoma"/>
            <family val="2"/>
          </rPr>
          <t xml:space="preserve">
2008 10-K: The company has been allowed by the lender to renegotiate the entire financing, which should be completed by April 2009; if the company is unable to renegotiate, the the covanents go back into effect</t>
        </r>
      </text>
    </comment>
    <comment ref="O117" authorId="1">
      <text>
        <r>
          <rPr>
            <b/>
            <sz val="8"/>
            <color indexed="81"/>
            <rFont val="Tahoma"/>
            <family val="2"/>
          </rPr>
          <t>katzedwa:</t>
        </r>
        <r>
          <rPr>
            <sz val="8"/>
            <color indexed="81"/>
            <rFont val="Tahoma"/>
            <family val="2"/>
          </rPr>
          <t xml:space="preserve">
Repayment complete 4Q09</t>
        </r>
      </text>
    </comment>
    <comment ref="BO119" authorId="1">
      <text>
        <r>
          <rPr>
            <b/>
            <sz val="8"/>
            <color indexed="81"/>
            <rFont val="Tahoma"/>
            <family val="2"/>
          </rPr>
          <t>katzedwa:</t>
        </r>
        <r>
          <rPr>
            <sz val="8"/>
            <color indexed="81"/>
            <rFont val="Tahoma"/>
            <family val="2"/>
          </rPr>
          <t xml:space="preserve">
Arises from a 2005 lease restructuring; non-interest bearing note with an imputed rate of 6.14% per annum</t>
        </r>
      </text>
    </comment>
    <comment ref="CE139" authorId="2">
      <text>
        <r>
          <rPr>
            <sz val="10"/>
            <color indexed="81"/>
            <rFont val="Tahoma"/>
            <family val="2"/>
          </rPr>
          <t>per 10-k</t>
        </r>
      </text>
    </comment>
    <comment ref="CE149" authorId="2">
      <text>
        <r>
          <rPr>
            <sz val="10"/>
            <color indexed="81"/>
            <rFont val="Tahoma"/>
            <family val="2"/>
          </rPr>
          <t>per 10-k</t>
        </r>
      </text>
    </comment>
    <comment ref="CE159" authorId="2">
      <text>
        <r>
          <rPr>
            <sz val="10"/>
            <color indexed="81"/>
            <rFont val="Tahoma"/>
            <family val="2"/>
          </rPr>
          <t>per 10-k</t>
        </r>
      </text>
    </comment>
    <comment ref="CE169" authorId="2">
      <text>
        <r>
          <rPr>
            <sz val="10"/>
            <color indexed="81"/>
            <rFont val="Tahoma"/>
            <family val="2"/>
          </rPr>
          <t>per 10-k</t>
        </r>
      </text>
    </comment>
    <comment ref="CE174" authorId="2">
      <text>
        <r>
          <rPr>
            <sz val="10"/>
            <color indexed="81"/>
            <rFont val="Tahoma"/>
            <family val="2"/>
          </rPr>
          <t>per 10-k</t>
        </r>
      </text>
    </comment>
    <comment ref="CE184" authorId="2">
      <text>
        <r>
          <rPr>
            <sz val="10"/>
            <color indexed="81"/>
            <rFont val="Tahoma"/>
            <family val="2"/>
          </rPr>
          <t>per 10-k</t>
        </r>
      </text>
    </comment>
    <comment ref="CE194" authorId="2">
      <text>
        <r>
          <rPr>
            <sz val="10"/>
            <color indexed="81"/>
            <rFont val="Tahoma"/>
            <family val="2"/>
          </rPr>
          <t>per 10-k</t>
        </r>
      </text>
    </comment>
    <comment ref="CE199" authorId="2">
      <text>
        <r>
          <rPr>
            <sz val="10"/>
            <color indexed="81"/>
            <rFont val="Tahoma"/>
            <family val="2"/>
          </rPr>
          <t>per 10-k</t>
        </r>
      </text>
    </comment>
    <comment ref="CE204" authorId="2">
      <text>
        <r>
          <rPr>
            <sz val="10"/>
            <color indexed="81"/>
            <rFont val="Tahoma"/>
            <family val="2"/>
          </rPr>
          <t>per 10-k</t>
        </r>
      </text>
    </comment>
    <comment ref="CE209" authorId="2">
      <text>
        <r>
          <rPr>
            <sz val="10"/>
            <color indexed="81"/>
            <rFont val="Tahoma"/>
            <family val="2"/>
          </rPr>
          <t>per 10-k</t>
        </r>
      </text>
    </comment>
    <comment ref="CE214" authorId="2">
      <text>
        <r>
          <rPr>
            <sz val="10"/>
            <color indexed="81"/>
            <rFont val="Tahoma"/>
            <family val="2"/>
          </rPr>
          <t>per 10-k</t>
        </r>
      </text>
    </comment>
    <comment ref="CM214" authorId="2">
      <text>
        <r>
          <rPr>
            <sz val="8"/>
            <color indexed="81"/>
            <rFont val="Tahoma"/>
            <family val="2"/>
          </rPr>
          <t>per debt summary</t>
        </r>
      </text>
    </comment>
    <comment ref="CA219" authorId="2">
      <text>
        <r>
          <rPr>
            <sz val="8"/>
            <color indexed="81"/>
            <rFont val="Tahoma"/>
            <family val="2"/>
          </rPr>
          <t>per 4Q11 debt summary</t>
        </r>
      </text>
    </comment>
    <comment ref="CB219" authorId="2">
      <text>
        <r>
          <rPr>
            <sz val="8"/>
            <color indexed="81"/>
            <rFont val="Tahoma"/>
            <family val="2"/>
          </rPr>
          <t>per debt summary</t>
        </r>
      </text>
    </comment>
    <comment ref="CC219" authorId="2">
      <text>
        <r>
          <rPr>
            <sz val="8"/>
            <color indexed="81"/>
            <rFont val="Tahoma"/>
            <family val="2"/>
          </rPr>
          <t>per debt summary</t>
        </r>
      </text>
    </comment>
    <comment ref="CD219" authorId="2">
      <text>
        <r>
          <rPr>
            <sz val="8"/>
            <color indexed="81"/>
            <rFont val="Tahoma"/>
            <family val="2"/>
          </rPr>
          <t>per debt summary</t>
        </r>
      </text>
    </comment>
    <comment ref="CE219" authorId="2">
      <text>
        <r>
          <rPr>
            <sz val="8"/>
            <color indexed="81"/>
            <rFont val="Tahoma"/>
            <family val="2"/>
          </rPr>
          <t>per debt summary</t>
        </r>
      </text>
    </comment>
    <comment ref="CF219" authorId="2">
      <text>
        <r>
          <rPr>
            <sz val="8"/>
            <color indexed="81"/>
            <rFont val="Tahoma"/>
            <family val="2"/>
          </rPr>
          <t>per debt summary</t>
        </r>
      </text>
    </comment>
    <comment ref="CG219" authorId="2">
      <text>
        <r>
          <rPr>
            <sz val="8"/>
            <color indexed="81"/>
            <rFont val="Tahoma"/>
            <family val="2"/>
          </rPr>
          <t>per debt summary</t>
        </r>
      </text>
    </comment>
    <comment ref="CH219" authorId="2">
      <text>
        <r>
          <rPr>
            <sz val="8"/>
            <color indexed="81"/>
            <rFont val="Tahoma"/>
            <family val="2"/>
          </rPr>
          <t>per debt summary</t>
        </r>
      </text>
    </comment>
    <comment ref="CI219" authorId="2">
      <text>
        <r>
          <rPr>
            <sz val="8"/>
            <color indexed="81"/>
            <rFont val="Tahoma"/>
            <family val="2"/>
          </rPr>
          <t>per debt summary</t>
        </r>
      </text>
    </comment>
    <comment ref="CJ219" authorId="2">
      <text>
        <r>
          <rPr>
            <sz val="8"/>
            <color indexed="81"/>
            <rFont val="Tahoma"/>
            <family val="2"/>
          </rPr>
          <t>per debt summary</t>
        </r>
      </text>
    </comment>
    <comment ref="CK219" authorId="2">
      <text>
        <r>
          <rPr>
            <sz val="8"/>
            <color indexed="81"/>
            <rFont val="Tahoma"/>
            <family val="2"/>
          </rPr>
          <t>per debt summary</t>
        </r>
      </text>
    </comment>
    <comment ref="CL219" authorId="2">
      <text>
        <r>
          <rPr>
            <sz val="8"/>
            <color indexed="81"/>
            <rFont val="Tahoma"/>
            <family val="2"/>
          </rPr>
          <t>per debt summary</t>
        </r>
      </text>
    </comment>
    <comment ref="CM219" authorId="2">
      <text>
        <r>
          <rPr>
            <sz val="8"/>
            <color indexed="81"/>
            <rFont val="Tahoma"/>
            <family val="2"/>
          </rPr>
          <t>per debt summary</t>
        </r>
      </text>
    </comment>
    <comment ref="CN219" authorId="2">
      <text>
        <r>
          <rPr>
            <sz val="8"/>
            <color indexed="81"/>
            <rFont val="Tahoma"/>
            <family val="2"/>
          </rPr>
          <t>per debt summary</t>
        </r>
      </text>
    </comment>
    <comment ref="CO219" authorId="2">
      <text>
        <r>
          <rPr>
            <sz val="8"/>
            <color indexed="81"/>
            <rFont val="Tahoma"/>
            <family val="2"/>
          </rPr>
          <t>per debt summary</t>
        </r>
      </text>
    </comment>
    <comment ref="CP219" authorId="2">
      <text>
        <r>
          <rPr>
            <sz val="8"/>
            <color indexed="81"/>
            <rFont val="Tahoma"/>
            <family val="2"/>
          </rPr>
          <t>per debt summary</t>
        </r>
      </text>
    </comment>
    <comment ref="CQ219" authorId="2">
      <text>
        <r>
          <rPr>
            <sz val="8"/>
            <color indexed="81"/>
            <rFont val="Tahoma"/>
            <family val="2"/>
          </rPr>
          <t>per debt summary</t>
        </r>
      </text>
    </comment>
    <comment ref="CR219" authorId="2">
      <text>
        <r>
          <rPr>
            <sz val="8"/>
            <color indexed="81"/>
            <rFont val="Tahoma"/>
            <family val="2"/>
          </rPr>
          <t>per debt summary</t>
        </r>
      </text>
    </comment>
    <comment ref="CS219" authorId="2">
      <text>
        <r>
          <rPr>
            <sz val="8"/>
            <color indexed="81"/>
            <rFont val="Tahoma"/>
            <family val="2"/>
          </rPr>
          <t>per debt summary</t>
        </r>
      </text>
    </comment>
    <comment ref="CT219" authorId="2">
      <text>
        <r>
          <rPr>
            <sz val="8"/>
            <color indexed="81"/>
            <rFont val="Tahoma"/>
            <family val="2"/>
          </rPr>
          <t>per debt summary</t>
        </r>
      </text>
    </comment>
    <comment ref="B222" authorId="2">
      <text>
        <r>
          <rPr>
            <sz val="10"/>
            <color indexed="81"/>
            <rFont val="Tahoma"/>
            <family val="2"/>
          </rPr>
          <t>priced 11/17/14
UoP:  pay off $750M of 2021 7.000% and GCP</t>
        </r>
      </text>
    </comment>
    <comment ref="CF227" authorId="2">
      <text>
        <r>
          <rPr>
            <sz val="8"/>
            <color indexed="81"/>
            <rFont val="Tahoma"/>
            <family val="2"/>
          </rPr>
          <t>principal value changed per debt summary</t>
        </r>
      </text>
    </comment>
    <comment ref="CG227" authorId="2">
      <text>
        <r>
          <rPr>
            <sz val="8"/>
            <color indexed="81"/>
            <rFont val="Tahoma"/>
            <family val="2"/>
          </rPr>
          <t>principal value changed per debt summary</t>
        </r>
      </text>
    </comment>
    <comment ref="CH227" authorId="2">
      <text>
        <r>
          <rPr>
            <sz val="8"/>
            <color indexed="81"/>
            <rFont val="Tahoma"/>
            <family val="2"/>
          </rPr>
          <t>principal value changed per debt summary</t>
        </r>
      </text>
    </comment>
    <comment ref="CI227" authorId="2">
      <text>
        <r>
          <rPr>
            <sz val="8"/>
            <color indexed="81"/>
            <rFont val="Tahoma"/>
            <family val="2"/>
          </rPr>
          <t>principal value changed per debt summary</t>
        </r>
      </text>
    </comment>
    <comment ref="CJ227" authorId="2">
      <text>
        <r>
          <rPr>
            <sz val="8"/>
            <color indexed="81"/>
            <rFont val="Tahoma"/>
            <family val="2"/>
          </rPr>
          <t>principal value changed per debt summary</t>
        </r>
      </text>
    </comment>
    <comment ref="CK227" authorId="2">
      <text>
        <r>
          <rPr>
            <sz val="8"/>
            <color indexed="81"/>
            <rFont val="Tahoma"/>
            <family val="2"/>
          </rPr>
          <t>principal value changed per debt summary</t>
        </r>
      </text>
    </comment>
    <comment ref="CL227" authorId="2">
      <text>
        <r>
          <rPr>
            <sz val="8"/>
            <color indexed="81"/>
            <rFont val="Tahoma"/>
            <family val="2"/>
          </rPr>
          <t>principal value changed per debt summary</t>
        </r>
      </text>
    </comment>
    <comment ref="CM227" authorId="2">
      <text>
        <r>
          <rPr>
            <sz val="8"/>
            <color indexed="81"/>
            <rFont val="Tahoma"/>
            <family val="2"/>
          </rPr>
          <t>principal value changed per debt summary</t>
        </r>
      </text>
    </comment>
    <comment ref="CN227" authorId="2">
      <text>
        <r>
          <rPr>
            <sz val="8"/>
            <color indexed="81"/>
            <rFont val="Tahoma"/>
            <family val="2"/>
          </rPr>
          <t>principal value changed per debt summary</t>
        </r>
      </text>
    </comment>
    <comment ref="CO227" authorId="2">
      <text>
        <r>
          <rPr>
            <sz val="8"/>
            <color indexed="81"/>
            <rFont val="Tahoma"/>
            <family val="2"/>
          </rPr>
          <t>principal value changed per debt summary</t>
        </r>
      </text>
    </comment>
    <comment ref="CP227" authorId="2">
      <text>
        <r>
          <rPr>
            <sz val="8"/>
            <color indexed="81"/>
            <rFont val="Tahoma"/>
            <family val="2"/>
          </rPr>
          <t>principal value changed per debt summary</t>
        </r>
      </text>
    </comment>
    <comment ref="CQ227" authorId="2">
      <text>
        <r>
          <rPr>
            <sz val="8"/>
            <color indexed="81"/>
            <rFont val="Tahoma"/>
            <family val="2"/>
          </rPr>
          <t>principal value changed per debt summary</t>
        </r>
      </text>
    </comment>
    <comment ref="CR227" authorId="2">
      <text>
        <r>
          <rPr>
            <sz val="8"/>
            <color indexed="81"/>
            <rFont val="Tahoma"/>
            <family val="2"/>
          </rPr>
          <t>principal value changed per debt summary</t>
        </r>
      </text>
    </comment>
    <comment ref="BQ228" authorId="1">
      <text>
        <r>
          <rPr>
            <b/>
            <sz val="8"/>
            <color indexed="81"/>
            <rFont val="Tahoma"/>
            <family val="2"/>
          </rPr>
          <t>katzedwa:</t>
        </r>
        <r>
          <rPr>
            <sz val="8"/>
            <color indexed="81"/>
            <rFont val="Tahoma"/>
            <family val="2"/>
          </rPr>
          <t xml:space="preserve">
Carrying value</t>
        </r>
      </text>
    </comment>
    <comment ref="CD229" authorId="2">
      <text>
        <r>
          <rPr>
            <b/>
            <sz val="8"/>
            <color indexed="81"/>
            <rFont val="Tahoma"/>
            <family val="2"/>
          </rPr>
          <t>laml:</t>
        </r>
        <r>
          <rPr>
            <sz val="8"/>
            <color indexed="81"/>
            <rFont val="Tahoma"/>
            <family val="2"/>
          </rPr>
          <t xml:space="preserve">
principal amoun</t>
        </r>
      </text>
    </comment>
    <comment ref="CF229" authorId="2">
      <text>
        <r>
          <rPr>
            <sz val="8"/>
            <color indexed="81"/>
            <rFont val="Tahoma"/>
            <family val="2"/>
          </rPr>
          <t>debt discount on converts</t>
        </r>
      </text>
    </comment>
    <comment ref="CG229" authorId="2">
      <text>
        <r>
          <rPr>
            <sz val="8"/>
            <color indexed="81"/>
            <rFont val="Tahoma"/>
            <family val="2"/>
          </rPr>
          <t>debt discount on converts</t>
        </r>
      </text>
    </comment>
    <comment ref="CH229" authorId="2">
      <text>
        <r>
          <rPr>
            <sz val="8"/>
            <color indexed="81"/>
            <rFont val="Tahoma"/>
            <family val="2"/>
          </rPr>
          <t>debt discount on converts</t>
        </r>
      </text>
    </comment>
    <comment ref="CI229" authorId="2">
      <text>
        <r>
          <rPr>
            <sz val="8"/>
            <color indexed="81"/>
            <rFont val="Tahoma"/>
            <family val="2"/>
          </rPr>
          <t>debt discount on converts</t>
        </r>
      </text>
    </comment>
    <comment ref="CJ229" authorId="2">
      <text>
        <r>
          <rPr>
            <sz val="8"/>
            <color indexed="81"/>
            <rFont val="Tahoma"/>
            <family val="2"/>
          </rPr>
          <t>debt discount on converts</t>
        </r>
      </text>
    </comment>
    <comment ref="CK229" authorId="2">
      <text>
        <r>
          <rPr>
            <sz val="8"/>
            <color indexed="81"/>
            <rFont val="Tahoma"/>
            <family val="2"/>
          </rPr>
          <t>debt discount on converts</t>
        </r>
      </text>
    </comment>
    <comment ref="CL229" authorId="2">
      <text>
        <r>
          <rPr>
            <sz val="8"/>
            <color indexed="81"/>
            <rFont val="Tahoma"/>
            <family val="2"/>
          </rPr>
          <t>debt discount on converts</t>
        </r>
      </text>
    </comment>
    <comment ref="CM229" authorId="2">
      <text>
        <r>
          <rPr>
            <sz val="8"/>
            <color indexed="81"/>
            <rFont val="Tahoma"/>
            <family val="2"/>
          </rPr>
          <t>debt discount on converts</t>
        </r>
      </text>
    </comment>
    <comment ref="CN229" authorId="2">
      <text>
        <r>
          <rPr>
            <sz val="8"/>
            <color indexed="81"/>
            <rFont val="Tahoma"/>
            <family val="2"/>
          </rPr>
          <t>debt discount on converts</t>
        </r>
      </text>
    </comment>
    <comment ref="CO229" authorId="2">
      <text>
        <r>
          <rPr>
            <sz val="8"/>
            <color indexed="81"/>
            <rFont val="Tahoma"/>
            <family val="2"/>
          </rPr>
          <t>debt discount on converts</t>
        </r>
      </text>
    </comment>
    <comment ref="CP229" authorId="2">
      <text>
        <r>
          <rPr>
            <sz val="8"/>
            <color indexed="81"/>
            <rFont val="Tahoma"/>
            <family val="2"/>
          </rPr>
          <t>debt discount on converts</t>
        </r>
      </text>
    </comment>
    <comment ref="CQ229" authorId="2">
      <text>
        <r>
          <rPr>
            <sz val="8"/>
            <color indexed="81"/>
            <rFont val="Tahoma"/>
            <family val="2"/>
          </rPr>
          <t>debt discount on converts</t>
        </r>
      </text>
    </comment>
    <comment ref="CR229" authorId="2">
      <text>
        <r>
          <rPr>
            <sz val="8"/>
            <color indexed="81"/>
            <rFont val="Tahoma"/>
            <family val="2"/>
          </rPr>
          <t>debt discount on converts</t>
        </r>
      </text>
    </comment>
    <comment ref="CS229" authorId="2">
      <text>
        <r>
          <rPr>
            <sz val="8"/>
            <color indexed="81"/>
            <rFont val="Tahoma"/>
            <family val="2"/>
          </rPr>
          <t>debt discount on converts</t>
        </r>
      </text>
    </comment>
    <comment ref="CM241" authorId="0">
      <text>
        <r>
          <rPr>
            <sz val="10"/>
            <color indexed="81"/>
            <rFont val="Tahoma"/>
            <family val="2"/>
          </rPr>
          <t>redeemed w/ 11/17/2014 offering</t>
        </r>
      </text>
    </comment>
    <comment ref="B245" authorId="2">
      <text>
        <r>
          <rPr>
            <sz val="8"/>
            <color indexed="81"/>
            <rFont val="Tahoma"/>
            <family val="2"/>
          </rPr>
          <t>priced 2/28/13
UoP:  pay off $750M of 2018 8.125% and GCP</t>
        </r>
      </text>
    </comment>
    <comment ref="CX247" authorId="0">
      <text>
        <r>
          <rPr>
            <sz val="9"/>
            <color indexed="81"/>
            <rFont val="Tahoma"/>
            <family val="2"/>
          </rPr>
          <t>redeemed w/ 2.875% 2025 senior notes</t>
        </r>
      </text>
    </comment>
    <comment ref="B251" authorId="2">
      <text>
        <r>
          <rPr>
            <sz val="8"/>
            <color indexed="81"/>
            <rFont val="Tahoma"/>
            <family val="2"/>
          </rPr>
          <t>priced 2/28/13
UoP:  pay off $750M of 2018 8.125% and GCP</t>
        </r>
      </text>
    </comment>
    <comment ref="B257" authorId="2">
      <text>
        <r>
          <rPr>
            <sz val="10"/>
            <color indexed="81"/>
            <rFont val="Tahoma"/>
            <family val="2"/>
          </rPr>
          <t>priced 11/17/14
UoP:  pay off $750M of 2021 7.000% and GCP</t>
        </r>
      </text>
    </comment>
    <comment ref="B263" authorId="2">
      <text>
        <r>
          <rPr>
            <sz val="10"/>
            <color indexed="81"/>
            <rFont val="Tahoma"/>
            <family val="2"/>
          </rPr>
          <t>priced 11/17/14
UoP:  pay off $750M of 2021 7.000% and GCP</t>
        </r>
      </text>
    </comment>
    <comment ref="CP265" authorId="2">
      <text>
        <r>
          <rPr>
            <sz val="10"/>
            <color indexed="81"/>
            <rFont val="Tahoma"/>
            <family val="2"/>
          </rPr>
          <t>to match B/S</t>
        </r>
      </text>
    </comment>
    <comment ref="CQ265" authorId="2">
      <text>
        <r>
          <rPr>
            <sz val="10"/>
            <color indexed="81"/>
            <rFont val="Tahoma"/>
            <family val="2"/>
          </rPr>
          <t>to match B/S</t>
        </r>
      </text>
    </comment>
    <comment ref="CR265" authorId="2">
      <text>
        <r>
          <rPr>
            <sz val="10"/>
            <color indexed="81"/>
            <rFont val="Tahoma"/>
            <family val="2"/>
          </rPr>
          <t>to match B/S</t>
        </r>
      </text>
    </comment>
    <comment ref="CS265" authorId="2">
      <text>
        <r>
          <rPr>
            <sz val="10"/>
            <color indexed="81"/>
            <rFont val="Tahoma"/>
            <family val="2"/>
          </rPr>
          <t>to match B/S</t>
        </r>
      </text>
    </comment>
    <comment ref="CT265" authorId="2">
      <text>
        <r>
          <rPr>
            <sz val="10"/>
            <color indexed="81"/>
            <rFont val="Tahoma"/>
            <family val="2"/>
          </rPr>
          <t>to match B/S</t>
        </r>
      </text>
    </comment>
    <comment ref="CU265" authorId="2">
      <text>
        <r>
          <rPr>
            <sz val="10"/>
            <color indexed="81"/>
            <rFont val="Tahoma"/>
            <family val="2"/>
          </rPr>
          <t>to match B/S</t>
        </r>
      </text>
    </comment>
    <comment ref="B269" authorId="2">
      <text>
        <r>
          <rPr>
            <sz val="10"/>
            <color indexed="81"/>
            <rFont val="Tahoma"/>
            <family val="2"/>
          </rPr>
          <t>priced 11/17/14
UoP:  pay off $750M of 2021 7.000% and GCP</t>
        </r>
      </text>
    </comment>
    <comment ref="B281" authorId="0">
      <text>
        <r>
          <rPr>
            <sz val="10"/>
            <color indexed="81"/>
            <rFont val="Tahoma"/>
            <family val="2"/>
          </rPr>
          <t>EUR 1B
priced:  9/6/17
UoP:  redeem 4.875% senior notes due 2020</t>
        </r>
      </text>
    </comment>
    <comment ref="CX283" authorId="0">
      <text>
        <r>
          <rPr>
            <sz val="9"/>
            <color indexed="81"/>
            <rFont val="Tahoma"/>
            <family val="2"/>
          </rPr>
          <t>exchange rate in press release</t>
        </r>
      </text>
    </comment>
    <comment ref="CY283" authorId="0">
      <text>
        <r>
          <rPr>
            <sz val="9"/>
            <color indexed="81"/>
            <rFont val="Tahoma"/>
            <family val="2"/>
          </rPr>
          <t>10-k</t>
        </r>
      </text>
    </comment>
    <comment ref="B287" authorId="0">
      <text>
        <r>
          <rPr>
            <sz val="10"/>
            <color indexed="81"/>
            <rFont val="Tahoma"/>
            <family val="2"/>
          </rPr>
          <t>2026 Euro Senior Notes
In December 2017, the Company issued €1,000.0 million aggregate principal amount of 2.875% senior notes due February 1, 2026, which are referred to as the "2026 Euro Senior Notes". Interest on the notes is payable semi-annually in arrears on February 1 and August 1 of each year, commencing on August 1, 2018. Debt issuance costs related to the 2026 Euro Senior Notes were $15.7 million. As of December 31, 2017, debt issuance costs related to the 2026 Euro Senior Notes, net of amortization, were $15.9 million at the exchange rate in effect on that date.</t>
        </r>
      </text>
    </comment>
    <comment ref="CY289" authorId="0">
      <text>
        <r>
          <rPr>
            <sz val="9"/>
            <color indexed="81"/>
            <rFont val="Tahoma"/>
            <family val="2"/>
          </rPr>
          <t>10-k</t>
        </r>
      </text>
    </comment>
    <comment ref="B293" authorId="2">
      <text>
        <r>
          <rPr>
            <sz val="10"/>
            <color indexed="81"/>
            <rFont val="Tahoma"/>
            <family val="2"/>
          </rPr>
          <t>priced 11/17/14
UoP:  pay off $750M of 2021 7.000% and GCP</t>
        </r>
      </text>
    </comment>
    <comment ref="B299" authorId="2">
      <text>
        <r>
          <rPr>
            <sz val="8"/>
            <color indexed="81"/>
            <rFont val="Tahoma"/>
            <family val="2"/>
          </rPr>
          <t xml:space="preserve">issuances </t>
        </r>
      </text>
    </comment>
    <comment ref="B316" authorId="1">
      <text>
        <r>
          <rPr>
            <b/>
            <sz val="8"/>
            <color indexed="81"/>
            <rFont val="Tahoma"/>
            <family val="2"/>
          </rPr>
          <t>katzedwa:</t>
        </r>
        <r>
          <rPr>
            <sz val="8"/>
            <color indexed="81"/>
            <rFont val="Tahoma"/>
            <family val="2"/>
          </rPr>
          <t xml:space="preserve">
Subject to APB 14-1</t>
        </r>
      </text>
    </comment>
    <comment ref="C317" authorId="1">
      <text>
        <r>
          <rPr>
            <b/>
            <sz val="8"/>
            <color indexed="81"/>
            <rFont val="Tahoma"/>
            <family val="2"/>
          </rPr>
          <t>katzedwa:</t>
        </r>
        <r>
          <rPr>
            <sz val="8"/>
            <color indexed="81"/>
            <rFont val="Tahoma"/>
            <family val="2"/>
          </rPr>
          <t xml:space="preserve">
Assumed rate at which security issued</t>
        </r>
      </text>
    </comment>
    <comment ref="C321" authorId="1">
      <text>
        <r>
          <rPr>
            <b/>
            <sz val="8"/>
            <color indexed="81"/>
            <rFont val="Tahoma"/>
            <family val="2"/>
          </rPr>
          <t>katzedwa:</t>
        </r>
        <r>
          <rPr>
            <sz val="8"/>
            <color indexed="81"/>
            <rFont val="Tahoma"/>
            <family val="2"/>
          </rPr>
          <t xml:space="preserve">
Interest rate hedged at 6.34% on $105M (swap rate of 3.59% + borrowing margin of 2.75%)</t>
        </r>
      </text>
    </comment>
    <comment ref="B323" authorId="1">
      <text>
        <r>
          <rPr>
            <b/>
            <sz val="8"/>
            <color indexed="81"/>
            <rFont val="Tahoma"/>
            <family val="2"/>
          </rPr>
          <t>Quarterly debt service, semi-annual principal payments</t>
        </r>
      </text>
    </comment>
    <comment ref="B324" authorId="2">
      <text>
        <r>
          <rPr>
            <sz val="10"/>
            <color indexed="81"/>
            <rFont val="Tahoma"/>
            <family val="2"/>
          </rPr>
          <t>5-yr term
semi-annual principal payments
local borrowing rate + 2.75%</t>
        </r>
      </text>
    </comment>
    <comment ref="C357" authorId="0">
      <text>
        <r>
          <rPr>
            <sz val="10"/>
            <color indexed="81"/>
            <rFont val="Tahoma"/>
            <family val="2"/>
          </rPr>
          <t xml:space="preserve">semi-annual report
6 month ended 6/30/15 interest expense on finance leases (current+non-current)
</t>
        </r>
      </text>
    </comment>
    <comment ref="CR370" authorId="0">
      <text>
        <r>
          <rPr>
            <sz val="9"/>
            <color indexed="81"/>
            <rFont val="Tahoma"/>
            <family val="2"/>
          </rPr>
          <t>per 2Q15 call
$6.8M annually related to bridge commitment fee
acquisition closed in 1Q16</t>
        </r>
      </text>
    </comment>
  </commentList>
</comments>
</file>

<file path=xl/comments13.xml><?xml version="1.0" encoding="utf-8"?>
<comments xmlns="http://schemas.openxmlformats.org/spreadsheetml/2006/main">
  <authors>
    <author>laml</author>
    <author>Lam, Lisa (Research)</author>
    <author>katzedwa</author>
  </authors>
  <commentList>
    <comment ref="I36" authorId="0">
      <text>
        <r>
          <rPr>
            <sz val="8"/>
            <color indexed="81"/>
            <rFont val="Tahoma"/>
            <family val="2"/>
          </rPr>
          <t>per 3q12 presentation</t>
        </r>
      </text>
    </comment>
    <comment ref="J36" authorId="0">
      <text>
        <r>
          <rPr>
            <sz val="8"/>
            <color indexed="81"/>
            <rFont val="Tahoma"/>
            <family val="2"/>
          </rPr>
          <t>$150-180mm per 3Q13 presentation; 
includes taxes related to D&amp;A recapture for REIT conversion</t>
        </r>
      </text>
    </comment>
    <comment ref="K36" authorId="1">
      <text>
        <r>
          <rPr>
            <sz val="9"/>
            <color indexed="81"/>
            <rFont val="Tahoma"/>
            <family val="2"/>
          </rPr>
          <t>$145-180M</t>
        </r>
      </text>
    </comment>
    <comment ref="L36" authorId="0">
      <text>
        <r>
          <rPr>
            <sz val="8"/>
            <color indexed="81"/>
            <rFont val="Tahoma"/>
            <family val="2"/>
          </rPr>
          <t>~$90mm related to D&amp;A recapture for REIT conversion + GAAP taxes for international operations</t>
        </r>
      </text>
    </comment>
    <comment ref="M36" authorId="0">
      <text>
        <r>
          <rPr>
            <sz val="8"/>
            <color indexed="81"/>
            <rFont val="Tahoma"/>
            <family val="2"/>
          </rPr>
          <t>~$90mm related to D&amp;A recapture for REIT conversion + GAAP taxes for international operations</t>
        </r>
      </text>
    </comment>
    <comment ref="G53" authorId="2">
      <text>
        <r>
          <rPr>
            <b/>
            <sz val="8"/>
            <color indexed="81"/>
            <rFont val="Tahoma"/>
            <family val="2"/>
          </rPr>
          <t>Additional NOLs from Switch and Data</t>
        </r>
      </text>
    </comment>
    <comment ref="A100" authorId="2">
      <text>
        <r>
          <rPr>
            <b/>
            <sz val="8"/>
            <color indexed="81"/>
            <rFont val="Tahoma"/>
            <family val="2"/>
          </rPr>
          <t>katzedwa:</t>
        </r>
        <r>
          <rPr>
            <sz val="8"/>
            <color indexed="81"/>
            <rFont val="Tahoma"/>
            <family val="2"/>
          </rPr>
          <t xml:space="preserve">
Keeping debt and equity constant</t>
        </r>
      </text>
    </comment>
    <comment ref="A131" authorId="2">
      <text>
        <r>
          <rPr>
            <b/>
            <sz val="8"/>
            <color indexed="81"/>
            <rFont val="Tahoma"/>
            <family val="2"/>
          </rPr>
          <t>katzedwa:</t>
        </r>
        <r>
          <rPr>
            <sz val="8"/>
            <color indexed="81"/>
            <rFont val="Tahoma"/>
            <family val="2"/>
          </rPr>
          <t xml:space="preserve">
Using target price, keeping debt and equity constant</t>
        </r>
      </text>
    </comment>
  </commentList>
</comments>
</file>

<file path=xl/comments14.xml><?xml version="1.0" encoding="utf-8"?>
<comments xmlns="http://schemas.openxmlformats.org/spreadsheetml/2006/main">
  <authors>
    <author>laml</author>
  </authors>
  <commentList>
    <comment ref="A1" authorId="0">
      <text>
        <r>
          <rPr>
            <b/>
            <sz val="8"/>
            <color indexed="81"/>
            <rFont val="Tahoma"/>
            <family val="2"/>
          </rPr>
          <t>卟䙄_x0001_＀＀䳄 充塉䕞䅃䵟䅅彎䉅呉䅄㈨㄰ⰳㄴ㌶⤹_x0018_＀＀_x0018_＀＀_x0008_＀＀_x0001_＀＀_x0001_＀＀Ք銣쬺䂋땰䲫&amp;充塉䕞元䵟䅅彎偅⡓㈫ㄬ⸶㌷〳㠸㘶㤰ㄸ⤶_x0018_＀＀_x0018_＀＀_x0008_＀＀_x0001_＀＀_x0001_＀＀᭤䩝車㿙娯亥"充塉䍞彑佃彍啐䍒彈噁彇剐䍉⡅〴ㄸ⤶_x0018_＀＀_x0018_＀＀_x0008_＀＀_x0001_＀＀_x0001_＀＀豀碵꼝쐕璡䱩&amp;充塉䕞元䵟䅅彎偅⡓ㄫㄬ⸲㌰㜶〱〲㄰㤶⤳_x0018_＀＀_x0018_＀＀_x0008_＀＀_x0001_＀＀_x0001_＀＀蜛᝕汋㿐䳄 充塉䕞䅃䵟䅅彎䉅呉䅄㈨㄰ⰵ㈴㘳⤹_x0018_＀＀_x0018_＀＀_x0008_＀＀_x0001_＀＀_x0001_＀＀豀碵꼝쐕溼䳑_x001D_充塉䕞元䵟䅅彎䅓䕌⡓㌫㐬㜰㐲착_x0018_＀＀_x0018_＀＀_x0008_＀＀_x0001_＀＀_x0001_＀＀㲟퐬ચ䁷䳄_x001F_充塉䕞䅃䵟䅅彎䅓䕌⡓〲ㄱ㐬㤰㠰착_x0018_＀＀_x0018_＀＀_x0008_＀＀_x0001_＀＀_x0001_＀＀욧䵋䂗娯亥"充塉䍞彑佃彍啐䍒彈噁彇剐䍉⡅〴㔳⤹_x0018_＀＀_x0018_＀＀_x0008_＀＀_x0001_＀＀_x0001_＀＀豀碵꼝쐕䳄_x001A_充塉䕞䅃䵟䅅彎䅓䕌⡓〲〱⤬_x0018_＀＀_x0018_＀＀_x0008_＀＀_x0001_＀＀_x0001_＀＀ㄦڈ䂓䳄_x001E_充塉䕞䅃䵟䅅彎䅓䕌⡓〲〱㈬㄰⤰_x0018_＀＀_x0018_＀＀_x0008_＀＀_x0001_＀＀_x0001_＀＀ㄦڈ䂓䳄_x001D_充塉䕞元䵟䅅彎䅓䕌⡓㈫㐬㔰㌴착_x0018_＀＀_x0018_＀＀_x0008_＀＀_x0001_＀＀_x0001_＀＀禧⧇嬺䁵䳄_x0013_充塉偞偟䥒䕃㌨㤹㌰착_x0018_＀＀_x0018_＀＀_x0008_＀＀_x0001_＀＀_x0001_＀＀㌳㌳ጳ䁌䱖_x001E_充塉䕞䅃䵟䅅彎䅓䕌⡓〲㤰㈬〰⤹_x0018_＀＀_x0018_＀＀_x0008_＀＀_x0001_＀＀_x0001_＀＀躋弟䂋娯亥"充塉䍞彑佃彍啐䍒彈噁彇剐䍉⡅㤳〹⤳_x0018_＀＀_x0018_＀＀_x0008_＀＀_x0001_＀＀_x0001_＀＀豀碵꼝쐕䳄_x001C_充塉䕞䅃䵟䅅彎偅⡓〲〱㈬㄰⤰_x0018_＀＀_x0018_＀＀_x0008_＀＀_x0001_＀＀_x0001_＀＀㕍३듨㿮䳄_x001F_充塉䕞䅃䵟䅅彎䅓䕌⡓〲㌱㐬㘱㤳착_x0018_＀＀_x0018_＀＀_x0008_＀＀_x0001_＀＀_x0001_＀＀㕀멞৉䂞溡䳑_x001D_充塉䕞元䵟䅅彎䅓䕌⡓ㄫ㐬㜰㐲착_x0018_＀＀_x0018_＀＀_x0008_＀＀_x0001_＀＀_x0001_＀＀퀔_xD844_擰䁵溤䳑_x001E_充塉䕞䅃䵟䅅彎䅓䕌⡓〲〱㈬㄰⤱_x0018_＀＀_x0018_＀＀_x0008_＀＀_x0001_＀＀_x0001_＀＀퓾ئ䂓蚅䱡&amp;充塉䕞元䵟䅅彎偅⡓㌫㤬㜮㐵〰㜲㌸㐲㤲⤳_x0018_＀＀_x0018_＀＀_x0008_＀＀_x0001_＀＀_x0001_＀＀ꋅ稳赿㿠⁯䱢_x001C_充塉䕞䅃䵟䅅彎偅⡓〲㤰㈬〰⤹_x0018_＀＀_x0018_＀＀_x0008_＀＀_x0001_＀＀_x0001_＀＀홿ୋ㿺娯亥"充塉䍞彑佃彍啐䍒彈噁彇剐䍉⡅〴㐵⤳_x0018_＀＀_x0018_＀＀_x0008_＀＀_x0001_＀＀_x0001_＀＀豀碵꼝쐕䳄_x001F_充塉䕞䅃䵟䅅彎䅓䕌⡓〲㔱㐬㌲㤶착_x0018_＀＀_x0018_＀＀_x0008_＀＀_x0001_＀＀_x0001_＀＀豀碵꼝쐕䳄_x001D_充塉䕞䅃䵟䅅彎偅⡓〲㈱㐬㈱㐷착_x0018_＀＀_x0018_＀＀_x0008_＀＀_x0001_＀＀_x0001_＀＀덖墾䀍䳄_x0013_充塉偞偟䥒䕃㐨〰㘸착_x0018_＀＀_x0018_＀＀_x0008_＀＀_x0001_＀＀_x0001_＀＀＀＀＀＀＀＀䁗娯亥"充塉䍞彑佃彍啐䍒彈噁彇剐䍉⡅〴㠰⤶_x0018_＀＀_x0018_＀＀_x0008_＀＀_x0001_＀＀_x0001_＀＀豀碵꼝쐕䳄_x001B_充塉䕞䅃䵟䅅彎䉅呉䅄㈨㄰ⰰ착_x0018_＀＀_x0018_＀＀_x0008_＀＀_x0001_＀＀_x0001_＀＀營躊_xDF64_䂀娯亥"充塉䍞彑佃彍啐䍒彈噁彇剐䍉⡅〴〹⤸_x0018_＀＀_x0018_＀＀_x0008_＀＀_x0001_＀＀_x0001_＀＀豀碵꼝쐕溼䳑_x001D_充塉䕞元䵟䅅彎䅓䕌⡓㈫㐬㘰㌳착_x0018_＀＀_x0018_＀＀_x0008_＀＀_x0001_＀＀_x0001_＀＀斕授⑝䁶⁯䱢'充塉䕞元䵟䅅彎偅⡓㈫⴬⸲㜲〴〰〰〰〰㄰착_x0018_＀＀_x0018_＀＀_x0008_＀＀_x0001_＀＀_x0001_＀＀㮱_xDCC7_㿙䳄_x001D_充塉䕞䅃䵟䅅彎偅⡓〲㐱㐬〲㐰착_x0018_＀＀_x0018_＀＀_x0008_＀＀_x0001_＀＀_x0001_＀＀಻㨆䀔䳄_x0013_充塉偞偟䥒䕃㌨㤹㐹착_x0018_＀＀_x0018_＀＀_x0008_＀＀_x0001_＀＀_x0001_＀＀슏⣵⽜䁒娯亥!充塉䍞彁佃彍啐䍒彈噁彇剐䍉⡅〲〱착＀＀＀＀䳄_x001D_充塉䕞元䵟䅅彎䅓䕌⡓ㄫ㐬㐰ㄵ착_x0018_＀＀_x0018_＀＀_x0008_＀＀_x0001_＀＀_x0001_＀＀헐ܯ䁵娯亥"充塉䍞彑佃彍啐䍒彈噁彇剐䍉⡅㤳㤹⤴_x0018_＀＀_x0018_＀＀_x0008_＀＀_x0001_＀＀_x0001_＀＀豀碵꼝쐕娯亥"充塉䍞彑佃彍啐䍒彈噁彇剐䍉⡅〴㌶⤳_x0018_＀＀_x0018_＀＀_x0008_＀＀_x0001_＀＀_x0001_＀＀豀碵꼝쐕璡䱩&amp;充塉䕞元䵟䅅彎偅⡓㈫ㄬ⸹㌴㌸㠰〰㐲㐸⤱_x0018_＀＀_x0018_＀＀_x0008_＀＀_x0001_＀＀_x0001_＀＀齞๓㿚䳄 充塉䕞䅃䵟䅅彎䉅呉䅄㈨㄰ⰲㄴ㜲⤴_x0018_＀＀_x0018_＀＀_x0008_＀＀_x0001_＀＀_x0001_＀＀䔹片㥹䂈䳄_x001E_充塉䕞元䵟䅅彎䉅呉䅄⬨ⰲ〴㐵⤳_x0018_＀＀_x0018_＀＀_x0008_＀＀_x0001_＀＀_x0001_＀＀奋㢆뗖䁢娯亥!充塉䍞彁佃彍啐䍒彈噁彇剐䍉⡅〲ㄱ착＀＀＀＀溡䳑_x001D_充塉䕞元䵟䅅彎䅓䕌⡓ㄫ㐬㠰㘱착_x0018_＀＀_x0018_＀＀_x0008_＀＀_x0001_＀＀_x0001_＀＀퀔_xD844_擰䁵䳄 充塉䕞䅃䵟䅅彎䉅呉䅄㈨㄰ⰴ㈴〰⤴_x0018_＀＀_x0018_＀＀_x0008_＀＀_x0001_＀＀_x0001_＀＀ざꤪ_xDC13_䂍䳄_x001F_充塉䕞䅃䵟䅅彎䉅呉䅄㈨㄰ⰰ〲〱착_x0018_＀＀_x0018_＀＀_x0008_＀＀_x0001_＀＀_x0001_＀＀營躊_xDF64_䂀溼䳑_x001D_充塉䕞元䵟䅅彎䅓䕌⡓㔫㐬㤰㠰착_x0018_＀＀_x0018_＀＀_x0008_＀＀_x0001_＀＀_x0001_＀＀顟ᕌኌ䁹Ļ䲬_x001F_充塉䕞䅃䵟䅅彎䅃䕐⡘〲ㄱ㐬㤰㠰착_x0018_＀＀_x0018_＀＀_x0008_＀＀_x0001_＀＀_x0001_＀＀콂핦췧䁼䳄_x0013_充塉偞偟䥒䕃㌨㔹㠳착_x0018_＀＀_x0018_＀＀_x0008_＀＀_x0001_＀＀_x0001_＀＀슏⣵齜䁐⁯䱢&amp;充塉䕞元䵟䅅彎偅⡓㐫ㄬ⸶㘷㘴ㄱ〰ㄳ㌰⤹_x0018_＀＀_x0018_＀＀_x0008_＀＀_x0001_＀＀_x0001_＀＀俇頾塯㿣䳄&amp;充塉䕞元䵟䅅彎偅⡓㈫ㄬ⸸㜶㔱㔳㠴ㄵ㈹⤲_x0018_＀＀_x0018_＀＀_x0008_＀＀_x0001_＀＀_x0001_＀＀ᑞꦘ⦤㿘땰䲫%充塉䕞元䵟䅅彎偅⡓ㄫㄬ⸰㐰㌴㌰㈶㤹㐷착_x0018_＀＀_x0018_＀＀_x0008_＀＀_x0001_＀＀_x0001_＀＀뢴㮵୚㿐䳄_x0013_充塉偞偟䥒䕃㐨㄰㠷착_x0018_＀＀_x0018_＀＀_x0008_＀＀_x0001_＀＀_x0001_＀＀馚香覙䁚娯亥"充塉䍞彑佃彍啐䍒彈噁彇剐䍉⡅〴㜱⤸_x0018_＀＀_x0018_＀＀_x0008_＀＀_x0001_＀＀_x0001_＀＀豀碵꼝쐕䳄_x0013_充塉偞偟䥒䕃㌨㜹ㄲ착_x0018_＀＀_x0018_＀＀_x0008_＀＀_x0001_＀＀_x0001_＀＀ਾꏗ嵰䁑䳄_x001F_充塉䕞䅃䵟䅅彎䅓䕌⡓〲㈱㐬㈱㐷착_x0018_＀＀_x0018_＀＀_x0008_＀＀_x0001_＀＀_x0001_＀＀ﯨ듒䂚娯亥"充塉䍞彑佃彍啐䍒彈噁彇剐䍉⡅〴㈷⤴_x0018_＀＀_x0018_＀＀_x0008_＀＀_x0001_＀＀_x0001_＀＀豀碵꼝쐕䳄_x001D_充塉䕞䅃䵟䅅彎偅⡓〲ㄱ㐬㤰㠰착_x0018_＀＀_x0018_＀＀_x0008_＀＀_x0001_＀＀_x0001_＀＀凬Ẹ殅䀂䱖_x001D_充塉䕞元䵟䅅彎䅓䕌⡓〫㐬㄰㠷착_x0018_＀＀_x0018_＀＀_x0008_＀＀_x0001_＀＀_x0001_＀＀凬Ẹ掅䁰䳄_x001E_充塉䕞元䵟䅅彎䉅呉䅄⬨ⰱ〴㔴⤱_x0018_＀＀_x0018_＀＀_x0008_＀＀_x0001_＀＀_x0001_＀＀㠞䑧兩䁡䳄_x001F_充塉䕞䅃䵟䅅彎䅓䕌⡓〲㐱㐬〲㐰착_x0018_＀＀_x0018_＀＀_x0008_＀＀_x0001_＀＀_x0001_＀＀눭੧䂠岝䳇_x001D_充塉䕞元䵟䅅彎䅓䕌⡓ㄫ㐬㔰㌴착_x0018_＀＀_x0018_＀＀_x0008_＀＀_x0001_＀＀_x0001_＀＀禧⧇嬺䁵킂䱡&amp;充塉䕞元䵟䅅彎偅⡓㐫ㄬ⸶㐵㜴㈰〶㌰㐷⤵_x0018_＀＀_x0018_＀＀_x0008_＀＀_x0001_＀＀_x0001_＀＀俇頾塯㿣溼䳑_x001E_充塉䕞䅃䵟䅅彎䅓䕌⡓〲ㄱ㈬㄰⤱_x0018_＀＀_x0018_＀＀_x0008_＀＀_x0001_＀＀_x0001_＀＀ᑻ䞮蟡䂗溼䳑_x001D_充塉䕞元䵟䅅彎䅓䕌⡓㐫㐬㠰㘱착_x0018_＀＀_x0018_＀＀_x0008_＀＀_x0001_＀＀_x0001_＀＀ἢ泴﹖䁷䳄&amp;充塉䕞元䵟䅅彎偅⡓ㄫㄬ⸲ㄹ㜹㈱㈶㜵㜳⤵_x0018_＀＀_x0018_＀＀_x0008_＀＀_x0001_＀＀_x0001_＀＀狩추ὦ㿑娯亥_x001D_充塉䍞彑佃彍啐䍒彈噁彇剐䍉⡅착_x0018_＀＀_x0018_＀＀_x0008_＀＀_x0001_＀＀_x0001_＀＀豀碵꼝쐕⁯䱢_x001C_充塉䕞元䵟䅅彎偅⡓ㄫㄬ⸴㤱⤹_x0018_＀＀_x0018_＀＀_x0008_＀＀_x0001_＀＀_x0001_＀＀櫘㑪刔㿐䳄_x000E_充塉偞偟䥒䕃⤨_x0018_＀＀_x0018_＀＀_x0008_＀＀_x0001_＀＀_x0001_＀＀凬Ẹ쮅䁒娯亥"充塉䍞彑佃彍啐䍒彈噁彇剐䍉⡅〴㘲⤸_x0018_＀＀_x0018_＀＀_x0008_＀＀_x0001_＀＀_x0001_＀＀豀碵꼝쐕䳄_x0013_充塉偞偟䥒䕃㌨㘹㤲착_x0018_＀＀_x0018_＀＀_x0008_＀＀_x0001_＀＀_x0001_＀＀䞮竡且䁖⁯䱢&amp;充塉䕞元䵟䅅彎偅⡓㌫ㄬ⸰㈱〹㤵㔳㐶㠹⤳_x0018_＀＀_x0018_＀＀_x0008_＀＀_x0001_＀＀_x0001_＀＀ꋅ稳赿㿠溡䳑_x001D_充塉䕞元䵟䅅彎䅓䕌⡓ㄫ㐬㤰㠰착_x0018_＀＀_x0018_＀＀_x0008_＀＀_x0001_＀＀_x0001_＀＀퀔_xD844_擰䁵娯亥!充塉䍞彁佃彍啐䍒彈噁彇剐䍉⡅〲㤰착＀＀＀＀䳄_x001D_充塉䕞䅃䵟䅅彎偅⡓〲㌱㐬㘱㤳착_x0018_＀＀_x0018_＀＀_x0008_＀＀_x0001_＀＀_x0001_＀＀揩‾槐䀒䳄 充塉䕞䅃䵟䅅彎䉅呉䅄㈨㄰ⰱ〴〹⤸_x0018_＀＀_x0018_＀＀_x0008_＀＀_x0001_＀＀_x0001_＀＀땳섕䂄킂䱡&amp;充塉䕞元䵟䅅彎偅⡓㌫ㄬ⸰㈰ㄳ㠷㘷㤳㄰⤱_x0018_＀＀_x0018_＀＀_x0008_＀＀_x0001_＀＀_x0001_＀＀ꋅ稳赿㿠⁯䱢_x001C_充塉䕞元䵟䅅彎偅⡓〫ㄬ⸷㈷⤲_x0018_＀＀_x0018_＀＀_x0008_＀＀_x0001_＀＀_x0001_＀＀馚香香뾩娯亥"充塉䍞彑佃彍啐䍒彈噁彇剐䍉⡅〴㔴⤱_x0018_＀＀_x0018_＀＀_x0008_＀＀_x0001_＀＀_x0001_＀＀豀碵꼝쐕蚅䱡&amp;充塉䕞元䵟䅅彎偅⡓㐫ㄬ⸷㤳㠲㘱〰〲㐸⤶_x0018_＀＀_x0018_＀＀_x0008_＀＀_x0001_＀＀_x0001_＀＀俇頾塯㿣溡䳑_x001D_充塉䕞元䵟䅅彎䅓䕌⡓ㄫ㐬㘰㌳착_x0018_＀＀_x0018_＀＀_x0008_＀＀_x0001_＀＀_x0001_＀＀퀔_xD844_擰䁵䳄_x0013_充塉偞偟䥒䕃㌨㠹㌱착_x0018_＀＀_x0018_＀＀_x0008_＀＀_x0001_＀＀_x0001_＀＀Ẹ顑䁊</t>
        </r>
      </text>
    </comment>
    <comment ref="B1" authorId="0">
      <text>
        <r>
          <rPr>
            <b/>
            <sz val="8"/>
            <color indexed="81"/>
            <rFont val="Tahoma"/>
            <family val="2"/>
          </rPr>
          <t>2889</t>
        </r>
      </text>
    </comment>
  </commentList>
</comments>
</file>

<file path=xl/sharedStrings.xml><?xml version="1.0" encoding="utf-8"?>
<sst xmlns="http://schemas.openxmlformats.org/spreadsheetml/2006/main" count="7049" uniqueCount="3146">
  <si>
    <t>4. Revenues and EBITDA greater than $1,600M and $730M, respectively; Includes ALOG</t>
  </si>
  <si>
    <t>2015 Target Revenues:  $3B</t>
  </si>
  <si>
    <t>2015 Target Revenues</t>
  </si>
  <si>
    <t>3Q11 Global Cabinet Equivalent Capacity</t>
  </si>
  <si>
    <t>% Sequential Growth</t>
  </si>
  <si>
    <t>CH3 phase 3 (Chicago)</t>
  </si>
  <si>
    <t>1. Revenues and EBITDA greater than $1,525M and $685M, respectively</t>
  </si>
  <si>
    <t>2. Implied by mid-point of range</t>
  </si>
  <si>
    <t>y</t>
  </si>
  <si>
    <t>Net Adds</t>
  </si>
  <si>
    <t>PP&amp;E Depreciation</t>
  </si>
  <si>
    <t>Net PP&amp;E (Net of Land)</t>
  </si>
  <si>
    <t>Total Depreciation</t>
  </si>
  <si>
    <t>Capex to Depreciation</t>
  </si>
  <si>
    <t>Depreciation to Revenue</t>
  </si>
  <si>
    <t>Discount</t>
  </si>
  <si>
    <t>SH5 Phase 1 &amp; 2 (Shanghai)</t>
  </si>
  <si>
    <t xml:space="preserve">$420 - $430 </t>
  </si>
  <si>
    <t>$740 - $800</t>
  </si>
  <si>
    <t>$605 - $665</t>
  </si>
  <si>
    <t>(Initial - Old)</t>
  </si>
  <si>
    <t>(1Q12 - Old)</t>
  </si>
  <si>
    <t>5. Includes AsiaTone and ancotel acquisitions ($30M revenue, $10M EBITDA)</t>
  </si>
  <si>
    <t xml:space="preserve"> and incremental FX headwinds ($18M revenue, $8M EBITDA)</t>
  </si>
  <si>
    <t>EQIX 3Q12 Guidance</t>
  </si>
  <si>
    <t>$492 - $498</t>
  </si>
  <si>
    <t>$157.4 - $164.3</t>
  </si>
  <si>
    <t>2.  Gross margin of 67-68%</t>
  </si>
  <si>
    <t>$110 - $115</t>
  </si>
  <si>
    <t>$220 - $222</t>
  </si>
  <si>
    <t>$210 - $230</t>
  </si>
  <si>
    <t>3Q12 Guide (3)</t>
  </si>
  <si>
    <t>Mse (4)</t>
  </si>
  <si>
    <t>Cons. (4)</t>
  </si>
  <si>
    <t>3. Includes AsiaTone and ancotel acquisitions ($13-15M revenue, $4-6M EBITDA)</t>
  </si>
  <si>
    <t xml:space="preserve"> and incremental FX headwinds ($4M revenue, $2M EBITDA)</t>
  </si>
  <si>
    <t>4. Excludes AsiaTone and ancotel acquisitions</t>
  </si>
  <si>
    <t>AsiaTone</t>
  </si>
  <si>
    <t xml:space="preserve">ancotel </t>
  </si>
  <si>
    <t>gross margins</t>
  </si>
  <si>
    <t>New Jersey capital lease (8.6%)</t>
  </si>
  <si>
    <t>London IBX Financing (11.96%)</t>
  </si>
  <si>
    <t>Sunnyvale capital lease (8.6%)</t>
  </si>
  <si>
    <t>Equinix: Guidance</t>
  </si>
  <si>
    <t>Revenue % (2)</t>
  </si>
  <si>
    <t>Cash Gross Profit (2)</t>
  </si>
  <si>
    <t>MS Recurring Revenue</t>
  </si>
  <si>
    <t>Year 6</t>
  </si>
  <si>
    <t>3Q07</t>
  </si>
  <si>
    <t>2Q07</t>
  </si>
  <si>
    <t>MRR / Cab Growth (Q/Q)</t>
  </si>
  <si>
    <t>Interconnection Revenue</t>
  </si>
  <si>
    <t>Total MRR / Cab</t>
  </si>
  <si>
    <t>Rental and Mgd Infrastructure Revenue</t>
  </si>
  <si>
    <t xml:space="preserve">Rental &amp; Mgd Infrastructure MRR / Cabinet </t>
  </si>
  <si>
    <t>PA3 Phase 2 (Paris)</t>
  </si>
  <si>
    <t>AM2 Phase 2 (Amsterdam)</t>
  </si>
  <si>
    <t>LD5 Phase II (London)</t>
  </si>
  <si>
    <t>NOL Valuation</t>
  </si>
  <si>
    <t>Beginning Balance</t>
  </si>
  <si>
    <t>Additions</t>
  </si>
  <si>
    <t>Tax Savings</t>
  </si>
  <si>
    <t>Corporate Tax Rate</t>
  </si>
  <si>
    <t>Present Value of NOLs</t>
  </si>
  <si>
    <t>Plus: NPV of NOLs</t>
  </si>
  <si>
    <t>Property, plant and equipment, gross</t>
  </si>
  <si>
    <t>Accumulated depreciation</t>
  </si>
  <si>
    <t>PP&amp;E and Depreciation</t>
  </si>
  <si>
    <t>Convertible debt, net of amortization</t>
  </si>
  <si>
    <t>Additions / Uses</t>
  </si>
  <si>
    <t>,mscalc:targetPrice,,,,USD</t>
  </si>
  <si>
    <t>,mscalc:closePriceCurrencyCalc</t>
  </si>
  <si>
    <t>EQIX.O,mscalc:targetPrice</t>
  </si>
  <si>
    <t>,mscalc:sedolCodeCalc</t>
  </si>
  <si>
    <t>$N$2</t>
  </si>
  <si>
    <t>$466 - $468</t>
  </si>
  <si>
    <t>$149.1 - $149.8</t>
  </si>
  <si>
    <t>$100 - $104</t>
  </si>
  <si>
    <t>$212 - $214</t>
  </si>
  <si>
    <t>$240 - $260</t>
  </si>
  <si>
    <t>$200 - $220</t>
  </si>
  <si>
    <t>EQIX 2Q12 Guidance</t>
  </si>
  <si>
    <t>2Q12 Guide</t>
  </si>
  <si>
    <t>2.  Gross margin of 68%</t>
  </si>
  <si>
    <t>4. Implied by mid-point of range</t>
  </si>
  <si>
    <t>Percent of Revenue (4)</t>
  </si>
  <si>
    <t>Adj. EBITDA (3)</t>
  </si>
  <si>
    <t xml:space="preserve">$390 - $420 </t>
  </si>
  <si>
    <t>NY7 phase 2 (Bergen)</t>
  </si>
  <si>
    <t>DC10 phase 2 (Ashburn)</t>
  </si>
  <si>
    <t>MI3 (Miami)</t>
  </si>
  <si>
    <t>DC11 phase 1 (Ashburn)</t>
  </si>
  <si>
    <t>HK2 phase 2 (Hong Kong)</t>
  </si>
  <si>
    <t>ZH5 phase 1 (Zurich)</t>
  </si>
  <si>
    <t>Global Sellable Cabinets</t>
  </si>
  <si>
    <t>% Q/Q</t>
  </si>
  <si>
    <t>Purchase of treasury stock</t>
  </si>
  <si>
    <t>SG2 Phase 4 (Singapore)</t>
  </si>
  <si>
    <t>SY3 Phase 2 (Sydney)</t>
  </si>
  <si>
    <t>LD5 Phase III (London)</t>
  </si>
  <si>
    <t>Issuance (7%)</t>
  </si>
  <si>
    <t>Issuances (7.000%)</t>
  </si>
  <si>
    <t>1Q01</t>
  </si>
  <si>
    <t>2Q01</t>
  </si>
  <si>
    <t>3Q01</t>
  </si>
  <si>
    <t>4Q01</t>
  </si>
  <si>
    <t>1Q02</t>
  </si>
  <si>
    <t>2Q02</t>
  </si>
  <si>
    <t>3Q02</t>
  </si>
  <si>
    <t>4Q02</t>
  </si>
  <si>
    <t>1Q03</t>
  </si>
  <si>
    <t>2Q03</t>
  </si>
  <si>
    <t>3Q03</t>
  </si>
  <si>
    <t>4Q03</t>
  </si>
  <si>
    <t>1Q04</t>
  </si>
  <si>
    <t>2Q04</t>
  </si>
  <si>
    <t>3Q04</t>
  </si>
  <si>
    <t>4Q04</t>
  </si>
  <si>
    <t>1Q05</t>
  </si>
  <si>
    <t>2Q05</t>
  </si>
  <si>
    <t>3Q05</t>
  </si>
  <si>
    <t>6Q05</t>
  </si>
  <si>
    <t>1Q06</t>
  </si>
  <si>
    <t>2Q06</t>
  </si>
  <si>
    <t>3Q06</t>
  </si>
  <si>
    <t>4Q06</t>
  </si>
  <si>
    <t>1Q07</t>
  </si>
  <si>
    <t>1Q12E</t>
  </si>
  <si>
    <t>2Q12E</t>
  </si>
  <si>
    <t>3Q12E</t>
  </si>
  <si>
    <t>4Q12E</t>
  </si>
  <si>
    <t>1Q00</t>
  </si>
  <si>
    <t>2Q00</t>
  </si>
  <si>
    <t>3Q00</t>
  </si>
  <si>
    <t>4Q00</t>
  </si>
  <si>
    <r>
      <t>NY3 New York City IBX Center:</t>
    </r>
    <r>
      <rPr>
        <sz val="10"/>
        <color indexed="23"/>
        <rFont val="Arial"/>
        <family val="2"/>
      </rPr>
      <t xml:space="preserve"> Equinix Exchange Services Only</t>
    </r>
  </si>
  <si>
    <r>
      <t xml:space="preserve">HK1 Hong Kong IBX Center </t>
    </r>
    <r>
      <rPr>
        <sz val="10"/>
        <color indexed="23"/>
        <rFont val="Arial"/>
        <family val="2"/>
      </rPr>
      <t>~60,000 for BCTR area only</t>
    </r>
  </si>
  <si>
    <r>
      <t xml:space="preserve">SH1 Shanghai: </t>
    </r>
    <r>
      <rPr>
        <sz val="10"/>
        <color indexed="23"/>
        <rFont val="Arial"/>
        <family val="2"/>
      </rPr>
      <t>Equinix Partner Data Center</t>
    </r>
  </si>
  <si>
    <r>
      <t>FR3 Frankfurt Mörfelden IBX Center:</t>
    </r>
    <r>
      <rPr>
        <sz val="10"/>
        <color indexed="23"/>
        <rFont val="Arial"/>
        <family val="2"/>
      </rPr>
      <t xml:space="preserve"> Business Continuity site only</t>
    </r>
  </si>
  <si>
    <r>
      <t xml:space="preserve">MU2 Munich IBX Center: </t>
    </r>
    <r>
      <rPr>
        <sz val="10"/>
        <color indexed="23"/>
        <rFont val="Arial"/>
        <family val="2"/>
      </rPr>
      <t>Business Continuity site only</t>
    </r>
  </si>
  <si>
    <t>EQIX.O,mscalc:targetPrice,,,,USD</t>
  </si>
  <si>
    <t>EQIX.O,mscalc:closePriceCurrencyCalc</t>
  </si>
  <si>
    <t>EQIX.O,mscalc:sedolCodeCalc</t>
  </si>
  <si>
    <t>Sequential (%)</t>
  </si>
  <si>
    <t>Total Recurring Revenue</t>
  </si>
  <si>
    <t>Amortization of Bond Discount (non - cash)</t>
  </si>
  <si>
    <t>Total Interest</t>
  </si>
  <si>
    <t>1Q09</t>
  </si>
  <si>
    <t>North America</t>
  </si>
  <si>
    <t>Silicon Valley</t>
  </si>
  <si>
    <t>Los Angeles</t>
  </si>
  <si>
    <t>Dallas</t>
  </si>
  <si>
    <t>Chicago</t>
  </si>
  <si>
    <t>New York</t>
  </si>
  <si>
    <t>London</t>
  </si>
  <si>
    <t xml:space="preserve">Y/Y (A) </t>
  </si>
  <si>
    <t>Pos / (Neg)</t>
  </si>
  <si>
    <t>Actual vs. MS</t>
  </si>
  <si>
    <t>Q/Q (E)</t>
  </si>
  <si>
    <t xml:space="preserve">Q/Q (A) </t>
  </si>
  <si>
    <t>Total MRR / Cabinet - North America</t>
  </si>
  <si>
    <t>MRR / Cabinet</t>
  </si>
  <si>
    <t># of Cross Connects</t>
  </si>
  <si>
    <t>2011 Guide</t>
  </si>
  <si>
    <t>(3Q10)</t>
  </si>
  <si>
    <t>(4Q10)</t>
  </si>
  <si>
    <t>(1Q11) (1)</t>
  </si>
  <si>
    <t>(2Q11) (3)</t>
  </si>
  <si>
    <t>3. Revenues and EBITDA greater than $1,590M and $720M, respectively; Includes ALOG</t>
  </si>
  <si>
    <t>Consensus Implied Total New Sellable Cabinets in 2012</t>
  </si>
  <si>
    <t>Paris</t>
  </si>
  <si>
    <t>TOTAL REVENUES:</t>
  </si>
  <si>
    <t>MARGINS:</t>
  </si>
  <si>
    <t>SG&amp;A (% of Rev)</t>
  </si>
  <si>
    <t>NA MRR / Cabinet</t>
  </si>
  <si>
    <t>- Net Interest Exp.</t>
  </si>
  <si>
    <t>FCFE</t>
  </si>
  <si>
    <t>except per share calcs</t>
  </si>
  <si>
    <t>Diluted EPS (1)</t>
  </si>
  <si>
    <t>NORTH AMERICA EXPANSION</t>
  </si>
  <si>
    <t>EUROPE EXPANSION</t>
  </si>
  <si>
    <t>ASIA / PAC EXPANSION</t>
  </si>
  <si>
    <t>Implied Capex per Cabinet</t>
  </si>
  <si>
    <t>Tokyo</t>
  </si>
  <si>
    <t>Hong Kong</t>
  </si>
  <si>
    <t>Singapore</t>
  </si>
  <si>
    <t>Sydney</t>
  </si>
  <si>
    <t>EBIT</t>
  </si>
  <si>
    <t>Adjusted EBITDA</t>
  </si>
  <si>
    <t>Discount Factor</t>
  </si>
  <si>
    <t>Current Share Price</t>
  </si>
  <si>
    <t>2015E</t>
  </si>
  <si>
    <t>2016E</t>
  </si>
  <si>
    <t>2017E</t>
  </si>
  <si>
    <t>2018E</t>
  </si>
  <si>
    <t>- Capex</t>
  </si>
  <si>
    <t>Headcount</t>
  </si>
  <si>
    <t>2Q09</t>
  </si>
  <si>
    <t>NY4 Phase III (Secaucus)</t>
  </si>
  <si>
    <t>DC6 (Ashburn)</t>
  </si>
  <si>
    <t>Billing</t>
  </si>
  <si>
    <t>Assumption: Incremental Utilization of New Cabinets</t>
  </si>
  <si>
    <t>Assumption: Incremental Utilization of Existing Cabinets</t>
  </si>
  <si>
    <t>Announced Additional Cabinet Capacity</t>
  </si>
  <si>
    <t>Implied Average MRR / Cabinet</t>
  </si>
  <si>
    <t>Estimated Additional Cabinet Capacity</t>
  </si>
  <si>
    <t>Estimated Expansion Capex</t>
  </si>
  <si>
    <t>Percent of Total Growth</t>
  </si>
  <si>
    <t>MS ESTIMATES</t>
  </si>
  <si>
    <t>SV5 (Silicon Valley)</t>
  </si>
  <si>
    <t>Capex per Cabinet</t>
  </si>
  <si>
    <t>FCF Calculations</t>
  </si>
  <si>
    <t>Select Language</t>
  </si>
  <si>
    <t>日本語</t>
  </si>
  <si>
    <t>-</t>
  </si>
  <si>
    <t>English</t>
  </si>
  <si>
    <t>Currency</t>
  </si>
  <si>
    <t>Current Stock Price</t>
  </si>
  <si>
    <t xml:space="preserve">2012 Guide </t>
  </si>
  <si>
    <t>Count</t>
  </si>
  <si>
    <t>BRL</t>
  </si>
  <si>
    <t>Operating Asset Turnover (Annualized)</t>
  </si>
  <si>
    <t>Cost of net borrowings (%) (Annualized)</t>
  </si>
  <si>
    <t>AsiaTone Loans</t>
  </si>
  <si>
    <t>FR2 Phase 3 (Frankfurt)</t>
  </si>
  <si>
    <t>EBITDA % split</t>
  </si>
  <si>
    <t>Domestic</t>
  </si>
  <si>
    <t>RNOA (%) (Annualized)</t>
  </si>
  <si>
    <t>ROE (Annualized)</t>
  </si>
  <si>
    <t>Utilization Rate - North America - Pro-forma</t>
  </si>
  <si>
    <t>Incremental Capacity</t>
  </si>
  <si>
    <t>Equinix Pro-forma</t>
  </si>
  <si>
    <t>Equinix Pro-forma Cross Connects</t>
  </si>
  <si>
    <t>EUR</t>
  </si>
  <si>
    <t>GBP</t>
  </si>
  <si>
    <t>Ests (MS)</t>
  </si>
  <si>
    <t>Percent of Revenue (2)</t>
  </si>
  <si>
    <t>Senior Notes (7.000%)</t>
  </si>
  <si>
    <t>SGD</t>
  </si>
  <si>
    <t>EQIX FY 2012 Guidance</t>
  </si>
  <si>
    <t>MSe</t>
  </si>
  <si>
    <t>Initial Guide</t>
  </si>
  <si>
    <t>note:  ALOG added since initial guide</t>
  </si>
  <si>
    <t>Margin</t>
  </si>
  <si>
    <t>Current vs.</t>
  </si>
  <si>
    <t>CH4 IBX Shared Suite (Chicago)</t>
  </si>
  <si>
    <t>Total Incremental Sellable Cabinets</t>
  </si>
  <si>
    <t>Convertible Subordinated Notes (4.75%)</t>
  </si>
  <si>
    <t>Asia / Pacific</t>
  </si>
  <si>
    <t>1Q10</t>
  </si>
  <si>
    <t>3Q09</t>
  </si>
  <si>
    <t>4Q09</t>
  </si>
  <si>
    <t>2Q10</t>
  </si>
  <si>
    <t>FCF (As defined by the company)</t>
  </si>
  <si>
    <t>OCF</t>
  </si>
  <si>
    <t>+ Accrued property and equipment</t>
  </si>
  <si>
    <t>+ Other investing activities</t>
  </si>
  <si>
    <t>- Acqusitions / (Divestitures)</t>
  </si>
  <si>
    <t>Adjusted FCF (As defined by the company)</t>
  </si>
  <si>
    <t>- (Acqusitions) / Divestitures</t>
  </si>
  <si>
    <t>Proceeds from / Repayment of senior notes</t>
  </si>
  <si>
    <t>Ending Balance (Carrying Value)</t>
  </si>
  <si>
    <t>Ending Balance (Fair Value)</t>
  </si>
  <si>
    <t>$530 - $534</t>
  </si>
  <si>
    <t>$120 - $124</t>
  </si>
  <si>
    <t>$240 - $244</t>
  </si>
  <si>
    <t>$170 - $180</t>
  </si>
  <si>
    <t>$125 - $135</t>
  </si>
  <si>
    <t>+</t>
  </si>
  <si>
    <t>1Q13A</t>
  </si>
  <si>
    <t>RJ2 phase 1 (Rio de Janeiro)</t>
  </si>
  <si>
    <t>SV5 phase 2 (Silicon Valley)</t>
  </si>
  <si>
    <t>DC10 phase 3 (Ashburn)</t>
  </si>
  <si>
    <t>DA6 phase 1 (Dallas)</t>
  </si>
  <si>
    <t>LD5 phase 4 (London)</t>
  </si>
  <si>
    <t>SG3 phase 1 (Singapore)</t>
  </si>
  <si>
    <t>2019E</t>
  </si>
  <si>
    <t>2020E</t>
  </si>
  <si>
    <t>Cost of revenue</t>
  </si>
  <si>
    <t>Gross profit</t>
  </si>
  <si>
    <t>Total revenue</t>
  </si>
  <si>
    <t>Seq. revenue growth</t>
  </si>
  <si>
    <t>Sydney 3 IBX financing (2.80%)</t>
  </si>
  <si>
    <t>Other Capital Lease and Financing Obligations (10.26%)</t>
  </si>
  <si>
    <t>Singapore IBX Capital Lease (3.98%)</t>
  </si>
  <si>
    <t>US headquarters capital lease (8.6%)</t>
  </si>
  <si>
    <t>Sydney 3 IBX financing (2.8%)</t>
  </si>
  <si>
    <t>PH1 phase 2 (Philadelphia)</t>
  </si>
  <si>
    <t>ME1 phase 1 (Melbourne)</t>
  </si>
  <si>
    <t>2013A</t>
  </si>
  <si>
    <t>Y/Y revenue growth</t>
  </si>
  <si>
    <t>Gross margin</t>
  </si>
  <si>
    <t>Stock based compensation</t>
  </si>
  <si>
    <t>Restructuring costs</t>
  </si>
  <si>
    <t>Acqusition costs</t>
  </si>
  <si>
    <t>Gains on asset sales</t>
  </si>
  <si>
    <t>Other one-time losses (gains)</t>
  </si>
  <si>
    <t>2015E P / AFFO</t>
  </si>
  <si>
    <t>2015 AFFO</t>
  </si>
  <si>
    <t>2015 adjusted EBITDA</t>
  </si>
  <si>
    <t>2015 Adjusted EBITDA</t>
  </si>
  <si>
    <t>Implied 2015E EV / EBITDA</t>
  </si>
  <si>
    <t>Global Implied MRR / Cabinet</t>
  </si>
  <si>
    <t>% incremental growth</t>
  </si>
  <si>
    <t>% of Rev</t>
  </si>
  <si>
    <t>FX Impacts</t>
  </si>
  <si>
    <t>MSe 4Q13 Revenue:</t>
  </si>
  <si>
    <t>3Q13 Avg</t>
  </si>
  <si>
    <t>Note:  Indirect rates used</t>
  </si>
  <si>
    <t>GLOBAL</t>
  </si>
  <si>
    <t>Delta (1)</t>
  </si>
  <si>
    <t>1. Calculated as (MSe / EQIX) - 1</t>
  </si>
  <si>
    <t>$548 - $562</t>
  </si>
  <si>
    <t>$109 - $123</t>
  </si>
  <si>
    <t>$257 - $266</t>
  </si>
  <si>
    <t>$177 - $247</t>
  </si>
  <si>
    <t>$136 - $206</t>
  </si>
  <si>
    <t>EQIX (2Q13 Implied) (3)</t>
  </si>
  <si>
    <t>FOR 3Q13 QUICK COMMENT</t>
  </si>
  <si>
    <t xml:space="preserve">3. Implied from FY 2013 and 3Q13 guidance from 2Q13 earnings and 1H13A. </t>
  </si>
  <si>
    <t xml:space="preserve">   Accounts for widest possible range</t>
  </si>
  <si>
    <t>Asia-Pacific MRR / Cabinet</t>
  </si>
  <si>
    <t>SE3 - Phase 1 &amp; 2 (Seattle)</t>
  </si>
  <si>
    <t>DC11 - Phase 1 (Ashburn)</t>
  </si>
  <si>
    <t>CH3 - Phase 3 (Chicago)</t>
  </si>
  <si>
    <t>RJ2 - Phase 1 (Rio de Janeiro)</t>
  </si>
  <si>
    <t>SV5 - Phase 2 (Silicon Valley)</t>
  </si>
  <si>
    <t>DC10 - Phase 3 (Ashburn)</t>
  </si>
  <si>
    <t>ZH5 - Phase 1 (Zurich)</t>
  </si>
  <si>
    <t>FR5 - Phase 2 (Frankfurt)</t>
  </si>
  <si>
    <t>LD5 - Phase 4 (London)</t>
  </si>
  <si>
    <t>SH5 - Phase 2 (Shanghai)</t>
  </si>
  <si>
    <t>TY4 - Phase 1 (Tokyo)</t>
  </si>
  <si>
    <t>OS1 - Phase 1 (Osaka)</t>
  </si>
  <si>
    <t>SG2 - Phase 5 (Singapore)</t>
  </si>
  <si>
    <t>DA6 - Phase 1 (Dallas)</t>
  </si>
  <si>
    <t>SP2 - Phase 3 (Sao Paulo)</t>
  </si>
  <si>
    <t>TR2 - Phase 1 (Toronto)</t>
  </si>
  <si>
    <t>TY4 - Phase 2 (Tokyo)</t>
  </si>
  <si>
    <t>SH5 - Phase 3 (Shanghai)</t>
  </si>
  <si>
    <t>SY3 - Phase 3 (Sydney)</t>
  </si>
  <si>
    <t>HK3 - Phase 2 (Hong Kong)</t>
  </si>
  <si>
    <t>SG3 - Phase 1 (Singapore)</t>
  </si>
  <si>
    <t>2Q13 Announcements</t>
  </si>
  <si>
    <t>3Q13 Announcements</t>
  </si>
  <si>
    <t>NY6 - Phase 1 (New York)</t>
  </si>
  <si>
    <t>LD6 - Phase 1 (London)</t>
  </si>
  <si>
    <t>SP2 phase 3 (São Paulo)</t>
  </si>
  <si>
    <t>NY6 phase 1 (New York)</t>
  </si>
  <si>
    <t>TY4 Phase 2 (Tokyo)</t>
  </si>
  <si>
    <t>SH5 Phase 3 (Shanghai)</t>
  </si>
  <si>
    <t>LD6 phase 1 (London)</t>
  </si>
  <si>
    <t>Stock Issuance for Converts</t>
  </si>
  <si>
    <t>Equity Value</t>
  </si>
  <si>
    <t>Total non-cash reconciling items</t>
  </si>
  <si>
    <t>EBITDA (includ. ESOP and other items)</t>
  </si>
  <si>
    <t>EBITDA (defined by Equinix)</t>
  </si>
  <si>
    <t>Seq. EBITDA growth</t>
  </si>
  <si>
    <t>Y/Y EBITDA growth</t>
  </si>
  <si>
    <t>EBITDA margin (including ESOP)</t>
  </si>
  <si>
    <t>EBITDA margin (defined by Equinix)</t>
  </si>
  <si>
    <t>CONSENSUS</t>
  </si>
  <si>
    <t>EBITDA flow-through margin</t>
  </si>
  <si>
    <t>Operating income margin</t>
  </si>
  <si>
    <t>Gross Interest expense</t>
  </si>
  <si>
    <t>Other income (expense)</t>
  </si>
  <si>
    <t>Implied Stock Price</t>
  </si>
  <si>
    <t>2014E P / AFFO</t>
  </si>
  <si>
    <t>Implied 2014E EV / EBITDA</t>
  </si>
  <si>
    <t>Loss (gain) from debt extinguishment</t>
  </si>
  <si>
    <t>Pre tax income</t>
  </si>
  <si>
    <t>Net income from continuing ops.</t>
  </si>
  <si>
    <t>Preferred stock accretions and dividends</t>
  </si>
  <si>
    <t>Net income to common stockholders</t>
  </si>
  <si>
    <t>Total reconciling items net of tax</t>
  </si>
  <si>
    <t>Normalized net income to common stockholders</t>
  </si>
  <si>
    <t>Effect of assumed conversation of debt</t>
  </si>
  <si>
    <t>GAAP income (loss) per share, diluted</t>
  </si>
  <si>
    <t>GAAP income (loss) per share, basic</t>
  </si>
  <si>
    <t>Normalized income (loss) per share, diluted</t>
  </si>
  <si>
    <t>Normalized Shares Outstanding (Avg)</t>
  </si>
  <si>
    <t>Total Shares Outstanding (EOP)</t>
  </si>
  <si>
    <t>Net Income, normalized</t>
  </si>
  <si>
    <t>Net Income, GAAP</t>
  </si>
  <si>
    <t># of shares repurchased</t>
  </si>
  <si>
    <t>Total cost ($m)</t>
  </si>
  <si>
    <t>Average repo price per share</t>
  </si>
  <si>
    <t>Q/Q growth</t>
  </si>
  <si>
    <t>Average stock price</t>
  </si>
  <si>
    <t>Options exercisable (EOP)</t>
  </si>
  <si>
    <t>Potentially dilutive options exercisable (EOP)</t>
  </si>
  <si>
    <t>$538 - $542</t>
  </si>
  <si>
    <t>$126 - $130</t>
  </si>
  <si>
    <t>$130 - $150</t>
  </si>
  <si>
    <t>$2,135 - $2,145</t>
  </si>
  <si>
    <t>$465 - $475</t>
  </si>
  <si>
    <t>$985 - $990</t>
  </si>
  <si>
    <t>$575 - $625</t>
  </si>
  <si>
    <t>$410 - $460</t>
  </si>
  <si>
    <t>estimate related to non-recurring installation fees</t>
  </si>
  <si>
    <t>Adjusted EBITDA (2)</t>
  </si>
  <si>
    <t xml:space="preserve">1. Includes ~$6M decrease in revenues due to the change in accounting </t>
  </si>
  <si>
    <t xml:space="preserve">2. Includes ~$6M related to non-recurring installation fees, $11M in </t>
  </si>
  <si>
    <t>professional fees related to REIT conversion</t>
  </si>
  <si>
    <t>incremental professional fees related to REIT ($26M total)</t>
  </si>
  <si>
    <t>Adjusted EBITDA (3)</t>
  </si>
  <si>
    <t>Total Revenue (1) (2)</t>
  </si>
  <si>
    <t>1H13</t>
  </si>
  <si>
    <t>2H13 (1)</t>
  </si>
  <si>
    <t>Previous (2)</t>
  </si>
  <si>
    <t>1. Implied 2H13 guidance</t>
  </si>
  <si>
    <t>2. Previous FY 2013 guidance (from 1Q13)</t>
  </si>
  <si>
    <t>% Change</t>
  </si>
  <si>
    <t>EQUINIX - 2013 GUIDANCE - IMPLICATIONS</t>
  </si>
  <si>
    <t>2Q13A</t>
  </si>
  <si>
    <t>OS1 phase 1 (Osaka)</t>
  </si>
  <si>
    <t>Percent of options exercisable (EOP)</t>
  </si>
  <si>
    <t>Percent increase from prior period</t>
  </si>
  <si>
    <t>Gross Interest Expense</t>
  </si>
  <si>
    <t>Diluted Shares</t>
  </si>
  <si>
    <t>Cash &amp; cash equiv</t>
  </si>
  <si>
    <t>Cash Gross Margins</t>
  </si>
  <si>
    <t>Adj. EBITDA</t>
  </si>
  <si>
    <t>Implied Margin</t>
  </si>
  <si>
    <t>Expansion</t>
  </si>
  <si>
    <t>Ongoing</t>
  </si>
  <si>
    <t>Leases</t>
  </si>
  <si>
    <t>Cash Opex</t>
  </si>
  <si>
    <t>Rent</t>
  </si>
  <si>
    <t>AFFO / share</t>
  </si>
  <si>
    <t>% Y/Y Growth</t>
  </si>
  <si>
    <t>Total Capex</t>
  </si>
  <si>
    <t>3Q Earnings</t>
  </si>
  <si>
    <t>(05/07/10)</t>
  </si>
  <si>
    <t xml:space="preserve">Merger Call </t>
  </si>
  <si>
    <t>(10/05/10)</t>
  </si>
  <si>
    <t>Earnings</t>
  </si>
  <si>
    <t xml:space="preserve">2Q </t>
  </si>
  <si>
    <t>Revision</t>
  </si>
  <si>
    <t>Actual</t>
  </si>
  <si>
    <t>MS (E)</t>
  </si>
  <si>
    <t>Diff.</t>
  </si>
  <si>
    <t>Cons</t>
  </si>
  <si>
    <t>Seq. (E)</t>
  </si>
  <si>
    <t>Y/Y (E)</t>
  </si>
  <si>
    <t>REVENUES:</t>
  </si>
  <si>
    <t>TOTAL REVENUES</t>
  </si>
  <si>
    <t>Cost of Revenue</t>
  </si>
  <si>
    <t>Interest Expense</t>
  </si>
  <si>
    <t>Net Interest Expense and Other</t>
  </si>
  <si>
    <t>EBT</t>
  </si>
  <si>
    <t>Income Taxes</t>
  </si>
  <si>
    <t>Net Income (Operating)</t>
  </si>
  <si>
    <t>Unusual Charges</t>
  </si>
  <si>
    <t>Senior Notes (4.875%) - 2020</t>
  </si>
  <si>
    <t>Senior Notes (5.375%) - 2023</t>
  </si>
  <si>
    <t>Senior Notes (8.125%) - 2018</t>
  </si>
  <si>
    <t>Asset Impairments</t>
  </si>
  <si>
    <t>Goodwill Impairments</t>
  </si>
  <si>
    <t>Extraordinary Items</t>
  </si>
  <si>
    <t>Basic Reported (GAAP) EPS</t>
  </si>
  <si>
    <t>Diluted Reported (GAAP) EPS</t>
  </si>
  <si>
    <t>TOTAL</t>
  </si>
  <si>
    <t>GAAP Net Income</t>
  </si>
  <si>
    <t>Asia</t>
  </si>
  <si>
    <t>Capex</t>
  </si>
  <si>
    <t>Interest Expense (Total)</t>
  </si>
  <si>
    <t>Singapore Financing (4.20%)</t>
  </si>
  <si>
    <t>($MM)</t>
  </si>
  <si>
    <t>Cons (E)</t>
  </si>
  <si>
    <t>FCFE CALCULATION:</t>
  </si>
  <si>
    <t>AT1 (Atlanta)</t>
  </si>
  <si>
    <t>SG2 Phase 2 (Singapore)</t>
  </si>
  <si>
    <t>TOTAL NORTH AMERICA</t>
  </si>
  <si>
    <t>SV1 San Jose South IBX Center</t>
  </si>
  <si>
    <t>SV2 Santa Clara IBX Center</t>
  </si>
  <si>
    <t>SV3 San Jose North IBX Center</t>
  </si>
  <si>
    <t>SV4 Sunnyvale IBX Center</t>
  </si>
  <si>
    <t>SV5 Sunnyvale IBX Center</t>
  </si>
  <si>
    <t>Palo Alto Data Center</t>
  </si>
  <si>
    <t>San Jose Data Center</t>
  </si>
  <si>
    <t>Sunnyvale Data Center</t>
  </si>
  <si>
    <t>Y/Y Growth</t>
  </si>
  <si>
    <t>Base WACC</t>
  </si>
  <si>
    <t>Inputs</t>
  </si>
  <si>
    <t>Current Cash Balance</t>
  </si>
  <si>
    <t>Adjustment</t>
  </si>
  <si>
    <t>Current Total Debt</t>
  </si>
  <si>
    <t>Current Diluted Shares</t>
  </si>
  <si>
    <t>Market Capitalization</t>
  </si>
  <si>
    <t>Equity Beta</t>
  </si>
  <si>
    <t>Debt Cost of Capital</t>
  </si>
  <si>
    <t>Equity Market Cost of Capital</t>
  </si>
  <si>
    <t>Total Capital</t>
  </si>
  <si>
    <t>Risk-free Rate</t>
  </si>
  <si>
    <t>Period Count</t>
  </si>
  <si>
    <t>Present Value of Unlevered FCF</t>
  </si>
  <si>
    <t>Next Calendar Year</t>
  </si>
  <si>
    <t>One Year Forward Valuation Date</t>
  </si>
  <si>
    <r>
      <t xml:space="preserve">Working Capital: </t>
    </r>
    <r>
      <rPr>
        <sz val="8"/>
        <color indexed="17"/>
        <rFont val="Arial"/>
        <family val="2"/>
      </rPr>
      <t>Working Cap is relatively neutral to valuation.</t>
    </r>
  </si>
  <si>
    <r>
      <t xml:space="preserve">Capital Expenditures: </t>
    </r>
    <r>
      <rPr>
        <sz val="8"/>
        <color indexed="17"/>
        <rFont val="Arial"/>
        <family val="2"/>
      </rPr>
      <t>Capex grows with free cash flow as company reinvests heavily over next ten years.</t>
    </r>
  </si>
  <si>
    <t>Equinix FY 2011 Guidance</t>
  </si>
  <si>
    <r>
      <t xml:space="preserve">Methodology: </t>
    </r>
    <r>
      <rPr>
        <sz val="8"/>
        <color indexed="17"/>
        <rFont val="Arial"/>
        <family val="2"/>
      </rPr>
      <t xml:space="preserve">In determining cash flows, we forecast out revenue, EBITDA, cash taxes, working capital changes, and capex through C2020E.  Free cash flow in a year is equal to operating income plus </t>
    </r>
  </si>
  <si>
    <t>depreciation &amp; amortization plus stock compensation minus cash taxes from operations minus working capital uses minus capex.  We then use the WACC to calculate the present value of each year's free cash</t>
  </si>
  <si>
    <t xml:space="preserve">flow.  The terminal value is the C2020E terminal adjusted free cash flow multiplied by the future growth rate and divided by the difference between the WACC and the future growth rate.  The net </t>
  </si>
  <si>
    <t>Upside to Current Share Price</t>
  </si>
  <si>
    <t>LA1 Los Angeles IBX Center</t>
  </si>
  <si>
    <t>LA2 Los Angeles IBX Center</t>
  </si>
  <si>
    <t>LA3 El Segundo IBX Center</t>
  </si>
  <si>
    <t>LA4 El Segundo IBX Center</t>
  </si>
  <si>
    <t>1Q14</t>
  </si>
  <si>
    <t>3. Includes $11M in REIT related professional fees</t>
  </si>
  <si>
    <t>LA5 Los Angeles IBX Center</t>
  </si>
  <si>
    <t>DC1 Ashburn IBX Center</t>
  </si>
  <si>
    <t>2014 Adjusted EBITDA</t>
  </si>
  <si>
    <t>DC2 Ashburn IBX Center</t>
  </si>
  <si>
    <t>DC3 Ashburn IBX Center</t>
  </si>
  <si>
    <t>DC4 Ashburn IBX Center</t>
  </si>
  <si>
    <t>DC5 Ashburn IBX Center</t>
  </si>
  <si>
    <t>Reston Data Center</t>
  </si>
  <si>
    <t>Vienna SAIC Data Center</t>
  </si>
  <si>
    <t>Vienna Tyco Data Center</t>
  </si>
  <si>
    <t>Washington D.C.</t>
  </si>
  <si>
    <t>NY1 Newark IBX Center</t>
  </si>
  <si>
    <t>NY2 Secaucus IBX Center</t>
  </si>
  <si>
    <t>NY4 Secaucus IBX Center</t>
  </si>
  <si>
    <t>New Jersey North Bergen Data Center</t>
  </si>
  <si>
    <t>New York Hudon Data Center</t>
  </si>
  <si>
    <t>New York Broadway Data Center</t>
  </si>
  <si>
    <t>New York 111 8th Data Center</t>
  </si>
  <si>
    <t>CH1 Chicago IBX Center</t>
  </si>
  <si>
    <t>CH2 Chicago IBX Center</t>
  </si>
  <si>
    <t>CH3 Elk Grove Village IBX Center</t>
  </si>
  <si>
    <t>CH4 Chicago IBX Center</t>
  </si>
  <si>
    <t>Chicago La Salle Data Center</t>
  </si>
  <si>
    <t>AT1 180 Peachtree Street NW</t>
  </si>
  <si>
    <t>AT2 / AT3 56 Marietta Street NW</t>
  </si>
  <si>
    <t>BO1 Boston Data Center</t>
  </si>
  <si>
    <t>BU1 Buffalo Data Center</t>
  </si>
  <si>
    <t>CL1 Cleveland Data Center</t>
  </si>
  <si>
    <t>DE1 Denver Data Center</t>
  </si>
  <si>
    <t>DT1 Detroit Data Center</t>
  </si>
  <si>
    <t>IN1 Indianapolis Data Center</t>
  </si>
  <si>
    <t>Depreciation - Existing</t>
  </si>
  <si>
    <t>Depreciation - Continuing</t>
  </si>
  <si>
    <t>MI1 Miami Metro Mall Data Center</t>
  </si>
  <si>
    <t>MI2 Miami Second Street Data Center</t>
  </si>
  <si>
    <t>TR2 phase 1 (Toronto)</t>
  </si>
  <si>
    <t>NA1 Nashville Data Center</t>
  </si>
  <si>
    <t>PH1 Philadelphia Broad Data Center</t>
  </si>
  <si>
    <t>PH2 Philadelphia Market Data Center</t>
  </si>
  <si>
    <t>PX1 Pheonix Data Center</t>
  </si>
  <si>
    <t>PI1 Pittsburgh Data Center</t>
  </si>
  <si>
    <t>4Q13</t>
  </si>
  <si>
    <t>1. 2013 - Includes $9M FX tailwinds compared to 2Q13 guidance rates</t>
  </si>
  <si>
    <t>Includes $25M professional fees related to REIT</t>
  </si>
  <si>
    <t>and $11M in professional fees related to REIT conversion</t>
  </si>
  <si>
    <t xml:space="preserve">2. 2013 - Includes $4M FX tailwinds compared to 2Q13 guidance rates.  </t>
  </si>
  <si>
    <t>3. 4Q13 - Includes $8M tailwind from FX compared to 2Q13 guidance rates</t>
  </si>
  <si>
    <t>4. 4Q13 - Includes $3M tailwind from FX compared to 2Q13 guidance rates</t>
  </si>
  <si>
    <t>SE1 Seattle Securities Building Technology Data Center</t>
  </si>
  <si>
    <t>SE2 / SE3 Seattle Westin Building Data Center</t>
  </si>
  <si>
    <t>ST1 Saint Louis Data Center</t>
  </si>
  <si>
    <t>TP1 Tampa Data Center</t>
  </si>
  <si>
    <t>TR1 Tornonto Data Center</t>
  </si>
  <si>
    <t>Atlanta</t>
  </si>
  <si>
    <t>Boston</t>
  </si>
  <si>
    <t>Buffalo</t>
  </si>
  <si>
    <t>Cleveland</t>
  </si>
  <si>
    <t>Denver</t>
  </si>
  <si>
    <t>Detroit</t>
  </si>
  <si>
    <t>Indianapolis</t>
  </si>
  <si>
    <t>Net (income) loss attributable to redeemable non-controlling interests</t>
  </si>
  <si>
    <t>Redeemable non-controlling interests</t>
  </si>
  <si>
    <t>ALOG Financing</t>
  </si>
  <si>
    <t>Miami</t>
  </si>
  <si>
    <t>Nashville</t>
  </si>
  <si>
    <t>Philadelphia</t>
  </si>
  <si>
    <t>Phoenix</t>
  </si>
  <si>
    <t>Pittsburgh</t>
  </si>
  <si>
    <t>Seattle</t>
  </si>
  <si>
    <t>Saint Louis</t>
  </si>
  <si>
    <t>Tampa</t>
  </si>
  <si>
    <t>Toronto</t>
  </si>
  <si>
    <t>DA1 Dallas IBX Center</t>
  </si>
  <si>
    <t>DA3 Dallas IBX Center</t>
  </si>
  <si>
    <t>Dallas 2323 Bryan Data Center</t>
  </si>
  <si>
    <t>Dallas 4101 Bryan Data Center</t>
  </si>
  <si>
    <t>Dallas Infomart Data Center</t>
  </si>
  <si>
    <t>Capacity (Cabinets) - assume 82 sq ft / cabinet</t>
  </si>
  <si>
    <t>ESTIMATED TOTAL</t>
  </si>
  <si>
    <t>New Builds - North America</t>
  </si>
  <si>
    <t>DA2 Phase 1 (Dallas)</t>
  </si>
  <si>
    <t xml:space="preserve"> </t>
  </si>
  <si>
    <t>This sheet contains Factset binary data for use with this workbook's =FDS codes.  Modifying the worksheet's contents may damage the workbook's =FDS functionality.</t>
  </si>
  <si>
    <t>LD1 London City IBX Center</t>
  </si>
  <si>
    <t>LD2 London West IBX Center</t>
  </si>
  <si>
    <t>LD3 London Park Royal IBX Center</t>
  </si>
  <si>
    <t>LD4 London Slough IBX Center</t>
  </si>
  <si>
    <t>LD5 London Slough IBX Center</t>
  </si>
  <si>
    <t>PA1 Paris Roissy IBX Center</t>
  </si>
  <si>
    <t>PA2 Paris Saint-Denis IBX Center</t>
  </si>
  <si>
    <t>PA3 Paris Saint-Denis IBX Center</t>
  </si>
  <si>
    <t>AM1 Amsterdam IBX Center</t>
  </si>
  <si>
    <t>x</t>
  </si>
  <si>
    <t>AM2 Amsterdam IBX Center</t>
  </si>
  <si>
    <t>EN1 Enschede IBX Center</t>
  </si>
  <si>
    <t>ZW1 Zwolle IBX Center</t>
  </si>
  <si>
    <t>SY1 Sydney IBX Center</t>
  </si>
  <si>
    <t>Consensus Recurring Revenue (Assume 95%)</t>
  </si>
  <si>
    <t>Sustaining Capex (Assume 7%)</t>
  </si>
  <si>
    <t>3Q13E</t>
  </si>
  <si>
    <t>16 DATA CENTERS (REPORTED RESULTS)</t>
  </si>
  <si>
    <t>Total revenues</t>
  </si>
  <si>
    <t>Cost of revenues</t>
  </si>
  <si>
    <t>Cash cost of revenues</t>
  </si>
  <si>
    <t>Cash gross profit</t>
  </si>
  <si>
    <t>Cash gross margin</t>
  </si>
  <si>
    <t>Depreciation, amortization and accretion expense</t>
  </si>
  <si>
    <t>ADJUSTED SEGMENTS</t>
  </si>
  <si>
    <t>% Ratio</t>
  </si>
  <si>
    <t>$ Segments</t>
  </si>
  <si>
    <t>AS REPORTED (PRIOR TO 16 DATA CENTER SALE)</t>
  </si>
  <si>
    <t>ADJUSTMENT FOR 16 DATA CENTER SALE</t>
  </si>
  <si>
    <t>SY2 Sydney IBX Center</t>
  </si>
  <si>
    <t>SG1 Singapore IBX Center</t>
  </si>
  <si>
    <t>SG2 Singapore IBX Center</t>
  </si>
  <si>
    <t>TY1 Tokyo IBX Center</t>
  </si>
  <si>
    <t>TY2 Tokyo IBX Center</t>
  </si>
  <si>
    <t>Shanghai</t>
  </si>
  <si>
    <t>EQUINIX (Organic Reported) TOTAL</t>
  </si>
  <si>
    <t>SWITCH AND DATA (Reported) TOTAL</t>
  </si>
  <si>
    <t>Capacity (Cabinets) - assume 71 sq ft / cabinet</t>
  </si>
  <si>
    <t>EQUINIX (Reported) TOTAL</t>
  </si>
  <si>
    <t>2010A</t>
  </si>
  <si>
    <t>$300 -$400</t>
  </si>
  <si>
    <t>$400 - $500</t>
  </si>
  <si>
    <t>Consensus</t>
  </si>
  <si>
    <t>2Q11E</t>
  </si>
  <si>
    <t>3Q11E</t>
  </si>
  <si>
    <t>4Q11E</t>
  </si>
  <si>
    <t>Switch and Data</t>
  </si>
  <si>
    <t>New Builds - Asia / Pacific</t>
  </si>
  <si>
    <t>SY3 Phase 1 (Sydney)</t>
  </si>
  <si>
    <t>Cross Connect / Cabinet</t>
  </si>
  <si>
    <t># of Cross Connects (EOP)</t>
  </si>
  <si>
    <t>SG2 Phase 3 (Singapore)</t>
  </si>
  <si>
    <t>TOTAL ASIA / PACIFIC</t>
  </si>
  <si>
    <t>DU1 Düsseldorf IBX Center</t>
  </si>
  <si>
    <t>DU2 Düsseldorf IBX Center</t>
  </si>
  <si>
    <t>FR1 Frankfurt City IBX Center</t>
  </si>
  <si>
    <t>FR2 Frankfurt North IBX Center</t>
  </si>
  <si>
    <t>FR4 Frankfurt West IBX Center</t>
  </si>
  <si>
    <t>MU1 Munich IBX Center</t>
  </si>
  <si>
    <t>ZH1 Zurich IBX Center</t>
  </si>
  <si>
    <t>ZH2 Zurich IBX Center</t>
  </si>
  <si>
    <t>ZH3 Zurich IBX Center</t>
  </si>
  <si>
    <t>ZH4 Zurich IBX Center</t>
  </si>
  <si>
    <t>% Q/Q Growth</t>
  </si>
  <si>
    <t>MRR / Cabinet (NA)</t>
  </si>
  <si>
    <t>MRR / Cabinet (North America)</t>
  </si>
  <si>
    <t>Global Billable Cabinets</t>
  </si>
  <si>
    <t>Churn</t>
  </si>
  <si>
    <t>GV1 Geneva IBX Center</t>
  </si>
  <si>
    <t>Total Revenue (1) (2) (4)</t>
  </si>
  <si>
    <t xml:space="preserve">1. 2013 - Includes ~$16M decrease in revenues due to the change in accounting </t>
  </si>
  <si>
    <t>2. 2013 - Includes $34M FX headwinds</t>
  </si>
  <si>
    <t xml:space="preserve">3. 2013 - Includes ~$16M related to non-recurring installation fees, $6M </t>
  </si>
  <si>
    <t xml:space="preserve">4. 3Q13 - Includes ~$6M decrease in revenues due to the change in accounting </t>
  </si>
  <si>
    <t xml:space="preserve">5. 3Q13 - Includes ~$6M related to non-recurring installation fees, $11M in </t>
  </si>
  <si>
    <t>Adjusted EBITDA (3) (5)</t>
  </si>
  <si>
    <t>EQUINIX - GUIDANCE</t>
  </si>
  <si>
    <t>3Q13</t>
  </si>
  <si>
    <t>GV2 Geneva IBX Center</t>
  </si>
  <si>
    <t>The Netherlands</t>
  </si>
  <si>
    <t>Germany</t>
  </si>
  <si>
    <t>Switzerland</t>
  </si>
  <si>
    <t>Capacity (Cabinets) - assume 50 sq ft / cabinet</t>
  </si>
  <si>
    <t>New Builds - Europe</t>
  </si>
  <si>
    <t>DU2 (Dusseldorf)</t>
  </si>
  <si>
    <t>Cost of Revenue (2)</t>
  </si>
  <si>
    <t xml:space="preserve">$370 - $400 </t>
  </si>
  <si>
    <t>$565 - $665</t>
  </si>
  <si>
    <t>1Q12</t>
  </si>
  <si>
    <t>EQIX 1Q12 Guidance</t>
  </si>
  <si>
    <t>1Q12 Guide</t>
  </si>
  <si>
    <t>$292.4 - $298.8</t>
  </si>
  <si>
    <t>2.  Gross margin of 66% - 67%</t>
  </si>
  <si>
    <t>$90 - $95</t>
  </si>
  <si>
    <t>$443 - $446</t>
  </si>
  <si>
    <t>$200 - $205</t>
  </si>
  <si>
    <t>$180 - $200</t>
  </si>
  <si>
    <t>$150 - $170</t>
  </si>
  <si>
    <t>Implied Margin (1)</t>
  </si>
  <si>
    <t>Percent of Revenue (1)</t>
  </si>
  <si>
    <t>1.  Implied by mid-point of range</t>
  </si>
  <si>
    <t>LD5 Phase I (London)</t>
  </si>
  <si>
    <t>ZH4 Phase I (Zurich)</t>
  </si>
  <si>
    <t>MU3 (Munich)</t>
  </si>
  <si>
    <t>TOTAL EUROPE</t>
  </si>
  <si>
    <t>Global Total Sellable Cabinets</t>
  </si>
  <si>
    <t>Total Incremental Sellable Cabinets (ex-SDXC)</t>
  </si>
  <si>
    <t>BASE</t>
  </si>
  <si>
    <t>BULL</t>
  </si>
  <si>
    <t>Utilization Rate - North America</t>
  </si>
  <si>
    <t>End of Period Cabinets</t>
  </si>
  <si>
    <t>Equinix Organic</t>
  </si>
  <si>
    <t>End of Period Cabinets Net Adds</t>
  </si>
  <si>
    <t>MRR / Cabinet - North America</t>
  </si>
  <si>
    <t>Growth (Y/Y)</t>
  </si>
  <si>
    <t>Growth (Q/Q)</t>
  </si>
  <si>
    <t>Gross Margin (%)</t>
  </si>
  <si>
    <t>Total Cash Cost of Revenues</t>
  </si>
  <si>
    <t>Total Cash Cost of SG&amp;A</t>
  </si>
  <si>
    <t>Weighted Average Cabinets</t>
  </si>
  <si>
    <t>Switch and Data Organic</t>
  </si>
  <si>
    <t>Segment Forecast - North America</t>
  </si>
  <si>
    <t>Utilization Rate - Asia / Pacific</t>
  </si>
  <si>
    <t>MRR / Cabinet - Asia / Pacific</t>
  </si>
  <si>
    <t>Segment Forecast - Asia / Pacific</t>
  </si>
  <si>
    <t>Total North America Revenue</t>
  </si>
  <si>
    <t>Utilization Rate - Europe</t>
  </si>
  <si>
    <t>MRR / Cabinet - Europe</t>
  </si>
  <si>
    <t>Segment Forecast - Europe</t>
  </si>
  <si>
    <t>Total Cost of SG&amp;A</t>
  </si>
  <si>
    <t>North America EBITDA Margin (%)</t>
  </si>
  <si>
    <t>Cross Connects per Billing Cabinet</t>
  </si>
  <si>
    <t>Assumed MRR / Cross Connect</t>
  </si>
  <si>
    <t>Other Data Center Metrics - North America</t>
  </si>
  <si>
    <t>Equinix (Organic) Cross Connects</t>
  </si>
  <si>
    <t>Exchange Ports</t>
  </si>
  <si>
    <t>Switch and Data (Organic) Cross Connects</t>
  </si>
  <si>
    <t>Other Data Center Metrics - Asia / Pacific</t>
  </si>
  <si>
    <t>Other Data Center Metrics - Europe</t>
  </si>
  <si>
    <t>Global Customers</t>
  </si>
  <si>
    <t>Global MRR Churn</t>
  </si>
  <si>
    <t>NEW</t>
  </si>
  <si>
    <t>OLD</t>
  </si>
  <si>
    <t>ROE - What drives it?</t>
  </si>
  <si>
    <t>ROE Decomposition</t>
  </si>
  <si>
    <t xml:space="preserve">Company Name: </t>
  </si>
  <si>
    <t>Return on Equity (ROE)</t>
  </si>
  <si>
    <t>Start</t>
  </si>
  <si>
    <t>End</t>
  </si>
  <si>
    <t>NOPAT Margin (%)</t>
  </si>
  <si>
    <t>RNOA</t>
  </si>
  <si>
    <t>Leverage Effect</t>
  </si>
  <si>
    <t>Operating Asset Turnover</t>
  </si>
  <si>
    <t>ROE</t>
  </si>
  <si>
    <t>Profitability Map</t>
  </si>
  <si>
    <t>Return From Leverage</t>
  </si>
  <si>
    <t>NOPAT margin</t>
  </si>
  <si>
    <t>=</t>
  </si>
  <si>
    <t>RNOA (%)</t>
  </si>
  <si>
    <t>NOPAT  (/)</t>
  </si>
  <si>
    <t>Pretax Operating Profit (PTOP)</t>
  </si>
  <si>
    <t>Operating Expenses</t>
  </si>
  <si>
    <t>Other Operating Income (Expense)</t>
  </si>
  <si>
    <t>Tax Expense from Operations</t>
  </si>
  <si>
    <t>MW adjustment for compensation (Japan and Taiwan)</t>
  </si>
  <si>
    <t>Transfers from (to) regulatory reserves recognized in profit and loss</t>
  </si>
  <si>
    <t>Amortization of nontaxable other intangibles, in income statement</t>
  </si>
  <si>
    <t>Income (loss) from investment under the equity method, operating</t>
  </si>
  <si>
    <t>Statutory tax rate</t>
  </si>
  <si>
    <t>(x)</t>
  </si>
  <si>
    <t>Operating Revenue  (/)</t>
  </si>
  <si>
    <t>Net Operating Assets (BOP)</t>
  </si>
  <si>
    <t>Operating Assets(BOP)</t>
  </si>
  <si>
    <t>Operating Liabilities(BOP)</t>
  </si>
  <si>
    <t>(+)</t>
  </si>
  <si>
    <t>Leverage Effect (%)</t>
  </si>
  <si>
    <t>Leverage (BOP) (%)</t>
  </si>
  <si>
    <t>Net Borrowings (incl. MI, etc.)(BOP) (/)</t>
  </si>
  <si>
    <t>Net Debt (BOP)</t>
  </si>
  <si>
    <t>Short and Long Term Debt</t>
  </si>
  <si>
    <t>Cash and Cash Equivalents</t>
  </si>
  <si>
    <t>Investments, nonoperating</t>
  </si>
  <si>
    <t>Notes Receivable</t>
  </si>
  <si>
    <t>Preferred Equity</t>
  </si>
  <si>
    <t>Pension and OPEB net obligation</t>
  </si>
  <si>
    <t>Securitized assets</t>
  </si>
  <si>
    <t>Implied capitalized operating lease obligations (lessee)</t>
  </si>
  <si>
    <t>Financing Taxes, net</t>
  </si>
  <si>
    <t>Other Nonoperating Liabilities (Assets) (BOP)</t>
  </si>
  <si>
    <t>Shareholders Equity(BOP)</t>
  </si>
  <si>
    <t>Spread (%)</t>
  </si>
  <si>
    <t>RNOA (%)  (-)</t>
  </si>
  <si>
    <t>Cost of net borrowings (%)</t>
  </si>
  <si>
    <t>Net non-operating expense (income)</t>
  </si>
  <si>
    <t>Net Financing Expense (Income)</t>
  </si>
  <si>
    <t>Other Nonoperating Expense (Income)</t>
  </si>
  <si>
    <t>Net Borrowings (incl. MI, etc.)(BOP)</t>
  </si>
  <si>
    <t>ROE, ASIF CALCULATIONS</t>
  </si>
  <si>
    <t>ROE, ASIF</t>
  </si>
  <si>
    <t>Operating Revenue, ASIF</t>
  </si>
  <si>
    <t>Operating Expenses, ASIF</t>
  </si>
  <si>
    <t>Other Operating Income (Expense), ASIF</t>
  </si>
  <si>
    <t>Tax Expense from Operations, ASIF</t>
  </si>
  <si>
    <t>Operating Revenue  (/), ASIF</t>
  </si>
  <si>
    <t>3Q12</t>
  </si>
  <si>
    <t>Percent of Revenue</t>
  </si>
  <si>
    <t>Old</t>
  </si>
  <si>
    <t>($ in millions)</t>
  </si>
  <si>
    <t>Current (1)</t>
  </si>
  <si>
    <t>(1) Pro forma for sale of 16 data centers announced September 2012</t>
  </si>
  <si>
    <t>International - Interconnection</t>
  </si>
  <si>
    <t>International - Excluding Interconnection</t>
  </si>
  <si>
    <t>Operating Assets(BOP), ASIF</t>
  </si>
  <si>
    <t>Operating Liabilities(BOP), ASIF</t>
  </si>
  <si>
    <t>Net Borrowings (BOP) (/)</t>
  </si>
  <si>
    <t>Short and Long Term Debt, ASIF</t>
  </si>
  <si>
    <t>Short term investments</t>
  </si>
  <si>
    <t>Shareholders Equity(BOP),ASIF</t>
  </si>
  <si>
    <t>Net Borrowings (BOP)</t>
  </si>
  <si>
    <t>Source: Morgan Stanley Research, ModelWare</t>
  </si>
  <si>
    <t>DIAGNOSTIC SUMMARY</t>
  </si>
  <si>
    <t>&lt;&lt;&lt; DuPont Check in Balance &gt;&gt;&gt;</t>
  </si>
  <si>
    <t>Net financing income (expense), pretax</t>
  </si>
  <si>
    <t>Tax on net financing income</t>
  </si>
  <si>
    <t xml:space="preserve">Adjusted EBITDA </t>
  </si>
  <si>
    <t>Other nonoperating income (expense), pretax</t>
  </si>
  <si>
    <t>Tax on nonoperating (balancing figure)</t>
  </si>
  <si>
    <t>Tax expense</t>
  </si>
  <si>
    <t>Tax on operating</t>
  </si>
  <si>
    <t>Tax on financing</t>
  </si>
  <si>
    <t>Net Financing Expense (Income) - Pre-tax</t>
  </si>
  <si>
    <t>Net Financing Expense (Income) - tax adjustment</t>
  </si>
  <si>
    <t>Other Nonoperating Expense (Income) - Pre-tax</t>
  </si>
  <si>
    <t>Statutory Tax rate</t>
  </si>
  <si>
    <t>Other Nonoperating Assets (BOP)</t>
  </si>
  <si>
    <t>Other Nonoperating Liabilities (BOP)</t>
  </si>
  <si>
    <t>NJ</t>
  </si>
  <si>
    <t>ROE-5.19</t>
  </si>
  <si>
    <t>2011e</t>
  </si>
  <si>
    <t>2012e</t>
  </si>
  <si>
    <t>2013e</t>
  </si>
  <si>
    <t>2014e</t>
  </si>
  <si>
    <t>2015e</t>
  </si>
  <si>
    <t>2006,2007,2008,2009,2010,2011e,2012e,2013e,2014e,2015e</t>
  </si>
  <si>
    <t>Asia / Pac</t>
  </si>
  <si>
    <t>Interest Expense (Cash)</t>
  </si>
  <si>
    <t>Operating Cash Flow</t>
  </si>
  <si>
    <t>Total Non-Recurring Revenues</t>
  </si>
  <si>
    <t>2009A</t>
  </si>
  <si>
    <t>Total Leverage</t>
  </si>
  <si>
    <t>NOPAT</t>
  </si>
  <si>
    <t>Link References</t>
  </si>
  <si>
    <t>Cash Cost of Revenue</t>
  </si>
  <si>
    <t>Total Cash (Cash &amp; Equivalents + Investments)</t>
  </si>
  <si>
    <t>Total Debt (Including Operating Leases)</t>
  </si>
  <si>
    <t>Net Debt (Including Operating Leases)</t>
  </si>
  <si>
    <t>Net Income (GAAP)</t>
  </si>
  <si>
    <t>ModelWare Calculations</t>
  </si>
  <si>
    <t>Interest expense, net of interest income</t>
  </si>
  <si>
    <t>Amortization of deferred financing costs</t>
  </si>
  <si>
    <t>Income tax (benefit) expense</t>
  </si>
  <si>
    <t>Non-cash portion of income tax expense</t>
  </si>
  <si>
    <t>Straight-line rent expense adjustment</t>
  </si>
  <si>
    <t>Recurring capital expenditures</t>
  </si>
  <si>
    <t>Other (income) / expense</t>
  </si>
  <si>
    <t>Gain / loss on disposition of depreciable real estate property</t>
  </si>
  <si>
    <t>Adjustment for unconsolidated JVs's and noncontrolling interests</t>
  </si>
  <si>
    <t>Adjustment for discontinued operations</t>
  </si>
  <si>
    <t>Adjusted funds from operation (AFFO)</t>
  </si>
  <si>
    <t>FORECAST</t>
  </si>
  <si>
    <t>Straight-line rent expense adjustment (%COGS)</t>
  </si>
  <si>
    <t>ROIC</t>
  </si>
  <si>
    <t>Tax rate</t>
  </si>
  <si>
    <t>Total debt</t>
  </si>
  <si>
    <t>Net debt</t>
  </si>
  <si>
    <t>Equity</t>
  </si>
  <si>
    <t>ROIC (company definition)</t>
  </si>
  <si>
    <t>Non-cash portion of income tax expense (% pretax income)</t>
  </si>
  <si>
    <t>Net Interest Expense</t>
  </si>
  <si>
    <t>Total Debt at Carrying Value (Net of Discount)</t>
  </si>
  <si>
    <t>Leverage Calculations</t>
  </si>
  <si>
    <t>CHECKS</t>
  </si>
  <si>
    <t>Operating Revenue</t>
  </si>
  <si>
    <t>PTOP (Pre-tax Operating Profit)</t>
  </si>
  <si>
    <t>CY10-20 CAGR</t>
  </si>
  <si>
    <t>2021E</t>
  </si>
  <si>
    <t>4Q11</t>
  </si>
  <si>
    <t>NOPAT (Net Operating Profit After Tax)</t>
  </si>
  <si>
    <t>Net Financing Income</t>
  </si>
  <si>
    <t>Other Income and Expenses</t>
  </si>
  <si>
    <t>PBT</t>
  </si>
  <si>
    <t>Operating Exp. (Ex Share Based Comp)</t>
  </si>
  <si>
    <t>NOPAT Margin</t>
  </si>
  <si>
    <t>NOPAT (Before Amortization of Intangibles)</t>
  </si>
  <si>
    <t>$ / Cabinet</t>
  </si>
  <si>
    <t>New Billing Cabinets</t>
  </si>
  <si>
    <t>New Sellable Cabinets</t>
  </si>
  <si>
    <t>Capex / Revenue</t>
  </si>
  <si>
    <t>EBITDA / Revenue</t>
  </si>
  <si>
    <t>Global Utilization (Implied)</t>
  </si>
  <si>
    <t>NOPAT (Before Amortization of Intangibles) Margin</t>
  </si>
  <si>
    <t>Annualized Return on Equity</t>
  </si>
  <si>
    <t>Tangible Net Operating Assets (EOP)</t>
  </si>
  <si>
    <t>Annualized Tangible Net Operating Asset Turnover</t>
  </si>
  <si>
    <t>Annualized Net Operating Asset Turnover</t>
  </si>
  <si>
    <t>% international</t>
  </si>
  <si>
    <t>FCF to Equity</t>
  </si>
  <si>
    <t>+ Net Interest Expense (Net of Tax)</t>
  </si>
  <si>
    <t>FCF to the Firm</t>
  </si>
  <si>
    <t>REIT Valuation Metrics</t>
  </si>
  <si>
    <t>Net Income to Common Shareholders</t>
  </si>
  <si>
    <t>+ Depreciation / Amortization</t>
  </si>
  <si>
    <t>Funds from Operations (FFO)</t>
  </si>
  <si>
    <t>Basic FFO / Share</t>
  </si>
  <si>
    <t>Diluted FFO / Share</t>
  </si>
  <si>
    <t>EBITDA (as defined by the company)</t>
  </si>
  <si>
    <t>- Net Interest Expense</t>
  </si>
  <si>
    <t>FCF to Equity (for comps)</t>
  </si>
  <si>
    <t>FCF to the Firm (for comps)</t>
  </si>
  <si>
    <t>(US$ in Thousands, Except per Share Data)</t>
  </si>
  <si>
    <t>Update and Check Before Running Valuation</t>
  </si>
  <si>
    <t>Implied Days Before Valuation Date</t>
  </si>
  <si>
    <t>Implied Days Left After Valuation Date</t>
  </si>
  <si>
    <t>Years to Discount</t>
  </si>
  <si>
    <t>Low Perpetuity Growth Rate</t>
  </si>
  <si>
    <t>High Perpetuity Growth Rate</t>
  </si>
  <si>
    <t>Actual Calendar Year ending December 31,</t>
  </si>
  <si>
    <t>Projected Calendar Year ending December 31,</t>
  </si>
  <si>
    <t>PF for Asset Sale</t>
  </si>
  <si>
    <t>Discontinued operations</t>
  </si>
  <si>
    <t>Cash Gross Profits (2)</t>
  </si>
  <si>
    <t>CY10-15 CAGR</t>
  </si>
  <si>
    <t>Net Revenue</t>
  </si>
  <si>
    <t>Operating Income Incl. Stock Comp</t>
  </si>
  <si>
    <t>Plus: Stock-Based Compensation</t>
  </si>
  <si>
    <t>Plus: Depreciation and Amortization</t>
  </si>
  <si>
    <t>EBITDA (1)</t>
  </si>
  <si>
    <t>EBITDA as % of Net Revenue</t>
  </si>
  <si>
    <t xml:space="preserve">Cash Taxes from Operations </t>
  </si>
  <si>
    <t>Cash Taxes as % of EBITDA</t>
  </si>
  <si>
    <t>% Y/Y Capex Growth</t>
  </si>
  <si>
    <t>% of Net Revenue</t>
  </si>
  <si>
    <t>Change in Net Working Capital</t>
  </si>
  <si>
    <t>Change in NWC as % of Net Revenue</t>
  </si>
  <si>
    <t>Unlevered Free Cash Flow</t>
  </si>
  <si>
    <t>Net Present Value of Cash Flows</t>
  </si>
  <si>
    <t>Plus: Cash, Equivalents and Equity Investments</t>
  </si>
  <si>
    <t>Less: Debt and Minority Interest</t>
  </si>
  <si>
    <t>Implied Equity Value</t>
  </si>
  <si>
    <t>Fully Diluted Shares Outstanding (MM)</t>
  </si>
  <si>
    <t>Implied Equity Value per Share (1)</t>
  </si>
  <si>
    <t>Footnotes</t>
  </si>
  <si>
    <t>(1) EBITDA equal to operating income excluding stock compensation and extraordinary items plus depreciation and amortization.</t>
  </si>
  <si>
    <t>Assumptions</t>
  </si>
  <si>
    <t>present value is the sum of the present value of all the free cash flows.  To determine equity value per share, we subtract debt and add cash to the net present value and then divide by shares outstanding.</t>
  </si>
  <si>
    <t>EBITDA = Earnings Before Interest, Taxes, Depreciation, and Amortization; NPV = Net Present Value</t>
  </si>
  <si>
    <t>Terminal EBITDA Multiple / Terminal Value</t>
  </si>
  <si>
    <t>Simon Flannery / simon.flannery@morganstanley.com / 212-761-6432</t>
  </si>
  <si>
    <t>Discounted Cash Flow</t>
  </si>
  <si>
    <t>% Net Revenue Growth (Comparable)</t>
  </si>
  <si>
    <t>% of Revenue</t>
  </si>
  <si>
    <t>Gross PP&amp;E</t>
  </si>
  <si>
    <t>Share Repurchases</t>
  </si>
  <si>
    <t>Share Issuances</t>
  </si>
  <si>
    <t>Options Analysis</t>
  </si>
  <si>
    <t>Options outstanding (BOP)</t>
  </si>
  <si>
    <t>% of outstanding</t>
  </si>
  <si>
    <t>Options exercised</t>
  </si>
  <si>
    <t>Options cancelled</t>
  </si>
  <si>
    <t>Options outstanding (EOP)</t>
  </si>
  <si>
    <t>Weighted Average Price</t>
  </si>
  <si>
    <t>Options granted &amp; assumed</t>
  </si>
  <si>
    <t>Net Issuance/Repurchases (mm)</t>
  </si>
  <si>
    <t>Shares Issued (in mm)</t>
  </si>
  <si>
    <t>Proceeds from Exercises</t>
  </si>
  <si>
    <t>Tax benefit from ESOP</t>
  </si>
  <si>
    <t>Net Proceeds for Share Issuances</t>
  </si>
  <si>
    <t>Authorization (BOP)</t>
  </si>
  <si>
    <t>Additional authorization</t>
  </si>
  <si>
    <t>Cost of repo</t>
  </si>
  <si>
    <t>Revenue</t>
  </si>
  <si>
    <t>Authorization (EOP)</t>
  </si>
  <si>
    <t>Net Issuance/Repurchases ($mm)</t>
  </si>
  <si>
    <t>AFFO per share</t>
  </si>
  <si>
    <t>Assumed Multiple</t>
  </si>
  <si>
    <t>P / AFFO</t>
  </si>
  <si>
    <t>NA</t>
  </si>
  <si>
    <t>2008E</t>
  </si>
  <si>
    <t>2009E</t>
  </si>
  <si>
    <t>2010E</t>
  </si>
  <si>
    <t>2011E</t>
  </si>
  <si>
    <t>2012E</t>
  </si>
  <si>
    <t>ALOG</t>
  </si>
  <si>
    <t>Total Revenue</t>
  </si>
  <si>
    <t>Gross Margin</t>
  </si>
  <si>
    <t>% of Total Revenue</t>
  </si>
  <si>
    <t>NY5 phase 1 (Secaucus)</t>
  </si>
  <si>
    <t>AM3 Phase 1 (Amsterdam)</t>
  </si>
  <si>
    <t>DC10 phase 1 (Ashburn)</t>
  </si>
  <si>
    <t>EBITDA</t>
  </si>
  <si>
    <t>EBITDA Margin</t>
  </si>
  <si>
    <t>Discontinued / Extraordinary</t>
  </si>
  <si>
    <t>Asia-Pacific</t>
  </si>
  <si>
    <t>Consensus Capex</t>
  </si>
  <si>
    <t>Consensus Revenue</t>
  </si>
  <si>
    <t>Total 2012 Sellable Cabinets</t>
  </si>
  <si>
    <t>Estimated Capex</t>
  </si>
  <si>
    <t xml:space="preserve">Sustaining Capex </t>
  </si>
  <si>
    <t>MS Revenue</t>
  </si>
  <si>
    <t>Total New Sellable Cabinets in 2012</t>
  </si>
  <si>
    <t>Total 2012 Billing Cabinets</t>
  </si>
  <si>
    <t>Average MRR / Cabinet (2011E)</t>
  </si>
  <si>
    <t>Assumed Capex per Cabinet</t>
  </si>
  <si>
    <t>Percent Colo</t>
  </si>
  <si>
    <t>Percent Interconnection</t>
  </si>
  <si>
    <t>Percent Non-recurring</t>
  </si>
  <si>
    <t>Net Leverage</t>
  </si>
  <si>
    <t>Capital Expenditures</t>
  </si>
  <si>
    <t>Net Profit (Loss)</t>
  </si>
  <si>
    <t>Depreciation</t>
  </si>
  <si>
    <t>Cash From Investing Activities</t>
  </si>
  <si>
    <t>Cash Used in Investing Activities</t>
  </si>
  <si>
    <t>Cash From Financing Activity</t>
  </si>
  <si>
    <t>Net changes in operating assets and liabilities</t>
  </si>
  <si>
    <t>Other investing activities, net</t>
  </si>
  <si>
    <t>Other financing activities</t>
  </si>
  <si>
    <t>ASSETS</t>
  </si>
  <si>
    <t>Cash and cash equivalents</t>
  </si>
  <si>
    <t>Total Curent Assets</t>
  </si>
  <si>
    <t>Property, plant and equipment, net</t>
  </si>
  <si>
    <t>Total Assets</t>
  </si>
  <si>
    <t>Total Current Liabilities</t>
  </si>
  <si>
    <t>Total Liabilities</t>
  </si>
  <si>
    <t>Common stock</t>
  </si>
  <si>
    <t>Additional paid-in capital</t>
  </si>
  <si>
    <t>Accumulated deficit</t>
  </si>
  <si>
    <t>Accumulated other comprehensive loss</t>
  </si>
  <si>
    <t>Treasury stock</t>
  </si>
  <si>
    <t>Enterprise Value</t>
  </si>
  <si>
    <t>WACC</t>
  </si>
  <si>
    <t>Debt / Total Capital</t>
  </si>
  <si>
    <t>Tax Rate</t>
  </si>
  <si>
    <t>Statutory Tax Rate</t>
  </si>
  <si>
    <t>Effective Tax Rate</t>
  </si>
  <si>
    <t>Selling, General &amp; Administrative</t>
  </si>
  <si>
    <t>Depreciation &amp; Amortization</t>
  </si>
  <si>
    <t>Total Debt</t>
  </si>
  <si>
    <t>Interest Income</t>
  </si>
  <si>
    <t>2013E</t>
  </si>
  <si>
    <t>Ending Balance</t>
  </si>
  <si>
    <t>NM</t>
  </si>
  <si>
    <t>Bull</t>
  </si>
  <si>
    <t>Base</t>
  </si>
  <si>
    <t>Bear</t>
  </si>
  <si>
    <t>2014E</t>
  </si>
  <si>
    <t>Colocation</t>
  </si>
  <si>
    <t>Divestitures (Acquisition)</t>
  </si>
  <si>
    <t>Calendar Year</t>
  </si>
  <si>
    <t>Mar</t>
  </si>
  <si>
    <t>Jun</t>
  </si>
  <si>
    <t>Sep</t>
  </si>
  <si>
    <t>Dec</t>
  </si>
  <si>
    <t>2007A</t>
  </si>
  <si>
    <t>2006A</t>
  </si>
  <si>
    <t>2005A</t>
  </si>
  <si>
    <t>Income Statement</t>
  </si>
  <si>
    <t>Balance Sheet</t>
  </si>
  <si>
    <t>LIABILITIES &amp; SHAREHOLDERS EQUITY</t>
  </si>
  <si>
    <t>Shareholders' Equity</t>
  </si>
  <si>
    <t>Total Liabilities &amp; Shareholders' Equity</t>
  </si>
  <si>
    <t xml:space="preserve"> + Net income (less preferred dividends)</t>
  </si>
  <si>
    <t xml:space="preserve"> + Change in AOCI</t>
  </si>
  <si>
    <t xml:space="preserve"> - Dividends</t>
  </si>
  <si>
    <t xml:space="preserve"> + Net Share Issuance</t>
  </si>
  <si>
    <t>CURRENT PRICE</t>
  </si>
  <si>
    <t>Multiples Analysis</t>
  </si>
  <si>
    <t>Common Stock - Shares Outstanding</t>
  </si>
  <si>
    <t>Net Dilutive Securities</t>
  </si>
  <si>
    <t>2014 AFFO</t>
  </si>
  <si>
    <t>Increment</t>
  </si>
  <si>
    <t>AFFO multiple - Start</t>
  </si>
  <si>
    <t>Implied Market Cap</t>
  </si>
  <si>
    <t>Shares</t>
  </si>
  <si>
    <t>Implied EV</t>
  </si>
  <si>
    <t>Debt</t>
  </si>
  <si>
    <t>Total Shares Outstanding</t>
  </si>
  <si>
    <t>Total Market Value</t>
  </si>
  <si>
    <t>Plus:</t>
  </si>
  <si>
    <t>Plus Preferred Stock</t>
  </si>
  <si>
    <t>Total Debt and Preferred Stock</t>
  </si>
  <si>
    <t>Less:</t>
  </si>
  <si>
    <t>Cash</t>
  </si>
  <si>
    <t>EV / EBITDA</t>
  </si>
  <si>
    <t>Forward EBITDA</t>
  </si>
  <si>
    <t>P / FCF</t>
  </si>
  <si>
    <t>TARGET PRICE</t>
  </si>
  <si>
    <t>Unlevered FCF</t>
  </si>
  <si>
    <t>EV / FCFF</t>
  </si>
  <si>
    <t>Levered FCF</t>
  </si>
  <si>
    <t xml:space="preserve"> Stock Price</t>
  </si>
  <si>
    <t xml:space="preserve"> Target Price</t>
  </si>
  <si>
    <t xml:space="preserve"> + Employee </t>
  </si>
  <si>
    <t>difference</t>
  </si>
  <si>
    <t>Unrecorded Goodwill</t>
  </si>
  <si>
    <t>Sales</t>
  </si>
  <si>
    <t>DSOs</t>
  </si>
  <si>
    <t>DPOs</t>
  </si>
  <si>
    <t>Statement of Cash Flows</t>
  </si>
  <si>
    <t>Cash Flows from Operations</t>
  </si>
  <si>
    <t>Cash from Operating Activities</t>
  </si>
  <si>
    <t>Cash from Financing Activities</t>
  </si>
  <si>
    <t>Exchange Rate impact</t>
  </si>
  <si>
    <t>Cash &amp; Equivalents, BOP</t>
  </si>
  <si>
    <t>Cash &amp; Equivalents, EOP</t>
  </si>
  <si>
    <t>Gross Profit</t>
  </si>
  <si>
    <t>Basic Shares Outstanding (Avg)</t>
  </si>
  <si>
    <t>Diluted Shares Outstanding (Avg)</t>
  </si>
  <si>
    <t>As a % of Revenue</t>
  </si>
  <si>
    <t>Operating Income</t>
  </si>
  <si>
    <t>Net Income, Continuing</t>
  </si>
  <si>
    <t>Net Income</t>
  </si>
  <si>
    <t>Share Count Schedule</t>
  </si>
  <si>
    <t>Total Shareholders' Equity (Deficit)</t>
  </si>
  <si>
    <t>Beginning</t>
  </si>
  <si>
    <t>Addition/Retirement</t>
  </si>
  <si>
    <t>Net PP&amp;E</t>
  </si>
  <si>
    <t>Addtion/Retirement</t>
  </si>
  <si>
    <t>Fiscal Year ending Dec. 31</t>
  </si>
  <si>
    <t>Non-cash compensation</t>
  </si>
  <si>
    <t>Interconnection</t>
  </si>
  <si>
    <t>Equinix</t>
  </si>
  <si>
    <t>Short-term investments</t>
  </si>
  <si>
    <t>Accounts receivable, net</t>
  </si>
  <si>
    <t>Prepaids &amp; other current assets</t>
  </si>
  <si>
    <t>Goodwill</t>
  </si>
  <si>
    <t>Other assets</t>
  </si>
  <si>
    <t>Debt issuance costs, net</t>
  </si>
  <si>
    <t>Accounts payable &amp; accrued expenses</t>
  </si>
  <si>
    <t>Accrued interest payable</t>
  </si>
  <si>
    <t>Other current liabilities</t>
  </si>
  <si>
    <t>Preferred stock</t>
  </si>
  <si>
    <t>Amortization of intangible assets</t>
  </si>
  <si>
    <t>Non-cash interest expense</t>
  </si>
  <si>
    <t>Allowance for doubtful accounts</t>
  </si>
  <si>
    <t>Deferred rent</t>
  </si>
  <si>
    <t>Accounts receivables</t>
  </si>
  <si>
    <t>Accrued restructuring charges</t>
  </si>
  <si>
    <t>Other liabilities</t>
  </si>
  <si>
    <t>Purchases of property &amp; equipment</t>
  </si>
  <si>
    <t>Accrued property &amp; equipment</t>
  </si>
  <si>
    <t>Revenue Breakdown</t>
  </si>
  <si>
    <t>Asia (PF for Asia Tone)</t>
  </si>
  <si>
    <t>International</t>
  </si>
  <si>
    <t>Asia Tone</t>
  </si>
  <si>
    <t>Domestic - Colocation</t>
  </si>
  <si>
    <t>Domestic - Interconnection</t>
  </si>
  <si>
    <t>Domestic - Other</t>
  </si>
  <si>
    <t>(1)  Assumes 1Q12 revenues of $11M for Asia Tone based on $30M 2011 revenues and 50% CAGR</t>
  </si>
  <si>
    <t>Repayment of credit facility</t>
  </si>
  <si>
    <t>Debt issuance costs</t>
  </si>
  <si>
    <t>Accrued expenses</t>
  </si>
  <si>
    <t>Accounts payable</t>
  </si>
  <si>
    <t>EQUINIX - 4Q13 GUIDANCE</t>
  </si>
  <si>
    <t>$559 - $563</t>
  </si>
  <si>
    <t>$123 - $128</t>
  </si>
  <si>
    <t>$255 - $259</t>
  </si>
  <si>
    <t>$190 - $210</t>
  </si>
  <si>
    <t>$2,145 - $2,149</t>
  </si>
  <si>
    <t>$470 - $475</t>
  </si>
  <si>
    <t>$988 - $992</t>
  </si>
  <si>
    <t>$560 - $580</t>
  </si>
  <si>
    <t>$395 - $415</t>
  </si>
  <si>
    <t>EQIX (2Q13)</t>
  </si>
  <si>
    <t>Change in Guide</t>
  </si>
  <si>
    <t>EQIX (CURRENT)</t>
  </si>
  <si>
    <t>Long-term investments</t>
  </si>
  <si>
    <t>Purchases of investments</t>
  </si>
  <si>
    <t>Current portion of restructuring charges</t>
  </si>
  <si>
    <t>Restructuring charges</t>
  </si>
  <si>
    <t>Amortization of debt issuance costs</t>
  </si>
  <si>
    <t>Proceeds from issuance of common stock</t>
  </si>
  <si>
    <t>Proceeds from exercise of options &amp; esop</t>
  </si>
  <si>
    <t>Borrowings from credit line</t>
  </si>
  <si>
    <t>Current portion of mortgage payable</t>
  </si>
  <si>
    <t>Mortgage payable, net of current portion</t>
  </si>
  <si>
    <t>Tax benefit from esop</t>
  </si>
  <si>
    <t>Proceeds from mortgage payable</t>
  </si>
  <si>
    <t>Proceeds from LA IBX financing</t>
  </si>
  <si>
    <t>Borrowings under credit line</t>
  </si>
  <si>
    <t>Other</t>
  </si>
  <si>
    <t>Stock-based compensation</t>
  </si>
  <si>
    <t>EQUINIX - 1Q14 GUIDANCE</t>
  </si>
  <si>
    <t>ANNUAL</t>
  </si>
  <si>
    <t>QUARTERLY</t>
  </si>
  <si>
    <t>FOR TREND TRACKER</t>
  </si>
  <si>
    <t>FOR QUICK COMMENTS</t>
  </si>
  <si>
    <t>EQUINIX - 2014 GUIDANCE</t>
  </si>
  <si>
    <t>GUIDANCE SUMMARIES</t>
  </si>
  <si>
    <t>$572 - $576</t>
  </si>
  <si>
    <t>&gt; $2,380</t>
  </si>
  <si>
    <t>&gt; $1,100</t>
  </si>
  <si>
    <t>$130 - $140</t>
  </si>
  <si>
    <t>$133 - $137</t>
  </si>
  <si>
    <t>$256 - $260</t>
  </si>
  <si>
    <t>$70 - $80</t>
  </si>
  <si>
    <t>$350 - $450</t>
  </si>
  <si>
    <t>1. Includes $11M in REIT related professional fees</t>
  </si>
  <si>
    <t>Adjusted EBITDA (1)</t>
  </si>
  <si>
    <t>Mortgage Payable</t>
  </si>
  <si>
    <t>Mortgage payable</t>
  </si>
  <si>
    <t>ALOG Asia-Pacific financing (L+2.75%)</t>
  </si>
  <si>
    <t>Dallas IBX Capital Lease (7.91%)</t>
  </si>
  <si>
    <t>Singapore 1IBX Capital Lease (3.98%)</t>
  </si>
  <si>
    <t>Paris 3 IBX Capital Lease (8.46%)</t>
  </si>
  <si>
    <t>Hong Kong 2 IBX Capital Lease (6.92%)</t>
  </si>
  <si>
    <t>Seattle 3 IBX Capital Lease (17.94%)</t>
  </si>
  <si>
    <t>US headquarters capital lease (7.46%)</t>
  </si>
  <si>
    <t>New York 5 IBX Capital Lease (13.38%)</t>
  </si>
  <si>
    <t>DC 10 IBX Capital Lease (10.96%)</t>
  </si>
  <si>
    <t>Zurich IBX Financing (4.49%)</t>
  </si>
  <si>
    <t>Lease obligations, net of current portion</t>
  </si>
  <si>
    <t>Accrued restructuring, net of current portion</t>
  </si>
  <si>
    <t>Proceeds from (repayment of) loan payable</t>
  </si>
  <si>
    <t>Intangible assets, net</t>
  </si>
  <si>
    <t>Recurring revenues</t>
  </si>
  <si>
    <t>Non-recurring revenues</t>
  </si>
  <si>
    <t>Managed Infrastructure</t>
  </si>
  <si>
    <t>Rental</t>
  </si>
  <si>
    <t>Sales &amp; marketing</t>
  </si>
  <si>
    <t>General &amp; administrative</t>
  </si>
  <si>
    <t>Europe</t>
  </si>
  <si>
    <t>Non-recurring revenue</t>
  </si>
  <si>
    <t>Recurring revenue</t>
  </si>
  <si>
    <t>Managed infrastructure</t>
  </si>
  <si>
    <t>Depreciation &amp; amortization</t>
  </si>
  <si>
    <t>Interest income</t>
  </si>
  <si>
    <t>Operating income</t>
  </si>
  <si>
    <t>Margins</t>
  </si>
  <si>
    <t>Growth</t>
  </si>
  <si>
    <t>2008A</t>
  </si>
  <si>
    <t>Current portion of convertible debt</t>
  </si>
  <si>
    <t>Deferred tax liabilities</t>
  </si>
  <si>
    <t>Check</t>
  </si>
  <si>
    <t>2004A</t>
  </si>
  <si>
    <t>2003A</t>
  </si>
  <si>
    <t>2002A</t>
  </si>
  <si>
    <t>2001A</t>
  </si>
  <si>
    <t>2000A</t>
  </si>
  <si>
    <t>Construction in progress</t>
  </si>
  <si>
    <t>Senior notes</t>
  </si>
  <si>
    <t>Accrued construction costs</t>
  </si>
  <si>
    <t>Senior secured credit facility</t>
  </si>
  <si>
    <t>Current portion of senior secured facility</t>
  </si>
  <si>
    <t>Accured restructuring charges</t>
  </si>
  <si>
    <t>Current portion of credit facility</t>
  </si>
  <si>
    <t>Credit facility</t>
  </si>
  <si>
    <t>Convertible secured notes</t>
  </si>
  <si>
    <t>Convertible subordinated debentures</t>
  </si>
  <si>
    <t>Other accrued liabilities and deferred rent</t>
  </si>
  <si>
    <t>1999A</t>
  </si>
  <si>
    <t>Loss (gain) on disposal of assets</t>
  </si>
  <si>
    <t>Loss (gain) on debt extinguishment and conversion</t>
  </si>
  <si>
    <t>CH4 IBX shared suite (Chicago)</t>
  </si>
  <si>
    <t>LA1 expansion (Los Angelos)</t>
  </si>
  <si>
    <t>DA2 phase 1 (Dallas)</t>
  </si>
  <si>
    <t>SV5 phase 1 (Silicon Valley)</t>
  </si>
  <si>
    <t>NY4 phase 3 (Secaucus)</t>
  </si>
  <si>
    <t>CH3 phase 2 (Chicago)</t>
  </si>
  <si>
    <t>DA3 phase 2 (Dallas)</t>
  </si>
  <si>
    <t>LD5 phase 1 (London)</t>
  </si>
  <si>
    <t>FR2 phase 2c (Frankfurt)</t>
  </si>
  <si>
    <t>ZH4 phase 1 (Zurich)</t>
  </si>
  <si>
    <t>AM2 phase 1 (Amsterdam)</t>
  </si>
  <si>
    <t>EQUINIX - 3Q13 GUIDANCE</t>
  </si>
  <si>
    <t>2Q13</t>
  </si>
  <si>
    <t>Adjustment for Pro-Forma Income Taxes</t>
  </si>
  <si>
    <t>Real Estate Depreciation</t>
  </si>
  <si>
    <t>Funds From Operations (FFO)</t>
  </si>
  <si>
    <t>FFO per Share</t>
  </si>
  <si>
    <t>(2Q12 - Old) (5)</t>
  </si>
  <si>
    <t>Mse</t>
  </si>
  <si>
    <t>(Current) (6)</t>
  </si>
  <si>
    <t>$880 - $885</t>
  </si>
  <si>
    <t>$1,890 - $1,895</t>
  </si>
  <si>
    <t>$410 - $415</t>
  </si>
  <si>
    <t>$586 - $606</t>
  </si>
  <si>
    <t>$770 - $790</t>
  </si>
  <si>
    <t>$625 - $645</t>
  </si>
  <si>
    <t>$550 - $650</t>
  </si>
  <si>
    <t>$385 - $485</t>
  </si>
  <si>
    <t>Free Cash Flow</t>
  </si>
  <si>
    <t>Adj. EBITDA (1) (2)</t>
  </si>
  <si>
    <t>1. Management guidance figures are minimums</t>
  </si>
  <si>
    <t xml:space="preserve">MSe </t>
  </si>
  <si>
    <t>2. Includes $20M in REIT-related costs</t>
  </si>
  <si>
    <t>EQIX FY 2013 Guidance</t>
  </si>
  <si>
    <t>6. Includes 16 data center sale</t>
  </si>
  <si>
    <t>FY 2012 Guide</t>
  </si>
  <si>
    <t>Guide Midpoint</t>
  </si>
  <si>
    <t>Implied 4Q12</t>
  </si>
  <si>
    <t>1H12 (PF)</t>
  </si>
  <si>
    <t>Non-Cash Straight-Line Revenue</t>
  </si>
  <si>
    <t>Non-Cash Straight-Line Expense</t>
  </si>
  <si>
    <t>Stock-Based Compensation Expense</t>
  </si>
  <si>
    <t>Non-Real Estate Depreciation</t>
  </si>
  <si>
    <t>Other expenses / (income)</t>
  </si>
  <si>
    <t>Acquisition and integration costs</t>
  </si>
  <si>
    <t>Asset write-down charges</t>
  </si>
  <si>
    <t>Sustainaining Capital Expense</t>
  </si>
  <si>
    <t>Adjusted Funds from Operations (AFFO)</t>
  </si>
  <si>
    <t>AFFO per Share</t>
  </si>
  <si>
    <t>2011A</t>
  </si>
  <si>
    <t>Total Cash</t>
  </si>
  <si>
    <t>LD5 phase 3 (London)</t>
  </si>
  <si>
    <t>SY3 phase 2 (Sydney)</t>
  </si>
  <si>
    <t>SG2 phase 4 (Singapore)</t>
  </si>
  <si>
    <t>Global Interconnections</t>
  </si>
  <si>
    <t>Implied Global Interconnection MRR / cabinet</t>
  </si>
  <si>
    <t>% of Global MRR / cabinet</t>
  </si>
  <si>
    <t>% Growth Q/Q</t>
  </si>
  <si>
    <t>% Growth Y/Y</t>
  </si>
  <si>
    <t>Total MRR / Cabinet - Global</t>
  </si>
  <si>
    <t>Cross connect / billing cabinet</t>
  </si>
  <si>
    <t>% of Total MRR / Cabinet</t>
  </si>
  <si>
    <t>Interconnection Revenue / cross connect</t>
  </si>
  <si>
    <t>Total MRR / Cabinet - Asia / Pacific</t>
  </si>
  <si>
    <t>Total MRR / Cabinet - Europe</t>
  </si>
  <si>
    <t>% Y/Y</t>
  </si>
  <si>
    <t>Utilization (North America)</t>
  </si>
  <si>
    <t>Losses on retirement LT debt / interest rate swaps</t>
  </si>
  <si>
    <t>Int exp and amort of deferred financing costs</t>
  </si>
  <si>
    <t>Adjusted Funds from Operations (FFO)</t>
  </si>
  <si>
    <t>PA3 phase 2 (Paris)</t>
  </si>
  <si>
    <t>LD5 phase 2 (London)</t>
  </si>
  <si>
    <t>AM2 phase 2 (Amsterdam)</t>
  </si>
  <si>
    <t>FR2 phase 3 (Frankfurt)</t>
  </si>
  <si>
    <t>AM3 phase 1 (Amsterdam)</t>
  </si>
  <si>
    <t>PA4 phase 1 (Paris)</t>
  </si>
  <si>
    <t>HK1 phase 6 (Hong Kong)</t>
  </si>
  <si>
    <t>SG2 phase 2 (Singapore)</t>
  </si>
  <si>
    <t>SY3 phase 1 (Sydney)</t>
  </si>
  <si>
    <t>SG2 phase 3 (Singapore)</t>
  </si>
  <si>
    <t>TY3 phase 1 (Tokyo)</t>
  </si>
  <si>
    <t>HK2 phase 1 (Hong Kong)</t>
  </si>
  <si>
    <t>Implied Capex / Cabinet</t>
  </si>
  <si>
    <t>Global Billing Cabinets (EOP)</t>
  </si>
  <si>
    <t>Global Sellable Cabinets (EOP)</t>
  </si>
  <si>
    <t>Assumed Capex / Sellable Cabinet</t>
  </si>
  <si>
    <t>2012A</t>
  </si>
  <si>
    <t>4Q12A</t>
  </si>
  <si>
    <t>EQUINIX - 1Q13 GUIDANCE</t>
  </si>
  <si>
    <t>$518 - $522</t>
  </si>
  <si>
    <t>$116 - $120</t>
  </si>
  <si>
    <t>% Gross Margin</t>
  </si>
  <si>
    <t>68 - 69%</t>
  </si>
  <si>
    <t>$236 - $240</t>
  </si>
  <si>
    <t>$140 - $160</t>
  </si>
  <si>
    <t>$100 - $120</t>
  </si>
  <si>
    <t>$490 - $510</t>
  </si>
  <si>
    <t>StreetAccount</t>
  </si>
  <si>
    <t>Implied Expansionary Capex per Year</t>
  </si>
  <si>
    <t>Billable Cabinets</t>
  </si>
  <si>
    <t>ASIA-PACIFIC</t>
  </si>
  <si>
    <t>% Increased in Average Cabinet Capacity</t>
  </si>
  <si>
    <t>Implied 2015 Average Billing Cabinets</t>
  </si>
  <si>
    <t>Implied Additional Avg Cabinets from 3Q11- FYE 2015</t>
  </si>
  <si>
    <t>EPS (Diluted)</t>
  </si>
  <si>
    <t>Current port. of debt facilities and lease obligations</t>
  </si>
  <si>
    <t>Sales of short-term investments</t>
  </si>
  <si>
    <t>Maturities of short-term investments</t>
  </si>
  <si>
    <t>Proceeds from convertible secured notes</t>
  </si>
  <si>
    <t>Announced Expansion Capex</t>
  </si>
  <si>
    <t>Unannounced New Sellable Cabinets</t>
  </si>
  <si>
    <t>Overall Revenue Growth Y/Y</t>
  </si>
  <si>
    <t>Consensus Implied Unannounced Expansion Capex</t>
  </si>
  <si>
    <t>Implied Growth in MRR / Cabinet Y/Y</t>
  </si>
  <si>
    <t>NORTH AMERICA</t>
  </si>
  <si>
    <t>Sellable Cabinets</t>
  </si>
  <si>
    <t>ASIA / PAC</t>
  </si>
  <si>
    <t>EUROPE</t>
  </si>
  <si>
    <t>Capex ($MM)</t>
  </si>
  <si>
    <t>Actual / Target Open</t>
  </si>
  <si>
    <t>3Q10 / 1Q11</t>
  </si>
  <si>
    <t>4Q10</t>
  </si>
  <si>
    <t>CAPEX / CABINET:</t>
  </si>
  <si>
    <t>mid-2011</t>
  </si>
  <si>
    <t>3Q11</t>
  </si>
  <si>
    <t>TY2 Expansion (Tokyo)</t>
  </si>
  <si>
    <t>CAPEX / CABINET (1):</t>
  </si>
  <si>
    <t>Proceeds from convertible subordianted debentures</t>
  </si>
  <si>
    <t>Net Increase (Decrease) in Cash &amp; Equivaletns</t>
  </si>
  <si>
    <t>Accrued merger and financing costs</t>
  </si>
  <si>
    <t>Debt extinguishment costs</t>
  </si>
  <si>
    <t>2015 Target Revenues - Reccurring (95%)</t>
  </si>
  <si>
    <t>Americas</t>
  </si>
  <si>
    <t>EMEA</t>
  </si>
  <si>
    <t>EBITDA - Capex - Interest</t>
  </si>
  <si>
    <t>Global MRR / Cabinet</t>
  </si>
  <si>
    <t>% Growth</t>
  </si>
  <si>
    <t>Cabinets</t>
  </si>
  <si>
    <t>Capex / Cabinet</t>
  </si>
  <si>
    <t>Global</t>
  </si>
  <si>
    <t>Capex / Cabinet:</t>
  </si>
  <si>
    <t>Cabinets and Capex Relationship (per 2010 - 2013 Expansion Tracking)</t>
  </si>
  <si>
    <t>Model Assumption for 2013 - 2021</t>
  </si>
  <si>
    <t>Additions to construction in progress</t>
  </si>
  <si>
    <t>Proceeds/Repayment of debt facilities and lease obligations</t>
  </si>
  <si>
    <t>Proceeds/Repayment of senior secured facility</t>
  </si>
  <si>
    <t>Issuance of common equity to charity</t>
  </si>
  <si>
    <t>Proceeds from issuance of redeemable covertible preferred stock, net</t>
  </si>
  <si>
    <t>Current portion of deferred tax assets, net</t>
  </si>
  <si>
    <t>Deferred tax assets, net</t>
  </si>
  <si>
    <t>Recurring Revenue</t>
  </si>
  <si>
    <t>Non-recurring Revenue</t>
  </si>
  <si>
    <t>Y/Y Growth (%)</t>
  </si>
  <si>
    <t>Gross Adds</t>
  </si>
  <si>
    <t>Ending Customers</t>
  </si>
  <si>
    <t>Beginning Customers</t>
  </si>
  <si>
    <t>Average Customers</t>
  </si>
  <si>
    <t>Y/Y Customer Growth (%)</t>
  </si>
  <si>
    <t>Q/Q Growth (%)</t>
  </si>
  <si>
    <t>Y/Y Gross Adds Growth (%)</t>
  </si>
  <si>
    <t>Y/Y (%)</t>
  </si>
  <si>
    <t>Disconnects (Implied)</t>
  </si>
  <si>
    <t>Net Adds (Implied)</t>
  </si>
  <si>
    <t>Standalone Y/Y Customer Growth (%)</t>
  </si>
  <si>
    <t>Avg Monthly Customer Churn</t>
  </si>
  <si>
    <t>Cross Connects</t>
  </si>
  <si>
    <t>10-Gig Ports</t>
  </si>
  <si>
    <t>LA1 Expansion (Los Angeles)</t>
  </si>
  <si>
    <t>HK1 Phase IV (Hong Kong)</t>
  </si>
  <si>
    <t>Europe EBITDA Margin (%)</t>
  </si>
  <si>
    <t>Asia EBITDA Margin (%)</t>
  </si>
  <si>
    <t>Total SG&amp;A</t>
  </si>
  <si>
    <t>- Ongoing Capex</t>
  </si>
  <si>
    <t>Discretionary FCF per share</t>
  </si>
  <si>
    <t>Basic weighted shares</t>
  </si>
  <si>
    <t>Dividend</t>
  </si>
  <si>
    <t>Stock Dividend</t>
  </si>
  <si>
    <t>Dividend ($)</t>
  </si>
  <si>
    <t># of shares</t>
  </si>
  <si>
    <t>% Capex / Sales</t>
  </si>
  <si>
    <t>Bookings Breakdown (%)</t>
  </si>
  <si>
    <t>Content &amp; Digital Media</t>
  </si>
  <si>
    <t>Enterprises</t>
  </si>
  <si>
    <t>Networks</t>
  </si>
  <si>
    <t>Financial Services</t>
  </si>
  <si>
    <t>Cloud Computing</t>
  </si>
  <si>
    <t>FCF (EBITDA - capex - net interest)</t>
  </si>
  <si>
    <t>Accounts payables and expenses</t>
  </si>
  <si>
    <t>Convertible Subordinated Debentures (2.50%)</t>
  </si>
  <si>
    <t>Convertible Subordinated Notes (2.50%)</t>
  </si>
  <si>
    <t>Convertible Subordinated Notes (3.00%)</t>
  </si>
  <si>
    <t>Bank Loan - Chicago IBX Financing (2.75% + 1, 3, or 6mo LIBOR)</t>
  </si>
  <si>
    <t>Mortgage - Ashburn Campus Property (8.00%)</t>
  </si>
  <si>
    <t>Credit Facility - Asia/Pacific Financing (Relevent Local 3mo Cost of Funds + 1.85 - 2.50%)</t>
  </si>
  <si>
    <t>Senior Credit Facilities - Netherlands Financing (3mo EURIBOR + 1.25%)</t>
  </si>
  <si>
    <t>Other Note Payable (imputed 6.14%)</t>
  </si>
  <si>
    <t>Guidance</t>
  </si>
  <si>
    <t>Comments</t>
  </si>
  <si>
    <t xml:space="preserve"> for 2Q10</t>
  </si>
  <si>
    <t>Post 2Q10</t>
  </si>
  <si>
    <t>Managed Infr.</t>
  </si>
  <si>
    <t>Non-recurring Rev</t>
  </si>
  <si>
    <t>D&amp;A</t>
  </si>
  <si>
    <t>Stock Comp and Other</t>
  </si>
  <si>
    <t>Reconciliation to (GAAP):</t>
  </si>
  <si>
    <t>Minority Interest</t>
  </si>
  <si>
    <t>Dividends on Preferred</t>
  </si>
  <si>
    <t>Net Income to Common</t>
  </si>
  <si>
    <t>Diluted EPS</t>
  </si>
  <si>
    <t>3Q10</t>
  </si>
  <si>
    <t>REPORTED</t>
  </si>
  <si>
    <t>MS v.</t>
  </si>
  <si>
    <t>Total Recurring Rev</t>
  </si>
  <si>
    <t>PRO-FORMA</t>
  </si>
  <si>
    <t>APRIL SDXC</t>
  </si>
  <si>
    <t>Assumption</t>
  </si>
  <si>
    <t>Colo Share</t>
  </si>
  <si>
    <t>Interconnection Share</t>
  </si>
  <si>
    <t>Non-recurring</t>
  </si>
  <si>
    <t>SG&amp;A % of Revs</t>
  </si>
  <si>
    <t>Cost of Revs</t>
  </si>
  <si>
    <t>Senior Facilities A, B, C - European Financing (0.875-2.125% above LIBOR or EURIBOR)</t>
  </si>
  <si>
    <t>Leasehold Improvements</t>
  </si>
  <si>
    <t>Buildings</t>
  </si>
  <si>
    <t>Site Improvements</t>
  </si>
  <si>
    <t>IBX Equipment</t>
  </si>
  <si>
    <t>Land</t>
  </si>
  <si>
    <t>Furniture and Fixtures</t>
  </si>
  <si>
    <t>Construction In Progress</t>
  </si>
  <si>
    <t>Revenue Forecast</t>
  </si>
  <si>
    <t>1Q08</t>
  </si>
  <si>
    <t>2Q08</t>
  </si>
  <si>
    <t>$530 - $550</t>
  </si>
  <si>
    <t>$645 - $665</t>
  </si>
  <si>
    <t>$315 - 320</t>
  </si>
  <si>
    <t>3Q08</t>
  </si>
  <si>
    <t>4Q08</t>
  </si>
  <si>
    <t>US</t>
  </si>
  <si>
    <t>Total Revenues</t>
  </si>
  <si>
    <t>Net Debt</t>
  </si>
  <si>
    <t>Los Angeles IBX Financing (7.75%)</t>
  </si>
  <si>
    <t>Washington, D.C. Metro Area IBX Capital Lease (8.50%)</t>
  </si>
  <si>
    <t>Total Net Adds</t>
  </si>
  <si>
    <t>3Q12A</t>
  </si>
  <si>
    <t>Weighted Avg Billing Cabinets</t>
  </si>
  <si>
    <t>North America Illustrative Example</t>
  </si>
  <si>
    <t>MRR / Cabinet (1)</t>
  </si>
  <si>
    <t>Sellable Cabinets (end of period)</t>
  </si>
  <si>
    <t>Billing Cabinets (end of period)</t>
  </si>
  <si>
    <t>1. Defined as (current quarter monthly recurring revenue / 3) divided by ((Prior quarter end of period billing cabinets + current quarter end of period billing cabinet)/2)</t>
  </si>
  <si>
    <t>3. ALOG revenues for 1Q13 per earnings call</t>
  </si>
  <si>
    <t>2. Total revenue estimate calculated by [(MRR/cabinet) * (Weighted avg billing cabinets)] * 3</t>
  </si>
  <si>
    <t>Total Recurring Revenue (ex. ALOG) ($M) (2) (3)</t>
  </si>
  <si>
    <t>San Jose IBX Equipment and Fiber Financing (8.50%)</t>
  </si>
  <si>
    <t>EOP Cabs</t>
  </si>
  <si>
    <t>Recurring Revenue (Pro-forma)</t>
  </si>
  <si>
    <t>4Q07</t>
  </si>
  <si>
    <t>Seq. (A)</t>
  </si>
  <si>
    <t>$300 - $400</t>
  </si>
  <si>
    <t>$500 - $550</t>
  </si>
  <si>
    <t>Y/Y (A)</t>
  </si>
  <si>
    <t>Paris IBX Financing</t>
  </si>
  <si>
    <t>CH3 (Chicago)</t>
  </si>
  <si>
    <t>Analyst Day (11/11/2010)</t>
  </si>
  <si>
    <t>4Q Earnings (02/09/2011)</t>
  </si>
  <si>
    <t>1Q11 Earnings (04/27/11)</t>
  </si>
  <si>
    <t>65% - 66%</t>
  </si>
  <si>
    <t>$500 -$550</t>
  </si>
  <si>
    <t>$615 - $665</t>
  </si>
  <si>
    <t>Guide (3Q10)</t>
  </si>
  <si>
    <t>Guide (4Q10)</t>
  </si>
  <si>
    <t>Guide (1Q11)</t>
  </si>
  <si>
    <t>Est. (MS)</t>
  </si>
  <si>
    <t>Billing Cabinet Growth (Q/Q)</t>
  </si>
  <si>
    <t>Recurring Revenue Growth (Q/Q)</t>
  </si>
  <si>
    <t>MRR / Space &amp; Power Growth (Q/Q)</t>
  </si>
  <si>
    <t>MRR / Cross Connect Growth (Q/Q)</t>
  </si>
  <si>
    <t>Cross Con / Cab</t>
  </si>
  <si>
    <t>Colocation MRR / Cabinet</t>
  </si>
  <si>
    <t>Interconnection MRR / Cabinet</t>
  </si>
  <si>
    <t>Chicago IBX Equipment Financing (7.50%)</t>
  </si>
  <si>
    <t>Cash Interest Payments</t>
  </si>
  <si>
    <t>SG&amp;A</t>
  </si>
  <si>
    <t>Q/Q Gross Adds Growth (%)</t>
  </si>
  <si>
    <t>Plus: Other Non-cash</t>
  </si>
  <si>
    <t>Current portion of rest'd cash and other ST investments</t>
  </si>
  <si>
    <t>Rest'd cash and ST investments, less current portion</t>
  </si>
  <si>
    <t>Mode:</t>
  </si>
  <si>
    <t>1 = Bull</t>
  </si>
  <si>
    <t>2 = Base</t>
  </si>
  <si>
    <t>3 = Bear</t>
  </si>
  <si>
    <t xml:space="preserve"> + / - Acquisitions / Disposals / Currency (Imputed)</t>
  </si>
  <si>
    <t>Depreciation and Amortization Expense</t>
  </si>
  <si>
    <t>Switch and Data Financials</t>
  </si>
  <si>
    <t>Non-cash rent expense</t>
  </si>
  <si>
    <t>Loss (gain) on disposal of fixed assets</t>
  </si>
  <si>
    <t>SY3 Phase 3 (Sydney)</t>
  </si>
  <si>
    <t>HK3 phase 2 (Hong Kong)</t>
  </si>
  <si>
    <t>Total dividend ($mm)</t>
  </si>
  <si>
    <t>Cash Dividend</t>
  </si>
  <si>
    <t>Dividend per share</t>
  </si>
  <si>
    <t xml:space="preserve">Legal expenses </t>
  </si>
  <si>
    <t>Asset Impairment (add to operating income calculation)</t>
  </si>
  <si>
    <t>Lease litigation settlement accrual (add to operating income calculation)</t>
  </si>
  <si>
    <t>EBITDA (Defined by Switch and Data)</t>
  </si>
  <si>
    <t>EBITDA (Defined by Equinix)</t>
  </si>
  <si>
    <t>Interest expense</t>
  </si>
  <si>
    <t>Other expense</t>
  </si>
  <si>
    <t>Loss from debt extinguishment</t>
  </si>
  <si>
    <t>Pre-tax Income</t>
  </si>
  <si>
    <t>Income tax</t>
  </si>
  <si>
    <t>Average Basic Shares</t>
  </si>
  <si>
    <t>Average Diluted Shares</t>
  </si>
  <si>
    <t>EBIT Margin</t>
  </si>
  <si>
    <t>Billing Cabinets</t>
  </si>
  <si>
    <t>Utilization</t>
  </si>
  <si>
    <t>Incremental Cabinets</t>
  </si>
  <si>
    <t>New Sales Breakdown:</t>
  </si>
  <si>
    <t>Total</t>
  </si>
  <si>
    <t>Percent to New Customers</t>
  </si>
  <si>
    <t>Percent to Existing Customers</t>
  </si>
  <si>
    <t>Churn (Recurring Revenue Percentage)</t>
  </si>
  <si>
    <t>Interconnection MRR / Cross Connect</t>
  </si>
  <si>
    <t>Total MRR / Cabinet Billing</t>
  </si>
  <si>
    <t>Colocation MRR / Billing Cabinet (Imputed)</t>
  </si>
  <si>
    <t>Dollar Churn</t>
  </si>
  <si>
    <t>Net Incremental Revenue</t>
  </si>
  <si>
    <t>Comparable Revenue Calculation:</t>
  </si>
  <si>
    <t>PRO-FORMA FOR SWITCH AND DATA &gt;</t>
  </si>
  <si>
    <t>CHECK</t>
  </si>
  <si>
    <t>Ongoing Capex</t>
  </si>
  <si>
    <t>Incremental Sellable Cabinets</t>
  </si>
  <si>
    <t>Sellable Cabinets (EOP)</t>
  </si>
  <si>
    <t>Accretion</t>
  </si>
  <si>
    <t>Other Reconciling Items</t>
  </si>
  <si>
    <t>Total Capital Expenditures</t>
  </si>
  <si>
    <t xml:space="preserve">2013 Guide </t>
  </si>
  <si>
    <t>Expansion Capex per Sellable Cabinet Add</t>
  </si>
  <si>
    <t>Operating Lease Module</t>
  </si>
  <si>
    <t>Adjustment to Income Statement</t>
  </si>
  <si>
    <t>Net Trading Assets</t>
  </si>
  <si>
    <t>Reverse Rent Payment</t>
  </si>
  <si>
    <t>Add Implied Depreciation Expense</t>
  </si>
  <si>
    <t>Net Increase/(Decrease) to Operating Income</t>
  </si>
  <si>
    <t>Add Estimated Interest Expense</t>
  </si>
  <si>
    <t>Net Increase/(Decrease) to Pre-tax Income</t>
  </si>
  <si>
    <t>Principal Paid</t>
  </si>
  <si>
    <t>FIXED ASSET SCHEDULE</t>
  </si>
  <si>
    <t>1Q13</t>
  </si>
  <si>
    <t>EQUINIX - 2Q13 GUIDANCE</t>
  </si>
  <si>
    <t>Beginning Cost of Leased Assets</t>
  </si>
  <si>
    <t xml:space="preserve">Additions </t>
  </si>
  <si>
    <t>Current year charge</t>
  </si>
  <si>
    <t>Closing Cost of Lease Assets</t>
  </si>
  <si>
    <t>Carying Value of Assets Held Under Operating Leases</t>
  </si>
  <si>
    <t>Ratio of carrying value to oustanding debt value for take on balance</t>
  </si>
  <si>
    <t>OPERATING LEASE DEBT SCHEDULE</t>
  </si>
  <si>
    <t>Beginning Balance of Implied Debt</t>
  </si>
  <si>
    <t>Interest</t>
  </si>
  <si>
    <t>Repayment</t>
  </si>
  <si>
    <t>Debt Issuances (Reductions)</t>
  </si>
  <si>
    <t>Ending Balance of Implied Debt</t>
  </si>
  <si>
    <t>Asset over liability</t>
  </si>
  <si>
    <t>Weighted average interest rate of lease portfolio</t>
  </si>
  <si>
    <t>Term Loan (L+175bps)</t>
  </si>
  <si>
    <t>2Q12</t>
  </si>
  <si>
    <t>Interest implicit in new leases signed</t>
  </si>
  <si>
    <t>Capital expenditure financed through operating leases</t>
  </si>
  <si>
    <t>Current Year Operating Lease Payments</t>
  </si>
  <si>
    <t>EQIX (3Q13)</t>
  </si>
  <si>
    <t>$2,150 - $2,154</t>
  </si>
  <si>
    <t>$993 - $997</t>
  </si>
  <si>
    <t>$562 - $566</t>
  </si>
  <si>
    <t>$258 - $262</t>
  </si>
  <si>
    <t>1. 3Q13 revised guidance includes $9M FX tailwinds compared to 2Q13 guidance rates</t>
  </si>
  <si>
    <t>2. 3Q13 revised guidance includes $4M FX tailwinds compared to 2Q13 guidance rates</t>
  </si>
  <si>
    <t>3. 3Q13 revised guidance includes $25M professional fees related to REIT</t>
  </si>
  <si>
    <t>1. 3Q13 revised guidance includes $8M tailwind from FX compared to 2Q13 guidance rates</t>
  </si>
  <si>
    <t xml:space="preserve">2. 3Q13 revised guidance includes $3M tailwind from FX compared to 2Q13 guidance </t>
  </si>
  <si>
    <t>rates and $11M in professional fees related to REIT conversion</t>
  </si>
  <si>
    <t xml:space="preserve">3. 3Q13 revised guidance implied from FY 2013 and 3Q13 guidance from 2Q13 </t>
  </si>
  <si>
    <t>earnings and 1H13A.  Accounts for widest possible range</t>
  </si>
  <si>
    <t>YOY % Change in Current Year Operating Lease Expense</t>
  </si>
  <si>
    <t>Total Reported Lease Commitments</t>
  </si>
  <si>
    <t>Growth in Aggregate Lease Obligations</t>
  </si>
  <si>
    <t>Cumulative Payments After Year 5</t>
  </si>
  <si>
    <t>Implied Total Total Lease Life</t>
  </si>
  <si>
    <t>Implied Remaining Duration on Reported Lease Payements</t>
  </si>
  <si>
    <t>Lease Payment Schedule - Non Cancelable Leases Only</t>
  </si>
  <si>
    <t>Current year rental payment</t>
  </si>
  <si>
    <t>Expected payments forecast year 1</t>
  </si>
  <si>
    <t>Expected payments forecast year 2</t>
  </si>
  <si>
    <t>Expected payments forecast year 3</t>
  </si>
  <si>
    <t>Expected payments forecast year 4</t>
  </si>
  <si>
    <t>Expected payments forecast year 5</t>
  </si>
  <si>
    <t>Expected payments forecast year 6</t>
  </si>
  <si>
    <t>Expected payments forecast year 7</t>
  </si>
  <si>
    <t>Expected payments forecast year 8</t>
  </si>
  <si>
    <t>Expected payments forecast year 9</t>
  </si>
  <si>
    <t>Expected payments forecast year 10</t>
  </si>
  <si>
    <t>Expected payments forecast year 11</t>
  </si>
  <si>
    <t>Expected payments forecast year 12</t>
  </si>
  <si>
    <t>Expected payments forecast year 13</t>
  </si>
  <si>
    <t>Expected payments forecast year 14</t>
  </si>
  <si>
    <t>Expected payments forecast year 15</t>
  </si>
  <si>
    <t>Expected payments forecast year 16</t>
  </si>
  <si>
    <t>Expected payments forecast year 17</t>
  </si>
  <si>
    <t>Expected payments forecast year 18</t>
  </si>
  <si>
    <t>Expected payments forecast year 19</t>
  </si>
  <si>
    <t>Expected payments forecast year 20</t>
  </si>
  <si>
    <t>Expected payments forecast year 21</t>
  </si>
  <si>
    <t>Expected payments forecast year 22</t>
  </si>
  <si>
    <t>Expected payments forecast year 23</t>
  </si>
  <si>
    <t>Expected payments forecast year 24</t>
  </si>
  <si>
    <t>Expected payments forecast year 25</t>
  </si>
  <si>
    <t>Expected payments forecast year 26</t>
  </si>
  <si>
    <t>TY4 Phase 1 (Tokyo)</t>
  </si>
  <si>
    <t>SG2 Phase 5 (Singapore)</t>
  </si>
  <si>
    <t>DX1 (Dubai)</t>
  </si>
  <si>
    <t>FR5 phase 2 (Frankfurt)</t>
  </si>
  <si>
    <t>Expected payments forecast year 27</t>
  </si>
  <si>
    <t>Rental Payments Schedule</t>
  </si>
  <si>
    <t>PV of incremental payments</t>
  </si>
  <si>
    <t>Period</t>
  </si>
  <si>
    <t>Present Value of Incremental Lease Payments</t>
  </si>
  <si>
    <t>Increase in current year lease payments versus previous years expected</t>
  </si>
  <si>
    <t>Estimated additions to leased assets in period</t>
  </si>
  <si>
    <t>Calculation of Capital expenditure financed through operating leases</t>
  </si>
  <si>
    <t>Depreciation schedule</t>
  </si>
  <si>
    <t>Assumed Average Lease Life</t>
  </si>
  <si>
    <t>Fade rate for depreciation of opening balance</t>
  </si>
  <si>
    <t>Discretionary FCF</t>
  </si>
  <si>
    <t>Basic Shares</t>
  </si>
  <si>
    <t>Depreciation of take on book value</t>
  </si>
  <si>
    <t>Depreciation Schedule</t>
  </si>
  <si>
    <t>PRO - FORMA SDXC</t>
  </si>
  <si>
    <t>Shareholders' Equity Reconciliation</t>
  </si>
  <si>
    <t>Shareholders' Equity (BOP)</t>
  </si>
  <si>
    <t>Shareholders' Equity (EOP)</t>
  </si>
  <si>
    <t xml:space="preserve"> + Other (Accounting Changes)</t>
  </si>
  <si>
    <t>Return on Average Net Operating Assets</t>
  </si>
  <si>
    <t>Return on Tangible Net Operating Assets</t>
  </si>
  <si>
    <t>Net Operating Assets (EOP)</t>
  </si>
  <si>
    <t>Return on Net Operating Assets</t>
  </si>
  <si>
    <t>Total Capital Lease and Financing Obligations</t>
  </si>
  <si>
    <t>Expansion Capex</t>
  </si>
  <si>
    <t>Cabinets Per Customer</t>
  </si>
  <si>
    <t>EQUINIX - 2Q14 GUIDANCE</t>
  </si>
  <si>
    <t>Cross connects</t>
  </si>
  <si>
    <t>$594 - $598</t>
  </si>
  <si>
    <t>$267 - $273</t>
  </si>
  <si>
    <t>&gt; $2,395</t>
  </si>
  <si>
    <t>EQIX (4Q13)</t>
  </si>
  <si>
    <t>$135 - $139</t>
  </si>
  <si>
    <t>$165 - $175</t>
  </si>
  <si>
    <t>$105 - $115</t>
  </si>
  <si>
    <t>&gt; $1,105</t>
  </si>
  <si>
    <t>1. Includes $7M FX tailwind (relative to prior rates)</t>
  </si>
  <si>
    <t>Net Adds (Billing Cabinets)</t>
  </si>
  <si>
    <t>2Q11 Earnings (07/27/11)</t>
  </si>
  <si>
    <t>USD</t>
  </si>
  <si>
    <t>EQIX.O</t>
  </si>
  <si>
    <t>Equinix Inc.</t>
  </si>
  <si>
    <t>Diff Pos./</t>
  </si>
  <si>
    <t>+ / –</t>
  </si>
  <si>
    <t>WHAT WE LIKED / WHAT WE DID NOT LIKE</t>
  </si>
  <si>
    <t>4Q12</t>
  </si>
  <si>
    <t xml:space="preserve"> (Neg.)</t>
  </si>
  <si>
    <t>Source</t>
  </si>
  <si>
    <t>FINANCIALS</t>
  </si>
  <si>
    <t>Total Revenue ($MM)</t>
  </si>
  <si>
    <t xml:space="preserve">% y/y growth </t>
  </si>
  <si>
    <t xml:space="preserve">% q/q growth </t>
  </si>
  <si>
    <t>% gross margin</t>
  </si>
  <si>
    <t>% margin</t>
  </si>
  <si>
    <t>FREE CASH FLOW</t>
  </si>
  <si>
    <t>Thomson</t>
  </si>
  <si>
    <t>SEGMENT REVENUE</t>
  </si>
  <si>
    <t>OTHER</t>
  </si>
  <si>
    <t>Cost of Revenues</t>
  </si>
  <si>
    <t>SUPPORTING INPUTS</t>
  </si>
  <si>
    <t>EQUINIX - 2013 GUIDANCE</t>
  </si>
  <si>
    <t>EQUINIX - 2012 GUIDANCE</t>
  </si>
  <si>
    <t>EQIX</t>
  </si>
  <si>
    <t>% margin (implied)</t>
  </si>
  <si>
    <t>% of revenue</t>
  </si>
  <si>
    <t>Total Revenue (1)</t>
  </si>
  <si>
    <t>Adjusted EBITDA (1) (2)</t>
  </si>
  <si>
    <t>1Q-3Q</t>
  </si>
  <si>
    <t>Midpoint</t>
  </si>
  <si>
    <t>MRR / Cabinet (% Q/Q)</t>
  </si>
  <si>
    <t>Sellable Cabinets (% Q/Q)</t>
  </si>
  <si>
    <t>Cross connects (% Q/Q)</t>
  </si>
  <si>
    <t>Billable Cabinets (% Q/Q)</t>
  </si>
  <si>
    <t>Year</t>
  </si>
  <si>
    <t>Implied Global MRR</t>
  </si>
  <si>
    <t>Assumed MRR / Cabinet (2015E)</t>
  </si>
  <si>
    <t>Assumed Utilization Rate (85%)</t>
  </si>
  <si>
    <t>Implied 2015 Average Cabinet Capacity (85% utilization)</t>
  </si>
  <si>
    <t>Implied Additional Cabinet Capacity per Year (4 yrs)</t>
  </si>
  <si>
    <t>FCF</t>
  </si>
  <si>
    <t>2012 EBITDA</t>
  </si>
  <si>
    <t>2012 Capex</t>
  </si>
  <si>
    <t>2013 EBITDA</t>
  </si>
  <si>
    <t>2013 Capex</t>
  </si>
  <si>
    <t>Guidance (1)</t>
  </si>
  <si>
    <t>Cons (3)</t>
  </si>
  <si>
    <t>3.  Excludes divestiture</t>
  </si>
  <si>
    <t>1. Revenues greater than $1,870M (initial - old), $1,890M (1Q12 - old), $1,920M (2Q12- old)</t>
  </si>
  <si>
    <t>2.  Gross margin of 66% (initial - old), 67% (1Q12 - old), 68% (2Q12 - old)</t>
  </si>
  <si>
    <t>3.  EBITDA greater than $850M (initial - old), $860M (1Q12 - old), $880M (2Q12 - old)</t>
  </si>
  <si>
    <t>EQIX Implied 4Q12 Guidance</t>
  </si>
  <si>
    <t>1Q12-3Q12</t>
  </si>
  <si>
    <t xml:space="preserve">Implied </t>
  </si>
  <si>
    <t>Guide</t>
  </si>
  <si>
    <t>FY 2012</t>
  </si>
  <si>
    <t>4Q12 (1)</t>
  </si>
  <si>
    <t>1.  Implied by mid-point of range FY 2012 guidance</t>
  </si>
  <si>
    <t>(1) 2012 capex range of $700 - 800M</t>
  </si>
  <si>
    <t>Implied Total Capex per Year</t>
  </si>
  <si>
    <t>Assumed Ongoing Capex per Year</t>
  </si>
  <si>
    <t>2Q14</t>
  </si>
  <si>
    <t>Adjusted EBITDA (2) (3)</t>
  </si>
  <si>
    <t>2. Includes $3M FX tailwind (relative to prior rates), $37M in REIT fees</t>
  </si>
  <si>
    <t>SAVVIS</t>
  </si>
  <si>
    <t>EQUINIX</t>
  </si>
  <si>
    <t>Managed Hosting</t>
  </si>
  <si>
    <t>Network Services</t>
  </si>
  <si>
    <t>RACKSPACE</t>
  </si>
  <si>
    <t>Cloud</t>
  </si>
  <si>
    <t>Gross Revenue</t>
  </si>
  <si>
    <t>TY3 (Tokyo)</t>
  </si>
  <si>
    <t>NOL Schedule</t>
  </si>
  <si>
    <t>2Q11</t>
  </si>
  <si>
    <t>1Q11</t>
  </si>
  <si>
    <t xml:space="preserve"> + Additions</t>
  </si>
  <si>
    <t xml:space="preserve"> + / - Acquisitions / Disposals (Imputed)</t>
  </si>
  <si>
    <t>Other accretion</t>
  </si>
  <si>
    <t>Goodwill:</t>
  </si>
  <si>
    <t>Asia - Pacific</t>
  </si>
  <si>
    <t>Total Goodwill</t>
  </si>
  <si>
    <t>Other Intangibles:</t>
  </si>
  <si>
    <t>Goodwill, Intangibles, and Amortization</t>
  </si>
  <si>
    <t>Customer Contracts</t>
  </si>
  <si>
    <t>Favorable Leases</t>
  </si>
  <si>
    <t>Others</t>
  </si>
  <si>
    <t>Gross Intangibles</t>
  </si>
  <si>
    <t>Accumulated amortization</t>
  </si>
  <si>
    <t>Net Intangibles</t>
  </si>
  <si>
    <t>Average Life (Annualized)</t>
  </si>
  <si>
    <t>Intangibles Reconciliation</t>
  </si>
  <si>
    <t>Gross Intangibles (BOP)</t>
  </si>
  <si>
    <t>Gross Intangibles (EOP)</t>
  </si>
  <si>
    <t>Accumulated Amortization Reconciliation</t>
  </si>
  <si>
    <t>Accum. Amort. (BOP)</t>
  </si>
  <si>
    <t xml:space="preserve"> + Additions (Amort. Expense)</t>
  </si>
  <si>
    <t>Accum. Amort. (EOP)</t>
  </si>
  <si>
    <t>Existing Amortization</t>
  </si>
  <si>
    <t>Amortization Forecast Line</t>
  </si>
  <si>
    <t>Amortization / Sales</t>
  </si>
  <si>
    <t>2014 adjusted EBITDA</t>
  </si>
  <si>
    <t>EQIX - P / AFFO vs. EV / Adjusted EBITDA (Base)</t>
  </si>
  <si>
    <t>EQIX - P / AFFO vs. EV / Adjusted EBITDA (Bull)</t>
  </si>
  <si>
    <t>AFFO</t>
  </si>
  <si>
    <t>% of AFFO</t>
  </si>
  <si>
    <t>$700 - $800</t>
  </si>
  <si>
    <t>Total Revenues (1)</t>
  </si>
  <si>
    <t>(3Q11)  (4)</t>
  </si>
  <si>
    <t>Guide (2Q11) (5)</t>
  </si>
  <si>
    <t>5. Excludes ALOG</t>
  </si>
  <si>
    <t>Fav / (Unfav)</t>
  </si>
  <si>
    <t>vs. Mse</t>
  </si>
  <si>
    <t>Cons.</t>
  </si>
  <si>
    <t>vs. Cons.</t>
  </si>
  <si>
    <t>Credit Facility - (L + 1.25% - 1.75%)</t>
  </si>
  <si>
    <t>2011E Revenues (Guidance)</t>
  </si>
  <si>
    <t>Implied 4-yr CAGR</t>
  </si>
  <si>
    <t>3Q11 Billing Cabinets</t>
  </si>
  <si>
    <t>DA3 phase 1 (Dallas)</t>
  </si>
  <si>
    <t>SE3 (Seattle)</t>
  </si>
  <si>
    <t>Adjusted FFO</t>
  </si>
  <si>
    <t>Diluted shares</t>
  </si>
  <si>
    <t>EQUINIX - 3Q14 GUIDANCE</t>
  </si>
  <si>
    <t>$614 - $618</t>
  </si>
  <si>
    <t>$278 - $282</t>
  </si>
  <si>
    <t>$175 - $185</t>
  </si>
  <si>
    <t>$150 - $160</t>
  </si>
  <si>
    <t>EQIX (1Q14)</t>
  </si>
  <si>
    <t>$2,425 - $2,435</t>
  </si>
  <si>
    <t>$1,105 - $1,115</t>
  </si>
  <si>
    <t>$600 - $650</t>
  </si>
  <si>
    <t>$485 - $535</t>
  </si>
  <si>
    <t>Recurring (3)</t>
  </si>
  <si>
    <t>3.  Recurring definition is new in 2Q14.  Previously "ongoing"</t>
  </si>
  <si>
    <t>1. Includes $8M in REIT related professional fees</t>
  </si>
  <si>
    <t>OS1 phase 2 (Osaka)</t>
  </si>
  <si>
    <t>SG2 Phase 6 (Singapore)</t>
  </si>
  <si>
    <t>AM3 Phase 2 (Amsterdam)</t>
  </si>
  <si>
    <t>PA4 phase 2 (Paris)</t>
  </si>
  <si>
    <t>Recurring (2)</t>
  </si>
  <si>
    <t>Recurring Capex</t>
  </si>
  <si>
    <t>Acquisitions</t>
  </si>
  <si>
    <t>Income Tax Benefit (Expense)</t>
  </si>
  <si>
    <t xml:space="preserve">2.  Recurring definition is new in 2Q14.  </t>
  </si>
  <si>
    <t>Previously "ongoing"</t>
  </si>
  <si>
    <t>3Q14</t>
  </si>
  <si>
    <t>Recurring</t>
  </si>
  <si>
    <t>$627 - $631</t>
  </si>
  <si>
    <t>$291 - $295</t>
  </si>
  <si>
    <t>$175 - $195</t>
  </si>
  <si>
    <t>EQUINIX - 4Q14 GUIDANCE</t>
  </si>
  <si>
    <t>EQIX (2Q14)</t>
  </si>
  <si>
    <t>$2,433 - $2,437</t>
  </si>
  <si>
    <t>1. Includes $15M FX headwind (relative to prior rates)</t>
  </si>
  <si>
    <t>$1,110 - $1,114</t>
  </si>
  <si>
    <t>2. Includes $8M FX headwind (relative to prior rates), $32M in REIT related professional fees</t>
  </si>
  <si>
    <t>$630 - $650</t>
  </si>
  <si>
    <t>$520 - $540</t>
  </si>
  <si>
    <t xml:space="preserve">Note:  EUR, GBP, SGD, and BRL revenue exposure is 15%, 9%, 7% and 4%, respectively. </t>
  </si>
  <si>
    <t>TY5 Phase 1 / 2 (Tokyo)</t>
  </si>
  <si>
    <t>SE3 phase 2 (Seattle)</t>
  </si>
  <si>
    <t>RJ2 phase 2 (Rio de Janeiro)</t>
  </si>
  <si>
    <t>DC11 phase 2 (Ashburn)</t>
  </si>
  <si>
    <t>AFFO / diluted share</t>
  </si>
  <si>
    <t>Guidance assumes the following rates:  $1.32 / EUR, $1.63 / GBP, S$1.28 / USD and R$2.43 / USD</t>
  </si>
  <si>
    <t>4Q14</t>
  </si>
  <si>
    <t>BVLZX12</t>
  </si>
  <si>
    <t>EQUINIX - 2015 GUIDANCE</t>
  </si>
  <si>
    <t>EQUINIX - 1Q15 GUIDANCE</t>
  </si>
  <si>
    <t>$634 - $638</t>
  </si>
  <si>
    <t>$146 - $150</t>
  </si>
  <si>
    <t>$287 - $291</t>
  </si>
  <si>
    <t>Adjusted EBITDA  (2)</t>
  </si>
  <si>
    <t>2.  Includes $12M FX headwinds</t>
  </si>
  <si>
    <t>$195 - $205</t>
  </si>
  <si>
    <t>&gt; $2,630</t>
  </si>
  <si>
    <t>$580 - $600</t>
  </si>
  <si>
    <t>&gt; $1,220</t>
  </si>
  <si>
    <t>&gt; $810</t>
  </si>
  <si>
    <t>$585 - $685</t>
  </si>
  <si>
    <t xml:space="preserve">Note:  EUR, GBP, SGD, and BRL revenue exposure is 14%, 9%, 7% and 4%, respectively. </t>
  </si>
  <si>
    <t>Guidance assumes the following rates:  $1.20 / EUR, $1.55 / GBP, S$1.32 / USD and R$2.68 / USD</t>
  </si>
  <si>
    <t xml:space="preserve">1.  Includes $19M FX headwinds (relative to 4Q14 average).  </t>
  </si>
  <si>
    <t>3% Q/Q constant FX growth rate</t>
  </si>
  <si>
    <t>SV5 phase 3 (Silicon Valley / San Jose)</t>
  </si>
  <si>
    <t>DA2 Phase 2 (Dallas)</t>
  </si>
  <si>
    <t>Installation revenue adjustment</t>
  </si>
  <si>
    <t>Accumulated dividends</t>
  </si>
  <si>
    <t>Senior Notes (5.375%) - 2022</t>
  </si>
  <si>
    <t>Senior Notes (5.750%) - 2025</t>
  </si>
  <si>
    <t>HK2 phase 3 (Hong Kong)</t>
  </si>
  <si>
    <t>HK1 phase 9 (Hong Kong)</t>
  </si>
  <si>
    <t>FR2 phase 4 (Frankfurt)</t>
  </si>
  <si>
    <t>AM3 Phase 3 (Amsterdam)</t>
  </si>
  <si>
    <t>FR4 phase 4 (Frankfurt)</t>
  </si>
  <si>
    <t>2016 adjusted EBITDA</t>
  </si>
  <si>
    <t>2016 AFFO</t>
  </si>
  <si>
    <t>2016E P / AFFO</t>
  </si>
  <si>
    <t>2016 Adjusted EBITDA</t>
  </si>
  <si>
    <t>Implied 2016E EV / EBITDA</t>
  </si>
  <si>
    <t>Net proceeds</t>
  </si>
  <si>
    <t>CASE</t>
  </si>
  <si>
    <t>BEAR</t>
  </si>
  <si>
    <t>Multiple</t>
  </si>
  <si>
    <t>EV</t>
  </si>
  <si>
    <t>Market Cap</t>
  </si>
  <si>
    <t># shares</t>
  </si>
  <si>
    <t>Price</t>
  </si>
  <si>
    <t>Price (rounded)</t>
  </si>
  <si>
    <t>1Q15</t>
  </si>
  <si>
    <t xml:space="preserve">1. 2015 - Includes $100M FX headwind (relative to 2014 average).  12% Y/Y </t>
  </si>
  <si>
    <t xml:space="preserve">constant FX growth rate.  1Q15 -  Includes $19M FX headwinds (relative to </t>
  </si>
  <si>
    <t>4Q14 average).  3% Q/Q constant FX growth rate.</t>
  </si>
  <si>
    <t xml:space="preserve">2. 2015 - Includes $47M FX headwind (relative to 2014 average).  </t>
  </si>
  <si>
    <t>1Q15 -  Includes $12M FX headwinds</t>
  </si>
  <si>
    <t>Guidance assumes:  $1.20 / EUR, $1.55 / GBP, S$1.32 / USD and R$2.68 / USD</t>
  </si>
  <si>
    <t>EQIX (4Q14)</t>
  </si>
  <si>
    <t>&gt; $2,635</t>
  </si>
  <si>
    <t>EQUINIX - 2Q15 GUIDANCE</t>
  </si>
  <si>
    <t>$654 - $658</t>
  </si>
  <si>
    <t xml:space="preserve">1.  Includes $6M FX headwinds (relative to 1Q15 average).  </t>
  </si>
  <si>
    <t>$144 - $148</t>
  </si>
  <si>
    <t>$304 - $308</t>
  </si>
  <si>
    <t>$210 - $220</t>
  </si>
  <si>
    <t>$180 - $190</t>
  </si>
  <si>
    <t xml:space="preserve">2.  Includes $5M FX headwinds (relative to 1Q15 average).  </t>
  </si>
  <si>
    <t>&gt; $1,230</t>
  </si>
  <si>
    <t>&gt; $830</t>
  </si>
  <si>
    <t>4.  Recurring definition is new in 2Q14.  Previously "ongoing"</t>
  </si>
  <si>
    <t>Recurring (4)</t>
  </si>
  <si>
    <t>AFFO (3)</t>
  </si>
  <si>
    <t>$625 - $685</t>
  </si>
  <si>
    <t>Guidance assumes the following rates:  1.18 USD / EUR, 1.54 USD / GBP, 1.37 SGD / USD and 3.08 BRL / USD</t>
  </si>
  <si>
    <t>Company Methodology - Updated 1Q15</t>
  </si>
  <si>
    <t>Real esate D&amp;A</t>
  </si>
  <si>
    <t>Net income</t>
  </si>
  <si>
    <t>Gain / loss on disposition of real estate property</t>
  </si>
  <si>
    <t>Adjustments for FFO from unconsolidated JVs</t>
  </si>
  <si>
    <t>Non-controlling interests' share of above adjustments</t>
  </si>
  <si>
    <t>FFO</t>
  </si>
  <si>
    <t>Interest expense, net of tax, on 4.75% converible notes</t>
  </si>
  <si>
    <t>Interest expense, net of tax, on 3.00% converible notes</t>
  </si>
  <si>
    <t>FFO - diluted</t>
  </si>
  <si>
    <t>Stock-based comp</t>
  </si>
  <si>
    <t>Non-real estate depreciation expense</t>
  </si>
  <si>
    <t>Amortization expense</t>
  </si>
  <si>
    <t>Accretion expense</t>
  </si>
  <si>
    <t>Loss / (gain) on debt extinguishment</t>
  </si>
  <si>
    <t>Acquisition costs</t>
  </si>
  <si>
    <t>Adjustments for AFFO from unconsolidated JVs</t>
  </si>
  <si>
    <t>Non-controlling interests share of above adjustments</t>
  </si>
  <si>
    <t>Effect of assumed conversion of convertible debt:</t>
  </si>
  <si>
    <t>AFFO - diluted</t>
  </si>
  <si>
    <t>FFO per share</t>
  </si>
  <si>
    <t>Basic</t>
  </si>
  <si>
    <t>Diluted</t>
  </si>
  <si>
    <t>Diluted shares for FFO / AFFO</t>
  </si>
  <si>
    <t>Non-recurring capex</t>
  </si>
  <si>
    <t>Core Systems</t>
  </si>
  <si>
    <t>Personal Property</t>
  </si>
  <si>
    <t>FORECAST (% of rev)</t>
  </si>
  <si>
    <t>DC10 phase 4 (Ashburn)</t>
  </si>
  <si>
    <t>AT1 phase IV (Atlanta)</t>
  </si>
  <si>
    <t>SG2 Phase 7 (Singapore)</t>
  </si>
  <si>
    <t>SH6 Phase 1 (Shanghai)</t>
  </si>
  <si>
    <t>ME1 phase 2 (Melbourne)</t>
  </si>
  <si>
    <t>SG3 phase 2 (Singapore)</t>
  </si>
  <si>
    <t>SY3 Phase 4 (Sydney)</t>
  </si>
  <si>
    <t>FR2 phase 5 (Frankfurt)</t>
  </si>
  <si>
    <t>Mortgage and other loans payable</t>
  </si>
  <si>
    <t>Capital leases</t>
  </si>
  <si>
    <t>Company Methodology (OLD)</t>
  </si>
  <si>
    <t>2Q15</t>
  </si>
  <si>
    <t>EQUINIX - 3Q15 GUIDANCE</t>
  </si>
  <si>
    <t>$681 - $685</t>
  </si>
  <si>
    <t>$150 - $154</t>
  </si>
  <si>
    <t>$313 - $317</t>
  </si>
  <si>
    <t>$222 - $242</t>
  </si>
  <si>
    <t>EQIX (1Q15)</t>
  </si>
  <si>
    <t>$2,685 - $2,695</t>
  </si>
  <si>
    <t>$595 - $605</t>
  </si>
  <si>
    <t>$1,250 - $1,260</t>
  </si>
  <si>
    <t>$850 - $860M</t>
  </si>
  <si>
    <t>3. 19% Y/Y constant FX growth rate</t>
  </si>
  <si>
    <t>$800 - $850</t>
  </si>
  <si>
    <t>$685 - $735</t>
  </si>
  <si>
    <t>1Q15 rates</t>
  </si>
  <si>
    <t>4Q14 rates</t>
  </si>
  <si>
    <t>Guidance assumes the following rates:  1.18 USD / EUR, 1.54 USD / GBP, 1.35 SGD / USD and 3.22 BRL / USD</t>
  </si>
  <si>
    <t xml:space="preserve">Note:  EUR, GBP, SGD, and BRL revenue exposure is 14%, 10%, 7% and 3%, respectively. </t>
  </si>
  <si>
    <t xml:space="preserve">1.  Negligible FX (relative to 2Q15 average).  </t>
  </si>
  <si>
    <t xml:space="preserve">2.  Includes $1M FX headwinds (relative to 2Q15 average).  </t>
  </si>
  <si>
    <t>DA7 phase 1 (Dallas)</t>
  </si>
  <si>
    <t>FR4 phase 5 (Frankfurt)</t>
  </si>
  <si>
    <t>Commitment Fees (Bridge loan for Telecity acquisition)</t>
  </si>
  <si>
    <t>3Q15</t>
  </si>
  <si>
    <t>EQUINIX - 4Q15 GUIDANCE</t>
  </si>
  <si>
    <t>$701 - $705</t>
  </si>
  <si>
    <t>$153 - $157</t>
  </si>
  <si>
    <t>$328 - $332</t>
  </si>
  <si>
    <t xml:space="preserve">2.  Includes $4M FX headwinds (relative to 3Q15 average).  </t>
  </si>
  <si>
    <t xml:space="preserve">1.  Includes $4M FX headwinds (relative to 3Q15 average).  </t>
  </si>
  <si>
    <t>$242 - $262</t>
  </si>
  <si>
    <t>$208 - $228</t>
  </si>
  <si>
    <t>EQIX (2Q15)</t>
  </si>
  <si>
    <t>$2,696 - $2,700</t>
  </si>
  <si>
    <t>1. Includes $13M FX headwinds (relative to prior rates).  16% Y/Y constant FX growth rate</t>
  </si>
  <si>
    <t>$601 - $605</t>
  </si>
  <si>
    <t>$1,267 - $1,271</t>
  </si>
  <si>
    <t>2. Includes $4M FX benefit (relative to prior rates).  19% Y/Y constant FX growth rate</t>
  </si>
  <si>
    <t>$866 - $870M</t>
  </si>
  <si>
    <t>$830 - $850</t>
  </si>
  <si>
    <t>$720 - $740</t>
  </si>
  <si>
    <t>2Q15 rates</t>
  </si>
  <si>
    <t>Guidance assumes the following rates:  1.18 USD / EUR (14% of revenues), 1.53 USD / GBP (10%), 1.42 SGD / USD (7%) and 3.73 BRL / USD (3%)</t>
  </si>
  <si>
    <t>AM1 Phase 3 (Amsterdam)</t>
  </si>
  <si>
    <t>LD6 phase 2 (London)</t>
  </si>
  <si>
    <t>Revenue (in Japanese Yen)</t>
  </si>
  <si>
    <t>Bit-isle (USD)</t>
  </si>
  <si>
    <t>Average YEN / USD</t>
  </si>
  <si>
    <t>% Y/Y change</t>
  </si>
  <si>
    <t>% Q/Q change</t>
  </si>
  <si>
    <t>EQUITY</t>
  </si>
  <si>
    <t>Gross proceeds</t>
  </si>
  <si>
    <t>Shares issued</t>
  </si>
  <si>
    <t>% of diluted AFFO</t>
  </si>
  <si>
    <t>Expired</t>
  </si>
  <si>
    <t>DEBT</t>
  </si>
  <si>
    <t>Senior Notes (5.875%) - 2026 (1/15/26)</t>
  </si>
  <si>
    <t>H1</t>
  </si>
  <si>
    <t>H2</t>
  </si>
  <si>
    <t>FY</t>
  </si>
  <si>
    <t>Telecity</t>
  </si>
  <si>
    <t>YE 31 Dec (£m)</t>
  </si>
  <si>
    <t>Neat Sheet</t>
  </si>
  <si>
    <t>YE 31</t>
  </si>
  <si>
    <t>Dec (£m)</t>
  </si>
  <si>
    <t>Revenues</t>
  </si>
  <si>
    <t>S&amp;M</t>
  </si>
  <si>
    <t>G&amp;A</t>
  </si>
  <si>
    <t>Stated EBIT</t>
  </si>
  <si>
    <t>Restructuring / other one-off</t>
  </si>
  <si>
    <t>Adj. EBITA</t>
  </si>
  <si>
    <t>Net Interest</t>
  </si>
  <si>
    <t>Stated PBT</t>
  </si>
  <si>
    <t>Adj. PBT</t>
  </si>
  <si>
    <t>Stated Tax</t>
  </si>
  <si>
    <t>Adj. Tax</t>
  </si>
  <si>
    <t>Stated Net Income</t>
  </si>
  <si>
    <t>Adj. Net Income</t>
  </si>
  <si>
    <t>Stated basic EPS (p)</t>
  </si>
  <si>
    <t>Stated diluted EPS (p)</t>
  </si>
  <si>
    <t>Adj. EPS basic (p)</t>
  </si>
  <si>
    <t>Adj. EPS diluted (p)</t>
  </si>
  <si>
    <t>MW EPS</t>
  </si>
  <si>
    <t>Shares in issue (m)</t>
  </si>
  <si>
    <t>Fully diluted shares in issue (m)</t>
  </si>
  <si>
    <t>Cash Flow</t>
  </si>
  <si>
    <t>Depreciation and Amortisation</t>
  </si>
  <si>
    <t>Loss on disposal of PPE</t>
  </si>
  <si>
    <t>Net Finance Revenue</t>
  </si>
  <si>
    <t>Share-based payments</t>
  </si>
  <si>
    <t>Change in Working Capital</t>
  </si>
  <si>
    <t>Net Interest Paid</t>
  </si>
  <si>
    <t>Income Tax paid</t>
  </si>
  <si>
    <t>Cash from Operations</t>
  </si>
  <si>
    <t>Purchase of operational PPE</t>
  </si>
  <si>
    <t>Purchase of Expansionary PPE</t>
  </si>
  <si>
    <t>Costs related to Acquisition</t>
  </si>
  <si>
    <t>Proceeds from PPE disposal</t>
  </si>
  <si>
    <t>Cash from investing Activities</t>
  </si>
  <si>
    <t>Proceeds from the issue of shares</t>
  </si>
  <si>
    <t>Refinancing costs</t>
  </si>
  <si>
    <t>Receipt of lease incentive</t>
  </si>
  <si>
    <t>Cash in Financing</t>
  </si>
  <si>
    <t>FX</t>
  </si>
  <si>
    <t>Change in Net Cash</t>
  </si>
  <si>
    <t>MS Free Cash Flow</t>
  </si>
  <si>
    <t>FCF conversion (%)</t>
  </si>
  <si>
    <t>MS Free Cash Flow ex. Exp.</t>
  </si>
  <si>
    <t>Net Working Capital</t>
  </si>
  <si>
    <t>as % of sales</t>
  </si>
  <si>
    <t>PPE</t>
  </si>
  <si>
    <t>Deferred Tax Assets</t>
  </si>
  <si>
    <t>Long Term Receivables</t>
  </si>
  <si>
    <t>Net Capital Employed</t>
  </si>
  <si>
    <t>Short Term Debt</t>
  </si>
  <si>
    <t>Long Term Debt</t>
  </si>
  <si>
    <t>Net Cash (Net Debt)</t>
  </si>
  <si>
    <t>Net Debt/ EBITDA</t>
  </si>
  <si>
    <t xml:space="preserve"> Deferred Tax liabilities</t>
  </si>
  <si>
    <t xml:space="preserve"> Provisions</t>
  </si>
  <si>
    <t xml:space="preserve"> Long term deferred Income </t>
  </si>
  <si>
    <t xml:space="preserve"> Net Financial Instruments</t>
  </si>
  <si>
    <t xml:space="preserve"> Lease Obligations</t>
  </si>
  <si>
    <t>Shareholders Equity</t>
  </si>
  <si>
    <t>% organic growth</t>
  </si>
  <si>
    <t>% of sales</t>
  </si>
  <si>
    <t>Telecity (USD)</t>
  </si>
  <si>
    <t>Revenue (GBP)</t>
  </si>
  <si>
    <t>Average USD / GBP</t>
  </si>
  <si>
    <t>Issuance costs</t>
  </si>
  <si>
    <t>Shares of acquired company</t>
  </si>
  <si>
    <t>Exchange rate</t>
  </si>
  <si>
    <t>EQIX share price</t>
  </si>
  <si>
    <t>EQIX share per acquired company share</t>
  </si>
  <si>
    <t>Cash per acquired company share</t>
  </si>
  <si>
    <t>1Q16</t>
  </si>
  <si>
    <t>Acquisitions (USD)</t>
  </si>
  <si>
    <t>Cash (USD)</t>
  </si>
  <si>
    <t>Equity (USD)</t>
  </si>
  <si>
    <t>Bit-isle capex</t>
  </si>
  <si>
    <t>Telecity capex</t>
  </si>
  <si>
    <t>EQIX + Telecity revenues</t>
  </si>
  <si>
    <t>4% of combined revenues (approx of divestitures)</t>
  </si>
  <si>
    <t>Divestitures (USD)</t>
  </si>
  <si>
    <t>Revenues (LTM)</t>
  </si>
  <si>
    <t>EV/EBITDA multiple</t>
  </si>
  <si>
    <t>Synergies</t>
  </si>
  <si>
    <t>% of target cash opex</t>
  </si>
  <si>
    <t>% realized</t>
  </si>
  <si>
    <t>Target cash opex (local FX)</t>
  </si>
  <si>
    <t>Target cash opex (USD)</t>
  </si>
  <si>
    <t>Exchange rate (USD / local FX)</t>
  </si>
  <si>
    <t>Organic Revenues</t>
  </si>
  <si>
    <t>AFFO per diluted share</t>
  </si>
  <si>
    <t>% taxes</t>
  </si>
  <si>
    <t>TCYAMS2</t>
  </si>
  <si>
    <t>TCYHEX</t>
  </si>
  <si>
    <t>TCYSovereign House</t>
  </si>
  <si>
    <t>TCYStockholm 1</t>
  </si>
  <si>
    <t>TCYHEX 2</t>
  </si>
  <si>
    <t>TCYAMS1</t>
  </si>
  <si>
    <t>TCYManchester 1</t>
  </si>
  <si>
    <t>TCYMeridian Gate</t>
  </si>
  <si>
    <t>TCYParis Courbevoie</t>
  </si>
  <si>
    <t>TCYFrankfurt Gutleutstrasse</t>
  </si>
  <si>
    <t>TCYAMS5</t>
  </si>
  <si>
    <t>TCYAMS3</t>
  </si>
  <si>
    <t>TCYDublin Kilcarbery</t>
  </si>
  <si>
    <t>TCYManchester 2</t>
  </si>
  <si>
    <t>TCYDublin CityWest</t>
  </si>
  <si>
    <t>TCYAMS4</t>
  </si>
  <si>
    <t>TCYBonnington House</t>
  </si>
  <si>
    <t>TCYParis Aubervilliers</t>
  </si>
  <si>
    <t>TCYFrankfurt Lyoner Strasse</t>
  </si>
  <si>
    <t>TCYStockholm 2</t>
  </si>
  <si>
    <t>TCYPowergate</t>
  </si>
  <si>
    <t>TCYParis Condercet</t>
  </si>
  <si>
    <t>TCYManchester 3</t>
  </si>
  <si>
    <t>TCYDublin Ballycoolin</t>
  </si>
  <si>
    <t>TCYMilano 1</t>
  </si>
  <si>
    <t>TCYMilano 2</t>
  </si>
  <si>
    <t>TCYHelsinki 1</t>
  </si>
  <si>
    <t>TCYHelsinki 2</t>
  </si>
  <si>
    <t>TCYBellerive House</t>
  </si>
  <si>
    <t>TCYHelsinki 3</t>
  </si>
  <si>
    <t>TCYHelsinki 4</t>
  </si>
  <si>
    <t>TCYHelsinki 5</t>
  </si>
  <si>
    <t>TCYNorthwest Business Park</t>
  </si>
  <si>
    <t>TCYSofia 1</t>
  </si>
  <si>
    <t>Current</t>
  </si>
  <si>
    <t>Alog RJ1</t>
  </si>
  <si>
    <t>Alog - Equinix</t>
  </si>
  <si>
    <t>Rio de Janeiro</t>
  </si>
  <si>
    <t>RJ</t>
  </si>
  <si>
    <t>BR</t>
  </si>
  <si>
    <t>Alog RJ2</t>
  </si>
  <si>
    <t>21051-070</t>
  </si>
  <si>
    <t>Alog SP1</t>
  </si>
  <si>
    <t>São Paulo</t>
  </si>
  <si>
    <t>SP</t>
  </si>
  <si>
    <t>Alog SP2</t>
  </si>
  <si>
    <t>Barueri</t>
  </si>
  <si>
    <t>Equinix Amsterdam (AM1)</t>
  </si>
  <si>
    <t>Amsterdam</t>
  </si>
  <si>
    <t>1101EC</t>
  </si>
  <si>
    <t>NL</t>
  </si>
  <si>
    <t>Equinix Amsterdam (AM3)</t>
  </si>
  <si>
    <t>Equinix Ashburn (DC1-DC11)</t>
  </si>
  <si>
    <t>ASBNVA</t>
  </si>
  <si>
    <t>703-723</t>
  </si>
  <si>
    <t>Ashburn</t>
  </si>
  <si>
    <t>VA</t>
  </si>
  <si>
    <t>20147-6205</t>
  </si>
  <si>
    <t>Equinix Atlanta (AT1)</t>
  </si>
  <si>
    <t>ATLNGA</t>
  </si>
  <si>
    <t>404-525</t>
  </si>
  <si>
    <t>GA</t>
  </si>
  <si>
    <t>Equinix Atlanta (AT2/3)</t>
  </si>
  <si>
    <t>30303-2885</t>
  </si>
  <si>
    <t>Equinix Boston (Waltham)</t>
  </si>
  <si>
    <t>781-890</t>
  </si>
  <si>
    <t>Waltham</t>
  </si>
  <si>
    <t>MA</t>
  </si>
  <si>
    <t>Equinix Chicago (CH1/CH2/CH4)</t>
  </si>
  <si>
    <t>CHCGIL</t>
  </si>
  <si>
    <t>312-596</t>
  </si>
  <si>
    <t>IL</t>
  </si>
  <si>
    <t>60616-1568</t>
  </si>
  <si>
    <t>Equinix Dallas (DA1)</t>
  </si>
  <si>
    <t>DLLSTX</t>
  </si>
  <si>
    <t>214-782</t>
  </si>
  <si>
    <t>TX</t>
  </si>
  <si>
    <t>75207-3137</t>
  </si>
  <si>
    <t>Equinix Dallas (DA3)</t>
  </si>
  <si>
    <t>214-827</t>
  </si>
  <si>
    <t>Equinix Dallas (DA4)</t>
  </si>
  <si>
    <t>Equinix Dallas (DA6)</t>
  </si>
  <si>
    <t>DLLUTX</t>
  </si>
  <si>
    <t>Equinix Dubai (DX1)</t>
  </si>
  <si>
    <t>Dubai</t>
  </si>
  <si>
    <t>AE</t>
  </si>
  <si>
    <t>Equinix Dubai (DX2)</t>
  </si>
  <si>
    <t>Equinix Duesseldorf (DU1)</t>
  </si>
  <si>
    <t>Duesseldorf</t>
  </si>
  <si>
    <t>DE</t>
  </si>
  <si>
    <t>Equinix Duesseldorf (DU2)</t>
  </si>
  <si>
    <t>Equinix El Segundo (LA3)</t>
  </si>
  <si>
    <t>310-615</t>
  </si>
  <si>
    <t>El Segundo</t>
  </si>
  <si>
    <t>CA</t>
  </si>
  <si>
    <t>90245-3411</t>
  </si>
  <si>
    <t>Equinix El Segundo (LA4)</t>
  </si>
  <si>
    <t>Equinix Elk Grove (CH3)</t>
  </si>
  <si>
    <t>Elk Grove Village</t>
  </si>
  <si>
    <t>Equinix Enschede (EN1)</t>
  </si>
  <si>
    <t>Enschede</t>
  </si>
  <si>
    <t>OV</t>
  </si>
  <si>
    <t>7521 PE</t>
  </si>
  <si>
    <t>Equinix Frankfurt City (FR1)</t>
  </si>
  <si>
    <t>FRNKGE</t>
  </si>
  <si>
    <t>Frankfurt</t>
  </si>
  <si>
    <t>Equinix Frankfurt KleyerStrasse (FR5)</t>
  </si>
  <si>
    <t>Equinix Frankfurt West (FR4)</t>
  </si>
  <si>
    <t>Equinix Frankurt North (FR2)</t>
  </si>
  <si>
    <t>Equinix Frankurt South (FR3)</t>
  </si>
  <si>
    <t>Mörfelden</t>
  </si>
  <si>
    <t>Equinix Geneva (GV1)</t>
  </si>
  <si>
    <t>Geneva</t>
  </si>
  <si>
    <t>CH</t>
  </si>
  <si>
    <t>Equinix Geneva (GV2)</t>
  </si>
  <si>
    <t>Le Lignon, Geneva</t>
  </si>
  <si>
    <t>GE</t>
  </si>
  <si>
    <t>Equinix Hong Kong (HK1)</t>
  </si>
  <si>
    <t>HK</t>
  </si>
  <si>
    <t>Equinix Hong Kong (HK2)</t>
  </si>
  <si>
    <t>Equinix Hong Kong (HK3)</t>
  </si>
  <si>
    <t>Equinix London City (LD1)</t>
  </si>
  <si>
    <t>LONDEN</t>
  </si>
  <si>
    <t>EC2A 1 RS</t>
  </si>
  <si>
    <t>UK</t>
  </si>
  <si>
    <t>Equinix London Park Royal (LD3)</t>
  </si>
  <si>
    <t>NW10 7PH</t>
  </si>
  <si>
    <t>Equinix London Slough (LD4)</t>
  </si>
  <si>
    <t>Slough</t>
  </si>
  <si>
    <t>SL1 4NB</t>
  </si>
  <si>
    <t>Equinix London Slough (LD5)</t>
  </si>
  <si>
    <t>SL1 4AX</t>
  </si>
  <si>
    <t>Equinix London Slough (LD6)</t>
  </si>
  <si>
    <t>Slough SL1</t>
  </si>
  <si>
    <t>4PF</t>
  </si>
  <si>
    <t>Equinix London West (LD2)</t>
  </si>
  <si>
    <t>West Drayton</t>
  </si>
  <si>
    <t>UB7 0NA</t>
  </si>
  <si>
    <t>Equinix Los Angeles (LA1)</t>
  </si>
  <si>
    <t>LSANCA</t>
  </si>
  <si>
    <t>213-270</t>
  </si>
  <si>
    <t>90017-3859</t>
  </si>
  <si>
    <t>Equinix Los Angeles (LA2)</t>
  </si>
  <si>
    <t>Equinix Los Angeles (LA5)</t>
  </si>
  <si>
    <t>Equinix Melbourne</t>
  </si>
  <si>
    <t>Port Melbourne</t>
  </si>
  <si>
    <t>VIC 3207</t>
  </si>
  <si>
    <t>AU</t>
  </si>
  <si>
    <t>Equinix Miami (MI2)</t>
  </si>
  <si>
    <t>305-375</t>
  </si>
  <si>
    <t>FL</t>
  </si>
  <si>
    <t>Equinix Miami (MI1) **FACILITY HAS BEEN SHUT DOWN**</t>
  </si>
  <si>
    <t>Equinix Miami (MI3)</t>
  </si>
  <si>
    <t>MIAMFL</t>
  </si>
  <si>
    <t>305-374</t>
  </si>
  <si>
    <t>Boca Raton</t>
  </si>
  <si>
    <t>Equinix Munich (MU1)</t>
  </si>
  <si>
    <t>Munich</t>
  </si>
  <si>
    <t>Equinix New York (111 8th)</t>
  </si>
  <si>
    <t>NYCMNY</t>
  </si>
  <si>
    <t>212-206</t>
  </si>
  <si>
    <t>NY</t>
  </si>
  <si>
    <t>Equinix New York (111 8th, will be replaced by id 38)</t>
  </si>
  <si>
    <t>Equinix New York (60 Hudson)</t>
  </si>
  <si>
    <t>Equinix Newark (NY1)</t>
  </si>
  <si>
    <t>NWRKNJ</t>
  </si>
  <si>
    <t>973-792</t>
  </si>
  <si>
    <t>Newark</t>
  </si>
  <si>
    <t>07102-2834</t>
  </si>
  <si>
    <t>Equinix North Bergen, NJ</t>
  </si>
  <si>
    <t>NBRGNJ</t>
  </si>
  <si>
    <t>North Bergen</t>
  </si>
  <si>
    <t>Equinix Palo Alto (SV8)</t>
  </si>
  <si>
    <t>PLALCA</t>
  </si>
  <si>
    <t>650-617</t>
  </si>
  <si>
    <t>Palo Alto</t>
  </si>
  <si>
    <t>94301-1704</t>
  </si>
  <si>
    <t>Equinix Paris Pantin (PA4)</t>
  </si>
  <si>
    <t>PARSFR</t>
  </si>
  <si>
    <t>FR</t>
  </si>
  <si>
    <t>Equinix Paris Roissy (PA1)</t>
  </si>
  <si>
    <t>Equinix Paris Saint-Denis (PA2)</t>
  </si>
  <si>
    <t>Equinix Paris Saint-Denis (PA3)</t>
  </si>
  <si>
    <t>Equinix Philadelphia</t>
  </si>
  <si>
    <t>215-627</t>
  </si>
  <si>
    <t>PA</t>
  </si>
  <si>
    <t>Equinix San Jose (SV1/5)</t>
  </si>
  <si>
    <t>SNJSCA</t>
  </si>
  <si>
    <t>408-360</t>
  </si>
  <si>
    <t>San Jose</t>
  </si>
  <si>
    <t>95119-1242</t>
  </si>
  <si>
    <t>Equinix San Jose (SV2)</t>
  </si>
  <si>
    <t>408-450</t>
  </si>
  <si>
    <t>Santa Clara</t>
  </si>
  <si>
    <t>Equinix San Jose (SV3)</t>
  </si>
  <si>
    <t>Equinix Seattle (SE2/3)</t>
  </si>
  <si>
    <t>STTLWA</t>
  </si>
  <si>
    <t>206-443</t>
  </si>
  <si>
    <t>WA</t>
  </si>
  <si>
    <t>Equinix Secaucus (NY2/4)</t>
  </si>
  <si>
    <t>SCCSNJ</t>
  </si>
  <si>
    <t>201-325</t>
  </si>
  <si>
    <t>Secaucus</t>
  </si>
  <si>
    <t>Equinix Secaucus (NY5/6)</t>
  </si>
  <si>
    <t>UNCYNJ</t>
  </si>
  <si>
    <t>201-864</t>
  </si>
  <si>
    <t>Equinix Singapore</t>
  </si>
  <si>
    <t>SG</t>
  </si>
  <si>
    <t>Equinix Singapore (SG2)</t>
  </si>
  <si>
    <t>Equinix Singapore (SG3)</t>
  </si>
  <si>
    <t>Equinix Sunnyvale (SV4)</t>
  </si>
  <si>
    <t>Sunnyvale, CA</t>
  </si>
  <si>
    <t>Equinix Sunnyvale (SV6)</t>
  </si>
  <si>
    <t>SNVBCA</t>
  </si>
  <si>
    <t>408-400</t>
  </si>
  <si>
    <t>Sunnyvale</t>
  </si>
  <si>
    <t>Ca</t>
  </si>
  <si>
    <t>Equinix Sydney</t>
  </si>
  <si>
    <t>SYDNAU</t>
  </si>
  <si>
    <t>Mascot (Sydney) NSW</t>
  </si>
  <si>
    <t>Equinix Sydney (SY3)</t>
  </si>
  <si>
    <t>Alexandria NSW</t>
  </si>
  <si>
    <t>Equinix Tokyo (TY1)</t>
  </si>
  <si>
    <t>EQTKJP</t>
  </si>
  <si>
    <t>143-0006</t>
  </si>
  <si>
    <t>JP</t>
  </si>
  <si>
    <t>Equinix Tokyo (TY2)</t>
  </si>
  <si>
    <t>140-0002</t>
  </si>
  <si>
    <t>Equinix Tokyo (TY3)</t>
  </si>
  <si>
    <t>Equinix Tokyo (TY4)</t>
  </si>
  <si>
    <t>100-0004</t>
  </si>
  <si>
    <t>Equinix Toronto</t>
  </si>
  <si>
    <t>TOROON</t>
  </si>
  <si>
    <t>416-369</t>
  </si>
  <si>
    <t>ON</t>
  </si>
  <si>
    <t>M5J 2N1</t>
  </si>
  <si>
    <t>Equinix Toronto (TR2)</t>
  </si>
  <si>
    <t>416-360</t>
  </si>
  <si>
    <t>M5A 0G7</t>
  </si>
  <si>
    <t>Equinix Vienna (DC8)</t>
  </si>
  <si>
    <t>VINNVA</t>
  </si>
  <si>
    <t>Vienna</t>
  </si>
  <si>
    <t>Equinix Vienna, VA (DC7)</t>
  </si>
  <si>
    <t>703-760</t>
  </si>
  <si>
    <t>Equinix Zurich (ZH1)</t>
  </si>
  <si>
    <t>Zurich</t>
  </si>
  <si>
    <t>ZH</t>
  </si>
  <si>
    <t>Equinix Zurich (ZH2)</t>
  </si>
  <si>
    <t>Equinix Zurich (ZH3)</t>
  </si>
  <si>
    <t>Equinix Zurich (ZH4)</t>
  </si>
  <si>
    <t>Equinix Zurich South (ZH5)</t>
  </si>
  <si>
    <t>Equinix Zwolle (ZW1)</t>
  </si>
  <si>
    <t>Zwolle</t>
  </si>
  <si>
    <t>8013RL</t>
  </si>
  <si>
    <t>Management</t>
  </si>
  <si>
    <t>CLLI</t>
  </si>
  <si>
    <t>NPA-NXX</t>
  </si>
  <si>
    <t>City</t>
  </si>
  <si>
    <t>State / Prov</t>
  </si>
  <si>
    <t>Postal Code</t>
  </si>
  <si>
    <t>Country</t>
  </si>
  <si>
    <t>Participants</t>
  </si>
  <si>
    <t>TelecityGroup</t>
  </si>
  <si>
    <t>AMSTNL</t>
  </si>
  <si>
    <t>1098 XG</t>
  </si>
  <si>
    <t>1101 AE</t>
  </si>
  <si>
    <t>1042 AB</t>
  </si>
  <si>
    <t>1096 AM</t>
  </si>
  <si>
    <t>1105AT</t>
  </si>
  <si>
    <t>Dublin 15</t>
  </si>
  <si>
    <t>IE</t>
  </si>
  <si>
    <t>Dublin</t>
  </si>
  <si>
    <t>D24</t>
  </si>
  <si>
    <t>Helsinki</t>
  </si>
  <si>
    <t>FI</t>
  </si>
  <si>
    <t>Vantaa</t>
  </si>
  <si>
    <t>E14 9GE</t>
  </si>
  <si>
    <t>E14 9FJ</t>
  </si>
  <si>
    <t>LONDON</t>
  </si>
  <si>
    <t>NW10 6PW</t>
  </si>
  <si>
    <t>E14 9SD</t>
  </si>
  <si>
    <t>E14 9TR</t>
  </si>
  <si>
    <t>E14 9SZ</t>
  </si>
  <si>
    <t>Manchester</t>
  </si>
  <si>
    <t>M15 6SE</t>
  </si>
  <si>
    <t>M17 1HE</t>
  </si>
  <si>
    <t>Milano</t>
  </si>
  <si>
    <t>IT</t>
  </si>
  <si>
    <t>Sofia</t>
  </si>
  <si>
    <t>BG</t>
  </si>
  <si>
    <t>Bromma</t>
  </si>
  <si>
    <t>SE</t>
  </si>
  <si>
    <t>Sk?ndal</t>
  </si>
  <si>
    <t>TCY Amsterdam 1 (Science Park)</t>
  </si>
  <si>
    <t>TCY Amsterdam 2 (South East)</t>
  </si>
  <si>
    <t>TCY Amsterdam 3 (Sloterdijk)</t>
  </si>
  <si>
    <t>TCY Amsterdam 4 (Wenckebachweg)</t>
  </si>
  <si>
    <t>TCY Amsterdam 5 (Schepenbergweg)</t>
  </si>
  <si>
    <t>TCY Dublin Ballycoolin</t>
  </si>
  <si>
    <t>TCY Dublin CityWest</t>
  </si>
  <si>
    <t>TCY Dublin Kilcarbery</t>
  </si>
  <si>
    <t>TCY Frankfurt (Gutleutstrasse)</t>
  </si>
  <si>
    <t>TCY Frankfurt (Lyoner Strasse)</t>
  </si>
  <si>
    <t>TCY Helsinki 1 (Hiomo)</t>
  </si>
  <si>
    <t>TCY Helsinki 2 (Uspenski)</t>
  </si>
  <si>
    <t>TCY Helsinki 3 (Suvilahti)</t>
  </si>
  <si>
    <t>TCY Helsinki 4 (Hansa)</t>
  </si>
  <si>
    <t>TCY Helsinki 5 (Viikinmäki)</t>
  </si>
  <si>
    <t>TCY London (HEX67)</t>
  </si>
  <si>
    <t>TCY London (Meridian Gate)</t>
  </si>
  <si>
    <t>TCY London (Powergate)</t>
  </si>
  <si>
    <t>TCY London (Sovereign House)</t>
  </si>
  <si>
    <t>TCY London 1 (Bonnington House)</t>
  </si>
  <si>
    <t>TCY London 2 (HEX89)</t>
  </si>
  <si>
    <t>TCY London 3 (Bellerive House)</t>
  </si>
  <si>
    <t>TCY Manchester 1 (Williams House)</t>
  </si>
  <si>
    <t>TCY Manchester 2 (Kilburn House)</t>
  </si>
  <si>
    <t>TCY Manchester 3 (Joule House)</t>
  </si>
  <si>
    <t>TCY Milano 1 (Via Savona)</t>
  </si>
  <si>
    <t>TCY Milano 2 (Basiglio)</t>
  </si>
  <si>
    <t>TCY Northwest Business Park</t>
  </si>
  <si>
    <t>TCY Paris (Aubervilliers)</t>
  </si>
  <si>
    <t>TCY Paris (Condorcet)</t>
  </si>
  <si>
    <t>TCY Paris (Courbevoie)</t>
  </si>
  <si>
    <t>TCY Stockholm 1</t>
  </si>
  <si>
    <t>TCY Stockholm 2</t>
  </si>
  <si>
    <t>TCY Sofia 1</t>
  </si>
  <si>
    <t>EQIX London West (LD2)</t>
  </si>
  <si>
    <t>Debt (USD) - Acquired company (assumed by EQIX)</t>
  </si>
  <si>
    <t xml:space="preserve">Capital Leases - Telecity </t>
  </si>
  <si>
    <t>Capital leases - Telecity</t>
  </si>
  <si>
    <t>4Q15</t>
  </si>
  <si>
    <t>EQUINIX - 2016 GUIDANCE</t>
  </si>
  <si>
    <t>EQUINIX - 1Q16 GUIDANCE</t>
  </si>
  <si>
    <t>&gt; $3,550</t>
  </si>
  <si>
    <t>&gt; $1,620</t>
  </si>
  <si>
    <t>&gt; $970</t>
  </si>
  <si>
    <t>$900 - $1,000</t>
  </si>
  <si>
    <t>$760 - $860</t>
  </si>
  <si>
    <t>2.6% Q/Q constant FX growth rate</t>
  </si>
  <si>
    <t xml:space="preserve">1.  Includes $3.7M FX headwinds (relative to 4Q15 average).  </t>
  </si>
  <si>
    <t>67 - 68%</t>
  </si>
  <si>
    <t>$196 - $200</t>
  </si>
  <si>
    <t>$368 - $372</t>
  </si>
  <si>
    <t xml:space="preserve">2.  Includes $1.1M FX headwinds (relative to 4Q15 average).  </t>
  </si>
  <si>
    <t>Assumes $17M in integration costs</t>
  </si>
  <si>
    <t>Assumes $49M from Telecity and Bit-isle</t>
  </si>
  <si>
    <t>$235 - $255</t>
  </si>
  <si>
    <t>$205 - $225</t>
  </si>
  <si>
    <t>Revolver</t>
  </si>
  <si>
    <t>HK2 phase 4 (Hong Kong)</t>
  </si>
  <si>
    <t>WA2 phase 2 (Warsaw)</t>
  </si>
  <si>
    <t>FR5 phase 3 (Frankfurt)</t>
  </si>
  <si>
    <t>AM4 Phase 1 (Amsterdam)</t>
  </si>
  <si>
    <t>$770- $790</t>
  </si>
  <si>
    <t>Intergration</t>
  </si>
  <si>
    <t>$838 - $842</t>
  </si>
  <si>
    <t>Bit-isle</t>
  </si>
  <si>
    <t>Annualized synergies (USD)</t>
  </si>
  <si>
    <t>EQUINIX - 2Q16 GUIDANCE</t>
  </si>
  <si>
    <t>Total MRR / Cabinet - EMEA</t>
  </si>
  <si>
    <t>EMEA MRR / Cabinet</t>
  </si>
  <si>
    <t>$893 - $899</t>
  </si>
  <si>
    <t>$195 - $201</t>
  </si>
  <si>
    <t>$403 - $409</t>
  </si>
  <si>
    <t xml:space="preserve">1.  Includes $12.6M FX tailwinds (relative to 1Q16 average).  </t>
  </si>
  <si>
    <t>2.5% Q/Q constant FX growth rate</t>
  </si>
  <si>
    <t xml:space="preserve">2.  Includes $6.8M FX headwinds (relative to 1Q16 average).  </t>
  </si>
  <si>
    <t>Assumes $15.2M in integration costs</t>
  </si>
  <si>
    <t>$280 - $300</t>
  </si>
  <si>
    <t>$322 - $342</t>
  </si>
  <si>
    <t>EQIX (4Q15)</t>
  </si>
  <si>
    <t>&gt; $3,595</t>
  </si>
  <si>
    <t>Assumes $565M for Telecity and Bit-isle.  13.4% Y/Y constant FX organic growth rate</t>
  </si>
  <si>
    <t>$775- $795</t>
  </si>
  <si>
    <t>&gt; $1,650</t>
  </si>
  <si>
    <t>16.2% Y/Y constant FX organic growth rate</t>
  </si>
  <si>
    <t xml:space="preserve">2. Includes $16.4M FX tailwind on organic EBITDA (relative to prior rates).  Assumes </t>
  </si>
  <si>
    <t xml:space="preserve">$255M from Telecity and Bit-isle and $55M in integration costs.  </t>
  </si>
  <si>
    <t>&gt; $1,015</t>
  </si>
  <si>
    <t>3. Includes $63.5M expected FX loss from Telecity</t>
  </si>
  <si>
    <t>$755 - $855</t>
  </si>
  <si>
    <t>Note:  EUR, GBP, JPY, SGD, and BRL revenue exposure is 17%, 11%, 7%, 6% and 2%, respectively</t>
  </si>
  <si>
    <t>Guidance assumes:  1.13 USD / EUR, 1.49 USD / GBP, 1.36 SGD / USD, 110 JPY / USD, 3.67 BRL / USD</t>
  </si>
  <si>
    <t xml:space="preserve">1. Includes $42.4M FX tailwinds on organic revenues (relative to prior rates).  </t>
  </si>
  <si>
    <t>DA7 phase 2 (Dallas)</t>
  </si>
  <si>
    <t>DC11 phase 3 (Ashburn)</t>
  </si>
  <si>
    <t>SV10 phase 1 (San Jose)</t>
  </si>
  <si>
    <t>NY5 phase 2 (New York)</t>
  </si>
  <si>
    <t>HK1 phase 10 (Hong Kong)</t>
  </si>
  <si>
    <t>HK1 phase 11 (Hong Kong)</t>
  </si>
  <si>
    <t>2Q16</t>
  </si>
  <si>
    <t>EQUINIX - 3Q16 GUIDANCE</t>
  </si>
  <si>
    <t>EQIX (1Q16)</t>
  </si>
  <si>
    <t>EQIX (2Q16)</t>
  </si>
  <si>
    <t>$3,598 - 3,608</t>
  </si>
  <si>
    <t>$1,658 - 1,668</t>
  </si>
  <si>
    <t>1. Assumes $550 - 560M for Telecity and Bit-isle.  13.8% Y/Y constant FX organic growth rate</t>
  </si>
  <si>
    <t xml:space="preserve">2. Assumes $250 - 260M from Telecity and Bit-isle and $55M in integration costs.  </t>
  </si>
  <si>
    <t xml:space="preserve"> Includes $1.5M FX tailwinds on organic revenues (relative to prior rates).  </t>
  </si>
  <si>
    <t>$782- $792</t>
  </si>
  <si>
    <t>16.8% Y/Y constant FX organic growth rate</t>
  </si>
  <si>
    <t xml:space="preserve"> Includes $0.8M FX tailwind on organic EBITDA (relative to prior rates)</t>
  </si>
  <si>
    <t>$950 - $1,000</t>
  </si>
  <si>
    <t>$805 - $855</t>
  </si>
  <si>
    <t>Guidance assumes:  1.12 USD / EUR, 1.43 USD / GBP, 1.35 SGD / USD, 101 JPY / USD, 3.327 BRL / USD</t>
  </si>
  <si>
    <t>Note:  EUR, GBP, JPY, SGD, and BRL revenue exposure is 19%, 11%, 7%, 6% and 3%, respectively</t>
  </si>
  <si>
    <t>$915 - $921</t>
  </si>
  <si>
    <t>$199 - $205</t>
  </si>
  <si>
    <t>$419 - $425</t>
  </si>
  <si>
    <t>$270 - $290</t>
  </si>
  <si>
    <t>$230 - $250</t>
  </si>
  <si>
    <t>2.4% Q/Q constant FX growth rate</t>
  </si>
  <si>
    <t xml:space="preserve">2.  Includes $1.6M FX headwinds (relative to 2Q16 average).  </t>
  </si>
  <si>
    <t>Assumes $17.0M in integration costs</t>
  </si>
  <si>
    <t xml:space="preserve">1.  Includes $3M FX headwinds (relative to 2Q16 average).  </t>
  </si>
  <si>
    <t>DB4 phase 2 (Dublin)</t>
  </si>
  <si>
    <t>FR6 phase 1 (Frankfurt)</t>
  </si>
  <si>
    <t>PA4 phase 3 (Paris)</t>
  </si>
  <si>
    <t>SG2 Phase 8 (Singapore)</t>
  </si>
  <si>
    <t>DC12 phase 1 (Ashburn)</t>
  </si>
  <si>
    <t>$1,040 - 1,050</t>
  </si>
  <si>
    <t>3Q16</t>
  </si>
  <si>
    <t>EQUINIX - 4Q16 GUIDANCE</t>
  </si>
  <si>
    <t>EQIX (3Q16)</t>
  </si>
  <si>
    <t>$3,609 - 3,615</t>
  </si>
  <si>
    <t xml:space="preserve"> Includes $1M FX headwinds on organic revenues (relative to prior rates).  </t>
  </si>
  <si>
    <t>1. Assumes $553 - 559M for Telecity and Bit-isle.  14.1% Y/Y constant FX organic growth rate</t>
  </si>
  <si>
    <t>$779- $785</t>
  </si>
  <si>
    <t>$1,650 - 1,656</t>
  </si>
  <si>
    <t>17% Y/Y constant FX organic growth rate</t>
  </si>
  <si>
    <t xml:space="preserve">2. Assumes $250M from Telecity and Bit-isle and $59M in integration costs.  </t>
  </si>
  <si>
    <t>$1,059 - 1,065</t>
  </si>
  <si>
    <t>3. Includes $64M expected FX loss from Telecity, $59M of integration costs</t>
  </si>
  <si>
    <t>$1,000</t>
  </si>
  <si>
    <t>$853</t>
  </si>
  <si>
    <t>Guidance assumes:  1.12 USD / EUR, 1.42 USD / GBP, 1.37 SGD / USD, 103.01 JPY / USD, 3.23 BRL / USD</t>
  </si>
  <si>
    <t>Note:  EUR, GBP, JPY, SGD, and BRL revenue exposure is 19%, 10%, 8%, 7% and 3%, respectively</t>
  </si>
  <si>
    <t>$940 - $946</t>
  </si>
  <si>
    <t xml:space="preserve">1.  Includes $4M FX headwinds (relative to 3Q16 average).  </t>
  </si>
  <si>
    <t>$429 - $435</t>
  </si>
  <si>
    <t xml:space="preserve">2.  Includes $2M FX headwinds (relative to 3Q16 average).  </t>
  </si>
  <si>
    <t>DA6 phase 2 (Dallas)</t>
  </si>
  <si>
    <t>DB3 phase 6 (Dublin)</t>
  </si>
  <si>
    <t>ZH5 phase 2 (Zurich)</t>
  </si>
  <si>
    <t>HE6 phase 3 (Helsinki)</t>
  </si>
  <si>
    <t>FR2 phase 5 - B (Frankfurt)</t>
  </si>
  <si>
    <t>Non-cash portion of income tax expense / other</t>
  </si>
  <si>
    <t>4Q16</t>
  </si>
  <si>
    <t>EQUINIX - 1Q17 GUIDANCE</t>
  </si>
  <si>
    <t>EQUINIX - 2017 GUIDANCE</t>
  </si>
  <si>
    <t>&gt; $3,933</t>
  </si>
  <si>
    <t>&gt; $1,842</t>
  </si>
  <si>
    <t>&gt; $1,249</t>
  </si>
  <si>
    <t>1. 11% Y/Y constant FX organic growth rate</t>
  </si>
  <si>
    <t xml:space="preserve"> Includes $88M FX headwinds on organic revenues (relative to prior rates).  </t>
  </si>
  <si>
    <t>67-68%</t>
  </si>
  <si>
    <t>$805 - 825</t>
  </si>
  <si>
    <t xml:space="preserve"> Includes $37M FX headwind on organic EBITDA (relative to prior rates)</t>
  </si>
  <si>
    <t>$1,100 - 1,200</t>
  </si>
  <si>
    <t>$940 - $1,035</t>
  </si>
  <si>
    <t>$160 - $165</t>
  </si>
  <si>
    <t>3. Includes $30M of integration costs</t>
  </si>
  <si>
    <t>Note:  EUR, GBP, JPY, SGD, and BRL revenue exposure is 19%, 9%, 6%, 7% and 3%, respectively</t>
  </si>
  <si>
    <t>Guidance assumes:  1.08 USD / EUR, 1.40 USD / GBP, 1.45 SGD / USD, 117.65 JPY / USD, 3.26 BRL / USD</t>
  </si>
  <si>
    <t>2. Assumes $30M in integration costs.  11% Y/Y constant FX organic growth rate</t>
  </si>
  <si>
    <t>$208 - $214</t>
  </si>
  <si>
    <t>$421 - $427</t>
  </si>
  <si>
    <t>$280- $300</t>
  </si>
  <si>
    <t>$250- $270</t>
  </si>
  <si>
    <t xml:space="preserve">1.  Includes $18M FX headwinds (relative to 4Q16 average).  </t>
  </si>
  <si>
    <t>2% Q/Q constant FX growth rate</t>
  </si>
  <si>
    <t xml:space="preserve">2.  Includes $10M FX headwinds (relative to 4Q16 average).  </t>
  </si>
  <si>
    <t>Assumes $14.0M in integration costs and $18M of seasonally adjusted costs</t>
  </si>
  <si>
    <t>Term Loan - (L + 1.75%)</t>
  </si>
  <si>
    <t>Japanese Yen Term Loan - (TIBOR + 1.5%)</t>
  </si>
  <si>
    <t>RJ2 phase 3 (Rio de Janeiro)</t>
  </si>
  <si>
    <t>TR2 phase 2 (Toronto)</t>
  </si>
  <si>
    <t>CH3 phase 4 (Chicago)</t>
  </si>
  <si>
    <t>DX1 phase 2 (Dubai)</t>
  </si>
  <si>
    <t>AM6 Phase 2 (Amsterdam)</t>
  </si>
  <si>
    <t>2018e AFFO / diluted share</t>
  </si>
  <si>
    <t>2018e AFFO</t>
  </si>
  <si>
    <t>2018e EBITDA (includes stock comp)</t>
  </si>
  <si>
    <t>2018e EBITDA</t>
  </si>
  <si>
    <t>2018 VALUATION</t>
  </si>
  <si>
    <t>Implied 2018e EBITDA multiple</t>
  </si>
  <si>
    <t>Implied 2018e AFFO multiple</t>
  </si>
  <si>
    <t xml:space="preserve">Senior Notes (5.375%) - 2027 </t>
  </si>
  <si>
    <t>Verizon assets</t>
  </si>
  <si>
    <t xml:space="preserve">Revenues </t>
  </si>
  <si>
    <t>1Q17</t>
  </si>
  <si>
    <t>EQUINIX - 2Q17 GUIDANCE</t>
  </si>
  <si>
    <t>&gt; $1,860</t>
  </si>
  <si>
    <t>&gt; $3,976</t>
  </si>
  <si>
    <t>$976 - $982</t>
  </si>
  <si>
    <t>$206 - $212</t>
  </si>
  <si>
    <t>$447 - $453</t>
  </si>
  <si>
    <t>$331 - $351</t>
  </si>
  <si>
    <t>$290- $310</t>
  </si>
  <si>
    <t xml:space="preserve">1.  Includes $5M FX benefit (relative to 1Q17 average).  </t>
  </si>
  <si>
    <t xml:space="preserve">2.  Includes $4M FX benefit (relative to 1Q17 average).  </t>
  </si>
  <si>
    <t>Assumes $10.0M in integration costs</t>
  </si>
  <si>
    <t>1. 11.1% Y/Y constant FX organic growth rate</t>
  </si>
  <si>
    <t xml:space="preserve"> Includes $40M FX benefit on organic revenues (relative to prior rates).  </t>
  </si>
  <si>
    <t>$810 - 830</t>
  </si>
  <si>
    <t>2. Assumes $30M in integration costs.  11.3% Y/Y constant FX organic growth rate</t>
  </si>
  <si>
    <t>&gt; $1,214</t>
  </si>
  <si>
    <t>3. Includes $87M of interest expense related to Verizon data center acquisition</t>
  </si>
  <si>
    <t>Note:  EUR, GBP, JPY, SGD, and BRL revenue exposure is 19%, 10%, 7%, 7% and 3%, respectively</t>
  </si>
  <si>
    <t>Guidance assumes:  1.09 USD / EUR, 1.40 USD / GBP, 1.40 SGD / USD, 111.11 JPY / USD, 3.13 BRL / USD</t>
  </si>
  <si>
    <t xml:space="preserve"> Includes $14M FX benefit on organic EBITDA (relative to prior rates)</t>
  </si>
  <si>
    <t>SY4 Phase 2 (Sydney)</t>
  </si>
  <si>
    <t>PA4 phase 4 (Paris)</t>
  </si>
  <si>
    <t>LD10 phase 2 (London)</t>
  </si>
  <si>
    <t>Restricted cash</t>
  </si>
  <si>
    <t>Term B-2 Loan - (EURIBOR + 2.325%)</t>
  </si>
  <si>
    <t>2Q17</t>
  </si>
  <si>
    <t>EQUINIX - 3Q17 GUIDANCE</t>
  </si>
  <si>
    <t>$1,133 - $1,141</t>
  </si>
  <si>
    <t>3% Q/Q normalized, constant FX growth rate</t>
  </si>
  <si>
    <t>$218 - $226</t>
  </si>
  <si>
    <t>$535 - $543</t>
  </si>
  <si>
    <t>$313 - $333</t>
  </si>
  <si>
    <t>$260- $380</t>
  </si>
  <si>
    <t xml:space="preserve">2.  Includes $2M FX benefit (relative to 2Q17 average).  </t>
  </si>
  <si>
    <t>Assumes $16.0M in integration costs</t>
  </si>
  <si>
    <t xml:space="preserve">1.  Includes $2M FX benefit (relative to 2Q17 average).  </t>
  </si>
  <si>
    <t>$4,317 - 4,327</t>
  </si>
  <si>
    <t>1. &gt;11% Y/Y constant FX organic growth rate</t>
  </si>
  <si>
    <t xml:space="preserve"> Includes $8M FX benefit on organic revenues (relative to prior rates).  </t>
  </si>
  <si>
    <t>$868 - 878</t>
  </si>
  <si>
    <t>$2,038 - 2,048</t>
  </si>
  <si>
    <t>2. Assumes $52M in integration costs.  11% Y/Y constant FX organic growth rate</t>
  </si>
  <si>
    <t>$1,382 - 1,392</t>
  </si>
  <si>
    <t>3. 13% Y/Y normalized constant FX organic growth rate</t>
  </si>
  <si>
    <t>$1,250 - 1,300</t>
  </si>
  <si>
    <t>$1,075 - $1,125</t>
  </si>
  <si>
    <t>Guidance assumes:  1.12 USD / EUR, 1.39 USD / GBP, 1.38 SGD / USD, 112.36 JPY / USD, 3.31 BRL / USD</t>
  </si>
  <si>
    <t>Note:  EUR, GBP, JPY, SGD, and BRL revenue exposure is 18%, 9%, 6%, 7% and 4%, respectively</t>
  </si>
  <si>
    <t>MI1 Capacity Release (Miami)</t>
  </si>
  <si>
    <t>HK5 phase 1 (Hong Kong)</t>
  </si>
  <si>
    <t>OS1 phase 4 (Osaka)</t>
  </si>
  <si>
    <t>DX1 phase 3 (Dubai)</t>
  </si>
  <si>
    <t>LD9 phase 4 (London)</t>
  </si>
  <si>
    <t>AM2 Phase 3 (Amsterdam)</t>
  </si>
  <si>
    <t>3Q17</t>
  </si>
  <si>
    <t>EQUINIX - 4Q17 GUIDANCE</t>
  </si>
  <si>
    <t>2Q117</t>
  </si>
  <si>
    <t>EQIX (3Q17)</t>
  </si>
  <si>
    <t>$562 - $570</t>
  </si>
  <si>
    <t>$4,355 - 4,363</t>
  </si>
  <si>
    <t>$2,049 - 2,057</t>
  </si>
  <si>
    <t>2. Assumes $54M in integration costs.  11% Y/Y constant FX organic growth rate</t>
  </si>
  <si>
    <t>$1,411 - 1,419</t>
  </si>
  <si>
    <t>3. 14% Y/Y normalized constant FX organic growth rate</t>
  </si>
  <si>
    <t xml:space="preserve"> Includes $16M FX benefit on organic revenues (relative to prior rates), $13M from Itconic and Istanbul 2 acquisitions</t>
  </si>
  <si>
    <t xml:space="preserve"> Includes $7M FX benefit on organic EBITDA (relative to prior rates), $1M from Itconic and Istanbul 2 acquisitions</t>
  </si>
  <si>
    <t>Guidance assumes:  1.13 USD / EUR, 1.38 USD / GBP, 1.36 SGD / USD, 112 JPY / USD, 3.16 BRL / USD</t>
  </si>
  <si>
    <t>Note:  EUR, GBP, JPY, SGD, and BRL revenue exposure is 18%, 9%, 6%, 6% and 4%, respectively</t>
  </si>
  <si>
    <t>$1,187 - $1,195</t>
  </si>
  <si>
    <t>$228 - $236</t>
  </si>
  <si>
    <t xml:space="preserve">1.  Includes $1M FX headwind (relative to 3Q17 average).  </t>
  </si>
  <si>
    <t>Assumes $13M in integration costs</t>
  </si>
  <si>
    <t>$355 - $375</t>
  </si>
  <si>
    <t>$1,300 - 1,320</t>
  </si>
  <si>
    <t>$1,130 - $1,150</t>
  </si>
  <si>
    <t>$883 - 891</t>
  </si>
  <si>
    <t xml:space="preserve">2.  Includes $2M FX headwind (relative to 3Q17 average).  </t>
  </si>
  <si>
    <t>DE2 phase 2 (Denver)</t>
  </si>
  <si>
    <t>MI1 phase 2 (Miami)</t>
  </si>
  <si>
    <t>SP3 phase 2 (São Paulo)</t>
  </si>
  <si>
    <t>ME1 phase 3 (Melbourne)</t>
  </si>
  <si>
    <t>SG3 phase 3 (Singapore)</t>
  </si>
  <si>
    <t>FR6 phase 2 (Frankfurt)</t>
  </si>
  <si>
    <t>LD9 phase 5 (London)</t>
  </si>
  <si>
    <t>AM7 Phase 2 (Amsterdam)</t>
  </si>
  <si>
    <t>FR5 phase 4 (Frankfurt)</t>
  </si>
  <si>
    <t>Senior Notes (2.875%) - 2025 (10/1/25)</t>
  </si>
  <si>
    <t xml:space="preserve">Senior Notes (2.875%) - 2025 </t>
  </si>
  <si>
    <t>Itconic</t>
  </si>
  <si>
    <t>Istanbul</t>
  </si>
  <si>
    <t>ACQUISITIONS</t>
  </si>
  <si>
    <t>435</t>
  </si>
  <si>
    <t>4Q17</t>
  </si>
  <si>
    <t>EQUINIX - 2018 GUIDANCE</t>
  </si>
  <si>
    <t>1Q18E</t>
  </si>
  <si>
    <t>2Q18E</t>
  </si>
  <si>
    <t>3Q18E</t>
  </si>
  <si>
    <t>4Q18E</t>
  </si>
  <si>
    <t>SK2 phase 6 (Stockholm)</t>
  </si>
  <si>
    <t>EQUINIX - 1Q18 GUIDANCE</t>
  </si>
  <si>
    <t>$1,204 - $1,212</t>
  </si>
  <si>
    <t>SG&amp;A (% rev)</t>
  </si>
  <si>
    <t>$549 - $557</t>
  </si>
  <si>
    <t xml:space="preserve">1.  Includes $1M FX headwind (relative to 4Q17 average).  </t>
  </si>
  <si>
    <t>1% Q/Q normalized, constant FX growth rate</t>
  </si>
  <si>
    <t xml:space="preserve">2.  Includes &lt;$1M FX headwind (relative to 4Q17 average).  </t>
  </si>
  <si>
    <t>Assumes $20M seasonally adjusted costs and $15M in integration costs</t>
  </si>
  <si>
    <t>&gt; $5,010</t>
  </si>
  <si>
    <t>19-20%</t>
  </si>
  <si>
    <t>&gt; $2,385</t>
  </si>
  <si>
    <t>&gt; $1,635</t>
  </si>
  <si>
    <t>$1,700 - $1,800</t>
  </si>
  <si>
    <t>$1,900 - 2,000</t>
  </si>
  <si>
    <t xml:space="preserve"> Includes $5M FX benefit on organic revenues (relative to prior rates), $65M from Itconic and Istanbul 2 acquisitions</t>
  </si>
  <si>
    <t>Assumes -$15M from ASC 606.  Assumes 5% non-recurring revs</t>
  </si>
  <si>
    <t xml:space="preserve">2. Assumes $35M in integration costs.  </t>
  </si>
  <si>
    <t xml:space="preserve"> Includes $2M FX benefit on organic EBITDA (relative to prior rates), $23M from Itconic and Istanbul 2 acquisitions</t>
  </si>
  <si>
    <t>3. 14% Y/Y growth rate</t>
  </si>
  <si>
    <t>Note:  EUR, GBP, JPY, SGD, and BRL revenue exposure is 19%, 9%, 6%, 5% and 4%, respectively</t>
  </si>
  <si>
    <t>Guidance assumes:  1.15 USD / EUR, 1.34 USD / GBP, 1.34 SGD / USD, 112 JPY / USD, 3.31 BRL / USD</t>
  </si>
  <si>
    <t>1. &gt;10% Y/Y constant FX organic growth rate (excluding VZ)</t>
  </si>
  <si>
    <t>CU4 phase 2 (Culpeper)</t>
  </si>
  <si>
    <t>HO1 phase 2 (Houston)</t>
  </si>
  <si>
    <t>SP4 phase 2 (São Paulo)</t>
  </si>
  <si>
    <t>DC12 phase 2 (Ashburn)</t>
  </si>
  <si>
    <t>SV10 phase 2 (San Jose)</t>
  </si>
  <si>
    <t>Senior Notes (2.875%) - 2029 (12/1/27)</t>
  </si>
  <si>
    <t>Senior Notes (2.875%) - 2026</t>
  </si>
  <si>
    <t>2022E</t>
  </si>
  <si>
    <t>2023E</t>
  </si>
  <si>
    <t>2024E</t>
  </si>
  <si>
    <t>2025E</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</si>
  <si>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</si>
  <si>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</si>
  <si>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</si>
  <si>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</si>
  <si>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</si>
  <si>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</si>
  <si>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</si>
  <si>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</si>
  <si>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Simon Flannery, Lisa Lam</t>
  </si>
  <si>
    <t>Date: 23 Apr 2018</t>
  </si>
  <si>
    <t>Ticker: EQIX.O</t>
  </si>
  <si>
    <t>Stock Rating: Equal-Weight</t>
  </si>
  <si>
    <t>Industry: Telecom Services</t>
  </si>
  <si>
    <t>Industry View: Cautious</t>
  </si>
  <si>
    <t>Price as of 23 Apr 2018: 406.06</t>
  </si>
  <si>
    <t>Target Price: 435</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</si>
  <si>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</si>
  <si>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</si>
  <si>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</si>
  <si>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</si>
  <si>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Equinix Inc..</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</si>
  <si>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</si>
  <si>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</si>
  <si>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</si>
  <si>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</si>
  <si>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</si>
  <si>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</si>
  <si>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</si>
  <si>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</si>
  <si>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</si>
  <si>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</si>
  <si>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</si>
  <si>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</si>
  <si>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</si>
  <si>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</si>
  <si>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</si>
  <si>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</si>
  <si>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</si>
  <si>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</si>
  <si>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</si>
  <si>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</si>
  <si>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</si>
  <si>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</si>
  <si>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</si>
  <si>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</si>
  <si>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</si>
  <si>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</si>
  <si>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</si>
  <si>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</si>
  <si>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</si>
  <si>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</si>
  <si>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</si>
  <si>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</si>
  <si>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</si>
  <si>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</si>
  <si>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</si>
  <si>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</si>
  <si>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</si>
  <si>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</si>
  <si>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</si>
  <si>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</si>
  <si>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</si>
  <si>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</si>
  <si>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</si>
  <si>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</si>
  <si>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</si>
  <si>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</si>
  <si>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</si>
  <si>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</si>
  <si>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</si>
  <si>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</si>
  <si>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</si>
  <si>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</si>
  <si>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</si>
  <si>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</si>
  <si>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</si>
  <si>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</si>
  <si>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</si>
  <si>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</si>
  <si>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</si>
  <si>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</si>
  <si>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</si>
  <si>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</si>
  <si>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</si>
  <si>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</si>
  <si>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</si>
  <si>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</si>
  <si>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</si>
  <si>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</si>
  <si>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</si>
  <si>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</si>
  <si>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</si>
  <si>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</si>
  <si>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</si>
  <si>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</si>
  <si>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</si>
  <si>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</si>
  <si>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</si>
  <si>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</si>
  <si>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</si>
  <si>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</si>
  <si>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</si>
  <si>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</si>
  <si>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</si>
  <si>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</si>
  <si>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</si>
  <si>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</si>
  <si>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</si>
  <si>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</si>
  <si>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</si>
  <si>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</si>
  <si>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</si>
  <si>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</si>
  <si>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</si>
  <si>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</si>
  <si>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</si>
  <si>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</si>
  <si>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</si>
  <si>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</si>
  <si>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</si>
  <si>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</si>
  <si>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</si>
  <si>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</si>
  <si>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</si>
  <si>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</si>
  <si>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</si>
  <si>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</si>
  <si>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</si>
  <si>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</si>
  <si>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</si>
  <si>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</si>
  <si>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</si>
  <si>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</si>
  <si>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</si>
  <si>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</si>
  <si>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</si>
  <si>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</si>
  <si>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</si>
  <si>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</si>
  <si>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</si>
  <si>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</si>
  <si>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</si>
  <si>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</si>
  <si>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</si>
  <si>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</si>
  <si>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</si>
  <si>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</si>
  <si>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</si>
  <si>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</si>
  <si>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</si>
  <si>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</si>
  <si>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</si>
  <si>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</si>
  <si>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</si>
  <si>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</si>
  <si>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</si>
  <si>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</si>
  <si>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</si>
  <si>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</si>
  <si>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</si>
  <si>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</si>
  <si>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</si>
  <si>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</si>
  <si>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</si>
  <si>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</si>
  <si>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</si>
  <si>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</si>
  <si>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</si>
  <si>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</si>
  <si>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</si>
  <si>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</si>
  <si>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</si>
  <si>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</si>
  <si>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</si>
  <si>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</si>
  <si>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</si>
  <si>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</si>
  <si>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</si>
  <si>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</si>
  <si>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</si>
  <si>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</si>
  <si>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</si>
  <si>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</si>
  <si>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</si>
  <si>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</si>
  <si>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</si>
  <si>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</si>
  <si>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</si>
  <si>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</si>
  <si>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</si>
  <si>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</si>
  <si>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</si>
  <si>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</si>
  <si>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</si>
  <si>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</si>
  <si>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</si>
  <si>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</si>
  <si>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Equinix Inc..</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</si>
  <si>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</si>
  <si>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</si>
  <si>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</si>
  <si>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</si>
  <si>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</si>
  <si>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</si>
  <si>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</si>
  <si>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</si>
  <si>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</si>
  <si>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</si>
  <si>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</si>
  <si>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</si>
  <si>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</si>
  <si>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</si>
  <si>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</si>
  <si>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</si>
  <si>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</si>
  <si>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</si>
  <si>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</si>
  <si>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</si>
  <si>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</si>
  <si>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</si>
  <si>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</si>
  <si>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</si>
  <si>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</si>
  <si>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</si>
  <si>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</si>
  <si>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</si>
  <si>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</si>
  <si>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</si>
  <si>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</si>
  <si>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</si>
  <si>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</si>
  <si>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</si>
  <si>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</si>
  <si>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</si>
  <si>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</si>
  <si>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</si>
  <si>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</si>
  <si>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</si>
  <si>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</si>
  <si>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</si>
  <si>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</si>
  <si>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</si>
  <si>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</si>
  <si>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</si>
  <si>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</si>
  <si>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</si>
  <si>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</si>
  <si>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</si>
  <si>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</si>
  <si>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</si>
  <si>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</si>
  <si>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</si>
  <si>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</si>
  <si>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</si>
  <si>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</si>
  <si>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</si>
  <si>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</si>
  <si>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</si>
  <si>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</si>
  <si>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</si>
  <si>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</si>
  <si>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</si>
  <si>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</si>
  <si>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</si>
  <si>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</si>
  <si>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</si>
  <si>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Equinix Inc..</t>
  </si>
  <si>
    <t>Within the last 12 months, Morgan Stanley has provided or is providing investment banking services to,</t>
  </si>
  <si>
    <t>or has an investment banking client relationship with, the following company: Equinix Inc..</t>
  </si>
  <si>
    <t>Within the last 12 months, Morgan Stanley has received compensation for products and services other than</t>
  </si>
  <si>
    <t>investment banking services from Equinix Inc..</t>
  </si>
  <si>
    <t>In the next 3 months, Morgan Stanley expects to receive or intends to seek compensation for investment</t>
  </si>
  <si>
    <t>banking services from Equinix Inc..</t>
  </si>
  <si>
    <t>Within the last 12 months, Morgan Stanley has received compensation for investment banking services from</t>
  </si>
  <si>
    <t>Equinix Inc..</t>
  </si>
  <si>
    <t>Within the last 12 months, Morgan Stanley managed or co-managed a public offering (or 144A offering) of</t>
  </si>
  <si>
    <t>securities of Equinix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</si>
  <si>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</si>
  <si>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</si>
  <si>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</si>
  <si>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</si>
  <si>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</si>
  <si>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Simon Flannery.</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</si>
  <si>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</si>
  <si>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</si>
  <si>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</si>
  <si>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</si>
  <si>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</si>
  <si>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</si>
  <si>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</si>
  <si>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</si>
  <si>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</si>
  <si>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</si>
  <si>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</si>
  <si>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</si>
  <si>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</si>
  <si>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</si>
  <si>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</si>
  <si>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</si>
  <si>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</si>
  <si>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</si>
  <si>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</si>
  <si>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</si>
  <si>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</si>
  <si>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</si>
  <si>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</si>
  <si>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</si>
  <si>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</si>
  <si>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</si>
  <si>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</si>
  <si>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</si>
  <si>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</si>
  <si>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</si>
  <si>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</si>
  <si>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</si>
  <si>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</si>
  <si>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</si>
  <si>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</si>
  <si>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</si>
  <si>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</si>
  <si>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</si>
  <si>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</si>
  <si>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</si>
  <si>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</si>
  <si>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</si>
  <si>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</si>
  <si>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</si>
  <si>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</si>
  <si>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</si>
  <si>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</si>
  <si>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</si>
  <si>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</si>
  <si>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</si>
  <si>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</si>
  <si>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</si>
  <si>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</si>
  <si>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</si>
  <si>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</si>
  <si>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</si>
  <si>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</si>
  <si>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</si>
  <si>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</si>
  <si>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</si>
  <si>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</si>
  <si>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</si>
  <si>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</si>
  <si>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</si>
  <si>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</si>
  <si>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</si>
  <si>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</si>
  <si>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</si>
  <si>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Equal-Weight / Cautious</t>
  </si>
  <si>
    <t>Regular Update</t>
  </si>
  <si>
    <t>NorthAmerica</t>
  </si>
  <si>
    <t>laml</t>
  </si>
  <si>
    <t>MSA10787, MSA79FGL</t>
  </si>
  <si>
    <t>29444U700</t>
  </si>
  <si>
    <t>L:\ER13\CLECs\CLEC\EQIX\Models\EQIX Morgan Stanley - v14.xlsm</t>
  </si>
  <si>
    <t>[BRO MSA]</t>
  </si>
  <si>
    <t>[PRODUCT MODEL]</t>
  </si>
  <si>
    <t>[EMAIL_ALERT YES]</t>
  </si>
  <si>
    <t>[DISCIPLINE Company]</t>
  </si>
  <si>
    <t>[SUPPRESSED NO]</t>
  </si>
  <si>
    <t>[DOCDAT 2018-04-23]</t>
  </si>
  <si>
    <t>[DOCTIME 09:28]</t>
  </si>
  <si>
    <t>[PSYM EQIX.O(S&amp;P) (None)]</t>
  </si>
  <si>
    <t>[COU 1]</t>
  </si>
  <si>
    <t>[ANA MSA79FGL]</t>
  </si>
  <si>
    <t>[HL EQIX.O Model]</t>
  </si>
  <si>
    <t>[IND UTITEL DIVTEC TELEPH]</t>
  </si>
  <si>
    <t>[PANA MSA10787]</t>
  </si>
  <si>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selecting the Apply Circular Settings button below.</t>
    </r>
  </si>
  <si>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applying the following settings in the Tools &gt;&gt; Options &gt;&gt; Calculation dialog box:</t>
    </r>
  </si>
  <si>
    <t>Clicking the Apply Circular Settings button will display the model worksheets and make the following settings changes in the Tools &gt;&gt; Options &gt;&gt; Calculation dialog box:</t>
  </si>
  <si>
    <t>1) Select the Iteration check box</t>
  </si>
  <si>
    <t>Failure to apply these settings can result in incorrect calculation or unexpected termination of your Microsoft Excel session.</t>
  </si>
  <si>
    <t>2) Set Maximum Iterations = 100</t>
  </si>
  <si>
    <t>3) Set Maximum Change = 0.001</t>
  </si>
</sst>
</file>

<file path=xl/styles.xml><?xml version="1.0" encoding="utf-8"?>
<styleSheet xmlns="http://schemas.openxmlformats.org/spreadsheetml/2006/main" xmlns:mc="http://schemas.openxmlformats.org/markup-compatibility/2006" xmlns:x14ac="http://schemas.microsoft.com/office/spreadsheetml/2009/9/ac" mc:Ignorable="x14ac">
  <numFmts count="75">
    <numFmt numFmtId="5" formatCode="&quot;$&quot;#,##0_);\(&quot;$&quot;#,##0\)"/>
    <numFmt numFmtId="6" formatCode="&quot;$&quot;#,##0_);[Red]\(&quot;$&quot;#,##0\)"/>
    <numFmt numFmtId="7" formatCode="&quot;$&quot;#,##0.00_);\(&quot;$&quot;#,##0.00\)"/>
    <numFmt numFmtId="8" formatCode="&quot;$&quot;#,##0.00_);[Red]\(&quot;$&quot;#,##0.00\)"/>
    <numFmt numFmtId="41" formatCode="_(* #,##0_);_(* \(#,##0\);_(* &quot;-&quot;_);_(@_)"/>
    <numFmt numFmtId="44" formatCode="_(&quot;$&quot;* #,##0.00_);_(&quot;$&quot;* \(#,##0.00\);_(&quot;$&quot;* &quot;-&quot;??_);_(@_)"/>
    <numFmt numFmtId="43" formatCode="_(* #,##0.00_);_(* \(#,##0.00\);_(* &quot;-&quot;??_);_(@_)"/>
    <numFmt numFmtId="164" formatCode="0.0"/>
    <numFmt numFmtId="165" formatCode="#,##0.0_);\(#,##0.0\)"/>
    <numFmt numFmtId="166" formatCode="&quot;$&quot;#,##0.0_);\(&quot;$&quot;#,##0.0\)"/>
    <numFmt numFmtId="167" formatCode="0.0%"/>
    <numFmt numFmtId="168" formatCode="0.000"/>
    <numFmt numFmtId="169" formatCode="#,##0.0_);[Red]\(#,##0.0\)"/>
    <numFmt numFmtId="170" formatCode="&quot;$&quot;#,##0.0_);[Red]\(&quot;$&quot;#,##0.0\)"/>
    <numFmt numFmtId="171" formatCode="#,##0.0"/>
    <numFmt numFmtId="172" formatCode="0.0000"/>
    <numFmt numFmtId="173" formatCode="&quot;$&quot;#,##0"/>
    <numFmt numFmtId="174" formatCode="&quot;$&quot;#,##0.0"/>
    <numFmt numFmtId="175" formatCode="&quot;$&quot;#,##0.00"/>
    <numFmt numFmtId="176" formatCode="0.00_);[Red]\(0.00\)"/>
    <numFmt numFmtId="177" formatCode="0.00000"/>
    <numFmt numFmtId="178" formatCode="0.0\x"/>
    <numFmt numFmtId="179" formatCode="_(* #,##0_);_(* \(#,##0\);_(* &quot;-&quot;??_);_(@_)"/>
    <numFmt numFmtId="180" formatCode="#,##0;\(#,##0\)"/>
    <numFmt numFmtId="181" formatCode="_(* #,##0.0_);_(* \(#,##0.0\);_(* &quot;-&quot;??_);_(@_)"/>
    <numFmt numFmtId="182" formatCode="0\ &quot;bps&quot;"/>
    <numFmt numFmtId="183" formatCode="0\ &quot;bps&quot;;\(0\)\ &quot;bps&quot;"/>
    <numFmt numFmtId="184" formatCode="0\ &quot;bp&quot;;\ \(0\)\ &quot;bp&quot;"/>
    <numFmt numFmtId="185" formatCode="0\ &quot;bps&quot;;\(0\ &quot;bps&quot;\)"/>
    <numFmt numFmtId="186" formatCode="0_);\(0\)"/>
    <numFmt numFmtId="187" formatCode="\F###0\A"/>
    <numFmt numFmtId="188" formatCode="\F###0\E"/>
    <numFmt numFmtId="189" formatCode="#,##0.0;\(#,##0.0\)"/>
    <numFmt numFmtId="190" formatCode="###0"/>
    <numFmt numFmtId="191" formatCode="#,##0.00;\(#,##0.00\)"/>
    <numFmt numFmtId="192" formatCode="###0.00"/>
    <numFmt numFmtId="193" formatCode="0.00\x"/>
    <numFmt numFmtId="194" formatCode="_ * #,##0_ ;_ * \-#,##0_ ;_ * &quot;-&quot;_ ;_ @_ "/>
    <numFmt numFmtId="195" formatCode="#,##0_%_);\(#,##0\)_%;#,##0_%_);@_%_)"/>
    <numFmt numFmtId="196" formatCode="&quot;$&quot;#,##0_%_);\(&quot;$&quot;#,##0\)_%;&quot;$&quot;#,##0_%_);@_%_)"/>
    <numFmt numFmtId="197" formatCode="&quot;$&quot;#,##0.00_%_);\(&quot;$&quot;#,##0.00\)_%;&quot;$&quot;#,##0.00_%_);@_%_)"/>
    <numFmt numFmtId="198" formatCode="0.0\%_);\(0.0\%\);0.0\%_);@_%_)"/>
    <numFmt numFmtId="199" formatCode="0.0\x_)_);&quot;NM&quot;_x_)_);0.0\x_)_);@_%_)"/>
    <numFmt numFmtId="200" formatCode="#,##0\%_);\(#,##0\%\);#,##0\%_);@_%_)"/>
    <numFmt numFmtId="201" formatCode="#,##0.0_%_);\(#,##0.0\)_%;#,##0.0_%_);@_%_)"/>
    <numFmt numFmtId="202" formatCode="0%;\(0%\)"/>
    <numFmt numFmtId="203" formatCode="&quot;$&quot;#,##0_%_);\(&quot;$&quot;#,##0\)_%;&quot;--&quot;_%_);@_%_)"/>
    <numFmt numFmtId="204" formatCode="#,##0.0%_);\(#,##0.0%\);0.0%_);@_%_)"/>
    <numFmt numFmtId="205" formatCode="mm/dd/yy"/>
    <numFmt numFmtId="206" formatCode="#&quot;E&quot;"/>
    <numFmt numFmtId="207" formatCode="0\x"/>
    <numFmt numFmtId="208" formatCode="0.000%"/>
    <numFmt numFmtId="209" formatCode="0.0\ &quot;bps&quot;_);\(0.0\ &quot;bps&quot;\)"/>
    <numFmt numFmtId="210" formatCode="0;\(0\)\ &quot;bps&quot;"/>
    <numFmt numFmtId="211" formatCode="0.0%_);\(0.0%\)"/>
    <numFmt numFmtId="212" formatCode="0\ &quot;bps&quot;;\ \(0\)\ &quot;bps&quot;"/>
    <numFmt numFmtId="213" formatCode="#,##0.000_);[Red]\(#,##0.000\)"/>
    <numFmt numFmtId="214" formatCode="#,##0_)&quot;&quot;;\(#,##0\)&quot;&quot;"/>
    <numFmt numFmtId="215" formatCode="m/d/yy;@"/>
    <numFmt numFmtId="216" formatCode="0.0%_);\(0.0%\);&quot;–&quot;_)"/>
    <numFmt numFmtId="217" formatCode="#,##0.00000_);\(#,##0.00000\)"/>
    <numFmt numFmtId="218" formatCode="0\A"/>
    <numFmt numFmtId="219" formatCode="0\E"/>
    <numFmt numFmtId="220" formatCode="#,##0\ &quot;bps&quot;"/>
    <numFmt numFmtId="221" formatCode="#,##0.000_);\(#,##0.000\)"/>
    <numFmt numFmtId="222" formatCode="#,##0.000"/>
    <numFmt numFmtId="223" formatCode="[$¥-411]#,##0.0;[Red]\-[$¥-411]#,##0.0"/>
    <numFmt numFmtId="224" formatCode="#"/>
    <numFmt numFmtId="225" formatCode="#&quot;e&quot;"/>
    <numFmt numFmtId="226" formatCode="#0.0&quot;x&quot;"/>
    <numFmt numFmtId="227" formatCode="[$£-809]#,##0.0;[Red]\-[$£-809]#,##0.0"/>
    <numFmt numFmtId="228" formatCode="[$£-809]#,##0.00;\-[$£-809]#,##0.00"/>
    <numFmt numFmtId="229" formatCode="[$£-809]#,##0.0;\-[$£-809]#,##0.0"/>
    <numFmt numFmtId="230" formatCode="#,##0.000000000000_);\(#,##0.000000000000\)"/>
    <numFmt numFmtId="231" formatCode="mm/dd/yy\ hh:mm"/>
  </numFmts>
  <fonts count="199">
    <font>
      <sz val="10"/>
      <name val="Arial"/>
    </font>
    <font>
      <sz val="10"/>
      <name val="Arial"/>
      <family val="2"/>
    </font>
    <font>
      <sz val="8"/>
      <name val="Arial"/>
      <family val="2"/>
    </font>
    <font>
      <sz val="10"/>
      <name val="Arial"/>
      <family val="2"/>
    </font>
    <font>
      <sz val="8"/>
      <color indexed="12"/>
      <name val="Arial"/>
      <family val="2"/>
    </font>
    <font>
      <sz val="12"/>
      <name val="Times New Roman"/>
      <family val="1"/>
    </font>
    <font>
      <sz val="10"/>
      <name val="MS Sans Serif"/>
      <family val="2"/>
    </font>
    <font>
      <sz val="8"/>
      <name val="Times New Roman"/>
      <family val="1"/>
    </font>
    <font>
      <sz val="8"/>
      <name val="Arial"/>
      <family val="2"/>
    </font>
    <font>
      <b/>
      <sz val="8"/>
      <name val="Arial"/>
      <family val="2"/>
    </font>
    <font>
      <sz val="9"/>
      <name val="Times New Roman"/>
      <family val="1"/>
    </font>
    <font>
      <b/>
      <sz val="10"/>
      <name val="Arial"/>
      <family val="2"/>
    </font>
    <font>
      <b/>
      <sz val="12"/>
      <name val="Arial"/>
      <family val="2"/>
    </font>
    <font>
      <b/>
      <sz val="9"/>
      <name val="Arial"/>
      <family val="2"/>
    </font>
    <font>
      <b/>
      <sz val="8"/>
      <color indexed="81"/>
      <name val="Tahoma"/>
      <family val="2"/>
    </font>
    <font>
      <sz val="8"/>
      <color indexed="81"/>
      <name val="Tahoma"/>
      <family val="2"/>
    </font>
    <font>
      <sz val="9"/>
      <name val="Times New Roman"/>
      <family val="1"/>
    </font>
    <font>
      <sz val="9"/>
      <name val="Arial"/>
      <family val="2"/>
    </font>
    <font>
      <b/>
      <u/>
      <sz val="10"/>
      <name val="Arial"/>
      <family val="2"/>
    </font>
    <font>
      <sz val="12"/>
      <name val="Arial"/>
      <family val="2"/>
    </font>
    <font>
      <i/>
      <sz val="9"/>
      <name val="Arial"/>
      <family val="2"/>
    </font>
    <font>
      <sz val="10"/>
      <color indexed="12"/>
      <name val="Arial"/>
      <family val="2"/>
    </font>
    <font>
      <u/>
      <sz val="10"/>
      <name val="Arial"/>
      <family val="2"/>
    </font>
    <font>
      <u/>
      <sz val="10"/>
      <color indexed="12"/>
      <name val="Arial"/>
      <family val="2"/>
    </font>
    <font>
      <sz val="10"/>
      <name val="Courier"/>
      <family val="3"/>
    </font>
    <font>
      <i/>
      <sz val="10"/>
      <color indexed="10"/>
      <name val="Arial"/>
      <family val="2"/>
    </font>
    <font>
      <i/>
      <sz val="10"/>
      <name val="Arial"/>
      <family val="2"/>
    </font>
    <font>
      <sz val="10"/>
      <color indexed="10"/>
      <name val="Arial"/>
      <family val="2"/>
    </font>
    <font>
      <sz val="10"/>
      <color indexed="12"/>
      <name val="Arial"/>
      <family val="2"/>
    </font>
    <font>
      <u/>
      <sz val="10"/>
      <color indexed="12"/>
      <name val="Arial"/>
      <family val="2"/>
    </font>
    <font>
      <u/>
      <sz val="10"/>
      <name val="Arial"/>
      <family val="2"/>
    </font>
    <font>
      <b/>
      <sz val="10"/>
      <color indexed="8"/>
      <name val="Times New Roman"/>
      <family val="1"/>
    </font>
    <font>
      <sz val="10"/>
      <color indexed="8"/>
      <name val="Times New Roman"/>
      <family val="1"/>
    </font>
    <font>
      <i/>
      <sz val="8"/>
      <name val="Arial"/>
      <family val="2"/>
    </font>
    <font>
      <b/>
      <sz val="10"/>
      <color indexed="10"/>
      <name val="Arial"/>
      <family val="2"/>
    </font>
    <font>
      <sz val="10"/>
      <color indexed="10"/>
      <name val="Arial"/>
      <family val="2"/>
    </font>
    <font>
      <i/>
      <sz val="8"/>
      <color indexed="12"/>
      <name val="Arial"/>
      <family val="2"/>
    </font>
    <font>
      <sz val="10"/>
      <name val="Arial"/>
      <family val="2"/>
    </font>
    <font>
      <i/>
      <sz val="10"/>
      <name val="Arial"/>
      <family val="2"/>
    </font>
    <font>
      <b/>
      <sz val="10"/>
      <color indexed="12"/>
      <name val="Arial"/>
      <family val="2"/>
    </font>
    <font>
      <b/>
      <sz val="10"/>
      <name val="Arial"/>
      <family val="2"/>
    </font>
    <font>
      <sz val="10"/>
      <color indexed="19"/>
      <name val="Arial"/>
      <family val="2"/>
    </font>
    <font>
      <u/>
      <sz val="10"/>
      <color indexed="19"/>
      <name val="Arial"/>
      <family val="2"/>
    </font>
    <font>
      <sz val="10"/>
      <color indexed="19"/>
      <name val="Arial"/>
      <family val="2"/>
    </font>
    <font>
      <b/>
      <sz val="10"/>
      <color indexed="19"/>
      <name val="Arial"/>
      <family val="2"/>
    </font>
    <font>
      <sz val="10"/>
      <color indexed="52"/>
      <name val="Arial"/>
      <family val="2"/>
    </font>
    <font>
      <i/>
      <sz val="10"/>
      <color indexed="60"/>
      <name val="Arial"/>
      <family val="2"/>
    </font>
    <font>
      <sz val="10"/>
      <color indexed="17"/>
      <name val="Arial"/>
      <family val="2"/>
    </font>
    <font>
      <sz val="10"/>
      <color indexed="60"/>
      <name val="Arial"/>
      <family val="2"/>
    </font>
    <font>
      <b/>
      <sz val="10"/>
      <color indexed="60"/>
      <name val="Arial"/>
      <family val="2"/>
    </font>
    <font>
      <sz val="10"/>
      <color indexed="53"/>
      <name val="Arial"/>
      <family val="2"/>
    </font>
    <font>
      <b/>
      <sz val="10"/>
      <color indexed="53"/>
      <name val="Arial"/>
      <family val="2"/>
    </font>
    <font>
      <sz val="9"/>
      <name val="Arial"/>
      <family val="2"/>
    </font>
    <font>
      <sz val="10"/>
      <color indexed="11"/>
      <name val="Arial"/>
      <family val="2"/>
    </font>
    <font>
      <i/>
      <sz val="8"/>
      <name val="Times New Roman"/>
      <family val="1"/>
    </font>
    <font>
      <sz val="8"/>
      <color indexed="9"/>
      <name val="Arial"/>
      <family val="2"/>
    </font>
    <font>
      <b/>
      <sz val="8"/>
      <color indexed="9"/>
      <name val="Arial"/>
      <family val="2"/>
    </font>
    <font>
      <b/>
      <sz val="10"/>
      <color indexed="9"/>
      <name val="Arial"/>
      <family val="2"/>
    </font>
    <font>
      <sz val="11"/>
      <name val="Arial"/>
      <family val="2"/>
    </font>
    <font>
      <b/>
      <i/>
      <sz val="8"/>
      <name val="Arial"/>
      <family val="2"/>
    </font>
    <font>
      <sz val="10"/>
      <color indexed="21"/>
      <name val="Arial"/>
      <family val="2"/>
    </font>
    <font>
      <sz val="10"/>
      <color indexed="53"/>
      <name val="Arial"/>
      <family val="2"/>
    </font>
    <font>
      <sz val="10"/>
      <color indexed="9"/>
      <name val="Arial"/>
      <family val="2"/>
    </font>
    <font>
      <sz val="8"/>
      <color indexed="10"/>
      <name val="Arial"/>
      <family val="2"/>
    </font>
    <font>
      <b/>
      <sz val="8"/>
      <color indexed="17"/>
      <name val="Arial"/>
      <family val="2"/>
    </font>
    <font>
      <b/>
      <sz val="8"/>
      <color indexed="10"/>
      <name val="Arial"/>
      <family val="2"/>
    </font>
    <font>
      <sz val="8"/>
      <color indexed="22"/>
      <name val="Arial"/>
      <family val="2"/>
    </font>
    <font>
      <sz val="10"/>
      <color indexed="22"/>
      <name val="Arial"/>
      <family val="2"/>
    </font>
    <font>
      <b/>
      <sz val="10"/>
      <color indexed="17"/>
      <name val="Arial"/>
      <family val="2"/>
    </font>
    <font>
      <b/>
      <i/>
      <sz val="10"/>
      <name val="Arial"/>
      <family val="2"/>
    </font>
    <font>
      <i/>
      <sz val="10"/>
      <color indexed="19"/>
      <name val="Arial"/>
      <family val="2"/>
    </font>
    <font>
      <b/>
      <u/>
      <sz val="8"/>
      <name val="Arial"/>
      <family val="2"/>
    </font>
    <font>
      <b/>
      <sz val="8"/>
      <color indexed="12"/>
      <name val="Arial"/>
      <family val="2"/>
    </font>
    <font>
      <sz val="9"/>
      <color indexed="19"/>
      <name val="Arial"/>
      <family val="2"/>
    </font>
    <font>
      <sz val="8"/>
      <color indexed="19"/>
      <name val="Arial"/>
      <family val="2"/>
    </font>
    <font>
      <b/>
      <sz val="8"/>
      <color indexed="19"/>
      <name val="Arial"/>
      <family val="2"/>
    </font>
    <font>
      <sz val="10"/>
      <color indexed="11"/>
      <name val="Arial"/>
      <family val="2"/>
    </font>
    <font>
      <u/>
      <sz val="10"/>
      <color indexed="11"/>
      <name val="Arial"/>
      <family val="2"/>
    </font>
    <font>
      <b/>
      <sz val="10"/>
      <color indexed="11"/>
      <name val="Arial"/>
      <family val="2"/>
    </font>
    <font>
      <b/>
      <sz val="10"/>
      <color indexed="50"/>
      <name val="Arial"/>
      <family val="2"/>
    </font>
    <font>
      <sz val="9"/>
      <color indexed="23"/>
      <name val="Arial"/>
      <family val="2"/>
    </font>
    <font>
      <b/>
      <i/>
      <sz val="9"/>
      <name val="Arial"/>
      <family val="2"/>
    </font>
    <font>
      <b/>
      <sz val="10"/>
      <color indexed="23"/>
      <name val="Arial"/>
      <family val="2"/>
    </font>
    <font>
      <sz val="10"/>
      <color indexed="60"/>
      <name val="Arial"/>
      <family val="2"/>
    </font>
    <font>
      <sz val="10"/>
      <color indexed="17"/>
      <name val="Arial"/>
      <family val="2"/>
    </font>
    <font>
      <i/>
      <sz val="10"/>
      <color indexed="17"/>
      <name val="Arial"/>
      <family val="2"/>
    </font>
    <font>
      <u/>
      <sz val="10"/>
      <color indexed="17"/>
      <name val="Arial"/>
      <family val="2"/>
    </font>
    <font>
      <sz val="10"/>
      <color indexed="23"/>
      <name val="Arial"/>
      <family val="2"/>
    </font>
    <font>
      <b/>
      <sz val="9"/>
      <name val="Arial"/>
      <family val="2"/>
    </font>
    <font>
      <b/>
      <sz val="9"/>
      <color indexed="12"/>
      <name val="Arial"/>
      <family val="2"/>
    </font>
    <font>
      <sz val="9"/>
      <color indexed="12"/>
      <name val="Arial"/>
      <family val="2"/>
    </font>
    <font>
      <sz val="9"/>
      <color indexed="11"/>
      <name val="Arial"/>
      <family val="2"/>
    </font>
    <font>
      <b/>
      <sz val="9"/>
      <color indexed="11"/>
      <name val="Arial"/>
      <family val="2"/>
    </font>
    <font>
      <i/>
      <sz val="9"/>
      <color indexed="17"/>
      <name val="Arial"/>
      <family val="2"/>
    </font>
    <font>
      <b/>
      <u/>
      <sz val="10"/>
      <color indexed="9"/>
      <name val="Arial"/>
      <family val="2"/>
    </font>
    <font>
      <b/>
      <sz val="9"/>
      <color indexed="17"/>
      <name val="Arial"/>
      <family val="2"/>
    </font>
    <font>
      <sz val="10"/>
      <name val="Arial"/>
      <family val="2"/>
    </font>
    <font>
      <b/>
      <sz val="9"/>
      <color indexed="12"/>
      <name val="Arial"/>
      <family val="2"/>
    </font>
    <font>
      <sz val="9"/>
      <color indexed="12"/>
      <name val="Arial"/>
      <family val="2"/>
    </font>
    <font>
      <b/>
      <sz val="8"/>
      <color indexed="12"/>
      <name val="Arial"/>
      <family val="2"/>
    </font>
    <font>
      <b/>
      <sz val="8"/>
      <name val="Arial"/>
      <family val="2"/>
    </font>
    <font>
      <sz val="8"/>
      <color indexed="12"/>
      <name val="Arial"/>
      <family val="2"/>
    </font>
    <font>
      <b/>
      <i/>
      <sz val="8"/>
      <color indexed="12"/>
      <name val="Arial"/>
      <family val="2"/>
    </font>
    <font>
      <sz val="8"/>
      <color indexed="53"/>
      <name val="Arial"/>
      <family val="2"/>
    </font>
    <font>
      <sz val="8"/>
      <color indexed="23"/>
      <name val="Arial"/>
      <family val="2"/>
    </font>
    <font>
      <b/>
      <sz val="9"/>
      <color indexed="17"/>
      <name val="Arial"/>
      <family val="2"/>
    </font>
    <font>
      <b/>
      <sz val="8"/>
      <color indexed="17"/>
      <name val="Arial"/>
      <family val="2"/>
    </font>
    <font>
      <sz val="8"/>
      <color indexed="19"/>
      <name val="Arial"/>
      <family val="2"/>
    </font>
    <font>
      <b/>
      <sz val="8"/>
      <color indexed="19"/>
      <name val="Arial"/>
      <family val="2"/>
    </font>
    <font>
      <u/>
      <sz val="10"/>
      <color indexed="17"/>
      <name val="Arial"/>
      <family val="2"/>
    </font>
    <font>
      <sz val="10"/>
      <color indexed="22"/>
      <name val="Arial"/>
      <family val="2"/>
    </font>
    <font>
      <sz val="12"/>
      <name val="바탕체"/>
      <family val="1"/>
      <charset val="129"/>
    </font>
    <font>
      <sz val="7"/>
      <name val="Arial"/>
      <family val="2"/>
    </font>
    <font>
      <sz val="7"/>
      <color indexed="10"/>
      <name val="Arial"/>
      <family val="2"/>
    </font>
    <font>
      <i/>
      <sz val="8"/>
      <color indexed="22"/>
      <name val="Arial"/>
      <family val="2"/>
    </font>
    <font>
      <sz val="8"/>
      <color indexed="17"/>
      <name val="Arial"/>
      <family val="2"/>
    </font>
    <font>
      <b/>
      <sz val="8"/>
      <color indexed="53"/>
      <name val="Arial"/>
      <family val="2"/>
    </font>
    <font>
      <sz val="9"/>
      <color indexed="17"/>
      <name val="Arial"/>
      <family val="2"/>
    </font>
    <font>
      <sz val="8"/>
      <color indexed="8"/>
      <name val="Arial"/>
      <family val="2"/>
    </font>
    <font>
      <sz val="14"/>
      <name val="Arial"/>
      <family val="2"/>
    </font>
    <font>
      <b/>
      <sz val="14"/>
      <color indexed="9"/>
      <name val="Arial"/>
      <family val="2"/>
    </font>
    <font>
      <i/>
      <sz val="14"/>
      <name val="Arial"/>
      <family val="2"/>
    </font>
    <font>
      <sz val="10"/>
      <color indexed="8"/>
      <name val="Arial"/>
      <family val="2"/>
    </font>
    <font>
      <b/>
      <sz val="14"/>
      <color indexed="18"/>
      <name val="Arial"/>
      <family val="2"/>
    </font>
    <font>
      <b/>
      <sz val="8"/>
      <color indexed="21"/>
      <name val="Arial"/>
      <family val="2"/>
    </font>
    <font>
      <sz val="16"/>
      <name val="Arial"/>
      <family val="2"/>
    </font>
    <font>
      <b/>
      <sz val="16"/>
      <color indexed="9"/>
      <name val="Arial"/>
      <family val="2"/>
    </font>
    <font>
      <i/>
      <sz val="16"/>
      <name val="Arial"/>
      <family val="2"/>
    </font>
    <font>
      <sz val="10"/>
      <color indexed="51"/>
      <name val="Arial"/>
      <family val="2"/>
    </font>
    <font>
      <b/>
      <sz val="10"/>
      <color indexed="51"/>
      <name val="Arial"/>
      <family val="2"/>
    </font>
    <font>
      <i/>
      <sz val="10"/>
      <color indexed="11"/>
      <name val="Arial"/>
      <family val="2"/>
    </font>
    <font>
      <sz val="10"/>
      <color indexed="23"/>
      <name val="Arial"/>
      <family val="2"/>
    </font>
    <font>
      <b/>
      <sz val="10"/>
      <color indexed="63"/>
      <name val="Arial"/>
      <family val="2"/>
    </font>
    <font>
      <sz val="10"/>
      <color indexed="52"/>
      <name val="Arial"/>
      <family val="2"/>
    </font>
    <font>
      <b/>
      <sz val="10"/>
      <color indexed="9"/>
      <name val="Arial"/>
      <family val="2"/>
    </font>
    <font>
      <sz val="10"/>
      <color indexed="8"/>
      <name val="MS Sans Serif"/>
      <family val="2"/>
    </font>
    <font>
      <sz val="7.2"/>
      <color indexed="9"/>
      <name val="Arial"/>
      <family val="2"/>
    </font>
    <font>
      <b/>
      <sz val="14"/>
      <color indexed="9"/>
      <name val="Arial"/>
      <family val="2"/>
    </font>
    <font>
      <sz val="7.2"/>
      <name val="Arial"/>
      <family val="2"/>
    </font>
    <font>
      <sz val="10"/>
      <color indexed="44"/>
      <name val="Arial"/>
      <family val="2"/>
    </font>
    <font>
      <b/>
      <sz val="14"/>
      <color indexed="56"/>
      <name val="Arial"/>
      <family val="2"/>
    </font>
    <font>
      <b/>
      <sz val="12"/>
      <color indexed="9"/>
      <name val="Arial"/>
      <family val="2"/>
    </font>
    <font>
      <sz val="7.2"/>
      <color indexed="16"/>
      <name val="Arial"/>
      <family val="2"/>
    </font>
    <font>
      <sz val="10"/>
      <color indexed="16"/>
      <name val="Arial"/>
      <family val="2"/>
    </font>
    <font>
      <sz val="8"/>
      <color indexed="16"/>
      <name val="Arial"/>
      <family val="2"/>
    </font>
    <font>
      <sz val="7.2"/>
      <color indexed="10"/>
      <name val="Arial"/>
      <family val="2"/>
    </font>
    <font>
      <u/>
      <sz val="10"/>
      <color indexed="9"/>
      <name val="Arial"/>
      <family val="2"/>
    </font>
    <font>
      <sz val="10"/>
      <color indexed="50"/>
      <name val="Arial"/>
      <family val="2"/>
    </font>
    <font>
      <b/>
      <sz val="10"/>
      <color indexed="52"/>
      <name val="Arial"/>
      <family val="2"/>
    </font>
    <font>
      <b/>
      <sz val="10"/>
      <color indexed="60"/>
      <name val="Arial"/>
      <family val="2"/>
    </font>
    <font>
      <u/>
      <sz val="10"/>
      <color indexed="60"/>
      <name val="Arial"/>
      <family val="2"/>
    </font>
    <font>
      <i/>
      <sz val="10"/>
      <color indexed="53"/>
      <name val="Arial"/>
      <family val="2"/>
    </font>
    <font>
      <u/>
      <sz val="10"/>
      <color indexed="60"/>
      <name val="Arial"/>
      <family val="2"/>
    </font>
    <font>
      <i/>
      <sz val="10"/>
      <color indexed="12"/>
      <name val="Arial"/>
      <family val="2"/>
    </font>
    <font>
      <sz val="8"/>
      <color indexed="50"/>
      <name val="Arial"/>
      <family val="2"/>
    </font>
    <font>
      <sz val="9"/>
      <name val="AGaramond"/>
    </font>
    <font>
      <u/>
      <sz val="9"/>
      <name val="Arial"/>
      <family val="2"/>
    </font>
    <font>
      <b/>
      <sz val="16"/>
      <name val="Helvetica"/>
      <family val="2"/>
    </font>
    <font>
      <b/>
      <sz val="9"/>
      <name val="Helvetica"/>
      <family val="2"/>
    </font>
    <font>
      <b/>
      <sz val="9"/>
      <color indexed="9"/>
      <name val="Arial"/>
      <family val="2"/>
    </font>
    <font>
      <b/>
      <sz val="16"/>
      <color indexed="9"/>
      <name val="Helvetica"/>
      <family val="2"/>
    </font>
    <font>
      <sz val="9"/>
      <color indexed="9"/>
      <name val="Arial"/>
      <family val="2"/>
    </font>
    <font>
      <sz val="9"/>
      <color indexed="52"/>
      <name val="Arial"/>
      <family val="2"/>
    </font>
    <font>
      <sz val="9"/>
      <color indexed="51"/>
      <name val="Arial"/>
      <family val="2"/>
    </font>
    <font>
      <i/>
      <sz val="9"/>
      <color indexed="19"/>
      <name val="Arial"/>
      <family val="2"/>
    </font>
    <font>
      <b/>
      <sz val="14"/>
      <color indexed="9"/>
      <name val="Helvetica"/>
      <family val="2"/>
    </font>
    <font>
      <b/>
      <sz val="14"/>
      <name val="Arial"/>
      <family val="2"/>
    </font>
    <font>
      <sz val="12"/>
      <color indexed="81"/>
      <name val="Tahoma"/>
      <family val="2"/>
    </font>
    <font>
      <sz val="10"/>
      <color indexed="81"/>
      <name val="Tahoma"/>
      <family val="2"/>
    </font>
    <font>
      <sz val="8"/>
      <color indexed="52"/>
      <name val="Arial"/>
      <family val="2"/>
    </font>
    <font>
      <i/>
      <sz val="10"/>
      <color indexed="53"/>
      <name val="Arial"/>
      <family val="2"/>
    </font>
    <font>
      <b/>
      <u/>
      <sz val="10"/>
      <color indexed="19"/>
      <name val="Arial"/>
      <family val="2"/>
    </font>
    <font>
      <sz val="10"/>
      <color indexed="55"/>
      <name val="Arial"/>
      <family val="2"/>
    </font>
    <font>
      <sz val="9"/>
      <color indexed="81"/>
      <name val="Tahoma"/>
      <family val="2"/>
    </font>
    <font>
      <sz val="11"/>
      <color indexed="8"/>
      <name val="Calibri"/>
      <family val="2"/>
    </font>
    <font>
      <sz val="9"/>
      <color indexed="81"/>
      <name val="Arial"/>
      <family val="2"/>
    </font>
    <font>
      <sz val="9"/>
      <name val="Segoe UI"/>
      <family val="2"/>
    </font>
    <font>
      <b/>
      <sz val="9"/>
      <name val="Segoe UI"/>
      <family val="2"/>
    </font>
    <font>
      <sz val="9"/>
      <color indexed="9"/>
      <name val="Segoe UI"/>
      <family val="2"/>
    </font>
    <font>
      <b/>
      <sz val="9"/>
      <color indexed="9"/>
      <name val="Segoe UI"/>
      <family val="2"/>
    </font>
    <font>
      <sz val="10"/>
      <color indexed="81"/>
      <name val="Arial"/>
      <family val="2"/>
    </font>
    <font>
      <sz val="10"/>
      <color rgb="FF0070C0"/>
      <name val="Arial"/>
      <family val="2"/>
    </font>
    <font>
      <sz val="10"/>
      <color rgb="FFFF0000"/>
      <name val="Arial"/>
      <family val="2"/>
    </font>
    <font>
      <sz val="10"/>
      <color rgb="FF00B050"/>
      <name val="Arial"/>
      <family val="2"/>
    </font>
    <font>
      <sz val="8"/>
      <color rgb="FFFF0000"/>
      <name val="Arial"/>
      <family val="2"/>
    </font>
    <font>
      <sz val="8"/>
      <color rgb="FF00B050"/>
      <name val="Arial"/>
      <family val="2"/>
    </font>
    <font>
      <sz val="8"/>
      <color rgb="FF0070C0"/>
      <name val="Arial"/>
      <family val="2"/>
    </font>
    <font>
      <sz val="10"/>
      <color theme="0" tint="-0.249977111117893"/>
      <name val="Arial"/>
      <family val="2"/>
    </font>
    <font>
      <sz val="9"/>
      <color rgb="FF0070C0"/>
      <name val="Arial"/>
      <family val="2"/>
    </font>
    <font>
      <b/>
      <sz val="10"/>
      <color rgb="FF00B050"/>
      <name val="Arial"/>
      <family val="2"/>
    </font>
    <font>
      <b/>
      <sz val="9"/>
      <color rgb="FF0070C0"/>
      <name val="Segoe UI"/>
      <family val="2"/>
    </font>
    <font>
      <sz val="9"/>
      <color rgb="FF0070C0"/>
      <name val="Segoe UI"/>
      <family val="2"/>
    </font>
    <font>
      <b/>
      <sz val="10"/>
      <color rgb="FFFF0000"/>
      <name val="Arial"/>
      <family val="2"/>
    </font>
    <font>
      <b/>
      <sz val="8"/>
      <color rgb="FF0070C0"/>
      <name val="Arial"/>
      <family val="2"/>
    </font>
    <font>
      <b/>
      <sz val="10"/>
      <color rgb="FF0070C0"/>
      <name val="Arial"/>
      <family val="2"/>
    </font>
    <font>
      <sz val="10"/>
      <color rgb="FF000000"/>
      <name val="Arial"/>
      <family val="2"/>
    </font>
    <font>
      <b/>
      <sz val="12"/>
      <color rgb="FF000080"/>
      <name val="Arial"/>
      <family val="2"/>
    </font>
    <font>
      <u/>
      <sz val="14"/>
      <name val="Arial"/>
      <family val="2"/>
    </font>
    <font>
      <b/>
      <u/>
      <sz val="14"/>
      <color indexed="10"/>
      <name val="Arial"/>
      <family val="2"/>
    </font>
  </fonts>
  <fills count="29">
    <fill>
      <patternFill patternType="none"/>
    </fill>
    <fill>
      <patternFill patternType="gray125"/>
    </fill>
    <fill>
      <patternFill patternType="solid">
        <fgColor indexed="43"/>
        <bgColor indexed="64"/>
      </patternFill>
    </fill>
    <fill>
      <patternFill patternType="solid">
        <fgColor indexed="12"/>
        <bgColor indexed="64"/>
      </patternFill>
    </fill>
    <fill>
      <patternFill patternType="solid">
        <fgColor indexed="20"/>
        <bgColor indexed="64"/>
      </patternFill>
    </fill>
    <fill>
      <patternFill patternType="solid">
        <fgColor indexed="54"/>
        <bgColor indexed="64"/>
      </patternFill>
    </fill>
    <fill>
      <patternFill patternType="solid">
        <fgColor indexed="9"/>
        <bgColor indexed="64"/>
      </patternFill>
    </fill>
    <fill>
      <patternFill patternType="solid">
        <fgColor indexed="48"/>
        <bgColor indexed="64"/>
      </patternFill>
    </fill>
    <fill>
      <patternFill patternType="solid">
        <fgColor indexed="22"/>
        <bgColor indexed="64"/>
      </patternFill>
    </fill>
    <fill>
      <patternFill patternType="solid">
        <fgColor indexed="19"/>
        <bgColor indexed="64"/>
      </patternFill>
    </fill>
    <fill>
      <patternFill patternType="solid">
        <fgColor indexed="17"/>
        <bgColor indexed="64"/>
      </patternFill>
    </fill>
    <fill>
      <patternFill patternType="solid">
        <fgColor indexed="46"/>
        <bgColor indexed="64"/>
      </patternFill>
    </fill>
    <fill>
      <patternFill patternType="solid">
        <fgColor indexed="60"/>
        <bgColor indexed="64"/>
      </patternFill>
    </fill>
    <fill>
      <patternFill patternType="solid">
        <fgColor indexed="41"/>
        <bgColor indexed="64"/>
      </patternFill>
    </fill>
    <fill>
      <patternFill patternType="solid">
        <fgColor indexed="44"/>
        <bgColor indexed="64"/>
      </patternFill>
    </fill>
    <fill>
      <patternFill patternType="solid">
        <fgColor indexed="55"/>
        <bgColor indexed="64"/>
      </patternFill>
    </fill>
    <fill>
      <patternFill patternType="solid">
        <fgColor indexed="11"/>
        <bgColor indexed="64"/>
      </patternFill>
    </fill>
    <fill>
      <patternFill patternType="solid">
        <fgColor indexed="45"/>
        <bgColor indexed="64"/>
      </patternFill>
    </fill>
    <fill>
      <patternFill patternType="solid">
        <fgColor indexed="42"/>
        <bgColor indexed="64"/>
      </patternFill>
    </fill>
    <fill>
      <patternFill patternType="solid">
        <fgColor theme="5"/>
        <bgColor indexed="64"/>
      </patternFill>
    </fill>
    <fill>
      <patternFill patternType="solid">
        <fgColor rgb="FFC00000"/>
        <bgColor indexed="64"/>
      </patternFill>
    </fill>
    <fill>
      <patternFill patternType="solid">
        <fgColor theme="0"/>
        <bgColor indexed="64"/>
      </patternFill>
    </fill>
    <fill>
      <patternFill patternType="solid">
        <fgColor theme="4" tint="-0.249977111117893"/>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0" tint="-9.9978637043366805E-2"/>
        <bgColor indexed="64"/>
      </patternFill>
    </fill>
    <fill>
      <patternFill patternType="solid">
        <fgColor theme="8" tint="0.59999389629810485"/>
        <bgColor indexed="64"/>
      </patternFill>
    </fill>
    <fill>
      <patternFill patternType="solid">
        <fgColor indexed="65"/>
        <bgColor indexed="64"/>
      </patternFill>
    </fill>
  </fills>
  <borders count="73">
    <border>
      <left/>
      <right/>
      <top/>
      <bottom/>
      <diagonal/>
    </border>
    <border>
      <left/>
      <right/>
      <top/>
      <bottom style="thin">
        <color indexed="8"/>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22"/>
      </bottom>
      <diagonal/>
    </border>
    <border>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thin">
        <color indexed="22"/>
      </bottom>
      <diagonal/>
    </border>
    <border>
      <left/>
      <right/>
      <top style="thin">
        <color indexed="23"/>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style="medium">
        <color indexed="64"/>
      </right>
      <top/>
      <bottom style="medium">
        <color indexed="64"/>
      </bottom>
      <diagonal/>
    </border>
    <border>
      <left/>
      <right/>
      <top style="hair">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bottom style="thin">
        <color indexed="64"/>
      </bottom>
      <diagonal/>
    </border>
    <border>
      <left/>
      <right/>
      <top/>
      <bottom style="dotted">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style="thin">
        <color indexed="64"/>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thin">
        <color indexed="23"/>
      </bottom>
      <diagonal/>
    </border>
    <border>
      <left/>
      <right/>
      <top/>
      <bottom style="thin">
        <color indexed="23"/>
      </bottom>
      <diagonal/>
    </border>
    <border>
      <left style="medium">
        <color indexed="64"/>
      </left>
      <right style="medium">
        <color indexed="64"/>
      </right>
      <top style="thin">
        <color indexed="64"/>
      </top>
      <bottom style="thin">
        <color indexed="64"/>
      </bottom>
      <diagonal/>
    </border>
    <border>
      <left/>
      <right/>
      <top style="thin">
        <color indexed="22"/>
      </top>
      <bottom/>
      <diagonal/>
    </border>
    <border>
      <left/>
      <right style="hair">
        <color indexed="64"/>
      </right>
      <top style="thin">
        <color indexed="64"/>
      </top>
      <bottom/>
      <diagonal/>
    </border>
    <border>
      <left/>
      <right style="hair">
        <color indexed="22"/>
      </right>
      <top style="thin">
        <color indexed="64"/>
      </top>
      <bottom/>
      <diagonal/>
    </border>
    <border>
      <left/>
      <right style="hair">
        <color indexed="64"/>
      </right>
      <top/>
      <bottom style="thin">
        <color indexed="64"/>
      </bottom>
      <diagonal/>
    </border>
    <border>
      <left/>
      <right style="hair">
        <color indexed="22"/>
      </right>
      <top/>
      <bottom style="thin">
        <color indexed="64"/>
      </bottom>
      <diagonal/>
    </border>
    <border>
      <left/>
      <right/>
      <top/>
      <bottom style="hair">
        <color indexed="64"/>
      </bottom>
      <diagonal/>
    </border>
    <border>
      <left/>
      <right/>
      <top style="thin">
        <color indexed="9"/>
      </top>
      <bottom/>
      <diagonal/>
    </border>
    <border>
      <left/>
      <right/>
      <top style="medium">
        <color indexed="64"/>
      </top>
      <bottom style="medium">
        <color indexed="64"/>
      </bottom>
      <diagonal/>
    </border>
    <border>
      <left/>
      <right/>
      <top style="thin">
        <color indexed="9"/>
      </top>
      <bottom style="thin">
        <color indexed="9"/>
      </bottom>
      <diagonal/>
    </border>
    <border>
      <left style="medium">
        <color indexed="64"/>
      </left>
      <right style="medium">
        <color indexed="64"/>
      </right>
      <top style="medium">
        <color indexed="64"/>
      </top>
      <bottom style="medium">
        <color indexed="64"/>
      </bottom>
      <diagonal/>
    </border>
    <border>
      <left/>
      <right/>
      <top style="thin">
        <color indexed="64"/>
      </top>
      <bottom style="double">
        <color indexed="64"/>
      </bottom>
      <diagonal/>
    </border>
    <border>
      <left/>
      <right/>
      <top/>
      <bottom style="thin">
        <color indexed="55"/>
      </bottom>
      <diagonal/>
    </border>
    <border>
      <left style="thin">
        <color indexed="64"/>
      </left>
      <right style="thin">
        <color indexed="64"/>
      </right>
      <top/>
      <bottom style="thin">
        <color indexed="55"/>
      </bottom>
      <diagonal/>
    </border>
    <border>
      <left/>
      <right/>
      <top style="thin">
        <color indexed="55"/>
      </top>
      <bottom/>
      <diagonal/>
    </border>
    <border>
      <left style="thin">
        <color indexed="64"/>
      </left>
      <right style="thin">
        <color indexed="64"/>
      </right>
      <top style="thin">
        <color indexed="55"/>
      </top>
      <bottom/>
      <diagonal/>
    </border>
    <border>
      <left/>
      <right/>
      <top style="thin">
        <color indexed="55"/>
      </top>
      <bottom style="thin">
        <color indexed="55"/>
      </bottom>
      <diagonal/>
    </border>
    <border>
      <left style="thin">
        <color indexed="64"/>
      </left>
      <right style="thin">
        <color indexed="64"/>
      </right>
      <top style="thin">
        <color indexed="55"/>
      </top>
      <bottom style="thin">
        <color indexed="55"/>
      </bottom>
      <diagonal/>
    </border>
    <border>
      <left/>
      <right style="thin">
        <color indexed="64"/>
      </right>
      <top style="thin">
        <color indexed="55"/>
      </top>
      <bottom/>
      <diagonal/>
    </border>
    <border>
      <left/>
      <right/>
      <top style="thin">
        <color indexed="55"/>
      </top>
      <bottom style="thin">
        <color indexed="64"/>
      </bottom>
      <diagonal/>
    </border>
    <border>
      <left style="thin">
        <color indexed="64"/>
      </left>
      <right style="thin">
        <color indexed="64"/>
      </right>
      <top style="thin">
        <color indexed="55"/>
      </top>
      <bottom style="thin">
        <color indexed="64"/>
      </bottom>
      <diagonal/>
    </border>
    <border>
      <left/>
      <right style="thin">
        <color indexed="64"/>
      </right>
      <top style="thin">
        <color indexed="55"/>
      </top>
      <bottom style="thin">
        <color indexed="64"/>
      </bottom>
      <diagonal/>
    </border>
    <border>
      <left/>
      <right style="thin">
        <color indexed="64"/>
      </right>
      <top/>
      <bottom style="thin">
        <color indexed="55"/>
      </bottom>
      <diagonal/>
    </border>
    <border>
      <left/>
      <right style="thin">
        <color indexed="64"/>
      </right>
      <top style="thin">
        <color indexed="55"/>
      </top>
      <bottom style="thin">
        <color indexed="55"/>
      </bottom>
      <diagonal/>
    </border>
    <border>
      <left style="thin">
        <color indexed="64"/>
      </left>
      <right/>
      <top/>
      <bottom style="thin">
        <color indexed="55"/>
      </bottom>
      <diagonal/>
    </border>
    <border>
      <left style="thin">
        <color indexed="64"/>
      </left>
      <right/>
      <top style="thin">
        <color indexed="55"/>
      </top>
      <bottom/>
      <diagonal/>
    </border>
    <border>
      <left style="thin">
        <color indexed="64"/>
      </left>
      <right/>
      <top style="thin">
        <color indexed="55"/>
      </top>
      <bottom style="thin">
        <color indexed="55"/>
      </bottom>
      <diagonal/>
    </border>
    <border>
      <left style="thin">
        <color indexed="64"/>
      </left>
      <right/>
      <top style="thin">
        <color indexed="55"/>
      </top>
      <bottom style="thin">
        <color indexed="64"/>
      </bottom>
      <diagonal/>
    </border>
    <border>
      <left/>
      <right/>
      <top/>
      <bottom style="thick">
        <color theme="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67">
    <xf numFmtId="0" fontId="0" fillId="0" borderId="0" applyNumberFormat="0" applyFill="0" applyBorder="0" applyAlignment="0" applyProtection="0"/>
    <xf numFmtId="0" fontId="1" fillId="0" borderId="0"/>
    <xf numFmtId="0" fontId="1" fillId="0" borderId="0"/>
    <xf numFmtId="0" fontId="135" fillId="0" borderId="0" applyNumberFormat="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31" fillId="0" borderId="0"/>
    <xf numFmtId="165" fontId="1" fillId="0" borderId="0" applyFont="0" applyFill="0" applyBorder="0" applyAlignment="0" applyProtection="0"/>
    <xf numFmtId="43" fontId="174" fillId="0" borderId="0" applyFont="0" applyFill="0" applyBorder="0" applyAlignment="0" applyProtection="0"/>
    <xf numFmtId="37"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6" fontId="1" fillId="0" borderId="0" applyFont="0" applyFill="0" applyBorder="0" applyAlignment="0" applyProtection="0"/>
    <xf numFmtId="44" fontId="3" fillId="0" borderId="0" applyFont="0" applyFill="0" applyBorder="0" applyAlignment="0" applyProtection="0"/>
    <xf numFmtId="44" fontId="1" fillId="0" borderId="0" applyFont="0" applyFill="0" applyBorder="0" applyAlignment="0" applyProtection="0"/>
    <xf numFmtId="5" fontId="3" fillId="0" borderId="0" applyFont="0" applyFill="0" applyBorder="0" applyAlignment="0" applyProtection="0"/>
    <xf numFmtId="0" fontId="3" fillId="0" borderId="0"/>
    <xf numFmtId="0" fontId="2" fillId="0" borderId="0" applyNumberFormat="0" applyFont="0" applyFill="0" applyBorder="0" applyAlignment="0" applyProtection="0"/>
    <xf numFmtId="0" fontId="1" fillId="0" borderId="0"/>
    <xf numFmtId="0" fontId="1" fillId="0" borderId="0"/>
    <xf numFmtId="0" fontId="1" fillId="0" borderId="0"/>
    <xf numFmtId="0" fontId="19" fillId="0" borderId="0"/>
    <xf numFmtId="2" fontId="24" fillId="0" borderId="0"/>
    <xf numFmtId="0" fontId="7" fillId="0" borderId="0"/>
    <xf numFmtId="0" fontId="3" fillId="0" borderId="0" applyNumberFormat="0" applyFill="0" applyBorder="0" applyAlignment="0" applyProtection="0"/>
    <xf numFmtId="0" fontId="1" fillId="0" borderId="0"/>
    <xf numFmtId="0" fontId="16" fillId="0" borderId="0"/>
    <xf numFmtId="0" fontId="2" fillId="0" borderId="0"/>
    <xf numFmtId="0" fontId="19" fillId="0" borderId="0"/>
    <xf numFmtId="0" fontId="1" fillId="0" borderId="0"/>
    <xf numFmtId="0" fontId="135" fillId="0" borderId="0" applyNumberFormat="0" applyFont="0" applyFill="0" applyBorder="0" applyAlignment="0" applyProtection="0"/>
    <xf numFmtId="0" fontId="2" fillId="0" borderId="0"/>
    <xf numFmtId="0" fontId="1" fillId="0" borderId="0"/>
    <xf numFmtId="0" fontId="1" fillId="0" borderId="0"/>
    <xf numFmtId="0" fontId="1" fillId="0" borderId="0"/>
    <xf numFmtId="0" fontId="135" fillId="0" borderId="0" applyNumberFormat="0" applyFont="0" applyFill="0" applyBorder="0" applyAlignment="0" applyProtection="0"/>
    <xf numFmtId="0" fontId="135" fillId="0" borderId="0" applyNumberFormat="0" applyFont="0" applyFill="0" applyBorder="0" applyAlignment="0" applyProtection="0"/>
    <xf numFmtId="0" fontId="1" fillId="0" borderId="0"/>
    <xf numFmtId="0" fontId="66" fillId="0" borderId="0"/>
    <xf numFmtId="0" fontId="155" fillId="0" borderId="0"/>
    <xf numFmtId="0" fontId="8" fillId="0" borderId="0" applyFill="0" applyBorder="0" applyAlignment="0" applyProtection="0"/>
    <xf numFmtId="164" fontId="1" fillId="0" borderId="0"/>
    <xf numFmtId="0" fontId="10" fillId="0" borderId="0">
      <alignment vertical="center"/>
    </xf>
    <xf numFmtId="9" fontId="1" fillId="0" borderId="0" applyFont="0" applyFill="0" applyBorder="0" applyAlignment="0" applyProtection="0"/>
    <xf numFmtId="9" fontId="1" fillId="0" borderId="0" applyFont="0" applyFill="0" applyBorder="0" applyAlignment="0" applyProtection="0"/>
    <xf numFmtId="167" fontId="3" fillId="0" borderId="0" applyFont="0" applyFill="0" applyBorder="0" applyAlignment="0" applyProtection="0"/>
    <xf numFmtId="0" fontId="3" fillId="2" borderId="0" applyNumberFormat="0" applyFont="0" applyBorder="0" applyAlignment="0" applyProtection="0"/>
    <xf numFmtId="0" fontId="1" fillId="2" borderId="0" applyNumberFormat="0" applyFont="0" applyBorder="0" applyAlignment="0" applyProtection="0"/>
    <xf numFmtId="0" fontId="32" fillId="0" borderId="0"/>
    <xf numFmtId="0" fontId="32" fillId="0" borderId="1">
      <alignment horizontal="centerContinuous"/>
    </xf>
    <xf numFmtId="0" fontId="54" fillId="0" borderId="1"/>
    <xf numFmtId="0" fontId="1" fillId="0" borderId="0"/>
    <xf numFmtId="0" fontId="19" fillId="0" borderId="0"/>
    <xf numFmtId="0" fontId="1" fillId="0" borderId="0">
      <alignment vertical="top"/>
    </xf>
    <xf numFmtId="0" fontId="122" fillId="0" borderId="0" applyNumberFormat="0" applyBorder="0" applyAlignment="0"/>
    <xf numFmtId="224" fontId="56" fillId="3" borderId="0" applyFont="0" applyFill="0"/>
    <xf numFmtId="194" fontId="111" fillId="0" borderId="0" applyFont="0" applyFill="0" applyBorder="0" applyAlignment="0" applyProtection="0"/>
    <xf numFmtId="0" fontId="111" fillId="0" borderId="0" applyFont="0" applyFill="0" applyBorder="0" applyAlignment="0" applyProtection="0"/>
    <xf numFmtId="0" fontId="24" fillId="0" borderId="0"/>
  </cellStyleXfs>
  <cellXfs count="2438">
    <xf numFmtId="0" fontId="0" fillId="0" borderId="0" xfId="0"/>
    <xf numFmtId="37" fontId="0" fillId="4" borderId="0" xfId="0" applyNumberFormat="1" applyFill="1"/>
    <xf numFmtId="173" fontId="1" fillId="0" borderId="0" xfId="0" applyNumberFormat="1" applyFont="1" applyFill="1"/>
    <xf numFmtId="164" fontId="11" fillId="5" borderId="0" xfId="0" applyNumberFormat="1" applyFont="1" applyFill="1"/>
    <xf numFmtId="167" fontId="26" fillId="4" borderId="0" xfId="0" applyNumberFormat="1" applyFont="1" applyFill="1"/>
    <xf numFmtId="164" fontId="11" fillId="5" borderId="0" xfId="0" applyNumberFormat="1" applyFont="1" applyFill="1" applyBorder="1" applyAlignment="1">
      <alignment horizontal="right"/>
    </xf>
    <xf numFmtId="167" fontId="26" fillId="0" borderId="0" xfId="12" applyNumberFormat="1" applyFont="1"/>
    <xf numFmtId="49" fontId="0" fillId="0" borderId="0" xfId="0" applyNumberFormat="1"/>
    <xf numFmtId="0" fontId="0" fillId="6" borderId="0" xfId="0" applyFill="1"/>
    <xf numFmtId="164" fontId="0" fillId="6" borderId="0" xfId="0" applyNumberFormat="1" applyFill="1"/>
    <xf numFmtId="2" fontId="0" fillId="6" borderId="0" xfId="0" applyNumberFormat="1" applyFill="1"/>
    <xf numFmtId="0" fontId="18" fillId="6" borderId="0" xfId="0" applyFont="1" applyFill="1"/>
    <xf numFmtId="0" fontId="1" fillId="6" borderId="0" xfId="0" applyFont="1" applyFill="1"/>
    <xf numFmtId="164" fontId="37" fillId="6" borderId="0" xfId="0" applyNumberFormat="1" applyFont="1" applyFill="1"/>
    <xf numFmtId="0" fontId="11" fillId="0" borderId="0" xfId="0" applyFont="1" applyFill="1"/>
    <xf numFmtId="0" fontId="0" fillId="0" borderId="0" xfId="0" applyFill="1"/>
    <xf numFmtId="0" fontId="3" fillId="0" borderId="0" xfId="0" applyFont="1" applyFill="1"/>
    <xf numFmtId="0" fontId="1" fillId="0" borderId="0" xfId="0" applyFont="1" applyFill="1" applyAlignment="1">
      <alignment horizontal="left" indent="1"/>
    </xf>
    <xf numFmtId="0" fontId="26" fillId="0" borderId="0" xfId="0" applyFont="1" applyFill="1" applyAlignment="1">
      <alignment horizontal="left" indent="1"/>
    </xf>
    <xf numFmtId="0" fontId="3" fillId="0" borderId="0" xfId="0" applyFont="1" applyFill="1" applyAlignment="1">
      <alignment horizontal="left" indent="1"/>
    </xf>
    <xf numFmtId="0" fontId="21" fillId="0" borderId="0" xfId="0" applyFont="1" applyFill="1"/>
    <xf numFmtId="0" fontId="11" fillId="0" borderId="0" xfId="0" applyFont="1" applyFill="1" applyAlignment="1">
      <alignment horizontal="left"/>
    </xf>
    <xf numFmtId="0" fontId="11" fillId="0" borderId="0" xfId="0" applyFont="1" applyFill="1" applyAlignment="1">
      <alignment horizontal="left" indent="1"/>
    </xf>
    <xf numFmtId="0" fontId="1" fillId="0" borderId="0" xfId="0" applyFont="1" applyFill="1"/>
    <xf numFmtId="167" fontId="1" fillId="0" borderId="0" xfId="0" applyNumberFormat="1" applyFont="1" applyFill="1"/>
    <xf numFmtId="0" fontId="3" fillId="0" borderId="0" xfId="0" applyFont="1" applyFill="1" applyAlignment="1">
      <alignment horizontal="left" indent="2"/>
    </xf>
    <xf numFmtId="164" fontId="0" fillId="0" borderId="0" xfId="0" applyNumberFormat="1" applyFill="1"/>
    <xf numFmtId="1" fontId="1" fillId="0" borderId="0" xfId="0" applyNumberFormat="1" applyFont="1" applyFill="1"/>
    <xf numFmtId="0" fontId="11" fillId="3" borderId="0" xfId="0" applyFont="1" applyFill="1"/>
    <xf numFmtId="0" fontId="0" fillId="3" borderId="0" xfId="0" applyFill="1"/>
    <xf numFmtId="0" fontId="0" fillId="7" borderId="0" xfId="0" applyFill="1"/>
    <xf numFmtId="0" fontId="41" fillId="0" borderId="0" xfId="0" applyFont="1" applyFill="1"/>
    <xf numFmtId="9" fontId="41" fillId="0" borderId="0" xfId="0" applyNumberFormat="1" applyFont="1" applyFill="1"/>
    <xf numFmtId="0" fontId="1" fillId="0" borderId="0" xfId="0" applyFont="1"/>
    <xf numFmtId="164" fontId="0" fillId="7" borderId="0" xfId="0" applyNumberFormat="1" applyFill="1"/>
    <xf numFmtId="0" fontId="50" fillId="0" borderId="0" xfId="0" applyFont="1" applyFill="1"/>
    <xf numFmtId="1" fontId="50" fillId="0" borderId="0" xfId="0" applyNumberFormat="1" applyFont="1" applyFill="1"/>
    <xf numFmtId="0" fontId="26" fillId="0" borderId="0" xfId="0" applyFont="1" applyFill="1" applyAlignment="1">
      <alignment horizontal="left" indent="2"/>
    </xf>
    <xf numFmtId="167" fontId="26" fillId="0" borderId="0" xfId="0" applyNumberFormat="1" applyFont="1" applyFill="1"/>
    <xf numFmtId="167" fontId="41" fillId="0" borderId="0" xfId="0" applyNumberFormat="1" applyFont="1" applyFill="1"/>
    <xf numFmtId="174" fontId="11" fillId="0" borderId="0" xfId="0" applyNumberFormat="1" applyFont="1" applyFill="1"/>
    <xf numFmtId="0" fontId="11" fillId="0" borderId="0" xfId="0" applyFont="1"/>
    <xf numFmtId="0" fontId="0" fillId="8" borderId="0" xfId="0" applyFill="1"/>
    <xf numFmtId="0" fontId="11" fillId="8" borderId="0" xfId="0" applyFont="1" applyFill="1"/>
    <xf numFmtId="0" fontId="25" fillId="8" borderId="0" xfId="0" applyFont="1" applyFill="1"/>
    <xf numFmtId="0" fontId="3" fillId="8" borderId="0" xfId="0" applyFont="1" applyFill="1"/>
    <xf numFmtId="1" fontId="11" fillId="0" borderId="0" xfId="0" applyNumberFormat="1" applyFont="1" applyFill="1"/>
    <xf numFmtId="1" fontId="51" fillId="0" borderId="2" xfId="0" applyNumberFormat="1" applyFont="1" applyFill="1" applyBorder="1"/>
    <xf numFmtId="0" fontId="0" fillId="0" borderId="2" xfId="0" applyFill="1" applyBorder="1"/>
    <xf numFmtId="6" fontId="0" fillId="0" borderId="0" xfId="51" applyNumberFormat="1" applyFont="1" applyFill="1"/>
    <xf numFmtId="0" fontId="1" fillId="3" borderId="0" xfId="0" applyFont="1" applyFill="1"/>
    <xf numFmtId="9" fontId="1" fillId="0" borderId="0" xfId="0" applyNumberFormat="1" applyFont="1" applyFill="1"/>
    <xf numFmtId="0" fontId="1" fillId="0" borderId="2" xfId="0" applyFont="1" applyFill="1" applyBorder="1"/>
    <xf numFmtId="1" fontId="1" fillId="0" borderId="2" xfId="0" applyNumberFormat="1" applyFont="1" applyFill="1" applyBorder="1"/>
    <xf numFmtId="164" fontId="1" fillId="0" borderId="0" xfId="0" applyNumberFormat="1" applyFont="1" applyFill="1"/>
    <xf numFmtId="167" fontId="11" fillId="0" borderId="0" xfId="0" applyNumberFormat="1" applyFont="1" applyFill="1"/>
    <xf numFmtId="167" fontId="26" fillId="0" borderId="0" xfId="51" applyNumberFormat="1" applyFont="1" applyFill="1"/>
    <xf numFmtId="1" fontId="11" fillId="0" borderId="2" xfId="0" applyNumberFormat="1" applyFont="1" applyFill="1" applyBorder="1"/>
    <xf numFmtId="0" fontId="30" fillId="0" borderId="0" xfId="0" applyFont="1" applyFill="1" applyAlignment="1">
      <alignment horizontal="left" indent="1"/>
    </xf>
    <xf numFmtId="0" fontId="1" fillId="5" borderId="0" xfId="0" applyFont="1" applyFill="1"/>
    <xf numFmtId="0" fontId="0" fillId="5" borderId="0" xfId="0" applyFill="1"/>
    <xf numFmtId="164" fontId="1" fillId="5" borderId="0" xfId="0" applyNumberFormat="1" applyFont="1" applyFill="1"/>
    <xf numFmtId="1" fontId="11" fillId="5" borderId="0" xfId="0" applyNumberFormat="1" applyFont="1" applyFill="1"/>
    <xf numFmtId="0" fontId="51" fillId="5" borderId="0" xfId="0" applyFont="1" applyFill="1"/>
    <xf numFmtId="0" fontId="50" fillId="5" borderId="0" xfId="0" applyFont="1" applyFill="1"/>
    <xf numFmtId="1" fontId="50" fillId="5" borderId="0" xfId="0" applyNumberFormat="1" applyFont="1" applyFill="1"/>
    <xf numFmtId="0" fontId="11" fillId="5" borderId="0" xfId="0" applyFont="1" applyFill="1"/>
    <xf numFmtId="0" fontId="21" fillId="5" borderId="0" xfId="0" applyFont="1" applyFill="1"/>
    <xf numFmtId="1" fontId="51" fillId="0" borderId="0" xfId="0" applyNumberFormat="1" applyFont="1" applyFill="1"/>
    <xf numFmtId="0" fontId="0" fillId="0" borderId="0" xfId="0" applyBorder="1"/>
    <xf numFmtId="1" fontId="51" fillId="5" borderId="0" xfId="0" applyNumberFormat="1" applyFont="1" applyFill="1"/>
    <xf numFmtId="0" fontId="11" fillId="4" borderId="0" xfId="0" applyFont="1" applyFill="1"/>
    <xf numFmtId="164" fontId="11" fillId="4" borderId="0" xfId="0" applyNumberFormat="1" applyFont="1" applyFill="1"/>
    <xf numFmtId="0" fontId="26" fillId="4" borderId="0" xfId="0" applyFont="1" applyFill="1" applyAlignment="1">
      <alignment horizontal="left" indent="1"/>
    </xf>
    <xf numFmtId="167" fontId="26" fillId="4" borderId="0" xfId="0" applyNumberFormat="1" applyFont="1" applyFill="1" applyBorder="1"/>
    <xf numFmtId="164" fontId="41" fillId="5" borderId="0" xfId="0" applyNumberFormat="1" applyFont="1" applyFill="1"/>
    <xf numFmtId="164" fontId="1" fillId="5" borderId="0" xfId="51" applyNumberFormat="1" applyFont="1" applyFill="1"/>
    <xf numFmtId="49" fontId="2" fillId="0" borderId="0" xfId="17" applyNumberFormat="1" applyFont="1" applyBorder="1" applyAlignment="1">
      <alignment horizontal="left"/>
    </xf>
    <xf numFmtId="49" fontId="55" fillId="0" borderId="0" xfId="17" applyNumberFormat="1" applyFont="1" applyAlignment="1">
      <alignment horizontal="left" indent="1"/>
    </xf>
    <xf numFmtId="0" fontId="0" fillId="0" borderId="0" xfId="0" applyAlignment="1">
      <alignment horizontal="left" indent="1"/>
    </xf>
    <xf numFmtId="0" fontId="11" fillId="0" borderId="0" xfId="0" applyFont="1" applyAlignment="1">
      <alignment horizontal="left"/>
    </xf>
    <xf numFmtId="164" fontId="0" fillId="0" borderId="0" xfId="0" applyNumberFormat="1"/>
    <xf numFmtId="164" fontId="11" fillId="0" borderId="0" xfId="0" applyNumberFormat="1" applyFont="1"/>
    <xf numFmtId="0" fontId="3" fillId="0" borderId="0" xfId="0" applyFont="1" applyAlignment="1">
      <alignment horizontal="left" indent="1"/>
    </xf>
    <xf numFmtId="164" fontId="0" fillId="0" borderId="0" xfId="0" applyNumberFormat="1" applyAlignment="1">
      <alignment horizontal="right"/>
    </xf>
    <xf numFmtId="164" fontId="3" fillId="0" borderId="0" xfId="0" applyNumberFormat="1" applyFont="1"/>
    <xf numFmtId="167" fontId="26" fillId="0" borderId="0" xfId="0" applyNumberFormat="1" applyFont="1"/>
    <xf numFmtId="164" fontId="0" fillId="4" borderId="0" xfId="0" applyNumberFormat="1" applyFill="1"/>
    <xf numFmtId="9" fontId="0" fillId="0" borderId="0" xfId="0" applyNumberFormat="1"/>
    <xf numFmtId="0" fontId="1" fillId="4" borderId="0" xfId="0" applyFont="1" applyFill="1"/>
    <xf numFmtId="164" fontId="11" fillId="0" borderId="0" xfId="0" applyNumberFormat="1" applyFont="1" applyFill="1" applyBorder="1" applyAlignment="1">
      <alignment horizontal="right"/>
    </xf>
    <xf numFmtId="0" fontId="20" fillId="0" borderId="0" xfId="41" applyFont="1"/>
    <xf numFmtId="0" fontId="13" fillId="5" borderId="3" xfId="17" applyNumberFormat="1" applyFont="1" applyFill="1" applyBorder="1" applyAlignment="1">
      <alignment horizontal="center" vertical="center"/>
    </xf>
    <xf numFmtId="0" fontId="80" fillId="5" borderId="3" xfId="17" applyNumberFormat="1" applyFont="1" applyFill="1" applyBorder="1" applyAlignment="1">
      <alignment horizontal="center" vertical="center"/>
    </xf>
    <xf numFmtId="0" fontId="13" fillId="5" borderId="4" xfId="41" applyFont="1" applyFill="1" applyBorder="1" applyAlignment="1">
      <alignment horizontal="center" vertical="center"/>
    </xf>
    <xf numFmtId="0" fontId="80" fillId="5" borderId="4" xfId="41" applyFont="1" applyFill="1" applyBorder="1" applyAlignment="1">
      <alignment horizontal="center" vertical="center"/>
    </xf>
    <xf numFmtId="49" fontId="52" fillId="0" borderId="0" xfId="17" applyNumberFormat="1" applyFont="1" applyBorder="1" applyAlignment="1">
      <alignment horizontal="left" indent="1"/>
    </xf>
    <xf numFmtId="49" fontId="52" fillId="0" borderId="0" xfId="17" applyNumberFormat="1" applyFont="1" applyAlignment="1">
      <alignment horizontal="left"/>
    </xf>
    <xf numFmtId="49" fontId="20" fillId="0" borderId="5" xfId="17" applyNumberFormat="1" applyFont="1" applyBorder="1" applyAlignment="1">
      <alignment horizontal="left" indent="1"/>
    </xf>
    <xf numFmtId="49" fontId="52" fillId="0" borderId="0" xfId="17" applyNumberFormat="1" applyFont="1" applyAlignment="1">
      <alignment horizontal="left" indent="1"/>
    </xf>
    <xf numFmtId="49" fontId="81" fillId="0" borderId="0" xfId="17" applyNumberFormat="1" applyFont="1" applyAlignment="1">
      <alignment horizontal="left"/>
    </xf>
    <xf numFmtId="49" fontId="52" fillId="0" borderId="5" xfId="17" applyNumberFormat="1" applyFont="1" applyBorder="1" applyAlignment="1">
      <alignment horizontal="left"/>
    </xf>
    <xf numFmtId="49" fontId="13" fillId="0" borderId="0" xfId="17" applyNumberFormat="1" applyFont="1" applyAlignment="1">
      <alignment horizontal="left"/>
    </xf>
    <xf numFmtId="49" fontId="52" fillId="0" borderId="0" xfId="17" applyNumberFormat="1" applyFont="1" applyFill="1" applyAlignment="1">
      <alignment horizontal="left"/>
    </xf>
    <xf numFmtId="49" fontId="52" fillId="0" borderId="0" xfId="17" quotePrefix="1" applyNumberFormat="1" applyFont="1" applyFill="1" applyBorder="1" applyAlignment="1">
      <alignment horizontal="left"/>
    </xf>
    <xf numFmtId="0" fontId="13" fillId="0" borderId="0" xfId="41" applyFont="1"/>
    <xf numFmtId="0" fontId="11" fillId="0" borderId="0" xfId="0" applyFont="1" applyFill="1" applyAlignment="1">
      <alignment horizontal="left" indent="2"/>
    </xf>
    <xf numFmtId="0" fontId="82" fillId="0" borderId="0" xfId="0" applyFont="1" applyFill="1"/>
    <xf numFmtId="1" fontId="43" fillId="0" borderId="0" xfId="0" applyNumberFormat="1" applyFont="1" applyFill="1"/>
    <xf numFmtId="1" fontId="3" fillId="0" borderId="0" xfId="0" applyNumberFormat="1" applyFont="1" applyFill="1"/>
    <xf numFmtId="0" fontId="83" fillId="0" borderId="0" xfId="0" applyFont="1" applyFill="1" applyAlignment="1">
      <alignment horizontal="left" indent="1"/>
    </xf>
    <xf numFmtId="0" fontId="3" fillId="0" borderId="2" xfId="0" applyFont="1" applyFill="1" applyBorder="1" applyAlignment="1">
      <alignment horizontal="left" indent="1"/>
    </xf>
    <xf numFmtId="1" fontId="3" fillId="0" borderId="2" xfId="0" applyNumberFormat="1" applyFont="1" applyFill="1" applyBorder="1"/>
    <xf numFmtId="2" fontId="83" fillId="0" borderId="0" xfId="0" applyNumberFormat="1" applyFont="1" applyFill="1"/>
    <xf numFmtId="0" fontId="11" fillId="5" borderId="0" xfId="0" applyFont="1" applyFill="1" applyAlignment="1">
      <alignment horizontal="left"/>
    </xf>
    <xf numFmtId="1" fontId="1" fillId="5" borderId="0" xfId="0" applyNumberFormat="1" applyFont="1" applyFill="1"/>
    <xf numFmtId="0" fontId="83" fillId="0" borderId="0" xfId="0" applyFont="1" applyFill="1" applyAlignment="1">
      <alignment horizontal="left" indent="3"/>
    </xf>
    <xf numFmtId="0" fontId="47" fillId="0" borderId="0" xfId="0" applyFont="1" applyFill="1"/>
    <xf numFmtId="1" fontId="84" fillId="0" borderId="0" xfId="0" applyNumberFormat="1" applyFont="1" applyFill="1"/>
    <xf numFmtId="0" fontId="84" fillId="0" borderId="0" xfId="0" applyFont="1" applyFill="1"/>
    <xf numFmtId="0" fontId="1" fillId="0" borderId="6" xfId="0" applyFont="1" applyFill="1" applyBorder="1"/>
    <xf numFmtId="0" fontId="0" fillId="0" borderId="6" xfId="0" applyFill="1" applyBorder="1"/>
    <xf numFmtId="0" fontId="11" fillId="0" borderId="0" xfId="0" applyFont="1" applyFill="1" applyBorder="1"/>
    <xf numFmtId="0" fontId="1" fillId="0" borderId="0" xfId="0" applyFont="1" applyFill="1" applyBorder="1"/>
    <xf numFmtId="0" fontId="0" fillId="0" borderId="0" xfId="0" applyFill="1" applyBorder="1"/>
    <xf numFmtId="1" fontId="11" fillId="0" borderId="0" xfId="0" applyNumberFormat="1" applyFont="1" applyFill="1" applyBorder="1"/>
    <xf numFmtId="0" fontId="3" fillId="0" borderId="0" xfId="0" applyFont="1" applyFill="1" applyBorder="1"/>
    <xf numFmtId="1" fontId="3" fillId="0" borderId="0" xfId="0" applyNumberFormat="1" applyFont="1" applyFill="1" applyBorder="1"/>
    <xf numFmtId="1" fontId="3" fillId="4" borderId="0" xfId="0" applyNumberFormat="1" applyFont="1" applyFill="1" applyBorder="1"/>
    <xf numFmtId="0" fontId="3" fillId="0" borderId="0" xfId="0" applyFont="1" applyFill="1" applyBorder="1" applyAlignment="1">
      <alignment horizontal="left" indent="1"/>
    </xf>
    <xf numFmtId="0" fontId="11" fillId="0" borderId="6" xfId="0" applyFont="1" applyFill="1" applyBorder="1"/>
    <xf numFmtId="0" fontId="11" fillId="4" borderId="0" xfId="0" applyFont="1" applyFill="1" applyAlignment="1">
      <alignment horizontal="left"/>
    </xf>
    <xf numFmtId="0" fontId="0" fillId="4" borderId="0" xfId="0" applyFill="1"/>
    <xf numFmtId="164" fontId="1" fillId="4" borderId="0" xfId="0" applyNumberFormat="1" applyFont="1" applyFill="1"/>
    <xf numFmtId="0" fontId="41" fillId="5" borderId="0" xfId="0" applyFont="1" applyFill="1" applyAlignment="1">
      <alignment horizontal="left" indent="1"/>
    </xf>
    <xf numFmtId="0" fontId="41" fillId="5" borderId="0" xfId="0" applyFont="1" applyFill="1"/>
    <xf numFmtId="167" fontId="41" fillId="5" borderId="0" xfId="0" applyNumberFormat="1" applyFont="1" applyFill="1"/>
    <xf numFmtId="9" fontId="41" fillId="5" borderId="0" xfId="0" applyNumberFormat="1" applyFont="1" applyFill="1"/>
    <xf numFmtId="0" fontId="41" fillId="4" borderId="0" xfId="0" applyFont="1" applyFill="1"/>
    <xf numFmtId="167" fontId="41" fillId="4" borderId="0" xfId="0" applyNumberFormat="1" applyFont="1" applyFill="1"/>
    <xf numFmtId="9" fontId="41" fillId="4" borderId="0" xfId="0" applyNumberFormat="1" applyFont="1" applyFill="1"/>
    <xf numFmtId="0" fontId="3" fillId="0" borderId="0" xfId="0" applyFont="1" applyFill="1" applyAlignment="1"/>
    <xf numFmtId="0" fontId="11" fillId="0" borderId="0" xfId="0" applyFont="1" applyFill="1" applyAlignment="1"/>
    <xf numFmtId="167" fontId="11" fillId="5" borderId="0" xfId="0" applyNumberFormat="1" applyFont="1" applyFill="1"/>
    <xf numFmtId="173" fontId="47" fillId="0" borderId="0" xfId="0" applyNumberFormat="1" applyFont="1" applyFill="1"/>
    <xf numFmtId="0" fontId="67" fillId="9" borderId="0" xfId="0" applyFont="1" applyFill="1"/>
    <xf numFmtId="0" fontId="57" fillId="9" borderId="0" xfId="0" applyFont="1" applyFill="1"/>
    <xf numFmtId="6" fontId="41" fillId="5" borderId="0" xfId="0" applyNumberFormat="1" applyFont="1" applyFill="1"/>
    <xf numFmtId="174" fontId="11" fillId="5" borderId="0" xfId="0" applyNumberFormat="1" applyFont="1" applyFill="1"/>
    <xf numFmtId="173" fontId="11" fillId="5" borderId="0" xfId="0" applyNumberFormat="1" applyFont="1" applyFill="1"/>
    <xf numFmtId="173" fontId="3" fillId="0" borderId="0" xfId="0" applyNumberFormat="1" applyFont="1" applyFill="1"/>
    <xf numFmtId="0" fontId="3" fillId="4" borderId="0" xfId="0" applyFont="1" applyFill="1"/>
    <xf numFmtId="0" fontId="28" fillId="4" borderId="0" xfId="0" applyFont="1" applyFill="1"/>
    <xf numFmtId="164" fontId="28" fillId="4" borderId="0" xfId="0" applyNumberFormat="1" applyFont="1" applyFill="1"/>
    <xf numFmtId="0" fontId="84" fillId="0" borderId="0" xfId="0" applyFont="1" applyFill="1" applyAlignment="1"/>
    <xf numFmtId="0" fontId="68" fillId="0" borderId="0" xfId="0" applyFont="1" applyFill="1" applyAlignment="1"/>
    <xf numFmtId="0" fontId="85" fillId="0" borderId="0" xfId="0" applyFont="1" applyFill="1" applyAlignment="1">
      <alignment horizontal="left" indent="1"/>
    </xf>
    <xf numFmtId="0" fontId="62" fillId="9" borderId="0" xfId="0" applyFont="1" applyFill="1"/>
    <xf numFmtId="0" fontId="1" fillId="5" borderId="2" xfId="0" applyFont="1" applyFill="1" applyBorder="1"/>
    <xf numFmtId="0" fontId="0" fillId="5" borderId="2" xfId="0" applyFill="1" applyBorder="1"/>
    <xf numFmtId="1" fontId="11" fillId="5" borderId="2" xfId="0" applyNumberFormat="1" applyFont="1" applyFill="1" applyBorder="1"/>
    <xf numFmtId="0" fontId="50" fillId="5" borderId="2" xfId="0" applyFont="1" applyFill="1" applyBorder="1"/>
    <xf numFmtId="1" fontId="50" fillId="5" borderId="2" xfId="0" applyNumberFormat="1" applyFont="1" applyFill="1" applyBorder="1"/>
    <xf numFmtId="0" fontId="41" fillId="0" borderId="0" xfId="0" applyNumberFormat="1" applyFont="1" applyFill="1"/>
    <xf numFmtId="0" fontId="1" fillId="0" borderId="0" xfId="0" applyFont="1" applyFill="1" applyAlignment="1">
      <alignment horizontal="left"/>
    </xf>
    <xf numFmtId="2" fontId="41" fillId="0" borderId="0" xfId="0" applyNumberFormat="1" applyFont="1" applyFill="1"/>
    <xf numFmtId="2" fontId="1" fillId="0" borderId="0" xfId="0" applyNumberFormat="1" applyFont="1" applyFill="1"/>
    <xf numFmtId="167" fontId="70" fillId="5" borderId="0" xfId="0" applyNumberFormat="1" applyFont="1" applyFill="1"/>
    <xf numFmtId="167" fontId="69" fillId="5" borderId="0" xfId="0" applyNumberFormat="1" applyFont="1" applyFill="1"/>
    <xf numFmtId="37" fontId="41" fillId="0" borderId="0" xfId="0" applyNumberFormat="1" applyFont="1" applyFill="1"/>
    <xf numFmtId="0" fontId="48" fillId="0" borderId="0" xfId="0" applyFont="1" applyFill="1" applyAlignment="1">
      <alignment horizontal="left" indent="1"/>
    </xf>
    <xf numFmtId="6" fontId="48" fillId="0" borderId="0" xfId="0" applyNumberFormat="1" applyFont="1" applyFill="1"/>
    <xf numFmtId="6" fontId="0" fillId="5" borderId="0" xfId="51" applyNumberFormat="1" applyFont="1" applyFill="1"/>
    <xf numFmtId="0" fontId="47" fillId="4" borderId="0" xfId="0" applyFont="1" applyFill="1"/>
    <xf numFmtId="1" fontId="1" fillId="4" borderId="0" xfId="0" applyNumberFormat="1" applyFont="1" applyFill="1"/>
    <xf numFmtId="10" fontId="11" fillId="5" borderId="0" xfId="0" applyNumberFormat="1" applyFont="1" applyFill="1"/>
    <xf numFmtId="10" fontId="1" fillId="5" borderId="0" xfId="0" applyNumberFormat="1" applyFont="1" applyFill="1"/>
    <xf numFmtId="10" fontId="84" fillId="0" borderId="0" xfId="51" applyNumberFormat="1" applyFont="1" applyFill="1"/>
    <xf numFmtId="10" fontId="84" fillId="0" borderId="0" xfId="0" applyNumberFormat="1" applyFont="1" applyFill="1"/>
    <xf numFmtId="49" fontId="81" fillId="0" borderId="0" xfId="17" applyNumberFormat="1" applyFont="1" applyAlignment="1">
      <alignment horizontal="left" indent="1"/>
    </xf>
    <xf numFmtId="49" fontId="13" fillId="0" borderId="5" xfId="17" applyNumberFormat="1" applyFont="1" applyBorder="1" applyAlignment="1">
      <alignment horizontal="left"/>
    </xf>
    <xf numFmtId="170" fontId="0" fillId="0" borderId="0" xfId="0" applyNumberFormat="1"/>
    <xf numFmtId="9" fontId="26" fillId="0" borderId="0" xfId="0" applyNumberFormat="1" applyFont="1"/>
    <xf numFmtId="167" fontId="26" fillId="0" borderId="5" xfId="0" applyNumberFormat="1" applyFont="1" applyBorder="1"/>
    <xf numFmtId="170" fontId="1" fillId="0" borderId="0" xfId="0" applyNumberFormat="1" applyFont="1"/>
    <xf numFmtId="170" fontId="1" fillId="0" borderId="5" xfId="0" applyNumberFormat="1" applyFont="1" applyBorder="1"/>
    <xf numFmtId="8" fontId="1" fillId="0" borderId="5" xfId="0" applyNumberFormat="1" applyFont="1" applyBorder="1"/>
    <xf numFmtId="8" fontId="1" fillId="0" borderId="5" xfId="0" applyNumberFormat="1" applyFont="1" applyBorder="1" applyAlignment="1">
      <alignment horizontal="right"/>
    </xf>
    <xf numFmtId="0" fontId="0" fillId="0" borderId="0" xfId="0" applyAlignment="1">
      <alignment horizontal="right"/>
    </xf>
    <xf numFmtId="0" fontId="26" fillId="0" borderId="0" xfId="0" applyFont="1" applyFill="1" applyBorder="1" applyAlignment="1">
      <alignment horizontal="left" indent="1"/>
    </xf>
    <xf numFmtId="0" fontId="18" fillId="0" borderId="0" xfId="0" applyFont="1" applyFill="1" applyBorder="1"/>
    <xf numFmtId="167" fontId="26" fillId="0" borderId="0" xfId="0" applyNumberFormat="1" applyFont="1" applyBorder="1"/>
    <xf numFmtId="6" fontId="1" fillId="0" borderId="0" xfId="0" applyNumberFormat="1" applyFont="1"/>
    <xf numFmtId="0" fontId="11" fillId="5" borderId="2" xfId="0" applyFont="1" applyFill="1" applyBorder="1"/>
    <xf numFmtId="1" fontId="0" fillId="0" borderId="0" xfId="0" applyNumberFormat="1"/>
    <xf numFmtId="164" fontId="11" fillId="0" borderId="0" xfId="0" applyNumberFormat="1" applyFont="1" applyFill="1"/>
    <xf numFmtId="1" fontId="76" fillId="0" borderId="0" xfId="0" applyNumberFormat="1" applyFont="1" applyFill="1"/>
    <xf numFmtId="0" fontId="53" fillId="0" borderId="0" xfId="0" applyFont="1" applyFill="1"/>
    <xf numFmtId="0" fontId="53" fillId="0" borderId="0" xfId="0" applyFont="1" applyFill="1" applyAlignment="1">
      <alignment horizontal="left" indent="1"/>
    </xf>
    <xf numFmtId="167" fontId="53" fillId="0" borderId="0" xfId="0" applyNumberFormat="1" applyFont="1" applyFill="1"/>
    <xf numFmtId="0" fontId="78" fillId="0" borderId="0" xfId="0" applyFont="1" applyFill="1" applyAlignment="1">
      <alignment horizontal="left"/>
    </xf>
    <xf numFmtId="167" fontId="78" fillId="0" borderId="0" xfId="0" applyNumberFormat="1" applyFont="1" applyFill="1"/>
    <xf numFmtId="173" fontId="1" fillId="4" borderId="0" xfId="0" applyNumberFormat="1" applyFont="1" applyFill="1"/>
    <xf numFmtId="0" fontId="53" fillId="4" borderId="0" xfId="0" applyFont="1" applyFill="1" applyAlignment="1"/>
    <xf numFmtId="0" fontId="53" fillId="4" borderId="0" xfId="0" applyFont="1" applyFill="1"/>
    <xf numFmtId="167" fontId="53" fillId="4" borderId="0" xfId="0" applyNumberFormat="1" applyFont="1" applyFill="1"/>
    <xf numFmtId="0" fontId="53" fillId="0" borderId="0" xfId="0" applyFont="1" applyFill="1" applyAlignment="1"/>
    <xf numFmtId="0" fontId="53" fillId="0" borderId="0" xfId="0" applyNumberFormat="1" applyFont="1" applyFill="1"/>
    <xf numFmtId="0" fontId="53" fillId="0" borderId="0" xfId="0" applyFont="1"/>
    <xf numFmtId="0" fontId="53" fillId="0" borderId="0" xfId="0" applyFont="1" applyFill="1" applyAlignment="1">
      <alignment horizontal="left"/>
    </xf>
    <xf numFmtId="0" fontId="1" fillId="0" borderId="0" xfId="0" applyFont="1" applyBorder="1"/>
    <xf numFmtId="37" fontId="53" fillId="0" borderId="0" xfId="0" applyNumberFormat="1" applyFont="1" applyFill="1"/>
    <xf numFmtId="6" fontId="1" fillId="5" borderId="0" xfId="51" applyNumberFormat="1" applyFont="1" applyFill="1"/>
    <xf numFmtId="6" fontId="1" fillId="0" borderId="0" xfId="51" applyNumberFormat="1" applyFont="1" applyFill="1"/>
    <xf numFmtId="10" fontId="1" fillId="0" borderId="0" xfId="0" applyNumberFormat="1" applyFont="1"/>
    <xf numFmtId="0" fontId="22" fillId="0" borderId="0" xfId="0" applyFont="1"/>
    <xf numFmtId="0" fontId="13" fillId="5" borderId="7" xfId="17" applyNumberFormat="1" applyFont="1" applyFill="1" applyBorder="1" applyAlignment="1">
      <alignment horizontal="right"/>
    </xf>
    <xf numFmtId="0" fontId="13" fillId="5" borderId="6" xfId="17" applyNumberFormat="1" applyFont="1" applyFill="1" applyBorder="1" applyAlignment="1">
      <alignment horizontal="right"/>
    </xf>
    <xf numFmtId="0" fontId="88" fillId="5" borderId="3" xfId="17" applyNumberFormat="1" applyFont="1" applyFill="1" applyBorder="1" applyAlignment="1">
      <alignment horizontal="center" vertical="center"/>
    </xf>
    <xf numFmtId="0" fontId="17" fillId="0" borderId="0" xfId="0" applyFont="1"/>
    <xf numFmtId="0" fontId="1" fillId="0" borderId="0" xfId="41"/>
    <xf numFmtId="0" fontId="1" fillId="0" borderId="0" xfId="41" applyFont="1"/>
    <xf numFmtId="0" fontId="13" fillId="5" borderId="8" xfId="17" applyNumberFormat="1" applyFont="1" applyFill="1" applyBorder="1" applyAlignment="1">
      <alignment horizontal="right"/>
    </xf>
    <xf numFmtId="0" fontId="13" fillId="5" borderId="9" xfId="17" applyNumberFormat="1" applyFont="1" applyFill="1" applyBorder="1" applyAlignment="1">
      <alignment horizontal="right"/>
    </xf>
    <xf numFmtId="0" fontId="88" fillId="5" borderId="4" xfId="41" applyFont="1" applyFill="1" applyBorder="1" applyAlignment="1">
      <alignment horizontal="center" vertical="center"/>
    </xf>
    <xf numFmtId="0" fontId="1" fillId="0" borderId="6" xfId="0" applyFont="1" applyBorder="1"/>
    <xf numFmtId="181" fontId="89" fillId="6" borderId="10" xfId="17" applyNumberFormat="1" applyFont="1" applyFill="1" applyBorder="1"/>
    <xf numFmtId="0" fontId="17" fillId="0" borderId="0" xfId="0" applyFont="1" applyAlignment="1">
      <alignment horizontal="center"/>
    </xf>
    <xf numFmtId="0" fontId="2" fillId="0" borderId="0" xfId="0" applyFont="1" applyAlignment="1">
      <alignment horizontal="center"/>
    </xf>
    <xf numFmtId="181" fontId="90" fillId="6" borderId="10" xfId="17" applyNumberFormat="1" applyFont="1" applyFill="1" applyBorder="1"/>
    <xf numFmtId="181" fontId="52" fillId="6" borderId="10" xfId="17" applyNumberFormat="1" applyFont="1" applyFill="1" applyBorder="1"/>
    <xf numFmtId="181" fontId="52" fillId="6" borderId="11" xfId="17" applyNumberFormat="1" applyFont="1" applyFill="1" applyBorder="1"/>
    <xf numFmtId="0" fontId="17" fillId="0" borderId="5" xfId="0" applyFont="1" applyBorder="1" applyAlignment="1">
      <alignment horizontal="center"/>
    </xf>
    <xf numFmtId="0" fontId="1" fillId="0" borderId="5" xfId="0" applyFont="1" applyBorder="1"/>
    <xf numFmtId="167" fontId="81" fillId="6" borderId="10" xfId="17" applyNumberFormat="1" applyFont="1" applyFill="1" applyBorder="1" applyAlignment="1">
      <alignment horizontal="right"/>
    </xf>
    <xf numFmtId="167" fontId="20" fillId="6" borderId="10" xfId="17" applyNumberFormat="1" applyFont="1" applyFill="1" applyBorder="1" applyAlignment="1">
      <alignment horizontal="right"/>
    </xf>
    <xf numFmtId="0" fontId="9" fillId="0" borderId="0" xfId="0" applyFont="1" applyAlignment="1">
      <alignment horizontal="center"/>
    </xf>
    <xf numFmtId="49" fontId="52" fillId="6" borderId="12" xfId="17" applyNumberFormat="1" applyFont="1" applyFill="1" applyBorder="1" applyAlignment="1">
      <alignment horizontal="left"/>
    </xf>
    <xf numFmtId="49" fontId="52" fillId="6" borderId="0" xfId="17" applyNumberFormat="1" applyFont="1" applyFill="1" applyBorder="1" applyAlignment="1">
      <alignment horizontal="left"/>
    </xf>
    <xf numFmtId="0" fontId="8" fillId="0" borderId="5" xfId="0" applyFont="1" applyBorder="1" applyAlignment="1">
      <alignment horizontal="center"/>
    </xf>
    <xf numFmtId="0" fontId="62" fillId="0" borderId="0" xfId="41" applyFont="1"/>
    <xf numFmtId="0" fontId="41" fillId="0" borderId="13" xfId="0" applyFont="1" applyBorder="1"/>
    <xf numFmtId="0" fontId="41" fillId="0" borderId="2" xfId="0" applyFont="1" applyBorder="1"/>
    <xf numFmtId="170" fontId="41" fillId="0" borderId="14" xfId="0" applyNumberFormat="1" applyFont="1" applyBorder="1"/>
    <xf numFmtId="6" fontId="0" fillId="0" borderId="0" xfId="0" applyNumberFormat="1"/>
    <xf numFmtId="6" fontId="26" fillId="0" borderId="0" xfId="0" applyNumberFormat="1" applyFont="1"/>
    <xf numFmtId="0" fontId="26" fillId="0" borderId="0" xfId="0" applyFont="1" applyAlignment="1">
      <alignment horizontal="left" indent="1"/>
    </xf>
    <xf numFmtId="0" fontId="3" fillId="0" borderId="0" xfId="0" applyFont="1"/>
    <xf numFmtId="6" fontId="3" fillId="0" borderId="0" xfId="0" applyNumberFormat="1" applyFont="1"/>
    <xf numFmtId="1" fontId="3" fillId="0" borderId="0" xfId="0" applyNumberFormat="1" applyFont="1"/>
    <xf numFmtId="167" fontId="69" fillId="0" borderId="0" xfId="0" applyNumberFormat="1" applyFont="1"/>
    <xf numFmtId="6" fontId="53" fillId="0" borderId="0" xfId="0" applyNumberFormat="1" applyFont="1"/>
    <xf numFmtId="37" fontId="1" fillId="0" borderId="0" xfId="12" applyNumberFormat="1" applyFont="1"/>
    <xf numFmtId="37" fontId="1" fillId="0" borderId="0" xfId="0" applyNumberFormat="1" applyFont="1"/>
    <xf numFmtId="0" fontId="18" fillId="0" borderId="0" xfId="0" applyFont="1" applyAlignment="1">
      <alignment horizontal="right"/>
    </xf>
    <xf numFmtId="0" fontId="1" fillId="0" borderId="0" xfId="0" applyFont="1" applyAlignment="1">
      <alignment horizontal="right"/>
    </xf>
    <xf numFmtId="0" fontId="1" fillId="0" borderId="13" xfId="0" applyFont="1" applyBorder="1" applyAlignment="1">
      <alignment horizontal="right"/>
    </xf>
    <xf numFmtId="6" fontId="1" fillId="0" borderId="14" xfId="0" applyNumberFormat="1" applyFont="1" applyBorder="1"/>
    <xf numFmtId="6" fontId="1" fillId="0" borderId="0" xfId="0" applyNumberFormat="1" applyFont="1" applyAlignment="1">
      <alignment horizontal="right"/>
    </xf>
    <xf numFmtId="0" fontId="94" fillId="10" borderId="0" xfId="0" applyFont="1" applyFill="1" applyAlignment="1">
      <alignment horizontal="centerContinuous"/>
    </xf>
    <xf numFmtId="0" fontId="11" fillId="0" borderId="0" xfId="0" applyFont="1" applyAlignment="1">
      <alignment horizontal="center"/>
    </xf>
    <xf numFmtId="0" fontId="11" fillId="0" borderId="0" xfId="0" applyFont="1" applyAlignment="1">
      <alignment horizontal="right"/>
    </xf>
    <xf numFmtId="0" fontId="94" fillId="10" borderId="15" xfId="0" applyFont="1" applyFill="1" applyBorder="1" applyAlignment="1">
      <alignment horizontal="centerContinuous"/>
    </xf>
    <xf numFmtId="0" fontId="11" fillId="0" borderId="15" xfId="0" applyFont="1" applyBorder="1" applyAlignment="1">
      <alignment horizontal="right"/>
    </xf>
    <xf numFmtId="0" fontId="11" fillId="0" borderId="15" xfId="0" applyFont="1" applyBorder="1" applyAlignment="1">
      <alignment horizontal="center"/>
    </xf>
    <xf numFmtId="6" fontId="1" fillId="0" borderId="15" xfId="0" applyNumberFormat="1" applyFont="1" applyBorder="1"/>
    <xf numFmtId="0" fontId="1" fillId="0" borderId="15" xfId="0" applyFont="1" applyBorder="1"/>
    <xf numFmtId="167" fontId="1" fillId="0" borderId="0" xfId="41" applyNumberFormat="1"/>
    <xf numFmtId="179" fontId="95" fillId="6" borderId="10" xfId="17" applyNumberFormat="1" applyFont="1" applyFill="1" applyBorder="1"/>
    <xf numFmtId="179" fontId="13" fillId="6" borderId="16" xfId="41" applyNumberFormat="1" applyFont="1" applyFill="1" applyBorder="1"/>
    <xf numFmtId="1" fontId="84" fillId="0" borderId="2" xfId="0" applyNumberFormat="1" applyFont="1" applyFill="1" applyBorder="1"/>
    <xf numFmtId="168" fontId="1" fillId="4" borderId="0" xfId="0" applyNumberFormat="1" applyFont="1" applyFill="1"/>
    <xf numFmtId="0" fontId="11" fillId="8" borderId="3" xfId="0" applyFont="1" applyFill="1" applyBorder="1" applyAlignment="1">
      <alignment horizontal="center"/>
    </xf>
    <xf numFmtId="0" fontId="11" fillId="8" borderId="4" xfId="0" applyFont="1" applyFill="1" applyBorder="1" applyAlignment="1">
      <alignment horizontal="center"/>
    </xf>
    <xf numFmtId="164" fontId="44" fillId="5" borderId="0" xfId="0" applyNumberFormat="1" applyFont="1" applyFill="1"/>
    <xf numFmtId="164" fontId="0" fillId="5" borderId="0" xfId="0" applyNumberFormat="1" applyFill="1"/>
    <xf numFmtId="164" fontId="21" fillId="5" borderId="0" xfId="0" applyNumberFormat="1" applyFont="1" applyFill="1"/>
    <xf numFmtId="164" fontId="26" fillId="4" borderId="0" xfId="0" applyNumberFormat="1" applyFont="1" applyFill="1"/>
    <xf numFmtId="0" fontId="97" fillId="0" borderId="0" xfId="34" applyFont="1" applyBorder="1"/>
    <xf numFmtId="0" fontId="2" fillId="0" borderId="0" xfId="34" applyFont="1" applyAlignment="1">
      <alignment horizontal="right"/>
    </xf>
    <xf numFmtId="0" fontId="2" fillId="0" borderId="0" xfId="27" applyFont="1" applyAlignment="1">
      <alignment horizontal="right"/>
    </xf>
    <xf numFmtId="0" fontId="2" fillId="0" borderId="0" xfId="27" applyFont="1" applyFill="1"/>
    <xf numFmtId="0" fontId="2" fillId="0" borderId="0" xfId="27" applyFont="1"/>
    <xf numFmtId="0" fontId="98" fillId="0" borderId="0" xfId="34" applyFont="1" applyBorder="1"/>
    <xf numFmtId="0" fontId="99" fillId="0" borderId="9" xfId="34" applyFont="1" applyBorder="1"/>
    <xf numFmtId="190" fontId="100" fillId="0" borderId="9" xfId="28" applyNumberFormat="1" applyFont="1" applyBorder="1" applyAlignment="1">
      <alignment horizontal="right"/>
    </xf>
    <xf numFmtId="0" fontId="99" fillId="0" borderId="0" xfId="34" applyFont="1" applyBorder="1"/>
    <xf numFmtId="187" fontId="100" fillId="0" borderId="0" xfId="28" applyNumberFormat="1" applyFont="1" applyBorder="1" applyAlignment="1">
      <alignment horizontal="right"/>
    </xf>
    <xf numFmtId="173" fontId="8" fillId="0" borderId="0" xfId="16" applyNumberFormat="1" applyFont="1" applyBorder="1" applyAlignment="1">
      <alignment horizontal="right"/>
    </xf>
    <xf numFmtId="188" fontId="99" fillId="0" borderId="0" xfId="34" applyNumberFormat="1" applyFont="1" applyBorder="1" applyAlignment="1">
      <alignment horizontal="right"/>
    </xf>
    <xf numFmtId="0" fontId="2" fillId="0" borderId="0" xfId="27" applyFont="1" applyFill="1" applyBorder="1"/>
    <xf numFmtId="186" fontId="100" fillId="0" borderId="0" xfId="35" applyNumberFormat="1" applyFont="1" applyFill="1" applyBorder="1"/>
    <xf numFmtId="0" fontId="2" fillId="0" borderId="0" xfId="27" applyFont="1" applyFill="1" applyAlignment="1">
      <alignment horizontal="right"/>
    </xf>
    <xf numFmtId="173" fontId="2" fillId="0" borderId="0" xfId="27" applyNumberFormat="1" applyFont="1" applyAlignment="1">
      <alignment horizontal="right"/>
    </xf>
    <xf numFmtId="0" fontId="2" fillId="0" borderId="0" xfId="35" applyFont="1" applyFill="1"/>
    <xf numFmtId="180" fontId="8" fillId="0" borderId="0" xfId="16" applyNumberFormat="1" applyFont="1" applyFill="1" applyAlignment="1">
      <alignment horizontal="right"/>
    </xf>
    <xf numFmtId="180" fontId="8" fillId="0" borderId="0" xfId="16" applyNumberFormat="1" applyFont="1" applyAlignment="1">
      <alignment horizontal="right"/>
    </xf>
    <xf numFmtId="186" fontId="2" fillId="0" borderId="0" xfId="35" applyNumberFormat="1" applyFont="1" applyFill="1" applyBorder="1" applyAlignment="1" applyProtection="1">
      <alignment horizontal="left"/>
    </xf>
    <xf numFmtId="180" fontId="8" fillId="0" borderId="9" xfId="16" applyNumberFormat="1" applyFont="1" applyBorder="1" applyAlignment="1">
      <alignment horizontal="right"/>
    </xf>
    <xf numFmtId="180" fontId="8" fillId="0" borderId="0" xfId="16" applyNumberFormat="1" applyFont="1" applyBorder="1" applyAlignment="1">
      <alignment horizontal="right"/>
    </xf>
    <xf numFmtId="0" fontId="9" fillId="0" borderId="0" xfId="35" applyFont="1" applyFill="1"/>
    <xf numFmtId="0" fontId="9" fillId="0" borderId="9" xfId="27" applyFont="1" applyFill="1" applyBorder="1"/>
    <xf numFmtId="0" fontId="2" fillId="0" borderId="0" xfId="35" applyFont="1" applyFill="1" applyAlignment="1">
      <alignment horizontal="left"/>
    </xf>
    <xf numFmtId="1" fontId="72" fillId="0" borderId="0" xfId="27" applyNumberFormat="1" applyFont="1" applyFill="1" applyAlignment="1">
      <alignment horizontal="right"/>
    </xf>
    <xf numFmtId="180" fontId="2" fillId="0" borderId="0" xfId="27" applyNumberFormat="1" applyFont="1" applyAlignment="1">
      <alignment horizontal="right"/>
    </xf>
    <xf numFmtId="180" fontId="2" fillId="0" borderId="0" xfId="27" applyNumberFormat="1" applyFont="1"/>
    <xf numFmtId="0" fontId="2" fillId="0" borderId="0" xfId="27" applyFont="1" applyFill="1" applyAlignment="1">
      <alignment horizontal="left" indent="1"/>
    </xf>
    <xf numFmtId="180" fontId="2" fillId="0" borderId="0" xfId="27" applyNumberFormat="1" applyFont="1" applyFill="1" applyAlignment="1">
      <alignment horizontal="right"/>
    </xf>
    <xf numFmtId="180" fontId="9" fillId="0" borderId="0" xfId="27" applyNumberFormat="1" applyFont="1" applyAlignment="1">
      <alignment horizontal="right"/>
    </xf>
    <xf numFmtId="0" fontId="9" fillId="0" borderId="0" xfId="27" applyFont="1" applyFill="1"/>
    <xf numFmtId="0" fontId="8" fillId="0" borderId="0" xfId="27" applyFont="1" applyFill="1"/>
    <xf numFmtId="180" fontId="8" fillId="0" borderId="0" xfId="27" applyNumberFormat="1" applyFont="1" applyAlignment="1">
      <alignment horizontal="right"/>
    </xf>
    <xf numFmtId="191" fontId="9" fillId="0" borderId="0" xfId="27" applyNumberFormat="1" applyFont="1" applyFill="1" applyAlignment="1">
      <alignment horizontal="right"/>
    </xf>
    <xf numFmtId="0" fontId="2" fillId="0" borderId="0" xfId="35" applyFont="1" applyFill="1" applyAlignment="1">
      <alignment horizontal="left" indent="1"/>
    </xf>
    <xf numFmtId="0" fontId="2" fillId="0" borderId="0" xfId="35" applyFont="1" applyFill="1" applyAlignment="1">
      <alignment horizontal="left" indent="2"/>
    </xf>
    <xf numFmtId="180" fontId="8" fillId="0" borderId="9" xfId="27" applyNumberFormat="1" applyFont="1" applyBorder="1" applyAlignment="1">
      <alignment horizontal="right"/>
    </xf>
    <xf numFmtId="180" fontId="101" fillId="0" borderId="0" xfId="16" applyNumberFormat="1" applyFont="1" applyFill="1" applyBorder="1" applyAlignment="1">
      <alignment horizontal="right"/>
    </xf>
    <xf numFmtId="180" fontId="2" fillId="0" borderId="0" xfId="16" applyNumberFormat="1" applyFont="1" applyFill="1" applyBorder="1" applyAlignment="1">
      <alignment horizontal="right"/>
    </xf>
    <xf numFmtId="0" fontId="9" fillId="0" borderId="0" xfId="27" applyFont="1"/>
    <xf numFmtId="9" fontId="8" fillId="0" borderId="0" xfId="51" applyFont="1" applyFill="1" applyAlignment="1">
      <alignment horizontal="right"/>
    </xf>
    <xf numFmtId="0" fontId="8" fillId="0" borderId="0" xfId="27" applyFont="1"/>
    <xf numFmtId="167" fontId="102" fillId="0" borderId="9" xfId="27" applyNumberFormat="1" applyFont="1" applyFill="1" applyBorder="1" applyAlignment="1">
      <alignment horizontal="right"/>
    </xf>
    <xf numFmtId="167" fontId="101" fillId="0" borderId="9" xfId="27" applyNumberFormat="1" applyFont="1" applyFill="1" applyBorder="1" applyAlignment="1">
      <alignment horizontal="right"/>
    </xf>
    <xf numFmtId="0" fontId="2" fillId="0" borderId="9" xfId="27" applyFont="1" applyBorder="1"/>
    <xf numFmtId="0" fontId="2" fillId="0" borderId="0" xfId="27" applyFont="1" applyBorder="1"/>
    <xf numFmtId="180" fontId="2" fillId="0" borderId="0" xfId="16" applyNumberFormat="1" applyFont="1" applyAlignment="1">
      <alignment horizontal="right"/>
    </xf>
    <xf numFmtId="167" fontId="8" fillId="0" borderId="0" xfId="51" applyNumberFormat="1" applyFont="1" applyBorder="1" applyAlignment="1">
      <alignment horizontal="right"/>
    </xf>
    <xf numFmtId="187" fontId="8" fillId="0" borderId="0" xfId="28" applyNumberFormat="1" applyFont="1" applyBorder="1" applyAlignment="1">
      <alignment horizontal="right"/>
    </xf>
    <xf numFmtId="188" fontId="4" fillId="0" borderId="0" xfId="34" applyNumberFormat="1" applyFont="1" applyBorder="1" applyAlignment="1">
      <alignment horizontal="right"/>
    </xf>
    <xf numFmtId="180" fontId="8" fillId="0" borderId="0" xfId="34" applyNumberFormat="1" applyFont="1" applyBorder="1" applyAlignment="1">
      <alignment horizontal="right"/>
    </xf>
    <xf numFmtId="0" fontId="2" fillId="0" borderId="0" xfId="27" applyFont="1" applyBorder="1" applyAlignment="1">
      <alignment horizontal="left" indent="1"/>
    </xf>
    <xf numFmtId="167" fontId="8" fillId="0" borderId="0" xfId="51" applyNumberFormat="1" applyFont="1" applyFill="1" applyBorder="1" applyAlignment="1">
      <alignment horizontal="right"/>
    </xf>
    <xf numFmtId="180" fontId="103" fillId="0" borderId="0" xfId="34" applyNumberFormat="1" applyFont="1" applyFill="1" applyBorder="1" applyAlignment="1">
      <alignment horizontal="right"/>
    </xf>
    <xf numFmtId="0" fontId="33" fillId="0" borderId="0" xfId="27" applyFont="1" applyAlignment="1">
      <alignment horizontal="left" indent="2"/>
    </xf>
    <xf numFmtId="9" fontId="2" fillId="0" borderId="0" xfId="51" applyNumberFormat="1" applyFont="1" applyAlignment="1">
      <alignment horizontal="right"/>
    </xf>
    <xf numFmtId="167" fontId="2" fillId="0" borderId="0" xfId="51" applyNumberFormat="1" applyFont="1" applyAlignment="1">
      <alignment horizontal="right"/>
    </xf>
    <xf numFmtId="9" fontId="2" fillId="0" borderId="0" xfId="51" applyFont="1" applyAlignment="1">
      <alignment horizontal="right"/>
    </xf>
    <xf numFmtId="0" fontId="2" fillId="0" borderId="0" xfId="45" applyFont="1"/>
    <xf numFmtId="180" fontId="4" fillId="0" borderId="0" xfId="34" applyNumberFormat="1" applyFont="1" applyBorder="1" applyAlignment="1">
      <alignment horizontal="right"/>
    </xf>
    <xf numFmtId="0" fontId="9" fillId="0" borderId="9" xfId="27" applyFont="1" applyBorder="1"/>
    <xf numFmtId="9" fontId="101" fillId="0" borderId="0" xfId="51" applyFont="1" applyFill="1" applyBorder="1" applyAlignment="1">
      <alignment horizontal="right"/>
    </xf>
    <xf numFmtId="186" fontId="2" fillId="0" borderId="0" xfId="35" applyNumberFormat="1" applyFont="1" applyBorder="1" applyAlignment="1" applyProtection="1">
      <alignment horizontal="left"/>
    </xf>
    <xf numFmtId="173" fontId="2" fillId="0" borderId="0" xfId="27" applyNumberFormat="1" applyFont="1"/>
    <xf numFmtId="180" fontId="2" fillId="0" borderId="0" xfId="16" applyNumberFormat="1" applyFont="1" applyFill="1" applyAlignment="1">
      <alignment horizontal="right"/>
    </xf>
    <xf numFmtId="0" fontId="2" fillId="0" borderId="0" xfId="27" applyFont="1" applyFill="1" applyAlignment="1">
      <alignment vertical="justify" textRotation="90" readingOrder="2"/>
    </xf>
    <xf numFmtId="179" fontId="104" fillId="0" borderId="0" xfId="16" applyNumberFormat="1" applyFont="1" applyFill="1"/>
    <xf numFmtId="179" fontId="2" fillId="0" borderId="0" xfId="16" applyNumberFormat="1" applyFont="1" applyFill="1"/>
    <xf numFmtId="0" fontId="2" fillId="0" borderId="9" xfId="27" applyFont="1" applyBorder="1" applyAlignment="1">
      <alignment vertical="center" textRotation="90" readingOrder="2"/>
    </xf>
    <xf numFmtId="190" fontId="100" fillId="0" borderId="0" xfId="28" applyNumberFormat="1" applyFont="1" applyBorder="1" applyAlignment="1">
      <alignment horizontal="right"/>
    </xf>
    <xf numFmtId="164" fontId="2" fillId="0" borderId="0" xfId="27" applyNumberFormat="1" applyFont="1" applyFill="1"/>
    <xf numFmtId="189" fontId="2" fillId="0" borderId="0" xfId="16" applyNumberFormat="1" applyFont="1" applyBorder="1" applyAlignment="1">
      <alignment horizontal="right"/>
    </xf>
    <xf numFmtId="173" fontId="2" fillId="0" borderId="0" xfId="27" applyNumberFormat="1" applyFont="1" applyFill="1"/>
    <xf numFmtId="180" fontId="2" fillId="0" borderId="2" xfId="16" applyNumberFormat="1" applyFont="1" applyBorder="1" applyAlignment="1">
      <alignment horizontal="right"/>
    </xf>
    <xf numFmtId="0" fontId="104" fillId="0" borderId="0" xfId="27" applyFont="1" applyBorder="1"/>
    <xf numFmtId="0" fontId="9" fillId="0" borderId="0" xfId="27" applyFont="1" applyBorder="1"/>
    <xf numFmtId="186" fontId="104" fillId="0" borderId="0" xfId="35" applyNumberFormat="1" applyFont="1" applyBorder="1" applyAlignment="1" applyProtection="1">
      <alignment horizontal="left"/>
    </xf>
    <xf numFmtId="186" fontId="9" fillId="0" borderId="0" xfId="35" applyNumberFormat="1" applyFont="1" applyBorder="1" applyAlignment="1" applyProtection="1">
      <alignment horizontal="left"/>
    </xf>
    <xf numFmtId="0" fontId="105" fillId="0" borderId="0" xfId="34" applyFont="1" applyBorder="1"/>
    <xf numFmtId="190" fontId="106" fillId="0" borderId="9" xfId="28" applyNumberFormat="1" applyFont="1" applyBorder="1" applyAlignment="1">
      <alignment horizontal="right"/>
    </xf>
    <xf numFmtId="180" fontId="74" fillId="5" borderId="0" xfId="16" applyNumberFormat="1" applyFont="1" applyFill="1" applyAlignment="1">
      <alignment horizontal="right"/>
    </xf>
    <xf numFmtId="1" fontId="74" fillId="5" borderId="0" xfId="16" applyNumberFormat="1" applyFont="1" applyFill="1" applyAlignment="1">
      <alignment horizontal="right"/>
    </xf>
    <xf numFmtId="192" fontId="108" fillId="0" borderId="0" xfId="28" applyNumberFormat="1" applyFont="1" applyBorder="1" applyAlignment="1">
      <alignment horizontal="right"/>
    </xf>
    <xf numFmtId="164" fontId="9" fillId="4" borderId="0" xfId="27" applyNumberFormat="1" applyFont="1" applyFill="1" applyAlignment="1">
      <alignment horizontal="right"/>
    </xf>
    <xf numFmtId="189" fontId="9" fillId="4" borderId="0" xfId="27" applyNumberFormat="1" applyFont="1" applyFill="1" applyAlignment="1">
      <alignment horizontal="right"/>
    </xf>
    <xf numFmtId="189" fontId="2" fillId="4" borderId="0" xfId="27" applyNumberFormat="1" applyFont="1" applyFill="1" applyAlignment="1">
      <alignment horizontal="right"/>
    </xf>
    <xf numFmtId="189" fontId="2" fillId="4" borderId="0" xfId="45" applyNumberFormat="1" applyFont="1" applyFill="1" applyAlignment="1">
      <alignment horizontal="right"/>
    </xf>
    <xf numFmtId="180" fontId="2" fillId="4" borderId="0" xfId="27" applyNumberFormat="1" applyFont="1" applyFill="1"/>
    <xf numFmtId="190" fontId="100" fillId="0" borderId="0" xfId="28" applyNumberFormat="1" applyFont="1" applyFill="1" applyBorder="1" applyAlignment="1">
      <alignment horizontal="right"/>
    </xf>
    <xf numFmtId="180" fontId="71" fillId="0" borderId="0" xfId="16" applyNumberFormat="1" applyFont="1" applyFill="1" applyBorder="1" applyAlignment="1">
      <alignment horizontal="left" indent="1"/>
    </xf>
    <xf numFmtId="189" fontId="2" fillId="0" borderId="0" xfId="16" applyNumberFormat="1" applyFont="1" applyFill="1" applyBorder="1" applyAlignment="1">
      <alignment horizontal="right"/>
    </xf>
    <xf numFmtId="180" fontId="2" fillId="0" borderId="13" xfId="16" applyNumberFormat="1" applyFont="1" applyFill="1" applyBorder="1" applyAlignment="1">
      <alignment horizontal="right"/>
    </xf>
    <xf numFmtId="9" fontId="75" fillId="5" borderId="0" xfId="51" applyNumberFormat="1" applyFont="1" applyFill="1" applyAlignment="1">
      <alignment horizontal="right"/>
    </xf>
    <xf numFmtId="180" fontId="2" fillId="8" borderId="0" xfId="16" applyNumberFormat="1" applyFont="1" applyFill="1" applyBorder="1" applyAlignment="1">
      <alignment horizontal="right"/>
    </xf>
    <xf numFmtId="180" fontId="107" fillId="0" borderId="0" xfId="16" applyNumberFormat="1" applyFont="1" applyFill="1" applyAlignment="1">
      <alignment horizontal="right"/>
    </xf>
    <xf numFmtId="180" fontId="107" fillId="4" borderId="0" xfId="16" applyNumberFormat="1" applyFont="1" applyFill="1" applyAlignment="1">
      <alignment horizontal="right"/>
    </xf>
    <xf numFmtId="180" fontId="107" fillId="4" borderId="2" xfId="16" applyNumberFormat="1" applyFont="1" applyFill="1" applyBorder="1" applyAlignment="1">
      <alignment horizontal="right"/>
    </xf>
    <xf numFmtId="180" fontId="2" fillId="5" borderId="0" xfId="16" applyNumberFormat="1" applyFont="1" applyFill="1" applyBorder="1" applyAlignment="1">
      <alignment horizontal="right"/>
    </xf>
    <xf numFmtId="190" fontId="100" fillId="4" borderId="9" xfId="28" applyNumberFormat="1" applyFont="1" applyFill="1" applyBorder="1" applyAlignment="1">
      <alignment horizontal="right"/>
    </xf>
    <xf numFmtId="0" fontId="75" fillId="4" borderId="0" xfId="27" applyFont="1" applyFill="1" applyAlignment="1">
      <alignment horizontal="centerContinuous"/>
    </xf>
    <xf numFmtId="188" fontId="2" fillId="4" borderId="0" xfId="27" applyNumberFormat="1" applyFont="1" applyFill="1" applyAlignment="1">
      <alignment horizontal="centerContinuous"/>
    </xf>
    <xf numFmtId="0" fontId="2" fillId="4" borderId="0" xfId="27" applyFont="1" applyFill="1" applyAlignment="1">
      <alignment horizontal="centerContinuous"/>
    </xf>
    <xf numFmtId="167" fontId="74" fillId="11" borderId="0" xfId="51" applyNumberFormat="1" applyFont="1" applyFill="1" applyBorder="1" applyAlignment="1">
      <alignment horizontal="right"/>
    </xf>
    <xf numFmtId="180" fontId="107" fillId="11" borderId="0" xfId="27" applyNumberFormat="1" applyFont="1" applyFill="1"/>
    <xf numFmtId="189" fontId="107" fillId="4" borderId="0" xfId="27" applyNumberFormat="1" applyFont="1" applyFill="1" applyAlignment="1">
      <alignment horizontal="right"/>
    </xf>
    <xf numFmtId="189" fontId="107" fillId="4" borderId="0" xfId="45" applyNumberFormat="1" applyFont="1" applyFill="1" applyAlignment="1">
      <alignment horizontal="right"/>
    </xf>
    <xf numFmtId="164" fontId="2" fillId="0" borderId="17" xfId="27" applyNumberFormat="1" applyFont="1" applyBorder="1" applyAlignment="1">
      <alignment horizontal="right"/>
    </xf>
    <xf numFmtId="167" fontId="59" fillId="0" borderId="0" xfId="27" applyNumberFormat="1" applyFont="1" applyFill="1" applyBorder="1" applyAlignment="1">
      <alignment horizontal="right"/>
    </xf>
    <xf numFmtId="167" fontId="59" fillId="5" borderId="0" xfId="27" applyNumberFormat="1" applyFont="1" applyFill="1" applyBorder="1" applyAlignment="1">
      <alignment horizontal="right"/>
    </xf>
    <xf numFmtId="164" fontId="26" fillId="5" borderId="0" xfId="0" applyNumberFormat="1" applyFont="1" applyFill="1" applyBorder="1"/>
    <xf numFmtId="0" fontId="87" fillId="4" borderId="0" xfId="0" applyFont="1" applyFill="1"/>
    <xf numFmtId="0" fontId="26" fillId="5" borderId="0" xfId="0" applyFont="1" applyFill="1" applyAlignment="1">
      <alignment horizontal="left" indent="1"/>
    </xf>
    <xf numFmtId="164" fontId="1" fillId="0" borderId="0" xfId="0" applyNumberFormat="1" applyFont="1" applyFill="1" applyBorder="1" applyAlignment="1"/>
    <xf numFmtId="167" fontId="48" fillId="4" borderId="0" xfId="0" applyNumberFormat="1" applyFont="1" applyFill="1"/>
    <xf numFmtId="0" fontId="110" fillId="4" borderId="0" xfId="0" applyFont="1" applyFill="1"/>
    <xf numFmtId="164" fontId="110" fillId="4" borderId="0" xfId="0" applyNumberFormat="1" applyFont="1" applyFill="1"/>
    <xf numFmtId="164" fontId="3" fillId="4" borderId="0" xfId="0" applyNumberFormat="1" applyFont="1" applyFill="1"/>
    <xf numFmtId="9" fontId="48" fillId="4" borderId="0" xfId="0" applyNumberFormat="1" applyFont="1" applyFill="1"/>
    <xf numFmtId="164" fontId="41" fillId="4" borderId="0" xfId="0" applyNumberFormat="1" applyFont="1" applyFill="1"/>
    <xf numFmtId="164" fontId="47" fillId="0" borderId="0" xfId="0" applyNumberFormat="1" applyFont="1" applyFill="1"/>
    <xf numFmtId="8" fontId="48" fillId="4" borderId="0" xfId="0" applyNumberFormat="1" applyFont="1" applyFill="1" applyBorder="1"/>
    <xf numFmtId="10" fontId="48" fillId="4" borderId="0" xfId="0" applyNumberFormat="1" applyFont="1" applyFill="1" applyBorder="1"/>
    <xf numFmtId="164" fontId="53" fillId="0" borderId="0" xfId="0" applyNumberFormat="1" applyFont="1" applyFill="1" applyBorder="1" applyAlignment="1"/>
    <xf numFmtId="0" fontId="0" fillId="5" borderId="3" xfId="0" applyFill="1" applyBorder="1" applyAlignment="1">
      <alignment horizontal="center"/>
    </xf>
    <xf numFmtId="0" fontId="0" fillId="5" borderId="4" xfId="0" applyFill="1" applyBorder="1" applyAlignment="1">
      <alignment horizontal="center"/>
    </xf>
    <xf numFmtId="0" fontId="1" fillId="5" borderId="0" xfId="0" applyFont="1" applyFill="1" applyBorder="1"/>
    <xf numFmtId="0" fontId="112" fillId="0" borderId="0" xfId="33" applyFont="1" applyFill="1"/>
    <xf numFmtId="9" fontId="8" fillId="0" borderId="0" xfId="48" applyNumberFormat="1" applyFont="1" applyFill="1"/>
    <xf numFmtId="0" fontId="112" fillId="0" borderId="0" xfId="48" applyFont="1" applyFill="1" applyBorder="1"/>
    <xf numFmtId="0" fontId="113" fillId="0" borderId="0" xfId="48" applyFont="1" applyFill="1" applyBorder="1"/>
    <xf numFmtId="0" fontId="9" fillId="0" borderId="0" xfId="48" applyNumberFormat="1" applyFont="1" applyFill="1"/>
    <xf numFmtId="0" fontId="8" fillId="0" borderId="0" xfId="48" applyNumberFormat="1" applyFont="1" applyFill="1"/>
    <xf numFmtId="0" fontId="8" fillId="0" borderId="0" xfId="48" applyNumberFormat="1" applyFont="1" applyFill="1" applyBorder="1"/>
    <xf numFmtId="0" fontId="63" fillId="0" borderId="0" xfId="48" applyNumberFormat="1" applyFont="1" applyFill="1" applyBorder="1"/>
    <xf numFmtId="4" fontId="8" fillId="0" borderId="0" xfId="48" applyNumberFormat="1" applyFont="1" applyFill="1"/>
    <xf numFmtId="0" fontId="112" fillId="0" borderId="0" xfId="48" applyNumberFormat="1" applyFont="1" applyFill="1"/>
    <xf numFmtId="0" fontId="8" fillId="0" borderId="9" xfId="48" applyNumberFormat="1" applyFont="1" applyFill="1" applyBorder="1"/>
    <xf numFmtId="0" fontId="8" fillId="0" borderId="0" xfId="48" applyFont="1" applyFill="1"/>
    <xf numFmtId="196" fontId="8" fillId="0" borderId="0" xfId="48" applyNumberFormat="1" applyFont="1" applyFill="1" applyBorder="1"/>
    <xf numFmtId="9" fontId="8" fillId="0" borderId="0" xfId="48" applyNumberFormat="1" applyFont="1" applyFill="1" applyBorder="1"/>
    <xf numFmtId="0" fontId="9" fillId="0" borderId="9" xfId="48" applyNumberFormat="1" applyFont="1" applyFill="1" applyBorder="1" applyAlignment="1">
      <alignment horizontal="centerContinuous"/>
    </xf>
    <xf numFmtId="0" fontId="8" fillId="0" borderId="2" xfId="48" applyNumberFormat="1" applyFont="1" applyFill="1" applyBorder="1" applyAlignment="1">
      <alignment horizontal="centerContinuous"/>
    </xf>
    <xf numFmtId="201" fontId="8" fillId="0" borderId="9" xfId="48" applyNumberFormat="1" applyFont="1" applyFill="1" applyBorder="1" applyAlignment="1">
      <alignment horizontal="right"/>
    </xf>
    <xf numFmtId="1" fontId="9" fillId="0" borderId="9" xfId="48" applyNumberFormat="1" applyFont="1" applyFill="1" applyBorder="1" applyAlignment="1">
      <alignment horizontal="center"/>
    </xf>
    <xf numFmtId="206" fontId="9" fillId="0" borderId="9" xfId="48" applyNumberFormat="1" applyFont="1" applyFill="1" applyBorder="1" applyAlignment="1">
      <alignment horizontal="center"/>
    </xf>
    <xf numFmtId="201" fontId="8" fillId="0" borderId="0" xfId="48" applyNumberFormat="1" applyFont="1" applyFill="1" applyBorder="1" applyAlignment="1">
      <alignment horizontal="right"/>
    </xf>
    <xf numFmtId="201" fontId="63" fillId="0" borderId="0" xfId="48" applyNumberFormat="1" applyFont="1" applyFill="1" applyBorder="1" applyAlignment="1">
      <alignment horizontal="right"/>
    </xf>
    <xf numFmtId="0" fontId="8" fillId="0" borderId="0" xfId="48" applyFont="1" applyFill="1" applyBorder="1"/>
    <xf numFmtId="0" fontId="63" fillId="0" borderId="0" xfId="48" applyFont="1" applyFill="1" applyBorder="1"/>
    <xf numFmtId="196" fontId="8" fillId="0" borderId="0" xfId="48" applyNumberFormat="1" applyFont="1" applyFill="1"/>
    <xf numFmtId="9" fontId="8" fillId="0" borderId="0" xfId="48" applyNumberFormat="1" applyFont="1" applyFill="1" applyBorder="1" applyAlignment="1">
      <alignment horizontal="center"/>
    </xf>
    <xf numFmtId="0" fontId="33" fillId="0" borderId="0" xfId="48" applyFont="1" applyFill="1" applyAlignment="1">
      <alignment horizontal="left" indent="1"/>
    </xf>
    <xf numFmtId="200" fontId="33" fillId="0" borderId="0" xfId="48" applyNumberFormat="1" applyFont="1" applyFill="1"/>
    <xf numFmtId="4" fontId="8" fillId="0" borderId="0" xfId="48" applyNumberFormat="1" applyFont="1" applyFill="1" applyBorder="1"/>
    <xf numFmtId="0" fontId="33" fillId="0" borderId="0" xfId="48" applyFont="1" applyFill="1" applyBorder="1" applyAlignment="1">
      <alignment horizontal="left" indent="1"/>
    </xf>
    <xf numFmtId="0" fontId="9" fillId="0" borderId="0" xfId="48" applyFont="1" applyFill="1"/>
    <xf numFmtId="196" fontId="9" fillId="0" borderId="0" xfId="48" applyNumberFormat="1" applyFont="1" applyFill="1"/>
    <xf numFmtId="202" fontId="114" fillId="0" borderId="0" xfId="51" applyNumberFormat="1" applyFont="1" applyFill="1" applyAlignment="1">
      <alignment horizontal="left" indent="1"/>
    </xf>
    <xf numFmtId="0" fontId="9" fillId="0" borderId="9" xfId="48" applyFont="1" applyFill="1" applyBorder="1" applyAlignment="1">
      <alignment horizontal="centerContinuous" vertical="center"/>
    </xf>
    <xf numFmtId="198" fontId="8" fillId="0" borderId="6" xfId="48" applyNumberFormat="1" applyFont="1" applyFill="1" applyBorder="1" applyAlignment="1"/>
    <xf numFmtId="0" fontId="9" fillId="0" borderId="9" xfId="48" applyFont="1" applyFill="1" applyBorder="1" applyAlignment="1">
      <alignment horizontal="center" vertical="center"/>
    </xf>
    <xf numFmtId="196" fontId="8" fillId="0" borderId="0" xfId="48" applyNumberFormat="1" applyFont="1" applyFill="1" applyAlignment="1"/>
    <xf numFmtId="196" fontId="8" fillId="0" borderId="18" xfId="48" applyNumberFormat="1" applyFont="1" applyFill="1" applyBorder="1" applyAlignment="1"/>
    <xf numFmtId="196" fontId="8" fillId="0" borderId="19" xfId="48" applyNumberFormat="1" applyFont="1" applyFill="1" applyBorder="1" applyAlignment="1"/>
    <xf numFmtId="196" fontId="8" fillId="0" borderId="20" xfId="48" applyNumberFormat="1" applyFont="1" applyFill="1" applyBorder="1" applyAlignment="1"/>
    <xf numFmtId="196" fontId="8" fillId="0" borderId="21" xfId="48" applyNumberFormat="1" applyFont="1" applyFill="1" applyBorder="1" applyAlignment="1"/>
    <xf numFmtId="196" fontId="8" fillId="0" borderId="0" xfId="48" applyNumberFormat="1" applyFont="1" applyFill="1" applyBorder="1" applyAlignment="1"/>
    <xf numFmtId="196" fontId="8" fillId="0" borderId="22" xfId="48" applyNumberFormat="1" applyFont="1" applyFill="1" applyBorder="1" applyAlignment="1"/>
    <xf numFmtId="196" fontId="8" fillId="0" borderId="23" xfId="48" applyNumberFormat="1" applyFont="1" applyFill="1" applyBorder="1" applyAlignment="1"/>
    <xf numFmtId="196" fontId="8" fillId="0" borderId="24" xfId="48" applyNumberFormat="1" applyFont="1" applyFill="1" applyBorder="1" applyAlignment="1"/>
    <xf numFmtId="196" fontId="8" fillId="0" borderId="25" xfId="48" applyNumberFormat="1" applyFont="1" applyFill="1" applyBorder="1" applyAlignment="1"/>
    <xf numFmtId="196" fontId="8" fillId="0" borderId="26" xfId="48" applyNumberFormat="1" applyFont="1" applyFill="1" applyBorder="1" applyAlignment="1"/>
    <xf numFmtId="196" fontId="8" fillId="0" borderId="9" xfId="48" applyNumberFormat="1" applyFont="1" applyFill="1" applyBorder="1" applyAlignment="1"/>
    <xf numFmtId="0" fontId="9" fillId="0" borderId="13" xfId="48" applyFont="1" applyFill="1" applyBorder="1" applyAlignment="1">
      <alignment horizontal="left"/>
    </xf>
    <xf numFmtId="0" fontId="8" fillId="0" borderId="2" xfId="48" applyFont="1" applyFill="1" applyBorder="1"/>
    <xf numFmtId="0" fontId="8" fillId="0" borderId="14" xfId="48" applyFont="1" applyFill="1" applyBorder="1"/>
    <xf numFmtId="0" fontId="8" fillId="0" borderId="15" xfId="48" applyFont="1" applyFill="1" applyBorder="1"/>
    <xf numFmtId="196" fontId="8" fillId="0" borderId="3" xfId="48" applyNumberFormat="1" applyFont="1" applyFill="1" applyBorder="1"/>
    <xf numFmtId="203" fontId="8" fillId="0" borderId="0" xfId="48" applyNumberFormat="1" applyFont="1" applyFill="1" applyBorder="1" applyAlignment="1">
      <alignment vertical="top"/>
    </xf>
    <xf numFmtId="196" fontId="8" fillId="0" borderId="15" xfId="48" applyNumberFormat="1" applyFont="1" applyFill="1" applyBorder="1"/>
    <xf numFmtId="195" fontId="8" fillId="0" borderId="15" xfId="48" applyNumberFormat="1" applyFont="1" applyFill="1" applyBorder="1"/>
    <xf numFmtId="8" fontId="8" fillId="0" borderId="15" xfId="48" applyNumberFormat="1" applyFont="1" applyFill="1" applyBorder="1"/>
    <xf numFmtId="206" fontId="8" fillId="0" borderId="0" xfId="48" applyNumberFormat="1" applyFont="1" applyFill="1" applyBorder="1"/>
    <xf numFmtId="8" fontId="9" fillId="0" borderId="15" xfId="48" applyNumberFormat="1" applyFont="1" applyFill="1" applyBorder="1"/>
    <xf numFmtId="0" fontId="9" fillId="0" borderId="0" xfId="48" applyFont="1" applyFill="1" applyBorder="1"/>
    <xf numFmtId="196" fontId="9" fillId="0" borderId="27" xfId="48" applyNumberFormat="1" applyFont="1" applyFill="1" applyBorder="1"/>
    <xf numFmtId="196" fontId="9" fillId="0" borderId="0" xfId="48" applyNumberFormat="1" applyFont="1" applyFill="1" applyBorder="1" applyAlignment="1"/>
    <xf numFmtId="207" fontId="8" fillId="0" borderId="0" xfId="48" applyNumberFormat="1" applyFont="1" applyFill="1" applyBorder="1"/>
    <xf numFmtId="8" fontId="9" fillId="0" borderId="26" xfId="48" applyNumberFormat="1" applyFont="1" applyFill="1" applyBorder="1"/>
    <xf numFmtId="0" fontId="9" fillId="0" borderId="9" xfId="48" applyFont="1" applyFill="1" applyBorder="1"/>
    <xf numFmtId="0" fontId="9" fillId="0" borderId="28" xfId="48" applyFont="1" applyFill="1" applyBorder="1"/>
    <xf numFmtId="196" fontId="9" fillId="0" borderId="4" xfId="48" applyNumberFormat="1" applyFont="1" applyFill="1" applyBorder="1"/>
    <xf numFmtId="8" fontId="9" fillId="0" borderId="0" xfId="48" applyNumberFormat="1" applyFont="1" applyFill="1" applyBorder="1"/>
    <xf numFmtId="197" fontId="9" fillId="0" borderId="0" xfId="48" applyNumberFormat="1" applyFont="1" applyFill="1" applyBorder="1"/>
    <xf numFmtId="0" fontId="9" fillId="0" borderId="9" xfId="40" applyFont="1" applyFill="1" applyBorder="1"/>
    <xf numFmtId="0" fontId="8" fillId="0" borderId="9" xfId="48" applyFont="1" applyFill="1" applyBorder="1"/>
    <xf numFmtId="8" fontId="9" fillId="0" borderId="9" xfId="48" applyNumberFormat="1" applyFont="1" applyFill="1" applyBorder="1"/>
    <xf numFmtId="197" fontId="9" fillId="0" borderId="9" xfId="48" applyNumberFormat="1" applyFont="1" applyFill="1" applyBorder="1"/>
    <xf numFmtId="164" fontId="8" fillId="0" borderId="0" xfId="48" applyNumberFormat="1" applyFont="1" applyFill="1" applyBorder="1"/>
    <xf numFmtId="0" fontId="9" fillId="0" borderId="9" xfId="48" applyFont="1" applyBorder="1"/>
    <xf numFmtId="0" fontId="8" fillId="0" borderId="0" xfId="48" applyFont="1"/>
    <xf numFmtId="0" fontId="8" fillId="0" borderId="1" xfId="48" applyFont="1" applyFill="1" applyBorder="1"/>
    <xf numFmtId="203" fontId="8" fillId="0" borderId="29" xfId="48" applyNumberFormat="1" applyFont="1" applyFill="1" applyBorder="1" applyAlignment="1">
      <alignment vertical="top"/>
    </xf>
    <xf numFmtId="167" fontId="33" fillId="0" borderId="0" xfId="48" applyNumberFormat="1" applyFont="1" applyFill="1" applyAlignment="1">
      <alignment horizontal="center"/>
    </xf>
    <xf numFmtId="167" fontId="33" fillId="0" borderId="9" xfId="48" applyNumberFormat="1" applyFont="1" applyFill="1" applyBorder="1" applyAlignment="1">
      <alignment horizontal="center"/>
    </xf>
    <xf numFmtId="201" fontId="9" fillId="0" borderId="0" xfId="48" applyNumberFormat="1" applyFont="1" applyFill="1" applyBorder="1" applyAlignment="1">
      <alignment horizontal="center"/>
    </xf>
    <xf numFmtId="6" fontId="8" fillId="0" borderId="9" xfId="48" applyNumberFormat="1" applyFont="1" applyFill="1" applyBorder="1" applyAlignment="1">
      <alignment vertical="top"/>
    </xf>
    <xf numFmtId="0" fontId="112" fillId="0" borderId="0" xfId="48" applyNumberFormat="1" applyFont="1" applyFill="1" applyBorder="1"/>
    <xf numFmtId="0" fontId="113" fillId="0" borderId="0" xfId="48" applyNumberFormat="1" applyFont="1" applyFill="1" applyBorder="1"/>
    <xf numFmtId="0" fontId="112" fillId="0" borderId="9" xfId="48" applyNumberFormat="1" applyFont="1" applyFill="1" applyBorder="1"/>
    <xf numFmtId="0" fontId="8" fillId="0" borderId="6" xfId="48" applyFont="1" applyFill="1" applyBorder="1"/>
    <xf numFmtId="196" fontId="8" fillId="0" borderId="27" xfId="48" applyNumberFormat="1" applyFont="1" applyFill="1" applyBorder="1"/>
    <xf numFmtId="0" fontId="9" fillId="0" borderId="0" xfId="48" applyFont="1" applyFill="1" applyAlignment="1"/>
    <xf numFmtId="0" fontId="8" fillId="0" borderId="0" xfId="48" applyFont="1" applyFill="1" applyAlignment="1"/>
    <xf numFmtId="2" fontId="115" fillId="0" borderId="0" xfId="48" applyNumberFormat="1" applyFont="1" applyFill="1"/>
    <xf numFmtId="2" fontId="8" fillId="0" borderId="0" xfId="48" applyNumberFormat="1" applyFont="1" applyFill="1"/>
    <xf numFmtId="2" fontId="8" fillId="0" borderId="0" xfId="48" applyNumberFormat="1" applyFont="1" applyFill="1" applyAlignment="1">
      <alignment horizontal="left" indent="3"/>
    </xf>
    <xf numFmtId="196" fontId="8" fillId="0" borderId="30" xfId="48" applyNumberFormat="1" applyFont="1" applyFill="1" applyBorder="1" applyAlignment="1"/>
    <xf numFmtId="199" fontId="8" fillId="0" borderId="0" xfId="48" applyNumberFormat="1" applyFont="1" applyFill="1" applyBorder="1" applyAlignment="1"/>
    <xf numFmtId="199" fontId="9" fillId="0" borderId="0" xfId="48" applyNumberFormat="1" applyFont="1" applyFill="1" applyBorder="1" applyAlignment="1"/>
    <xf numFmtId="203" fontId="9" fillId="0" borderId="29" xfId="48" applyNumberFormat="1" applyFont="1" applyFill="1" applyBorder="1" applyAlignment="1">
      <alignment vertical="top"/>
    </xf>
    <xf numFmtId="0" fontId="9" fillId="0" borderId="0" xfId="40" applyFont="1" applyFill="1" applyBorder="1"/>
    <xf numFmtId="204" fontId="8" fillId="0" borderId="0" xfId="48" applyNumberFormat="1" applyFont="1" applyFill="1" applyBorder="1" applyAlignment="1">
      <alignment horizontal="center"/>
    </xf>
    <xf numFmtId="204" fontId="8" fillId="0" borderId="9" xfId="48" applyNumberFormat="1" applyFont="1" applyFill="1" applyBorder="1" applyAlignment="1">
      <alignment horizontal="center"/>
    </xf>
    <xf numFmtId="0" fontId="64" fillId="0" borderId="0" xfId="48" applyFont="1"/>
    <xf numFmtId="0" fontId="115" fillId="0" borderId="0" xfId="48" applyFont="1"/>
    <xf numFmtId="167" fontId="59" fillId="0" borderId="0" xfId="48" applyNumberFormat="1" applyFont="1" applyFill="1" applyBorder="1" applyAlignment="1">
      <alignment horizontal="center"/>
    </xf>
    <xf numFmtId="167" fontId="59" fillId="0" borderId="0" xfId="48" applyNumberFormat="1" applyFont="1" applyFill="1" applyBorder="1"/>
    <xf numFmtId="8" fontId="9" fillId="0" borderId="13" xfId="48" applyNumberFormat="1" applyFont="1" applyFill="1" applyBorder="1"/>
    <xf numFmtId="0" fontId="9" fillId="0" borderId="2" xfId="48" applyFont="1" applyFill="1" applyBorder="1"/>
    <xf numFmtId="201" fontId="8" fillId="0" borderId="27" xfId="48" applyNumberFormat="1" applyFont="1" applyFill="1" applyBorder="1"/>
    <xf numFmtId="167" fontId="9" fillId="0" borderId="31" xfId="48" applyNumberFormat="1" applyFont="1" applyFill="1" applyBorder="1" applyAlignment="1">
      <alignment horizontal="left" indent="2"/>
    </xf>
    <xf numFmtId="167" fontId="8" fillId="0" borderId="0" xfId="48" applyNumberFormat="1" applyFont="1" applyFill="1" applyBorder="1" applyAlignment="1">
      <alignment horizontal="center"/>
    </xf>
    <xf numFmtId="167" fontId="8" fillId="0" borderId="32" xfId="48" applyNumberFormat="1" applyFont="1" applyFill="1" applyBorder="1" applyAlignment="1">
      <alignment horizontal="center"/>
    </xf>
    <xf numFmtId="167" fontId="9" fillId="0" borderId="32" xfId="48" applyNumberFormat="1" applyFont="1" applyFill="1" applyBorder="1" applyAlignment="1">
      <alignment horizontal="center"/>
    </xf>
    <xf numFmtId="167" fontId="8" fillId="0" borderId="28" xfId="48" applyNumberFormat="1" applyFont="1" applyFill="1" applyBorder="1" applyAlignment="1">
      <alignment horizontal="center"/>
    </xf>
    <xf numFmtId="204" fontId="8" fillId="0" borderId="6" xfId="48" applyNumberFormat="1" applyFont="1" applyFill="1" applyBorder="1" applyAlignment="1">
      <alignment horizontal="center"/>
    </xf>
    <xf numFmtId="196" fontId="8" fillId="0" borderId="6" xfId="48" applyNumberFormat="1" applyFont="1" applyFill="1" applyBorder="1" applyAlignment="1"/>
    <xf numFmtId="0" fontId="9" fillId="0" borderId="0" xfId="27" applyFont="1" applyFill="1" applyBorder="1"/>
    <xf numFmtId="165" fontId="9" fillId="6" borderId="30" xfId="0" applyNumberFormat="1" applyFont="1" applyFill="1" applyBorder="1" applyAlignment="1" applyProtection="1">
      <alignment horizontal="left"/>
    </xf>
    <xf numFmtId="37" fontId="116" fillId="6" borderId="6" xfId="0" applyNumberFormat="1" applyFont="1" applyFill="1" applyBorder="1" applyAlignment="1" applyProtection="1">
      <alignment horizontal="center"/>
    </xf>
    <xf numFmtId="0" fontId="8" fillId="6" borderId="33" xfId="0" applyFont="1" applyFill="1" applyBorder="1"/>
    <xf numFmtId="165" fontId="8" fillId="6" borderId="26" xfId="0" applyNumberFormat="1" applyFont="1" applyFill="1" applyBorder="1" applyAlignment="1" applyProtection="1">
      <alignment horizontal="left"/>
    </xf>
    <xf numFmtId="165" fontId="8" fillId="6" borderId="9" xfId="0" applyNumberFormat="1" applyFont="1" applyFill="1" applyBorder="1" applyAlignment="1" applyProtection="1">
      <alignment horizontal="left"/>
    </xf>
    <xf numFmtId="165" fontId="8" fillId="6" borderId="28" xfId="0" applyNumberFormat="1" applyFont="1" applyFill="1" applyBorder="1" applyAlignment="1" applyProtection="1">
      <alignment horizontal="left"/>
    </xf>
    <xf numFmtId="0" fontId="43" fillId="4" borderId="0" xfId="0" applyFont="1" applyFill="1" applyAlignment="1">
      <alignment horizontal="left" indent="1"/>
    </xf>
    <xf numFmtId="164" fontId="21" fillId="4" borderId="0" xfId="0" applyNumberFormat="1" applyFont="1" applyFill="1" applyBorder="1"/>
    <xf numFmtId="167" fontId="21" fillId="4" borderId="0" xfId="0" applyNumberFormat="1" applyFont="1" applyFill="1" applyBorder="1"/>
    <xf numFmtId="171" fontId="41" fillId="4" borderId="0" xfId="0" applyNumberFormat="1" applyFont="1" applyFill="1" applyBorder="1"/>
    <xf numFmtId="0" fontId="11" fillId="0" borderId="0" xfId="48" applyNumberFormat="1" applyFont="1" applyFill="1"/>
    <xf numFmtId="178" fontId="8" fillId="0" borderId="0" xfId="48" applyNumberFormat="1" applyFont="1" applyFill="1"/>
    <xf numFmtId="196" fontId="115" fillId="0" borderId="0" xfId="48" applyNumberFormat="1" applyFont="1" applyFill="1"/>
    <xf numFmtId="6" fontId="1" fillId="0" borderId="0" xfId="0" applyNumberFormat="1" applyFont="1" applyFill="1"/>
    <xf numFmtId="0" fontId="1" fillId="0" borderId="0" xfId="32" applyFont="1"/>
    <xf numFmtId="0" fontId="1" fillId="0" borderId="9" xfId="32" applyFont="1" applyBorder="1"/>
    <xf numFmtId="206" fontId="9" fillId="0" borderId="9" xfId="48" applyNumberFormat="1" applyFont="1" applyFill="1" applyBorder="1" applyAlignment="1">
      <alignment horizontal="right"/>
    </xf>
    <xf numFmtId="0" fontId="8" fillId="0" borderId="0" xfId="31" quotePrefix="1" applyFont="1" applyAlignment="1">
      <alignment horizontal="left"/>
    </xf>
    <xf numFmtId="164" fontId="8" fillId="0" borderId="0" xfId="31" quotePrefix="1" applyNumberFormat="1" applyFont="1" applyAlignment="1">
      <alignment horizontal="right"/>
    </xf>
    <xf numFmtId="1" fontId="8" fillId="0" borderId="0" xfId="31" quotePrefix="1" applyNumberFormat="1" applyFont="1" applyAlignment="1">
      <alignment horizontal="right"/>
    </xf>
    <xf numFmtId="0" fontId="8" fillId="0" borderId="0" xfId="31" applyFont="1" applyAlignment="1">
      <alignment horizontal="left"/>
    </xf>
    <xf numFmtId="0" fontId="9" fillId="0" borderId="0" xfId="31" applyFont="1"/>
    <xf numFmtId="6" fontId="9" fillId="0" borderId="0" xfId="32" applyNumberFormat="1" applyFont="1"/>
    <xf numFmtId="0" fontId="8" fillId="0" borderId="0" xfId="31" applyFont="1"/>
    <xf numFmtId="0" fontId="8" fillId="0" borderId="9" xfId="31" applyFont="1" applyBorder="1"/>
    <xf numFmtId="0" fontId="8" fillId="0" borderId="0" xfId="31" applyFont="1" applyBorder="1"/>
    <xf numFmtId="0" fontId="9" fillId="0" borderId="0" xfId="31" applyFont="1" applyAlignment="1">
      <alignment horizontal="left"/>
    </xf>
    <xf numFmtId="6" fontId="9" fillId="0" borderId="0" xfId="31" quotePrefix="1" applyNumberFormat="1" applyFont="1" applyAlignment="1">
      <alignment horizontal="right"/>
    </xf>
    <xf numFmtId="0" fontId="8" fillId="0" borderId="9" xfId="31" applyFont="1" applyBorder="1" applyAlignment="1">
      <alignment horizontal="left"/>
    </xf>
    <xf numFmtId="0" fontId="9" fillId="0" borderId="9" xfId="31" applyFont="1" applyBorder="1"/>
    <xf numFmtId="6" fontId="8" fillId="0" borderId="0" xfId="31" quotePrefix="1" applyNumberFormat="1" applyFont="1" applyAlignment="1">
      <alignment horizontal="right"/>
    </xf>
    <xf numFmtId="178" fontId="9" fillId="0" borderId="0" xfId="32" applyNumberFormat="1" applyFont="1"/>
    <xf numFmtId="0" fontId="8" fillId="0" borderId="0" xfId="31" applyFont="1" applyFill="1" applyAlignment="1">
      <alignment horizontal="left"/>
    </xf>
    <xf numFmtId="0" fontId="9" fillId="0" borderId="0" xfId="31" applyFont="1" applyFill="1" applyAlignment="1">
      <alignment horizontal="left"/>
    </xf>
    <xf numFmtId="170" fontId="8" fillId="0" borderId="0" xfId="31" quotePrefix="1" applyNumberFormat="1" applyFont="1" applyAlignment="1">
      <alignment horizontal="right"/>
    </xf>
    <xf numFmtId="0" fontId="1" fillId="0" borderId="6" xfId="32" applyFont="1" applyBorder="1"/>
    <xf numFmtId="0" fontId="71" fillId="0" borderId="9" xfId="48" applyNumberFormat="1" applyFont="1" applyFill="1" applyBorder="1"/>
    <xf numFmtId="0" fontId="9" fillId="0" borderId="9" xfId="48" applyNumberFormat="1" applyFont="1" applyFill="1" applyBorder="1"/>
    <xf numFmtId="0" fontId="1" fillId="0" borderId="0" xfId="32" applyFont="1" applyBorder="1"/>
    <xf numFmtId="6" fontId="2" fillId="0" borderId="0" xfId="32" applyNumberFormat="1" applyFont="1"/>
    <xf numFmtId="189" fontId="2" fillId="4" borderId="0" xfId="27" applyNumberFormat="1" applyFont="1" applyFill="1" applyBorder="1" applyAlignment="1">
      <alignment horizontal="right"/>
    </xf>
    <xf numFmtId="189" fontId="107" fillId="4" borderId="0" xfId="27" applyNumberFormat="1" applyFont="1" applyFill="1" applyBorder="1" applyAlignment="1">
      <alignment horizontal="right"/>
    </xf>
    <xf numFmtId="0" fontId="118" fillId="0" borderId="0" xfId="33" applyFont="1" applyFill="1"/>
    <xf numFmtId="37" fontId="53" fillId="0" borderId="0" xfId="12" applyNumberFormat="1" applyFont="1"/>
    <xf numFmtId="6" fontId="76" fillId="0" borderId="0" xfId="0" applyNumberFormat="1" applyFont="1"/>
    <xf numFmtId="0" fontId="11" fillId="0" borderId="9" xfId="0" applyFont="1" applyBorder="1"/>
    <xf numFmtId="0" fontId="1" fillId="0" borderId="9" xfId="0" applyFont="1" applyBorder="1"/>
    <xf numFmtId="0" fontId="69" fillId="0" borderId="34" xfId="0" applyFont="1" applyBorder="1" applyAlignment="1">
      <alignment horizontal="left" indent="1"/>
    </xf>
    <xf numFmtId="167" fontId="69" fillId="0" borderId="35" xfId="0" applyNumberFormat="1" applyFont="1" applyBorder="1"/>
    <xf numFmtId="10" fontId="0" fillId="0" borderId="0" xfId="0" applyNumberFormat="1"/>
    <xf numFmtId="0" fontId="88" fillId="5" borderId="33" xfId="17" applyNumberFormat="1" applyFont="1" applyFill="1" applyBorder="1" applyAlignment="1">
      <alignment horizontal="center" vertical="center"/>
    </xf>
    <xf numFmtId="0" fontId="88" fillId="5" borderId="28" xfId="41" applyFont="1" applyFill="1" applyBorder="1" applyAlignment="1">
      <alignment horizontal="center" vertical="center"/>
    </xf>
    <xf numFmtId="0" fontId="119" fillId="0" borderId="0" xfId="0" applyFont="1"/>
    <xf numFmtId="0" fontId="120" fillId="9" borderId="0" xfId="0" applyFont="1" applyFill="1" applyAlignment="1">
      <alignment horizontal="right"/>
    </xf>
    <xf numFmtId="6" fontId="119" fillId="0" borderId="0" xfId="0" applyNumberFormat="1" applyFont="1" applyAlignment="1">
      <alignment horizontal="right"/>
    </xf>
    <xf numFmtId="9" fontId="119" fillId="0" borderId="0" xfId="0" applyNumberFormat="1" applyFont="1" applyAlignment="1">
      <alignment horizontal="right"/>
    </xf>
    <xf numFmtId="167" fontId="121" fillId="0" borderId="0" xfId="0" applyNumberFormat="1" applyFont="1" applyAlignment="1">
      <alignment horizontal="right"/>
    </xf>
    <xf numFmtId="167" fontId="121" fillId="0" borderId="0" xfId="0" applyNumberFormat="1" applyFont="1"/>
    <xf numFmtId="0" fontId="53" fillId="4" borderId="0" xfId="0" applyNumberFormat="1" applyFont="1" applyFill="1"/>
    <xf numFmtId="8" fontId="53" fillId="0" borderId="0" xfId="0" applyNumberFormat="1" applyFont="1" applyFill="1"/>
    <xf numFmtId="6" fontId="70" fillId="5" borderId="0" xfId="0" applyNumberFormat="1" applyFont="1" applyFill="1"/>
    <xf numFmtId="164" fontId="3" fillId="5" borderId="0" xfId="0" applyNumberFormat="1" applyFont="1" applyFill="1"/>
    <xf numFmtId="0" fontId="26" fillId="0" borderId="0" xfId="0" applyFont="1"/>
    <xf numFmtId="37" fontId="11" fillId="0" borderId="0" xfId="0" applyNumberFormat="1" applyFont="1"/>
    <xf numFmtId="0" fontId="8" fillId="0" borderId="0" xfId="48" applyFont="1" applyFill="1" applyAlignment="1">
      <alignment horizontal="left" indent="1"/>
    </xf>
    <xf numFmtId="196" fontId="8" fillId="0" borderId="0" xfId="48" applyNumberFormat="1" applyFont="1" applyFill="1" applyAlignment="1">
      <alignment horizontal="right"/>
    </xf>
    <xf numFmtId="2" fontId="8" fillId="0" borderId="0" xfId="48" applyNumberFormat="1" applyFont="1" applyFill="1" applyAlignment="1">
      <alignment horizontal="right"/>
    </xf>
    <xf numFmtId="6" fontId="9" fillId="0" borderId="0" xfId="48" applyNumberFormat="1" applyFont="1" applyFill="1" applyAlignment="1">
      <alignment horizontal="right"/>
    </xf>
    <xf numFmtId="2" fontId="124" fillId="0" borderId="31" xfId="48" applyNumberFormat="1" applyFont="1" applyFill="1" applyBorder="1"/>
    <xf numFmtId="9" fontId="115" fillId="0" borderId="0" xfId="48" applyNumberFormat="1" applyFont="1" applyFill="1" applyAlignment="1">
      <alignment horizontal="left" indent="3"/>
    </xf>
    <xf numFmtId="181" fontId="95" fillId="6" borderId="10" xfId="17" applyNumberFormat="1" applyFont="1" applyFill="1" applyBorder="1"/>
    <xf numFmtId="181" fontId="117" fillId="6" borderId="10" xfId="17" applyNumberFormat="1" applyFont="1" applyFill="1" applyBorder="1"/>
    <xf numFmtId="0" fontId="1" fillId="6" borderId="0" xfId="41" applyFill="1"/>
    <xf numFmtId="0" fontId="20" fillId="6" borderId="0" xfId="41" applyFont="1" applyFill="1"/>
    <xf numFmtId="0" fontId="13" fillId="6" borderId="7" xfId="17" applyNumberFormat="1" applyFont="1" applyFill="1" applyBorder="1" applyAlignment="1">
      <alignment horizontal="right"/>
    </xf>
    <xf numFmtId="0" fontId="13" fillId="6" borderId="6" xfId="17" applyNumberFormat="1" applyFont="1" applyFill="1" applyBorder="1" applyAlignment="1">
      <alignment horizontal="right"/>
    </xf>
    <xf numFmtId="0" fontId="52" fillId="6" borderId="0" xfId="0" applyFont="1" applyFill="1" applyBorder="1"/>
    <xf numFmtId="0" fontId="1" fillId="6" borderId="0" xfId="0" applyFont="1" applyFill="1" applyBorder="1"/>
    <xf numFmtId="0" fontId="33" fillId="6" borderId="0" xfId="41" applyFont="1" applyFill="1"/>
    <xf numFmtId="0" fontId="13" fillId="6" borderId="8" xfId="17" applyNumberFormat="1" applyFont="1" applyFill="1" applyBorder="1" applyAlignment="1">
      <alignment horizontal="right"/>
    </xf>
    <xf numFmtId="0" fontId="13" fillId="6" borderId="9" xfId="17" applyNumberFormat="1" applyFont="1" applyFill="1" applyBorder="1" applyAlignment="1">
      <alignment horizontal="right"/>
    </xf>
    <xf numFmtId="0" fontId="52" fillId="6" borderId="0" xfId="41" applyFont="1" applyFill="1" applyBorder="1"/>
    <xf numFmtId="0" fontId="52" fillId="6" borderId="10" xfId="41" applyFont="1" applyFill="1" applyBorder="1"/>
    <xf numFmtId="0" fontId="52" fillId="6" borderId="6" xfId="41" applyFont="1" applyFill="1" applyBorder="1"/>
    <xf numFmtId="0" fontId="52" fillId="6" borderId="0" xfId="41" applyFont="1" applyFill="1"/>
    <xf numFmtId="49" fontId="52" fillId="6" borderId="0" xfId="17" applyNumberFormat="1" applyFont="1" applyFill="1" applyAlignment="1">
      <alignment horizontal="left" indent="1"/>
    </xf>
    <xf numFmtId="49" fontId="13" fillId="6" borderId="0" xfId="17" applyNumberFormat="1" applyFont="1" applyFill="1" applyAlignment="1">
      <alignment horizontal="left" indent="1"/>
    </xf>
    <xf numFmtId="179" fontId="52" fillId="6" borderId="0" xfId="17" applyNumberFormat="1" applyFont="1" applyFill="1"/>
    <xf numFmtId="1" fontId="13" fillId="6" borderId="0" xfId="52" applyNumberFormat="1" applyFont="1" applyFill="1"/>
    <xf numFmtId="0" fontId="13" fillId="6" borderId="0" xfId="0" applyFont="1" applyFill="1"/>
    <xf numFmtId="167" fontId="52" fillId="6" borderId="0" xfId="17" applyNumberFormat="1" applyFont="1" applyFill="1"/>
    <xf numFmtId="167" fontId="13" fillId="6" borderId="0" xfId="17" applyNumberFormat="1" applyFont="1" applyFill="1"/>
    <xf numFmtId="9" fontId="52" fillId="6" borderId="0" xfId="17" applyNumberFormat="1" applyFont="1" applyFill="1"/>
    <xf numFmtId="49" fontId="52" fillId="6" borderId="0" xfId="17" applyNumberFormat="1" applyFont="1" applyFill="1" applyBorder="1" applyAlignment="1">
      <alignment horizontal="left" indent="1"/>
    </xf>
    <xf numFmtId="1" fontId="52" fillId="6" borderId="0" xfId="52" applyNumberFormat="1" applyFont="1" applyFill="1"/>
    <xf numFmtId="179" fontId="52" fillId="6" borderId="0" xfId="17" applyNumberFormat="1" applyFont="1" applyFill="1" applyBorder="1"/>
    <xf numFmtId="164" fontId="52" fillId="6" borderId="0" xfId="52" applyNumberFormat="1" applyFont="1" applyFill="1"/>
    <xf numFmtId="0" fontId="52" fillId="6" borderId="0" xfId="0" applyFont="1" applyFill="1"/>
    <xf numFmtId="179" fontId="13" fillId="6" borderId="0" xfId="17" applyNumberFormat="1" applyFont="1" applyFill="1"/>
    <xf numFmtId="49" fontId="13" fillId="6" borderId="0" xfId="17" applyNumberFormat="1" applyFont="1" applyFill="1" applyAlignment="1">
      <alignment horizontal="left"/>
    </xf>
    <xf numFmtId="49" fontId="52" fillId="6" borderId="0" xfId="17" applyNumberFormat="1" applyFont="1" applyFill="1" applyAlignment="1">
      <alignment horizontal="left"/>
    </xf>
    <xf numFmtId="179" fontId="92" fillId="6" borderId="0" xfId="17" applyNumberFormat="1" applyFont="1" applyFill="1"/>
    <xf numFmtId="49" fontId="20" fillId="6" borderId="5" xfId="17" applyNumberFormat="1" applyFont="1" applyFill="1" applyBorder="1" applyAlignment="1">
      <alignment horizontal="left" indent="1"/>
    </xf>
    <xf numFmtId="181" fontId="52" fillId="6" borderId="5" xfId="17" applyNumberFormat="1" applyFont="1" applyFill="1" applyBorder="1"/>
    <xf numFmtId="9" fontId="52" fillId="6" borderId="5" xfId="17" applyNumberFormat="1" applyFont="1" applyFill="1" applyBorder="1"/>
    <xf numFmtId="181" fontId="52" fillId="6" borderId="0" xfId="17" applyNumberFormat="1" applyFont="1" applyFill="1"/>
    <xf numFmtId="49" fontId="81" fillId="6" borderId="0" xfId="17" applyNumberFormat="1" applyFont="1" applyFill="1" applyAlignment="1">
      <alignment horizontal="left" indent="1"/>
    </xf>
    <xf numFmtId="167" fontId="81" fillId="6" borderId="0" xfId="17" applyNumberFormat="1" applyFont="1" applyFill="1"/>
    <xf numFmtId="183" fontId="81" fillId="6" borderId="0" xfId="52" applyNumberFormat="1" applyFont="1" applyFill="1" applyAlignment="1">
      <alignment horizontal="right"/>
    </xf>
    <xf numFmtId="182" fontId="20" fillId="6" borderId="0" xfId="52" applyNumberFormat="1" applyFont="1" applyFill="1" applyAlignment="1">
      <alignment horizontal="right"/>
    </xf>
    <xf numFmtId="184" fontId="81" fillId="6" borderId="0" xfId="52" applyNumberFormat="1" applyFont="1" applyFill="1" applyAlignment="1">
      <alignment horizontal="right"/>
    </xf>
    <xf numFmtId="49" fontId="20" fillId="6" borderId="0" xfId="17" applyNumberFormat="1" applyFont="1" applyFill="1" applyAlignment="1">
      <alignment horizontal="left" indent="1"/>
    </xf>
    <xf numFmtId="167" fontId="20" fillId="6" borderId="0" xfId="17" applyNumberFormat="1" applyFont="1" applyFill="1"/>
    <xf numFmtId="183" fontId="20" fillId="6" borderId="0" xfId="52" applyNumberFormat="1" applyFont="1" applyFill="1" applyAlignment="1">
      <alignment horizontal="right"/>
    </xf>
    <xf numFmtId="181" fontId="52" fillId="6" borderId="0" xfId="17" applyNumberFormat="1" applyFont="1" applyFill="1" applyBorder="1"/>
    <xf numFmtId="167" fontId="52" fillId="6" borderId="0" xfId="52" applyNumberFormat="1" applyFont="1" applyFill="1" applyBorder="1"/>
    <xf numFmtId="9" fontId="52" fillId="6" borderId="0" xfId="17" applyNumberFormat="1" applyFont="1" applyFill="1" applyBorder="1"/>
    <xf numFmtId="49" fontId="13" fillId="6" borderId="9" xfId="17" applyNumberFormat="1" applyFont="1" applyFill="1" applyBorder="1" applyAlignment="1">
      <alignment horizontal="left"/>
    </xf>
    <xf numFmtId="181" fontId="13" fillId="6" borderId="8" xfId="17" applyNumberFormat="1" applyFont="1" applyFill="1" applyBorder="1"/>
    <xf numFmtId="179" fontId="13" fillId="6" borderId="9" xfId="17" applyNumberFormat="1" applyFont="1" applyFill="1" applyBorder="1"/>
    <xf numFmtId="1" fontId="13" fillId="6" borderId="9" xfId="52" applyNumberFormat="1" applyFont="1" applyFill="1" applyBorder="1"/>
    <xf numFmtId="179" fontId="92" fillId="6" borderId="9" xfId="17" applyNumberFormat="1" applyFont="1" applyFill="1" applyBorder="1"/>
    <xf numFmtId="167" fontId="13" fillId="6" borderId="9" xfId="17" applyNumberFormat="1" applyFont="1" applyFill="1" applyBorder="1"/>
    <xf numFmtId="49" fontId="81" fillId="6" borderId="0" xfId="17" applyNumberFormat="1" applyFont="1" applyFill="1" applyAlignment="1">
      <alignment horizontal="left"/>
    </xf>
    <xf numFmtId="182" fontId="81" fillId="6" borderId="0" xfId="52" applyNumberFormat="1" applyFont="1" applyFill="1" applyAlignment="1">
      <alignment horizontal="right"/>
    </xf>
    <xf numFmtId="185" fontId="81" fillId="6" borderId="0" xfId="17" applyNumberFormat="1" applyFont="1" applyFill="1"/>
    <xf numFmtId="182" fontId="13" fillId="6" borderId="0" xfId="17" applyNumberFormat="1" applyFont="1" applyFill="1" applyAlignment="1">
      <alignment horizontal="right"/>
    </xf>
    <xf numFmtId="49" fontId="52" fillId="6" borderId="9" xfId="17" applyNumberFormat="1" applyFont="1" applyFill="1" applyBorder="1" applyAlignment="1">
      <alignment horizontal="left"/>
    </xf>
    <xf numFmtId="181" fontId="90" fillId="6" borderId="8" xfId="17" applyNumberFormat="1" applyFont="1" applyFill="1" applyBorder="1"/>
    <xf numFmtId="179" fontId="52" fillId="6" borderId="9" xfId="17" applyNumberFormat="1" applyFont="1" applyFill="1" applyBorder="1"/>
    <xf numFmtId="1" fontId="52" fillId="6" borderId="9" xfId="52" applyNumberFormat="1" applyFont="1" applyFill="1" applyBorder="1"/>
    <xf numFmtId="167" fontId="52" fillId="6" borderId="9" xfId="17" applyNumberFormat="1" applyFont="1" applyFill="1" applyBorder="1"/>
    <xf numFmtId="9" fontId="52" fillId="6" borderId="9" xfId="17" applyNumberFormat="1" applyFont="1" applyFill="1" applyBorder="1"/>
    <xf numFmtId="167" fontId="52" fillId="6" borderId="0" xfId="52" applyNumberFormat="1" applyFont="1" applyFill="1"/>
    <xf numFmtId="179" fontId="73" fillId="6" borderId="0" xfId="17" applyNumberFormat="1" applyFont="1" applyFill="1"/>
    <xf numFmtId="9" fontId="52" fillId="6" borderId="0" xfId="17" applyNumberFormat="1" applyFont="1" applyFill="1" applyAlignment="1">
      <alignment horizontal="right"/>
    </xf>
    <xf numFmtId="181" fontId="52" fillId="6" borderId="8" xfId="17" applyNumberFormat="1" applyFont="1" applyFill="1" applyBorder="1"/>
    <xf numFmtId="179" fontId="52" fillId="6" borderId="9" xfId="52" applyNumberFormat="1" applyFont="1" applyFill="1" applyBorder="1"/>
    <xf numFmtId="167" fontId="52" fillId="6" borderId="0" xfId="17" applyNumberFormat="1" applyFont="1" applyFill="1" applyAlignment="1">
      <alignment horizontal="right"/>
    </xf>
    <xf numFmtId="9" fontId="52" fillId="6" borderId="9" xfId="17" applyNumberFormat="1" applyFont="1" applyFill="1" applyBorder="1" applyAlignment="1">
      <alignment horizontal="right"/>
    </xf>
    <xf numFmtId="49" fontId="93" fillId="6" borderId="0" xfId="17" applyNumberFormat="1" applyFont="1" applyFill="1" applyAlignment="1">
      <alignment horizontal="left"/>
    </xf>
    <xf numFmtId="181" fontId="52" fillId="6" borderId="36" xfId="17" applyNumberFormat="1" applyFont="1" applyFill="1" applyBorder="1"/>
    <xf numFmtId="181" fontId="52" fillId="6" borderId="37" xfId="17" applyNumberFormat="1" applyFont="1" applyFill="1" applyBorder="1"/>
    <xf numFmtId="9" fontId="52" fillId="6" borderId="37" xfId="17" applyNumberFormat="1" applyFont="1" applyFill="1" applyBorder="1"/>
    <xf numFmtId="49" fontId="52" fillId="6" borderId="2" xfId="17" applyNumberFormat="1" applyFont="1" applyFill="1" applyBorder="1" applyAlignment="1">
      <alignment horizontal="left"/>
    </xf>
    <xf numFmtId="181" fontId="52" fillId="6" borderId="38" xfId="17" applyNumberFormat="1" applyFont="1" applyFill="1" applyBorder="1"/>
    <xf numFmtId="179" fontId="52" fillId="6" borderId="2" xfId="17" applyNumberFormat="1" applyFont="1" applyFill="1" applyBorder="1"/>
    <xf numFmtId="181" fontId="52" fillId="6" borderId="2" xfId="17" applyNumberFormat="1" applyFont="1" applyFill="1" applyBorder="1"/>
    <xf numFmtId="167" fontId="52" fillId="6" borderId="2" xfId="17" applyNumberFormat="1" applyFont="1" applyFill="1" applyBorder="1" applyAlignment="1">
      <alignment horizontal="right"/>
    </xf>
    <xf numFmtId="9" fontId="52" fillId="6" borderId="2" xfId="17" applyNumberFormat="1" applyFont="1" applyFill="1" applyBorder="1" applyAlignment="1">
      <alignment horizontal="right"/>
    </xf>
    <xf numFmtId="43" fontId="52" fillId="6" borderId="10" xfId="17" applyNumberFormat="1" applyFont="1" applyFill="1" applyBorder="1" applyAlignment="1">
      <alignment horizontal="right"/>
    </xf>
    <xf numFmtId="43" fontId="52" fillId="6" borderId="0" xfId="17" applyNumberFormat="1" applyFont="1" applyFill="1" applyAlignment="1">
      <alignment horizontal="right"/>
    </xf>
    <xf numFmtId="164" fontId="52" fillId="6" borderId="0" xfId="52" applyNumberFormat="1" applyFont="1" applyFill="1" applyAlignment="1">
      <alignment horizontal="right"/>
    </xf>
    <xf numFmtId="43" fontId="52" fillId="6" borderId="0" xfId="17" applyNumberFormat="1" applyFont="1" applyFill="1"/>
    <xf numFmtId="49" fontId="52" fillId="6" borderId="5" xfId="17" applyNumberFormat="1" applyFont="1" applyFill="1" applyBorder="1" applyAlignment="1">
      <alignment horizontal="left"/>
    </xf>
    <xf numFmtId="43" fontId="52" fillId="6" borderId="11" xfId="17" applyNumberFormat="1" applyFont="1" applyFill="1" applyBorder="1" applyAlignment="1">
      <alignment horizontal="right"/>
    </xf>
    <xf numFmtId="8" fontId="52" fillId="6" borderId="5" xfId="17" applyNumberFormat="1" applyFont="1" applyFill="1" applyBorder="1" applyAlignment="1">
      <alignment horizontal="right"/>
    </xf>
    <xf numFmtId="2" fontId="52" fillId="6" borderId="5" xfId="52" applyNumberFormat="1" applyFont="1" applyFill="1" applyBorder="1" applyAlignment="1">
      <alignment horizontal="right"/>
    </xf>
    <xf numFmtId="8" fontId="91" fillId="6" borderId="5" xfId="17" applyNumberFormat="1" applyFont="1" applyFill="1" applyBorder="1"/>
    <xf numFmtId="8" fontId="52" fillId="6" borderId="5" xfId="52" applyNumberFormat="1" applyFont="1" applyFill="1" applyBorder="1" applyAlignment="1">
      <alignment horizontal="right"/>
    </xf>
    <xf numFmtId="167" fontId="13" fillId="6" borderId="5" xfId="17" applyNumberFormat="1" applyFont="1" applyFill="1" applyBorder="1"/>
    <xf numFmtId="167" fontId="52" fillId="6" borderId="5" xfId="17" applyNumberFormat="1" applyFont="1" applyFill="1" applyBorder="1" applyAlignment="1">
      <alignment horizontal="right"/>
    </xf>
    <xf numFmtId="9" fontId="52" fillId="6" borderId="5" xfId="17" applyNumberFormat="1" applyFont="1" applyFill="1" applyBorder="1" applyAlignment="1">
      <alignment horizontal="right"/>
    </xf>
    <xf numFmtId="0" fontId="3" fillId="6" borderId="0" xfId="0" applyFont="1" applyFill="1"/>
    <xf numFmtId="181" fontId="13" fillId="6" borderId="0" xfId="17" applyNumberFormat="1" applyFont="1" applyFill="1" applyAlignment="1">
      <alignment horizontal="center"/>
    </xf>
    <xf numFmtId="167" fontId="52" fillId="6" borderId="0" xfId="17" applyNumberFormat="1" applyFont="1" applyFill="1" applyBorder="1"/>
    <xf numFmtId="49" fontId="52" fillId="6" borderId="0" xfId="17" quotePrefix="1" applyNumberFormat="1" applyFont="1" applyFill="1" applyBorder="1" applyAlignment="1">
      <alignment horizontal="left"/>
    </xf>
    <xf numFmtId="0" fontId="13" fillId="6" borderId="0" xfId="41" applyFont="1" applyFill="1"/>
    <xf numFmtId="179" fontId="13" fillId="6" borderId="0" xfId="41" applyNumberFormat="1" applyFont="1" applyFill="1"/>
    <xf numFmtId="167" fontId="13" fillId="6" borderId="0" xfId="17" applyNumberFormat="1" applyFont="1" applyFill="1" applyAlignment="1">
      <alignment horizontal="right"/>
    </xf>
    <xf numFmtId="179" fontId="13" fillId="6" borderId="0" xfId="17" applyNumberFormat="1" applyFont="1" applyFill="1" applyBorder="1"/>
    <xf numFmtId="9" fontId="52" fillId="6" borderId="0" xfId="17" applyNumberFormat="1" applyFont="1" applyFill="1" applyBorder="1" applyAlignment="1">
      <alignment horizontal="right"/>
    </xf>
    <xf numFmtId="164" fontId="13" fillId="6" borderId="0" xfId="52" applyNumberFormat="1" applyFont="1" applyFill="1"/>
    <xf numFmtId="181" fontId="13" fillId="6" borderId="9" xfId="17" applyNumberFormat="1" applyFont="1" applyFill="1" applyBorder="1"/>
    <xf numFmtId="181" fontId="13" fillId="6" borderId="0" xfId="41" applyNumberFormat="1" applyFont="1" applyFill="1"/>
    <xf numFmtId="181" fontId="13" fillId="6" borderId="16" xfId="41" applyNumberFormat="1" applyFont="1" applyFill="1" applyBorder="1"/>
    <xf numFmtId="181" fontId="13" fillId="6" borderId="0" xfId="17" applyNumberFormat="1" applyFont="1" applyFill="1"/>
    <xf numFmtId="164" fontId="13" fillId="6" borderId="9" xfId="52" applyNumberFormat="1" applyFont="1" applyFill="1" applyBorder="1"/>
    <xf numFmtId="181" fontId="117" fillId="6" borderId="0" xfId="17" applyNumberFormat="1" applyFont="1" applyFill="1"/>
    <xf numFmtId="181" fontId="52" fillId="6" borderId="0" xfId="52" applyNumberFormat="1" applyFont="1" applyFill="1"/>
    <xf numFmtId="167" fontId="52" fillId="6" borderId="0" xfId="17" applyNumberFormat="1" applyFont="1" applyFill="1" applyBorder="1" applyAlignment="1">
      <alignment horizontal="right"/>
    </xf>
    <xf numFmtId="184" fontId="20" fillId="6" borderId="0" xfId="52" applyNumberFormat="1" applyFont="1" applyFill="1" applyAlignment="1">
      <alignment horizontal="right"/>
    </xf>
    <xf numFmtId="181" fontId="13" fillId="6" borderId="0" xfId="17" applyNumberFormat="1" applyFont="1" applyFill="1" applyBorder="1"/>
    <xf numFmtId="0" fontId="125" fillId="0" borderId="0" xfId="0" applyFont="1"/>
    <xf numFmtId="0" fontId="126" fillId="9" borderId="0" xfId="0" applyFont="1" applyFill="1" applyAlignment="1">
      <alignment horizontal="right"/>
    </xf>
    <xf numFmtId="6" fontId="125" fillId="0" borderId="0" xfId="0" applyNumberFormat="1" applyFont="1" applyAlignment="1">
      <alignment horizontal="right"/>
    </xf>
    <xf numFmtId="0" fontId="127" fillId="0" borderId="0" xfId="0" applyFont="1" applyAlignment="1">
      <alignment horizontal="left" indent="1"/>
    </xf>
    <xf numFmtId="9" fontId="127" fillId="0" borderId="0" xfId="0" applyNumberFormat="1" applyFont="1" applyAlignment="1">
      <alignment horizontal="right"/>
    </xf>
    <xf numFmtId="9" fontId="125" fillId="0" borderId="0" xfId="0" applyNumberFormat="1" applyFont="1" applyAlignment="1">
      <alignment horizontal="right"/>
    </xf>
    <xf numFmtId="167" fontId="127" fillId="0" borderId="0" xfId="0" applyNumberFormat="1" applyFont="1" applyAlignment="1">
      <alignment horizontal="right"/>
    </xf>
    <xf numFmtId="0" fontId="125" fillId="0" borderId="0" xfId="0" applyFont="1" applyAlignment="1">
      <alignment horizontal="left" indent="1"/>
    </xf>
    <xf numFmtId="9" fontId="127" fillId="0" borderId="0" xfId="0" applyNumberFormat="1" applyFont="1"/>
    <xf numFmtId="167" fontId="127" fillId="0" borderId="0" xfId="0" applyNumberFormat="1" applyFont="1"/>
    <xf numFmtId="0" fontId="11" fillId="5" borderId="0" xfId="0" applyFont="1" applyFill="1" applyAlignment="1">
      <alignment horizontal="right"/>
    </xf>
    <xf numFmtId="0" fontId="122" fillId="0" borderId="0" xfId="0" applyFont="1"/>
    <xf numFmtId="0" fontId="11" fillId="5" borderId="6" xfId="0" applyFont="1" applyFill="1" applyBorder="1" applyAlignment="1">
      <alignment horizontal="right"/>
    </xf>
    <xf numFmtId="0" fontId="1" fillId="5" borderId="6" xfId="0" applyFont="1" applyFill="1" applyBorder="1" applyAlignment="1">
      <alignment horizontal="right"/>
    </xf>
    <xf numFmtId="37" fontId="128" fillId="0" borderId="0" xfId="0" applyNumberFormat="1" applyFont="1"/>
    <xf numFmtId="167" fontId="3" fillId="0" borderId="0" xfId="0" applyNumberFormat="1" applyFont="1" applyAlignment="1">
      <alignment horizontal="right"/>
    </xf>
    <xf numFmtId="37" fontId="11" fillId="0" borderId="0" xfId="0" applyNumberFormat="1" applyFont="1" applyBorder="1"/>
    <xf numFmtId="167" fontId="3" fillId="0" borderId="0" xfId="0" applyNumberFormat="1" applyFont="1" applyBorder="1" applyAlignment="1">
      <alignment horizontal="right"/>
    </xf>
    <xf numFmtId="167" fontId="1" fillId="0" borderId="0" xfId="0" applyNumberFormat="1" applyFont="1" applyAlignment="1">
      <alignment horizontal="right"/>
    </xf>
    <xf numFmtId="0" fontId="1" fillId="0" borderId="39" xfId="0" applyFont="1" applyBorder="1"/>
    <xf numFmtId="37" fontId="1" fillId="0" borderId="39" xfId="0" applyNumberFormat="1" applyFont="1" applyBorder="1"/>
    <xf numFmtId="167" fontId="1" fillId="0" borderId="39" xfId="0" applyNumberFormat="1" applyFont="1" applyBorder="1" applyAlignment="1">
      <alignment horizontal="right"/>
    </xf>
    <xf numFmtId="0" fontId="69" fillId="0" borderId="0" xfId="0" applyFont="1"/>
    <xf numFmtId="37" fontId="26" fillId="0" borderId="0" xfId="0" applyNumberFormat="1" applyFont="1"/>
    <xf numFmtId="167" fontId="26" fillId="0" borderId="0" xfId="0" applyNumberFormat="1" applyFont="1" applyAlignment="1">
      <alignment horizontal="right"/>
    </xf>
    <xf numFmtId="37" fontId="129" fillId="0" borderId="0" xfId="0" applyNumberFormat="1" applyFont="1"/>
    <xf numFmtId="0" fontId="69" fillId="0" borderId="6" xfId="0" applyFont="1" applyBorder="1"/>
    <xf numFmtId="167" fontId="69" fillId="0" borderId="6" xfId="0" applyNumberFormat="1" applyFont="1" applyBorder="1"/>
    <xf numFmtId="7" fontId="1" fillId="0" borderId="0" xfId="0" applyNumberFormat="1" applyFont="1"/>
    <xf numFmtId="167" fontId="11" fillId="0" borderId="0" xfId="0" applyNumberFormat="1" applyFont="1" applyAlignment="1">
      <alignment horizontal="right"/>
    </xf>
    <xf numFmtId="37" fontId="128" fillId="0" borderId="39" xfId="0" applyNumberFormat="1" applyFont="1" applyBorder="1"/>
    <xf numFmtId="0" fontId="1" fillId="0" borderId="0" xfId="0" quotePrefix="1" applyFont="1"/>
    <xf numFmtId="37" fontId="11" fillId="0" borderId="9" xfId="0" applyNumberFormat="1" applyFont="1" applyBorder="1"/>
    <xf numFmtId="37" fontId="1" fillId="0" borderId="9" xfId="0" applyNumberFormat="1" applyFont="1" applyBorder="1"/>
    <xf numFmtId="167" fontId="40" fillId="0" borderId="9" xfId="0" applyNumberFormat="1" applyFont="1" applyBorder="1" applyAlignment="1">
      <alignment horizontal="right"/>
    </xf>
    <xf numFmtId="5" fontId="50" fillId="0" borderId="0" xfId="0" applyNumberFormat="1" applyFont="1" applyBorder="1" applyAlignment="1">
      <alignment horizontal="right"/>
    </xf>
    <xf numFmtId="5" fontId="50" fillId="0" borderId="0" xfId="0" applyNumberFormat="1" applyFont="1" applyAlignment="1">
      <alignment horizontal="right"/>
    </xf>
    <xf numFmtId="9" fontId="50" fillId="0" borderId="0" xfId="0" applyNumberFormat="1" applyFont="1" applyAlignment="1">
      <alignment horizontal="right"/>
    </xf>
    <xf numFmtId="5" fontId="1" fillId="0" borderId="0" xfId="0" applyNumberFormat="1" applyFont="1" applyAlignment="1">
      <alignment horizontal="right"/>
    </xf>
    <xf numFmtId="0" fontId="26" fillId="0" borderId="0" xfId="0" applyFont="1" applyBorder="1"/>
    <xf numFmtId="0" fontId="26" fillId="0" borderId="9" xfId="0" applyFont="1" applyBorder="1"/>
    <xf numFmtId="167" fontId="1" fillId="0" borderId="9" xfId="0" applyNumberFormat="1" applyFont="1" applyBorder="1" applyAlignment="1">
      <alignment horizontal="right"/>
    </xf>
    <xf numFmtId="167" fontId="50" fillId="0" borderId="9" xfId="0" applyNumberFormat="1" applyFont="1" applyBorder="1" applyAlignment="1">
      <alignment horizontal="right"/>
    </xf>
    <xf numFmtId="5" fontId="128" fillId="0" borderId="0" xfId="0" applyNumberFormat="1" applyFont="1" applyBorder="1" applyAlignment="1">
      <alignment horizontal="right"/>
    </xf>
    <xf numFmtId="9" fontId="128" fillId="0" borderId="0" xfId="0" applyNumberFormat="1" applyFont="1" applyAlignment="1">
      <alignment horizontal="right"/>
    </xf>
    <xf numFmtId="5" fontId="128" fillId="0" borderId="0" xfId="0" applyNumberFormat="1" applyFont="1" applyAlignment="1">
      <alignment horizontal="right"/>
    </xf>
    <xf numFmtId="5" fontId="53" fillId="0" borderId="0" xfId="0" applyNumberFormat="1" applyFont="1" applyAlignment="1">
      <alignment horizontal="right"/>
    </xf>
    <xf numFmtId="37" fontId="78" fillId="0" borderId="0" xfId="0" applyNumberFormat="1" applyFont="1"/>
    <xf numFmtId="7" fontId="53" fillId="0" borderId="0" xfId="0" applyNumberFormat="1" applyFont="1"/>
    <xf numFmtId="0" fontId="0" fillId="12" borderId="0" xfId="0" applyFill="1"/>
    <xf numFmtId="9" fontId="26" fillId="0" borderId="0" xfId="12" applyNumberFormat="1" applyFont="1"/>
    <xf numFmtId="8" fontId="128" fillId="0" borderId="0" xfId="0" applyNumberFormat="1" applyFont="1"/>
    <xf numFmtId="0" fontId="11" fillId="5" borderId="31" xfId="0" applyFont="1" applyFill="1" applyBorder="1"/>
    <xf numFmtId="37" fontId="48" fillId="0" borderId="0" xfId="0" applyNumberFormat="1" applyFont="1"/>
    <xf numFmtId="37" fontId="128" fillId="0" borderId="0" xfId="0" applyNumberFormat="1" applyFont="1" applyAlignment="1">
      <alignment horizontal="right"/>
    </xf>
    <xf numFmtId="37" fontId="1" fillId="0" borderId="0" xfId="0" applyNumberFormat="1" applyFont="1" applyAlignment="1">
      <alignment horizontal="right"/>
    </xf>
    <xf numFmtId="37" fontId="11" fillId="0" borderId="9" xfId="0" applyNumberFormat="1" applyFont="1" applyBorder="1" applyAlignment="1">
      <alignment horizontal="right"/>
    </xf>
    <xf numFmtId="37" fontId="128" fillId="0" borderId="0" xfId="0" applyNumberFormat="1" applyFont="1" applyBorder="1"/>
    <xf numFmtId="167" fontId="1" fillId="0" borderId="0" xfId="0" applyNumberFormat="1" applyFont="1" applyBorder="1" applyAlignment="1">
      <alignment horizontal="right"/>
    </xf>
    <xf numFmtId="7" fontId="128" fillId="0" borderId="5" xfId="0" applyNumberFormat="1" applyFont="1" applyBorder="1"/>
    <xf numFmtId="7" fontId="128" fillId="0" borderId="5" xfId="0" applyNumberFormat="1" applyFont="1" applyBorder="1" applyAlignment="1">
      <alignment horizontal="right"/>
    </xf>
    <xf numFmtId="167" fontId="11" fillId="0" borderId="5" xfId="0" applyNumberFormat="1" applyFont="1" applyBorder="1" applyAlignment="1">
      <alignment horizontal="right"/>
    </xf>
    <xf numFmtId="9" fontId="130" fillId="0" borderId="0" xfId="12" applyNumberFormat="1" applyFont="1"/>
    <xf numFmtId="167" fontId="130" fillId="0" borderId="0" xfId="12" applyNumberFormat="1" applyFont="1"/>
    <xf numFmtId="10" fontId="0" fillId="0" borderId="0" xfId="0" applyNumberFormat="1" applyFill="1"/>
    <xf numFmtId="0" fontId="11" fillId="0" borderId="13" xfId="0" applyFont="1" applyFill="1" applyBorder="1" applyAlignment="1">
      <alignment horizontal="centerContinuous"/>
    </xf>
    <xf numFmtId="0" fontId="0" fillId="0" borderId="14" xfId="0" applyFill="1" applyBorder="1" applyAlignment="1">
      <alignment horizontal="centerContinuous"/>
    </xf>
    <xf numFmtId="167" fontId="0" fillId="0" borderId="0" xfId="0" applyNumberFormat="1" applyFill="1"/>
    <xf numFmtId="1" fontId="0" fillId="0" borderId="0" xfId="0" applyNumberFormat="1" applyFill="1"/>
    <xf numFmtId="0" fontId="0" fillId="0" borderId="9" xfId="0" applyFill="1" applyBorder="1"/>
    <xf numFmtId="9" fontId="0" fillId="0" borderId="0" xfId="0" applyNumberFormat="1" applyFill="1"/>
    <xf numFmtId="8" fontId="0" fillId="0" borderId="0" xfId="0" applyNumberFormat="1" applyFill="1"/>
    <xf numFmtId="0" fontId="26" fillId="0" borderId="0" xfId="0" applyFont="1" applyFill="1"/>
    <xf numFmtId="0" fontId="0" fillId="0" borderId="30" xfId="0" applyFill="1" applyBorder="1"/>
    <xf numFmtId="0" fontId="11" fillId="0" borderId="6" xfId="0" applyFont="1" applyFill="1" applyBorder="1" applyAlignment="1">
      <alignment horizontal="centerContinuous"/>
    </xf>
    <xf numFmtId="0" fontId="11" fillId="0" borderId="30" xfId="0" applyFont="1" applyFill="1" applyBorder="1" applyAlignment="1">
      <alignment horizontal="centerContinuous"/>
    </xf>
    <xf numFmtId="0" fontId="11" fillId="0" borderId="32" xfId="0" applyFont="1" applyFill="1" applyBorder="1" applyAlignment="1">
      <alignment horizontal="centerContinuous"/>
    </xf>
    <xf numFmtId="0" fontId="1" fillId="0" borderId="27" xfId="0" applyFont="1" applyFill="1" applyBorder="1"/>
    <xf numFmtId="0" fontId="11" fillId="0" borderId="33" xfId="0" applyFont="1" applyFill="1" applyBorder="1" applyAlignment="1">
      <alignment horizontal="centerContinuous"/>
    </xf>
    <xf numFmtId="0" fontId="11" fillId="0" borderId="26" xfId="0" applyFont="1" applyFill="1" applyBorder="1" applyAlignment="1">
      <alignment horizontal="right"/>
    </xf>
    <xf numFmtId="0" fontId="11" fillId="0" borderId="9" xfId="0" applyFont="1" applyFill="1" applyBorder="1" applyAlignment="1">
      <alignment horizontal="right"/>
    </xf>
    <xf numFmtId="0" fontId="11" fillId="0" borderId="28" xfId="0" applyFont="1" applyFill="1" applyBorder="1" applyAlignment="1">
      <alignment horizontal="right"/>
    </xf>
    <xf numFmtId="164" fontId="41" fillId="0" borderId="0" xfId="0" applyNumberFormat="1" applyFont="1" applyFill="1"/>
    <xf numFmtId="164" fontId="84" fillId="0" borderId="0" xfId="0" applyNumberFormat="1" applyFont="1" applyFill="1"/>
    <xf numFmtId="164" fontId="42" fillId="0" borderId="0" xfId="0" applyNumberFormat="1" applyFont="1" applyFill="1"/>
    <xf numFmtId="164" fontId="22" fillId="0" borderId="0" xfId="0" applyNumberFormat="1" applyFont="1" applyFill="1"/>
    <xf numFmtId="164" fontId="86" fillId="0" borderId="0" xfId="0" applyNumberFormat="1" applyFont="1" applyFill="1"/>
    <xf numFmtId="164" fontId="37" fillId="0" borderId="0" xfId="0" applyNumberFormat="1" applyFont="1" applyFill="1"/>
    <xf numFmtId="164" fontId="21" fillId="0" borderId="0" xfId="0" applyNumberFormat="1" applyFont="1" applyFill="1"/>
    <xf numFmtId="164" fontId="43" fillId="0" borderId="0" xfId="0" applyNumberFormat="1" applyFont="1" applyFill="1"/>
    <xf numFmtId="164" fontId="40" fillId="0" borderId="0" xfId="0" applyNumberFormat="1" applyFont="1" applyFill="1"/>
    <xf numFmtId="171" fontId="11" fillId="0" borderId="0" xfId="0" applyNumberFormat="1" applyFont="1" applyFill="1"/>
    <xf numFmtId="164" fontId="39" fillId="0" borderId="0" xfId="0" applyNumberFormat="1" applyFont="1" applyFill="1"/>
    <xf numFmtId="164" fontId="44" fillId="0" borderId="0" xfId="0" applyNumberFormat="1" applyFont="1" applyFill="1"/>
    <xf numFmtId="167" fontId="1" fillId="0" borderId="0" xfId="0" applyNumberFormat="1" applyFont="1" applyFill="1" applyBorder="1"/>
    <xf numFmtId="9" fontId="1" fillId="0" borderId="0" xfId="0" applyNumberFormat="1" applyFont="1" applyFill="1" applyBorder="1"/>
    <xf numFmtId="9" fontId="26" fillId="0" borderId="0" xfId="0" applyNumberFormat="1" applyFont="1" applyFill="1" applyBorder="1"/>
    <xf numFmtId="167" fontId="3" fillId="0" borderId="0" xfId="0" applyNumberFormat="1" applyFont="1" applyFill="1" applyBorder="1"/>
    <xf numFmtId="167" fontId="26" fillId="0" borderId="0" xfId="0" applyNumberFormat="1" applyFont="1" applyFill="1" applyBorder="1"/>
    <xf numFmtId="37" fontId="11" fillId="0" borderId="0" xfId="12" applyNumberFormat="1" applyFont="1" applyFill="1"/>
    <xf numFmtId="0" fontId="30" fillId="0" borderId="0" xfId="0" applyFont="1" applyFill="1"/>
    <xf numFmtId="170" fontId="1" fillId="0" borderId="0" xfId="0" applyNumberFormat="1" applyFont="1" applyFill="1"/>
    <xf numFmtId="9" fontId="11" fillId="0" borderId="0" xfId="0" applyNumberFormat="1" applyFont="1" applyFill="1"/>
    <xf numFmtId="164" fontId="1" fillId="0" borderId="0" xfId="0" applyNumberFormat="1" applyFont="1" applyFill="1" applyAlignment="1">
      <alignment horizontal="right"/>
    </xf>
    <xf numFmtId="0" fontId="51" fillId="0" borderId="0" xfId="0" applyFont="1" applyFill="1"/>
    <xf numFmtId="10" fontId="53" fillId="0" borderId="0" xfId="0" applyNumberFormat="1" applyFont="1" applyFill="1"/>
    <xf numFmtId="0" fontId="28" fillId="0" borderId="0" xfId="0" applyFont="1" applyFill="1"/>
    <xf numFmtId="164" fontId="28" fillId="0" borderId="0" xfId="0" applyNumberFormat="1" applyFont="1" applyFill="1"/>
    <xf numFmtId="164" fontId="3" fillId="0" borderId="0" xfId="0" applyNumberFormat="1" applyFont="1" applyFill="1"/>
    <xf numFmtId="0" fontId="26" fillId="0" borderId="2" xfId="0" applyFont="1" applyFill="1" applyBorder="1" applyAlignment="1">
      <alignment horizontal="left" indent="1"/>
    </xf>
    <xf numFmtId="0" fontId="3" fillId="0" borderId="2" xfId="0" applyFont="1" applyFill="1" applyBorder="1"/>
    <xf numFmtId="164" fontId="0" fillId="0" borderId="2" xfId="0" applyNumberFormat="1" applyFill="1" applyBorder="1"/>
    <xf numFmtId="167" fontId="26" fillId="0" borderId="2" xfId="0" applyNumberFormat="1" applyFont="1" applyFill="1" applyBorder="1"/>
    <xf numFmtId="164" fontId="68" fillId="0" borderId="0" xfId="0" applyNumberFormat="1" applyFont="1" applyFill="1"/>
    <xf numFmtId="0" fontId="39" fillId="0" borderId="0" xfId="0" applyFont="1" applyFill="1"/>
    <xf numFmtId="0" fontId="28" fillId="0" borderId="2" xfId="0" applyFont="1" applyFill="1" applyBorder="1"/>
    <xf numFmtId="167" fontId="0" fillId="0" borderId="2" xfId="0" applyNumberFormat="1" applyFill="1" applyBorder="1"/>
    <xf numFmtId="0" fontId="29" fillId="0" borderId="0" xfId="0" applyFont="1" applyFill="1"/>
    <xf numFmtId="0" fontId="11" fillId="0" borderId="0" xfId="0" applyFont="1" applyFill="1" applyAlignment="1">
      <alignment horizontal="right"/>
    </xf>
    <xf numFmtId="164" fontId="26" fillId="0" borderId="0" xfId="0" applyNumberFormat="1" applyFont="1" applyFill="1"/>
    <xf numFmtId="6" fontId="0" fillId="0" borderId="0" xfId="0" applyNumberFormat="1" applyFill="1"/>
    <xf numFmtId="6" fontId="11" fillId="0" borderId="0" xfId="0" applyNumberFormat="1" applyFont="1" applyFill="1"/>
    <xf numFmtId="37" fontId="0" fillId="0" borderId="0" xfId="0" applyNumberFormat="1" applyFill="1"/>
    <xf numFmtId="37" fontId="11" fillId="0" borderId="0" xfId="0" applyNumberFormat="1" applyFont="1" applyFill="1"/>
    <xf numFmtId="165" fontId="26" fillId="0" borderId="0" xfId="0" applyNumberFormat="1" applyFont="1" applyFill="1"/>
    <xf numFmtId="173" fontId="0" fillId="0" borderId="0" xfId="0" applyNumberFormat="1" applyFill="1"/>
    <xf numFmtId="9" fontId="26" fillId="0" borderId="0" xfId="0" applyNumberFormat="1" applyFont="1" applyFill="1"/>
    <xf numFmtId="167" fontId="1" fillId="0" borderId="2" xfId="0" applyNumberFormat="1" applyFont="1" applyFill="1" applyBorder="1"/>
    <xf numFmtId="164" fontId="0" fillId="0" borderId="0" xfId="0" applyNumberFormat="1" applyFill="1" applyBorder="1"/>
    <xf numFmtId="0" fontId="28" fillId="0" borderId="0" xfId="0" applyFont="1" applyFill="1" applyBorder="1"/>
    <xf numFmtId="167" fontId="0" fillId="0" borderId="0" xfId="0" applyNumberFormat="1" applyFill="1" applyBorder="1"/>
    <xf numFmtId="0" fontId="26" fillId="0" borderId="13" xfId="0" applyFont="1" applyFill="1" applyBorder="1" applyAlignment="1">
      <alignment horizontal="left" indent="1"/>
    </xf>
    <xf numFmtId="37" fontId="1" fillId="0" borderId="0" xfId="0" applyNumberFormat="1" applyFont="1" applyFill="1"/>
    <xf numFmtId="0" fontId="1" fillId="0" borderId="9" xfId="0" applyFont="1" applyFill="1" applyBorder="1"/>
    <xf numFmtId="0" fontId="50" fillId="0" borderId="6" xfId="0" applyFont="1" applyFill="1" applyBorder="1"/>
    <xf numFmtId="1" fontId="50" fillId="0" borderId="6" xfId="0" applyNumberFormat="1" applyFont="1" applyFill="1" applyBorder="1"/>
    <xf numFmtId="0" fontId="50" fillId="0" borderId="0" xfId="0" applyFont="1" applyFill="1" applyBorder="1"/>
    <xf numFmtId="1" fontId="50" fillId="0" borderId="0" xfId="0" applyNumberFormat="1" applyFont="1" applyFill="1" applyBorder="1"/>
    <xf numFmtId="0" fontId="61" fillId="0" borderId="0" xfId="0" applyFont="1" applyFill="1" applyBorder="1"/>
    <xf numFmtId="1" fontId="61" fillId="0" borderId="0" xfId="0" applyNumberFormat="1" applyFont="1" applyFill="1" applyBorder="1"/>
    <xf numFmtId="164" fontId="11" fillId="0" borderId="6" xfId="0" applyNumberFormat="1" applyFont="1" applyFill="1" applyBorder="1"/>
    <xf numFmtId="164" fontId="11" fillId="0" borderId="0" xfId="0" applyNumberFormat="1" applyFont="1" applyFill="1" applyBorder="1"/>
    <xf numFmtId="170" fontId="84" fillId="0" borderId="0" xfId="0" applyNumberFormat="1" applyFont="1" applyFill="1" applyBorder="1"/>
    <xf numFmtId="6" fontId="3" fillId="0" borderId="0" xfId="0" applyNumberFormat="1" applyFont="1" applyFill="1" applyBorder="1"/>
    <xf numFmtId="6" fontId="45" fillId="0" borderId="0" xfId="0" applyNumberFormat="1" applyFont="1" applyFill="1" applyBorder="1"/>
    <xf numFmtId="170" fontId="84" fillId="0" borderId="0" xfId="0" applyNumberFormat="1" applyFont="1" applyFill="1" applyBorder="1" applyAlignment="1">
      <alignment horizontal="right"/>
    </xf>
    <xf numFmtId="170" fontId="3" fillId="0" borderId="0" xfId="0" applyNumberFormat="1" applyFont="1" applyFill="1" applyBorder="1"/>
    <xf numFmtId="9" fontId="11" fillId="0" borderId="0" xfId="0" applyNumberFormat="1" applyFont="1" applyFill="1" applyBorder="1"/>
    <xf numFmtId="1" fontId="47" fillId="0" borderId="0" xfId="0" applyNumberFormat="1" applyFont="1" applyFill="1"/>
    <xf numFmtId="0" fontId="38" fillId="0" borderId="0" xfId="0" applyFont="1" applyFill="1"/>
    <xf numFmtId="167" fontId="38" fillId="0" borderId="0" xfId="0" applyNumberFormat="1" applyFont="1" applyFill="1"/>
    <xf numFmtId="9" fontId="38" fillId="0" borderId="0" xfId="0" applyNumberFormat="1" applyFont="1" applyFill="1"/>
    <xf numFmtId="167" fontId="1" fillId="0" borderId="0" xfId="51" applyNumberFormat="1" applyFont="1" applyFill="1"/>
    <xf numFmtId="164" fontId="1" fillId="0" borderId="0" xfId="51" applyNumberFormat="1" applyFont="1" applyFill="1"/>
    <xf numFmtId="10" fontId="1" fillId="0" borderId="0" xfId="0" applyNumberFormat="1" applyFont="1" applyFill="1"/>
    <xf numFmtId="170" fontId="0" fillId="0" borderId="0" xfId="0" applyNumberFormat="1" applyFill="1"/>
    <xf numFmtId="0" fontId="18" fillId="0" borderId="0" xfId="0" applyFont="1" applyFill="1"/>
    <xf numFmtId="164" fontId="84" fillId="0" borderId="0" xfId="0" applyNumberFormat="1" applyFont="1" applyFill="1" applyBorder="1" applyAlignment="1">
      <alignment horizontal="right"/>
    </xf>
    <xf numFmtId="164" fontId="3" fillId="0" borderId="0" xfId="0" applyNumberFormat="1" applyFont="1" applyFill="1" applyBorder="1" applyAlignment="1">
      <alignment horizontal="right"/>
    </xf>
    <xf numFmtId="0" fontId="38" fillId="0" borderId="0" xfId="0" applyFont="1" applyFill="1" applyAlignment="1">
      <alignment horizontal="left" indent="1"/>
    </xf>
    <xf numFmtId="167" fontId="26" fillId="0" borderId="0" xfId="0" applyNumberFormat="1" applyFont="1" applyFill="1" applyBorder="1" applyAlignment="1">
      <alignment horizontal="right"/>
    </xf>
    <xf numFmtId="0" fontId="96" fillId="0" borderId="0" xfId="0" applyFont="1" applyFill="1" applyAlignment="1">
      <alignment horizontal="left" indent="1"/>
    </xf>
    <xf numFmtId="0" fontId="40" fillId="0" borderId="0" xfId="0" applyFont="1" applyFill="1"/>
    <xf numFmtId="164" fontId="68" fillId="0" borderId="0" xfId="0" applyNumberFormat="1" applyFont="1" applyFill="1" applyBorder="1" applyAlignment="1">
      <alignment horizontal="right"/>
    </xf>
    <xf numFmtId="167" fontId="85" fillId="0" borderId="0" xfId="0" applyNumberFormat="1" applyFont="1" applyFill="1"/>
    <xf numFmtId="0" fontId="96" fillId="0" borderId="0" xfId="0" applyFont="1" applyFill="1"/>
    <xf numFmtId="0" fontId="96" fillId="0" borderId="0" xfId="0" applyFont="1" applyFill="1" applyBorder="1" applyAlignment="1">
      <alignment horizontal="left" indent="1"/>
    </xf>
    <xf numFmtId="37" fontId="47" fillId="0" borderId="0" xfId="12" applyNumberFormat="1" applyFont="1" applyFill="1"/>
    <xf numFmtId="0" fontId="96" fillId="0" borderId="0" xfId="0" applyFont="1" applyFill="1" applyAlignment="1">
      <alignment horizontal="left" indent="2"/>
    </xf>
    <xf numFmtId="37" fontId="0" fillId="0" borderId="0" xfId="12" applyNumberFormat="1" applyFont="1" applyFill="1"/>
    <xf numFmtId="167" fontId="47" fillId="0" borderId="0" xfId="0" applyNumberFormat="1" applyFont="1" applyFill="1"/>
    <xf numFmtId="9" fontId="47" fillId="0" borderId="0" xfId="0" applyNumberFormat="1" applyFont="1" applyFill="1"/>
    <xf numFmtId="167" fontId="26" fillId="0" borderId="0" xfId="12" applyNumberFormat="1" applyFont="1" applyFill="1"/>
    <xf numFmtId="6" fontId="1" fillId="0" borderId="0" xfId="12" applyNumberFormat="1" applyFont="1" applyFill="1"/>
    <xf numFmtId="0" fontId="22" fillId="0" borderId="0" xfId="0" applyFont="1" applyFill="1"/>
    <xf numFmtId="0" fontId="0" fillId="0" borderId="0" xfId="0" applyFill="1" applyAlignment="1">
      <alignment horizontal="left" indent="1"/>
    </xf>
    <xf numFmtId="9" fontId="85" fillId="0" borderId="0" xfId="0" applyNumberFormat="1" applyFont="1" applyFill="1"/>
    <xf numFmtId="8" fontId="11" fillId="0" borderId="0" xfId="0" applyNumberFormat="1" applyFont="1" applyFill="1"/>
    <xf numFmtId="9" fontId="48" fillId="0" borderId="3" xfId="0" applyNumberFormat="1" applyFont="1" applyFill="1" applyBorder="1"/>
    <xf numFmtId="9" fontId="48" fillId="0" borderId="27" xfId="0" applyNumberFormat="1" applyFont="1" applyFill="1" applyBorder="1"/>
    <xf numFmtId="9" fontId="48" fillId="0" borderId="4" xfId="0" applyNumberFormat="1" applyFont="1" applyFill="1" applyBorder="1"/>
    <xf numFmtId="0" fontId="8" fillId="0" borderId="0" xfId="33" applyFont="1" applyFill="1" applyBorder="1"/>
    <xf numFmtId="2" fontId="0" fillId="0" borderId="0" xfId="0" applyNumberFormat="1" applyFill="1"/>
    <xf numFmtId="8" fontId="26" fillId="0" borderId="0" xfId="0" applyNumberFormat="1" applyFont="1" applyFill="1" applyBorder="1"/>
    <xf numFmtId="168" fontId="0" fillId="0" borderId="0" xfId="0" applyNumberFormat="1" applyFill="1"/>
    <xf numFmtId="172" fontId="0" fillId="0" borderId="0" xfId="0" applyNumberFormat="1" applyFill="1"/>
    <xf numFmtId="168" fontId="0" fillId="0" borderId="0" xfId="0" applyNumberFormat="1" applyFill="1" applyAlignment="1">
      <alignment horizontal="left"/>
    </xf>
    <xf numFmtId="0" fontId="11" fillId="0" borderId="0" xfId="0" applyFont="1" applyFill="1" applyBorder="1" applyAlignment="1">
      <alignment horizontal="centerContinuous"/>
    </xf>
    <xf numFmtId="0" fontId="11" fillId="0" borderId="15" xfId="0" applyFont="1" applyFill="1" applyBorder="1" applyAlignment="1">
      <alignment horizontal="centerContinuous"/>
    </xf>
    <xf numFmtId="0" fontId="11" fillId="0" borderId="40" xfId="0" applyFont="1" applyFill="1" applyBorder="1" applyAlignment="1">
      <alignment horizontal="centerContinuous"/>
    </xf>
    <xf numFmtId="0" fontId="11" fillId="0" borderId="33" xfId="0" applyFont="1" applyFill="1" applyBorder="1" applyAlignment="1">
      <alignment horizontal="center"/>
    </xf>
    <xf numFmtId="0" fontId="11" fillId="0" borderId="0" xfId="0" applyFont="1" applyFill="1" applyBorder="1" applyAlignment="1">
      <alignment horizontal="center"/>
    </xf>
    <xf numFmtId="0" fontId="11" fillId="0" borderId="41" xfId="0" applyFont="1" applyFill="1" applyBorder="1" applyAlignment="1">
      <alignment horizontal="centerContinuous"/>
    </xf>
    <xf numFmtId="0" fontId="11" fillId="0" borderId="15" xfId="0" applyFont="1" applyFill="1" applyBorder="1" applyAlignment="1">
      <alignment horizontal="right"/>
    </xf>
    <xf numFmtId="0" fontId="11" fillId="0" borderId="42" xfId="0" applyFont="1" applyFill="1" applyBorder="1" applyAlignment="1">
      <alignment horizontal="right"/>
    </xf>
    <xf numFmtId="0" fontId="11" fillId="0" borderId="43" xfId="0" applyFont="1" applyFill="1" applyBorder="1" applyAlignment="1">
      <alignment horizontal="right"/>
    </xf>
    <xf numFmtId="0" fontId="11" fillId="0" borderId="0" xfId="0" applyFont="1" applyFill="1" applyBorder="1" applyAlignment="1">
      <alignment horizontal="right"/>
    </xf>
    <xf numFmtId="171" fontId="11" fillId="0" borderId="0" xfId="0" applyNumberFormat="1" applyFont="1" applyFill="1" applyBorder="1"/>
    <xf numFmtId="0" fontId="26" fillId="0" borderId="0" xfId="0" applyFont="1" applyFill="1" applyBorder="1" applyAlignment="1">
      <alignment horizontal="right"/>
    </xf>
    <xf numFmtId="9" fontId="26" fillId="0" borderId="0" xfId="0" applyNumberFormat="1" applyFont="1" applyFill="1" applyBorder="1" applyAlignment="1">
      <alignment horizontal="right"/>
    </xf>
    <xf numFmtId="164" fontId="1" fillId="0" borderId="0" xfId="0" applyNumberFormat="1" applyFont="1" applyFill="1" applyBorder="1"/>
    <xf numFmtId="164" fontId="41" fillId="0" borderId="0" xfId="0" applyNumberFormat="1" applyFont="1" applyFill="1" applyBorder="1"/>
    <xf numFmtId="164" fontId="3" fillId="0" borderId="0" xfId="0" applyNumberFormat="1" applyFont="1" applyFill="1" applyBorder="1"/>
    <xf numFmtId="0" fontId="69" fillId="0" borderId="2" xfId="0" applyFont="1" applyFill="1" applyBorder="1"/>
    <xf numFmtId="9" fontId="11" fillId="0" borderId="2" xfId="0" applyNumberFormat="1" applyFont="1" applyFill="1" applyBorder="1" applyAlignment="1">
      <alignment horizontal="right"/>
    </xf>
    <xf numFmtId="9" fontId="11" fillId="0" borderId="0" xfId="0" applyNumberFormat="1" applyFont="1" applyFill="1" applyBorder="1" applyAlignment="1">
      <alignment horizontal="right"/>
    </xf>
    <xf numFmtId="164" fontId="53" fillId="0" borderId="0" xfId="0" applyNumberFormat="1" applyFont="1" applyFill="1"/>
    <xf numFmtId="0" fontId="11" fillId="0" borderId="2" xfId="0" applyFont="1" applyFill="1" applyBorder="1"/>
    <xf numFmtId="164" fontId="11" fillId="0" borderId="2" xfId="0" applyNumberFormat="1" applyFont="1" applyFill="1" applyBorder="1"/>
    <xf numFmtId="0" fontId="26" fillId="0" borderId="9" xfId="0" applyFont="1" applyFill="1" applyBorder="1" applyAlignment="1">
      <alignment horizontal="left" indent="1"/>
    </xf>
    <xf numFmtId="0" fontId="11" fillId="0" borderId="9" xfId="0" applyFont="1" applyFill="1" applyBorder="1"/>
    <xf numFmtId="0" fontId="3" fillId="0" borderId="9" xfId="0" applyFont="1" applyFill="1" applyBorder="1" applyAlignment="1">
      <alignment horizontal="right"/>
    </xf>
    <xf numFmtId="9" fontId="3" fillId="0" borderId="9" xfId="0" applyNumberFormat="1" applyFont="1" applyFill="1" applyBorder="1" applyAlignment="1">
      <alignment horizontal="right"/>
    </xf>
    <xf numFmtId="9" fontId="3" fillId="0" borderId="0" xfId="0" applyNumberFormat="1" applyFont="1" applyFill="1" applyBorder="1" applyAlignment="1">
      <alignment horizontal="right"/>
    </xf>
    <xf numFmtId="0" fontId="69" fillId="0" borderId="9" xfId="0" applyFont="1" applyFill="1" applyBorder="1" applyAlignment="1">
      <alignment horizontal="left" indent="1"/>
    </xf>
    <xf numFmtId="9" fontId="11" fillId="0" borderId="9" xfId="0" applyNumberFormat="1" applyFont="1" applyFill="1" applyBorder="1" applyAlignment="1">
      <alignment horizontal="right"/>
    </xf>
    <xf numFmtId="167" fontId="11" fillId="0" borderId="9" xfId="0" applyNumberFormat="1" applyFont="1" applyFill="1" applyBorder="1" applyAlignment="1">
      <alignment horizontal="right"/>
    </xf>
    <xf numFmtId="167" fontId="11" fillId="0" borderId="0" xfId="0" applyNumberFormat="1" applyFont="1" applyFill="1" applyBorder="1" applyAlignment="1">
      <alignment horizontal="right"/>
    </xf>
    <xf numFmtId="0" fontId="69" fillId="0" borderId="0" xfId="0" applyFont="1" applyFill="1" applyBorder="1" applyAlignment="1">
      <alignment horizontal="left" indent="1"/>
    </xf>
    <xf numFmtId="167" fontId="17" fillId="0" borderId="0" xfId="51" applyNumberFormat="1" applyFont="1" applyFill="1" applyBorder="1"/>
    <xf numFmtId="167" fontId="69" fillId="0" borderId="0" xfId="51" applyNumberFormat="1" applyFont="1" applyFill="1" applyBorder="1"/>
    <xf numFmtId="167" fontId="11" fillId="0" borderId="0" xfId="0" applyNumberFormat="1" applyFont="1" applyFill="1" applyBorder="1"/>
    <xf numFmtId="37" fontId="11" fillId="0" borderId="0" xfId="0" applyNumberFormat="1" applyFont="1" applyFill="1" applyBorder="1"/>
    <xf numFmtId="9" fontId="69" fillId="0" borderId="0" xfId="0" applyNumberFormat="1" applyFont="1" applyFill="1" applyBorder="1" applyAlignment="1">
      <alignment horizontal="right"/>
    </xf>
    <xf numFmtId="167" fontId="26" fillId="0" borderId="0" xfId="0" applyNumberFormat="1" applyFont="1" applyFill="1" applyAlignment="1">
      <alignment horizontal="right"/>
    </xf>
    <xf numFmtId="0" fontId="46" fillId="0" borderId="0" xfId="0" applyFont="1" applyFill="1" applyAlignment="1">
      <alignment horizontal="left" indent="1"/>
    </xf>
    <xf numFmtId="0" fontId="46" fillId="0" borderId="0" xfId="0" applyFont="1" applyFill="1"/>
    <xf numFmtId="167" fontId="49" fillId="0" borderId="0" xfId="0" applyNumberFormat="1" applyFont="1" applyFill="1" applyBorder="1"/>
    <xf numFmtId="168" fontId="1" fillId="0" borderId="0" xfId="0" applyNumberFormat="1" applyFont="1" applyFill="1"/>
    <xf numFmtId="164" fontId="41" fillId="0" borderId="9" xfId="0" applyNumberFormat="1" applyFont="1" applyFill="1" applyBorder="1"/>
    <xf numFmtId="164" fontId="1" fillId="0" borderId="9" xfId="0" applyNumberFormat="1" applyFont="1" applyFill="1" applyBorder="1"/>
    <xf numFmtId="2" fontId="11" fillId="0" borderId="0" xfId="0" applyNumberFormat="1" applyFont="1" applyFill="1"/>
    <xf numFmtId="176" fontId="1" fillId="0" borderId="0" xfId="0" applyNumberFormat="1" applyFont="1" applyFill="1"/>
    <xf numFmtId="176" fontId="3" fillId="0" borderId="0" xfId="0" applyNumberFormat="1" applyFont="1" applyFill="1"/>
    <xf numFmtId="2" fontId="3" fillId="0" borderId="0" xfId="0" applyNumberFormat="1" applyFont="1" applyFill="1"/>
    <xf numFmtId="164" fontId="43" fillId="0" borderId="0" xfId="0" applyNumberFormat="1" applyFont="1" applyFill="1" applyAlignment="1">
      <alignment horizontal="right"/>
    </xf>
    <xf numFmtId="4" fontId="50" fillId="0" borderId="0" xfId="0" applyNumberFormat="1" applyFont="1" applyFill="1"/>
    <xf numFmtId="49" fontId="11" fillId="0" borderId="0" xfId="29" applyNumberFormat="1" applyFont="1" applyFill="1"/>
    <xf numFmtId="49" fontId="3" fillId="0" borderId="0" xfId="29" applyNumberFormat="1" applyFont="1" applyFill="1"/>
    <xf numFmtId="2" fontId="3" fillId="0" borderId="0" xfId="30" applyFont="1" applyFill="1"/>
    <xf numFmtId="8" fontId="1" fillId="0" borderId="0" xfId="0" applyNumberFormat="1" applyFont="1" applyFill="1"/>
    <xf numFmtId="164" fontId="1" fillId="0" borderId="0" xfId="51" applyNumberFormat="1" applyFill="1"/>
    <xf numFmtId="164" fontId="1" fillId="0" borderId="0" xfId="51" applyNumberFormat="1" applyFont="1" applyFill="1" applyBorder="1"/>
    <xf numFmtId="164" fontId="21" fillId="0" borderId="0" xfId="0" applyNumberFormat="1" applyFont="1" applyFill="1" applyBorder="1"/>
    <xf numFmtId="167" fontId="21" fillId="0" borderId="0" xfId="0" applyNumberFormat="1" applyFont="1" applyFill="1" applyBorder="1"/>
    <xf numFmtId="171" fontId="41" fillId="0" borderId="0" xfId="0" applyNumberFormat="1" applyFont="1" applyFill="1" applyBorder="1"/>
    <xf numFmtId="164" fontId="3" fillId="0" borderId="0" xfId="51" applyNumberFormat="1" applyFont="1" applyFill="1"/>
    <xf numFmtId="167" fontId="26" fillId="0" borderId="0" xfId="51" applyNumberFormat="1" applyFont="1" applyFill="1" applyBorder="1"/>
    <xf numFmtId="164" fontId="3" fillId="0" borderId="0" xfId="51" applyNumberFormat="1" applyFont="1" applyFill="1" applyAlignment="1">
      <alignment horizontal="right"/>
    </xf>
    <xf numFmtId="164" fontId="11" fillId="0" borderId="0" xfId="51" applyNumberFormat="1" applyFont="1" applyFill="1"/>
    <xf numFmtId="167" fontId="11" fillId="0" borderId="0" xfId="51" applyNumberFormat="1" applyFont="1" applyFill="1"/>
    <xf numFmtId="167" fontId="11" fillId="0" borderId="0" xfId="51" applyNumberFormat="1" applyFont="1" applyFill="1" applyBorder="1"/>
    <xf numFmtId="164" fontId="11" fillId="0" borderId="0" xfId="51" applyNumberFormat="1" applyFont="1" applyFill="1" applyAlignment="1">
      <alignment horizontal="right"/>
    </xf>
    <xf numFmtId="167" fontId="1" fillId="0" borderId="0" xfId="51" applyNumberFormat="1" applyFont="1" applyFill="1" applyBorder="1"/>
    <xf numFmtId="164" fontId="3" fillId="0" borderId="0" xfId="0" applyNumberFormat="1" applyFont="1" applyFill="1" applyAlignment="1">
      <alignment horizontal="right"/>
    </xf>
    <xf numFmtId="164" fontId="0" fillId="0" borderId="0" xfId="0" applyNumberFormat="1" applyFill="1" applyAlignment="1">
      <alignment horizontal="right"/>
    </xf>
    <xf numFmtId="37" fontId="18" fillId="0" borderId="0" xfId="36" applyNumberFormat="1" applyFont="1" applyFill="1"/>
    <xf numFmtId="37" fontId="3" fillId="0" borderId="0" xfId="36" applyNumberFormat="1" applyFont="1" applyFill="1"/>
    <xf numFmtId="0" fontId="27" fillId="0" borderId="0" xfId="0" applyNumberFormat="1" applyFont="1" applyFill="1" applyAlignment="1">
      <alignment horizontal="right"/>
    </xf>
    <xf numFmtId="37" fontId="26" fillId="0" borderId="0" xfId="36" applyNumberFormat="1" applyFont="1" applyFill="1" applyAlignment="1">
      <alignment horizontal="left" indent="1"/>
    </xf>
    <xf numFmtId="0" fontId="0" fillId="0" borderId="0" xfId="0" applyFill="1" applyAlignment="1">
      <alignment horizontal="right"/>
    </xf>
    <xf numFmtId="37" fontId="3" fillId="0" borderId="0" xfId="36" applyNumberFormat="1" applyFont="1" applyFill="1" applyAlignment="1">
      <alignment horizontal="left"/>
    </xf>
    <xf numFmtId="164" fontId="27" fillId="0" borderId="0" xfId="0" applyNumberFormat="1" applyFont="1" applyFill="1"/>
    <xf numFmtId="37" fontId="11" fillId="0" borderId="0" xfId="36" applyNumberFormat="1" applyFont="1" applyFill="1"/>
    <xf numFmtId="37" fontId="5" fillId="0" borderId="0" xfId="36" applyNumberFormat="1" applyFont="1" applyFill="1"/>
    <xf numFmtId="37" fontId="3" fillId="0" borderId="0" xfId="36" applyNumberFormat="1" applyFont="1" applyFill="1" applyAlignment="1">
      <alignment horizontal="left" indent="1"/>
    </xf>
    <xf numFmtId="167" fontId="70" fillId="0" borderId="0" xfId="0" applyNumberFormat="1" applyFont="1" applyFill="1"/>
    <xf numFmtId="9" fontId="70" fillId="0" borderId="0" xfId="0" applyNumberFormat="1" applyFont="1" applyFill="1"/>
    <xf numFmtId="37" fontId="70" fillId="0" borderId="0" xfId="36" applyNumberFormat="1" applyFont="1" applyFill="1" applyBorder="1" applyAlignment="1">
      <alignment horizontal="left" indent="1"/>
    </xf>
    <xf numFmtId="0" fontId="43" fillId="0" borderId="0" xfId="0" applyFont="1" applyFill="1"/>
    <xf numFmtId="37" fontId="3" fillId="0" borderId="0" xfId="36" applyNumberFormat="1" applyFont="1" applyFill="1" applyBorder="1" applyAlignment="1">
      <alignment horizontal="left"/>
    </xf>
    <xf numFmtId="37" fontId="26" fillId="0" borderId="0" xfId="36" applyNumberFormat="1" applyFont="1" applyFill="1" applyBorder="1" applyAlignment="1">
      <alignment horizontal="left" indent="1"/>
    </xf>
    <xf numFmtId="177" fontId="0" fillId="0" borderId="0" xfId="0" applyNumberFormat="1" applyFill="1"/>
    <xf numFmtId="0" fontId="1" fillId="0" borderId="32" xfId="0" applyFont="1" applyFill="1" applyBorder="1"/>
    <xf numFmtId="164" fontId="109" fillId="0" borderId="0" xfId="0" applyNumberFormat="1" applyFont="1" applyFill="1"/>
    <xf numFmtId="164" fontId="23" fillId="0" borderId="0" xfId="0" applyNumberFormat="1" applyFont="1" applyFill="1"/>
    <xf numFmtId="5" fontId="3" fillId="0" borderId="0" xfId="20" applyNumberFormat="1" applyFont="1" applyFill="1" applyAlignment="1" applyProtection="1">
      <alignment horizontal="left"/>
    </xf>
    <xf numFmtId="171" fontId="1" fillId="0" borderId="0" xfId="0" applyNumberFormat="1" applyFont="1" applyFill="1"/>
    <xf numFmtId="5" fontId="11" fillId="0" borderId="0" xfId="20" applyNumberFormat="1" applyFont="1" applyFill="1" applyAlignment="1" applyProtection="1">
      <alignment horizontal="left"/>
    </xf>
    <xf numFmtId="2" fontId="21" fillId="0" borderId="0" xfId="0" applyNumberFormat="1" applyFont="1" applyFill="1"/>
    <xf numFmtId="172" fontId="41" fillId="0" borderId="0" xfId="0" applyNumberFormat="1" applyFont="1" applyFill="1"/>
    <xf numFmtId="49" fontId="83" fillId="0" borderId="0" xfId="29" applyNumberFormat="1" applyFont="1" applyFill="1"/>
    <xf numFmtId="168" fontId="48" fillId="0" borderId="0" xfId="0" applyNumberFormat="1" applyFont="1" applyFill="1"/>
    <xf numFmtId="193" fontId="1" fillId="0" borderId="0" xfId="0" applyNumberFormat="1" applyFont="1" applyFill="1"/>
    <xf numFmtId="0" fontId="25" fillId="0" borderId="0" xfId="0" applyFont="1" applyFill="1"/>
    <xf numFmtId="0" fontId="11" fillId="0" borderId="0" xfId="29" applyFont="1" applyFill="1"/>
    <xf numFmtId="0" fontId="3" fillId="0" borderId="0" xfId="29" applyFont="1" applyFill="1" applyBorder="1" applyAlignment="1">
      <alignment horizontal="right" wrapText="1"/>
    </xf>
    <xf numFmtId="164" fontId="25" fillId="0" borderId="0" xfId="0" applyNumberFormat="1" applyFont="1" applyFill="1"/>
    <xf numFmtId="168" fontId="83" fillId="0" borderId="0" xfId="0" applyNumberFormat="1" applyFont="1" applyFill="1"/>
    <xf numFmtId="0" fontId="3" fillId="0" borderId="0" xfId="14" applyNumberFormat="1" applyFont="1" applyFill="1" applyAlignment="1">
      <alignment horizontal="left" indent="1"/>
    </xf>
    <xf numFmtId="165" fontId="3" fillId="0" borderId="0" xfId="14" applyNumberFormat="1" applyFont="1" applyFill="1" applyAlignment="1">
      <alignment horizontal="left" indent="1"/>
    </xf>
    <xf numFmtId="178" fontId="1" fillId="0" borderId="0" xfId="0" applyNumberFormat="1" applyFont="1" applyFill="1"/>
    <xf numFmtId="0" fontId="0" fillId="0" borderId="0" xfId="0" applyFill="1" applyAlignment="1">
      <alignment horizontal="center"/>
    </xf>
    <xf numFmtId="0" fontId="87" fillId="0" borderId="0" xfId="0" applyFont="1" applyFill="1" applyAlignment="1">
      <alignment horizontal="left" indent="1"/>
    </xf>
    <xf numFmtId="0" fontId="87" fillId="0" borderId="0" xfId="0" applyFont="1" applyFill="1"/>
    <xf numFmtId="164" fontId="87" fillId="0" borderId="0" xfId="0" applyNumberFormat="1" applyFont="1" applyFill="1"/>
    <xf numFmtId="167" fontId="20" fillId="0" borderId="0" xfId="0" applyNumberFormat="1" applyFont="1" applyFill="1"/>
    <xf numFmtId="167" fontId="36" fillId="0" borderId="0" xfId="51" applyNumberFormat="1" applyFont="1" applyFill="1"/>
    <xf numFmtId="169" fontId="0" fillId="0" borderId="0" xfId="0" applyNumberFormat="1" applyFill="1"/>
    <xf numFmtId="164" fontId="60" fillId="0" borderId="0" xfId="0" applyNumberFormat="1" applyFont="1" applyFill="1"/>
    <xf numFmtId="164" fontId="47" fillId="0" borderId="0" xfId="0" applyNumberFormat="1" applyFont="1" applyFill="1" applyBorder="1" applyAlignment="1"/>
    <xf numFmtId="164" fontId="48" fillId="0" borderId="0" xfId="0" applyNumberFormat="1" applyFont="1" applyFill="1"/>
    <xf numFmtId="8" fontId="87" fillId="0" borderId="0" xfId="0" applyNumberFormat="1" applyFont="1" applyFill="1"/>
    <xf numFmtId="1" fontId="21" fillId="0" borderId="0" xfId="0" applyNumberFormat="1" applyFont="1" applyFill="1"/>
    <xf numFmtId="1" fontId="41" fillId="0" borderId="0" xfId="0" applyNumberFormat="1" applyFont="1" applyFill="1"/>
    <xf numFmtId="176" fontId="0" fillId="0" borderId="0" xfId="0" applyNumberFormat="1" applyFill="1"/>
    <xf numFmtId="168" fontId="21" fillId="0" borderId="0" xfId="0" applyNumberFormat="1" applyFont="1" applyFill="1"/>
    <xf numFmtId="176" fontId="87" fillId="0" borderId="0" xfId="0" applyNumberFormat="1" applyFont="1" applyFill="1"/>
    <xf numFmtId="164" fontId="68" fillId="0" borderId="0" xfId="0" applyNumberFormat="1" applyFont="1" applyFill="1" applyBorder="1"/>
    <xf numFmtId="177" fontId="41" fillId="0" borderId="0" xfId="0" applyNumberFormat="1" applyFont="1" applyFill="1"/>
    <xf numFmtId="0" fontId="83" fillId="0" borderId="0" xfId="0" applyFont="1" applyFill="1"/>
    <xf numFmtId="2" fontId="0" fillId="0" borderId="0" xfId="0" applyNumberFormat="1" applyFill="1" applyBorder="1"/>
    <xf numFmtId="9" fontId="34" fillId="0" borderId="0" xfId="0" applyNumberFormat="1" applyFont="1" applyFill="1" applyAlignment="1">
      <alignment horizontal="left"/>
    </xf>
    <xf numFmtId="10" fontId="34" fillId="0" borderId="0" xfId="0" applyNumberFormat="1" applyFont="1" applyFill="1" applyAlignment="1">
      <alignment horizontal="left"/>
    </xf>
    <xf numFmtId="9" fontId="11" fillId="0" borderId="0" xfId="0" applyNumberFormat="1" applyFont="1" applyFill="1" applyAlignment="1">
      <alignment horizontal="left"/>
    </xf>
    <xf numFmtId="167" fontId="0" fillId="0" borderId="0" xfId="51" applyNumberFormat="1" applyFont="1" applyFill="1"/>
    <xf numFmtId="9" fontId="3" fillId="0" borderId="0" xfId="0" applyNumberFormat="1" applyFont="1" applyFill="1" applyAlignment="1">
      <alignment horizontal="left"/>
    </xf>
    <xf numFmtId="9" fontId="48" fillId="0" borderId="0" xfId="0" applyNumberFormat="1" applyFont="1" applyFill="1"/>
    <xf numFmtId="0" fontId="20" fillId="0" borderId="0" xfId="0" applyFont="1" applyFill="1"/>
    <xf numFmtId="167" fontId="20" fillId="0" borderId="0" xfId="51" applyNumberFormat="1" applyFont="1" applyFill="1"/>
    <xf numFmtId="167" fontId="33" fillId="0" borderId="0" xfId="51" applyNumberFormat="1" applyFont="1" applyFill="1"/>
    <xf numFmtId="37" fontId="68" fillId="0" borderId="0" xfId="12" applyNumberFormat="1" applyFont="1" applyFill="1"/>
    <xf numFmtId="167" fontId="70" fillId="0" borderId="0" xfId="51" applyNumberFormat="1" applyFont="1" applyFill="1"/>
    <xf numFmtId="164" fontId="68" fillId="0" borderId="0" xfId="51" applyNumberFormat="1" applyFont="1" applyFill="1"/>
    <xf numFmtId="164" fontId="68" fillId="0" borderId="0" xfId="0" applyNumberFormat="1" applyFont="1" applyFill="1" applyAlignment="1">
      <alignment horizontal="left"/>
    </xf>
    <xf numFmtId="164" fontId="34" fillId="0" borderId="0" xfId="0" applyNumberFormat="1" applyFont="1" applyFill="1"/>
    <xf numFmtId="169" fontId="11" fillId="0" borderId="0" xfId="0" applyNumberFormat="1" applyFont="1" applyFill="1"/>
    <xf numFmtId="169" fontId="44" fillId="0" borderId="0" xfId="0" applyNumberFormat="1" applyFont="1" applyFill="1"/>
    <xf numFmtId="0" fontId="0" fillId="0" borderId="0" xfId="0" quotePrefix="1" applyFill="1" applyAlignment="1">
      <alignment horizontal="left" indent="1"/>
    </xf>
    <xf numFmtId="0" fontId="11" fillId="0" borderId="0" xfId="0" quotePrefix="1" applyFont="1" applyFill="1" applyAlignment="1">
      <alignment horizontal="left" indent="1"/>
    </xf>
    <xf numFmtId="0" fontId="68" fillId="0" borderId="44" xfId="0" quotePrefix="1" applyFont="1" applyFill="1" applyBorder="1" applyAlignment="1">
      <alignment horizontal="left" indent="1"/>
    </xf>
    <xf numFmtId="0" fontId="0" fillId="0" borderId="44" xfId="0" applyFill="1" applyBorder="1"/>
    <xf numFmtId="164" fontId="1" fillId="0" borderId="44" xfId="0" applyNumberFormat="1" applyFont="1" applyFill="1" applyBorder="1"/>
    <xf numFmtId="164" fontId="11" fillId="0" borderId="9" xfId="0" applyNumberFormat="1" applyFont="1" applyFill="1" applyBorder="1"/>
    <xf numFmtId="164" fontId="68" fillId="0" borderId="9" xfId="0" applyNumberFormat="1" applyFont="1" applyFill="1" applyBorder="1"/>
    <xf numFmtId="0" fontId="1" fillId="0" borderId="0" xfId="0" applyFont="1" applyFill="1" applyAlignment="1">
      <alignment horizontal="left" indent="2"/>
    </xf>
    <xf numFmtId="172" fontId="41" fillId="0" borderId="9" xfId="0" applyNumberFormat="1" applyFont="1" applyFill="1" applyBorder="1"/>
    <xf numFmtId="37" fontId="11" fillId="0" borderId="0" xfId="0" applyNumberFormat="1" applyFont="1" applyFill="1" applyAlignment="1" applyProtection="1">
      <alignment horizontal="left"/>
    </xf>
    <xf numFmtId="37" fontId="3" fillId="0" borderId="0" xfId="0" applyNumberFormat="1" applyFont="1" applyFill="1" applyAlignment="1" applyProtection="1">
      <alignment horizontal="left" indent="1"/>
    </xf>
    <xf numFmtId="164" fontId="21" fillId="0" borderId="9" xfId="0" applyNumberFormat="1" applyFont="1" applyFill="1" applyBorder="1"/>
    <xf numFmtId="166" fontId="3" fillId="0" borderId="0" xfId="20" applyFont="1" applyFill="1" applyAlignment="1" applyProtection="1">
      <alignment horizontal="left"/>
    </xf>
    <xf numFmtId="168" fontId="11" fillId="0" borderId="0" xfId="0" applyNumberFormat="1" applyFont="1" applyFill="1"/>
    <xf numFmtId="172" fontId="11" fillId="0" borderId="0" xfId="0" applyNumberFormat="1" applyFont="1" applyFill="1"/>
    <xf numFmtId="164" fontId="46" fillId="0" borderId="0" xfId="0" applyNumberFormat="1" applyFont="1" applyFill="1"/>
    <xf numFmtId="164" fontId="46" fillId="0" borderId="0" xfId="0" applyNumberFormat="1" applyFont="1" applyFill="1" applyBorder="1"/>
    <xf numFmtId="168" fontId="46" fillId="0" borderId="0" xfId="0" applyNumberFormat="1" applyFont="1" applyFill="1"/>
    <xf numFmtId="172" fontId="46" fillId="0" borderId="0" xfId="0" applyNumberFormat="1" applyFont="1" applyFill="1"/>
    <xf numFmtId="0" fontId="33" fillId="0" borderId="0" xfId="0" applyFont="1" applyFill="1"/>
    <xf numFmtId="0" fontId="1" fillId="0" borderId="0" xfId="0" quotePrefix="1" applyFont="1" applyFill="1" applyAlignment="1">
      <alignment horizontal="left" indent="1"/>
    </xf>
    <xf numFmtId="0" fontId="33" fillId="0" borderId="0" xfId="0" applyFont="1" applyFill="1" applyAlignment="1">
      <alignment horizontal="left" indent="1"/>
    </xf>
    <xf numFmtId="0" fontId="11" fillId="0" borderId="0" xfId="0" quotePrefix="1" applyFont="1" applyFill="1"/>
    <xf numFmtId="0" fontId="3" fillId="0" borderId="0" xfId="0" applyFont="1" applyFill="1" applyAlignment="1">
      <alignment horizontal="left"/>
    </xf>
    <xf numFmtId="164" fontId="83" fillId="0" borderId="0" xfId="0" applyNumberFormat="1" applyFont="1" applyFill="1"/>
    <xf numFmtId="0" fontId="11" fillId="0" borderId="0" xfId="0" applyFont="1" applyBorder="1"/>
    <xf numFmtId="37" fontId="1" fillId="0" borderId="0" xfId="0" applyNumberFormat="1" applyFont="1" applyBorder="1"/>
    <xf numFmtId="167" fontId="40" fillId="0" borderId="0" xfId="0" applyNumberFormat="1" applyFont="1" applyBorder="1" applyAlignment="1">
      <alignment horizontal="right"/>
    </xf>
    <xf numFmtId="209" fontId="0" fillId="0" borderId="0" xfId="0" applyNumberFormat="1"/>
    <xf numFmtId="165" fontId="11" fillId="0" borderId="0" xfId="0" applyNumberFormat="1" applyFont="1"/>
    <xf numFmtId="165" fontId="128" fillId="0" borderId="39" xfId="0" applyNumberFormat="1" applyFont="1" applyBorder="1"/>
    <xf numFmtId="165" fontId="129" fillId="0" borderId="9" xfId="0" applyNumberFormat="1" applyFont="1" applyBorder="1"/>
    <xf numFmtId="210" fontId="69" fillId="0" borderId="0" xfId="0" applyNumberFormat="1" applyFont="1"/>
    <xf numFmtId="183" fontId="69" fillId="0" borderId="0" xfId="0" applyNumberFormat="1" applyFont="1"/>
    <xf numFmtId="37" fontId="40" fillId="0" borderId="0" xfId="0" applyNumberFormat="1" applyFont="1" applyBorder="1"/>
    <xf numFmtId="0" fontId="1" fillId="0" borderId="0" xfId="0" applyFont="1" applyFill="1" applyBorder="1" applyAlignment="1">
      <alignment horizontal="right"/>
    </xf>
    <xf numFmtId="167" fontId="3" fillId="0" borderId="0" xfId="0" applyNumberFormat="1" applyFont="1" applyFill="1" applyAlignment="1">
      <alignment horizontal="right"/>
    </xf>
    <xf numFmtId="167" fontId="3" fillId="0" borderId="0" xfId="0" applyNumberFormat="1" applyFont="1" applyFill="1" applyBorder="1" applyAlignment="1">
      <alignment horizontal="right"/>
    </xf>
    <xf numFmtId="167" fontId="1" fillId="0" borderId="0" xfId="0" applyNumberFormat="1" applyFont="1" applyFill="1" applyAlignment="1">
      <alignment horizontal="right"/>
    </xf>
    <xf numFmtId="167" fontId="1" fillId="0" borderId="0" xfId="0" applyNumberFormat="1" applyFont="1" applyFill="1" applyBorder="1" applyAlignment="1">
      <alignment horizontal="right"/>
    </xf>
    <xf numFmtId="183" fontId="69" fillId="0" borderId="0" xfId="0" applyNumberFormat="1" applyFont="1" applyFill="1"/>
    <xf numFmtId="167" fontId="40" fillId="0" borderId="0" xfId="0" applyNumberFormat="1" applyFont="1" applyFill="1" applyBorder="1" applyAlignment="1">
      <alignment horizontal="right"/>
    </xf>
    <xf numFmtId="210" fontId="69" fillId="0" borderId="0" xfId="0" applyNumberFormat="1" applyFont="1" applyFill="1"/>
    <xf numFmtId="167" fontId="11" fillId="0" borderId="0" xfId="0" applyNumberFormat="1" applyFont="1" applyFill="1" applyAlignment="1">
      <alignment horizontal="right"/>
    </xf>
    <xf numFmtId="0" fontId="57" fillId="9" borderId="0" xfId="0" applyFont="1" applyFill="1" applyBorder="1" applyAlignment="1">
      <alignment horizontal="right"/>
    </xf>
    <xf numFmtId="0" fontId="57" fillId="9" borderId="0" xfId="0" applyFont="1" applyFill="1" applyAlignment="1">
      <alignment horizontal="right"/>
    </xf>
    <xf numFmtId="0" fontId="3" fillId="0" borderId="0" xfId="0" applyFont="1" applyBorder="1"/>
    <xf numFmtId="167" fontId="1" fillId="0" borderId="0" xfId="0" applyNumberFormat="1" applyFont="1"/>
    <xf numFmtId="1" fontId="68" fillId="0" borderId="0" xfId="0" applyNumberFormat="1" applyFont="1" applyFill="1"/>
    <xf numFmtId="174" fontId="47" fillId="0" borderId="0" xfId="0" applyNumberFormat="1" applyFont="1" applyFill="1"/>
    <xf numFmtId="167" fontId="130" fillId="5" borderId="0" xfId="0" applyNumberFormat="1" applyFont="1" applyFill="1"/>
    <xf numFmtId="0" fontId="47" fillId="0" borderId="0" xfId="0" applyNumberFormat="1" applyFont="1" applyFill="1"/>
    <xf numFmtId="37" fontId="0" fillId="0" borderId="0" xfId="0" applyNumberFormat="1"/>
    <xf numFmtId="6" fontId="0" fillId="0" borderId="6" xfId="0" applyNumberFormat="1" applyFill="1" applyBorder="1"/>
    <xf numFmtId="173" fontId="0" fillId="0" borderId="0" xfId="0" applyNumberFormat="1"/>
    <xf numFmtId="167" fontId="69" fillId="0" borderId="0" xfId="0" applyNumberFormat="1" applyFont="1" applyBorder="1"/>
    <xf numFmtId="37" fontId="129" fillId="0" borderId="0" xfId="0" applyNumberFormat="1" applyFont="1" applyBorder="1"/>
    <xf numFmtId="0" fontId="69" fillId="0" borderId="0" xfId="0" applyFont="1" applyBorder="1"/>
    <xf numFmtId="183" fontId="69" fillId="0" borderId="0" xfId="0" applyNumberFormat="1" applyFont="1" applyBorder="1"/>
    <xf numFmtId="0" fontId="57" fillId="9" borderId="0" xfId="0" applyFont="1" applyFill="1" applyBorder="1" applyAlignment="1">
      <alignment horizontal="centerContinuous"/>
    </xf>
    <xf numFmtId="0" fontId="18" fillId="0" borderId="0" xfId="0" applyFont="1" applyFill="1" applyAlignment="1">
      <alignment horizontal="left" indent="1"/>
    </xf>
    <xf numFmtId="0" fontId="82" fillId="0" borderId="0" xfId="0" applyFont="1" applyFill="1" applyAlignment="1">
      <alignment horizontal="left" indent="1"/>
    </xf>
    <xf numFmtId="179" fontId="131" fillId="0" borderId="0" xfId="0" applyNumberFormat="1" applyFont="1"/>
    <xf numFmtId="179" fontId="131" fillId="0" borderId="0" xfId="0" applyNumberFormat="1" applyFont="1" applyAlignment="1">
      <alignment horizontal="right"/>
    </xf>
    <xf numFmtId="0" fontId="132" fillId="0" borderId="0" xfId="0" applyFont="1" applyFill="1" applyAlignment="1">
      <alignment horizontal="left" indent="2"/>
    </xf>
    <xf numFmtId="1" fontId="61" fillId="0" borderId="0" xfId="0" applyNumberFormat="1" applyFont="1" applyFill="1"/>
    <xf numFmtId="179" fontId="131" fillId="0" borderId="0" xfId="0" applyNumberFormat="1" applyFont="1" applyFill="1"/>
    <xf numFmtId="179" fontId="131" fillId="0" borderId="0" xfId="0" applyNumberFormat="1" applyFont="1" applyFill="1" applyAlignment="1">
      <alignment horizontal="right"/>
    </xf>
    <xf numFmtId="164" fontId="11" fillId="13" borderId="0" xfId="0" applyNumberFormat="1" applyFont="1" applyFill="1" applyBorder="1"/>
    <xf numFmtId="170" fontId="84" fillId="13" borderId="0" xfId="0" applyNumberFormat="1" applyFont="1" applyFill="1" applyBorder="1" applyAlignment="1">
      <alignment horizontal="right"/>
    </xf>
    <xf numFmtId="6" fontId="3" fillId="13" borderId="0" xfId="0" applyNumberFormat="1" applyFont="1" applyFill="1" applyBorder="1"/>
    <xf numFmtId="0" fontId="11" fillId="8" borderId="33" xfId="0" applyFont="1" applyFill="1" applyBorder="1" applyAlignment="1">
      <alignment horizontal="center"/>
    </xf>
    <xf numFmtId="0" fontId="11" fillId="8" borderId="28" xfId="0" applyFont="1" applyFill="1" applyBorder="1" applyAlignment="1">
      <alignment horizontal="center"/>
    </xf>
    <xf numFmtId="0" fontId="1" fillId="8" borderId="0" xfId="0" applyFont="1" applyFill="1"/>
    <xf numFmtId="0" fontId="1" fillId="8" borderId="0" xfId="0" applyFont="1" applyFill="1" applyBorder="1"/>
    <xf numFmtId="0" fontId="11" fillId="8" borderId="0" xfId="0" applyFont="1" applyFill="1" applyBorder="1"/>
    <xf numFmtId="9" fontId="11" fillId="8" borderId="2" xfId="0" applyNumberFormat="1" applyFont="1" applyFill="1" applyBorder="1" applyAlignment="1">
      <alignment horizontal="right"/>
    </xf>
    <xf numFmtId="164" fontId="1" fillId="8" borderId="0" xfId="0" applyNumberFormat="1" applyFont="1" applyFill="1" applyBorder="1"/>
    <xf numFmtId="164" fontId="0" fillId="8" borderId="0" xfId="0" applyNumberFormat="1" applyFill="1"/>
    <xf numFmtId="9" fontId="3" fillId="8" borderId="9" xfId="0" applyNumberFormat="1" applyFont="1" applyFill="1" applyBorder="1" applyAlignment="1">
      <alignment horizontal="right"/>
    </xf>
    <xf numFmtId="167" fontId="11" fillId="8" borderId="9" xfId="0" applyNumberFormat="1" applyFont="1" applyFill="1" applyBorder="1" applyAlignment="1">
      <alignment horizontal="right"/>
    </xf>
    <xf numFmtId="164" fontId="1" fillId="8" borderId="0" xfId="0" applyNumberFormat="1" applyFont="1" applyFill="1"/>
    <xf numFmtId="164" fontId="11" fillId="8" borderId="0" xfId="0" applyNumberFormat="1" applyFont="1" applyFill="1"/>
    <xf numFmtId="167" fontId="26" fillId="8" borderId="0" xfId="0" applyNumberFormat="1" applyFont="1" applyFill="1"/>
    <xf numFmtId="176" fontId="1" fillId="8" borderId="0" xfId="0" applyNumberFormat="1" applyFont="1" applyFill="1"/>
    <xf numFmtId="176" fontId="3" fillId="8" borderId="0" xfId="0" applyNumberFormat="1" applyFont="1" applyFill="1"/>
    <xf numFmtId="164" fontId="43" fillId="8" borderId="0" xfId="0" applyNumberFormat="1" applyFont="1" applyFill="1" applyAlignment="1">
      <alignment horizontal="right"/>
    </xf>
    <xf numFmtId="164" fontId="1" fillId="8" borderId="0" xfId="51" applyNumberFormat="1" applyFont="1" applyFill="1"/>
    <xf numFmtId="167" fontId="26" fillId="8" borderId="0" xfId="51" applyNumberFormat="1" applyFont="1" applyFill="1"/>
    <xf numFmtId="167" fontId="11" fillId="8" borderId="0" xfId="51" applyNumberFormat="1" applyFont="1" applyFill="1"/>
    <xf numFmtId="167" fontId="1" fillId="8" borderId="0" xfId="51" applyNumberFormat="1" applyFont="1" applyFill="1"/>
    <xf numFmtId="164" fontId="41" fillId="8" borderId="0" xfId="0" applyNumberFormat="1" applyFont="1" applyFill="1"/>
    <xf numFmtId="9" fontId="26" fillId="8" borderId="0" xfId="0" applyNumberFormat="1" applyFont="1" applyFill="1" applyBorder="1" applyAlignment="1">
      <alignment horizontal="right"/>
    </xf>
    <xf numFmtId="9" fontId="0" fillId="8" borderId="0" xfId="0" applyNumberFormat="1" applyFill="1"/>
    <xf numFmtId="0" fontId="26" fillId="8" borderId="0" xfId="0" applyFont="1" applyFill="1" applyBorder="1" applyAlignment="1">
      <alignment horizontal="right"/>
    </xf>
    <xf numFmtId="167" fontId="17" fillId="8" borderId="0" xfId="51" applyNumberFormat="1" applyFont="1" applyFill="1" applyBorder="1"/>
    <xf numFmtId="9" fontId="69" fillId="8" borderId="0" xfId="0" applyNumberFormat="1" applyFont="1" applyFill="1" applyBorder="1" applyAlignment="1">
      <alignment horizontal="right"/>
    </xf>
    <xf numFmtId="164" fontId="21" fillId="8" borderId="0" xfId="0" applyNumberFormat="1" applyFont="1" applyFill="1"/>
    <xf numFmtId="2" fontId="0" fillId="8" borderId="0" xfId="0" applyNumberFormat="1" applyFill="1"/>
    <xf numFmtId="164" fontId="1" fillId="8" borderId="0" xfId="51" applyNumberFormat="1" applyFill="1"/>
    <xf numFmtId="164" fontId="21" fillId="8" borderId="0" xfId="0" applyNumberFormat="1" applyFont="1" applyFill="1" applyBorder="1"/>
    <xf numFmtId="164" fontId="3" fillId="8" borderId="0" xfId="51" applyNumberFormat="1" applyFont="1" applyFill="1"/>
    <xf numFmtId="164" fontId="3" fillId="8" borderId="0" xfId="51" applyNumberFormat="1" applyFont="1" applyFill="1" applyAlignment="1">
      <alignment horizontal="right"/>
    </xf>
    <xf numFmtId="164" fontId="11" fillId="8" borderId="0" xfId="51" applyNumberFormat="1" applyFont="1" applyFill="1" applyAlignment="1">
      <alignment horizontal="right"/>
    </xf>
    <xf numFmtId="164" fontId="3" fillId="8" borderId="0" xfId="0" applyNumberFormat="1" applyFont="1" applyFill="1"/>
    <xf numFmtId="164" fontId="3" fillId="8" borderId="0" xfId="0" applyNumberFormat="1" applyFont="1" applyFill="1" applyAlignment="1">
      <alignment horizontal="right"/>
    </xf>
    <xf numFmtId="164" fontId="11" fillId="8" borderId="0" xfId="51" applyNumberFormat="1" applyFont="1" applyFill="1"/>
    <xf numFmtId="0" fontId="11" fillId="8" borderId="0" xfId="0" applyFont="1" applyFill="1" applyBorder="1" applyAlignment="1">
      <alignment horizontal="right"/>
    </xf>
    <xf numFmtId="164" fontId="41" fillId="8" borderId="0" xfId="0" applyNumberFormat="1" applyFont="1" applyFill="1" applyBorder="1"/>
    <xf numFmtId="0" fontId="0" fillId="8" borderId="0" xfId="0" applyFill="1" applyAlignment="1">
      <alignment horizontal="right"/>
    </xf>
    <xf numFmtId="168" fontId="1" fillId="8" borderId="0" xfId="0" applyNumberFormat="1" applyFont="1" applyFill="1"/>
    <xf numFmtId="2" fontId="1" fillId="8" borderId="0" xfId="0" applyNumberFormat="1" applyFont="1" applyFill="1"/>
    <xf numFmtId="0" fontId="21" fillId="8" borderId="0" xfId="0" applyFont="1" applyFill="1"/>
    <xf numFmtId="167" fontId="21" fillId="8" borderId="0" xfId="0" applyNumberFormat="1" applyFont="1" applyFill="1" applyBorder="1"/>
    <xf numFmtId="164" fontId="0" fillId="8" borderId="0" xfId="0" applyNumberFormat="1" applyFill="1" applyAlignment="1">
      <alignment horizontal="right"/>
    </xf>
    <xf numFmtId="9" fontId="26" fillId="8" borderId="0" xfId="0" applyNumberFormat="1" applyFont="1" applyFill="1"/>
    <xf numFmtId="164" fontId="70" fillId="8" borderId="0" xfId="0" applyNumberFormat="1" applyFont="1" applyFill="1"/>
    <xf numFmtId="164" fontId="43" fillId="8" borderId="0" xfId="0" applyNumberFormat="1" applyFont="1" applyFill="1"/>
    <xf numFmtId="4" fontId="50" fillId="8" borderId="0" xfId="0" applyNumberFormat="1" applyFont="1" applyFill="1"/>
    <xf numFmtId="167" fontId="11" fillId="8" borderId="0" xfId="0" applyNumberFormat="1" applyFont="1" applyFill="1"/>
    <xf numFmtId="8" fontId="11" fillId="8" borderId="0" xfId="0" applyNumberFormat="1" applyFont="1" applyFill="1"/>
    <xf numFmtId="171" fontId="41" fillId="8" borderId="0" xfId="0" applyNumberFormat="1" applyFont="1" applyFill="1" applyBorder="1"/>
    <xf numFmtId="0" fontId="27" fillId="8" borderId="0" xfId="0" applyNumberFormat="1" applyFont="1" applyFill="1" applyAlignment="1">
      <alignment horizontal="right"/>
    </xf>
    <xf numFmtId="2" fontId="3" fillId="8" borderId="0" xfId="0" applyNumberFormat="1" applyFont="1" applyFill="1"/>
    <xf numFmtId="0" fontId="11" fillId="0" borderId="0" xfId="0" applyFont="1" applyFill="1" applyBorder="1" applyAlignment="1"/>
    <xf numFmtId="173" fontId="11" fillId="0" borderId="0" xfId="0" applyNumberFormat="1" applyFont="1" applyFill="1"/>
    <xf numFmtId="167" fontId="69" fillId="0" borderId="0" xfId="0" applyNumberFormat="1" applyFont="1" applyFill="1"/>
    <xf numFmtId="167" fontId="49" fillId="0" borderId="0" xfId="51" applyNumberFormat="1" applyFont="1" applyFill="1"/>
    <xf numFmtId="2" fontId="87" fillId="0" borderId="0" xfId="0" applyNumberFormat="1" applyFont="1" applyFill="1"/>
    <xf numFmtId="1" fontId="87" fillId="0" borderId="0" xfId="0" applyNumberFormat="1" applyFont="1" applyFill="1"/>
    <xf numFmtId="164" fontId="39" fillId="0" borderId="0" xfId="0" applyNumberFormat="1" applyFont="1" applyFill="1" applyBorder="1"/>
    <xf numFmtId="164" fontId="33" fillId="0" borderId="0" xfId="0" applyNumberFormat="1" applyFont="1" applyFill="1"/>
    <xf numFmtId="0" fontId="33" fillId="0" borderId="0" xfId="0" applyFont="1" applyFill="1" applyBorder="1"/>
    <xf numFmtId="0" fontId="1" fillId="0" borderId="0" xfId="0" quotePrefix="1" applyFont="1" applyFill="1" applyAlignment="1">
      <alignment horizontal="left"/>
    </xf>
    <xf numFmtId="0" fontId="48" fillId="0" borderId="0" xfId="0" applyFont="1" applyFill="1"/>
    <xf numFmtId="8" fontId="1" fillId="3" borderId="0" xfId="0" applyNumberFormat="1" applyFont="1" applyFill="1"/>
    <xf numFmtId="164" fontId="0" fillId="0" borderId="9" xfId="0" applyNumberFormat="1" applyFill="1" applyBorder="1"/>
    <xf numFmtId="171" fontId="0" fillId="0" borderId="0" xfId="0" applyNumberFormat="1" applyFill="1"/>
    <xf numFmtId="0" fontId="62" fillId="9" borderId="0" xfId="0" applyFont="1" applyFill="1" applyBorder="1" applyAlignment="1">
      <alignment horizontal="right"/>
    </xf>
    <xf numFmtId="37" fontId="3" fillId="0" borderId="0" xfId="0" applyNumberFormat="1" applyFont="1" applyBorder="1"/>
    <xf numFmtId="37" fontId="78" fillId="0" borderId="0" xfId="0" applyNumberFormat="1" applyFont="1" applyBorder="1"/>
    <xf numFmtId="165" fontId="11" fillId="0" borderId="0" xfId="0" applyNumberFormat="1" applyFont="1" applyBorder="1"/>
    <xf numFmtId="167" fontId="11" fillId="0" borderId="0" xfId="0" applyNumberFormat="1" applyFont="1" applyBorder="1" applyAlignment="1">
      <alignment horizontal="right"/>
    </xf>
    <xf numFmtId="210" fontId="69" fillId="0" borderId="0" xfId="0" applyNumberFormat="1" applyFont="1" applyBorder="1"/>
    <xf numFmtId="183" fontId="26" fillId="0" borderId="0" xfId="0" applyNumberFormat="1" applyFont="1" applyBorder="1"/>
    <xf numFmtId="167" fontId="26" fillId="0" borderId="0" xfId="0" applyNumberFormat="1" applyFont="1" applyBorder="1" applyAlignment="1">
      <alignment horizontal="right"/>
    </xf>
    <xf numFmtId="7" fontId="129" fillId="0" borderId="0" xfId="0" applyNumberFormat="1" applyFont="1" applyBorder="1"/>
    <xf numFmtId="7" fontId="11" fillId="0" borderId="0" xfId="0" applyNumberFormat="1" applyFont="1" applyBorder="1"/>
    <xf numFmtId="7" fontId="78" fillId="0" borderId="0" xfId="0" applyNumberFormat="1" applyFont="1" applyBorder="1"/>
    <xf numFmtId="7" fontId="128" fillId="0" borderId="0" xfId="0" applyNumberFormat="1" applyFont="1" applyBorder="1"/>
    <xf numFmtId="7" fontId="1" fillId="0" borderId="0" xfId="0" applyNumberFormat="1" applyFont="1" applyBorder="1"/>
    <xf numFmtId="7" fontId="53" fillId="0" borderId="0" xfId="0" applyNumberFormat="1" applyFont="1" applyBorder="1"/>
    <xf numFmtId="37" fontId="53" fillId="0" borderId="0" xfId="0" applyNumberFormat="1" applyFont="1" applyBorder="1"/>
    <xf numFmtId="165" fontId="1" fillId="0" borderId="0" xfId="0" applyNumberFormat="1" applyFont="1" applyBorder="1"/>
    <xf numFmtId="0" fontId="1" fillId="0" borderId="0" xfId="0" quotePrefix="1" applyFont="1" applyBorder="1"/>
    <xf numFmtId="0" fontId="33" fillId="0" borderId="0" xfId="0" applyFont="1"/>
    <xf numFmtId="0" fontId="2" fillId="0" borderId="0" xfId="0" applyFont="1"/>
    <xf numFmtId="1" fontId="11" fillId="13" borderId="0" xfId="0" applyNumberFormat="1" applyFont="1" applyFill="1"/>
    <xf numFmtId="0" fontId="0" fillId="8" borderId="0" xfId="0" applyFill="1" applyBorder="1"/>
    <xf numFmtId="0" fontId="2" fillId="0" borderId="6" xfId="0" applyFont="1" applyBorder="1"/>
    <xf numFmtId="212" fontId="26" fillId="0" borderId="0" xfId="0" applyNumberFormat="1" applyFont="1"/>
    <xf numFmtId="211" fontId="48" fillId="0" borderId="0" xfId="0" applyNumberFormat="1" applyFont="1"/>
    <xf numFmtId="211" fontId="1" fillId="0" borderId="0" xfId="0" applyNumberFormat="1" applyFont="1"/>
    <xf numFmtId="0" fontId="30" fillId="8" borderId="0" xfId="0" applyFont="1" applyFill="1"/>
    <xf numFmtId="9" fontId="47" fillId="8" borderId="0" xfId="0" applyNumberFormat="1" applyFont="1" applyFill="1"/>
    <xf numFmtId="9" fontId="47" fillId="8" borderId="0" xfId="0" applyNumberFormat="1" applyFont="1" applyFill="1" applyBorder="1"/>
    <xf numFmtId="0" fontId="22" fillId="8" borderId="0" xfId="0" applyFont="1" applyFill="1"/>
    <xf numFmtId="167" fontId="0" fillId="0" borderId="0" xfId="0" applyNumberFormat="1"/>
    <xf numFmtId="5" fontId="1" fillId="0" borderId="0" xfId="0" applyNumberFormat="1" applyFont="1" applyBorder="1" applyAlignment="1">
      <alignment horizontal="right"/>
    </xf>
    <xf numFmtId="5" fontId="50" fillId="0" borderId="0" xfId="0" applyNumberFormat="1" applyFont="1" applyFill="1" applyAlignment="1">
      <alignment horizontal="right"/>
    </xf>
    <xf numFmtId="212" fontId="26" fillId="0" borderId="0" xfId="0" applyNumberFormat="1" applyFont="1" applyFill="1"/>
    <xf numFmtId="211" fontId="48" fillId="0" borderId="0" xfId="0" applyNumberFormat="1" applyFont="1" applyFill="1"/>
    <xf numFmtId="211" fontId="1" fillId="0" borderId="0" xfId="0" applyNumberFormat="1" applyFont="1" applyFill="1"/>
    <xf numFmtId="0" fontId="57" fillId="9" borderId="45" xfId="0" applyFont="1" applyFill="1" applyBorder="1" applyAlignment="1">
      <alignment horizontal="right"/>
    </xf>
    <xf numFmtId="0" fontId="134" fillId="9" borderId="45" xfId="0" applyFont="1" applyFill="1" applyBorder="1" applyAlignment="1">
      <alignment horizontal="right"/>
    </xf>
    <xf numFmtId="0" fontId="57" fillId="9" borderId="0" xfId="0" applyFont="1" applyFill="1" applyBorder="1" applyAlignment="1">
      <alignment horizontal="center"/>
    </xf>
    <xf numFmtId="0" fontId="134" fillId="9" borderId="0" xfId="0" applyFont="1" applyFill="1" applyBorder="1" applyAlignment="1">
      <alignment horizontal="center"/>
    </xf>
    <xf numFmtId="0" fontId="57" fillId="9" borderId="0" xfId="0" applyFont="1" applyFill="1" applyAlignment="1">
      <alignment horizontal="center"/>
    </xf>
    <xf numFmtId="0" fontId="2" fillId="0" borderId="0" xfId="0" applyFont="1" applyBorder="1"/>
    <xf numFmtId="37" fontId="47" fillId="0" borderId="0" xfId="0" applyNumberFormat="1" applyFont="1" applyFill="1" applyBorder="1"/>
    <xf numFmtId="37" fontId="1" fillId="0" borderId="0" xfId="0" applyNumberFormat="1" applyFont="1" applyFill="1" applyBorder="1"/>
    <xf numFmtId="167" fontId="69" fillId="0" borderId="0" xfId="0" applyNumberFormat="1" applyFont="1" applyFill="1" applyBorder="1"/>
    <xf numFmtId="7" fontId="47" fillId="0" borderId="0" xfId="0" applyNumberFormat="1" applyFont="1" applyFill="1" applyBorder="1"/>
    <xf numFmtId="166" fontId="53" fillId="0" borderId="0" xfId="0" applyNumberFormat="1" applyFont="1"/>
    <xf numFmtId="166" fontId="128" fillId="0" borderId="0" xfId="0" applyNumberFormat="1" applyFont="1"/>
    <xf numFmtId="166" fontId="1" fillId="0" borderId="0" xfId="0" applyNumberFormat="1" applyFont="1"/>
    <xf numFmtId="1" fontId="67" fillId="0" borderId="0" xfId="0" applyNumberFormat="1" applyFont="1" applyFill="1"/>
    <xf numFmtId="3" fontId="0" fillId="0" borderId="0" xfId="0" applyNumberFormat="1"/>
    <xf numFmtId="173" fontId="1" fillId="0" borderId="0" xfId="0" applyNumberFormat="1" applyFont="1"/>
    <xf numFmtId="3" fontId="1" fillId="0" borderId="0" xfId="0" applyNumberFormat="1" applyFont="1"/>
    <xf numFmtId="9" fontId="1" fillId="0" borderId="0" xfId="0" applyNumberFormat="1" applyFont="1"/>
    <xf numFmtId="0" fontId="57" fillId="9" borderId="0" xfId="0" applyFont="1" applyFill="1" applyAlignment="1">
      <alignment horizontal="centerContinuous"/>
    </xf>
    <xf numFmtId="167" fontId="47" fillId="0" borderId="0" xfId="0" applyNumberFormat="1" applyFont="1"/>
    <xf numFmtId="173" fontId="47" fillId="0" borderId="0" xfId="0" applyNumberFormat="1" applyFont="1"/>
    <xf numFmtId="0" fontId="0" fillId="0" borderId="6" xfId="0" applyBorder="1"/>
    <xf numFmtId="37" fontId="0" fillId="0" borderId="6" xfId="0" applyNumberFormat="1" applyBorder="1"/>
    <xf numFmtId="0" fontId="48" fillId="0" borderId="0" xfId="0" applyFont="1"/>
    <xf numFmtId="165" fontId="0" fillId="0" borderId="0" xfId="0" applyNumberFormat="1"/>
    <xf numFmtId="5" fontId="0" fillId="0" borderId="0" xfId="0" applyNumberFormat="1"/>
    <xf numFmtId="37" fontId="22" fillId="0" borderId="6" xfId="0" applyNumberFormat="1" applyFont="1" applyBorder="1" applyAlignment="1">
      <alignment horizontal="center"/>
    </xf>
    <xf numFmtId="0" fontId="0" fillId="8" borderId="0" xfId="0" applyFill="1" applyAlignment="1">
      <alignment horizontal="centerContinuous"/>
    </xf>
    <xf numFmtId="37" fontId="1" fillId="8" borderId="6" xfId="0" applyNumberFormat="1" applyFont="1" applyFill="1" applyBorder="1" applyAlignment="1">
      <alignment horizontal="left"/>
    </xf>
    <xf numFmtId="37" fontId="0" fillId="8" borderId="6" xfId="0" applyNumberFormat="1" applyFill="1" applyBorder="1"/>
    <xf numFmtId="0" fontId="0" fillId="8" borderId="0" xfId="0" applyFill="1" applyAlignment="1">
      <alignment horizontal="left"/>
    </xf>
    <xf numFmtId="5" fontId="0" fillId="8" borderId="0" xfId="0" applyNumberFormat="1" applyFill="1"/>
    <xf numFmtId="5" fontId="0" fillId="0" borderId="0" xfId="0" applyNumberFormat="1" applyBorder="1"/>
    <xf numFmtId="37" fontId="0" fillId="0" borderId="0" xfId="0" applyNumberFormat="1" applyBorder="1"/>
    <xf numFmtId="167" fontId="3" fillId="0" borderId="0" xfId="0" applyNumberFormat="1" applyFont="1"/>
    <xf numFmtId="166" fontId="0" fillId="0" borderId="0" xfId="0" applyNumberFormat="1"/>
    <xf numFmtId="166" fontId="0" fillId="0" borderId="0" xfId="0" applyNumberFormat="1" applyFill="1"/>
    <xf numFmtId="0" fontId="64" fillId="0" borderId="0" xfId="33" applyFont="1" applyFill="1" applyBorder="1"/>
    <xf numFmtId="0" fontId="65" fillId="0" borderId="0" xfId="33" applyFont="1" applyFill="1" applyBorder="1"/>
    <xf numFmtId="0" fontId="8" fillId="0" borderId="0" xfId="0" applyFont="1"/>
    <xf numFmtId="205" fontId="115" fillId="0" borderId="0" xfId="48" applyNumberFormat="1" applyFont="1" applyFill="1" applyAlignment="1">
      <alignment horizontal="right"/>
    </xf>
    <xf numFmtId="0" fontId="64" fillId="0" borderId="0" xfId="48" applyNumberFormat="1" applyFont="1" applyFill="1" applyBorder="1"/>
    <xf numFmtId="14" fontId="115" fillId="0" borderId="0" xfId="48" applyNumberFormat="1" applyFont="1" applyFill="1" applyBorder="1" applyAlignment="1">
      <alignment horizontal="right"/>
    </xf>
    <xf numFmtId="170" fontId="8" fillId="0" borderId="0" xfId="48" applyNumberFormat="1" applyFont="1" applyFill="1" applyBorder="1"/>
    <xf numFmtId="195" fontId="8" fillId="0" borderId="0" xfId="15" applyNumberFormat="1" applyFont="1" applyFill="1"/>
    <xf numFmtId="0" fontId="8" fillId="0" borderId="0" xfId="48" applyFont="1" applyFill="1" applyBorder="1" applyAlignment="1"/>
    <xf numFmtId="195" fontId="115" fillId="4" borderId="0" xfId="48" applyNumberFormat="1" applyFont="1" applyFill="1"/>
    <xf numFmtId="8" fontId="115" fillId="0" borderId="0" xfId="48" applyNumberFormat="1" applyFont="1" applyFill="1" applyBorder="1"/>
    <xf numFmtId="198" fontId="115" fillId="4" borderId="0" xfId="15" applyNumberFormat="1" applyFont="1" applyFill="1"/>
    <xf numFmtId="8" fontId="8" fillId="0" borderId="0" xfId="48" applyNumberFormat="1" applyFont="1" applyFill="1" applyBorder="1"/>
    <xf numFmtId="201" fontId="8" fillId="0" borderId="0" xfId="15" applyNumberFormat="1" applyFont="1" applyFill="1"/>
    <xf numFmtId="201" fontId="115" fillId="0" borderId="0" xfId="15" applyNumberFormat="1" applyFont="1" applyFill="1"/>
    <xf numFmtId="2" fontId="115" fillId="0" borderId="0" xfId="48" applyNumberFormat="1" applyFont="1" applyFill="1" applyBorder="1"/>
    <xf numFmtId="167" fontId="115" fillId="0" borderId="0" xfId="48" applyNumberFormat="1" applyFont="1" applyFill="1" applyBorder="1"/>
    <xf numFmtId="208" fontId="115" fillId="0" borderId="0" xfId="48" applyNumberFormat="1" applyFont="1" applyFill="1" applyBorder="1"/>
    <xf numFmtId="37" fontId="1" fillId="0" borderId="0" xfId="0" applyNumberFormat="1" applyFont="1" applyAlignment="1">
      <alignment horizontal="centerContinuous"/>
    </xf>
    <xf numFmtId="37" fontId="1" fillId="0" borderId="6" xfId="0" applyNumberFormat="1" applyFont="1" applyBorder="1"/>
    <xf numFmtId="5" fontId="1" fillId="0" borderId="6" xfId="0" applyNumberFormat="1" applyFont="1" applyBorder="1"/>
    <xf numFmtId="5" fontId="1" fillId="0" borderId="0" xfId="0" applyNumberFormat="1" applyFont="1" applyBorder="1"/>
    <xf numFmtId="5" fontId="1" fillId="0" borderId="0" xfId="0" applyNumberFormat="1" applyFont="1"/>
    <xf numFmtId="0" fontId="1" fillId="0" borderId="13" xfId="0" applyFont="1" applyBorder="1"/>
    <xf numFmtId="5" fontId="1" fillId="0" borderId="14" xfId="0" applyNumberFormat="1" applyFont="1" applyBorder="1"/>
    <xf numFmtId="16" fontId="0" fillId="0" borderId="0" xfId="0" applyNumberFormat="1"/>
    <xf numFmtId="0" fontId="136" fillId="0" borderId="0" xfId="44" applyFont="1" applyFill="1" applyBorder="1" applyProtection="1"/>
    <xf numFmtId="0" fontId="55" fillId="0" borderId="0" xfId="44" applyFont="1" applyFill="1" applyBorder="1" applyProtection="1"/>
    <xf numFmtId="1" fontId="56" fillId="0" borderId="0" xfId="44" applyNumberFormat="1" applyFont="1" applyFill="1" applyBorder="1" applyAlignment="1" applyProtection="1">
      <alignment horizontal="center"/>
    </xf>
    <xf numFmtId="0" fontId="138" fillId="6" borderId="0" xfId="44" applyFont="1" applyFill="1"/>
    <xf numFmtId="0" fontId="139" fillId="6" borderId="0" xfId="37" applyFont="1" applyFill="1"/>
    <xf numFmtId="0" fontId="136" fillId="6" borderId="0" xfId="44" applyFont="1" applyFill="1"/>
    <xf numFmtId="0" fontId="136" fillId="6" borderId="0" xfId="44" applyFont="1" applyFill="1" applyBorder="1"/>
    <xf numFmtId="9" fontId="55" fillId="6" borderId="0" xfId="51" applyFont="1" applyFill="1" applyBorder="1"/>
    <xf numFmtId="0" fontId="55" fillId="6" borderId="0" xfId="44" applyFont="1" applyFill="1" applyBorder="1"/>
    <xf numFmtId="0" fontId="123" fillId="0" borderId="0" xfId="44" applyFont="1" applyFill="1" applyAlignment="1">
      <alignment horizontal="left" vertical="center"/>
    </xf>
    <xf numFmtId="0" fontId="138" fillId="0" borderId="0" xfId="44" applyFont="1" applyFill="1" applyAlignment="1">
      <alignment vertical="center"/>
    </xf>
    <xf numFmtId="0" fontId="57" fillId="0" borderId="0" xfId="44" applyFont="1" applyFill="1" applyAlignment="1">
      <alignment vertical="center"/>
    </xf>
    <xf numFmtId="0" fontId="139" fillId="0" borderId="0" xfId="37" applyFont="1" applyFill="1"/>
    <xf numFmtId="0" fontId="138" fillId="0" borderId="0" xfId="44" applyFont="1" applyFill="1"/>
    <xf numFmtId="0" fontId="56" fillId="0" borderId="0" xfId="44" applyFont="1" applyFill="1" applyAlignment="1">
      <alignment vertical="center"/>
    </xf>
    <xf numFmtId="0" fontId="136" fillId="0" borderId="0" xfId="44" applyFont="1" applyFill="1" applyBorder="1"/>
    <xf numFmtId="9" fontId="55" fillId="0" borderId="0" xfId="51" applyFont="1" applyFill="1" applyBorder="1"/>
    <xf numFmtId="0" fontId="143" fillId="0" borderId="0" xfId="37" applyFont="1" applyFill="1"/>
    <xf numFmtId="0" fontId="55" fillId="0" borderId="0" xfId="44" applyFont="1" applyFill="1" applyBorder="1"/>
    <xf numFmtId="0" fontId="63" fillId="0" borderId="0" xfId="44" applyFont="1" applyFill="1" applyBorder="1"/>
    <xf numFmtId="0" fontId="62" fillId="0" borderId="0" xfId="37" applyFont="1" applyFill="1"/>
    <xf numFmtId="0" fontId="55" fillId="0" borderId="0" xfId="44" applyFont="1" applyFill="1" applyBorder="1" applyAlignment="1">
      <alignment horizontal="right"/>
    </xf>
    <xf numFmtId="167" fontId="55" fillId="0" borderId="0" xfId="44" applyNumberFormat="1" applyFont="1" applyFill="1" applyBorder="1"/>
    <xf numFmtId="167" fontId="55" fillId="0" borderId="0" xfId="51" applyNumberFormat="1" applyFont="1" applyFill="1" applyBorder="1"/>
    <xf numFmtId="0" fontId="55" fillId="0" borderId="0" xfId="44" applyFont="1" applyFill="1"/>
    <xf numFmtId="0" fontId="136" fillId="0" borderId="0" xfId="44" applyFont="1" applyFill="1"/>
    <xf numFmtId="0" fontId="9" fillId="0" borderId="0" xfId="46" applyFont="1" applyFill="1" applyBorder="1" applyAlignment="1">
      <alignment horizontal="center"/>
    </xf>
    <xf numFmtId="0" fontId="11" fillId="0" borderId="46" xfId="46" applyFont="1" applyFill="1" applyBorder="1" applyAlignment="1"/>
    <xf numFmtId="0" fontId="11" fillId="0" borderId="46" xfId="46" applyFont="1" applyFill="1" applyBorder="1" applyAlignment="1">
      <alignment horizontal="right"/>
    </xf>
    <xf numFmtId="0" fontId="56" fillId="0" borderId="0" xfId="46" applyFont="1" applyFill="1" applyBorder="1" applyAlignment="1">
      <alignment horizontal="center"/>
    </xf>
    <xf numFmtId="0" fontId="145" fillId="0" borderId="0" xfId="44" applyFont="1" applyFill="1"/>
    <xf numFmtId="0" fontId="11" fillId="0" borderId="0" xfId="44" applyFont="1" applyFill="1" applyAlignment="1"/>
    <xf numFmtId="0" fontId="3" fillId="0" borderId="0" xfId="44" applyFont="1" applyFill="1"/>
    <xf numFmtId="0" fontId="3" fillId="0" borderId="0" xfId="44" applyFont="1" applyFill="1" applyAlignment="1"/>
    <xf numFmtId="167" fontId="3" fillId="14" borderId="2" xfId="51" applyNumberFormat="1" applyFont="1" applyFill="1" applyBorder="1"/>
    <xf numFmtId="0" fontId="3" fillId="0" borderId="0" xfId="44" applyFont="1" applyFill="1" applyAlignment="1">
      <alignment horizontal="left" indent="1"/>
    </xf>
    <xf numFmtId="167" fontId="3" fillId="0" borderId="0" xfId="51" applyNumberFormat="1" applyFont="1" applyFill="1"/>
    <xf numFmtId="1" fontId="3" fillId="0" borderId="0" xfId="44" applyNumberFormat="1" applyFont="1" applyFill="1" applyAlignment="1"/>
    <xf numFmtId="37" fontId="3" fillId="15" borderId="0" xfId="19" applyNumberFormat="1" applyFont="1" applyFill="1" applyBorder="1" applyAlignment="1">
      <alignment horizontal="right"/>
    </xf>
    <xf numFmtId="1" fontId="3" fillId="0" borderId="0" xfId="44" applyNumberFormat="1" applyFont="1" applyFill="1" applyAlignment="1">
      <alignment horizontal="left" indent="1"/>
    </xf>
    <xf numFmtId="37" fontId="3" fillId="0" borderId="0" xfId="19" applyNumberFormat="1" applyFont="1" applyFill="1" applyAlignment="1">
      <alignment horizontal="right"/>
    </xf>
    <xf numFmtId="1" fontId="3" fillId="0" borderId="0" xfId="44" applyNumberFormat="1" applyFont="1" applyFill="1" applyAlignment="1">
      <alignment horizontal="left" indent="2"/>
    </xf>
    <xf numFmtId="37" fontId="3" fillId="8" borderId="0" xfId="19" applyNumberFormat="1" applyFont="1" applyFill="1" applyAlignment="1">
      <alignment horizontal="right"/>
    </xf>
    <xf numFmtId="9" fontId="3" fillId="8" borderId="0" xfId="51" applyFont="1" applyFill="1" applyAlignment="1">
      <alignment horizontal="right"/>
    </xf>
    <xf numFmtId="37" fontId="3" fillId="15" borderId="0" xfId="19" applyNumberFormat="1" applyFont="1" applyFill="1" applyAlignment="1">
      <alignment horizontal="right"/>
    </xf>
    <xf numFmtId="37" fontId="3" fillId="0" borderId="0" xfId="19" applyNumberFormat="1" applyFont="1" applyFill="1"/>
    <xf numFmtId="37" fontId="3" fillId="0" borderId="0" xfId="19" applyNumberFormat="1" applyFont="1" applyFill="1" applyBorder="1"/>
    <xf numFmtId="37" fontId="3" fillId="8" borderId="0" xfId="19" applyNumberFormat="1" applyFont="1" applyFill="1"/>
    <xf numFmtId="167" fontId="18" fillId="0" borderId="0" xfId="51" applyNumberFormat="1" applyFont="1" applyFill="1" applyBorder="1"/>
    <xf numFmtId="167" fontId="3" fillId="0" borderId="0" xfId="51" applyNumberFormat="1" applyFont="1" applyFill="1" applyBorder="1"/>
    <xf numFmtId="37" fontId="3" fillId="15" borderId="0" xfId="19" applyNumberFormat="1" applyFont="1" applyFill="1" applyBorder="1"/>
    <xf numFmtId="37" fontId="3" fillId="15" borderId="0" xfId="19" applyNumberFormat="1" applyFont="1" applyFill="1"/>
    <xf numFmtId="0" fontId="3" fillId="0" borderId="0" xfId="44" applyFont="1" applyFill="1" applyAlignment="1">
      <alignment horizontal="left" indent="2"/>
    </xf>
    <xf numFmtId="37" fontId="3" fillId="8" borderId="0" xfId="19" applyNumberFormat="1" applyFont="1" applyFill="1" applyBorder="1"/>
    <xf numFmtId="0" fontId="94" fillId="0" borderId="0" xfId="44" applyFont="1" applyFill="1" applyAlignment="1"/>
    <xf numFmtId="0" fontId="57" fillId="0" borderId="0" xfId="44" applyFont="1" applyFill="1" applyAlignment="1"/>
    <xf numFmtId="167" fontId="57" fillId="0" borderId="0" xfId="51" applyNumberFormat="1" applyFont="1" applyFill="1"/>
    <xf numFmtId="167" fontId="57" fillId="0" borderId="0" xfId="51" applyNumberFormat="1" applyFont="1" applyFill="1" applyBorder="1"/>
    <xf numFmtId="0" fontId="62" fillId="0" borderId="0" xfId="44" applyFont="1" applyFill="1"/>
    <xf numFmtId="0" fontId="146" fillId="0" borderId="0" xfId="44" applyFont="1" applyFill="1" applyAlignment="1"/>
    <xf numFmtId="167" fontId="146" fillId="0" borderId="0" xfId="51" applyNumberFormat="1" applyFont="1" applyFill="1"/>
    <xf numFmtId="0" fontId="62" fillId="0" borderId="0" xfId="44" applyFont="1" applyFill="1" applyAlignment="1">
      <alignment horizontal="left" indent="1"/>
    </xf>
    <xf numFmtId="167" fontId="62" fillId="0" borderId="0" xfId="51" applyNumberFormat="1" applyFont="1" applyFill="1"/>
    <xf numFmtId="1" fontId="62" fillId="0" borderId="0" xfId="44" applyNumberFormat="1" applyFont="1" applyFill="1" applyAlignment="1"/>
    <xf numFmtId="37" fontId="62" fillId="0" borderId="0" xfId="19" applyNumberFormat="1" applyFont="1" applyFill="1" applyBorder="1"/>
    <xf numFmtId="37" fontId="62" fillId="0" borderId="0" xfId="19" applyNumberFormat="1" applyFont="1" applyFill="1"/>
    <xf numFmtId="214" fontId="62" fillId="0" borderId="0" xfId="19" applyNumberFormat="1" applyFont="1" applyFill="1"/>
    <xf numFmtId="164" fontId="146" fillId="0" borderId="0" xfId="51" applyNumberFormat="1" applyFont="1" applyFill="1"/>
    <xf numFmtId="164" fontId="62" fillId="0" borderId="0" xfId="51" applyNumberFormat="1" applyFont="1" applyFill="1"/>
    <xf numFmtId="167" fontId="94" fillId="0" borderId="0" xfId="51" applyNumberFormat="1" applyFont="1" applyFill="1" applyBorder="1"/>
    <xf numFmtId="167" fontId="146" fillId="0" borderId="0" xfId="51" applyNumberFormat="1" applyFont="1" applyFill="1" applyBorder="1"/>
    <xf numFmtId="167" fontId="62" fillId="0" borderId="0" xfId="51" applyNumberFormat="1" applyFont="1" applyFill="1" applyBorder="1"/>
    <xf numFmtId="0" fontId="8" fillId="0" borderId="0" xfId="44" applyFont="1" applyFill="1"/>
    <xf numFmtId="179" fontId="145" fillId="0" borderId="0" xfId="19" applyNumberFormat="1" applyFont="1" applyFill="1"/>
    <xf numFmtId="37" fontId="3" fillId="0" borderId="0" xfId="19" applyNumberFormat="1" applyFont="1" applyFill="1" applyBorder="1" applyAlignment="1">
      <alignment horizontal="right"/>
    </xf>
    <xf numFmtId="0" fontId="8" fillId="0" borderId="0" xfId="44" applyFont="1" applyFill="1" applyAlignment="1">
      <alignment horizontal="left" indent="1"/>
    </xf>
    <xf numFmtId="164" fontId="57" fillId="0" borderId="0" xfId="51" applyNumberFormat="1" applyFont="1" applyFill="1"/>
    <xf numFmtId="167" fontId="57" fillId="0" borderId="0" xfId="51" applyNumberFormat="1" applyFont="1" applyFill="1" applyAlignment="1">
      <alignment horizontal="right"/>
    </xf>
    <xf numFmtId="0" fontId="8" fillId="8" borderId="0" xfId="44" applyFont="1" applyFill="1"/>
    <xf numFmtId="0" fontId="8" fillId="8" borderId="0" xfId="39" applyFont="1" applyFill="1"/>
    <xf numFmtId="0" fontId="9" fillId="8" borderId="0" xfId="46" applyFont="1" applyFill="1" applyBorder="1" applyAlignment="1">
      <alignment horizontal="right"/>
    </xf>
    <xf numFmtId="0" fontId="8" fillId="8" borderId="0" xfId="39" applyFont="1" applyFill="1" applyAlignment="1">
      <alignment horizontal="right"/>
    </xf>
    <xf numFmtId="0" fontId="8" fillId="8" borderId="0" xfId="44" applyFont="1" applyFill="1" applyAlignment="1">
      <alignment horizontal="right"/>
    </xf>
    <xf numFmtId="0" fontId="56" fillId="0" borderId="0" xfId="44" applyFont="1" applyFill="1" applyBorder="1" applyAlignment="1">
      <alignment horizontal="left" vertical="center"/>
    </xf>
    <xf numFmtId="3" fontId="136" fillId="0" borderId="0" xfId="44" applyNumberFormat="1" applyFont="1" applyFill="1" applyAlignment="1">
      <alignment horizontal="right"/>
    </xf>
    <xf numFmtId="0" fontId="11" fillId="0" borderId="0" xfId="44" applyFont="1" applyFill="1"/>
    <xf numFmtId="0" fontId="57" fillId="0" borderId="0" xfId="44" applyFont="1" applyFill="1"/>
    <xf numFmtId="0" fontId="3" fillId="0" borderId="0" xfId="37" applyFont="1" applyFill="1" applyBorder="1"/>
    <xf numFmtId="0" fontId="140" fillId="0" borderId="0" xfId="44" applyFont="1" applyFill="1" applyAlignment="1">
      <alignment horizontal="left" vertical="center"/>
    </xf>
    <xf numFmtId="0" fontId="141" fillId="0" borderId="0" xfId="44" applyFont="1" applyFill="1" applyAlignment="1">
      <alignment horizontal="right" vertical="center"/>
    </xf>
    <xf numFmtId="0" fontId="142" fillId="0" borderId="0" xfId="44" applyFont="1" applyFill="1"/>
    <xf numFmtId="0" fontId="144" fillId="0" borderId="0" xfId="44" applyFont="1" applyFill="1" applyBorder="1" applyProtection="1"/>
    <xf numFmtId="0" fontId="143" fillId="0" borderId="0" xfId="44" applyFont="1" applyFill="1"/>
    <xf numFmtId="164" fontId="142" fillId="0" borderId="0" xfId="44" applyNumberFormat="1" applyFont="1" applyFill="1"/>
    <xf numFmtId="0" fontId="55" fillId="0" borderId="0" xfId="39" applyFont="1" applyFill="1" applyBorder="1"/>
    <xf numFmtId="0" fontId="11" fillId="0" borderId="0" xfId="44" applyFont="1" applyFill="1" applyAlignment="1">
      <alignment vertical="center"/>
    </xf>
    <xf numFmtId="10" fontId="65" fillId="0" borderId="0" xfId="51" applyNumberFormat="1" applyFont="1" applyFill="1" applyBorder="1" applyAlignment="1">
      <alignment horizontal="center"/>
    </xf>
    <xf numFmtId="0" fontId="62" fillId="0" borderId="0" xfId="44" applyFont="1" applyFill="1" applyBorder="1"/>
    <xf numFmtId="9" fontId="63" fillId="0" borderId="0" xfId="51" applyFont="1" applyFill="1" applyBorder="1"/>
    <xf numFmtId="0" fontId="57" fillId="0" borderId="0" xfId="44" applyFont="1" applyFill="1" applyBorder="1" applyAlignment="1">
      <alignment horizontal="right"/>
    </xf>
    <xf numFmtId="0" fontId="57" fillId="0" borderId="0" xfId="44" applyFont="1" applyFill="1" applyBorder="1" applyAlignment="1">
      <alignment horizontal="center"/>
    </xf>
    <xf numFmtId="1" fontId="55" fillId="0" borderId="0" xfId="44" applyNumberFormat="1" applyFont="1" applyFill="1" applyBorder="1"/>
    <xf numFmtId="9" fontId="55" fillId="0" borderId="0" xfId="44" applyNumberFormat="1" applyFont="1" applyFill="1" applyBorder="1"/>
    <xf numFmtId="0" fontId="62" fillId="0" borderId="0" xfId="44" applyFont="1" applyFill="1" applyBorder="1" applyAlignment="1">
      <alignment horizontal="right"/>
    </xf>
    <xf numFmtId="0" fontId="35" fillId="0" borderId="0" xfId="44" applyFont="1" applyFill="1" applyBorder="1"/>
    <xf numFmtId="0" fontId="3" fillId="0" borderId="0" xfId="44" applyFont="1" applyFill="1" applyBorder="1"/>
    <xf numFmtId="0" fontId="35" fillId="0" borderId="0" xfId="44" applyFont="1" applyFill="1"/>
    <xf numFmtId="0" fontId="145" fillId="0" borderId="0" xfId="44" applyFont="1" applyFill="1" applyBorder="1"/>
    <xf numFmtId="0" fontId="138" fillId="0" borderId="0" xfId="44" applyFont="1" applyFill="1" applyBorder="1"/>
    <xf numFmtId="3" fontId="138" fillId="0" borderId="0" xfId="44" applyNumberFormat="1" applyFont="1" applyFill="1" applyAlignment="1">
      <alignment horizontal="right"/>
    </xf>
    <xf numFmtId="3" fontId="55" fillId="0" borderId="0" xfId="44" applyNumberFormat="1" applyFont="1" applyFill="1" applyAlignment="1">
      <alignment horizontal="right"/>
    </xf>
    <xf numFmtId="3" fontId="145" fillId="0" borderId="0" xfId="44" applyNumberFormat="1" applyFont="1" applyFill="1" applyAlignment="1">
      <alignment horizontal="right"/>
    </xf>
    <xf numFmtId="0" fontId="63" fillId="0" borderId="0" xfId="44" applyFont="1" applyFill="1"/>
    <xf numFmtId="0" fontId="137" fillId="0" borderId="0" xfId="44" applyFont="1" applyFill="1" applyBorder="1" applyAlignment="1">
      <alignment vertical="center"/>
    </xf>
    <xf numFmtId="167" fontId="136" fillId="0" borderId="0" xfId="44" applyNumberFormat="1" applyFont="1" applyFill="1"/>
    <xf numFmtId="167" fontId="145" fillId="0" borderId="0" xfId="44" applyNumberFormat="1" applyFont="1" applyFill="1"/>
    <xf numFmtId="37" fontId="62" fillId="0" borderId="0" xfId="44" applyNumberFormat="1" applyFont="1" applyFill="1"/>
    <xf numFmtId="1" fontId="11" fillId="0" borderId="0" xfId="44" applyNumberFormat="1" applyFont="1" applyFill="1" applyAlignment="1">
      <alignment vertical="top"/>
    </xf>
    <xf numFmtId="179" fontId="138" fillId="0" borderId="0" xfId="19" applyNumberFormat="1" applyFont="1" applyFill="1"/>
    <xf numFmtId="1" fontId="138" fillId="0" borderId="0" xfId="44" applyNumberFormat="1" applyFont="1" applyFill="1"/>
    <xf numFmtId="179" fontId="136" fillId="0" borderId="0" xfId="19" applyNumberFormat="1" applyFont="1" applyFill="1"/>
    <xf numFmtId="1" fontId="136" fillId="0" borderId="0" xfId="44" applyNumberFormat="1" applyFont="1" applyFill="1"/>
    <xf numFmtId="0" fontId="62" fillId="0" borderId="0" xfId="44" applyFont="1" applyFill="1" applyAlignment="1"/>
    <xf numFmtId="1" fontId="57" fillId="0" borderId="0" xfId="44" applyNumberFormat="1" applyFont="1" applyFill="1" applyAlignment="1"/>
    <xf numFmtId="3" fontId="62" fillId="0" borderId="0" xfId="44" applyNumberFormat="1" applyFont="1" applyFill="1" applyAlignment="1">
      <alignment horizontal="left"/>
    </xf>
    <xf numFmtId="37" fontId="11" fillId="0" borderId="0" xfId="44" applyNumberFormat="1" applyFont="1" applyFill="1" applyBorder="1"/>
    <xf numFmtId="37" fontId="3" fillId="0" borderId="0" xfId="44" applyNumberFormat="1" applyFont="1" applyFill="1" applyBorder="1" applyAlignment="1">
      <alignment horizontal="center"/>
    </xf>
    <xf numFmtId="167" fontId="138" fillId="0" borderId="0" xfId="44" applyNumberFormat="1" applyFont="1" applyFill="1"/>
    <xf numFmtId="0" fontId="62" fillId="0" borderId="0" xfId="43" applyFont="1" applyFill="1"/>
    <xf numFmtId="167" fontId="62" fillId="0" borderId="0" xfId="43" applyNumberFormat="1" applyFont="1" applyFill="1"/>
    <xf numFmtId="0" fontId="136" fillId="0" borderId="0" xfId="43" applyFont="1" applyFill="1"/>
    <xf numFmtId="0" fontId="57" fillId="0" borderId="0" xfId="42" applyFont="1" applyFill="1"/>
    <xf numFmtId="167" fontId="62" fillId="0" borderId="0" xfId="44" applyNumberFormat="1" applyFont="1" applyFill="1"/>
    <xf numFmtId="37" fontId="62" fillId="0" borderId="47" xfId="44" applyNumberFormat="1" applyFont="1" applyFill="1" applyBorder="1"/>
    <xf numFmtId="0" fontId="138" fillId="0" borderId="0" xfId="44" applyFont="1" applyFill="1" applyAlignment="1">
      <alignment horizontal="right"/>
    </xf>
    <xf numFmtId="168" fontId="3" fillId="14" borderId="2" xfId="51" applyNumberFormat="1" applyFont="1" applyFill="1" applyBorder="1"/>
    <xf numFmtId="0" fontId="11" fillId="0" borderId="13" xfId="44" applyFont="1" applyFill="1" applyBorder="1" applyAlignment="1"/>
    <xf numFmtId="167" fontId="11" fillId="0" borderId="2" xfId="51" applyNumberFormat="1" applyFont="1" applyFill="1" applyBorder="1"/>
    <xf numFmtId="167" fontId="11" fillId="0" borderId="14" xfId="51" applyNumberFormat="1" applyFont="1" applyFill="1" applyBorder="1"/>
    <xf numFmtId="0" fontId="136" fillId="0" borderId="0" xfId="43" applyFont="1" applyFill="1" applyBorder="1" applyProtection="1"/>
    <xf numFmtId="0" fontId="55" fillId="0" borderId="0" xfId="43" applyFont="1" applyFill="1" applyBorder="1" applyProtection="1"/>
    <xf numFmtId="1" fontId="56" fillId="0" borderId="0" xfId="43" applyNumberFormat="1" applyFont="1" applyFill="1" applyBorder="1" applyAlignment="1" applyProtection="1">
      <alignment horizontal="center"/>
    </xf>
    <xf numFmtId="0" fontId="123" fillId="0" borderId="0" xfId="43" applyFont="1" applyFill="1" applyAlignment="1">
      <alignment horizontal="left" vertical="center"/>
    </xf>
    <xf numFmtId="0" fontId="138" fillId="0" borderId="0" xfId="43" applyFont="1" applyFill="1" applyAlignment="1">
      <alignment vertical="center"/>
    </xf>
    <xf numFmtId="0" fontId="57" fillId="0" borderId="0" xfId="43" applyFont="1" applyFill="1" applyAlignment="1">
      <alignment vertical="center"/>
    </xf>
    <xf numFmtId="0" fontId="138" fillId="0" borderId="0" xfId="43" applyFont="1" applyFill="1"/>
    <xf numFmtId="0" fontId="56" fillId="0" borderId="0" xfId="43" applyFont="1" applyFill="1" applyAlignment="1">
      <alignment vertical="center"/>
    </xf>
    <xf numFmtId="0" fontId="136" fillId="0" borderId="0" xfId="43" applyFont="1" applyFill="1" applyBorder="1"/>
    <xf numFmtId="0" fontId="55" fillId="0" borderId="0" xfId="43" applyFont="1" applyFill="1" applyBorder="1"/>
    <xf numFmtId="0" fontId="63" fillId="0" borderId="0" xfId="43" applyFont="1" applyFill="1" applyBorder="1"/>
    <xf numFmtId="0" fontId="55" fillId="0" borderId="0" xfId="43" applyFont="1" applyFill="1" applyBorder="1" applyAlignment="1">
      <alignment horizontal="right"/>
    </xf>
    <xf numFmtId="167" fontId="55" fillId="0" borderId="0" xfId="43" applyNumberFormat="1" applyFont="1" applyFill="1" applyBorder="1"/>
    <xf numFmtId="0" fontId="55" fillId="0" borderId="0" xfId="43" applyFont="1" applyFill="1"/>
    <xf numFmtId="0" fontId="145" fillId="0" borderId="0" xfId="43" applyFont="1" applyFill="1"/>
    <xf numFmtId="0" fontId="11" fillId="0" borderId="0" xfId="43" applyFont="1" applyFill="1" applyAlignment="1"/>
    <xf numFmtId="0" fontId="3" fillId="0" borderId="0" xfId="43" applyFont="1" applyFill="1"/>
    <xf numFmtId="0" fontId="3" fillId="0" borderId="0" xfId="43" applyFont="1" applyFill="1" applyAlignment="1"/>
    <xf numFmtId="0" fontId="3" fillId="0" borderId="0" xfId="43" applyFont="1" applyFill="1" applyAlignment="1">
      <alignment horizontal="left" indent="1"/>
    </xf>
    <xf numFmtId="1" fontId="3" fillId="0" borderId="0" xfId="43" applyNumberFormat="1" applyFont="1" applyFill="1" applyAlignment="1"/>
    <xf numFmtId="1" fontId="3" fillId="0" borderId="0" xfId="43" applyNumberFormat="1" applyFont="1" applyFill="1" applyAlignment="1">
      <alignment horizontal="left" indent="1"/>
    </xf>
    <xf numFmtId="1" fontId="3" fillId="0" borderId="0" xfId="43" applyNumberFormat="1" applyFont="1" applyFill="1" applyAlignment="1">
      <alignment horizontal="left" indent="2"/>
    </xf>
    <xf numFmtId="0" fontId="3" fillId="0" borderId="0" xfId="43" applyFont="1" applyFill="1" applyAlignment="1">
      <alignment horizontal="left" indent="2"/>
    </xf>
    <xf numFmtId="0" fontId="94" fillId="0" borderId="0" xfId="43" applyFont="1" applyFill="1" applyAlignment="1"/>
    <xf numFmtId="0" fontId="57" fillId="0" borderId="0" xfId="43" applyFont="1" applyFill="1" applyAlignment="1"/>
    <xf numFmtId="0" fontId="146" fillId="0" borderId="0" xfId="43" applyFont="1" applyFill="1" applyAlignment="1"/>
    <xf numFmtId="0" fontId="62" fillId="0" borderId="0" xfId="43" applyFont="1" applyFill="1" applyAlignment="1">
      <alignment horizontal="left" indent="1"/>
    </xf>
    <xf numFmtId="1" fontId="62" fillId="0" borderId="0" xfId="43" applyNumberFormat="1" applyFont="1" applyFill="1" applyAlignment="1"/>
    <xf numFmtId="0" fontId="8" fillId="0" borderId="0" xfId="43" applyFont="1" applyFill="1"/>
    <xf numFmtId="37" fontId="3" fillId="0" borderId="0" xfId="18" applyNumberFormat="1" applyFont="1" applyFill="1" applyBorder="1" applyAlignment="1">
      <alignment horizontal="right"/>
    </xf>
    <xf numFmtId="0" fontId="8" fillId="0" borderId="0" xfId="43" applyFont="1" applyFill="1" applyAlignment="1">
      <alignment horizontal="left" indent="1"/>
    </xf>
    <xf numFmtId="0" fontId="56" fillId="0" borderId="0" xfId="43" applyFont="1" applyFill="1" applyBorder="1" applyAlignment="1">
      <alignment horizontal="left" vertical="center"/>
    </xf>
    <xf numFmtId="0" fontId="137" fillId="0" borderId="0" xfId="43" applyFont="1" applyFill="1" applyBorder="1" applyAlignment="1">
      <alignment vertical="center"/>
    </xf>
    <xf numFmtId="0" fontId="140" fillId="0" borderId="0" xfId="43" applyFont="1" applyFill="1" applyAlignment="1">
      <alignment horizontal="left" vertical="center"/>
    </xf>
    <xf numFmtId="0" fontId="141" fillId="0" borderId="0" xfId="43" applyFont="1" applyFill="1" applyAlignment="1">
      <alignment horizontal="right" vertical="center"/>
    </xf>
    <xf numFmtId="0" fontId="142" fillId="0" borderId="0" xfId="43" applyFont="1" applyFill="1"/>
    <xf numFmtId="0" fontId="62" fillId="0" borderId="0" xfId="43" applyFont="1" applyFill="1" applyBorder="1"/>
    <xf numFmtId="0" fontId="144" fillId="0" borderId="0" xfId="43" applyFont="1" applyFill="1" applyBorder="1" applyProtection="1"/>
    <xf numFmtId="0" fontId="57" fillId="0" borderId="0" xfId="43" applyFont="1" applyFill="1" applyBorder="1" applyAlignment="1">
      <alignment horizontal="right"/>
    </xf>
    <xf numFmtId="0" fontId="57" fillId="0" borderId="0" xfId="43" applyFont="1" applyFill="1" applyBorder="1" applyAlignment="1">
      <alignment horizontal="center"/>
    </xf>
    <xf numFmtId="1" fontId="55" fillId="0" borderId="0" xfId="43" applyNumberFormat="1" applyFont="1" applyFill="1" applyBorder="1"/>
    <xf numFmtId="0" fontId="143" fillId="0" borderId="0" xfId="43" applyFont="1" applyFill="1"/>
    <xf numFmtId="9" fontId="55" fillId="0" borderId="0" xfId="43" applyNumberFormat="1" applyFont="1" applyFill="1" applyBorder="1"/>
    <xf numFmtId="0" fontId="62" fillId="0" borderId="0" xfId="43" applyFont="1" applyFill="1" applyBorder="1" applyAlignment="1">
      <alignment horizontal="right"/>
    </xf>
    <xf numFmtId="0" fontId="35" fillId="0" borderId="0" xfId="43" applyFont="1" applyFill="1" applyBorder="1"/>
    <xf numFmtId="0" fontId="3" fillId="0" borderId="0" xfId="43" applyFont="1" applyFill="1" applyBorder="1"/>
    <xf numFmtId="0" fontId="35" fillId="0" borderId="0" xfId="43" applyFont="1" applyFill="1"/>
    <xf numFmtId="164" fontId="142" fillId="0" borderId="0" xfId="43" applyNumberFormat="1" applyFont="1" applyFill="1"/>
    <xf numFmtId="0" fontId="145" fillId="0" borderId="0" xfId="43" applyFont="1" applyFill="1" applyBorder="1"/>
    <xf numFmtId="0" fontId="138" fillId="0" borderId="0" xfId="43" applyFont="1" applyFill="1" applyBorder="1"/>
    <xf numFmtId="0" fontId="11" fillId="0" borderId="0" xfId="43" applyFont="1" applyFill="1" applyAlignment="1">
      <alignment vertical="center"/>
    </xf>
    <xf numFmtId="1" fontId="11" fillId="0" borderId="0" xfId="43" applyNumberFormat="1" applyFont="1" applyFill="1" applyAlignment="1">
      <alignment vertical="top"/>
    </xf>
    <xf numFmtId="3" fontId="136" fillId="0" borderId="0" xfId="43" applyNumberFormat="1" applyFont="1" applyFill="1" applyAlignment="1">
      <alignment horizontal="right"/>
    </xf>
    <xf numFmtId="3" fontId="138" fillId="0" borderId="0" xfId="43" applyNumberFormat="1" applyFont="1" applyFill="1" applyAlignment="1">
      <alignment horizontal="right"/>
    </xf>
    <xf numFmtId="3" fontId="55" fillId="0" borderId="0" xfId="43" applyNumberFormat="1" applyFont="1" applyFill="1" applyAlignment="1">
      <alignment horizontal="right"/>
    </xf>
    <xf numFmtId="3" fontId="145" fillId="0" borderId="0" xfId="43" applyNumberFormat="1" applyFont="1" applyFill="1" applyAlignment="1">
      <alignment horizontal="right"/>
    </xf>
    <xf numFmtId="1" fontId="138" fillId="0" borderId="0" xfId="43" applyNumberFormat="1" applyFont="1" applyFill="1"/>
    <xf numFmtId="1" fontId="136" fillId="0" borderId="0" xfId="43" applyNumberFormat="1" applyFont="1" applyFill="1"/>
    <xf numFmtId="0" fontId="57" fillId="0" borderId="0" xfId="43" applyFont="1" applyFill="1"/>
    <xf numFmtId="0" fontId="62" fillId="0" borderId="0" xfId="43" applyFont="1" applyFill="1" applyAlignment="1"/>
    <xf numFmtId="1" fontId="57" fillId="0" borderId="0" xfId="43" applyNumberFormat="1" applyFont="1" applyFill="1" applyAlignment="1"/>
    <xf numFmtId="3" fontId="62" fillId="0" borderId="0" xfId="43" applyNumberFormat="1" applyFont="1" applyFill="1" applyAlignment="1">
      <alignment horizontal="left"/>
    </xf>
    <xf numFmtId="37" fontId="11" fillId="0" borderId="0" xfId="43" applyNumberFormat="1" applyFont="1" applyFill="1" applyBorder="1"/>
    <xf numFmtId="37" fontId="3" fillId="0" borderId="0" xfId="43" applyNumberFormat="1" applyFont="1" applyFill="1" applyBorder="1" applyAlignment="1">
      <alignment horizontal="center"/>
    </xf>
    <xf numFmtId="0" fontId="11" fillId="0" borderId="13" xfId="43" applyFont="1" applyFill="1" applyBorder="1" applyAlignment="1"/>
    <xf numFmtId="0" fontId="11" fillId="0" borderId="0" xfId="43" applyFont="1" applyFill="1"/>
    <xf numFmtId="0" fontId="63" fillId="0" borderId="0" xfId="43" applyFont="1" applyFill="1"/>
    <xf numFmtId="37" fontId="62" fillId="0" borderId="0" xfId="43" applyNumberFormat="1" applyFont="1" applyFill="1"/>
    <xf numFmtId="37" fontId="62" fillId="0" borderId="47" xfId="43" applyNumberFormat="1" applyFont="1" applyFill="1" applyBorder="1"/>
    <xf numFmtId="0" fontId="8" fillId="0" borderId="0" xfId="39" applyFont="1" applyFill="1"/>
    <xf numFmtId="0" fontId="9" fillId="0" borderId="0" xfId="46" applyFont="1" applyFill="1" applyBorder="1" applyAlignment="1">
      <alignment horizontal="right"/>
    </xf>
    <xf numFmtId="0" fontId="8" fillId="0" borderId="0" xfId="39" applyFont="1" applyFill="1" applyAlignment="1">
      <alignment horizontal="right"/>
    </xf>
    <xf numFmtId="0" fontId="8" fillId="0" borderId="0" xfId="43" applyFont="1" applyFill="1" applyAlignment="1">
      <alignment horizontal="right"/>
    </xf>
    <xf numFmtId="0" fontId="138" fillId="0" borderId="0" xfId="43" applyFont="1" applyFill="1" applyAlignment="1">
      <alignment horizontal="right"/>
    </xf>
    <xf numFmtId="167" fontId="56" fillId="0" borderId="0" xfId="46" applyNumberFormat="1" applyFont="1" applyFill="1" applyBorder="1" applyAlignment="1">
      <alignment horizontal="center"/>
    </xf>
    <xf numFmtId="5" fontId="0" fillId="0" borderId="0" xfId="0" applyNumberFormat="1" applyFill="1"/>
    <xf numFmtId="173" fontId="147" fillId="0" borderId="0" xfId="0" applyNumberFormat="1" applyFont="1"/>
    <xf numFmtId="165" fontId="0" fillId="8" borderId="0" xfId="0" applyNumberFormat="1" applyFill="1"/>
    <xf numFmtId="165" fontId="3" fillId="0" borderId="0" xfId="0" applyNumberFormat="1" applyFont="1"/>
    <xf numFmtId="165" fontId="1" fillId="0" borderId="0" xfId="0" applyNumberFormat="1" applyFont="1" applyFill="1"/>
    <xf numFmtId="165" fontId="41" fillId="0" borderId="0" xfId="0" applyNumberFormat="1" applyFont="1" applyFill="1"/>
    <xf numFmtId="165" fontId="47" fillId="0" borderId="0" xfId="0" applyNumberFormat="1" applyFont="1" applyFill="1"/>
    <xf numFmtId="165" fontId="47" fillId="0" borderId="0" xfId="0" applyNumberFormat="1" applyFont="1" applyFill="1" applyBorder="1"/>
    <xf numFmtId="165" fontId="1" fillId="0" borderId="9" xfId="0" applyNumberFormat="1" applyFont="1" applyFill="1" applyBorder="1"/>
    <xf numFmtId="165" fontId="41" fillId="0" borderId="9" xfId="0" applyNumberFormat="1" applyFont="1" applyFill="1" applyBorder="1"/>
    <xf numFmtId="165" fontId="47" fillId="0" borderId="9" xfId="0" applyNumberFormat="1" applyFont="1" applyFill="1" applyBorder="1"/>
    <xf numFmtId="165" fontId="53" fillId="0" borderId="0" xfId="0" applyNumberFormat="1" applyFont="1" applyFill="1"/>
    <xf numFmtId="165" fontId="1" fillId="0" borderId="0" xfId="0" applyNumberFormat="1" applyFont="1" applyFill="1" applyBorder="1"/>
    <xf numFmtId="165" fontId="21" fillId="0" borderId="9" xfId="0" applyNumberFormat="1" applyFont="1" applyFill="1" applyBorder="1"/>
    <xf numFmtId="165" fontId="47" fillId="0" borderId="48" xfId="0" applyNumberFormat="1" applyFont="1" applyFill="1" applyBorder="1"/>
    <xf numFmtId="165" fontId="11" fillId="0" borderId="0" xfId="0" applyNumberFormat="1" applyFont="1" applyFill="1"/>
    <xf numFmtId="165" fontId="46" fillId="0" borderId="0" xfId="0" applyNumberFormat="1" applyFont="1" applyFill="1"/>
    <xf numFmtId="165" fontId="1" fillId="5" borderId="0" xfId="0" applyNumberFormat="1" applyFont="1" applyFill="1"/>
    <xf numFmtId="165" fontId="3" fillId="0" borderId="0" xfId="0" applyNumberFormat="1" applyFont="1" applyFill="1"/>
    <xf numFmtId="165" fontId="0" fillId="0" borderId="0" xfId="0" applyNumberFormat="1" applyFill="1"/>
    <xf numFmtId="165" fontId="11" fillId="4" borderId="0" xfId="0" applyNumberFormat="1" applyFont="1" applyFill="1"/>
    <xf numFmtId="165" fontId="0" fillId="4" borderId="0" xfId="0" applyNumberFormat="1" applyFill="1"/>
    <xf numFmtId="165" fontId="33" fillId="0" borderId="0" xfId="0" applyNumberFormat="1" applyFont="1" applyFill="1" applyBorder="1"/>
    <xf numFmtId="165" fontId="33" fillId="0" borderId="0" xfId="0" applyNumberFormat="1" applyFont="1" applyFill="1"/>
    <xf numFmtId="165" fontId="1" fillId="0" borderId="32" xfId="0" applyNumberFormat="1" applyFont="1" applyFill="1" applyBorder="1"/>
    <xf numFmtId="165" fontId="1" fillId="0" borderId="6" xfId="0" applyNumberFormat="1" applyFont="1" applyFill="1" applyBorder="1"/>
    <xf numFmtId="165" fontId="11" fillId="0" borderId="6" xfId="0" applyNumberFormat="1" applyFont="1" applyFill="1" applyBorder="1" applyAlignment="1">
      <alignment horizontal="centerContinuous"/>
    </xf>
    <xf numFmtId="165" fontId="11" fillId="0" borderId="30" xfId="0" applyNumberFormat="1" applyFont="1" applyFill="1" applyBorder="1" applyAlignment="1">
      <alignment horizontal="centerContinuous"/>
    </xf>
    <xf numFmtId="165" fontId="11" fillId="0" borderId="0" xfId="0" applyNumberFormat="1" applyFont="1" applyFill="1" applyBorder="1" applyAlignment="1">
      <alignment horizontal="centerContinuous"/>
    </xf>
    <xf numFmtId="165" fontId="11" fillId="0" borderId="27" xfId="0" applyNumberFormat="1" applyFont="1" applyFill="1" applyBorder="1" applyAlignment="1">
      <alignment horizontal="centerContinuous"/>
    </xf>
    <xf numFmtId="165" fontId="11" fillId="0" borderId="33" xfId="0" applyNumberFormat="1" applyFont="1" applyFill="1" applyBorder="1" applyAlignment="1">
      <alignment horizontal="centerContinuous"/>
    </xf>
    <xf numFmtId="165" fontId="11" fillId="0" borderId="26" xfId="0" applyNumberFormat="1" applyFont="1" applyFill="1" applyBorder="1" applyAlignment="1">
      <alignment horizontal="right"/>
    </xf>
    <xf numFmtId="165" fontId="11" fillId="0" borderId="9" xfId="0" applyNumberFormat="1" applyFont="1" applyFill="1" applyBorder="1" applyAlignment="1">
      <alignment horizontal="right"/>
    </xf>
    <xf numFmtId="165" fontId="11" fillId="0" borderId="27" xfId="0" applyNumberFormat="1" applyFont="1" applyFill="1" applyBorder="1" applyAlignment="1">
      <alignment horizontal="right"/>
    </xf>
    <xf numFmtId="165" fontId="11" fillId="0" borderId="28" xfId="0" applyNumberFormat="1" applyFont="1" applyFill="1" applyBorder="1" applyAlignment="1">
      <alignment horizontal="right"/>
    </xf>
    <xf numFmtId="165" fontId="3" fillId="0" borderId="0" xfId="20" applyNumberFormat="1" applyFont="1" applyFill="1" applyAlignment="1" applyProtection="1">
      <alignment horizontal="left" indent="1"/>
    </xf>
    <xf numFmtId="165" fontId="21" fillId="0" borderId="0" xfId="0" applyNumberFormat="1" applyFont="1" applyFill="1"/>
    <xf numFmtId="165" fontId="3" fillId="0" borderId="0" xfId="12" applyNumberFormat="1" applyFont="1" applyFill="1" applyAlignment="1" applyProtection="1">
      <alignment horizontal="left" indent="1"/>
    </xf>
    <xf numFmtId="165" fontId="77" fillId="0" borderId="0" xfId="0" applyNumberFormat="1" applyFont="1" applyFill="1"/>
    <xf numFmtId="165" fontId="109" fillId="0" borderId="0" xfId="0" applyNumberFormat="1" applyFont="1" applyFill="1"/>
    <xf numFmtId="165" fontId="22" fillId="0" borderId="0" xfId="0" applyNumberFormat="1" applyFont="1" applyFill="1"/>
    <xf numFmtId="165" fontId="22" fillId="0" borderId="0" xfId="0" applyNumberFormat="1" applyFont="1" applyFill="1" applyBorder="1"/>
    <xf numFmtId="165" fontId="23" fillId="0" borderId="0" xfId="0" applyNumberFormat="1" applyFont="1" applyFill="1"/>
    <xf numFmtId="165" fontId="3" fillId="0" borderId="0" xfId="20" applyNumberFormat="1" applyFont="1" applyFill="1" applyAlignment="1" applyProtection="1">
      <alignment horizontal="left"/>
    </xf>
    <xf numFmtId="165" fontId="11" fillId="0" borderId="0" xfId="20" applyNumberFormat="1" applyFont="1" applyFill="1" applyAlignment="1" applyProtection="1">
      <alignment horizontal="left"/>
    </xf>
    <xf numFmtId="165" fontId="11" fillId="0" borderId="49" xfId="0" applyNumberFormat="1" applyFont="1" applyFill="1" applyBorder="1"/>
    <xf numFmtId="165" fontId="0" fillId="0" borderId="0" xfId="0" applyNumberFormat="1" applyFill="1" applyBorder="1"/>
    <xf numFmtId="165" fontId="42" fillId="0" borderId="0" xfId="0" applyNumberFormat="1" applyFont="1" applyFill="1"/>
    <xf numFmtId="165" fontId="3" fillId="0" borderId="0" xfId="20" applyNumberFormat="1" applyFont="1" applyFill="1" applyBorder="1" applyAlignment="1" applyProtection="1">
      <alignment horizontal="left"/>
    </xf>
    <xf numFmtId="165" fontId="3" fillId="0" borderId="0" xfId="12" applyNumberFormat="1" applyFont="1" applyFill="1" applyAlignment="1" applyProtection="1">
      <alignment horizontal="left"/>
    </xf>
    <xf numFmtId="165" fontId="28" fillId="0" borderId="0" xfId="0" applyNumberFormat="1" applyFont="1" applyFill="1"/>
    <xf numFmtId="165" fontId="40" fillId="0" borderId="0" xfId="0" applyNumberFormat="1" applyFont="1" applyFill="1"/>
    <xf numFmtId="165" fontId="11" fillId="0" borderId="0" xfId="0" applyNumberFormat="1" applyFont="1" applyFill="1" applyBorder="1"/>
    <xf numFmtId="165" fontId="1" fillId="8" borderId="0" xfId="0" applyNumberFormat="1" applyFont="1" applyFill="1"/>
    <xf numFmtId="165" fontId="41" fillId="8" borderId="0" xfId="0" applyNumberFormat="1" applyFont="1" applyFill="1"/>
    <xf numFmtId="165" fontId="1" fillId="8" borderId="0" xfId="0" applyNumberFormat="1" applyFont="1" applyFill="1" applyBorder="1"/>
    <xf numFmtId="165" fontId="44" fillId="0" borderId="0" xfId="0" applyNumberFormat="1" applyFont="1" applyFill="1" applyBorder="1"/>
    <xf numFmtId="165" fontId="11" fillId="8" borderId="0" xfId="0" applyNumberFormat="1" applyFont="1" applyFill="1" applyBorder="1"/>
    <xf numFmtId="165" fontId="11" fillId="8" borderId="0" xfId="0" applyNumberFormat="1" applyFont="1" applyFill="1"/>
    <xf numFmtId="165" fontId="40" fillId="0" borderId="0" xfId="0" applyNumberFormat="1" applyFont="1" applyFill="1" applyBorder="1"/>
    <xf numFmtId="165" fontId="40" fillId="8" borderId="0" xfId="0" applyNumberFormat="1" applyFont="1" applyFill="1"/>
    <xf numFmtId="165" fontId="41" fillId="0" borderId="0" xfId="0" applyNumberFormat="1" applyFont="1" applyFill="1" applyBorder="1"/>
    <xf numFmtId="165" fontId="3" fillId="8" borderId="0" xfId="0" applyNumberFormat="1" applyFont="1" applyFill="1" applyBorder="1"/>
    <xf numFmtId="165" fontId="53" fillId="0" borderId="0" xfId="0" applyNumberFormat="1" applyFont="1" applyFill="1" applyBorder="1"/>
    <xf numFmtId="165" fontId="0" fillId="8" borderId="0" xfId="0" applyNumberFormat="1" applyFill="1" applyBorder="1"/>
    <xf numFmtId="165" fontId="51" fillId="0" borderId="0" xfId="0" applyNumberFormat="1" applyFont="1" applyFill="1"/>
    <xf numFmtId="165" fontId="3" fillId="0" borderId="0" xfId="0" applyNumberFormat="1" applyFont="1" applyFill="1" applyBorder="1"/>
    <xf numFmtId="165" fontId="11" fillId="0" borderId="2" xfId="0" applyNumberFormat="1" applyFont="1" applyFill="1" applyBorder="1"/>
    <xf numFmtId="165" fontId="11" fillId="8" borderId="2" xfId="0" applyNumberFormat="1" applyFont="1" applyFill="1" applyBorder="1"/>
    <xf numFmtId="165" fontId="21" fillId="8" borderId="0" xfId="0" applyNumberFormat="1" applyFont="1" applyFill="1"/>
    <xf numFmtId="165" fontId="29" fillId="0" borderId="0" xfId="0" applyNumberFormat="1" applyFont="1" applyFill="1"/>
    <xf numFmtId="165" fontId="29" fillId="8" borderId="0" xfId="0" applyNumberFormat="1" applyFont="1" applyFill="1"/>
    <xf numFmtId="165" fontId="35" fillId="0" borderId="0" xfId="51" applyNumberFormat="1" applyFont="1" applyFill="1"/>
    <xf numFmtId="165" fontId="35" fillId="8" borderId="0" xfId="51" applyNumberFormat="1" applyFont="1" applyFill="1"/>
    <xf numFmtId="165" fontId="1" fillId="8" borderId="9" xfId="0" applyNumberFormat="1" applyFont="1" applyFill="1" applyBorder="1"/>
    <xf numFmtId="165" fontId="41" fillId="8" borderId="9" xfId="0" applyNumberFormat="1" applyFont="1" applyFill="1" applyBorder="1"/>
    <xf numFmtId="165" fontId="53" fillId="0" borderId="9" xfId="0" applyNumberFormat="1" applyFont="1" applyFill="1" applyBorder="1"/>
    <xf numFmtId="165" fontId="84" fillId="0" borderId="0" xfId="0" applyNumberFormat="1" applyFont="1" applyFill="1" applyBorder="1"/>
    <xf numFmtId="165" fontId="43" fillId="0" borderId="0" xfId="0" applyNumberFormat="1" applyFont="1" applyFill="1"/>
    <xf numFmtId="165" fontId="3" fillId="8" borderId="0" xfId="0" applyNumberFormat="1" applyFont="1" applyFill="1"/>
    <xf numFmtId="165" fontId="76" fillId="0" borderId="0" xfId="0" applyNumberFormat="1" applyFont="1" applyFill="1"/>
    <xf numFmtId="7" fontId="0" fillId="0" borderId="0" xfId="0" applyNumberFormat="1"/>
    <xf numFmtId="0" fontId="3" fillId="0" borderId="0" xfId="0" quotePrefix="1" applyFont="1" applyFill="1"/>
    <xf numFmtId="164" fontId="47" fillId="0" borderId="0" xfId="0" applyNumberFormat="1" applyFont="1" applyFill="1" applyBorder="1"/>
    <xf numFmtId="175" fontId="3" fillId="0" borderId="0" xfId="0" applyNumberFormat="1" applyFont="1" applyFill="1" applyBorder="1"/>
    <xf numFmtId="164" fontId="26" fillId="0" borderId="0" xfId="0" applyNumberFormat="1" applyFont="1" applyFill="1" applyBorder="1"/>
    <xf numFmtId="215" fontId="0" fillId="0" borderId="0" xfId="0" applyNumberFormat="1"/>
    <xf numFmtId="215" fontId="0" fillId="6" borderId="0" xfId="0" applyNumberFormat="1" applyFill="1"/>
    <xf numFmtId="215" fontId="0" fillId="0" borderId="0" xfId="0" applyNumberFormat="1" applyFill="1"/>
    <xf numFmtId="174" fontId="0" fillId="0" borderId="0" xfId="0" applyNumberFormat="1" applyFill="1"/>
    <xf numFmtId="166" fontId="21" fillId="0" borderId="0" xfId="0" applyNumberFormat="1" applyFont="1" applyFill="1"/>
    <xf numFmtId="166" fontId="0" fillId="0" borderId="0" xfId="0" applyNumberFormat="1" applyFill="1" applyAlignment="1">
      <alignment horizontal="right"/>
    </xf>
    <xf numFmtId="165" fontId="3" fillId="4" borderId="0" xfId="36" applyNumberFormat="1" applyFont="1" applyFill="1"/>
    <xf numFmtId="165" fontId="1" fillId="4" borderId="0" xfId="0" applyNumberFormat="1" applyFont="1" applyFill="1"/>
    <xf numFmtId="165" fontId="0" fillId="4" borderId="0" xfId="0" applyNumberFormat="1" applyFill="1" applyBorder="1"/>
    <xf numFmtId="165" fontId="21" fillId="4" borderId="0" xfId="0" applyNumberFormat="1" applyFont="1" applyFill="1"/>
    <xf numFmtId="165" fontId="41" fillId="4" borderId="0" xfId="0" applyNumberFormat="1" applyFont="1" applyFill="1"/>
    <xf numFmtId="165" fontId="47" fillId="4" borderId="0" xfId="0" applyNumberFormat="1" applyFont="1" applyFill="1"/>
    <xf numFmtId="167" fontId="40" fillId="0" borderId="6" xfId="0" applyNumberFormat="1" applyFont="1" applyBorder="1" applyAlignment="1">
      <alignment horizontal="right"/>
    </xf>
    <xf numFmtId="1" fontId="133" fillId="0" borderId="0" xfId="0" applyNumberFormat="1" applyFont="1"/>
    <xf numFmtId="166" fontId="53" fillId="0" borderId="0" xfId="0" applyNumberFormat="1" applyFont="1" applyAlignment="1">
      <alignment horizontal="right"/>
    </xf>
    <xf numFmtId="0" fontId="2" fillId="0" borderId="0" xfId="0" applyFont="1" applyFill="1" applyBorder="1"/>
    <xf numFmtId="165" fontId="53" fillId="0" borderId="0" xfId="0" applyNumberFormat="1" applyFont="1" applyAlignment="1">
      <alignment horizontal="right"/>
    </xf>
    <xf numFmtId="0" fontId="2" fillId="0" borderId="6" xfId="0" applyFont="1" applyFill="1" applyBorder="1"/>
    <xf numFmtId="166" fontId="1" fillId="0" borderId="0" xfId="0" applyNumberFormat="1" applyFont="1" applyFill="1" applyAlignment="1">
      <alignment horizontal="right"/>
    </xf>
    <xf numFmtId="166" fontId="1" fillId="8" borderId="0" xfId="0" applyNumberFormat="1" applyFont="1" applyFill="1"/>
    <xf numFmtId="165" fontId="47" fillId="13" borderId="0" xfId="0" applyNumberFormat="1" applyFont="1" applyFill="1"/>
    <xf numFmtId="0" fontId="48" fillId="4" borderId="0" xfId="0" applyFont="1" applyFill="1"/>
    <xf numFmtId="0" fontId="0" fillId="4" borderId="0" xfId="0" applyFill="1" applyAlignment="1">
      <alignment horizontal="left" indent="1"/>
    </xf>
    <xf numFmtId="1" fontId="21" fillId="4" borderId="0" xfId="0" applyNumberFormat="1" applyFont="1" applyFill="1"/>
    <xf numFmtId="2" fontId="21" fillId="4" borderId="0" xfId="0" applyNumberFormat="1" applyFont="1" applyFill="1"/>
    <xf numFmtId="177" fontId="41" fillId="4" borderId="0" xfId="0" applyNumberFormat="1" applyFont="1" applyFill="1"/>
    <xf numFmtId="164" fontId="47" fillId="4" borderId="0" xfId="0" applyNumberFormat="1" applyFont="1" applyFill="1"/>
    <xf numFmtId="1" fontId="47" fillId="4" borderId="0" xfId="0" applyNumberFormat="1" applyFont="1" applyFill="1"/>
    <xf numFmtId="0" fontId="11" fillId="0" borderId="33" xfId="0" applyNumberFormat="1" applyFont="1" applyFill="1" applyBorder="1" applyAlignment="1">
      <alignment horizontal="centerContinuous"/>
    </xf>
    <xf numFmtId="178" fontId="0" fillId="0" borderId="0" xfId="0" applyNumberFormat="1"/>
    <xf numFmtId="0" fontId="0" fillId="0" borderId="0" xfId="0" applyFill="1" applyAlignment="1"/>
    <xf numFmtId="0" fontId="1" fillId="0" borderId="0" xfId="0" applyFont="1" applyFill="1" applyBorder="1" applyAlignment="1"/>
    <xf numFmtId="0" fontId="1" fillId="0" borderId="0" xfId="0" applyFont="1" applyFill="1" applyAlignment="1"/>
    <xf numFmtId="167" fontId="3" fillId="0" borderId="0" xfId="0" applyNumberFormat="1" applyFont="1" applyFill="1" applyAlignment="1"/>
    <xf numFmtId="167" fontId="3" fillId="0" borderId="0" xfId="0" applyNumberFormat="1" applyFont="1" applyFill="1" applyBorder="1" applyAlignment="1"/>
    <xf numFmtId="167" fontId="1" fillId="0" borderId="0" xfId="0" applyNumberFormat="1" applyFont="1" applyFill="1" applyAlignment="1"/>
    <xf numFmtId="167" fontId="1" fillId="0" borderId="0" xfId="0" applyNumberFormat="1" applyFont="1" applyFill="1" applyBorder="1" applyAlignment="1"/>
    <xf numFmtId="183" fontId="69" fillId="0" borderId="0" xfId="0" applyNumberFormat="1" applyFont="1" applyFill="1" applyAlignment="1"/>
    <xf numFmtId="167" fontId="26" fillId="0" borderId="0" xfId="0" applyNumberFormat="1" applyFont="1" applyFill="1" applyAlignment="1"/>
    <xf numFmtId="167" fontId="40" fillId="0" borderId="0" xfId="0" applyNumberFormat="1" applyFont="1" applyFill="1" applyBorder="1" applyAlignment="1"/>
    <xf numFmtId="210" fontId="69" fillId="0" borderId="0" xfId="0" applyNumberFormat="1" applyFont="1" applyFill="1" applyAlignment="1"/>
    <xf numFmtId="167" fontId="11" fillId="0" borderId="0" xfId="0" applyNumberFormat="1" applyFont="1" applyFill="1" applyAlignment="1"/>
    <xf numFmtId="0" fontId="0" fillId="0" borderId="0" xfId="0" applyFill="1" applyBorder="1" applyAlignment="1"/>
    <xf numFmtId="167" fontId="40" fillId="0" borderId="6" xfId="0" applyNumberFormat="1" applyFont="1" applyFill="1" applyBorder="1" applyAlignment="1"/>
    <xf numFmtId="167" fontId="40" fillId="0" borderId="6" xfId="0" applyNumberFormat="1" applyFont="1" applyFill="1" applyBorder="1" applyAlignment="1">
      <alignment horizontal="right"/>
    </xf>
    <xf numFmtId="0" fontId="57" fillId="0" borderId="0" xfId="0" applyFont="1" applyFill="1" applyBorder="1" applyAlignment="1">
      <alignment horizontal="right"/>
    </xf>
    <xf numFmtId="216" fontId="11" fillId="0" borderId="0" xfId="0" applyNumberFormat="1" applyFont="1" applyBorder="1"/>
    <xf numFmtId="216" fontId="3" fillId="0" borderId="0" xfId="0" applyNumberFormat="1" applyFont="1"/>
    <xf numFmtId="10" fontId="11" fillId="0" borderId="0" xfId="0" applyNumberFormat="1" applyFont="1" applyBorder="1"/>
    <xf numFmtId="167" fontId="1" fillId="5" borderId="0" xfId="0" applyNumberFormat="1" applyFont="1" applyFill="1"/>
    <xf numFmtId="6" fontId="1" fillId="5" borderId="0" xfId="0" applyNumberFormat="1" applyFont="1" applyFill="1"/>
    <xf numFmtId="167" fontId="26" fillId="5" borderId="0" xfId="0" applyNumberFormat="1" applyFont="1" applyFill="1"/>
    <xf numFmtId="10" fontId="83" fillId="0" borderId="0" xfId="0" applyNumberFormat="1" applyFont="1" applyFill="1"/>
    <xf numFmtId="166" fontId="47" fillId="0" borderId="0" xfId="0" applyNumberFormat="1" applyFont="1" applyFill="1" applyAlignment="1">
      <alignment horizontal="right"/>
    </xf>
    <xf numFmtId="174" fontId="1" fillId="0" borderId="0" xfId="0" applyNumberFormat="1" applyFont="1" applyFill="1"/>
    <xf numFmtId="164" fontId="148" fillId="0" borderId="0" xfId="0" applyNumberFormat="1" applyFont="1" applyFill="1" applyBorder="1"/>
    <xf numFmtId="167" fontId="26" fillId="5" borderId="0" xfId="51" applyNumberFormat="1" applyFont="1" applyFill="1"/>
    <xf numFmtId="39" fontId="0" fillId="0" borderId="0" xfId="0" applyNumberFormat="1"/>
    <xf numFmtId="5" fontId="133" fillId="8" borderId="0" xfId="0" applyNumberFormat="1" applyFont="1" applyFill="1"/>
    <xf numFmtId="167" fontId="0" fillId="8" borderId="0" xfId="0" applyNumberFormat="1" applyFill="1"/>
    <xf numFmtId="9" fontId="133" fillId="8" borderId="0" xfId="0" applyNumberFormat="1" applyFont="1" applyFill="1"/>
    <xf numFmtId="9" fontId="133" fillId="8" borderId="0" xfId="0" applyNumberFormat="1" applyFont="1" applyFill="1" applyBorder="1"/>
    <xf numFmtId="1" fontId="133" fillId="8" borderId="0" xfId="0" applyNumberFormat="1" applyFont="1" applyFill="1"/>
    <xf numFmtId="2" fontId="133" fillId="8" borderId="0" xfId="0" applyNumberFormat="1" applyFont="1" applyFill="1"/>
    <xf numFmtId="10" fontId="133" fillId="8" borderId="0" xfId="0" applyNumberFormat="1" applyFont="1" applyFill="1"/>
    <xf numFmtId="0" fontId="26" fillId="8" borderId="0" xfId="0" applyFont="1" applyFill="1" applyAlignment="1">
      <alignment horizontal="left" indent="1"/>
    </xf>
    <xf numFmtId="216" fontId="3" fillId="8" borderId="0" xfId="0" applyNumberFormat="1" applyFont="1" applyFill="1"/>
    <xf numFmtId="164" fontId="53" fillId="4" borderId="0" xfId="0" applyNumberFormat="1" applyFont="1" applyFill="1"/>
    <xf numFmtId="5" fontId="1" fillId="8" borderId="0" xfId="0" applyNumberFormat="1" applyFont="1" applyFill="1"/>
    <xf numFmtId="216" fontId="49" fillId="5" borderId="0" xfId="0" applyNumberFormat="1" applyFont="1" applyFill="1"/>
    <xf numFmtId="1" fontId="49" fillId="0" borderId="0" xfId="0" applyNumberFormat="1" applyFont="1" applyFill="1"/>
    <xf numFmtId="216" fontId="83" fillId="0" borderId="0" xfId="0" applyNumberFormat="1" applyFont="1" applyFill="1"/>
    <xf numFmtId="0" fontId="0" fillId="8" borderId="0" xfId="0" applyFill="1" applyAlignment="1">
      <alignment horizontal="left" indent="1"/>
    </xf>
    <xf numFmtId="5" fontId="48" fillId="8" borderId="0" xfId="0" applyNumberFormat="1" applyFont="1" applyFill="1"/>
    <xf numFmtId="216" fontId="83" fillId="4" borderId="0" xfId="0" applyNumberFormat="1" applyFont="1" applyFill="1"/>
    <xf numFmtId="37" fontId="11" fillId="0" borderId="6" xfId="0" applyNumberFormat="1" applyFont="1" applyBorder="1"/>
    <xf numFmtId="37" fontId="148" fillId="0" borderId="0" xfId="0" applyNumberFormat="1" applyFont="1" applyBorder="1"/>
    <xf numFmtId="0" fontId="3" fillId="0" borderId="6" xfId="0" applyFont="1" applyBorder="1"/>
    <xf numFmtId="1" fontId="84" fillId="8" borderId="0" xfId="0" applyNumberFormat="1" applyFont="1" applyFill="1"/>
    <xf numFmtId="173" fontId="47" fillId="8" borderId="0" xfId="0" applyNumberFormat="1" applyFont="1" applyFill="1"/>
    <xf numFmtId="37" fontId="53" fillId="8" borderId="0" xfId="0" applyNumberFormat="1" applyFont="1" applyFill="1"/>
    <xf numFmtId="167" fontId="130" fillId="0" borderId="0" xfId="0" applyNumberFormat="1" applyFont="1" applyFill="1"/>
    <xf numFmtId="216" fontId="84" fillId="13" borderId="0" xfId="0" applyNumberFormat="1" applyFont="1" applyFill="1"/>
    <xf numFmtId="0" fontId="0" fillId="0" borderId="13" xfId="0" applyBorder="1"/>
    <xf numFmtId="0" fontId="0" fillId="0" borderId="2" xfId="0" applyBorder="1" applyAlignment="1">
      <alignment horizontal="right"/>
    </xf>
    <xf numFmtId="164" fontId="48" fillId="4" borderId="0" xfId="0" applyNumberFormat="1" applyFont="1" applyFill="1"/>
    <xf numFmtId="164" fontId="149" fillId="0" borderId="0" xfId="0" applyNumberFormat="1" applyFont="1" applyFill="1"/>
    <xf numFmtId="0" fontId="48" fillId="5" borderId="0" xfId="0" applyFont="1" applyFill="1"/>
    <xf numFmtId="165" fontId="133" fillId="0" borderId="0" xfId="0" applyNumberFormat="1" applyFont="1" applyFill="1" applyBorder="1"/>
    <xf numFmtId="216" fontId="11" fillId="0" borderId="0" xfId="0" applyNumberFormat="1" applyFont="1" applyFill="1"/>
    <xf numFmtId="216" fontId="68" fillId="0" borderId="0" xfId="0" applyNumberFormat="1" applyFont="1" applyFill="1"/>
    <xf numFmtId="164" fontId="150" fillId="0" borderId="0" xfId="0" applyNumberFormat="1" applyFont="1" applyFill="1"/>
    <xf numFmtId="164" fontId="96" fillId="4" borderId="0" xfId="0" applyNumberFormat="1" applyFont="1" applyFill="1"/>
    <xf numFmtId="165" fontId="48" fillId="0" borderId="0" xfId="0" applyNumberFormat="1" applyFont="1" applyFill="1"/>
    <xf numFmtId="0" fontId="57" fillId="9" borderId="0" xfId="0" applyFont="1" applyFill="1" applyBorder="1" applyAlignment="1"/>
    <xf numFmtId="0" fontId="57" fillId="9" borderId="45" xfId="0" applyFont="1" applyFill="1" applyBorder="1" applyAlignment="1">
      <alignment horizontal="centerContinuous"/>
    </xf>
    <xf numFmtId="216" fontId="26" fillId="0" borderId="0" xfId="0" applyNumberFormat="1" applyFont="1"/>
    <xf numFmtId="216" fontId="151" fillId="0" borderId="0" xfId="0" applyNumberFormat="1" applyFont="1"/>
    <xf numFmtId="166" fontId="50" fillId="0" borderId="0" xfId="0" applyNumberFormat="1" applyFont="1"/>
    <xf numFmtId="165" fontId="79" fillId="0" borderId="0" xfId="0" applyNumberFormat="1" applyFont="1" applyFill="1" applyBorder="1" applyAlignment="1">
      <alignment horizontal="right"/>
    </xf>
    <xf numFmtId="0" fontId="79" fillId="0" borderId="33" xfId="0" applyNumberFormat="1" applyFont="1" applyFill="1" applyBorder="1" applyAlignment="1">
      <alignment horizontal="centerContinuous"/>
    </xf>
    <xf numFmtId="165" fontId="79" fillId="0" borderId="33" xfId="0" applyNumberFormat="1" applyFont="1" applyFill="1" applyBorder="1" applyAlignment="1">
      <alignment horizontal="centerContinuous"/>
    </xf>
    <xf numFmtId="165" fontId="79" fillId="0" borderId="26" xfId="0" applyNumberFormat="1" applyFont="1" applyFill="1" applyBorder="1" applyAlignment="1">
      <alignment horizontal="right"/>
    </xf>
    <xf numFmtId="165" fontId="79" fillId="0" borderId="9" xfId="0" applyNumberFormat="1" applyFont="1" applyFill="1" applyBorder="1" applyAlignment="1">
      <alignment horizontal="right"/>
    </xf>
    <xf numFmtId="165" fontId="79" fillId="0" borderId="28" xfId="0" applyNumberFormat="1" applyFont="1" applyFill="1" applyBorder="1" applyAlignment="1">
      <alignment horizontal="right"/>
    </xf>
    <xf numFmtId="0" fontId="79" fillId="0" borderId="30" xfId="0" applyNumberFormat="1" applyFont="1" applyFill="1" applyBorder="1" applyAlignment="1">
      <alignment horizontal="centerContinuous"/>
    </xf>
    <xf numFmtId="165" fontId="79" fillId="0" borderId="6" xfId="0" applyNumberFormat="1" applyFont="1" applyFill="1" applyBorder="1" applyAlignment="1">
      <alignment horizontal="centerContinuous"/>
    </xf>
    <xf numFmtId="165" fontId="79" fillId="0" borderId="32" xfId="0" applyNumberFormat="1" applyFont="1" applyFill="1" applyBorder="1" applyAlignment="1">
      <alignment horizontal="right"/>
    </xf>
    <xf numFmtId="0" fontId="68" fillId="0" borderId="33" xfId="0" applyFont="1" applyFill="1" applyBorder="1" applyAlignment="1">
      <alignment horizontal="centerContinuous"/>
    </xf>
    <xf numFmtId="0" fontId="68" fillId="0" borderId="26" xfId="0" applyFont="1" applyFill="1" applyBorder="1" applyAlignment="1">
      <alignment horizontal="right"/>
    </xf>
    <xf numFmtId="0" fontId="68" fillId="0" borderId="9" xfId="0" applyFont="1" applyFill="1" applyBorder="1" applyAlignment="1">
      <alignment horizontal="right"/>
    </xf>
    <xf numFmtId="0" fontId="68" fillId="0" borderId="28" xfId="0" applyFont="1" applyFill="1" applyBorder="1" applyAlignment="1">
      <alignment horizontal="right"/>
    </xf>
    <xf numFmtId="216" fontId="3" fillId="0" borderId="0" xfId="0" applyNumberFormat="1" applyFont="1" applyFill="1"/>
    <xf numFmtId="37" fontId="83" fillId="0" borderId="0" xfId="0" applyNumberFormat="1" applyFont="1" applyFill="1" applyBorder="1"/>
    <xf numFmtId="164" fontId="152" fillId="0" borderId="0" xfId="0" applyNumberFormat="1" applyFont="1" applyFill="1"/>
    <xf numFmtId="216" fontId="26" fillId="0" borderId="0" xfId="0" applyNumberFormat="1" applyFont="1" applyFill="1"/>
    <xf numFmtId="0" fontId="153" fillId="0" borderId="0" xfId="0" applyFont="1" applyFill="1"/>
    <xf numFmtId="164" fontId="153" fillId="0" borderId="0" xfId="0" applyNumberFormat="1" applyFont="1" applyFill="1"/>
    <xf numFmtId="173" fontId="26" fillId="0" borderId="0" xfId="0" applyNumberFormat="1" applyFont="1" applyFill="1"/>
    <xf numFmtId="164" fontId="30" fillId="0" borderId="0" xfId="0" applyNumberFormat="1" applyFont="1" applyFill="1"/>
    <xf numFmtId="165" fontId="48" fillId="0" borderId="0" xfId="0" applyNumberFormat="1" applyFont="1" applyFill="1" applyBorder="1"/>
    <xf numFmtId="217" fontId="11" fillId="0" borderId="0" xfId="0" applyNumberFormat="1" applyFont="1" applyFill="1" applyBorder="1"/>
    <xf numFmtId="213" fontId="0" fillId="0" borderId="0" xfId="0" applyNumberFormat="1" applyFill="1"/>
    <xf numFmtId="165" fontId="133" fillId="0" borderId="0" xfId="0" applyNumberFormat="1" applyFont="1" applyFill="1"/>
    <xf numFmtId="165" fontId="133" fillId="0" borderId="9" xfId="0" applyNumberFormat="1" applyFont="1" applyFill="1" applyBorder="1"/>
    <xf numFmtId="168" fontId="0" fillId="5" borderId="0" xfId="0" applyNumberFormat="1" applyFill="1"/>
    <xf numFmtId="39" fontId="0" fillId="0" borderId="0" xfId="0" applyNumberFormat="1" applyFill="1"/>
    <xf numFmtId="167" fontId="85" fillId="0" borderId="0" xfId="51" applyNumberFormat="1" applyFont="1" applyFill="1"/>
    <xf numFmtId="178" fontId="75" fillId="0" borderId="0" xfId="32" applyNumberFormat="1" applyFont="1"/>
    <xf numFmtId="0" fontId="57" fillId="0" borderId="0" xfId="0" applyFont="1" applyFill="1" applyBorder="1" applyAlignment="1">
      <alignment horizontal="centerContinuous"/>
    </xf>
    <xf numFmtId="0" fontId="57" fillId="0" borderId="0" xfId="0" applyFont="1" applyFill="1" applyAlignment="1">
      <alignment horizontal="right"/>
    </xf>
    <xf numFmtId="5" fontId="50" fillId="0" borderId="0" xfId="0" applyNumberFormat="1" applyFont="1" applyFill="1" applyBorder="1" applyAlignment="1">
      <alignment horizontal="right"/>
    </xf>
    <xf numFmtId="9" fontId="50" fillId="0" borderId="0" xfId="0" applyNumberFormat="1" applyFont="1" applyFill="1" applyAlignment="1">
      <alignment horizontal="right"/>
    </xf>
    <xf numFmtId="0" fontId="1" fillId="0" borderId="0" xfId="0" applyFont="1" applyFill="1" applyAlignment="1">
      <alignment horizontal="right"/>
    </xf>
    <xf numFmtId="5" fontId="1" fillId="0" borderId="0" xfId="0" applyNumberFormat="1" applyFont="1" applyFill="1" applyAlignment="1">
      <alignment horizontal="right"/>
    </xf>
    <xf numFmtId="166" fontId="48" fillId="0" borderId="0" xfId="0" applyNumberFormat="1" applyFont="1" applyAlignment="1">
      <alignment horizontal="right"/>
    </xf>
    <xf numFmtId="5" fontId="3" fillId="0" borderId="0" xfId="0" applyNumberFormat="1" applyFont="1" applyFill="1" applyBorder="1" applyAlignment="1">
      <alignment horizontal="right"/>
    </xf>
    <xf numFmtId="167" fontId="26" fillId="0" borderId="0" xfId="0" applyNumberFormat="1" applyFont="1" applyFill="1" applyBorder="1" applyAlignment="1">
      <alignment horizontal="left" indent="1"/>
    </xf>
    <xf numFmtId="37" fontId="3" fillId="0" borderId="0" xfId="0" applyNumberFormat="1" applyFont="1" applyFill="1" applyBorder="1" applyAlignment="1">
      <alignment horizontal="right"/>
    </xf>
    <xf numFmtId="7" fontId="68" fillId="0" borderId="0" xfId="0" applyNumberFormat="1" applyFont="1" applyFill="1" applyBorder="1"/>
    <xf numFmtId="167" fontId="3" fillId="0" borderId="0" xfId="0" applyNumberFormat="1" applyFont="1" applyFill="1" applyAlignment="1">
      <alignment horizontal="left"/>
    </xf>
    <xf numFmtId="167" fontId="3" fillId="0" borderId="0" xfId="0" applyNumberFormat="1" applyFont="1" applyFill="1" applyBorder="1" applyAlignment="1">
      <alignment horizontal="left"/>
    </xf>
    <xf numFmtId="167" fontId="1" fillId="0" borderId="0" xfId="0" applyNumberFormat="1" applyFont="1" applyFill="1" applyAlignment="1">
      <alignment horizontal="left"/>
    </xf>
    <xf numFmtId="167" fontId="1" fillId="0" borderId="0" xfId="0" applyNumberFormat="1" applyFont="1" applyFill="1" applyBorder="1" applyAlignment="1">
      <alignment horizontal="left"/>
    </xf>
    <xf numFmtId="166" fontId="3" fillId="0" borderId="0" xfId="0" applyNumberFormat="1" applyFont="1" applyFill="1" applyAlignment="1">
      <alignment horizontal="right"/>
    </xf>
    <xf numFmtId="165" fontId="3" fillId="0" borderId="0" xfId="0" applyNumberFormat="1" applyFont="1" applyFill="1" applyAlignment="1">
      <alignment horizontal="right"/>
    </xf>
    <xf numFmtId="165" fontId="3" fillId="0" borderId="0" xfId="0" applyNumberFormat="1" applyFont="1" applyFill="1" applyBorder="1" applyAlignment="1">
      <alignment horizontal="right"/>
    </xf>
    <xf numFmtId="166" fontId="1" fillId="0" borderId="0" xfId="0" applyNumberFormat="1" applyFont="1" applyFill="1" applyBorder="1" applyAlignment="1">
      <alignment horizontal="right"/>
    </xf>
    <xf numFmtId="183" fontId="69" fillId="0" borderId="0" xfId="0" applyNumberFormat="1" applyFont="1" applyFill="1" applyBorder="1"/>
    <xf numFmtId="210" fontId="69" fillId="0" borderId="0" xfId="0" applyNumberFormat="1" applyFont="1" applyFill="1" applyBorder="1"/>
    <xf numFmtId="0" fontId="11" fillId="8" borderId="0" xfId="0" applyFont="1" applyFill="1" applyAlignment="1">
      <alignment horizontal="right"/>
    </xf>
    <xf numFmtId="166" fontId="3" fillId="8" borderId="0" xfId="0" applyNumberFormat="1" applyFont="1" applyFill="1" applyAlignment="1">
      <alignment horizontal="right"/>
    </xf>
    <xf numFmtId="167" fontId="3" fillId="8" borderId="0" xfId="0" applyNumberFormat="1" applyFont="1" applyFill="1" applyBorder="1" applyAlignment="1">
      <alignment horizontal="right"/>
    </xf>
    <xf numFmtId="7" fontId="11" fillId="0" borderId="0" xfId="0" applyNumberFormat="1" applyFont="1" applyFill="1" applyBorder="1" applyAlignment="1">
      <alignment horizontal="right"/>
    </xf>
    <xf numFmtId="216" fontId="11" fillId="0" borderId="0" xfId="0" applyNumberFormat="1" applyFont="1" applyFill="1" applyBorder="1"/>
    <xf numFmtId="165" fontId="48" fillId="0" borderId="9" xfId="0" applyNumberFormat="1" applyFont="1" applyFill="1" applyBorder="1"/>
    <xf numFmtId="170" fontId="48" fillId="0" borderId="0" xfId="0" applyNumberFormat="1" applyFont="1" applyFill="1"/>
    <xf numFmtId="216" fontId="0" fillId="0" borderId="0" xfId="0" applyNumberFormat="1"/>
    <xf numFmtId="165" fontId="147" fillId="0" borderId="0" xfId="0" applyNumberFormat="1" applyFont="1" applyFill="1" applyBorder="1"/>
    <xf numFmtId="0" fontId="30" fillId="0" borderId="0" xfId="0" applyFont="1" applyFill="1" applyAlignment="1">
      <alignment horizontal="left"/>
    </xf>
    <xf numFmtId="0" fontId="46" fillId="0" borderId="0" xfId="0" applyFont="1"/>
    <xf numFmtId="164" fontId="22" fillId="0" borderId="0" xfId="0" applyNumberFormat="1" applyFont="1"/>
    <xf numFmtId="168" fontId="26" fillId="0" borderId="0" xfId="0" applyNumberFormat="1" applyFont="1"/>
    <xf numFmtId="168" fontId="26" fillId="13" borderId="0" xfId="0" applyNumberFormat="1" applyFont="1" applyFill="1"/>
    <xf numFmtId="216" fontId="0" fillId="5" borderId="0" xfId="0" applyNumberFormat="1" applyFill="1"/>
    <xf numFmtId="196" fontId="154" fillId="0" borderId="0" xfId="48" applyNumberFormat="1" applyFont="1" applyFill="1"/>
    <xf numFmtId="166" fontId="147" fillId="0" borderId="0" xfId="0" applyNumberFormat="1" applyFont="1" applyAlignment="1">
      <alignment horizontal="right"/>
    </xf>
    <xf numFmtId="165" fontId="147" fillId="0" borderId="0" xfId="0" applyNumberFormat="1" applyFont="1" applyAlignment="1">
      <alignment horizontal="right"/>
    </xf>
    <xf numFmtId="165" fontId="3" fillId="4" borderId="0" xfId="0" applyNumberFormat="1" applyFont="1" applyFill="1"/>
    <xf numFmtId="39" fontId="11" fillId="4" borderId="0" xfId="0" applyNumberFormat="1" applyFont="1" applyFill="1"/>
    <xf numFmtId="37" fontId="3" fillId="0" borderId="0" xfId="0" applyNumberFormat="1" applyFont="1" applyFill="1" applyBorder="1" applyAlignment="1" applyProtection="1">
      <alignment horizontal="left" indent="1"/>
    </xf>
    <xf numFmtId="172" fontId="41" fillId="0" borderId="0" xfId="0" applyNumberFormat="1" applyFont="1" applyFill="1" applyBorder="1"/>
    <xf numFmtId="168" fontId="0" fillId="0" borderId="0" xfId="0" applyNumberFormat="1" applyFill="1" applyBorder="1"/>
    <xf numFmtId="168" fontId="0" fillId="8" borderId="0" xfId="0" applyNumberFormat="1" applyFill="1"/>
    <xf numFmtId="0" fontId="26" fillId="8" borderId="0" xfId="0" applyFont="1" applyFill="1"/>
    <xf numFmtId="9" fontId="18" fillId="0" borderId="0" xfId="0" applyNumberFormat="1" applyFont="1" applyFill="1" applyAlignment="1">
      <alignment horizontal="right"/>
    </xf>
    <xf numFmtId="216" fontId="45" fillId="8" borderId="0" xfId="0" applyNumberFormat="1" applyFont="1" applyFill="1"/>
    <xf numFmtId="216" fontId="84" fillId="8" borderId="0" xfId="0" applyNumberFormat="1" applyFont="1" applyFill="1"/>
    <xf numFmtId="166" fontId="133" fillId="8" borderId="0" xfId="0" applyNumberFormat="1" applyFont="1" applyFill="1"/>
    <xf numFmtId="178" fontId="43" fillId="0" borderId="0" xfId="0" applyNumberFormat="1" applyFont="1"/>
    <xf numFmtId="0" fontId="49" fillId="0" borderId="0" xfId="0" applyFont="1"/>
    <xf numFmtId="178" fontId="11" fillId="0" borderId="0" xfId="0" applyNumberFormat="1" applyFont="1"/>
    <xf numFmtId="0" fontId="11" fillId="16" borderId="0" xfId="0" applyFont="1" applyFill="1" applyAlignment="1">
      <alignment horizontal="centerContinuous"/>
    </xf>
    <xf numFmtId="0" fontId="57" fillId="16" borderId="0" xfId="0" applyFont="1" applyFill="1" applyAlignment="1">
      <alignment horizontal="centerContinuous"/>
    </xf>
    <xf numFmtId="0" fontId="57" fillId="16" borderId="0" xfId="0" applyFont="1" applyFill="1"/>
    <xf numFmtId="218" fontId="57" fillId="16" borderId="0" xfId="0" applyNumberFormat="1" applyFont="1" applyFill="1"/>
    <xf numFmtId="219" fontId="57" fillId="16" borderId="0" xfId="0" applyNumberFormat="1" applyFont="1" applyFill="1"/>
    <xf numFmtId="0" fontId="18" fillId="0" borderId="0" xfId="0" applyFont="1"/>
    <xf numFmtId="216" fontId="3" fillId="0" borderId="0" xfId="38" applyNumberFormat="1" applyFont="1"/>
    <xf numFmtId="37" fontId="3" fillId="0" borderId="0" xfId="38" applyNumberFormat="1" applyFont="1"/>
    <xf numFmtId="0" fontId="156" fillId="0" borderId="0" xfId="38" applyFont="1" applyFill="1" applyBorder="1" applyAlignment="1">
      <alignment horizontal="center"/>
    </xf>
    <xf numFmtId="0" fontId="52" fillId="0" borderId="0" xfId="38" applyFont="1" applyFill="1" applyBorder="1" applyAlignment="1">
      <alignment horizontal="center"/>
    </xf>
    <xf numFmtId="0" fontId="13" fillId="0" borderId="6" xfId="38" applyFont="1" applyFill="1" applyBorder="1" applyAlignment="1">
      <alignment horizontal="center" vertical="center"/>
    </xf>
    <xf numFmtId="0" fontId="13" fillId="0" borderId="33" xfId="38" applyFont="1" applyFill="1" applyBorder="1" applyAlignment="1">
      <alignment horizontal="right" vertical="center"/>
    </xf>
    <xf numFmtId="0" fontId="13" fillId="0" borderId="3" xfId="38" applyFont="1" applyFill="1" applyBorder="1" applyAlignment="1">
      <alignment horizontal="center" vertical="center"/>
    </xf>
    <xf numFmtId="0" fontId="13" fillId="0" borderId="26" xfId="38" applyFont="1" applyFill="1" applyBorder="1" applyAlignment="1">
      <alignment horizontal="center" vertical="center"/>
    </xf>
    <xf numFmtId="0" fontId="13" fillId="0" borderId="9" xfId="38" applyFont="1" applyFill="1" applyBorder="1" applyAlignment="1">
      <alignment horizontal="center" vertical="center"/>
    </xf>
    <xf numFmtId="0" fontId="13" fillId="0" borderId="9" xfId="38" applyFont="1" applyFill="1" applyBorder="1" applyAlignment="1">
      <alignment horizontal="right" vertical="center"/>
    </xf>
    <xf numFmtId="0" fontId="13" fillId="0" borderId="28" xfId="38" applyFont="1" applyFill="1" applyBorder="1" applyAlignment="1">
      <alignment horizontal="right" vertical="center"/>
    </xf>
    <xf numFmtId="0" fontId="13" fillId="0" borderId="4" xfId="38" applyFont="1" applyFill="1" applyBorder="1" applyAlignment="1">
      <alignment horizontal="right" vertical="center"/>
    </xf>
    <xf numFmtId="0" fontId="159" fillId="16" borderId="6" xfId="38" applyFont="1" applyFill="1" applyBorder="1" applyAlignment="1">
      <alignment vertical="center"/>
    </xf>
    <xf numFmtId="0" fontId="159" fillId="16" borderId="6" xfId="38" applyFont="1" applyFill="1" applyBorder="1" applyAlignment="1">
      <alignment horizontal="center" vertical="center"/>
    </xf>
    <xf numFmtId="0" fontId="159" fillId="16" borderId="6" xfId="38" applyFont="1" applyFill="1" applyBorder="1" applyAlignment="1">
      <alignment horizontal="right" vertical="center"/>
    </xf>
    <xf numFmtId="0" fontId="159" fillId="16" borderId="3" xfId="38" applyFont="1" applyFill="1" applyBorder="1" applyAlignment="1">
      <alignment horizontal="center" vertical="center"/>
    </xf>
    <xf numFmtId="0" fontId="159" fillId="16" borderId="3" xfId="38" applyFont="1" applyFill="1" applyBorder="1" applyAlignment="1">
      <alignment horizontal="right" vertical="center"/>
    </xf>
    <xf numFmtId="164" fontId="160" fillId="16" borderId="6" xfId="23" applyNumberFormat="1" applyFont="1" applyFill="1" applyBorder="1" applyAlignment="1">
      <alignment horizontal="center" vertical="center"/>
    </xf>
    <xf numFmtId="0" fontId="161" fillId="16" borderId="30" xfId="38" applyFont="1" applyFill="1" applyBorder="1" applyAlignment="1">
      <alignment vertical="center"/>
    </xf>
    <xf numFmtId="0" fontId="52" fillId="0" borderId="0" xfId="38" applyFont="1" applyFill="1" applyAlignment="1">
      <alignment horizontal="center"/>
    </xf>
    <xf numFmtId="0" fontId="52" fillId="0" borderId="15" xfId="38" applyFont="1" applyBorder="1" applyAlignment="1">
      <alignment horizontal="left" vertical="center"/>
    </xf>
    <xf numFmtId="0" fontId="52" fillId="0" borderId="0" xfId="38" applyFont="1" applyFill="1" applyBorder="1" applyAlignment="1">
      <alignment horizontal="left" vertical="center" indent="1"/>
    </xf>
    <xf numFmtId="167" fontId="52" fillId="0" borderId="0" xfId="38" applyNumberFormat="1" applyFont="1" applyFill="1" applyBorder="1" applyAlignment="1">
      <alignment vertical="center"/>
    </xf>
    <xf numFmtId="167" fontId="162" fillId="0" borderId="0" xfId="38" applyNumberFormat="1" applyFont="1" applyFill="1" applyBorder="1" applyAlignment="1">
      <alignment vertical="center"/>
    </xf>
    <xf numFmtId="167" fontId="52" fillId="0" borderId="0" xfId="38" applyNumberFormat="1" applyFont="1" applyFill="1" applyBorder="1" applyAlignment="1">
      <alignment horizontal="right" vertical="center"/>
    </xf>
    <xf numFmtId="220" fontId="52" fillId="0" borderId="27" xfId="53" applyNumberFormat="1" applyFont="1" applyFill="1" applyBorder="1" applyAlignment="1">
      <alignment vertical="center"/>
    </xf>
    <xf numFmtId="167" fontId="52" fillId="0" borderId="27" xfId="38" applyNumberFormat="1" applyFont="1" applyFill="1" applyBorder="1" applyAlignment="1">
      <alignment horizontal="right" vertical="center"/>
    </xf>
    <xf numFmtId="167" fontId="52" fillId="0" borderId="50" xfId="38" applyNumberFormat="1" applyFont="1" applyFill="1" applyBorder="1" applyAlignment="1">
      <alignment vertical="center"/>
    </xf>
    <xf numFmtId="167" fontId="162" fillId="0" borderId="50" xfId="38" applyNumberFormat="1" applyFont="1" applyFill="1" applyBorder="1" applyAlignment="1">
      <alignment vertical="center"/>
    </xf>
    <xf numFmtId="167" fontId="52" fillId="0" borderId="50" xfId="38" applyNumberFormat="1" applyFont="1" applyFill="1" applyBorder="1" applyAlignment="1">
      <alignment horizontal="right" vertical="center"/>
    </xf>
    <xf numFmtId="220" fontId="52" fillId="0" borderId="51" xfId="53" applyNumberFormat="1" applyFont="1" applyFill="1" applyBorder="1" applyAlignment="1">
      <alignment vertical="center"/>
    </xf>
    <xf numFmtId="167" fontId="52" fillId="0" borderId="51" xfId="38" applyNumberFormat="1" applyFont="1" applyFill="1" applyBorder="1" applyAlignment="1">
      <alignment horizontal="right" vertical="center"/>
    </xf>
    <xf numFmtId="167" fontId="52" fillId="0" borderId="52" xfId="38" applyNumberFormat="1" applyFont="1" applyFill="1" applyBorder="1" applyAlignment="1">
      <alignment vertical="center"/>
    </xf>
    <xf numFmtId="165" fontId="52" fillId="0" borderId="53" xfId="53" applyNumberFormat="1" applyFont="1" applyFill="1" applyBorder="1" applyAlignment="1">
      <alignment vertical="center"/>
    </xf>
    <xf numFmtId="167" fontId="52" fillId="0" borderId="54" xfId="38" applyNumberFormat="1" applyFont="1" applyFill="1" applyBorder="1" applyAlignment="1">
      <alignment vertical="center"/>
    </xf>
    <xf numFmtId="165" fontId="52" fillId="0" borderId="55" xfId="53" applyNumberFormat="1" applyFont="1" applyFill="1" applyBorder="1" applyAlignment="1">
      <alignment vertical="center"/>
    </xf>
    <xf numFmtId="167" fontId="52" fillId="0" borderId="0" xfId="53" applyNumberFormat="1" applyFont="1" applyFill="1" applyBorder="1" applyAlignment="1">
      <alignment vertical="center"/>
    </xf>
    <xf numFmtId="167" fontId="52" fillId="0" borderId="0" xfId="53" applyNumberFormat="1" applyFont="1" applyFill="1" applyBorder="1" applyAlignment="1">
      <alignment horizontal="right" vertical="center"/>
    </xf>
    <xf numFmtId="167" fontId="52" fillId="0" borderId="27" xfId="53" applyNumberFormat="1" applyFont="1" applyFill="1" applyBorder="1" applyAlignment="1">
      <alignment horizontal="right" vertical="center"/>
    </xf>
    <xf numFmtId="167" fontId="52" fillId="0" borderId="52" xfId="53" applyNumberFormat="1" applyFont="1" applyFill="1" applyBorder="1" applyAlignment="1">
      <alignment vertical="center"/>
    </xf>
    <xf numFmtId="7" fontId="162" fillId="0" borderId="52" xfId="53" applyNumberFormat="1" applyFont="1" applyFill="1" applyBorder="1" applyAlignment="1">
      <alignment vertical="center"/>
    </xf>
    <xf numFmtId="7" fontId="162" fillId="0" borderId="52" xfId="53" applyNumberFormat="1" applyFont="1" applyFill="1" applyBorder="1" applyAlignment="1">
      <alignment horizontal="right" vertical="center"/>
    </xf>
    <xf numFmtId="7" fontId="52" fillId="0" borderId="53" xfId="53" applyNumberFormat="1" applyFont="1" applyFill="1" applyBorder="1" applyAlignment="1">
      <alignment vertical="center"/>
    </xf>
    <xf numFmtId="7" fontId="73" fillId="0" borderId="53" xfId="53" applyNumberFormat="1" applyFont="1" applyFill="1" applyBorder="1" applyAlignment="1">
      <alignment horizontal="right" vertical="center"/>
    </xf>
    <xf numFmtId="37" fontId="52" fillId="0" borderId="52" xfId="53" applyNumberFormat="1" applyFont="1" applyFill="1" applyBorder="1" applyAlignment="1">
      <alignment vertical="center"/>
    </xf>
    <xf numFmtId="165" fontId="52" fillId="0" borderId="52" xfId="53" applyNumberFormat="1" applyFont="1" applyFill="1" applyBorder="1" applyAlignment="1">
      <alignment horizontal="right" vertical="center"/>
    </xf>
    <xf numFmtId="165" fontId="52" fillId="0" borderId="56" xfId="53" applyNumberFormat="1" applyFont="1" applyFill="1" applyBorder="1" applyAlignment="1">
      <alignment horizontal="right" vertical="center"/>
    </xf>
    <xf numFmtId="165" fontId="52" fillId="0" borderId="53" xfId="53" applyNumberFormat="1" applyFont="1" applyFill="1" applyBorder="1" applyAlignment="1">
      <alignment horizontal="right" vertical="center"/>
    </xf>
    <xf numFmtId="165" fontId="52" fillId="0" borderId="27" xfId="53" applyNumberFormat="1" applyFont="1" applyFill="1" applyBorder="1" applyAlignment="1">
      <alignment vertical="center"/>
    </xf>
    <xf numFmtId="37" fontId="162" fillId="0" borderId="0" xfId="53" applyNumberFormat="1" applyFont="1" applyFill="1" applyBorder="1" applyAlignment="1">
      <alignment vertical="center"/>
    </xf>
    <xf numFmtId="165" fontId="162" fillId="0" borderId="0" xfId="53" applyNumberFormat="1" applyFont="1" applyFill="1" applyBorder="1" applyAlignment="1">
      <alignment horizontal="right" vertical="center"/>
    </xf>
    <xf numFmtId="165" fontId="73" fillId="0" borderId="27" xfId="53" applyNumberFormat="1" applyFont="1" applyFill="1" applyBorder="1" applyAlignment="1">
      <alignment horizontal="right" vertical="center"/>
    </xf>
    <xf numFmtId="0" fontId="52" fillId="0" borderId="0" xfId="38" applyFont="1" applyFill="1" applyBorder="1" applyAlignment="1">
      <alignment horizontal="left" vertical="center"/>
    </xf>
    <xf numFmtId="37" fontId="163" fillId="0" borderId="0" xfId="53" applyNumberFormat="1" applyFont="1" applyFill="1" applyBorder="1" applyAlignment="1">
      <alignment vertical="center"/>
    </xf>
    <xf numFmtId="37" fontId="163" fillId="0" borderId="0" xfId="53" applyNumberFormat="1" applyFont="1" applyFill="1" applyBorder="1" applyAlignment="1">
      <alignment horizontal="right" vertical="center"/>
    </xf>
    <xf numFmtId="37" fontId="52" fillId="0" borderId="27" xfId="53" applyNumberFormat="1" applyFont="1" applyFill="1" applyBorder="1" applyAlignment="1">
      <alignment vertical="center"/>
    </xf>
    <xf numFmtId="167" fontId="156" fillId="0" borderId="0" xfId="53" applyNumberFormat="1" applyFont="1" applyFill="1" applyBorder="1" applyAlignment="1">
      <alignment horizontal="centerContinuous" vertical="center"/>
    </xf>
    <xf numFmtId="5" fontId="162" fillId="0" borderId="0" xfId="47" applyNumberFormat="1" applyFont="1" applyFill="1" applyBorder="1" applyAlignment="1">
      <alignment horizontal="center" vertical="center"/>
    </xf>
    <xf numFmtId="220" fontId="52" fillId="0" borderId="0" xfId="53" applyNumberFormat="1" applyFont="1" applyFill="1" applyBorder="1" applyAlignment="1">
      <alignment vertical="center"/>
    </xf>
    <xf numFmtId="166" fontId="162" fillId="0" borderId="0" xfId="47" applyNumberFormat="1" applyFont="1" applyFill="1" applyBorder="1" applyAlignment="1">
      <alignment horizontal="center" vertical="center"/>
    </xf>
    <xf numFmtId="166" fontId="73" fillId="0" borderId="0" xfId="47" applyNumberFormat="1" applyFont="1" applyFill="1" applyBorder="1" applyAlignment="1">
      <alignment horizontal="center" vertical="center"/>
    </xf>
    <xf numFmtId="167" fontId="52" fillId="0" borderId="6" xfId="53" applyNumberFormat="1" applyFont="1" applyFill="1" applyBorder="1" applyAlignment="1">
      <alignment horizontal="right" vertical="center"/>
    </xf>
    <xf numFmtId="220" fontId="52" fillId="0" borderId="6" xfId="53" applyNumberFormat="1" applyFont="1" applyFill="1" applyBorder="1" applyAlignment="1">
      <alignment vertical="center"/>
    </xf>
    <xf numFmtId="165" fontId="52" fillId="0" borderId="27" xfId="53" applyNumberFormat="1" applyFont="1" applyFill="1" applyBorder="1" applyAlignment="1">
      <alignment horizontal="right" vertical="center"/>
    </xf>
    <xf numFmtId="165" fontId="162" fillId="0" borderId="0" xfId="53" applyNumberFormat="1" applyFont="1" applyFill="1" applyBorder="1" applyAlignment="1">
      <alignment vertical="center"/>
    </xf>
    <xf numFmtId="165" fontId="52" fillId="0" borderId="52" xfId="53" applyNumberFormat="1" applyFont="1" applyFill="1" applyBorder="1" applyAlignment="1">
      <alignment vertical="center"/>
    </xf>
    <xf numFmtId="165" fontId="73" fillId="0" borderId="0" xfId="53" applyNumberFormat="1" applyFont="1" applyFill="1" applyBorder="1" applyAlignment="1">
      <alignment horizontal="right" vertical="center"/>
    </xf>
    <xf numFmtId="5" fontId="163" fillId="0" borderId="0" xfId="53" applyNumberFormat="1" applyFont="1" applyFill="1" applyBorder="1" applyAlignment="1">
      <alignment vertical="center"/>
    </xf>
    <xf numFmtId="5" fontId="163" fillId="0" borderId="0" xfId="53" applyNumberFormat="1" applyFont="1" applyFill="1" applyBorder="1" applyAlignment="1">
      <alignment horizontal="right" vertical="center"/>
    </xf>
    <xf numFmtId="9" fontId="163" fillId="0" borderId="0" xfId="53" applyNumberFormat="1" applyFont="1" applyFill="1" applyBorder="1" applyAlignment="1">
      <alignment vertical="center"/>
    </xf>
    <xf numFmtId="9" fontId="163" fillId="0" borderId="0" xfId="53" applyNumberFormat="1" applyFont="1" applyFill="1" applyBorder="1" applyAlignment="1">
      <alignment horizontal="right" vertical="center"/>
    </xf>
    <xf numFmtId="0" fontId="8" fillId="0" borderId="0" xfId="38" applyFont="1" applyFill="1" applyBorder="1" applyAlignment="1">
      <alignment horizontal="left" vertical="center"/>
    </xf>
    <xf numFmtId="0" fontId="8" fillId="0" borderId="6" xfId="38" applyFont="1" applyFill="1" applyBorder="1" applyAlignment="1">
      <alignment horizontal="left" vertical="center"/>
    </xf>
    <xf numFmtId="5" fontId="162" fillId="0" borderId="6" xfId="47" applyNumberFormat="1" applyFont="1" applyFill="1" applyBorder="1" applyAlignment="1">
      <alignment horizontal="center" vertical="center"/>
    </xf>
    <xf numFmtId="166" fontId="162" fillId="0" borderId="6" xfId="47" applyNumberFormat="1" applyFont="1" applyFill="1" applyBorder="1" applyAlignment="1">
      <alignment horizontal="center" vertical="center"/>
    </xf>
    <xf numFmtId="166" fontId="73" fillId="0" borderId="6" xfId="47" applyNumberFormat="1" applyFont="1" applyFill="1" applyBorder="1" applyAlignment="1">
      <alignment horizontal="center" vertical="center"/>
    </xf>
    <xf numFmtId="167" fontId="52" fillId="0" borderId="6" xfId="53" applyNumberFormat="1" applyFont="1" applyFill="1" applyBorder="1" applyAlignment="1">
      <alignment horizontal="left" vertical="center"/>
    </xf>
    <xf numFmtId="5" fontId="73" fillId="0" borderId="0" xfId="53" applyNumberFormat="1" applyFont="1" applyFill="1" applyBorder="1" applyAlignment="1">
      <alignment horizontal="centerContinuous" vertical="center"/>
    </xf>
    <xf numFmtId="37" fontId="3" fillId="0" borderId="0" xfId="38" applyNumberFormat="1" applyFont="1" applyBorder="1"/>
    <xf numFmtId="0" fontId="156" fillId="0" borderId="0" xfId="38" applyFont="1" applyFill="1" applyAlignment="1">
      <alignment horizontal="centerContinuous"/>
    </xf>
    <xf numFmtId="37" fontId="30" fillId="0" borderId="0" xfId="38" applyNumberFormat="1" applyFont="1" applyAlignment="1">
      <alignment horizontal="center"/>
    </xf>
    <xf numFmtId="216" fontId="20" fillId="0" borderId="0" xfId="53" applyNumberFormat="1" applyFont="1" applyFill="1" applyBorder="1" applyAlignment="1">
      <alignment horizontal="centerContinuous" vertical="center"/>
    </xf>
    <xf numFmtId="37" fontId="26" fillId="0" borderId="0" xfId="38" applyNumberFormat="1" applyFont="1" applyAlignment="1">
      <alignment vertical="center"/>
    </xf>
    <xf numFmtId="0" fontId="20" fillId="0" borderId="0" xfId="38" applyFont="1" applyFill="1" applyAlignment="1">
      <alignment horizontal="center" vertical="center"/>
    </xf>
    <xf numFmtId="216" fontId="20" fillId="0" borderId="0" xfId="38" applyNumberFormat="1" applyFont="1" applyAlignment="1">
      <alignment horizontal="centerContinuous" vertical="center"/>
    </xf>
    <xf numFmtId="167" fontId="26" fillId="0" borderId="0" xfId="0" applyNumberFormat="1" applyFont="1" applyAlignment="1">
      <alignment horizontal="centerContinuous" vertical="center"/>
    </xf>
    <xf numFmtId="165" fontId="130" fillId="0" borderId="0" xfId="0" applyNumberFormat="1" applyFont="1" applyAlignment="1">
      <alignment horizontal="centerContinuous" vertical="center"/>
    </xf>
    <xf numFmtId="216" fontId="20" fillId="0" borderId="0" xfId="0" applyNumberFormat="1" applyFont="1" applyAlignment="1">
      <alignment horizontal="center" vertical="center"/>
    </xf>
    <xf numFmtId="165" fontId="162" fillId="0" borderId="0" xfId="38" applyNumberFormat="1" applyFont="1" applyAlignment="1">
      <alignment horizontal="centerContinuous" vertical="center"/>
    </xf>
    <xf numFmtId="165" fontId="73" fillId="0" borderId="0" xfId="47" applyNumberFormat="1" applyFont="1" applyFill="1" applyBorder="1" applyAlignment="1">
      <alignment horizontal="center" vertical="center"/>
    </xf>
    <xf numFmtId="37" fontId="26" fillId="0" borderId="0" xfId="38" applyNumberFormat="1" applyFont="1" applyAlignment="1">
      <alignment horizontal="center" vertical="center"/>
    </xf>
    <xf numFmtId="165" fontId="73" fillId="0" borderId="52" xfId="53" applyNumberFormat="1" applyFont="1" applyFill="1" applyBorder="1" applyAlignment="1">
      <alignment horizontal="right" vertical="center"/>
    </xf>
    <xf numFmtId="167" fontId="52" fillId="0" borderId="57" xfId="53" applyNumberFormat="1" applyFont="1" applyFill="1" applyBorder="1" applyAlignment="1">
      <alignment vertical="center"/>
    </xf>
    <xf numFmtId="167" fontId="163" fillId="0" borderId="57" xfId="53" applyNumberFormat="1" applyFont="1" applyFill="1" applyBorder="1" applyAlignment="1">
      <alignment vertical="center"/>
    </xf>
    <xf numFmtId="167" fontId="163" fillId="0" borderId="57" xfId="53" applyNumberFormat="1" applyFont="1" applyFill="1" applyBorder="1" applyAlignment="1">
      <alignment horizontal="right" vertical="center"/>
    </xf>
    <xf numFmtId="220" fontId="52" fillId="0" borderId="58" xfId="53" applyNumberFormat="1" applyFont="1" applyFill="1" applyBorder="1" applyAlignment="1">
      <alignment vertical="center"/>
    </xf>
    <xf numFmtId="167" fontId="73" fillId="0" borderId="59" xfId="53" applyNumberFormat="1" applyFont="1" applyFill="1" applyBorder="1" applyAlignment="1">
      <alignment horizontal="right" vertical="center"/>
    </xf>
    <xf numFmtId="7" fontId="52" fillId="0" borderId="0" xfId="38" applyNumberFormat="1" applyFont="1" applyFill="1" applyBorder="1" applyAlignment="1">
      <alignment vertical="center"/>
    </xf>
    <xf numFmtId="165" fontId="52" fillId="0" borderId="0" xfId="53" applyNumberFormat="1" applyFont="1" applyFill="1" applyBorder="1" applyAlignment="1">
      <alignment vertical="center"/>
    </xf>
    <xf numFmtId="165" fontId="52" fillId="0" borderId="0" xfId="53" applyNumberFormat="1" applyFont="1" applyFill="1" applyBorder="1" applyAlignment="1">
      <alignment horizontal="right" vertical="center"/>
    </xf>
    <xf numFmtId="165" fontId="162" fillId="0" borderId="54" xfId="53" applyNumberFormat="1" applyFont="1" applyFill="1" applyBorder="1" applyAlignment="1">
      <alignment vertical="center"/>
    </xf>
    <xf numFmtId="165" fontId="162" fillId="0" borderId="54" xfId="53" applyNumberFormat="1" applyFont="1" applyFill="1" applyBorder="1" applyAlignment="1">
      <alignment horizontal="right" vertical="center"/>
    </xf>
    <xf numFmtId="165" fontId="162" fillId="0" borderId="52" xfId="53" applyNumberFormat="1" applyFont="1" applyFill="1" applyBorder="1" applyAlignment="1">
      <alignment vertical="center"/>
    </xf>
    <xf numFmtId="165" fontId="162" fillId="0" borderId="52" xfId="53" applyNumberFormat="1" applyFont="1" applyFill="1" applyBorder="1" applyAlignment="1">
      <alignment horizontal="right" vertical="center"/>
    </xf>
    <xf numFmtId="165" fontId="73" fillId="0" borderId="53" xfId="53" applyNumberFormat="1" applyFont="1" applyFill="1" applyBorder="1" applyAlignment="1">
      <alignment vertical="center"/>
    </xf>
    <xf numFmtId="41" fontId="162" fillId="0" borderId="52" xfId="53" applyNumberFormat="1" applyFont="1" applyFill="1" applyBorder="1" applyAlignment="1">
      <alignment vertical="center"/>
    </xf>
    <xf numFmtId="165" fontId="52" fillId="0" borderId="55" xfId="53" applyNumberFormat="1" applyFont="1" applyFill="1" applyBorder="1" applyAlignment="1">
      <alignment horizontal="right" vertical="center"/>
    </xf>
    <xf numFmtId="37" fontId="3" fillId="0" borderId="15" xfId="38" applyNumberFormat="1" applyFont="1" applyBorder="1" applyAlignment="1">
      <alignment horizontal="left" vertical="center"/>
    </xf>
    <xf numFmtId="41" fontId="52" fillId="0" borderId="52" xfId="53" applyNumberFormat="1" applyFont="1" applyFill="1" applyBorder="1" applyAlignment="1">
      <alignment vertical="center"/>
    </xf>
    <xf numFmtId="167" fontId="52" fillId="0" borderId="9" xfId="53" applyNumberFormat="1" applyFont="1" applyFill="1" applyBorder="1" applyAlignment="1">
      <alignment vertical="center"/>
    </xf>
    <xf numFmtId="165" fontId="162" fillId="0" borderId="9" xfId="53" applyNumberFormat="1" applyFont="1" applyFill="1" applyBorder="1" applyAlignment="1">
      <alignment vertical="center"/>
    </xf>
    <xf numFmtId="37" fontId="162" fillId="0" borderId="52" xfId="53" applyNumberFormat="1" applyFont="1" applyFill="1" applyBorder="1" applyAlignment="1">
      <alignment vertical="center"/>
    </xf>
    <xf numFmtId="9" fontId="156" fillId="0" borderId="0" xfId="47" applyNumberFormat="1" applyFont="1" applyFill="1" applyBorder="1" applyAlignment="1">
      <alignment horizontal="center" vertical="center"/>
    </xf>
    <xf numFmtId="37" fontId="3" fillId="0" borderId="0" xfId="38" applyNumberFormat="1" applyFont="1" applyBorder="1" applyAlignment="1">
      <alignment vertical="center"/>
    </xf>
    <xf numFmtId="37" fontId="3" fillId="0" borderId="0" xfId="38" applyNumberFormat="1" applyFont="1" applyAlignment="1">
      <alignment vertical="center"/>
    </xf>
    <xf numFmtId="0" fontId="20" fillId="0" borderId="0" xfId="38" applyFont="1" applyFill="1" applyBorder="1" applyAlignment="1">
      <alignment horizontal="left" vertical="center"/>
    </xf>
    <xf numFmtId="37" fontId="3" fillId="0" borderId="0" xfId="38" applyNumberFormat="1" applyFont="1" applyAlignment="1">
      <alignment horizontal="center" vertical="center"/>
    </xf>
    <xf numFmtId="166" fontId="76" fillId="0" borderId="0" xfId="0" applyNumberFormat="1" applyFont="1" applyAlignment="1">
      <alignment horizontal="centerContinuous" vertical="center"/>
    </xf>
    <xf numFmtId="167" fontId="73" fillId="0" borderId="0" xfId="53" applyNumberFormat="1" applyFont="1" applyFill="1" applyBorder="1" applyAlignment="1">
      <alignment horizontal="centerContinuous" vertical="center"/>
    </xf>
    <xf numFmtId="165" fontId="52" fillId="0" borderId="0" xfId="0" applyNumberFormat="1" applyFont="1" applyAlignment="1">
      <alignment horizontal="center" vertical="center"/>
    </xf>
    <xf numFmtId="165" fontId="162" fillId="0" borderId="0" xfId="0" applyNumberFormat="1" applyFont="1" applyAlignment="1">
      <alignment horizontal="center" vertical="center"/>
    </xf>
    <xf numFmtId="165" fontId="73" fillId="0" borderId="0" xfId="0" applyNumberFormat="1" applyFont="1" applyAlignment="1">
      <alignment horizontal="center" vertical="center"/>
    </xf>
    <xf numFmtId="166" fontId="3" fillId="0" borderId="0" xfId="0" applyNumberFormat="1" applyFont="1" applyAlignment="1">
      <alignment horizontal="centerContinuous" vertical="center"/>
    </xf>
    <xf numFmtId="167" fontId="20" fillId="0" borderId="0" xfId="53" applyNumberFormat="1" applyFont="1" applyFill="1" applyBorder="1" applyAlignment="1">
      <alignment horizontal="centerContinuous" vertical="center"/>
    </xf>
    <xf numFmtId="165" fontId="76" fillId="0" borderId="0" xfId="0" applyNumberFormat="1" applyFont="1" applyAlignment="1">
      <alignment horizontal="centerContinuous" vertical="center"/>
    </xf>
    <xf numFmtId="166" fontId="76" fillId="0" borderId="0" xfId="0" applyNumberFormat="1" applyFont="1" applyAlignment="1">
      <alignment horizontal="right" vertical="center"/>
    </xf>
    <xf numFmtId="173" fontId="73" fillId="0" borderId="0" xfId="53" applyNumberFormat="1" applyFont="1" applyFill="1" applyBorder="1" applyAlignment="1">
      <alignment horizontal="centerContinuous" vertical="center"/>
    </xf>
    <xf numFmtId="216" fontId="162" fillId="0" borderId="0" xfId="0" applyNumberFormat="1" applyFont="1" applyAlignment="1">
      <alignment horizontal="center" vertical="center"/>
    </xf>
    <xf numFmtId="216" fontId="73" fillId="0" borderId="0" xfId="0" applyNumberFormat="1" applyFont="1" applyAlignment="1">
      <alignment horizontal="center" vertical="center"/>
    </xf>
    <xf numFmtId="9" fontId="166" fillId="0" borderId="53" xfId="47" quotePrefix="1" applyNumberFormat="1" applyFont="1" applyFill="1" applyBorder="1" applyAlignment="1">
      <alignment horizontal="center" vertical="center"/>
    </xf>
    <xf numFmtId="37" fontId="166" fillId="0" borderId="32" xfId="38" applyNumberFormat="1" applyFont="1" applyBorder="1" applyAlignment="1">
      <alignment horizontal="center" vertical="center"/>
    </xf>
    <xf numFmtId="9" fontId="166" fillId="0" borderId="58" xfId="47" applyNumberFormat="1" applyFont="1" applyFill="1" applyBorder="1" applyAlignment="1">
      <alignment horizontal="center" vertical="center"/>
    </xf>
    <xf numFmtId="9" fontId="166" fillId="0" borderId="27" xfId="47" quotePrefix="1" applyNumberFormat="1" applyFont="1" applyFill="1" applyBorder="1" applyAlignment="1">
      <alignment horizontal="center" vertical="center"/>
    </xf>
    <xf numFmtId="9" fontId="166" fillId="0" borderId="55" xfId="47" applyNumberFormat="1" applyFont="1" applyFill="1" applyBorder="1" applyAlignment="1">
      <alignment horizontal="center" vertical="center"/>
    </xf>
    <xf numFmtId="37" fontId="3" fillId="0" borderId="6" xfId="38" applyNumberFormat="1" applyFont="1" applyBorder="1"/>
    <xf numFmtId="37" fontId="49" fillId="0" borderId="0" xfId="38" applyNumberFormat="1" applyFont="1"/>
    <xf numFmtId="37" fontId="52" fillId="0" borderId="57" xfId="38" applyNumberFormat="1" applyFont="1" applyBorder="1" applyAlignment="1">
      <alignment horizontal="left" vertical="center"/>
    </xf>
    <xf numFmtId="37" fontId="52" fillId="0" borderId="0" xfId="38" applyNumberFormat="1" applyFont="1"/>
    <xf numFmtId="37" fontId="3" fillId="0" borderId="32" xfId="38" applyNumberFormat="1" applyFont="1" applyBorder="1"/>
    <xf numFmtId="37" fontId="3" fillId="0" borderId="27" xfId="38" applyNumberFormat="1" applyFont="1" applyBorder="1"/>
    <xf numFmtId="37" fontId="52" fillId="0" borderId="6" xfId="38" applyNumberFormat="1" applyFont="1" applyBorder="1"/>
    <xf numFmtId="165" fontId="3" fillId="0" borderId="0" xfId="38" applyNumberFormat="1" applyFont="1" applyAlignment="1">
      <alignment horizontal="center" vertical="center"/>
    </xf>
    <xf numFmtId="165" fontId="3" fillId="0" borderId="0" xfId="38" applyNumberFormat="1" applyFont="1" applyAlignment="1">
      <alignment horizontal="center"/>
    </xf>
    <xf numFmtId="216" fontId="20" fillId="0" borderId="0" xfId="0" applyNumberFormat="1" applyFont="1" applyAlignment="1">
      <alignment horizontal="centerContinuous" vertical="center"/>
    </xf>
    <xf numFmtId="0" fontId="47" fillId="8" borderId="0" xfId="0" applyFont="1" applyFill="1"/>
    <xf numFmtId="9" fontId="38" fillId="8" borderId="0" xfId="0" applyNumberFormat="1" applyFont="1" applyFill="1"/>
    <xf numFmtId="1" fontId="1" fillId="8" borderId="0" xfId="0" applyNumberFormat="1" applyFont="1" applyFill="1"/>
    <xf numFmtId="167" fontId="38" fillId="0" borderId="0" xfId="51" applyNumberFormat="1" applyFont="1" applyFill="1"/>
    <xf numFmtId="0" fontId="96" fillId="0" borderId="0" xfId="0" applyFont="1"/>
    <xf numFmtId="0" fontId="159" fillId="16" borderId="0" xfId="38" applyFont="1" applyFill="1" applyBorder="1" applyAlignment="1">
      <alignment vertical="center"/>
    </xf>
    <xf numFmtId="0" fontId="159" fillId="16" borderId="0" xfId="38" applyFont="1" applyFill="1" applyBorder="1" applyAlignment="1">
      <alignment horizontal="right" vertical="center"/>
    </xf>
    <xf numFmtId="0" fontId="159" fillId="16" borderId="0" xfId="38" applyFont="1" applyFill="1" applyBorder="1" applyAlignment="1">
      <alignment horizontal="center" vertical="center"/>
    </xf>
    <xf numFmtId="221" fontId="0" fillId="0" borderId="0" xfId="0" applyNumberFormat="1"/>
    <xf numFmtId="216" fontId="52" fillId="0" borderId="0" xfId="53" applyNumberFormat="1" applyFont="1" applyFill="1" applyBorder="1" applyAlignment="1">
      <alignment horizontal="right" vertical="center"/>
    </xf>
    <xf numFmtId="220" fontId="52" fillId="0" borderId="32" xfId="53" applyNumberFormat="1" applyFont="1" applyFill="1" applyBorder="1" applyAlignment="1">
      <alignment vertical="center"/>
    </xf>
    <xf numFmtId="216" fontId="164" fillId="0" borderId="0" xfId="0" applyNumberFormat="1" applyFont="1" applyAlignment="1">
      <alignment horizontal="center" vertical="center"/>
    </xf>
    <xf numFmtId="216" fontId="3" fillId="0" borderId="0" xfId="38" applyNumberFormat="1" applyFont="1" applyAlignment="1">
      <alignment horizontal="center" vertical="center"/>
    </xf>
    <xf numFmtId="9" fontId="52" fillId="0" borderId="0" xfId="53" applyNumberFormat="1" applyFont="1" applyFill="1" applyBorder="1" applyAlignment="1">
      <alignment horizontal="right" vertical="center"/>
    </xf>
    <xf numFmtId="216" fontId="85" fillId="0" borderId="0" xfId="0" applyNumberFormat="1" applyFont="1" applyFill="1"/>
    <xf numFmtId="170" fontId="47" fillId="0" borderId="0" xfId="0" applyNumberFormat="1" applyFont="1" applyFill="1"/>
    <xf numFmtId="0" fontId="33" fillId="8" borderId="0" xfId="0" applyFont="1" applyFill="1"/>
    <xf numFmtId="164" fontId="41" fillId="8" borderId="0" xfId="0" applyNumberFormat="1" applyFont="1" applyFill="1" applyAlignment="1">
      <alignment horizontal="right"/>
    </xf>
    <xf numFmtId="10" fontId="87" fillId="0" borderId="0" xfId="0" applyNumberFormat="1" applyFont="1" applyFill="1"/>
    <xf numFmtId="37" fontId="0" fillId="8" borderId="0" xfId="0" applyNumberFormat="1" applyFill="1"/>
    <xf numFmtId="37" fontId="133" fillId="8" borderId="0" xfId="0" applyNumberFormat="1" applyFont="1" applyFill="1"/>
    <xf numFmtId="37" fontId="3" fillId="8" borderId="0" xfId="0" applyNumberFormat="1" applyFont="1" applyFill="1"/>
    <xf numFmtId="0" fontId="11" fillId="0" borderId="0" xfId="0" applyFont="1" applyAlignment="1">
      <alignment horizontal="centerContinuous"/>
    </xf>
    <xf numFmtId="0" fontId="22" fillId="0" borderId="6" xfId="0" applyFont="1" applyBorder="1" applyAlignment="1">
      <alignment horizontal="center"/>
    </xf>
    <xf numFmtId="9" fontId="73" fillId="0" borderId="0" xfId="0" applyNumberFormat="1" applyFont="1" applyAlignment="1">
      <alignment horizontal="center" vertical="center"/>
    </xf>
    <xf numFmtId="37" fontId="43" fillId="0" borderId="0" xfId="38" applyNumberFormat="1" applyFont="1" applyAlignment="1">
      <alignment horizontal="center" vertical="center"/>
    </xf>
    <xf numFmtId="37" fontId="73" fillId="13" borderId="0" xfId="38" applyNumberFormat="1" applyFont="1" applyFill="1" applyAlignment="1">
      <alignment horizontal="center" vertical="center"/>
    </xf>
    <xf numFmtId="216" fontId="52" fillId="0" borderId="0" xfId="38" applyNumberFormat="1" applyFont="1" applyAlignment="1">
      <alignment horizontal="center" vertical="center"/>
    </xf>
    <xf numFmtId="37" fontId="52" fillId="0" borderId="0" xfId="38" applyNumberFormat="1" applyFont="1" applyAlignment="1">
      <alignment horizontal="center" vertical="center"/>
    </xf>
    <xf numFmtId="37" fontId="20" fillId="0" borderId="0" xfId="38" applyNumberFormat="1" applyFont="1" applyAlignment="1">
      <alignment horizontal="center" vertical="center"/>
    </xf>
    <xf numFmtId="0" fontId="159" fillId="16" borderId="33" xfId="38" applyFont="1" applyFill="1" applyBorder="1" applyAlignment="1">
      <alignment horizontal="right" vertical="center"/>
    </xf>
    <xf numFmtId="165" fontId="52" fillId="0" borderId="32" xfId="53" applyNumberFormat="1" applyFont="1" applyFill="1" applyBorder="1" applyAlignment="1">
      <alignment horizontal="right" vertical="center"/>
    </xf>
    <xf numFmtId="167" fontId="52" fillId="0" borderId="32" xfId="38" applyNumberFormat="1" applyFont="1" applyFill="1" applyBorder="1" applyAlignment="1">
      <alignment horizontal="right" vertical="center"/>
    </xf>
    <xf numFmtId="167" fontId="52" fillId="0" borderId="60" xfId="38" applyNumberFormat="1" applyFont="1" applyFill="1" applyBorder="1" applyAlignment="1">
      <alignment horizontal="right" vertical="center"/>
    </xf>
    <xf numFmtId="165" fontId="162" fillId="0" borderId="61" xfId="53" applyNumberFormat="1" applyFont="1" applyFill="1" applyBorder="1" applyAlignment="1">
      <alignment horizontal="right" vertical="center"/>
    </xf>
    <xf numFmtId="165" fontId="162" fillId="0" borderId="56" xfId="53" applyNumberFormat="1" applyFont="1" applyFill="1" applyBorder="1" applyAlignment="1">
      <alignment horizontal="right" vertical="center"/>
    </xf>
    <xf numFmtId="167" fontId="52" fillId="0" borderId="32" xfId="53" applyNumberFormat="1" applyFont="1" applyFill="1" applyBorder="1" applyAlignment="1">
      <alignment horizontal="right" vertical="center"/>
    </xf>
    <xf numFmtId="7" fontId="162" fillId="0" borderId="56" xfId="53" applyNumberFormat="1" applyFont="1" applyFill="1" applyBorder="1" applyAlignment="1">
      <alignment horizontal="right" vertical="center"/>
    </xf>
    <xf numFmtId="165" fontId="162" fillId="0" borderId="32" xfId="53" applyNumberFormat="1" applyFont="1" applyFill="1" applyBorder="1" applyAlignment="1">
      <alignment horizontal="right" vertical="center"/>
    </xf>
    <xf numFmtId="9" fontId="163" fillId="0" borderId="32" xfId="53" applyNumberFormat="1" applyFont="1" applyFill="1" applyBorder="1" applyAlignment="1">
      <alignment horizontal="right" vertical="center"/>
    </xf>
    <xf numFmtId="167" fontId="163" fillId="0" borderId="59" xfId="53" applyNumberFormat="1" applyFont="1" applyFill="1" applyBorder="1" applyAlignment="1">
      <alignment horizontal="right" vertical="center"/>
    </xf>
    <xf numFmtId="5" fontId="163" fillId="0" borderId="32" xfId="53" applyNumberFormat="1" applyFont="1" applyFill="1" applyBorder="1" applyAlignment="1">
      <alignment horizontal="right" vertical="center"/>
    </xf>
    <xf numFmtId="37" fontId="163" fillId="0" borderId="32" xfId="53" applyNumberFormat="1" applyFont="1" applyFill="1" applyBorder="1" applyAlignment="1">
      <alignment horizontal="right" vertical="center"/>
    </xf>
    <xf numFmtId="37" fontId="163" fillId="0" borderId="28" xfId="53" applyNumberFormat="1" applyFont="1" applyFill="1" applyBorder="1" applyAlignment="1">
      <alignment horizontal="right" vertical="center"/>
    </xf>
    <xf numFmtId="0" fontId="13" fillId="0" borderId="33" xfId="38" applyFont="1" applyFill="1" applyBorder="1" applyAlignment="1">
      <alignment horizontal="center" vertical="center"/>
    </xf>
    <xf numFmtId="165" fontId="73" fillId="0" borderId="61" xfId="53" applyNumberFormat="1" applyFont="1" applyFill="1" applyBorder="1" applyAlignment="1">
      <alignment horizontal="right" vertical="center"/>
    </xf>
    <xf numFmtId="165" fontId="91" fillId="0" borderId="56" xfId="53" applyNumberFormat="1" applyFont="1" applyFill="1" applyBorder="1" applyAlignment="1">
      <alignment horizontal="right" vertical="center"/>
    </xf>
    <xf numFmtId="7" fontId="73" fillId="0" borderId="56" xfId="53" applyNumberFormat="1" applyFont="1" applyFill="1" applyBorder="1" applyAlignment="1">
      <alignment horizontal="right" vertical="center"/>
    </xf>
    <xf numFmtId="165" fontId="73" fillId="0" borderId="54" xfId="53" applyNumberFormat="1" applyFont="1" applyFill="1" applyBorder="1" applyAlignment="1">
      <alignment horizontal="right" vertical="center"/>
    </xf>
    <xf numFmtId="5" fontId="73" fillId="0" borderId="0" xfId="53" applyNumberFormat="1" applyFont="1" applyFill="1" applyBorder="1" applyAlignment="1">
      <alignment horizontal="right" vertical="center"/>
    </xf>
    <xf numFmtId="37" fontId="73" fillId="0" borderId="0" xfId="53" applyNumberFormat="1" applyFont="1" applyFill="1" applyBorder="1" applyAlignment="1">
      <alignment horizontal="right" vertical="center"/>
    </xf>
    <xf numFmtId="37" fontId="3" fillId="0" borderId="32" xfId="38" applyNumberFormat="1" applyFont="1" applyFill="1" applyBorder="1"/>
    <xf numFmtId="37" fontId="52" fillId="0" borderId="0" xfId="38" applyNumberFormat="1" applyFont="1" applyBorder="1"/>
    <xf numFmtId="165" fontId="52" fillId="0" borderId="0" xfId="47" applyNumberFormat="1" applyFont="1" applyFill="1" applyBorder="1" applyAlignment="1">
      <alignment horizontal="center" vertical="center"/>
    </xf>
    <xf numFmtId="216" fontId="73" fillId="0" borderId="0" xfId="47" applyNumberFormat="1" applyFont="1" applyFill="1" applyBorder="1" applyAlignment="1">
      <alignment horizontal="center" vertical="center"/>
    </xf>
    <xf numFmtId="216" fontId="73" fillId="0" borderId="0" xfId="53" applyNumberFormat="1" applyFont="1" applyFill="1" applyBorder="1" applyAlignment="1">
      <alignment horizontal="centerContinuous" vertical="center"/>
    </xf>
    <xf numFmtId="216" fontId="20" fillId="0" borderId="0" xfId="38" applyNumberFormat="1" applyFont="1" applyAlignment="1">
      <alignment horizontal="center" vertical="center"/>
    </xf>
    <xf numFmtId="216" fontId="3" fillId="0" borderId="0" xfId="0" applyNumberFormat="1" applyFont="1" applyFill="1" applyAlignment="1">
      <alignment horizontal="right"/>
    </xf>
    <xf numFmtId="216" fontId="43" fillId="0" borderId="0" xfId="0" applyNumberFormat="1" applyFont="1" applyFill="1"/>
    <xf numFmtId="196" fontId="8" fillId="0" borderId="0" xfId="48" applyNumberFormat="1" applyFont="1" applyFill="1" applyBorder="1" applyAlignment="1">
      <alignment horizontal="right"/>
    </xf>
    <xf numFmtId="167" fontId="33" fillId="0" borderId="0" xfId="48" applyNumberFormat="1" applyFont="1" applyFill="1" applyBorder="1" applyAlignment="1">
      <alignment horizontal="center"/>
    </xf>
    <xf numFmtId="196" fontId="154" fillId="0" borderId="0" xfId="48" applyNumberFormat="1" applyFont="1" applyFill="1" applyBorder="1"/>
    <xf numFmtId="196" fontId="9" fillId="0" borderId="0" xfId="48" applyNumberFormat="1" applyFont="1" applyFill="1" applyBorder="1"/>
    <xf numFmtId="200" fontId="33" fillId="0" borderId="0" xfId="48" applyNumberFormat="1" applyFont="1" applyFill="1" applyBorder="1"/>
    <xf numFmtId="2" fontId="8" fillId="0" borderId="0" xfId="48" applyNumberFormat="1" applyFont="1" applyFill="1" applyBorder="1"/>
    <xf numFmtId="2" fontId="8" fillId="0" borderId="0" xfId="48" applyNumberFormat="1" applyFont="1" applyFill="1" applyBorder="1" applyAlignment="1">
      <alignment horizontal="right"/>
    </xf>
    <xf numFmtId="6" fontId="9" fillId="0" borderId="0" xfId="48" applyNumberFormat="1" applyFont="1" applyFill="1" applyBorder="1" applyAlignment="1">
      <alignment horizontal="right"/>
    </xf>
    <xf numFmtId="166" fontId="47" fillId="0" borderId="0" xfId="0" applyNumberFormat="1" applyFont="1" applyFill="1"/>
    <xf numFmtId="7" fontId="0" fillId="0" borderId="0" xfId="0" applyNumberFormat="1" applyFill="1"/>
    <xf numFmtId="174" fontId="0" fillId="0" borderId="0" xfId="0" applyNumberFormat="1"/>
    <xf numFmtId="216" fontId="52" fillId="0" borderId="0" xfId="53" applyNumberFormat="1" applyFont="1" applyFill="1" applyBorder="1" applyAlignment="1">
      <alignment vertical="center"/>
    </xf>
    <xf numFmtId="175" fontId="133" fillId="8" borderId="0" xfId="0" applyNumberFormat="1" applyFont="1" applyFill="1"/>
    <xf numFmtId="175" fontId="1" fillId="8" borderId="0" xfId="0" applyNumberFormat="1" applyFont="1" applyFill="1"/>
    <xf numFmtId="175" fontId="41" fillId="8" borderId="0" xfId="0" applyNumberFormat="1" applyFont="1" applyFill="1" applyAlignment="1">
      <alignment horizontal="left"/>
    </xf>
    <xf numFmtId="175" fontId="1" fillId="8" borderId="0" xfId="0" applyNumberFormat="1" applyFont="1" applyFill="1" applyAlignment="1">
      <alignment horizontal="left"/>
    </xf>
    <xf numFmtId="0" fontId="156" fillId="0" borderId="0" xfId="53" applyNumberFormat="1" applyFont="1" applyFill="1" applyBorder="1" applyAlignment="1">
      <alignment horizontal="centerContinuous" vertical="center"/>
    </xf>
    <xf numFmtId="0" fontId="159" fillId="0" borderId="0" xfId="38" applyFont="1" applyFill="1" applyBorder="1" applyAlignment="1">
      <alignment horizontal="right" vertical="center"/>
    </xf>
    <xf numFmtId="167" fontId="73" fillId="0" borderId="51" xfId="53" applyNumberFormat="1" applyFont="1" applyFill="1" applyBorder="1" applyAlignment="1">
      <alignment horizontal="right" vertical="center"/>
    </xf>
    <xf numFmtId="216" fontId="52" fillId="0" borderId="0" xfId="0" applyNumberFormat="1" applyFont="1" applyAlignment="1">
      <alignment horizontal="center" vertical="center"/>
    </xf>
    <xf numFmtId="167" fontId="52" fillId="0" borderId="0" xfId="53" applyNumberFormat="1" applyFont="1" applyFill="1" applyBorder="1" applyAlignment="1">
      <alignment horizontal="centerContinuous" vertical="center"/>
    </xf>
    <xf numFmtId="170" fontId="169" fillId="0" borderId="0" xfId="48" applyNumberFormat="1" applyFont="1" applyFill="1" applyBorder="1"/>
    <xf numFmtId="37" fontId="11" fillId="0" borderId="0" xfId="38" applyNumberFormat="1" applyFont="1"/>
    <xf numFmtId="37" fontId="1" fillId="8" borderId="0" xfId="0" applyNumberFormat="1" applyFont="1" applyFill="1"/>
    <xf numFmtId="37" fontId="30" fillId="0" borderId="0" xfId="36" applyNumberFormat="1" applyFont="1" applyFill="1"/>
    <xf numFmtId="168" fontId="47" fillId="0" borderId="0" xfId="0" applyNumberFormat="1" applyFont="1" applyFill="1"/>
    <xf numFmtId="0" fontId="18" fillId="8" borderId="0" xfId="0" applyFont="1" applyFill="1" applyAlignment="1">
      <alignment horizontal="left"/>
    </xf>
    <xf numFmtId="216" fontId="3" fillId="0" borderId="0" xfId="38" applyNumberFormat="1" applyFont="1" applyBorder="1"/>
    <xf numFmtId="216" fontId="52" fillId="0" borderId="0" xfId="38" applyNumberFormat="1" applyFont="1" applyFill="1" applyBorder="1" applyAlignment="1">
      <alignment horizontal="center"/>
    </xf>
    <xf numFmtId="0" fontId="26" fillId="0" borderId="0" xfId="0" applyFont="1" applyFill="1" applyBorder="1"/>
    <xf numFmtId="1" fontId="69" fillId="0" borderId="0" xfId="0" applyNumberFormat="1" applyFont="1" applyFill="1" applyBorder="1"/>
    <xf numFmtId="216" fontId="69" fillId="0" borderId="0" xfId="0" applyNumberFormat="1" applyFont="1" applyFill="1" applyBorder="1"/>
    <xf numFmtId="0" fontId="26" fillId="0" borderId="6" xfId="0" applyFont="1" applyFill="1" applyBorder="1"/>
    <xf numFmtId="0" fontId="170" fillId="0" borderId="6" xfId="0" applyFont="1" applyFill="1" applyBorder="1"/>
    <xf numFmtId="1" fontId="170" fillId="0" borderId="6" xfId="0" applyNumberFormat="1" applyFont="1" applyFill="1" applyBorder="1"/>
    <xf numFmtId="1" fontId="69" fillId="0" borderId="6" xfId="0" applyNumberFormat="1" applyFont="1" applyFill="1" applyBorder="1"/>
    <xf numFmtId="166" fontId="0" fillId="8" borderId="0" xfId="0" applyNumberFormat="1" applyFill="1"/>
    <xf numFmtId="216" fontId="0" fillId="8" borderId="6" xfId="0" applyNumberFormat="1" applyFill="1" applyBorder="1"/>
    <xf numFmtId="166" fontId="0" fillId="8" borderId="6" xfId="0" applyNumberFormat="1" applyFill="1" applyBorder="1"/>
    <xf numFmtId="0" fontId="18" fillId="0" borderId="0" xfId="0" applyFont="1" applyAlignment="1">
      <alignment horizontal="center"/>
    </xf>
    <xf numFmtId="0" fontId="18" fillId="8" borderId="0" xfId="0" applyFont="1" applyFill="1" applyAlignment="1">
      <alignment horizontal="centerContinuous"/>
    </xf>
    <xf numFmtId="166" fontId="11" fillId="0" borderId="0" xfId="0" applyNumberFormat="1" applyFont="1" applyAlignment="1">
      <alignment horizontal="center"/>
    </xf>
    <xf numFmtId="0" fontId="62" fillId="9" borderId="0" xfId="0" applyFont="1" applyFill="1" applyAlignment="1">
      <alignment horizontal="right"/>
    </xf>
    <xf numFmtId="5" fontId="47" fillId="8" borderId="0" xfId="0" applyNumberFormat="1" applyFont="1" applyFill="1"/>
    <xf numFmtId="7" fontId="0" fillId="3" borderId="0" xfId="0" applyNumberFormat="1" applyFill="1"/>
    <xf numFmtId="178" fontId="47" fillId="0" borderId="0" xfId="0" applyNumberFormat="1" applyFont="1"/>
    <xf numFmtId="5" fontId="133" fillId="0" borderId="0" xfId="0" applyNumberFormat="1" applyFont="1"/>
    <xf numFmtId="0" fontId="133" fillId="0" borderId="0" xfId="0" applyFont="1"/>
    <xf numFmtId="0" fontId="0" fillId="9" borderId="0" xfId="0" applyFill="1"/>
    <xf numFmtId="37" fontId="133" fillId="0" borderId="0" xfId="0" applyNumberFormat="1" applyFont="1"/>
    <xf numFmtId="10" fontId="133" fillId="0" borderId="0" xfId="0" applyNumberFormat="1" applyFont="1"/>
    <xf numFmtId="216" fontId="26" fillId="0" borderId="0" xfId="0" applyNumberFormat="1" applyFont="1" applyBorder="1"/>
    <xf numFmtId="0" fontId="148" fillId="0" borderId="33" xfId="0" applyFont="1" applyFill="1" applyBorder="1" applyAlignment="1">
      <alignment horizontal="centerContinuous"/>
    </xf>
    <xf numFmtId="0" fontId="148" fillId="0" borderId="26" xfId="0" applyFont="1" applyFill="1" applyBorder="1" applyAlignment="1">
      <alignment horizontal="right"/>
    </xf>
    <xf numFmtId="0" fontId="148" fillId="0" borderId="9" xfId="0" applyFont="1" applyFill="1" applyBorder="1" applyAlignment="1">
      <alignment horizontal="right"/>
    </xf>
    <xf numFmtId="0" fontId="148" fillId="0" borderId="28" xfId="0" applyFont="1" applyFill="1" applyBorder="1" applyAlignment="1">
      <alignment horizontal="right"/>
    </xf>
    <xf numFmtId="37" fontId="3" fillId="17" borderId="0" xfId="38" applyNumberFormat="1" applyFont="1" applyFill="1"/>
    <xf numFmtId="37" fontId="3" fillId="0" borderId="0" xfId="38" applyNumberFormat="1" applyFont="1" applyFill="1"/>
    <xf numFmtId="165" fontId="73" fillId="0" borderId="55" xfId="38" applyNumberFormat="1" applyFont="1" applyFill="1" applyBorder="1" applyAlignment="1">
      <alignment horizontal="right" vertical="center"/>
    </xf>
    <xf numFmtId="0" fontId="159" fillId="0" borderId="0" xfId="38" applyFont="1" applyFill="1" applyBorder="1" applyAlignment="1">
      <alignment horizontal="center" vertical="center"/>
    </xf>
    <xf numFmtId="164" fontId="160" fillId="0" borderId="0" xfId="23" applyNumberFormat="1" applyFont="1" applyFill="1" applyBorder="1" applyAlignment="1">
      <alignment horizontal="center" vertical="center"/>
    </xf>
    <xf numFmtId="37" fontId="3" fillId="0" borderId="0" xfId="38" applyNumberFormat="1" applyFont="1" applyFill="1" applyBorder="1" applyAlignment="1">
      <alignment vertical="center"/>
    </xf>
    <xf numFmtId="165" fontId="73" fillId="0" borderId="0" xfId="0" applyNumberFormat="1" applyFont="1" applyFill="1" applyAlignment="1">
      <alignment horizontal="center" vertical="center"/>
    </xf>
    <xf numFmtId="165" fontId="162" fillId="0" borderId="0" xfId="0" applyNumberFormat="1" applyFont="1" applyFill="1" applyAlignment="1">
      <alignment horizontal="center" vertical="center"/>
    </xf>
    <xf numFmtId="37" fontId="26" fillId="0" borderId="0" xfId="38" applyNumberFormat="1" applyFont="1" applyFill="1" applyBorder="1" applyAlignment="1">
      <alignment vertical="center"/>
    </xf>
    <xf numFmtId="165" fontId="52" fillId="0" borderId="0" xfId="0" applyNumberFormat="1" applyFont="1" applyFill="1" applyAlignment="1">
      <alignment horizontal="center" vertical="center"/>
    </xf>
    <xf numFmtId="216" fontId="20" fillId="0" borderId="0" xfId="0" applyNumberFormat="1" applyFont="1" applyFill="1" applyAlignment="1">
      <alignment horizontal="center" vertical="center"/>
    </xf>
    <xf numFmtId="37" fontId="3" fillId="0" borderId="0" xfId="38" applyNumberFormat="1" applyFont="1" applyFill="1" applyBorder="1"/>
    <xf numFmtId="37" fontId="52" fillId="0" borderId="0" xfId="38" applyNumberFormat="1" applyFont="1" applyFill="1" applyBorder="1"/>
    <xf numFmtId="165" fontId="73" fillId="0" borderId="0" xfId="0" applyNumberFormat="1" applyFont="1" applyFill="1" applyBorder="1" applyAlignment="1">
      <alignment horizontal="center" vertical="center"/>
    </xf>
    <xf numFmtId="165" fontId="162" fillId="0" borderId="0" xfId="0" applyNumberFormat="1" applyFont="1" applyFill="1" applyBorder="1" applyAlignment="1">
      <alignment horizontal="center" vertical="center"/>
    </xf>
    <xf numFmtId="165" fontId="52" fillId="0" borderId="0" xfId="0" applyNumberFormat="1" applyFont="1" applyFill="1" applyBorder="1" applyAlignment="1">
      <alignment horizontal="center" vertical="center"/>
    </xf>
    <xf numFmtId="216" fontId="20" fillId="0" borderId="0" xfId="0" applyNumberFormat="1" applyFont="1" applyFill="1" applyBorder="1" applyAlignment="1">
      <alignment horizontal="center" vertical="center"/>
    </xf>
    <xf numFmtId="216" fontId="20" fillId="0" borderId="0" xfId="0" applyNumberFormat="1" applyFont="1" applyBorder="1" applyAlignment="1">
      <alignment horizontal="center" vertical="center"/>
    </xf>
    <xf numFmtId="165" fontId="162" fillId="0" borderId="0" xfId="0" applyNumberFormat="1" applyFont="1" applyBorder="1" applyAlignment="1">
      <alignment horizontal="center" vertical="center"/>
    </xf>
    <xf numFmtId="165" fontId="52" fillId="0" borderId="0" xfId="0" applyNumberFormat="1" applyFont="1" applyBorder="1" applyAlignment="1">
      <alignment horizontal="center" vertical="center"/>
    </xf>
    <xf numFmtId="216" fontId="3" fillId="0" borderId="0" xfId="38" applyNumberFormat="1" applyFont="1" applyFill="1" applyBorder="1"/>
    <xf numFmtId="37" fontId="18" fillId="0" borderId="0" xfId="38" applyNumberFormat="1" applyFont="1"/>
    <xf numFmtId="0" fontId="171" fillId="0" borderId="0" xfId="38" applyNumberFormat="1" applyFont="1" applyAlignment="1">
      <alignment horizontal="left"/>
    </xf>
    <xf numFmtId="37" fontId="62" fillId="9" borderId="0" xfId="38" applyNumberFormat="1" applyFont="1" applyFill="1"/>
    <xf numFmtId="37" fontId="62" fillId="9" borderId="0" xfId="38" applyNumberFormat="1" applyFont="1" applyFill="1" applyBorder="1"/>
    <xf numFmtId="37" fontId="57" fillId="9" borderId="0" xfId="38" applyNumberFormat="1" applyFont="1" applyFill="1"/>
    <xf numFmtId="165" fontId="52" fillId="0" borderId="6" xfId="0" applyNumberFormat="1" applyFont="1" applyBorder="1" applyAlignment="1">
      <alignment horizontal="center" vertical="center"/>
    </xf>
    <xf numFmtId="1" fontId="47" fillId="8" borderId="0" xfId="0" applyNumberFormat="1" applyFont="1" applyFill="1"/>
    <xf numFmtId="174" fontId="41" fillId="0" borderId="0" xfId="0" applyNumberFormat="1" applyFont="1" applyFill="1"/>
    <xf numFmtId="166" fontId="41" fillId="0" borderId="0" xfId="0" applyNumberFormat="1" applyFont="1" applyFill="1" applyAlignment="1">
      <alignment horizontal="right"/>
    </xf>
    <xf numFmtId="221" fontId="0" fillId="0" borderId="0" xfId="0" applyNumberFormat="1" applyFill="1" applyBorder="1"/>
    <xf numFmtId="221" fontId="1" fillId="5" borderId="0" xfId="0" applyNumberFormat="1" applyFont="1" applyFill="1"/>
    <xf numFmtId="0" fontId="172" fillId="4" borderId="0" xfId="0" applyFont="1" applyFill="1"/>
    <xf numFmtId="0" fontId="172" fillId="0" borderId="0" xfId="0" applyFont="1" applyFill="1" applyAlignment="1">
      <alignment horizontal="left" indent="1"/>
    </xf>
    <xf numFmtId="10" fontId="48" fillId="4" borderId="0" xfId="0" applyNumberFormat="1" applyFont="1" applyFill="1"/>
    <xf numFmtId="216" fontId="62" fillId="9" borderId="0" xfId="38" applyNumberFormat="1" applyFont="1" applyFill="1" applyBorder="1"/>
    <xf numFmtId="0" fontId="159" fillId="16" borderId="30" xfId="38" applyFont="1" applyFill="1" applyBorder="1" applyAlignment="1">
      <alignment vertical="center"/>
    </xf>
    <xf numFmtId="0" fontId="52" fillId="0" borderId="15" xfId="38" applyFont="1" applyFill="1" applyBorder="1" applyAlignment="1">
      <alignment vertical="center"/>
    </xf>
    <xf numFmtId="0" fontId="52" fillId="0" borderId="15" xfId="38" applyFont="1" applyFill="1" applyBorder="1" applyAlignment="1">
      <alignment horizontal="left" vertical="center" indent="1"/>
    </xf>
    <xf numFmtId="0" fontId="52" fillId="0" borderId="62" xfId="38" applyFont="1" applyFill="1" applyBorder="1" applyAlignment="1">
      <alignment horizontal="left" vertical="center" indent="1"/>
    </xf>
    <xf numFmtId="0" fontId="52" fillId="0" borderId="63" xfId="38" applyFont="1" applyFill="1" applyBorder="1" applyAlignment="1">
      <alignment horizontal="left" vertical="center" indent="1"/>
    </xf>
    <xf numFmtId="0" fontId="52" fillId="0" borderId="64" xfId="38" applyFont="1" applyFill="1" applyBorder="1" applyAlignment="1">
      <alignment horizontal="left" vertical="center" indent="1"/>
    </xf>
    <xf numFmtId="0" fontId="52" fillId="0" borderId="63" xfId="38" applyFont="1" applyFill="1" applyBorder="1" applyAlignment="1">
      <alignment vertical="center"/>
    </xf>
    <xf numFmtId="0" fontId="52" fillId="0" borderId="63" xfId="38" applyFont="1" applyFill="1" applyBorder="1" applyAlignment="1">
      <alignment horizontal="left" vertical="center"/>
    </xf>
    <xf numFmtId="0" fontId="52" fillId="0" borderId="15" xfId="38" applyFont="1" applyFill="1" applyBorder="1" applyAlignment="1">
      <alignment horizontal="left" vertical="center"/>
    </xf>
    <xf numFmtId="0" fontId="52" fillId="0" borderId="26" xfId="38" applyFont="1" applyFill="1" applyBorder="1" applyAlignment="1">
      <alignment horizontal="left" vertical="center"/>
    </xf>
    <xf numFmtId="165" fontId="162" fillId="0" borderId="9" xfId="53" applyNumberFormat="1" applyFont="1" applyFill="1" applyBorder="1" applyAlignment="1">
      <alignment horizontal="right" vertical="center"/>
    </xf>
    <xf numFmtId="165" fontId="162" fillId="0" borderId="28" xfId="53" applyNumberFormat="1" applyFont="1" applyFill="1" applyBorder="1" applyAlignment="1">
      <alignment horizontal="right" vertical="center"/>
    </xf>
    <xf numFmtId="165" fontId="73" fillId="0" borderId="9" xfId="53" applyNumberFormat="1" applyFont="1" applyFill="1" applyBorder="1" applyAlignment="1">
      <alignment horizontal="right" vertical="center"/>
    </xf>
    <xf numFmtId="165" fontId="52" fillId="0" borderId="4" xfId="53" applyNumberFormat="1" applyFont="1" applyFill="1" applyBorder="1" applyAlignment="1">
      <alignment vertical="center"/>
    </xf>
    <xf numFmtId="9" fontId="166" fillId="0" borderId="4" xfId="47" applyNumberFormat="1" applyFont="1" applyFill="1" applyBorder="1" applyAlignment="1">
      <alignment horizontal="center" vertical="center"/>
    </xf>
    <xf numFmtId="10" fontId="3" fillId="0" borderId="0" xfId="38" applyNumberFormat="1" applyFont="1" applyBorder="1"/>
    <xf numFmtId="167" fontId="52" fillId="0" borderId="32" xfId="53" applyNumberFormat="1" applyFont="1" applyFill="1" applyBorder="1" applyAlignment="1">
      <alignment vertical="center"/>
    </xf>
    <xf numFmtId="9" fontId="52" fillId="0" borderId="0" xfId="53" applyNumberFormat="1" applyFont="1" applyFill="1" applyBorder="1" applyAlignment="1">
      <alignment vertical="center"/>
    </xf>
    <xf numFmtId="9" fontId="52" fillId="0" borderId="32" xfId="53" applyNumberFormat="1" applyFont="1" applyFill="1" applyBorder="1" applyAlignment="1">
      <alignment vertical="center"/>
    </xf>
    <xf numFmtId="167" fontId="73" fillId="0" borderId="27" xfId="53" applyNumberFormat="1" applyFont="1" applyFill="1" applyBorder="1" applyAlignment="1">
      <alignment horizontal="right" vertical="center"/>
    </xf>
    <xf numFmtId="5" fontId="52" fillId="0" borderId="27" xfId="53" applyNumberFormat="1" applyFont="1" applyFill="1" applyBorder="1" applyAlignment="1">
      <alignment horizontal="right" vertical="center"/>
    </xf>
    <xf numFmtId="37" fontId="52" fillId="0" borderId="27" xfId="53" applyNumberFormat="1" applyFont="1" applyFill="1" applyBorder="1" applyAlignment="1">
      <alignment horizontal="right" vertical="center"/>
    </xf>
    <xf numFmtId="37" fontId="52" fillId="0" borderId="4" xfId="53" applyNumberFormat="1" applyFont="1" applyFill="1" applyBorder="1" applyAlignment="1">
      <alignment horizontal="right" vertical="center"/>
    </xf>
    <xf numFmtId="37" fontId="52" fillId="0" borderId="0" xfId="53" applyNumberFormat="1" applyFont="1" applyFill="1" applyBorder="1" applyAlignment="1">
      <alignment horizontal="right" vertical="center"/>
    </xf>
    <xf numFmtId="5" fontId="52" fillId="0" borderId="0" xfId="53" applyNumberFormat="1" applyFont="1" applyFill="1" applyBorder="1" applyAlignment="1">
      <alignment horizontal="right" vertical="center"/>
    </xf>
    <xf numFmtId="164" fontId="49" fillId="2" borderId="0" xfId="0" applyNumberFormat="1" applyFont="1" applyFill="1"/>
    <xf numFmtId="164" fontId="48" fillId="2" borderId="0" xfId="0" applyNumberFormat="1" applyFont="1" applyFill="1"/>
    <xf numFmtId="164" fontId="11" fillId="2" borderId="0" xfId="0" applyNumberFormat="1" applyFont="1" applyFill="1"/>
    <xf numFmtId="164" fontId="47" fillId="2" borderId="0" xfId="0" applyNumberFormat="1" applyFont="1" applyFill="1"/>
    <xf numFmtId="164" fontId="47" fillId="17" borderId="0" xfId="0" applyNumberFormat="1" applyFont="1" applyFill="1"/>
    <xf numFmtId="164" fontId="47" fillId="17" borderId="0" xfId="0" applyNumberFormat="1" applyFont="1" applyFill="1" applyBorder="1"/>
    <xf numFmtId="164" fontId="0" fillId="17" borderId="0" xfId="0" applyNumberFormat="1" applyFill="1" applyBorder="1"/>
    <xf numFmtId="164" fontId="3" fillId="17" borderId="0" xfId="0" applyNumberFormat="1" applyFont="1" applyFill="1" applyBorder="1"/>
    <xf numFmtId="216" fontId="41" fillId="5" borderId="0" xfId="0" applyNumberFormat="1" applyFont="1" applyFill="1"/>
    <xf numFmtId="216" fontId="1" fillId="5" borderId="0" xfId="0" applyNumberFormat="1" applyFont="1" applyFill="1"/>
    <xf numFmtId="165" fontId="133" fillId="0" borderId="0" xfId="0" applyNumberFormat="1" applyFont="1"/>
    <xf numFmtId="216" fontId="43" fillId="0" borderId="0" xfId="0" applyNumberFormat="1" applyFont="1"/>
    <xf numFmtId="168" fontId="133" fillId="0" borderId="0" xfId="0" applyNumberFormat="1" applyFont="1" applyFill="1"/>
    <xf numFmtId="164" fontId="3" fillId="5" borderId="0" xfId="0" applyNumberFormat="1" applyFont="1" applyFill="1" applyBorder="1"/>
    <xf numFmtId="221" fontId="0" fillId="0" borderId="0" xfId="0" applyNumberFormat="1" applyFill="1"/>
    <xf numFmtId="7" fontId="162" fillId="0" borderId="0" xfId="53" applyNumberFormat="1" applyFont="1" applyFill="1" applyBorder="1" applyAlignment="1">
      <alignment vertical="center"/>
    </xf>
    <xf numFmtId="7" fontId="162" fillId="0" borderId="0" xfId="53" applyNumberFormat="1" applyFont="1" applyFill="1" applyBorder="1" applyAlignment="1">
      <alignment horizontal="right" vertical="center"/>
    </xf>
    <xf numFmtId="7" fontId="162" fillId="0" borderId="32" xfId="53" applyNumberFormat="1" applyFont="1" applyFill="1" applyBorder="1" applyAlignment="1">
      <alignment horizontal="right" vertical="center"/>
    </xf>
    <xf numFmtId="7" fontId="73" fillId="0" borderId="0" xfId="53" applyNumberFormat="1" applyFont="1" applyFill="1" applyBorder="1" applyAlignment="1">
      <alignment horizontal="right" vertical="center"/>
    </xf>
    <xf numFmtId="7" fontId="52" fillId="0" borderId="27" xfId="53" applyNumberFormat="1" applyFont="1" applyFill="1" applyBorder="1" applyAlignment="1">
      <alignment vertical="center"/>
    </xf>
    <xf numFmtId="7" fontId="73" fillId="0" borderId="27" xfId="53" applyNumberFormat="1" applyFont="1" applyFill="1" applyBorder="1" applyAlignment="1">
      <alignment horizontal="right" vertical="center"/>
    </xf>
    <xf numFmtId="0" fontId="17" fillId="0" borderId="63" xfId="38" applyFont="1" applyFill="1" applyBorder="1" applyAlignment="1">
      <alignment horizontal="left" vertical="center"/>
    </xf>
    <xf numFmtId="0" fontId="17" fillId="0" borderId="15" xfId="38" applyFont="1" applyFill="1" applyBorder="1" applyAlignment="1">
      <alignment horizontal="left" vertical="center"/>
    </xf>
    <xf numFmtId="222" fontId="3" fillId="0" borderId="0" xfId="0" applyNumberFormat="1" applyFont="1" applyFill="1" applyBorder="1"/>
    <xf numFmtId="0" fontId="17" fillId="0" borderId="0" xfId="38" applyFont="1" applyFill="1" applyBorder="1" applyAlignment="1">
      <alignment horizontal="left" vertical="center"/>
    </xf>
    <xf numFmtId="0" fontId="2" fillId="0" borderId="6" xfId="38" applyFont="1" applyFill="1" applyBorder="1" applyAlignment="1">
      <alignment horizontal="left" vertical="center"/>
    </xf>
    <xf numFmtId="0" fontId="2" fillId="0" borderId="0" xfId="38" applyFont="1" applyFill="1" applyBorder="1" applyAlignment="1">
      <alignment horizontal="left" vertical="center"/>
    </xf>
    <xf numFmtId="0" fontId="181" fillId="0" borderId="0" xfId="0" applyFont="1" applyFill="1"/>
    <xf numFmtId="165" fontId="182" fillId="0" borderId="0" xfId="0" applyNumberFormat="1" applyFont="1" applyFill="1"/>
    <xf numFmtId="167" fontId="102" fillId="0" borderId="0" xfId="51" applyNumberFormat="1" applyFont="1" applyFill="1"/>
    <xf numFmtId="216" fontId="181" fillId="5" borderId="0" xfId="0" applyNumberFormat="1" applyFont="1" applyFill="1"/>
    <xf numFmtId="168" fontId="182" fillId="0" borderId="0" xfId="0" applyNumberFormat="1" applyFont="1" applyFill="1"/>
    <xf numFmtId="164" fontId="182" fillId="0" borderId="0" xfId="0" applyNumberFormat="1" applyFont="1" applyFill="1"/>
    <xf numFmtId="37" fontId="1" fillId="0" borderId="0" xfId="38" applyNumberFormat="1" applyFont="1"/>
    <xf numFmtId="165" fontId="183" fillId="0" borderId="0" xfId="0" applyNumberFormat="1" applyFont="1" applyFill="1"/>
    <xf numFmtId="0" fontId="161" fillId="16" borderId="6" xfId="38" applyFont="1" applyFill="1" applyBorder="1" applyAlignment="1">
      <alignment vertical="center"/>
    </xf>
    <xf numFmtId="0" fontId="52" fillId="0" borderId="54" xfId="38" applyFont="1" applyBorder="1" applyAlignment="1">
      <alignment horizontal="left" vertical="center"/>
    </xf>
    <xf numFmtId="0" fontId="52" fillId="0" borderId="52" xfId="38" applyFont="1" applyBorder="1" applyAlignment="1">
      <alignment horizontal="left" vertical="center"/>
    </xf>
    <xf numFmtId="0" fontId="52" fillId="0" borderId="0" xfId="38" applyFont="1" applyBorder="1" applyAlignment="1">
      <alignment horizontal="left" vertical="center"/>
    </xf>
    <xf numFmtId="37" fontId="3" fillId="0" borderId="0" xfId="38" applyNumberFormat="1" applyFont="1" applyBorder="1" applyAlignment="1">
      <alignment horizontal="left" vertical="center"/>
    </xf>
    <xf numFmtId="164" fontId="160" fillId="16" borderId="33" xfId="23" applyNumberFormat="1" applyFont="1" applyFill="1" applyBorder="1" applyAlignment="1">
      <alignment horizontal="center" vertical="center"/>
    </xf>
    <xf numFmtId="9" fontId="166" fillId="0" borderId="32" xfId="47" applyNumberFormat="1" applyFont="1" applyFill="1" applyBorder="1" applyAlignment="1">
      <alignment horizontal="center" vertical="center"/>
    </xf>
    <xf numFmtId="164" fontId="165" fillId="16" borderId="33" xfId="23" applyNumberFormat="1" applyFont="1" applyFill="1" applyBorder="1" applyAlignment="1">
      <alignment horizontal="center" vertical="center"/>
    </xf>
    <xf numFmtId="9" fontId="166" fillId="0" borderId="53" xfId="47" applyNumberFormat="1" applyFont="1" applyFill="1" applyBorder="1" applyAlignment="1">
      <alignment horizontal="center" vertical="center"/>
    </xf>
    <xf numFmtId="9" fontId="166" fillId="0" borderId="27" xfId="47" applyNumberFormat="1" applyFont="1" applyFill="1" applyBorder="1" applyAlignment="1">
      <alignment horizontal="center" vertical="center"/>
    </xf>
    <xf numFmtId="167" fontId="17" fillId="0" borderId="0" xfId="53" applyNumberFormat="1" applyFont="1" applyFill="1" applyBorder="1" applyAlignment="1">
      <alignment horizontal="centerContinuous" vertical="center"/>
    </xf>
    <xf numFmtId="216" fontId="17" fillId="0" borderId="0" xfId="0" applyNumberFormat="1" applyFont="1" applyAlignment="1">
      <alignment horizontal="center" vertical="center"/>
    </xf>
    <xf numFmtId="0" fontId="17" fillId="0" borderId="0" xfId="38" applyFont="1" applyFill="1" applyBorder="1" applyAlignment="1">
      <alignment horizontal="left" vertical="center" indent="1"/>
    </xf>
    <xf numFmtId="216" fontId="1" fillId="0" borderId="0" xfId="38" applyNumberFormat="1" applyFont="1" applyFill="1"/>
    <xf numFmtId="164" fontId="181" fillId="0" borderId="0" xfId="0" applyNumberFormat="1" applyFont="1" applyFill="1"/>
    <xf numFmtId="168" fontId="45" fillId="0" borderId="0" xfId="0" applyNumberFormat="1" applyFont="1" applyFill="1"/>
    <xf numFmtId="165" fontId="1" fillId="0" borderId="0" xfId="12" applyNumberFormat="1" applyFont="1" applyFill="1" applyAlignment="1" applyProtection="1">
      <alignment horizontal="left" indent="1"/>
    </xf>
    <xf numFmtId="37" fontId="47" fillId="0" borderId="0" xfId="0" applyNumberFormat="1" applyFont="1" applyFill="1"/>
    <xf numFmtId="208" fontId="48" fillId="4" borderId="0" xfId="0" applyNumberFormat="1" applyFont="1" applyFill="1"/>
    <xf numFmtId="7" fontId="47" fillId="0" borderId="0" xfId="0" applyNumberFormat="1" applyFont="1" applyFill="1"/>
    <xf numFmtId="7" fontId="182" fillId="0" borderId="0" xfId="0" applyNumberFormat="1" applyFont="1" applyFill="1"/>
    <xf numFmtId="37" fontId="3" fillId="0" borderId="30" xfId="38" applyNumberFormat="1" applyFont="1" applyBorder="1"/>
    <xf numFmtId="0" fontId="156" fillId="0" borderId="15" xfId="38" applyFont="1" applyFill="1" applyBorder="1" applyAlignment="1">
      <alignment horizontal="left" vertical="center"/>
    </xf>
    <xf numFmtId="0" fontId="156" fillId="0" borderId="63" xfId="38" applyFont="1" applyFill="1" applyBorder="1" applyAlignment="1">
      <alignment horizontal="left" vertical="center"/>
    </xf>
    <xf numFmtId="0" fontId="52" fillId="0" borderId="65" xfId="38" applyFont="1" applyFill="1" applyBorder="1" applyAlignment="1">
      <alignment horizontal="left" vertical="center"/>
    </xf>
    <xf numFmtId="37" fontId="156" fillId="0" borderId="15" xfId="38" applyNumberFormat="1" applyFont="1" applyBorder="1"/>
    <xf numFmtId="0" fontId="52" fillId="0" borderId="26" xfId="38" applyFont="1" applyFill="1" applyBorder="1" applyAlignment="1">
      <alignment horizontal="left" vertical="center" indent="1"/>
    </xf>
    <xf numFmtId="37" fontId="163" fillId="0" borderId="9" xfId="53" applyNumberFormat="1" applyFont="1" applyFill="1" applyBorder="1" applyAlignment="1">
      <alignment vertical="center"/>
    </xf>
    <xf numFmtId="37" fontId="163" fillId="0" borderId="9" xfId="53" applyNumberFormat="1" applyFont="1" applyFill="1" applyBorder="1" applyAlignment="1">
      <alignment horizontal="right" vertical="center"/>
    </xf>
    <xf numFmtId="37" fontId="52" fillId="0" borderId="9" xfId="53" applyNumberFormat="1" applyFont="1" applyFill="1" applyBorder="1" applyAlignment="1">
      <alignment horizontal="right" vertical="center"/>
    </xf>
    <xf numFmtId="37" fontId="52" fillId="0" borderId="4" xfId="53" applyNumberFormat="1" applyFont="1" applyFill="1" applyBorder="1" applyAlignment="1">
      <alignment vertical="center"/>
    </xf>
    <xf numFmtId="167" fontId="26" fillId="0" borderId="0" xfId="38" applyNumberFormat="1" applyFont="1"/>
    <xf numFmtId="0" fontId="11" fillId="0" borderId="9" xfId="0" applyNumberFormat="1" applyFont="1" applyFill="1" applyBorder="1" applyAlignment="1">
      <alignment horizontal="right"/>
    </xf>
    <xf numFmtId="37" fontId="1" fillId="0" borderId="0" xfId="36" applyNumberFormat="1" applyFont="1" applyFill="1"/>
    <xf numFmtId="164" fontId="41" fillId="0" borderId="0" xfId="0" applyNumberFormat="1" applyFont="1" applyFill="1" applyAlignment="1">
      <alignment horizontal="right"/>
    </xf>
    <xf numFmtId="164" fontId="1" fillId="8" borderId="0" xfId="0" applyNumberFormat="1" applyFont="1" applyFill="1" applyAlignment="1">
      <alignment horizontal="right"/>
    </xf>
    <xf numFmtId="167" fontId="181" fillId="0" borderId="0" xfId="0" applyNumberFormat="1" applyFont="1" applyFill="1"/>
    <xf numFmtId="167" fontId="182" fillId="0" borderId="0" xfId="0" applyNumberFormat="1" applyFont="1" applyFill="1"/>
    <xf numFmtId="0" fontId="0" fillId="0" borderId="0" xfId="0" applyBorder="1" applyAlignment="1">
      <alignment horizontal="right"/>
    </xf>
    <xf numFmtId="0" fontId="1" fillId="0" borderId="14" xfId="0" applyFont="1" applyBorder="1" applyAlignment="1">
      <alignment horizontal="right"/>
    </xf>
    <xf numFmtId="164" fontId="184" fillId="0" borderId="0" xfId="48" applyNumberFormat="1" applyFont="1" applyFill="1" applyBorder="1"/>
    <xf numFmtId="165" fontId="0" fillId="0" borderId="0" xfId="0" applyNumberFormat="1" applyBorder="1" applyAlignment="1">
      <alignment horizontal="right"/>
    </xf>
    <xf numFmtId="0" fontId="2" fillId="0" borderId="0" xfId="25"/>
    <xf numFmtId="165" fontId="2" fillId="0" borderId="0" xfId="25" applyNumberFormat="1" applyFont="1"/>
    <xf numFmtId="216" fontId="4" fillId="0" borderId="0" xfId="25" applyNumberFormat="1" applyFont="1"/>
    <xf numFmtId="216" fontId="2" fillId="0" borderId="0" xfId="25" applyNumberFormat="1" applyFont="1"/>
    <xf numFmtId="5" fontId="115" fillId="0" borderId="0" xfId="25" applyNumberFormat="1" applyFont="1"/>
    <xf numFmtId="166" fontId="2" fillId="0" borderId="0" xfId="25" applyNumberFormat="1"/>
    <xf numFmtId="0" fontId="9" fillId="0" borderId="13" xfId="25" applyFont="1" applyBorder="1"/>
    <xf numFmtId="0" fontId="9" fillId="0" borderId="2" xfId="25" applyFont="1" applyBorder="1" applyAlignment="1">
      <alignment horizontal="center"/>
    </xf>
    <xf numFmtId="0" fontId="9" fillId="0" borderId="14" xfId="25" applyFont="1" applyBorder="1" applyAlignment="1">
      <alignment horizontal="center"/>
    </xf>
    <xf numFmtId="0" fontId="2" fillId="0" borderId="0" xfId="25" applyAlignment="1">
      <alignment horizontal="center"/>
    </xf>
    <xf numFmtId="0" fontId="71" fillId="0" borderId="0" xfId="25" applyFont="1"/>
    <xf numFmtId="178" fontId="4" fillId="0" borderId="0" xfId="25" applyNumberFormat="1" applyFont="1"/>
    <xf numFmtId="0" fontId="2" fillId="8" borderId="0" xfId="25" applyFill="1"/>
    <xf numFmtId="7" fontId="2" fillId="8" borderId="0" xfId="25" applyNumberFormat="1" applyFill="1"/>
    <xf numFmtId="7" fontId="2" fillId="0" borderId="0" xfId="25" applyNumberFormat="1"/>
    <xf numFmtId="0" fontId="9" fillId="0" borderId="0" xfId="25" applyFont="1"/>
    <xf numFmtId="7" fontId="9" fillId="0" borderId="0" xfId="25" applyNumberFormat="1" applyFont="1"/>
    <xf numFmtId="178" fontId="2" fillId="0" borderId="0" xfId="25" applyNumberFormat="1"/>
    <xf numFmtId="0" fontId="2" fillId="0" borderId="0" xfId="25" applyFont="1"/>
    <xf numFmtId="166" fontId="185" fillId="0" borderId="0" xfId="25" applyNumberFormat="1" applyFont="1"/>
    <xf numFmtId="165" fontId="185" fillId="0" borderId="0" xfId="25" applyNumberFormat="1" applyFont="1"/>
    <xf numFmtId="0" fontId="186" fillId="0" borderId="0" xfId="25" applyFont="1" applyAlignment="1">
      <alignment horizontal="center"/>
    </xf>
    <xf numFmtId="178" fontId="186" fillId="0" borderId="0" xfId="60" applyNumberFormat="1" applyFont="1"/>
    <xf numFmtId="0" fontId="1" fillId="0" borderId="0" xfId="26"/>
    <xf numFmtId="216" fontId="20" fillId="0" borderId="0" xfId="38" applyNumberFormat="1" applyFont="1" applyFill="1" applyAlignment="1">
      <alignment horizontal="center"/>
    </xf>
    <xf numFmtId="165" fontId="181" fillId="0" borderId="0" xfId="0" applyNumberFormat="1" applyFont="1" applyFill="1"/>
    <xf numFmtId="0" fontId="187" fillId="0" borderId="0" xfId="0" applyFont="1" applyFill="1" applyAlignment="1">
      <alignment horizontal="left" indent="1"/>
    </xf>
    <xf numFmtId="7" fontId="1" fillId="0" borderId="0" xfId="0" applyNumberFormat="1" applyFont="1" applyFill="1"/>
    <xf numFmtId="165" fontId="86" fillId="0" borderId="0" xfId="0" applyNumberFormat="1" applyFont="1" applyFill="1"/>
    <xf numFmtId="9" fontId="1" fillId="0" borderId="0" xfId="0" applyNumberFormat="1" applyFont="1" applyFill="1" applyAlignment="1">
      <alignment horizontal="left"/>
    </xf>
    <xf numFmtId="164" fontId="182" fillId="4" borderId="0" xfId="0" applyNumberFormat="1" applyFont="1" applyFill="1"/>
    <xf numFmtId="5" fontId="188" fillId="0" borderId="27" xfId="53" applyNumberFormat="1" applyFont="1" applyFill="1" applyBorder="1" applyAlignment="1">
      <alignment horizontal="right" vertical="center"/>
    </xf>
    <xf numFmtId="37" fontId="188" fillId="0" borderId="27" xfId="53" applyNumberFormat="1" applyFont="1" applyFill="1" applyBorder="1" applyAlignment="1">
      <alignment horizontal="right" vertical="center"/>
    </xf>
    <xf numFmtId="165" fontId="188" fillId="0" borderId="27" xfId="53" applyNumberFormat="1" applyFont="1" applyFill="1" applyBorder="1" applyAlignment="1">
      <alignment horizontal="right" vertical="center"/>
    </xf>
    <xf numFmtId="37" fontId="181" fillId="0" borderId="27" xfId="38" applyNumberFormat="1" applyFont="1" applyBorder="1"/>
    <xf numFmtId="37" fontId="188" fillId="0" borderId="4" xfId="53" applyNumberFormat="1" applyFont="1" applyFill="1" applyBorder="1" applyAlignment="1">
      <alignment horizontal="right" vertical="center"/>
    </xf>
    <xf numFmtId="0" fontId="189" fillId="0" borderId="30" xfId="0" applyFont="1" applyFill="1" applyBorder="1" applyAlignment="1">
      <alignment horizontal="centerContinuous"/>
    </xf>
    <xf numFmtId="0" fontId="189" fillId="0" borderId="6" xfId="0" applyFont="1" applyFill="1" applyBorder="1" applyAlignment="1">
      <alignment horizontal="centerContinuous"/>
    </xf>
    <xf numFmtId="0" fontId="189" fillId="0" borderId="33" xfId="0" applyFont="1" applyFill="1" applyBorder="1" applyAlignment="1">
      <alignment horizontal="centerContinuous"/>
    </xf>
    <xf numFmtId="0" fontId="189" fillId="0" borderId="26" xfId="0" applyFont="1" applyFill="1" applyBorder="1" applyAlignment="1">
      <alignment horizontal="right"/>
    </xf>
    <xf numFmtId="0" fontId="189" fillId="0" borderId="9" xfId="0" applyFont="1" applyFill="1" applyBorder="1" applyAlignment="1">
      <alignment horizontal="right"/>
    </xf>
    <xf numFmtId="0" fontId="189" fillId="0" borderId="28" xfId="0" applyFont="1" applyFill="1" applyBorder="1" applyAlignment="1">
      <alignment horizontal="right"/>
    </xf>
    <xf numFmtId="7" fontId="181" fillId="0" borderId="0" xfId="0" applyNumberFormat="1" applyFont="1" applyFill="1"/>
    <xf numFmtId="221" fontId="181" fillId="0" borderId="0" xfId="0" applyNumberFormat="1" applyFont="1" applyFill="1"/>
    <xf numFmtId="165" fontId="181" fillId="0" borderId="0" xfId="0" applyNumberFormat="1" applyFont="1"/>
    <xf numFmtId="0" fontId="0" fillId="19" borderId="0" xfId="0" applyFill="1"/>
    <xf numFmtId="0" fontId="1" fillId="19" borderId="0" xfId="0" applyFont="1" applyFill="1"/>
    <xf numFmtId="0" fontId="0" fillId="20" borderId="0" xfId="0" applyFill="1"/>
    <xf numFmtId="0" fontId="176" fillId="21" borderId="0" xfId="0" applyFont="1" applyFill="1" applyBorder="1"/>
    <xf numFmtId="0" fontId="176" fillId="0" borderId="0" xfId="0" applyFont="1" applyFill="1" applyBorder="1"/>
    <xf numFmtId="224" fontId="177" fillId="0" borderId="0" xfId="63" applyFont="1" applyFill="1" applyBorder="1"/>
    <xf numFmtId="16" fontId="177" fillId="0" borderId="0" xfId="0" applyNumberFormat="1" applyFont="1" applyFill="1" applyBorder="1"/>
    <xf numFmtId="0" fontId="177" fillId="0" borderId="0" xfId="0" applyFont="1" applyFill="1" applyBorder="1" applyAlignment="1">
      <alignment horizontal="right"/>
    </xf>
    <xf numFmtId="0" fontId="176" fillId="18" borderId="0" xfId="0" applyFont="1" applyFill="1"/>
    <xf numFmtId="0" fontId="177" fillId="18" borderId="0" xfId="0" applyFont="1" applyFill="1"/>
    <xf numFmtId="0" fontId="177" fillId="18" borderId="0" xfId="0" applyFont="1" applyFill="1" applyAlignment="1">
      <alignment horizontal="right"/>
    </xf>
    <xf numFmtId="0" fontId="176" fillId="0" borderId="0" xfId="0" applyFont="1"/>
    <xf numFmtId="0" fontId="178" fillId="22" borderId="0" xfId="0" applyFont="1" applyFill="1" applyBorder="1"/>
    <xf numFmtId="224" fontId="179" fillId="22" borderId="0" xfId="63" applyFont="1" applyFill="1" applyBorder="1"/>
    <xf numFmtId="225" fontId="179" fillId="22" borderId="0" xfId="63" applyNumberFormat="1" applyFont="1" applyFill="1" applyBorder="1"/>
    <xf numFmtId="16" fontId="179" fillId="22" borderId="0" xfId="0" applyNumberFormat="1" applyFont="1" applyFill="1" applyBorder="1"/>
    <xf numFmtId="0" fontId="178" fillId="22" borderId="66" xfId="0" applyFont="1" applyFill="1" applyBorder="1"/>
    <xf numFmtId="0" fontId="179" fillId="22" borderId="66" xfId="0" applyFont="1" applyFill="1" applyBorder="1" applyAlignment="1">
      <alignment horizontal="right"/>
    </xf>
    <xf numFmtId="0" fontId="177" fillId="21" borderId="0" xfId="0" applyFont="1" applyFill="1" applyBorder="1"/>
    <xf numFmtId="0" fontId="176" fillId="21" borderId="0" xfId="0" applyFont="1" applyFill="1"/>
    <xf numFmtId="0" fontId="177" fillId="21" borderId="0" xfId="0" applyFont="1" applyFill="1"/>
    <xf numFmtId="0" fontId="177" fillId="0" borderId="0" xfId="0" applyFont="1" applyFill="1" applyBorder="1"/>
    <xf numFmtId="9" fontId="176" fillId="21" borderId="0" xfId="51" applyFont="1" applyFill="1"/>
    <xf numFmtId="226" fontId="177" fillId="21" borderId="0" xfId="0" applyNumberFormat="1" applyFont="1" applyFill="1"/>
    <xf numFmtId="167" fontId="177" fillId="21" borderId="0" xfId="0" applyNumberFormat="1" applyFont="1" applyFill="1" applyBorder="1"/>
    <xf numFmtId="165" fontId="177" fillId="21" borderId="0" xfId="0" applyNumberFormat="1" applyFont="1" applyFill="1"/>
    <xf numFmtId="165" fontId="176" fillId="21" borderId="0" xfId="0" applyNumberFormat="1" applyFont="1" applyFill="1"/>
    <xf numFmtId="7" fontId="177" fillId="21" borderId="0" xfId="0" applyNumberFormat="1" applyFont="1" applyFill="1"/>
    <xf numFmtId="221" fontId="176" fillId="21" borderId="0" xfId="0" applyNumberFormat="1" applyFont="1" applyFill="1"/>
    <xf numFmtId="0" fontId="176" fillId="0" borderId="0" xfId="0" applyFont="1" applyFill="1"/>
    <xf numFmtId="0" fontId="177" fillId="0" borderId="0" xfId="0" applyFont="1" applyFill="1"/>
    <xf numFmtId="224" fontId="177" fillId="0" borderId="0" xfId="63" applyFont="1" applyFill="1"/>
    <xf numFmtId="16" fontId="177" fillId="0" borderId="0" xfId="0" applyNumberFormat="1" applyFont="1" applyFill="1"/>
    <xf numFmtId="0" fontId="177" fillId="0" borderId="0" xfId="0" applyFont="1" applyFill="1" applyAlignment="1">
      <alignment horizontal="right"/>
    </xf>
    <xf numFmtId="0" fontId="176" fillId="21" borderId="0" xfId="0" applyFont="1" applyFill="1" applyBorder="1" applyAlignment="1">
      <alignment horizontal="left" indent="1"/>
    </xf>
    <xf numFmtId="167" fontId="176" fillId="21" borderId="0" xfId="0" applyNumberFormat="1" applyFont="1" applyFill="1" applyBorder="1"/>
    <xf numFmtId="165" fontId="190" fillId="21" borderId="0" xfId="0" applyNumberFormat="1" applyFont="1" applyFill="1"/>
    <xf numFmtId="167" fontId="191" fillId="21" borderId="0" xfId="0" applyNumberFormat="1" applyFont="1" applyFill="1" applyBorder="1"/>
    <xf numFmtId="165" fontId="191" fillId="21" borderId="0" xfId="0" applyNumberFormat="1" applyFont="1" applyFill="1"/>
    <xf numFmtId="7" fontId="190" fillId="21" borderId="0" xfId="0" applyNumberFormat="1" applyFont="1" applyFill="1"/>
    <xf numFmtId="0" fontId="191" fillId="21" borderId="0" xfId="0" applyFont="1" applyFill="1"/>
    <xf numFmtId="221" fontId="191" fillId="21" borderId="0" xfId="0" applyNumberFormat="1" applyFont="1" applyFill="1"/>
    <xf numFmtId="167" fontId="190" fillId="21" borderId="0" xfId="0" applyNumberFormat="1" applyFont="1" applyFill="1" applyBorder="1"/>
    <xf numFmtId="9" fontId="191" fillId="21" borderId="0" xfId="51" applyFont="1" applyFill="1"/>
    <xf numFmtId="226" fontId="190" fillId="21" borderId="0" xfId="0" applyNumberFormat="1" applyFont="1" applyFill="1"/>
    <xf numFmtId="165" fontId="190" fillId="21" borderId="0" xfId="0" applyNumberFormat="1" applyFont="1" applyFill="1" applyBorder="1"/>
    <xf numFmtId="164" fontId="192" fillId="0" borderId="0" xfId="0" applyNumberFormat="1" applyFont="1" applyFill="1"/>
    <xf numFmtId="0" fontId="1" fillId="0" borderId="0" xfId="0" applyFont="1" applyAlignment="1">
      <alignment horizontal="left" indent="1"/>
    </xf>
    <xf numFmtId="167" fontId="181" fillId="0" borderId="0" xfId="0" applyNumberFormat="1" applyFont="1"/>
    <xf numFmtId="164" fontId="181" fillId="0" borderId="0" xfId="51" applyNumberFormat="1" applyFont="1" applyFill="1"/>
    <xf numFmtId="165" fontId="1" fillId="0" borderId="0" xfId="51" applyNumberFormat="1" applyFont="1" applyFill="1"/>
    <xf numFmtId="2" fontId="1" fillId="0" borderId="0" xfId="51" applyNumberFormat="1" applyFont="1" applyFill="1"/>
    <xf numFmtId="228" fontId="1" fillId="0" borderId="0" xfId="51" applyNumberFormat="1" applyFont="1" applyFill="1"/>
    <xf numFmtId="7" fontId="183" fillId="0" borderId="0" xfId="0" applyNumberFormat="1" applyFont="1" applyFill="1"/>
    <xf numFmtId="165" fontId="183" fillId="0" borderId="0" xfId="0" applyNumberFormat="1" applyFont="1"/>
    <xf numFmtId="178" fontId="181" fillId="0" borderId="0" xfId="51" applyNumberFormat="1" applyFont="1" applyFill="1"/>
    <xf numFmtId="165" fontId="176" fillId="0" borderId="0" xfId="0" applyNumberFormat="1" applyFont="1" applyFill="1"/>
    <xf numFmtId="165" fontId="182" fillId="0" borderId="0" xfId="0" applyNumberFormat="1" applyFont="1" applyFill="1" applyBorder="1"/>
    <xf numFmtId="165" fontId="192" fillId="0" borderId="2" xfId="0" applyNumberFormat="1" applyFont="1" applyFill="1" applyBorder="1"/>
    <xf numFmtId="0" fontId="11" fillId="23" borderId="0" xfId="0" applyFont="1" applyFill="1" applyAlignment="1"/>
    <xf numFmtId="0" fontId="53" fillId="23" borderId="0" xfId="0" applyFont="1" applyFill="1"/>
    <xf numFmtId="0" fontId="41" fillId="23" borderId="0" xfId="0" applyFont="1" applyFill="1"/>
    <xf numFmtId="167" fontId="53" fillId="23" borderId="0" xfId="0" applyNumberFormat="1" applyFont="1" applyFill="1"/>
    <xf numFmtId="8" fontId="1" fillId="23" borderId="0" xfId="0" applyNumberFormat="1" applyFont="1" applyFill="1"/>
    <xf numFmtId="170" fontId="1" fillId="23" borderId="0" xfId="0" applyNumberFormat="1" applyFont="1" applyFill="1"/>
    <xf numFmtId="9" fontId="41" fillId="23" borderId="0" xfId="0" applyNumberFormat="1" applyFont="1" applyFill="1"/>
    <xf numFmtId="174" fontId="47" fillId="23" borderId="0" xfId="0" applyNumberFormat="1" applyFont="1" applyFill="1"/>
    <xf numFmtId="170" fontId="48" fillId="23" borderId="0" xfId="0" applyNumberFormat="1" applyFont="1" applyFill="1"/>
    <xf numFmtId="170" fontId="47" fillId="23" borderId="0" xfId="0" applyNumberFormat="1" applyFont="1" applyFill="1"/>
    <xf numFmtId="0" fontId="1" fillId="23" borderId="0" xfId="0" applyFont="1" applyFill="1" applyAlignment="1"/>
    <xf numFmtId="223" fontId="181" fillId="23" borderId="0" xfId="0" applyNumberFormat="1" applyFont="1" applyFill="1"/>
    <xf numFmtId="167" fontId="1" fillId="23" borderId="0" xfId="0" applyNumberFormat="1" applyFont="1" applyFill="1"/>
    <xf numFmtId="223" fontId="1" fillId="23" borderId="0" xfId="0" applyNumberFormat="1" applyFont="1" applyFill="1"/>
    <xf numFmtId="167" fontId="181" fillId="23" borderId="0" xfId="0" applyNumberFormat="1" applyFont="1" applyFill="1"/>
    <xf numFmtId="169" fontId="181" fillId="23" borderId="0" xfId="0" applyNumberFormat="1" applyFont="1" applyFill="1"/>
    <xf numFmtId="227" fontId="183" fillId="23" borderId="0" xfId="0" applyNumberFormat="1" applyFont="1" applyFill="1"/>
    <xf numFmtId="227" fontId="1" fillId="23" borderId="0" xfId="0" applyNumberFormat="1" applyFont="1" applyFill="1"/>
    <xf numFmtId="8" fontId="181" fillId="23" borderId="0" xfId="0" applyNumberFormat="1" applyFont="1" applyFill="1"/>
    <xf numFmtId="0" fontId="1" fillId="23" borderId="0" xfId="0" applyFont="1" applyFill="1" applyAlignment="1">
      <alignment horizontal="left" indent="1"/>
    </xf>
    <xf numFmtId="0" fontId="1" fillId="23" borderId="0" xfId="0" applyFont="1" applyFill="1" applyBorder="1" applyAlignment="1">
      <alignment horizontal="left"/>
    </xf>
    <xf numFmtId="0" fontId="1" fillId="23" borderId="0" xfId="0" applyFont="1" applyFill="1"/>
    <xf numFmtId="164" fontId="0" fillId="23" borderId="0" xfId="0" applyNumberFormat="1" applyFill="1"/>
    <xf numFmtId="164" fontId="1" fillId="23" borderId="0" xfId="0" applyNumberFormat="1" applyFont="1" applyFill="1"/>
    <xf numFmtId="165" fontId="1" fillId="23" borderId="0" xfId="0" applyNumberFormat="1" applyFont="1" applyFill="1"/>
    <xf numFmtId="165" fontId="0" fillId="23" borderId="0" xfId="0" applyNumberFormat="1" applyFill="1"/>
    <xf numFmtId="0" fontId="0" fillId="23" borderId="0" xfId="0" applyFill="1"/>
    <xf numFmtId="0" fontId="1" fillId="23" borderId="0" xfId="0" applyFont="1" applyFill="1" applyBorder="1"/>
    <xf numFmtId="229" fontId="183" fillId="23" borderId="0" xfId="0" applyNumberFormat="1" applyFont="1" applyFill="1"/>
    <xf numFmtId="229" fontId="1" fillId="23" borderId="0" xfId="0" applyNumberFormat="1" applyFont="1" applyFill="1"/>
    <xf numFmtId="8" fontId="183" fillId="23" borderId="0" xfId="0" applyNumberFormat="1" applyFont="1" applyFill="1"/>
    <xf numFmtId="166" fontId="1" fillId="23" borderId="0" xfId="0" applyNumberFormat="1" applyFont="1" applyFill="1"/>
    <xf numFmtId="167" fontId="181" fillId="23" borderId="0" xfId="0" applyNumberFormat="1" applyFont="1" applyFill="1" applyBorder="1"/>
    <xf numFmtId="0" fontId="11" fillId="23" borderId="0" xfId="0" applyFont="1" applyFill="1"/>
    <xf numFmtId="0" fontId="18" fillId="23" borderId="0" xfId="0" applyFont="1" applyFill="1"/>
    <xf numFmtId="167" fontId="0" fillId="23" borderId="0" xfId="0" applyNumberFormat="1" applyFill="1"/>
    <xf numFmtId="167" fontId="26" fillId="23" borderId="0" xfId="51" applyNumberFormat="1" applyFont="1" applyFill="1"/>
    <xf numFmtId="164" fontId="183" fillId="23" borderId="0" xfId="0" applyNumberFormat="1" applyFont="1" applyFill="1"/>
    <xf numFmtId="167" fontId="36" fillId="23" borderId="0" xfId="51" applyNumberFormat="1" applyFont="1" applyFill="1"/>
    <xf numFmtId="167" fontId="33" fillId="23" borderId="0" xfId="51" applyNumberFormat="1" applyFont="1" applyFill="1"/>
    <xf numFmtId="167" fontId="70" fillId="23" borderId="0" xfId="51" applyNumberFormat="1" applyFont="1" applyFill="1"/>
    <xf numFmtId="164" fontId="182" fillId="23" borderId="0" xfId="0" applyNumberFormat="1" applyFont="1" applyFill="1"/>
    <xf numFmtId="171" fontId="1" fillId="23" borderId="0" xfId="0" applyNumberFormat="1" applyFont="1" applyFill="1"/>
    <xf numFmtId="167" fontId="176" fillId="21" borderId="0" xfId="0" applyNumberFormat="1" applyFont="1" applyFill="1"/>
    <xf numFmtId="0" fontId="18" fillId="0" borderId="0" xfId="0" applyFont="1" applyBorder="1"/>
    <xf numFmtId="0" fontId="0" fillId="0" borderId="0" xfId="0" applyAlignment="1">
      <alignment horizontal="center"/>
    </xf>
    <xf numFmtId="0" fontId="1" fillId="24" borderId="0" xfId="0" applyFont="1" applyFill="1"/>
    <xf numFmtId="0" fontId="1" fillId="24" borderId="0" xfId="0" applyFont="1" applyFill="1" applyBorder="1"/>
    <xf numFmtId="0" fontId="0" fillId="24" borderId="0" xfId="0" applyFill="1" applyAlignment="1">
      <alignment horizontal="center"/>
    </xf>
    <xf numFmtId="0" fontId="0" fillId="24" borderId="0" xfId="0" applyFill="1"/>
    <xf numFmtId="170" fontId="181" fillId="23" borderId="0" xfId="0" applyNumberFormat="1" applyFont="1" applyFill="1"/>
    <xf numFmtId="164" fontId="183" fillId="0" borderId="0" xfId="0" applyNumberFormat="1" applyFont="1" applyFill="1"/>
    <xf numFmtId="7" fontId="185" fillId="0" borderId="0" xfId="25" applyNumberFormat="1" applyFont="1"/>
    <xf numFmtId="165" fontId="188" fillId="0" borderId="53" xfId="53" applyNumberFormat="1" applyFont="1" applyFill="1" applyBorder="1" applyAlignment="1">
      <alignment horizontal="right" vertical="center"/>
    </xf>
    <xf numFmtId="230" fontId="1" fillId="23" borderId="0" xfId="0" applyNumberFormat="1" applyFont="1" applyFill="1"/>
    <xf numFmtId="0" fontId="189" fillId="0" borderId="0" xfId="0" applyFont="1" applyFill="1" applyBorder="1" applyAlignment="1">
      <alignment horizontal="right"/>
    </xf>
    <xf numFmtId="0" fontId="189" fillId="0" borderId="9" xfId="0" applyNumberFormat="1" applyFont="1" applyFill="1" applyBorder="1" applyAlignment="1">
      <alignment horizontal="right"/>
    </xf>
    <xf numFmtId="165" fontId="189" fillId="0" borderId="9" xfId="0" applyNumberFormat="1" applyFont="1" applyFill="1" applyBorder="1" applyAlignment="1">
      <alignment horizontal="right"/>
    </xf>
    <xf numFmtId="0" fontId="182" fillId="0" borderId="0" xfId="0" applyFont="1" applyFill="1"/>
    <xf numFmtId="1" fontId="192" fillId="0" borderId="0" xfId="0" applyNumberFormat="1" applyFont="1" applyFill="1"/>
    <xf numFmtId="165" fontId="181" fillId="23" borderId="0" xfId="0" applyNumberFormat="1" applyFont="1" applyFill="1"/>
    <xf numFmtId="166" fontId="181" fillId="23" borderId="0" xfId="0" applyNumberFormat="1" applyFont="1" applyFill="1"/>
    <xf numFmtId="165" fontId="3" fillId="0" borderId="0" xfId="38" applyNumberFormat="1" applyFont="1"/>
    <xf numFmtId="5" fontId="182" fillId="0" borderId="0" xfId="0" applyNumberFormat="1" applyFont="1" applyFill="1"/>
    <xf numFmtId="170" fontId="182" fillId="23" borderId="0" xfId="0" applyNumberFormat="1" applyFont="1" applyFill="1"/>
    <xf numFmtId="165" fontId="182" fillId="23" borderId="0" xfId="0" applyNumberFormat="1" applyFont="1" applyFill="1"/>
    <xf numFmtId="168" fontId="47" fillId="25" borderId="0" xfId="0" applyNumberFormat="1" applyFont="1" applyFill="1"/>
    <xf numFmtId="168" fontId="45" fillId="25" borderId="0" xfId="0" applyNumberFormat="1" applyFont="1" applyFill="1"/>
    <xf numFmtId="164" fontId="189" fillId="0" borderId="0" xfId="51" applyNumberFormat="1" applyFont="1" applyFill="1"/>
    <xf numFmtId="164" fontId="47" fillId="26" borderId="0" xfId="0" applyNumberFormat="1" applyFont="1" applyFill="1"/>
    <xf numFmtId="164" fontId="11" fillId="26" borderId="0" xfId="0" applyNumberFormat="1" applyFont="1" applyFill="1"/>
    <xf numFmtId="164" fontId="1" fillId="26" borderId="0" xfId="0" applyNumberFormat="1" applyFont="1" applyFill="1"/>
    <xf numFmtId="165" fontId="1" fillId="25" borderId="0" xfId="0" applyNumberFormat="1" applyFont="1" applyFill="1"/>
    <xf numFmtId="0" fontId="3" fillId="0" borderId="0" xfId="0" applyFont="1" applyFill="1" applyBorder="1" applyAlignment="1">
      <alignment horizontal="left" indent="2"/>
    </xf>
    <xf numFmtId="1" fontId="1" fillId="0" borderId="0" xfId="0" applyNumberFormat="1" applyFont="1" applyFill="1" applyBorder="1"/>
    <xf numFmtId="0" fontId="21" fillId="0" borderId="0" xfId="0" applyFont="1" applyFill="1" applyBorder="1"/>
    <xf numFmtId="0" fontId="47" fillId="0" borderId="0" xfId="0" applyFont="1" applyFill="1" applyBorder="1"/>
    <xf numFmtId="0" fontId="193" fillId="0" borderId="0" xfId="48" applyNumberFormat="1" applyFont="1" applyFill="1" applyBorder="1" applyAlignment="1">
      <alignment horizontal="right"/>
    </xf>
    <xf numFmtId="165" fontId="188" fillId="0" borderId="4" xfId="53" applyNumberFormat="1" applyFont="1" applyFill="1" applyBorder="1" applyAlignment="1">
      <alignment horizontal="right" vertical="center"/>
    </xf>
    <xf numFmtId="167" fontId="73" fillId="0" borderId="0" xfId="53" quotePrefix="1" applyNumberFormat="1" applyFont="1" applyFill="1" applyBorder="1" applyAlignment="1">
      <alignment horizontal="centerContinuous" vertical="center"/>
    </xf>
    <xf numFmtId="0" fontId="53" fillId="26" borderId="0" xfId="0" applyFont="1" applyFill="1"/>
    <xf numFmtId="167" fontId="53" fillId="26" borderId="0" xfId="0" applyNumberFormat="1" applyFont="1" applyFill="1"/>
    <xf numFmtId="0" fontId="47" fillId="26" borderId="0" xfId="0" applyFont="1" applyFill="1"/>
    <xf numFmtId="164" fontId="1" fillId="27" borderId="0" xfId="0" applyNumberFormat="1" applyFont="1" applyFill="1"/>
    <xf numFmtId="167" fontId="183" fillId="0" borderId="0" xfId="0" applyNumberFormat="1" applyFont="1" applyFill="1"/>
    <xf numFmtId="164" fontId="189" fillId="0" borderId="0" xfId="0" applyNumberFormat="1" applyFont="1" applyFill="1"/>
    <xf numFmtId="5" fontId="181" fillId="0" borderId="0" xfId="0" applyNumberFormat="1" applyFont="1" applyFill="1"/>
    <xf numFmtId="171" fontId="181" fillId="0" borderId="0" xfId="0" applyNumberFormat="1" applyFont="1" applyFill="1"/>
    <xf numFmtId="171" fontId="0" fillId="0" borderId="0" xfId="0" applyNumberFormat="1"/>
    <xf numFmtId="165" fontId="1" fillId="0" borderId="0" xfId="20" applyNumberFormat="1" applyFont="1" applyFill="1" applyAlignment="1" applyProtection="1">
      <alignment horizontal="left" indent="1"/>
    </xf>
    <xf numFmtId="0" fontId="11" fillId="0" borderId="0" xfId="0" applyFont="1" applyFill="1" applyBorder="1" applyAlignment="1">
      <alignment horizontal="left" indent="1"/>
    </xf>
    <xf numFmtId="1" fontId="11" fillId="0" borderId="6" xfId="0" applyNumberFormat="1" applyFont="1" applyFill="1" applyBorder="1"/>
    <xf numFmtId="174" fontId="182" fillId="0" borderId="0" xfId="0" applyNumberFormat="1" applyFont="1" applyFill="1"/>
    <xf numFmtId="164" fontId="181" fillId="24" borderId="0" xfId="0" applyNumberFormat="1" applyFont="1" applyFill="1"/>
    <xf numFmtId="170" fontId="181" fillId="5" borderId="0" xfId="0" applyNumberFormat="1" applyFont="1" applyFill="1"/>
    <xf numFmtId="0" fontId="78" fillId="0" borderId="0" xfId="0" applyFont="1" applyFill="1"/>
    <xf numFmtId="0" fontId="44" fillId="0" borderId="0" xfId="0" applyFont="1" applyFill="1"/>
    <xf numFmtId="170" fontId="11" fillId="0" borderId="0" xfId="0" applyNumberFormat="1" applyFont="1" applyFill="1"/>
    <xf numFmtId="9" fontId="44" fillId="0" borderId="0" xfId="0" applyNumberFormat="1" applyFont="1" applyFill="1"/>
    <xf numFmtId="174" fontId="68" fillId="0" borderId="0" xfId="0" applyNumberFormat="1" applyFont="1" applyFill="1"/>
    <xf numFmtId="170" fontId="49" fillId="0" borderId="0" xfId="0" applyNumberFormat="1" applyFont="1" applyFill="1"/>
    <xf numFmtId="170" fontId="68" fillId="0" borderId="0" xfId="0" applyNumberFormat="1" applyFont="1" applyFill="1"/>
    <xf numFmtId="167" fontId="1" fillId="5" borderId="0" xfId="51" applyNumberFormat="1" applyFont="1" applyFill="1"/>
    <xf numFmtId="167" fontId="1" fillId="8" borderId="0" xfId="0" applyNumberFormat="1" applyFont="1" applyFill="1"/>
    <xf numFmtId="167" fontId="1" fillId="8" borderId="0" xfId="0" applyNumberFormat="1" applyFont="1" applyFill="1" applyAlignment="1">
      <alignment horizontal="right"/>
    </xf>
    <xf numFmtId="0" fontId="1" fillId="0" borderId="0" xfId="0" applyFont="1" applyFill="1" applyBorder="1" applyAlignment="1">
      <alignment horizontal="left" indent="2"/>
    </xf>
    <xf numFmtId="167" fontId="181" fillId="0" borderId="0" xfId="51" applyNumberFormat="1" applyFont="1" applyFill="1"/>
    <xf numFmtId="0" fontId="194" fillId="0" borderId="9" xfId="0" applyFont="1" applyFill="1" applyBorder="1" applyAlignment="1">
      <alignment horizontal="right"/>
    </xf>
    <xf numFmtId="167" fontId="182" fillId="23" borderId="0" xfId="0" applyNumberFormat="1" applyFont="1" applyFill="1"/>
    <xf numFmtId="9" fontId="1" fillId="0" borderId="0" xfId="0" applyNumberFormat="1" applyFont="1" applyFill="1" applyBorder="1" applyAlignment="1">
      <alignment horizontal="right"/>
    </xf>
    <xf numFmtId="9" fontId="1" fillId="8" borderId="0" xfId="0" applyNumberFormat="1" applyFont="1" applyFill="1" applyBorder="1" applyAlignment="1">
      <alignment horizontal="right"/>
    </xf>
    <xf numFmtId="167" fontId="1" fillId="8" borderId="0" xfId="0" applyNumberFormat="1" applyFont="1" applyFill="1" applyBorder="1" applyAlignment="1">
      <alignment horizontal="right"/>
    </xf>
    <xf numFmtId="0" fontId="1" fillId="0" borderId="0" xfId="0" applyFont="1" applyFill="1" applyBorder="1" applyAlignment="1">
      <alignment horizontal="left" indent="1"/>
    </xf>
    <xf numFmtId="9" fontId="1" fillId="8" borderId="0" xfId="0" applyNumberFormat="1" applyFont="1" applyFill="1" applyBorder="1"/>
    <xf numFmtId="167" fontId="1" fillId="8" borderId="0" xfId="0" applyNumberFormat="1" applyFont="1" applyFill="1" applyBorder="1"/>
    <xf numFmtId="9" fontId="0" fillId="0" borderId="0" xfId="0" applyNumberFormat="1" applyFill="1" applyBorder="1"/>
    <xf numFmtId="9" fontId="0" fillId="8" borderId="0" xfId="0" applyNumberFormat="1" applyFill="1" applyBorder="1"/>
    <xf numFmtId="164" fontId="0" fillId="8" borderId="0" xfId="0" applyNumberFormat="1" applyFill="1" applyBorder="1"/>
    <xf numFmtId="165" fontId="1" fillId="0" borderId="0" xfId="20" applyNumberFormat="1" applyFont="1" applyFill="1" applyAlignment="1" applyProtection="1">
      <alignment horizontal="left"/>
    </xf>
    <xf numFmtId="221" fontId="1" fillId="0" borderId="0" xfId="0" applyNumberFormat="1" applyFont="1" applyFill="1"/>
    <xf numFmtId="0" fontId="1" fillId="4" borderId="0" xfId="0" applyFont="1" applyFill="1" applyAlignment="1">
      <alignment horizontal="left" indent="1"/>
    </xf>
    <xf numFmtId="0" fontId="1" fillId="28" borderId="0" xfId="66" applyFont="1" applyFill="1" applyAlignment="1">
      <alignment vertical="top"/>
    </xf>
    <xf numFmtId="0" fontId="1" fillId="28" borderId="0" xfId="26" applyFill="1" applyAlignment="1">
      <alignment vertical="top"/>
    </xf>
    <xf numFmtId="0" fontId="1" fillId="28" borderId="0" xfId="26" applyFill="1"/>
    <xf numFmtId="0" fontId="58" fillId="28" borderId="0" xfId="66" applyFont="1" applyFill="1" applyAlignment="1">
      <alignment horizontal="left" vertical="top"/>
    </xf>
    <xf numFmtId="0" fontId="1" fillId="28" borderId="0" xfId="26" applyFont="1" applyFill="1" applyAlignment="1">
      <alignment vertical="top"/>
    </xf>
    <xf numFmtId="0" fontId="26" fillId="28" borderId="0" xfId="66" applyFont="1" applyFill="1" applyAlignment="1">
      <alignment vertical="top"/>
    </xf>
    <xf numFmtId="0" fontId="0" fillId="28" borderId="0" xfId="0" applyFill="1" applyAlignment="1">
      <alignment vertical="top"/>
    </xf>
    <xf numFmtId="0" fontId="195" fillId="28" borderId="0" xfId="0" applyFont="1" applyFill="1" applyAlignment="1">
      <alignment vertical="top"/>
    </xf>
    <xf numFmtId="0" fontId="196" fillId="28" borderId="0" xfId="0" applyFont="1" applyFill="1" applyAlignment="1">
      <alignment vertical="top"/>
    </xf>
    <xf numFmtId="0" fontId="195" fillId="28" borderId="67" xfId="0" applyFont="1" applyFill="1" applyBorder="1" applyAlignment="1">
      <alignment vertical="top"/>
    </xf>
    <xf numFmtId="9" fontId="195" fillId="28" borderId="67" xfId="0" applyNumberFormat="1" applyFont="1" applyFill="1" applyBorder="1" applyAlignment="1">
      <alignment vertical="top"/>
    </xf>
    <xf numFmtId="3" fontId="195" fillId="28" borderId="67" xfId="0" applyNumberFormat="1" applyFont="1" applyFill="1" applyBorder="1" applyAlignment="1">
      <alignment vertical="top"/>
    </xf>
    <xf numFmtId="2" fontId="1" fillId="0" borderId="0" xfId="26" applyNumberFormat="1" applyAlignment="1">
      <alignment horizontal="left"/>
    </xf>
    <xf numFmtId="0" fontId="1" fillId="0" borderId="0" xfId="26" applyNumberFormat="1" applyAlignment="1">
      <alignment horizontal="left"/>
    </xf>
    <xf numFmtId="1" fontId="1" fillId="0" borderId="0" xfId="26" applyNumberFormat="1" applyAlignment="1">
      <alignment horizontal="left"/>
    </xf>
    <xf numFmtId="0" fontId="1" fillId="0" borderId="0" xfId="26" applyFont="1"/>
    <xf numFmtId="231" fontId="1" fillId="0" borderId="0" xfId="26" applyNumberFormat="1" applyAlignment="1">
      <alignment horizontal="left"/>
    </xf>
    <xf numFmtId="49" fontId="1" fillId="0" borderId="0" xfId="26" applyNumberFormat="1"/>
    <xf numFmtId="0" fontId="119" fillId="0" borderId="0" xfId="26" applyFont="1" applyAlignment="1">
      <alignment wrapText="1"/>
    </xf>
    <xf numFmtId="0" fontId="119" fillId="0" borderId="0" xfId="26" applyFont="1" applyAlignment="1">
      <alignment horizontal="left" wrapText="1" indent="3"/>
    </xf>
    <xf numFmtId="0" fontId="119" fillId="0" borderId="0" xfId="26" applyFont="1" applyAlignment="1">
      <alignment horizontal="left" wrapText="1" indent="1"/>
    </xf>
    <xf numFmtId="0" fontId="198" fillId="0" borderId="0" xfId="26" applyFont="1" applyAlignment="1">
      <alignment wrapText="1"/>
    </xf>
    <xf numFmtId="0" fontId="56" fillId="0" borderId="0" xfId="43" applyFont="1" applyFill="1" applyBorder="1" applyAlignment="1">
      <alignment horizontal="center" vertical="center" wrapText="1"/>
    </xf>
    <xf numFmtId="0" fontId="12" fillId="0" borderId="0" xfId="43" applyFont="1" applyFill="1" applyBorder="1" applyAlignment="1">
      <alignment horizontal="left" vertical="center"/>
    </xf>
    <xf numFmtId="0" fontId="3" fillId="0" borderId="0" xfId="43" applyFont="1" applyFill="1" applyBorder="1" applyAlignment="1"/>
    <xf numFmtId="0" fontId="56" fillId="0" borderId="0" xfId="44" applyFont="1" applyFill="1" applyBorder="1" applyAlignment="1">
      <alignment horizontal="center" vertical="center" wrapText="1"/>
    </xf>
    <xf numFmtId="0" fontId="12" fillId="0" borderId="0" xfId="44" applyFont="1" applyFill="1" applyBorder="1" applyAlignment="1">
      <alignment horizontal="left" vertical="center"/>
    </xf>
    <xf numFmtId="0" fontId="3" fillId="0" borderId="0" xfId="44" applyFont="1" applyFill="1" applyBorder="1" applyAlignment="1"/>
    <xf numFmtId="0" fontId="2" fillId="0" borderId="0" xfId="0" applyFont="1" applyBorder="1" applyAlignment="1">
      <alignment wrapText="1"/>
    </xf>
    <xf numFmtId="0" fontId="2" fillId="0" borderId="6" xfId="0" applyFont="1" applyBorder="1" applyAlignment="1">
      <alignment wrapText="1"/>
    </xf>
    <xf numFmtId="0" fontId="0" fillId="0" borderId="6" xfId="0" applyBorder="1" applyAlignment="1"/>
    <xf numFmtId="9" fontId="166" fillId="0" borderId="53" xfId="47" applyNumberFormat="1" applyFont="1" applyFill="1" applyBorder="1" applyAlignment="1">
      <alignment horizontal="center" vertical="center"/>
    </xf>
    <xf numFmtId="0" fontId="0" fillId="0" borderId="27" xfId="0" applyBorder="1" applyAlignment="1">
      <alignment horizontal="center" vertical="center"/>
    </xf>
    <xf numFmtId="0" fontId="0" fillId="0" borderId="51" xfId="0" applyBorder="1" applyAlignment="1">
      <alignment horizontal="center" vertical="center"/>
    </xf>
    <xf numFmtId="0" fontId="52" fillId="0" borderId="52" xfId="38" applyFont="1" applyBorder="1" applyAlignment="1">
      <alignment horizontal="left" vertical="center" wrapText="1"/>
    </xf>
    <xf numFmtId="0" fontId="0" fillId="0" borderId="0" xfId="0" applyBorder="1" applyAlignment="1">
      <alignment horizontal="left" vertical="center" wrapText="1"/>
    </xf>
    <xf numFmtId="0" fontId="0" fillId="0" borderId="50" xfId="0" applyBorder="1" applyAlignment="1">
      <alignment horizontal="left" vertical="center" wrapText="1"/>
    </xf>
    <xf numFmtId="0" fontId="52" fillId="0" borderId="0" xfId="0" applyFont="1" applyBorder="1" applyAlignment="1">
      <alignment horizontal="left" vertical="center" wrapText="1"/>
    </xf>
    <xf numFmtId="9" fontId="166" fillId="0" borderId="27" xfId="47" applyNumberFormat="1" applyFont="1" applyFill="1" applyBorder="1" applyAlignment="1">
      <alignment horizontal="center" vertical="center"/>
    </xf>
    <xf numFmtId="164" fontId="157" fillId="0" borderId="3" xfId="23" quotePrefix="1" applyNumberFormat="1" applyFont="1" applyFill="1" applyBorder="1" applyAlignment="1">
      <alignment horizontal="center" vertical="center"/>
    </xf>
    <xf numFmtId="164" fontId="157" fillId="0" borderId="4" xfId="23" applyNumberFormat="1" applyFont="1" applyFill="1" applyBorder="1" applyAlignment="1">
      <alignment horizontal="center" vertical="center"/>
    </xf>
    <xf numFmtId="164" fontId="158" fillId="0" borderId="33" xfId="23" applyNumberFormat="1" applyFont="1" applyFill="1" applyBorder="1" applyAlignment="1">
      <alignment horizontal="center" vertical="center"/>
    </xf>
    <xf numFmtId="164" fontId="158" fillId="0" borderId="28" xfId="23" applyNumberFormat="1" applyFont="1" applyFill="1" applyBorder="1" applyAlignment="1">
      <alignment horizontal="center" vertical="center"/>
    </xf>
    <xf numFmtId="37" fontId="166" fillId="0" borderId="27" xfId="0" applyNumberFormat="1" applyFont="1" applyBorder="1" applyAlignment="1">
      <alignment horizontal="center" vertical="center"/>
    </xf>
    <xf numFmtId="37" fontId="166" fillId="0" borderId="51" xfId="0" applyNumberFormat="1" applyFont="1" applyBorder="1" applyAlignment="1">
      <alignment horizontal="center" vertical="center"/>
    </xf>
    <xf numFmtId="0" fontId="52" fillId="0" borderId="0" xfId="38" applyFont="1" applyBorder="1" applyAlignment="1">
      <alignment horizontal="left" vertical="center" wrapText="1"/>
    </xf>
    <xf numFmtId="37" fontId="3" fillId="0" borderId="0" xfId="0" applyNumberFormat="1" applyFont="1" applyBorder="1" applyAlignment="1">
      <alignment horizontal="left" vertical="center" wrapText="1"/>
    </xf>
    <xf numFmtId="37" fontId="3" fillId="0" borderId="50" xfId="0" applyNumberFormat="1" applyFont="1" applyBorder="1" applyAlignment="1">
      <alignment horizontal="left" vertical="center" wrapText="1"/>
    </xf>
    <xf numFmtId="0" fontId="52" fillId="0" borderId="52" xfId="38" applyFont="1" applyFill="1" applyBorder="1" applyAlignment="1">
      <alignment horizontal="left" vertical="center" wrapText="1"/>
    </xf>
    <xf numFmtId="37" fontId="3" fillId="0" borderId="0" xfId="0" applyNumberFormat="1" applyFont="1" applyFill="1" applyBorder="1" applyAlignment="1">
      <alignment horizontal="left" vertical="center" wrapText="1"/>
    </xf>
    <xf numFmtId="37" fontId="3" fillId="0" borderId="50" xfId="0" applyNumberFormat="1" applyFont="1" applyFill="1" applyBorder="1" applyAlignment="1">
      <alignment horizontal="left" vertical="center" wrapText="1"/>
    </xf>
    <xf numFmtId="0" fontId="52" fillId="0" borderId="52" xfId="38" applyFont="1" applyBorder="1" applyAlignment="1">
      <alignment horizontal="left" vertical="center"/>
    </xf>
    <xf numFmtId="37" fontId="3" fillId="0" borderId="50" xfId="0" applyNumberFormat="1" applyFont="1" applyBorder="1" applyAlignment="1">
      <alignment horizontal="left" vertical="center"/>
    </xf>
    <xf numFmtId="0" fontId="0" fillId="28" borderId="72" xfId="0" applyFill="1" applyBorder="1" applyAlignment="1">
      <alignment vertical="top"/>
    </xf>
    <xf numFmtId="0" fontId="195" fillId="28" borderId="0" xfId="0" applyFont="1" applyFill="1" applyAlignment="1">
      <alignment vertical="top"/>
    </xf>
    <xf numFmtId="0" fontId="195" fillId="28" borderId="68" xfId="0" applyFont="1" applyFill="1" applyBorder="1" applyAlignment="1">
      <alignment vertical="top"/>
    </xf>
    <xf numFmtId="0" fontId="195" fillId="28" borderId="69" xfId="0" applyFont="1" applyFill="1" applyBorder="1" applyAlignment="1">
      <alignment vertical="top"/>
    </xf>
    <xf numFmtId="0" fontId="195" fillId="28" borderId="70" xfId="0" applyFont="1" applyFill="1" applyBorder="1" applyAlignment="1">
      <alignment vertical="top"/>
    </xf>
    <xf numFmtId="0" fontId="196" fillId="28" borderId="0" xfId="0" applyFont="1" applyFill="1" applyAlignment="1">
      <alignment vertical="top"/>
    </xf>
    <xf numFmtId="0" fontId="0" fillId="28" borderId="0" xfId="0" applyFill="1" applyAlignment="1">
      <alignment vertical="top"/>
    </xf>
    <xf numFmtId="0" fontId="0" fillId="28" borderId="71" xfId="0" applyFill="1" applyBorder="1" applyAlignment="1">
      <alignment vertical="top"/>
    </xf>
    <xf numFmtId="0" fontId="126" fillId="9" borderId="0" xfId="0" applyNumberFormat="1" applyFont="1" applyFill="1" applyAlignment="1">
      <alignment horizontal="left" vertical="center"/>
    </xf>
    <xf numFmtId="0" fontId="1" fillId="0" borderId="0" xfId="0" applyFont="1" applyAlignment="1">
      <alignment vertical="center"/>
    </xf>
  </cellXfs>
  <cellStyles count="67">
    <cellStyle name=" 1" xfId="1"/>
    <cellStyle name="%" xfId="2"/>
    <cellStyle name="******************************************" xfId="3"/>
    <cellStyle name="_RRS1" xfId="4"/>
    <cellStyle name="_RRS5" xfId="5"/>
    <cellStyle name="_RRS9" xfId="6"/>
    <cellStyle name="_SUMMARY " xfId="7"/>
    <cellStyle name="=C:\WINNT35\SYSTEM32\COMMAND.COM" xfId="8"/>
    <cellStyle name="0_Capex &amp; Depreciation " xfId="9"/>
    <cellStyle name="0_Valuing BP " xfId="10"/>
    <cellStyle name="c_HardInc " xfId="11"/>
    <cellStyle name="Comma" xfId="12" builtinId="3"/>
    <cellStyle name="Comma 10" xfId="13"/>
    <cellStyle name="Comma_BS" xfId="14"/>
    <cellStyle name="Comma_ERTS Dorr Version 22" xfId="15"/>
    <cellStyle name="Comma_Lease Module TPG example 30062004 capex" xfId="16"/>
    <cellStyle name="Comma_Research" xfId="17"/>
    <cellStyle name="Comma_ROE1" xfId="18"/>
    <cellStyle name="Comma_ROE5" xfId="19"/>
    <cellStyle name="Currency" xfId="20" builtinId="4"/>
    <cellStyle name="Currency 2" xfId="21"/>
    <cellStyle name="Currency 3" xfId="22"/>
    <cellStyle name="Currency_TWTC Morgan Stanley" xfId="23"/>
    <cellStyle name="Normal" xfId="0" builtinId="0"/>
    <cellStyle name="Normal 2" xfId="24"/>
    <cellStyle name="Normal 3" xfId="25"/>
    <cellStyle name="Normal 4" xfId="26"/>
    <cellStyle name="Normal_Airlines Lease Examples3 (3)" xfId="27"/>
    <cellStyle name="Normal_Analysis V5" xfId="28"/>
    <cellStyle name="Normal_BS" xfId="29"/>
    <cellStyle name="Normal_csco18" xfId="30"/>
    <cellStyle name="Normal_DisclaimerSheet Samples" xfId="66"/>
    <cellStyle name="Normal_DTV Consolidated" xfId="31"/>
    <cellStyle name="Normal_EQIX Morgan Stanley pending" xfId="32"/>
    <cellStyle name="Normal_ERTS Dorr Version 22" xfId="33"/>
    <cellStyle name="Normal_GM Demo" xfId="34"/>
    <cellStyle name="Normal_hd roic" xfId="35"/>
    <cellStyle name="Normal_IS" xfId="36"/>
    <cellStyle name="Normal_LBO Analyzer" xfId="37"/>
    <cellStyle name="Normal_LVLT Morgan Stanley - v1" xfId="38"/>
    <cellStyle name="Normal_MWAnalytics" xfId="39"/>
    <cellStyle name="Normal_NFLX (3)" xfId="40"/>
    <cellStyle name="Normal_Research_CCI Morgan Stanley pending" xfId="41"/>
    <cellStyle name="Normal_ROE1" xfId="42"/>
    <cellStyle name="Normal_ROE1_1" xfId="43"/>
    <cellStyle name="Normal_ROE5" xfId="44"/>
    <cellStyle name="Normal_RSH" xfId="45"/>
    <cellStyle name="Normal_sheet" xfId="46"/>
    <cellStyle name="Normal_theHUNTER32" xfId="47"/>
    <cellStyle name="Normal_UPL Valuation v7" xfId="48"/>
    <cellStyle name="Onedec_FT Valuation " xfId="49"/>
    <cellStyle name="p " xfId="50"/>
    <cellStyle name="Percent" xfId="51" builtinId="5"/>
    <cellStyle name="Percent_FlorinDiffCCI1Q" xfId="52"/>
    <cellStyle name="Percent_TWTC Morgan Stanley" xfId="53"/>
    <cellStyle name="RRSInstruction" xfId="54"/>
    <cellStyle name="RRSInstruction 2" xfId="55"/>
    <cellStyle name="s_HardInc " xfId="56"/>
    <cellStyle name="s_Valuation " xfId="57"/>
    <cellStyle name="ssp " xfId="58"/>
    <cellStyle name="Style 1" xfId="59"/>
    <cellStyle name="Style 1 2" xfId="60"/>
    <cellStyle name="Style 2" xfId="61"/>
    <cellStyle name="STYLE3 12" xfId="62"/>
    <cellStyle name="Year Headings" xfId="63"/>
    <cellStyle name="콤마 [0]_#3이설 견적_준공내역총괄표 " xfId="64"/>
    <cellStyle name="콤마_#3이설 견적_준공내역총괄표 " xfId="65"/>
  </cellStyles>
  <dxfs count="8">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125A31"/>
      <rgbColor rgb="002270AB"/>
      <rgbColor rgb="009DC9DC"/>
      <rgbColor rgb="00B2122B"/>
      <rgbColor rgb="00FC7114"/>
      <rgbColor rgb="00F8CD14"/>
      <rgbColor rgb="00003366"/>
      <rgbColor rgb="004091BF"/>
      <rgbColor rgb="00FCAE91"/>
      <rgbColor rgb="002270AB"/>
      <rgbColor rgb="00E3EEDE"/>
      <rgbColor rgb="0069ADCA"/>
      <rgbColor rgb="00C0C0C0"/>
      <rgbColor rgb="00808080"/>
      <rgbColor rgb="00137CB1"/>
      <rgbColor rgb="00EACC80"/>
      <rgbColor rgb="004AAC6B"/>
      <rgbColor rgb="00A8D7E2"/>
      <rgbColor rgb="00E58061"/>
      <rgbColor rgb="00BCE3A1"/>
      <rgbColor rgb="008E466A"/>
      <rgbColor rgb="00F3A7A9"/>
      <rgbColor rgb="001275A6"/>
      <rgbColor rgb="00E5BF61"/>
      <rgbColor rgb="004AAC6B"/>
      <rgbColor rgb="0097D0DD"/>
      <rgbColor rgb="00763A58"/>
      <rgbColor rgb="00EF8D8F"/>
      <rgbColor rgb="00E2704C"/>
      <rgbColor rgb="00A5D981"/>
      <rgbColor rgb="00800080"/>
      <rgbColor rgb="00F3EEA1"/>
      <rgbColor rgb="009DC9DC"/>
      <rgbColor rgb="00F7BEBF"/>
      <rgbColor rgb="00EFC1D2"/>
      <rgbColor rgb="00EFC49F"/>
      <rgbColor rgb="00ECD7B2"/>
      <rgbColor rgb="00A6DAC5"/>
      <rgbColor rgb="00C7E5BE"/>
      <rgbColor rgb="00A1D399"/>
      <rgbColor rgb="0041A95C"/>
      <rgbColor rgb="00238B45"/>
      <rgbColor rgb="00238B45"/>
      <rgbColor rgb="001B4694"/>
      <rgbColor rgb="00C6D9E2"/>
      <rgbColor rgb="00969696"/>
      <rgbColor rgb="00FB9A7A"/>
      <rgbColor rgb="0074BE74"/>
      <rgbColor rgb="00EE7F81"/>
      <rgbColor rgb="00F26163"/>
      <rgbColor rgb="00FF0000"/>
      <rgbColor rgb="00A55628"/>
      <rgbColor rgb="00FDCDB8"/>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worksheets/sheet23.xml" Type="http://schemas.openxmlformats.org/officeDocument/2006/relationships/worksheet"/>
<Relationship Id="rId24" Target="worksheets/sheet24.xml" Type="http://schemas.openxmlformats.org/officeDocument/2006/relationships/worksheet"/>
<Relationship Id="rId25" Target="worksheets/sheet25.xml" Type="http://schemas.openxmlformats.org/officeDocument/2006/relationships/worksheet"/>
<Relationship Id="rId26" Target="worksheets/sheet26.xml" Type="http://schemas.openxmlformats.org/officeDocument/2006/relationships/worksheet"/>
<Relationship Id="rId27" Target="worksheets/sheet27.xml" Type="http://schemas.openxmlformats.org/officeDocument/2006/relationships/worksheet"/>
<Relationship Id="rId28" Target="worksheets/sheet28.xml" Type="http://schemas.openxmlformats.org/officeDocument/2006/relationships/worksheet"/>
<Relationship Id="rId29" Target="worksheets/sheet29.xml" Type="http://schemas.openxmlformats.org/officeDocument/2006/relationships/worksheet"/>
<Relationship Id="rId3" Target="worksheets/sheet3.xml" Type="http://schemas.openxmlformats.org/officeDocument/2006/relationships/worksheet"/>
<Relationship Id="rId30" Target="worksheets/sheet30.xml" Type="http://schemas.openxmlformats.org/officeDocument/2006/relationships/worksheet"/>
<Relationship Id="rId31" Target="worksheets/sheet31.xml" Type="http://schemas.openxmlformats.org/officeDocument/2006/relationships/worksheet"/>
<Relationship Id="rId32" Target="worksheets/sheet32.xml" Type="http://schemas.openxmlformats.org/officeDocument/2006/relationships/worksheet"/>
<Relationship Id="rId33" Target="worksheets/sheet33.xml" Type="http://schemas.openxmlformats.org/officeDocument/2006/relationships/worksheet"/>
<Relationship Id="rId34" Target="worksheets/sheet34.xml" Type="http://schemas.openxmlformats.org/officeDocument/2006/relationships/worksheet"/>
<Relationship Id="rId35" Target="worksheets/sheet35.xml" Type="http://schemas.openxmlformats.org/officeDocument/2006/relationships/worksheet"/>
<Relationship Id="rId36" Target="externalLinks/externalLink1.xml" Type="http://schemas.openxmlformats.org/officeDocument/2006/relationships/externalLink"/>
<Relationship Id="rId37" Target="externalLinks/externalLink2.xml" Type="http://schemas.openxmlformats.org/officeDocument/2006/relationships/externalLink"/>
<Relationship Id="rId38" Target="externalLinks/externalLink3.xml" Type="http://schemas.openxmlformats.org/officeDocument/2006/relationships/externalLink"/>
<Relationship Id="rId39" Target="externalLinks/externalLink4.xml" Type="http://schemas.openxmlformats.org/officeDocument/2006/relationships/externalLink"/>
<Relationship Id="rId4" Target="worksheets/sheet4.xml" Type="http://schemas.openxmlformats.org/officeDocument/2006/relationships/worksheet"/>
<Relationship Id="rId40" Target="externalLinks/externalLink5.xml" Type="http://schemas.openxmlformats.org/officeDocument/2006/relationships/externalLink"/>
<Relationship Id="rId41" Target="externalLinks/externalLink6.xml" Type="http://schemas.openxmlformats.org/officeDocument/2006/relationships/externalLink"/>
<Relationship Id="rId42" Target="externalLinks/externalLink7.xml" Type="http://schemas.openxmlformats.org/officeDocument/2006/relationships/externalLink"/>
<Relationship Id="rId43" Target="theme/theme1.xml" Type="http://schemas.openxmlformats.org/officeDocument/2006/relationships/theme"/>
<Relationship Id="rId44" Target="styles.xml" Type="http://schemas.openxmlformats.org/officeDocument/2006/relationships/styles"/>
<Relationship Id="rId45" Target="sharedStrings.xml" Type="http://schemas.openxmlformats.org/officeDocument/2006/relationships/sharedStrings"/>
<Relationship Id="rId46" Target="calcChain.xml" Type="http://schemas.openxmlformats.org/officeDocument/2006/relationships/calcChain"/>
<Relationship Id="rId47" Target="../customXml/item1.xml" Type="http://schemas.openxmlformats.org/officeDocument/2006/relationships/customXml"/>
<Relationship Id="rId48" Target="../customXml/item2.xml" Type="http://schemas.openxmlformats.org/officeDocument/2006/relationships/customXml"/>
<Relationship Id="rId49" Target="vbaProject.bin" Type="http://schemas.microsoft.com/office/2006/relationships/vbaProjec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activeX/_rels/activeX1.xml.rels><?xml version="1.0" encoding="UTF-8" standalone="yes"?>
<Relationships xmlns="http://schemas.openxmlformats.org/package/2006/relationships">
<Relationship Id="rId1" Target="activeX1.bin" Type="http://schemas.microsoft.com/office/2006/relationships/activeXControlBinary"/>
</Relationships>

</file>

<file path=xl/activeX/_rels/activeX2.xml.rels><?xml version="1.0" encoding="UTF-8" standalone="yes"?>
<Relationships xmlns="http://schemas.openxmlformats.org/package/2006/relationships">
<Relationship Id="rId1" Target="activeX2.bin" Type="http://schemas.microsoft.com/office/2006/relationships/activeXControlBinary"/>
</Relationships>

</file>

<file path=xl/activeX/_rels/activeX3.xml.rels><?xml version="1.0" encoding="UTF-8" standalone="yes"?>
<Relationships xmlns="http://schemas.openxmlformats.org/package/2006/relationships">
<Relationship Id="rId1" Target="activeX3.bin" Type="http://schemas.microsoft.com/office/2006/relationships/activeXControlBinary"/>
</Relationships>

</file>

<file path=xl/activeX/_rels/activeX4.xml.rels><?xml version="1.0" encoding="UTF-8" standalone="yes"?>
<Relationships xmlns="http://schemas.openxmlformats.org/package/2006/relationships">
<Relationship Id="rId1" Target="activeX4.bin" Type="http://schemas.microsoft.com/office/2006/relationships/activeXControlBinary"/>
</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
<Relationship Id="rId1" Target="../drawings/drawing2.xml" Type="http://schemas.openxmlformats.org/officeDocument/2006/relationships/chartUserShapes"/>
</Relationships>

</file>

<file path=xl/charts/_rels/chart2.xml.rels><?xml version="1.0" encoding="UTF-8" standalone="yes"?>
<Relationships xmlns="http://schemas.openxmlformats.org/package/2006/relationships">
<Relationship Id="rId1" Target="../drawings/drawing3.xml" Type="http://schemas.openxmlformats.org/officeDocument/2006/relationships/chartUserShapes"/>
</Relationships>

</file>

<file path=xl/charts/_rels/chart3.xml.rels><?xml version="1.0" encoding="UTF-8" standalone="yes"?>
<Relationships xmlns="http://schemas.openxmlformats.org/package/2006/relationships">
<Relationship Id="rId1" Target="../drawings/drawing4.xml" Type="http://schemas.openxmlformats.org/officeDocument/2006/relationships/chartUserShapes"/>
</Relationships>

</file>

<file path=xl/charts/_rels/chart4.xml.rels><?xml version="1.0" encoding="UTF-8" standalone="yes"?>
<Relationships xmlns="http://schemas.openxmlformats.org/package/2006/relationships">
<Relationship Id="rId1" Target="../drawings/drawing5.xml" Type="http://schemas.openxmlformats.org/officeDocument/2006/relationships/chartUserShapes"/>
</Relationships>

</file>

<file path=xl/charts/_rels/chart5.xml.rels><?xml version="1.0" encoding="UTF-8" standalone="yes"?>
<Relationships xmlns="http://schemas.openxmlformats.org/package/2006/relationships">
<Relationship Id="rId1" Target="../drawings/drawing6.xml" Type="http://schemas.openxmlformats.org/officeDocument/2006/relationships/chartUserShapes"/>
</Relationships>

</file>

<file path=xl/charts/_rels/chart6.xml.rels><?xml version="1.0" encoding="UTF-8" standalone="yes"?>
<Relationships xmlns="http://schemas.openxmlformats.org/package/2006/relationships">
<Relationship Id="rId1" Target="../media/image3.emf" Type="http://schemas.openxmlformats.org/officeDocument/2006/relationships/image"/>
<Relationship Id="rId2" Target="../media/image4.emf" Type="http://schemas.openxmlformats.org/officeDocument/2006/relationships/image"/>
<Relationship Id="rId3" Target="../media/image5.emf" Type="http://schemas.openxmlformats.org/officeDocument/2006/relationships/image"/>
<Relationship Id="rId4" Target="../drawings/drawing7.xml" Type="http://schemas.openxmlformats.org/officeDocument/2006/relationships/chartUserShapes"/>
</Relationships>

</file>

<file path=xl/charts/_rels/chart8.xml.rels><?xml version="1.0" encoding="UTF-8" standalone="yes"?>
<Relationships xmlns="http://schemas.openxmlformats.org/package/2006/relationships">
<Relationship Id="rId1" Target="../drawings/drawing8.xml" Type="http://schemas.openxmlformats.org/officeDocument/2006/relationships/chartUserShapes"/>
</Relationships>

</file>

<file path=xl/charts/_rels/chart16.xml.rels><?xml version="1.0" encoding="UTF-8" standalone="yes"?>
<Relationships xmlns="http://schemas.openxmlformats.org/package/2006/relationships">
<Relationship Id="rId1" Target="../drawings/drawing11.xml" Type="http://schemas.openxmlformats.org/officeDocument/2006/relationships/chartUserShapes"/>
</Relationships>

</file>

<file path=xl/charts/_rels/chart17.xml.rels><?xml version="1.0" encoding="UTF-8" standalone="yes"?>
<Relationships xmlns="http://schemas.openxmlformats.org/package/2006/relationships">
<Relationship Id="rId1" Target="../drawings/drawing12.xml" Type="http://schemas.openxmlformats.org/officeDocument/2006/relationships/chartUserShapes"/>
</Relationships>

</file>

<file path=xl/charts/_rels/chart18.xml.rels><?xml version="1.0" encoding="UTF-8" standalone="yes"?>
<Relationships xmlns="http://schemas.openxmlformats.org/package/2006/relationships">
<Relationship Id="rId1" Target="../drawings/drawing13.xml" Type="http://schemas.openxmlformats.org/officeDocument/2006/relationships/chartUserShapes"/>
</Relationships>

</file>

<file path=xl/charts/_rels/chart19.xml.rels><?xml version="1.0" encoding="UTF-8" standalone="yes"?>
<Relationships xmlns="http://schemas.openxmlformats.org/package/2006/relationships">
<Relationship Id="rId1" Target="../drawings/drawing14.xml" Type="http://schemas.openxmlformats.org/officeDocument/2006/relationships/chartUserShapes"/>
</Relationships>

</file>

<file path=xl/charts/_rels/chart20.xml.rels><?xml version="1.0" encoding="UTF-8" standalone="yes"?>
<Relationships xmlns="http://schemas.openxmlformats.org/package/2006/relationships">
<Relationship Id="rId1" Target="../drawings/drawing15.xml" Type="http://schemas.openxmlformats.org/officeDocument/2006/relationships/chartUserShapes"/>
</Relationships>

</file>

<file path=xl/charts/_rels/chart21.xml.rels><?xml version="1.0" encoding="UTF-8" standalone="yes"?>
<Relationships xmlns="http://schemas.openxmlformats.org/package/2006/relationships">
<Relationship Id="rId1" Target="../media/image3.emf" Type="http://schemas.openxmlformats.org/officeDocument/2006/relationships/image"/>
<Relationship Id="rId2" Target="../media/image4.emf" Type="http://schemas.openxmlformats.org/officeDocument/2006/relationships/image"/>
<Relationship Id="rId3" Target="../media/image5.emf" Type="http://schemas.openxmlformats.org/officeDocument/2006/relationships/image"/>
<Relationship Id="rId4" Target="../drawings/drawing16.xml" Type="http://schemas.openxmlformats.org/officeDocument/2006/relationships/chartUserShapes"/>
</Relationships>

</file>

<file path=xl/charts/_rels/chart23.xml.rels><?xml version="1.0" encoding="UTF-8" standalone="yes"?>
<Relationships xmlns="http://schemas.openxmlformats.org/package/2006/relationships">
<Relationship Id="rId1" Target="../drawings/drawing17.xml" Type="http://schemas.openxmlformats.org/officeDocument/2006/relationships/chartUserShapes"/>
</Relationships>

</file>

<file path=xl/charts/_rels/chart81.xml.rels><?xml version="1.0" encoding="UTF-8" standalone="yes"?>
<Relationships xmlns="http://schemas.openxmlformats.org/package/2006/relationships">
<Relationship Id="rId1" Target="../drawings/drawing28.xml" Type="http://schemas.openxmlformats.org/officeDocument/2006/relationships/chartUserShapes"/>
</Relationships>

</file>

<file path=xl/charts/_rels/chart82.xml.rels><?xml version="1.0" encoding="UTF-8" standalone="yes"?>
<Relationships xmlns="http://schemas.openxmlformats.org/package/2006/relationships">
<Relationship Id="rId1" Target="../drawings/drawing29.xml" Type="http://schemas.openxmlformats.org/officeDocument/2006/relationships/chartUserShapes"/>
</Relationships>

</file>

<file path=xl/charts/_rels/chart83.xml.rels><?xml version="1.0" encoding="UTF-8" standalone="yes"?>
<Relationships xmlns="http://schemas.openxmlformats.org/package/2006/relationships">
<Relationship Id="rId1" Target="../drawings/drawing30.xml" Type="http://schemas.openxmlformats.org/officeDocument/2006/relationships/chartUserShapes"/>
</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551078801262342E-2"/>
          <c:y val="0.14285774679445176"/>
          <c:w val="0.90498917313359784"/>
          <c:h val="0.72294677923252859"/>
        </c:manualLayout>
      </c:layout>
      <c:barChart>
        <c:barDir val="col"/>
        <c:grouping val="clustered"/>
        <c:varyColors val="0"/>
        <c:ser>
          <c:idx val="1"/>
          <c:order val="1"/>
          <c:tx>
            <c:v>Shade</c:v>
          </c:tx>
          <c:spPr>
            <a:solidFill>
              <a:srgbClr val="EFC1D2"/>
            </a:solidFill>
            <a:ln w="25400">
              <a:noFill/>
            </a:ln>
          </c:spPr>
          <c:invertIfNegative val="0"/>
          <c:cat>
            <c:strRef>
              <c:f>'MWA ROE - Qtr'!$C$34:$L$34</c:f>
              <c:strCache>
                <c:ptCount val="10"/>
                <c:pt idx="0">
                  <c:v>1Q10</c:v>
                </c:pt>
                <c:pt idx="1">
                  <c:v>2Q10</c:v>
                </c:pt>
                <c:pt idx="2">
                  <c:v>3Q10</c:v>
                </c:pt>
                <c:pt idx="3">
                  <c:v>4Q10</c:v>
                </c:pt>
                <c:pt idx="4">
                  <c:v>1Q11</c:v>
                </c:pt>
                <c:pt idx="5">
                  <c:v>2Q11</c:v>
                </c:pt>
                <c:pt idx="6">
                  <c:v>3Q11</c:v>
                </c:pt>
                <c:pt idx="7">
                  <c:v>4Q11E</c:v>
                </c:pt>
                <c:pt idx="8">
                  <c:v>1Q12E</c:v>
                </c:pt>
                <c:pt idx="9">
                  <c:v>2Q12E</c:v>
                </c:pt>
              </c:strCache>
            </c:strRef>
          </c:cat>
          <c:val>
            <c:numRef>
              <c:f>'MWA ROE - Qtr'!$C$208:$L$208</c:f>
              <c:numCache>
                <c:formatCode>General</c:formatCode>
                <c:ptCount val="10"/>
                <c:pt idx="0">
                  <c:v>1E-10</c:v>
                </c:pt>
                <c:pt idx="1">
                  <c:v>1E-10</c:v>
                </c:pt>
                <c:pt idx="2">
                  <c:v>1E-10</c:v>
                </c:pt>
                <c:pt idx="3">
                  <c:v>1E-10</c:v>
                </c:pt>
                <c:pt idx="4">
                  <c:v>1E-10</c:v>
                </c:pt>
                <c:pt idx="5">
                  <c:v>1E-10</c:v>
                </c:pt>
                <c:pt idx="6">
                  <c:v>1E-10</c:v>
                </c:pt>
                <c:pt idx="7">
                  <c:v>1E-10</c:v>
                </c:pt>
                <c:pt idx="8">
                  <c:v>1E-10</c:v>
                </c:pt>
                <c:pt idx="9">
                  <c:v>1E-10</c:v>
                </c:pt>
              </c:numCache>
            </c:numRef>
          </c:val>
        </c:ser>
        <c:ser>
          <c:idx val="2"/>
          <c:order val="2"/>
          <c:tx>
            <c:v>Shade2</c:v>
          </c:tx>
          <c:spPr>
            <a:solidFill>
              <a:srgbClr val="EFC1D2"/>
            </a:solidFill>
            <a:ln w="25400">
              <a:noFill/>
            </a:ln>
          </c:spPr>
          <c:invertIfNegative val="0"/>
          <c:cat>
            <c:strRef>
              <c:f>'MWA ROE - Qtr'!$C$34:$G$34</c:f>
              <c:strCache>
                <c:ptCount val="5"/>
                <c:pt idx="0">
                  <c:v>1Q10</c:v>
                </c:pt>
                <c:pt idx="1">
                  <c:v>2Q10</c:v>
                </c:pt>
                <c:pt idx="2">
                  <c:v>3Q10</c:v>
                </c:pt>
                <c:pt idx="3">
                  <c:v>4Q10</c:v>
                </c:pt>
                <c:pt idx="4">
                  <c:v>1Q11</c:v>
                </c:pt>
              </c:strCache>
            </c:strRef>
          </c:cat>
          <c:val>
            <c:numRef>
              <c:f>'MWA ROE - Qtr'!$C$209:$G$209</c:f>
              <c:numCache>
                <c:formatCode>General</c:formatCode>
                <c:ptCount val="5"/>
                <c:pt idx="0">
                  <c:v>1E-10</c:v>
                </c:pt>
                <c:pt idx="1">
                  <c:v>1E-10</c:v>
                </c:pt>
                <c:pt idx="2">
                  <c:v>1E-10</c:v>
                </c:pt>
                <c:pt idx="3">
                  <c:v>1E-10</c:v>
                </c:pt>
                <c:pt idx="4">
                  <c:v>1E-10</c:v>
                </c:pt>
              </c:numCache>
            </c:numRef>
          </c:val>
        </c:ser>
        <c:dLbls>
          <c:showLegendKey val="0"/>
          <c:showVal val="0"/>
          <c:showCatName val="0"/>
          <c:showSerName val="0"/>
          <c:showPercent val="0"/>
          <c:showBubbleSize val="0"/>
        </c:dLbls>
        <c:gapWidth val="0"/>
        <c:overlap val="100"/>
        <c:axId val="360191104"/>
        <c:axId val="360193408"/>
      </c:barChart>
      <c:lineChart>
        <c:grouping val="standard"/>
        <c:varyColors val="0"/>
        <c:ser>
          <c:idx val="0"/>
          <c:order val="0"/>
          <c:tx>
            <c:strRef>
              <c:f>'MWA ROE - Qtr'!$B$207</c:f>
              <c:strCache>
                <c:ptCount val="1"/>
                <c:pt idx="0">
                  <c:v>NOPAT Margin (%)</c:v>
                </c:pt>
              </c:strCache>
            </c:strRef>
          </c:tx>
          <c:spPr>
            <a:ln w="25400">
              <a:solidFill>
                <a:srgbClr val="C7E5BE"/>
              </a:solidFill>
              <a:prstDash val="solid"/>
            </a:ln>
          </c:spPr>
          <c:marker>
            <c:symbol val="none"/>
          </c:marker>
          <c:dLbls>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'MWA ROE - Qtr'!$C$34:$L$34</c:f>
              <c:strCache>
                <c:ptCount val="10"/>
                <c:pt idx="0">
                  <c:v>1Q10</c:v>
                </c:pt>
                <c:pt idx="1">
                  <c:v>2Q10</c:v>
                </c:pt>
                <c:pt idx="2">
                  <c:v>3Q10</c:v>
                </c:pt>
                <c:pt idx="3">
                  <c:v>4Q10</c:v>
                </c:pt>
                <c:pt idx="4">
                  <c:v>1Q11</c:v>
                </c:pt>
                <c:pt idx="5">
                  <c:v>2Q11</c:v>
                </c:pt>
                <c:pt idx="6">
                  <c:v>3Q11</c:v>
                </c:pt>
                <c:pt idx="7">
                  <c:v>4Q11E</c:v>
                </c:pt>
                <c:pt idx="8">
                  <c:v>1Q12E</c:v>
                </c:pt>
                <c:pt idx="9">
                  <c:v>2Q12E</c:v>
                </c:pt>
              </c:strCache>
            </c:strRef>
          </c:cat>
          <c:val>
            <c:numRef>
              <c:f>'MWA ROE - Qtr'!$C$207:$L$207</c:f>
              <c:numCache>
                <c:formatCode>0.0%</c:formatCode>
                <c:ptCount val="10"/>
                <c:pt idx="0">
                  <c:v>0.17762991204468953</c:v>
                </c:pt>
                <c:pt idx="1">
                  <c:v>0.15231296786050466</c:v>
                </c:pt>
                <c:pt idx="2">
                  <c:v>0.14421006614933696</c:v>
                </c:pt>
                <c:pt idx="3">
                  <c:v>0.13961249903318124</c:v>
                </c:pt>
                <c:pt idx="4">
                  <c:v>0.15893871715981683</c:v>
                </c:pt>
                <c:pt idx="5">
                  <c:v>0.15973020225103826</c:v>
                </c:pt>
                <c:pt idx="6">
                  <c:v>0.156907752910281</c:v>
                </c:pt>
                <c:pt idx="7">
                  <c:v>0.15741075912782268</c:v>
                </c:pt>
                <c:pt idx="8">
                  <c:v>0.17174987300205019</c:v>
                </c:pt>
                <c:pt idx="9">
                  <c:v>0.17432836476192573</c:v>
                </c:pt>
              </c:numCache>
            </c:numRef>
          </c:val>
          <c:smooth val="0"/>
        </c:ser>
        <c:dLbls>
          <c:showLegendKey val="0"/>
          <c:showVal val="0"/>
          <c:showCatName val="0"/>
          <c:showSerName val="0"/>
          <c:showPercent val="0"/>
          <c:showBubbleSize val="0"/>
        </c:dLbls>
        <c:marker val="1"/>
        <c:smooth val="0"/>
        <c:axId val="360191104"/>
        <c:axId val="360193408"/>
      </c:lineChart>
      <c:catAx>
        <c:axId val="360191104"/>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60193408"/>
        <c:crosses val="autoZero"/>
        <c:auto val="1"/>
        <c:lblAlgn val="ctr"/>
        <c:lblOffset val="100"/>
        <c:tickLblSkip val="1"/>
        <c:tickMarkSkip val="1"/>
        <c:noMultiLvlLbl val="0"/>
      </c:catAx>
      <c:valAx>
        <c:axId val="360193408"/>
        <c:scaling>
          <c:orientation val="minMax"/>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60191104"/>
        <c:crosses val="autoZero"/>
        <c:crossBetween val="between"/>
      </c:valAx>
      <c:spPr>
        <a:solidFill>
          <a:srgbClr val="FFFFFF"/>
        </a:solid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7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1090047393364927E-2"/>
          <c:y val="0.15929237955523098"/>
          <c:w val="0.91943127962085303"/>
          <c:h val="0.70354134303560356"/>
        </c:manualLayout>
      </c:layout>
      <c:barChart>
        <c:barDir val="col"/>
        <c:grouping val="clustered"/>
        <c:varyColors val="0"/>
        <c:ser>
          <c:idx val="1"/>
          <c:order val="1"/>
          <c:tx>
            <c:v>Shade</c:v>
          </c:tx>
          <c:spPr>
            <a:solidFill>
              <a:srgbClr val="EFC1D2"/>
            </a:solidFill>
            <a:ln w="25400">
              <a:noFill/>
            </a:ln>
          </c:spPr>
          <c:invertIfNegative val="0"/>
          <c:cat>
            <c:strRef>
              <c:f>'MWA ROE - Qtr'!$C$34:$L$34</c:f>
              <c:strCache>
                <c:ptCount val="10"/>
                <c:pt idx="0">
                  <c:v>1Q10</c:v>
                </c:pt>
                <c:pt idx="1">
                  <c:v>2Q10</c:v>
                </c:pt>
                <c:pt idx="2">
                  <c:v>3Q10</c:v>
                </c:pt>
                <c:pt idx="3">
                  <c:v>4Q10</c:v>
                </c:pt>
                <c:pt idx="4">
                  <c:v>1Q11</c:v>
                </c:pt>
                <c:pt idx="5">
                  <c:v>2Q11</c:v>
                </c:pt>
                <c:pt idx="6">
                  <c:v>3Q11</c:v>
                </c:pt>
                <c:pt idx="7">
                  <c:v>4Q11E</c:v>
                </c:pt>
                <c:pt idx="8">
                  <c:v>1Q12E</c:v>
                </c:pt>
                <c:pt idx="9">
                  <c:v>2Q12E</c:v>
                </c:pt>
              </c:strCache>
            </c:strRef>
          </c:cat>
          <c:val>
            <c:numRef>
              <c:f>'MWA ROE - Qtr'!$C$211:$L$211</c:f>
              <c:numCache>
                <c:formatCode>General</c:formatCode>
                <c:ptCount val="10"/>
                <c:pt idx="0">
                  <c:v>1E-10</c:v>
                </c:pt>
                <c:pt idx="1">
                  <c:v>1E-10</c:v>
                </c:pt>
                <c:pt idx="2">
                  <c:v>1E-10</c:v>
                </c:pt>
                <c:pt idx="3">
                  <c:v>1E-10</c:v>
                </c:pt>
                <c:pt idx="4">
                  <c:v>1E-10</c:v>
                </c:pt>
                <c:pt idx="5">
                  <c:v>1E-10</c:v>
                </c:pt>
                <c:pt idx="6">
                  <c:v>1E-10</c:v>
                </c:pt>
                <c:pt idx="7">
                  <c:v>1E-10</c:v>
                </c:pt>
                <c:pt idx="8">
                  <c:v>1E-10</c:v>
                </c:pt>
                <c:pt idx="9">
                  <c:v>1E-10</c:v>
                </c:pt>
              </c:numCache>
            </c:numRef>
          </c:val>
        </c:ser>
        <c:ser>
          <c:idx val="2"/>
          <c:order val="2"/>
          <c:tx>
            <c:v>Shade2</c:v>
          </c:tx>
          <c:spPr>
            <a:solidFill>
              <a:srgbClr val="EFC1D2"/>
            </a:solidFill>
            <a:ln w="25400">
              <a:noFill/>
            </a:ln>
          </c:spPr>
          <c:invertIfNegative val="0"/>
          <c:cat>
            <c:strRef>
              <c:f>'MWA ROE - Qtr'!$C$34:$G$34</c:f>
              <c:strCache>
                <c:ptCount val="5"/>
                <c:pt idx="0">
                  <c:v>1Q10</c:v>
                </c:pt>
                <c:pt idx="1">
                  <c:v>2Q10</c:v>
                </c:pt>
                <c:pt idx="2">
                  <c:v>3Q10</c:v>
                </c:pt>
                <c:pt idx="3">
                  <c:v>4Q10</c:v>
                </c:pt>
                <c:pt idx="4">
                  <c:v>1Q11</c:v>
                </c:pt>
              </c:strCache>
            </c:strRef>
          </c:cat>
          <c:val>
            <c:numRef>
              <c:f>'MWA ROE - Qtr'!$C$212:$G$212</c:f>
              <c:numCache>
                <c:formatCode>General</c:formatCode>
                <c:ptCount val="5"/>
                <c:pt idx="0">
                  <c:v>1E-10</c:v>
                </c:pt>
                <c:pt idx="1">
                  <c:v>1E-10</c:v>
                </c:pt>
                <c:pt idx="2">
                  <c:v>1E-10</c:v>
                </c:pt>
                <c:pt idx="3">
                  <c:v>1E-10</c:v>
                </c:pt>
                <c:pt idx="4">
                  <c:v>1E-10</c:v>
                </c:pt>
              </c:numCache>
            </c:numRef>
          </c:val>
        </c:ser>
        <c:dLbls>
          <c:showLegendKey val="0"/>
          <c:showVal val="0"/>
          <c:showCatName val="0"/>
          <c:showSerName val="0"/>
          <c:showPercent val="0"/>
          <c:showBubbleSize val="0"/>
        </c:dLbls>
        <c:gapWidth val="0"/>
        <c:overlap val="100"/>
        <c:axId val="370164864"/>
        <c:axId val="370403968"/>
      </c:barChart>
      <c:lineChart>
        <c:grouping val="standard"/>
        <c:varyColors val="0"/>
        <c:ser>
          <c:idx val="0"/>
          <c:order val="0"/>
          <c:tx>
            <c:strRef>
              <c:f>'MWA ROE - Qtr'!$B$210</c:f>
              <c:strCache>
                <c:ptCount val="1"/>
                <c:pt idx="0">
                  <c:v>Operating Asset Turnover</c:v>
                </c:pt>
              </c:strCache>
            </c:strRef>
          </c:tx>
          <c:spPr>
            <a:ln w="25400">
              <a:solidFill>
                <a:srgbClr val="C7E5BE"/>
              </a:solidFill>
              <a:prstDash val="solid"/>
            </a:ln>
          </c:spPr>
          <c:marker>
            <c:symbol val="none"/>
          </c:marker>
          <c:dLbls>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'MWA ROE - Qtr'!$C$34:$L$34</c:f>
              <c:strCache>
                <c:ptCount val="10"/>
                <c:pt idx="0">
                  <c:v>1Q10</c:v>
                </c:pt>
                <c:pt idx="1">
                  <c:v>2Q10</c:v>
                </c:pt>
                <c:pt idx="2">
                  <c:v>3Q10</c:v>
                </c:pt>
                <c:pt idx="3">
                  <c:v>4Q10</c:v>
                </c:pt>
                <c:pt idx="4">
                  <c:v>1Q11</c:v>
                </c:pt>
                <c:pt idx="5">
                  <c:v>2Q11</c:v>
                </c:pt>
                <c:pt idx="6">
                  <c:v>3Q11</c:v>
                </c:pt>
                <c:pt idx="7">
                  <c:v>4Q11E</c:v>
                </c:pt>
                <c:pt idx="8">
                  <c:v>1Q12E</c:v>
                </c:pt>
                <c:pt idx="9">
                  <c:v>2Q12E</c:v>
                </c:pt>
              </c:strCache>
            </c:strRef>
          </c:cat>
          <c:val>
            <c:numRef>
              <c:f>'MWA ROE - Qtr'!$C$210:$L$210</c:f>
              <c:numCache>
                <c:formatCode>0.0</c:formatCode>
                <c:ptCount val="10"/>
                <c:pt idx="0">
                  <c:v>0.48209162492093155</c:v>
                </c:pt>
                <c:pt idx="1">
                  <c:v>0.54871940654744678</c:v>
                </c:pt>
                <c:pt idx="2">
                  <c:v>0.4163626853562678</c:v>
                </c:pt>
                <c:pt idx="3">
                  <c:v>0.41117529723926249</c:v>
                </c:pt>
                <c:pt idx="4">
                  <c:v>0.42436607927257497</c:v>
                </c:pt>
                <c:pt idx="5">
                  <c:v>0.42189501515988048</c:v>
                </c:pt>
                <c:pt idx="6">
                  <c:v>0.41149668147837515</c:v>
                </c:pt>
                <c:pt idx="7">
                  <c:v>0.42421181848924611</c:v>
                </c:pt>
                <c:pt idx="8">
                  <c:v>0.43630556389727604</c:v>
                </c:pt>
                <c:pt idx="9">
                  <c:v>0.44132945253804629</c:v>
                </c:pt>
              </c:numCache>
            </c:numRef>
          </c:val>
          <c:smooth val="0"/>
        </c:ser>
        <c:dLbls>
          <c:showLegendKey val="0"/>
          <c:showVal val="0"/>
          <c:showCatName val="0"/>
          <c:showSerName val="0"/>
          <c:showPercent val="0"/>
          <c:showBubbleSize val="0"/>
        </c:dLbls>
        <c:marker val="1"/>
        <c:smooth val="0"/>
        <c:axId val="370164864"/>
        <c:axId val="370403968"/>
      </c:lineChart>
      <c:catAx>
        <c:axId val="370164864"/>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70403968"/>
        <c:crosses val="autoZero"/>
        <c:auto val="1"/>
        <c:lblAlgn val="ctr"/>
        <c:lblOffset val="100"/>
        <c:tickLblSkip val="1"/>
        <c:tickMarkSkip val="1"/>
        <c:noMultiLvlLbl val="0"/>
      </c:catAx>
      <c:valAx>
        <c:axId val="370403968"/>
        <c:scaling>
          <c:orientation val="minMax"/>
        </c:scaling>
        <c:delete val="0"/>
        <c:axPos val="l"/>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70164864"/>
        <c:crosses val="autoZero"/>
        <c:crossBetween val="between"/>
        <c:minorUnit val="0.1"/>
      </c:valAx>
      <c:spPr>
        <a:solidFill>
          <a:srgbClr val="FFFFFF"/>
        </a:solid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7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4786729857819899E-2"/>
          <c:y val="0.15111176697815529"/>
          <c:w val="0.89573459715639814"/>
          <c:h val="0.70666973380960851"/>
        </c:manualLayout>
      </c:layout>
      <c:barChart>
        <c:barDir val="col"/>
        <c:grouping val="clustered"/>
        <c:varyColors val="0"/>
        <c:ser>
          <c:idx val="1"/>
          <c:order val="1"/>
          <c:tx>
            <c:v>Shade</c:v>
          </c:tx>
          <c:spPr>
            <a:solidFill>
              <a:srgbClr val="EFC1D2"/>
            </a:solidFill>
            <a:ln w="25400">
              <a:noFill/>
            </a:ln>
          </c:spPr>
          <c:invertIfNegative val="0"/>
          <c:cat>
            <c:strRef>
              <c:f>'MWA ROE - Qtr'!$C$34:$L$34</c:f>
              <c:strCache>
                <c:ptCount val="10"/>
                <c:pt idx="0">
                  <c:v>1Q10</c:v>
                </c:pt>
                <c:pt idx="1">
                  <c:v>2Q10</c:v>
                </c:pt>
                <c:pt idx="2">
                  <c:v>3Q10</c:v>
                </c:pt>
                <c:pt idx="3">
                  <c:v>4Q10</c:v>
                </c:pt>
                <c:pt idx="4">
                  <c:v>1Q11</c:v>
                </c:pt>
                <c:pt idx="5">
                  <c:v>2Q11</c:v>
                </c:pt>
                <c:pt idx="6">
                  <c:v>3Q11</c:v>
                </c:pt>
                <c:pt idx="7">
                  <c:v>4Q11E</c:v>
                </c:pt>
                <c:pt idx="8">
                  <c:v>1Q12E</c:v>
                </c:pt>
                <c:pt idx="9">
                  <c:v>2Q12E</c:v>
                </c:pt>
              </c:strCache>
            </c:strRef>
          </c:cat>
          <c:val>
            <c:numRef>
              <c:f>'MWA ROE - Qtr'!$C$218:$L$218</c:f>
              <c:numCache>
                <c:formatCode>General</c:formatCode>
                <c:ptCount val="10"/>
                <c:pt idx="0">
                  <c:v>1E-10</c:v>
                </c:pt>
                <c:pt idx="1">
                  <c:v>1E-10</c:v>
                </c:pt>
                <c:pt idx="2">
                  <c:v>1E-10</c:v>
                </c:pt>
                <c:pt idx="3">
                  <c:v>1E-10</c:v>
                </c:pt>
                <c:pt idx="4">
                  <c:v>1E-10</c:v>
                </c:pt>
                <c:pt idx="5">
                  <c:v>1E-10</c:v>
                </c:pt>
                <c:pt idx="6">
                  <c:v>1E-10</c:v>
                </c:pt>
                <c:pt idx="7">
                  <c:v>1E-10</c:v>
                </c:pt>
                <c:pt idx="8">
                  <c:v>1E-10</c:v>
                </c:pt>
                <c:pt idx="9">
                  <c:v>1E-10</c:v>
                </c:pt>
              </c:numCache>
            </c:numRef>
          </c:val>
        </c:ser>
        <c:ser>
          <c:idx val="2"/>
          <c:order val="2"/>
          <c:tx>
            <c:v>Shade2</c:v>
          </c:tx>
          <c:spPr>
            <a:solidFill>
              <a:srgbClr val="EFC1D2"/>
            </a:solidFill>
            <a:ln w="25400">
              <a:noFill/>
            </a:ln>
          </c:spPr>
          <c:invertIfNegative val="0"/>
          <c:cat>
            <c:strRef>
              <c:f>'MWA ROE - Qtr'!$C$34:$L$34</c:f>
              <c:strCache>
                <c:ptCount val="10"/>
                <c:pt idx="0">
                  <c:v>1Q10</c:v>
                </c:pt>
                <c:pt idx="1">
                  <c:v>2Q10</c:v>
                </c:pt>
                <c:pt idx="2">
                  <c:v>3Q10</c:v>
                </c:pt>
                <c:pt idx="3">
                  <c:v>4Q10</c:v>
                </c:pt>
                <c:pt idx="4">
                  <c:v>1Q11</c:v>
                </c:pt>
                <c:pt idx="5">
                  <c:v>2Q11</c:v>
                </c:pt>
                <c:pt idx="6">
                  <c:v>3Q11</c:v>
                </c:pt>
                <c:pt idx="7">
                  <c:v>4Q11E</c:v>
                </c:pt>
                <c:pt idx="8">
                  <c:v>1Q12E</c:v>
                </c:pt>
                <c:pt idx="9">
                  <c:v>2Q12E</c:v>
                </c:pt>
              </c:strCache>
            </c:strRef>
          </c:cat>
          <c:val>
            <c:numRef>
              <c:f>'MWA ROE - Qtr'!$C$219:$L$219</c:f>
              <c:numCache>
                <c:formatCode>General</c:formatCode>
                <c:ptCount val="10"/>
                <c:pt idx="0">
                  <c:v>1E-10</c:v>
                </c:pt>
                <c:pt idx="1">
                  <c:v>1E-10</c:v>
                </c:pt>
                <c:pt idx="2">
                  <c:v>1E-10</c:v>
                </c:pt>
                <c:pt idx="3">
                  <c:v>1E-10</c:v>
                </c:pt>
                <c:pt idx="4">
                  <c:v>1E-10</c:v>
                </c:pt>
                <c:pt idx="5">
                  <c:v>1E-10</c:v>
                </c:pt>
                <c:pt idx="6">
                  <c:v>1E-10</c:v>
                </c:pt>
                <c:pt idx="7">
                  <c:v>1E-10</c:v>
                </c:pt>
                <c:pt idx="8">
                  <c:v>1E-10</c:v>
                </c:pt>
                <c:pt idx="9">
                  <c:v>1E-10</c:v>
                </c:pt>
              </c:numCache>
            </c:numRef>
          </c:val>
        </c:ser>
        <c:dLbls>
          <c:showLegendKey val="0"/>
          <c:showVal val="0"/>
          <c:showCatName val="0"/>
          <c:showSerName val="0"/>
          <c:showPercent val="0"/>
          <c:showBubbleSize val="0"/>
        </c:dLbls>
        <c:gapWidth val="0"/>
        <c:overlap val="100"/>
        <c:axId val="49181440"/>
        <c:axId val="49182976"/>
      </c:barChart>
      <c:lineChart>
        <c:grouping val="standard"/>
        <c:varyColors val="0"/>
        <c:ser>
          <c:idx val="0"/>
          <c:order val="0"/>
          <c:tx>
            <c:strRef>
              <c:f>'MWA ROE - Qtr'!$M$22</c:f>
              <c:strCache>
                <c:ptCount val="1"/>
                <c:pt idx="0">
                  <c:v>Return From Leverage</c:v>
                </c:pt>
              </c:strCache>
            </c:strRef>
          </c:tx>
          <c:spPr>
            <a:ln w="25400">
              <a:solidFill>
                <a:srgbClr val="C7E5BE"/>
              </a:solidFill>
              <a:prstDash val="solid"/>
            </a:ln>
          </c:spPr>
          <c:marker>
            <c:symbol val="none"/>
          </c:marker>
          <c:dLbls>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'MWA ROE - Qtr'!$C$34:$L$34</c:f>
              <c:strCache>
                <c:ptCount val="10"/>
                <c:pt idx="0">
                  <c:v>1Q10</c:v>
                </c:pt>
                <c:pt idx="1">
                  <c:v>2Q10</c:v>
                </c:pt>
                <c:pt idx="2">
                  <c:v>3Q10</c:v>
                </c:pt>
                <c:pt idx="3">
                  <c:v>4Q10</c:v>
                </c:pt>
                <c:pt idx="4">
                  <c:v>1Q11</c:v>
                </c:pt>
                <c:pt idx="5">
                  <c:v>2Q11</c:v>
                </c:pt>
                <c:pt idx="6">
                  <c:v>3Q11</c:v>
                </c:pt>
                <c:pt idx="7">
                  <c:v>4Q11E</c:v>
                </c:pt>
                <c:pt idx="8">
                  <c:v>1Q12E</c:v>
                </c:pt>
                <c:pt idx="9">
                  <c:v>2Q12E</c:v>
                </c:pt>
              </c:strCache>
            </c:strRef>
          </c:cat>
          <c:val>
            <c:numRef>
              <c:f>'MWA ROE - Qtr'!$C$217:$L$217</c:f>
              <c:numCache>
                <c:formatCode>0.0%</c:formatCode>
                <c:ptCount val="10"/>
                <c:pt idx="0">
                  <c:v>-3.7602758446532131E-2</c:v>
                </c:pt>
                <c:pt idx="1">
                  <c:v>-9.3052553486433917E-2</c:v>
                </c:pt>
                <c:pt idx="2">
                  <c:v>-3.5845025168621036E-2</c:v>
                </c:pt>
                <c:pt idx="3">
                  <c:v>-2.8589611574479423E-2</c:v>
                </c:pt>
                <c:pt idx="4">
                  <c:v>-1.6051372981794647E-2</c:v>
                </c:pt>
                <c:pt idx="5">
                  <c:v>-5.2182807326266161E-3</c:v>
                </c:pt>
                <c:pt idx="6">
                  <c:v>-2.8286099279127917E-2</c:v>
                </c:pt>
                <c:pt idx="7">
                  <c:v>-3.9097877458632885E-2</c:v>
                </c:pt>
                <c:pt idx="8">
                  <c:v>-1.0700620429966287E-2</c:v>
                </c:pt>
                <c:pt idx="9">
                  <c:v>-7.6855321532231105E-3</c:v>
                </c:pt>
              </c:numCache>
            </c:numRef>
          </c:val>
          <c:smooth val="0"/>
        </c:ser>
        <c:dLbls>
          <c:showLegendKey val="0"/>
          <c:showVal val="0"/>
          <c:showCatName val="0"/>
          <c:showSerName val="0"/>
          <c:showPercent val="0"/>
          <c:showBubbleSize val="0"/>
        </c:dLbls>
        <c:marker val="1"/>
        <c:smooth val="0"/>
        <c:axId val="49181440"/>
        <c:axId val="49182976"/>
      </c:lineChart>
      <c:catAx>
        <c:axId val="49181440"/>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9182976"/>
        <c:crosses val="autoZero"/>
        <c:auto val="1"/>
        <c:lblAlgn val="ctr"/>
        <c:lblOffset val="100"/>
        <c:tickLblSkip val="1"/>
        <c:tickMarkSkip val="1"/>
        <c:noMultiLvlLbl val="0"/>
      </c:catAx>
      <c:valAx>
        <c:axId val="49182976"/>
        <c:scaling>
          <c:orientation val="minMax"/>
        </c:scaling>
        <c:delete val="0"/>
        <c:axPos val="l"/>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9181440"/>
        <c:crosses val="autoZero"/>
        <c:crossBetween val="between"/>
      </c:valAx>
      <c:spPr>
        <a:solidFill>
          <a:srgbClr val="FFFFFF"/>
        </a:solidFill>
        <a:ln w="12700">
          <a:solidFill>
            <a:srgbClr val="FFFFFF"/>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7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5465393794749401E-2"/>
          <c:y val="0.17316090520539607"/>
          <c:w val="0.8949880668257757"/>
          <c:h val="0.69264362082158426"/>
        </c:manualLayout>
      </c:layout>
      <c:barChart>
        <c:barDir val="col"/>
        <c:grouping val="clustered"/>
        <c:varyColors val="0"/>
        <c:ser>
          <c:idx val="1"/>
          <c:order val="1"/>
          <c:tx>
            <c:v>Shade</c:v>
          </c:tx>
          <c:spPr>
            <a:solidFill>
              <a:srgbClr val="EFC1D2"/>
            </a:solidFill>
            <a:ln w="25400">
              <a:noFill/>
            </a:ln>
          </c:spPr>
          <c:invertIfNegative val="0"/>
          <c:cat>
            <c:strRef>
              <c:f>'MWA ROE - Qtr'!$C$34:$L$34</c:f>
              <c:strCache>
                <c:ptCount val="10"/>
                <c:pt idx="0">
                  <c:v>1Q10</c:v>
                </c:pt>
                <c:pt idx="1">
                  <c:v>2Q10</c:v>
                </c:pt>
                <c:pt idx="2">
                  <c:v>3Q10</c:v>
                </c:pt>
                <c:pt idx="3">
                  <c:v>4Q10</c:v>
                </c:pt>
                <c:pt idx="4">
                  <c:v>1Q11</c:v>
                </c:pt>
                <c:pt idx="5">
                  <c:v>2Q11</c:v>
                </c:pt>
                <c:pt idx="6">
                  <c:v>3Q11</c:v>
                </c:pt>
                <c:pt idx="7">
                  <c:v>4Q11E</c:v>
                </c:pt>
                <c:pt idx="8">
                  <c:v>1Q12E</c:v>
                </c:pt>
                <c:pt idx="9">
                  <c:v>2Q12E</c:v>
                </c:pt>
              </c:strCache>
            </c:strRef>
          </c:cat>
          <c:val>
            <c:numRef>
              <c:f>'MWA ROE - Qtr'!$C$205:$L$205</c:f>
              <c:numCache>
                <c:formatCode>General</c:formatCode>
                <c:ptCount val="10"/>
                <c:pt idx="0">
                  <c:v>1E-10</c:v>
                </c:pt>
                <c:pt idx="1">
                  <c:v>1E-10</c:v>
                </c:pt>
                <c:pt idx="2">
                  <c:v>1E-10</c:v>
                </c:pt>
                <c:pt idx="3">
                  <c:v>1E-10</c:v>
                </c:pt>
                <c:pt idx="4">
                  <c:v>1E-10</c:v>
                </c:pt>
                <c:pt idx="5">
                  <c:v>1E-10</c:v>
                </c:pt>
                <c:pt idx="6">
                  <c:v>1E-10</c:v>
                </c:pt>
                <c:pt idx="7">
                  <c:v>1E-10</c:v>
                </c:pt>
                <c:pt idx="8">
                  <c:v>1E-10</c:v>
                </c:pt>
                <c:pt idx="9">
                  <c:v>1E-10</c:v>
                </c:pt>
              </c:numCache>
            </c:numRef>
          </c:val>
        </c:ser>
        <c:ser>
          <c:idx val="2"/>
          <c:order val="2"/>
          <c:tx>
            <c:v>Shade2</c:v>
          </c:tx>
          <c:spPr>
            <a:solidFill>
              <a:srgbClr val="EFC1D2"/>
            </a:solidFill>
            <a:ln w="25400">
              <a:noFill/>
            </a:ln>
          </c:spPr>
          <c:invertIfNegative val="0"/>
          <c:cat>
            <c:strRef>
              <c:f>'MWA ROE - Qtr'!$C$34:$L$34</c:f>
              <c:strCache>
                <c:ptCount val="10"/>
                <c:pt idx="0">
                  <c:v>1Q10</c:v>
                </c:pt>
                <c:pt idx="1">
                  <c:v>2Q10</c:v>
                </c:pt>
                <c:pt idx="2">
                  <c:v>3Q10</c:v>
                </c:pt>
                <c:pt idx="3">
                  <c:v>4Q10</c:v>
                </c:pt>
                <c:pt idx="4">
                  <c:v>1Q11</c:v>
                </c:pt>
                <c:pt idx="5">
                  <c:v>2Q11</c:v>
                </c:pt>
                <c:pt idx="6">
                  <c:v>3Q11</c:v>
                </c:pt>
                <c:pt idx="7">
                  <c:v>4Q11E</c:v>
                </c:pt>
                <c:pt idx="8">
                  <c:v>1Q12E</c:v>
                </c:pt>
                <c:pt idx="9">
                  <c:v>2Q12E</c:v>
                </c:pt>
              </c:strCache>
            </c:strRef>
          </c:cat>
          <c:val>
            <c:numRef>
              <c:f>'MWA ROE - Qtr'!$C$206:$L$206</c:f>
              <c:numCache>
                <c:formatCode>General</c:formatCode>
                <c:ptCount val="10"/>
                <c:pt idx="0">
                  <c:v>1E-10</c:v>
                </c:pt>
                <c:pt idx="1">
                  <c:v>1E-10</c:v>
                </c:pt>
                <c:pt idx="2">
                  <c:v>1E-10</c:v>
                </c:pt>
                <c:pt idx="3">
                  <c:v>1E-10</c:v>
                </c:pt>
                <c:pt idx="4">
                  <c:v>1E-10</c:v>
                </c:pt>
                <c:pt idx="5">
                  <c:v>1E-10</c:v>
                </c:pt>
                <c:pt idx="6">
                  <c:v>1E-10</c:v>
                </c:pt>
                <c:pt idx="7">
                  <c:v>1E-10</c:v>
                </c:pt>
                <c:pt idx="8">
                  <c:v>1E-10</c:v>
                </c:pt>
                <c:pt idx="9">
                  <c:v>1E-10</c:v>
                </c:pt>
              </c:numCache>
            </c:numRef>
          </c:val>
        </c:ser>
        <c:dLbls>
          <c:showLegendKey val="0"/>
          <c:showVal val="0"/>
          <c:showCatName val="0"/>
          <c:showSerName val="0"/>
          <c:showPercent val="0"/>
          <c:showBubbleSize val="0"/>
        </c:dLbls>
        <c:gapWidth val="0"/>
        <c:overlap val="100"/>
        <c:axId val="49365376"/>
        <c:axId val="49366912"/>
      </c:barChart>
      <c:lineChart>
        <c:grouping val="standard"/>
        <c:varyColors val="0"/>
        <c:ser>
          <c:idx val="0"/>
          <c:order val="0"/>
          <c:tx>
            <c:strRef>
              <c:f>'MWA ROE - Qtr'!$M$23</c:f>
              <c:strCache>
                <c:ptCount val="1"/>
                <c:pt idx="0">
                  <c:v>ROE</c:v>
                </c:pt>
              </c:strCache>
            </c:strRef>
          </c:tx>
          <c:spPr>
            <a:ln w="25400">
              <a:solidFill>
                <a:srgbClr val="C7E5BE"/>
              </a:solidFill>
              <a:prstDash val="solid"/>
            </a:ln>
          </c:spPr>
          <c:marker>
            <c:symbol val="none"/>
          </c:marker>
          <c:dLbls>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'MWA ROE - Qtr'!$C$34:$L$34</c:f>
              <c:strCache>
                <c:ptCount val="10"/>
                <c:pt idx="0">
                  <c:v>1Q10</c:v>
                </c:pt>
                <c:pt idx="1">
                  <c:v>2Q10</c:v>
                </c:pt>
                <c:pt idx="2">
                  <c:v>3Q10</c:v>
                </c:pt>
                <c:pt idx="3">
                  <c:v>4Q10</c:v>
                </c:pt>
                <c:pt idx="4">
                  <c:v>1Q11</c:v>
                </c:pt>
                <c:pt idx="5">
                  <c:v>2Q11</c:v>
                </c:pt>
                <c:pt idx="6">
                  <c:v>3Q11</c:v>
                </c:pt>
                <c:pt idx="7">
                  <c:v>4Q11E</c:v>
                </c:pt>
                <c:pt idx="8">
                  <c:v>1Q12E</c:v>
                </c:pt>
                <c:pt idx="9">
                  <c:v>2Q12E</c:v>
                </c:pt>
              </c:strCache>
            </c:strRef>
          </c:cat>
          <c:val>
            <c:numRef>
              <c:f>'MWA ROE - Qtr'!$C$204:$L$204</c:f>
              <c:numCache>
                <c:formatCode>0.0%</c:formatCode>
                <c:ptCount val="10"/>
                <c:pt idx="0">
                  <c:v>4.8031134485654395E-2</c:v>
                </c:pt>
                <c:pt idx="1">
                  <c:v>-9.4754721525374674E-3</c:v>
                </c:pt>
                <c:pt idx="2">
                  <c:v>2.4198665228721911E-2</c:v>
                </c:pt>
                <c:pt idx="3">
                  <c:v>2.8815599213805117E-2</c:v>
                </c:pt>
                <c:pt idx="4">
                  <c:v>5.1396827263929558E-2</c:v>
                </c:pt>
                <c:pt idx="5">
                  <c:v>6.2171095367565946E-2</c:v>
                </c:pt>
                <c:pt idx="6">
                  <c:v>3.6280920341681573E-2</c:v>
                </c:pt>
                <c:pt idx="7">
                  <c:v>2.767762692075347E-2</c:v>
                </c:pt>
                <c:pt idx="8">
                  <c:v>6.4234804759478764E-2</c:v>
                </c:pt>
                <c:pt idx="9">
                  <c:v>6.9250709629010407E-2</c:v>
                </c:pt>
              </c:numCache>
            </c:numRef>
          </c:val>
          <c:smooth val="0"/>
        </c:ser>
        <c:dLbls>
          <c:showLegendKey val="0"/>
          <c:showVal val="0"/>
          <c:showCatName val="0"/>
          <c:showSerName val="0"/>
          <c:showPercent val="0"/>
          <c:showBubbleSize val="0"/>
        </c:dLbls>
        <c:marker val="1"/>
        <c:smooth val="0"/>
        <c:axId val="49365376"/>
        <c:axId val="49366912"/>
      </c:lineChart>
      <c:catAx>
        <c:axId val="49365376"/>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9366912"/>
        <c:crosses val="autoZero"/>
        <c:auto val="1"/>
        <c:lblAlgn val="ctr"/>
        <c:lblOffset val="100"/>
        <c:tickLblSkip val="1"/>
        <c:tickMarkSkip val="1"/>
        <c:noMultiLvlLbl val="0"/>
      </c:catAx>
      <c:valAx>
        <c:axId val="49366912"/>
        <c:scaling>
          <c:orientation val="minMax"/>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9365376"/>
        <c:crosses val="autoZero"/>
        <c:crossBetween val="between"/>
      </c:valAx>
      <c:spPr>
        <a:solidFill>
          <a:srgbClr val="FFFFFF"/>
        </a:solidFill>
        <a:ln w="12700">
          <a:solidFill>
            <a:srgbClr val="FFFFFF"/>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7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978520286396182"/>
          <c:y val="0.25892857142857145"/>
          <c:w val="0.85918854415274459"/>
          <c:h val="0.5580357142857143"/>
        </c:manualLayout>
      </c:layout>
      <c:scatterChart>
        <c:scatterStyle val="lineMarker"/>
        <c:varyColors val="0"/>
        <c:ser>
          <c:idx val="0"/>
          <c:order val="0"/>
          <c:tx>
            <c:strRef>
              <c:f>'MWA ROE - Qtr'!$B$213</c:f>
              <c:strCache>
                <c:ptCount val="1"/>
                <c:pt idx="0">
                  <c:v>Operating Asset Turnover</c:v>
                </c:pt>
              </c:strCache>
            </c:strRef>
          </c:tx>
          <c:spPr>
            <a:ln w="12700">
              <a:solidFill>
                <a:srgbClr val="C7E5BE"/>
              </a:solidFill>
              <a:prstDash val="solid"/>
            </a:ln>
          </c:spPr>
          <c:marker>
            <c:symbol val="diamond"/>
            <c:size val="5"/>
            <c:spPr>
              <a:solidFill>
                <a:srgbClr val="C7E5BE"/>
              </a:solidFill>
              <a:ln>
                <a:solidFill>
                  <a:srgbClr val="C7E5BE"/>
                </a:solidFill>
                <a:prstDash val="solid"/>
              </a:ln>
            </c:spPr>
          </c:marker>
          <c:dLbls>
            <c:dLbl>
              <c:idx val="0"/>
              <c:tx>
                <c:rich>
                  <a:bodyPr/>
                  <a:lstStyle/>
                  <a:p>
                    <a:pPr>
                      <a:defRPr sz="700" b="0" i="0" u="none" strike="noStrike" baseline="0">
                        <a:solidFill>
                          <a:srgbClr val="000000"/>
                        </a:solidFill>
                        <a:latin typeface="Arial"/>
                        <a:ea typeface="Arial"/>
                        <a:cs typeface="Arial"/>
                      </a:defRPr>
                    </a:pPr>
                    <a:r>
                      <a:t>2006</a:t>
                    </a:r>
                  </a:p>
                </c:rich>
              </c:tx>
              <c:spPr>
                <a:noFill/>
                <a:ln w="25400">
                  <a:noFill/>
                </a:ln>
              </c:spPr>
              <c:showLegendKey val="0"/>
              <c:showVal val="0"/>
              <c:showCatName val="0"/>
              <c:showSerName val="0"/>
              <c:showPercent val="0"/>
              <c:showBubbleSize val="0"/>
            </c:dLbl>
            <c:dLbl>
              <c:idx val="1"/>
              <c:tx>
                <c:rich>
                  <a:bodyPr/>
                  <a:lstStyle/>
                  <a:p>
                    <a:r>
                      <a:t>2007</a:t>
                    </a:r>
                  </a:p>
                </c:rich>
              </c:tx>
              <c:showLegendKey val="0"/>
              <c:showVal val="0"/>
              <c:showCatName val="0"/>
              <c:showSerName val="0"/>
              <c:showPercent val="0"/>
              <c:showBubbleSize val="0"/>
            </c:dLbl>
            <c:dLbl>
              <c:idx val="2"/>
              <c:tx>
                <c:rich>
                  <a:bodyPr/>
                  <a:lstStyle/>
                  <a:p>
                    <a:r>
                      <a:t>2008</a:t>
                    </a:r>
                  </a:p>
                </c:rich>
              </c:tx>
              <c:showLegendKey val="0"/>
              <c:showVal val="0"/>
              <c:showCatName val="0"/>
              <c:showSerName val="0"/>
              <c:showPercent val="0"/>
              <c:showBubbleSize val="0"/>
            </c:dLbl>
            <c:dLbl>
              <c:idx val="3"/>
              <c:tx>
                <c:rich>
                  <a:bodyPr/>
                  <a:lstStyle/>
                  <a:p>
                    <a:r>
                      <a:t>2009</a:t>
                    </a:r>
                  </a:p>
                </c:rich>
              </c:tx>
              <c:showLegendKey val="0"/>
              <c:showVal val="0"/>
              <c:showCatName val="0"/>
              <c:showSerName val="0"/>
              <c:showPercent val="0"/>
              <c:showBubbleSize val="0"/>
            </c:dLbl>
            <c:dLbl>
              <c:idx val="4"/>
              <c:tx>
                <c:rich>
                  <a:bodyPr/>
                  <a:lstStyle/>
                  <a:p>
                    <a:r>
                      <a:t>2010</a:t>
                    </a:r>
                  </a:p>
                </c:rich>
              </c:tx>
              <c:showLegendKey val="0"/>
              <c:showVal val="0"/>
              <c:showCatName val="0"/>
              <c:showSerName val="0"/>
              <c:showPercent val="0"/>
              <c:showBubbleSize val="0"/>
            </c:dLbl>
            <c:dLbl>
              <c:idx val="5"/>
              <c:tx>
                <c:rich>
                  <a:bodyPr/>
                  <a:lstStyle/>
                  <a:p>
                    <a:r>
                      <a:t>2011</a:t>
                    </a:r>
                  </a:p>
                </c:rich>
              </c:tx>
              <c:showLegendKey val="0"/>
              <c:showVal val="0"/>
              <c:showCatName val="0"/>
              <c:showSerName val="0"/>
              <c:showPercent val="0"/>
              <c:showBubbleSize val="0"/>
            </c:dLbl>
            <c:dLbl>
              <c:idx val="6"/>
              <c:tx>
                <c:rich>
                  <a:bodyPr/>
                  <a:lstStyle/>
                  <a:p>
                    <a:r>
                      <a:t>2012</a:t>
                    </a:r>
                  </a:p>
                </c:rich>
              </c:tx>
              <c:showLegendKey val="0"/>
              <c:showVal val="0"/>
              <c:showCatName val="0"/>
              <c:showSerName val="0"/>
              <c:showPercent val="0"/>
              <c:showBubbleSize val="0"/>
            </c:dLbl>
            <c:dLbl>
              <c:idx val="7"/>
              <c:tx>
                <c:rich>
                  <a:bodyPr/>
                  <a:lstStyle/>
                  <a:p>
                    <a:r>
                      <a:t>2013</a:t>
                    </a:r>
                  </a:p>
                </c:rich>
              </c:tx>
              <c:showLegendKey val="0"/>
              <c:showVal val="0"/>
              <c:showCatName val="0"/>
              <c:showSerName val="0"/>
              <c:showPercent val="0"/>
              <c:showBubbleSize val="0"/>
            </c:dLbl>
            <c:dLbl>
              <c:idx val="8"/>
              <c:tx>
                <c:rich>
                  <a:bodyPr/>
                  <a:lstStyle/>
                  <a:p>
                    <a:r>
                      <a:t>2014</a:t>
                    </a:r>
                  </a:p>
                </c:rich>
              </c:tx>
              <c:showLegendKey val="0"/>
              <c:showVal val="0"/>
              <c:showCatName val="0"/>
              <c:showSerName val="0"/>
              <c:showPercent val="0"/>
              <c:showBubbleSize val="0"/>
            </c:dLbl>
            <c:dLbl>
              <c:idx val="9"/>
              <c:tx>
                <c:rich>
                  <a:bodyPr/>
                  <a:lstStyle/>
                  <a:p>
                    <a:r>
                      <a:t>2015</a:t>
                    </a:r>
                  </a:p>
                </c:rich>
              </c:tx>
              <c:showLegendKey val="0"/>
              <c:showVal val="0"/>
              <c:showCatName val="0"/>
              <c:showSerName val="0"/>
              <c:showPercent val="0"/>
              <c:showBubbleSize val="0"/>
            </c:dLbl>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xVal>
            <c:numRef>
              <c:f>'MWA ROE - Qtr'!$C$213:$L$213</c:f>
              <c:numCache>
                <c:formatCode>0.0</c:formatCode>
                <c:ptCount val="10"/>
                <c:pt idx="0">
                  <c:v>0.48209162492093155</c:v>
                </c:pt>
                <c:pt idx="1">
                  <c:v>0.54871940654744678</c:v>
                </c:pt>
                <c:pt idx="2">
                  <c:v>0.4163626853562678</c:v>
                </c:pt>
                <c:pt idx="3">
                  <c:v>0.41117529723926249</c:v>
                </c:pt>
                <c:pt idx="4">
                  <c:v>0.42436607927257497</c:v>
                </c:pt>
                <c:pt idx="5">
                  <c:v>0.42189501515988048</c:v>
                </c:pt>
                <c:pt idx="6">
                  <c:v>0.41149668147837515</c:v>
                </c:pt>
                <c:pt idx="7">
                  <c:v>0.42421181848924611</c:v>
                </c:pt>
                <c:pt idx="8">
                  <c:v>0.43630556389727604</c:v>
                </c:pt>
                <c:pt idx="9">
                  <c:v>0.44132945253804629</c:v>
                </c:pt>
              </c:numCache>
            </c:numRef>
          </c:xVal>
          <c:yVal>
            <c:numRef>
              <c:f>'MWA ROE - Qtr'!$C$214:$L$214</c:f>
              <c:numCache>
                <c:formatCode>0.0%</c:formatCode>
                <c:ptCount val="10"/>
                <c:pt idx="0">
                  <c:v>0.17762991204468953</c:v>
                </c:pt>
                <c:pt idx="1">
                  <c:v>0.15231296786050466</c:v>
                </c:pt>
                <c:pt idx="2">
                  <c:v>0.14421006614933696</c:v>
                </c:pt>
                <c:pt idx="3">
                  <c:v>0.13961249903318124</c:v>
                </c:pt>
                <c:pt idx="4">
                  <c:v>0.15893871715981683</c:v>
                </c:pt>
                <c:pt idx="5">
                  <c:v>0.15973020225103826</c:v>
                </c:pt>
                <c:pt idx="6">
                  <c:v>0.156907752910281</c:v>
                </c:pt>
                <c:pt idx="7">
                  <c:v>0.15741075912782268</c:v>
                </c:pt>
                <c:pt idx="8">
                  <c:v>0.17174987300205019</c:v>
                </c:pt>
                <c:pt idx="9">
                  <c:v>0.17432836476192573</c:v>
                </c:pt>
              </c:numCache>
            </c:numRef>
          </c:yVal>
          <c:smooth val="0"/>
        </c:ser>
        <c:dLbls>
          <c:showLegendKey val="0"/>
          <c:showVal val="0"/>
          <c:showCatName val="0"/>
          <c:showSerName val="0"/>
          <c:showPercent val="0"/>
          <c:showBubbleSize val="0"/>
        </c:dLbls>
        <c:axId val="49409024"/>
        <c:axId val="49411200"/>
      </c:scatterChart>
      <c:valAx>
        <c:axId val="49409024"/>
        <c:scaling>
          <c:orientation val="minMax"/>
          <c:max val="0.88231878936274999"/>
          <c:min val="0.46503002950487105"/>
        </c:scaling>
        <c:delete val="0"/>
        <c:axPos val="b"/>
        <c:title>
          <c:tx>
            <c:strRef>
              <c:f>'MWA ROE - Qtr'!$AB$10</c:f>
              <c:strCache>
                <c:ptCount val="1"/>
                <c:pt idx="0">
                  <c:v>Operating Asset Turnover</c:v>
                </c:pt>
              </c:strCache>
            </c:strRef>
          </c:tx>
          <c:layout>
            <c:manualLayout>
              <c:xMode val="edge"/>
              <c:yMode val="edge"/>
              <c:x val="0.68019093078758952"/>
              <c:y val="0.8839285714285714"/>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numFmt formatCode="0.0"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9411200"/>
        <c:crosses val="autoZero"/>
        <c:crossBetween val="midCat"/>
      </c:valAx>
      <c:valAx>
        <c:axId val="49411200"/>
        <c:scaling>
          <c:orientation val="minMax"/>
          <c:max val="0.1822450378268482"/>
          <c:min val="5.8074795032177141E-2"/>
        </c:scaling>
        <c:delete val="0"/>
        <c:axPos val="l"/>
        <c:title>
          <c:tx>
            <c:strRef>
              <c:f>'MWA ROE - Qtr'!$AB$13</c:f>
              <c:strCache>
                <c:ptCount val="1"/>
                <c:pt idx="0">
                  <c:v>NOPAT margin</c:v>
                </c:pt>
              </c:strCache>
            </c:strRef>
          </c:tx>
          <c:layout>
            <c:manualLayout>
              <c:xMode val="edge"/>
              <c:yMode val="edge"/>
              <c:x val="6.6825775656324582E-2"/>
              <c:y val="0.11160714285714286"/>
            </c:manualLayout>
          </c:layout>
          <c:overlay val="0"/>
          <c:spPr>
            <a:noFill/>
            <a:ln w="25400">
              <a:noFill/>
            </a:ln>
          </c:spPr>
          <c:txPr>
            <a:bodyPr rot="0" vert="horz"/>
            <a:lstStyle/>
            <a:p>
              <a:pPr algn="ctr">
                <a:defRPr sz="800" b="0" i="0" u="none" strike="noStrike" baseline="0">
                  <a:solidFill>
                    <a:srgbClr val="000000"/>
                  </a:solidFill>
                  <a:latin typeface="Arial"/>
                  <a:ea typeface="Arial"/>
                  <a:cs typeface="Arial"/>
                </a:defRPr>
              </a:pPr>
              <a:endParaRPr lang="en-US"/>
            </a:p>
          </c:txPr>
        </c:title>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9409024"/>
        <c:crosses val="autoZero"/>
        <c:crossBetween val="midCat"/>
      </c:valAx>
      <c:spPr>
        <a:solidFill>
          <a:srgbClr val="FFFFFF"/>
        </a:solidFill>
        <a:ln w="12700">
          <a:solidFill>
            <a:srgbClr val="FFFFFF"/>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7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4319809069212411E-2"/>
          <c:y val="0.11061970802446597"/>
          <c:w val="0.97852028639618138"/>
          <c:h val="0.76548837952930449"/>
        </c:manualLayout>
      </c:layout>
      <c:barChart>
        <c:barDir val="col"/>
        <c:grouping val="stacked"/>
        <c:varyColors val="0"/>
        <c:ser>
          <c:idx val="0"/>
          <c:order val="0"/>
          <c:spPr>
            <a:noFill/>
            <a:ln w="25400">
              <a:noFill/>
            </a:ln>
          </c:spPr>
          <c:invertIfNegative val="0"/>
          <c:dPt>
            <c:idx val="1"/>
            <c:invertIfNegative val="0"/>
            <c:bubble3D val="0"/>
            <c:spPr>
              <a:solidFill>
                <a:srgbClr val="FFFFFF"/>
              </a:solidFill>
              <a:ln w="25400">
                <a:noFill/>
              </a:ln>
            </c:spPr>
          </c:dPt>
          <c:cat>
            <c:strRef>
              <c:f>'MWA ROE - Qtr'!$T$9:$T$11</c:f>
              <c:strCache>
                <c:ptCount val="3"/>
                <c:pt idx="0">
                  <c:v>RNOA</c:v>
                </c:pt>
                <c:pt idx="1">
                  <c:v>Leverage Effect</c:v>
                </c:pt>
                <c:pt idx="2">
                  <c:v>ROE</c:v>
                </c:pt>
              </c:strCache>
            </c:strRef>
          </c:cat>
          <c:val>
            <c:numRef>
              <c:f>'MWA ROE - Qtr'!$U$9:$U$11</c:f>
              <c:numCache>
                <c:formatCode>0.0%</c:formatCode>
                <c:ptCount val="3"/>
                <c:pt idx="0">
                  <c:v>0</c:v>
                </c:pt>
                <c:pt idx="1">
                  <c:v>6.7448200245724205E-2</c:v>
                </c:pt>
                <c:pt idx="2">
                  <c:v>0</c:v>
                </c:pt>
              </c:numCache>
            </c:numRef>
          </c:val>
        </c:ser>
        <c:ser>
          <c:idx val="1"/>
          <c:order val="1"/>
          <c:spPr>
            <a:solidFill>
              <a:srgbClr val="FCAE91"/>
            </a:solidFill>
            <a:ln w="3175">
              <a:solidFill>
                <a:srgbClr val="FCAE91"/>
              </a:solidFill>
              <a:prstDash val="solid"/>
            </a:ln>
          </c:spPr>
          <c:invertIfNegative val="0"/>
          <c:dPt>
            <c:idx val="0"/>
            <c:invertIfNegative val="0"/>
            <c:bubble3D val="0"/>
            <c:spPr>
              <a:solidFill>
                <a:srgbClr val="C7E5BE"/>
              </a:solidFill>
              <a:ln w="25400">
                <a:noFill/>
              </a:ln>
            </c:spPr>
          </c:dPt>
          <c:dPt>
            <c:idx val="1"/>
            <c:invertIfNegative val="0"/>
            <c:bubble3D val="0"/>
            <c:spPr>
              <a:solidFill>
                <a:srgbClr val="EFC1D2"/>
              </a:solidFill>
              <a:ln w="25400">
                <a:noFill/>
              </a:ln>
            </c:spPr>
          </c:dPt>
          <c:dPt>
            <c:idx val="2"/>
            <c:invertIfNegative val="0"/>
            <c:bubble3D val="0"/>
            <c:spPr>
              <a:solidFill>
                <a:srgbClr val="969696"/>
              </a:solidFill>
              <a:ln w="25400">
                <a:noFill/>
              </a:ln>
            </c:spPr>
          </c:dPt>
          <c:dLbls>
            <c:dLbl>
              <c:idx val="0"/>
              <c:tx>
                <c:rich>
                  <a:bodyPr/>
                  <a:lstStyle/>
                  <a:p>
                    <a:r>
                      <a:t>7%</a:t>
                    </a:r>
                  </a:p>
                </c:rich>
              </c:tx>
              <c:dLblPos val="ctr"/>
              <c:showLegendKey val="0"/>
              <c:showVal val="0"/>
              <c:showCatName val="0"/>
              <c:showSerName val="0"/>
              <c:showPercent val="0"/>
              <c:showBubbleSize val="0"/>
            </c:dLbl>
            <c:dLbl>
              <c:idx val="1"/>
              <c:tx>
                <c:rich>
                  <a:bodyPr/>
                  <a:lstStyle/>
                  <a:p>
                    <a:pPr>
                      <a:defRPr sz="700" b="0" i="0" u="none" strike="noStrike" baseline="0">
                        <a:solidFill>
                          <a:srgbClr val="000000"/>
                        </a:solidFill>
                        <a:latin typeface="Arial"/>
                        <a:ea typeface="Arial"/>
                        <a:cs typeface="Arial"/>
                      </a:defRPr>
                    </a:pPr>
                    <a:r>
                      <a:t>-2%</a:t>
                    </a:r>
                  </a:p>
                </c:rich>
              </c:tx>
              <c:spPr>
                <a:noFill/>
                <a:ln w="25400">
                  <a:noFill/>
                </a:ln>
              </c:spPr>
              <c:dLblPos val="ctr"/>
              <c:showLegendKey val="0"/>
              <c:showVal val="0"/>
              <c:showCatName val="0"/>
              <c:showSerName val="0"/>
              <c:showPercent val="0"/>
              <c:showBubbleSize val="0"/>
            </c:dLbl>
            <c:dLbl>
              <c:idx val="2"/>
              <c:tx>
                <c:rich>
                  <a:bodyPr/>
                  <a:lstStyle/>
                  <a:p>
                    <a:r>
                      <a:t>5%</a:t>
                    </a:r>
                  </a:p>
                </c:rich>
              </c:tx>
              <c:dLblPos val="ctr"/>
              <c:showLegendKey val="0"/>
              <c:showVal val="0"/>
              <c:showCatName val="0"/>
              <c:showSerName val="0"/>
              <c:showPercent val="0"/>
              <c:showBubbleSize val="0"/>
            </c:dLbl>
            <c:spPr>
              <a:noFill/>
              <a:ln w="25400">
                <a:noFill/>
              </a:ln>
            </c:spPr>
            <c:txPr>
              <a:bodyPr/>
              <a:lstStyle/>
              <a:p>
                <a:pPr>
                  <a:defRPr sz="700" b="0" i="0" u="none" strike="noStrike" baseline="0">
                    <a:solidFill>
                      <a:srgbClr val="FFFFFF"/>
                    </a:solidFill>
                    <a:latin typeface="Arial"/>
                    <a:ea typeface="Arial"/>
                    <a:cs typeface="Arial"/>
                  </a:defRPr>
                </a:pPr>
                <a:endParaRPr lang="en-US"/>
              </a:p>
            </c:txPr>
            <c:dLblPos val="ctr"/>
            <c:showLegendKey val="0"/>
            <c:showVal val="1"/>
            <c:showCatName val="0"/>
            <c:showSerName val="0"/>
            <c:showPercent val="0"/>
            <c:showBubbleSize val="0"/>
            <c:showLeaderLines val="0"/>
          </c:dLbls>
          <c:cat>
            <c:strRef>
              <c:f>'MWA ROE - Qtr'!$T$9:$T$11</c:f>
              <c:strCache>
                <c:ptCount val="3"/>
                <c:pt idx="0">
                  <c:v>RNOA</c:v>
                </c:pt>
                <c:pt idx="1">
                  <c:v>Leverage Effect</c:v>
                </c:pt>
                <c:pt idx="2">
                  <c:v>ROE</c:v>
                </c:pt>
              </c:strCache>
            </c:strRef>
          </c:cat>
          <c:val>
            <c:numRef>
              <c:f>'MWA ROE - Qtr'!$W$9:$W$11</c:f>
              <c:numCache>
                <c:formatCode>0.0%</c:formatCode>
                <c:ptCount val="3"/>
                <c:pt idx="0">
                  <c:v>6.7448200245724205E-2</c:v>
                </c:pt>
                <c:pt idx="1">
                  <c:v>0</c:v>
                </c:pt>
                <c:pt idx="2">
                  <c:v>5.1396827263929558E-2</c:v>
                </c:pt>
              </c:numCache>
            </c:numRef>
          </c:val>
        </c:ser>
        <c:dLbls>
          <c:showLegendKey val="0"/>
          <c:showVal val="0"/>
          <c:showCatName val="0"/>
          <c:showSerName val="0"/>
          <c:showPercent val="0"/>
          <c:showBubbleSize val="0"/>
        </c:dLbls>
        <c:gapWidth val="150"/>
        <c:overlap val="100"/>
        <c:axId val="50564480"/>
        <c:axId val="50574464"/>
      </c:barChart>
      <c:barChart>
        <c:barDir val="col"/>
        <c:grouping val="clustered"/>
        <c:varyColors val="0"/>
        <c:ser>
          <c:idx val="2"/>
          <c:order val="2"/>
          <c:tx>
            <c:v>Arrow Image</c:v>
          </c:tx>
          <c:spPr>
            <a:blipFill dpi="0" rotWithShape="0">
              <a:blip xmlns:r="http://schemas.openxmlformats.org/officeDocument/2006/relationships" r:embed="rId1"/>
              <a:srcRect/>
              <a:stretch>
                <a:fillRect/>
              </a:stretch>
            </a:blipFill>
            <a:ln w="25400">
              <a:noFill/>
            </a:ln>
          </c:spPr>
          <c:invertIfNegative val="0"/>
          <c:pictureOptions>
            <c:pictureFormat val="stretch"/>
          </c:pictureOptions>
          <c:dPt>
            <c:idx val="1"/>
            <c:invertIfNegative val="0"/>
            <c:bubble3D val="0"/>
            <c:spPr>
              <a:blipFill dpi="0" rotWithShape="0">
                <a:blip xmlns:r="http://schemas.openxmlformats.org/officeDocument/2006/relationships" r:embed="rId2"/>
                <a:srcRect/>
                <a:stretch>
                  <a:fillRect/>
                </a:stretch>
              </a:blipFill>
              <a:ln w="25400">
                <a:noFill/>
              </a:ln>
            </c:spPr>
            <c:pictureOptions>
              <c:pictureFormat val="stretch"/>
            </c:pictureOptions>
          </c:dPt>
          <c:dPt>
            <c:idx val="2"/>
            <c:invertIfNegative val="0"/>
            <c:bubble3D val="0"/>
            <c:spPr>
              <a:blipFill dpi="0" rotWithShape="0">
                <a:blip xmlns:r="http://schemas.openxmlformats.org/officeDocument/2006/relationships" r:embed="rId3"/>
                <a:srcRect/>
                <a:stretch>
                  <a:fillRect/>
                </a:stretch>
              </a:blipFill>
              <a:ln w="25400">
                <a:noFill/>
              </a:ln>
            </c:spPr>
            <c:pictureOptions>
              <c:pictureFormat val="stretch"/>
            </c:pictureOptions>
          </c:dPt>
          <c:val>
            <c:numRef>
              <c:f>'MWA ROE - Qtr'!$X$9:$Z$9</c:f>
              <c:numCache>
                <c:formatCode>General</c:formatCode>
                <c:ptCount val="3"/>
                <c:pt idx="2" formatCode="0%">
                  <c:v>0</c:v>
                </c:pt>
              </c:numCache>
            </c:numRef>
          </c:val>
        </c:ser>
        <c:dLbls>
          <c:showLegendKey val="0"/>
          <c:showVal val="0"/>
          <c:showCatName val="0"/>
          <c:showSerName val="0"/>
          <c:showPercent val="0"/>
          <c:showBubbleSize val="0"/>
        </c:dLbls>
        <c:gapWidth val="0"/>
        <c:axId val="50576000"/>
        <c:axId val="50577792"/>
      </c:barChart>
      <c:catAx>
        <c:axId val="50564480"/>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rtl="0">
              <a:defRPr sz="800" b="0" i="0" u="none" strike="noStrike" baseline="0">
                <a:solidFill>
                  <a:srgbClr val="000000"/>
                </a:solidFill>
                <a:latin typeface="Arial"/>
                <a:ea typeface="Arial"/>
                <a:cs typeface="Arial"/>
              </a:defRPr>
            </a:pPr>
            <a:endParaRPr lang="en-US"/>
          </a:p>
        </c:txPr>
        <c:crossAx val="50574464"/>
        <c:crosses val="autoZero"/>
        <c:auto val="1"/>
        <c:lblAlgn val="ctr"/>
        <c:lblOffset val="0"/>
        <c:tickLblSkip val="1"/>
        <c:tickMarkSkip val="1"/>
        <c:noMultiLvlLbl val="0"/>
      </c:catAx>
      <c:valAx>
        <c:axId val="50574464"/>
        <c:scaling>
          <c:orientation val="minMax"/>
        </c:scaling>
        <c:delete val="1"/>
        <c:axPos val="l"/>
        <c:numFmt formatCode="0.0%" sourceLinked="1"/>
        <c:majorTickMark val="out"/>
        <c:minorTickMark val="none"/>
        <c:tickLblPos val="nextTo"/>
        <c:crossAx val="50564480"/>
        <c:crosses val="autoZero"/>
        <c:crossBetween val="between"/>
      </c:valAx>
      <c:catAx>
        <c:axId val="50576000"/>
        <c:scaling>
          <c:orientation val="minMax"/>
        </c:scaling>
        <c:delete val="1"/>
        <c:axPos val="b"/>
        <c:majorTickMark val="out"/>
        <c:minorTickMark val="none"/>
        <c:tickLblPos val="nextTo"/>
        <c:crossAx val="50577792"/>
        <c:crosses val="autoZero"/>
        <c:auto val="1"/>
        <c:lblAlgn val="ctr"/>
        <c:lblOffset val="100"/>
        <c:noMultiLvlLbl val="0"/>
      </c:catAx>
      <c:valAx>
        <c:axId val="50577792"/>
        <c:scaling>
          <c:orientation val="minMax"/>
          <c:max val="1"/>
        </c:scaling>
        <c:delete val="1"/>
        <c:axPos val="r"/>
        <c:numFmt formatCode="General" sourceLinked="1"/>
        <c:majorTickMark val="out"/>
        <c:minorTickMark val="none"/>
        <c:tickLblPos val="nextTo"/>
        <c:crossAx val="50576000"/>
        <c:crosses val="max"/>
        <c:crossBetween val="between"/>
      </c:valAx>
      <c:spPr>
        <a:solidFill>
          <a:srgbClr val="FFFFFF"/>
        </a:solid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7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userShapes r:id="rId4"/>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ROE (Breakdown)</a:t>
            </a:r>
          </a:p>
        </c:rich>
      </c:tx>
      <c:layout>
        <c:manualLayout>
          <c:xMode val="edge"/>
          <c:yMode val="edge"/>
          <c:x val="0.36744234877617038"/>
          <c:y val="3.9473684210526314E-2"/>
        </c:manualLayout>
      </c:layout>
      <c:overlay val="0"/>
      <c:spPr>
        <a:noFill/>
        <a:ln w="25400">
          <a:noFill/>
        </a:ln>
      </c:spPr>
    </c:title>
    <c:autoTitleDeleted val="0"/>
    <c:plotArea>
      <c:layout>
        <c:manualLayout>
          <c:layoutTarget val="inner"/>
          <c:xMode val="edge"/>
          <c:yMode val="edge"/>
          <c:x val="0.12093036987914457"/>
          <c:y val="0.15789541313482189"/>
          <c:w val="0.85348934126242426"/>
          <c:h val="0.5921077992555821"/>
        </c:manualLayout>
      </c:layout>
      <c:barChart>
        <c:barDir val="col"/>
        <c:grouping val="stacked"/>
        <c:varyColors val="0"/>
        <c:ser>
          <c:idx val="0"/>
          <c:order val="0"/>
          <c:tx>
            <c:v>RNOA (%)</c:v>
          </c:tx>
          <c:spPr>
            <a:solidFill>
              <a:srgbClr val="EFC1D2"/>
            </a:solidFill>
            <a:ln w="25400">
              <a:noFill/>
            </a:ln>
          </c:spPr>
          <c:invertIfNegative val="0"/>
          <c:cat>
            <c:strRef>
              <c:f>'MWA ROE - Qtr'!$C$34:$L$34</c:f>
              <c:strCache>
                <c:ptCount val="10"/>
                <c:pt idx="0">
                  <c:v>1Q10</c:v>
                </c:pt>
                <c:pt idx="1">
                  <c:v>2Q10</c:v>
                </c:pt>
                <c:pt idx="2">
                  <c:v>3Q10</c:v>
                </c:pt>
                <c:pt idx="3">
                  <c:v>4Q10</c:v>
                </c:pt>
                <c:pt idx="4">
                  <c:v>1Q11</c:v>
                </c:pt>
                <c:pt idx="5">
                  <c:v>2Q11</c:v>
                </c:pt>
                <c:pt idx="6">
                  <c:v>3Q11</c:v>
                </c:pt>
                <c:pt idx="7">
                  <c:v>4Q11E</c:v>
                </c:pt>
                <c:pt idx="8">
                  <c:v>1Q12E</c:v>
                </c:pt>
                <c:pt idx="9">
                  <c:v>2Q12E</c:v>
                </c:pt>
              </c:strCache>
            </c:strRef>
          </c:cat>
          <c:val>
            <c:numRef>
              <c:f>'MWA ROE - Qtr'!$C$38:$L$38</c:f>
              <c:numCache>
                <c:formatCode>0.0%</c:formatCode>
                <c:ptCount val="10"/>
                <c:pt idx="0">
                  <c:v>8.5633892932186526E-2</c:v>
                </c:pt>
                <c:pt idx="1">
                  <c:v>8.357708133389645E-2</c:v>
                </c:pt>
                <c:pt idx="2">
                  <c:v>6.0043690397342947E-2</c:v>
                </c:pt>
                <c:pt idx="3">
                  <c:v>5.740521078828454E-2</c:v>
                </c:pt>
                <c:pt idx="4">
                  <c:v>6.7448200245724205E-2</c:v>
                </c:pt>
                <c:pt idx="5">
                  <c:v>6.7389376100192563E-2</c:v>
                </c:pt>
                <c:pt idx="6">
                  <c:v>6.456701962080949E-2</c:v>
                </c:pt>
                <c:pt idx="7">
                  <c:v>6.6775504379386355E-2</c:v>
                </c:pt>
                <c:pt idx="8">
                  <c:v>7.4935425189445057E-2</c:v>
                </c:pt>
                <c:pt idx="9">
                  <c:v>7.6936241782233517E-2</c:v>
                </c:pt>
              </c:numCache>
            </c:numRef>
          </c:val>
        </c:ser>
        <c:ser>
          <c:idx val="1"/>
          <c:order val="1"/>
          <c:tx>
            <c:v>Leverage effect (%)</c:v>
          </c:tx>
          <c:spPr>
            <a:solidFill>
              <a:srgbClr val="969696"/>
            </a:solidFill>
            <a:ln w="25400">
              <a:noFill/>
            </a:ln>
          </c:spPr>
          <c:invertIfNegative val="0"/>
          <c:cat>
            <c:strRef>
              <c:f>'MWA ROE - Qtr'!$C$34:$L$34</c:f>
              <c:strCache>
                <c:ptCount val="10"/>
                <c:pt idx="0">
                  <c:v>1Q10</c:v>
                </c:pt>
                <c:pt idx="1">
                  <c:v>2Q10</c:v>
                </c:pt>
                <c:pt idx="2">
                  <c:v>3Q10</c:v>
                </c:pt>
                <c:pt idx="3">
                  <c:v>4Q10</c:v>
                </c:pt>
                <c:pt idx="4">
                  <c:v>1Q11</c:v>
                </c:pt>
                <c:pt idx="5">
                  <c:v>2Q11</c:v>
                </c:pt>
                <c:pt idx="6">
                  <c:v>3Q11</c:v>
                </c:pt>
                <c:pt idx="7">
                  <c:v>4Q11E</c:v>
                </c:pt>
                <c:pt idx="8">
                  <c:v>1Q12E</c:v>
                </c:pt>
                <c:pt idx="9">
                  <c:v>2Q12E</c:v>
                </c:pt>
              </c:strCache>
            </c:strRef>
          </c:cat>
          <c:val>
            <c:numRef>
              <c:f>'MWA ROE - Qtr'!$C$68:$L$68</c:f>
              <c:numCache>
                <c:formatCode>0.0%</c:formatCode>
                <c:ptCount val="10"/>
                <c:pt idx="0">
                  <c:v>-3.7602758446532131E-2</c:v>
                </c:pt>
                <c:pt idx="1">
                  <c:v>-9.3052553486433917E-2</c:v>
                </c:pt>
                <c:pt idx="2">
                  <c:v>-3.5845025168621036E-2</c:v>
                </c:pt>
                <c:pt idx="3">
                  <c:v>-2.8589611574479423E-2</c:v>
                </c:pt>
                <c:pt idx="4">
                  <c:v>-1.6051372981794647E-2</c:v>
                </c:pt>
                <c:pt idx="5">
                  <c:v>-5.2182807326266161E-3</c:v>
                </c:pt>
                <c:pt idx="6">
                  <c:v>-2.8286099279127917E-2</c:v>
                </c:pt>
                <c:pt idx="7">
                  <c:v>-3.9097877458632885E-2</c:v>
                </c:pt>
                <c:pt idx="8">
                  <c:v>-1.0700620429966287E-2</c:v>
                </c:pt>
                <c:pt idx="9">
                  <c:v>-7.6855321532231105E-3</c:v>
                </c:pt>
              </c:numCache>
            </c:numRef>
          </c:val>
        </c:ser>
        <c:dLbls>
          <c:showLegendKey val="0"/>
          <c:showVal val="0"/>
          <c:showCatName val="0"/>
          <c:showSerName val="0"/>
          <c:showPercent val="0"/>
          <c:showBubbleSize val="0"/>
        </c:dLbls>
        <c:gapWidth val="150"/>
        <c:overlap val="100"/>
        <c:axId val="54224000"/>
        <c:axId val="54225536"/>
      </c:barChart>
      <c:catAx>
        <c:axId val="54224000"/>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Tahoma"/>
                <a:ea typeface="Tahoma"/>
                <a:cs typeface="Tahoma"/>
              </a:defRPr>
            </a:pPr>
            <a:endParaRPr lang="en-US"/>
          </a:p>
        </c:txPr>
        <c:crossAx val="54225536"/>
        <c:crosses val="autoZero"/>
        <c:auto val="1"/>
        <c:lblAlgn val="ctr"/>
        <c:lblOffset val="100"/>
        <c:tickLblSkip val="1"/>
        <c:tickMarkSkip val="1"/>
        <c:noMultiLvlLbl val="0"/>
      </c:catAx>
      <c:valAx>
        <c:axId val="54225536"/>
        <c:scaling>
          <c:orientation val="minMax"/>
        </c:scaling>
        <c:delete val="0"/>
        <c:axPos val="l"/>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ahoma"/>
                <a:ea typeface="Tahoma"/>
                <a:cs typeface="Tahoma"/>
              </a:defRPr>
            </a:pPr>
            <a:endParaRPr lang="en-US"/>
          </a:p>
        </c:txPr>
        <c:crossAx val="54224000"/>
        <c:crosses val="autoZero"/>
        <c:crossBetween val="between"/>
      </c:valAx>
      <c:spPr>
        <a:solidFill>
          <a:srgbClr val="FFFFFF"/>
        </a:solidFill>
        <a:ln w="25400">
          <a:noFill/>
        </a:ln>
      </c:spPr>
    </c:plotArea>
    <c:legend>
      <c:legendPos val="b"/>
      <c:layout>
        <c:manualLayout>
          <c:xMode val="edge"/>
          <c:yMode val="edge"/>
          <c:x val="0.21860489531831775"/>
          <c:y val="0.90789842059216286"/>
          <c:w val="0.56511701153634863"/>
          <c:h val="7.8947828889809779E-2"/>
        </c:manualLayout>
      </c:layout>
      <c:overlay val="0"/>
      <c:spPr>
        <a:solidFill>
          <a:srgbClr val="FFFFFF"/>
        </a:solidFill>
        <a:ln w="25400">
          <a:noFill/>
        </a:ln>
      </c:spPr>
      <c:txPr>
        <a:bodyPr/>
        <a:lstStyle/>
        <a:p>
          <a:pPr>
            <a:defRPr sz="125" b="0" i="0" u="none" strike="noStrike" baseline="0">
              <a:solidFill>
                <a:srgbClr val="000000"/>
              </a:solidFill>
              <a:latin typeface="Tahoma"/>
              <a:ea typeface="Tahoma"/>
              <a:cs typeface="Tahoma"/>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en-US"/>
              <a:t>Return on Net Operating Assets (RNOA) - Annualized</a:t>
            </a:r>
          </a:p>
        </c:rich>
      </c:tx>
      <c:layout>
        <c:manualLayout>
          <c:xMode val="edge"/>
          <c:yMode val="edge"/>
          <c:x val="1.1876484560570071E-2"/>
          <c:y val="2.1459227467811159E-2"/>
        </c:manualLayout>
      </c:layout>
      <c:overlay val="0"/>
      <c:spPr>
        <a:noFill/>
        <a:ln w="25400">
          <a:noFill/>
        </a:ln>
      </c:spPr>
    </c:title>
    <c:autoTitleDeleted val="0"/>
    <c:plotArea>
      <c:layout>
        <c:manualLayout>
          <c:layoutTarget val="inner"/>
          <c:xMode val="edge"/>
          <c:yMode val="edge"/>
          <c:x val="8.551078801262342E-2"/>
          <c:y val="0.19313304721030042"/>
          <c:w val="0.90498917313359784"/>
          <c:h val="0.6094420600858369"/>
        </c:manualLayout>
      </c:layout>
      <c:barChart>
        <c:barDir val="col"/>
        <c:grouping val="clustered"/>
        <c:varyColors val="0"/>
        <c:ser>
          <c:idx val="1"/>
          <c:order val="1"/>
          <c:tx>
            <c:v>Shade</c:v>
          </c:tx>
          <c:spPr>
            <a:solidFill>
              <a:srgbClr val="EFC1D2"/>
            </a:solidFill>
            <a:ln w="25400">
              <a:noFill/>
            </a:ln>
          </c:spPr>
          <c:invertIfNegative val="0"/>
          <c:cat>
            <c:strRef>
              <c:f>'MWA ROE - Qtr'!$C$34:$N$34</c:f>
              <c:strCache>
                <c:ptCount val="12"/>
                <c:pt idx="0">
                  <c:v>1Q10</c:v>
                </c:pt>
                <c:pt idx="1">
                  <c:v>2Q10</c:v>
                </c:pt>
                <c:pt idx="2">
                  <c:v>3Q10</c:v>
                </c:pt>
                <c:pt idx="3">
                  <c:v>4Q10</c:v>
                </c:pt>
                <c:pt idx="4">
                  <c:v>1Q11</c:v>
                </c:pt>
                <c:pt idx="5">
                  <c:v>2Q11</c:v>
                </c:pt>
                <c:pt idx="6">
                  <c:v>3Q11</c:v>
                </c:pt>
                <c:pt idx="7">
                  <c:v>4Q11E</c:v>
                </c:pt>
                <c:pt idx="8">
                  <c:v>1Q12E</c:v>
                </c:pt>
                <c:pt idx="9">
                  <c:v>2Q12E</c:v>
                </c:pt>
                <c:pt idx="10">
                  <c:v>3Q12E</c:v>
                </c:pt>
                <c:pt idx="11">
                  <c:v>4Q12E</c:v>
                </c:pt>
              </c:strCache>
            </c:strRef>
          </c:cat>
          <c:val>
            <c:numRef>
              <c:f>'MWA ROE - Qtr'!$C$205:$N$205</c:f>
              <c:numCache>
                <c:formatCode>General</c:formatCode>
                <c:ptCount val="12"/>
                <c:pt idx="0">
                  <c:v>1E-10</c:v>
                </c:pt>
                <c:pt idx="1">
                  <c:v>1E-10</c:v>
                </c:pt>
                <c:pt idx="2">
                  <c:v>1E-10</c:v>
                </c:pt>
                <c:pt idx="3">
                  <c:v>1E-10</c:v>
                </c:pt>
                <c:pt idx="4">
                  <c:v>1E-10</c:v>
                </c:pt>
                <c:pt idx="5">
                  <c:v>1E-10</c:v>
                </c:pt>
                <c:pt idx="6">
                  <c:v>1E-10</c:v>
                </c:pt>
                <c:pt idx="7">
                  <c:v>1E-10</c:v>
                </c:pt>
                <c:pt idx="8">
                  <c:v>1E-10</c:v>
                </c:pt>
                <c:pt idx="9">
                  <c:v>1E-10</c:v>
                </c:pt>
                <c:pt idx="10">
                  <c:v>1E-10</c:v>
                </c:pt>
                <c:pt idx="11">
                  <c:v>1E-10</c:v>
                </c:pt>
              </c:numCache>
            </c:numRef>
          </c:val>
        </c:ser>
        <c:ser>
          <c:idx val="2"/>
          <c:order val="2"/>
          <c:tx>
            <c:v>Shade2</c:v>
          </c:tx>
          <c:spPr>
            <a:solidFill>
              <a:srgbClr val="EFC1D2"/>
            </a:solidFill>
            <a:ln w="25400">
              <a:noFill/>
            </a:ln>
          </c:spPr>
          <c:invertIfNegative val="0"/>
          <c:cat>
            <c:strRef>
              <c:f>'MWA ROE - Qtr'!$C$34:$N$34</c:f>
              <c:strCache>
                <c:ptCount val="12"/>
                <c:pt idx="0">
                  <c:v>1Q10</c:v>
                </c:pt>
                <c:pt idx="1">
                  <c:v>2Q10</c:v>
                </c:pt>
                <c:pt idx="2">
                  <c:v>3Q10</c:v>
                </c:pt>
                <c:pt idx="3">
                  <c:v>4Q10</c:v>
                </c:pt>
                <c:pt idx="4">
                  <c:v>1Q11</c:v>
                </c:pt>
                <c:pt idx="5">
                  <c:v>2Q11</c:v>
                </c:pt>
                <c:pt idx="6">
                  <c:v>3Q11</c:v>
                </c:pt>
                <c:pt idx="7">
                  <c:v>4Q11E</c:v>
                </c:pt>
                <c:pt idx="8">
                  <c:v>1Q12E</c:v>
                </c:pt>
                <c:pt idx="9">
                  <c:v>2Q12E</c:v>
                </c:pt>
                <c:pt idx="10">
                  <c:v>3Q12E</c:v>
                </c:pt>
                <c:pt idx="11">
                  <c:v>4Q12E</c:v>
                </c:pt>
              </c:strCache>
            </c:strRef>
          </c:cat>
          <c:val>
            <c:numRef>
              <c:f>'MWA ROE - Qtr'!$C$206:$N$206</c:f>
              <c:numCache>
                <c:formatCode>General</c:formatCode>
                <c:ptCount val="12"/>
                <c:pt idx="0">
                  <c:v>1E-10</c:v>
                </c:pt>
                <c:pt idx="1">
                  <c:v>1E-10</c:v>
                </c:pt>
                <c:pt idx="2">
                  <c:v>1E-10</c:v>
                </c:pt>
                <c:pt idx="3">
                  <c:v>1E-10</c:v>
                </c:pt>
                <c:pt idx="4">
                  <c:v>1E-10</c:v>
                </c:pt>
                <c:pt idx="5">
                  <c:v>1E-10</c:v>
                </c:pt>
                <c:pt idx="6">
                  <c:v>1E-10</c:v>
                </c:pt>
                <c:pt idx="7">
                  <c:v>1E-10</c:v>
                </c:pt>
                <c:pt idx="8">
                  <c:v>1E-10</c:v>
                </c:pt>
                <c:pt idx="9">
                  <c:v>1E-10</c:v>
                </c:pt>
                <c:pt idx="10">
                  <c:v>1E-10</c:v>
                </c:pt>
                <c:pt idx="11">
                  <c:v>1E-10</c:v>
                </c:pt>
              </c:numCache>
            </c:numRef>
          </c:val>
        </c:ser>
        <c:dLbls>
          <c:showLegendKey val="0"/>
          <c:showVal val="0"/>
          <c:showCatName val="0"/>
          <c:showSerName val="0"/>
          <c:showPercent val="0"/>
          <c:showBubbleSize val="0"/>
        </c:dLbls>
        <c:gapWidth val="0"/>
        <c:overlap val="100"/>
        <c:axId val="57283712"/>
        <c:axId val="57285248"/>
      </c:barChart>
      <c:lineChart>
        <c:grouping val="standard"/>
        <c:varyColors val="0"/>
        <c:ser>
          <c:idx val="0"/>
          <c:order val="0"/>
          <c:tx>
            <c:strRef>
              <c:f>'MWA ROE - Annual'!$B$38</c:f>
              <c:strCache>
                <c:ptCount val="1"/>
                <c:pt idx="0">
                  <c:v>RNOA (%)</c:v>
                </c:pt>
              </c:strCache>
            </c:strRef>
          </c:tx>
          <c:spPr>
            <a:ln w="25400">
              <a:solidFill>
                <a:srgbClr val="C7E5BE"/>
              </a:solidFill>
              <a:prstDash val="solid"/>
            </a:ln>
          </c:spPr>
          <c:marker>
            <c:symbol val="none"/>
          </c:marker>
          <c:dLbls>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'MWA ROE - Qtr'!$C$34:$N$34</c:f>
              <c:strCache>
                <c:ptCount val="12"/>
                <c:pt idx="0">
                  <c:v>1Q10</c:v>
                </c:pt>
                <c:pt idx="1">
                  <c:v>2Q10</c:v>
                </c:pt>
                <c:pt idx="2">
                  <c:v>3Q10</c:v>
                </c:pt>
                <c:pt idx="3">
                  <c:v>4Q10</c:v>
                </c:pt>
                <c:pt idx="4">
                  <c:v>1Q11</c:v>
                </c:pt>
                <c:pt idx="5">
                  <c:v>2Q11</c:v>
                </c:pt>
                <c:pt idx="6">
                  <c:v>3Q11</c:v>
                </c:pt>
                <c:pt idx="7">
                  <c:v>4Q11E</c:v>
                </c:pt>
                <c:pt idx="8">
                  <c:v>1Q12E</c:v>
                </c:pt>
                <c:pt idx="9">
                  <c:v>2Q12E</c:v>
                </c:pt>
                <c:pt idx="10">
                  <c:v>3Q12E</c:v>
                </c:pt>
                <c:pt idx="11">
                  <c:v>4Q12E</c:v>
                </c:pt>
              </c:strCache>
            </c:strRef>
          </c:cat>
          <c:val>
            <c:numRef>
              <c:f>'MWA ROE - Qtr'!$C$197:$N$197</c:f>
              <c:numCache>
                <c:formatCode>0.0%</c:formatCode>
                <c:ptCount val="12"/>
                <c:pt idx="0">
                  <c:v>8.5633892932186526E-2</c:v>
                </c:pt>
                <c:pt idx="1">
                  <c:v>8.357708133389645E-2</c:v>
                </c:pt>
                <c:pt idx="2">
                  <c:v>6.0043690397342947E-2</c:v>
                </c:pt>
                <c:pt idx="3">
                  <c:v>5.740521078828454E-2</c:v>
                </c:pt>
                <c:pt idx="4">
                  <c:v>6.7448200245724205E-2</c:v>
                </c:pt>
                <c:pt idx="5">
                  <c:v>6.7389376100192563E-2</c:v>
                </c:pt>
                <c:pt idx="6">
                  <c:v>6.456701962080949E-2</c:v>
                </c:pt>
                <c:pt idx="7">
                  <c:v>6.6775504379386355E-2</c:v>
                </c:pt>
                <c:pt idx="8">
                  <c:v>7.4935425189445057E-2</c:v>
                </c:pt>
                <c:pt idx="9">
                  <c:v>7.6936241782233517E-2</c:v>
                </c:pt>
                <c:pt idx="10">
                  <c:v>7.372799766108902E-2</c:v>
                </c:pt>
                <c:pt idx="11">
                  <c:v>7.4539020788104468E-2</c:v>
                </c:pt>
              </c:numCache>
            </c:numRef>
          </c:val>
          <c:smooth val="0"/>
        </c:ser>
        <c:dLbls>
          <c:showLegendKey val="0"/>
          <c:showVal val="0"/>
          <c:showCatName val="0"/>
          <c:showSerName val="0"/>
          <c:showPercent val="0"/>
          <c:showBubbleSize val="0"/>
        </c:dLbls>
        <c:marker val="1"/>
        <c:smooth val="0"/>
        <c:axId val="57283712"/>
        <c:axId val="57285248"/>
      </c:lineChart>
      <c:catAx>
        <c:axId val="57283712"/>
        <c:scaling>
          <c:orientation val="minMax"/>
        </c:scaling>
        <c:delete val="0"/>
        <c:axPos val="b"/>
        <c:numFmt formatCode="General" sourceLinked="1"/>
        <c:majorTickMark val="none"/>
        <c:minorTickMark val="none"/>
        <c:tickLblPos val="low"/>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57285248"/>
        <c:crosses val="autoZero"/>
        <c:auto val="1"/>
        <c:lblAlgn val="ctr"/>
        <c:lblOffset val="100"/>
        <c:tickLblSkip val="1"/>
        <c:tickMarkSkip val="1"/>
        <c:noMultiLvlLbl val="0"/>
      </c:catAx>
      <c:valAx>
        <c:axId val="57285248"/>
        <c:scaling>
          <c:orientation val="minMax"/>
          <c:max val="0.14000000000000001"/>
          <c:min val="0"/>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7283712"/>
        <c:crosses val="autoZero"/>
        <c:crossBetween val="between"/>
      </c:valAx>
      <c:spPr>
        <a:solidFill>
          <a:srgbClr val="FFFFFF"/>
        </a:solidFill>
        <a:ln w="12700">
          <a:solidFill>
            <a:srgbClr val="FFFFFF"/>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7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a:t>Global MRR / Cabinet</a:t>
            </a:r>
          </a:p>
        </c:rich>
      </c:tx>
      <c:layout>
        <c:manualLayout>
          <c:xMode val="edge"/>
          <c:yMode val="edge"/>
          <c:x val="0.36646027942159404"/>
          <c:y val="3.8194444444444448E-2"/>
        </c:manualLayout>
      </c:layout>
      <c:overlay val="0"/>
      <c:spPr>
        <a:noFill/>
        <a:ln w="25400">
          <a:noFill/>
        </a:ln>
      </c:spPr>
    </c:title>
    <c:autoTitleDeleted val="0"/>
    <c:plotArea>
      <c:layout>
        <c:manualLayout>
          <c:layoutTarget val="inner"/>
          <c:xMode val="edge"/>
          <c:yMode val="edge"/>
          <c:x val="0.14492782925690115"/>
          <c:y val="0.20833403976114828"/>
          <c:w val="0.82608862676433659"/>
          <c:h val="0.63541882127150229"/>
        </c:manualLayout>
      </c:layout>
      <c:barChart>
        <c:barDir val="col"/>
        <c:grouping val="clustered"/>
        <c:varyColors val="0"/>
        <c:ser>
          <c:idx val="0"/>
          <c:order val="0"/>
          <c:spPr>
            <a:solidFill>
              <a:srgbClr val="137CB1"/>
            </a:solidFill>
            <a:ln w="25400">
              <a:noFill/>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Stats!$O$4:$T$4</c:f>
              <c:strCache>
                <c:ptCount val="6"/>
                <c:pt idx="0">
                  <c:v>2010A</c:v>
                </c:pt>
                <c:pt idx="1">
                  <c:v>2011</c:v>
                </c:pt>
                <c:pt idx="2">
                  <c:v>2012</c:v>
                </c:pt>
                <c:pt idx="3">
                  <c:v>2013</c:v>
                </c:pt>
                <c:pt idx="4">
                  <c:v>2014</c:v>
                </c:pt>
                <c:pt idx="5">
                  <c:v>2015</c:v>
                </c:pt>
              </c:strCache>
            </c:strRef>
          </c:cat>
          <c:val>
            <c:numRef>
              <c:f>Stats!$O$21:$T$21</c:f>
              <c:numCache>
                <c:formatCode>"$"#,##0_);\("$"#,##0\)</c:formatCode>
                <c:ptCount val="6"/>
                <c:pt idx="0">
                  <c:v>1482.5065206051122</c:v>
                </c:pt>
                <c:pt idx="1">
                  <c:v>1824.9131817070188</c:v>
                </c:pt>
                <c:pt idx="2">
                  <c:v>1939.8402417962002</c:v>
                </c:pt>
                <c:pt idx="3">
                  <c:v>1996.8458990843562</c:v>
                </c:pt>
                <c:pt idx="4">
                  <c:v>2058.0616231575209</c:v>
                </c:pt>
                <c:pt idx="5">
                  <c:v>2016.9108180248079</c:v>
                </c:pt>
              </c:numCache>
            </c:numRef>
          </c:val>
        </c:ser>
        <c:dLbls>
          <c:showLegendKey val="0"/>
          <c:showVal val="0"/>
          <c:showCatName val="0"/>
          <c:showSerName val="0"/>
          <c:showPercent val="0"/>
          <c:showBubbleSize val="0"/>
        </c:dLbls>
        <c:gapWidth val="150"/>
        <c:axId val="58391552"/>
        <c:axId val="58483456"/>
      </c:barChart>
      <c:catAx>
        <c:axId val="583915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8483456"/>
        <c:crosses val="autoZero"/>
        <c:auto val="1"/>
        <c:lblAlgn val="ctr"/>
        <c:lblOffset val="100"/>
        <c:tickLblSkip val="1"/>
        <c:tickMarkSkip val="1"/>
        <c:noMultiLvlLbl val="0"/>
      </c:catAx>
      <c:valAx>
        <c:axId val="58483456"/>
        <c:scaling>
          <c:orientation val="minMax"/>
        </c:scaling>
        <c:delete val="0"/>
        <c:axPos val="l"/>
        <c:majorGridlines>
          <c:spPr>
            <a:ln w="3175">
              <a:solidFill>
                <a:srgbClr val="C0C0C0"/>
              </a:solidFill>
              <a:prstDash val="solid"/>
            </a:ln>
          </c:spPr>
        </c:majorGridlines>
        <c:numFmt formatCode="&quot;$&quot;#,##0_);\(&quot;$&quot;#,##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8391552"/>
        <c:crosses val="autoZero"/>
        <c:crossBetween val="between"/>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975103734439833"/>
          <c:y val="9.0909246116364792E-2"/>
          <c:w val="0.70954356846473032"/>
          <c:h val="0.62237868495049742"/>
        </c:manualLayout>
      </c:layout>
      <c:barChart>
        <c:barDir val="col"/>
        <c:grouping val="clustered"/>
        <c:varyColors val="0"/>
        <c:ser>
          <c:idx val="1"/>
          <c:order val="0"/>
          <c:tx>
            <c:strRef>
              <c:f>Stats!$B$24</c:f>
              <c:strCache>
                <c:ptCount val="1"/>
                <c:pt idx="0">
                  <c:v>Global Sellable Cabinets (EOP)</c:v>
                </c:pt>
              </c:strCache>
            </c:strRef>
          </c:tx>
          <c:spPr>
            <a:solidFill>
              <a:srgbClr val="EACC80"/>
            </a:solidFill>
            <a:ln w="25400">
              <a:noFill/>
            </a:ln>
          </c:spPr>
          <c:invertIfNegative val="0"/>
          <c:dLbls>
            <c:spPr>
              <a:noFill/>
              <a:ln w="25400">
                <a:noFill/>
              </a:ln>
            </c:spPr>
            <c:txPr>
              <a:bodyPr rot="-5400000" vert="horz"/>
              <a:lstStyle/>
              <a:p>
                <a:pPr algn="ctr">
                  <a:defRPr sz="1000" b="0" i="0" u="none" strike="noStrike" baseline="0">
                    <a:solidFill>
                      <a:srgbClr val="000000"/>
                    </a:solidFill>
                    <a:latin typeface="Arial"/>
                    <a:ea typeface="Arial"/>
                    <a:cs typeface="Arial"/>
                  </a:defRPr>
                </a:pPr>
                <a:endParaRPr lang="en-US"/>
              </a:p>
            </c:txPr>
            <c:dLblPos val="outEnd"/>
            <c:showLegendKey val="0"/>
            <c:showVal val="1"/>
            <c:showCatName val="0"/>
            <c:showSerName val="0"/>
            <c:showPercent val="0"/>
            <c:showBubbleSize val="0"/>
            <c:showLeaderLines val="0"/>
          </c:dLbls>
          <c:cat>
            <c:strRef>
              <c:f>Stats!$AE$4:$AO$4</c:f>
              <c:strCache>
                <c:ptCount val="11"/>
                <c:pt idx="0">
                  <c:v>2Q10</c:v>
                </c:pt>
                <c:pt idx="1">
                  <c:v>3Q10</c:v>
                </c:pt>
                <c:pt idx="2">
                  <c:v>4Q10</c:v>
                </c:pt>
                <c:pt idx="3">
                  <c:v>1Q11</c:v>
                </c:pt>
                <c:pt idx="4">
                  <c:v>2Q11</c:v>
                </c:pt>
                <c:pt idx="5">
                  <c:v>3Q11</c:v>
                </c:pt>
                <c:pt idx="6">
                  <c:v>4Q11</c:v>
                </c:pt>
                <c:pt idx="7">
                  <c:v>1Q12</c:v>
                </c:pt>
                <c:pt idx="8">
                  <c:v>2Q12</c:v>
                </c:pt>
                <c:pt idx="9">
                  <c:v>3Q12</c:v>
                </c:pt>
                <c:pt idx="10">
                  <c:v>4Q12</c:v>
                </c:pt>
              </c:strCache>
            </c:strRef>
          </c:cat>
          <c:val>
            <c:numRef>
              <c:f>Stats!$AE$24:$AO$24</c:f>
              <c:numCache>
                <c:formatCode>#,##0_);\(#,##0\)</c:formatCode>
                <c:ptCount val="11"/>
                <c:pt idx="0">
                  <c:v>78700</c:v>
                </c:pt>
                <c:pt idx="1">
                  <c:v>81400</c:v>
                </c:pt>
                <c:pt idx="2">
                  <c:v>82900</c:v>
                </c:pt>
                <c:pt idx="3">
                  <c:v>84600</c:v>
                </c:pt>
                <c:pt idx="4">
                  <c:v>91300</c:v>
                </c:pt>
                <c:pt idx="5">
                  <c:v>89000</c:v>
                </c:pt>
                <c:pt idx="6">
                  <c:v>90400</c:v>
                </c:pt>
                <c:pt idx="7">
                  <c:v>91200</c:v>
                </c:pt>
                <c:pt idx="8">
                  <c:v>92890</c:v>
                </c:pt>
                <c:pt idx="9">
                  <c:v>106800</c:v>
                </c:pt>
                <c:pt idx="10">
                  <c:v>108100</c:v>
                </c:pt>
              </c:numCache>
            </c:numRef>
          </c:val>
        </c:ser>
        <c:dLbls>
          <c:showLegendKey val="0"/>
          <c:showVal val="0"/>
          <c:showCatName val="0"/>
          <c:showSerName val="0"/>
          <c:showPercent val="0"/>
          <c:showBubbleSize val="0"/>
        </c:dLbls>
        <c:gapWidth val="150"/>
        <c:axId val="58522624"/>
        <c:axId val="58536704"/>
      </c:barChart>
      <c:lineChart>
        <c:grouping val="standard"/>
        <c:varyColors val="0"/>
        <c:ser>
          <c:idx val="0"/>
          <c:order val="1"/>
          <c:tx>
            <c:strRef>
              <c:f>Stats!$B$27</c:f>
              <c:strCache>
                <c:ptCount val="1"/>
                <c:pt idx="0">
                  <c:v>Global Utilization (Implied)</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dLbl>
              <c:idx val="0"/>
              <c:layout>
                <c:manualLayout>
                  <c:x val="-4.1242199496847133E-2"/>
                  <c:y val="0.10160190199743684"/>
                </c:manualLayout>
              </c:layout>
              <c:dLblPos val="r"/>
              <c:showLegendKey val="0"/>
              <c:showVal val="1"/>
              <c:showCatName val="0"/>
              <c:showSerName val="0"/>
              <c:showPercent val="0"/>
              <c:showBubbleSize val="0"/>
            </c:dLbl>
            <c:dLbl>
              <c:idx val="3"/>
              <c:layout>
                <c:manualLayout>
                  <c:x val="-5.8405593491684907E-2"/>
                  <c:y val="-6.0032805017402609E-2"/>
                </c:manualLayout>
              </c:layout>
              <c:dLblPos val="r"/>
              <c:showLegendKey val="0"/>
              <c:showVal val="1"/>
              <c:showCatName val="0"/>
              <c:showSerName val="0"/>
              <c:showPercent val="0"/>
              <c:showBubbleSize val="0"/>
            </c:dLbl>
            <c:dLbl>
              <c:idx val="5"/>
              <c:layout>
                <c:manualLayout>
                  <c:x val="-5.4633471645919751E-2"/>
                  <c:y val="-6.8764738857702401E-2"/>
                </c:manualLayout>
              </c:layout>
              <c:dLblPos val="r"/>
              <c:showLegendKey val="0"/>
              <c:showVal val="1"/>
              <c:showCatName val="0"/>
              <c:showSerName val="0"/>
              <c:showPercent val="0"/>
              <c:showBubbleSize val="0"/>
            </c:dLbl>
            <c:dLbl>
              <c:idx val="6"/>
              <c:layout>
                <c:manualLayout>
                  <c:x val="-8.1793053876564173E-2"/>
                  <c:y val="6.4030624046419488E-2"/>
                </c:manualLayout>
              </c:layout>
              <c:dLblPos val="r"/>
              <c:showLegendKey val="0"/>
              <c:showVal val="1"/>
              <c:showCatName val="0"/>
              <c:showSerName val="0"/>
              <c:showPercent val="0"/>
              <c:showBubbleSize val="0"/>
            </c:dLbl>
            <c:dLbl>
              <c:idx val="7"/>
              <c:layout>
                <c:manualLayout>
                  <c:x val="-6.3309482580237594E-2"/>
                  <c:y val="0.11858488867942428"/>
                </c:manualLayout>
              </c:layout>
              <c:dLblPos val="r"/>
              <c:showLegendKey val="0"/>
              <c:showVal val="1"/>
              <c:showCatName val="0"/>
              <c:showSerName val="0"/>
              <c:showPercent val="0"/>
              <c:showBubbleSize val="0"/>
            </c:dLbl>
            <c:dLbl>
              <c:idx val="8"/>
              <c:layout>
                <c:manualLayout>
                  <c:x val="-5.3124666470633075E-2"/>
                  <c:y val="8.2459455949562568E-2"/>
                </c:manualLayout>
              </c:layout>
              <c:dLblPos val="r"/>
              <c:showLegendKey val="0"/>
              <c:showVal val="1"/>
              <c:showCatName val="0"/>
              <c:showSerName val="0"/>
              <c:showPercent val="0"/>
              <c:showBubbleSize val="0"/>
            </c:dLbl>
            <c:dLbl>
              <c:idx val="9"/>
              <c:layout>
                <c:manualLayout>
                  <c:x val="-5.7462671937791997E-2"/>
                  <c:y val="5.4972887135727462E-2"/>
                </c:manualLayout>
              </c:layout>
              <c:dLblPos val="r"/>
              <c:showLegendKey val="0"/>
              <c:showVal val="1"/>
              <c:showCatName val="0"/>
              <c:showSerName val="0"/>
              <c:showPercent val="0"/>
              <c:showBubbleSize val="0"/>
            </c:dLbl>
            <c:dLbl>
              <c:idx val="10"/>
              <c:layout>
                <c:manualLayout>
                  <c:x val="-5.7651299811589937E-2"/>
                  <c:y val="3.6804478056410371E-2"/>
                </c:manualLayout>
              </c:layout>
              <c:dLblPos val="r"/>
              <c:showLegendKey val="0"/>
              <c:showVal val="1"/>
              <c:showCatName val="0"/>
              <c:showSerName val="0"/>
              <c:showPercent val="0"/>
              <c:showBubbleSize val="0"/>
            </c:dLbl>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b"/>
            <c:showLegendKey val="0"/>
            <c:showVal val="1"/>
            <c:showCatName val="0"/>
            <c:showSerName val="0"/>
            <c:showPercent val="0"/>
            <c:showBubbleSize val="0"/>
            <c:showLeaderLines val="0"/>
          </c:dLbls>
          <c:cat>
            <c:strRef>
              <c:f>Stats!$AE$4:$AO$4</c:f>
              <c:strCache>
                <c:ptCount val="11"/>
                <c:pt idx="0">
                  <c:v>2Q10</c:v>
                </c:pt>
                <c:pt idx="1">
                  <c:v>3Q10</c:v>
                </c:pt>
                <c:pt idx="2">
                  <c:v>4Q10</c:v>
                </c:pt>
                <c:pt idx="3">
                  <c:v>1Q11</c:v>
                </c:pt>
                <c:pt idx="4">
                  <c:v>2Q11</c:v>
                </c:pt>
                <c:pt idx="5">
                  <c:v>3Q11</c:v>
                </c:pt>
                <c:pt idx="6">
                  <c:v>4Q11</c:v>
                </c:pt>
                <c:pt idx="7">
                  <c:v>1Q12</c:v>
                </c:pt>
                <c:pt idx="8">
                  <c:v>2Q12</c:v>
                </c:pt>
                <c:pt idx="9">
                  <c:v>3Q12</c:v>
                </c:pt>
                <c:pt idx="10">
                  <c:v>4Q12</c:v>
                </c:pt>
              </c:strCache>
            </c:strRef>
          </c:cat>
          <c:val>
            <c:numRef>
              <c:f>Stats!$AE$27:$AO$27</c:f>
              <c:numCache>
                <c:formatCode>0.0%</c:formatCode>
                <c:ptCount val="11"/>
                <c:pt idx="0">
                  <c:v>0.77509529860228721</c:v>
                </c:pt>
                <c:pt idx="1">
                  <c:v>0.75798525798525795</c:v>
                </c:pt>
                <c:pt idx="2">
                  <c:v>0.77080820265379979</c:v>
                </c:pt>
                <c:pt idx="3">
                  <c:v>0.79314420803782504</c:v>
                </c:pt>
                <c:pt idx="4">
                  <c:v>0.76122672508214673</c:v>
                </c:pt>
                <c:pt idx="5">
                  <c:v>0.79550561797752806</c:v>
                </c:pt>
                <c:pt idx="6">
                  <c:v>0.80088495575221241</c:v>
                </c:pt>
                <c:pt idx="7">
                  <c:v>0.81140350877192979</c:v>
                </c:pt>
                <c:pt idx="8">
                  <c:v>0.80848315211540533</c:v>
                </c:pt>
                <c:pt idx="9">
                  <c:v>0.74250936329588013</c:v>
                </c:pt>
                <c:pt idx="10">
                  <c:v>0.75855689176688257</c:v>
                </c:pt>
              </c:numCache>
            </c:numRef>
          </c:val>
          <c:smooth val="0"/>
        </c:ser>
        <c:dLbls>
          <c:showLegendKey val="0"/>
          <c:showVal val="0"/>
          <c:showCatName val="0"/>
          <c:showSerName val="0"/>
          <c:showPercent val="0"/>
          <c:showBubbleSize val="0"/>
        </c:dLbls>
        <c:marker val="1"/>
        <c:smooth val="0"/>
        <c:axId val="58538240"/>
        <c:axId val="58568704"/>
      </c:lineChart>
      <c:catAx>
        <c:axId val="58522624"/>
        <c:scaling>
          <c:orientation val="minMax"/>
        </c:scaling>
        <c:delete val="0"/>
        <c:axPos val="b"/>
        <c:numFmt formatCode="General" sourceLinked="1"/>
        <c:majorTickMark val="cross"/>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58536704"/>
        <c:crosses val="autoZero"/>
        <c:auto val="0"/>
        <c:lblAlgn val="ctr"/>
        <c:lblOffset val="100"/>
        <c:tickLblSkip val="1"/>
        <c:tickMarkSkip val="1"/>
        <c:noMultiLvlLbl val="0"/>
      </c:catAx>
      <c:valAx>
        <c:axId val="58536704"/>
        <c:scaling>
          <c:orientation val="minMax"/>
          <c:min val="40000"/>
        </c:scaling>
        <c:delete val="0"/>
        <c:axPos val="l"/>
        <c:numFmt formatCode="#,##0_);\(#,##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8522624"/>
        <c:crosses val="autoZero"/>
        <c:crossBetween val="between"/>
        <c:majorUnit val="20000"/>
      </c:valAx>
      <c:catAx>
        <c:axId val="58538240"/>
        <c:scaling>
          <c:orientation val="minMax"/>
        </c:scaling>
        <c:delete val="1"/>
        <c:axPos val="b"/>
        <c:majorTickMark val="out"/>
        <c:minorTickMark val="none"/>
        <c:tickLblPos val="nextTo"/>
        <c:crossAx val="58568704"/>
        <c:crosses val="autoZero"/>
        <c:auto val="0"/>
        <c:lblAlgn val="ctr"/>
        <c:lblOffset val="100"/>
        <c:noMultiLvlLbl val="0"/>
      </c:catAx>
      <c:valAx>
        <c:axId val="58568704"/>
        <c:scaling>
          <c:orientation val="minMax"/>
        </c:scaling>
        <c:delete val="0"/>
        <c:axPos val="r"/>
        <c:numFmt formatCode="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8538240"/>
        <c:crosses val="max"/>
        <c:crossBetween val="between"/>
      </c:valAx>
      <c:spPr>
        <a:noFill/>
        <a:ln w="25400">
          <a:noFill/>
        </a:ln>
      </c:spPr>
    </c:plotArea>
    <c:legend>
      <c:legendPos val="b"/>
      <c:layout>
        <c:manualLayout>
          <c:xMode val="edge"/>
          <c:yMode val="edge"/>
          <c:x val="7.6763485477178428E-2"/>
          <c:y val="0.90209937044582711"/>
          <c:w val="0.84647302904564325"/>
          <c:h val="7.6923076923076872E-2"/>
        </c:manualLayout>
      </c:layout>
      <c:overlay val="0"/>
      <c:spPr>
        <a:noFill/>
        <a:ln w="25400">
          <a:noFill/>
        </a:ln>
      </c:spPr>
      <c:txPr>
        <a:bodyPr/>
        <a:lstStyle/>
        <a:p>
          <a:pPr>
            <a:defRPr sz="16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 r="0.75" t="1" header="0.5" footer="0.5"/>
    <c:pageSetup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a:t>Global MRR / Cabinet</a:t>
            </a:r>
          </a:p>
        </c:rich>
      </c:tx>
      <c:layout>
        <c:manualLayout>
          <c:xMode val="edge"/>
          <c:yMode val="edge"/>
          <c:x val="0.36570291316891174"/>
          <c:y val="3.8062283737024222E-2"/>
        </c:manualLayout>
      </c:layout>
      <c:overlay val="0"/>
      <c:spPr>
        <a:noFill/>
        <a:ln w="25400">
          <a:noFill/>
        </a:ln>
      </c:spPr>
    </c:title>
    <c:autoTitleDeleted val="0"/>
    <c:plotArea>
      <c:layout>
        <c:manualLayout>
          <c:layoutTarget val="inner"/>
          <c:xMode val="edge"/>
          <c:yMode val="edge"/>
          <c:x val="0.1446282450811163"/>
          <c:y val="0.20761280752055769"/>
          <c:w val="0.82644711474923604"/>
          <c:h val="0.5951567148922654"/>
        </c:manualLayout>
      </c:layout>
      <c:barChart>
        <c:barDir val="col"/>
        <c:grouping val="clustered"/>
        <c:varyColors val="0"/>
        <c:ser>
          <c:idx val="0"/>
          <c:order val="0"/>
          <c:spPr>
            <a:solidFill>
              <a:srgbClr val="137CB1"/>
            </a:solidFill>
            <a:ln w="25400">
              <a:noFill/>
            </a:ln>
          </c:spPr>
          <c:invertIfNegative val="0"/>
          <c:dLbls>
            <c:dLbl>
              <c:idx val="0"/>
              <c:layout>
                <c:manualLayout>
                  <c:x val="1.4885942226354719E-2"/>
                  <c:y val="-3.8351764836084809E-2"/>
                </c:manualLayout>
              </c:layout>
              <c:dLblPos val="outEnd"/>
              <c:showLegendKey val="0"/>
              <c:showVal val="1"/>
              <c:showCatName val="0"/>
              <c:showSerName val="0"/>
              <c:showPercent val="0"/>
              <c:showBubbleSize val="0"/>
            </c:dLbl>
            <c:dLbl>
              <c:idx val="2"/>
              <c:layout>
                <c:manualLayout>
                  <c:x val="7.1849515838937504E-3"/>
                  <c:y val="-3.6904400733855001E-2"/>
                </c:manualLayout>
              </c:layout>
              <c:dLblPos val="outEnd"/>
              <c:showLegendKey val="0"/>
              <c:showVal val="1"/>
              <c:showCatName val="0"/>
              <c:showSerName val="0"/>
              <c:showPercent val="0"/>
              <c:showBubbleSize val="0"/>
            </c:dLbl>
            <c:dLbl>
              <c:idx val="3"/>
              <c:layout>
                <c:manualLayout>
                  <c:x val="-3.8969559913925034E-3"/>
                  <c:y val="-5.8404620739996353E-2"/>
                </c:manualLayout>
              </c:layout>
              <c:dLblPos val="outEnd"/>
              <c:showLegendKey val="0"/>
              <c:showVal val="1"/>
              <c:showCatName val="0"/>
              <c:showSerName val="0"/>
              <c:showPercent val="0"/>
              <c:showBubbleSize val="0"/>
            </c:dLbl>
            <c:dLbl>
              <c:idx val="4"/>
              <c:layout>
                <c:manualLayout>
                  <c:x val="-1.4978863566678812E-2"/>
                  <c:y val="-5.7790082761061869E-3"/>
                </c:manualLayout>
              </c:layout>
              <c:dLblPos val="outEnd"/>
              <c:showLegendKey val="0"/>
              <c:showVal val="1"/>
              <c:showCatName val="0"/>
              <c:showSerName val="0"/>
              <c:showPercent val="0"/>
              <c:showBubbleSize val="0"/>
            </c:dLbl>
            <c:dLbl>
              <c:idx val="5"/>
              <c:layout>
                <c:manualLayout>
                  <c:x val="-1.7796299994472829E-2"/>
                  <c:y val="-6.4253646667760773E-3"/>
                </c:manualLayout>
              </c:layout>
              <c:dLblPos val="outEnd"/>
              <c:showLegendKey val="0"/>
              <c:showVal val="1"/>
              <c:showCatName val="0"/>
              <c:showSerName val="0"/>
              <c:showPercent val="0"/>
              <c:showBubbleSize val="0"/>
            </c:dLbl>
            <c:dLbl>
              <c:idx val="6"/>
              <c:layout>
                <c:manualLayout>
                  <c:x val="-2.0186763404089411E-3"/>
                  <c:y val="-3.2807310337159709E-2"/>
                </c:manualLayout>
              </c:layout>
              <c:dLblPos val="outEnd"/>
              <c:showLegendKey val="0"/>
              <c:showVal val="1"/>
              <c:showCatName val="0"/>
              <c:showSerName val="0"/>
              <c:showPercent val="0"/>
              <c:showBubbleSize val="0"/>
            </c:dLbl>
            <c:dLbl>
              <c:idx val="7"/>
              <c:layout>
                <c:manualLayout>
                  <c:x val="1.3622405924163432E-3"/>
                  <c:y val="-6.3002966624551085E-2"/>
                </c:manualLayout>
              </c:layout>
              <c:dLblPos val="outEnd"/>
              <c:showLegendKey val="0"/>
              <c:showVal val="1"/>
              <c:showCatName val="0"/>
              <c:showSerName val="0"/>
              <c:showPercent val="0"/>
              <c:showBubbleSize val="0"/>
            </c:dLbl>
            <c:dLbl>
              <c:idx val="8"/>
              <c:layout>
                <c:manualLayout>
                  <c:x val="8.8753930989878289E-3"/>
                  <c:y val="-2.3786530412384956E-2"/>
                </c:manualLayout>
              </c:layout>
              <c:dLblPos val="outEnd"/>
              <c:showLegendKey val="0"/>
              <c:showVal val="1"/>
              <c:showCatName val="0"/>
              <c:showSerName val="0"/>
              <c:showPercent val="0"/>
              <c:showBubbleSize val="0"/>
            </c:dLbl>
            <c:dLbl>
              <c:idx val="9"/>
              <c:layout>
                <c:manualLayout>
                  <c:x val="8.1240744580670238E-3"/>
                  <c:y val="-8.199884689298044E-2"/>
                </c:manualLayout>
              </c:layout>
              <c:dLblPos val="outEnd"/>
              <c:showLegendKey val="0"/>
              <c:showVal val="1"/>
              <c:showCatName val="0"/>
              <c:showSerName val="0"/>
              <c:showPercent val="0"/>
              <c:showBubbleSize val="0"/>
            </c:dLbl>
            <c:dLbl>
              <c:idx val="10"/>
              <c:layout>
                <c:manualLayout>
                  <c:x val="7.3727558171462169E-3"/>
                  <c:y val="-0.12320391652488084"/>
                </c:manualLayout>
              </c:layout>
              <c:dLblPos val="outEnd"/>
              <c:showLegendKey val="0"/>
              <c:showVal val="1"/>
              <c:showCatName val="0"/>
              <c:showSerName val="0"/>
              <c:showPercent val="0"/>
              <c:showBubbleSize val="0"/>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Stats!$AE$4:$AO$4</c:f>
              <c:strCache>
                <c:ptCount val="11"/>
                <c:pt idx="0">
                  <c:v>2Q10</c:v>
                </c:pt>
                <c:pt idx="1">
                  <c:v>3Q10</c:v>
                </c:pt>
                <c:pt idx="2">
                  <c:v>4Q10</c:v>
                </c:pt>
                <c:pt idx="3">
                  <c:v>1Q11</c:v>
                </c:pt>
                <c:pt idx="4">
                  <c:v>2Q11</c:v>
                </c:pt>
                <c:pt idx="5">
                  <c:v>3Q11</c:v>
                </c:pt>
                <c:pt idx="6">
                  <c:v>4Q11</c:v>
                </c:pt>
                <c:pt idx="7">
                  <c:v>1Q12</c:v>
                </c:pt>
                <c:pt idx="8">
                  <c:v>2Q12</c:v>
                </c:pt>
                <c:pt idx="9">
                  <c:v>3Q12</c:v>
                </c:pt>
                <c:pt idx="10">
                  <c:v>4Q12</c:v>
                </c:pt>
              </c:strCache>
            </c:strRef>
          </c:cat>
          <c:val>
            <c:numRef>
              <c:f>Stats!$AE$21:$AO$21</c:f>
              <c:numCache>
                <c:formatCode>"$"#,##0_);\("$"#,##0\)</c:formatCode>
                <c:ptCount val="11"/>
                <c:pt idx="0">
                  <c:v>1509.0109289617483</c:v>
                </c:pt>
                <c:pt idx="1">
                  <c:v>1662.4178212442271</c:v>
                </c:pt>
                <c:pt idx="2">
                  <c:v>1684.8885350318469</c:v>
                </c:pt>
                <c:pt idx="3">
                  <c:v>1705.0737913486007</c:v>
                </c:pt>
                <c:pt idx="4">
                  <c:v>1793.0112249877989</c:v>
                </c:pt>
                <c:pt idx="5">
                  <c:v>1844.6851983844142</c:v>
                </c:pt>
                <c:pt idx="6">
                  <c:v>1870.4143389199253</c:v>
                </c:pt>
                <c:pt idx="7">
                  <c:v>1913.2285974499086</c:v>
                </c:pt>
                <c:pt idx="8">
                  <c:v>1938.810641627543</c:v>
                </c:pt>
                <c:pt idx="9">
                  <c:v>1988.2642487046633</c:v>
                </c:pt>
                <c:pt idx="10">
                  <c:v>1995.5610663360194</c:v>
                </c:pt>
              </c:numCache>
            </c:numRef>
          </c:val>
        </c:ser>
        <c:dLbls>
          <c:showLegendKey val="0"/>
          <c:showVal val="0"/>
          <c:showCatName val="0"/>
          <c:showSerName val="0"/>
          <c:showPercent val="0"/>
          <c:showBubbleSize val="0"/>
        </c:dLbls>
        <c:gapWidth val="150"/>
        <c:axId val="58585088"/>
        <c:axId val="58586624"/>
      </c:barChart>
      <c:catAx>
        <c:axId val="58585088"/>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58586624"/>
        <c:crosses val="autoZero"/>
        <c:auto val="1"/>
        <c:lblAlgn val="ctr"/>
        <c:lblOffset val="100"/>
        <c:tickLblSkip val="1"/>
        <c:tickMarkSkip val="1"/>
        <c:noMultiLvlLbl val="0"/>
      </c:catAx>
      <c:valAx>
        <c:axId val="58586624"/>
        <c:scaling>
          <c:orientation val="minMax"/>
          <c:min val="1500"/>
        </c:scaling>
        <c:delete val="0"/>
        <c:axPos val="l"/>
        <c:majorGridlines>
          <c:spPr>
            <a:ln w="3175">
              <a:solidFill>
                <a:srgbClr val="C0C0C0"/>
              </a:solidFill>
              <a:prstDash val="solid"/>
            </a:ln>
          </c:spPr>
        </c:majorGridlines>
        <c:numFmt formatCode="&quot;$&quot;#,##0_);\(&quot;$&quot;#,##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8585088"/>
        <c:crosses val="autoZero"/>
        <c:crossBetween val="between"/>
        <c:majorUnit val="100"/>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942061218259126"/>
          <c:y val="9.0592334494773524E-2"/>
          <c:w val="0.71014636335881565"/>
          <c:h val="0.60278745644599308"/>
        </c:manualLayout>
      </c:layout>
      <c:barChart>
        <c:barDir val="col"/>
        <c:grouping val="clustered"/>
        <c:varyColors val="0"/>
        <c:ser>
          <c:idx val="1"/>
          <c:order val="0"/>
          <c:tx>
            <c:strRef>
              <c:f>Stats!$B$24</c:f>
              <c:strCache>
                <c:ptCount val="1"/>
                <c:pt idx="0">
                  <c:v>Global Sellable Cabinets (EOP)</c:v>
                </c:pt>
              </c:strCache>
            </c:strRef>
          </c:tx>
          <c:spPr>
            <a:solidFill>
              <a:srgbClr val="EACC80"/>
            </a:solidFill>
            <a:ln w="25400">
              <a:noFill/>
            </a:ln>
          </c:spPr>
          <c:invertIfNegative val="0"/>
          <c:dLbls>
            <c:spPr>
              <a:noFill/>
              <a:ln w="25400">
                <a:noFill/>
              </a:ln>
            </c:spPr>
            <c:txPr>
              <a:bodyPr rot="-5400000" vert="horz"/>
              <a:lstStyle/>
              <a:p>
                <a:pPr algn="ctr">
                  <a:defRPr sz="1000" b="0" i="0" u="none" strike="noStrike" baseline="0">
                    <a:solidFill>
                      <a:srgbClr val="000000"/>
                    </a:solidFill>
                    <a:latin typeface="Arial"/>
                    <a:ea typeface="Arial"/>
                    <a:cs typeface="Arial"/>
                  </a:defRPr>
                </a:pPr>
                <a:endParaRPr lang="en-US"/>
              </a:p>
            </c:txPr>
            <c:dLblPos val="outEnd"/>
            <c:showLegendKey val="0"/>
            <c:showVal val="1"/>
            <c:showCatName val="0"/>
            <c:showSerName val="0"/>
            <c:showPercent val="0"/>
            <c:showBubbleSize val="0"/>
            <c:showLeaderLines val="0"/>
          </c:dLbls>
          <c:cat>
            <c:strRef>
              <c:f>Stats!$O$4:$T$4</c:f>
              <c:strCache>
                <c:ptCount val="6"/>
                <c:pt idx="0">
                  <c:v>2010A</c:v>
                </c:pt>
                <c:pt idx="1">
                  <c:v>2011</c:v>
                </c:pt>
                <c:pt idx="2">
                  <c:v>2012</c:v>
                </c:pt>
                <c:pt idx="3">
                  <c:v>2013</c:v>
                </c:pt>
                <c:pt idx="4">
                  <c:v>2014</c:v>
                </c:pt>
                <c:pt idx="5">
                  <c:v>2015</c:v>
                </c:pt>
              </c:strCache>
            </c:strRef>
          </c:cat>
          <c:val>
            <c:numRef>
              <c:f>Stats!$O$24:$T$24</c:f>
              <c:numCache>
                <c:formatCode>#,##0_);\(#,##0\)</c:formatCode>
                <c:ptCount val="6"/>
                <c:pt idx="0">
                  <c:v>86600</c:v>
                </c:pt>
                <c:pt idx="1">
                  <c:v>90400</c:v>
                </c:pt>
                <c:pt idx="2">
                  <c:v>108100</c:v>
                </c:pt>
                <c:pt idx="3">
                  <c:v>117200</c:v>
                </c:pt>
                <c:pt idx="4">
                  <c:v>125000</c:v>
                </c:pt>
                <c:pt idx="5">
                  <c:v>139900</c:v>
                </c:pt>
              </c:numCache>
            </c:numRef>
          </c:val>
        </c:ser>
        <c:dLbls>
          <c:showLegendKey val="0"/>
          <c:showVal val="0"/>
          <c:showCatName val="0"/>
          <c:showSerName val="0"/>
          <c:showPercent val="0"/>
          <c:showBubbleSize val="0"/>
        </c:dLbls>
        <c:gapWidth val="150"/>
        <c:axId val="58642432"/>
        <c:axId val="58643968"/>
      </c:barChart>
      <c:lineChart>
        <c:grouping val="standard"/>
        <c:varyColors val="0"/>
        <c:ser>
          <c:idx val="0"/>
          <c:order val="1"/>
          <c:tx>
            <c:strRef>
              <c:f>Stats!$B$27</c:f>
              <c:strCache>
                <c:ptCount val="1"/>
                <c:pt idx="0">
                  <c:v>Global Utilization (Implied)</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dLbl>
              <c:idx val="0"/>
              <c:layout>
                <c:manualLayout>
                  <c:x val="-4.1235325796164235E-2"/>
                  <c:y val="9.571327974247118E-2"/>
                </c:manualLayout>
              </c:layout>
              <c:dLblPos val="r"/>
              <c:showLegendKey val="0"/>
              <c:showVal val="1"/>
              <c:showCatName val="0"/>
              <c:showSerName val="0"/>
              <c:showPercent val="0"/>
              <c:showBubbleSize val="0"/>
            </c:dLbl>
            <c:dLbl>
              <c:idx val="3"/>
              <c:layout>
                <c:manualLayout>
                  <c:x val="-5.469295280462437E-2"/>
                  <c:y val="6.6567166909014416E-2"/>
                </c:manualLayout>
              </c:layout>
              <c:dLblPos val="r"/>
              <c:showLegendKey val="0"/>
              <c:showVal val="1"/>
              <c:showCatName val="0"/>
              <c:showSerName val="0"/>
              <c:showPercent val="0"/>
              <c:showBubbleSize val="0"/>
            </c:dLbl>
            <c:dLbl>
              <c:idx val="5"/>
              <c:layout>
                <c:manualLayout>
                  <c:x val="-5.3312643884822146E-2"/>
                  <c:y val="0.23559603830009054"/>
                </c:manualLayout>
              </c:layout>
              <c:dLblPos val="r"/>
              <c:showLegendKey val="0"/>
              <c:showVal val="1"/>
              <c:showCatName val="0"/>
              <c:showSerName val="0"/>
              <c:showPercent val="0"/>
              <c:showBubbleSize val="0"/>
            </c:dLbl>
            <c:dLbl>
              <c:idx val="6"/>
              <c:layout>
                <c:manualLayout>
                  <c:xMode val="edge"/>
                  <c:yMode val="edge"/>
                  <c:x val="0.28364446583136371"/>
                  <c:y val="0.12543554006968641"/>
                </c:manualLayout>
              </c:layout>
              <c:dLblPos val="r"/>
              <c:showLegendKey val="0"/>
              <c:showVal val="1"/>
              <c:showCatName val="0"/>
              <c:showSerName val="0"/>
              <c:showPercent val="0"/>
              <c:showBubbleSize val="0"/>
            </c:dLbl>
            <c:dLbl>
              <c:idx val="7"/>
              <c:layout>
                <c:manualLayout>
                  <c:xMode val="edge"/>
                  <c:yMode val="edge"/>
                  <c:x val="0.32919321216924691"/>
                  <c:y val="0.13588850174216027"/>
                </c:manualLayout>
              </c:layout>
              <c:dLblPos val="r"/>
              <c:showLegendKey val="0"/>
              <c:showVal val="1"/>
              <c:showCatName val="0"/>
              <c:showSerName val="0"/>
              <c:showPercent val="0"/>
              <c:showBubbleSize val="0"/>
            </c:dLbl>
            <c:dLbl>
              <c:idx val="8"/>
              <c:layout>
                <c:manualLayout>
                  <c:xMode val="edge"/>
                  <c:yMode val="edge"/>
                  <c:x val="0.37060116338550436"/>
                  <c:y val="0.10452961672473868"/>
                </c:manualLayout>
              </c:layout>
              <c:dLblPos val="r"/>
              <c:showLegendKey val="0"/>
              <c:showVal val="1"/>
              <c:showCatName val="0"/>
              <c:showSerName val="0"/>
              <c:showPercent val="0"/>
              <c:showBubbleSize val="0"/>
            </c:dLbl>
            <c:dLbl>
              <c:idx val="9"/>
              <c:layout>
                <c:manualLayout>
                  <c:xMode val="edge"/>
                  <c:yMode val="edge"/>
                  <c:x val="0.40372752435851039"/>
                  <c:y val="9.4076655052264813E-2"/>
                </c:manualLayout>
              </c:layout>
              <c:dLblPos val="r"/>
              <c:showLegendKey val="0"/>
              <c:showVal val="1"/>
              <c:showCatName val="0"/>
              <c:showSerName val="0"/>
              <c:showPercent val="0"/>
              <c:showBubbleSize val="0"/>
            </c:dLbl>
            <c:dLbl>
              <c:idx val="10"/>
              <c:layout>
                <c:manualLayout>
                  <c:xMode val="edge"/>
                  <c:yMode val="edge"/>
                  <c:x val="0.43892428289232921"/>
                  <c:y val="8.0139372822299645E-2"/>
                </c:manualLayout>
              </c:layout>
              <c:dLblPos val="r"/>
              <c:showLegendKey val="0"/>
              <c:showVal val="1"/>
              <c:showCatName val="0"/>
              <c:showSerName val="0"/>
              <c:showPercent val="0"/>
              <c:showBubbleSize val="0"/>
            </c:dLbl>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b"/>
            <c:showLegendKey val="0"/>
            <c:showVal val="1"/>
            <c:showCatName val="0"/>
            <c:showSerName val="0"/>
            <c:showPercent val="0"/>
            <c:showBubbleSize val="0"/>
            <c:showLeaderLines val="0"/>
          </c:dLbls>
          <c:cat>
            <c:strRef>
              <c:f>Stats!$AE$4:$AO$4</c:f>
              <c:strCache>
                <c:ptCount val="11"/>
                <c:pt idx="0">
                  <c:v>2Q10</c:v>
                </c:pt>
                <c:pt idx="1">
                  <c:v>3Q10</c:v>
                </c:pt>
                <c:pt idx="2">
                  <c:v>4Q10</c:v>
                </c:pt>
                <c:pt idx="3">
                  <c:v>1Q11</c:v>
                </c:pt>
                <c:pt idx="4">
                  <c:v>2Q11</c:v>
                </c:pt>
                <c:pt idx="5">
                  <c:v>3Q11</c:v>
                </c:pt>
                <c:pt idx="6">
                  <c:v>4Q11</c:v>
                </c:pt>
                <c:pt idx="7">
                  <c:v>1Q12</c:v>
                </c:pt>
                <c:pt idx="8">
                  <c:v>2Q12</c:v>
                </c:pt>
                <c:pt idx="9">
                  <c:v>3Q12</c:v>
                </c:pt>
                <c:pt idx="10">
                  <c:v>4Q12</c:v>
                </c:pt>
              </c:strCache>
            </c:strRef>
          </c:cat>
          <c:val>
            <c:numRef>
              <c:f>Stats!$O$27:$T$27</c:f>
              <c:numCache>
                <c:formatCode>0.0%</c:formatCode>
                <c:ptCount val="6"/>
                <c:pt idx="0">
                  <c:v>0.73787528868360275</c:v>
                </c:pt>
                <c:pt idx="1">
                  <c:v>0.80088495575221241</c:v>
                </c:pt>
                <c:pt idx="2">
                  <c:v>0.75855689176688257</c:v>
                </c:pt>
                <c:pt idx="3">
                  <c:v>0.76023890784982939</c:v>
                </c:pt>
                <c:pt idx="4">
                  <c:v>0.78879999999999995</c:v>
                </c:pt>
                <c:pt idx="5">
                  <c:v>0.81272337383845605</c:v>
                </c:pt>
              </c:numCache>
            </c:numRef>
          </c:val>
          <c:smooth val="0"/>
        </c:ser>
        <c:dLbls>
          <c:showLegendKey val="0"/>
          <c:showVal val="0"/>
          <c:showCatName val="0"/>
          <c:showSerName val="0"/>
          <c:showPercent val="0"/>
          <c:showBubbleSize val="0"/>
        </c:dLbls>
        <c:marker val="1"/>
        <c:smooth val="0"/>
        <c:axId val="58645504"/>
        <c:axId val="58729216"/>
      </c:lineChart>
      <c:catAx>
        <c:axId val="58642432"/>
        <c:scaling>
          <c:orientation val="minMax"/>
        </c:scaling>
        <c:delete val="0"/>
        <c:axPos val="b"/>
        <c:numFmt formatCode="General" sourceLinked="1"/>
        <c:majorTickMark val="cross"/>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58643968"/>
        <c:crosses val="autoZero"/>
        <c:auto val="0"/>
        <c:lblAlgn val="ctr"/>
        <c:lblOffset val="100"/>
        <c:tickLblSkip val="1"/>
        <c:tickMarkSkip val="1"/>
        <c:noMultiLvlLbl val="0"/>
      </c:catAx>
      <c:valAx>
        <c:axId val="58643968"/>
        <c:scaling>
          <c:orientation val="minMax"/>
          <c:min val="40000"/>
        </c:scaling>
        <c:delete val="0"/>
        <c:axPos val="l"/>
        <c:numFmt formatCode="#,##0_);\(#,##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8642432"/>
        <c:crosses val="autoZero"/>
        <c:crossBetween val="between"/>
        <c:majorUnit val="20000"/>
      </c:valAx>
      <c:catAx>
        <c:axId val="58645504"/>
        <c:scaling>
          <c:orientation val="minMax"/>
        </c:scaling>
        <c:delete val="1"/>
        <c:axPos val="b"/>
        <c:majorTickMark val="out"/>
        <c:minorTickMark val="none"/>
        <c:tickLblPos val="nextTo"/>
        <c:crossAx val="58729216"/>
        <c:crosses val="autoZero"/>
        <c:auto val="0"/>
        <c:lblAlgn val="ctr"/>
        <c:lblOffset val="100"/>
        <c:noMultiLvlLbl val="0"/>
      </c:catAx>
      <c:valAx>
        <c:axId val="58729216"/>
        <c:scaling>
          <c:orientation val="minMax"/>
          <c:max val="0.84"/>
          <c:min val="0.7"/>
        </c:scaling>
        <c:delete val="0"/>
        <c:axPos val="r"/>
        <c:numFmt formatCode="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8645504"/>
        <c:crosses val="max"/>
        <c:crossBetween val="between"/>
      </c:valAx>
      <c:spPr>
        <a:noFill/>
        <a:ln w="25400">
          <a:noFill/>
        </a:ln>
      </c:spPr>
    </c:plotArea>
    <c:legend>
      <c:legendPos val="b"/>
      <c:layout>
        <c:manualLayout>
          <c:xMode val="edge"/>
          <c:yMode val="edge"/>
          <c:x val="7.8675165604299463E-2"/>
          <c:y val="0.90243902439024393"/>
          <c:w val="0.84472223580748051"/>
          <c:h val="7.6655052264808399E-2"/>
        </c:manualLayout>
      </c:layout>
      <c:overlay val="0"/>
      <c:spPr>
        <a:noFill/>
        <a:ln w="25400">
          <a:noFill/>
        </a:ln>
      </c:spPr>
      <c:txPr>
        <a:bodyPr/>
        <a:lstStyle/>
        <a:p>
          <a:pPr>
            <a:defRPr sz="16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92782925690115"/>
          <c:y val="9.0592334494773524E-2"/>
          <c:w val="0.72463914628450576"/>
          <c:h val="0.62369337979094075"/>
        </c:manualLayout>
      </c:layout>
      <c:barChart>
        <c:barDir val="col"/>
        <c:grouping val="clustered"/>
        <c:varyColors val="0"/>
        <c:ser>
          <c:idx val="1"/>
          <c:order val="0"/>
          <c:tx>
            <c:strRef>
              <c:f>Stats!$B$21</c:f>
              <c:strCache>
                <c:ptCount val="1"/>
                <c:pt idx="0">
                  <c:v>Global MRR / Cabinet</c:v>
                </c:pt>
              </c:strCache>
            </c:strRef>
          </c:tx>
          <c:spPr>
            <a:solidFill>
              <a:srgbClr val="EACC80"/>
            </a:solidFill>
            <a:ln w="25400">
              <a:noFill/>
            </a:ln>
          </c:spPr>
          <c:invertIfNegative val="0"/>
          <c:dLbls>
            <c:spPr>
              <a:noFill/>
              <a:ln w="25400">
                <a:noFill/>
              </a:ln>
            </c:spPr>
            <c:txPr>
              <a:bodyPr rot="-5400000" vert="horz"/>
              <a:lstStyle/>
              <a:p>
                <a:pPr algn="ctr">
                  <a:defRPr sz="1000" b="0" i="0" u="none" strike="noStrike" baseline="0">
                    <a:solidFill>
                      <a:srgbClr val="000000"/>
                    </a:solidFill>
                    <a:latin typeface="Arial"/>
                    <a:ea typeface="Arial"/>
                    <a:cs typeface="Arial"/>
                  </a:defRPr>
                </a:pPr>
                <a:endParaRPr lang="en-US"/>
              </a:p>
            </c:txPr>
            <c:dLblPos val="outEnd"/>
            <c:showLegendKey val="0"/>
            <c:showVal val="1"/>
            <c:showCatName val="0"/>
            <c:showSerName val="0"/>
            <c:showPercent val="0"/>
            <c:showBubbleSize val="0"/>
            <c:showLeaderLines val="0"/>
          </c:dLbls>
          <c:cat>
            <c:strRef>
              <c:f>Stats!$AE$4:$AO$4</c:f>
              <c:strCache>
                <c:ptCount val="11"/>
                <c:pt idx="0">
                  <c:v>2Q10</c:v>
                </c:pt>
                <c:pt idx="1">
                  <c:v>3Q10</c:v>
                </c:pt>
                <c:pt idx="2">
                  <c:v>4Q10</c:v>
                </c:pt>
                <c:pt idx="3">
                  <c:v>1Q11</c:v>
                </c:pt>
                <c:pt idx="4">
                  <c:v>2Q11</c:v>
                </c:pt>
                <c:pt idx="5">
                  <c:v>3Q11</c:v>
                </c:pt>
                <c:pt idx="6">
                  <c:v>4Q11</c:v>
                </c:pt>
                <c:pt idx="7">
                  <c:v>1Q12</c:v>
                </c:pt>
                <c:pt idx="8">
                  <c:v>2Q12</c:v>
                </c:pt>
                <c:pt idx="9">
                  <c:v>3Q12</c:v>
                </c:pt>
                <c:pt idx="10">
                  <c:v>4Q12</c:v>
                </c:pt>
              </c:strCache>
            </c:strRef>
          </c:cat>
          <c:val>
            <c:numRef>
              <c:f>Stats!$AE$21:$AO$21</c:f>
              <c:numCache>
                <c:formatCode>"$"#,##0_);\("$"#,##0\)</c:formatCode>
                <c:ptCount val="11"/>
                <c:pt idx="0">
                  <c:v>1509.0109289617483</c:v>
                </c:pt>
                <c:pt idx="1">
                  <c:v>1662.4178212442271</c:v>
                </c:pt>
                <c:pt idx="2">
                  <c:v>1684.8885350318469</c:v>
                </c:pt>
                <c:pt idx="3">
                  <c:v>1705.0737913486007</c:v>
                </c:pt>
                <c:pt idx="4">
                  <c:v>1793.0112249877989</c:v>
                </c:pt>
                <c:pt idx="5">
                  <c:v>1844.6851983844142</c:v>
                </c:pt>
                <c:pt idx="6">
                  <c:v>1870.4143389199253</c:v>
                </c:pt>
                <c:pt idx="7">
                  <c:v>1913.2285974499086</c:v>
                </c:pt>
                <c:pt idx="8">
                  <c:v>1938.810641627543</c:v>
                </c:pt>
                <c:pt idx="9">
                  <c:v>1988.2642487046633</c:v>
                </c:pt>
                <c:pt idx="10">
                  <c:v>1995.5610663360194</c:v>
                </c:pt>
              </c:numCache>
            </c:numRef>
          </c:val>
        </c:ser>
        <c:dLbls>
          <c:showLegendKey val="0"/>
          <c:showVal val="0"/>
          <c:showCatName val="0"/>
          <c:showSerName val="0"/>
          <c:showPercent val="0"/>
          <c:showBubbleSize val="0"/>
        </c:dLbls>
        <c:gapWidth val="150"/>
        <c:axId val="58788864"/>
        <c:axId val="58790656"/>
      </c:barChart>
      <c:lineChart>
        <c:grouping val="standard"/>
        <c:varyColors val="0"/>
        <c:ser>
          <c:idx val="0"/>
          <c:order val="1"/>
          <c:tx>
            <c:v>% Growth</c:v>
          </c:tx>
          <c:spPr>
            <a:ln w="12700">
              <a:solidFill>
                <a:srgbClr val="1275A6"/>
              </a:solidFill>
              <a:prstDash val="solid"/>
            </a:ln>
          </c:spPr>
          <c:marker>
            <c:symbol val="diamond"/>
            <c:size val="5"/>
            <c:spPr>
              <a:solidFill>
                <a:srgbClr val="1275A6"/>
              </a:solidFill>
              <a:ln>
                <a:solidFill>
                  <a:srgbClr val="1275A6"/>
                </a:solidFill>
                <a:prstDash val="solid"/>
              </a:ln>
            </c:spPr>
          </c:marker>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b"/>
            <c:showLegendKey val="0"/>
            <c:showVal val="1"/>
            <c:showCatName val="0"/>
            <c:showSerName val="0"/>
            <c:showPercent val="0"/>
            <c:showBubbleSize val="0"/>
            <c:showLeaderLines val="0"/>
          </c:dLbls>
          <c:cat>
            <c:strRef>
              <c:f>Stats!$AE$4:$AO$4</c:f>
              <c:strCache>
                <c:ptCount val="11"/>
                <c:pt idx="0">
                  <c:v>2Q10</c:v>
                </c:pt>
                <c:pt idx="1">
                  <c:v>3Q10</c:v>
                </c:pt>
                <c:pt idx="2">
                  <c:v>4Q10</c:v>
                </c:pt>
                <c:pt idx="3">
                  <c:v>1Q11</c:v>
                </c:pt>
                <c:pt idx="4">
                  <c:v>2Q11</c:v>
                </c:pt>
                <c:pt idx="5">
                  <c:v>3Q11</c:v>
                </c:pt>
                <c:pt idx="6">
                  <c:v>4Q11</c:v>
                </c:pt>
                <c:pt idx="7">
                  <c:v>1Q12</c:v>
                </c:pt>
                <c:pt idx="8">
                  <c:v>2Q12</c:v>
                </c:pt>
                <c:pt idx="9">
                  <c:v>3Q12</c:v>
                </c:pt>
                <c:pt idx="10">
                  <c:v>4Q12</c:v>
                </c:pt>
              </c:strCache>
            </c:strRef>
          </c:cat>
          <c:val>
            <c:numRef>
              <c:f>Stats!$AE$22:$AO$22</c:f>
              <c:numCache>
                <c:formatCode>0.0%</c:formatCode>
                <c:ptCount val="11"/>
                <c:pt idx="1">
                  <c:v>0.10166055748054004</c:v>
                </c:pt>
                <c:pt idx="2">
                  <c:v>1.3516886970570186E-2</c:v>
                </c:pt>
                <c:pt idx="3">
                  <c:v>1.1980173107636549E-2</c:v>
                </c:pt>
                <c:pt idx="4">
                  <c:v>5.1573975323170984E-2</c:v>
                </c:pt>
                <c:pt idx="5">
                  <c:v>2.8819659730221048E-2</c:v>
                </c:pt>
                <c:pt idx="6">
                  <c:v>1.3947713440778386E-2</c:v>
                </c:pt>
                <c:pt idx="7">
                  <c:v>2.2890253586649978E-2</c:v>
                </c:pt>
                <c:pt idx="8">
                  <c:v>1.337113830084502E-2</c:v>
                </c:pt>
                <c:pt idx="9">
                  <c:v>2.5507187765178685E-2</c:v>
                </c:pt>
                <c:pt idx="10">
                  <c:v>3.6699435882880937E-3</c:v>
                </c:pt>
              </c:numCache>
            </c:numRef>
          </c:val>
          <c:smooth val="0"/>
        </c:ser>
        <c:dLbls>
          <c:showLegendKey val="0"/>
          <c:showVal val="0"/>
          <c:showCatName val="0"/>
          <c:showSerName val="0"/>
          <c:showPercent val="0"/>
          <c:showBubbleSize val="0"/>
        </c:dLbls>
        <c:marker val="1"/>
        <c:smooth val="0"/>
        <c:axId val="58792192"/>
        <c:axId val="58798080"/>
      </c:lineChart>
      <c:catAx>
        <c:axId val="58788864"/>
        <c:scaling>
          <c:orientation val="minMax"/>
        </c:scaling>
        <c:delete val="0"/>
        <c:axPos val="b"/>
        <c:numFmt formatCode="General" sourceLinked="1"/>
        <c:majorTickMark val="cross"/>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58790656"/>
        <c:crosses val="autoZero"/>
        <c:auto val="0"/>
        <c:lblAlgn val="ctr"/>
        <c:lblOffset val="100"/>
        <c:tickLblSkip val="1"/>
        <c:tickMarkSkip val="1"/>
        <c:noMultiLvlLbl val="0"/>
      </c:catAx>
      <c:valAx>
        <c:axId val="58790656"/>
        <c:scaling>
          <c:orientation val="minMax"/>
          <c:max val="2000"/>
          <c:min val="1500"/>
        </c:scaling>
        <c:delete val="0"/>
        <c:axPos val="l"/>
        <c:numFmt formatCode="&quot;$&quot;#,##0_);\(&quot;$&quot;#,##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8788864"/>
        <c:crosses val="autoZero"/>
        <c:crossBetween val="between"/>
        <c:majorUnit val="100"/>
        <c:minorUnit val="2"/>
      </c:valAx>
      <c:catAx>
        <c:axId val="58792192"/>
        <c:scaling>
          <c:orientation val="minMax"/>
        </c:scaling>
        <c:delete val="1"/>
        <c:axPos val="b"/>
        <c:majorTickMark val="out"/>
        <c:minorTickMark val="none"/>
        <c:tickLblPos val="nextTo"/>
        <c:crossAx val="58798080"/>
        <c:crosses val="autoZero"/>
        <c:auto val="0"/>
        <c:lblAlgn val="ctr"/>
        <c:lblOffset val="100"/>
        <c:noMultiLvlLbl val="0"/>
      </c:catAx>
      <c:valAx>
        <c:axId val="58798080"/>
        <c:scaling>
          <c:orientation val="minMax"/>
          <c:min val="-0.04"/>
        </c:scaling>
        <c:delete val="0"/>
        <c:axPos val="r"/>
        <c:numFmt formatCode="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8792192"/>
        <c:crosses val="max"/>
        <c:crossBetween val="between"/>
      </c:valAx>
      <c:spPr>
        <a:noFill/>
        <a:ln w="25400">
          <a:noFill/>
        </a:ln>
      </c:spPr>
    </c:plotArea>
    <c:legend>
      <c:legendPos val="b"/>
      <c:layout>
        <c:manualLayout>
          <c:xMode val="edge"/>
          <c:yMode val="edge"/>
          <c:x val="0.24016606619824693"/>
          <c:y val="0.90243902439024393"/>
          <c:w val="0.53416257750389895"/>
          <c:h val="7.6655052264808399E-2"/>
        </c:manualLayout>
      </c:layout>
      <c:overlay val="0"/>
      <c:spPr>
        <a:noFill/>
        <a:ln w="25400">
          <a:noFill/>
        </a:ln>
      </c:spPr>
      <c:txPr>
        <a:bodyPr/>
        <a:lstStyle/>
        <a:p>
          <a:pPr>
            <a:defRPr sz="16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6282450811163"/>
          <c:y val="9.0278083896497593E-2"/>
          <c:w val="0.74173628548743931"/>
          <c:h val="0.60416871530732996"/>
        </c:manualLayout>
      </c:layout>
      <c:barChart>
        <c:barDir val="col"/>
        <c:grouping val="clustered"/>
        <c:varyColors val="0"/>
        <c:ser>
          <c:idx val="1"/>
          <c:order val="0"/>
          <c:tx>
            <c:strRef>
              <c:f>Stats!$B$21</c:f>
              <c:strCache>
                <c:ptCount val="1"/>
                <c:pt idx="0">
                  <c:v>Global MRR / Cabinet</c:v>
                </c:pt>
              </c:strCache>
            </c:strRef>
          </c:tx>
          <c:spPr>
            <a:solidFill>
              <a:srgbClr val="EACC80"/>
            </a:solidFill>
            <a:ln w="25400">
              <a:noFill/>
            </a:ln>
          </c:spPr>
          <c:invertIfNegative val="0"/>
          <c:dLbls>
            <c:dLbl>
              <c:idx val="1"/>
              <c:layout>
                <c:manualLayout>
                  <c:x val="-4.3043703670163965E-3"/>
                  <c:y val="-2.778488015234936E-2"/>
                </c:manualLayout>
              </c:layout>
              <c:dLblPos val="outEnd"/>
              <c:showLegendKey val="0"/>
              <c:showVal val="1"/>
              <c:showCatName val="0"/>
              <c:showSerName val="0"/>
              <c:showPercent val="0"/>
              <c:showBubbleSize val="0"/>
            </c:dLbl>
            <c:spPr>
              <a:noFill/>
              <a:ln w="25400">
                <a:noFill/>
              </a:ln>
            </c:spPr>
            <c:txPr>
              <a:bodyPr rot="-5400000" vert="horz"/>
              <a:lstStyle/>
              <a:p>
                <a:pPr algn="ctr">
                  <a:defRPr sz="1000" b="0" i="0" u="none" strike="noStrike" baseline="0">
                    <a:solidFill>
                      <a:srgbClr val="000000"/>
                    </a:solidFill>
                    <a:latin typeface="Arial"/>
                    <a:ea typeface="Arial"/>
                    <a:cs typeface="Arial"/>
                  </a:defRPr>
                </a:pPr>
                <a:endParaRPr lang="en-US"/>
              </a:p>
            </c:txPr>
            <c:dLblPos val="outEnd"/>
            <c:showLegendKey val="0"/>
            <c:showVal val="1"/>
            <c:showCatName val="0"/>
            <c:showSerName val="0"/>
            <c:showPercent val="0"/>
            <c:showBubbleSize val="0"/>
            <c:showLeaderLines val="0"/>
          </c:dLbls>
          <c:cat>
            <c:strRef>
              <c:f>Stats!$O$4:$T$4</c:f>
              <c:strCache>
                <c:ptCount val="6"/>
                <c:pt idx="0">
                  <c:v>2010A</c:v>
                </c:pt>
                <c:pt idx="1">
                  <c:v>2011</c:v>
                </c:pt>
                <c:pt idx="2">
                  <c:v>2012</c:v>
                </c:pt>
                <c:pt idx="3">
                  <c:v>2013</c:v>
                </c:pt>
                <c:pt idx="4">
                  <c:v>2014</c:v>
                </c:pt>
                <c:pt idx="5">
                  <c:v>2015</c:v>
                </c:pt>
              </c:strCache>
            </c:strRef>
          </c:cat>
          <c:val>
            <c:numRef>
              <c:f>Stats!$O$21:$T$21</c:f>
              <c:numCache>
                <c:formatCode>"$"#,##0_);\("$"#,##0\)</c:formatCode>
                <c:ptCount val="6"/>
                <c:pt idx="0">
                  <c:v>1482.5065206051122</c:v>
                </c:pt>
                <c:pt idx="1">
                  <c:v>1824.9131817070188</c:v>
                </c:pt>
                <c:pt idx="2">
                  <c:v>1939.8402417962002</c:v>
                </c:pt>
                <c:pt idx="3">
                  <c:v>1996.8458990843562</c:v>
                </c:pt>
                <c:pt idx="4">
                  <c:v>2058.0616231575209</c:v>
                </c:pt>
                <c:pt idx="5">
                  <c:v>2016.9108180248079</c:v>
                </c:pt>
              </c:numCache>
            </c:numRef>
          </c:val>
        </c:ser>
        <c:dLbls>
          <c:showLegendKey val="0"/>
          <c:showVal val="0"/>
          <c:showCatName val="0"/>
          <c:showSerName val="0"/>
          <c:showPercent val="0"/>
          <c:showBubbleSize val="0"/>
        </c:dLbls>
        <c:gapWidth val="150"/>
        <c:axId val="58820864"/>
        <c:axId val="58839040"/>
      </c:barChart>
      <c:lineChart>
        <c:grouping val="standard"/>
        <c:varyColors val="0"/>
        <c:ser>
          <c:idx val="0"/>
          <c:order val="1"/>
          <c:tx>
            <c:v>% Growth</c:v>
          </c:tx>
          <c:spPr>
            <a:ln w="12700">
              <a:solidFill>
                <a:srgbClr val="1275A6"/>
              </a:solidFill>
              <a:prstDash val="solid"/>
            </a:ln>
          </c:spPr>
          <c:marker>
            <c:symbol val="diamond"/>
            <c:size val="5"/>
            <c:spPr>
              <a:solidFill>
                <a:srgbClr val="1275A6"/>
              </a:solidFill>
              <a:ln>
                <a:solidFill>
                  <a:srgbClr val="1275A6"/>
                </a:solidFill>
                <a:prstDash val="solid"/>
              </a:ln>
            </c:spPr>
          </c:marker>
          <c:dLbls>
            <c:dLbl>
              <c:idx val="1"/>
              <c:layout>
                <c:manualLayout>
                  <c:x val="-5.3891378732311181E-2"/>
                  <c:y val="0.10356336933742381"/>
                </c:manualLayout>
              </c:layout>
              <c:dLblPos val="r"/>
              <c:showLegendKey val="0"/>
              <c:showVal val="1"/>
              <c:showCatName val="0"/>
              <c:showSerName val="0"/>
              <c:showPercent val="0"/>
              <c:showBubbleSize val="0"/>
            </c:dLbl>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b"/>
            <c:showLegendKey val="0"/>
            <c:showVal val="1"/>
            <c:showCatName val="0"/>
            <c:showSerName val="0"/>
            <c:showPercent val="0"/>
            <c:showBubbleSize val="0"/>
            <c:showLeaderLines val="0"/>
          </c:dLbls>
          <c:cat>
            <c:strRef>
              <c:f>Stats!$AE$4:$AO$4</c:f>
              <c:strCache>
                <c:ptCount val="11"/>
                <c:pt idx="0">
                  <c:v>2Q10</c:v>
                </c:pt>
                <c:pt idx="1">
                  <c:v>3Q10</c:v>
                </c:pt>
                <c:pt idx="2">
                  <c:v>4Q10</c:v>
                </c:pt>
                <c:pt idx="3">
                  <c:v>1Q11</c:v>
                </c:pt>
                <c:pt idx="4">
                  <c:v>2Q11</c:v>
                </c:pt>
                <c:pt idx="5">
                  <c:v>3Q11</c:v>
                </c:pt>
                <c:pt idx="6">
                  <c:v>4Q11</c:v>
                </c:pt>
                <c:pt idx="7">
                  <c:v>1Q12</c:v>
                </c:pt>
                <c:pt idx="8">
                  <c:v>2Q12</c:v>
                </c:pt>
                <c:pt idx="9">
                  <c:v>3Q12</c:v>
                </c:pt>
                <c:pt idx="10">
                  <c:v>4Q12</c:v>
                </c:pt>
              </c:strCache>
            </c:strRef>
          </c:cat>
          <c:val>
            <c:numRef>
              <c:f>Stats!$O$22:$T$22</c:f>
              <c:numCache>
                <c:formatCode>0.0%</c:formatCode>
                <c:ptCount val="6"/>
                <c:pt idx="1">
                  <c:v>0.23096469144847132</c:v>
                </c:pt>
                <c:pt idx="2">
                  <c:v>6.2976727463647908E-2</c:v>
                </c:pt>
                <c:pt idx="3">
                  <c:v>2.9386779416108677E-2</c:v>
                </c:pt>
                <c:pt idx="4">
                  <c:v>3.0656208424112652E-2</c:v>
                </c:pt>
                <c:pt idx="5">
                  <c:v>-1.9994933421662364E-2</c:v>
                </c:pt>
              </c:numCache>
            </c:numRef>
          </c:val>
          <c:smooth val="0"/>
        </c:ser>
        <c:dLbls>
          <c:showLegendKey val="0"/>
          <c:showVal val="0"/>
          <c:showCatName val="0"/>
          <c:showSerName val="0"/>
          <c:showPercent val="0"/>
          <c:showBubbleSize val="0"/>
        </c:dLbls>
        <c:marker val="1"/>
        <c:smooth val="0"/>
        <c:axId val="58840576"/>
        <c:axId val="58842112"/>
      </c:lineChart>
      <c:catAx>
        <c:axId val="58820864"/>
        <c:scaling>
          <c:orientation val="minMax"/>
        </c:scaling>
        <c:delete val="0"/>
        <c:axPos val="b"/>
        <c:numFmt formatCode="General" sourceLinked="1"/>
        <c:majorTickMark val="cross"/>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58839040"/>
        <c:crosses val="autoZero"/>
        <c:auto val="0"/>
        <c:lblAlgn val="ctr"/>
        <c:lblOffset val="100"/>
        <c:tickLblSkip val="1"/>
        <c:tickMarkSkip val="1"/>
        <c:noMultiLvlLbl val="0"/>
      </c:catAx>
      <c:valAx>
        <c:axId val="58839040"/>
        <c:scaling>
          <c:orientation val="minMax"/>
          <c:max val="2000"/>
          <c:min val="1400"/>
        </c:scaling>
        <c:delete val="0"/>
        <c:axPos val="l"/>
        <c:numFmt formatCode="&quot;$&quot;#,##0_);\(&quot;$&quot;#,##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8820864"/>
        <c:crosses val="autoZero"/>
        <c:crossBetween val="between"/>
        <c:majorUnit val="100"/>
        <c:minorUnit val="2"/>
      </c:valAx>
      <c:catAx>
        <c:axId val="58840576"/>
        <c:scaling>
          <c:orientation val="minMax"/>
        </c:scaling>
        <c:delete val="1"/>
        <c:axPos val="b"/>
        <c:majorTickMark val="out"/>
        <c:minorTickMark val="none"/>
        <c:tickLblPos val="nextTo"/>
        <c:crossAx val="58842112"/>
        <c:crosses val="autoZero"/>
        <c:auto val="0"/>
        <c:lblAlgn val="ctr"/>
        <c:lblOffset val="100"/>
        <c:noMultiLvlLbl val="0"/>
      </c:catAx>
      <c:valAx>
        <c:axId val="58842112"/>
        <c:scaling>
          <c:orientation val="minMax"/>
          <c:min val="-0.04"/>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8840576"/>
        <c:crosses val="max"/>
        <c:crossBetween val="between"/>
      </c:valAx>
      <c:spPr>
        <a:noFill/>
        <a:ln w="25400">
          <a:noFill/>
        </a:ln>
      </c:spPr>
    </c:plotArea>
    <c:legend>
      <c:legendPos val="b"/>
      <c:layout>
        <c:manualLayout>
          <c:xMode val="edge"/>
          <c:yMode val="edge"/>
          <c:x val="0.24793410121255502"/>
          <c:y val="0.90278069407990669"/>
          <c:w val="0.53305828506973818"/>
          <c:h val="7.6389253426655035E-2"/>
        </c:manualLayout>
      </c:layout>
      <c:overlay val="0"/>
      <c:spPr>
        <a:noFill/>
        <a:ln w="25400">
          <a:noFill/>
        </a:ln>
      </c:spPr>
      <c:txPr>
        <a:bodyPr/>
        <a:lstStyle/>
        <a:p>
          <a:pPr>
            <a:defRPr sz="16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a:t>FCF (EBITDA - Capex - Net Interest)</a:t>
            </a:r>
          </a:p>
        </c:rich>
      </c:tx>
      <c:layout>
        <c:manualLayout>
          <c:xMode val="edge"/>
          <c:yMode val="edge"/>
          <c:x val="0.27892583674974514"/>
          <c:y val="3.8062283737024222E-2"/>
        </c:manualLayout>
      </c:layout>
      <c:overlay val="0"/>
      <c:spPr>
        <a:noFill/>
        <a:ln w="25400">
          <a:noFill/>
        </a:ln>
      </c:spPr>
    </c:title>
    <c:autoTitleDeleted val="0"/>
    <c:plotArea>
      <c:layout>
        <c:manualLayout>
          <c:layoutTarget val="inner"/>
          <c:xMode val="edge"/>
          <c:yMode val="edge"/>
          <c:x val="0.13016542057300468"/>
          <c:y val="0.20761280752055769"/>
          <c:w val="0.84090993925734769"/>
          <c:h val="0.63667927639637689"/>
        </c:manualLayout>
      </c:layout>
      <c:barChart>
        <c:barDir val="col"/>
        <c:grouping val="clustered"/>
        <c:varyColors val="0"/>
        <c:ser>
          <c:idx val="0"/>
          <c:order val="0"/>
          <c:tx>
            <c:strRef>
              <c:f>Stats!$B$35</c:f>
              <c:strCache>
                <c:ptCount val="1"/>
                <c:pt idx="0">
                  <c:v>FCF</c:v>
                </c:pt>
              </c:strCache>
            </c:strRef>
          </c:tx>
          <c:spPr>
            <a:solidFill>
              <a:srgbClr val="137CB1"/>
            </a:solidFill>
            <a:ln w="25400">
              <a:noFill/>
            </a:ln>
          </c:spPr>
          <c:invertIfNegative val="0"/>
          <c:dLbls>
            <c:numFmt formatCode="\$#,##0_);\(\$#,##0\)"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Stats!$O$4:$T$4</c:f>
              <c:strCache>
                <c:ptCount val="6"/>
                <c:pt idx="0">
                  <c:v>2010A</c:v>
                </c:pt>
                <c:pt idx="1">
                  <c:v>2011</c:v>
                </c:pt>
                <c:pt idx="2">
                  <c:v>2012</c:v>
                </c:pt>
                <c:pt idx="3">
                  <c:v>2013</c:v>
                </c:pt>
                <c:pt idx="4">
                  <c:v>2014</c:v>
                </c:pt>
                <c:pt idx="5">
                  <c:v>2015</c:v>
                </c:pt>
              </c:strCache>
            </c:strRef>
          </c:cat>
          <c:val>
            <c:numRef>
              <c:f>Stats!$O$35:$T$35</c:f>
              <c:numCache>
                <c:formatCode>#,##0.0_);\(#,##0.0\)</c:formatCode>
                <c:ptCount val="6"/>
                <c:pt idx="0">
                  <c:v>-185.33600000000013</c:v>
                </c:pt>
                <c:pt idx="1">
                  <c:v>-141.95099999999977</c:v>
                </c:pt>
                <c:pt idx="2">
                  <c:v>-73.505000000000223</c:v>
                </c:pt>
                <c:pt idx="3">
                  <c:v>183.0870000000001</c:v>
                </c:pt>
                <c:pt idx="4">
                  <c:v>186.02599999999967</c:v>
                </c:pt>
                <c:pt idx="5">
                  <c:v>108.03300000000036</c:v>
                </c:pt>
              </c:numCache>
            </c:numRef>
          </c:val>
        </c:ser>
        <c:dLbls>
          <c:showLegendKey val="0"/>
          <c:showVal val="0"/>
          <c:showCatName val="0"/>
          <c:showSerName val="0"/>
          <c:showPercent val="0"/>
          <c:showBubbleSize val="0"/>
        </c:dLbls>
        <c:gapWidth val="150"/>
        <c:axId val="60107776"/>
        <c:axId val="60117760"/>
      </c:barChart>
      <c:catAx>
        <c:axId val="60107776"/>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0117760"/>
        <c:crosses val="autoZero"/>
        <c:auto val="1"/>
        <c:lblAlgn val="ctr"/>
        <c:lblOffset val="100"/>
        <c:tickLblSkip val="1"/>
        <c:tickMarkSkip val="1"/>
        <c:noMultiLvlLbl val="0"/>
      </c:catAx>
      <c:valAx>
        <c:axId val="60117760"/>
        <c:scaling>
          <c:orientation val="minMax"/>
        </c:scaling>
        <c:delete val="0"/>
        <c:axPos val="l"/>
        <c:majorGridlines>
          <c:spPr>
            <a:ln w="3175">
              <a:solidFill>
                <a:srgbClr val="C0C0C0"/>
              </a:solidFill>
              <a:prstDash val="solid"/>
            </a:ln>
          </c:spPr>
        </c:majorGridlines>
        <c:numFmt formatCode="\$#,##0_);\(\$#,##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0107776"/>
        <c:crosses val="autoZero"/>
        <c:crossBetween val="between"/>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551078801262342E-2"/>
          <c:y val="0.14285774679445176"/>
          <c:w val="0.90498917313359784"/>
          <c:h val="0.72294677923252859"/>
        </c:manualLayout>
      </c:layout>
      <c:barChart>
        <c:barDir val="col"/>
        <c:grouping val="clustered"/>
        <c:varyColors val="0"/>
        <c:ser>
          <c:idx val="1"/>
          <c:order val="1"/>
          <c:tx>
            <c:v>Shade</c:v>
          </c:tx>
          <c:spPr>
            <a:solidFill>
              <a:srgbClr val="EFC1D2"/>
            </a:solidFill>
            <a:ln w="25400">
              <a:noFill/>
            </a:ln>
          </c:spPr>
          <c:invertIfNegative val="0"/>
          <c:cat>
            <c:strRef>
              <c:f>'MWA ROE - Annual'!$C$34:$L$34</c:f>
              <c:strCache>
                <c:ptCount val="10"/>
                <c:pt idx="0">
                  <c:v>2006</c:v>
                </c:pt>
                <c:pt idx="1">
                  <c:v>2007</c:v>
                </c:pt>
                <c:pt idx="2">
                  <c:v>2008</c:v>
                </c:pt>
                <c:pt idx="3">
                  <c:v>2009</c:v>
                </c:pt>
                <c:pt idx="4">
                  <c:v>2010</c:v>
                </c:pt>
                <c:pt idx="5">
                  <c:v>2011e</c:v>
                </c:pt>
                <c:pt idx="6">
                  <c:v>2012e</c:v>
                </c:pt>
                <c:pt idx="7">
                  <c:v>2013e</c:v>
                </c:pt>
                <c:pt idx="8">
                  <c:v>2014e</c:v>
                </c:pt>
                <c:pt idx="9">
                  <c:v>2015e</c:v>
                </c:pt>
              </c:strCache>
            </c:strRef>
          </c:cat>
          <c:val>
            <c:numRef>
              <c:f>'MWA ROE - Annual'!$C$209:$L$209</c:f>
              <c:numCache>
                <c:formatCode>General</c:formatCode>
                <c:ptCount val="10"/>
                <c:pt idx="0">
                  <c:v>1E-10</c:v>
                </c:pt>
                <c:pt idx="1">
                  <c:v>1E-10</c:v>
                </c:pt>
                <c:pt idx="2">
                  <c:v>1E-10</c:v>
                </c:pt>
                <c:pt idx="3">
                  <c:v>1E-10</c:v>
                </c:pt>
                <c:pt idx="4">
                  <c:v>1E-10</c:v>
                </c:pt>
                <c:pt idx="5">
                  <c:v>0.19481107111975757</c:v>
                </c:pt>
                <c:pt idx="6">
                  <c:v>0.19481107111975757</c:v>
                </c:pt>
                <c:pt idx="7">
                  <c:v>0.19481107111975757</c:v>
                </c:pt>
                <c:pt idx="8">
                  <c:v>0.19481107111975757</c:v>
                </c:pt>
                <c:pt idx="9">
                  <c:v>0.19481107111975757</c:v>
                </c:pt>
              </c:numCache>
            </c:numRef>
          </c:val>
        </c:ser>
        <c:ser>
          <c:idx val="2"/>
          <c:order val="2"/>
          <c:tx>
            <c:v>Shade2</c:v>
          </c:tx>
          <c:spPr>
            <a:solidFill>
              <a:srgbClr val="EFC1D2"/>
            </a:solidFill>
            <a:ln w="25400">
              <a:noFill/>
            </a:ln>
          </c:spPr>
          <c:invertIfNegative val="0"/>
          <c:cat>
            <c:numRef>
              <c:f>'MWA ROE - Annual'!$C$34:$G$34</c:f>
              <c:numCache>
                <c:formatCode>General</c:formatCode>
                <c:ptCount val="5"/>
                <c:pt idx="0">
                  <c:v>2006</c:v>
                </c:pt>
                <c:pt idx="1">
                  <c:v>2007</c:v>
                </c:pt>
                <c:pt idx="2">
                  <c:v>2008</c:v>
                </c:pt>
                <c:pt idx="3">
                  <c:v>2009</c:v>
                </c:pt>
                <c:pt idx="4">
                  <c:v>2010</c:v>
                </c:pt>
              </c:numCache>
            </c:numRef>
          </c:cat>
          <c:val>
            <c:numRef>
              <c:f>'MWA ROE - Annual'!$C$210:$G$210</c:f>
              <c:numCache>
                <c:formatCode>General</c:formatCode>
                <c:ptCount val="5"/>
                <c:pt idx="0">
                  <c:v>1E-10</c:v>
                </c:pt>
                <c:pt idx="1">
                  <c:v>1E-10</c:v>
                </c:pt>
                <c:pt idx="2">
                  <c:v>1E-10</c:v>
                </c:pt>
                <c:pt idx="3">
                  <c:v>1E-10</c:v>
                </c:pt>
                <c:pt idx="4">
                  <c:v>1E-10</c:v>
                </c:pt>
              </c:numCache>
            </c:numRef>
          </c:val>
        </c:ser>
        <c:dLbls>
          <c:showLegendKey val="0"/>
          <c:showVal val="0"/>
          <c:showCatName val="0"/>
          <c:showSerName val="0"/>
          <c:showPercent val="0"/>
          <c:showBubbleSize val="0"/>
        </c:dLbls>
        <c:gapWidth val="0"/>
        <c:overlap val="100"/>
        <c:axId val="173444480"/>
        <c:axId val="173450368"/>
      </c:barChart>
      <c:lineChart>
        <c:grouping val="standard"/>
        <c:varyColors val="0"/>
        <c:ser>
          <c:idx val="0"/>
          <c:order val="0"/>
          <c:tx>
            <c:strRef>
              <c:f>'MWA ROE - Annual'!$B$208</c:f>
              <c:strCache>
                <c:ptCount val="1"/>
                <c:pt idx="0">
                  <c:v>NOPAT Margin (%)</c:v>
                </c:pt>
              </c:strCache>
            </c:strRef>
          </c:tx>
          <c:spPr>
            <a:ln w="25400">
              <a:solidFill>
                <a:srgbClr val="C7E5BE"/>
              </a:solidFill>
              <a:prstDash val="solid"/>
            </a:ln>
          </c:spPr>
          <c:marker>
            <c:symbol val="none"/>
          </c:marker>
          <c:dLbls>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'MWA ROE - Annual'!$C$34:$L$34</c:f>
              <c:strCache>
                <c:ptCount val="10"/>
                <c:pt idx="0">
                  <c:v>2006</c:v>
                </c:pt>
                <c:pt idx="1">
                  <c:v>2007</c:v>
                </c:pt>
                <c:pt idx="2">
                  <c:v>2008</c:v>
                </c:pt>
                <c:pt idx="3">
                  <c:v>2009</c:v>
                </c:pt>
                <c:pt idx="4">
                  <c:v>2010</c:v>
                </c:pt>
                <c:pt idx="5">
                  <c:v>2011e</c:v>
                </c:pt>
                <c:pt idx="6">
                  <c:v>2012e</c:v>
                </c:pt>
                <c:pt idx="7">
                  <c:v>2013e</c:v>
                </c:pt>
                <c:pt idx="8">
                  <c:v>2014e</c:v>
                </c:pt>
                <c:pt idx="9">
                  <c:v>2015e</c:v>
                </c:pt>
              </c:strCache>
            </c:strRef>
          </c:cat>
          <c:val>
            <c:numRef>
              <c:f>'MWA ROE - Annual'!$C$208:$L$208</c:f>
              <c:numCache>
                <c:formatCode>0.0%</c:formatCode>
                <c:ptCount val="10"/>
                <c:pt idx="0">
                  <c:v>5.8074795032177141E-2</c:v>
                </c:pt>
                <c:pt idx="1">
                  <c:v>8.0451528459238711E-2</c:v>
                </c:pt>
                <c:pt idx="2">
                  <c:v>0.12128604472952255</c:v>
                </c:pt>
                <c:pt idx="3">
                  <c:v>0.17178753984378645</c:v>
                </c:pt>
                <c:pt idx="4">
                  <c:v>0.15182935494819486</c:v>
                </c:pt>
                <c:pt idx="5">
                  <c:v>0.15819408912308955</c:v>
                </c:pt>
                <c:pt idx="6">
                  <c:v>0.17023852163003031</c:v>
                </c:pt>
                <c:pt idx="7">
                  <c:v>0.17207095429786615</c:v>
                </c:pt>
                <c:pt idx="8">
                  <c:v>0.16750531452363654</c:v>
                </c:pt>
                <c:pt idx="9">
                  <c:v>0.17710097374523415</c:v>
                </c:pt>
              </c:numCache>
            </c:numRef>
          </c:val>
          <c:smooth val="0"/>
        </c:ser>
        <c:dLbls>
          <c:showLegendKey val="0"/>
          <c:showVal val="0"/>
          <c:showCatName val="0"/>
          <c:showSerName val="0"/>
          <c:showPercent val="0"/>
          <c:showBubbleSize val="0"/>
        </c:dLbls>
        <c:marker val="1"/>
        <c:smooth val="0"/>
        <c:axId val="173444480"/>
        <c:axId val="173450368"/>
      </c:lineChart>
      <c:catAx>
        <c:axId val="173444480"/>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3450368"/>
        <c:crosses val="autoZero"/>
        <c:auto val="1"/>
        <c:lblAlgn val="ctr"/>
        <c:lblOffset val="100"/>
        <c:tickLblSkip val="1"/>
        <c:tickMarkSkip val="1"/>
        <c:noMultiLvlLbl val="0"/>
      </c:catAx>
      <c:valAx>
        <c:axId val="173450368"/>
        <c:scaling>
          <c:orientation val="minMax"/>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3444480"/>
        <c:crosses val="autoZero"/>
        <c:crossBetween val="between"/>
      </c:valAx>
      <c:spPr>
        <a:solidFill>
          <a:srgbClr val="FFFFFF"/>
        </a:solid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7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1090047393364927E-2"/>
          <c:y val="0.16371716787620963"/>
          <c:w val="0.91943127962085303"/>
          <c:h val="0.69911655471462497"/>
        </c:manualLayout>
      </c:layout>
      <c:barChart>
        <c:barDir val="col"/>
        <c:grouping val="clustered"/>
        <c:varyColors val="0"/>
        <c:ser>
          <c:idx val="1"/>
          <c:order val="1"/>
          <c:tx>
            <c:v>Shade</c:v>
          </c:tx>
          <c:spPr>
            <a:solidFill>
              <a:srgbClr val="EFC1D2"/>
            </a:solidFill>
            <a:ln w="25400">
              <a:noFill/>
            </a:ln>
          </c:spPr>
          <c:invertIfNegative val="0"/>
          <c:cat>
            <c:strRef>
              <c:f>'MWA ROE - Annual'!$C$34:$L$34</c:f>
              <c:strCache>
                <c:ptCount val="10"/>
                <c:pt idx="0">
                  <c:v>2006</c:v>
                </c:pt>
                <c:pt idx="1">
                  <c:v>2007</c:v>
                </c:pt>
                <c:pt idx="2">
                  <c:v>2008</c:v>
                </c:pt>
                <c:pt idx="3">
                  <c:v>2009</c:v>
                </c:pt>
                <c:pt idx="4">
                  <c:v>2010</c:v>
                </c:pt>
                <c:pt idx="5">
                  <c:v>2011e</c:v>
                </c:pt>
                <c:pt idx="6">
                  <c:v>2012e</c:v>
                </c:pt>
                <c:pt idx="7">
                  <c:v>2013e</c:v>
                </c:pt>
                <c:pt idx="8">
                  <c:v>2014e</c:v>
                </c:pt>
                <c:pt idx="9">
                  <c:v>2015e</c:v>
                </c:pt>
              </c:strCache>
            </c:strRef>
          </c:cat>
          <c:val>
            <c:numRef>
              <c:f>'MWA ROE - Annual'!$C$212:$L$212</c:f>
              <c:numCache>
                <c:formatCode>General</c:formatCode>
                <c:ptCount val="10"/>
                <c:pt idx="0">
                  <c:v>1E-10</c:v>
                </c:pt>
                <c:pt idx="1">
                  <c:v>1E-10</c:v>
                </c:pt>
                <c:pt idx="2">
                  <c:v>1E-10</c:v>
                </c:pt>
                <c:pt idx="3">
                  <c:v>1E-10</c:v>
                </c:pt>
                <c:pt idx="4">
                  <c:v>1E-10</c:v>
                </c:pt>
                <c:pt idx="5">
                  <c:v>0.97055066829902503</c:v>
                </c:pt>
                <c:pt idx="6">
                  <c:v>0.97055066829902503</c:v>
                </c:pt>
                <c:pt idx="7">
                  <c:v>0.97055066829902503</c:v>
                </c:pt>
                <c:pt idx="8">
                  <c:v>0.97055066829902503</c:v>
                </c:pt>
                <c:pt idx="9">
                  <c:v>0.97055066829902503</c:v>
                </c:pt>
              </c:numCache>
            </c:numRef>
          </c:val>
        </c:ser>
        <c:ser>
          <c:idx val="2"/>
          <c:order val="2"/>
          <c:tx>
            <c:v>Shade2</c:v>
          </c:tx>
          <c:spPr>
            <a:solidFill>
              <a:srgbClr val="EFC1D2"/>
            </a:solidFill>
            <a:ln w="25400">
              <a:noFill/>
            </a:ln>
          </c:spPr>
          <c:invertIfNegative val="0"/>
          <c:cat>
            <c:numRef>
              <c:f>'MWA ROE - Annual'!$C$34:$G$34</c:f>
              <c:numCache>
                <c:formatCode>General</c:formatCode>
                <c:ptCount val="5"/>
                <c:pt idx="0">
                  <c:v>2006</c:v>
                </c:pt>
                <c:pt idx="1">
                  <c:v>2007</c:v>
                </c:pt>
                <c:pt idx="2">
                  <c:v>2008</c:v>
                </c:pt>
                <c:pt idx="3">
                  <c:v>2009</c:v>
                </c:pt>
                <c:pt idx="4">
                  <c:v>2010</c:v>
                </c:pt>
              </c:numCache>
            </c:numRef>
          </c:cat>
          <c:val>
            <c:numRef>
              <c:f>'MWA ROE - Annual'!$C$213:$G$213</c:f>
              <c:numCache>
                <c:formatCode>General</c:formatCode>
                <c:ptCount val="5"/>
                <c:pt idx="0">
                  <c:v>1E-10</c:v>
                </c:pt>
                <c:pt idx="1">
                  <c:v>1E-10</c:v>
                </c:pt>
                <c:pt idx="2">
                  <c:v>1E-10</c:v>
                </c:pt>
                <c:pt idx="3">
                  <c:v>1E-10</c:v>
                </c:pt>
                <c:pt idx="4">
                  <c:v>1E-10</c:v>
                </c:pt>
              </c:numCache>
            </c:numRef>
          </c:val>
        </c:ser>
        <c:dLbls>
          <c:showLegendKey val="0"/>
          <c:showVal val="0"/>
          <c:showCatName val="0"/>
          <c:showSerName val="0"/>
          <c:showPercent val="0"/>
          <c:showBubbleSize val="0"/>
        </c:dLbls>
        <c:gapWidth val="0"/>
        <c:overlap val="100"/>
        <c:axId val="173493632"/>
        <c:axId val="173495424"/>
      </c:barChart>
      <c:lineChart>
        <c:grouping val="standard"/>
        <c:varyColors val="0"/>
        <c:ser>
          <c:idx val="0"/>
          <c:order val="0"/>
          <c:tx>
            <c:strRef>
              <c:f>'MWA ROE - Annual'!$B$211</c:f>
              <c:strCache>
                <c:ptCount val="1"/>
                <c:pt idx="0">
                  <c:v>Operating Asset Turnover</c:v>
                </c:pt>
              </c:strCache>
            </c:strRef>
          </c:tx>
          <c:spPr>
            <a:ln w="25400">
              <a:solidFill>
                <a:srgbClr val="C7E5BE"/>
              </a:solidFill>
              <a:prstDash val="solid"/>
            </a:ln>
          </c:spPr>
          <c:marker>
            <c:symbol val="none"/>
          </c:marker>
          <c:dLbls>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'MWA ROE - Annual'!$C$34:$L$34</c:f>
              <c:strCache>
                <c:ptCount val="10"/>
                <c:pt idx="0">
                  <c:v>2006</c:v>
                </c:pt>
                <c:pt idx="1">
                  <c:v>2007</c:v>
                </c:pt>
                <c:pt idx="2">
                  <c:v>2008</c:v>
                </c:pt>
                <c:pt idx="3">
                  <c:v>2009</c:v>
                </c:pt>
                <c:pt idx="4">
                  <c:v>2010</c:v>
                </c:pt>
                <c:pt idx="5">
                  <c:v>2011e</c:v>
                </c:pt>
                <c:pt idx="6">
                  <c:v>2012e</c:v>
                </c:pt>
                <c:pt idx="7">
                  <c:v>2013e</c:v>
                </c:pt>
                <c:pt idx="8">
                  <c:v>2014e</c:v>
                </c:pt>
                <c:pt idx="9">
                  <c:v>2015e</c:v>
                </c:pt>
              </c:strCache>
            </c:strRef>
          </c:cat>
          <c:val>
            <c:numRef>
              <c:f>'MWA ROE - Annual'!$C$211:$L$211</c:f>
              <c:numCache>
                <c:formatCode>0.0</c:formatCode>
                <c:ptCount val="10"/>
                <c:pt idx="0">
                  <c:v>0.78032383707387354</c:v>
                </c:pt>
                <c:pt idx="1">
                  <c:v>0.88231878936274999</c:v>
                </c:pt>
                <c:pt idx="2">
                  <c:v>0.46503002950487105</c:v>
                </c:pt>
                <c:pt idx="3">
                  <c:v>0.4869267702711203</c:v>
                </c:pt>
                <c:pt idx="4">
                  <c:v>0.57981808796050571</c:v>
                </c:pt>
                <c:pt idx="5">
                  <c:v>0.47052194057958907</c:v>
                </c:pt>
                <c:pt idx="6">
                  <c:v>0.46687204614458333</c:v>
                </c:pt>
                <c:pt idx="7">
                  <c:v>0.44278814490475005</c:v>
                </c:pt>
                <c:pt idx="8">
                  <c:v>0.42786696384331346</c:v>
                </c:pt>
                <c:pt idx="9">
                  <c:v>0.46926596920631825</c:v>
                </c:pt>
              </c:numCache>
            </c:numRef>
          </c:val>
          <c:smooth val="0"/>
        </c:ser>
        <c:dLbls>
          <c:showLegendKey val="0"/>
          <c:showVal val="0"/>
          <c:showCatName val="0"/>
          <c:showSerName val="0"/>
          <c:showPercent val="0"/>
          <c:showBubbleSize val="0"/>
        </c:dLbls>
        <c:marker val="1"/>
        <c:smooth val="0"/>
        <c:axId val="173493632"/>
        <c:axId val="173495424"/>
      </c:lineChart>
      <c:catAx>
        <c:axId val="173493632"/>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3495424"/>
        <c:crosses val="autoZero"/>
        <c:auto val="1"/>
        <c:lblAlgn val="ctr"/>
        <c:lblOffset val="100"/>
        <c:tickLblSkip val="1"/>
        <c:tickMarkSkip val="1"/>
        <c:noMultiLvlLbl val="0"/>
      </c:catAx>
      <c:valAx>
        <c:axId val="173495424"/>
        <c:scaling>
          <c:orientation val="minMax"/>
        </c:scaling>
        <c:delete val="0"/>
        <c:axPos val="l"/>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3493632"/>
        <c:crosses val="autoZero"/>
        <c:crossBetween val="between"/>
        <c:minorUnit val="0.1"/>
      </c:valAx>
      <c:spPr>
        <a:solidFill>
          <a:srgbClr val="FFFFFF"/>
        </a:solid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7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4786729857819899E-2"/>
          <c:y val="0.15555623071280691"/>
          <c:w val="0.89573459715639814"/>
          <c:h val="0.70222527007495694"/>
        </c:manualLayout>
      </c:layout>
      <c:barChart>
        <c:barDir val="col"/>
        <c:grouping val="clustered"/>
        <c:varyColors val="0"/>
        <c:ser>
          <c:idx val="1"/>
          <c:order val="1"/>
          <c:tx>
            <c:v>Shade</c:v>
          </c:tx>
          <c:spPr>
            <a:solidFill>
              <a:srgbClr val="EFC1D2"/>
            </a:solidFill>
            <a:ln w="25400">
              <a:noFill/>
            </a:ln>
          </c:spPr>
          <c:invertIfNegative val="0"/>
          <c:cat>
            <c:strRef>
              <c:f>'MWA ROE - Annual'!$C$34:$L$34</c:f>
              <c:strCache>
                <c:ptCount val="10"/>
                <c:pt idx="0">
                  <c:v>2006</c:v>
                </c:pt>
                <c:pt idx="1">
                  <c:v>2007</c:v>
                </c:pt>
                <c:pt idx="2">
                  <c:v>2008</c:v>
                </c:pt>
                <c:pt idx="3">
                  <c:v>2009</c:v>
                </c:pt>
                <c:pt idx="4">
                  <c:v>2010</c:v>
                </c:pt>
                <c:pt idx="5">
                  <c:v>2011e</c:v>
                </c:pt>
                <c:pt idx="6">
                  <c:v>2012e</c:v>
                </c:pt>
                <c:pt idx="7">
                  <c:v>2013e</c:v>
                </c:pt>
                <c:pt idx="8">
                  <c:v>2014e</c:v>
                </c:pt>
                <c:pt idx="9">
                  <c:v>2015e</c:v>
                </c:pt>
              </c:strCache>
            </c:strRef>
          </c:cat>
          <c:val>
            <c:numRef>
              <c:f>'MWA ROE - Annual'!$C$219:$L$219</c:f>
              <c:numCache>
                <c:formatCode>General</c:formatCode>
                <c:ptCount val="10"/>
                <c:pt idx="0">
                  <c:v>1E-10</c:v>
                </c:pt>
                <c:pt idx="1">
                  <c:v>1E-10</c:v>
                </c:pt>
                <c:pt idx="2">
                  <c:v>1E-10</c:v>
                </c:pt>
                <c:pt idx="3">
                  <c:v>1E-10</c:v>
                </c:pt>
                <c:pt idx="4">
                  <c:v>1E-10</c:v>
                </c:pt>
                <c:pt idx="5">
                  <c:v>8.3724065207330362E-2</c:v>
                </c:pt>
                <c:pt idx="6">
                  <c:v>8.3724065207330362E-2</c:v>
                </c:pt>
                <c:pt idx="7">
                  <c:v>8.3724065207330362E-2</c:v>
                </c:pt>
                <c:pt idx="8">
                  <c:v>8.3724065207330362E-2</c:v>
                </c:pt>
                <c:pt idx="9">
                  <c:v>8.3724065207330362E-2</c:v>
                </c:pt>
              </c:numCache>
            </c:numRef>
          </c:val>
        </c:ser>
        <c:ser>
          <c:idx val="2"/>
          <c:order val="2"/>
          <c:tx>
            <c:v>Shade2</c:v>
          </c:tx>
          <c:spPr>
            <a:solidFill>
              <a:srgbClr val="EFC1D2"/>
            </a:solidFill>
            <a:ln w="25400">
              <a:noFill/>
            </a:ln>
          </c:spPr>
          <c:invertIfNegative val="0"/>
          <c:cat>
            <c:strRef>
              <c:f>'MWA ROE - Annual'!$C$34:$L$34</c:f>
              <c:strCache>
                <c:ptCount val="10"/>
                <c:pt idx="0">
                  <c:v>2006</c:v>
                </c:pt>
                <c:pt idx="1">
                  <c:v>2007</c:v>
                </c:pt>
                <c:pt idx="2">
                  <c:v>2008</c:v>
                </c:pt>
                <c:pt idx="3">
                  <c:v>2009</c:v>
                </c:pt>
                <c:pt idx="4">
                  <c:v>2010</c:v>
                </c:pt>
                <c:pt idx="5">
                  <c:v>2011e</c:v>
                </c:pt>
                <c:pt idx="6">
                  <c:v>2012e</c:v>
                </c:pt>
                <c:pt idx="7">
                  <c:v>2013e</c:v>
                </c:pt>
                <c:pt idx="8">
                  <c:v>2014e</c:v>
                </c:pt>
                <c:pt idx="9">
                  <c:v>2015e</c:v>
                </c:pt>
              </c:strCache>
            </c:strRef>
          </c:cat>
          <c:val>
            <c:numRef>
              <c:f>'MWA ROE - Annual'!$C$220:$L$220</c:f>
              <c:numCache>
                <c:formatCode>General</c:formatCode>
                <c:ptCount val="10"/>
                <c:pt idx="0">
                  <c:v>1E-10</c:v>
                </c:pt>
                <c:pt idx="1">
                  <c:v>1E-10</c:v>
                </c:pt>
                <c:pt idx="2">
                  <c:v>1E-10</c:v>
                </c:pt>
                <c:pt idx="3">
                  <c:v>1E-10</c:v>
                </c:pt>
                <c:pt idx="4">
                  <c:v>1E-10</c:v>
                </c:pt>
                <c:pt idx="5">
                  <c:v>-0.19546616211401519</c:v>
                </c:pt>
                <c:pt idx="6">
                  <c:v>-0.19546616211401519</c:v>
                </c:pt>
                <c:pt idx="7">
                  <c:v>-0.19546616211401519</c:v>
                </c:pt>
                <c:pt idx="8">
                  <c:v>-0.19546616211401519</c:v>
                </c:pt>
                <c:pt idx="9">
                  <c:v>-0.19546616211401519</c:v>
                </c:pt>
              </c:numCache>
            </c:numRef>
          </c:val>
        </c:ser>
        <c:dLbls>
          <c:showLegendKey val="0"/>
          <c:showVal val="0"/>
          <c:showCatName val="0"/>
          <c:showSerName val="0"/>
          <c:showPercent val="0"/>
          <c:showBubbleSize val="0"/>
        </c:dLbls>
        <c:gapWidth val="0"/>
        <c:overlap val="100"/>
        <c:axId val="173538304"/>
        <c:axId val="176358144"/>
      </c:barChart>
      <c:lineChart>
        <c:grouping val="standard"/>
        <c:varyColors val="0"/>
        <c:ser>
          <c:idx val="0"/>
          <c:order val="0"/>
          <c:tx>
            <c:strRef>
              <c:f>'MWA ROE - Annual'!$M$22</c:f>
              <c:strCache>
                <c:ptCount val="1"/>
                <c:pt idx="0">
                  <c:v>Return From Leverage</c:v>
                </c:pt>
              </c:strCache>
            </c:strRef>
          </c:tx>
          <c:spPr>
            <a:ln w="25400">
              <a:solidFill>
                <a:srgbClr val="C7E5BE"/>
              </a:solidFill>
              <a:prstDash val="solid"/>
            </a:ln>
          </c:spPr>
          <c:marker>
            <c:symbol val="none"/>
          </c:marker>
          <c:dLbls>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'MWA ROE - Annual'!$C$34:$L$34</c:f>
              <c:strCache>
                <c:ptCount val="10"/>
                <c:pt idx="0">
                  <c:v>2006</c:v>
                </c:pt>
                <c:pt idx="1">
                  <c:v>2007</c:v>
                </c:pt>
                <c:pt idx="2">
                  <c:v>2008</c:v>
                </c:pt>
                <c:pt idx="3">
                  <c:v>2009</c:v>
                </c:pt>
                <c:pt idx="4">
                  <c:v>2010</c:v>
                </c:pt>
                <c:pt idx="5">
                  <c:v>2011e</c:v>
                </c:pt>
                <c:pt idx="6">
                  <c:v>2012e</c:v>
                </c:pt>
                <c:pt idx="7">
                  <c:v>2013e</c:v>
                </c:pt>
                <c:pt idx="8">
                  <c:v>2014e</c:v>
                </c:pt>
                <c:pt idx="9">
                  <c:v>2015e</c:v>
                </c:pt>
              </c:strCache>
            </c:strRef>
          </c:cat>
          <c:val>
            <c:numRef>
              <c:f>'MWA ROE - Annual'!$C$218:$L$218</c:f>
              <c:numCache>
                <c:formatCode>0.0%</c:formatCode>
                <c:ptCount val="10"/>
                <c:pt idx="0">
                  <c:v>-6.8779680628725873E-2</c:v>
                </c:pt>
                <c:pt idx="1">
                  <c:v>-8.5596827130300923E-2</c:v>
                </c:pt>
                <c:pt idx="2">
                  <c:v>7.6112786552118505E-2</c:v>
                </c:pt>
                <c:pt idx="3">
                  <c:v>-7.9045746262599494E-3</c:v>
                </c:pt>
                <c:pt idx="4">
                  <c:v>-5.8204647644794501E-2</c:v>
                </c:pt>
                <c:pt idx="5">
                  <c:v>-2.666523806500402E-2</c:v>
                </c:pt>
                <c:pt idx="6">
                  <c:v>-1.197721814761641E-2</c:v>
                </c:pt>
                <c:pt idx="7">
                  <c:v>-3.46411833406262E-2</c:v>
                </c:pt>
                <c:pt idx="8">
                  <c:v>-0.17769651101274106</c:v>
                </c:pt>
                <c:pt idx="9">
                  <c:v>-3.9240972700492016E-4</c:v>
                </c:pt>
              </c:numCache>
            </c:numRef>
          </c:val>
          <c:smooth val="0"/>
        </c:ser>
        <c:dLbls>
          <c:showLegendKey val="0"/>
          <c:showVal val="0"/>
          <c:showCatName val="0"/>
          <c:showSerName val="0"/>
          <c:showPercent val="0"/>
          <c:showBubbleSize val="0"/>
        </c:dLbls>
        <c:marker val="1"/>
        <c:smooth val="0"/>
        <c:axId val="173538304"/>
        <c:axId val="176358144"/>
      </c:lineChart>
      <c:catAx>
        <c:axId val="173538304"/>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358144"/>
        <c:crosses val="autoZero"/>
        <c:auto val="1"/>
        <c:lblAlgn val="ctr"/>
        <c:lblOffset val="100"/>
        <c:tickLblSkip val="1"/>
        <c:tickMarkSkip val="1"/>
        <c:noMultiLvlLbl val="0"/>
      </c:catAx>
      <c:valAx>
        <c:axId val="176358144"/>
        <c:scaling>
          <c:orientation val="minMax"/>
        </c:scaling>
        <c:delete val="0"/>
        <c:axPos val="l"/>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3538304"/>
        <c:crosses val="autoZero"/>
        <c:crossBetween val="between"/>
      </c:valAx>
      <c:spPr>
        <a:solidFill>
          <a:srgbClr val="FFFFFF"/>
        </a:solidFill>
        <a:ln w="12700">
          <a:solidFill>
            <a:srgbClr val="FFFFFF"/>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7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5465393794749401E-2"/>
          <c:y val="0.17316090520539607"/>
          <c:w val="0.8949880668257757"/>
          <c:h val="0.69264362082158426"/>
        </c:manualLayout>
      </c:layout>
      <c:barChart>
        <c:barDir val="col"/>
        <c:grouping val="clustered"/>
        <c:varyColors val="0"/>
        <c:ser>
          <c:idx val="1"/>
          <c:order val="1"/>
          <c:tx>
            <c:v>Shade</c:v>
          </c:tx>
          <c:spPr>
            <a:solidFill>
              <a:srgbClr val="EFC1D2"/>
            </a:solidFill>
            <a:ln w="25400">
              <a:noFill/>
            </a:ln>
          </c:spPr>
          <c:invertIfNegative val="0"/>
          <c:cat>
            <c:strRef>
              <c:f>'MWA ROE - Annual'!$C$34:$L$34</c:f>
              <c:strCache>
                <c:ptCount val="10"/>
                <c:pt idx="0">
                  <c:v>2006</c:v>
                </c:pt>
                <c:pt idx="1">
                  <c:v>2007</c:v>
                </c:pt>
                <c:pt idx="2">
                  <c:v>2008</c:v>
                </c:pt>
                <c:pt idx="3">
                  <c:v>2009</c:v>
                </c:pt>
                <c:pt idx="4">
                  <c:v>2010</c:v>
                </c:pt>
                <c:pt idx="5">
                  <c:v>2011e</c:v>
                </c:pt>
                <c:pt idx="6">
                  <c:v>2012e</c:v>
                </c:pt>
                <c:pt idx="7">
                  <c:v>2013e</c:v>
                </c:pt>
                <c:pt idx="8">
                  <c:v>2014e</c:v>
                </c:pt>
                <c:pt idx="9">
                  <c:v>2015e</c:v>
                </c:pt>
              </c:strCache>
            </c:strRef>
          </c:cat>
          <c:val>
            <c:numRef>
              <c:f>'MWA ROE - Annual'!$C$206:$L$206</c:f>
              <c:numCache>
                <c:formatCode>General</c:formatCode>
                <c:ptCount val="10"/>
                <c:pt idx="0">
                  <c:v>1E-10</c:v>
                </c:pt>
                <c:pt idx="1">
                  <c:v>1E-10</c:v>
                </c:pt>
                <c:pt idx="2">
                  <c:v>1E-10</c:v>
                </c:pt>
                <c:pt idx="3">
                  <c:v>1E-10</c:v>
                </c:pt>
                <c:pt idx="4">
                  <c:v>1E-10</c:v>
                </c:pt>
                <c:pt idx="5">
                  <c:v>0.14576588346233926</c:v>
                </c:pt>
                <c:pt idx="6">
                  <c:v>0.14576588346233926</c:v>
                </c:pt>
                <c:pt idx="7">
                  <c:v>0.14576588346233926</c:v>
                </c:pt>
                <c:pt idx="8">
                  <c:v>0.14576588346233926</c:v>
                </c:pt>
                <c:pt idx="9">
                  <c:v>0.14576588346233926</c:v>
                </c:pt>
              </c:numCache>
            </c:numRef>
          </c:val>
        </c:ser>
        <c:ser>
          <c:idx val="2"/>
          <c:order val="2"/>
          <c:tx>
            <c:v>Shade2</c:v>
          </c:tx>
          <c:spPr>
            <a:solidFill>
              <a:srgbClr val="EFC1D2"/>
            </a:solidFill>
            <a:ln w="25400">
              <a:noFill/>
            </a:ln>
          </c:spPr>
          <c:invertIfNegative val="0"/>
          <c:cat>
            <c:strRef>
              <c:f>'MWA ROE - Annual'!$C$34:$L$34</c:f>
              <c:strCache>
                <c:ptCount val="10"/>
                <c:pt idx="0">
                  <c:v>2006</c:v>
                </c:pt>
                <c:pt idx="1">
                  <c:v>2007</c:v>
                </c:pt>
                <c:pt idx="2">
                  <c:v>2008</c:v>
                </c:pt>
                <c:pt idx="3">
                  <c:v>2009</c:v>
                </c:pt>
                <c:pt idx="4">
                  <c:v>2010</c:v>
                </c:pt>
                <c:pt idx="5">
                  <c:v>2011e</c:v>
                </c:pt>
                <c:pt idx="6">
                  <c:v>2012e</c:v>
                </c:pt>
                <c:pt idx="7">
                  <c:v>2013e</c:v>
                </c:pt>
                <c:pt idx="8">
                  <c:v>2014e</c:v>
                </c:pt>
                <c:pt idx="9">
                  <c:v>2015e</c:v>
                </c:pt>
              </c:strCache>
            </c:strRef>
          </c:cat>
          <c:val>
            <c:numRef>
              <c:f>'MWA ROE - Annual'!$C$207:$L$207</c:f>
              <c:numCache>
                <c:formatCode>General</c:formatCode>
                <c:ptCount val="10"/>
                <c:pt idx="0">
                  <c:v>1E-10</c:v>
                </c:pt>
                <c:pt idx="1">
                  <c:v>1E-10</c:v>
                </c:pt>
                <c:pt idx="2">
                  <c:v>1E-10</c:v>
                </c:pt>
                <c:pt idx="3">
                  <c:v>1E-10</c:v>
                </c:pt>
                <c:pt idx="4">
                  <c:v>1E-10</c:v>
                </c:pt>
                <c:pt idx="5">
                  <c:v>-0.11662917272588277</c:v>
                </c:pt>
                <c:pt idx="6">
                  <c:v>-0.11662917272588277</c:v>
                </c:pt>
                <c:pt idx="7">
                  <c:v>-0.11662917272588277</c:v>
                </c:pt>
                <c:pt idx="8">
                  <c:v>-0.11662917272588277</c:v>
                </c:pt>
                <c:pt idx="9">
                  <c:v>-0.11662917272588277</c:v>
                </c:pt>
              </c:numCache>
            </c:numRef>
          </c:val>
        </c:ser>
        <c:dLbls>
          <c:showLegendKey val="0"/>
          <c:showVal val="0"/>
          <c:showCatName val="0"/>
          <c:showSerName val="0"/>
          <c:showPercent val="0"/>
          <c:showBubbleSize val="0"/>
        </c:dLbls>
        <c:gapWidth val="0"/>
        <c:overlap val="100"/>
        <c:axId val="176392832"/>
        <c:axId val="176411008"/>
      </c:barChart>
      <c:lineChart>
        <c:grouping val="standard"/>
        <c:varyColors val="0"/>
        <c:ser>
          <c:idx val="0"/>
          <c:order val="0"/>
          <c:tx>
            <c:strRef>
              <c:f>'MWA ROE - Annual'!$M$23</c:f>
              <c:strCache>
                <c:ptCount val="1"/>
                <c:pt idx="0">
                  <c:v>ROE</c:v>
                </c:pt>
              </c:strCache>
            </c:strRef>
          </c:tx>
          <c:spPr>
            <a:ln w="25400">
              <a:solidFill>
                <a:srgbClr val="C7E5BE"/>
              </a:solidFill>
              <a:prstDash val="solid"/>
            </a:ln>
          </c:spPr>
          <c:marker>
            <c:symbol val="none"/>
          </c:marker>
          <c:dLbls>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'MWA ROE - Annual'!$C$34:$L$34</c:f>
              <c:strCache>
                <c:ptCount val="10"/>
                <c:pt idx="0">
                  <c:v>2006</c:v>
                </c:pt>
                <c:pt idx="1">
                  <c:v>2007</c:v>
                </c:pt>
                <c:pt idx="2">
                  <c:v>2008</c:v>
                </c:pt>
                <c:pt idx="3">
                  <c:v>2009</c:v>
                </c:pt>
                <c:pt idx="4">
                  <c:v>2010</c:v>
                </c:pt>
                <c:pt idx="5">
                  <c:v>2011e</c:v>
                </c:pt>
                <c:pt idx="6">
                  <c:v>2012e</c:v>
                </c:pt>
                <c:pt idx="7">
                  <c:v>2013e</c:v>
                </c:pt>
                <c:pt idx="8">
                  <c:v>2014e</c:v>
                </c:pt>
                <c:pt idx="9">
                  <c:v>2015e</c:v>
                </c:pt>
              </c:strCache>
            </c:strRef>
          </c:cat>
          <c:val>
            <c:numRef>
              <c:f>'MWA ROE - Annual'!$C$205:$L$205</c:f>
              <c:numCache>
                <c:formatCode>0.0%</c:formatCode>
                <c:ptCount val="10"/>
                <c:pt idx="0">
                  <c:v>-2.3462533731938677E-2</c:v>
                </c:pt>
                <c:pt idx="1">
                  <c:v>-1.4612931937762599E-2</c:v>
                </c:pt>
                <c:pt idx="2">
                  <c:v>0.1325144395112175</c:v>
                </c:pt>
                <c:pt idx="3">
                  <c:v>7.5743377322696384E-2</c:v>
                </c:pt>
                <c:pt idx="4">
                  <c:v>2.9828758637544785E-2</c:v>
                </c:pt>
                <c:pt idx="5">
                  <c:v>4.776855173741254E-2</c:v>
                </c:pt>
                <c:pt idx="6">
                  <c:v>6.7502388778424738E-2</c:v>
                </c:pt>
                <c:pt idx="7">
                  <c:v>4.1549795304915982E-2</c:v>
                </c:pt>
                <c:pt idx="8">
                  <c:v>-0.10602652065989342</c:v>
                </c:pt>
                <c:pt idx="9">
                  <c:v>8.2715050364935094E-2</c:v>
                </c:pt>
              </c:numCache>
            </c:numRef>
          </c:val>
          <c:smooth val="0"/>
        </c:ser>
        <c:dLbls>
          <c:showLegendKey val="0"/>
          <c:showVal val="0"/>
          <c:showCatName val="0"/>
          <c:showSerName val="0"/>
          <c:showPercent val="0"/>
          <c:showBubbleSize val="0"/>
        </c:dLbls>
        <c:marker val="1"/>
        <c:smooth val="0"/>
        <c:axId val="176392832"/>
        <c:axId val="176411008"/>
      </c:lineChart>
      <c:catAx>
        <c:axId val="176392832"/>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411008"/>
        <c:crosses val="autoZero"/>
        <c:auto val="1"/>
        <c:lblAlgn val="ctr"/>
        <c:lblOffset val="100"/>
        <c:tickLblSkip val="1"/>
        <c:tickMarkSkip val="1"/>
        <c:noMultiLvlLbl val="0"/>
      </c:catAx>
      <c:valAx>
        <c:axId val="176411008"/>
        <c:scaling>
          <c:orientation val="minMax"/>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392832"/>
        <c:crosses val="autoZero"/>
        <c:crossBetween val="between"/>
      </c:valAx>
      <c:spPr>
        <a:solidFill>
          <a:srgbClr val="FFFFFF"/>
        </a:solidFill>
        <a:ln w="12700">
          <a:solidFill>
            <a:srgbClr val="FFFFFF"/>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7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userShapes r:id="rId1"/>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978520286396182"/>
          <c:y val="0.25892857142857145"/>
          <c:w val="0.85918854415274459"/>
          <c:h val="0.5580357142857143"/>
        </c:manualLayout>
      </c:layout>
      <c:scatterChart>
        <c:scatterStyle val="lineMarker"/>
        <c:varyColors val="0"/>
        <c:ser>
          <c:idx val="0"/>
          <c:order val="0"/>
          <c:tx>
            <c:strRef>
              <c:f>'MWA ROE - Annual'!$B$214</c:f>
              <c:strCache>
                <c:ptCount val="1"/>
                <c:pt idx="0">
                  <c:v>Operating Asset Turnover</c:v>
                </c:pt>
              </c:strCache>
            </c:strRef>
          </c:tx>
          <c:spPr>
            <a:ln w="12700">
              <a:solidFill>
                <a:srgbClr val="C7E5BE"/>
              </a:solidFill>
              <a:prstDash val="solid"/>
            </a:ln>
          </c:spPr>
          <c:marker>
            <c:symbol val="diamond"/>
            <c:size val="5"/>
            <c:spPr>
              <a:solidFill>
                <a:srgbClr val="C7E5BE"/>
              </a:solidFill>
              <a:ln>
                <a:solidFill>
                  <a:srgbClr val="C7E5BE"/>
                </a:solidFill>
                <a:prstDash val="solid"/>
              </a:ln>
            </c:spPr>
          </c:marker>
          <c:dLbls>
            <c:dLbl>
              <c:idx val="0"/>
              <c:tx>
                <c:rich>
                  <a:bodyPr/>
                  <a:lstStyle/>
                  <a:p>
                    <a:pPr>
                      <a:defRPr sz="700" b="0" i="0" u="none" strike="noStrike" baseline="0">
                        <a:solidFill>
                          <a:srgbClr val="000000"/>
                        </a:solidFill>
                        <a:latin typeface="Arial"/>
                        <a:ea typeface="Arial"/>
                        <a:cs typeface="Arial"/>
                      </a:defRPr>
                    </a:pPr>
                    <a:r>
                      <a:t>2006</a:t>
                    </a:r>
                  </a:p>
                </c:rich>
              </c:tx>
              <c:spPr>
                <a:noFill/>
                <a:ln w="25400">
                  <a:noFill/>
                </a:ln>
              </c:spPr>
              <c:showLegendKey val="0"/>
              <c:showVal val="0"/>
              <c:showCatName val="0"/>
              <c:showSerName val="0"/>
              <c:showPercent val="0"/>
              <c:showBubbleSize val="0"/>
            </c:dLbl>
            <c:dLbl>
              <c:idx val="1"/>
              <c:tx>
                <c:rich>
                  <a:bodyPr/>
                  <a:lstStyle/>
                  <a:p>
                    <a:r>
                      <a:t>2007</a:t>
                    </a:r>
                  </a:p>
                </c:rich>
              </c:tx>
              <c:showLegendKey val="0"/>
              <c:showVal val="0"/>
              <c:showCatName val="0"/>
              <c:showSerName val="0"/>
              <c:showPercent val="0"/>
              <c:showBubbleSize val="0"/>
            </c:dLbl>
            <c:dLbl>
              <c:idx val="2"/>
              <c:tx>
                <c:rich>
                  <a:bodyPr/>
                  <a:lstStyle/>
                  <a:p>
                    <a:r>
                      <a:t>2008</a:t>
                    </a:r>
                  </a:p>
                </c:rich>
              </c:tx>
              <c:showLegendKey val="0"/>
              <c:showVal val="0"/>
              <c:showCatName val="0"/>
              <c:showSerName val="0"/>
              <c:showPercent val="0"/>
              <c:showBubbleSize val="0"/>
            </c:dLbl>
            <c:dLbl>
              <c:idx val="3"/>
              <c:tx>
                <c:rich>
                  <a:bodyPr/>
                  <a:lstStyle/>
                  <a:p>
                    <a:r>
                      <a:t>2009</a:t>
                    </a:r>
                  </a:p>
                </c:rich>
              </c:tx>
              <c:showLegendKey val="0"/>
              <c:showVal val="0"/>
              <c:showCatName val="0"/>
              <c:showSerName val="0"/>
              <c:showPercent val="0"/>
              <c:showBubbleSize val="0"/>
            </c:dLbl>
            <c:dLbl>
              <c:idx val="4"/>
              <c:tx>
                <c:rich>
                  <a:bodyPr/>
                  <a:lstStyle/>
                  <a:p>
                    <a:r>
                      <a:t>2010</a:t>
                    </a:r>
                  </a:p>
                </c:rich>
              </c:tx>
              <c:showLegendKey val="0"/>
              <c:showVal val="0"/>
              <c:showCatName val="0"/>
              <c:showSerName val="0"/>
              <c:showPercent val="0"/>
              <c:showBubbleSize val="0"/>
            </c:dLbl>
            <c:dLbl>
              <c:idx val="5"/>
              <c:tx>
                <c:rich>
                  <a:bodyPr/>
                  <a:lstStyle/>
                  <a:p>
                    <a:r>
                      <a:t>2011</a:t>
                    </a:r>
                  </a:p>
                </c:rich>
              </c:tx>
              <c:showLegendKey val="0"/>
              <c:showVal val="0"/>
              <c:showCatName val="0"/>
              <c:showSerName val="0"/>
              <c:showPercent val="0"/>
              <c:showBubbleSize val="0"/>
            </c:dLbl>
            <c:dLbl>
              <c:idx val="6"/>
              <c:tx>
                <c:rich>
                  <a:bodyPr/>
                  <a:lstStyle/>
                  <a:p>
                    <a:r>
                      <a:t>2012</a:t>
                    </a:r>
                  </a:p>
                </c:rich>
              </c:tx>
              <c:showLegendKey val="0"/>
              <c:showVal val="0"/>
              <c:showCatName val="0"/>
              <c:showSerName val="0"/>
              <c:showPercent val="0"/>
              <c:showBubbleSize val="0"/>
            </c:dLbl>
            <c:dLbl>
              <c:idx val="7"/>
              <c:tx>
                <c:rich>
                  <a:bodyPr/>
                  <a:lstStyle/>
                  <a:p>
                    <a:r>
                      <a:t>2013</a:t>
                    </a:r>
                  </a:p>
                </c:rich>
              </c:tx>
              <c:showLegendKey val="0"/>
              <c:showVal val="0"/>
              <c:showCatName val="0"/>
              <c:showSerName val="0"/>
              <c:showPercent val="0"/>
              <c:showBubbleSize val="0"/>
            </c:dLbl>
            <c:dLbl>
              <c:idx val="8"/>
              <c:tx>
                <c:rich>
                  <a:bodyPr/>
                  <a:lstStyle/>
                  <a:p>
                    <a:r>
                      <a:t>2014</a:t>
                    </a:r>
                  </a:p>
                </c:rich>
              </c:tx>
              <c:showLegendKey val="0"/>
              <c:showVal val="0"/>
              <c:showCatName val="0"/>
              <c:showSerName val="0"/>
              <c:showPercent val="0"/>
              <c:showBubbleSize val="0"/>
            </c:dLbl>
            <c:dLbl>
              <c:idx val="9"/>
              <c:tx>
                <c:rich>
                  <a:bodyPr/>
                  <a:lstStyle/>
                  <a:p>
                    <a:r>
                      <a:t>2015</a:t>
                    </a:r>
                  </a:p>
                </c:rich>
              </c:tx>
              <c:showLegendKey val="0"/>
              <c:showVal val="0"/>
              <c:showCatName val="0"/>
              <c:showSerName val="0"/>
              <c:showPercent val="0"/>
              <c:showBubbleSize val="0"/>
            </c:dLbl>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xVal>
            <c:numRef>
              <c:f>'MWA ROE - Annual'!$C$214:$L$214</c:f>
              <c:numCache>
                <c:formatCode>0.0</c:formatCode>
                <c:ptCount val="10"/>
                <c:pt idx="0">
                  <c:v>0.78032383707387354</c:v>
                </c:pt>
                <c:pt idx="1">
                  <c:v>0.88231878936274999</c:v>
                </c:pt>
                <c:pt idx="2">
                  <c:v>0.46503002950487105</c:v>
                </c:pt>
                <c:pt idx="3">
                  <c:v>0.4869267702711203</c:v>
                </c:pt>
                <c:pt idx="4">
                  <c:v>0.57981808796050571</c:v>
                </c:pt>
                <c:pt idx="5">
                  <c:v>0.47052194057958907</c:v>
                </c:pt>
                <c:pt idx="6">
                  <c:v>0.46687204614458333</c:v>
                </c:pt>
                <c:pt idx="7">
                  <c:v>0.44278814490475005</c:v>
                </c:pt>
                <c:pt idx="8">
                  <c:v>0.42786696384331346</c:v>
                </c:pt>
                <c:pt idx="9">
                  <c:v>0.46926596920631825</c:v>
                </c:pt>
              </c:numCache>
            </c:numRef>
          </c:xVal>
          <c:yVal>
            <c:numRef>
              <c:f>'MWA ROE - Annual'!$C$215:$L$215</c:f>
              <c:numCache>
                <c:formatCode>0.0%</c:formatCode>
                <c:ptCount val="10"/>
                <c:pt idx="0">
                  <c:v>5.8074795032177141E-2</c:v>
                </c:pt>
                <c:pt idx="1">
                  <c:v>8.0451528459238711E-2</c:v>
                </c:pt>
                <c:pt idx="2">
                  <c:v>0.12128604472952255</c:v>
                </c:pt>
                <c:pt idx="3">
                  <c:v>0.17178753984378645</c:v>
                </c:pt>
                <c:pt idx="4">
                  <c:v>0.15182935494819486</c:v>
                </c:pt>
                <c:pt idx="5">
                  <c:v>0.15819408912308955</c:v>
                </c:pt>
                <c:pt idx="6">
                  <c:v>0.17023852163003031</c:v>
                </c:pt>
                <c:pt idx="7">
                  <c:v>0.17207095429786615</c:v>
                </c:pt>
                <c:pt idx="8">
                  <c:v>0.16750531452363654</c:v>
                </c:pt>
                <c:pt idx="9">
                  <c:v>0.17710097374523415</c:v>
                </c:pt>
              </c:numCache>
            </c:numRef>
          </c:yVal>
          <c:smooth val="0"/>
        </c:ser>
        <c:dLbls>
          <c:showLegendKey val="0"/>
          <c:showVal val="0"/>
          <c:showCatName val="0"/>
          <c:showSerName val="0"/>
          <c:showPercent val="0"/>
          <c:showBubbleSize val="0"/>
        </c:dLbls>
        <c:axId val="177108480"/>
        <c:axId val="177110400"/>
      </c:scatterChart>
      <c:valAx>
        <c:axId val="177108480"/>
        <c:scaling>
          <c:orientation val="minMax"/>
          <c:max val="0.88231878936274999"/>
          <c:min val="0.46503002950487105"/>
        </c:scaling>
        <c:delete val="0"/>
        <c:axPos val="b"/>
        <c:title>
          <c:tx>
            <c:strRef>
              <c:f>'MWA ROE - Annual'!$AB$10</c:f>
              <c:strCache>
                <c:ptCount val="1"/>
                <c:pt idx="0">
                  <c:v>Operating Asset Turnover</c:v>
                </c:pt>
              </c:strCache>
            </c:strRef>
          </c:tx>
          <c:layout>
            <c:manualLayout>
              <c:xMode val="edge"/>
              <c:yMode val="edge"/>
              <c:x val="0.68019093078758952"/>
              <c:y val="0.8839285714285714"/>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numFmt formatCode="0.0"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110400"/>
        <c:crosses val="autoZero"/>
        <c:crossBetween val="midCat"/>
      </c:valAx>
      <c:valAx>
        <c:axId val="177110400"/>
        <c:scaling>
          <c:orientation val="minMax"/>
          <c:max val="0.1822450378268482"/>
          <c:min val="5.8074795032177141E-2"/>
        </c:scaling>
        <c:delete val="0"/>
        <c:axPos val="l"/>
        <c:title>
          <c:tx>
            <c:strRef>
              <c:f>'MWA ROE - Annual'!$AB$13</c:f>
              <c:strCache>
                <c:ptCount val="1"/>
                <c:pt idx="0">
                  <c:v>NOPAT margin</c:v>
                </c:pt>
              </c:strCache>
            </c:strRef>
          </c:tx>
          <c:layout>
            <c:manualLayout>
              <c:xMode val="edge"/>
              <c:yMode val="edge"/>
              <c:x val="6.6825775656324582E-2"/>
              <c:y val="0.11160714285714286"/>
            </c:manualLayout>
          </c:layout>
          <c:overlay val="0"/>
          <c:spPr>
            <a:noFill/>
            <a:ln w="25400">
              <a:noFill/>
            </a:ln>
          </c:spPr>
          <c:txPr>
            <a:bodyPr rot="0" vert="horz"/>
            <a:lstStyle/>
            <a:p>
              <a:pPr algn="ctr">
                <a:defRPr sz="800" b="0" i="0" u="none" strike="noStrike" baseline="0">
                  <a:solidFill>
                    <a:srgbClr val="000000"/>
                  </a:solidFill>
                  <a:latin typeface="Arial"/>
                  <a:ea typeface="Arial"/>
                  <a:cs typeface="Arial"/>
                </a:defRPr>
              </a:pPr>
              <a:endParaRPr lang="en-US"/>
            </a:p>
          </c:txPr>
        </c:title>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108480"/>
        <c:crosses val="autoZero"/>
        <c:crossBetween val="midCat"/>
      </c:valAx>
      <c:spPr>
        <a:solidFill>
          <a:srgbClr val="FFFFFF"/>
        </a:solidFill>
        <a:ln w="12700">
          <a:solidFill>
            <a:srgbClr val="FFFFFF"/>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7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4319809069212411E-2"/>
          <c:y val="0.11504449634544461"/>
          <c:w val="0.97852028639618138"/>
          <c:h val="0.7610635912083259"/>
        </c:manualLayout>
      </c:layout>
      <c:barChart>
        <c:barDir val="col"/>
        <c:grouping val="stacked"/>
        <c:varyColors val="0"/>
        <c:ser>
          <c:idx val="0"/>
          <c:order val="0"/>
          <c:spPr>
            <a:noFill/>
            <a:ln w="25400">
              <a:noFill/>
            </a:ln>
          </c:spPr>
          <c:invertIfNegative val="0"/>
          <c:dPt>
            <c:idx val="1"/>
            <c:invertIfNegative val="0"/>
            <c:bubble3D val="0"/>
            <c:spPr>
              <a:solidFill>
                <a:srgbClr val="FFFFFF"/>
              </a:solidFill>
              <a:ln w="25400">
                <a:noFill/>
              </a:ln>
            </c:spPr>
          </c:dPt>
          <c:cat>
            <c:strRef>
              <c:f>'MWA ROE - Annual'!$T$9:$T$11</c:f>
              <c:strCache>
                <c:ptCount val="3"/>
                <c:pt idx="0">
                  <c:v>RNOA</c:v>
                </c:pt>
                <c:pt idx="1">
                  <c:v>Leverage Effect</c:v>
                </c:pt>
                <c:pt idx="2">
                  <c:v>ROE</c:v>
                </c:pt>
              </c:strCache>
            </c:strRef>
          </c:cat>
          <c:val>
            <c:numRef>
              <c:f>'MWA ROE - Annual'!$U$9:$U$11</c:f>
              <c:numCache>
                <c:formatCode>0.0%</c:formatCode>
                <c:ptCount val="3"/>
                <c:pt idx="0">
                  <c:v>0</c:v>
                </c:pt>
                <c:pt idx="1">
                  <c:v>7.4433789802416564E-2</c:v>
                </c:pt>
                <c:pt idx="2">
                  <c:v>0</c:v>
                </c:pt>
              </c:numCache>
            </c:numRef>
          </c:val>
        </c:ser>
        <c:ser>
          <c:idx val="1"/>
          <c:order val="1"/>
          <c:spPr>
            <a:solidFill>
              <a:srgbClr val="FCAE91"/>
            </a:solidFill>
            <a:ln w="3175">
              <a:solidFill>
                <a:srgbClr val="FCAE91"/>
              </a:solidFill>
              <a:prstDash val="solid"/>
            </a:ln>
          </c:spPr>
          <c:invertIfNegative val="0"/>
          <c:dPt>
            <c:idx val="0"/>
            <c:invertIfNegative val="0"/>
            <c:bubble3D val="0"/>
            <c:spPr>
              <a:solidFill>
                <a:srgbClr val="C7E5BE"/>
              </a:solidFill>
              <a:ln w="25400">
                <a:noFill/>
              </a:ln>
            </c:spPr>
          </c:dPt>
          <c:dPt>
            <c:idx val="1"/>
            <c:invertIfNegative val="0"/>
            <c:bubble3D val="0"/>
            <c:spPr>
              <a:solidFill>
                <a:srgbClr val="EFC1D2"/>
              </a:solidFill>
              <a:ln w="25400">
                <a:noFill/>
              </a:ln>
            </c:spPr>
          </c:dPt>
          <c:dPt>
            <c:idx val="2"/>
            <c:invertIfNegative val="0"/>
            <c:bubble3D val="0"/>
            <c:spPr>
              <a:solidFill>
                <a:srgbClr val="969696"/>
              </a:solidFill>
              <a:ln w="25400">
                <a:noFill/>
              </a:ln>
            </c:spPr>
          </c:dPt>
          <c:dLbls>
            <c:dLbl>
              <c:idx val="0"/>
              <c:tx>
                <c:rich>
                  <a:bodyPr/>
                  <a:lstStyle/>
                  <a:p>
                    <a:r>
                      <a:t>7%</a:t>
                    </a:r>
                  </a:p>
                </c:rich>
              </c:tx>
              <c:dLblPos val="ctr"/>
              <c:showLegendKey val="0"/>
              <c:showVal val="0"/>
              <c:showCatName val="0"/>
              <c:showSerName val="0"/>
              <c:showPercent val="0"/>
              <c:showBubbleSize val="0"/>
            </c:dLbl>
            <c:dLbl>
              <c:idx val="1"/>
              <c:tx>
                <c:rich>
                  <a:bodyPr/>
                  <a:lstStyle/>
                  <a:p>
                    <a:pPr>
                      <a:defRPr sz="700" b="0" i="0" u="none" strike="noStrike" baseline="0">
                        <a:solidFill>
                          <a:srgbClr val="000000"/>
                        </a:solidFill>
                        <a:latin typeface="Arial"/>
                        <a:ea typeface="Arial"/>
                        <a:cs typeface="Arial"/>
                      </a:defRPr>
                    </a:pPr>
                    <a:r>
                      <a:t>-2%</a:t>
                    </a:r>
                  </a:p>
                </c:rich>
              </c:tx>
              <c:spPr>
                <a:noFill/>
                <a:ln w="25400">
                  <a:noFill/>
                </a:ln>
              </c:spPr>
              <c:dLblPos val="ctr"/>
              <c:showLegendKey val="0"/>
              <c:showVal val="0"/>
              <c:showCatName val="0"/>
              <c:showSerName val="0"/>
              <c:showPercent val="0"/>
              <c:showBubbleSize val="0"/>
            </c:dLbl>
            <c:dLbl>
              <c:idx val="2"/>
              <c:tx>
                <c:rich>
                  <a:bodyPr/>
                  <a:lstStyle/>
                  <a:p>
                    <a:r>
                      <a:t>5%</a:t>
                    </a:r>
                  </a:p>
                </c:rich>
              </c:tx>
              <c:dLblPos val="ctr"/>
              <c:showLegendKey val="0"/>
              <c:showVal val="0"/>
              <c:showCatName val="0"/>
              <c:showSerName val="0"/>
              <c:showPercent val="0"/>
              <c:showBubbleSize val="0"/>
            </c:dLbl>
            <c:spPr>
              <a:noFill/>
              <a:ln w="25400">
                <a:noFill/>
              </a:ln>
            </c:spPr>
            <c:txPr>
              <a:bodyPr/>
              <a:lstStyle/>
              <a:p>
                <a:pPr>
                  <a:defRPr sz="700" b="0" i="0" u="none" strike="noStrike" baseline="0">
                    <a:solidFill>
                      <a:srgbClr val="FFFFFF"/>
                    </a:solidFill>
                    <a:latin typeface="Arial"/>
                    <a:ea typeface="Arial"/>
                    <a:cs typeface="Arial"/>
                  </a:defRPr>
                </a:pPr>
                <a:endParaRPr lang="en-US"/>
              </a:p>
            </c:txPr>
            <c:dLblPos val="ctr"/>
            <c:showLegendKey val="0"/>
            <c:showVal val="1"/>
            <c:showCatName val="0"/>
            <c:showSerName val="0"/>
            <c:showPercent val="0"/>
            <c:showBubbleSize val="0"/>
            <c:showLeaderLines val="0"/>
          </c:dLbls>
          <c:cat>
            <c:strRef>
              <c:f>'MWA ROE - Annual'!$T$9:$T$11</c:f>
              <c:strCache>
                <c:ptCount val="3"/>
                <c:pt idx="0">
                  <c:v>RNOA</c:v>
                </c:pt>
                <c:pt idx="1">
                  <c:v>Leverage Effect</c:v>
                </c:pt>
                <c:pt idx="2">
                  <c:v>ROE</c:v>
                </c:pt>
              </c:strCache>
            </c:strRef>
          </c:cat>
          <c:val>
            <c:numRef>
              <c:f>'MWA ROE - Annual'!$W$9:$W$11</c:f>
              <c:numCache>
                <c:formatCode>0.0%</c:formatCode>
                <c:ptCount val="3"/>
                <c:pt idx="0">
                  <c:v>7.4433789802416564E-2</c:v>
                </c:pt>
                <c:pt idx="1">
                  <c:v>0</c:v>
                </c:pt>
                <c:pt idx="2">
                  <c:v>4.776855173741254E-2</c:v>
                </c:pt>
              </c:numCache>
            </c:numRef>
          </c:val>
        </c:ser>
        <c:dLbls>
          <c:showLegendKey val="0"/>
          <c:showVal val="0"/>
          <c:showCatName val="0"/>
          <c:showSerName val="0"/>
          <c:showPercent val="0"/>
          <c:showBubbleSize val="0"/>
        </c:dLbls>
        <c:gapWidth val="150"/>
        <c:overlap val="100"/>
        <c:axId val="177706880"/>
        <c:axId val="177708416"/>
      </c:barChart>
      <c:barChart>
        <c:barDir val="col"/>
        <c:grouping val="clustered"/>
        <c:varyColors val="0"/>
        <c:ser>
          <c:idx val="2"/>
          <c:order val="2"/>
          <c:tx>
            <c:v>Arrow Image</c:v>
          </c:tx>
          <c:spPr>
            <a:blipFill dpi="0" rotWithShape="0">
              <a:blip xmlns:r="http://schemas.openxmlformats.org/officeDocument/2006/relationships" r:embed="rId1"/>
              <a:srcRect/>
              <a:stretch>
                <a:fillRect/>
              </a:stretch>
            </a:blipFill>
            <a:ln w="25400">
              <a:noFill/>
            </a:ln>
          </c:spPr>
          <c:invertIfNegative val="0"/>
          <c:pictureOptions>
            <c:pictureFormat val="stretch"/>
          </c:pictureOptions>
          <c:dPt>
            <c:idx val="1"/>
            <c:invertIfNegative val="0"/>
            <c:bubble3D val="0"/>
            <c:spPr>
              <a:blipFill dpi="0" rotWithShape="0">
                <a:blip xmlns:r="http://schemas.openxmlformats.org/officeDocument/2006/relationships" r:embed="rId2"/>
                <a:srcRect/>
                <a:stretch>
                  <a:fillRect/>
                </a:stretch>
              </a:blipFill>
              <a:ln w="25400">
                <a:noFill/>
              </a:ln>
            </c:spPr>
            <c:pictureOptions>
              <c:pictureFormat val="stretch"/>
            </c:pictureOptions>
          </c:dPt>
          <c:dPt>
            <c:idx val="2"/>
            <c:invertIfNegative val="0"/>
            <c:bubble3D val="0"/>
            <c:spPr>
              <a:blipFill dpi="0" rotWithShape="0">
                <a:blip xmlns:r="http://schemas.openxmlformats.org/officeDocument/2006/relationships" r:embed="rId3"/>
                <a:srcRect/>
                <a:stretch>
                  <a:fillRect/>
                </a:stretch>
              </a:blipFill>
              <a:ln w="25400">
                <a:noFill/>
              </a:ln>
            </c:spPr>
            <c:pictureOptions>
              <c:pictureFormat val="stretch"/>
            </c:pictureOptions>
          </c:dPt>
          <c:val>
            <c:numRef>
              <c:f>'MWA ROE - Annual'!$X$9:$Z$9</c:f>
              <c:numCache>
                <c:formatCode>General</c:formatCode>
                <c:ptCount val="3"/>
                <c:pt idx="2" formatCode="0%">
                  <c:v>0</c:v>
                </c:pt>
              </c:numCache>
            </c:numRef>
          </c:val>
        </c:ser>
        <c:dLbls>
          <c:showLegendKey val="0"/>
          <c:showVal val="0"/>
          <c:showCatName val="0"/>
          <c:showSerName val="0"/>
          <c:showPercent val="0"/>
          <c:showBubbleSize val="0"/>
        </c:dLbls>
        <c:gapWidth val="0"/>
        <c:axId val="177722496"/>
        <c:axId val="177724032"/>
      </c:barChart>
      <c:catAx>
        <c:axId val="177706880"/>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rtl="0">
              <a:defRPr sz="800" b="0" i="0" u="none" strike="noStrike" baseline="0">
                <a:solidFill>
                  <a:srgbClr val="000000"/>
                </a:solidFill>
                <a:latin typeface="Arial"/>
                <a:ea typeface="Arial"/>
                <a:cs typeface="Arial"/>
              </a:defRPr>
            </a:pPr>
            <a:endParaRPr lang="en-US"/>
          </a:p>
        </c:txPr>
        <c:crossAx val="177708416"/>
        <c:crosses val="autoZero"/>
        <c:auto val="1"/>
        <c:lblAlgn val="ctr"/>
        <c:lblOffset val="0"/>
        <c:tickLblSkip val="1"/>
        <c:tickMarkSkip val="1"/>
        <c:noMultiLvlLbl val="0"/>
      </c:catAx>
      <c:valAx>
        <c:axId val="177708416"/>
        <c:scaling>
          <c:orientation val="minMax"/>
        </c:scaling>
        <c:delete val="1"/>
        <c:axPos val="l"/>
        <c:numFmt formatCode="0.0%" sourceLinked="1"/>
        <c:majorTickMark val="out"/>
        <c:minorTickMark val="none"/>
        <c:tickLblPos val="nextTo"/>
        <c:crossAx val="177706880"/>
        <c:crosses val="autoZero"/>
        <c:crossBetween val="between"/>
      </c:valAx>
      <c:catAx>
        <c:axId val="177722496"/>
        <c:scaling>
          <c:orientation val="minMax"/>
        </c:scaling>
        <c:delete val="1"/>
        <c:axPos val="b"/>
        <c:majorTickMark val="out"/>
        <c:minorTickMark val="none"/>
        <c:tickLblPos val="nextTo"/>
        <c:crossAx val="177724032"/>
        <c:crosses val="autoZero"/>
        <c:auto val="1"/>
        <c:lblAlgn val="ctr"/>
        <c:lblOffset val="100"/>
        <c:noMultiLvlLbl val="0"/>
      </c:catAx>
      <c:valAx>
        <c:axId val="177724032"/>
        <c:scaling>
          <c:orientation val="minMax"/>
          <c:max val="1"/>
        </c:scaling>
        <c:delete val="1"/>
        <c:axPos val="r"/>
        <c:numFmt formatCode="General" sourceLinked="1"/>
        <c:majorTickMark val="out"/>
        <c:minorTickMark val="none"/>
        <c:tickLblPos val="nextTo"/>
        <c:crossAx val="177722496"/>
        <c:crosses val="max"/>
        <c:crossBetween val="between"/>
      </c:valAx>
      <c:spPr>
        <a:solidFill>
          <a:srgbClr val="FFFFFF"/>
        </a:solid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7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userShapes r:id="rId4"/>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ROE (Breakdown)</a:t>
            </a:r>
          </a:p>
        </c:rich>
      </c:tx>
      <c:layout>
        <c:manualLayout>
          <c:xMode val="edge"/>
          <c:yMode val="edge"/>
          <c:x val="0.36744234877617038"/>
          <c:y val="3.9473684210526314E-2"/>
        </c:manualLayout>
      </c:layout>
      <c:overlay val="0"/>
      <c:spPr>
        <a:noFill/>
        <a:ln w="25400">
          <a:noFill/>
        </a:ln>
      </c:spPr>
    </c:title>
    <c:autoTitleDeleted val="0"/>
    <c:plotArea>
      <c:layout>
        <c:manualLayout>
          <c:layoutTarget val="inner"/>
          <c:xMode val="edge"/>
          <c:yMode val="edge"/>
          <c:x val="0.12558153795141938"/>
          <c:y val="0.19736926641852737"/>
          <c:w val="0.84186142108173723"/>
          <c:h val="0.55263394597187654"/>
        </c:manualLayout>
      </c:layout>
      <c:barChart>
        <c:barDir val="col"/>
        <c:grouping val="stacked"/>
        <c:varyColors val="0"/>
        <c:ser>
          <c:idx val="0"/>
          <c:order val="0"/>
          <c:tx>
            <c:v>RNOA (%)</c:v>
          </c:tx>
          <c:spPr>
            <a:solidFill>
              <a:srgbClr val="EFC1D2"/>
            </a:solidFill>
            <a:ln w="25400">
              <a:noFill/>
            </a:ln>
          </c:spPr>
          <c:invertIfNegative val="0"/>
          <c:cat>
            <c:strRef>
              <c:f>'MWA ROE - Annual'!$C$34:$L$34</c:f>
              <c:strCache>
                <c:ptCount val="10"/>
                <c:pt idx="0">
                  <c:v>2006</c:v>
                </c:pt>
                <c:pt idx="1">
                  <c:v>2007</c:v>
                </c:pt>
                <c:pt idx="2">
                  <c:v>2008</c:v>
                </c:pt>
                <c:pt idx="3">
                  <c:v>2009</c:v>
                </c:pt>
                <c:pt idx="4">
                  <c:v>2010</c:v>
                </c:pt>
                <c:pt idx="5">
                  <c:v>2011e</c:v>
                </c:pt>
                <c:pt idx="6">
                  <c:v>2012e</c:v>
                </c:pt>
                <c:pt idx="7">
                  <c:v>2013e</c:v>
                </c:pt>
                <c:pt idx="8">
                  <c:v>2014e</c:v>
                </c:pt>
                <c:pt idx="9">
                  <c:v>2015e</c:v>
                </c:pt>
              </c:strCache>
            </c:strRef>
          </c:cat>
          <c:val>
            <c:numRef>
              <c:f>'MWA ROE - Annual'!$C$38:$L$38</c:f>
              <c:numCache>
                <c:formatCode>0.0%</c:formatCode>
                <c:ptCount val="10"/>
                <c:pt idx="0">
                  <c:v>4.5317146896787196E-2</c:v>
                </c:pt>
                <c:pt idx="1">
                  <c:v>7.0983895192538324E-2</c:v>
                </c:pt>
                <c:pt idx="2">
                  <c:v>5.6401652959098977E-2</c:v>
                </c:pt>
                <c:pt idx="3">
                  <c:v>8.3647951948956328E-2</c:v>
                </c:pt>
                <c:pt idx="4">
                  <c:v>8.8033406282339285E-2</c:v>
                </c:pt>
                <c:pt idx="5">
                  <c:v>7.4433789802416564E-2</c:v>
                </c:pt>
                <c:pt idx="6">
                  <c:v>7.9479606926041155E-2</c:v>
                </c:pt>
                <c:pt idx="7">
                  <c:v>7.6190978645542182E-2</c:v>
                </c:pt>
                <c:pt idx="8">
                  <c:v>7.1669990352847643E-2</c:v>
                </c:pt>
                <c:pt idx="9">
                  <c:v>8.3107460091940019E-2</c:v>
                </c:pt>
              </c:numCache>
            </c:numRef>
          </c:val>
        </c:ser>
        <c:ser>
          <c:idx val="1"/>
          <c:order val="1"/>
          <c:tx>
            <c:v>Leverage effect (%)</c:v>
          </c:tx>
          <c:spPr>
            <a:solidFill>
              <a:srgbClr val="969696"/>
            </a:solidFill>
            <a:ln w="25400">
              <a:noFill/>
            </a:ln>
          </c:spPr>
          <c:invertIfNegative val="0"/>
          <c:cat>
            <c:strRef>
              <c:f>'MWA ROE - Annual'!$C$34:$L$34</c:f>
              <c:strCache>
                <c:ptCount val="10"/>
                <c:pt idx="0">
                  <c:v>2006</c:v>
                </c:pt>
                <c:pt idx="1">
                  <c:v>2007</c:v>
                </c:pt>
                <c:pt idx="2">
                  <c:v>2008</c:v>
                </c:pt>
                <c:pt idx="3">
                  <c:v>2009</c:v>
                </c:pt>
                <c:pt idx="4">
                  <c:v>2010</c:v>
                </c:pt>
                <c:pt idx="5">
                  <c:v>2011e</c:v>
                </c:pt>
                <c:pt idx="6">
                  <c:v>2012e</c:v>
                </c:pt>
                <c:pt idx="7">
                  <c:v>2013e</c:v>
                </c:pt>
                <c:pt idx="8">
                  <c:v>2014e</c:v>
                </c:pt>
                <c:pt idx="9">
                  <c:v>2015e</c:v>
                </c:pt>
              </c:strCache>
            </c:strRef>
          </c:cat>
          <c:val>
            <c:numRef>
              <c:f>'MWA ROE - Annual'!$C$69:$L$69</c:f>
              <c:numCache>
                <c:formatCode>0.0%</c:formatCode>
                <c:ptCount val="10"/>
                <c:pt idx="0">
                  <c:v>-6.8779680628725873E-2</c:v>
                </c:pt>
                <c:pt idx="1">
                  <c:v>-8.5596827130300923E-2</c:v>
                </c:pt>
                <c:pt idx="2">
                  <c:v>7.6112786552118505E-2</c:v>
                </c:pt>
                <c:pt idx="3">
                  <c:v>-7.9045746262599494E-3</c:v>
                </c:pt>
                <c:pt idx="4">
                  <c:v>-5.8204647644794501E-2</c:v>
                </c:pt>
                <c:pt idx="5">
                  <c:v>-2.666523806500402E-2</c:v>
                </c:pt>
                <c:pt idx="6">
                  <c:v>-1.197721814761641E-2</c:v>
                </c:pt>
                <c:pt idx="7">
                  <c:v>-3.46411833406262E-2</c:v>
                </c:pt>
                <c:pt idx="8">
                  <c:v>-0.17769651101274106</c:v>
                </c:pt>
                <c:pt idx="9">
                  <c:v>-3.9240972700492016E-4</c:v>
                </c:pt>
              </c:numCache>
            </c:numRef>
          </c:val>
        </c:ser>
        <c:dLbls>
          <c:showLegendKey val="0"/>
          <c:showVal val="0"/>
          <c:showCatName val="0"/>
          <c:showSerName val="0"/>
          <c:showPercent val="0"/>
          <c:showBubbleSize val="0"/>
        </c:dLbls>
        <c:gapWidth val="150"/>
        <c:overlap val="100"/>
        <c:axId val="178417024"/>
        <c:axId val="178427008"/>
      </c:barChart>
      <c:catAx>
        <c:axId val="17841702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Tahoma"/>
                <a:ea typeface="Tahoma"/>
                <a:cs typeface="Tahoma"/>
              </a:defRPr>
            </a:pPr>
            <a:endParaRPr lang="en-US"/>
          </a:p>
        </c:txPr>
        <c:crossAx val="178427008"/>
        <c:crosses val="autoZero"/>
        <c:auto val="1"/>
        <c:lblAlgn val="ctr"/>
        <c:lblOffset val="100"/>
        <c:tickLblSkip val="1"/>
        <c:tickMarkSkip val="1"/>
        <c:noMultiLvlLbl val="0"/>
      </c:catAx>
      <c:valAx>
        <c:axId val="178427008"/>
        <c:scaling>
          <c:orientation val="minMax"/>
        </c:scaling>
        <c:delete val="0"/>
        <c:axPos val="l"/>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ahoma"/>
                <a:ea typeface="Tahoma"/>
                <a:cs typeface="Tahoma"/>
              </a:defRPr>
            </a:pPr>
            <a:endParaRPr lang="en-US"/>
          </a:p>
        </c:txPr>
        <c:crossAx val="178417024"/>
        <c:crosses val="autoZero"/>
        <c:crossBetween val="between"/>
      </c:valAx>
      <c:spPr>
        <a:solidFill>
          <a:srgbClr val="FFFFFF"/>
        </a:solidFill>
        <a:ln w="25400">
          <a:noFill/>
        </a:ln>
      </c:spPr>
    </c:plotArea>
    <c:legend>
      <c:legendPos val="b"/>
      <c:layout>
        <c:manualLayout>
          <c:xMode val="edge"/>
          <c:yMode val="edge"/>
          <c:x val="0.23953512787645728"/>
          <c:y val="0.90789842059216286"/>
          <c:w val="0.56511701153634863"/>
          <c:h val="7.8947828889809779E-2"/>
        </c:manualLayout>
      </c:layout>
      <c:overlay val="0"/>
      <c:spPr>
        <a:solidFill>
          <a:srgbClr val="FFFFFF"/>
        </a:solidFill>
        <a:ln w="25400">
          <a:noFill/>
        </a:ln>
      </c:spPr>
      <c:txPr>
        <a:bodyPr/>
        <a:lstStyle/>
        <a:p>
          <a:pPr>
            <a:defRPr sz="125" b="0" i="0" u="none" strike="noStrike" baseline="0">
              <a:solidFill>
                <a:srgbClr val="000000"/>
              </a:solidFill>
              <a:latin typeface="Tahoma"/>
              <a:ea typeface="Tahoma"/>
              <a:cs typeface="Tahoma"/>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en-US"/>
              <a:t>Return on Net Operating Assets (RNOA)</a:t>
            </a:r>
          </a:p>
        </c:rich>
      </c:tx>
      <c:layout>
        <c:manualLayout>
          <c:xMode val="edge"/>
          <c:yMode val="edge"/>
          <c:x val="1.1904761904761904E-2"/>
          <c:y val="2.1551724137931036E-2"/>
        </c:manualLayout>
      </c:layout>
      <c:overlay val="0"/>
      <c:spPr>
        <a:noFill/>
        <a:ln w="25400">
          <a:noFill/>
        </a:ln>
      </c:spPr>
    </c:title>
    <c:autoTitleDeleted val="0"/>
    <c:plotArea>
      <c:layout>
        <c:manualLayout>
          <c:layoutTarget val="inner"/>
          <c:xMode val="edge"/>
          <c:yMode val="edge"/>
          <c:x val="8.5714485013218503E-2"/>
          <c:y val="0.18965557157439464"/>
          <c:w val="0.90476400847286198"/>
          <c:h val="0.67672556220863544"/>
        </c:manualLayout>
      </c:layout>
      <c:barChart>
        <c:barDir val="col"/>
        <c:grouping val="clustered"/>
        <c:varyColors val="0"/>
        <c:ser>
          <c:idx val="1"/>
          <c:order val="1"/>
          <c:tx>
            <c:v>Shade</c:v>
          </c:tx>
          <c:spPr>
            <a:solidFill>
              <a:srgbClr val="EFC1D2"/>
            </a:solidFill>
            <a:ln w="25400">
              <a:noFill/>
            </a:ln>
          </c:spPr>
          <c:invertIfNegative val="0"/>
          <c:cat>
            <c:strRef>
              <c:f>'MWA ROE - Annual'!$C$34:$L$34</c:f>
              <c:strCache>
                <c:ptCount val="10"/>
                <c:pt idx="0">
                  <c:v>2006</c:v>
                </c:pt>
                <c:pt idx="1">
                  <c:v>2007</c:v>
                </c:pt>
                <c:pt idx="2">
                  <c:v>2008</c:v>
                </c:pt>
                <c:pt idx="3">
                  <c:v>2009</c:v>
                </c:pt>
                <c:pt idx="4">
                  <c:v>2010</c:v>
                </c:pt>
                <c:pt idx="5">
                  <c:v>2011e</c:v>
                </c:pt>
                <c:pt idx="6">
                  <c:v>2012e</c:v>
                </c:pt>
                <c:pt idx="7">
                  <c:v>2013e</c:v>
                </c:pt>
                <c:pt idx="8">
                  <c:v>2014e</c:v>
                </c:pt>
                <c:pt idx="9">
                  <c:v>2015e</c:v>
                </c:pt>
              </c:strCache>
            </c:strRef>
          </c:cat>
          <c:val>
            <c:numRef>
              <c:f>'MWA ROE - Annual'!$C$206:$L$206</c:f>
              <c:numCache>
                <c:formatCode>General</c:formatCode>
                <c:ptCount val="10"/>
                <c:pt idx="0">
                  <c:v>1E-10</c:v>
                </c:pt>
                <c:pt idx="1">
                  <c:v>1E-10</c:v>
                </c:pt>
                <c:pt idx="2">
                  <c:v>1E-10</c:v>
                </c:pt>
                <c:pt idx="3">
                  <c:v>1E-10</c:v>
                </c:pt>
                <c:pt idx="4">
                  <c:v>1E-10</c:v>
                </c:pt>
                <c:pt idx="5">
                  <c:v>0.14576588346233926</c:v>
                </c:pt>
                <c:pt idx="6">
                  <c:v>0.14576588346233926</c:v>
                </c:pt>
                <c:pt idx="7">
                  <c:v>0.14576588346233926</c:v>
                </c:pt>
                <c:pt idx="8">
                  <c:v>0.14576588346233926</c:v>
                </c:pt>
                <c:pt idx="9">
                  <c:v>0.14576588346233926</c:v>
                </c:pt>
              </c:numCache>
            </c:numRef>
          </c:val>
        </c:ser>
        <c:ser>
          <c:idx val="2"/>
          <c:order val="2"/>
          <c:tx>
            <c:v>Shade2</c:v>
          </c:tx>
          <c:spPr>
            <a:solidFill>
              <a:srgbClr val="EFC1D2"/>
            </a:solidFill>
            <a:ln w="25400">
              <a:noFill/>
            </a:ln>
          </c:spPr>
          <c:invertIfNegative val="0"/>
          <c:cat>
            <c:strRef>
              <c:f>'MWA ROE - Annual'!$C$34:$L$34</c:f>
              <c:strCache>
                <c:ptCount val="10"/>
                <c:pt idx="0">
                  <c:v>2006</c:v>
                </c:pt>
                <c:pt idx="1">
                  <c:v>2007</c:v>
                </c:pt>
                <c:pt idx="2">
                  <c:v>2008</c:v>
                </c:pt>
                <c:pt idx="3">
                  <c:v>2009</c:v>
                </c:pt>
                <c:pt idx="4">
                  <c:v>2010</c:v>
                </c:pt>
                <c:pt idx="5">
                  <c:v>2011e</c:v>
                </c:pt>
                <c:pt idx="6">
                  <c:v>2012e</c:v>
                </c:pt>
                <c:pt idx="7">
                  <c:v>2013e</c:v>
                </c:pt>
                <c:pt idx="8">
                  <c:v>2014e</c:v>
                </c:pt>
                <c:pt idx="9">
                  <c:v>2015e</c:v>
                </c:pt>
              </c:strCache>
            </c:strRef>
          </c:cat>
          <c:val>
            <c:numRef>
              <c:f>'MWA ROE - Annual'!$C$207:$L$207</c:f>
              <c:numCache>
                <c:formatCode>General</c:formatCode>
                <c:ptCount val="10"/>
                <c:pt idx="0">
                  <c:v>1E-10</c:v>
                </c:pt>
                <c:pt idx="1">
                  <c:v>1E-10</c:v>
                </c:pt>
                <c:pt idx="2">
                  <c:v>1E-10</c:v>
                </c:pt>
                <c:pt idx="3">
                  <c:v>1E-10</c:v>
                </c:pt>
                <c:pt idx="4">
                  <c:v>1E-10</c:v>
                </c:pt>
                <c:pt idx="5">
                  <c:v>-0.11662917272588277</c:v>
                </c:pt>
                <c:pt idx="6">
                  <c:v>-0.11662917272588277</c:v>
                </c:pt>
                <c:pt idx="7">
                  <c:v>-0.11662917272588277</c:v>
                </c:pt>
                <c:pt idx="8">
                  <c:v>-0.11662917272588277</c:v>
                </c:pt>
                <c:pt idx="9">
                  <c:v>-0.11662917272588277</c:v>
                </c:pt>
              </c:numCache>
            </c:numRef>
          </c:val>
        </c:ser>
        <c:dLbls>
          <c:showLegendKey val="0"/>
          <c:showVal val="0"/>
          <c:showCatName val="0"/>
          <c:showSerName val="0"/>
          <c:showPercent val="0"/>
          <c:showBubbleSize val="0"/>
        </c:dLbls>
        <c:gapWidth val="0"/>
        <c:overlap val="100"/>
        <c:axId val="178523520"/>
        <c:axId val="178525312"/>
      </c:barChart>
      <c:lineChart>
        <c:grouping val="standard"/>
        <c:varyColors val="0"/>
        <c:ser>
          <c:idx val="0"/>
          <c:order val="0"/>
          <c:tx>
            <c:strRef>
              <c:f>'MWA ROE - Annual'!$B$38</c:f>
              <c:strCache>
                <c:ptCount val="1"/>
                <c:pt idx="0">
                  <c:v>RNOA (%)</c:v>
                </c:pt>
              </c:strCache>
            </c:strRef>
          </c:tx>
          <c:spPr>
            <a:ln w="25400">
              <a:solidFill>
                <a:srgbClr val="C7E5BE"/>
              </a:solidFill>
              <a:prstDash val="solid"/>
            </a:ln>
          </c:spPr>
          <c:marker>
            <c:symbol val="none"/>
          </c:marker>
          <c:dLbls>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'MWA ROE - Annual'!$C$34:$L$34</c:f>
              <c:strCache>
                <c:ptCount val="10"/>
                <c:pt idx="0">
                  <c:v>2006</c:v>
                </c:pt>
                <c:pt idx="1">
                  <c:v>2007</c:v>
                </c:pt>
                <c:pt idx="2">
                  <c:v>2008</c:v>
                </c:pt>
                <c:pt idx="3">
                  <c:v>2009</c:v>
                </c:pt>
                <c:pt idx="4">
                  <c:v>2010</c:v>
                </c:pt>
                <c:pt idx="5">
                  <c:v>2011e</c:v>
                </c:pt>
                <c:pt idx="6">
                  <c:v>2012e</c:v>
                </c:pt>
                <c:pt idx="7">
                  <c:v>2013e</c:v>
                </c:pt>
                <c:pt idx="8">
                  <c:v>2014e</c:v>
                </c:pt>
                <c:pt idx="9">
                  <c:v>2015e</c:v>
                </c:pt>
              </c:strCache>
            </c:strRef>
          </c:cat>
          <c:val>
            <c:numRef>
              <c:f>'MWA ROE - Annual'!$C$198:$L$198</c:f>
              <c:numCache>
                <c:formatCode>0.0%</c:formatCode>
                <c:ptCount val="10"/>
                <c:pt idx="0">
                  <c:v>4.5317146896787196E-2</c:v>
                </c:pt>
                <c:pt idx="1">
                  <c:v>7.0983895192538324E-2</c:v>
                </c:pt>
                <c:pt idx="2">
                  <c:v>5.6401652959098977E-2</c:v>
                </c:pt>
                <c:pt idx="3">
                  <c:v>8.3647951948956328E-2</c:v>
                </c:pt>
                <c:pt idx="4">
                  <c:v>8.8033406282339285E-2</c:v>
                </c:pt>
                <c:pt idx="5">
                  <c:v>7.4433789802416564E-2</c:v>
                </c:pt>
                <c:pt idx="6">
                  <c:v>7.9479606926041155E-2</c:v>
                </c:pt>
                <c:pt idx="7">
                  <c:v>7.6190978645542182E-2</c:v>
                </c:pt>
                <c:pt idx="8">
                  <c:v>7.1669990352847643E-2</c:v>
                </c:pt>
                <c:pt idx="9">
                  <c:v>8.3107460091940019E-2</c:v>
                </c:pt>
              </c:numCache>
            </c:numRef>
          </c:val>
          <c:smooth val="0"/>
        </c:ser>
        <c:dLbls>
          <c:showLegendKey val="0"/>
          <c:showVal val="0"/>
          <c:showCatName val="0"/>
          <c:showSerName val="0"/>
          <c:showPercent val="0"/>
          <c:showBubbleSize val="0"/>
        </c:dLbls>
        <c:marker val="1"/>
        <c:smooth val="0"/>
        <c:axId val="178523520"/>
        <c:axId val="178525312"/>
      </c:lineChart>
      <c:catAx>
        <c:axId val="178523520"/>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8525312"/>
        <c:crosses val="autoZero"/>
        <c:auto val="1"/>
        <c:lblAlgn val="ctr"/>
        <c:lblOffset val="100"/>
        <c:tickLblSkip val="1"/>
        <c:tickMarkSkip val="1"/>
        <c:noMultiLvlLbl val="0"/>
      </c:catAx>
      <c:valAx>
        <c:axId val="178525312"/>
        <c:scaling>
          <c:orientation val="minMax"/>
          <c:min val="0"/>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8523520"/>
        <c:crosses val="autoZero"/>
        <c:crossBetween val="between"/>
      </c:valAx>
      <c:spPr>
        <a:solidFill>
          <a:srgbClr val="FFFFFF"/>
        </a:solidFill>
        <a:ln w="12700">
          <a:solidFill>
            <a:srgbClr val="FFFFFF"/>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7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UTILIZATION</a:t>
            </a:r>
          </a:p>
        </c:rich>
      </c:tx>
      <c:layout>
        <c:manualLayout>
          <c:xMode val="edge"/>
          <c:yMode val="edge"/>
          <c:x val="7.5420875420875429E-4"/>
          <c:y val="0"/>
        </c:manualLayout>
      </c:layout>
      <c:overlay val="1"/>
    </c:title>
    <c:autoTitleDeleted val="0"/>
    <c:plotArea>
      <c:layout>
        <c:manualLayout>
          <c:layoutTarget val="inner"/>
          <c:xMode val="edge"/>
          <c:yMode val="edge"/>
          <c:x val="0.15555586244448871"/>
          <c:y val="0.19101193458836094"/>
          <c:w val="0.81616322633212268"/>
          <c:h val="0.64045178067862196"/>
        </c:manualLayout>
      </c:layout>
      <c:lineChart>
        <c:grouping val="standard"/>
        <c:varyColors val="0"/>
        <c:ser>
          <c:idx val="0"/>
          <c:order val="0"/>
          <c:tx>
            <c:strRef>
              <c:f>'Charts - Qtr'!$B$78</c:f>
              <c:strCache>
                <c:ptCount val="1"/>
                <c:pt idx="0">
                  <c:v>North America</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dLbl>
              <c:idx val="0"/>
              <c:layout>
                <c:manualLayout>
                  <c:x val="-4.4949654020520161E-2"/>
                  <c:y val="5.2088014962300436E-2"/>
                </c:manualLayout>
              </c:layout>
              <c:dLblPos val="r"/>
              <c:showLegendKey val="0"/>
              <c:showVal val="1"/>
              <c:showCatName val="0"/>
              <c:showSerName val="0"/>
              <c:showPercent val="0"/>
              <c:showBubbleSize val="0"/>
            </c:dLbl>
            <c:dLbl>
              <c:idx val="1"/>
              <c:layout>
                <c:manualLayout>
                  <c:x val="-5.5232429279673374E-2"/>
                  <c:y val="-4.5034822201103532E-2"/>
                </c:manualLayout>
              </c:layout>
              <c:dLblPos val="r"/>
              <c:showLegendKey val="0"/>
              <c:showVal val="1"/>
              <c:showCatName val="0"/>
              <c:showSerName val="0"/>
              <c:showPercent val="0"/>
              <c:showBubbleSize val="0"/>
            </c:dLbl>
            <c:dLbl>
              <c:idx val="3"/>
              <c:layout>
                <c:manualLayout>
                  <c:x val="-4.4458018505262598E-2"/>
                  <c:y val="4.7608240612595207E-2"/>
                </c:manualLayout>
              </c:layout>
              <c:dLblPos val="r"/>
              <c:showLegendKey val="0"/>
              <c:showVal val="1"/>
              <c:showCatName val="0"/>
              <c:showSerName val="0"/>
              <c:showPercent val="0"/>
              <c:showBubbleSize val="0"/>
            </c:dLbl>
            <c:dLbl>
              <c:idx val="4"/>
              <c:layout>
                <c:manualLayout>
                  <c:x val="-4.9845223892467989E-2"/>
                  <c:y val="4.7608240612595207E-2"/>
                </c:manualLayout>
              </c:layout>
              <c:dLblPos val="r"/>
              <c:showLegendKey val="0"/>
              <c:showVal val="1"/>
              <c:showCatName val="0"/>
              <c:showSerName val="0"/>
              <c:showPercent val="0"/>
              <c:showBubbleSize val="0"/>
            </c:dLbl>
            <c:dLbl>
              <c:idx val="7"/>
              <c:layout>
                <c:manualLayout>
                  <c:x val="-4.6954585222301656E-2"/>
                  <c:y val="0.11451711931137755"/>
                </c:manualLayout>
              </c:layout>
              <c:dLblPos val="r"/>
              <c:showLegendKey val="0"/>
              <c:showVal val="1"/>
              <c:showCatName val="0"/>
              <c:showSerName val="0"/>
              <c:showPercent val="0"/>
              <c:showBubbleSize val="0"/>
            </c:dLbl>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'Charts - Qtr'!$AL$3:$AS$3</c:f>
              <c:strCache>
                <c:ptCount val="8"/>
                <c:pt idx="0">
                  <c:v>4Q15</c:v>
                </c:pt>
                <c:pt idx="1">
                  <c:v>1Q16</c:v>
                </c:pt>
                <c:pt idx="2">
                  <c:v>2Q16</c:v>
                </c:pt>
                <c:pt idx="3">
                  <c:v>3Q16</c:v>
                </c:pt>
                <c:pt idx="4">
                  <c:v>4Q16</c:v>
                </c:pt>
                <c:pt idx="5">
                  <c:v>1Q17</c:v>
                </c:pt>
                <c:pt idx="6">
                  <c:v>2Q17</c:v>
                </c:pt>
                <c:pt idx="7">
                  <c:v>3Q17</c:v>
                </c:pt>
              </c:strCache>
            </c:strRef>
          </c:cat>
          <c:val>
            <c:numRef>
              <c:f>'Charts - Qtr'!$AL$78:$AS$78</c:f>
              <c:numCache>
                <c:formatCode>0%</c:formatCode>
                <c:ptCount val="8"/>
                <c:pt idx="0">
                  <c:v>0.80830670926517567</c:v>
                </c:pt>
                <c:pt idx="1">
                  <c:v>0.805379746835443</c:v>
                </c:pt>
                <c:pt idx="2">
                  <c:v>0.82018927444794953</c:v>
                </c:pt>
                <c:pt idx="3">
                  <c:v>0.83280757097791802</c:v>
                </c:pt>
                <c:pt idx="4">
                  <c:v>0.82181259600614442</c:v>
                </c:pt>
                <c:pt idx="5">
                  <c:v>0.79910044977511241</c:v>
                </c:pt>
                <c:pt idx="6">
                  <c:v>0.79791976225854389</c:v>
                </c:pt>
                <c:pt idx="7">
                  <c:v>0.78591954022988508</c:v>
                </c:pt>
              </c:numCache>
            </c:numRef>
          </c:val>
          <c:smooth val="0"/>
        </c:ser>
        <c:ser>
          <c:idx val="1"/>
          <c:order val="1"/>
          <c:tx>
            <c:strRef>
              <c:f>'Charts - Qtr'!$B$79</c:f>
              <c:strCache>
                <c:ptCount val="1"/>
                <c:pt idx="0">
                  <c:v>Europe</c:v>
                </c:pt>
              </c:strCache>
            </c:strRef>
          </c:tx>
          <c:spPr>
            <a:ln w="12700">
              <a:solidFill>
                <a:srgbClr val="E5BF61"/>
              </a:solidFill>
              <a:prstDash val="solid"/>
            </a:ln>
          </c:spPr>
          <c:marker>
            <c:symbol val="square"/>
            <c:size val="5"/>
            <c:spPr>
              <a:solidFill>
                <a:srgbClr val="E5BF61"/>
              </a:solidFill>
              <a:ln>
                <a:solidFill>
                  <a:srgbClr val="E5BF61"/>
                </a:solidFill>
                <a:prstDash val="solid"/>
              </a:ln>
            </c:spPr>
          </c:marker>
          <c:dLbls>
            <c:dLbl>
              <c:idx val="0"/>
              <c:layout>
                <c:manualLayout>
                  <c:x val="-4.696985604072218E-2"/>
                  <c:y val="-0.12822148419373991"/>
                </c:manualLayout>
              </c:layout>
              <c:dLblPos val="r"/>
              <c:showLegendKey val="0"/>
              <c:showVal val="1"/>
              <c:showCatName val="0"/>
              <c:showSerName val="0"/>
              <c:showPercent val="0"/>
              <c:showBubbleSize val="0"/>
            </c:dLbl>
            <c:dLbl>
              <c:idx val="1"/>
              <c:layout>
                <c:manualLayout>
                  <c:x val="-4.4612635541769398E-2"/>
                  <c:y val="-0.106459280212844"/>
                </c:manualLayout>
              </c:layout>
              <c:dLblPos val="r"/>
              <c:showLegendKey val="0"/>
              <c:showVal val="1"/>
              <c:showCatName val="0"/>
              <c:showSerName val="0"/>
              <c:showPercent val="0"/>
              <c:showBubbleSize val="0"/>
            </c:dLbl>
            <c:dLbl>
              <c:idx val="2"/>
              <c:layout>
                <c:manualLayout>
                  <c:x val="-4.5623266788621122E-2"/>
                  <c:y val="-0.12271598984411569"/>
                </c:manualLayout>
              </c:layout>
              <c:dLblPos val="r"/>
              <c:showLegendKey val="0"/>
              <c:showVal val="1"/>
              <c:showCatName val="0"/>
              <c:showSerName val="0"/>
              <c:showPercent val="0"/>
              <c:showBubbleSize val="0"/>
            </c:dLbl>
            <c:dLbl>
              <c:idx val="3"/>
              <c:layout>
                <c:manualLayout>
                  <c:x val="-3.4511713435043896E-2"/>
                  <c:y val="-6.2529954828800707E-2"/>
                </c:manualLayout>
              </c:layout>
              <c:dLblPos val="r"/>
              <c:showLegendKey val="0"/>
              <c:showVal val="1"/>
              <c:showCatName val="0"/>
              <c:showSerName val="0"/>
              <c:showPercent val="0"/>
              <c:showBubbleSize val="0"/>
            </c:dLbl>
            <c:dLbl>
              <c:idx val="4"/>
              <c:layout>
                <c:manualLayout>
                  <c:x val="-3.7542139314439907E-2"/>
                  <c:y val="-8.1074275800018025E-2"/>
                </c:manualLayout>
              </c:layout>
              <c:dLblPos val="r"/>
              <c:showLegendKey val="0"/>
              <c:showVal val="1"/>
              <c:showCatName val="0"/>
              <c:showSerName val="0"/>
              <c:showPercent val="0"/>
              <c:showBubbleSize val="0"/>
            </c:dLbl>
            <c:dLbl>
              <c:idx val="5"/>
              <c:layout>
                <c:manualLayout>
                  <c:x val="-4.4612847636469687E-2"/>
                  <c:y val="2.5409973921342508E-2"/>
                </c:manualLayout>
              </c:layout>
              <c:dLblPos val="r"/>
              <c:showLegendKey val="0"/>
              <c:showVal val="1"/>
              <c:showCatName val="0"/>
              <c:showSerName val="0"/>
              <c:showPercent val="0"/>
              <c:showBubbleSize val="0"/>
            </c:dLbl>
            <c:dLbl>
              <c:idx val="6"/>
              <c:layout>
                <c:manualLayout>
                  <c:x val="-4.715162119886529E-2"/>
                  <c:y val="4.8939933982699288E-2"/>
                </c:manualLayout>
              </c:layout>
              <c:dLblPos val="r"/>
              <c:showLegendKey val="0"/>
              <c:showVal val="1"/>
              <c:showCatName val="0"/>
              <c:showSerName val="0"/>
              <c:showPercent val="0"/>
              <c:showBubbleSize val="0"/>
            </c:dLbl>
            <c:dLbl>
              <c:idx val="7"/>
              <c:layout>
                <c:manualLayout>
                  <c:x val="-3.29680002120947E-2"/>
                  <c:y val="-0.13784769010368647"/>
                </c:manualLayout>
              </c:layout>
              <c:dLblPos val="r"/>
              <c:showLegendKey val="0"/>
              <c:showVal val="1"/>
              <c:showCatName val="0"/>
              <c:showSerName val="0"/>
              <c:showPercent val="0"/>
              <c:showBubbleSize val="0"/>
            </c:dLbl>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b"/>
            <c:showLegendKey val="0"/>
            <c:showVal val="1"/>
            <c:showCatName val="0"/>
            <c:showSerName val="0"/>
            <c:showPercent val="0"/>
            <c:showBubbleSize val="0"/>
            <c:showLeaderLines val="0"/>
          </c:dLbls>
          <c:cat>
            <c:strRef>
              <c:f>'Charts - Qtr'!$AL$3:$AS$3</c:f>
              <c:strCache>
                <c:ptCount val="8"/>
                <c:pt idx="0">
                  <c:v>4Q15</c:v>
                </c:pt>
                <c:pt idx="1">
                  <c:v>1Q16</c:v>
                </c:pt>
                <c:pt idx="2">
                  <c:v>2Q16</c:v>
                </c:pt>
                <c:pt idx="3">
                  <c:v>3Q16</c:v>
                </c:pt>
                <c:pt idx="4">
                  <c:v>4Q16</c:v>
                </c:pt>
                <c:pt idx="5">
                  <c:v>1Q17</c:v>
                </c:pt>
                <c:pt idx="6">
                  <c:v>2Q17</c:v>
                </c:pt>
                <c:pt idx="7">
                  <c:v>3Q17</c:v>
                </c:pt>
              </c:strCache>
            </c:strRef>
          </c:cat>
          <c:val>
            <c:numRef>
              <c:f>'Charts - Qtr'!$AL$79:$AS$79</c:f>
              <c:numCache>
                <c:formatCode>0%</c:formatCode>
                <c:ptCount val="8"/>
                <c:pt idx="0">
                  <c:v>0.81818181818181823</c:v>
                </c:pt>
                <c:pt idx="1">
                  <c:v>0.82071713147410363</c:v>
                </c:pt>
                <c:pt idx="2">
                  <c:v>0.84368737474949895</c:v>
                </c:pt>
                <c:pt idx="3">
                  <c:v>0.8</c:v>
                </c:pt>
                <c:pt idx="4">
                  <c:v>0.80474649406688237</c:v>
                </c:pt>
                <c:pt idx="5">
                  <c:v>0.81477516059957178</c:v>
                </c:pt>
                <c:pt idx="6">
                  <c:v>0.81827731092436973</c:v>
                </c:pt>
                <c:pt idx="7">
                  <c:v>0.8005982053838484</c:v>
                </c:pt>
              </c:numCache>
            </c:numRef>
          </c:val>
          <c:smooth val="0"/>
        </c:ser>
        <c:ser>
          <c:idx val="2"/>
          <c:order val="2"/>
          <c:tx>
            <c:strRef>
              <c:f>'Charts - Qtr'!$B$80</c:f>
              <c:strCache>
                <c:ptCount val="1"/>
                <c:pt idx="0">
                  <c:v>Asia-Pacific</c:v>
                </c:pt>
              </c:strCache>
            </c:strRef>
          </c:tx>
          <c:spPr>
            <a:ln w="12700">
              <a:solidFill>
                <a:srgbClr val="4AAC6B"/>
              </a:solidFill>
              <a:prstDash val="solid"/>
            </a:ln>
          </c:spPr>
          <c:marker>
            <c:symbol val="triangle"/>
            <c:size val="5"/>
            <c:spPr>
              <a:solidFill>
                <a:srgbClr val="4AAC6B"/>
              </a:solidFill>
              <a:ln>
                <a:solidFill>
                  <a:srgbClr val="4AAC6B"/>
                </a:solidFill>
                <a:prstDash val="solid"/>
              </a:ln>
            </c:spPr>
          </c:marker>
          <c:dLbls>
            <c:dLbl>
              <c:idx val="0"/>
              <c:layout>
                <c:manualLayout>
                  <c:x val="-5.0336859407725552E-2"/>
                  <c:y val="6.0000769999209738E-2"/>
                </c:manualLayout>
              </c:layout>
              <c:dLblPos val="r"/>
              <c:showLegendKey val="0"/>
              <c:showVal val="1"/>
              <c:showCatName val="0"/>
              <c:showSerName val="0"/>
              <c:showPercent val="0"/>
              <c:showBubbleSize val="0"/>
            </c:dLbl>
            <c:dLbl>
              <c:idx val="1"/>
              <c:layout>
                <c:manualLayout>
                  <c:x val="-5.7407460431082476E-2"/>
                  <c:y val="5.9019280024153756E-2"/>
                </c:manualLayout>
              </c:layout>
              <c:dLblPos val="r"/>
              <c:showLegendKey val="0"/>
              <c:showVal val="1"/>
              <c:showCatName val="0"/>
              <c:showSerName val="0"/>
              <c:showPercent val="0"/>
              <c:showBubbleSize val="0"/>
            </c:dLbl>
            <c:dLbl>
              <c:idx val="2"/>
              <c:layout>
                <c:manualLayout>
                  <c:x val="-3.8889047959914151E-2"/>
                  <c:y val="5.6520046528573557E-2"/>
                </c:manualLayout>
              </c:layout>
              <c:dLblPos val="r"/>
              <c:showLegendKey val="0"/>
              <c:showVal val="1"/>
              <c:showCatName val="0"/>
              <c:showSerName val="0"/>
              <c:showPercent val="0"/>
              <c:showBubbleSize val="0"/>
            </c:dLbl>
            <c:dLbl>
              <c:idx val="3"/>
              <c:layout>
                <c:manualLayout>
                  <c:x val="-4.4612743463906764E-2"/>
                  <c:y val="5.2395981474345717E-2"/>
                </c:manualLayout>
              </c:layout>
              <c:dLblPos val="r"/>
              <c:showLegendKey val="0"/>
              <c:showVal val="1"/>
              <c:showCatName val="0"/>
              <c:showSerName val="0"/>
              <c:showPercent val="0"/>
              <c:showBubbleSize val="0"/>
            </c:dLbl>
            <c:dLbl>
              <c:idx val="4"/>
              <c:layout>
                <c:manualLayout>
                  <c:x val="-3.6868845939712083E-2"/>
                  <c:y val="7.666517394890042E-2"/>
                </c:manualLayout>
              </c:layout>
              <c:dLblPos val="r"/>
              <c:showLegendKey val="0"/>
              <c:showVal val="1"/>
              <c:showCatName val="0"/>
              <c:showSerName val="0"/>
              <c:showPercent val="0"/>
              <c:showBubbleSize val="0"/>
            </c:dLbl>
            <c:dLbl>
              <c:idx val="5"/>
              <c:layout>
                <c:manualLayout>
                  <c:x val="-4.0572353099135525E-2"/>
                  <c:y val="3.9724533135017379E-2"/>
                </c:manualLayout>
              </c:layout>
              <c:dLblPos val="r"/>
              <c:showLegendKey val="0"/>
              <c:showVal val="1"/>
              <c:showCatName val="0"/>
              <c:showSerName val="0"/>
              <c:showPercent val="0"/>
              <c:showBubbleSize val="0"/>
            </c:dLbl>
            <c:dLbl>
              <c:idx val="6"/>
              <c:layout>
                <c:manualLayout>
                  <c:x val="-4.4458018505262598E-2"/>
                  <c:y val="6.5640473929877916E-2"/>
                </c:manualLayout>
              </c:layout>
              <c:dLblPos val="r"/>
              <c:showLegendKey val="0"/>
              <c:showVal val="1"/>
              <c:showCatName val="0"/>
              <c:showSerName val="0"/>
              <c:showPercent val="0"/>
              <c:showBubbleSize val="0"/>
            </c:dLbl>
            <c:dLbl>
              <c:idx val="7"/>
              <c:layout>
                <c:manualLayout>
                  <c:x val="-3.2294599538694027E-2"/>
                  <c:y val="5.6048831597613653E-2"/>
                </c:manualLayout>
              </c:layout>
              <c:dLblPos val="r"/>
              <c:showLegendKey val="0"/>
              <c:showVal val="1"/>
              <c:showCatName val="0"/>
              <c:showSerName val="0"/>
              <c:showPercent val="0"/>
              <c:showBubbleSize val="0"/>
            </c:dLbl>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'Charts - Qtr'!$AL$3:$AS$3</c:f>
              <c:strCache>
                <c:ptCount val="8"/>
                <c:pt idx="0">
                  <c:v>4Q15</c:v>
                </c:pt>
                <c:pt idx="1">
                  <c:v>1Q16</c:v>
                </c:pt>
                <c:pt idx="2">
                  <c:v>2Q16</c:v>
                </c:pt>
                <c:pt idx="3">
                  <c:v>3Q16</c:v>
                </c:pt>
                <c:pt idx="4">
                  <c:v>4Q16</c:v>
                </c:pt>
                <c:pt idx="5">
                  <c:v>1Q17</c:v>
                </c:pt>
                <c:pt idx="6">
                  <c:v>2Q17</c:v>
                </c:pt>
                <c:pt idx="7">
                  <c:v>3Q17</c:v>
                </c:pt>
              </c:strCache>
            </c:strRef>
          </c:cat>
          <c:val>
            <c:numRef>
              <c:f>'Charts - Qtr'!$AL$80:$AS$80</c:f>
              <c:numCache>
                <c:formatCode>0%</c:formatCode>
                <c:ptCount val="8"/>
                <c:pt idx="0">
                  <c:v>0.81294964028776984</c:v>
                </c:pt>
                <c:pt idx="1">
                  <c:v>0.75737704918032789</c:v>
                </c:pt>
                <c:pt idx="2">
                  <c:v>0.76489028213166144</c:v>
                </c:pt>
                <c:pt idx="3">
                  <c:v>0.76969696969696966</c:v>
                </c:pt>
                <c:pt idx="4">
                  <c:v>0.73618090452261309</c:v>
                </c:pt>
                <c:pt idx="5">
                  <c:v>0.72992700729927007</c:v>
                </c:pt>
                <c:pt idx="6">
                  <c:v>0.71896955503512883</c:v>
                </c:pt>
                <c:pt idx="7">
                  <c:v>0.74473067915690871</c:v>
                </c:pt>
              </c:numCache>
            </c:numRef>
          </c:val>
          <c:smooth val="0"/>
        </c:ser>
        <c:dLbls>
          <c:showLegendKey val="0"/>
          <c:showVal val="0"/>
          <c:showCatName val="0"/>
          <c:showSerName val="0"/>
          <c:showPercent val="0"/>
          <c:showBubbleSize val="0"/>
        </c:dLbls>
        <c:marker val="1"/>
        <c:smooth val="0"/>
        <c:axId val="180920704"/>
        <c:axId val="180922240"/>
      </c:lineChart>
      <c:catAx>
        <c:axId val="1809207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0922240"/>
        <c:crosses val="autoZero"/>
        <c:auto val="1"/>
        <c:lblAlgn val="ctr"/>
        <c:lblOffset val="100"/>
        <c:tickLblSkip val="1"/>
        <c:tickMarkSkip val="1"/>
        <c:noMultiLvlLbl val="0"/>
      </c:catAx>
      <c:valAx>
        <c:axId val="180922240"/>
        <c:scaling>
          <c:orientation val="minMax"/>
          <c:min val="0.65"/>
        </c:scaling>
        <c:delete val="0"/>
        <c:axPos val="l"/>
        <c:majorGridlines>
          <c:spPr>
            <a:ln w="3175">
              <a:solidFill>
                <a:srgbClr val="C0C0C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Utilization</a:t>
                </a:r>
              </a:p>
            </c:rich>
          </c:tx>
          <c:layout>
            <c:manualLayout>
              <c:xMode val="edge"/>
              <c:yMode val="edge"/>
              <c:x val="3.2323232323232323E-2"/>
              <c:y val="0.3970053181554553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0920704"/>
        <c:crosses val="autoZero"/>
        <c:crossBetween val="between"/>
        <c:majorUnit val="0.05"/>
        <c:minorUnit val="0.01"/>
      </c:valAx>
      <c:spPr>
        <a:noFill/>
        <a:ln w="25400">
          <a:noFill/>
        </a:ln>
      </c:spPr>
    </c:plotArea>
    <c:legend>
      <c:legendPos val="t"/>
      <c:layout>
        <c:manualLayout>
          <c:xMode val="edge"/>
          <c:yMode val="edge"/>
          <c:x val="0.3831654073543837"/>
          <c:y val="4.2285725520265025E-3"/>
          <c:w val="0.6141426867096158"/>
          <c:h val="8.2397396954594151E-2"/>
        </c:manualLayout>
      </c:layout>
      <c:overlay val="0"/>
      <c:spPr>
        <a:noFill/>
        <a:ln w="25400">
          <a:noFill/>
        </a:ln>
      </c:spPr>
      <c:txPr>
        <a:bodyPr/>
        <a:lstStyle/>
        <a:p>
          <a:pPr>
            <a:defRPr sz="10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NORTH AMERICA</a:t>
            </a:r>
          </a:p>
        </c:rich>
      </c:tx>
      <c:layout>
        <c:manualLayout>
          <c:xMode val="edge"/>
          <c:yMode val="edge"/>
          <c:x val="1.7606468546270426E-3"/>
          <c:y val="0"/>
        </c:manualLayout>
      </c:layout>
      <c:overlay val="1"/>
    </c:title>
    <c:autoTitleDeleted val="0"/>
    <c:plotArea>
      <c:layout>
        <c:manualLayout>
          <c:layoutTarget val="inner"/>
          <c:xMode val="edge"/>
          <c:yMode val="edge"/>
          <c:x val="0.17674752349504699"/>
          <c:y val="0.1981602390897923"/>
          <c:w val="0.79301159935653209"/>
          <c:h val="0.72325509949088862"/>
        </c:manualLayout>
      </c:layout>
      <c:lineChart>
        <c:grouping val="standard"/>
        <c:varyColors val="0"/>
        <c:ser>
          <c:idx val="0"/>
          <c:order val="0"/>
          <c:tx>
            <c:strRef>
              <c:f>'Charts - Qtr'!$B$101</c:f>
              <c:strCache>
                <c:ptCount val="1"/>
                <c:pt idx="0">
                  <c:v>NA MRR / Cabinet</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'Charts - Qtr'!$AL$3:$AS$3</c:f>
              <c:strCache>
                <c:ptCount val="8"/>
                <c:pt idx="0">
                  <c:v>4Q15</c:v>
                </c:pt>
                <c:pt idx="1">
                  <c:v>1Q16</c:v>
                </c:pt>
                <c:pt idx="2">
                  <c:v>2Q16</c:v>
                </c:pt>
                <c:pt idx="3">
                  <c:v>3Q16</c:v>
                </c:pt>
                <c:pt idx="4">
                  <c:v>4Q16</c:v>
                </c:pt>
                <c:pt idx="5">
                  <c:v>1Q17</c:v>
                </c:pt>
                <c:pt idx="6">
                  <c:v>2Q17</c:v>
                </c:pt>
                <c:pt idx="7">
                  <c:v>3Q17</c:v>
                </c:pt>
              </c:strCache>
            </c:strRef>
          </c:cat>
          <c:val>
            <c:numRef>
              <c:f>'Charts - Qtr'!$AL$101:$AS$101</c:f>
              <c:numCache>
                <c:formatCode>"$"#,##0_);\("$"#,##0\)</c:formatCode>
                <c:ptCount val="8"/>
                <c:pt idx="0">
                  <c:v>2460</c:v>
                </c:pt>
                <c:pt idx="1">
                  <c:v>2482</c:v>
                </c:pt>
                <c:pt idx="2">
                  <c:v>2518</c:v>
                </c:pt>
                <c:pt idx="3">
                  <c:v>2524</c:v>
                </c:pt>
                <c:pt idx="4">
                  <c:v>2546</c:v>
                </c:pt>
                <c:pt idx="5">
                  <c:v>2567</c:v>
                </c:pt>
                <c:pt idx="6">
                  <c:v>2578</c:v>
                </c:pt>
                <c:pt idx="7">
                  <c:v>2580</c:v>
                </c:pt>
              </c:numCache>
            </c:numRef>
          </c:val>
          <c:smooth val="0"/>
        </c:ser>
        <c:ser>
          <c:idx val="1"/>
          <c:order val="1"/>
          <c:tx>
            <c:strRef>
              <c:f>'Charts - Qtr'!$B$110</c:f>
              <c:strCache>
                <c:ptCount val="1"/>
                <c:pt idx="0">
                  <c:v>Interconnection MRR / Cabinet</c:v>
                </c:pt>
              </c:strCache>
            </c:strRef>
          </c:tx>
          <c:spPr>
            <a:ln w="12700">
              <a:solidFill>
                <a:srgbClr val="E5BF61"/>
              </a:solidFill>
              <a:prstDash val="solid"/>
            </a:ln>
          </c:spPr>
          <c:marker>
            <c:symbol val="square"/>
            <c:size val="5"/>
            <c:spPr>
              <a:solidFill>
                <a:srgbClr val="E5BF61"/>
              </a:solidFill>
              <a:ln>
                <a:solidFill>
                  <a:srgbClr val="E5BF61"/>
                </a:solidFill>
                <a:prstDash val="solid"/>
              </a:ln>
            </c:spPr>
          </c:marker>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'Charts - Qtr'!$AL$3:$AS$3</c:f>
              <c:strCache>
                <c:ptCount val="8"/>
                <c:pt idx="0">
                  <c:v>4Q15</c:v>
                </c:pt>
                <c:pt idx="1">
                  <c:v>1Q16</c:v>
                </c:pt>
                <c:pt idx="2">
                  <c:v>2Q16</c:v>
                </c:pt>
                <c:pt idx="3">
                  <c:v>3Q16</c:v>
                </c:pt>
                <c:pt idx="4">
                  <c:v>4Q16</c:v>
                </c:pt>
                <c:pt idx="5">
                  <c:v>1Q17</c:v>
                </c:pt>
                <c:pt idx="6">
                  <c:v>2Q17</c:v>
                </c:pt>
                <c:pt idx="7">
                  <c:v>3Q17</c:v>
                </c:pt>
              </c:strCache>
            </c:strRef>
          </c:cat>
          <c:val>
            <c:numRef>
              <c:f>'Charts - Qtr'!$AL$110:$AS$110</c:f>
              <c:numCache>
                <c:formatCode>"$"#,##0_);\("$"#,##0\)</c:formatCode>
                <c:ptCount val="8"/>
                <c:pt idx="0">
                  <c:v>555.56446225784907</c:v>
                </c:pt>
                <c:pt idx="1">
                  <c:v>564.44006568144505</c:v>
                </c:pt>
                <c:pt idx="2">
                  <c:v>582.1833495302883</c:v>
                </c:pt>
                <c:pt idx="3">
                  <c:v>590.34987277353696</c:v>
                </c:pt>
                <c:pt idx="4">
                  <c:v>630.03449357165255</c:v>
                </c:pt>
                <c:pt idx="5">
                  <c:v>629.52559300873907</c:v>
                </c:pt>
                <c:pt idx="6">
                  <c:v>724.28660436137091</c:v>
                </c:pt>
                <c:pt idx="7">
                  <c:v>764.92619926199279</c:v>
                </c:pt>
              </c:numCache>
            </c:numRef>
          </c:val>
          <c:smooth val="0"/>
        </c:ser>
        <c:ser>
          <c:idx val="2"/>
          <c:order val="2"/>
          <c:tx>
            <c:strRef>
              <c:f>'Charts - Qtr'!$B$112</c:f>
              <c:strCache>
                <c:ptCount val="1"/>
                <c:pt idx="0">
                  <c:v>Colocation MRR / Cabinet</c:v>
                </c:pt>
              </c:strCache>
            </c:strRef>
          </c:tx>
          <c:spPr>
            <a:ln w="12700">
              <a:solidFill>
                <a:srgbClr val="4AAC6B"/>
              </a:solidFill>
              <a:prstDash val="solid"/>
            </a:ln>
          </c:spPr>
          <c:marker>
            <c:symbol val="triangle"/>
            <c:size val="5"/>
            <c:spPr>
              <a:solidFill>
                <a:srgbClr val="4AAC6B"/>
              </a:solidFill>
              <a:ln>
                <a:solidFill>
                  <a:srgbClr val="4AAC6B"/>
                </a:solidFill>
                <a:prstDash val="solid"/>
              </a:ln>
            </c:spPr>
          </c:marker>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b"/>
            <c:showLegendKey val="0"/>
            <c:showVal val="1"/>
            <c:showCatName val="0"/>
            <c:showSerName val="0"/>
            <c:showPercent val="0"/>
            <c:showBubbleSize val="0"/>
            <c:showLeaderLines val="0"/>
          </c:dLbls>
          <c:cat>
            <c:strRef>
              <c:f>'Charts - Qtr'!$AL$3:$AS$3</c:f>
              <c:strCache>
                <c:ptCount val="8"/>
                <c:pt idx="0">
                  <c:v>4Q15</c:v>
                </c:pt>
                <c:pt idx="1">
                  <c:v>1Q16</c:v>
                </c:pt>
                <c:pt idx="2">
                  <c:v>2Q16</c:v>
                </c:pt>
                <c:pt idx="3">
                  <c:v>3Q16</c:v>
                </c:pt>
                <c:pt idx="4">
                  <c:v>4Q16</c:v>
                </c:pt>
                <c:pt idx="5">
                  <c:v>1Q17</c:v>
                </c:pt>
                <c:pt idx="6">
                  <c:v>2Q17</c:v>
                </c:pt>
                <c:pt idx="7">
                  <c:v>3Q17</c:v>
                </c:pt>
              </c:strCache>
            </c:strRef>
          </c:cat>
          <c:val>
            <c:numRef>
              <c:f>'Charts - Qtr'!$AL$112:$AS$112</c:f>
              <c:numCache>
                <c:formatCode>"$"#,##0_);\("$"#,##0\)</c:formatCode>
                <c:ptCount val="8"/>
                <c:pt idx="0">
                  <c:v>1904.4355377421509</c:v>
                </c:pt>
                <c:pt idx="1">
                  <c:v>1917.559934318555</c:v>
                </c:pt>
                <c:pt idx="2">
                  <c:v>1935.8166504697117</c:v>
                </c:pt>
                <c:pt idx="3">
                  <c:v>1933.6501272264632</c:v>
                </c:pt>
                <c:pt idx="4">
                  <c:v>1915.9655064283475</c:v>
                </c:pt>
                <c:pt idx="5">
                  <c:v>1937.4744069912608</c:v>
                </c:pt>
                <c:pt idx="6">
                  <c:v>1853.7133956386292</c:v>
                </c:pt>
                <c:pt idx="7">
                  <c:v>1815.0738007380073</c:v>
                </c:pt>
              </c:numCache>
            </c:numRef>
          </c:val>
          <c:smooth val="0"/>
        </c:ser>
        <c:dLbls>
          <c:showLegendKey val="0"/>
          <c:showVal val="0"/>
          <c:showCatName val="0"/>
          <c:showSerName val="0"/>
          <c:showPercent val="0"/>
          <c:showBubbleSize val="0"/>
        </c:dLbls>
        <c:marker val="1"/>
        <c:smooth val="0"/>
        <c:axId val="181056640"/>
        <c:axId val="181058176"/>
      </c:lineChart>
      <c:catAx>
        <c:axId val="1810566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1058176"/>
        <c:crossesAt val="200"/>
        <c:auto val="1"/>
        <c:lblAlgn val="ctr"/>
        <c:lblOffset val="100"/>
        <c:tickLblSkip val="1"/>
        <c:tickMarkSkip val="1"/>
        <c:noMultiLvlLbl val="0"/>
      </c:catAx>
      <c:valAx>
        <c:axId val="181058176"/>
        <c:scaling>
          <c:orientation val="minMax"/>
        </c:scaling>
        <c:delete val="0"/>
        <c:axPos val="l"/>
        <c:majorGridlines>
          <c:spPr>
            <a:ln w="3175">
              <a:solidFill>
                <a:srgbClr val="C0C0C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MRR / Cabinet</a:t>
                </a:r>
              </a:p>
            </c:rich>
          </c:tx>
          <c:layout>
            <c:manualLayout>
              <c:xMode val="edge"/>
              <c:yMode val="edge"/>
              <c:x val="2.0161290322580645E-3"/>
              <c:y val="0.33664747130489286"/>
            </c:manualLayout>
          </c:layout>
          <c:overlay val="0"/>
          <c:spPr>
            <a:noFill/>
            <a:ln w="25400">
              <a:noFill/>
            </a:ln>
          </c:spPr>
        </c:title>
        <c:numFmt formatCode="&quot;$&quot;#,##0_);\(&quot;$&quot;#,##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1056640"/>
        <c:crosses val="autoZero"/>
        <c:crossBetween val="between"/>
      </c:valAx>
      <c:spPr>
        <a:noFill/>
        <a:ln w="25400">
          <a:noFill/>
        </a:ln>
      </c:spPr>
    </c:plotArea>
    <c:legend>
      <c:legendPos val="t"/>
      <c:layout>
        <c:manualLayout>
          <c:xMode val="edge"/>
          <c:yMode val="edge"/>
          <c:x val="0.51505376344086018"/>
          <c:y val="0"/>
          <c:w val="0.48064516129032264"/>
          <c:h val="0.16697966858620286"/>
        </c:manualLayout>
      </c:layout>
      <c:overlay val="0"/>
      <c:spPr>
        <a:noFill/>
        <a:ln w="25400">
          <a:noFill/>
        </a:ln>
      </c:spPr>
      <c:txPr>
        <a:bodyPr/>
        <a:lstStyle/>
        <a:p>
          <a:pPr>
            <a:defRPr sz="77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ADJUSTED EBITDA</a:t>
            </a:r>
          </a:p>
        </c:rich>
      </c:tx>
      <c:layout>
        <c:manualLayout>
          <c:xMode val="edge"/>
          <c:yMode val="edge"/>
          <c:x val="2.0816054709579214E-3"/>
          <c:y val="0"/>
        </c:manualLayout>
      </c:layout>
      <c:overlay val="1"/>
    </c:title>
    <c:autoTitleDeleted val="0"/>
    <c:plotArea>
      <c:layout>
        <c:manualLayout>
          <c:layoutTarget val="inner"/>
          <c:xMode val="edge"/>
          <c:yMode val="edge"/>
          <c:x val="0.12579970453227501"/>
          <c:y val="0.19245318479728921"/>
          <c:w val="0.73987283852032926"/>
          <c:h val="0.63773702413219369"/>
        </c:manualLayout>
      </c:layout>
      <c:barChart>
        <c:barDir val="col"/>
        <c:grouping val="clustered"/>
        <c:varyColors val="0"/>
        <c:ser>
          <c:idx val="1"/>
          <c:order val="0"/>
          <c:tx>
            <c:strRef>
              <c:f>'Charts - Qtr'!$B$7</c:f>
              <c:strCache>
                <c:ptCount val="1"/>
                <c:pt idx="0">
                  <c:v>EBITDA</c:v>
                </c:pt>
              </c:strCache>
            </c:strRef>
          </c:tx>
          <c:spPr>
            <a:solidFill>
              <a:srgbClr val="EACC80"/>
            </a:solidFill>
            <a:ln w="25400">
              <a:noFill/>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inBase"/>
            <c:showLegendKey val="0"/>
            <c:showVal val="1"/>
            <c:showCatName val="0"/>
            <c:showSerName val="0"/>
            <c:showPercent val="0"/>
            <c:showBubbleSize val="0"/>
            <c:showLeaderLines val="0"/>
          </c:dLbls>
          <c:cat>
            <c:strRef>
              <c:f>'Charts - Qtr'!$AL$3:$AS$3</c:f>
              <c:strCache>
                <c:ptCount val="8"/>
                <c:pt idx="0">
                  <c:v>4Q15</c:v>
                </c:pt>
                <c:pt idx="1">
                  <c:v>1Q16</c:v>
                </c:pt>
                <c:pt idx="2">
                  <c:v>2Q16</c:v>
                </c:pt>
                <c:pt idx="3">
                  <c:v>3Q16</c:v>
                </c:pt>
                <c:pt idx="4">
                  <c:v>4Q16</c:v>
                </c:pt>
                <c:pt idx="5">
                  <c:v>1Q17</c:v>
                </c:pt>
                <c:pt idx="6">
                  <c:v>2Q17</c:v>
                </c:pt>
                <c:pt idx="7">
                  <c:v>3Q17</c:v>
                </c:pt>
              </c:strCache>
            </c:strRef>
          </c:cat>
          <c:val>
            <c:numRef>
              <c:f>'Charts - Qtr'!$AL$7:$AS$7</c:f>
              <c:numCache>
                <c:formatCode>"$"#,##0_);\("$"#,##0\)</c:formatCode>
                <c:ptCount val="8"/>
                <c:pt idx="0">
                  <c:v>333.14499999999987</c:v>
                </c:pt>
                <c:pt idx="1">
                  <c:v>380.65000000000003</c:v>
                </c:pt>
                <c:pt idx="2">
                  <c:v>420.291</c:v>
                </c:pt>
                <c:pt idx="3">
                  <c:v>420.04199999999992</c:v>
                </c:pt>
                <c:pt idx="4">
                  <c:v>436.49099999999999</c:v>
                </c:pt>
                <c:pt idx="5">
                  <c:v>427.57400000000013</c:v>
                </c:pt>
                <c:pt idx="6">
                  <c:v>509.30799999999999</c:v>
                </c:pt>
                <c:pt idx="7">
                  <c:v>550.31899999999996</c:v>
                </c:pt>
              </c:numCache>
            </c:numRef>
          </c:val>
        </c:ser>
        <c:dLbls>
          <c:showLegendKey val="0"/>
          <c:showVal val="0"/>
          <c:showCatName val="0"/>
          <c:showSerName val="0"/>
          <c:showPercent val="0"/>
          <c:showBubbleSize val="0"/>
        </c:dLbls>
        <c:gapWidth val="150"/>
        <c:axId val="181233536"/>
        <c:axId val="181235072"/>
      </c:barChart>
      <c:lineChart>
        <c:grouping val="standard"/>
        <c:varyColors val="0"/>
        <c:ser>
          <c:idx val="0"/>
          <c:order val="1"/>
          <c:tx>
            <c:strRef>
              <c:f>'Charts - Qtr'!$B$8</c:f>
              <c:strCache>
                <c:ptCount val="1"/>
                <c:pt idx="0">
                  <c:v>Margin</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dLbl>
              <c:idx val="0"/>
              <c:layout>
                <c:manualLayout>
                  <c:x val="-5.6189362809622549E-2"/>
                  <c:y val="-2.7965019948627177E-2"/>
                </c:manualLayout>
              </c:layout>
              <c:dLblPos val="r"/>
              <c:showLegendKey val="0"/>
              <c:showVal val="1"/>
              <c:showCatName val="0"/>
              <c:showSerName val="0"/>
              <c:showPercent val="0"/>
              <c:showBubbleSize val="0"/>
            </c:dLbl>
            <c:dLbl>
              <c:idx val="1"/>
              <c:layout>
                <c:manualLayout>
                  <c:x val="-6.1250695410136453E-2"/>
                  <c:y val="-6.4627106867421014E-2"/>
                </c:manualLayout>
              </c:layout>
              <c:dLblPos val="r"/>
              <c:showLegendKey val="0"/>
              <c:showVal val="1"/>
              <c:showCatName val="0"/>
              <c:showSerName val="0"/>
              <c:showPercent val="0"/>
              <c:showBubbleSize val="0"/>
            </c:dLbl>
            <c:dLbl>
              <c:idx val="2"/>
              <c:layout>
                <c:manualLayout>
                  <c:x val="-6.7734401889098697E-2"/>
                  <c:y val="-6.1590796907569786E-2"/>
                </c:manualLayout>
              </c:layout>
              <c:dLblPos val="r"/>
              <c:showLegendKey val="0"/>
              <c:showVal val="1"/>
              <c:showCatName val="0"/>
              <c:showSerName val="0"/>
              <c:showPercent val="0"/>
              <c:showBubbleSize val="0"/>
            </c:dLbl>
            <c:dLbl>
              <c:idx val="3"/>
              <c:layout>
                <c:manualLayout>
                  <c:x val="-5.7875578538714487E-2"/>
                  <c:y val="-8.6269952557165672E-2"/>
                </c:manualLayout>
              </c:layout>
              <c:dLblPos val="r"/>
              <c:showLegendKey val="0"/>
              <c:showVal val="1"/>
              <c:showCatName val="0"/>
              <c:showSerName val="0"/>
              <c:showPercent val="0"/>
              <c:showBubbleSize val="0"/>
            </c:dLbl>
            <c:dLbl>
              <c:idx val="4"/>
              <c:layout>
                <c:manualLayout>
                  <c:x val="-7.2178089444848992E-2"/>
                  <c:y val="-5.2885083960297674E-2"/>
                </c:manualLayout>
              </c:layout>
              <c:dLblPos val="r"/>
              <c:showLegendKey val="0"/>
              <c:showVal val="1"/>
              <c:showCatName val="0"/>
              <c:showSerName val="0"/>
              <c:showPercent val="0"/>
              <c:showBubbleSize val="0"/>
            </c:dLbl>
            <c:dLbl>
              <c:idx val="5"/>
              <c:layout>
                <c:manualLayout>
                  <c:x val="-6.1606810867685539E-2"/>
                  <c:y val="0.11109448995430858"/>
                </c:manualLayout>
              </c:layout>
              <c:dLblPos val="r"/>
              <c:showLegendKey val="0"/>
              <c:showVal val="1"/>
              <c:showCatName val="0"/>
              <c:showSerName val="0"/>
              <c:showPercent val="0"/>
              <c:showBubbleSize val="0"/>
            </c:dLbl>
            <c:dLbl>
              <c:idx val="6"/>
              <c:layout>
                <c:manualLayout>
                  <c:x val="-4.9613155583638602E-2"/>
                  <c:y val="8.5308046889628258E-2"/>
                </c:manualLayout>
              </c:layout>
              <c:dLblPos val="r"/>
              <c:showLegendKey val="0"/>
              <c:showVal val="1"/>
              <c:showCatName val="0"/>
              <c:showSerName val="0"/>
              <c:showPercent val="0"/>
              <c:showBubbleSize val="0"/>
            </c:dLbl>
            <c:dLbl>
              <c:idx val="7"/>
              <c:layout>
                <c:manualLayout>
                  <c:x val="-4.8283058667775339E-2"/>
                  <c:y val="5.1131522603728143E-2"/>
                </c:manualLayout>
              </c:layout>
              <c:dLblPos val="r"/>
              <c:showLegendKey val="0"/>
              <c:showVal val="1"/>
              <c:showCatName val="0"/>
              <c:showSerName val="0"/>
              <c:showPercent val="0"/>
              <c:showBubbleSize val="0"/>
            </c:dLbl>
            <c:dLbl>
              <c:idx val="8"/>
              <c:layout>
                <c:manualLayout>
                  <c:xMode val="edge"/>
                  <c:yMode val="edge"/>
                  <c:x val="0.54797498414906232"/>
                  <c:y val="0.12075493948065205"/>
                </c:manualLayout>
              </c:layout>
              <c:dLblPos val="r"/>
              <c:showLegendKey val="0"/>
              <c:showVal val="1"/>
              <c:showCatName val="0"/>
              <c:showSerName val="0"/>
              <c:showPercent val="0"/>
              <c:showBubbleSize val="0"/>
            </c:dLbl>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'Charts - Qtr'!$AL$3:$AS$3</c:f>
              <c:strCache>
                <c:ptCount val="8"/>
                <c:pt idx="0">
                  <c:v>4Q15</c:v>
                </c:pt>
                <c:pt idx="1">
                  <c:v>1Q16</c:v>
                </c:pt>
                <c:pt idx="2">
                  <c:v>2Q16</c:v>
                </c:pt>
                <c:pt idx="3">
                  <c:v>3Q16</c:v>
                </c:pt>
                <c:pt idx="4">
                  <c:v>4Q16</c:v>
                </c:pt>
                <c:pt idx="5">
                  <c:v>1Q17</c:v>
                </c:pt>
                <c:pt idx="6">
                  <c:v>2Q17</c:v>
                </c:pt>
                <c:pt idx="7">
                  <c:v>3Q17</c:v>
                </c:pt>
              </c:strCache>
            </c:strRef>
          </c:cat>
          <c:val>
            <c:numRef>
              <c:f>'Charts - Qtr'!$AL$8:$AS$8</c:f>
              <c:numCache>
                <c:formatCode>0.0%</c:formatCode>
                <c:ptCount val="8"/>
                <c:pt idx="0">
                  <c:v>0.45607437484769903</c:v>
                </c:pt>
                <c:pt idx="1">
                  <c:v>0.45092376290638225</c:v>
                </c:pt>
                <c:pt idx="2">
                  <c:v>0.46672552220408436</c:v>
                </c:pt>
                <c:pt idx="3">
                  <c:v>0.45425857273250303</c:v>
                </c:pt>
                <c:pt idx="4">
                  <c:v>0.46304820362235277</c:v>
                </c:pt>
                <c:pt idx="5">
                  <c:v>0.45030304625997214</c:v>
                </c:pt>
                <c:pt idx="6">
                  <c:v>0.47758624408184008</c:v>
                </c:pt>
                <c:pt idx="7">
                  <c:v>0.47759925919561624</c:v>
                </c:pt>
              </c:numCache>
            </c:numRef>
          </c:val>
          <c:smooth val="0"/>
        </c:ser>
        <c:dLbls>
          <c:showLegendKey val="0"/>
          <c:showVal val="0"/>
          <c:showCatName val="0"/>
          <c:showSerName val="0"/>
          <c:showPercent val="0"/>
          <c:showBubbleSize val="0"/>
        </c:dLbls>
        <c:marker val="1"/>
        <c:smooth val="0"/>
        <c:axId val="181265536"/>
        <c:axId val="181267072"/>
      </c:lineChart>
      <c:catAx>
        <c:axId val="181233536"/>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1235072"/>
        <c:crosses val="autoZero"/>
        <c:auto val="0"/>
        <c:lblAlgn val="ctr"/>
        <c:lblOffset val="100"/>
        <c:tickLblSkip val="1"/>
        <c:tickMarkSkip val="1"/>
        <c:noMultiLvlLbl val="0"/>
      </c:catAx>
      <c:valAx>
        <c:axId val="181235072"/>
        <c:scaling>
          <c:orientation val="minMax"/>
        </c:scaling>
        <c:delete val="0"/>
        <c:axPos val="l"/>
        <c:majorGridlines>
          <c:spPr>
            <a:ln w="3175">
              <a:solidFill>
                <a:srgbClr val="C0C0C0"/>
              </a:solidFill>
              <a:prstDash val="solid"/>
            </a:ln>
          </c:spPr>
        </c:majorGridlines>
        <c:numFmt formatCode="&quot;$&quot;#,##0_);\(&quot;$&quot;#,##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1233536"/>
        <c:crosses val="autoZero"/>
        <c:crossBetween val="between"/>
        <c:majorUnit val="100"/>
      </c:valAx>
      <c:catAx>
        <c:axId val="181265536"/>
        <c:scaling>
          <c:orientation val="minMax"/>
        </c:scaling>
        <c:delete val="1"/>
        <c:axPos val="b"/>
        <c:majorTickMark val="out"/>
        <c:minorTickMark val="none"/>
        <c:tickLblPos val="nextTo"/>
        <c:crossAx val="181267072"/>
        <c:crosses val="autoZero"/>
        <c:auto val="0"/>
        <c:lblAlgn val="ctr"/>
        <c:lblOffset val="100"/>
        <c:noMultiLvlLbl val="0"/>
      </c:catAx>
      <c:valAx>
        <c:axId val="181267072"/>
        <c:scaling>
          <c:orientation val="minMax"/>
        </c:scaling>
        <c:delete val="0"/>
        <c:axPos val="r"/>
        <c:numFmt formatCode="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1265536"/>
        <c:crosses val="max"/>
        <c:crossBetween val="between"/>
        <c:majorUnit val="0.01"/>
      </c:valAx>
      <c:spPr>
        <a:noFill/>
        <a:ln w="25400">
          <a:noFill/>
        </a:ln>
      </c:spPr>
    </c:plotArea>
    <c:legend>
      <c:legendPos val="t"/>
      <c:layout>
        <c:manualLayout>
          <c:xMode val="edge"/>
          <c:yMode val="edge"/>
          <c:x val="0.65424665200432031"/>
          <c:y val="4.2545436537413956E-3"/>
          <c:w val="0.34115183363273616"/>
          <c:h val="8.3018867924528297E-2"/>
        </c:manualLayout>
      </c:layout>
      <c:overlay val="0"/>
      <c:spPr>
        <a:noFill/>
        <a:ln w="25400">
          <a:noFill/>
        </a:ln>
      </c:spPr>
      <c:txPr>
        <a:bodyPr/>
        <a:lstStyle/>
        <a:p>
          <a:pPr>
            <a:defRPr sz="10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GLOBAL MRR CHURN</a:t>
            </a:r>
          </a:p>
        </c:rich>
      </c:tx>
      <c:layout>
        <c:manualLayout>
          <c:xMode val="edge"/>
          <c:yMode val="edge"/>
          <c:x val="1.3633265167007499E-4"/>
          <c:y val="0"/>
        </c:manualLayout>
      </c:layout>
      <c:overlay val="1"/>
    </c:title>
    <c:autoTitleDeleted val="0"/>
    <c:plotArea>
      <c:layout>
        <c:manualLayout>
          <c:layoutTarget val="inner"/>
          <c:xMode val="edge"/>
          <c:yMode val="edge"/>
          <c:x val="0.12269981589724595"/>
          <c:y val="0.16136213516655393"/>
          <c:w val="0.85139891255924294"/>
          <c:h val="0.73897058823529416"/>
        </c:manualLayout>
      </c:layout>
      <c:barChart>
        <c:barDir val="col"/>
        <c:grouping val="clustered"/>
        <c:varyColors val="0"/>
        <c:ser>
          <c:idx val="0"/>
          <c:order val="0"/>
          <c:tx>
            <c:strRef>
              <c:f>'Charts - Qtr'!$B$463</c:f>
              <c:strCache>
                <c:ptCount val="1"/>
                <c:pt idx="0">
                  <c:v>Global MRR Churn</c:v>
                </c:pt>
              </c:strCache>
            </c:strRef>
          </c:tx>
          <c:spPr>
            <a:solidFill>
              <a:srgbClr val="137CB1"/>
            </a:solidFill>
            <a:ln w="25400">
              <a:noFill/>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'Charts - Qtr'!$AL$3:$AS$3</c:f>
              <c:strCache>
                <c:ptCount val="8"/>
                <c:pt idx="0">
                  <c:v>4Q15</c:v>
                </c:pt>
                <c:pt idx="1">
                  <c:v>1Q16</c:v>
                </c:pt>
                <c:pt idx="2">
                  <c:v>2Q16</c:v>
                </c:pt>
                <c:pt idx="3">
                  <c:v>3Q16</c:v>
                </c:pt>
                <c:pt idx="4">
                  <c:v>4Q16</c:v>
                </c:pt>
                <c:pt idx="5">
                  <c:v>1Q17</c:v>
                </c:pt>
                <c:pt idx="6">
                  <c:v>2Q17</c:v>
                </c:pt>
                <c:pt idx="7">
                  <c:v>3Q17</c:v>
                </c:pt>
              </c:strCache>
            </c:strRef>
          </c:cat>
          <c:val>
            <c:numRef>
              <c:f>'Charts - Qtr'!$AL$463:$AS$463</c:f>
              <c:numCache>
                <c:formatCode>0.00%</c:formatCode>
                <c:ptCount val="8"/>
                <c:pt idx="0">
                  <c:v>2.3E-2</c:v>
                </c:pt>
                <c:pt idx="1">
                  <c:v>2.1999999999999999E-2</c:v>
                </c:pt>
                <c:pt idx="2">
                  <c:v>1.7999999999999999E-2</c:v>
                </c:pt>
                <c:pt idx="3">
                  <c:v>0.02</c:v>
                </c:pt>
                <c:pt idx="4">
                  <c:v>2.4E-2</c:v>
                </c:pt>
                <c:pt idx="5">
                  <c:v>2.8000000000000001E-2</c:v>
                </c:pt>
                <c:pt idx="6">
                  <c:v>2.4E-2</c:v>
                </c:pt>
                <c:pt idx="7">
                  <c:v>2.3E-2</c:v>
                </c:pt>
              </c:numCache>
            </c:numRef>
          </c:val>
        </c:ser>
        <c:dLbls>
          <c:showLegendKey val="0"/>
          <c:showVal val="0"/>
          <c:showCatName val="0"/>
          <c:showSerName val="0"/>
          <c:showPercent val="0"/>
          <c:showBubbleSize val="0"/>
        </c:dLbls>
        <c:gapWidth val="150"/>
        <c:axId val="199851008"/>
        <c:axId val="199860992"/>
      </c:barChart>
      <c:catAx>
        <c:axId val="19985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99860992"/>
        <c:crosses val="autoZero"/>
        <c:auto val="1"/>
        <c:lblAlgn val="ctr"/>
        <c:lblOffset val="100"/>
        <c:tickLblSkip val="1"/>
        <c:tickMarkSkip val="1"/>
        <c:noMultiLvlLbl val="0"/>
      </c:catAx>
      <c:valAx>
        <c:axId val="199860992"/>
        <c:scaling>
          <c:orientation val="minMax"/>
        </c:scaling>
        <c:delete val="0"/>
        <c:axPos val="l"/>
        <c:majorGridlines>
          <c:spPr>
            <a:ln w="3175">
              <a:solidFill>
                <a:srgbClr val="C0C0C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99851008"/>
        <c:crosses val="autoZero"/>
        <c:crossBetween val="between"/>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GLOBAL</a:t>
            </a:r>
          </a:p>
        </c:rich>
      </c:tx>
      <c:layout>
        <c:manualLayout>
          <c:xMode val="edge"/>
          <c:yMode val="edge"/>
          <c:x val="2.3924731182795697E-3"/>
          <c:y val="0"/>
        </c:manualLayout>
      </c:layout>
      <c:overlay val="1"/>
    </c:title>
    <c:autoTitleDeleted val="0"/>
    <c:plotArea>
      <c:layout>
        <c:manualLayout>
          <c:layoutTarget val="inner"/>
          <c:xMode val="edge"/>
          <c:yMode val="edge"/>
          <c:x val="0.1653227923122513"/>
          <c:y val="0.21750286607945413"/>
          <c:w val="0.82392557785115572"/>
          <c:h val="0.68495091864217816"/>
        </c:manualLayout>
      </c:layout>
      <c:lineChart>
        <c:grouping val="standard"/>
        <c:varyColors val="0"/>
        <c:ser>
          <c:idx val="0"/>
          <c:order val="0"/>
          <c:tx>
            <c:strRef>
              <c:f>'Charts - Qtr'!$B$354</c:f>
              <c:strCache>
                <c:ptCount val="1"/>
                <c:pt idx="0">
                  <c:v>Global MRR / Cabinet</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'Charts - Qtr'!$AL$3:$AS$3</c:f>
              <c:strCache>
                <c:ptCount val="8"/>
                <c:pt idx="0">
                  <c:v>4Q15</c:v>
                </c:pt>
                <c:pt idx="1">
                  <c:v>1Q16</c:v>
                </c:pt>
                <c:pt idx="2">
                  <c:v>2Q16</c:v>
                </c:pt>
                <c:pt idx="3">
                  <c:v>3Q16</c:v>
                </c:pt>
                <c:pt idx="4">
                  <c:v>4Q16</c:v>
                </c:pt>
                <c:pt idx="5">
                  <c:v>1Q17</c:v>
                </c:pt>
                <c:pt idx="6">
                  <c:v>2Q17</c:v>
                </c:pt>
                <c:pt idx="7">
                  <c:v>3Q17</c:v>
                </c:pt>
              </c:strCache>
            </c:strRef>
          </c:cat>
          <c:val>
            <c:numRef>
              <c:f>'Charts - Qtr'!$AL$354:$AS$354</c:f>
              <c:numCache>
                <c:formatCode>"$"#,##0_);\("$"#,##0\)</c:formatCode>
                <c:ptCount val="8"/>
                <c:pt idx="0">
                  <c:v>2043.7056896038127</c:v>
                </c:pt>
                <c:pt idx="1">
                  <c:v>1976.1001893111984</c:v>
                </c:pt>
                <c:pt idx="2">
                  <c:v>2017.6037655113389</c:v>
                </c:pt>
                <c:pt idx="3">
                  <c:v>2028.6397109906904</c:v>
                </c:pt>
                <c:pt idx="4">
                  <c:v>1889.9661160525202</c:v>
                </c:pt>
                <c:pt idx="5">
                  <c:v>1890.6565656565663</c:v>
                </c:pt>
                <c:pt idx="6">
                  <c:v>1913.4763236970264</c:v>
                </c:pt>
                <c:pt idx="7">
                  <c:v>1928.5586954319861</c:v>
                </c:pt>
              </c:numCache>
            </c:numRef>
          </c:val>
          <c:smooth val="0"/>
        </c:ser>
        <c:ser>
          <c:idx val="1"/>
          <c:order val="1"/>
          <c:tx>
            <c:strRef>
              <c:f>'Charts - Qtr'!$B$363</c:f>
              <c:strCache>
                <c:ptCount val="1"/>
                <c:pt idx="0">
                  <c:v>Interconnection MRR / Cabinet</c:v>
                </c:pt>
              </c:strCache>
            </c:strRef>
          </c:tx>
          <c:spPr>
            <a:ln w="12700">
              <a:solidFill>
                <a:srgbClr val="E5BF61"/>
              </a:solidFill>
              <a:prstDash val="solid"/>
            </a:ln>
          </c:spPr>
          <c:marker>
            <c:symbol val="square"/>
            <c:size val="5"/>
            <c:spPr>
              <a:solidFill>
                <a:srgbClr val="E5BF61"/>
              </a:solidFill>
              <a:ln>
                <a:solidFill>
                  <a:srgbClr val="E5BF61"/>
                </a:solidFill>
                <a:prstDash val="solid"/>
              </a:ln>
            </c:spPr>
          </c:marker>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'Charts - Qtr'!$AL$3:$AS$3</c:f>
              <c:strCache>
                <c:ptCount val="8"/>
                <c:pt idx="0">
                  <c:v>4Q15</c:v>
                </c:pt>
                <c:pt idx="1">
                  <c:v>1Q16</c:v>
                </c:pt>
                <c:pt idx="2">
                  <c:v>2Q16</c:v>
                </c:pt>
                <c:pt idx="3">
                  <c:v>3Q16</c:v>
                </c:pt>
                <c:pt idx="4">
                  <c:v>4Q16</c:v>
                </c:pt>
                <c:pt idx="5">
                  <c:v>1Q17</c:v>
                </c:pt>
                <c:pt idx="6">
                  <c:v>2Q17</c:v>
                </c:pt>
                <c:pt idx="7">
                  <c:v>3Q17</c:v>
                </c:pt>
              </c:strCache>
            </c:strRef>
          </c:cat>
          <c:val>
            <c:numRef>
              <c:f>'Charts - Qtr'!$AL$363:$AS$363</c:f>
              <c:numCache>
                <c:formatCode>"$"#,##0_);\("$"#,##0\)</c:formatCode>
                <c:ptCount val="8"/>
                <c:pt idx="0">
                  <c:v>354.25081918379504</c:v>
                </c:pt>
                <c:pt idx="1">
                  <c:v>370.48201543614391</c:v>
                </c:pt>
                <c:pt idx="2">
                  <c:v>387.1658821851376</c:v>
                </c:pt>
                <c:pt idx="3">
                  <c:v>376.37626788939832</c:v>
                </c:pt>
                <c:pt idx="4">
                  <c:v>348.87135341941655</c:v>
                </c:pt>
                <c:pt idx="5">
                  <c:v>311.57407407407408</c:v>
                </c:pt>
                <c:pt idx="6">
                  <c:v>343.35094808828097</c:v>
                </c:pt>
                <c:pt idx="7">
                  <c:v>363.70707991491952</c:v>
                </c:pt>
              </c:numCache>
            </c:numRef>
          </c:val>
          <c:smooth val="0"/>
        </c:ser>
        <c:ser>
          <c:idx val="2"/>
          <c:order val="2"/>
          <c:tx>
            <c:strRef>
              <c:f>'Charts - Qtr'!$B$366</c:f>
              <c:strCache>
                <c:ptCount val="1"/>
                <c:pt idx="0">
                  <c:v>Colocation MRR / Cabinet</c:v>
                </c:pt>
              </c:strCache>
            </c:strRef>
          </c:tx>
          <c:spPr>
            <a:ln w="12700">
              <a:solidFill>
                <a:srgbClr val="4AAC6B"/>
              </a:solidFill>
              <a:prstDash val="solid"/>
            </a:ln>
          </c:spPr>
          <c:marker>
            <c:symbol val="triangle"/>
            <c:size val="5"/>
            <c:spPr>
              <a:solidFill>
                <a:srgbClr val="4AAC6B"/>
              </a:solidFill>
              <a:ln>
                <a:solidFill>
                  <a:srgbClr val="4AAC6B"/>
                </a:solidFill>
                <a:prstDash val="solid"/>
              </a:ln>
            </c:spPr>
          </c:marker>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b"/>
            <c:showLegendKey val="0"/>
            <c:showVal val="1"/>
            <c:showCatName val="0"/>
            <c:showSerName val="0"/>
            <c:showPercent val="0"/>
            <c:showBubbleSize val="0"/>
            <c:showLeaderLines val="0"/>
          </c:dLbls>
          <c:cat>
            <c:strRef>
              <c:f>'Charts - Qtr'!$AL$3:$AS$3</c:f>
              <c:strCache>
                <c:ptCount val="8"/>
                <c:pt idx="0">
                  <c:v>4Q15</c:v>
                </c:pt>
                <c:pt idx="1">
                  <c:v>1Q16</c:v>
                </c:pt>
                <c:pt idx="2">
                  <c:v>2Q16</c:v>
                </c:pt>
                <c:pt idx="3">
                  <c:v>3Q16</c:v>
                </c:pt>
                <c:pt idx="4">
                  <c:v>4Q16</c:v>
                </c:pt>
                <c:pt idx="5">
                  <c:v>1Q17</c:v>
                </c:pt>
                <c:pt idx="6">
                  <c:v>2Q17</c:v>
                </c:pt>
                <c:pt idx="7">
                  <c:v>3Q17</c:v>
                </c:pt>
              </c:strCache>
            </c:strRef>
          </c:cat>
          <c:val>
            <c:numRef>
              <c:f>'Charts - Qtr'!$AL$366:$AS$366</c:f>
              <c:numCache>
                <c:formatCode>"$"#,##0_);\("$"#,##0\)</c:formatCode>
                <c:ptCount val="8"/>
                <c:pt idx="0">
                  <c:v>1689.4548704200176</c:v>
                </c:pt>
                <c:pt idx="1">
                  <c:v>1605.6181738750545</c:v>
                </c:pt>
                <c:pt idx="2">
                  <c:v>1630.4378833262012</c:v>
                </c:pt>
                <c:pt idx="3">
                  <c:v>1652.2634431012921</c:v>
                </c:pt>
                <c:pt idx="4">
                  <c:v>1541.0947626331035</c:v>
                </c:pt>
                <c:pt idx="5">
                  <c:v>1579.0824915824921</c:v>
                </c:pt>
                <c:pt idx="6">
                  <c:v>1570.1253756087453</c:v>
                </c:pt>
                <c:pt idx="7">
                  <c:v>1564.8516155170664</c:v>
                </c:pt>
              </c:numCache>
            </c:numRef>
          </c:val>
          <c:smooth val="0"/>
        </c:ser>
        <c:dLbls>
          <c:showLegendKey val="0"/>
          <c:showVal val="0"/>
          <c:showCatName val="0"/>
          <c:showSerName val="0"/>
          <c:showPercent val="0"/>
          <c:showBubbleSize val="0"/>
        </c:dLbls>
        <c:marker val="1"/>
        <c:smooth val="0"/>
        <c:axId val="201616768"/>
        <c:axId val="201630848"/>
      </c:lineChart>
      <c:catAx>
        <c:axId val="2016167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1630848"/>
        <c:crossesAt val="0"/>
        <c:auto val="1"/>
        <c:lblAlgn val="ctr"/>
        <c:lblOffset val="100"/>
        <c:tickLblSkip val="1"/>
        <c:tickMarkSkip val="1"/>
        <c:noMultiLvlLbl val="0"/>
      </c:catAx>
      <c:valAx>
        <c:axId val="201630848"/>
        <c:scaling>
          <c:orientation val="minMax"/>
        </c:scaling>
        <c:delete val="0"/>
        <c:axPos val="l"/>
        <c:majorGridlines>
          <c:spPr>
            <a:ln w="3175">
              <a:solidFill>
                <a:srgbClr val="C0C0C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MRR / Cabinet</a:t>
                </a:r>
              </a:p>
            </c:rich>
          </c:tx>
          <c:layout>
            <c:manualLayout>
              <c:xMode val="edge"/>
              <c:yMode val="edge"/>
              <c:x val="2.6881720430107529E-3"/>
              <c:y val="0.32387393739961606"/>
            </c:manualLayout>
          </c:layout>
          <c:overlay val="0"/>
          <c:spPr>
            <a:noFill/>
            <a:ln w="25400">
              <a:noFill/>
            </a:ln>
          </c:spPr>
        </c:title>
        <c:numFmt formatCode="&quot;$&quot;#,##0_);\(&quot;$&quot;#,##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1616768"/>
        <c:crosses val="autoZero"/>
        <c:crossBetween val="between"/>
      </c:valAx>
      <c:spPr>
        <a:noFill/>
        <a:ln w="25400">
          <a:noFill/>
        </a:ln>
      </c:spPr>
    </c:plotArea>
    <c:legend>
      <c:legendPos val="t"/>
      <c:layout>
        <c:manualLayout>
          <c:xMode val="edge"/>
          <c:yMode val="edge"/>
          <c:x val="0.55384260435187538"/>
          <c:y val="0"/>
          <c:w val="0.44339006011345361"/>
          <c:h val="0.16767187683629098"/>
        </c:manualLayout>
      </c:layout>
      <c:overlay val="0"/>
      <c:spPr>
        <a:noFill/>
        <a:ln w="25400">
          <a:noFill/>
        </a:ln>
      </c:spPr>
      <c:txPr>
        <a:bodyPr/>
        <a:lstStyle/>
        <a:p>
          <a:pPr>
            <a:defRPr sz="10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GLOBAL</a:t>
            </a:r>
          </a:p>
        </c:rich>
      </c:tx>
      <c:layout>
        <c:manualLayout>
          <c:xMode val="edge"/>
          <c:yMode val="edge"/>
          <c:x val="2.1181262729124237E-3"/>
          <c:y val="0"/>
        </c:manualLayout>
      </c:layout>
      <c:overlay val="1"/>
    </c:title>
    <c:autoTitleDeleted val="0"/>
    <c:plotArea>
      <c:layout>
        <c:manualLayout>
          <c:layoutTarget val="inner"/>
          <c:xMode val="edge"/>
          <c:yMode val="edge"/>
          <c:x val="0.13386061976468827"/>
          <c:y val="0.15487872661121399"/>
          <c:w val="0.76171079429735233"/>
          <c:h val="0.72204369062037577"/>
        </c:manualLayout>
      </c:layout>
      <c:barChart>
        <c:barDir val="col"/>
        <c:grouping val="clustered"/>
        <c:varyColors val="0"/>
        <c:ser>
          <c:idx val="1"/>
          <c:order val="0"/>
          <c:tx>
            <c:strRef>
              <c:f>'Charts - Qtr'!$B$354</c:f>
              <c:strCache>
                <c:ptCount val="1"/>
                <c:pt idx="0">
                  <c:v>Global MRR / Cabinet</c:v>
                </c:pt>
              </c:strCache>
            </c:strRef>
          </c:tx>
          <c:spPr>
            <a:solidFill>
              <a:srgbClr val="EACC80"/>
            </a:solidFill>
            <a:ln w="25400">
              <a:noFill/>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inBase"/>
            <c:showLegendKey val="0"/>
            <c:showVal val="1"/>
            <c:showCatName val="0"/>
            <c:showSerName val="0"/>
            <c:showPercent val="0"/>
            <c:showBubbleSize val="0"/>
            <c:showLeaderLines val="0"/>
          </c:dLbls>
          <c:cat>
            <c:strRef>
              <c:f>'Charts - Qtr'!$AL$3:$AS$3</c:f>
              <c:strCache>
                <c:ptCount val="8"/>
                <c:pt idx="0">
                  <c:v>4Q15</c:v>
                </c:pt>
                <c:pt idx="1">
                  <c:v>1Q16</c:v>
                </c:pt>
                <c:pt idx="2">
                  <c:v>2Q16</c:v>
                </c:pt>
                <c:pt idx="3">
                  <c:v>3Q16</c:v>
                </c:pt>
                <c:pt idx="4">
                  <c:v>4Q16</c:v>
                </c:pt>
                <c:pt idx="5">
                  <c:v>1Q17</c:v>
                </c:pt>
                <c:pt idx="6">
                  <c:v>2Q17</c:v>
                </c:pt>
                <c:pt idx="7">
                  <c:v>3Q17</c:v>
                </c:pt>
              </c:strCache>
            </c:strRef>
          </c:cat>
          <c:val>
            <c:numRef>
              <c:f>'Charts - Qtr'!$AL$354:$AS$354</c:f>
              <c:numCache>
                <c:formatCode>"$"#,##0_);\("$"#,##0\)</c:formatCode>
                <c:ptCount val="8"/>
                <c:pt idx="0">
                  <c:v>2043.7056896038127</c:v>
                </c:pt>
                <c:pt idx="1">
                  <c:v>1976.1001893111984</c:v>
                </c:pt>
                <c:pt idx="2">
                  <c:v>2017.6037655113389</c:v>
                </c:pt>
                <c:pt idx="3">
                  <c:v>2028.6397109906904</c:v>
                </c:pt>
                <c:pt idx="4">
                  <c:v>1889.9661160525202</c:v>
                </c:pt>
                <c:pt idx="5">
                  <c:v>1890.6565656565663</c:v>
                </c:pt>
                <c:pt idx="6">
                  <c:v>1913.4763236970264</c:v>
                </c:pt>
                <c:pt idx="7">
                  <c:v>1928.5586954319861</c:v>
                </c:pt>
              </c:numCache>
            </c:numRef>
          </c:val>
        </c:ser>
        <c:dLbls>
          <c:showLegendKey val="0"/>
          <c:showVal val="0"/>
          <c:showCatName val="0"/>
          <c:showSerName val="0"/>
          <c:showPercent val="0"/>
          <c:showBubbleSize val="0"/>
        </c:dLbls>
        <c:gapWidth val="150"/>
        <c:axId val="201773440"/>
        <c:axId val="201774976"/>
      </c:barChart>
      <c:lineChart>
        <c:grouping val="standard"/>
        <c:varyColors val="0"/>
        <c:ser>
          <c:idx val="0"/>
          <c:order val="1"/>
          <c:tx>
            <c:strRef>
              <c:f>'Charts - Qtr'!$B$355</c:f>
              <c:strCache>
                <c:ptCount val="1"/>
                <c:pt idx="0">
                  <c:v>% Q/Q</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'Charts - Qtr'!$AL$3:$AS$3</c:f>
              <c:strCache>
                <c:ptCount val="8"/>
                <c:pt idx="0">
                  <c:v>4Q15</c:v>
                </c:pt>
                <c:pt idx="1">
                  <c:v>1Q16</c:v>
                </c:pt>
                <c:pt idx="2">
                  <c:v>2Q16</c:v>
                </c:pt>
                <c:pt idx="3">
                  <c:v>3Q16</c:v>
                </c:pt>
                <c:pt idx="4">
                  <c:v>4Q16</c:v>
                </c:pt>
                <c:pt idx="5">
                  <c:v>1Q17</c:v>
                </c:pt>
                <c:pt idx="6">
                  <c:v>2Q17</c:v>
                </c:pt>
                <c:pt idx="7">
                  <c:v>3Q17</c:v>
                </c:pt>
              </c:strCache>
            </c:strRef>
          </c:cat>
          <c:val>
            <c:numRef>
              <c:f>'Charts - Qtr'!$AL$355:$AS$355</c:f>
              <c:numCache>
                <c:formatCode>0.0%_);\(0.0%\);"–"_)</c:formatCode>
                <c:ptCount val="8"/>
                <c:pt idx="0">
                  <c:v>2.1503653297840319E-2</c:v>
                </c:pt>
                <c:pt idx="1">
                  <c:v>-3.3079861076141581E-2</c:v>
                </c:pt>
                <c:pt idx="2">
                  <c:v>2.100276920402866E-2</c:v>
                </c:pt>
                <c:pt idx="3">
                  <c:v>5.4698279553193618E-3</c:v>
                </c:pt>
                <c:pt idx="4">
                  <c:v>-6.8357921905437213E-2</c:v>
                </c:pt>
                <c:pt idx="5">
                  <c:v>3.6532380034848266E-4</c:v>
                </c:pt>
                <c:pt idx="6">
                  <c:v>1.2069753150824258E-2</c:v>
                </c:pt>
                <c:pt idx="7">
                  <c:v>7.8821836195073214E-3</c:v>
                </c:pt>
              </c:numCache>
            </c:numRef>
          </c:val>
          <c:smooth val="0"/>
        </c:ser>
        <c:dLbls>
          <c:showLegendKey val="0"/>
          <c:showVal val="0"/>
          <c:showCatName val="0"/>
          <c:showSerName val="0"/>
          <c:showPercent val="0"/>
          <c:showBubbleSize val="0"/>
        </c:dLbls>
        <c:marker val="1"/>
        <c:smooth val="0"/>
        <c:axId val="201776512"/>
        <c:axId val="202507392"/>
      </c:lineChart>
      <c:catAx>
        <c:axId val="201773440"/>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1774976"/>
        <c:crosses val="autoZero"/>
        <c:auto val="0"/>
        <c:lblAlgn val="ctr"/>
        <c:lblOffset val="100"/>
        <c:tickLblSkip val="1"/>
        <c:tickMarkSkip val="1"/>
        <c:noMultiLvlLbl val="0"/>
      </c:catAx>
      <c:valAx>
        <c:axId val="201774976"/>
        <c:scaling>
          <c:orientation val="minMax"/>
        </c:scaling>
        <c:delete val="0"/>
        <c:axPos val="l"/>
        <c:majorGridlines>
          <c:spPr>
            <a:ln w="3175">
              <a:solidFill>
                <a:srgbClr val="C0C0C0"/>
              </a:solidFill>
              <a:prstDash val="solid"/>
            </a:ln>
          </c:spPr>
        </c:majorGridlines>
        <c:numFmt formatCode="&quot;$&quot;#,##0_);\(&quot;$&quot;#,##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1773440"/>
        <c:crosses val="autoZero"/>
        <c:crossBetween val="between"/>
      </c:valAx>
      <c:catAx>
        <c:axId val="201776512"/>
        <c:scaling>
          <c:orientation val="minMax"/>
        </c:scaling>
        <c:delete val="1"/>
        <c:axPos val="b"/>
        <c:majorTickMark val="out"/>
        <c:minorTickMark val="none"/>
        <c:tickLblPos val="nextTo"/>
        <c:crossAx val="202507392"/>
        <c:crosses val="autoZero"/>
        <c:auto val="0"/>
        <c:lblAlgn val="ctr"/>
        <c:lblOffset val="100"/>
        <c:noMultiLvlLbl val="0"/>
      </c:catAx>
      <c:valAx>
        <c:axId val="202507392"/>
        <c:scaling>
          <c:orientation val="minMax"/>
        </c:scaling>
        <c:delete val="0"/>
        <c:axPos val="r"/>
        <c:numFmt formatCode="0.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1776512"/>
        <c:crosses val="max"/>
        <c:crossBetween val="between"/>
        <c:majorUnit val="2.0000000000000004E-2"/>
      </c:valAx>
      <c:spPr>
        <a:noFill/>
        <a:ln w="25400">
          <a:noFill/>
        </a:ln>
      </c:spPr>
    </c:plotArea>
    <c:legend>
      <c:legendPos val="t"/>
      <c:layout>
        <c:manualLayout>
          <c:xMode val="edge"/>
          <c:yMode val="edge"/>
          <c:x val="0.48065173116089616"/>
          <c:y val="3.2444078818505899E-3"/>
          <c:w val="0.51527494908350313"/>
          <c:h val="8.2089552238805971E-2"/>
        </c:manualLayout>
      </c:layout>
      <c:overlay val="0"/>
      <c:spPr>
        <a:noFill/>
        <a:ln w="25400">
          <a:noFill/>
        </a:ln>
      </c:spPr>
      <c:txPr>
        <a:bodyPr/>
        <a:lstStyle/>
        <a:p>
          <a:pPr>
            <a:defRPr sz="10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ASIA-PACIFIC</a:t>
            </a:r>
          </a:p>
        </c:rich>
      </c:tx>
      <c:layout>
        <c:manualLayout>
          <c:xMode val="edge"/>
          <c:yMode val="edge"/>
          <c:x val="1.0483870967741935E-3"/>
          <c:y val="0"/>
        </c:manualLayout>
      </c:layout>
      <c:overlay val="1"/>
    </c:title>
    <c:autoTitleDeleted val="0"/>
    <c:plotArea>
      <c:layout>
        <c:manualLayout>
          <c:layoutTarget val="inner"/>
          <c:xMode val="edge"/>
          <c:yMode val="edge"/>
          <c:x val="0.17540343747354162"/>
          <c:y val="0.19303327331594713"/>
          <c:w val="0.79166751333502672"/>
          <c:h val="0.71066546631894256"/>
        </c:manualLayout>
      </c:layout>
      <c:lineChart>
        <c:grouping val="standard"/>
        <c:varyColors val="0"/>
        <c:ser>
          <c:idx val="0"/>
          <c:order val="0"/>
          <c:tx>
            <c:strRef>
              <c:f>'Charts - Qtr'!$B$204</c:f>
              <c:strCache>
                <c:ptCount val="1"/>
                <c:pt idx="0">
                  <c:v>Asia-Pacific MRR / Cabinet</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'Charts - Qtr'!$AL$3:$AS$3</c:f>
              <c:strCache>
                <c:ptCount val="8"/>
                <c:pt idx="0">
                  <c:v>4Q15</c:v>
                </c:pt>
                <c:pt idx="1">
                  <c:v>1Q16</c:v>
                </c:pt>
                <c:pt idx="2">
                  <c:v>2Q16</c:v>
                </c:pt>
                <c:pt idx="3">
                  <c:v>3Q16</c:v>
                </c:pt>
                <c:pt idx="4">
                  <c:v>4Q16</c:v>
                </c:pt>
                <c:pt idx="5">
                  <c:v>1Q17</c:v>
                </c:pt>
                <c:pt idx="6">
                  <c:v>2Q17</c:v>
                </c:pt>
                <c:pt idx="7">
                  <c:v>3Q17</c:v>
                </c:pt>
              </c:strCache>
            </c:strRef>
          </c:cat>
          <c:val>
            <c:numRef>
              <c:f>'Charts - Qtr'!$AL$204:$AS$204</c:f>
              <c:numCache>
                <c:formatCode>"$"#,##0_);\("$"#,##0\)</c:formatCode>
                <c:ptCount val="8"/>
                <c:pt idx="0">
                  <c:v>1866</c:v>
                </c:pt>
                <c:pt idx="1">
                  <c:v>1903</c:v>
                </c:pt>
                <c:pt idx="2">
                  <c:v>1979</c:v>
                </c:pt>
                <c:pt idx="3">
                  <c:v>1995</c:v>
                </c:pt>
                <c:pt idx="4">
                  <c:v>1933</c:v>
                </c:pt>
                <c:pt idx="5">
                  <c:v>1955</c:v>
                </c:pt>
                <c:pt idx="6">
                  <c:v>1980</c:v>
                </c:pt>
                <c:pt idx="7">
                  <c:v>1996</c:v>
                </c:pt>
              </c:numCache>
            </c:numRef>
          </c:val>
          <c:smooth val="0"/>
        </c:ser>
        <c:ser>
          <c:idx val="1"/>
          <c:order val="1"/>
          <c:tx>
            <c:strRef>
              <c:f>'Charts - Qtr'!$B$213</c:f>
              <c:strCache>
                <c:ptCount val="1"/>
                <c:pt idx="0">
                  <c:v>Interconnection MRR / Cabinet</c:v>
                </c:pt>
              </c:strCache>
            </c:strRef>
          </c:tx>
          <c:spPr>
            <a:ln w="12700">
              <a:solidFill>
                <a:srgbClr val="E5BF61"/>
              </a:solidFill>
              <a:prstDash val="solid"/>
            </a:ln>
          </c:spPr>
          <c:marker>
            <c:symbol val="square"/>
            <c:size val="5"/>
            <c:spPr>
              <a:solidFill>
                <a:srgbClr val="E5BF61"/>
              </a:solidFill>
              <a:ln>
                <a:solidFill>
                  <a:srgbClr val="E5BF61"/>
                </a:solidFill>
                <a:prstDash val="solid"/>
              </a:ln>
            </c:spPr>
          </c:marker>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'Charts - Qtr'!$AL$3:$AS$3</c:f>
              <c:strCache>
                <c:ptCount val="8"/>
                <c:pt idx="0">
                  <c:v>4Q15</c:v>
                </c:pt>
                <c:pt idx="1">
                  <c:v>1Q16</c:v>
                </c:pt>
                <c:pt idx="2">
                  <c:v>2Q16</c:v>
                </c:pt>
                <c:pt idx="3">
                  <c:v>3Q16</c:v>
                </c:pt>
                <c:pt idx="4">
                  <c:v>4Q16</c:v>
                </c:pt>
                <c:pt idx="5">
                  <c:v>1Q17</c:v>
                </c:pt>
                <c:pt idx="6">
                  <c:v>2Q17</c:v>
                </c:pt>
                <c:pt idx="7">
                  <c:v>3Q17</c:v>
                </c:pt>
              </c:strCache>
            </c:strRef>
          </c:cat>
          <c:val>
            <c:numRef>
              <c:f>'Charts - Qtr'!$AL$213:$AS$213</c:f>
              <c:numCache>
                <c:formatCode>"$"#,##0_);\("$"#,##0\)</c:formatCode>
                <c:ptCount val="8"/>
                <c:pt idx="0">
                  <c:v>285.61324303987965</c:v>
                </c:pt>
                <c:pt idx="1">
                  <c:v>314.64624361779715</c:v>
                </c:pt>
                <c:pt idx="2">
                  <c:v>328.92631578947368</c:v>
                </c:pt>
                <c:pt idx="3">
                  <c:v>283.4270414993307</c:v>
                </c:pt>
                <c:pt idx="4">
                  <c:v>282.25472273004266</c:v>
                </c:pt>
                <c:pt idx="5">
                  <c:v>279.47161326587968</c:v>
                </c:pt>
                <c:pt idx="6">
                  <c:v>283.15211422295442</c:v>
                </c:pt>
                <c:pt idx="7">
                  <c:v>294.32533333333333</c:v>
                </c:pt>
              </c:numCache>
            </c:numRef>
          </c:val>
          <c:smooth val="0"/>
        </c:ser>
        <c:ser>
          <c:idx val="2"/>
          <c:order val="2"/>
          <c:tx>
            <c:strRef>
              <c:f>'Charts - Qtr'!$B$215</c:f>
              <c:strCache>
                <c:ptCount val="1"/>
                <c:pt idx="0">
                  <c:v>Colocation MRR / Cabinet</c:v>
                </c:pt>
              </c:strCache>
            </c:strRef>
          </c:tx>
          <c:spPr>
            <a:ln w="12700">
              <a:solidFill>
                <a:srgbClr val="4AAC6B"/>
              </a:solidFill>
              <a:prstDash val="solid"/>
            </a:ln>
          </c:spPr>
          <c:marker>
            <c:symbol val="triangle"/>
            <c:size val="5"/>
            <c:spPr>
              <a:solidFill>
                <a:srgbClr val="4AAC6B"/>
              </a:solidFill>
              <a:ln>
                <a:solidFill>
                  <a:srgbClr val="4AAC6B"/>
                </a:solidFill>
                <a:prstDash val="solid"/>
              </a:ln>
            </c:spPr>
          </c:marker>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b"/>
            <c:showLegendKey val="0"/>
            <c:showVal val="1"/>
            <c:showCatName val="0"/>
            <c:showSerName val="0"/>
            <c:showPercent val="0"/>
            <c:showBubbleSize val="0"/>
            <c:showLeaderLines val="0"/>
          </c:dLbls>
          <c:cat>
            <c:strRef>
              <c:f>'Charts - Qtr'!$AL$3:$AS$3</c:f>
              <c:strCache>
                <c:ptCount val="8"/>
                <c:pt idx="0">
                  <c:v>4Q15</c:v>
                </c:pt>
                <c:pt idx="1">
                  <c:v>1Q16</c:v>
                </c:pt>
                <c:pt idx="2">
                  <c:v>2Q16</c:v>
                </c:pt>
                <c:pt idx="3">
                  <c:v>3Q16</c:v>
                </c:pt>
                <c:pt idx="4">
                  <c:v>4Q16</c:v>
                </c:pt>
                <c:pt idx="5">
                  <c:v>1Q17</c:v>
                </c:pt>
                <c:pt idx="6">
                  <c:v>2Q17</c:v>
                </c:pt>
                <c:pt idx="7">
                  <c:v>3Q17</c:v>
                </c:pt>
              </c:strCache>
            </c:strRef>
          </c:cat>
          <c:val>
            <c:numRef>
              <c:f>'Charts - Qtr'!$AL$215:$AS$215</c:f>
              <c:numCache>
                <c:formatCode>"$"#,##0_);\("$"#,##0\)</c:formatCode>
                <c:ptCount val="8"/>
                <c:pt idx="0">
                  <c:v>1580.3867569601202</c:v>
                </c:pt>
                <c:pt idx="1">
                  <c:v>1588.3537563822028</c:v>
                </c:pt>
                <c:pt idx="2">
                  <c:v>1650.0736842105264</c:v>
                </c:pt>
                <c:pt idx="3">
                  <c:v>1711.5729585006693</c:v>
                </c:pt>
                <c:pt idx="4">
                  <c:v>1650.7452772699573</c:v>
                </c:pt>
                <c:pt idx="5">
                  <c:v>1675.5283867341204</c:v>
                </c:pt>
                <c:pt idx="6">
                  <c:v>1696.8478857770456</c:v>
                </c:pt>
                <c:pt idx="7">
                  <c:v>1701.6746666666668</c:v>
                </c:pt>
              </c:numCache>
            </c:numRef>
          </c:val>
          <c:smooth val="0"/>
        </c:ser>
        <c:dLbls>
          <c:showLegendKey val="0"/>
          <c:showVal val="0"/>
          <c:showCatName val="0"/>
          <c:showSerName val="0"/>
          <c:showPercent val="0"/>
          <c:showBubbleSize val="0"/>
        </c:dLbls>
        <c:marker val="1"/>
        <c:smooth val="0"/>
        <c:axId val="202641792"/>
        <c:axId val="202643328"/>
      </c:lineChart>
      <c:catAx>
        <c:axId val="2026417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2643328"/>
        <c:crossesAt val="0"/>
        <c:auto val="1"/>
        <c:lblAlgn val="ctr"/>
        <c:lblOffset val="100"/>
        <c:tickLblSkip val="1"/>
        <c:tickMarkSkip val="1"/>
        <c:noMultiLvlLbl val="0"/>
      </c:catAx>
      <c:valAx>
        <c:axId val="202643328"/>
        <c:scaling>
          <c:orientation val="minMax"/>
        </c:scaling>
        <c:delete val="0"/>
        <c:axPos val="l"/>
        <c:majorGridlines>
          <c:spPr>
            <a:ln w="3175">
              <a:solidFill>
                <a:srgbClr val="C0C0C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MRR / Cabinet</a:t>
                </a:r>
              </a:p>
            </c:rich>
          </c:tx>
          <c:layout>
            <c:manualLayout>
              <c:xMode val="edge"/>
              <c:yMode val="edge"/>
              <c:x val="1.0080645161290322E-2"/>
              <c:y val="0.31753515885141226"/>
            </c:manualLayout>
          </c:layout>
          <c:overlay val="0"/>
          <c:spPr>
            <a:noFill/>
            <a:ln w="25400">
              <a:noFill/>
            </a:ln>
          </c:spPr>
        </c:title>
        <c:numFmt formatCode="&quot;$&quot;#,##0_);\(&quot;$&quot;#,##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2641792"/>
        <c:crosses val="autoZero"/>
        <c:crossBetween val="between"/>
      </c:valAx>
      <c:spPr>
        <a:noFill/>
        <a:ln w="25400">
          <a:noFill/>
        </a:ln>
      </c:spPr>
    </c:plotArea>
    <c:legend>
      <c:legendPos val="t"/>
      <c:layout>
        <c:manualLayout>
          <c:xMode val="edge"/>
          <c:yMode val="edge"/>
          <c:x val="0.46513292693252051"/>
          <c:y val="0"/>
          <c:w val="0.53209973753280837"/>
          <c:h val="0.17758491009519331"/>
        </c:manualLayout>
      </c:layout>
      <c:overlay val="0"/>
      <c:spPr>
        <a:noFill/>
        <a:ln w="25400">
          <a:noFill/>
        </a:ln>
      </c:spPr>
      <c:txPr>
        <a:bodyPr/>
        <a:lstStyle/>
        <a:p>
          <a:pPr>
            <a:defRPr sz="10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EMEA</a:t>
            </a:r>
          </a:p>
        </c:rich>
      </c:tx>
      <c:layout>
        <c:manualLayout>
          <c:xMode val="edge"/>
          <c:yMode val="edge"/>
          <c:x val="1.7606468546270426E-3"/>
          <c:y val="0"/>
        </c:manualLayout>
      </c:layout>
      <c:overlay val="1"/>
    </c:title>
    <c:autoTitleDeleted val="0"/>
    <c:plotArea>
      <c:layout>
        <c:manualLayout>
          <c:layoutTarget val="inner"/>
          <c:xMode val="edge"/>
          <c:yMode val="edge"/>
          <c:x val="0.18212386758106849"/>
          <c:y val="0.1827791817719393"/>
          <c:w val="0.78494708322749984"/>
          <c:h val="0.7181283457001445"/>
        </c:manualLayout>
      </c:layout>
      <c:lineChart>
        <c:grouping val="standard"/>
        <c:varyColors val="0"/>
        <c:ser>
          <c:idx val="0"/>
          <c:order val="0"/>
          <c:tx>
            <c:strRef>
              <c:f>'Charts - Qtr'!$B$271</c:f>
              <c:strCache>
                <c:ptCount val="1"/>
                <c:pt idx="0">
                  <c:v>EMEA MRR / Cabinet</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'Charts - Qtr'!$AL$3:$AS$3</c:f>
              <c:strCache>
                <c:ptCount val="8"/>
                <c:pt idx="0">
                  <c:v>4Q15</c:v>
                </c:pt>
                <c:pt idx="1">
                  <c:v>1Q16</c:v>
                </c:pt>
                <c:pt idx="2">
                  <c:v>2Q16</c:v>
                </c:pt>
                <c:pt idx="3">
                  <c:v>3Q16</c:v>
                </c:pt>
                <c:pt idx="4">
                  <c:v>4Q16</c:v>
                </c:pt>
                <c:pt idx="5">
                  <c:v>1Q17</c:v>
                </c:pt>
                <c:pt idx="6">
                  <c:v>2Q17</c:v>
                </c:pt>
                <c:pt idx="7">
                  <c:v>3Q17</c:v>
                </c:pt>
              </c:strCache>
            </c:strRef>
          </c:cat>
          <c:val>
            <c:numRef>
              <c:f>'Charts - Qtr'!$AL$271:$AS$271</c:f>
              <c:numCache>
                <c:formatCode>"$"#,##0_);\("$"#,##0\)</c:formatCode>
                <c:ptCount val="8"/>
                <c:pt idx="0">
                  <c:v>1439</c:v>
                </c:pt>
                <c:pt idx="1">
                  <c:v>1401</c:v>
                </c:pt>
                <c:pt idx="2">
                  <c:v>1436</c:v>
                </c:pt>
                <c:pt idx="3">
                  <c:v>1433</c:v>
                </c:pt>
                <c:pt idx="4">
                  <c:v>1295</c:v>
                </c:pt>
                <c:pt idx="5">
                  <c:v>1312</c:v>
                </c:pt>
                <c:pt idx="6">
                  <c:v>1321</c:v>
                </c:pt>
                <c:pt idx="7">
                  <c:v>1345</c:v>
                </c:pt>
              </c:numCache>
            </c:numRef>
          </c:val>
          <c:smooth val="0"/>
        </c:ser>
        <c:ser>
          <c:idx val="1"/>
          <c:order val="1"/>
          <c:tx>
            <c:strRef>
              <c:f>'Charts - Qtr'!$B$280</c:f>
              <c:strCache>
                <c:ptCount val="1"/>
                <c:pt idx="0">
                  <c:v>Interconnection MRR / Cabinet</c:v>
                </c:pt>
              </c:strCache>
            </c:strRef>
          </c:tx>
          <c:spPr>
            <a:ln w="12700">
              <a:solidFill>
                <a:srgbClr val="E5BF61"/>
              </a:solidFill>
              <a:prstDash val="solid"/>
            </a:ln>
          </c:spPr>
          <c:marker>
            <c:symbol val="square"/>
            <c:size val="5"/>
            <c:spPr>
              <a:solidFill>
                <a:srgbClr val="E5BF61"/>
              </a:solidFill>
              <a:ln>
                <a:solidFill>
                  <a:srgbClr val="E5BF61"/>
                </a:solidFill>
                <a:prstDash val="solid"/>
              </a:ln>
            </c:spPr>
          </c:marker>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'Charts - Qtr'!$AL$3:$AS$3</c:f>
              <c:strCache>
                <c:ptCount val="8"/>
                <c:pt idx="0">
                  <c:v>4Q15</c:v>
                </c:pt>
                <c:pt idx="1">
                  <c:v>1Q16</c:v>
                </c:pt>
                <c:pt idx="2">
                  <c:v>2Q16</c:v>
                </c:pt>
                <c:pt idx="3">
                  <c:v>3Q16</c:v>
                </c:pt>
                <c:pt idx="4">
                  <c:v>4Q16</c:v>
                </c:pt>
                <c:pt idx="5">
                  <c:v>1Q17</c:v>
                </c:pt>
                <c:pt idx="6">
                  <c:v>2Q17</c:v>
                </c:pt>
                <c:pt idx="7">
                  <c:v>3Q17</c:v>
                </c:pt>
              </c:strCache>
            </c:strRef>
          </c:cat>
          <c:val>
            <c:numRef>
              <c:f>'Charts - Qtr'!$AL$280:$AS$280</c:f>
              <c:numCache>
                <c:formatCode>"$"#,##0_);\("$"#,##0\)</c:formatCode>
                <c:ptCount val="8"/>
                <c:pt idx="0">
                  <c:v>140.31785863655372</c:v>
                </c:pt>
                <c:pt idx="1">
                  <c:v>160.75071399428805</c:v>
                </c:pt>
                <c:pt idx="2">
                  <c:v>179.47178871548621</c:v>
                </c:pt>
                <c:pt idx="3">
                  <c:v>167.75302852676825</c:v>
                </c:pt>
                <c:pt idx="4">
                  <c:v>126.08941709111488</c:v>
                </c:pt>
                <c:pt idx="5">
                  <c:v>98.876354788763535</c:v>
                </c:pt>
                <c:pt idx="6">
                  <c:v>102.40259740259741</c:v>
                </c:pt>
                <c:pt idx="7">
                  <c:v>116.19890434049725</c:v>
                </c:pt>
              </c:numCache>
            </c:numRef>
          </c:val>
          <c:smooth val="0"/>
        </c:ser>
        <c:ser>
          <c:idx val="2"/>
          <c:order val="2"/>
          <c:tx>
            <c:strRef>
              <c:f>'Charts - Qtr'!$B$282</c:f>
              <c:strCache>
                <c:ptCount val="1"/>
                <c:pt idx="0">
                  <c:v>Colocation MRR / Cabinet</c:v>
                </c:pt>
              </c:strCache>
            </c:strRef>
          </c:tx>
          <c:spPr>
            <a:ln w="12700">
              <a:solidFill>
                <a:srgbClr val="4AAC6B"/>
              </a:solidFill>
              <a:prstDash val="solid"/>
            </a:ln>
          </c:spPr>
          <c:marker>
            <c:symbol val="triangle"/>
            <c:size val="5"/>
            <c:spPr>
              <a:solidFill>
                <a:srgbClr val="4AAC6B"/>
              </a:solidFill>
              <a:ln>
                <a:solidFill>
                  <a:srgbClr val="4AAC6B"/>
                </a:solidFill>
                <a:prstDash val="solid"/>
              </a:ln>
            </c:spPr>
          </c:marker>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b"/>
            <c:showLegendKey val="0"/>
            <c:showVal val="1"/>
            <c:showCatName val="0"/>
            <c:showSerName val="0"/>
            <c:showPercent val="0"/>
            <c:showBubbleSize val="0"/>
            <c:showLeaderLines val="0"/>
          </c:dLbls>
          <c:cat>
            <c:strRef>
              <c:f>'Charts - Qtr'!$AL$3:$AS$3</c:f>
              <c:strCache>
                <c:ptCount val="8"/>
                <c:pt idx="0">
                  <c:v>4Q15</c:v>
                </c:pt>
                <c:pt idx="1">
                  <c:v>1Q16</c:v>
                </c:pt>
                <c:pt idx="2">
                  <c:v>2Q16</c:v>
                </c:pt>
                <c:pt idx="3">
                  <c:v>3Q16</c:v>
                </c:pt>
                <c:pt idx="4">
                  <c:v>4Q16</c:v>
                </c:pt>
                <c:pt idx="5">
                  <c:v>1Q17</c:v>
                </c:pt>
                <c:pt idx="6">
                  <c:v>2Q17</c:v>
                </c:pt>
                <c:pt idx="7">
                  <c:v>3Q17</c:v>
                </c:pt>
              </c:strCache>
            </c:strRef>
          </c:cat>
          <c:val>
            <c:numRef>
              <c:f>'Charts - Qtr'!$AL$282:$AS$282</c:f>
              <c:numCache>
                <c:formatCode>"$"#,##0_);\("$"#,##0\)</c:formatCode>
                <c:ptCount val="8"/>
                <c:pt idx="0">
                  <c:v>1298.6821413634464</c:v>
                </c:pt>
                <c:pt idx="1">
                  <c:v>1240.2492860057118</c:v>
                </c:pt>
                <c:pt idx="2">
                  <c:v>1256.5282112845139</c:v>
                </c:pt>
                <c:pt idx="3">
                  <c:v>1265.2469714732317</c:v>
                </c:pt>
                <c:pt idx="4">
                  <c:v>1168.9105829088851</c:v>
                </c:pt>
                <c:pt idx="5">
                  <c:v>1213.1236452112364</c:v>
                </c:pt>
                <c:pt idx="6">
                  <c:v>1218.5974025974026</c:v>
                </c:pt>
                <c:pt idx="7">
                  <c:v>1228.8010956595028</c:v>
                </c:pt>
              </c:numCache>
            </c:numRef>
          </c:val>
          <c:smooth val="0"/>
        </c:ser>
        <c:dLbls>
          <c:showLegendKey val="0"/>
          <c:showVal val="0"/>
          <c:showCatName val="0"/>
          <c:showSerName val="0"/>
          <c:showPercent val="0"/>
          <c:showBubbleSize val="0"/>
        </c:dLbls>
        <c:marker val="1"/>
        <c:smooth val="0"/>
        <c:axId val="203568256"/>
        <c:axId val="203569792"/>
      </c:lineChart>
      <c:catAx>
        <c:axId val="2035682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3569792"/>
        <c:crossesAt val="0"/>
        <c:auto val="1"/>
        <c:lblAlgn val="ctr"/>
        <c:lblOffset val="100"/>
        <c:tickLblSkip val="1"/>
        <c:tickMarkSkip val="1"/>
        <c:noMultiLvlLbl val="0"/>
      </c:catAx>
      <c:valAx>
        <c:axId val="203569792"/>
        <c:scaling>
          <c:orientation val="minMax"/>
        </c:scaling>
        <c:delete val="0"/>
        <c:axPos val="l"/>
        <c:majorGridlines>
          <c:spPr>
            <a:ln w="3175">
              <a:solidFill>
                <a:srgbClr val="C0C0C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MRR / Cabinet</a:t>
                </a:r>
              </a:p>
            </c:rich>
          </c:tx>
          <c:layout>
            <c:manualLayout>
              <c:xMode val="edge"/>
              <c:yMode val="edge"/>
              <c:x val="1.4112903225806451E-2"/>
              <c:y val="0.31613938183100249"/>
            </c:manualLayout>
          </c:layout>
          <c:overlay val="0"/>
          <c:spPr>
            <a:noFill/>
            <a:ln w="25400">
              <a:noFill/>
            </a:ln>
          </c:spPr>
        </c:title>
        <c:numFmt formatCode="&quot;$&quot;#,##0_);\(&quot;$&quot;#,##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3568256"/>
        <c:crosses val="autoZero"/>
        <c:crossBetween val="between"/>
        <c:majorUnit val="300"/>
      </c:valAx>
      <c:spPr>
        <a:noFill/>
        <a:ln w="25400">
          <a:noFill/>
        </a:ln>
      </c:spPr>
    </c:plotArea>
    <c:legend>
      <c:legendPos val="t"/>
      <c:layout>
        <c:manualLayout>
          <c:xMode val="edge"/>
          <c:yMode val="edge"/>
          <c:x val="0.47588561510456351"/>
          <c:y val="0"/>
          <c:w val="0.52134704936076537"/>
          <c:h val="0.17245778979120147"/>
        </c:manualLayout>
      </c:layout>
      <c:overlay val="0"/>
      <c:spPr>
        <a:noFill/>
        <a:ln w="25400">
          <a:noFill/>
        </a:ln>
      </c:spPr>
      <c:txPr>
        <a:bodyPr/>
        <a:lstStyle/>
        <a:p>
          <a:pPr>
            <a:defRPr sz="10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EMEA</a:t>
            </a:r>
          </a:p>
        </c:rich>
      </c:tx>
      <c:layout>
        <c:manualLayout>
          <c:xMode val="edge"/>
          <c:yMode val="edge"/>
          <c:x val="2.5947976015193224E-3"/>
          <c:y val="0"/>
        </c:manualLayout>
      </c:layout>
      <c:overlay val="1"/>
    </c:title>
    <c:autoTitleDeleted val="0"/>
    <c:plotArea>
      <c:layout>
        <c:manualLayout>
          <c:layoutTarget val="inner"/>
          <c:xMode val="edge"/>
          <c:yMode val="edge"/>
          <c:x val="0.14358963842403868"/>
          <c:y val="0.15057397997655422"/>
          <c:w val="0.75813158610340869"/>
          <c:h val="0.75270581942704551"/>
        </c:manualLayout>
      </c:layout>
      <c:barChart>
        <c:barDir val="col"/>
        <c:grouping val="clustered"/>
        <c:varyColors val="0"/>
        <c:ser>
          <c:idx val="1"/>
          <c:order val="0"/>
          <c:tx>
            <c:strRef>
              <c:f>'Charts - Qtr'!$B$271</c:f>
              <c:strCache>
                <c:ptCount val="1"/>
                <c:pt idx="0">
                  <c:v>EMEA MRR / Cabinet</c:v>
                </c:pt>
              </c:strCache>
            </c:strRef>
          </c:tx>
          <c:spPr>
            <a:solidFill>
              <a:srgbClr val="EACC80"/>
            </a:solidFill>
            <a:ln w="25400">
              <a:noFill/>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inBase"/>
            <c:showLegendKey val="0"/>
            <c:showVal val="1"/>
            <c:showCatName val="0"/>
            <c:showSerName val="0"/>
            <c:showPercent val="0"/>
            <c:showBubbleSize val="0"/>
            <c:showLeaderLines val="0"/>
          </c:dLbls>
          <c:cat>
            <c:strRef>
              <c:f>'Charts - Qtr'!$AL$3:$AS$3</c:f>
              <c:strCache>
                <c:ptCount val="8"/>
                <c:pt idx="0">
                  <c:v>4Q15</c:v>
                </c:pt>
                <c:pt idx="1">
                  <c:v>1Q16</c:v>
                </c:pt>
                <c:pt idx="2">
                  <c:v>2Q16</c:v>
                </c:pt>
                <c:pt idx="3">
                  <c:v>3Q16</c:v>
                </c:pt>
                <c:pt idx="4">
                  <c:v>4Q16</c:v>
                </c:pt>
                <c:pt idx="5">
                  <c:v>1Q17</c:v>
                </c:pt>
                <c:pt idx="6">
                  <c:v>2Q17</c:v>
                </c:pt>
                <c:pt idx="7">
                  <c:v>3Q17</c:v>
                </c:pt>
              </c:strCache>
            </c:strRef>
          </c:cat>
          <c:val>
            <c:numRef>
              <c:f>'Charts - Qtr'!$AL$271:$AS$271</c:f>
              <c:numCache>
                <c:formatCode>"$"#,##0_);\("$"#,##0\)</c:formatCode>
                <c:ptCount val="8"/>
                <c:pt idx="0">
                  <c:v>1439</c:v>
                </c:pt>
                <c:pt idx="1">
                  <c:v>1401</c:v>
                </c:pt>
                <c:pt idx="2">
                  <c:v>1436</c:v>
                </c:pt>
                <c:pt idx="3">
                  <c:v>1433</c:v>
                </c:pt>
                <c:pt idx="4">
                  <c:v>1295</c:v>
                </c:pt>
                <c:pt idx="5">
                  <c:v>1312</c:v>
                </c:pt>
                <c:pt idx="6">
                  <c:v>1321</c:v>
                </c:pt>
                <c:pt idx="7">
                  <c:v>1345</c:v>
                </c:pt>
              </c:numCache>
            </c:numRef>
          </c:val>
        </c:ser>
        <c:dLbls>
          <c:showLegendKey val="0"/>
          <c:showVal val="0"/>
          <c:showCatName val="0"/>
          <c:showSerName val="0"/>
          <c:showPercent val="0"/>
          <c:showBubbleSize val="0"/>
        </c:dLbls>
        <c:gapWidth val="150"/>
        <c:axId val="203609984"/>
        <c:axId val="203611520"/>
      </c:barChart>
      <c:lineChart>
        <c:grouping val="standard"/>
        <c:varyColors val="0"/>
        <c:ser>
          <c:idx val="0"/>
          <c:order val="1"/>
          <c:tx>
            <c:strRef>
              <c:f>'Charts - Qtr'!$B$272</c:f>
              <c:strCache>
                <c:ptCount val="1"/>
                <c:pt idx="0">
                  <c:v>% Q/Q</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'Charts - Qtr'!$AL$3:$AS$3</c:f>
              <c:strCache>
                <c:ptCount val="8"/>
                <c:pt idx="0">
                  <c:v>4Q15</c:v>
                </c:pt>
                <c:pt idx="1">
                  <c:v>1Q16</c:v>
                </c:pt>
                <c:pt idx="2">
                  <c:v>2Q16</c:v>
                </c:pt>
                <c:pt idx="3">
                  <c:v>3Q16</c:v>
                </c:pt>
                <c:pt idx="4">
                  <c:v>4Q16</c:v>
                </c:pt>
                <c:pt idx="5">
                  <c:v>1Q17</c:v>
                </c:pt>
                <c:pt idx="6">
                  <c:v>2Q17</c:v>
                </c:pt>
                <c:pt idx="7">
                  <c:v>3Q17</c:v>
                </c:pt>
              </c:strCache>
            </c:strRef>
          </c:cat>
          <c:val>
            <c:numRef>
              <c:f>'Charts - Qtr'!$AL$272:$AS$272</c:f>
              <c:numCache>
                <c:formatCode>0.0%_);\(0.0%\);"–"_)</c:formatCode>
                <c:ptCount val="8"/>
                <c:pt idx="0">
                  <c:v>-4.1522491349480495E-3</c:v>
                </c:pt>
                <c:pt idx="1">
                  <c:v>-2.6407227241139641E-2</c:v>
                </c:pt>
                <c:pt idx="2">
                  <c:v>2.4982155603140654E-2</c:v>
                </c:pt>
                <c:pt idx="3">
                  <c:v>-2.0891364902506648E-3</c:v>
                </c:pt>
                <c:pt idx="4">
                  <c:v>-9.6301465457083069E-2</c:v>
                </c:pt>
                <c:pt idx="5">
                  <c:v>1.3127413127413057E-2</c:v>
                </c:pt>
                <c:pt idx="6">
                  <c:v>6.8597560975609539E-3</c:v>
                </c:pt>
                <c:pt idx="7">
                  <c:v>1.8168054504163589E-2</c:v>
                </c:pt>
              </c:numCache>
            </c:numRef>
          </c:val>
          <c:smooth val="0"/>
        </c:ser>
        <c:dLbls>
          <c:showLegendKey val="0"/>
          <c:showVal val="0"/>
          <c:showCatName val="0"/>
          <c:showSerName val="0"/>
          <c:showPercent val="0"/>
          <c:showBubbleSize val="0"/>
        </c:dLbls>
        <c:marker val="1"/>
        <c:smooth val="0"/>
        <c:axId val="203633792"/>
        <c:axId val="203635328"/>
      </c:lineChart>
      <c:catAx>
        <c:axId val="203609984"/>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3611520"/>
        <c:crosses val="autoZero"/>
        <c:auto val="0"/>
        <c:lblAlgn val="ctr"/>
        <c:lblOffset val="100"/>
        <c:tickLblSkip val="1"/>
        <c:tickMarkSkip val="1"/>
        <c:noMultiLvlLbl val="0"/>
      </c:catAx>
      <c:valAx>
        <c:axId val="203611520"/>
        <c:scaling>
          <c:orientation val="minMax"/>
        </c:scaling>
        <c:delete val="0"/>
        <c:axPos val="l"/>
        <c:majorGridlines>
          <c:spPr>
            <a:ln w="3175">
              <a:solidFill>
                <a:srgbClr val="C0C0C0"/>
              </a:solidFill>
              <a:prstDash val="solid"/>
            </a:ln>
          </c:spPr>
        </c:majorGridlines>
        <c:numFmt formatCode="&quot;$&quot;#,##0_);\(&quot;$&quot;#,##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3609984"/>
        <c:crosses val="autoZero"/>
        <c:crossBetween val="between"/>
      </c:valAx>
      <c:catAx>
        <c:axId val="203633792"/>
        <c:scaling>
          <c:orientation val="minMax"/>
        </c:scaling>
        <c:delete val="1"/>
        <c:axPos val="b"/>
        <c:majorTickMark val="out"/>
        <c:minorTickMark val="none"/>
        <c:tickLblPos val="nextTo"/>
        <c:crossAx val="203635328"/>
        <c:crosses val="autoZero"/>
        <c:auto val="0"/>
        <c:lblAlgn val="ctr"/>
        <c:lblOffset val="100"/>
        <c:noMultiLvlLbl val="0"/>
      </c:catAx>
      <c:valAx>
        <c:axId val="203635328"/>
        <c:scaling>
          <c:orientation val="minMax"/>
        </c:scaling>
        <c:delete val="0"/>
        <c:axPos val="r"/>
        <c:numFmt formatCode="0.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3633792"/>
        <c:crosses val="max"/>
        <c:crossBetween val="between"/>
        <c:majorUnit val="2.0000000000000004E-2"/>
      </c:valAx>
      <c:spPr>
        <a:noFill/>
        <a:ln w="25400">
          <a:noFill/>
        </a:ln>
      </c:spPr>
    </c:plotArea>
    <c:legend>
      <c:legendPos val="t"/>
      <c:layout>
        <c:manualLayout>
          <c:xMode val="edge"/>
          <c:yMode val="edge"/>
          <c:x val="0.49816955807353347"/>
          <c:y val="8.3724106977334147E-3"/>
          <c:w val="0.49796854661459999"/>
          <c:h val="8.1784386617100371E-2"/>
        </c:manualLayout>
      </c:layout>
      <c:overlay val="0"/>
      <c:spPr>
        <a:noFill/>
        <a:ln w="25400">
          <a:noFill/>
        </a:ln>
      </c:spPr>
      <c:txPr>
        <a:bodyPr/>
        <a:lstStyle/>
        <a:p>
          <a:pPr>
            <a:defRPr sz="10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ASIA-PACIFIC</a:t>
            </a:r>
          </a:p>
        </c:rich>
      </c:tx>
      <c:layout>
        <c:manualLayout>
          <c:xMode val="edge"/>
          <c:yMode val="edge"/>
          <c:x val="1.4334009465855309E-3"/>
          <c:y val="0"/>
        </c:manualLayout>
      </c:layout>
      <c:overlay val="1"/>
    </c:title>
    <c:autoTitleDeleted val="0"/>
    <c:plotArea>
      <c:layout>
        <c:manualLayout>
          <c:layoutTarget val="inner"/>
          <c:xMode val="edge"/>
          <c:yMode val="edge"/>
          <c:x val="0.13995964500380656"/>
          <c:y val="0.16252868247675295"/>
          <c:w val="0.76064984059037521"/>
          <c:h val="0.73847883718951068"/>
        </c:manualLayout>
      </c:layout>
      <c:barChart>
        <c:barDir val="col"/>
        <c:grouping val="clustered"/>
        <c:varyColors val="0"/>
        <c:ser>
          <c:idx val="1"/>
          <c:order val="0"/>
          <c:tx>
            <c:strRef>
              <c:f>'Charts - Qtr'!$B$204</c:f>
              <c:strCache>
                <c:ptCount val="1"/>
                <c:pt idx="0">
                  <c:v>Asia-Pacific MRR / Cabinet</c:v>
                </c:pt>
              </c:strCache>
            </c:strRef>
          </c:tx>
          <c:spPr>
            <a:solidFill>
              <a:srgbClr val="EACC80"/>
            </a:solidFill>
            <a:ln w="25400">
              <a:noFill/>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inBase"/>
            <c:showLegendKey val="0"/>
            <c:showVal val="1"/>
            <c:showCatName val="0"/>
            <c:showSerName val="0"/>
            <c:showPercent val="0"/>
            <c:showBubbleSize val="0"/>
            <c:showLeaderLines val="0"/>
          </c:dLbls>
          <c:cat>
            <c:strRef>
              <c:f>'Charts - Qtr'!$AL$3:$AS$3</c:f>
              <c:strCache>
                <c:ptCount val="8"/>
                <c:pt idx="0">
                  <c:v>4Q15</c:v>
                </c:pt>
                <c:pt idx="1">
                  <c:v>1Q16</c:v>
                </c:pt>
                <c:pt idx="2">
                  <c:v>2Q16</c:v>
                </c:pt>
                <c:pt idx="3">
                  <c:v>3Q16</c:v>
                </c:pt>
                <c:pt idx="4">
                  <c:v>4Q16</c:v>
                </c:pt>
                <c:pt idx="5">
                  <c:v>1Q17</c:v>
                </c:pt>
                <c:pt idx="6">
                  <c:v>2Q17</c:v>
                </c:pt>
                <c:pt idx="7">
                  <c:v>3Q17</c:v>
                </c:pt>
              </c:strCache>
            </c:strRef>
          </c:cat>
          <c:val>
            <c:numRef>
              <c:f>'Charts - Qtr'!$AL$204:$AS$204</c:f>
              <c:numCache>
                <c:formatCode>"$"#,##0_);\("$"#,##0\)</c:formatCode>
                <c:ptCount val="8"/>
                <c:pt idx="0">
                  <c:v>1866</c:v>
                </c:pt>
                <c:pt idx="1">
                  <c:v>1903</c:v>
                </c:pt>
                <c:pt idx="2">
                  <c:v>1979</c:v>
                </c:pt>
                <c:pt idx="3">
                  <c:v>1995</c:v>
                </c:pt>
                <c:pt idx="4">
                  <c:v>1933</c:v>
                </c:pt>
                <c:pt idx="5">
                  <c:v>1955</c:v>
                </c:pt>
                <c:pt idx="6">
                  <c:v>1980</c:v>
                </c:pt>
                <c:pt idx="7">
                  <c:v>1996</c:v>
                </c:pt>
              </c:numCache>
            </c:numRef>
          </c:val>
        </c:ser>
        <c:dLbls>
          <c:showLegendKey val="0"/>
          <c:showVal val="0"/>
          <c:showCatName val="0"/>
          <c:showSerName val="0"/>
          <c:showPercent val="0"/>
          <c:showBubbleSize val="0"/>
        </c:dLbls>
        <c:gapWidth val="150"/>
        <c:axId val="203678848"/>
        <c:axId val="203680384"/>
      </c:barChart>
      <c:lineChart>
        <c:grouping val="standard"/>
        <c:varyColors val="0"/>
        <c:ser>
          <c:idx val="0"/>
          <c:order val="1"/>
          <c:tx>
            <c:strRef>
              <c:f>'Charts - Qtr'!$B$205</c:f>
              <c:strCache>
                <c:ptCount val="1"/>
                <c:pt idx="0">
                  <c:v>% Q/Q</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'Charts - Qtr'!$AL$3:$AS$3</c:f>
              <c:strCache>
                <c:ptCount val="8"/>
                <c:pt idx="0">
                  <c:v>4Q15</c:v>
                </c:pt>
                <c:pt idx="1">
                  <c:v>1Q16</c:v>
                </c:pt>
                <c:pt idx="2">
                  <c:v>2Q16</c:v>
                </c:pt>
                <c:pt idx="3">
                  <c:v>3Q16</c:v>
                </c:pt>
                <c:pt idx="4">
                  <c:v>4Q16</c:v>
                </c:pt>
                <c:pt idx="5">
                  <c:v>1Q17</c:v>
                </c:pt>
                <c:pt idx="6">
                  <c:v>2Q17</c:v>
                </c:pt>
                <c:pt idx="7">
                  <c:v>3Q17</c:v>
                </c:pt>
              </c:strCache>
            </c:strRef>
          </c:cat>
          <c:val>
            <c:numRef>
              <c:f>'Charts - Qtr'!$AL$205:$AS$205</c:f>
              <c:numCache>
                <c:formatCode>0.0%_);\(0.0%\);"–"_)</c:formatCode>
                <c:ptCount val="8"/>
                <c:pt idx="0">
                  <c:v>-1.9957983193277351E-2</c:v>
                </c:pt>
                <c:pt idx="1">
                  <c:v>1.9828510182207992E-2</c:v>
                </c:pt>
                <c:pt idx="2">
                  <c:v>3.9936941671045778E-2</c:v>
                </c:pt>
                <c:pt idx="3">
                  <c:v>8.0848913592723726E-3</c:v>
                </c:pt>
                <c:pt idx="4">
                  <c:v>-3.1077694235588926E-2</c:v>
                </c:pt>
                <c:pt idx="5">
                  <c:v>1.1381272633212536E-2</c:v>
                </c:pt>
                <c:pt idx="6">
                  <c:v>1.2787723785166349E-2</c:v>
                </c:pt>
                <c:pt idx="7">
                  <c:v>8.0808080808081328E-3</c:v>
                </c:pt>
              </c:numCache>
            </c:numRef>
          </c:val>
          <c:smooth val="0"/>
        </c:ser>
        <c:dLbls>
          <c:showLegendKey val="0"/>
          <c:showVal val="0"/>
          <c:showCatName val="0"/>
          <c:showSerName val="0"/>
          <c:showPercent val="0"/>
          <c:showBubbleSize val="0"/>
        </c:dLbls>
        <c:marker val="1"/>
        <c:smooth val="0"/>
        <c:axId val="203825536"/>
        <c:axId val="203827072"/>
      </c:lineChart>
      <c:catAx>
        <c:axId val="203678848"/>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3680384"/>
        <c:crosses val="autoZero"/>
        <c:auto val="0"/>
        <c:lblAlgn val="ctr"/>
        <c:lblOffset val="100"/>
        <c:tickLblSkip val="1"/>
        <c:tickMarkSkip val="1"/>
        <c:noMultiLvlLbl val="0"/>
      </c:catAx>
      <c:valAx>
        <c:axId val="203680384"/>
        <c:scaling>
          <c:orientation val="minMax"/>
        </c:scaling>
        <c:delete val="0"/>
        <c:axPos val="l"/>
        <c:majorGridlines>
          <c:spPr>
            <a:ln w="3175">
              <a:solidFill>
                <a:srgbClr val="C0C0C0"/>
              </a:solidFill>
              <a:prstDash val="solid"/>
            </a:ln>
          </c:spPr>
        </c:majorGridlines>
        <c:numFmt formatCode="&quot;$&quot;#,##0_);\(&quot;$&quot;#,##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3678848"/>
        <c:crosses val="autoZero"/>
        <c:crossBetween val="between"/>
      </c:valAx>
      <c:catAx>
        <c:axId val="203825536"/>
        <c:scaling>
          <c:orientation val="minMax"/>
        </c:scaling>
        <c:delete val="1"/>
        <c:axPos val="b"/>
        <c:majorTickMark val="out"/>
        <c:minorTickMark val="none"/>
        <c:tickLblPos val="nextTo"/>
        <c:crossAx val="203827072"/>
        <c:crosses val="autoZero"/>
        <c:auto val="0"/>
        <c:lblAlgn val="ctr"/>
        <c:lblOffset val="100"/>
        <c:noMultiLvlLbl val="0"/>
      </c:catAx>
      <c:valAx>
        <c:axId val="203827072"/>
        <c:scaling>
          <c:orientation val="minMax"/>
        </c:scaling>
        <c:delete val="0"/>
        <c:axPos val="r"/>
        <c:numFmt formatCode="0.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3825536"/>
        <c:crosses val="max"/>
        <c:crossBetween val="between"/>
      </c:valAx>
      <c:spPr>
        <a:noFill/>
        <a:ln w="25400">
          <a:noFill/>
        </a:ln>
      </c:spPr>
    </c:plotArea>
    <c:legend>
      <c:legendPos val="t"/>
      <c:layout>
        <c:manualLayout>
          <c:xMode val="edge"/>
          <c:yMode val="edge"/>
          <c:x val="0.44219088232632175"/>
          <c:y val="3.2238747934285996E-3"/>
          <c:w val="0.55375317436233251"/>
          <c:h val="8.1481870321765335E-2"/>
        </c:manualLayout>
      </c:layout>
      <c:overlay val="0"/>
      <c:spPr>
        <a:noFill/>
        <a:ln w="25400">
          <a:noFill/>
        </a:ln>
      </c:spPr>
      <c:txPr>
        <a:bodyPr/>
        <a:lstStyle/>
        <a:p>
          <a:pPr>
            <a:defRPr sz="10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NORTH AMERICA</a:t>
            </a:r>
          </a:p>
        </c:rich>
      </c:tx>
      <c:layout>
        <c:manualLayout>
          <c:xMode val="edge"/>
          <c:yMode val="edge"/>
          <c:x val="2.4425388122031304E-3"/>
          <c:y val="5.068425487404481E-3"/>
        </c:manualLayout>
      </c:layout>
      <c:overlay val="1"/>
    </c:title>
    <c:autoTitleDeleted val="0"/>
    <c:plotArea>
      <c:layout>
        <c:manualLayout>
          <c:layoutTarget val="inner"/>
          <c:xMode val="edge"/>
          <c:yMode val="edge"/>
          <c:x val="0.11538461538461539"/>
          <c:y val="0.15173752292831041"/>
          <c:w val="0.78744939271255066"/>
          <c:h val="0.73796672780882777"/>
        </c:manualLayout>
      </c:layout>
      <c:barChart>
        <c:barDir val="col"/>
        <c:grouping val="clustered"/>
        <c:varyColors val="0"/>
        <c:ser>
          <c:idx val="1"/>
          <c:order val="0"/>
          <c:tx>
            <c:strRef>
              <c:f>'Charts - Qtr'!$B$110</c:f>
              <c:strCache>
                <c:ptCount val="1"/>
                <c:pt idx="0">
                  <c:v>Interconnection MRR / Cabinet</c:v>
                </c:pt>
              </c:strCache>
            </c:strRef>
          </c:tx>
          <c:spPr>
            <a:solidFill>
              <a:srgbClr val="EACC80"/>
            </a:solidFill>
            <a:ln w="25400">
              <a:noFill/>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inBase"/>
            <c:showLegendKey val="0"/>
            <c:showVal val="1"/>
            <c:showCatName val="0"/>
            <c:showSerName val="0"/>
            <c:showPercent val="0"/>
            <c:showBubbleSize val="0"/>
            <c:showLeaderLines val="0"/>
          </c:dLbls>
          <c:cat>
            <c:strRef>
              <c:f>'Charts - Qtr'!$AL$3:$AS$3</c:f>
              <c:strCache>
                <c:ptCount val="8"/>
                <c:pt idx="0">
                  <c:v>4Q15</c:v>
                </c:pt>
                <c:pt idx="1">
                  <c:v>1Q16</c:v>
                </c:pt>
                <c:pt idx="2">
                  <c:v>2Q16</c:v>
                </c:pt>
                <c:pt idx="3">
                  <c:v>3Q16</c:v>
                </c:pt>
                <c:pt idx="4">
                  <c:v>4Q16</c:v>
                </c:pt>
                <c:pt idx="5">
                  <c:v>1Q17</c:v>
                </c:pt>
                <c:pt idx="6">
                  <c:v>2Q17</c:v>
                </c:pt>
                <c:pt idx="7">
                  <c:v>3Q17</c:v>
                </c:pt>
              </c:strCache>
            </c:strRef>
          </c:cat>
          <c:val>
            <c:numRef>
              <c:f>'Charts - Qtr'!$AL$110:$AS$110</c:f>
              <c:numCache>
                <c:formatCode>"$"#,##0_);\("$"#,##0\)</c:formatCode>
                <c:ptCount val="8"/>
                <c:pt idx="0">
                  <c:v>555.56446225784907</c:v>
                </c:pt>
                <c:pt idx="1">
                  <c:v>564.44006568144505</c:v>
                </c:pt>
                <c:pt idx="2">
                  <c:v>582.1833495302883</c:v>
                </c:pt>
                <c:pt idx="3">
                  <c:v>590.34987277353696</c:v>
                </c:pt>
                <c:pt idx="4">
                  <c:v>630.03449357165255</c:v>
                </c:pt>
                <c:pt idx="5">
                  <c:v>629.52559300873907</c:v>
                </c:pt>
                <c:pt idx="6">
                  <c:v>724.28660436137091</c:v>
                </c:pt>
                <c:pt idx="7">
                  <c:v>764.92619926199279</c:v>
                </c:pt>
              </c:numCache>
            </c:numRef>
          </c:val>
        </c:ser>
        <c:dLbls>
          <c:showLegendKey val="0"/>
          <c:showVal val="0"/>
          <c:showCatName val="0"/>
          <c:showSerName val="0"/>
          <c:showPercent val="0"/>
          <c:showBubbleSize val="0"/>
        </c:dLbls>
        <c:gapWidth val="150"/>
        <c:axId val="203870976"/>
        <c:axId val="203872512"/>
      </c:barChart>
      <c:lineChart>
        <c:grouping val="standard"/>
        <c:varyColors val="0"/>
        <c:ser>
          <c:idx val="0"/>
          <c:order val="1"/>
          <c:tx>
            <c:strRef>
              <c:f>'Charts - Qtr'!$B$111</c:f>
              <c:strCache>
                <c:ptCount val="1"/>
                <c:pt idx="0">
                  <c:v>% Q/Q</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'Charts - Qtr'!$AL$3:$AS$3</c:f>
              <c:strCache>
                <c:ptCount val="8"/>
                <c:pt idx="0">
                  <c:v>4Q15</c:v>
                </c:pt>
                <c:pt idx="1">
                  <c:v>1Q16</c:v>
                </c:pt>
                <c:pt idx="2">
                  <c:v>2Q16</c:v>
                </c:pt>
                <c:pt idx="3">
                  <c:v>3Q16</c:v>
                </c:pt>
                <c:pt idx="4">
                  <c:v>4Q16</c:v>
                </c:pt>
                <c:pt idx="5">
                  <c:v>1Q17</c:v>
                </c:pt>
                <c:pt idx="6">
                  <c:v>2Q17</c:v>
                </c:pt>
                <c:pt idx="7">
                  <c:v>3Q17</c:v>
                </c:pt>
              </c:strCache>
            </c:strRef>
          </c:cat>
          <c:val>
            <c:numRef>
              <c:f>'Charts - Qtr'!$AL$111:$AS$111</c:f>
              <c:numCache>
                <c:formatCode>0.0%_);\(0.0%\);"–"_)</c:formatCode>
                <c:ptCount val="8"/>
                <c:pt idx="0">
                  <c:v>1.0629203138574184E-2</c:v>
                </c:pt>
                <c:pt idx="1">
                  <c:v>1.597583003694103E-2</c:v>
                </c:pt>
                <c:pt idx="2">
                  <c:v>3.1435195563982221E-2</c:v>
                </c:pt>
                <c:pt idx="3">
                  <c:v>1.4027407774264811E-2</c:v>
                </c:pt>
                <c:pt idx="4">
                  <c:v>6.7222206065146173E-2</c:v>
                </c:pt>
                <c:pt idx="5">
                  <c:v>-8.0773444645632075E-4</c:v>
                </c:pt>
                <c:pt idx="6">
                  <c:v>0.15052765511840982</c:v>
                </c:pt>
                <c:pt idx="7">
                  <c:v>5.6109825386671641E-2</c:v>
                </c:pt>
              </c:numCache>
            </c:numRef>
          </c:val>
          <c:smooth val="0"/>
        </c:ser>
        <c:dLbls>
          <c:showLegendKey val="0"/>
          <c:showVal val="0"/>
          <c:showCatName val="0"/>
          <c:showSerName val="0"/>
          <c:showPercent val="0"/>
          <c:showBubbleSize val="0"/>
        </c:dLbls>
        <c:marker val="1"/>
        <c:smooth val="0"/>
        <c:axId val="203898880"/>
        <c:axId val="203900416"/>
      </c:lineChart>
      <c:catAx>
        <c:axId val="203870976"/>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3872512"/>
        <c:crosses val="autoZero"/>
        <c:auto val="0"/>
        <c:lblAlgn val="ctr"/>
        <c:lblOffset val="100"/>
        <c:tickLblSkip val="1"/>
        <c:tickMarkSkip val="1"/>
        <c:noMultiLvlLbl val="0"/>
      </c:catAx>
      <c:valAx>
        <c:axId val="203872512"/>
        <c:scaling>
          <c:orientation val="minMax"/>
        </c:scaling>
        <c:delete val="0"/>
        <c:axPos val="l"/>
        <c:majorGridlines>
          <c:spPr>
            <a:ln w="3175">
              <a:solidFill>
                <a:srgbClr val="C0C0C0"/>
              </a:solidFill>
              <a:prstDash val="solid"/>
            </a:ln>
          </c:spPr>
        </c:majorGridlines>
        <c:numFmt formatCode="&quot;$&quot;#,##0_);\(&quot;$&quot;#,##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3870976"/>
        <c:crosses val="autoZero"/>
        <c:crossBetween val="between"/>
      </c:valAx>
      <c:catAx>
        <c:axId val="203898880"/>
        <c:scaling>
          <c:orientation val="minMax"/>
        </c:scaling>
        <c:delete val="1"/>
        <c:axPos val="b"/>
        <c:majorTickMark val="out"/>
        <c:minorTickMark val="none"/>
        <c:tickLblPos val="nextTo"/>
        <c:crossAx val="203900416"/>
        <c:crosses val="autoZero"/>
        <c:auto val="0"/>
        <c:lblAlgn val="ctr"/>
        <c:lblOffset val="100"/>
        <c:noMultiLvlLbl val="0"/>
      </c:catAx>
      <c:valAx>
        <c:axId val="203900416"/>
        <c:scaling>
          <c:orientation val="minMax"/>
        </c:scaling>
        <c:delete val="0"/>
        <c:axPos val="r"/>
        <c:numFmt formatCode="0.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3898880"/>
        <c:crosses val="max"/>
        <c:crossBetween val="between"/>
      </c:valAx>
      <c:spPr>
        <a:noFill/>
        <a:ln w="25400">
          <a:noFill/>
        </a:ln>
      </c:spPr>
    </c:plotArea>
    <c:legend>
      <c:legendPos val="t"/>
      <c:layout>
        <c:manualLayout>
          <c:xMode val="edge"/>
          <c:yMode val="edge"/>
          <c:x val="0.37854251012145751"/>
          <c:y val="1.338137160899168E-2"/>
          <c:w val="0.61808367071524972"/>
          <c:h val="8.1180811808118078E-2"/>
        </c:manualLayout>
      </c:layout>
      <c:overlay val="0"/>
      <c:spPr>
        <a:noFill/>
        <a:ln w="25400">
          <a:noFill/>
        </a:ln>
      </c:spPr>
      <c:txPr>
        <a:bodyPr/>
        <a:lstStyle/>
        <a:p>
          <a:pPr>
            <a:defRPr sz="10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GLOBAL</a:t>
            </a:r>
          </a:p>
        </c:rich>
      </c:tx>
      <c:layout>
        <c:manualLayout>
          <c:xMode val="edge"/>
          <c:yMode val="edge"/>
          <c:x val="4.1994750656167975E-4"/>
          <c:y val="0"/>
        </c:manualLayout>
      </c:layout>
      <c:overlay val="1"/>
    </c:title>
    <c:autoTitleDeleted val="0"/>
    <c:plotArea>
      <c:layout>
        <c:manualLayout>
          <c:layoutTarget val="inner"/>
          <c:xMode val="edge"/>
          <c:yMode val="edge"/>
          <c:x val="0.1036587423358548"/>
          <c:y val="0.13754646840148699"/>
          <c:w val="0.79878207329393991"/>
          <c:h val="0.69516728624535318"/>
        </c:manualLayout>
      </c:layout>
      <c:barChart>
        <c:barDir val="col"/>
        <c:grouping val="clustered"/>
        <c:varyColors val="0"/>
        <c:ser>
          <c:idx val="1"/>
          <c:order val="0"/>
          <c:tx>
            <c:strRef>
              <c:f>'Charts - Qtr'!$B$358</c:f>
              <c:strCache>
                <c:ptCount val="1"/>
                <c:pt idx="0">
                  <c:v>Cross Connect / Cabinet</c:v>
                </c:pt>
              </c:strCache>
            </c:strRef>
          </c:tx>
          <c:spPr>
            <a:solidFill>
              <a:srgbClr val="EACC80"/>
            </a:solidFill>
            <a:ln w="25400">
              <a:noFill/>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inBase"/>
            <c:showLegendKey val="0"/>
            <c:showVal val="1"/>
            <c:showCatName val="0"/>
            <c:showSerName val="0"/>
            <c:showPercent val="0"/>
            <c:showBubbleSize val="0"/>
            <c:showLeaderLines val="0"/>
          </c:dLbls>
          <c:cat>
            <c:strRef>
              <c:f>'Charts - Qtr'!$AL$3:$AS$3</c:f>
              <c:strCache>
                <c:ptCount val="8"/>
                <c:pt idx="0">
                  <c:v>4Q15</c:v>
                </c:pt>
                <c:pt idx="1">
                  <c:v>1Q16</c:v>
                </c:pt>
                <c:pt idx="2">
                  <c:v>2Q16</c:v>
                </c:pt>
                <c:pt idx="3">
                  <c:v>3Q16</c:v>
                </c:pt>
                <c:pt idx="4">
                  <c:v>4Q16</c:v>
                </c:pt>
                <c:pt idx="5">
                  <c:v>1Q17</c:v>
                </c:pt>
                <c:pt idx="6">
                  <c:v>2Q17</c:v>
                </c:pt>
                <c:pt idx="7">
                  <c:v>3Q17</c:v>
                </c:pt>
              </c:strCache>
            </c:strRef>
          </c:cat>
          <c:val>
            <c:numRef>
              <c:f>'Charts - Qtr'!$AL$358:$AS$358</c:f>
              <c:numCache>
                <c:formatCode>0.00</c:formatCode>
                <c:ptCount val="8"/>
                <c:pt idx="0">
                  <c:v>1.496425379803396</c:v>
                </c:pt>
                <c:pt idx="1">
                  <c:v>1.5203145478374835</c:v>
                </c:pt>
                <c:pt idx="2">
                  <c:v>1.5391527599486521</c:v>
                </c:pt>
                <c:pt idx="3">
                  <c:v>1.5477282200917049</c:v>
                </c:pt>
                <c:pt idx="4">
                  <c:v>1.5014347202295553</c:v>
                </c:pt>
                <c:pt idx="5">
                  <c:v>1.4756944444444444</c:v>
                </c:pt>
                <c:pt idx="6">
                  <c:v>1.4911408144233758</c:v>
                </c:pt>
                <c:pt idx="7">
                  <c:v>1.4904284412032818</c:v>
                </c:pt>
              </c:numCache>
            </c:numRef>
          </c:val>
        </c:ser>
        <c:dLbls>
          <c:showLegendKey val="0"/>
          <c:showVal val="0"/>
          <c:showCatName val="0"/>
          <c:showSerName val="0"/>
          <c:showPercent val="0"/>
          <c:showBubbleSize val="0"/>
        </c:dLbls>
        <c:gapWidth val="150"/>
        <c:axId val="203932032"/>
        <c:axId val="203933568"/>
      </c:barChart>
      <c:lineChart>
        <c:grouping val="standard"/>
        <c:varyColors val="0"/>
        <c:ser>
          <c:idx val="0"/>
          <c:order val="1"/>
          <c:tx>
            <c:strRef>
              <c:f>'Charts - Qtr'!$B$359</c:f>
              <c:strCache>
                <c:ptCount val="1"/>
                <c:pt idx="0">
                  <c:v>% Q/Q</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'Charts - Qtr'!$AL$3:$AS$3</c:f>
              <c:strCache>
                <c:ptCount val="8"/>
                <c:pt idx="0">
                  <c:v>4Q15</c:v>
                </c:pt>
                <c:pt idx="1">
                  <c:v>1Q16</c:v>
                </c:pt>
                <c:pt idx="2">
                  <c:v>2Q16</c:v>
                </c:pt>
                <c:pt idx="3">
                  <c:v>3Q16</c:v>
                </c:pt>
                <c:pt idx="4">
                  <c:v>4Q16</c:v>
                </c:pt>
                <c:pt idx="5">
                  <c:v>1Q17</c:v>
                </c:pt>
                <c:pt idx="6">
                  <c:v>2Q17</c:v>
                </c:pt>
                <c:pt idx="7">
                  <c:v>3Q17</c:v>
                </c:pt>
              </c:strCache>
            </c:strRef>
          </c:cat>
          <c:val>
            <c:numRef>
              <c:f>'Charts - Qtr'!$AL$359:$AS$359</c:f>
              <c:numCache>
                <c:formatCode>0.0%_);\(0.0%\);"–"_)</c:formatCode>
                <c:ptCount val="8"/>
                <c:pt idx="0">
                  <c:v>6.4908531449183737E-3</c:v>
                </c:pt>
                <c:pt idx="1">
                  <c:v>1.596415588542488E-2</c:v>
                </c:pt>
                <c:pt idx="2">
                  <c:v>1.2390996414501476E-2</c:v>
                </c:pt>
                <c:pt idx="3">
                  <c:v>5.5715458310576782E-3</c:v>
                </c:pt>
                <c:pt idx="4">
                  <c:v>-2.9910613027012367E-2</c:v>
                </c:pt>
                <c:pt idx="5">
                  <c:v>-1.7143786165525365E-2</c:v>
                </c:pt>
                <c:pt idx="6">
                  <c:v>1.0467187185722926E-2</c:v>
                </c:pt>
                <c:pt idx="7">
                  <c:v>-4.7773705420939283E-4</c:v>
                </c:pt>
              </c:numCache>
            </c:numRef>
          </c:val>
          <c:smooth val="0"/>
        </c:ser>
        <c:dLbls>
          <c:showLegendKey val="0"/>
          <c:showVal val="0"/>
          <c:showCatName val="0"/>
          <c:showSerName val="0"/>
          <c:showPercent val="0"/>
          <c:showBubbleSize val="0"/>
        </c:dLbls>
        <c:marker val="1"/>
        <c:smooth val="0"/>
        <c:axId val="203935104"/>
        <c:axId val="204145792"/>
      </c:lineChart>
      <c:catAx>
        <c:axId val="203932032"/>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3933568"/>
        <c:crosses val="autoZero"/>
        <c:auto val="0"/>
        <c:lblAlgn val="ctr"/>
        <c:lblOffset val="100"/>
        <c:tickLblSkip val="1"/>
        <c:tickMarkSkip val="1"/>
        <c:noMultiLvlLbl val="0"/>
      </c:catAx>
      <c:valAx>
        <c:axId val="203933568"/>
        <c:scaling>
          <c:orientation val="minMax"/>
        </c:scaling>
        <c:delete val="0"/>
        <c:axPos val="l"/>
        <c:majorGridlines>
          <c:spPr>
            <a:ln w="3175">
              <a:solidFill>
                <a:srgbClr val="C0C0C0"/>
              </a:solidFill>
              <a:prstDash val="solid"/>
            </a:ln>
          </c:spPr>
        </c:majorGridlines>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3932032"/>
        <c:crosses val="autoZero"/>
        <c:crossBetween val="between"/>
        <c:majorUnit val="2.0000000000000004E-2"/>
      </c:valAx>
      <c:catAx>
        <c:axId val="203935104"/>
        <c:scaling>
          <c:orientation val="minMax"/>
        </c:scaling>
        <c:delete val="1"/>
        <c:axPos val="b"/>
        <c:majorTickMark val="out"/>
        <c:minorTickMark val="none"/>
        <c:tickLblPos val="nextTo"/>
        <c:crossAx val="204145792"/>
        <c:crosses val="autoZero"/>
        <c:auto val="0"/>
        <c:lblAlgn val="ctr"/>
        <c:lblOffset val="100"/>
        <c:noMultiLvlLbl val="0"/>
      </c:catAx>
      <c:valAx>
        <c:axId val="204145792"/>
        <c:scaling>
          <c:orientation val="minMax"/>
        </c:scaling>
        <c:delete val="0"/>
        <c:axPos val="r"/>
        <c:numFmt formatCode="0.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3935104"/>
        <c:crosses val="max"/>
        <c:crossBetween val="between"/>
      </c:valAx>
      <c:spPr>
        <a:noFill/>
        <a:ln w="25400">
          <a:noFill/>
        </a:ln>
      </c:spPr>
    </c:plotArea>
    <c:legend>
      <c:legendPos val="t"/>
      <c:layout>
        <c:manualLayout>
          <c:xMode val="edge"/>
          <c:yMode val="edge"/>
          <c:x val="0.47493288948637513"/>
          <c:y val="8.3724106977334147E-3"/>
          <c:w val="0.52235879051703904"/>
          <c:h val="8.1784386617100371E-2"/>
        </c:manualLayout>
      </c:layout>
      <c:overlay val="0"/>
      <c:spPr>
        <a:noFill/>
        <a:ln w="25400">
          <a:noFill/>
        </a:ln>
      </c:spPr>
      <c:txPr>
        <a:bodyPr/>
        <a:lstStyle/>
        <a:p>
          <a:pPr>
            <a:defRPr sz="10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EMEA</a:t>
            </a:r>
          </a:p>
        </c:rich>
      </c:tx>
      <c:layout>
        <c:manualLayout>
          <c:xMode val="edge"/>
          <c:yMode val="edge"/>
          <c:x val="1.4334009465855309E-3"/>
          <c:y val="0"/>
        </c:manualLayout>
      </c:layout>
      <c:overlay val="1"/>
    </c:title>
    <c:autoTitleDeleted val="0"/>
    <c:plotArea>
      <c:layout>
        <c:manualLayout>
          <c:layoutTarget val="inner"/>
          <c:xMode val="edge"/>
          <c:yMode val="edge"/>
          <c:x val="0.10344837832029102"/>
          <c:y val="0.13333381558816401"/>
          <c:w val="0.79310423378889783"/>
          <c:h val="0.7000025318378611"/>
        </c:manualLayout>
      </c:layout>
      <c:barChart>
        <c:barDir val="col"/>
        <c:grouping val="clustered"/>
        <c:varyColors val="0"/>
        <c:ser>
          <c:idx val="1"/>
          <c:order val="0"/>
          <c:tx>
            <c:strRef>
              <c:f>'Charts - Qtr'!$B$275</c:f>
              <c:strCache>
                <c:ptCount val="1"/>
                <c:pt idx="0">
                  <c:v>Cross Connect / Cabinet</c:v>
                </c:pt>
              </c:strCache>
            </c:strRef>
          </c:tx>
          <c:spPr>
            <a:solidFill>
              <a:srgbClr val="EACC80"/>
            </a:solidFill>
            <a:ln w="25400">
              <a:noFill/>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inBase"/>
            <c:showLegendKey val="0"/>
            <c:showVal val="1"/>
            <c:showCatName val="0"/>
            <c:showSerName val="0"/>
            <c:showPercent val="0"/>
            <c:showBubbleSize val="0"/>
            <c:showLeaderLines val="0"/>
          </c:dLbls>
          <c:cat>
            <c:strRef>
              <c:f>'Charts - Qtr'!$AL$3:$AS$3</c:f>
              <c:strCache>
                <c:ptCount val="8"/>
                <c:pt idx="0">
                  <c:v>4Q15</c:v>
                </c:pt>
                <c:pt idx="1">
                  <c:v>1Q16</c:v>
                </c:pt>
                <c:pt idx="2">
                  <c:v>2Q16</c:v>
                </c:pt>
                <c:pt idx="3">
                  <c:v>3Q16</c:v>
                </c:pt>
                <c:pt idx="4">
                  <c:v>4Q16</c:v>
                </c:pt>
                <c:pt idx="5">
                  <c:v>1Q17</c:v>
                </c:pt>
                <c:pt idx="6">
                  <c:v>2Q17</c:v>
                </c:pt>
                <c:pt idx="7">
                  <c:v>3Q17</c:v>
                </c:pt>
              </c:strCache>
            </c:strRef>
          </c:cat>
          <c:val>
            <c:numRef>
              <c:f>'Charts - Qtr'!$AL$275:$AS$275</c:f>
              <c:numCache>
                <c:formatCode>0.00</c:formatCode>
                <c:ptCount val="8"/>
                <c:pt idx="0">
                  <c:v>1.0715181932245923</c:v>
                </c:pt>
                <c:pt idx="1">
                  <c:v>1.0820073439412485</c:v>
                </c:pt>
                <c:pt idx="2">
                  <c:v>1.0804321728691477</c:v>
                </c:pt>
                <c:pt idx="3">
                  <c:v>1.0762016412661195</c:v>
                </c:pt>
                <c:pt idx="4">
                  <c:v>1.096774193548387</c:v>
                </c:pt>
                <c:pt idx="5">
                  <c:v>1.1134704711347048</c:v>
                </c:pt>
                <c:pt idx="6">
                  <c:v>1.1188311688311687</c:v>
                </c:pt>
                <c:pt idx="7">
                  <c:v>1.1188369152970923</c:v>
                </c:pt>
              </c:numCache>
            </c:numRef>
          </c:val>
        </c:ser>
        <c:dLbls>
          <c:showLegendKey val="0"/>
          <c:showVal val="0"/>
          <c:showCatName val="0"/>
          <c:showSerName val="0"/>
          <c:showPercent val="0"/>
          <c:showBubbleSize val="0"/>
        </c:dLbls>
        <c:gapWidth val="150"/>
        <c:axId val="204197888"/>
        <c:axId val="204199424"/>
      </c:barChart>
      <c:lineChart>
        <c:grouping val="standard"/>
        <c:varyColors val="0"/>
        <c:ser>
          <c:idx val="0"/>
          <c:order val="1"/>
          <c:tx>
            <c:strRef>
              <c:f>'Charts - Qtr'!$B$276</c:f>
              <c:strCache>
                <c:ptCount val="1"/>
                <c:pt idx="0">
                  <c:v>% Q/Q</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'Charts - Qtr'!$AL$3:$AS$3</c:f>
              <c:strCache>
                <c:ptCount val="8"/>
                <c:pt idx="0">
                  <c:v>4Q15</c:v>
                </c:pt>
                <c:pt idx="1">
                  <c:v>1Q16</c:v>
                </c:pt>
                <c:pt idx="2">
                  <c:v>2Q16</c:v>
                </c:pt>
                <c:pt idx="3">
                  <c:v>3Q16</c:v>
                </c:pt>
                <c:pt idx="4">
                  <c:v>4Q16</c:v>
                </c:pt>
                <c:pt idx="5">
                  <c:v>1Q17</c:v>
                </c:pt>
                <c:pt idx="6">
                  <c:v>2Q17</c:v>
                </c:pt>
                <c:pt idx="7">
                  <c:v>3Q17</c:v>
                </c:pt>
              </c:strCache>
            </c:strRef>
          </c:cat>
          <c:val>
            <c:numRef>
              <c:f>'Charts - Qtr'!$AL$276:$AS$276</c:f>
              <c:numCache>
                <c:formatCode>0.0%_);\(0.0%\);"–"_)</c:formatCode>
                <c:ptCount val="8"/>
                <c:pt idx="0">
                  <c:v>1.0816423657681984E-2</c:v>
                </c:pt>
                <c:pt idx="1">
                  <c:v>9.7890551770198897E-3</c:v>
                </c:pt>
                <c:pt idx="2">
                  <c:v>-1.4557859342831936E-3</c:v>
                </c:pt>
                <c:pt idx="3">
                  <c:v>-3.9155920281360723E-3</c:v>
                </c:pt>
                <c:pt idx="4">
                  <c:v>1.9115890083631903E-2</c:v>
                </c:pt>
                <c:pt idx="5">
                  <c:v>1.5223076622819187E-2</c:v>
                </c:pt>
                <c:pt idx="6">
                  <c:v>4.8144049037968095E-3</c:v>
                </c:pt>
                <c:pt idx="7">
                  <c:v>5.1361332107369151E-6</c:v>
                </c:pt>
              </c:numCache>
            </c:numRef>
          </c:val>
          <c:smooth val="0"/>
        </c:ser>
        <c:dLbls>
          <c:showLegendKey val="0"/>
          <c:showVal val="0"/>
          <c:showCatName val="0"/>
          <c:showSerName val="0"/>
          <c:showPercent val="0"/>
          <c:showBubbleSize val="0"/>
        </c:dLbls>
        <c:marker val="1"/>
        <c:smooth val="0"/>
        <c:axId val="204200960"/>
        <c:axId val="204227328"/>
      </c:lineChart>
      <c:catAx>
        <c:axId val="204197888"/>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4199424"/>
        <c:crosses val="autoZero"/>
        <c:auto val="0"/>
        <c:lblAlgn val="ctr"/>
        <c:lblOffset val="100"/>
        <c:tickLblSkip val="1"/>
        <c:tickMarkSkip val="1"/>
        <c:noMultiLvlLbl val="0"/>
      </c:catAx>
      <c:valAx>
        <c:axId val="204199424"/>
        <c:scaling>
          <c:orientation val="minMax"/>
        </c:scaling>
        <c:delete val="0"/>
        <c:axPos val="l"/>
        <c:majorGridlines>
          <c:spPr>
            <a:ln w="3175">
              <a:solidFill>
                <a:srgbClr val="C0C0C0"/>
              </a:solidFill>
              <a:prstDash val="solid"/>
            </a:ln>
          </c:spPr>
        </c:majorGridlines>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4197888"/>
        <c:crosses val="autoZero"/>
        <c:crossBetween val="between"/>
        <c:majorUnit val="2.0000000000000004E-2"/>
      </c:valAx>
      <c:catAx>
        <c:axId val="204200960"/>
        <c:scaling>
          <c:orientation val="minMax"/>
        </c:scaling>
        <c:delete val="1"/>
        <c:axPos val="b"/>
        <c:majorTickMark val="out"/>
        <c:minorTickMark val="none"/>
        <c:tickLblPos val="nextTo"/>
        <c:crossAx val="204227328"/>
        <c:crosses val="autoZero"/>
        <c:auto val="0"/>
        <c:lblAlgn val="ctr"/>
        <c:lblOffset val="100"/>
        <c:noMultiLvlLbl val="0"/>
      </c:catAx>
      <c:valAx>
        <c:axId val="204227328"/>
        <c:scaling>
          <c:orientation val="minMax"/>
        </c:scaling>
        <c:delete val="0"/>
        <c:axPos val="r"/>
        <c:numFmt formatCode="0.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4200960"/>
        <c:crosses val="max"/>
        <c:crossBetween val="between"/>
        <c:majorUnit val="1.0000000000000002E-2"/>
      </c:valAx>
      <c:spPr>
        <a:noFill/>
        <a:ln w="25400">
          <a:noFill/>
        </a:ln>
      </c:spPr>
    </c:plotArea>
    <c:legend>
      <c:legendPos val="t"/>
      <c:layout>
        <c:manualLayout>
          <c:xMode val="edge"/>
          <c:yMode val="edge"/>
          <c:x val="0.44151474980434746"/>
          <c:y val="3.2545931758530184E-3"/>
          <c:w val="0.55375296140720742"/>
          <c:h val="8.1481870321765335E-2"/>
        </c:manualLayout>
      </c:layout>
      <c:overlay val="0"/>
      <c:spPr>
        <a:noFill/>
        <a:ln w="25400">
          <a:noFill/>
        </a:ln>
      </c:spPr>
      <c:txPr>
        <a:bodyPr/>
        <a:lstStyle/>
        <a:p>
          <a:pPr>
            <a:defRPr sz="10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ASIA-PACIFIC</a:t>
            </a:r>
          </a:p>
        </c:rich>
      </c:tx>
      <c:layout>
        <c:manualLayout>
          <c:xMode val="edge"/>
          <c:yMode val="edge"/>
          <c:x val="2.4425388122031304E-3"/>
          <c:y val="0"/>
        </c:manualLayout>
      </c:layout>
      <c:overlay val="1"/>
    </c:title>
    <c:autoTitleDeleted val="0"/>
    <c:plotArea>
      <c:layout>
        <c:manualLayout>
          <c:layoutTarget val="inner"/>
          <c:xMode val="edge"/>
          <c:yMode val="edge"/>
          <c:x val="0.10121457489878542"/>
          <c:y val="0.13653161131301048"/>
          <c:w val="0.78744939271255066"/>
          <c:h val="0.69741823076105347"/>
        </c:manualLayout>
      </c:layout>
      <c:barChart>
        <c:barDir val="col"/>
        <c:grouping val="clustered"/>
        <c:varyColors val="0"/>
        <c:ser>
          <c:idx val="1"/>
          <c:order val="0"/>
          <c:tx>
            <c:strRef>
              <c:f>'Charts - Qtr'!$B$208</c:f>
              <c:strCache>
                <c:ptCount val="1"/>
                <c:pt idx="0">
                  <c:v>Cross Connect / Cabinet</c:v>
                </c:pt>
              </c:strCache>
            </c:strRef>
          </c:tx>
          <c:spPr>
            <a:solidFill>
              <a:srgbClr val="EACC80"/>
            </a:solidFill>
            <a:ln w="25400">
              <a:noFill/>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inBase"/>
            <c:showLegendKey val="0"/>
            <c:showVal val="1"/>
            <c:showCatName val="0"/>
            <c:showSerName val="0"/>
            <c:showPercent val="0"/>
            <c:showBubbleSize val="0"/>
            <c:showLeaderLines val="0"/>
          </c:dLbls>
          <c:cat>
            <c:strRef>
              <c:f>'Charts - Qtr'!$AL$3:$AS$3</c:f>
              <c:strCache>
                <c:ptCount val="8"/>
                <c:pt idx="0">
                  <c:v>4Q15</c:v>
                </c:pt>
                <c:pt idx="1">
                  <c:v>1Q16</c:v>
                </c:pt>
                <c:pt idx="2">
                  <c:v>2Q16</c:v>
                </c:pt>
                <c:pt idx="3">
                  <c:v>3Q16</c:v>
                </c:pt>
                <c:pt idx="4">
                  <c:v>4Q16</c:v>
                </c:pt>
                <c:pt idx="5">
                  <c:v>1Q17</c:v>
                </c:pt>
                <c:pt idx="6">
                  <c:v>2Q17</c:v>
                </c:pt>
                <c:pt idx="7">
                  <c:v>3Q17</c:v>
                </c:pt>
              </c:strCache>
            </c:strRef>
          </c:cat>
          <c:val>
            <c:numRef>
              <c:f>'Charts - Qtr'!$AL$208:$AS$208</c:f>
              <c:numCache>
                <c:formatCode>0.00</c:formatCode>
                <c:ptCount val="8"/>
                <c:pt idx="0">
                  <c:v>1.4875846501128669</c:v>
                </c:pt>
                <c:pt idx="1">
                  <c:v>1.4901531728665207</c:v>
                </c:pt>
                <c:pt idx="2">
                  <c:v>1.4905263157894737</c:v>
                </c:pt>
                <c:pt idx="3">
                  <c:v>1.4879518072289157</c:v>
                </c:pt>
                <c:pt idx="4">
                  <c:v>1.4424131627056673</c:v>
                </c:pt>
                <c:pt idx="5">
                  <c:v>1.4114671163575043</c:v>
                </c:pt>
                <c:pt idx="6">
                  <c:v>1.4217462932454694</c:v>
                </c:pt>
                <c:pt idx="7">
                  <c:v>1.4208000000000001</c:v>
                </c:pt>
              </c:numCache>
            </c:numRef>
          </c:val>
        </c:ser>
        <c:dLbls>
          <c:showLegendKey val="0"/>
          <c:showVal val="0"/>
          <c:showCatName val="0"/>
          <c:showSerName val="0"/>
          <c:showPercent val="0"/>
          <c:showBubbleSize val="0"/>
        </c:dLbls>
        <c:gapWidth val="150"/>
        <c:axId val="204254592"/>
        <c:axId val="204256384"/>
      </c:barChart>
      <c:lineChart>
        <c:grouping val="standard"/>
        <c:varyColors val="0"/>
        <c:ser>
          <c:idx val="0"/>
          <c:order val="1"/>
          <c:tx>
            <c:strRef>
              <c:f>'Charts - Qtr'!$B$209</c:f>
              <c:strCache>
                <c:ptCount val="1"/>
                <c:pt idx="0">
                  <c:v>% Q/Q</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'Charts - Qtr'!$AL$3:$AS$3</c:f>
              <c:strCache>
                <c:ptCount val="8"/>
                <c:pt idx="0">
                  <c:v>4Q15</c:v>
                </c:pt>
                <c:pt idx="1">
                  <c:v>1Q16</c:v>
                </c:pt>
                <c:pt idx="2">
                  <c:v>2Q16</c:v>
                </c:pt>
                <c:pt idx="3">
                  <c:v>3Q16</c:v>
                </c:pt>
                <c:pt idx="4">
                  <c:v>4Q16</c:v>
                </c:pt>
                <c:pt idx="5">
                  <c:v>1Q17</c:v>
                </c:pt>
                <c:pt idx="6">
                  <c:v>2Q17</c:v>
                </c:pt>
                <c:pt idx="7">
                  <c:v>3Q17</c:v>
                </c:pt>
              </c:strCache>
            </c:strRef>
          </c:cat>
          <c:val>
            <c:numRef>
              <c:f>'Charts - Qtr'!$AL$209:$AS$209</c:f>
              <c:numCache>
                <c:formatCode>0.0%_);\(0.0%\);"–"_)</c:formatCode>
                <c:ptCount val="8"/>
                <c:pt idx="0">
                  <c:v>-9.8485688630679524E-3</c:v>
                </c:pt>
                <c:pt idx="1">
                  <c:v>1.7266397266595401E-3</c:v>
                </c:pt>
                <c:pt idx="2">
                  <c:v>2.504057500580803E-4</c:v>
                </c:pt>
                <c:pt idx="3">
                  <c:v>-1.7272479749506076E-3</c:v>
                </c:pt>
                <c:pt idx="4">
                  <c:v>-3.0604918991332886E-2</c:v>
                </c:pt>
                <c:pt idx="5">
                  <c:v>-2.1454356593720081E-2</c:v>
                </c:pt>
                <c:pt idx="6">
                  <c:v>7.2826187509715812E-3</c:v>
                </c:pt>
                <c:pt idx="7">
                  <c:v>-6.6558516801840106E-4</c:v>
                </c:pt>
              </c:numCache>
            </c:numRef>
          </c:val>
          <c:smooth val="0"/>
        </c:ser>
        <c:dLbls>
          <c:showLegendKey val="0"/>
          <c:showVal val="0"/>
          <c:showCatName val="0"/>
          <c:showSerName val="0"/>
          <c:showPercent val="0"/>
          <c:showBubbleSize val="0"/>
        </c:dLbls>
        <c:marker val="1"/>
        <c:smooth val="0"/>
        <c:axId val="204257920"/>
        <c:axId val="204272000"/>
      </c:lineChart>
      <c:catAx>
        <c:axId val="204254592"/>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4256384"/>
        <c:crosses val="autoZero"/>
        <c:auto val="0"/>
        <c:lblAlgn val="ctr"/>
        <c:lblOffset val="100"/>
        <c:tickLblSkip val="1"/>
        <c:tickMarkSkip val="1"/>
        <c:noMultiLvlLbl val="0"/>
      </c:catAx>
      <c:valAx>
        <c:axId val="204256384"/>
        <c:scaling>
          <c:orientation val="minMax"/>
        </c:scaling>
        <c:delete val="0"/>
        <c:axPos val="l"/>
        <c:majorGridlines>
          <c:spPr>
            <a:ln w="3175">
              <a:solidFill>
                <a:srgbClr val="C0C0C0"/>
              </a:solidFill>
              <a:prstDash val="solid"/>
            </a:ln>
          </c:spPr>
        </c:majorGridlines>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4254592"/>
        <c:crosses val="autoZero"/>
        <c:crossBetween val="between"/>
      </c:valAx>
      <c:catAx>
        <c:axId val="204257920"/>
        <c:scaling>
          <c:orientation val="minMax"/>
        </c:scaling>
        <c:delete val="1"/>
        <c:axPos val="b"/>
        <c:majorTickMark val="out"/>
        <c:minorTickMark val="none"/>
        <c:tickLblPos val="nextTo"/>
        <c:crossAx val="204272000"/>
        <c:crosses val="autoZero"/>
        <c:auto val="0"/>
        <c:lblAlgn val="ctr"/>
        <c:lblOffset val="100"/>
        <c:noMultiLvlLbl val="0"/>
      </c:catAx>
      <c:valAx>
        <c:axId val="204272000"/>
        <c:scaling>
          <c:orientation val="minMax"/>
        </c:scaling>
        <c:delete val="0"/>
        <c:axPos val="r"/>
        <c:numFmt formatCode="0.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4257920"/>
        <c:crosses val="max"/>
        <c:crossBetween val="between"/>
      </c:valAx>
      <c:spPr>
        <a:noFill/>
        <a:ln w="25400">
          <a:noFill/>
        </a:ln>
      </c:spPr>
    </c:plotArea>
    <c:legend>
      <c:legendPos val="t"/>
      <c:layout>
        <c:manualLayout>
          <c:xMode val="edge"/>
          <c:yMode val="edge"/>
          <c:x val="0.43522267206477733"/>
          <c:y val="3.2441332287338623E-3"/>
          <c:w val="0.56072874493927127"/>
          <c:h val="8.1180811808118078E-2"/>
        </c:manualLayout>
      </c:layout>
      <c:overlay val="0"/>
      <c:spPr>
        <a:noFill/>
        <a:ln w="25400">
          <a:noFill/>
        </a:ln>
      </c:spPr>
      <c:txPr>
        <a:bodyPr/>
        <a:lstStyle/>
        <a:p>
          <a:pPr>
            <a:defRPr sz="10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NORTH AMERICA</a:t>
            </a:r>
          </a:p>
        </c:rich>
      </c:tx>
      <c:layout>
        <c:manualLayout>
          <c:xMode val="edge"/>
          <c:yMode val="edge"/>
          <c:x val="7.5420875420875429E-4"/>
          <c:y val="0"/>
        </c:manualLayout>
      </c:layout>
      <c:overlay val="1"/>
    </c:title>
    <c:autoTitleDeleted val="0"/>
    <c:plotArea>
      <c:layout>
        <c:manualLayout>
          <c:layoutTarget val="inner"/>
          <c:xMode val="edge"/>
          <c:yMode val="edge"/>
          <c:x val="0.10505071230017421"/>
          <c:y val="0.13235294117647059"/>
          <c:w val="0.80202178429171456"/>
          <c:h val="0.70588235294117652"/>
        </c:manualLayout>
      </c:layout>
      <c:barChart>
        <c:barDir val="col"/>
        <c:grouping val="clustered"/>
        <c:varyColors val="0"/>
        <c:ser>
          <c:idx val="1"/>
          <c:order val="0"/>
          <c:tx>
            <c:strRef>
              <c:f>'Charts - Qtr'!$B$105</c:f>
              <c:strCache>
                <c:ptCount val="1"/>
                <c:pt idx="0">
                  <c:v>Cross Connect / Cabinet</c:v>
                </c:pt>
              </c:strCache>
            </c:strRef>
          </c:tx>
          <c:spPr>
            <a:solidFill>
              <a:srgbClr val="EACC80"/>
            </a:solidFill>
            <a:ln w="25400">
              <a:noFill/>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inBase"/>
            <c:showLegendKey val="0"/>
            <c:showVal val="1"/>
            <c:showCatName val="0"/>
            <c:showSerName val="0"/>
            <c:showPercent val="0"/>
            <c:showBubbleSize val="0"/>
            <c:showLeaderLines val="0"/>
          </c:dLbls>
          <c:cat>
            <c:strRef>
              <c:f>'Charts - Qtr'!$AL$3:$AS$3</c:f>
              <c:strCache>
                <c:ptCount val="8"/>
                <c:pt idx="0">
                  <c:v>4Q15</c:v>
                </c:pt>
                <c:pt idx="1">
                  <c:v>1Q16</c:v>
                </c:pt>
                <c:pt idx="2">
                  <c:v>2Q16</c:v>
                </c:pt>
                <c:pt idx="3">
                  <c:v>3Q16</c:v>
                </c:pt>
                <c:pt idx="4">
                  <c:v>4Q16</c:v>
                </c:pt>
                <c:pt idx="5">
                  <c:v>1Q17</c:v>
                </c:pt>
                <c:pt idx="6">
                  <c:v>2Q17</c:v>
                </c:pt>
                <c:pt idx="7">
                  <c:v>3Q17</c:v>
                </c:pt>
              </c:strCache>
            </c:strRef>
          </c:cat>
          <c:val>
            <c:numRef>
              <c:f>'Charts - Qtr'!$AL$105:$AS$105</c:f>
              <c:numCache>
                <c:formatCode>0.00</c:formatCode>
                <c:ptCount val="8"/>
                <c:pt idx="0">
                  <c:v>1.8396793587174349</c:v>
                </c:pt>
                <c:pt idx="1">
                  <c:v>1.8866995073891626</c:v>
                </c:pt>
                <c:pt idx="2">
                  <c:v>1.9329446064139941</c:v>
                </c:pt>
                <c:pt idx="3">
                  <c:v>1.9599236641221374</c:v>
                </c:pt>
                <c:pt idx="4">
                  <c:v>1.9802445907808091</c:v>
                </c:pt>
                <c:pt idx="5">
                  <c:v>2.0224719101123596</c:v>
                </c:pt>
                <c:pt idx="6">
                  <c:v>2.066355140186916</c:v>
                </c:pt>
                <c:pt idx="7">
                  <c:v>2.072878228782288</c:v>
                </c:pt>
              </c:numCache>
            </c:numRef>
          </c:val>
        </c:ser>
        <c:dLbls>
          <c:showLegendKey val="0"/>
          <c:showVal val="0"/>
          <c:showCatName val="0"/>
          <c:showSerName val="0"/>
          <c:showPercent val="0"/>
          <c:showBubbleSize val="0"/>
        </c:dLbls>
        <c:gapWidth val="150"/>
        <c:axId val="204299264"/>
        <c:axId val="204305152"/>
      </c:barChart>
      <c:lineChart>
        <c:grouping val="standard"/>
        <c:varyColors val="0"/>
        <c:ser>
          <c:idx val="0"/>
          <c:order val="1"/>
          <c:tx>
            <c:strRef>
              <c:f>'Charts - Qtr'!$B$106</c:f>
              <c:strCache>
                <c:ptCount val="1"/>
                <c:pt idx="0">
                  <c:v>% Q/Q</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'Charts - Qtr'!$AL$3:$AS$3</c:f>
              <c:strCache>
                <c:ptCount val="8"/>
                <c:pt idx="0">
                  <c:v>4Q15</c:v>
                </c:pt>
                <c:pt idx="1">
                  <c:v>1Q16</c:v>
                </c:pt>
                <c:pt idx="2">
                  <c:v>2Q16</c:v>
                </c:pt>
                <c:pt idx="3">
                  <c:v>3Q16</c:v>
                </c:pt>
                <c:pt idx="4">
                  <c:v>4Q16</c:v>
                </c:pt>
                <c:pt idx="5">
                  <c:v>1Q17</c:v>
                </c:pt>
                <c:pt idx="6">
                  <c:v>2Q17</c:v>
                </c:pt>
                <c:pt idx="7">
                  <c:v>3Q17</c:v>
                </c:pt>
              </c:strCache>
            </c:strRef>
          </c:cat>
          <c:val>
            <c:numRef>
              <c:f>'Charts - Qtr'!$AL$106:$AS$106</c:f>
              <c:numCache>
                <c:formatCode>0.0%_);\(0.0%\);"–"_)</c:formatCode>
                <c:ptCount val="8"/>
                <c:pt idx="0">
                  <c:v>1.2293752752523979E-2</c:v>
                </c:pt>
                <c:pt idx="1">
                  <c:v>2.5558882556854234E-2</c:v>
                </c:pt>
                <c:pt idx="2">
                  <c:v>2.4511109926999453E-2</c:v>
                </c:pt>
                <c:pt idx="3">
                  <c:v>1.3957491393503885E-2</c:v>
                </c:pt>
                <c:pt idx="4">
                  <c:v>1.0368223533733234E-2</c:v>
                </c:pt>
                <c:pt idx="5">
                  <c:v>2.1324294750326933E-2</c:v>
                </c:pt>
                <c:pt idx="6">
                  <c:v>2.1697819314641764E-2</c:v>
                </c:pt>
                <c:pt idx="7">
                  <c:v>3.1568090443454544E-3</c:v>
                </c:pt>
              </c:numCache>
            </c:numRef>
          </c:val>
          <c:smooth val="0"/>
        </c:ser>
        <c:dLbls>
          <c:showLegendKey val="0"/>
          <c:showVal val="0"/>
          <c:showCatName val="0"/>
          <c:showSerName val="0"/>
          <c:showPercent val="0"/>
          <c:showBubbleSize val="0"/>
        </c:dLbls>
        <c:marker val="1"/>
        <c:smooth val="0"/>
        <c:axId val="204306688"/>
        <c:axId val="204320768"/>
      </c:lineChart>
      <c:catAx>
        <c:axId val="204299264"/>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4305152"/>
        <c:crosses val="autoZero"/>
        <c:auto val="0"/>
        <c:lblAlgn val="ctr"/>
        <c:lblOffset val="100"/>
        <c:tickLblSkip val="1"/>
        <c:tickMarkSkip val="1"/>
        <c:noMultiLvlLbl val="0"/>
      </c:catAx>
      <c:valAx>
        <c:axId val="204305152"/>
        <c:scaling>
          <c:orientation val="minMax"/>
        </c:scaling>
        <c:delete val="0"/>
        <c:axPos val="l"/>
        <c:majorGridlines>
          <c:spPr>
            <a:ln w="3175">
              <a:solidFill>
                <a:srgbClr val="C0C0C0"/>
              </a:solidFill>
              <a:prstDash val="solid"/>
            </a:ln>
          </c:spPr>
        </c:majorGridlines>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4299264"/>
        <c:crosses val="autoZero"/>
        <c:crossBetween val="between"/>
        <c:majorUnit val="5.000000000000001E-2"/>
      </c:valAx>
      <c:catAx>
        <c:axId val="204306688"/>
        <c:scaling>
          <c:orientation val="minMax"/>
        </c:scaling>
        <c:delete val="1"/>
        <c:axPos val="b"/>
        <c:majorTickMark val="out"/>
        <c:minorTickMark val="none"/>
        <c:tickLblPos val="nextTo"/>
        <c:crossAx val="204320768"/>
        <c:crosses val="autoZero"/>
        <c:auto val="0"/>
        <c:lblAlgn val="ctr"/>
        <c:lblOffset val="100"/>
        <c:noMultiLvlLbl val="0"/>
      </c:catAx>
      <c:valAx>
        <c:axId val="204320768"/>
        <c:scaling>
          <c:orientation val="minMax"/>
        </c:scaling>
        <c:delete val="0"/>
        <c:axPos val="r"/>
        <c:numFmt formatCode="0.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4306688"/>
        <c:crosses val="max"/>
        <c:crossBetween val="between"/>
        <c:majorUnit val="5.000000000000001E-3"/>
      </c:valAx>
      <c:spPr>
        <a:noFill/>
        <a:ln w="25400">
          <a:noFill/>
        </a:ln>
      </c:spPr>
    </c:plotArea>
    <c:legend>
      <c:legendPos val="t"/>
      <c:layout>
        <c:manualLayout>
          <c:xMode val="edge"/>
          <c:yMode val="edge"/>
          <c:x val="0.47676831305177758"/>
          <c:y val="3.2036436621892851E-3"/>
          <c:w val="0.51919297966542066"/>
          <c:h val="8.0882352941176475E-2"/>
        </c:manualLayout>
      </c:layout>
      <c:overlay val="0"/>
      <c:spPr>
        <a:noFill/>
        <a:ln w="25400">
          <a:noFill/>
        </a:ln>
      </c:spPr>
      <c:txPr>
        <a:bodyPr/>
        <a:lstStyle/>
        <a:p>
          <a:pPr>
            <a:defRPr sz="10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REVENUE</a:t>
            </a:r>
          </a:p>
        </c:rich>
      </c:tx>
      <c:layout>
        <c:manualLayout>
          <c:xMode val="edge"/>
          <c:yMode val="edge"/>
          <c:x val="6.8799910649466683E-4"/>
          <c:y val="0"/>
        </c:manualLayout>
      </c:layout>
      <c:overlay val="1"/>
    </c:title>
    <c:autoTitleDeleted val="0"/>
    <c:plotArea>
      <c:layout>
        <c:manualLayout>
          <c:layoutTarget val="inner"/>
          <c:xMode val="edge"/>
          <c:yMode val="edge"/>
          <c:x val="0.12553191489361701"/>
          <c:y val="0.19172932330827067"/>
          <c:w val="0.75531914893617025"/>
          <c:h val="0.63909774436090228"/>
        </c:manualLayout>
      </c:layout>
      <c:barChart>
        <c:barDir val="col"/>
        <c:grouping val="clustered"/>
        <c:varyColors val="0"/>
        <c:ser>
          <c:idx val="1"/>
          <c:order val="0"/>
          <c:tx>
            <c:strRef>
              <c:f>'Charts - Qtr'!$B$4</c:f>
              <c:strCache>
                <c:ptCount val="1"/>
                <c:pt idx="0">
                  <c:v>Revenue</c:v>
                </c:pt>
              </c:strCache>
            </c:strRef>
          </c:tx>
          <c:spPr>
            <a:solidFill>
              <a:srgbClr val="EACC80"/>
            </a:solidFill>
            <a:ln w="25400">
              <a:noFill/>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inBase"/>
            <c:showLegendKey val="0"/>
            <c:showVal val="1"/>
            <c:showCatName val="0"/>
            <c:showSerName val="0"/>
            <c:showPercent val="0"/>
            <c:showBubbleSize val="0"/>
            <c:showLeaderLines val="0"/>
          </c:dLbls>
          <c:cat>
            <c:strRef>
              <c:f>'Charts - Qtr'!$AL$3:$AS$3</c:f>
              <c:strCache>
                <c:ptCount val="8"/>
                <c:pt idx="0">
                  <c:v>4Q15</c:v>
                </c:pt>
                <c:pt idx="1">
                  <c:v>1Q16</c:v>
                </c:pt>
                <c:pt idx="2">
                  <c:v>2Q16</c:v>
                </c:pt>
                <c:pt idx="3">
                  <c:v>3Q16</c:v>
                </c:pt>
                <c:pt idx="4">
                  <c:v>4Q16</c:v>
                </c:pt>
                <c:pt idx="5">
                  <c:v>1Q17</c:v>
                </c:pt>
                <c:pt idx="6">
                  <c:v>2Q17</c:v>
                </c:pt>
                <c:pt idx="7">
                  <c:v>3Q17</c:v>
                </c:pt>
              </c:strCache>
            </c:strRef>
          </c:cat>
          <c:val>
            <c:numRef>
              <c:f>'Charts - Qtr'!$AL$4:$AS$4</c:f>
              <c:numCache>
                <c:formatCode>"$"#,##0_);\("$"#,##0\)</c:formatCode>
                <c:ptCount val="8"/>
                <c:pt idx="0">
                  <c:v>730.46199999999988</c:v>
                </c:pt>
                <c:pt idx="1">
                  <c:v>844.15600000000006</c:v>
                </c:pt>
                <c:pt idx="2">
                  <c:v>900.51</c:v>
                </c:pt>
                <c:pt idx="3">
                  <c:v>924.67599999999993</c:v>
                </c:pt>
                <c:pt idx="4">
                  <c:v>942.64700000000005</c:v>
                </c:pt>
                <c:pt idx="5">
                  <c:v>949.5250000000002</c:v>
                </c:pt>
                <c:pt idx="6">
                  <c:v>1066.421</c:v>
                </c:pt>
                <c:pt idx="7">
                  <c:v>1152.261</c:v>
                </c:pt>
              </c:numCache>
            </c:numRef>
          </c:val>
        </c:ser>
        <c:dLbls>
          <c:showLegendKey val="0"/>
          <c:showVal val="0"/>
          <c:showCatName val="0"/>
          <c:showSerName val="0"/>
          <c:showPercent val="0"/>
          <c:showBubbleSize val="0"/>
        </c:dLbls>
        <c:gapWidth val="150"/>
        <c:axId val="204372608"/>
        <c:axId val="204382592"/>
      </c:barChart>
      <c:lineChart>
        <c:grouping val="standard"/>
        <c:varyColors val="0"/>
        <c:ser>
          <c:idx val="0"/>
          <c:order val="1"/>
          <c:tx>
            <c:strRef>
              <c:f>'Charts - Qtr'!$B$5</c:f>
              <c:strCache>
                <c:ptCount val="1"/>
                <c:pt idx="0">
                  <c:v>% Q/Q</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'Charts - Qtr'!$AL$3:$AS$3</c:f>
              <c:strCache>
                <c:ptCount val="8"/>
                <c:pt idx="0">
                  <c:v>4Q15</c:v>
                </c:pt>
                <c:pt idx="1">
                  <c:v>1Q16</c:v>
                </c:pt>
                <c:pt idx="2">
                  <c:v>2Q16</c:v>
                </c:pt>
                <c:pt idx="3">
                  <c:v>3Q16</c:v>
                </c:pt>
                <c:pt idx="4">
                  <c:v>4Q16</c:v>
                </c:pt>
                <c:pt idx="5">
                  <c:v>1Q17</c:v>
                </c:pt>
                <c:pt idx="6">
                  <c:v>2Q17</c:v>
                </c:pt>
                <c:pt idx="7">
                  <c:v>3Q17</c:v>
                </c:pt>
              </c:strCache>
            </c:strRef>
          </c:cat>
          <c:val>
            <c:numRef>
              <c:f>'Charts - Qtr'!$AL$5:$AS$5</c:f>
              <c:numCache>
                <c:formatCode>0.0%</c:formatCode>
                <c:ptCount val="8"/>
                <c:pt idx="0">
                  <c:v>6.380698144175545E-2</c:v>
                </c:pt>
                <c:pt idx="1">
                  <c:v>0.15564670030747685</c:v>
                </c:pt>
                <c:pt idx="2">
                  <c:v>6.6757803060097709E-2</c:v>
                </c:pt>
                <c:pt idx="3">
                  <c:v>2.6835904098788443E-2</c:v>
                </c:pt>
                <c:pt idx="4">
                  <c:v>1.9434915581241663E-2</c:v>
                </c:pt>
                <c:pt idx="5">
                  <c:v>7.2964747142887365E-3</c:v>
                </c:pt>
                <c:pt idx="6">
                  <c:v>0.12310997604065177</c:v>
                </c:pt>
                <c:pt idx="7">
                  <c:v>8.0493538668124476E-2</c:v>
                </c:pt>
              </c:numCache>
            </c:numRef>
          </c:val>
          <c:smooth val="0"/>
        </c:ser>
        <c:dLbls>
          <c:showLegendKey val="0"/>
          <c:showVal val="0"/>
          <c:showCatName val="0"/>
          <c:showSerName val="0"/>
          <c:showPercent val="0"/>
          <c:showBubbleSize val="0"/>
        </c:dLbls>
        <c:marker val="1"/>
        <c:smooth val="0"/>
        <c:axId val="204384128"/>
        <c:axId val="204385664"/>
      </c:lineChart>
      <c:catAx>
        <c:axId val="204372608"/>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4382592"/>
        <c:crosses val="autoZero"/>
        <c:auto val="0"/>
        <c:lblAlgn val="ctr"/>
        <c:lblOffset val="100"/>
        <c:tickLblSkip val="1"/>
        <c:tickMarkSkip val="1"/>
        <c:noMultiLvlLbl val="0"/>
      </c:catAx>
      <c:valAx>
        <c:axId val="204382592"/>
        <c:scaling>
          <c:orientation val="minMax"/>
        </c:scaling>
        <c:delete val="0"/>
        <c:axPos val="l"/>
        <c:majorGridlines>
          <c:spPr>
            <a:ln w="3175">
              <a:solidFill>
                <a:srgbClr val="C0C0C0"/>
              </a:solidFill>
              <a:prstDash val="solid"/>
            </a:ln>
          </c:spPr>
        </c:majorGridlines>
        <c:numFmt formatCode="&quot;$&quot;#,##0_);\(&quot;$&quot;#,##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4372608"/>
        <c:crosses val="autoZero"/>
        <c:crossBetween val="between"/>
        <c:majorUnit val="200"/>
      </c:valAx>
      <c:catAx>
        <c:axId val="204384128"/>
        <c:scaling>
          <c:orientation val="minMax"/>
        </c:scaling>
        <c:delete val="1"/>
        <c:axPos val="b"/>
        <c:majorTickMark val="out"/>
        <c:minorTickMark val="none"/>
        <c:tickLblPos val="nextTo"/>
        <c:crossAx val="204385664"/>
        <c:crosses val="autoZero"/>
        <c:auto val="0"/>
        <c:lblAlgn val="ctr"/>
        <c:lblOffset val="100"/>
        <c:noMultiLvlLbl val="0"/>
      </c:catAx>
      <c:valAx>
        <c:axId val="204385664"/>
        <c:scaling>
          <c:orientation val="minMax"/>
        </c:scaling>
        <c:delete val="0"/>
        <c:axPos val="r"/>
        <c:numFmt formatCode="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4384128"/>
        <c:crosses val="max"/>
        <c:crossBetween val="between"/>
        <c:majorUnit val="4.0000000000000008E-2"/>
      </c:valAx>
      <c:spPr>
        <a:noFill/>
        <a:ln w="25400">
          <a:noFill/>
        </a:ln>
      </c:spPr>
    </c:plotArea>
    <c:legend>
      <c:legendPos val="t"/>
      <c:layout>
        <c:manualLayout>
          <c:xMode val="edge"/>
          <c:yMode val="edge"/>
          <c:x val="0.64822695035460998"/>
          <c:y val="4.2413119412704993E-3"/>
          <c:w val="0.34893617021276591"/>
          <c:h val="8.2706766917293228E-2"/>
        </c:manualLayout>
      </c:layout>
      <c:overlay val="0"/>
      <c:spPr>
        <a:noFill/>
        <a:ln w="25400">
          <a:noFill/>
        </a:ln>
      </c:spPr>
      <c:txPr>
        <a:bodyPr/>
        <a:lstStyle/>
        <a:p>
          <a:pPr>
            <a:defRPr sz="10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37832386392003753"/>
          <c:y val="0.15441176470588236"/>
          <c:w val="0.2985691034179756"/>
          <c:h val="0.53676470588235292"/>
        </c:manualLayout>
      </c:layout>
      <c:pieChart>
        <c:varyColors val="1"/>
        <c:ser>
          <c:idx val="0"/>
          <c:order val="0"/>
          <c:spPr>
            <a:solidFill>
              <a:srgbClr val="137CB1"/>
            </a:solidFill>
            <a:ln w="25400">
              <a:noFill/>
            </a:ln>
          </c:spPr>
          <c:dPt>
            <c:idx val="0"/>
            <c:bubble3D val="0"/>
          </c:dPt>
          <c:dPt>
            <c:idx val="1"/>
            <c:bubble3D val="0"/>
            <c:spPr>
              <a:solidFill>
                <a:srgbClr val="EACC80"/>
              </a:solidFill>
              <a:ln w="25400">
                <a:noFill/>
              </a:ln>
            </c:spPr>
          </c:dPt>
          <c:dPt>
            <c:idx val="2"/>
            <c:bubble3D val="0"/>
            <c:spPr>
              <a:solidFill>
                <a:srgbClr val="4AAC6B"/>
              </a:solidFill>
              <a:ln w="25400">
                <a:noFill/>
              </a:ln>
            </c:spPr>
          </c:dPt>
          <c:dPt>
            <c:idx val="3"/>
            <c:bubble3D val="0"/>
            <c:spPr>
              <a:solidFill>
                <a:srgbClr val="A8D7E2"/>
              </a:solidFill>
              <a:ln w="25400">
                <a:noFill/>
              </a:ln>
            </c:spPr>
          </c:dPt>
          <c:dPt>
            <c:idx val="4"/>
            <c:bubble3D val="0"/>
            <c:spPr>
              <a:solidFill>
                <a:srgbClr val="E58061"/>
              </a:solidFill>
              <a:ln w="25400">
                <a:noFill/>
              </a:ln>
            </c:spPr>
          </c:dPt>
          <c:dLbls>
            <c:dLbl>
              <c:idx val="1"/>
              <c:layout>
                <c:manualLayout>
                  <c:x val="9.810540923190926E-3"/>
                  <c:y val="-4.1644512751435006E-2"/>
                </c:manualLayout>
              </c:layout>
              <c:dLblPos val="bestFit"/>
              <c:showLegendKey val="0"/>
              <c:showVal val="0"/>
              <c:showCatName val="1"/>
              <c:showSerName val="0"/>
              <c:showPercent val="1"/>
              <c:showBubbleSize val="0"/>
            </c:dLbl>
            <c:dLbl>
              <c:idx val="2"/>
              <c:layout>
                <c:manualLayout>
                  <c:x val="-1.112252913116671E-2"/>
                  <c:y val="7.504012218570345E-3"/>
                </c:manualLayout>
              </c:layout>
              <c:dLblPos val="bestFit"/>
              <c:showLegendKey val="0"/>
              <c:showVal val="0"/>
              <c:showCatName val="1"/>
              <c:showSerName val="0"/>
              <c:showPercent val="1"/>
              <c:showBubbleSize val="0"/>
            </c:dLbl>
            <c:dLbl>
              <c:idx val="3"/>
              <c:layout>
                <c:manualLayout>
                  <c:x val="-4.6835481580307488E-2"/>
                  <c:y val="-2.0867077139046279E-2"/>
                </c:manualLayout>
              </c:layout>
              <c:dLblPos val="bestFit"/>
              <c:showLegendKey val="0"/>
              <c:showVal val="0"/>
              <c:showCatName val="1"/>
              <c:showSerName val="0"/>
              <c:showPercent val="1"/>
              <c:showBubbleSize val="0"/>
            </c:dLbl>
            <c:dLbl>
              <c:idx val="4"/>
              <c:layout>
                <c:manualLayout>
                  <c:x val="1.8978557601352676E-2"/>
                  <c:y val="1.467983183659944E-2"/>
                </c:manualLayout>
              </c:layout>
              <c:dLblPos val="bestFit"/>
              <c:showLegendKey val="0"/>
              <c:showVal val="0"/>
              <c:showCatName val="1"/>
              <c:showSerName val="0"/>
              <c:showPercent val="1"/>
              <c:showBubbleSize val="0"/>
            </c:dLbl>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0"/>
            <c:showCatName val="1"/>
            <c:showSerName val="0"/>
            <c:showPercent val="1"/>
            <c:showBubbleSize val="0"/>
            <c:showLeaderLines val="0"/>
          </c:dLbls>
          <c:cat>
            <c:strRef>
              <c:f>'Charts - Qtr'!$B$484:$B$488</c:f>
              <c:strCache>
                <c:ptCount val="5"/>
                <c:pt idx="0">
                  <c:v>Domestic - Colocation</c:v>
                </c:pt>
                <c:pt idx="1">
                  <c:v>Domestic - Other</c:v>
                </c:pt>
                <c:pt idx="2">
                  <c:v>Domestic - Interconnection</c:v>
                </c:pt>
                <c:pt idx="3">
                  <c:v>International - Interconnection</c:v>
                </c:pt>
                <c:pt idx="4">
                  <c:v>International - Excluding Interconnection</c:v>
                </c:pt>
              </c:strCache>
            </c:strRef>
          </c:cat>
          <c:val>
            <c:numRef>
              <c:f>'Charts - Qtr'!$AM$484:$AM$488</c:f>
              <c:numCache>
                <c:formatCode>"$"#,##0_);\("$"#,##0\)</c:formatCode>
                <c:ptCount val="5"/>
                <c:pt idx="0">
                  <c:v>282.32100000000003</c:v>
                </c:pt>
                <c:pt idx="1">
                  <c:v>36.137</c:v>
                </c:pt>
                <c:pt idx="2">
                  <c:v>85.936000000000007</c:v>
                </c:pt>
                <c:pt idx="3">
                  <c:v>41.268999999999998</c:v>
                </c:pt>
                <c:pt idx="4">
                  <c:v>451.01199999999994</c:v>
                </c:pt>
              </c:numCache>
            </c:numRef>
          </c:val>
        </c:ser>
        <c:dLbls>
          <c:showLegendKey val="0"/>
          <c:showVal val="0"/>
          <c:showCatName val="0"/>
          <c:showSerName val="0"/>
          <c:showPercent val="0"/>
          <c:showBubbleSize val="0"/>
          <c:showLeaderLines val="0"/>
        </c:dLbls>
        <c:firstSliceAng val="0"/>
      </c:pieChart>
      <c:spPr>
        <a:noFill/>
        <a:ln w="25400">
          <a:noFill/>
        </a:ln>
      </c:spPr>
    </c:plotArea>
    <c:plotVisOnly val="1"/>
    <c:dispBlanksAs val="zero"/>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35510239467314519"/>
          <c:y val="1.8315083830857341E-2"/>
          <c:w val="0.31020439074895445"/>
          <c:h val="0.55677854845806307"/>
        </c:manualLayout>
      </c:layout>
      <c:pieChart>
        <c:varyColors val="1"/>
        <c:ser>
          <c:idx val="0"/>
          <c:order val="0"/>
          <c:spPr>
            <a:solidFill>
              <a:srgbClr val="137CB1"/>
            </a:solidFill>
            <a:ln w="25400">
              <a:noFill/>
            </a:ln>
          </c:spPr>
          <c:dPt>
            <c:idx val="0"/>
            <c:bubble3D val="0"/>
          </c:dPt>
          <c:dPt>
            <c:idx val="1"/>
            <c:bubble3D val="0"/>
            <c:spPr>
              <a:solidFill>
                <a:srgbClr val="EACC80"/>
              </a:solidFill>
              <a:ln w="25400">
                <a:noFill/>
              </a:ln>
            </c:spPr>
          </c:dPt>
          <c:dPt>
            <c:idx val="2"/>
            <c:bubble3D val="0"/>
            <c:spPr>
              <a:solidFill>
                <a:srgbClr val="4AAC6B"/>
              </a:solidFill>
              <a:ln w="25400">
                <a:noFill/>
              </a:ln>
            </c:spPr>
          </c:dPt>
          <c:dPt>
            <c:idx val="3"/>
            <c:bubble3D val="0"/>
            <c:spPr>
              <a:solidFill>
                <a:srgbClr val="A8D7E2"/>
              </a:solidFill>
              <a:ln w="25400">
                <a:noFill/>
              </a:ln>
            </c:spPr>
          </c:dPt>
          <c:dLbls>
            <c:dLbl>
              <c:idx val="1"/>
              <c:layout>
                <c:manualLayout>
                  <c:x val="5.4398508616628552E-2"/>
                  <c:y val="-4.0214033121746028E-3"/>
                </c:manualLayout>
              </c:layout>
              <c:dLblPos val="bestFit"/>
              <c:showLegendKey val="0"/>
              <c:showVal val="0"/>
              <c:showCatName val="1"/>
              <c:showSerName val="0"/>
              <c:showPercent val="1"/>
              <c:showBubbleSize val="0"/>
            </c:dLbl>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0"/>
            <c:showCatName val="1"/>
            <c:showSerName val="0"/>
            <c:showPercent val="1"/>
            <c:showBubbleSize val="0"/>
            <c:showLeaderLines val="1"/>
          </c:dLbls>
          <c:cat>
            <c:strRef>
              <c:f>('Charts - Qtr'!$B$484:$B$486,'Charts - Qtr'!$B$489)</c:f>
              <c:strCache>
                <c:ptCount val="4"/>
                <c:pt idx="0">
                  <c:v>Domestic - Colocation</c:v>
                </c:pt>
                <c:pt idx="1">
                  <c:v>Domestic - Other</c:v>
                </c:pt>
                <c:pt idx="2">
                  <c:v>Domestic - Interconnection</c:v>
                </c:pt>
                <c:pt idx="3">
                  <c:v>International</c:v>
                </c:pt>
              </c:strCache>
            </c:strRef>
          </c:cat>
          <c:val>
            <c:numRef>
              <c:f>('Charts - Qtr'!$W$484:$W$486,'Charts - Qtr'!$W$489)</c:f>
              <c:numCache>
                <c:formatCode>"$"#,##0_);\("$"#,##0\)</c:formatCode>
                <c:ptCount val="4"/>
                <c:pt idx="0">
                  <c:v>203.702</c:v>
                </c:pt>
                <c:pt idx="1">
                  <c:v>21.566000000000003</c:v>
                </c:pt>
                <c:pt idx="2">
                  <c:v>51.738999999999997</c:v>
                </c:pt>
                <c:pt idx="3">
                  <c:v>163.94499999999999</c:v>
                </c:pt>
              </c:numCache>
            </c:numRef>
          </c:val>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NORTH AMERICA</a:t>
            </a:r>
          </a:p>
        </c:rich>
      </c:tx>
      <c:layout>
        <c:manualLayout>
          <c:xMode val="edge"/>
          <c:yMode val="edge"/>
          <c:x val="2.1951801479360534E-4"/>
          <c:y val="0"/>
        </c:manualLayout>
      </c:layout>
      <c:overlay val="1"/>
    </c:title>
    <c:autoTitleDeleted val="0"/>
    <c:plotArea>
      <c:layout>
        <c:manualLayout>
          <c:layoutTarget val="inner"/>
          <c:xMode val="edge"/>
          <c:yMode val="edge"/>
          <c:x val="0.13939421439830807"/>
          <c:y val="0.13235294117647059"/>
          <c:w val="0.74141560411853713"/>
          <c:h val="0.70588235294117652"/>
        </c:manualLayout>
      </c:layout>
      <c:barChart>
        <c:barDir val="col"/>
        <c:grouping val="clustered"/>
        <c:varyColors val="0"/>
        <c:ser>
          <c:idx val="1"/>
          <c:order val="0"/>
          <c:tx>
            <c:strRef>
              <c:f>'Charts - Qtr'!$B$101</c:f>
              <c:strCache>
                <c:ptCount val="1"/>
                <c:pt idx="0">
                  <c:v>NA MRR / Cabinet</c:v>
                </c:pt>
              </c:strCache>
            </c:strRef>
          </c:tx>
          <c:spPr>
            <a:solidFill>
              <a:srgbClr val="EACC80"/>
            </a:solidFill>
            <a:ln w="25400">
              <a:noFill/>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inBase"/>
            <c:showLegendKey val="0"/>
            <c:showVal val="1"/>
            <c:showCatName val="0"/>
            <c:showSerName val="0"/>
            <c:showPercent val="0"/>
            <c:showBubbleSize val="0"/>
            <c:showLeaderLines val="0"/>
          </c:dLbls>
          <c:cat>
            <c:strRef>
              <c:f>'Charts - Qtr'!$AL$3:$AS$3</c:f>
              <c:strCache>
                <c:ptCount val="8"/>
                <c:pt idx="0">
                  <c:v>4Q15</c:v>
                </c:pt>
                <c:pt idx="1">
                  <c:v>1Q16</c:v>
                </c:pt>
                <c:pt idx="2">
                  <c:v>2Q16</c:v>
                </c:pt>
                <c:pt idx="3">
                  <c:v>3Q16</c:v>
                </c:pt>
                <c:pt idx="4">
                  <c:v>4Q16</c:v>
                </c:pt>
                <c:pt idx="5">
                  <c:v>1Q17</c:v>
                </c:pt>
                <c:pt idx="6">
                  <c:v>2Q17</c:v>
                </c:pt>
                <c:pt idx="7">
                  <c:v>3Q17</c:v>
                </c:pt>
              </c:strCache>
            </c:strRef>
          </c:cat>
          <c:val>
            <c:numRef>
              <c:f>'Charts - Qtr'!$AL$101:$AS$101</c:f>
              <c:numCache>
                <c:formatCode>"$"#,##0_);\("$"#,##0\)</c:formatCode>
                <c:ptCount val="8"/>
                <c:pt idx="0">
                  <c:v>2460</c:v>
                </c:pt>
                <c:pt idx="1">
                  <c:v>2482</c:v>
                </c:pt>
                <c:pt idx="2">
                  <c:v>2518</c:v>
                </c:pt>
                <c:pt idx="3">
                  <c:v>2524</c:v>
                </c:pt>
                <c:pt idx="4">
                  <c:v>2546</c:v>
                </c:pt>
                <c:pt idx="5">
                  <c:v>2567</c:v>
                </c:pt>
                <c:pt idx="6">
                  <c:v>2578</c:v>
                </c:pt>
                <c:pt idx="7">
                  <c:v>2580</c:v>
                </c:pt>
              </c:numCache>
            </c:numRef>
          </c:val>
        </c:ser>
        <c:dLbls>
          <c:showLegendKey val="0"/>
          <c:showVal val="0"/>
          <c:showCatName val="0"/>
          <c:showSerName val="0"/>
          <c:showPercent val="0"/>
          <c:showBubbleSize val="0"/>
        </c:dLbls>
        <c:gapWidth val="150"/>
        <c:axId val="209818368"/>
        <c:axId val="209819904"/>
      </c:barChart>
      <c:lineChart>
        <c:grouping val="standard"/>
        <c:varyColors val="0"/>
        <c:ser>
          <c:idx val="0"/>
          <c:order val="1"/>
          <c:tx>
            <c:strRef>
              <c:f>'Charts - Qtr'!$B$102</c:f>
              <c:strCache>
                <c:ptCount val="1"/>
                <c:pt idx="0">
                  <c:v>% Q/Q</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'Charts - Qtr'!$AL$3:$AS$3</c:f>
              <c:strCache>
                <c:ptCount val="8"/>
                <c:pt idx="0">
                  <c:v>4Q15</c:v>
                </c:pt>
                <c:pt idx="1">
                  <c:v>1Q16</c:v>
                </c:pt>
                <c:pt idx="2">
                  <c:v>2Q16</c:v>
                </c:pt>
                <c:pt idx="3">
                  <c:v>3Q16</c:v>
                </c:pt>
                <c:pt idx="4">
                  <c:v>4Q16</c:v>
                </c:pt>
                <c:pt idx="5">
                  <c:v>1Q17</c:v>
                </c:pt>
                <c:pt idx="6">
                  <c:v>2Q17</c:v>
                </c:pt>
                <c:pt idx="7">
                  <c:v>3Q17</c:v>
                </c:pt>
              </c:strCache>
            </c:strRef>
          </c:cat>
          <c:val>
            <c:numRef>
              <c:f>'Charts - Qtr'!$AL$102:$AS$102</c:f>
              <c:numCache>
                <c:formatCode>0.0%_);\(0.0%\);"–"_)</c:formatCode>
                <c:ptCount val="8"/>
                <c:pt idx="0">
                  <c:v>2.4449877750611915E-3</c:v>
                </c:pt>
                <c:pt idx="1">
                  <c:v>8.9430894308943909E-3</c:v>
                </c:pt>
                <c:pt idx="2">
                  <c:v>1.4504431909750259E-2</c:v>
                </c:pt>
                <c:pt idx="3">
                  <c:v>2.3828435266084469E-3</c:v>
                </c:pt>
                <c:pt idx="4">
                  <c:v>8.7163232963549664E-3</c:v>
                </c:pt>
                <c:pt idx="5">
                  <c:v>8.2482325216024499E-3</c:v>
                </c:pt>
                <c:pt idx="6">
                  <c:v>4.2851577717180067E-3</c:v>
                </c:pt>
                <c:pt idx="7">
                  <c:v>7.7579519006976128E-4</c:v>
                </c:pt>
              </c:numCache>
            </c:numRef>
          </c:val>
          <c:smooth val="0"/>
        </c:ser>
        <c:dLbls>
          <c:showLegendKey val="0"/>
          <c:showVal val="0"/>
          <c:showCatName val="0"/>
          <c:showSerName val="0"/>
          <c:showPercent val="0"/>
          <c:showBubbleSize val="0"/>
        </c:dLbls>
        <c:marker val="1"/>
        <c:smooth val="0"/>
        <c:axId val="209825792"/>
        <c:axId val="209827328"/>
      </c:lineChart>
      <c:catAx>
        <c:axId val="209818368"/>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9819904"/>
        <c:crosses val="autoZero"/>
        <c:auto val="0"/>
        <c:lblAlgn val="ctr"/>
        <c:lblOffset val="100"/>
        <c:tickLblSkip val="1"/>
        <c:tickMarkSkip val="1"/>
        <c:noMultiLvlLbl val="0"/>
      </c:catAx>
      <c:valAx>
        <c:axId val="209819904"/>
        <c:scaling>
          <c:orientation val="minMax"/>
        </c:scaling>
        <c:delete val="0"/>
        <c:axPos val="l"/>
        <c:majorGridlines>
          <c:spPr>
            <a:ln w="3175">
              <a:solidFill>
                <a:srgbClr val="C0C0C0"/>
              </a:solidFill>
              <a:prstDash val="solid"/>
            </a:ln>
          </c:spPr>
        </c:majorGridlines>
        <c:numFmt formatCode="&quot;$&quot;#,##0_);\(&quot;$&quot;#,##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9818368"/>
        <c:crosses val="autoZero"/>
        <c:crossBetween val="between"/>
        <c:majorUnit val="50"/>
      </c:valAx>
      <c:catAx>
        <c:axId val="209825792"/>
        <c:scaling>
          <c:orientation val="minMax"/>
        </c:scaling>
        <c:delete val="1"/>
        <c:axPos val="b"/>
        <c:majorTickMark val="out"/>
        <c:minorTickMark val="none"/>
        <c:tickLblPos val="nextTo"/>
        <c:crossAx val="209827328"/>
        <c:crosses val="autoZero"/>
        <c:auto val="0"/>
        <c:lblAlgn val="ctr"/>
        <c:lblOffset val="100"/>
        <c:noMultiLvlLbl val="0"/>
      </c:catAx>
      <c:valAx>
        <c:axId val="209827328"/>
        <c:scaling>
          <c:orientation val="minMax"/>
        </c:scaling>
        <c:delete val="0"/>
        <c:axPos val="r"/>
        <c:numFmt formatCode="0.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9825792"/>
        <c:crosses val="max"/>
        <c:crossBetween val="between"/>
      </c:valAx>
      <c:spPr>
        <a:noFill/>
        <a:ln w="25400">
          <a:noFill/>
        </a:ln>
      </c:spPr>
    </c:plotArea>
    <c:legend>
      <c:legendPos val="r"/>
      <c:layout>
        <c:manualLayout>
          <c:xMode val="edge"/>
          <c:yMode val="edge"/>
          <c:x val="0.52189294520003182"/>
          <c:y val="1.8382352941176471E-2"/>
          <c:w val="0.47002815557146271"/>
          <c:h val="8.0882352941176461E-2"/>
        </c:manualLayout>
      </c:layout>
      <c:overlay val="0"/>
      <c:spPr>
        <a:noFill/>
        <a:ln w="25400">
          <a:noFill/>
        </a:ln>
      </c:spPr>
      <c:txPr>
        <a:bodyPr/>
        <a:lstStyle/>
        <a:p>
          <a:pPr>
            <a:defRPr sz="10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CAPITAL EXPENDITURES</a:t>
            </a:r>
          </a:p>
        </c:rich>
      </c:tx>
      <c:layout>
        <c:manualLayout>
          <c:xMode val="edge"/>
          <c:yMode val="edge"/>
          <c:x val="8.5106382978723403E-4"/>
          <c:y val="0"/>
        </c:manualLayout>
      </c:layout>
      <c:overlay val="1"/>
    </c:title>
    <c:autoTitleDeleted val="0"/>
    <c:plotArea>
      <c:layout>
        <c:manualLayout>
          <c:layoutTarget val="inner"/>
          <c:xMode val="edge"/>
          <c:yMode val="edge"/>
          <c:x val="0.12553191489361701"/>
          <c:y val="0.19172932330827067"/>
          <c:w val="0.74042553191489358"/>
          <c:h val="0.63909774436090228"/>
        </c:manualLayout>
      </c:layout>
      <c:barChart>
        <c:barDir val="col"/>
        <c:grouping val="clustered"/>
        <c:varyColors val="0"/>
        <c:ser>
          <c:idx val="1"/>
          <c:order val="0"/>
          <c:tx>
            <c:strRef>
              <c:f>'Charts - Qtr'!$B$9</c:f>
              <c:strCache>
                <c:ptCount val="1"/>
                <c:pt idx="0">
                  <c:v>Capex</c:v>
                </c:pt>
              </c:strCache>
            </c:strRef>
          </c:tx>
          <c:spPr>
            <a:solidFill>
              <a:srgbClr val="EACC80"/>
            </a:solidFill>
            <a:ln w="25400">
              <a:noFill/>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inBase"/>
            <c:showLegendKey val="0"/>
            <c:showVal val="1"/>
            <c:showCatName val="0"/>
            <c:showSerName val="0"/>
            <c:showPercent val="0"/>
            <c:showBubbleSize val="0"/>
            <c:showLeaderLines val="0"/>
          </c:dLbls>
          <c:cat>
            <c:strRef>
              <c:f>'Charts - Qtr'!$AL$3:$AS$3</c:f>
              <c:strCache>
                <c:ptCount val="8"/>
                <c:pt idx="0">
                  <c:v>4Q15</c:v>
                </c:pt>
                <c:pt idx="1">
                  <c:v>1Q16</c:v>
                </c:pt>
                <c:pt idx="2">
                  <c:v>2Q16</c:v>
                </c:pt>
                <c:pt idx="3">
                  <c:v>3Q16</c:v>
                </c:pt>
                <c:pt idx="4">
                  <c:v>4Q16</c:v>
                </c:pt>
                <c:pt idx="5">
                  <c:v>1Q17</c:v>
                </c:pt>
                <c:pt idx="6">
                  <c:v>2Q17</c:v>
                </c:pt>
                <c:pt idx="7">
                  <c:v>3Q17</c:v>
                </c:pt>
              </c:strCache>
            </c:strRef>
          </c:cat>
          <c:val>
            <c:numRef>
              <c:f>'Charts - Qtr'!$AL$9:$AS$9</c:f>
              <c:numCache>
                <c:formatCode>"$"#,##0_);\("$"#,##0\)</c:formatCode>
                <c:ptCount val="8"/>
                <c:pt idx="0">
                  <c:v>281</c:v>
                </c:pt>
                <c:pt idx="1">
                  <c:v>197.7</c:v>
                </c:pt>
                <c:pt idx="2">
                  <c:v>249.86699999999999</c:v>
                </c:pt>
                <c:pt idx="3">
                  <c:v>279.47699999999998</c:v>
                </c:pt>
                <c:pt idx="4">
                  <c:v>386.32100000000003</c:v>
                </c:pt>
                <c:pt idx="5">
                  <c:v>277.24200000000002</c:v>
                </c:pt>
                <c:pt idx="6">
                  <c:v>348.572</c:v>
                </c:pt>
                <c:pt idx="7">
                  <c:v>320.23399999999998</c:v>
                </c:pt>
              </c:numCache>
            </c:numRef>
          </c:val>
        </c:ser>
        <c:dLbls>
          <c:showLegendKey val="0"/>
          <c:showVal val="0"/>
          <c:showCatName val="0"/>
          <c:showSerName val="0"/>
          <c:showPercent val="0"/>
          <c:showBubbleSize val="0"/>
        </c:dLbls>
        <c:gapWidth val="150"/>
        <c:axId val="209863424"/>
        <c:axId val="209864960"/>
      </c:barChart>
      <c:lineChart>
        <c:grouping val="standard"/>
        <c:varyColors val="0"/>
        <c:ser>
          <c:idx val="0"/>
          <c:order val="1"/>
          <c:tx>
            <c:strRef>
              <c:f>'Charts - Qtr'!$B$10</c:f>
              <c:strCache>
                <c:ptCount val="1"/>
                <c:pt idx="0">
                  <c:v>% Capex / Sales</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'Charts - Qtr'!$AL$3:$AS$3</c:f>
              <c:strCache>
                <c:ptCount val="8"/>
                <c:pt idx="0">
                  <c:v>4Q15</c:v>
                </c:pt>
                <c:pt idx="1">
                  <c:v>1Q16</c:v>
                </c:pt>
                <c:pt idx="2">
                  <c:v>2Q16</c:v>
                </c:pt>
                <c:pt idx="3">
                  <c:v>3Q16</c:v>
                </c:pt>
                <c:pt idx="4">
                  <c:v>4Q16</c:v>
                </c:pt>
                <c:pt idx="5">
                  <c:v>1Q17</c:v>
                </c:pt>
                <c:pt idx="6">
                  <c:v>2Q17</c:v>
                </c:pt>
                <c:pt idx="7">
                  <c:v>3Q17</c:v>
                </c:pt>
              </c:strCache>
            </c:strRef>
          </c:cat>
          <c:val>
            <c:numRef>
              <c:f>'Charts - Qtr'!$AL$10:$AS$10</c:f>
              <c:numCache>
                <c:formatCode>0.0%</c:formatCode>
                <c:ptCount val="8"/>
                <c:pt idx="0">
                  <c:v>0.38468804674302026</c:v>
                </c:pt>
                <c:pt idx="1">
                  <c:v>0.23419841830183044</c:v>
                </c:pt>
                <c:pt idx="2">
                  <c:v>0.27747276543292132</c:v>
                </c:pt>
                <c:pt idx="3">
                  <c:v>0.30224316409207114</c:v>
                </c:pt>
                <c:pt idx="4">
                  <c:v>0.40982573540254202</c:v>
                </c:pt>
                <c:pt idx="5">
                  <c:v>0.29197967404755004</c:v>
                </c:pt>
                <c:pt idx="6">
                  <c:v>0.32686153029619636</c:v>
                </c:pt>
                <c:pt idx="7">
                  <c:v>0.27791793699517731</c:v>
                </c:pt>
              </c:numCache>
            </c:numRef>
          </c:val>
          <c:smooth val="0"/>
        </c:ser>
        <c:dLbls>
          <c:showLegendKey val="0"/>
          <c:showVal val="0"/>
          <c:showCatName val="0"/>
          <c:showSerName val="0"/>
          <c:showPercent val="0"/>
          <c:showBubbleSize val="0"/>
        </c:dLbls>
        <c:marker val="1"/>
        <c:smooth val="0"/>
        <c:axId val="209887232"/>
        <c:axId val="209888768"/>
      </c:lineChart>
      <c:catAx>
        <c:axId val="209863424"/>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9864960"/>
        <c:crosses val="autoZero"/>
        <c:auto val="0"/>
        <c:lblAlgn val="ctr"/>
        <c:lblOffset val="100"/>
        <c:tickLblSkip val="1"/>
        <c:tickMarkSkip val="1"/>
        <c:noMultiLvlLbl val="0"/>
      </c:catAx>
      <c:valAx>
        <c:axId val="209864960"/>
        <c:scaling>
          <c:orientation val="minMax"/>
        </c:scaling>
        <c:delete val="0"/>
        <c:axPos val="l"/>
        <c:majorGridlines>
          <c:spPr>
            <a:ln w="3175">
              <a:solidFill>
                <a:srgbClr val="C0C0C0"/>
              </a:solidFill>
              <a:prstDash val="solid"/>
            </a:ln>
          </c:spPr>
        </c:majorGridlines>
        <c:numFmt formatCode="&quot;$&quot;#,##0_);\(&quot;$&quot;#,##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9863424"/>
        <c:crosses val="autoZero"/>
        <c:crossBetween val="between"/>
      </c:valAx>
      <c:catAx>
        <c:axId val="209887232"/>
        <c:scaling>
          <c:orientation val="minMax"/>
        </c:scaling>
        <c:delete val="1"/>
        <c:axPos val="b"/>
        <c:majorTickMark val="out"/>
        <c:minorTickMark val="none"/>
        <c:tickLblPos val="nextTo"/>
        <c:crossAx val="209888768"/>
        <c:crosses val="autoZero"/>
        <c:auto val="0"/>
        <c:lblAlgn val="ctr"/>
        <c:lblOffset val="100"/>
        <c:noMultiLvlLbl val="0"/>
      </c:catAx>
      <c:valAx>
        <c:axId val="209888768"/>
        <c:scaling>
          <c:orientation val="minMax"/>
        </c:scaling>
        <c:delete val="0"/>
        <c:axPos val="r"/>
        <c:numFmt formatCode="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9887232"/>
        <c:crosses val="max"/>
        <c:crossBetween val="between"/>
        <c:majorUnit val="0.1"/>
      </c:valAx>
      <c:spPr>
        <a:noFill/>
        <a:ln w="25400">
          <a:noFill/>
        </a:ln>
      </c:spPr>
    </c:plotArea>
    <c:legend>
      <c:legendPos val="t"/>
      <c:layout>
        <c:manualLayout>
          <c:xMode val="edge"/>
          <c:yMode val="edge"/>
          <c:x val="0.55035460992907803"/>
          <c:y val="3.2964300515067194E-3"/>
          <c:w val="0.44680851063829785"/>
          <c:h val="8.2706766917293228E-2"/>
        </c:manualLayout>
      </c:layout>
      <c:overlay val="0"/>
      <c:spPr>
        <a:noFill/>
        <a:ln w="25400">
          <a:noFill/>
        </a:ln>
      </c:spPr>
      <c:txPr>
        <a:bodyPr/>
        <a:lstStyle/>
        <a:p>
          <a:pPr>
            <a:defRPr sz="10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3020411173081925"/>
          <c:y val="0.1831508383085734"/>
          <c:w val="0.34897993959257373"/>
          <c:h val="0.626375867015321"/>
        </c:manualLayout>
      </c:layout>
      <c:pieChart>
        <c:varyColors val="1"/>
        <c:ser>
          <c:idx val="0"/>
          <c:order val="0"/>
          <c:spPr>
            <a:solidFill>
              <a:srgbClr val="137CB1"/>
            </a:solidFill>
            <a:ln w="25400">
              <a:noFill/>
            </a:ln>
          </c:spPr>
          <c:dPt>
            <c:idx val="0"/>
            <c:bubble3D val="0"/>
          </c:dPt>
          <c:dPt>
            <c:idx val="1"/>
            <c:bubble3D val="0"/>
            <c:spPr>
              <a:solidFill>
                <a:srgbClr val="EACC80"/>
              </a:solidFill>
              <a:ln w="25400">
                <a:noFill/>
              </a:ln>
            </c:spPr>
          </c:dPt>
          <c:dPt>
            <c:idx val="2"/>
            <c:bubble3D val="0"/>
            <c:spPr>
              <a:solidFill>
                <a:srgbClr val="4AAC6B"/>
              </a:solidFill>
              <a:ln w="25400">
                <a:noFill/>
              </a:ln>
            </c:spPr>
          </c:dPt>
          <c:dPt>
            <c:idx val="3"/>
            <c:bubble3D val="0"/>
            <c:spPr>
              <a:solidFill>
                <a:srgbClr val="A8D7E2"/>
              </a:solidFill>
              <a:ln w="25400">
                <a:noFill/>
              </a:ln>
            </c:spPr>
          </c:dPt>
          <c:dPt>
            <c:idx val="4"/>
            <c:bubble3D val="0"/>
            <c:spPr>
              <a:solidFill>
                <a:srgbClr val="E58061"/>
              </a:solidFill>
              <a:ln w="25400">
                <a:noFill/>
              </a:ln>
            </c:spPr>
          </c:dPt>
          <c:dLbls>
            <c:dLbl>
              <c:idx val="1"/>
              <c:layout>
                <c:manualLayout>
                  <c:x val="-5.6958717883743492E-3"/>
                  <c:y val="-5.8060114962345616E-2"/>
                </c:manualLayout>
              </c:layout>
              <c:dLblPos val="bestFit"/>
              <c:showLegendKey val="0"/>
              <c:showVal val="0"/>
              <c:showCatName val="1"/>
              <c:showSerName val="0"/>
              <c:showPercent val="1"/>
              <c:showBubbleSize val="0"/>
            </c:dLbl>
            <c:dLbl>
              <c:idx val="2"/>
              <c:layout>
                <c:manualLayout>
                  <c:x val="-1.0351633549634639E-2"/>
                  <c:y val="-1.5311099261656897E-2"/>
                </c:manualLayout>
              </c:layout>
              <c:dLblPos val="bestFit"/>
              <c:showLegendKey val="0"/>
              <c:showVal val="0"/>
              <c:showCatName val="1"/>
              <c:showSerName val="0"/>
              <c:showPercent val="1"/>
              <c:showBubbleSize val="0"/>
            </c:dLbl>
            <c:dLbl>
              <c:idx val="3"/>
              <c:layout>
                <c:manualLayout>
                  <c:x val="-4.4739532351950551E-2"/>
                  <c:y val="1.2553640566242077E-2"/>
                </c:manualLayout>
              </c:layout>
              <c:dLblPos val="bestFit"/>
              <c:showLegendKey val="0"/>
              <c:showVal val="0"/>
              <c:showCatName val="1"/>
              <c:showSerName val="0"/>
              <c:showPercent val="1"/>
              <c:showBubbleSize val="0"/>
            </c:dLbl>
            <c:dLbl>
              <c:idx val="4"/>
              <c:layout>
                <c:manualLayout>
                  <c:x val="1.5416849506127272E-2"/>
                  <c:y val="-1.1892916121216459E-2"/>
                </c:manualLayout>
              </c:layout>
              <c:dLblPos val="bestFit"/>
              <c:showLegendKey val="0"/>
              <c:showVal val="0"/>
              <c:showCatName val="1"/>
              <c:showSerName val="0"/>
              <c:showPercent val="1"/>
              <c:showBubbleSize val="0"/>
            </c:dLbl>
            <c:numFmt formatCode="0%" sourceLinked="0"/>
            <c:spPr>
              <a:noFill/>
              <a:ln w="25400">
                <a:noFill/>
              </a:ln>
            </c:spPr>
            <c:txPr>
              <a:bodyPr/>
              <a:lstStyle/>
              <a:p>
                <a:pPr>
                  <a:defRPr sz="900" b="0" i="0" u="none" strike="noStrike" baseline="0">
                    <a:solidFill>
                      <a:srgbClr val="000000"/>
                    </a:solidFill>
                    <a:latin typeface="Arial"/>
                    <a:ea typeface="Arial"/>
                    <a:cs typeface="Arial"/>
                  </a:defRPr>
                </a:pPr>
                <a:endParaRPr lang="en-US"/>
              </a:p>
            </c:txPr>
            <c:showLegendKey val="0"/>
            <c:showVal val="0"/>
            <c:showCatName val="1"/>
            <c:showSerName val="0"/>
            <c:showPercent val="1"/>
            <c:showBubbleSize val="0"/>
            <c:showLeaderLines val="0"/>
          </c:dLbls>
          <c:cat>
            <c:strRef>
              <c:f>'Charts - Qtr'!$B$528:$B$532</c:f>
              <c:strCache>
                <c:ptCount val="5"/>
                <c:pt idx="0">
                  <c:v>Networks</c:v>
                </c:pt>
                <c:pt idx="1">
                  <c:v>Financial Services</c:v>
                </c:pt>
                <c:pt idx="2">
                  <c:v>Cloud Computing</c:v>
                </c:pt>
                <c:pt idx="3">
                  <c:v>Content &amp; Digital Media</c:v>
                </c:pt>
                <c:pt idx="4">
                  <c:v>Enterprises</c:v>
                </c:pt>
              </c:strCache>
            </c:strRef>
          </c:cat>
          <c:val>
            <c:numRef>
              <c:f>'Charts - Qtr'!$Z$528:$Z$532</c:f>
              <c:numCache>
                <c:formatCode>0.0%_);\(0.0%\);"–"_)</c:formatCode>
                <c:ptCount val="5"/>
                <c:pt idx="0">
                  <c:v>0.23</c:v>
                </c:pt>
                <c:pt idx="1">
                  <c:v>0.2</c:v>
                </c:pt>
                <c:pt idx="2">
                  <c:v>0.23</c:v>
                </c:pt>
                <c:pt idx="3">
                  <c:v>0.21</c:v>
                </c:pt>
                <c:pt idx="4">
                  <c:v>0.13</c:v>
                </c:pt>
              </c:numCache>
            </c:numRef>
          </c:val>
        </c:ser>
        <c:dLbls>
          <c:showLegendKey val="0"/>
          <c:showVal val="0"/>
          <c:showCatName val="0"/>
          <c:showSerName val="0"/>
          <c:showPercent val="0"/>
          <c:showBubbleSize val="0"/>
          <c:showLeaderLines val="0"/>
        </c:dLbls>
        <c:firstSliceAng val="0"/>
      </c:pieChart>
      <c:spPr>
        <a:noFill/>
        <a:ln w="25400">
          <a:noFill/>
        </a:ln>
      </c:spPr>
    </c:plotArea>
    <c:plotVisOnly val="1"/>
    <c:dispBlanksAs val="zero"/>
    <c:showDLblsOverMax val="0"/>
  </c:chart>
  <c:spPr>
    <a:noFill/>
    <a:ln w="9525">
      <a:noFill/>
    </a:ln>
  </c:spPr>
  <c:txPr>
    <a:bodyPr/>
    <a:lstStyle/>
    <a:p>
      <a:pPr>
        <a:defRPr sz="9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1371136446195"/>
          <c:y val="0.10447780229310411"/>
          <c:w val="0.79838788273756722"/>
          <c:h val="0.48880686072845136"/>
        </c:manualLayout>
      </c:layout>
      <c:lineChart>
        <c:grouping val="standard"/>
        <c:varyColors val="0"/>
        <c:ser>
          <c:idx val="0"/>
          <c:order val="0"/>
          <c:tx>
            <c:strRef>
              <c:f>'Charts - Qtr'!$B$101</c:f>
              <c:strCache>
                <c:ptCount val="1"/>
                <c:pt idx="0">
                  <c:v>NA MRR / Cabinet</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'Charts - Qtr'!$T$3:$Y$3</c:f>
              <c:strCache>
                <c:ptCount val="6"/>
                <c:pt idx="0">
                  <c:v>2Q11</c:v>
                </c:pt>
                <c:pt idx="1">
                  <c:v>3Q11</c:v>
                </c:pt>
                <c:pt idx="2">
                  <c:v>4Q11</c:v>
                </c:pt>
                <c:pt idx="3">
                  <c:v>1Q12</c:v>
                </c:pt>
                <c:pt idx="4">
                  <c:v>2Q12</c:v>
                </c:pt>
                <c:pt idx="5">
                  <c:v>3Q12</c:v>
                </c:pt>
              </c:strCache>
            </c:strRef>
          </c:cat>
          <c:val>
            <c:numRef>
              <c:f>'Charts - Qtr'!$T$101:$Y$101</c:f>
              <c:numCache>
                <c:formatCode>"$"#,##0_);\("$"#,##0\)</c:formatCode>
                <c:ptCount val="6"/>
                <c:pt idx="0">
                  <c:v>2100</c:v>
                </c:pt>
                <c:pt idx="1">
                  <c:v>2141</c:v>
                </c:pt>
                <c:pt idx="2">
                  <c:v>2166</c:v>
                </c:pt>
                <c:pt idx="3">
                  <c:v>2207</c:v>
                </c:pt>
                <c:pt idx="4">
                  <c:v>2212</c:v>
                </c:pt>
                <c:pt idx="5">
                  <c:v>2232</c:v>
                </c:pt>
              </c:numCache>
            </c:numRef>
          </c:val>
          <c:smooth val="0"/>
        </c:ser>
        <c:ser>
          <c:idx val="1"/>
          <c:order val="1"/>
          <c:tx>
            <c:strRef>
              <c:f>'Charts - Qtr'!$B$110</c:f>
              <c:strCache>
                <c:ptCount val="1"/>
                <c:pt idx="0">
                  <c:v>Interconnection MRR / Cabinet</c:v>
                </c:pt>
              </c:strCache>
            </c:strRef>
          </c:tx>
          <c:spPr>
            <a:ln w="12700">
              <a:solidFill>
                <a:srgbClr val="E5BF61"/>
              </a:solidFill>
              <a:prstDash val="solid"/>
            </a:ln>
          </c:spPr>
          <c:marker>
            <c:symbol val="square"/>
            <c:size val="5"/>
            <c:spPr>
              <a:solidFill>
                <a:srgbClr val="E5BF61"/>
              </a:solidFill>
              <a:ln>
                <a:solidFill>
                  <a:srgbClr val="E5BF61"/>
                </a:solidFill>
                <a:prstDash val="solid"/>
              </a:ln>
            </c:spPr>
          </c:marker>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'Charts - Qtr'!$T$3:$Y$3</c:f>
              <c:strCache>
                <c:ptCount val="6"/>
                <c:pt idx="0">
                  <c:v>2Q11</c:v>
                </c:pt>
                <c:pt idx="1">
                  <c:v>3Q11</c:v>
                </c:pt>
                <c:pt idx="2">
                  <c:v>4Q11</c:v>
                </c:pt>
                <c:pt idx="3">
                  <c:v>1Q12</c:v>
                </c:pt>
                <c:pt idx="4">
                  <c:v>2Q12</c:v>
                </c:pt>
                <c:pt idx="5">
                  <c:v>3Q12</c:v>
                </c:pt>
              </c:strCache>
            </c:strRef>
          </c:cat>
          <c:val>
            <c:numRef>
              <c:f>'Charts - Qtr'!$T$110:$Y$110</c:f>
              <c:numCache>
                <c:formatCode>"$"#,##0_);\("$"#,##0\)</c:formatCode>
                <c:ptCount val="6"/>
                <c:pt idx="0">
                  <c:v>448.81691408007197</c:v>
                </c:pt>
                <c:pt idx="1">
                  <c:v>443.53521758636168</c:v>
                </c:pt>
                <c:pt idx="2">
                  <c:v>468.75167785234908</c:v>
                </c:pt>
                <c:pt idx="3">
                  <c:v>454.44883618796661</c:v>
                </c:pt>
                <c:pt idx="4">
                  <c:v>454.56726649528707</c:v>
                </c:pt>
                <c:pt idx="5">
                  <c:v>466.01357082273108</c:v>
                </c:pt>
              </c:numCache>
            </c:numRef>
          </c:val>
          <c:smooth val="0"/>
        </c:ser>
        <c:ser>
          <c:idx val="2"/>
          <c:order val="2"/>
          <c:tx>
            <c:strRef>
              <c:f>'Charts - Qtr'!$B$112</c:f>
              <c:strCache>
                <c:ptCount val="1"/>
                <c:pt idx="0">
                  <c:v>Colocation MRR / Cabinet</c:v>
                </c:pt>
              </c:strCache>
            </c:strRef>
          </c:tx>
          <c:spPr>
            <a:ln w="12700">
              <a:solidFill>
                <a:srgbClr val="4AAC6B"/>
              </a:solidFill>
              <a:prstDash val="solid"/>
            </a:ln>
          </c:spPr>
          <c:marker>
            <c:symbol val="triangle"/>
            <c:size val="5"/>
            <c:spPr>
              <a:solidFill>
                <a:srgbClr val="4AAC6B"/>
              </a:solidFill>
              <a:ln>
                <a:solidFill>
                  <a:srgbClr val="4AAC6B"/>
                </a:solidFill>
                <a:prstDash val="solid"/>
              </a:ln>
            </c:spPr>
          </c:marker>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b"/>
            <c:showLegendKey val="0"/>
            <c:showVal val="1"/>
            <c:showCatName val="0"/>
            <c:showSerName val="0"/>
            <c:showPercent val="0"/>
            <c:showBubbleSize val="0"/>
            <c:showLeaderLines val="0"/>
          </c:dLbls>
          <c:cat>
            <c:strRef>
              <c:f>'Charts - Qtr'!$T$3:$Y$3</c:f>
              <c:strCache>
                <c:ptCount val="6"/>
                <c:pt idx="0">
                  <c:v>2Q11</c:v>
                </c:pt>
                <c:pt idx="1">
                  <c:v>3Q11</c:v>
                </c:pt>
                <c:pt idx="2">
                  <c:v>4Q11</c:v>
                </c:pt>
                <c:pt idx="3">
                  <c:v>1Q12</c:v>
                </c:pt>
                <c:pt idx="4">
                  <c:v>2Q12</c:v>
                </c:pt>
                <c:pt idx="5">
                  <c:v>3Q12</c:v>
                </c:pt>
              </c:strCache>
            </c:strRef>
          </c:cat>
          <c:val>
            <c:numRef>
              <c:f>'Charts - Qtr'!$T$112:$Y$112</c:f>
              <c:numCache>
                <c:formatCode>"$"#,##0_);\("$"#,##0\)</c:formatCode>
                <c:ptCount val="6"/>
                <c:pt idx="0">
                  <c:v>1651.1830859199281</c:v>
                </c:pt>
                <c:pt idx="1">
                  <c:v>1697.4647824136382</c:v>
                </c:pt>
                <c:pt idx="2">
                  <c:v>1697.2483221476509</c:v>
                </c:pt>
                <c:pt idx="3">
                  <c:v>1752.5511638120333</c:v>
                </c:pt>
                <c:pt idx="4">
                  <c:v>1757.4327335047128</c:v>
                </c:pt>
                <c:pt idx="5">
                  <c:v>1765.986429177269</c:v>
                </c:pt>
              </c:numCache>
            </c:numRef>
          </c:val>
          <c:smooth val="0"/>
        </c:ser>
        <c:dLbls>
          <c:showLegendKey val="0"/>
          <c:showVal val="0"/>
          <c:showCatName val="0"/>
          <c:showSerName val="0"/>
          <c:showPercent val="0"/>
          <c:showBubbleSize val="0"/>
        </c:dLbls>
        <c:marker val="1"/>
        <c:smooth val="0"/>
        <c:axId val="210111488"/>
        <c:axId val="210146048"/>
      </c:lineChart>
      <c:catAx>
        <c:axId val="2101114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146048"/>
        <c:crossesAt val="200"/>
        <c:auto val="1"/>
        <c:lblAlgn val="ctr"/>
        <c:lblOffset val="100"/>
        <c:tickLblSkip val="1"/>
        <c:tickMarkSkip val="1"/>
        <c:noMultiLvlLbl val="0"/>
      </c:catAx>
      <c:valAx>
        <c:axId val="210146048"/>
        <c:scaling>
          <c:orientation val="minMax"/>
        </c:scaling>
        <c:delete val="0"/>
        <c:axPos val="l"/>
        <c:majorGridlines>
          <c:spPr>
            <a:ln w="3175">
              <a:solidFill>
                <a:srgbClr val="C0C0C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MRR / Cabinet</a:t>
                </a:r>
              </a:p>
            </c:rich>
          </c:tx>
          <c:layout>
            <c:manualLayout>
              <c:xMode val="edge"/>
              <c:yMode val="edge"/>
              <c:x val="1.4112903225806451E-2"/>
              <c:y val="0.18283621263759939"/>
            </c:manualLayout>
          </c:layout>
          <c:overlay val="0"/>
          <c:spPr>
            <a:noFill/>
            <a:ln w="25400">
              <a:noFill/>
            </a:ln>
          </c:spPr>
        </c:title>
        <c:numFmt formatCode="&quot;$&quot;#,##0_);\(&quot;$&quot;#,##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111488"/>
        <c:crosses val="autoZero"/>
        <c:crossBetween val="between"/>
        <c:majorUnit val="400"/>
      </c:valAx>
      <c:spPr>
        <a:noFill/>
        <a:ln w="25400">
          <a:noFill/>
        </a:ln>
      </c:spPr>
    </c:plotArea>
    <c:legend>
      <c:legendPos val="b"/>
      <c:layout>
        <c:manualLayout>
          <c:xMode val="edge"/>
          <c:yMode val="edge"/>
          <c:x val="6.4516129032258063E-2"/>
          <c:y val="0.83209111920711398"/>
          <c:w val="0.92137181441029536"/>
          <c:h val="0.15671680965252477"/>
        </c:manualLayout>
      </c:layout>
      <c:overlay val="0"/>
      <c:spPr>
        <a:noFill/>
        <a:ln w="25400">
          <a:noFill/>
        </a:ln>
      </c:spPr>
      <c:txPr>
        <a:bodyPr/>
        <a:lstStyle/>
        <a:p>
          <a:pPr>
            <a:defRPr sz="26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538461538461539"/>
          <c:y val="0.14022165486201074"/>
          <c:w val="0.78137651821862353"/>
          <c:h val="0.6937281872120532"/>
        </c:manualLayout>
      </c:layout>
      <c:barChart>
        <c:barDir val="col"/>
        <c:grouping val="clustered"/>
        <c:varyColors val="0"/>
        <c:ser>
          <c:idx val="1"/>
          <c:order val="0"/>
          <c:tx>
            <c:strRef>
              <c:f>'Charts - Qtr'!$B$110</c:f>
              <c:strCache>
                <c:ptCount val="1"/>
                <c:pt idx="0">
                  <c:v>Interconnection MRR / Cabinet</c:v>
                </c:pt>
              </c:strCache>
            </c:strRef>
          </c:tx>
          <c:spPr>
            <a:solidFill>
              <a:srgbClr val="EACC80"/>
            </a:solidFill>
            <a:ln w="25400">
              <a:noFill/>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'Charts - Qtr'!$Q$3:$X$3</c:f>
              <c:strCache>
                <c:ptCount val="8"/>
                <c:pt idx="0">
                  <c:v>3Q10</c:v>
                </c:pt>
                <c:pt idx="1">
                  <c:v>4Q10</c:v>
                </c:pt>
                <c:pt idx="2">
                  <c:v>1Q11</c:v>
                </c:pt>
                <c:pt idx="3">
                  <c:v>2Q11</c:v>
                </c:pt>
                <c:pt idx="4">
                  <c:v>3Q11</c:v>
                </c:pt>
                <c:pt idx="5">
                  <c:v>4Q11</c:v>
                </c:pt>
                <c:pt idx="6">
                  <c:v>1Q12</c:v>
                </c:pt>
                <c:pt idx="7">
                  <c:v>2Q12</c:v>
                </c:pt>
              </c:strCache>
            </c:strRef>
          </c:cat>
          <c:val>
            <c:numRef>
              <c:f>'Charts - Qtr'!$Q$110:$X$110</c:f>
              <c:numCache>
                <c:formatCode>"$"#,##0_);\("$"#,##0\)</c:formatCode>
                <c:ptCount val="8"/>
                <c:pt idx="0">
                  <c:v>417.67857142857144</c:v>
                </c:pt>
                <c:pt idx="1">
                  <c:v>431.27607957302274</c:v>
                </c:pt>
                <c:pt idx="2">
                  <c:v>427.5791433891992</c:v>
                </c:pt>
                <c:pt idx="3">
                  <c:v>448.81691408007197</c:v>
                </c:pt>
                <c:pt idx="4">
                  <c:v>443.53521758636168</c:v>
                </c:pt>
                <c:pt idx="5">
                  <c:v>468.75167785234908</c:v>
                </c:pt>
                <c:pt idx="6">
                  <c:v>454.44883618796661</c:v>
                </c:pt>
                <c:pt idx="7">
                  <c:v>454.56726649528707</c:v>
                </c:pt>
              </c:numCache>
            </c:numRef>
          </c:val>
        </c:ser>
        <c:dLbls>
          <c:showLegendKey val="0"/>
          <c:showVal val="0"/>
          <c:showCatName val="0"/>
          <c:showSerName val="0"/>
          <c:showPercent val="0"/>
          <c:showBubbleSize val="0"/>
        </c:dLbls>
        <c:gapWidth val="150"/>
        <c:axId val="210189696"/>
        <c:axId val="210195584"/>
      </c:barChart>
      <c:lineChart>
        <c:grouping val="standard"/>
        <c:varyColors val="0"/>
        <c:ser>
          <c:idx val="0"/>
          <c:order val="1"/>
          <c:tx>
            <c:strRef>
              <c:f>'Charts - Qtr'!$B$111</c:f>
              <c:strCache>
                <c:ptCount val="1"/>
                <c:pt idx="0">
                  <c:v>% Q/Q</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dLbl>
              <c:idx val="0"/>
              <c:layout>
                <c:manualLayout>
                  <c:x val="-4.5462292921886777E-2"/>
                  <c:y val="-9.6607589988578921E-2"/>
                </c:manualLayout>
              </c:layout>
              <c:dLblPos val="r"/>
              <c:showLegendKey val="0"/>
              <c:showVal val="1"/>
              <c:showCatName val="0"/>
              <c:showSerName val="0"/>
              <c:showPercent val="0"/>
              <c:showBubbleSize val="0"/>
            </c:dLbl>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'Charts - Qtr'!$Q$3:$X$3</c:f>
              <c:strCache>
                <c:ptCount val="8"/>
                <c:pt idx="0">
                  <c:v>3Q10</c:v>
                </c:pt>
                <c:pt idx="1">
                  <c:v>4Q10</c:v>
                </c:pt>
                <c:pt idx="2">
                  <c:v>1Q11</c:v>
                </c:pt>
                <c:pt idx="3">
                  <c:v>2Q11</c:v>
                </c:pt>
                <c:pt idx="4">
                  <c:v>3Q11</c:v>
                </c:pt>
                <c:pt idx="5">
                  <c:v>4Q11</c:v>
                </c:pt>
                <c:pt idx="6">
                  <c:v>1Q12</c:v>
                </c:pt>
                <c:pt idx="7">
                  <c:v>2Q12</c:v>
                </c:pt>
              </c:strCache>
            </c:strRef>
          </c:cat>
          <c:val>
            <c:numRef>
              <c:f>'Charts - Qtr'!$Q$111:$X$111</c:f>
              <c:numCache>
                <c:formatCode>0.0%_);\(0.0%\);"–"_)</c:formatCode>
                <c:ptCount val="8"/>
                <c:pt idx="0">
                  <c:v>0.18972654213373308</c:v>
                </c:pt>
                <c:pt idx="1">
                  <c:v>3.2554957507023197E-2</c:v>
                </c:pt>
                <c:pt idx="2">
                  <c:v>-8.5720872520534952E-3</c:v>
                </c:pt>
                <c:pt idx="3">
                  <c:v>4.9669800361476835E-2</c:v>
                </c:pt>
                <c:pt idx="4">
                  <c:v>-1.1768042442286353E-2</c:v>
                </c:pt>
                <c:pt idx="5">
                  <c:v>5.6853343919814892E-2</c:v>
                </c:pt>
                <c:pt idx="6">
                  <c:v>-3.0512619666585361E-2</c:v>
                </c:pt>
                <c:pt idx="7">
                  <c:v>2.6060206978173461E-4</c:v>
                </c:pt>
              </c:numCache>
            </c:numRef>
          </c:val>
          <c:smooth val="0"/>
        </c:ser>
        <c:dLbls>
          <c:showLegendKey val="0"/>
          <c:showVal val="0"/>
          <c:showCatName val="0"/>
          <c:showSerName val="0"/>
          <c:showPercent val="0"/>
          <c:showBubbleSize val="0"/>
        </c:dLbls>
        <c:marker val="1"/>
        <c:smooth val="0"/>
        <c:axId val="210197120"/>
        <c:axId val="210223488"/>
      </c:lineChart>
      <c:catAx>
        <c:axId val="210189696"/>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195584"/>
        <c:crosses val="autoZero"/>
        <c:auto val="0"/>
        <c:lblAlgn val="ctr"/>
        <c:lblOffset val="100"/>
        <c:tickLblSkip val="1"/>
        <c:tickMarkSkip val="1"/>
        <c:noMultiLvlLbl val="0"/>
      </c:catAx>
      <c:valAx>
        <c:axId val="210195584"/>
        <c:scaling>
          <c:orientation val="minMax"/>
        </c:scaling>
        <c:delete val="0"/>
        <c:axPos val="l"/>
        <c:majorGridlines>
          <c:spPr>
            <a:ln w="3175">
              <a:solidFill>
                <a:srgbClr val="C0C0C0"/>
              </a:solidFill>
              <a:prstDash val="solid"/>
            </a:ln>
          </c:spPr>
        </c:majorGridlines>
        <c:numFmt formatCode="&quot;$&quot;#,##0_);\(&quot;$&quot;#,##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189696"/>
        <c:crosses val="autoZero"/>
        <c:crossBetween val="between"/>
      </c:valAx>
      <c:catAx>
        <c:axId val="210197120"/>
        <c:scaling>
          <c:orientation val="minMax"/>
        </c:scaling>
        <c:delete val="1"/>
        <c:axPos val="b"/>
        <c:majorTickMark val="out"/>
        <c:minorTickMark val="none"/>
        <c:tickLblPos val="nextTo"/>
        <c:crossAx val="210223488"/>
        <c:crosses val="autoZero"/>
        <c:auto val="0"/>
        <c:lblAlgn val="ctr"/>
        <c:lblOffset val="100"/>
        <c:noMultiLvlLbl val="0"/>
      </c:catAx>
      <c:valAx>
        <c:axId val="210223488"/>
        <c:scaling>
          <c:orientation val="minMax"/>
        </c:scaling>
        <c:delete val="0"/>
        <c:axPos val="r"/>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197120"/>
        <c:crosses val="max"/>
        <c:crossBetween val="between"/>
      </c:valAx>
      <c:spPr>
        <a:noFill/>
        <a:ln w="25400">
          <a:noFill/>
        </a:ln>
      </c:spPr>
    </c:plotArea>
    <c:legend>
      <c:legendPos val="t"/>
      <c:layout>
        <c:manualLayout>
          <c:xMode val="edge"/>
          <c:yMode val="edge"/>
          <c:x val="0.30161943319838058"/>
          <c:y val="1.8450184501845018E-2"/>
          <c:w val="0.59109311740890691"/>
          <c:h val="8.1180811808118078E-2"/>
        </c:manualLayout>
      </c:layout>
      <c:overlay val="0"/>
      <c:spPr>
        <a:noFill/>
        <a:ln w="25400">
          <a:noFill/>
        </a:ln>
      </c:spPr>
      <c:txPr>
        <a:bodyPr/>
        <a:lstStyle/>
        <a:p>
          <a:pPr>
            <a:defRPr sz="26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939421439830807"/>
          <c:y val="0.12867647058823528"/>
          <c:w val="0.74949642814162754"/>
          <c:h val="0.7095588235294118"/>
        </c:manualLayout>
      </c:layout>
      <c:barChart>
        <c:barDir val="col"/>
        <c:grouping val="clustered"/>
        <c:varyColors val="0"/>
        <c:ser>
          <c:idx val="1"/>
          <c:order val="0"/>
          <c:tx>
            <c:strRef>
              <c:f>'Charts - Qtr'!$B$101</c:f>
              <c:strCache>
                <c:ptCount val="1"/>
                <c:pt idx="0">
                  <c:v>NA MRR / Cabinet</c:v>
                </c:pt>
              </c:strCache>
            </c:strRef>
          </c:tx>
          <c:spPr>
            <a:solidFill>
              <a:srgbClr val="EACC80"/>
            </a:solidFill>
            <a:ln w="25400">
              <a:noFill/>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'Charts - Qtr'!$S$3:$Z$3</c:f>
              <c:strCache>
                <c:ptCount val="8"/>
                <c:pt idx="0">
                  <c:v>1Q11</c:v>
                </c:pt>
                <c:pt idx="1">
                  <c:v>2Q11</c:v>
                </c:pt>
                <c:pt idx="2">
                  <c:v>3Q11</c:v>
                </c:pt>
                <c:pt idx="3">
                  <c:v>4Q11</c:v>
                </c:pt>
                <c:pt idx="4">
                  <c:v>1Q12</c:v>
                </c:pt>
                <c:pt idx="5">
                  <c:v>2Q12</c:v>
                </c:pt>
                <c:pt idx="6">
                  <c:v>3Q12</c:v>
                </c:pt>
                <c:pt idx="7">
                  <c:v>4Q12</c:v>
                </c:pt>
              </c:strCache>
            </c:strRef>
          </c:cat>
          <c:val>
            <c:numRef>
              <c:f>'Charts - Qtr'!$S$101:$Z$101</c:f>
              <c:numCache>
                <c:formatCode>"$"#,##0_);\("$"#,##0\)</c:formatCode>
                <c:ptCount val="8"/>
                <c:pt idx="0">
                  <c:v>2080</c:v>
                </c:pt>
                <c:pt idx="1">
                  <c:v>2100</c:v>
                </c:pt>
                <c:pt idx="2">
                  <c:v>2141</c:v>
                </c:pt>
                <c:pt idx="3">
                  <c:v>2166</c:v>
                </c:pt>
                <c:pt idx="4">
                  <c:v>2207</c:v>
                </c:pt>
                <c:pt idx="5">
                  <c:v>2212</c:v>
                </c:pt>
                <c:pt idx="6">
                  <c:v>2232</c:v>
                </c:pt>
                <c:pt idx="7">
                  <c:v>2248</c:v>
                </c:pt>
              </c:numCache>
            </c:numRef>
          </c:val>
        </c:ser>
        <c:dLbls>
          <c:showLegendKey val="0"/>
          <c:showVal val="0"/>
          <c:showCatName val="0"/>
          <c:showSerName val="0"/>
          <c:showPercent val="0"/>
          <c:showBubbleSize val="0"/>
        </c:dLbls>
        <c:gapWidth val="150"/>
        <c:axId val="210381056"/>
        <c:axId val="210395136"/>
      </c:barChart>
      <c:lineChart>
        <c:grouping val="standard"/>
        <c:varyColors val="0"/>
        <c:ser>
          <c:idx val="0"/>
          <c:order val="1"/>
          <c:tx>
            <c:strRef>
              <c:f>'Charts - Qtr'!$B$102</c:f>
              <c:strCache>
                <c:ptCount val="1"/>
                <c:pt idx="0">
                  <c:v>% Q/Q</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dLbl>
              <c:idx val="0"/>
              <c:layout>
                <c:manualLayout>
                  <c:x val="-5.7613624780290765E-2"/>
                  <c:y val="-7.4621754720901837E-2"/>
                </c:manualLayout>
              </c:layout>
              <c:dLblPos val="r"/>
              <c:showLegendKey val="0"/>
              <c:showVal val="1"/>
              <c:showCatName val="0"/>
              <c:showSerName val="0"/>
              <c:showPercent val="0"/>
              <c:showBubbleSize val="0"/>
            </c:dLbl>
            <c:dLbl>
              <c:idx val="1"/>
              <c:layout>
                <c:manualLayout>
                  <c:x val="-5.8371148062696616E-2"/>
                  <c:y val="5.0797620315728195E-2"/>
                </c:manualLayout>
              </c:layout>
              <c:dLblPos val="r"/>
              <c:showLegendKey val="0"/>
              <c:showVal val="1"/>
              <c:showCatName val="0"/>
              <c:showSerName val="0"/>
              <c:showPercent val="0"/>
              <c:showBubbleSize val="0"/>
            </c:dLbl>
            <c:dLbl>
              <c:idx val="2"/>
              <c:layout>
                <c:manualLayout>
                  <c:x val="-4.700764734396156E-2"/>
                  <c:y val="-8.7095899245699077E-2"/>
                </c:manualLayout>
              </c:layout>
              <c:dLblPos val="r"/>
              <c:showLegendKey val="0"/>
              <c:showVal val="1"/>
              <c:showCatName val="0"/>
              <c:showSerName val="0"/>
              <c:showPercent val="0"/>
              <c:showBubbleSize val="0"/>
            </c:dLbl>
            <c:dLbl>
              <c:idx val="3"/>
              <c:layout>
                <c:manualLayout>
                  <c:x val="-5.5845994649457727E-2"/>
                  <c:y val="-6.3489379247267066E-2"/>
                </c:manualLayout>
              </c:layout>
              <c:dLblPos val="r"/>
              <c:showLegendKey val="0"/>
              <c:showVal val="1"/>
              <c:showCatName val="0"/>
              <c:showSerName val="0"/>
              <c:showPercent val="0"/>
              <c:showBubbleSize val="0"/>
            </c:dLbl>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b"/>
            <c:showLegendKey val="0"/>
            <c:showVal val="1"/>
            <c:showCatName val="0"/>
            <c:showSerName val="0"/>
            <c:showPercent val="0"/>
            <c:showBubbleSize val="0"/>
            <c:showLeaderLines val="0"/>
          </c:dLbls>
          <c:cat>
            <c:strRef>
              <c:f>'Charts - Qtr'!$S$3:$Z$3</c:f>
              <c:strCache>
                <c:ptCount val="8"/>
                <c:pt idx="0">
                  <c:v>1Q11</c:v>
                </c:pt>
                <c:pt idx="1">
                  <c:v>2Q11</c:v>
                </c:pt>
                <c:pt idx="2">
                  <c:v>3Q11</c:v>
                </c:pt>
                <c:pt idx="3">
                  <c:v>4Q11</c:v>
                </c:pt>
                <c:pt idx="4">
                  <c:v>1Q12</c:v>
                </c:pt>
                <c:pt idx="5">
                  <c:v>2Q12</c:v>
                </c:pt>
                <c:pt idx="6">
                  <c:v>3Q12</c:v>
                </c:pt>
                <c:pt idx="7">
                  <c:v>4Q12</c:v>
                </c:pt>
              </c:strCache>
            </c:strRef>
          </c:cat>
          <c:val>
            <c:numRef>
              <c:f>'Charts - Qtr'!$S$102:$Z$102</c:f>
              <c:numCache>
                <c:formatCode>0.0%_);\(0.0%\);"–"_)</c:formatCode>
                <c:ptCount val="8"/>
                <c:pt idx="0">
                  <c:v>1.1673151750972721E-2</c:v>
                </c:pt>
                <c:pt idx="1">
                  <c:v>9.6153846153845812E-3</c:v>
                </c:pt>
                <c:pt idx="2">
                  <c:v>1.9523809523809499E-2</c:v>
                </c:pt>
                <c:pt idx="3">
                  <c:v>1.1676786548341811E-2</c:v>
                </c:pt>
                <c:pt idx="4">
                  <c:v>1.8928901200369275E-2</c:v>
                </c:pt>
                <c:pt idx="5">
                  <c:v>2.2655188038060992E-3</c:v>
                </c:pt>
                <c:pt idx="6">
                  <c:v>9.0415913200723175E-3</c:v>
                </c:pt>
                <c:pt idx="7">
                  <c:v>7.1684587813620748E-3</c:v>
                </c:pt>
              </c:numCache>
            </c:numRef>
          </c:val>
          <c:smooth val="0"/>
        </c:ser>
        <c:dLbls>
          <c:showLegendKey val="0"/>
          <c:showVal val="0"/>
          <c:showCatName val="0"/>
          <c:showSerName val="0"/>
          <c:showPercent val="0"/>
          <c:showBubbleSize val="0"/>
        </c:dLbls>
        <c:marker val="1"/>
        <c:smooth val="0"/>
        <c:axId val="210396672"/>
        <c:axId val="210398208"/>
      </c:lineChart>
      <c:catAx>
        <c:axId val="210381056"/>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395136"/>
        <c:crosses val="autoZero"/>
        <c:auto val="0"/>
        <c:lblAlgn val="ctr"/>
        <c:lblOffset val="100"/>
        <c:tickLblSkip val="1"/>
        <c:tickMarkSkip val="1"/>
        <c:noMultiLvlLbl val="0"/>
      </c:catAx>
      <c:valAx>
        <c:axId val="210395136"/>
        <c:scaling>
          <c:orientation val="minMax"/>
          <c:max val="2300"/>
        </c:scaling>
        <c:delete val="0"/>
        <c:axPos val="l"/>
        <c:majorGridlines>
          <c:spPr>
            <a:ln w="3175">
              <a:solidFill>
                <a:srgbClr val="C0C0C0"/>
              </a:solidFill>
              <a:prstDash val="solid"/>
            </a:ln>
          </c:spPr>
        </c:majorGridlines>
        <c:numFmt formatCode="&quot;$&quot;#,##0_);\(&quot;$&quot;#,##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381056"/>
        <c:crosses val="autoZero"/>
        <c:crossBetween val="between"/>
        <c:majorUnit val="50"/>
      </c:valAx>
      <c:catAx>
        <c:axId val="210396672"/>
        <c:scaling>
          <c:orientation val="minMax"/>
        </c:scaling>
        <c:delete val="1"/>
        <c:axPos val="b"/>
        <c:majorTickMark val="out"/>
        <c:minorTickMark val="none"/>
        <c:tickLblPos val="nextTo"/>
        <c:crossAx val="210398208"/>
        <c:crosses val="autoZero"/>
        <c:auto val="0"/>
        <c:lblAlgn val="ctr"/>
        <c:lblOffset val="100"/>
        <c:noMultiLvlLbl val="0"/>
      </c:catAx>
      <c:valAx>
        <c:axId val="210398208"/>
        <c:scaling>
          <c:orientation val="minMax"/>
        </c:scaling>
        <c:delete val="0"/>
        <c:axPos val="r"/>
        <c:numFmt formatCode="0.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396672"/>
        <c:crosses val="max"/>
        <c:crossBetween val="between"/>
      </c:valAx>
      <c:spPr>
        <a:noFill/>
        <a:ln w="25400">
          <a:noFill/>
        </a:ln>
      </c:spPr>
    </c:plotArea>
    <c:legend>
      <c:legendPos val="t"/>
      <c:layout>
        <c:manualLayout>
          <c:xMode val="edge"/>
          <c:yMode val="edge"/>
          <c:x val="0.38585943423738694"/>
          <c:y val="1.8382352941176471E-2"/>
          <c:w val="0.44848569686364953"/>
          <c:h val="8.0882352941176461E-2"/>
        </c:manualLayout>
      </c:layout>
      <c:overlay val="0"/>
      <c:spPr>
        <a:noFill/>
        <a:ln w="25400">
          <a:noFill/>
        </a:ln>
      </c:spPr>
      <c:txPr>
        <a:bodyPr/>
        <a:lstStyle/>
        <a:p>
          <a:pPr>
            <a:defRPr sz="26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901408450704225"/>
          <c:y val="0.1449814126394052"/>
          <c:w val="0.80080482897384309"/>
          <c:h val="0.72490706319702602"/>
        </c:manualLayout>
      </c:layout>
      <c:lineChart>
        <c:grouping val="standard"/>
        <c:varyColors val="0"/>
        <c:ser>
          <c:idx val="0"/>
          <c:order val="0"/>
          <c:spPr>
            <a:ln w="12700">
              <a:solidFill>
                <a:srgbClr val="1275A6"/>
              </a:solidFill>
              <a:prstDash val="solid"/>
            </a:ln>
          </c:spPr>
          <c:marker>
            <c:symbol val="diamond"/>
            <c:size val="5"/>
            <c:spPr>
              <a:solidFill>
                <a:srgbClr val="1275A6"/>
              </a:solidFill>
              <a:ln>
                <a:solidFill>
                  <a:srgbClr val="1275A6"/>
                </a:solidFill>
                <a:prstDash val="solid"/>
              </a:ln>
            </c:spPr>
          </c:marker>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'Charts - Qtr'!$AD$3:$AK$3</c:f>
              <c:strCache>
                <c:ptCount val="8"/>
                <c:pt idx="0">
                  <c:v>4Q13</c:v>
                </c:pt>
                <c:pt idx="1">
                  <c:v>1Q14</c:v>
                </c:pt>
                <c:pt idx="2">
                  <c:v>2Q14</c:v>
                </c:pt>
                <c:pt idx="3">
                  <c:v>3Q14</c:v>
                </c:pt>
                <c:pt idx="4">
                  <c:v>4Q14</c:v>
                </c:pt>
                <c:pt idx="5">
                  <c:v>1Q15</c:v>
                </c:pt>
                <c:pt idx="6">
                  <c:v>2Q15</c:v>
                </c:pt>
                <c:pt idx="7">
                  <c:v>3Q15</c:v>
                </c:pt>
              </c:strCache>
            </c:strRef>
          </c:cat>
          <c:val>
            <c:numRef>
              <c:f>'Charts - Qtr'!$AD$371:$AK$371</c:f>
              <c:numCache>
                <c:formatCode>0.0%_);\(0.0%\);"–"_)</c:formatCode>
                <c:ptCount val="8"/>
                <c:pt idx="0">
                  <c:v>2.2962112514351318E-2</c:v>
                </c:pt>
                <c:pt idx="1">
                  <c:v>2.2446689113355678E-2</c:v>
                </c:pt>
                <c:pt idx="2">
                  <c:v>2.0856201975850697E-2</c:v>
                </c:pt>
                <c:pt idx="3">
                  <c:v>3.9784946236559149E-2</c:v>
                </c:pt>
                <c:pt idx="4">
                  <c:v>1.9648397104446769E-2</c:v>
                </c:pt>
                <c:pt idx="5">
                  <c:v>3.0425963488843744E-2</c:v>
                </c:pt>
                <c:pt idx="6">
                  <c:v>3.740157480314954E-2</c:v>
                </c:pt>
                <c:pt idx="7">
                  <c:v>4.4592030360531387E-2</c:v>
                </c:pt>
              </c:numCache>
            </c:numRef>
          </c:val>
          <c:smooth val="0"/>
        </c:ser>
        <c:ser>
          <c:idx val="1"/>
          <c:order val="1"/>
          <c:spPr>
            <a:ln w="12700">
              <a:solidFill>
                <a:srgbClr val="4AAC6B"/>
              </a:solidFill>
              <a:prstDash val="solid"/>
            </a:ln>
          </c:spPr>
          <c:marker>
            <c:symbol val="square"/>
            <c:size val="5"/>
            <c:spPr>
              <a:solidFill>
                <a:srgbClr val="4AAC6B"/>
              </a:solidFill>
              <a:ln>
                <a:solidFill>
                  <a:srgbClr val="4AAC6B"/>
                </a:solidFill>
                <a:prstDash val="solid"/>
              </a:ln>
            </c:spPr>
          </c:marker>
          <c:dLbls>
            <c:dLbl>
              <c:idx val="0"/>
              <c:layout>
                <c:manualLayout>
                  <c:x val="-5.8618376928236071E-2"/>
                  <c:y val="-8.5862334503905749E-2"/>
                </c:manualLayout>
              </c:layout>
              <c:dLblPos val="r"/>
              <c:showLegendKey val="0"/>
              <c:showVal val="1"/>
              <c:showCatName val="0"/>
              <c:showSerName val="0"/>
              <c:showPercent val="0"/>
              <c:showBubbleSize val="0"/>
            </c:dLbl>
            <c:dLbl>
              <c:idx val="1"/>
              <c:layout>
                <c:manualLayout>
                  <c:x val="-6.9885982562038887E-2"/>
                  <c:y val="7.8243358816974404E-2"/>
                </c:manualLayout>
              </c:layout>
              <c:dLblPos val="r"/>
              <c:showLegendKey val="0"/>
              <c:showVal val="1"/>
              <c:showCatName val="0"/>
              <c:showSerName val="0"/>
              <c:showPercent val="0"/>
              <c:showBubbleSize val="0"/>
            </c:dLbl>
            <c:dLbl>
              <c:idx val="2"/>
              <c:layout>
                <c:manualLayout>
                  <c:x val="-5.6338028169014086E-2"/>
                  <c:y val="4.682618843693033E-2"/>
                </c:manualLayout>
              </c:layout>
              <c:dLblPos val="r"/>
              <c:showLegendKey val="0"/>
              <c:showVal val="1"/>
              <c:showCatName val="0"/>
              <c:showSerName val="0"/>
              <c:showPercent val="0"/>
              <c:showBubbleSize val="0"/>
            </c:dLbl>
            <c:dLbl>
              <c:idx val="3"/>
              <c:layout>
                <c:manualLayout>
                  <c:x val="-5.3521126760563378E-2"/>
                  <c:y val="5.0406251597205423E-2"/>
                </c:manualLayout>
              </c:layout>
              <c:dLblPos val="r"/>
              <c:showLegendKey val="0"/>
              <c:showVal val="1"/>
              <c:showCatName val="0"/>
              <c:showSerName val="0"/>
              <c:showPercent val="0"/>
              <c:showBubbleSize val="0"/>
            </c:dLbl>
            <c:dLbl>
              <c:idx val="4"/>
              <c:layout>
                <c:manualLayout>
                  <c:x val="-5.5399061032863815E-2"/>
                  <c:y val="9.7054891687822303E-2"/>
                </c:manualLayout>
              </c:layout>
              <c:dLblPos val="r"/>
              <c:showLegendKey val="0"/>
              <c:showVal val="1"/>
              <c:showCatName val="0"/>
              <c:showSerName val="0"/>
              <c:showPercent val="0"/>
              <c:showBubbleSize val="0"/>
            </c:dLbl>
            <c:dLbl>
              <c:idx val="5"/>
              <c:layout>
                <c:manualLayout>
                  <c:x val="-5.6056443648769258E-2"/>
                  <c:y val="0.10449594910006667"/>
                </c:manualLayout>
              </c:layout>
              <c:dLblPos val="r"/>
              <c:showLegendKey val="0"/>
              <c:showVal val="1"/>
              <c:showCatName val="0"/>
              <c:showSerName val="0"/>
              <c:showPercent val="0"/>
              <c:showBubbleSize val="0"/>
            </c:dLbl>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'Charts - Qtr'!$AD$3:$AK$3</c:f>
              <c:strCache>
                <c:ptCount val="8"/>
                <c:pt idx="0">
                  <c:v>4Q13</c:v>
                </c:pt>
                <c:pt idx="1">
                  <c:v>1Q14</c:v>
                </c:pt>
                <c:pt idx="2">
                  <c:v>2Q14</c:v>
                </c:pt>
                <c:pt idx="3">
                  <c:v>3Q14</c:v>
                </c:pt>
                <c:pt idx="4">
                  <c:v>4Q14</c:v>
                </c:pt>
                <c:pt idx="5">
                  <c:v>1Q15</c:v>
                </c:pt>
                <c:pt idx="6">
                  <c:v>2Q15</c:v>
                </c:pt>
                <c:pt idx="7">
                  <c:v>3Q15</c:v>
                </c:pt>
              </c:strCache>
            </c:strRef>
          </c:cat>
          <c:val>
            <c:numRef>
              <c:f>'Charts - Qtr'!$AD$355:$AK$355</c:f>
              <c:numCache>
                <c:formatCode>0.0%_);\(0.0%\);"–"_)</c:formatCode>
                <c:ptCount val="8"/>
                <c:pt idx="0">
                  <c:v>1.7568591499340425E-2</c:v>
                </c:pt>
                <c:pt idx="1">
                  <c:v>-1.0390372317569119E-3</c:v>
                </c:pt>
                <c:pt idx="2">
                  <c:v>2.2361087875705676E-2</c:v>
                </c:pt>
                <c:pt idx="3">
                  <c:v>-5.3866782802719504E-3</c:v>
                </c:pt>
                <c:pt idx="4">
                  <c:v>-5.1964491937583901E-4</c:v>
                </c:pt>
                <c:pt idx="5">
                  <c:v>-1.7765180754121701E-2</c:v>
                </c:pt>
                <c:pt idx="6">
                  <c:v>-5.8277863202389479E-3</c:v>
                </c:pt>
                <c:pt idx="7">
                  <c:v>-8.7422939492587393E-3</c:v>
                </c:pt>
              </c:numCache>
            </c:numRef>
          </c:val>
          <c:smooth val="0"/>
        </c:ser>
        <c:dLbls>
          <c:showLegendKey val="0"/>
          <c:showVal val="0"/>
          <c:showCatName val="0"/>
          <c:showSerName val="0"/>
          <c:showPercent val="0"/>
          <c:showBubbleSize val="0"/>
        </c:dLbls>
        <c:marker val="1"/>
        <c:smooth val="0"/>
        <c:axId val="210473344"/>
        <c:axId val="210474880"/>
      </c:lineChart>
      <c:catAx>
        <c:axId val="21047334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474880"/>
        <c:crossesAt val="-0.01"/>
        <c:auto val="1"/>
        <c:lblAlgn val="ctr"/>
        <c:lblOffset val="100"/>
        <c:tickLblSkip val="1"/>
        <c:tickMarkSkip val="1"/>
        <c:noMultiLvlLbl val="0"/>
      </c:catAx>
      <c:valAx>
        <c:axId val="210474880"/>
        <c:scaling>
          <c:orientation val="minMax"/>
          <c:max val="6.0000000000000012E-2"/>
          <c:min val="-0.01"/>
        </c:scaling>
        <c:delete val="0"/>
        <c:axPos val="l"/>
        <c:majorGridlines>
          <c:spPr>
            <a:ln w="3175">
              <a:solidFill>
                <a:srgbClr val="C0C0C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MRR / Cabinet</a:t>
                </a:r>
              </a:p>
            </c:rich>
          </c:tx>
          <c:layout>
            <c:manualLayout>
              <c:xMode val="edge"/>
              <c:yMode val="edge"/>
              <c:x val="2.2132796780684104E-2"/>
              <c:y val="0.34200743494423791"/>
            </c:manualLayout>
          </c:layout>
          <c:overlay val="0"/>
          <c:spPr>
            <a:noFill/>
            <a:ln w="25400">
              <a:noFill/>
            </a:ln>
          </c:spPr>
        </c:title>
        <c:numFmt formatCode="0.0%_);\(0.0%\);&quot;–&quot;_)"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473344"/>
        <c:crosses val="autoZero"/>
        <c:crossBetween val="between"/>
        <c:majorUnit val="0.01"/>
        <c:minorUnit val="5.0000000000000001E-3"/>
      </c:valAx>
      <c:spPr>
        <a:noFill/>
        <a:ln w="25400">
          <a:noFill/>
        </a:ln>
      </c:spPr>
    </c:plotArea>
    <c:legend>
      <c:legendPos val="t"/>
      <c:layout>
        <c:manualLayout>
          <c:xMode val="edge"/>
          <c:yMode val="edge"/>
          <c:x val="0.13078470824949698"/>
          <c:y val="1.858736059479554E-2"/>
          <c:w val="0.85110663983903423"/>
          <c:h val="8.1784386617100371E-2"/>
        </c:manualLayout>
      </c:layout>
      <c:overlay val="0"/>
      <c:spPr>
        <a:noFill/>
        <a:ln w="25400">
          <a:noFill/>
        </a:ln>
      </c:spPr>
      <c:txPr>
        <a:bodyPr/>
        <a:lstStyle/>
        <a:p>
          <a:pPr>
            <a:defRPr sz="26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REVENUE</a:t>
            </a:r>
          </a:p>
        </c:rich>
      </c:tx>
      <c:layout>
        <c:manualLayout>
          <c:xMode val="edge"/>
          <c:yMode val="edge"/>
          <c:x val="1.2879281809519032E-3"/>
          <c:y val="0"/>
        </c:manualLayout>
      </c:layout>
      <c:overlay val="1"/>
    </c:title>
    <c:autoTitleDeleted val="0"/>
    <c:plotArea>
      <c:layout>
        <c:manualLayout>
          <c:layoutTarget val="inner"/>
          <c:xMode val="edge"/>
          <c:yMode val="edge"/>
          <c:x val="0.12526565250475324"/>
          <c:y val="0.19101193458836094"/>
          <c:w val="0.74097818176540475"/>
          <c:h val="0.64045178067862196"/>
        </c:manualLayout>
      </c:layout>
      <c:barChart>
        <c:barDir val="col"/>
        <c:grouping val="clustered"/>
        <c:varyColors val="0"/>
        <c:ser>
          <c:idx val="1"/>
          <c:order val="0"/>
          <c:tx>
            <c:strRef>
              <c:f>'Charts - Qtr'!$B$4</c:f>
              <c:strCache>
                <c:ptCount val="1"/>
                <c:pt idx="0">
                  <c:v>Revenue</c:v>
                </c:pt>
              </c:strCache>
            </c:strRef>
          </c:tx>
          <c:spPr>
            <a:solidFill>
              <a:srgbClr val="EACC80"/>
            </a:solidFill>
            <a:ln w="25400">
              <a:noFill/>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inBase"/>
            <c:showLegendKey val="0"/>
            <c:showVal val="1"/>
            <c:showCatName val="0"/>
            <c:showSerName val="0"/>
            <c:showPercent val="0"/>
            <c:showBubbleSize val="0"/>
            <c:showLeaderLines val="0"/>
          </c:dLbls>
          <c:cat>
            <c:strRef>
              <c:f>'Charts - Qtr'!$AL$3:$AS$3</c:f>
              <c:strCache>
                <c:ptCount val="8"/>
                <c:pt idx="0">
                  <c:v>4Q15</c:v>
                </c:pt>
                <c:pt idx="1">
                  <c:v>1Q16</c:v>
                </c:pt>
                <c:pt idx="2">
                  <c:v>2Q16</c:v>
                </c:pt>
                <c:pt idx="3">
                  <c:v>3Q16</c:v>
                </c:pt>
                <c:pt idx="4">
                  <c:v>4Q16</c:v>
                </c:pt>
                <c:pt idx="5">
                  <c:v>1Q17</c:v>
                </c:pt>
                <c:pt idx="6">
                  <c:v>2Q17</c:v>
                </c:pt>
                <c:pt idx="7">
                  <c:v>3Q17</c:v>
                </c:pt>
              </c:strCache>
            </c:strRef>
          </c:cat>
          <c:val>
            <c:numRef>
              <c:f>'Charts - Qtr'!$AL$4:$AS$4</c:f>
              <c:numCache>
                <c:formatCode>"$"#,##0_);\("$"#,##0\)</c:formatCode>
                <c:ptCount val="8"/>
                <c:pt idx="0">
                  <c:v>730.46199999999988</c:v>
                </c:pt>
                <c:pt idx="1">
                  <c:v>844.15600000000006</c:v>
                </c:pt>
                <c:pt idx="2">
                  <c:v>900.51</c:v>
                </c:pt>
                <c:pt idx="3">
                  <c:v>924.67599999999993</c:v>
                </c:pt>
                <c:pt idx="4">
                  <c:v>942.64700000000005</c:v>
                </c:pt>
                <c:pt idx="5">
                  <c:v>949.5250000000002</c:v>
                </c:pt>
                <c:pt idx="6">
                  <c:v>1066.421</c:v>
                </c:pt>
                <c:pt idx="7">
                  <c:v>1152.261</c:v>
                </c:pt>
              </c:numCache>
            </c:numRef>
          </c:val>
        </c:ser>
        <c:dLbls>
          <c:showLegendKey val="0"/>
          <c:showVal val="0"/>
          <c:showCatName val="0"/>
          <c:showSerName val="0"/>
          <c:showPercent val="0"/>
          <c:showBubbleSize val="0"/>
        </c:dLbls>
        <c:gapWidth val="150"/>
        <c:axId val="210523264"/>
        <c:axId val="210524800"/>
      </c:barChart>
      <c:lineChart>
        <c:grouping val="standard"/>
        <c:varyColors val="0"/>
        <c:ser>
          <c:idx val="0"/>
          <c:order val="1"/>
          <c:tx>
            <c:strRef>
              <c:f>'Charts - Qtr'!$B$6</c:f>
              <c:strCache>
                <c:ptCount val="1"/>
                <c:pt idx="0">
                  <c:v>% Y/Y</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dLbl>
              <c:idx val="0"/>
              <c:layout>
                <c:manualLayout>
                  <c:x val="-4.4895749105275655E-2"/>
                  <c:y val="-7.1827441741564343E-2"/>
                </c:manualLayout>
              </c:layout>
              <c:dLblPos val="r"/>
              <c:showLegendKey val="0"/>
              <c:showVal val="1"/>
              <c:showCatName val="0"/>
              <c:showSerName val="0"/>
              <c:showPercent val="0"/>
              <c:showBubbleSize val="0"/>
            </c:dLbl>
            <c:dLbl>
              <c:idx val="1"/>
              <c:layout>
                <c:manualLayout>
                  <c:x val="-5.0469012066455134E-2"/>
                  <c:y val="-7.1209527321154112E-2"/>
                </c:manualLayout>
              </c:layout>
              <c:dLblPos val="r"/>
              <c:showLegendKey val="0"/>
              <c:showVal val="1"/>
              <c:showCatName val="0"/>
              <c:showSerName val="0"/>
              <c:showPercent val="0"/>
              <c:showBubbleSize val="0"/>
            </c:dLbl>
            <c:dLbl>
              <c:idx val="2"/>
              <c:layout>
                <c:manualLayout>
                  <c:x val="-5.8165404483675208E-2"/>
                  <c:y val="8.7120151225665923E-2"/>
                </c:manualLayout>
              </c:layout>
              <c:dLblPos val="r"/>
              <c:showLegendKey val="0"/>
              <c:showVal val="1"/>
              <c:showCatName val="0"/>
              <c:showSerName val="0"/>
              <c:showPercent val="0"/>
              <c:showBubbleSize val="0"/>
            </c:dLbl>
            <c:dLbl>
              <c:idx val="3"/>
              <c:layout>
                <c:manualLayout>
                  <c:x val="-5.099980472569942E-2"/>
                  <c:y val="7.1952059820052872E-2"/>
                </c:manualLayout>
              </c:layout>
              <c:dLblPos val="r"/>
              <c:showLegendKey val="0"/>
              <c:showVal val="1"/>
              <c:showCatName val="0"/>
              <c:showSerName val="0"/>
              <c:showPercent val="0"/>
              <c:showBubbleSize val="0"/>
            </c:dLbl>
            <c:dLbl>
              <c:idx val="4"/>
              <c:layout>
                <c:manualLayout>
                  <c:x val="-4.595733442376429E-2"/>
                  <c:y val="7.383784234290057E-2"/>
                </c:manualLayout>
              </c:layout>
              <c:dLblPos val="r"/>
              <c:showLegendKey val="0"/>
              <c:showVal val="1"/>
              <c:showCatName val="0"/>
              <c:showSerName val="0"/>
              <c:showPercent val="0"/>
              <c:showBubbleSize val="0"/>
            </c:dLbl>
            <c:dLbl>
              <c:idx val="5"/>
              <c:layout>
                <c:manualLayout>
                  <c:x val="-5.1530501362488927E-2"/>
                  <c:y val="8.1419152702503453E-2"/>
                </c:manualLayout>
              </c:layout>
              <c:dLblPos val="r"/>
              <c:showLegendKey val="0"/>
              <c:showVal val="1"/>
              <c:showCatName val="0"/>
              <c:showSerName val="0"/>
              <c:showPercent val="0"/>
              <c:showBubbleSize val="0"/>
            </c:dLbl>
            <c:dLbl>
              <c:idx val="6"/>
              <c:layout>
                <c:manualLayout>
                  <c:x val="-4.8611273735631441E-2"/>
                  <c:y val="8.5464660230978137E-2"/>
                </c:manualLayout>
              </c:layout>
              <c:dLblPos val="r"/>
              <c:showLegendKey val="0"/>
              <c:showVal val="1"/>
              <c:showCatName val="0"/>
              <c:showSerName val="0"/>
              <c:showPercent val="0"/>
              <c:showBubbleSize val="0"/>
            </c:dLbl>
            <c:dLbl>
              <c:idx val="7"/>
              <c:layout>
                <c:manualLayout>
                  <c:x val="-5.6307683349433951E-2"/>
                  <c:y val="8.7256913717579362E-2"/>
                </c:manualLayout>
              </c:layout>
              <c:dLblPos val="r"/>
              <c:showLegendKey val="0"/>
              <c:showVal val="1"/>
              <c:showCatName val="0"/>
              <c:showSerName val="0"/>
              <c:showPercent val="0"/>
              <c:showBubbleSize val="0"/>
            </c:dLbl>
            <c:dLbl>
              <c:idx val="8"/>
              <c:layout>
                <c:manualLayout>
                  <c:xMode val="edge"/>
                  <c:yMode val="edge"/>
                  <c:x val="0.54777183637671756"/>
                  <c:y val="0.44569451403950888"/>
                </c:manualLayout>
              </c:layout>
              <c:dLblPos val="r"/>
              <c:showLegendKey val="0"/>
              <c:showVal val="1"/>
              <c:showCatName val="0"/>
              <c:showSerName val="0"/>
              <c:showPercent val="0"/>
              <c:showBubbleSize val="0"/>
            </c:dLbl>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'Charts - Qtr'!$AL$3:$AS$3</c:f>
              <c:strCache>
                <c:ptCount val="8"/>
                <c:pt idx="0">
                  <c:v>4Q15</c:v>
                </c:pt>
                <c:pt idx="1">
                  <c:v>1Q16</c:v>
                </c:pt>
                <c:pt idx="2">
                  <c:v>2Q16</c:v>
                </c:pt>
                <c:pt idx="3">
                  <c:v>3Q16</c:v>
                </c:pt>
                <c:pt idx="4">
                  <c:v>4Q16</c:v>
                </c:pt>
                <c:pt idx="5">
                  <c:v>1Q17</c:v>
                </c:pt>
                <c:pt idx="6">
                  <c:v>2Q17</c:v>
                </c:pt>
                <c:pt idx="7">
                  <c:v>3Q17</c:v>
                </c:pt>
              </c:strCache>
            </c:strRef>
          </c:cat>
          <c:val>
            <c:numRef>
              <c:f>'Charts - Qtr'!$AL$6:$AS$6</c:f>
              <c:numCache>
                <c:formatCode>0.0%</c:formatCode>
                <c:ptCount val="8"/>
                <c:pt idx="0">
                  <c:v>0.14470766516068245</c:v>
                </c:pt>
                <c:pt idx="1">
                  <c:v>0.31248464645648011</c:v>
                </c:pt>
                <c:pt idx="2">
                  <c:v>0.35296627613126574</c:v>
                </c:pt>
                <c:pt idx="3">
                  <c:v>0.3466501808056226</c:v>
                </c:pt>
                <c:pt idx="4">
                  <c:v>0.2904805451892094</c:v>
                </c:pt>
                <c:pt idx="5">
                  <c:v>0.12482171541752951</c:v>
                </c:pt>
                <c:pt idx="6">
                  <c:v>0.18424115223595527</c:v>
                </c:pt>
                <c:pt idx="7">
                  <c:v>0.24612404777457186</c:v>
                </c:pt>
              </c:numCache>
            </c:numRef>
          </c:val>
          <c:smooth val="0"/>
        </c:ser>
        <c:dLbls>
          <c:showLegendKey val="0"/>
          <c:showVal val="0"/>
          <c:showCatName val="0"/>
          <c:showSerName val="0"/>
          <c:showPercent val="0"/>
          <c:showBubbleSize val="0"/>
        </c:dLbls>
        <c:marker val="1"/>
        <c:smooth val="0"/>
        <c:axId val="210547072"/>
        <c:axId val="210548608"/>
      </c:lineChart>
      <c:catAx>
        <c:axId val="210523264"/>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524800"/>
        <c:crosses val="autoZero"/>
        <c:auto val="0"/>
        <c:lblAlgn val="ctr"/>
        <c:lblOffset val="100"/>
        <c:tickLblSkip val="1"/>
        <c:tickMarkSkip val="1"/>
        <c:noMultiLvlLbl val="0"/>
      </c:catAx>
      <c:valAx>
        <c:axId val="210524800"/>
        <c:scaling>
          <c:orientation val="minMax"/>
        </c:scaling>
        <c:delete val="0"/>
        <c:axPos val="l"/>
        <c:majorGridlines>
          <c:spPr>
            <a:ln w="3175">
              <a:solidFill>
                <a:srgbClr val="C0C0C0"/>
              </a:solidFill>
              <a:prstDash val="solid"/>
            </a:ln>
          </c:spPr>
        </c:majorGridlines>
        <c:numFmt formatCode="&quot;$&quot;#,##0_);\(&quot;$&quot;#,##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523264"/>
        <c:crosses val="autoZero"/>
        <c:crossBetween val="between"/>
        <c:majorUnit val="200"/>
      </c:valAx>
      <c:catAx>
        <c:axId val="210547072"/>
        <c:scaling>
          <c:orientation val="minMax"/>
        </c:scaling>
        <c:delete val="1"/>
        <c:axPos val="b"/>
        <c:majorTickMark val="out"/>
        <c:minorTickMark val="none"/>
        <c:tickLblPos val="nextTo"/>
        <c:crossAx val="210548608"/>
        <c:crosses val="autoZero"/>
        <c:auto val="0"/>
        <c:lblAlgn val="ctr"/>
        <c:lblOffset val="100"/>
        <c:noMultiLvlLbl val="0"/>
      </c:catAx>
      <c:valAx>
        <c:axId val="210548608"/>
        <c:scaling>
          <c:orientation val="minMax"/>
        </c:scaling>
        <c:delete val="0"/>
        <c:axPos val="r"/>
        <c:numFmt formatCode="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547072"/>
        <c:crosses val="max"/>
        <c:crossBetween val="between"/>
      </c:valAx>
      <c:spPr>
        <a:noFill/>
        <a:ln w="25400">
          <a:noFill/>
        </a:ln>
      </c:spPr>
    </c:plotArea>
    <c:legend>
      <c:legendPos val="t"/>
      <c:layout>
        <c:manualLayout>
          <c:xMode val="edge"/>
          <c:yMode val="edge"/>
          <c:x val="0.65109762553566153"/>
          <c:y val="4.2285725520265025E-3"/>
          <c:w val="0.34394971329220791"/>
          <c:h val="8.2397396954594151E-2"/>
        </c:manualLayout>
      </c:layout>
      <c:overlay val="0"/>
      <c:spPr>
        <a:noFill/>
        <a:ln w="25400">
          <a:noFill/>
        </a:ln>
      </c:spPr>
      <c:txPr>
        <a:bodyPr/>
        <a:lstStyle/>
        <a:p>
          <a:pPr>
            <a:defRPr sz="10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NORTH AMERICA</a:t>
            </a:r>
          </a:p>
        </c:rich>
      </c:tx>
      <c:layout>
        <c:manualLayout>
          <c:xMode val="edge"/>
          <c:yMode val="edge"/>
          <c:x val="1.3574210481754297E-3"/>
          <c:y val="0"/>
        </c:manualLayout>
      </c:layout>
      <c:overlay val="1"/>
    </c:title>
    <c:autoTitleDeleted val="0"/>
    <c:plotArea>
      <c:layout>
        <c:manualLayout>
          <c:layoutTarget val="inner"/>
          <c:xMode val="edge"/>
          <c:yMode val="edge"/>
          <c:x val="0.12500012305487165"/>
          <c:y val="0.15384670417920165"/>
          <c:w val="0.84879115816291872"/>
          <c:h val="0.68498413527406443"/>
        </c:manualLayout>
      </c:layout>
      <c:barChart>
        <c:barDir val="col"/>
        <c:grouping val="clustered"/>
        <c:varyColors val="0"/>
        <c:ser>
          <c:idx val="1"/>
          <c:order val="0"/>
          <c:tx>
            <c:strRef>
              <c:f>'Charts - Qtr'!$B$100</c:f>
              <c:strCache>
                <c:ptCount val="1"/>
                <c:pt idx="0">
                  <c:v>Net Adds (Billing Cabinets)</c:v>
                </c:pt>
              </c:strCache>
            </c:strRef>
          </c:tx>
          <c:spPr>
            <a:solidFill>
              <a:srgbClr val="137CB1"/>
            </a:solidFill>
            <a:ln w="25400">
              <a:noFill/>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'Charts - Qtr'!$AL$3:$AS$3</c:f>
              <c:strCache>
                <c:ptCount val="8"/>
                <c:pt idx="0">
                  <c:v>4Q15</c:v>
                </c:pt>
                <c:pt idx="1">
                  <c:v>1Q16</c:v>
                </c:pt>
                <c:pt idx="2">
                  <c:v>2Q16</c:v>
                </c:pt>
                <c:pt idx="3">
                  <c:v>3Q16</c:v>
                </c:pt>
                <c:pt idx="4">
                  <c:v>4Q16</c:v>
                </c:pt>
                <c:pt idx="5">
                  <c:v>1Q17</c:v>
                </c:pt>
                <c:pt idx="6">
                  <c:v>2Q17</c:v>
                </c:pt>
                <c:pt idx="7">
                  <c:v>3Q17</c:v>
                </c:pt>
              </c:strCache>
            </c:strRef>
          </c:cat>
          <c:val>
            <c:numRef>
              <c:f>'Charts - Qtr'!$AL$100:$AS$100</c:f>
              <c:numCache>
                <c:formatCode>0</c:formatCode>
                <c:ptCount val="8"/>
                <c:pt idx="0">
                  <c:v>1400</c:v>
                </c:pt>
                <c:pt idx="1">
                  <c:v>300</c:v>
                </c:pt>
                <c:pt idx="2">
                  <c:v>1100</c:v>
                </c:pt>
                <c:pt idx="3">
                  <c:v>800</c:v>
                </c:pt>
                <c:pt idx="4">
                  <c:v>700</c:v>
                </c:pt>
                <c:pt idx="5">
                  <c:v>-200</c:v>
                </c:pt>
                <c:pt idx="6">
                  <c:v>400</c:v>
                </c:pt>
                <c:pt idx="7">
                  <c:v>1000</c:v>
                </c:pt>
              </c:numCache>
            </c:numRef>
          </c:val>
        </c:ser>
        <c:dLbls>
          <c:showLegendKey val="0"/>
          <c:showVal val="0"/>
          <c:showCatName val="0"/>
          <c:showSerName val="0"/>
          <c:showPercent val="0"/>
          <c:showBubbleSize val="0"/>
        </c:dLbls>
        <c:gapWidth val="150"/>
        <c:axId val="210589952"/>
        <c:axId val="210595840"/>
      </c:barChart>
      <c:catAx>
        <c:axId val="210589952"/>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595840"/>
        <c:crosses val="autoZero"/>
        <c:auto val="0"/>
        <c:lblAlgn val="ctr"/>
        <c:lblOffset val="100"/>
        <c:tickLblSkip val="1"/>
        <c:tickMarkSkip val="1"/>
        <c:noMultiLvlLbl val="0"/>
      </c:catAx>
      <c:valAx>
        <c:axId val="210595840"/>
        <c:scaling>
          <c:orientation val="minMax"/>
        </c:scaling>
        <c:delete val="0"/>
        <c:axPos val="l"/>
        <c:majorGridlines>
          <c:spPr>
            <a:ln w="3175">
              <a:solidFill>
                <a:srgbClr val="C0C0C0"/>
              </a:solidFill>
              <a:prstDash val="solid"/>
            </a:ln>
          </c:spPr>
        </c:majorGridlines>
        <c:numFmt formatCode="#,##0_);\(#,##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589952"/>
        <c:crosses val="autoZero"/>
        <c:crossBetween val="between"/>
      </c:valAx>
      <c:spPr>
        <a:noFill/>
        <a:ln w="25400">
          <a:noFill/>
        </a:ln>
      </c:spPr>
    </c:plotArea>
    <c:legend>
      <c:legendPos val="t"/>
      <c:layout>
        <c:manualLayout>
          <c:xMode val="edge"/>
          <c:yMode val="edge"/>
          <c:x val="0.63306515113030226"/>
          <c:y val="1.8315018315018316E-2"/>
          <c:w val="0.35483913301159931"/>
          <c:h val="8.0586465153394279E-2"/>
        </c:manualLayout>
      </c:layout>
      <c:overlay val="0"/>
      <c:spPr>
        <a:noFill/>
        <a:ln w="25400">
          <a:noFill/>
        </a:ln>
      </c:spPr>
      <c:txPr>
        <a:bodyPr/>
        <a:lstStyle/>
        <a:p>
          <a:pPr>
            <a:defRPr sz="10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GLOBAL</a:t>
            </a:r>
          </a:p>
        </c:rich>
      </c:tx>
      <c:layout>
        <c:manualLayout>
          <c:xMode val="edge"/>
          <c:yMode val="edge"/>
          <c:x val="4.1994750656167975E-4"/>
          <c:y val="0"/>
        </c:manualLayout>
      </c:layout>
      <c:overlay val="1"/>
    </c:title>
    <c:autoTitleDeleted val="0"/>
    <c:plotArea>
      <c:layout>
        <c:manualLayout>
          <c:layoutTarget val="inner"/>
          <c:xMode val="edge"/>
          <c:yMode val="edge"/>
          <c:x val="0.1036587423358548"/>
          <c:y val="0.13754646840148699"/>
          <c:w val="0.79878207329393991"/>
          <c:h val="0.69516728624535318"/>
        </c:manualLayout>
      </c:layout>
      <c:barChart>
        <c:barDir val="col"/>
        <c:grouping val="clustered"/>
        <c:varyColors val="0"/>
        <c:ser>
          <c:idx val="1"/>
          <c:order val="0"/>
          <c:tx>
            <c:strRef>
              <c:f>'Charts - Qtr'!$B$370</c:f>
              <c:strCache>
                <c:ptCount val="1"/>
                <c:pt idx="0">
                  <c:v>Billable Cabinets</c:v>
                </c:pt>
              </c:strCache>
            </c:strRef>
          </c:tx>
          <c:spPr>
            <a:solidFill>
              <a:srgbClr val="EACC80"/>
            </a:solidFill>
            <a:ln w="25400">
              <a:noFill/>
            </a:ln>
          </c:spPr>
          <c:invertIfNegative val="0"/>
          <c:dLbls>
            <c:spPr>
              <a:noFill/>
              <a:ln w="25400">
                <a:noFill/>
              </a:ln>
            </c:spPr>
            <c:txPr>
              <a:bodyPr rot="-5400000" vert="horz"/>
              <a:lstStyle/>
              <a:p>
                <a:pPr algn="ctr">
                  <a:defRPr sz="1000" b="0" i="0" u="none" strike="noStrike" baseline="0">
                    <a:solidFill>
                      <a:srgbClr val="000000"/>
                    </a:solidFill>
                    <a:latin typeface="Arial"/>
                    <a:ea typeface="Arial"/>
                    <a:cs typeface="Arial"/>
                  </a:defRPr>
                </a:pPr>
                <a:endParaRPr lang="en-US"/>
              </a:p>
            </c:txPr>
            <c:dLblPos val="inBase"/>
            <c:showLegendKey val="0"/>
            <c:showVal val="1"/>
            <c:showCatName val="0"/>
            <c:showSerName val="0"/>
            <c:showPercent val="0"/>
            <c:showBubbleSize val="0"/>
            <c:showLeaderLines val="0"/>
          </c:dLbls>
          <c:cat>
            <c:strRef>
              <c:f>'Charts - Qtr'!$AL$3:$AS$3</c:f>
              <c:strCache>
                <c:ptCount val="8"/>
                <c:pt idx="0">
                  <c:v>4Q15</c:v>
                </c:pt>
                <c:pt idx="1">
                  <c:v>1Q16</c:v>
                </c:pt>
                <c:pt idx="2">
                  <c:v>2Q16</c:v>
                </c:pt>
                <c:pt idx="3">
                  <c:v>3Q16</c:v>
                </c:pt>
                <c:pt idx="4">
                  <c:v>4Q16</c:v>
                </c:pt>
                <c:pt idx="5">
                  <c:v>1Q17</c:v>
                </c:pt>
                <c:pt idx="6">
                  <c:v>2Q17</c:v>
                </c:pt>
                <c:pt idx="7">
                  <c:v>3Q17</c:v>
                </c:pt>
              </c:strCache>
            </c:strRef>
          </c:cat>
          <c:val>
            <c:numRef>
              <c:f>'Charts - Qtr'!$AL$370:$AS$370</c:f>
              <c:numCache>
                <c:formatCode>#,##0_);\(#,##0\)</c:formatCode>
                <c:ptCount val="8"/>
                <c:pt idx="0">
                  <c:v>113700</c:v>
                </c:pt>
                <c:pt idx="1">
                  <c:v>115200</c:v>
                </c:pt>
                <c:pt idx="2">
                  <c:v>118500</c:v>
                </c:pt>
                <c:pt idx="3">
                  <c:v>121400</c:v>
                </c:pt>
                <c:pt idx="4">
                  <c:v>157400</c:v>
                </c:pt>
                <c:pt idx="5">
                  <c:v>159400</c:v>
                </c:pt>
                <c:pt idx="6">
                  <c:v>162300</c:v>
                </c:pt>
                <c:pt idx="7">
                  <c:v>166800</c:v>
                </c:pt>
              </c:numCache>
            </c:numRef>
          </c:val>
        </c:ser>
        <c:dLbls>
          <c:showLegendKey val="0"/>
          <c:showVal val="0"/>
          <c:showCatName val="0"/>
          <c:showSerName val="0"/>
          <c:showPercent val="0"/>
          <c:showBubbleSize val="0"/>
        </c:dLbls>
        <c:gapWidth val="150"/>
        <c:axId val="210844288"/>
        <c:axId val="210862464"/>
      </c:barChart>
      <c:lineChart>
        <c:grouping val="standard"/>
        <c:varyColors val="0"/>
        <c:ser>
          <c:idx val="0"/>
          <c:order val="1"/>
          <c:tx>
            <c:strRef>
              <c:f>'Charts - Qtr'!$B$371</c:f>
              <c:strCache>
                <c:ptCount val="1"/>
                <c:pt idx="0">
                  <c:v>% Q/Q</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dLbl>
              <c:idx val="7"/>
              <c:layout>
                <c:manualLayout>
                  <c:x val="-4.5786014553058918E-2"/>
                  <c:y val="-0.22497363159190834"/>
                </c:manualLayout>
              </c:layout>
              <c:dLblPos val="r"/>
              <c:showLegendKey val="0"/>
              <c:showVal val="1"/>
              <c:showCatName val="0"/>
              <c:showSerName val="0"/>
              <c:showPercent val="0"/>
              <c:showBubbleSize val="0"/>
            </c:dLbl>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'Charts - Qtr'!$AL$3:$AS$3</c:f>
              <c:strCache>
                <c:ptCount val="8"/>
                <c:pt idx="0">
                  <c:v>4Q15</c:v>
                </c:pt>
                <c:pt idx="1">
                  <c:v>1Q16</c:v>
                </c:pt>
                <c:pt idx="2">
                  <c:v>2Q16</c:v>
                </c:pt>
                <c:pt idx="3">
                  <c:v>3Q16</c:v>
                </c:pt>
                <c:pt idx="4">
                  <c:v>4Q16</c:v>
                </c:pt>
                <c:pt idx="5">
                  <c:v>1Q17</c:v>
                </c:pt>
                <c:pt idx="6">
                  <c:v>2Q17</c:v>
                </c:pt>
                <c:pt idx="7">
                  <c:v>3Q17</c:v>
                </c:pt>
              </c:strCache>
            </c:strRef>
          </c:cat>
          <c:val>
            <c:numRef>
              <c:f>'Charts - Qtr'!$AL$371:$AS$371</c:f>
              <c:numCache>
                <c:formatCode>0.0%_);\(0.0%\);"–"_)</c:formatCode>
                <c:ptCount val="8"/>
                <c:pt idx="0">
                  <c:v>3.2697547683923744E-2</c:v>
                </c:pt>
                <c:pt idx="1">
                  <c:v>1.3192612137203241E-2</c:v>
                </c:pt>
                <c:pt idx="2">
                  <c:v>2.8645833333333259E-2</c:v>
                </c:pt>
                <c:pt idx="3">
                  <c:v>2.4472573839662504E-2</c:v>
                </c:pt>
                <c:pt idx="4">
                  <c:v>0.29654036243822079</c:v>
                </c:pt>
                <c:pt idx="5">
                  <c:v>1.270648030495547E-2</c:v>
                </c:pt>
                <c:pt idx="6">
                  <c:v>1.8193224592220725E-2</c:v>
                </c:pt>
                <c:pt idx="7">
                  <c:v>2.7726432532347411E-2</c:v>
                </c:pt>
              </c:numCache>
            </c:numRef>
          </c:val>
          <c:smooth val="0"/>
        </c:ser>
        <c:dLbls>
          <c:showLegendKey val="0"/>
          <c:showVal val="0"/>
          <c:showCatName val="0"/>
          <c:showSerName val="0"/>
          <c:showPercent val="0"/>
          <c:showBubbleSize val="0"/>
        </c:dLbls>
        <c:marker val="1"/>
        <c:smooth val="0"/>
        <c:axId val="210864000"/>
        <c:axId val="210865536"/>
      </c:lineChart>
      <c:catAx>
        <c:axId val="210844288"/>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862464"/>
        <c:crosses val="autoZero"/>
        <c:auto val="0"/>
        <c:lblAlgn val="ctr"/>
        <c:lblOffset val="100"/>
        <c:tickLblSkip val="1"/>
        <c:tickMarkSkip val="1"/>
        <c:noMultiLvlLbl val="0"/>
      </c:catAx>
      <c:valAx>
        <c:axId val="210862464"/>
        <c:scaling>
          <c:orientation val="minMax"/>
        </c:scaling>
        <c:delete val="0"/>
        <c:axPos val="l"/>
        <c:majorGridlines>
          <c:spPr>
            <a:ln w="3175">
              <a:solidFill>
                <a:srgbClr val="C0C0C0"/>
              </a:solidFill>
              <a:prstDash val="solid"/>
            </a:ln>
          </c:spPr>
        </c:majorGridlines>
        <c:numFmt formatCode="#,##0_);\(#,##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844288"/>
        <c:crosses val="autoZero"/>
        <c:crossBetween val="between"/>
        <c:majorUnit val="30000"/>
      </c:valAx>
      <c:catAx>
        <c:axId val="210864000"/>
        <c:scaling>
          <c:orientation val="minMax"/>
        </c:scaling>
        <c:delete val="1"/>
        <c:axPos val="b"/>
        <c:majorTickMark val="out"/>
        <c:minorTickMark val="none"/>
        <c:tickLblPos val="nextTo"/>
        <c:crossAx val="210865536"/>
        <c:crosses val="autoZero"/>
        <c:auto val="0"/>
        <c:lblAlgn val="ctr"/>
        <c:lblOffset val="100"/>
        <c:noMultiLvlLbl val="0"/>
      </c:catAx>
      <c:valAx>
        <c:axId val="210865536"/>
        <c:scaling>
          <c:orientation val="minMax"/>
        </c:scaling>
        <c:delete val="0"/>
        <c:axPos val="r"/>
        <c:numFmt formatCode="0.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864000"/>
        <c:crosses val="max"/>
        <c:crossBetween val="between"/>
      </c:valAx>
      <c:spPr>
        <a:noFill/>
        <a:ln w="25400">
          <a:noFill/>
        </a:ln>
      </c:spPr>
    </c:plotArea>
    <c:legend>
      <c:legendPos val="t"/>
      <c:layout>
        <c:manualLayout>
          <c:xMode val="edge"/>
          <c:yMode val="edge"/>
          <c:x val="0.47493288948637513"/>
          <c:y val="1.3480080789157861E-2"/>
          <c:w val="0.52235879051703904"/>
          <c:h val="8.1784386617100371E-2"/>
        </c:manualLayout>
      </c:layout>
      <c:overlay val="0"/>
      <c:spPr>
        <a:noFill/>
        <a:ln w="25400">
          <a:noFill/>
        </a:ln>
      </c:spPr>
      <c:txPr>
        <a:bodyPr/>
        <a:lstStyle/>
        <a:p>
          <a:pPr>
            <a:defRPr sz="10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EMEA</a:t>
            </a:r>
          </a:p>
        </c:rich>
      </c:tx>
      <c:layout>
        <c:manualLayout>
          <c:xMode val="edge"/>
          <c:yMode val="edge"/>
          <c:x val="1.3574210481754297E-3"/>
          <c:y val="0"/>
        </c:manualLayout>
      </c:layout>
      <c:overlay val="1"/>
    </c:title>
    <c:autoTitleDeleted val="0"/>
    <c:plotArea>
      <c:layout>
        <c:manualLayout>
          <c:layoutTarget val="inner"/>
          <c:xMode val="edge"/>
          <c:yMode val="edge"/>
          <c:x val="0.12500012305487165"/>
          <c:y val="0.15384670417920165"/>
          <c:w val="0.84879115816291872"/>
          <c:h val="0.68498413527406443"/>
        </c:manualLayout>
      </c:layout>
      <c:barChart>
        <c:barDir val="col"/>
        <c:grouping val="clustered"/>
        <c:varyColors val="0"/>
        <c:ser>
          <c:idx val="1"/>
          <c:order val="0"/>
          <c:tx>
            <c:strRef>
              <c:f>'Charts - Qtr'!$B$100</c:f>
              <c:strCache>
                <c:ptCount val="1"/>
                <c:pt idx="0">
                  <c:v>Net Adds (Billing Cabinets)</c:v>
                </c:pt>
              </c:strCache>
            </c:strRef>
          </c:tx>
          <c:spPr>
            <a:solidFill>
              <a:srgbClr val="137CB1"/>
            </a:solidFill>
            <a:ln w="25400">
              <a:noFill/>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'Charts - Qtr'!$AL$3:$AS$3</c:f>
              <c:strCache>
                <c:ptCount val="8"/>
                <c:pt idx="0">
                  <c:v>4Q15</c:v>
                </c:pt>
                <c:pt idx="1">
                  <c:v>1Q16</c:v>
                </c:pt>
                <c:pt idx="2">
                  <c:v>2Q16</c:v>
                </c:pt>
                <c:pt idx="3">
                  <c:v>3Q16</c:v>
                </c:pt>
                <c:pt idx="4">
                  <c:v>4Q16</c:v>
                </c:pt>
                <c:pt idx="5">
                  <c:v>1Q17</c:v>
                </c:pt>
                <c:pt idx="6">
                  <c:v>2Q17</c:v>
                </c:pt>
                <c:pt idx="7">
                  <c:v>3Q17</c:v>
                </c:pt>
              </c:strCache>
            </c:strRef>
          </c:cat>
          <c:val>
            <c:numRef>
              <c:f>'Charts - Qtr'!$AQ$270:$AS$270</c:f>
              <c:numCache>
                <c:formatCode>0</c:formatCode>
                <c:ptCount val="3"/>
                <c:pt idx="0">
                  <c:v>1500</c:v>
                </c:pt>
                <c:pt idx="1">
                  <c:v>1800</c:v>
                </c:pt>
                <c:pt idx="2">
                  <c:v>2400</c:v>
                </c:pt>
              </c:numCache>
            </c:numRef>
          </c:val>
        </c:ser>
        <c:dLbls>
          <c:showLegendKey val="0"/>
          <c:showVal val="0"/>
          <c:showCatName val="0"/>
          <c:showSerName val="0"/>
          <c:showPercent val="0"/>
          <c:showBubbleSize val="0"/>
        </c:dLbls>
        <c:gapWidth val="150"/>
        <c:axId val="214106112"/>
        <c:axId val="214107648"/>
      </c:barChart>
      <c:catAx>
        <c:axId val="214106112"/>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4107648"/>
        <c:crosses val="autoZero"/>
        <c:auto val="0"/>
        <c:lblAlgn val="ctr"/>
        <c:lblOffset val="100"/>
        <c:tickLblSkip val="1"/>
        <c:tickMarkSkip val="1"/>
        <c:noMultiLvlLbl val="0"/>
      </c:catAx>
      <c:valAx>
        <c:axId val="214107648"/>
        <c:scaling>
          <c:orientation val="minMax"/>
        </c:scaling>
        <c:delete val="0"/>
        <c:axPos val="l"/>
        <c:majorGridlines>
          <c:spPr>
            <a:ln w="3175">
              <a:solidFill>
                <a:srgbClr val="C0C0C0"/>
              </a:solidFill>
              <a:prstDash val="solid"/>
            </a:ln>
          </c:spPr>
        </c:majorGridlines>
        <c:numFmt formatCode="#,##0_);\(#,##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4106112"/>
        <c:crosses val="autoZero"/>
        <c:crossBetween val="between"/>
      </c:valAx>
      <c:spPr>
        <a:noFill/>
        <a:ln w="25400">
          <a:noFill/>
        </a:ln>
      </c:spPr>
    </c:plotArea>
    <c:legend>
      <c:legendPos val="t"/>
      <c:layout>
        <c:manualLayout>
          <c:xMode val="edge"/>
          <c:yMode val="edge"/>
          <c:x val="0.63306515113030226"/>
          <c:y val="1.8315018315018316E-2"/>
          <c:w val="0.35483913301159931"/>
          <c:h val="8.0586465153394279E-2"/>
        </c:manualLayout>
      </c:layout>
      <c:overlay val="0"/>
      <c:spPr>
        <a:noFill/>
        <a:ln w="25400">
          <a:noFill/>
        </a:ln>
      </c:spPr>
      <c:txPr>
        <a:bodyPr/>
        <a:lstStyle/>
        <a:p>
          <a:pPr>
            <a:defRPr sz="10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313322501047001"/>
          <c:y val="6.8601671495804512E-2"/>
          <c:w val="0.87859063838033313"/>
          <c:h val="0.76781101558765819"/>
        </c:manualLayout>
      </c:layout>
      <c:barChart>
        <c:barDir val="col"/>
        <c:grouping val="clustered"/>
        <c:varyColors val="0"/>
        <c:ser>
          <c:idx val="0"/>
          <c:order val="0"/>
          <c:spPr>
            <a:solidFill>
              <a:srgbClr val="137CB1"/>
            </a:solidFill>
            <a:ln w="25400">
              <a:noFill/>
            </a:ln>
          </c:spPr>
          <c:invertIfNegative val="0"/>
          <c:dLbls>
            <c:spPr>
              <a:noFill/>
              <a:ln w="25400">
                <a:noFill/>
              </a:ln>
            </c:spPr>
            <c:txPr>
              <a:bodyPr/>
              <a:lstStyle/>
              <a:p>
                <a:pPr>
                  <a:defRPr sz="95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Guidance!$M$71:$Q$71</c:f>
              <c:strCache>
                <c:ptCount val="5"/>
                <c:pt idx="0">
                  <c:v>Analyst Day (11/11/2010)</c:v>
                </c:pt>
                <c:pt idx="2">
                  <c:v>4Q Earnings (02/09/2011)</c:v>
                </c:pt>
                <c:pt idx="3">
                  <c:v>1Q11 Earnings (04/27/11)</c:v>
                </c:pt>
                <c:pt idx="4">
                  <c:v>2Q11 Earnings (07/27/11)</c:v>
                </c:pt>
              </c:strCache>
            </c:strRef>
          </c:cat>
          <c:val>
            <c:numRef>
              <c:f>Guidance!$M$72:$Q$72</c:f>
              <c:numCache>
                <c:formatCode>"$"#,##0</c:formatCode>
                <c:ptCount val="5"/>
                <c:pt idx="0">
                  <c:v>400</c:v>
                </c:pt>
                <c:pt idx="2">
                  <c:v>450</c:v>
                </c:pt>
                <c:pt idx="3">
                  <c:v>640</c:v>
                </c:pt>
                <c:pt idx="4">
                  <c:v>655</c:v>
                </c:pt>
              </c:numCache>
            </c:numRef>
          </c:val>
        </c:ser>
        <c:dLbls>
          <c:showLegendKey val="0"/>
          <c:showVal val="0"/>
          <c:showCatName val="0"/>
          <c:showSerName val="0"/>
          <c:showPercent val="0"/>
          <c:showBubbleSize val="0"/>
        </c:dLbls>
        <c:gapWidth val="150"/>
        <c:axId val="214396928"/>
        <c:axId val="214398464"/>
      </c:barChart>
      <c:catAx>
        <c:axId val="2143969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214398464"/>
        <c:crosses val="autoZero"/>
        <c:auto val="1"/>
        <c:lblAlgn val="ctr"/>
        <c:lblOffset val="100"/>
        <c:tickLblSkip val="1"/>
        <c:tickMarkSkip val="1"/>
        <c:noMultiLvlLbl val="0"/>
      </c:catAx>
      <c:valAx>
        <c:axId val="214398464"/>
        <c:scaling>
          <c:orientation val="minMax"/>
        </c:scaling>
        <c:delete val="0"/>
        <c:axPos val="l"/>
        <c:majorGridlines>
          <c:spPr>
            <a:ln w="3175">
              <a:solidFill>
                <a:srgbClr val="C0C0C0"/>
              </a:solidFill>
              <a:prstDash val="solid"/>
            </a:ln>
          </c:spPr>
        </c:majorGridlines>
        <c:title>
          <c:tx>
            <c:rich>
              <a:bodyPr/>
              <a:lstStyle/>
              <a:p>
                <a:pPr>
                  <a:defRPr sz="950" b="1" i="0" u="none" strike="noStrike" baseline="0">
                    <a:solidFill>
                      <a:srgbClr val="000000"/>
                    </a:solidFill>
                    <a:latin typeface="Arial"/>
                    <a:ea typeface="Arial"/>
                    <a:cs typeface="Arial"/>
                  </a:defRPr>
                </a:pPr>
                <a:r>
                  <a:rPr lang="en-US"/>
                  <a:t>($MM)</a:t>
                </a:r>
              </a:p>
            </c:rich>
          </c:tx>
          <c:layout>
            <c:manualLayout>
              <c:xMode val="edge"/>
              <c:yMode val="edge"/>
              <c:x val="2.0887728459530026E-2"/>
              <c:y val="0.39841744056399281"/>
            </c:manualLayout>
          </c:layout>
          <c:overlay val="0"/>
          <c:spPr>
            <a:noFill/>
            <a:ln w="25400">
              <a:noFill/>
            </a:ln>
          </c:spPr>
        </c:title>
        <c:numFmt formatCode="&quot;$&quot;#,##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214396928"/>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33208255159476"/>
          <c:y val="0.13563847401522244"/>
          <c:w val="0.8424015009380863"/>
          <c:h val="0.69946899345104907"/>
        </c:manualLayout>
      </c:layout>
      <c:barChart>
        <c:barDir val="col"/>
        <c:grouping val="clustered"/>
        <c:varyColors val="0"/>
        <c:ser>
          <c:idx val="0"/>
          <c:order val="0"/>
          <c:tx>
            <c:strRef>
              <c:f>Guidance!$AQ$27</c:f>
              <c:strCache>
                <c:ptCount val="1"/>
                <c:pt idx="0">
                  <c:v>MSe</c:v>
                </c:pt>
              </c:strCache>
            </c:strRef>
          </c:tx>
          <c:spPr>
            <a:solidFill>
              <a:srgbClr val="137CB1"/>
            </a:solidFill>
            <a:ln w="25400">
              <a:noFill/>
            </a:ln>
          </c:spPr>
          <c:invertIfNegative val="0"/>
          <c:dLbls>
            <c:numFmt formatCode="\$#,##0_);\(\$#,##0\)" sourceLinked="0"/>
            <c:spPr>
              <a:noFill/>
              <a:ln w="25400">
                <a:noFill/>
              </a:ln>
            </c:spPr>
            <c:txPr>
              <a:bodyPr rot="-5400000" vert="horz"/>
              <a:lstStyle/>
              <a:p>
                <a:pPr algn="ctr">
                  <a:defRPr sz="1000" b="0" i="0" u="none" strike="noStrike" baseline="0">
                    <a:solidFill>
                      <a:srgbClr val="000000"/>
                    </a:solidFill>
                    <a:latin typeface="Arial"/>
                    <a:ea typeface="Arial"/>
                    <a:cs typeface="Arial"/>
                  </a:defRPr>
                </a:pPr>
                <a:endParaRPr lang="en-US"/>
              </a:p>
            </c:txPr>
            <c:dLblPos val="outEnd"/>
            <c:showLegendKey val="0"/>
            <c:showVal val="1"/>
            <c:showCatName val="0"/>
            <c:showSerName val="0"/>
            <c:showPercent val="0"/>
            <c:showBubbleSize val="0"/>
            <c:showLeaderLines val="0"/>
          </c:dLbls>
          <c:cat>
            <c:strRef>
              <c:f>Guidance!$AP$28:$AP$31</c:f>
              <c:strCache>
                <c:ptCount val="4"/>
                <c:pt idx="0">
                  <c:v>2012 EBITDA</c:v>
                </c:pt>
                <c:pt idx="1">
                  <c:v>2012 Capex</c:v>
                </c:pt>
                <c:pt idx="2">
                  <c:v>2013 EBITDA</c:v>
                </c:pt>
                <c:pt idx="3">
                  <c:v>2013 Capex</c:v>
                </c:pt>
              </c:strCache>
            </c:strRef>
          </c:cat>
          <c:val>
            <c:numRef>
              <c:f>Guidance!$AQ$28:$AQ$31</c:f>
              <c:numCache>
                <c:formatCode>#,##0.0_);\(#,##0.0\)</c:formatCode>
                <c:ptCount val="4"/>
                <c:pt idx="0">
                  <c:v>887.85699999999986</c:v>
                </c:pt>
                <c:pt idx="1">
                  <c:v>764.49999999999989</c:v>
                </c:pt>
                <c:pt idx="2">
                  <c:v>1000.898</c:v>
                </c:pt>
                <c:pt idx="3">
                  <c:v>572.40599999999995</c:v>
                </c:pt>
              </c:numCache>
            </c:numRef>
          </c:val>
        </c:ser>
        <c:ser>
          <c:idx val="1"/>
          <c:order val="1"/>
          <c:tx>
            <c:strRef>
              <c:f>Guidance!$AR$27</c:f>
              <c:strCache>
                <c:ptCount val="1"/>
                <c:pt idx="0">
                  <c:v>Consensus</c:v>
                </c:pt>
              </c:strCache>
            </c:strRef>
          </c:tx>
          <c:spPr>
            <a:solidFill>
              <a:srgbClr val="EACC80"/>
            </a:solidFill>
            <a:ln w="25400">
              <a:noFill/>
            </a:ln>
          </c:spPr>
          <c:invertIfNegative val="0"/>
          <c:dLbls>
            <c:numFmt formatCode="\$#,##0_);\(\$#,##0\)" sourceLinked="0"/>
            <c:spPr>
              <a:noFill/>
              <a:ln w="25400">
                <a:noFill/>
              </a:ln>
            </c:spPr>
            <c:txPr>
              <a:bodyPr rot="-5400000" vert="horz"/>
              <a:lstStyle/>
              <a:p>
                <a:pPr algn="ctr">
                  <a:defRPr sz="1000" b="0" i="0" u="none" strike="noStrike" baseline="0">
                    <a:solidFill>
                      <a:srgbClr val="000000"/>
                    </a:solidFill>
                    <a:latin typeface="Arial"/>
                    <a:ea typeface="Arial"/>
                    <a:cs typeface="Arial"/>
                  </a:defRPr>
                </a:pPr>
                <a:endParaRPr lang="en-US"/>
              </a:p>
            </c:txPr>
            <c:dLblPos val="outEnd"/>
            <c:showLegendKey val="0"/>
            <c:showVal val="1"/>
            <c:showCatName val="0"/>
            <c:showSerName val="0"/>
            <c:showPercent val="0"/>
            <c:showBubbleSize val="0"/>
            <c:showLeaderLines val="0"/>
          </c:dLbls>
          <c:cat>
            <c:strRef>
              <c:f>Guidance!$AP$28:$AP$31</c:f>
              <c:strCache>
                <c:ptCount val="4"/>
                <c:pt idx="0">
                  <c:v>2012 EBITDA</c:v>
                </c:pt>
                <c:pt idx="1">
                  <c:v>2012 Capex</c:v>
                </c:pt>
                <c:pt idx="2">
                  <c:v>2013 EBITDA</c:v>
                </c:pt>
                <c:pt idx="3">
                  <c:v>2013 Capex</c:v>
                </c:pt>
              </c:strCache>
            </c:strRef>
          </c:cat>
          <c:val>
            <c:numRef>
              <c:f>Guidance!$AR$28:$AR$31</c:f>
              <c:numCache>
                <c:formatCode>#,##0.0_);\(#,##0.0\)</c:formatCode>
                <c:ptCount val="4"/>
                <c:pt idx="0">
                  <c:v>859.4</c:v>
                </c:pt>
                <c:pt idx="1">
                  <c:v>701.1</c:v>
                </c:pt>
                <c:pt idx="2">
                  <c:v>977.3</c:v>
                </c:pt>
                <c:pt idx="3">
                  <c:v>613.79999999999995</c:v>
                </c:pt>
              </c:numCache>
            </c:numRef>
          </c:val>
        </c:ser>
        <c:ser>
          <c:idx val="2"/>
          <c:order val="2"/>
          <c:tx>
            <c:strRef>
              <c:f>Guidance!$AS$27</c:f>
              <c:strCache>
                <c:ptCount val="1"/>
                <c:pt idx="0">
                  <c:v>Guidance (1)</c:v>
                </c:pt>
              </c:strCache>
            </c:strRef>
          </c:tx>
          <c:spPr>
            <a:solidFill>
              <a:srgbClr val="4AAC6B"/>
            </a:solidFill>
            <a:ln w="25400">
              <a:noFill/>
            </a:ln>
          </c:spPr>
          <c:invertIfNegative val="0"/>
          <c:dLbls>
            <c:numFmt formatCode="\$#,##0_);\(\$#,##0\)" sourceLinked="0"/>
            <c:spPr>
              <a:noFill/>
              <a:ln w="25400">
                <a:noFill/>
              </a:ln>
            </c:spPr>
            <c:txPr>
              <a:bodyPr rot="-5400000" vert="horz"/>
              <a:lstStyle/>
              <a:p>
                <a:pPr algn="ctr">
                  <a:defRPr sz="1000" b="0" i="0" u="none" strike="noStrike" baseline="0">
                    <a:solidFill>
                      <a:srgbClr val="000000"/>
                    </a:solidFill>
                    <a:latin typeface="Arial"/>
                    <a:ea typeface="Arial"/>
                    <a:cs typeface="Arial"/>
                  </a:defRPr>
                </a:pPr>
                <a:endParaRPr lang="en-US"/>
              </a:p>
            </c:txPr>
            <c:dLblPos val="outEnd"/>
            <c:showLegendKey val="0"/>
            <c:showVal val="1"/>
            <c:showCatName val="0"/>
            <c:showSerName val="0"/>
            <c:showPercent val="0"/>
            <c:showBubbleSize val="0"/>
            <c:showLeaderLines val="0"/>
          </c:dLbls>
          <c:cat>
            <c:strRef>
              <c:f>Guidance!$AP$28:$AP$31</c:f>
              <c:strCache>
                <c:ptCount val="4"/>
                <c:pt idx="0">
                  <c:v>2012 EBITDA</c:v>
                </c:pt>
                <c:pt idx="1">
                  <c:v>2012 Capex</c:v>
                </c:pt>
                <c:pt idx="2">
                  <c:v>2013 EBITDA</c:v>
                </c:pt>
                <c:pt idx="3">
                  <c:v>2013 Capex</c:v>
                </c:pt>
              </c:strCache>
            </c:strRef>
          </c:cat>
          <c:val>
            <c:numRef>
              <c:f>Guidance!$AS$28:$AS$33</c:f>
              <c:numCache>
                <c:formatCode>#,##0.0_);\(#,##0.0\)</c:formatCode>
                <c:ptCount val="6"/>
                <c:pt idx="0">
                  <c:v>880</c:v>
                </c:pt>
                <c:pt idx="1">
                  <c:v>750</c:v>
                </c:pt>
              </c:numCache>
            </c:numRef>
          </c:val>
        </c:ser>
        <c:dLbls>
          <c:showLegendKey val="0"/>
          <c:showVal val="0"/>
          <c:showCatName val="0"/>
          <c:showSerName val="0"/>
          <c:showPercent val="0"/>
          <c:showBubbleSize val="0"/>
        </c:dLbls>
        <c:gapWidth val="150"/>
        <c:axId val="214462464"/>
        <c:axId val="214464000"/>
      </c:barChart>
      <c:catAx>
        <c:axId val="2144624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4464000"/>
        <c:crosses val="autoZero"/>
        <c:auto val="1"/>
        <c:lblAlgn val="ctr"/>
        <c:lblOffset val="100"/>
        <c:tickLblSkip val="1"/>
        <c:tickMarkSkip val="1"/>
        <c:noMultiLvlLbl val="0"/>
      </c:catAx>
      <c:valAx>
        <c:axId val="214464000"/>
        <c:scaling>
          <c:orientation val="minMax"/>
          <c:min val="500"/>
        </c:scaling>
        <c:delete val="0"/>
        <c:axPos val="l"/>
        <c:majorGridlines>
          <c:spPr>
            <a:ln w="3175">
              <a:solidFill>
                <a:srgbClr val="C0C0C0"/>
              </a:solidFill>
              <a:prstDash val="solid"/>
            </a:ln>
          </c:spPr>
        </c:majorGridlines>
        <c:numFmt formatCode="\$#,##0_);\(\$#,##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4462464"/>
        <c:crosses val="autoZero"/>
        <c:crossBetween val="between"/>
      </c:valAx>
      <c:spPr>
        <a:noFill/>
        <a:ln w="25400">
          <a:noFill/>
        </a:ln>
      </c:spPr>
    </c:plotArea>
    <c:legend>
      <c:legendPos val="t"/>
      <c:layout>
        <c:manualLayout>
          <c:xMode val="edge"/>
          <c:yMode val="edge"/>
          <c:x val="0.34521575984990621"/>
          <c:y val="2.1276595744680851E-2"/>
          <c:w val="0.41275797373358353"/>
          <c:h val="5.8510638297872342E-2"/>
        </c:manualLayout>
      </c:layout>
      <c:overlay val="0"/>
      <c:spPr>
        <a:noFill/>
        <a:ln w="25400">
          <a:noFill/>
        </a:ln>
      </c:spPr>
      <c:txPr>
        <a:bodyPr/>
        <a:lstStyle/>
        <a:p>
          <a:pPr>
            <a:defRPr sz="16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555586244448871"/>
          <c:y val="9.7378633319556554E-2"/>
          <c:w val="0.81616322633212268"/>
          <c:h val="0.64045178067862196"/>
        </c:manualLayout>
      </c:layout>
      <c:lineChart>
        <c:grouping val="standard"/>
        <c:varyColors val="0"/>
        <c:ser>
          <c:idx val="0"/>
          <c:order val="0"/>
          <c:tx>
            <c:strRef>
              <c:f>'Charts - Annual'!$B$79</c:f>
              <c:strCache>
                <c:ptCount val="1"/>
                <c:pt idx="0">
                  <c:v>North America</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dLbl>
              <c:idx val="1"/>
              <c:layout>
                <c:manualLayout>
                  <c:x val="-4.3097625748171997E-2"/>
                  <c:y val="-1.1435953485044071E-2"/>
                </c:manualLayout>
              </c:layout>
              <c:dLblPos val="r"/>
              <c:showLegendKey val="0"/>
              <c:showVal val="1"/>
              <c:showCatName val="0"/>
              <c:showSerName val="0"/>
              <c:showPercent val="0"/>
              <c:showBubbleSize val="0"/>
            </c:dLbl>
            <c:dLbl>
              <c:idx val="2"/>
              <c:layout>
                <c:manualLayout>
                  <c:x val="-4.5791177488818016E-2"/>
                  <c:y val="2.946027890789306E-3"/>
                </c:manualLayout>
              </c:layout>
              <c:dLblPos val="r"/>
              <c:showLegendKey val="0"/>
              <c:showVal val="1"/>
              <c:showCatName val="0"/>
              <c:showSerName val="0"/>
              <c:showPercent val="0"/>
              <c:showBubbleSize val="0"/>
            </c:dLbl>
            <c:dLbl>
              <c:idx val="3"/>
              <c:layout>
                <c:manualLayout>
                  <c:x val="-4.8484941324164151E-2"/>
                  <c:y val="2.1073734526650661E-2"/>
                </c:manualLayout>
              </c:layout>
              <c:dLblPos val="r"/>
              <c:showLegendKey val="0"/>
              <c:showVal val="1"/>
              <c:showCatName val="0"/>
              <c:showSerName val="0"/>
              <c:showPercent val="0"/>
              <c:showBubbleSize val="0"/>
            </c:dLbl>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'Charts - Annual'!$R$3:$W$3</c:f>
              <c:strCache>
                <c:ptCount val="6"/>
                <c:pt idx="0">
                  <c:v>2014</c:v>
                </c:pt>
                <c:pt idx="1">
                  <c:v>2015</c:v>
                </c:pt>
                <c:pt idx="2">
                  <c:v>2016</c:v>
                </c:pt>
                <c:pt idx="3">
                  <c:v>2017</c:v>
                </c:pt>
                <c:pt idx="4">
                  <c:v>2018E</c:v>
                </c:pt>
                <c:pt idx="5">
                  <c:v>2019E</c:v>
                </c:pt>
              </c:strCache>
            </c:strRef>
          </c:cat>
          <c:val>
            <c:numRef>
              <c:f>'Charts - Annual'!$R$79:$W$79</c:f>
              <c:numCache>
                <c:formatCode>0%</c:formatCode>
                <c:ptCount val="6"/>
                <c:pt idx="0">
                  <c:v>0.78956521739130436</c:v>
                </c:pt>
                <c:pt idx="1">
                  <c:v>0.80830670926517567</c:v>
                </c:pt>
                <c:pt idx="2">
                  <c:v>0.82181259600614442</c:v>
                </c:pt>
                <c:pt idx="3">
                  <c:v>0.81931464174454827</c:v>
                </c:pt>
                <c:pt idx="4">
                  <c:v>0.79500000000000004</c:v>
                </c:pt>
                <c:pt idx="5">
                  <c:v>0.8125</c:v>
                </c:pt>
              </c:numCache>
            </c:numRef>
          </c:val>
          <c:smooth val="0"/>
        </c:ser>
        <c:ser>
          <c:idx val="1"/>
          <c:order val="1"/>
          <c:tx>
            <c:strRef>
              <c:f>'Charts - Annual'!$B$80</c:f>
              <c:strCache>
                <c:ptCount val="1"/>
                <c:pt idx="0">
                  <c:v>Europe</c:v>
                </c:pt>
              </c:strCache>
            </c:strRef>
          </c:tx>
          <c:spPr>
            <a:ln w="12700">
              <a:solidFill>
                <a:srgbClr val="E5BF61"/>
              </a:solidFill>
              <a:prstDash val="solid"/>
            </a:ln>
          </c:spPr>
          <c:marker>
            <c:symbol val="square"/>
            <c:size val="5"/>
            <c:spPr>
              <a:solidFill>
                <a:srgbClr val="E5BF61"/>
              </a:solidFill>
              <a:ln>
                <a:solidFill>
                  <a:srgbClr val="E5BF61"/>
                </a:solidFill>
                <a:prstDash val="solid"/>
              </a:ln>
            </c:spPr>
          </c:marker>
          <c:dLbls>
            <c:dLbl>
              <c:idx val="1"/>
              <c:layout>
                <c:manualLayout>
                  <c:x val="-3.905721373662685E-2"/>
                  <c:y val="0.14137366947164384"/>
                </c:manualLayout>
              </c:layout>
              <c:dLblPos val="r"/>
              <c:showLegendKey val="0"/>
              <c:showVal val="1"/>
              <c:showCatName val="0"/>
              <c:showSerName val="0"/>
              <c:showPercent val="0"/>
              <c:showBubbleSize val="0"/>
            </c:dLbl>
            <c:dLbl>
              <c:idx val="2"/>
              <c:layout>
                <c:manualLayout>
                  <c:x val="-4.1750765477272814E-2"/>
                  <c:y val="1.4032379746069891E-2"/>
                </c:manualLayout>
              </c:layout>
              <c:dLblPos val="r"/>
              <c:showLegendKey val="0"/>
              <c:showVal val="1"/>
              <c:showCatName val="0"/>
              <c:showSerName val="0"/>
              <c:showPercent val="0"/>
              <c:showBubbleSize val="0"/>
            </c:dLbl>
            <c:dLbl>
              <c:idx val="3"/>
              <c:layout>
                <c:manualLayout>
                  <c:x val="-3.8383911295301283E-2"/>
                  <c:y val="3.058689716550491E-2"/>
                </c:manualLayout>
              </c:layout>
              <c:dLblPos val="r"/>
              <c:showLegendKey val="0"/>
              <c:showVal val="1"/>
              <c:showCatName val="0"/>
              <c:showSerName val="0"/>
              <c:showPercent val="0"/>
              <c:showBubbleSize val="0"/>
            </c:dLbl>
            <c:dLbl>
              <c:idx val="4"/>
              <c:layout>
                <c:manualLayout>
                  <c:x val="-4.1077463035947302E-2"/>
                  <c:y val="3.5905025223407605E-2"/>
                </c:manualLayout>
              </c:layout>
              <c:dLblPos val="r"/>
              <c:showLegendKey val="0"/>
              <c:showVal val="1"/>
              <c:showCatName val="0"/>
              <c:showSerName val="0"/>
              <c:showPercent val="0"/>
              <c:showBubbleSize val="0"/>
            </c:dLbl>
            <c:dLbl>
              <c:idx val="5"/>
              <c:layout>
                <c:manualLayout>
                  <c:x val="-5.5892250811228755E-2"/>
                  <c:y val="1.8751554186073036E-2"/>
                </c:manualLayout>
              </c:layout>
              <c:dLblPos val="r"/>
              <c:showLegendKey val="0"/>
              <c:showVal val="1"/>
              <c:showCatName val="0"/>
              <c:showSerName val="0"/>
              <c:showPercent val="0"/>
              <c:showBubbleSize val="0"/>
            </c:dLbl>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b"/>
            <c:showLegendKey val="0"/>
            <c:showVal val="1"/>
            <c:showCatName val="0"/>
            <c:showSerName val="0"/>
            <c:showPercent val="0"/>
            <c:showBubbleSize val="0"/>
            <c:showLeaderLines val="0"/>
          </c:dLbls>
          <c:cat>
            <c:strRef>
              <c:f>'Charts - Annual'!$R$3:$W$3</c:f>
              <c:strCache>
                <c:ptCount val="6"/>
                <c:pt idx="0">
                  <c:v>2014</c:v>
                </c:pt>
                <c:pt idx="1">
                  <c:v>2015</c:v>
                </c:pt>
                <c:pt idx="2">
                  <c:v>2016</c:v>
                </c:pt>
                <c:pt idx="3">
                  <c:v>2017</c:v>
                </c:pt>
                <c:pt idx="4">
                  <c:v>2018E</c:v>
                </c:pt>
                <c:pt idx="5">
                  <c:v>2019E</c:v>
                </c:pt>
              </c:strCache>
            </c:strRef>
          </c:cat>
          <c:val>
            <c:numRef>
              <c:f>'Charts - Annual'!$R$80:$W$80</c:f>
              <c:numCache>
                <c:formatCode>0%</c:formatCode>
                <c:ptCount val="6"/>
                <c:pt idx="0">
                  <c:v>0.80275229357798161</c:v>
                </c:pt>
                <c:pt idx="1">
                  <c:v>0.81818181818181823</c:v>
                </c:pt>
                <c:pt idx="2">
                  <c:v>0.80474649406688237</c:v>
                </c:pt>
                <c:pt idx="3">
                  <c:v>0.82951146560319045</c:v>
                </c:pt>
                <c:pt idx="4">
                  <c:v>0.83499999999999996</c:v>
                </c:pt>
                <c:pt idx="5">
                  <c:v>0.83</c:v>
                </c:pt>
              </c:numCache>
            </c:numRef>
          </c:val>
          <c:smooth val="0"/>
        </c:ser>
        <c:ser>
          <c:idx val="2"/>
          <c:order val="2"/>
          <c:tx>
            <c:strRef>
              <c:f>'Charts - Annual'!$B$81</c:f>
              <c:strCache>
                <c:ptCount val="1"/>
                <c:pt idx="0">
                  <c:v>Asia-Pacific</c:v>
                </c:pt>
              </c:strCache>
            </c:strRef>
          </c:tx>
          <c:spPr>
            <a:ln w="12700">
              <a:solidFill>
                <a:srgbClr val="4AAC6B"/>
              </a:solidFill>
              <a:prstDash val="solid"/>
            </a:ln>
          </c:spPr>
          <c:marker>
            <c:symbol val="triangle"/>
            <c:size val="5"/>
            <c:spPr>
              <a:solidFill>
                <a:srgbClr val="4AAC6B"/>
              </a:solidFill>
              <a:ln>
                <a:solidFill>
                  <a:srgbClr val="4AAC6B"/>
                </a:solidFill>
                <a:prstDash val="solid"/>
              </a:ln>
            </c:spPr>
          </c:marker>
          <c:dLbls>
            <c:dLbl>
              <c:idx val="0"/>
              <c:layout>
                <c:manualLayout>
                  <c:x val="-7.4747576105659921E-2"/>
                  <c:y val="2.0286199247577477E-2"/>
                </c:manualLayout>
              </c:layout>
              <c:dLblPos val="r"/>
              <c:showLegendKey val="0"/>
              <c:showVal val="1"/>
              <c:showCatName val="0"/>
              <c:showSerName val="0"/>
              <c:showPercent val="0"/>
              <c:showBubbleSize val="0"/>
            </c:dLbl>
            <c:dLbl>
              <c:idx val="1"/>
              <c:layout>
                <c:manualLayout>
                  <c:x val="-4.71380377597172E-2"/>
                  <c:y val="0.1969543034057511"/>
                </c:manualLayout>
              </c:layout>
              <c:dLblPos val="r"/>
              <c:showLegendKey val="0"/>
              <c:showVal val="1"/>
              <c:showCatName val="0"/>
              <c:showSerName val="0"/>
              <c:showPercent val="0"/>
              <c:showBubbleSize val="0"/>
            </c:dLbl>
            <c:dLbl>
              <c:idx val="2"/>
              <c:layout>
                <c:manualLayout>
                  <c:x val="-5.5892207517680884E-2"/>
                  <c:y val="0.18197297520274242"/>
                </c:manualLayout>
              </c:layout>
              <c:dLblPos val="r"/>
              <c:showLegendKey val="0"/>
              <c:showVal val="1"/>
              <c:showCatName val="0"/>
              <c:showSerName val="0"/>
              <c:showPercent val="0"/>
              <c:showBubbleSize val="0"/>
            </c:dLbl>
            <c:dLbl>
              <c:idx val="3"/>
              <c:layout>
                <c:manualLayout>
                  <c:x val="-4.6464735318391577E-2"/>
                  <c:y val="0.15575565084747717"/>
                </c:manualLayout>
              </c:layout>
              <c:dLblPos val="r"/>
              <c:showLegendKey val="0"/>
              <c:showVal val="1"/>
              <c:showCatName val="0"/>
              <c:showSerName val="0"/>
              <c:showPercent val="0"/>
              <c:showBubbleSize val="0"/>
            </c:dLbl>
            <c:dLbl>
              <c:idx val="4"/>
              <c:layout>
                <c:manualLayout>
                  <c:x val="-3.7037051024402155E-2"/>
                  <c:y val="0.15575565084747717"/>
                </c:manualLayout>
              </c:layout>
              <c:dLblPos val="r"/>
              <c:showLegendKey val="0"/>
              <c:showVal val="1"/>
              <c:showCatName val="0"/>
              <c:showSerName val="0"/>
              <c:showPercent val="0"/>
              <c:showBubbleSize val="0"/>
            </c:dLbl>
            <c:dLbl>
              <c:idx val="5"/>
              <c:layout>
                <c:manualLayout>
                  <c:x val="-3.5690190753502909E-2"/>
                  <c:y val="0.1257929944414598"/>
                </c:manualLayout>
              </c:layout>
              <c:dLblPos val="r"/>
              <c:showLegendKey val="0"/>
              <c:showVal val="1"/>
              <c:showCatName val="0"/>
              <c:showSerName val="0"/>
              <c:showPercent val="0"/>
              <c:showBubbleSize val="0"/>
            </c:dLbl>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'Charts - Annual'!$R$3:$W$3</c:f>
              <c:strCache>
                <c:ptCount val="6"/>
                <c:pt idx="0">
                  <c:v>2014</c:v>
                </c:pt>
                <c:pt idx="1">
                  <c:v>2015</c:v>
                </c:pt>
                <c:pt idx="2">
                  <c:v>2016</c:v>
                </c:pt>
                <c:pt idx="3">
                  <c:v>2017</c:v>
                </c:pt>
                <c:pt idx="4">
                  <c:v>2018E</c:v>
                </c:pt>
                <c:pt idx="5">
                  <c:v>2019E</c:v>
                </c:pt>
              </c:strCache>
            </c:strRef>
          </c:cat>
          <c:val>
            <c:numRef>
              <c:f>'Charts - Annual'!$R$81:$W$81</c:f>
              <c:numCache>
                <c:formatCode>0%</c:formatCode>
                <c:ptCount val="6"/>
                <c:pt idx="0">
                  <c:v>0.7615062761506276</c:v>
                </c:pt>
                <c:pt idx="1">
                  <c:v>0.81294964028776984</c:v>
                </c:pt>
                <c:pt idx="2">
                  <c:v>0.73618090452261309</c:v>
                </c:pt>
                <c:pt idx="3">
                  <c:v>0.7432432432432432</c:v>
                </c:pt>
                <c:pt idx="4">
                  <c:v>0.755</c:v>
                </c:pt>
                <c:pt idx="5">
                  <c:v>0.745</c:v>
                </c:pt>
              </c:numCache>
            </c:numRef>
          </c:val>
          <c:smooth val="0"/>
        </c:ser>
        <c:dLbls>
          <c:showLegendKey val="0"/>
          <c:showVal val="0"/>
          <c:showCatName val="0"/>
          <c:showSerName val="0"/>
          <c:showPercent val="0"/>
          <c:showBubbleSize val="0"/>
        </c:dLbls>
        <c:marker val="1"/>
        <c:smooth val="0"/>
        <c:axId val="225600256"/>
        <c:axId val="225601792"/>
      </c:lineChart>
      <c:catAx>
        <c:axId val="2256002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5601792"/>
        <c:crosses val="autoZero"/>
        <c:auto val="1"/>
        <c:lblAlgn val="ctr"/>
        <c:lblOffset val="100"/>
        <c:tickLblSkip val="1"/>
        <c:tickMarkSkip val="1"/>
        <c:noMultiLvlLbl val="0"/>
      </c:catAx>
      <c:valAx>
        <c:axId val="225601792"/>
        <c:scaling>
          <c:orientation val="minMax"/>
          <c:min val="0.65"/>
        </c:scaling>
        <c:delete val="0"/>
        <c:axPos val="l"/>
        <c:majorGridlines>
          <c:spPr>
            <a:ln w="3175">
              <a:solidFill>
                <a:srgbClr val="C0C0C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Utilization</a:t>
                </a:r>
              </a:p>
            </c:rich>
          </c:tx>
          <c:layout>
            <c:manualLayout>
              <c:xMode val="edge"/>
              <c:yMode val="edge"/>
              <c:x val="3.2323232323232323E-2"/>
              <c:y val="0.30337196614468132"/>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5600256"/>
        <c:crosses val="autoZero"/>
        <c:crossBetween val="between"/>
        <c:majorUnit val="0.05"/>
        <c:minorUnit val="0.01"/>
      </c:valAx>
      <c:spPr>
        <a:noFill/>
        <a:ln w="25400">
          <a:noFill/>
        </a:ln>
      </c:spPr>
    </c:plotArea>
    <c:legend>
      <c:legendPos val="b"/>
      <c:layout>
        <c:manualLayout>
          <c:xMode val="edge"/>
          <c:yMode val="edge"/>
          <c:x val="0.2565660807550571"/>
          <c:y val="0.89513423181652851"/>
          <c:w val="0.6141426867096158"/>
          <c:h val="8.2397396954594138E-2"/>
        </c:manualLayout>
      </c:layout>
      <c:overlay val="0"/>
      <c:spPr>
        <a:noFill/>
        <a:ln w="25400">
          <a:noFill/>
        </a:ln>
      </c:spPr>
      <c:txPr>
        <a:bodyPr/>
        <a:lstStyle/>
        <a:p>
          <a:pPr>
            <a:defRPr sz="16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532274339515282"/>
          <c:y val="9.7015102129310957E-2"/>
          <c:w val="0.80846853782263761"/>
          <c:h val="0.55223981212069317"/>
        </c:manualLayout>
      </c:layout>
      <c:lineChart>
        <c:grouping val="standard"/>
        <c:varyColors val="0"/>
        <c:ser>
          <c:idx val="0"/>
          <c:order val="0"/>
          <c:tx>
            <c:strRef>
              <c:f>'Charts - Annual'!$B$101</c:f>
              <c:strCache>
                <c:ptCount val="1"/>
                <c:pt idx="0">
                  <c:v>MRR / Cabinet</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numRef>
              <c:f>'Charts - Annual'!$O$3:$T$3</c:f>
              <c:numCache>
                <c:formatCode>General</c:formatCode>
                <c:ptCount val="6"/>
                <c:pt idx="0">
                  <c:v>2011</c:v>
                </c:pt>
                <c:pt idx="1">
                  <c:v>2012</c:v>
                </c:pt>
                <c:pt idx="2">
                  <c:v>2013</c:v>
                </c:pt>
                <c:pt idx="3">
                  <c:v>2014</c:v>
                </c:pt>
                <c:pt idx="4">
                  <c:v>2015</c:v>
                </c:pt>
                <c:pt idx="5">
                  <c:v>2016</c:v>
                </c:pt>
              </c:numCache>
            </c:numRef>
          </c:cat>
          <c:val>
            <c:numRef>
              <c:f>'Charts - Annual'!$O$101:$T$101</c:f>
              <c:numCache>
                <c:formatCode>"$"#,##0_);\("$"#,##0\)</c:formatCode>
                <c:ptCount val="6"/>
                <c:pt idx="0">
                  <c:v>2121.75</c:v>
                </c:pt>
                <c:pt idx="1">
                  <c:v>2224.75</c:v>
                </c:pt>
                <c:pt idx="2">
                  <c:v>2243</c:v>
                </c:pt>
                <c:pt idx="3">
                  <c:v>2393.25</c:v>
                </c:pt>
                <c:pt idx="4">
                  <c:v>2453.5</c:v>
                </c:pt>
                <c:pt idx="5">
                  <c:v>2517.5</c:v>
                </c:pt>
              </c:numCache>
            </c:numRef>
          </c:val>
          <c:smooth val="0"/>
        </c:ser>
        <c:ser>
          <c:idx val="1"/>
          <c:order val="1"/>
          <c:tx>
            <c:strRef>
              <c:f>'Charts - Annual'!$B$110</c:f>
              <c:strCache>
                <c:ptCount val="1"/>
                <c:pt idx="0">
                  <c:v>Interconnection MRR / Cabinet</c:v>
                </c:pt>
              </c:strCache>
            </c:strRef>
          </c:tx>
          <c:spPr>
            <a:ln w="12700">
              <a:solidFill>
                <a:srgbClr val="E5BF61"/>
              </a:solidFill>
              <a:prstDash val="solid"/>
            </a:ln>
          </c:spPr>
          <c:marker>
            <c:symbol val="square"/>
            <c:size val="5"/>
            <c:spPr>
              <a:solidFill>
                <a:srgbClr val="E5BF61"/>
              </a:solidFill>
              <a:ln>
                <a:solidFill>
                  <a:srgbClr val="E5BF61"/>
                </a:solidFill>
                <a:prstDash val="solid"/>
              </a:ln>
            </c:spPr>
          </c:marker>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numRef>
              <c:f>'Charts - Annual'!$O$3:$T$3</c:f>
              <c:numCache>
                <c:formatCode>General</c:formatCode>
                <c:ptCount val="6"/>
                <c:pt idx="0">
                  <c:v>2011</c:v>
                </c:pt>
                <c:pt idx="1">
                  <c:v>2012</c:v>
                </c:pt>
                <c:pt idx="2">
                  <c:v>2013</c:v>
                </c:pt>
                <c:pt idx="3">
                  <c:v>2014</c:v>
                </c:pt>
                <c:pt idx="4">
                  <c:v>2015</c:v>
                </c:pt>
                <c:pt idx="5">
                  <c:v>2016</c:v>
                </c:pt>
              </c:numCache>
            </c:numRef>
          </c:cat>
          <c:val>
            <c:numRef>
              <c:f>'Charts - Annual'!$O$110:$T$110</c:f>
              <c:numCache>
                <c:formatCode>"$"#,##0_);\("$"#,##0\)</c:formatCode>
                <c:ptCount val="6"/>
                <c:pt idx="0">
                  <c:v>455.56247118487789</c:v>
                </c:pt>
                <c:pt idx="1">
                  <c:v>461.28040973111399</c:v>
                </c:pt>
                <c:pt idx="2">
                  <c:v>480.74603174603175</c:v>
                </c:pt>
                <c:pt idx="3">
                  <c:v>510.99286786786786</c:v>
                </c:pt>
                <c:pt idx="4">
                  <c:v>547.32291666666663</c:v>
                </c:pt>
                <c:pt idx="5">
                  <c:v>590.87095741274413</c:v>
                </c:pt>
              </c:numCache>
            </c:numRef>
          </c:val>
          <c:smooth val="0"/>
        </c:ser>
        <c:ser>
          <c:idx val="2"/>
          <c:order val="2"/>
          <c:tx>
            <c:strRef>
              <c:f>'Charts - Annual'!$B$112</c:f>
              <c:strCache>
                <c:ptCount val="1"/>
                <c:pt idx="0">
                  <c:v>Colocation MRR / Cabinet</c:v>
                </c:pt>
              </c:strCache>
            </c:strRef>
          </c:tx>
          <c:spPr>
            <a:ln w="12700">
              <a:solidFill>
                <a:srgbClr val="4AAC6B"/>
              </a:solidFill>
              <a:prstDash val="solid"/>
            </a:ln>
          </c:spPr>
          <c:marker>
            <c:symbol val="triangle"/>
            <c:size val="5"/>
            <c:spPr>
              <a:solidFill>
                <a:srgbClr val="4AAC6B"/>
              </a:solidFill>
              <a:ln>
                <a:solidFill>
                  <a:srgbClr val="4AAC6B"/>
                </a:solidFill>
                <a:prstDash val="solid"/>
              </a:ln>
            </c:spPr>
          </c:marker>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b"/>
            <c:showLegendKey val="0"/>
            <c:showVal val="1"/>
            <c:showCatName val="0"/>
            <c:showSerName val="0"/>
            <c:showPercent val="0"/>
            <c:showBubbleSize val="0"/>
            <c:showLeaderLines val="0"/>
          </c:dLbls>
          <c:cat>
            <c:numRef>
              <c:f>'Charts - Annual'!$O$3:$T$3</c:f>
              <c:numCache>
                <c:formatCode>General</c:formatCode>
                <c:ptCount val="6"/>
                <c:pt idx="0">
                  <c:v>2011</c:v>
                </c:pt>
                <c:pt idx="1">
                  <c:v>2012</c:v>
                </c:pt>
                <c:pt idx="2">
                  <c:v>2013</c:v>
                </c:pt>
                <c:pt idx="3">
                  <c:v>2014</c:v>
                </c:pt>
                <c:pt idx="4">
                  <c:v>2015</c:v>
                </c:pt>
                <c:pt idx="5">
                  <c:v>2016</c:v>
                </c:pt>
              </c:numCache>
            </c:numRef>
          </c:cat>
          <c:val>
            <c:numRef>
              <c:f>'Charts - Annual'!$O$112:$T$112</c:f>
              <c:numCache>
                <c:formatCode>"$"#,##0_);\("$"#,##0\)</c:formatCode>
                <c:ptCount val="6"/>
                <c:pt idx="0">
                  <c:v>1666.1875288151221</c:v>
                </c:pt>
                <c:pt idx="1">
                  <c:v>1763.4695902688859</c:v>
                </c:pt>
                <c:pt idx="2">
                  <c:v>1762.2539682539682</c:v>
                </c:pt>
                <c:pt idx="3">
                  <c:v>1882.257132132132</c:v>
                </c:pt>
                <c:pt idx="4">
                  <c:v>1906.1770833333335</c:v>
                </c:pt>
                <c:pt idx="5">
                  <c:v>1926.6290425872558</c:v>
                </c:pt>
              </c:numCache>
            </c:numRef>
          </c:val>
          <c:smooth val="0"/>
        </c:ser>
        <c:dLbls>
          <c:showLegendKey val="0"/>
          <c:showVal val="0"/>
          <c:showCatName val="0"/>
          <c:showSerName val="0"/>
          <c:showPercent val="0"/>
          <c:showBubbleSize val="0"/>
        </c:dLbls>
        <c:marker val="1"/>
        <c:smooth val="0"/>
        <c:axId val="226247808"/>
        <c:axId val="226249344"/>
      </c:lineChart>
      <c:catAx>
        <c:axId val="2262478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6249344"/>
        <c:crossesAt val="200"/>
        <c:auto val="1"/>
        <c:lblAlgn val="ctr"/>
        <c:lblOffset val="100"/>
        <c:tickLblSkip val="1"/>
        <c:tickMarkSkip val="1"/>
        <c:noMultiLvlLbl val="0"/>
      </c:catAx>
      <c:valAx>
        <c:axId val="226249344"/>
        <c:scaling>
          <c:orientation val="minMax"/>
          <c:max val="2500"/>
          <c:min val="200"/>
        </c:scaling>
        <c:delete val="0"/>
        <c:axPos val="l"/>
        <c:majorGridlines>
          <c:spPr>
            <a:ln w="3175">
              <a:solidFill>
                <a:srgbClr val="C0C0C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MRR / Cabinet</a:t>
                </a:r>
              </a:p>
            </c:rich>
          </c:tx>
          <c:layout>
            <c:manualLayout>
              <c:xMode val="edge"/>
              <c:yMode val="edge"/>
              <c:x val="1.0080645161290322E-2"/>
              <c:y val="0.20895561562267401"/>
            </c:manualLayout>
          </c:layout>
          <c:overlay val="0"/>
          <c:spPr>
            <a:noFill/>
            <a:ln w="25400">
              <a:noFill/>
            </a:ln>
          </c:spPr>
        </c:title>
        <c:numFmt formatCode="&quot;$&quot;#,##0_);\(&quot;$&quot;#,##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6247808"/>
        <c:crosses val="autoZero"/>
        <c:crossBetween val="between"/>
        <c:majorUnit val="400"/>
        <c:minorUnit val="4.5999999999999996"/>
      </c:valAx>
      <c:spPr>
        <a:noFill/>
        <a:ln w="25400">
          <a:noFill/>
        </a:ln>
      </c:spPr>
    </c:plotArea>
    <c:legend>
      <c:legendPos val="b"/>
      <c:layout>
        <c:manualLayout>
          <c:xMode val="edge"/>
          <c:yMode val="edge"/>
          <c:x val="7.0564516129032265E-2"/>
          <c:y val="0.83209111920711398"/>
          <c:w val="0.92137181441029548"/>
          <c:h val="0.15671680965252477"/>
        </c:manualLayout>
      </c:layout>
      <c:overlay val="0"/>
      <c:spPr>
        <a:noFill/>
        <a:ln w="25400">
          <a:noFill/>
        </a:ln>
      </c:spPr>
      <c:txPr>
        <a:bodyPr/>
        <a:lstStyle/>
        <a:p>
          <a:pPr>
            <a:defRPr sz="16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ADJUSTED EBITDA</a:t>
            </a:r>
          </a:p>
        </c:rich>
      </c:tx>
      <c:layout>
        <c:manualLayout>
          <c:xMode val="edge"/>
          <c:yMode val="edge"/>
          <c:x val="1.6585240277801096E-3"/>
          <c:y val="0"/>
        </c:manualLayout>
      </c:layout>
      <c:overlay val="1"/>
    </c:title>
    <c:autoTitleDeleted val="0"/>
    <c:plotArea>
      <c:layout>
        <c:manualLayout>
          <c:layoutTarget val="inner"/>
          <c:xMode val="edge"/>
          <c:yMode val="edge"/>
          <c:x val="0.14356980037980693"/>
          <c:y val="0.14802423703182033"/>
          <c:w val="0.71641865631939661"/>
          <c:h val="0.75752317907862188"/>
        </c:manualLayout>
      </c:layout>
      <c:barChart>
        <c:barDir val="col"/>
        <c:grouping val="clustered"/>
        <c:varyColors val="0"/>
        <c:ser>
          <c:idx val="1"/>
          <c:order val="0"/>
          <c:tx>
            <c:strRef>
              <c:f>'Charts - Annual'!$B$7</c:f>
              <c:strCache>
                <c:ptCount val="1"/>
                <c:pt idx="0">
                  <c:v>EBITDA</c:v>
                </c:pt>
              </c:strCache>
            </c:strRef>
          </c:tx>
          <c:spPr>
            <a:solidFill>
              <a:srgbClr val="EACC80"/>
            </a:solidFill>
            <a:ln w="25400">
              <a:noFill/>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inBase"/>
            <c:showLegendKey val="0"/>
            <c:showVal val="1"/>
            <c:showCatName val="0"/>
            <c:showSerName val="0"/>
            <c:showPercent val="0"/>
            <c:showBubbleSize val="0"/>
            <c:showLeaderLines val="0"/>
          </c:dLbls>
          <c:cat>
            <c:strRef>
              <c:f>'Charts - Annual'!$Q$3:$V$3</c:f>
              <c:strCache>
                <c:ptCount val="6"/>
                <c:pt idx="0">
                  <c:v>2013</c:v>
                </c:pt>
                <c:pt idx="1">
                  <c:v>2014</c:v>
                </c:pt>
                <c:pt idx="2">
                  <c:v>2015</c:v>
                </c:pt>
                <c:pt idx="3">
                  <c:v>2016</c:v>
                </c:pt>
                <c:pt idx="4">
                  <c:v>2017</c:v>
                </c:pt>
                <c:pt idx="5">
                  <c:v>2018E</c:v>
                </c:pt>
              </c:strCache>
            </c:strRef>
          </c:cat>
          <c:val>
            <c:numRef>
              <c:f>'Charts - Annual'!$Q$7:$V$7</c:f>
              <c:numCache>
                <c:formatCode>"$"#,##0_);\("$"#,##0\)</c:formatCode>
                <c:ptCount val="6"/>
                <c:pt idx="0">
                  <c:v>1000.898</c:v>
                </c:pt>
                <c:pt idx="1">
                  <c:v>1113.8909999999996</c:v>
                </c:pt>
                <c:pt idx="2">
                  <c:v>1271.6270000000004</c:v>
                </c:pt>
                <c:pt idx="3">
                  <c:v>1657.4739999999999</c:v>
                </c:pt>
                <c:pt idx="4">
                  <c:v>2052.0410000000002</c:v>
                </c:pt>
                <c:pt idx="5">
                  <c:v>2396.2013118891828</c:v>
                </c:pt>
              </c:numCache>
            </c:numRef>
          </c:val>
        </c:ser>
        <c:dLbls>
          <c:showLegendKey val="0"/>
          <c:showVal val="0"/>
          <c:showCatName val="0"/>
          <c:showSerName val="0"/>
          <c:showPercent val="0"/>
          <c:showBubbleSize val="0"/>
        </c:dLbls>
        <c:gapWidth val="150"/>
        <c:axId val="226502144"/>
        <c:axId val="226503680"/>
      </c:barChart>
      <c:lineChart>
        <c:grouping val="standard"/>
        <c:varyColors val="0"/>
        <c:ser>
          <c:idx val="0"/>
          <c:order val="1"/>
          <c:tx>
            <c:strRef>
              <c:f>'Charts - Annual'!$B$8</c:f>
              <c:strCache>
                <c:ptCount val="1"/>
                <c:pt idx="0">
                  <c:v>Margin</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'Charts - Annual'!$Q$3:$V$3</c:f>
              <c:strCache>
                <c:ptCount val="6"/>
                <c:pt idx="0">
                  <c:v>2013</c:v>
                </c:pt>
                <c:pt idx="1">
                  <c:v>2014</c:v>
                </c:pt>
                <c:pt idx="2">
                  <c:v>2015</c:v>
                </c:pt>
                <c:pt idx="3">
                  <c:v>2016</c:v>
                </c:pt>
                <c:pt idx="4">
                  <c:v>2017</c:v>
                </c:pt>
                <c:pt idx="5">
                  <c:v>2018E</c:v>
                </c:pt>
              </c:strCache>
            </c:strRef>
          </c:cat>
          <c:val>
            <c:numRef>
              <c:f>'Charts - Annual'!$Q$8:$V$8</c:f>
              <c:numCache>
                <c:formatCode>0.0%</c:formatCode>
                <c:ptCount val="6"/>
                <c:pt idx="0">
                  <c:v>0.46493580816493757</c:v>
                </c:pt>
                <c:pt idx="1">
                  <c:v>0.45580751092060429</c:v>
                </c:pt>
                <c:pt idx="2">
                  <c:v>0.46650368488264482</c:v>
                </c:pt>
                <c:pt idx="3">
                  <c:v>0.45888124244010714</c:v>
                </c:pt>
                <c:pt idx="4">
                  <c:v>0.46974357823912866</c:v>
                </c:pt>
                <c:pt idx="5">
                  <c:v>0.47551615342800341</c:v>
                </c:pt>
              </c:numCache>
            </c:numRef>
          </c:val>
          <c:smooth val="0"/>
        </c:ser>
        <c:dLbls>
          <c:showLegendKey val="0"/>
          <c:showVal val="0"/>
          <c:showCatName val="0"/>
          <c:showSerName val="0"/>
          <c:showPercent val="0"/>
          <c:showBubbleSize val="0"/>
        </c:dLbls>
        <c:marker val="1"/>
        <c:smooth val="0"/>
        <c:axId val="226513664"/>
        <c:axId val="226515200"/>
      </c:lineChart>
      <c:catAx>
        <c:axId val="226502144"/>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6503680"/>
        <c:crosses val="autoZero"/>
        <c:auto val="0"/>
        <c:lblAlgn val="ctr"/>
        <c:lblOffset val="100"/>
        <c:tickLblSkip val="1"/>
        <c:tickMarkSkip val="1"/>
        <c:noMultiLvlLbl val="0"/>
      </c:catAx>
      <c:valAx>
        <c:axId val="226503680"/>
        <c:scaling>
          <c:orientation val="minMax"/>
        </c:scaling>
        <c:delete val="0"/>
        <c:axPos val="l"/>
        <c:majorGridlines>
          <c:spPr>
            <a:ln w="3175">
              <a:solidFill>
                <a:srgbClr val="C0C0C0"/>
              </a:solidFill>
              <a:prstDash val="solid"/>
            </a:ln>
          </c:spPr>
        </c:majorGridlines>
        <c:numFmt formatCode="&quot;$&quot;#,##0_);\(&quot;$&quot;#,##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6502144"/>
        <c:crosses val="autoZero"/>
        <c:crossBetween val="between"/>
      </c:valAx>
      <c:catAx>
        <c:axId val="226513664"/>
        <c:scaling>
          <c:orientation val="minMax"/>
        </c:scaling>
        <c:delete val="1"/>
        <c:axPos val="b"/>
        <c:majorTickMark val="out"/>
        <c:minorTickMark val="none"/>
        <c:tickLblPos val="nextTo"/>
        <c:crossAx val="226515200"/>
        <c:crosses val="autoZero"/>
        <c:auto val="0"/>
        <c:lblAlgn val="ctr"/>
        <c:lblOffset val="100"/>
        <c:noMultiLvlLbl val="0"/>
      </c:catAx>
      <c:valAx>
        <c:axId val="226515200"/>
        <c:scaling>
          <c:orientation val="minMax"/>
        </c:scaling>
        <c:delete val="0"/>
        <c:axPos val="r"/>
        <c:numFmt formatCode="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6513664"/>
        <c:crosses val="max"/>
        <c:crossBetween val="between"/>
      </c:valAx>
      <c:spPr>
        <a:noFill/>
        <a:ln w="25400">
          <a:noFill/>
        </a:ln>
      </c:spPr>
    </c:plotArea>
    <c:legend>
      <c:legendPos val="tr"/>
      <c:layout>
        <c:manualLayout>
          <c:xMode val="edge"/>
          <c:yMode val="edge"/>
          <c:x val="0.60070401647555249"/>
          <c:y val="0"/>
          <c:w val="0.38508559564382805"/>
          <c:h val="8.5632050710642296E-2"/>
        </c:manualLayout>
      </c:layout>
      <c:overlay val="0"/>
      <c:spPr>
        <a:noFill/>
        <a:ln w="25400">
          <a:noFill/>
        </a:ln>
      </c:spPr>
      <c:txPr>
        <a:bodyPr/>
        <a:lstStyle/>
        <a:p>
          <a:pPr>
            <a:defRPr sz="29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427441660758685"/>
          <c:y val="9.5588235294117641E-2"/>
          <c:w val="0.77709766643034739"/>
          <c:h val="0.73897058823529416"/>
        </c:manualLayout>
      </c:layout>
      <c:barChart>
        <c:barDir val="col"/>
        <c:grouping val="clustered"/>
        <c:varyColors val="0"/>
        <c:ser>
          <c:idx val="0"/>
          <c:order val="0"/>
          <c:tx>
            <c:strRef>
              <c:f>'Charts - Annual'!$B$368</c:f>
              <c:strCache>
                <c:ptCount val="1"/>
                <c:pt idx="0">
                  <c:v>Global MRR Churn</c:v>
                </c:pt>
              </c:strCache>
            </c:strRef>
          </c:tx>
          <c:spPr>
            <a:solidFill>
              <a:srgbClr val="137CB1"/>
            </a:solidFill>
            <a:ln w="25400">
              <a:noFill/>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'Charts - Annual'!$Q$3:$W$3</c:f>
              <c:strCache>
                <c:ptCount val="7"/>
                <c:pt idx="0">
                  <c:v>2013</c:v>
                </c:pt>
                <c:pt idx="1">
                  <c:v>2014</c:v>
                </c:pt>
                <c:pt idx="2">
                  <c:v>2015</c:v>
                </c:pt>
                <c:pt idx="3">
                  <c:v>2016</c:v>
                </c:pt>
                <c:pt idx="4">
                  <c:v>2017</c:v>
                </c:pt>
                <c:pt idx="5">
                  <c:v>2018E</c:v>
                </c:pt>
                <c:pt idx="6">
                  <c:v>2019E</c:v>
                </c:pt>
              </c:strCache>
            </c:strRef>
          </c:cat>
          <c:val>
            <c:numRef>
              <c:f>'Charts - Annual'!$Q$368:$W$368</c:f>
              <c:numCache>
                <c:formatCode>0.00%</c:formatCode>
                <c:ptCount val="7"/>
                <c:pt idx="0">
                  <c:v>0.10899999999999999</c:v>
                </c:pt>
                <c:pt idx="1">
                  <c:v>9.1000000000000011E-2</c:v>
                </c:pt>
                <c:pt idx="2">
                  <c:v>8.0999999999999989E-2</c:v>
                </c:pt>
                <c:pt idx="3">
                  <c:v>8.3999999999999991E-2</c:v>
                </c:pt>
                <c:pt idx="4">
                  <c:v>9.7000000000000003E-2</c:v>
                </c:pt>
                <c:pt idx="5">
                  <c:v>8.7999999999999995E-2</c:v>
                </c:pt>
                <c:pt idx="6">
                  <c:v>0.08</c:v>
                </c:pt>
              </c:numCache>
            </c:numRef>
          </c:val>
        </c:ser>
        <c:dLbls>
          <c:showLegendKey val="0"/>
          <c:showVal val="0"/>
          <c:showCatName val="0"/>
          <c:showSerName val="0"/>
          <c:showPercent val="0"/>
          <c:showBubbleSize val="0"/>
        </c:dLbls>
        <c:gapWidth val="150"/>
        <c:axId val="226548352"/>
        <c:axId val="226554240"/>
      </c:barChart>
      <c:catAx>
        <c:axId val="226548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6554240"/>
        <c:crosses val="autoZero"/>
        <c:auto val="1"/>
        <c:lblAlgn val="ctr"/>
        <c:lblOffset val="100"/>
        <c:tickLblSkip val="1"/>
        <c:tickMarkSkip val="1"/>
        <c:noMultiLvlLbl val="0"/>
      </c:catAx>
      <c:valAx>
        <c:axId val="226554240"/>
        <c:scaling>
          <c:orientation val="minMax"/>
        </c:scaling>
        <c:delete val="0"/>
        <c:axPos val="l"/>
        <c:majorGridlines>
          <c:spPr>
            <a:ln w="3175">
              <a:solidFill>
                <a:srgbClr val="C0C0C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Churn</a:t>
                </a:r>
              </a:p>
            </c:rich>
          </c:tx>
          <c:layout>
            <c:manualLayout>
              <c:xMode val="edge"/>
              <c:yMode val="edge"/>
              <c:x val="3.2719836400817999E-2"/>
              <c:y val="0.39338235294117646"/>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6548352"/>
        <c:crosses val="autoZero"/>
        <c:crossBetween val="between"/>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145179153126528"/>
          <c:y val="9.7015102129310957E-2"/>
          <c:w val="0.79233948968652512"/>
          <c:h val="0.55970251228448631"/>
        </c:manualLayout>
      </c:layout>
      <c:lineChart>
        <c:grouping val="standard"/>
        <c:varyColors val="0"/>
        <c:ser>
          <c:idx val="0"/>
          <c:order val="0"/>
          <c:tx>
            <c:strRef>
              <c:f>'Charts - Annual'!$B$301</c:f>
              <c:strCache>
                <c:ptCount val="1"/>
                <c:pt idx="0">
                  <c:v>Global Implied MRR / Cabinet</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numRef>
              <c:f>'Charts - Annual'!$O$3:$T$3</c:f>
              <c:numCache>
                <c:formatCode>General</c:formatCode>
                <c:ptCount val="6"/>
                <c:pt idx="0">
                  <c:v>2011</c:v>
                </c:pt>
                <c:pt idx="1">
                  <c:v>2012</c:v>
                </c:pt>
                <c:pt idx="2">
                  <c:v>2013</c:v>
                </c:pt>
                <c:pt idx="3">
                  <c:v>2014</c:v>
                </c:pt>
                <c:pt idx="4">
                  <c:v>2015</c:v>
                </c:pt>
                <c:pt idx="5">
                  <c:v>2016</c:v>
                </c:pt>
              </c:numCache>
            </c:numRef>
          </c:cat>
          <c:val>
            <c:numRef>
              <c:f>'Charts - Annual'!$O$301:$T$301</c:f>
              <c:numCache>
                <c:formatCode>"$"#,##0_);\("$"#,##0\)</c:formatCode>
                <c:ptCount val="6"/>
                <c:pt idx="0">
                  <c:v>1824.9131817070188</c:v>
                </c:pt>
                <c:pt idx="1">
                  <c:v>1939.8402417962002</c:v>
                </c:pt>
                <c:pt idx="2">
                  <c:v>1996.8458990843562</c:v>
                </c:pt>
                <c:pt idx="3">
                  <c:v>2058.0616231575209</c:v>
                </c:pt>
                <c:pt idx="4">
                  <c:v>2016.9108180248079</c:v>
                </c:pt>
                <c:pt idx="5">
                  <c:v>1764.2401327923276</c:v>
                </c:pt>
              </c:numCache>
            </c:numRef>
          </c:val>
          <c:smooth val="0"/>
        </c:ser>
        <c:ser>
          <c:idx val="1"/>
          <c:order val="1"/>
          <c:tx>
            <c:strRef>
              <c:f>'Charts - Annual'!$B$310</c:f>
              <c:strCache>
                <c:ptCount val="1"/>
                <c:pt idx="0">
                  <c:v>Interconnection MRR / Cabinet</c:v>
                </c:pt>
              </c:strCache>
            </c:strRef>
          </c:tx>
          <c:spPr>
            <a:ln w="12700">
              <a:solidFill>
                <a:srgbClr val="E5BF61"/>
              </a:solidFill>
              <a:prstDash val="solid"/>
            </a:ln>
          </c:spPr>
          <c:marker>
            <c:symbol val="square"/>
            <c:size val="5"/>
            <c:spPr>
              <a:solidFill>
                <a:srgbClr val="E5BF61"/>
              </a:solidFill>
              <a:ln>
                <a:solidFill>
                  <a:srgbClr val="E5BF61"/>
                </a:solidFill>
                <a:prstDash val="solid"/>
              </a:ln>
            </c:spPr>
          </c:marker>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numRef>
              <c:f>'Charts - Annual'!$O$3:$T$3</c:f>
              <c:numCache>
                <c:formatCode>General</c:formatCode>
                <c:ptCount val="6"/>
                <c:pt idx="0">
                  <c:v>2011</c:v>
                </c:pt>
                <c:pt idx="1">
                  <c:v>2012</c:v>
                </c:pt>
                <c:pt idx="2">
                  <c:v>2013</c:v>
                </c:pt>
                <c:pt idx="3">
                  <c:v>2014</c:v>
                </c:pt>
                <c:pt idx="4">
                  <c:v>2015</c:v>
                </c:pt>
                <c:pt idx="5">
                  <c:v>2016</c:v>
                </c:pt>
              </c:numCache>
            </c:numRef>
          </c:cat>
          <c:val>
            <c:numRef>
              <c:f>'Charts - Annual'!$O$310:$T$310</c:f>
              <c:numCache>
                <c:formatCode>"$"#,##0_);\("$"#,##0\)</c:formatCode>
                <c:ptCount val="6"/>
                <c:pt idx="0">
                  <c:v>278.59453080028339</c:v>
                </c:pt>
                <c:pt idx="1">
                  <c:v>293.72085492227984</c:v>
                </c:pt>
                <c:pt idx="2">
                  <c:v>311.57510227936882</c:v>
                </c:pt>
                <c:pt idx="3">
                  <c:v>330.62511099271887</c:v>
                </c:pt>
                <c:pt idx="4">
                  <c:v>342.13298791019002</c:v>
                </c:pt>
                <c:pt idx="5">
                  <c:v>334.60162301733675</c:v>
                </c:pt>
              </c:numCache>
            </c:numRef>
          </c:val>
          <c:smooth val="0"/>
        </c:ser>
        <c:ser>
          <c:idx val="2"/>
          <c:order val="2"/>
          <c:tx>
            <c:strRef>
              <c:f>'Charts - Annual'!$B$313</c:f>
              <c:strCache>
                <c:ptCount val="1"/>
                <c:pt idx="0">
                  <c:v>Colocation MRR / Cabinet</c:v>
                </c:pt>
              </c:strCache>
            </c:strRef>
          </c:tx>
          <c:spPr>
            <a:ln w="12700">
              <a:solidFill>
                <a:srgbClr val="4AAC6B"/>
              </a:solidFill>
              <a:prstDash val="solid"/>
            </a:ln>
          </c:spPr>
          <c:marker>
            <c:symbol val="triangle"/>
            <c:size val="5"/>
            <c:spPr>
              <a:solidFill>
                <a:srgbClr val="4AAC6B"/>
              </a:solidFill>
              <a:ln>
                <a:solidFill>
                  <a:srgbClr val="4AAC6B"/>
                </a:solidFill>
                <a:prstDash val="solid"/>
              </a:ln>
            </c:spPr>
          </c:marker>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b"/>
            <c:showLegendKey val="0"/>
            <c:showVal val="1"/>
            <c:showCatName val="0"/>
            <c:showSerName val="0"/>
            <c:showPercent val="0"/>
            <c:showBubbleSize val="0"/>
            <c:showLeaderLines val="0"/>
          </c:dLbls>
          <c:cat>
            <c:numRef>
              <c:f>'Charts - Annual'!$O$3:$T$3</c:f>
              <c:numCache>
                <c:formatCode>General</c:formatCode>
                <c:ptCount val="6"/>
                <c:pt idx="0">
                  <c:v>2011</c:v>
                </c:pt>
                <c:pt idx="1">
                  <c:v>2012</c:v>
                </c:pt>
                <c:pt idx="2">
                  <c:v>2013</c:v>
                </c:pt>
                <c:pt idx="3">
                  <c:v>2014</c:v>
                </c:pt>
                <c:pt idx="4">
                  <c:v>2015</c:v>
                </c:pt>
                <c:pt idx="5">
                  <c:v>2016</c:v>
                </c:pt>
              </c:numCache>
            </c:numRef>
          </c:cat>
          <c:val>
            <c:numRef>
              <c:f>'Charts - Annual'!$O$313:$T$313</c:f>
              <c:numCache>
                <c:formatCode>"$"#,##0_);\("$"#,##0\)</c:formatCode>
                <c:ptCount val="6"/>
                <c:pt idx="0">
                  <c:v>1546.3186509067355</c:v>
                </c:pt>
                <c:pt idx="1">
                  <c:v>1646.1193868739203</c:v>
                </c:pt>
                <c:pt idx="2">
                  <c:v>1685.2707968049874</c:v>
                </c:pt>
                <c:pt idx="3">
                  <c:v>1727.436512164802</c:v>
                </c:pt>
                <c:pt idx="4">
                  <c:v>1674.7778301146179</c:v>
                </c:pt>
                <c:pt idx="5">
                  <c:v>1429.6385097749908</c:v>
                </c:pt>
              </c:numCache>
            </c:numRef>
          </c:val>
          <c:smooth val="0"/>
        </c:ser>
        <c:dLbls>
          <c:showLegendKey val="0"/>
          <c:showVal val="0"/>
          <c:showCatName val="0"/>
          <c:showSerName val="0"/>
          <c:showPercent val="0"/>
          <c:showBubbleSize val="0"/>
        </c:dLbls>
        <c:marker val="1"/>
        <c:smooth val="0"/>
        <c:axId val="226658944"/>
        <c:axId val="226754944"/>
      </c:lineChart>
      <c:catAx>
        <c:axId val="2266589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6754944"/>
        <c:crossesAt val="0"/>
        <c:auto val="1"/>
        <c:lblAlgn val="ctr"/>
        <c:lblOffset val="100"/>
        <c:tickLblSkip val="1"/>
        <c:tickMarkSkip val="1"/>
        <c:noMultiLvlLbl val="0"/>
      </c:catAx>
      <c:valAx>
        <c:axId val="226754944"/>
        <c:scaling>
          <c:orientation val="minMax"/>
          <c:max val="2500"/>
          <c:min val="0"/>
        </c:scaling>
        <c:delete val="0"/>
        <c:axPos val="l"/>
        <c:majorGridlines>
          <c:spPr>
            <a:ln w="3175">
              <a:solidFill>
                <a:srgbClr val="C0C0C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MRR / Cabinet</a:t>
                </a:r>
              </a:p>
            </c:rich>
          </c:tx>
          <c:layout>
            <c:manualLayout>
              <c:xMode val="edge"/>
              <c:yMode val="edge"/>
              <c:x val="2.4193548387096774E-2"/>
              <c:y val="0.21268695890625611"/>
            </c:manualLayout>
          </c:layout>
          <c:overlay val="0"/>
          <c:spPr>
            <a:noFill/>
            <a:ln w="25400">
              <a:noFill/>
            </a:ln>
          </c:spPr>
        </c:title>
        <c:numFmt formatCode="&quot;$&quot;#,##0_);\(&quot;$&quot;#,##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6658944"/>
        <c:crosses val="autoZero"/>
        <c:crossBetween val="between"/>
        <c:majorUnit val="400"/>
        <c:minorUnit val="5"/>
      </c:valAx>
      <c:spPr>
        <a:noFill/>
        <a:ln w="25400">
          <a:noFill/>
        </a:ln>
      </c:spPr>
    </c:plotArea>
    <c:legend>
      <c:legendPos val="b"/>
      <c:layout>
        <c:manualLayout>
          <c:xMode val="edge"/>
          <c:yMode val="edge"/>
          <c:x val="7.0564516129032265E-2"/>
          <c:y val="0.83209111920711398"/>
          <c:w val="0.92137181441029548"/>
          <c:h val="0.15671680965252477"/>
        </c:manualLayout>
      </c:layout>
      <c:overlay val="0"/>
      <c:spPr>
        <a:noFill/>
        <a:ln w="25400">
          <a:noFill/>
        </a:ln>
      </c:spPr>
      <c:txPr>
        <a:bodyPr/>
        <a:lstStyle/>
        <a:p>
          <a:pPr>
            <a:defRPr sz="16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25661914460285"/>
          <c:y val="0.14552265319396643"/>
          <c:w val="0.76374745417515277"/>
          <c:h val="0.68283706498707331"/>
        </c:manualLayout>
      </c:layout>
      <c:barChart>
        <c:barDir val="col"/>
        <c:grouping val="clustered"/>
        <c:varyColors val="0"/>
        <c:ser>
          <c:idx val="1"/>
          <c:order val="0"/>
          <c:tx>
            <c:strRef>
              <c:f>'Charts - Annual'!$B$301</c:f>
              <c:strCache>
                <c:ptCount val="1"/>
                <c:pt idx="0">
                  <c:v>Global Implied MRR / Cabinet</c:v>
                </c:pt>
              </c:strCache>
            </c:strRef>
          </c:tx>
          <c:spPr>
            <a:solidFill>
              <a:srgbClr val="EACC80"/>
            </a:solidFill>
            <a:ln w="25400">
              <a:noFill/>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numRef>
              <c:f>'Charts - Annual'!$P$3:$S$3</c:f>
              <c:numCache>
                <c:formatCode>General</c:formatCode>
                <c:ptCount val="4"/>
                <c:pt idx="0">
                  <c:v>2012</c:v>
                </c:pt>
                <c:pt idx="1">
                  <c:v>2013</c:v>
                </c:pt>
                <c:pt idx="2">
                  <c:v>2014</c:v>
                </c:pt>
                <c:pt idx="3">
                  <c:v>2015</c:v>
                </c:pt>
              </c:numCache>
            </c:numRef>
          </c:cat>
          <c:val>
            <c:numRef>
              <c:f>'Charts - Annual'!$P$301:$S$301</c:f>
              <c:numCache>
                <c:formatCode>"$"#,##0_);\("$"#,##0\)</c:formatCode>
                <c:ptCount val="4"/>
                <c:pt idx="0">
                  <c:v>1939.8402417962002</c:v>
                </c:pt>
                <c:pt idx="1">
                  <c:v>1996.8458990843562</c:v>
                </c:pt>
                <c:pt idx="2">
                  <c:v>2058.0616231575209</c:v>
                </c:pt>
                <c:pt idx="3">
                  <c:v>2016.9108180248079</c:v>
                </c:pt>
              </c:numCache>
            </c:numRef>
          </c:val>
        </c:ser>
        <c:dLbls>
          <c:showLegendKey val="0"/>
          <c:showVal val="0"/>
          <c:showCatName val="0"/>
          <c:showSerName val="0"/>
          <c:showPercent val="0"/>
          <c:showBubbleSize val="0"/>
        </c:dLbls>
        <c:gapWidth val="150"/>
        <c:axId val="226806784"/>
        <c:axId val="227218176"/>
      </c:barChart>
      <c:lineChart>
        <c:grouping val="standard"/>
        <c:varyColors val="0"/>
        <c:ser>
          <c:idx val="0"/>
          <c:order val="1"/>
          <c:tx>
            <c:strRef>
              <c:f>'Charts - Annual'!$B$302</c:f>
              <c:strCache>
                <c:ptCount val="1"/>
                <c:pt idx="0">
                  <c:v>% Y/Y</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dLbl>
              <c:idx val="1"/>
              <c:layout>
                <c:manualLayout>
                  <c:x val="-5.4904929144549398E-2"/>
                  <c:y val="5.3524130441795617E-2"/>
                </c:manualLayout>
              </c:layout>
              <c:dLblPos val="r"/>
              <c:showLegendKey val="0"/>
              <c:showVal val="1"/>
              <c:showCatName val="0"/>
              <c:showSerName val="0"/>
              <c:showPercent val="0"/>
              <c:showBubbleSize val="0"/>
            </c:dLbl>
            <c:dLbl>
              <c:idx val="2"/>
              <c:layout>
                <c:manualLayout>
                  <c:x val="-5.8469137386339916E-2"/>
                  <c:y val="0.24525317375687786"/>
                </c:manualLayout>
              </c:layout>
              <c:dLblPos val="r"/>
              <c:showLegendKey val="0"/>
              <c:showVal val="1"/>
              <c:showCatName val="0"/>
              <c:showSerName val="0"/>
              <c:showPercent val="0"/>
              <c:showBubbleSize val="0"/>
            </c:dLbl>
            <c:dLbl>
              <c:idx val="3"/>
              <c:layout>
                <c:manualLayout>
                  <c:x val="-6.8143325261531718E-2"/>
                  <c:y val="-5.6475063118943784E-2"/>
                </c:manualLayout>
              </c:layout>
              <c:dLblPos val="r"/>
              <c:showLegendKey val="0"/>
              <c:showVal val="1"/>
              <c:showCatName val="0"/>
              <c:showSerName val="0"/>
              <c:showPercent val="0"/>
              <c:showBubbleSize val="0"/>
            </c:dLbl>
            <c:dLbl>
              <c:idx val="4"/>
              <c:layout>
                <c:manualLayout>
                  <c:xMode val="edge"/>
                  <c:yMode val="edge"/>
                  <c:x val="0.34419551934826886"/>
                  <c:y val="0.39179175859914039"/>
                </c:manualLayout>
              </c:layout>
              <c:dLblPos val="r"/>
              <c:showLegendKey val="0"/>
              <c:showVal val="1"/>
              <c:showCatName val="0"/>
              <c:showSerName val="0"/>
              <c:showPercent val="0"/>
              <c:showBubbleSize val="0"/>
            </c:dLbl>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b"/>
            <c:showLegendKey val="0"/>
            <c:showVal val="1"/>
            <c:showCatName val="0"/>
            <c:showSerName val="0"/>
            <c:showPercent val="0"/>
            <c:showBubbleSize val="0"/>
            <c:showLeaderLines val="0"/>
          </c:dLbls>
          <c:cat>
            <c:numRef>
              <c:f>'Charts - Annual'!$P$3:$S$3</c:f>
              <c:numCache>
                <c:formatCode>General</c:formatCode>
                <c:ptCount val="4"/>
                <c:pt idx="0">
                  <c:v>2012</c:v>
                </c:pt>
                <c:pt idx="1">
                  <c:v>2013</c:v>
                </c:pt>
                <c:pt idx="2">
                  <c:v>2014</c:v>
                </c:pt>
                <c:pt idx="3">
                  <c:v>2015</c:v>
                </c:pt>
              </c:numCache>
            </c:numRef>
          </c:cat>
          <c:val>
            <c:numRef>
              <c:f>'Charts - Annual'!$P$302:$S$302</c:f>
              <c:numCache>
                <c:formatCode>0.0%_);\(0.0%\);"–"_)</c:formatCode>
                <c:ptCount val="4"/>
                <c:pt idx="0">
                  <c:v>6.2976727463647908E-2</c:v>
                </c:pt>
                <c:pt idx="1">
                  <c:v>2.9386779416108677E-2</c:v>
                </c:pt>
                <c:pt idx="2">
                  <c:v>3.0656208424112652E-2</c:v>
                </c:pt>
                <c:pt idx="3">
                  <c:v>-1.9994933421662364E-2</c:v>
                </c:pt>
              </c:numCache>
            </c:numRef>
          </c:val>
          <c:smooth val="0"/>
        </c:ser>
        <c:dLbls>
          <c:showLegendKey val="0"/>
          <c:showVal val="0"/>
          <c:showCatName val="0"/>
          <c:showSerName val="0"/>
          <c:showPercent val="0"/>
          <c:showBubbleSize val="0"/>
        </c:dLbls>
        <c:marker val="1"/>
        <c:smooth val="0"/>
        <c:axId val="227219712"/>
        <c:axId val="227225600"/>
      </c:lineChart>
      <c:catAx>
        <c:axId val="226806784"/>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7218176"/>
        <c:crosses val="autoZero"/>
        <c:auto val="0"/>
        <c:lblAlgn val="ctr"/>
        <c:lblOffset val="100"/>
        <c:tickLblSkip val="1"/>
        <c:tickMarkSkip val="1"/>
        <c:noMultiLvlLbl val="0"/>
      </c:catAx>
      <c:valAx>
        <c:axId val="227218176"/>
        <c:scaling>
          <c:orientation val="minMax"/>
        </c:scaling>
        <c:delete val="0"/>
        <c:axPos val="l"/>
        <c:majorGridlines>
          <c:spPr>
            <a:ln w="3175">
              <a:solidFill>
                <a:srgbClr val="C0C0C0"/>
              </a:solidFill>
              <a:prstDash val="solid"/>
            </a:ln>
          </c:spPr>
        </c:majorGridlines>
        <c:numFmt formatCode="&quot;$&quot;#,##0_);\(&quot;$&quot;#,##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6806784"/>
        <c:crosses val="autoZero"/>
        <c:crossBetween val="between"/>
      </c:valAx>
      <c:catAx>
        <c:axId val="227219712"/>
        <c:scaling>
          <c:orientation val="minMax"/>
        </c:scaling>
        <c:delete val="1"/>
        <c:axPos val="b"/>
        <c:numFmt formatCode="General" sourceLinked="1"/>
        <c:majorTickMark val="out"/>
        <c:minorTickMark val="none"/>
        <c:tickLblPos val="nextTo"/>
        <c:crossAx val="227225600"/>
        <c:crosses val="autoZero"/>
        <c:auto val="0"/>
        <c:lblAlgn val="ctr"/>
        <c:lblOffset val="100"/>
        <c:noMultiLvlLbl val="0"/>
      </c:catAx>
      <c:valAx>
        <c:axId val="227225600"/>
        <c:scaling>
          <c:orientation val="minMax"/>
        </c:scaling>
        <c:delete val="0"/>
        <c:axPos val="r"/>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7219712"/>
        <c:crosses val="max"/>
        <c:crossBetween val="between"/>
      </c:valAx>
      <c:spPr>
        <a:noFill/>
        <a:ln w="25400">
          <a:noFill/>
        </a:ln>
      </c:spPr>
    </c:plotArea>
    <c:legend>
      <c:legendPos val="t"/>
      <c:layout>
        <c:manualLayout>
          <c:xMode val="edge"/>
          <c:yMode val="edge"/>
          <c:x val="0.22810590631364563"/>
          <c:y val="1.8656716417910446E-2"/>
          <c:w val="0.57841140529531576"/>
          <c:h val="8.2089552238805971E-2"/>
        </c:manualLayout>
      </c:layout>
      <c:overlay val="0"/>
      <c:spPr>
        <a:noFill/>
        <a:ln w="25400">
          <a:noFill/>
        </a:ln>
      </c:spPr>
      <c:txPr>
        <a:bodyPr/>
        <a:lstStyle/>
        <a:p>
          <a:pPr>
            <a:defRPr sz="16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 r="0.75" t="1" header="0.5" footer="0.5"/>
    <c:pageSetup orientation="landscape"/>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338726746320907"/>
          <c:y val="9.7015102129310957E-2"/>
          <c:w val="0.80040401375458137"/>
          <c:h val="0.55970251228448631"/>
        </c:manualLayout>
      </c:layout>
      <c:lineChart>
        <c:grouping val="standard"/>
        <c:varyColors val="0"/>
        <c:ser>
          <c:idx val="0"/>
          <c:order val="0"/>
          <c:tx>
            <c:strRef>
              <c:f>'Charts - Annual'!$B$167</c:f>
              <c:strCache>
                <c:ptCount val="1"/>
                <c:pt idx="0">
                  <c:v>MRR / Cabinet</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numRef>
              <c:f>'Charts - Annual'!$O$3:$T$3</c:f>
              <c:numCache>
                <c:formatCode>General</c:formatCode>
                <c:ptCount val="6"/>
                <c:pt idx="0">
                  <c:v>2011</c:v>
                </c:pt>
                <c:pt idx="1">
                  <c:v>2012</c:v>
                </c:pt>
                <c:pt idx="2">
                  <c:v>2013</c:v>
                </c:pt>
                <c:pt idx="3">
                  <c:v>2014</c:v>
                </c:pt>
                <c:pt idx="4">
                  <c:v>2015</c:v>
                </c:pt>
                <c:pt idx="5">
                  <c:v>2016</c:v>
                </c:pt>
              </c:numCache>
            </c:numRef>
          </c:cat>
          <c:val>
            <c:numRef>
              <c:f>'Charts - Annual'!$O$167:$T$167</c:f>
              <c:numCache>
                <c:formatCode>"$"#,##0_);\("$"#,##0\)</c:formatCode>
                <c:ptCount val="6"/>
                <c:pt idx="0">
                  <c:v>1191.5</c:v>
                </c:pt>
                <c:pt idx="1">
                  <c:v>1310.5</c:v>
                </c:pt>
                <c:pt idx="2">
                  <c:v>1462.25</c:v>
                </c:pt>
                <c:pt idx="3">
                  <c:v>1496.5</c:v>
                </c:pt>
                <c:pt idx="4">
                  <c:v>1446</c:v>
                </c:pt>
                <c:pt idx="5">
                  <c:v>1391.25</c:v>
                </c:pt>
              </c:numCache>
            </c:numRef>
          </c:val>
          <c:smooth val="0"/>
        </c:ser>
        <c:ser>
          <c:idx val="1"/>
          <c:order val="1"/>
          <c:tx>
            <c:strRef>
              <c:f>'Charts - Annual'!$B$176</c:f>
              <c:strCache>
                <c:ptCount val="1"/>
                <c:pt idx="0">
                  <c:v>Interconnection MRR / Cabinet</c:v>
                </c:pt>
              </c:strCache>
            </c:strRef>
          </c:tx>
          <c:spPr>
            <a:ln w="12700">
              <a:solidFill>
                <a:srgbClr val="E5BF61"/>
              </a:solidFill>
              <a:prstDash val="solid"/>
            </a:ln>
          </c:spPr>
          <c:marker>
            <c:symbol val="square"/>
            <c:size val="5"/>
            <c:spPr>
              <a:solidFill>
                <a:srgbClr val="E5BF61"/>
              </a:solidFill>
              <a:ln>
                <a:solidFill>
                  <a:srgbClr val="E5BF61"/>
                </a:solidFill>
                <a:prstDash val="solid"/>
              </a:ln>
            </c:spPr>
          </c:marker>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numRef>
              <c:f>'Charts - Annual'!$O$3:$T$3</c:f>
              <c:numCache>
                <c:formatCode>General</c:formatCode>
                <c:ptCount val="6"/>
                <c:pt idx="0">
                  <c:v>2011</c:v>
                </c:pt>
                <c:pt idx="1">
                  <c:v>2012</c:v>
                </c:pt>
                <c:pt idx="2">
                  <c:v>2013</c:v>
                </c:pt>
                <c:pt idx="3">
                  <c:v>2014</c:v>
                </c:pt>
                <c:pt idx="4">
                  <c:v>2015</c:v>
                </c:pt>
                <c:pt idx="5">
                  <c:v>2016</c:v>
                </c:pt>
              </c:numCache>
            </c:numRef>
          </c:cat>
          <c:val>
            <c:numRef>
              <c:f>'Charts - Annual'!$O$176:$T$176</c:f>
              <c:numCache>
                <c:formatCode>"$"#,##0_);\("$"#,##0\)</c:formatCode>
                <c:ptCount val="6"/>
                <c:pt idx="0">
                  <c:v>47.842490842490839</c:v>
                </c:pt>
                <c:pt idx="1">
                  <c:v>75.57184750733137</c:v>
                </c:pt>
                <c:pt idx="2">
                  <c:v>108.29961888009382</c:v>
                </c:pt>
                <c:pt idx="3">
                  <c:v>124.30123456790122</c:v>
                </c:pt>
                <c:pt idx="4">
                  <c:v>127.42919389978213</c:v>
                </c:pt>
                <c:pt idx="5">
                  <c:v>142.33217304823469</c:v>
                </c:pt>
              </c:numCache>
            </c:numRef>
          </c:val>
          <c:smooth val="0"/>
        </c:ser>
        <c:ser>
          <c:idx val="2"/>
          <c:order val="2"/>
          <c:tx>
            <c:strRef>
              <c:f>'Charts - Annual'!$B$178</c:f>
              <c:strCache>
                <c:ptCount val="1"/>
                <c:pt idx="0">
                  <c:v>Colocation MRR / Cabinet</c:v>
                </c:pt>
              </c:strCache>
            </c:strRef>
          </c:tx>
          <c:spPr>
            <a:ln w="12700">
              <a:solidFill>
                <a:srgbClr val="4AAC6B"/>
              </a:solidFill>
              <a:prstDash val="solid"/>
            </a:ln>
          </c:spPr>
          <c:marker>
            <c:symbol val="triangle"/>
            <c:size val="5"/>
            <c:spPr>
              <a:solidFill>
                <a:srgbClr val="4AAC6B"/>
              </a:solidFill>
              <a:ln>
                <a:solidFill>
                  <a:srgbClr val="4AAC6B"/>
                </a:solidFill>
                <a:prstDash val="solid"/>
              </a:ln>
            </c:spPr>
          </c:marker>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b"/>
            <c:showLegendKey val="0"/>
            <c:showVal val="1"/>
            <c:showCatName val="0"/>
            <c:showSerName val="0"/>
            <c:showPercent val="0"/>
            <c:showBubbleSize val="0"/>
            <c:showLeaderLines val="0"/>
          </c:dLbls>
          <c:cat>
            <c:numRef>
              <c:f>'Charts - Annual'!$O$3:$T$3</c:f>
              <c:numCache>
                <c:formatCode>General</c:formatCode>
                <c:ptCount val="6"/>
                <c:pt idx="0">
                  <c:v>2011</c:v>
                </c:pt>
                <c:pt idx="1">
                  <c:v>2012</c:v>
                </c:pt>
                <c:pt idx="2">
                  <c:v>2013</c:v>
                </c:pt>
                <c:pt idx="3">
                  <c:v>2014</c:v>
                </c:pt>
                <c:pt idx="4">
                  <c:v>2015</c:v>
                </c:pt>
                <c:pt idx="5">
                  <c:v>2016</c:v>
                </c:pt>
              </c:numCache>
            </c:numRef>
          </c:cat>
          <c:val>
            <c:numRef>
              <c:f>'Charts - Annual'!$O$178:$T$178</c:f>
              <c:numCache>
                <c:formatCode>"$"#,##0_);\("$"#,##0\)</c:formatCode>
                <c:ptCount val="6"/>
                <c:pt idx="0">
                  <c:v>1143.6575091575091</c:v>
                </c:pt>
                <c:pt idx="1">
                  <c:v>1234.9281524926687</c:v>
                </c:pt>
                <c:pt idx="2">
                  <c:v>1353.9503811199061</c:v>
                </c:pt>
                <c:pt idx="3">
                  <c:v>1372.1987654320988</c:v>
                </c:pt>
                <c:pt idx="4">
                  <c:v>1318.5708061002179</c:v>
                </c:pt>
                <c:pt idx="5">
                  <c:v>1248.9178269517654</c:v>
                </c:pt>
              </c:numCache>
            </c:numRef>
          </c:val>
          <c:smooth val="0"/>
        </c:ser>
        <c:dLbls>
          <c:showLegendKey val="0"/>
          <c:showVal val="0"/>
          <c:showCatName val="0"/>
          <c:showSerName val="0"/>
          <c:showPercent val="0"/>
          <c:showBubbleSize val="0"/>
        </c:dLbls>
        <c:marker val="1"/>
        <c:smooth val="0"/>
        <c:axId val="227260672"/>
        <c:axId val="227344384"/>
      </c:lineChart>
      <c:catAx>
        <c:axId val="227260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7344384"/>
        <c:crossesAt val="0"/>
        <c:auto val="1"/>
        <c:lblAlgn val="ctr"/>
        <c:lblOffset val="100"/>
        <c:tickLblSkip val="1"/>
        <c:tickMarkSkip val="1"/>
        <c:noMultiLvlLbl val="0"/>
      </c:catAx>
      <c:valAx>
        <c:axId val="227344384"/>
        <c:scaling>
          <c:orientation val="minMax"/>
          <c:max val="1500"/>
          <c:min val="0"/>
        </c:scaling>
        <c:delete val="0"/>
        <c:axPos val="l"/>
        <c:majorGridlines>
          <c:spPr>
            <a:ln w="3175">
              <a:solidFill>
                <a:srgbClr val="C0C0C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MRR / Cabinet</a:t>
                </a:r>
              </a:p>
            </c:rich>
          </c:tx>
          <c:layout>
            <c:manualLayout>
              <c:xMode val="edge"/>
              <c:yMode val="edge"/>
              <c:x val="1.6129032258064516E-2"/>
              <c:y val="0.21268695890625611"/>
            </c:manualLayout>
          </c:layout>
          <c:overlay val="0"/>
          <c:spPr>
            <a:noFill/>
            <a:ln w="25400">
              <a:noFill/>
            </a:ln>
          </c:spPr>
        </c:title>
        <c:numFmt formatCode="&quot;$&quot;#,##0_);\(&quot;$&quot;#,##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7260672"/>
        <c:crosses val="autoZero"/>
        <c:crossBetween val="between"/>
        <c:majorUnit val="300"/>
        <c:minorUnit val="5"/>
      </c:valAx>
      <c:spPr>
        <a:noFill/>
        <a:ln w="25400">
          <a:noFill/>
        </a:ln>
      </c:spPr>
    </c:plotArea>
    <c:legend>
      <c:legendPos val="b"/>
      <c:layout>
        <c:manualLayout>
          <c:xMode val="edge"/>
          <c:yMode val="edge"/>
          <c:x val="7.0564516129032265E-2"/>
          <c:y val="0.83209111920711398"/>
          <c:w val="0.92137181441029548"/>
          <c:h val="0.15671680965252477"/>
        </c:manualLayout>
      </c:layout>
      <c:overlay val="0"/>
      <c:spPr>
        <a:noFill/>
        <a:ln w="25400">
          <a:noFill/>
        </a:ln>
      </c:spPr>
      <c:txPr>
        <a:bodyPr/>
        <a:lstStyle/>
        <a:p>
          <a:pPr>
            <a:defRPr sz="16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54033984802231"/>
          <c:y val="9.7015102129310957E-2"/>
          <c:w val="0.79637175172055319"/>
          <c:h val="0.55597116220258969"/>
        </c:manualLayout>
      </c:layout>
      <c:lineChart>
        <c:grouping val="standard"/>
        <c:varyColors val="0"/>
        <c:ser>
          <c:idx val="0"/>
          <c:order val="0"/>
          <c:tx>
            <c:strRef>
              <c:f>'Charts - Annual'!$B$233</c:f>
              <c:strCache>
                <c:ptCount val="1"/>
                <c:pt idx="0">
                  <c:v>MRR / Cabinet</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numRef>
              <c:f>'Charts - Annual'!$O$3:$T$3</c:f>
              <c:numCache>
                <c:formatCode>General</c:formatCode>
                <c:ptCount val="6"/>
                <c:pt idx="0">
                  <c:v>2011</c:v>
                </c:pt>
                <c:pt idx="1">
                  <c:v>2012</c:v>
                </c:pt>
                <c:pt idx="2">
                  <c:v>2013</c:v>
                </c:pt>
                <c:pt idx="3">
                  <c:v>2014</c:v>
                </c:pt>
                <c:pt idx="4">
                  <c:v>2015</c:v>
                </c:pt>
                <c:pt idx="5">
                  <c:v>2016</c:v>
                </c:pt>
              </c:numCache>
            </c:numRef>
          </c:cat>
          <c:val>
            <c:numRef>
              <c:f>'Charts - Annual'!$O$233:$T$233</c:f>
              <c:numCache>
                <c:formatCode>"$"#,##0_);\("$"#,##0\)</c:formatCode>
                <c:ptCount val="6"/>
                <c:pt idx="0">
                  <c:v>1850</c:v>
                </c:pt>
                <c:pt idx="1">
                  <c:v>1919.25</c:v>
                </c:pt>
                <c:pt idx="2">
                  <c:v>1902.5</c:v>
                </c:pt>
                <c:pt idx="3">
                  <c:v>2056.5</c:v>
                </c:pt>
                <c:pt idx="4">
                  <c:v>1907.5</c:v>
                </c:pt>
                <c:pt idx="5">
                  <c:v>1952.5</c:v>
                </c:pt>
              </c:numCache>
            </c:numRef>
          </c:val>
          <c:smooth val="0"/>
        </c:ser>
        <c:ser>
          <c:idx val="1"/>
          <c:order val="1"/>
          <c:tx>
            <c:strRef>
              <c:f>'Charts - Annual'!$B$243</c:f>
              <c:strCache>
                <c:ptCount val="1"/>
                <c:pt idx="0">
                  <c:v>Interconnection MRR / Cabinet</c:v>
                </c:pt>
              </c:strCache>
            </c:strRef>
          </c:tx>
          <c:spPr>
            <a:ln w="12700">
              <a:solidFill>
                <a:srgbClr val="E5BF61"/>
              </a:solidFill>
              <a:prstDash val="solid"/>
            </a:ln>
          </c:spPr>
          <c:marker>
            <c:symbol val="square"/>
            <c:size val="5"/>
            <c:spPr>
              <a:solidFill>
                <a:srgbClr val="E5BF61"/>
              </a:solidFill>
              <a:ln>
                <a:solidFill>
                  <a:srgbClr val="E5BF61"/>
                </a:solidFill>
                <a:prstDash val="solid"/>
              </a:ln>
            </c:spPr>
          </c:marker>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numRef>
              <c:f>'Charts - Annual'!$O$3:$T$3</c:f>
              <c:numCache>
                <c:formatCode>General</c:formatCode>
                <c:ptCount val="6"/>
                <c:pt idx="0">
                  <c:v>2011</c:v>
                </c:pt>
                <c:pt idx="1">
                  <c:v>2012</c:v>
                </c:pt>
                <c:pt idx="2">
                  <c:v>2013</c:v>
                </c:pt>
                <c:pt idx="3">
                  <c:v>2014</c:v>
                </c:pt>
                <c:pt idx="4">
                  <c:v>2015</c:v>
                </c:pt>
                <c:pt idx="5">
                  <c:v>2016</c:v>
                </c:pt>
              </c:numCache>
            </c:numRef>
          </c:cat>
          <c:val>
            <c:numRef>
              <c:f>'Charts - Annual'!$O$243:$T$243</c:f>
              <c:numCache>
                <c:formatCode>"$"#,##0_);\("$"#,##0\)</c:formatCode>
                <c:ptCount val="6"/>
                <c:pt idx="0">
                  <c:v>219.15315315315314</c:v>
                </c:pt>
                <c:pt idx="1">
                  <c:v>219.23694779116468</c:v>
                </c:pt>
                <c:pt idx="2">
                  <c:v>219.126213592233</c:v>
                </c:pt>
                <c:pt idx="3">
                  <c:v>241.04166666666669</c:v>
                </c:pt>
                <c:pt idx="4">
                  <c:v>253.51715686274503</c:v>
                </c:pt>
                <c:pt idx="5">
                  <c:v>286.88503532434163</c:v>
                </c:pt>
              </c:numCache>
            </c:numRef>
          </c:val>
          <c:smooth val="0"/>
        </c:ser>
        <c:ser>
          <c:idx val="2"/>
          <c:order val="2"/>
          <c:tx>
            <c:strRef>
              <c:f>'Charts - Annual'!$B$245</c:f>
              <c:strCache>
                <c:ptCount val="1"/>
                <c:pt idx="0">
                  <c:v>Colocation MRR / Cabinet</c:v>
                </c:pt>
              </c:strCache>
            </c:strRef>
          </c:tx>
          <c:spPr>
            <a:ln w="12700">
              <a:solidFill>
                <a:srgbClr val="4AAC6B"/>
              </a:solidFill>
              <a:prstDash val="solid"/>
            </a:ln>
          </c:spPr>
          <c:marker>
            <c:symbol val="triangle"/>
            <c:size val="5"/>
            <c:spPr>
              <a:solidFill>
                <a:srgbClr val="4AAC6B"/>
              </a:solidFill>
              <a:ln>
                <a:solidFill>
                  <a:srgbClr val="4AAC6B"/>
                </a:solidFill>
                <a:prstDash val="solid"/>
              </a:ln>
            </c:spPr>
          </c:marker>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b"/>
            <c:showLegendKey val="0"/>
            <c:showVal val="1"/>
            <c:showCatName val="0"/>
            <c:showSerName val="0"/>
            <c:showPercent val="0"/>
            <c:showBubbleSize val="0"/>
            <c:showLeaderLines val="0"/>
          </c:dLbls>
          <c:cat>
            <c:numRef>
              <c:f>'Charts - Annual'!$O$3:$T$3</c:f>
              <c:numCache>
                <c:formatCode>General</c:formatCode>
                <c:ptCount val="6"/>
                <c:pt idx="0">
                  <c:v>2011</c:v>
                </c:pt>
                <c:pt idx="1">
                  <c:v>2012</c:v>
                </c:pt>
                <c:pt idx="2">
                  <c:v>2013</c:v>
                </c:pt>
                <c:pt idx="3">
                  <c:v>2014</c:v>
                </c:pt>
                <c:pt idx="4">
                  <c:v>2015</c:v>
                </c:pt>
                <c:pt idx="5">
                  <c:v>2016</c:v>
                </c:pt>
              </c:numCache>
            </c:numRef>
          </c:cat>
          <c:val>
            <c:numRef>
              <c:f>'Charts - Annual'!$O$245:$T$245</c:f>
              <c:numCache>
                <c:formatCode>"$"#,##0_);\("$"#,##0\)</c:formatCode>
                <c:ptCount val="6"/>
                <c:pt idx="0">
                  <c:v>1630.8468468468468</c:v>
                </c:pt>
                <c:pt idx="1">
                  <c:v>1700.0130522088352</c:v>
                </c:pt>
                <c:pt idx="2">
                  <c:v>1683.3737864077671</c:v>
                </c:pt>
                <c:pt idx="3">
                  <c:v>1815.4583333333333</c:v>
                </c:pt>
                <c:pt idx="4">
                  <c:v>1653.982843137255</c:v>
                </c:pt>
                <c:pt idx="5">
                  <c:v>1665.6149646756585</c:v>
                </c:pt>
              </c:numCache>
            </c:numRef>
          </c:val>
          <c:smooth val="0"/>
        </c:ser>
        <c:dLbls>
          <c:showLegendKey val="0"/>
          <c:showVal val="0"/>
          <c:showCatName val="0"/>
          <c:showSerName val="0"/>
          <c:showPercent val="0"/>
          <c:showBubbleSize val="0"/>
        </c:dLbls>
        <c:marker val="1"/>
        <c:smooth val="0"/>
        <c:axId val="227379840"/>
        <c:axId val="227398016"/>
      </c:lineChart>
      <c:catAx>
        <c:axId val="2273798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7398016"/>
        <c:crossesAt val="0"/>
        <c:auto val="1"/>
        <c:lblAlgn val="ctr"/>
        <c:lblOffset val="100"/>
        <c:tickLblSkip val="1"/>
        <c:tickMarkSkip val="1"/>
        <c:noMultiLvlLbl val="0"/>
      </c:catAx>
      <c:valAx>
        <c:axId val="227398016"/>
        <c:scaling>
          <c:orientation val="minMax"/>
          <c:max val="2500"/>
          <c:min val="0"/>
        </c:scaling>
        <c:delete val="0"/>
        <c:axPos val="l"/>
        <c:majorGridlines>
          <c:spPr>
            <a:ln w="3175">
              <a:solidFill>
                <a:srgbClr val="C0C0C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MRR / Cabinet</a:t>
                </a:r>
              </a:p>
            </c:rich>
          </c:tx>
          <c:layout>
            <c:manualLayout>
              <c:xMode val="edge"/>
              <c:yMode val="edge"/>
              <c:x val="1.8145161290322582E-2"/>
              <c:y val="0.20895561562267401"/>
            </c:manualLayout>
          </c:layout>
          <c:overlay val="0"/>
          <c:spPr>
            <a:noFill/>
            <a:ln w="25400">
              <a:noFill/>
            </a:ln>
          </c:spPr>
        </c:title>
        <c:numFmt formatCode="&quot;$&quot;#,##0_);\(&quot;$&quot;#,##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7379840"/>
        <c:crosses val="autoZero"/>
        <c:crossBetween val="between"/>
        <c:majorUnit val="400"/>
        <c:minorUnit val="5"/>
      </c:valAx>
      <c:spPr>
        <a:noFill/>
        <a:ln w="25400">
          <a:noFill/>
        </a:ln>
      </c:spPr>
    </c:plotArea>
    <c:legend>
      <c:legendPos val="b"/>
      <c:layout>
        <c:manualLayout>
          <c:xMode val="edge"/>
          <c:yMode val="edge"/>
          <c:x val="7.0564516129032265E-2"/>
          <c:y val="0.83209111920711398"/>
          <c:w val="0.92137181441029548"/>
          <c:h val="0.15671680965252477"/>
        </c:manualLayout>
      </c:layout>
      <c:overlay val="0"/>
      <c:spPr>
        <a:noFill/>
        <a:ln w="25400">
          <a:noFill/>
        </a:ln>
      </c:spPr>
      <c:txPr>
        <a:bodyPr/>
        <a:lstStyle/>
        <a:p>
          <a:pPr>
            <a:defRPr sz="16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170397449446003"/>
          <c:y val="0.14760174196001133"/>
          <c:w val="0.77890543676454416"/>
          <c:h val="0.68634810011405256"/>
        </c:manualLayout>
      </c:layout>
      <c:barChart>
        <c:barDir val="col"/>
        <c:grouping val="clustered"/>
        <c:varyColors val="0"/>
        <c:ser>
          <c:idx val="1"/>
          <c:order val="0"/>
          <c:tx>
            <c:strRef>
              <c:f>'Charts - Annual'!$B$243</c:f>
              <c:strCache>
                <c:ptCount val="1"/>
                <c:pt idx="0">
                  <c:v>Interconnection MRR / Cabinet</c:v>
                </c:pt>
              </c:strCache>
            </c:strRef>
          </c:tx>
          <c:spPr>
            <a:solidFill>
              <a:srgbClr val="EACC80"/>
            </a:solidFill>
            <a:ln w="25400">
              <a:noFill/>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'Charts - Annual'!$O$3:$W$3</c:f>
              <c:strCache>
                <c:ptCount val="9"/>
                <c:pt idx="0">
                  <c:v>2011</c:v>
                </c:pt>
                <c:pt idx="1">
                  <c:v>2012</c:v>
                </c:pt>
                <c:pt idx="2">
                  <c:v>2013</c:v>
                </c:pt>
                <c:pt idx="3">
                  <c:v>2014</c:v>
                </c:pt>
                <c:pt idx="4">
                  <c:v>2015</c:v>
                </c:pt>
                <c:pt idx="5">
                  <c:v>2016</c:v>
                </c:pt>
                <c:pt idx="6">
                  <c:v>2017</c:v>
                </c:pt>
                <c:pt idx="7">
                  <c:v>2018E</c:v>
                </c:pt>
                <c:pt idx="8">
                  <c:v>2019E</c:v>
                </c:pt>
              </c:strCache>
            </c:strRef>
          </c:cat>
          <c:val>
            <c:numRef>
              <c:f>'Charts - Annual'!$O$243:$W$243</c:f>
              <c:numCache>
                <c:formatCode>"$"#,##0_);\("$"#,##0\)</c:formatCode>
                <c:ptCount val="9"/>
                <c:pt idx="0">
                  <c:v>219.15315315315314</c:v>
                </c:pt>
                <c:pt idx="1">
                  <c:v>219.23694779116468</c:v>
                </c:pt>
                <c:pt idx="2">
                  <c:v>219.126213592233</c:v>
                </c:pt>
                <c:pt idx="3">
                  <c:v>241.04166666666669</c:v>
                </c:pt>
                <c:pt idx="4">
                  <c:v>253.51715686274503</c:v>
                </c:pt>
                <c:pt idx="5">
                  <c:v>286.88503532434163</c:v>
                </c:pt>
                <c:pt idx="6">
                  <c:v>286.28678437667207</c:v>
                </c:pt>
                <c:pt idx="7">
                  <c:v>298.06068934810276</c:v>
                </c:pt>
                <c:pt idx="8">
                  <c:v>301.97575067968205</c:v>
                </c:pt>
              </c:numCache>
            </c:numRef>
          </c:val>
        </c:ser>
        <c:dLbls>
          <c:showLegendKey val="0"/>
          <c:showVal val="0"/>
          <c:showCatName val="0"/>
          <c:showSerName val="0"/>
          <c:showPercent val="0"/>
          <c:showBubbleSize val="0"/>
        </c:dLbls>
        <c:gapWidth val="150"/>
        <c:axId val="231922688"/>
        <c:axId val="231965440"/>
      </c:barChart>
      <c:lineChart>
        <c:grouping val="standard"/>
        <c:varyColors val="0"/>
        <c:ser>
          <c:idx val="0"/>
          <c:order val="1"/>
          <c:tx>
            <c:strRef>
              <c:f>'Charts - Annual'!$B$244</c:f>
              <c:strCache>
                <c:ptCount val="1"/>
                <c:pt idx="0">
                  <c:v>% Y/Y</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dLbl>
              <c:idx val="1"/>
              <c:layout>
                <c:manualLayout>
                  <c:x val="-5.7471483352637305E-2"/>
                  <c:y val="7.5853733882346643E-3"/>
                </c:manualLayout>
              </c:layout>
              <c:dLblPos val="r"/>
              <c:showLegendKey val="0"/>
              <c:showVal val="1"/>
              <c:showCatName val="0"/>
              <c:showSerName val="0"/>
              <c:showPercent val="0"/>
              <c:showBubbleSize val="0"/>
            </c:dLbl>
            <c:dLbl>
              <c:idx val="2"/>
              <c:layout>
                <c:manualLayout>
                  <c:x val="-5.273846529450358E-2"/>
                  <c:y val="0.16233361025784798"/>
                </c:manualLayout>
              </c:layout>
              <c:dLblPos val="r"/>
              <c:showLegendKey val="0"/>
              <c:showVal val="1"/>
              <c:showCatName val="0"/>
              <c:showSerName val="0"/>
              <c:showPercent val="0"/>
              <c:showBubbleSize val="0"/>
            </c:dLbl>
            <c:dLbl>
              <c:idx val="3"/>
              <c:layout>
                <c:manualLayout>
                  <c:x val="-6.8289655940571528E-2"/>
                  <c:y val="-7.8095749300345282E-2"/>
                </c:manualLayout>
              </c:layout>
              <c:dLblPos val="r"/>
              <c:showLegendKey val="0"/>
              <c:showVal val="1"/>
              <c:showCatName val="0"/>
              <c:showSerName val="0"/>
              <c:showPercent val="0"/>
              <c:showBubbleSize val="0"/>
            </c:dLbl>
            <c:dLbl>
              <c:idx val="4"/>
              <c:layout>
                <c:manualLayout>
                  <c:x val="-5.9499838732622469E-2"/>
                  <c:y val="-0.16637572298803005"/>
                </c:manualLayout>
              </c:layout>
              <c:dLblPos val="r"/>
              <c:showLegendKey val="0"/>
              <c:showVal val="1"/>
              <c:showCatName val="0"/>
              <c:showSerName val="0"/>
              <c:showPercent val="0"/>
              <c:showBubbleSize val="0"/>
            </c:dLbl>
            <c:dLbl>
              <c:idx val="5"/>
              <c:layout>
                <c:manualLayout>
                  <c:x val="-6.2880418974119459E-2"/>
                  <c:y val="7.308303170812816E-2"/>
                </c:manualLayout>
              </c:layout>
              <c:dLblPos val="r"/>
              <c:showLegendKey val="0"/>
              <c:showVal val="1"/>
              <c:showCatName val="0"/>
              <c:showSerName val="0"/>
              <c:showPercent val="0"/>
              <c:showBubbleSize val="0"/>
            </c:dLbl>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b"/>
            <c:showLegendKey val="0"/>
            <c:showVal val="1"/>
            <c:showCatName val="0"/>
            <c:showSerName val="0"/>
            <c:showPercent val="0"/>
            <c:showBubbleSize val="0"/>
            <c:showLeaderLines val="0"/>
          </c:dLbls>
          <c:cat>
            <c:strRef>
              <c:f>'Charts - Annual'!$O$3:$W$3</c:f>
              <c:strCache>
                <c:ptCount val="9"/>
                <c:pt idx="0">
                  <c:v>2011</c:v>
                </c:pt>
                <c:pt idx="1">
                  <c:v>2012</c:v>
                </c:pt>
                <c:pt idx="2">
                  <c:v>2013</c:v>
                </c:pt>
                <c:pt idx="3">
                  <c:v>2014</c:v>
                </c:pt>
                <c:pt idx="4">
                  <c:v>2015</c:v>
                </c:pt>
                <c:pt idx="5">
                  <c:v>2016</c:v>
                </c:pt>
                <c:pt idx="6">
                  <c:v>2017</c:v>
                </c:pt>
                <c:pt idx="7">
                  <c:v>2018E</c:v>
                </c:pt>
                <c:pt idx="8">
                  <c:v>2019E</c:v>
                </c:pt>
              </c:strCache>
            </c:strRef>
          </c:cat>
          <c:val>
            <c:numRef>
              <c:f>'Charts - Annual'!$O$244:$W$244</c:f>
              <c:numCache>
                <c:formatCode>0.0%_);\(0.0%\);"–"_)</c:formatCode>
                <c:ptCount val="9"/>
                <c:pt idx="1">
                  <c:v>3.8235652467655257E-4</c:v>
                </c:pt>
                <c:pt idx="2">
                  <c:v>-5.050891286680903E-4</c:v>
                </c:pt>
                <c:pt idx="3">
                  <c:v>0.10001292275882445</c:v>
                </c:pt>
                <c:pt idx="4">
                  <c:v>5.1756571254257588E-2</c:v>
                </c:pt>
                <c:pt idx="5">
                  <c:v>0.13161980386069927</c:v>
                </c:pt>
                <c:pt idx="6">
                  <c:v>-2.0853334053941852E-3</c:v>
                </c:pt>
                <c:pt idx="7">
                  <c:v>4.1126260847373031E-2</c:v>
                </c:pt>
                <c:pt idx="8">
                  <c:v>1.3135114664540426E-2</c:v>
                </c:pt>
              </c:numCache>
            </c:numRef>
          </c:val>
          <c:smooth val="0"/>
        </c:ser>
        <c:dLbls>
          <c:showLegendKey val="0"/>
          <c:showVal val="0"/>
          <c:showCatName val="0"/>
          <c:showSerName val="0"/>
          <c:showPercent val="0"/>
          <c:showBubbleSize val="0"/>
        </c:dLbls>
        <c:marker val="1"/>
        <c:smooth val="0"/>
        <c:axId val="231966976"/>
        <c:axId val="232337408"/>
      </c:lineChart>
      <c:catAx>
        <c:axId val="231922688"/>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1965440"/>
        <c:crosses val="autoZero"/>
        <c:auto val="0"/>
        <c:lblAlgn val="ctr"/>
        <c:lblOffset val="100"/>
        <c:tickLblSkip val="1"/>
        <c:tickMarkSkip val="1"/>
        <c:noMultiLvlLbl val="0"/>
      </c:catAx>
      <c:valAx>
        <c:axId val="231965440"/>
        <c:scaling>
          <c:orientation val="minMax"/>
        </c:scaling>
        <c:delete val="0"/>
        <c:axPos val="l"/>
        <c:majorGridlines>
          <c:spPr>
            <a:ln w="3175">
              <a:solidFill>
                <a:srgbClr val="C0C0C0"/>
              </a:solidFill>
              <a:prstDash val="solid"/>
            </a:ln>
          </c:spPr>
        </c:majorGridlines>
        <c:numFmt formatCode="&quot;$&quot;#,##0_);\(&quot;$&quot;#,##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1922688"/>
        <c:crosses val="autoZero"/>
        <c:crossBetween val="between"/>
      </c:valAx>
      <c:catAx>
        <c:axId val="231966976"/>
        <c:scaling>
          <c:orientation val="minMax"/>
        </c:scaling>
        <c:delete val="1"/>
        <c:axPos val="b"/>
        <c:majorTickMark val="out"/>
        <c:minorTickMark val="none"/>
        <c:tickLblPos val="nextTo"/>
        <c:crossAx val="232337408"/>
        <c:crosses val="autoZero"/>
        <c:auto val="0"/>
        <c:lblAlgn val="ctr"/>
        <c:lblOffset val="100"/>
        <c:noMultiLvlLbl val="0"/>
      </c:catAx>
      <c:valAx>
        <c:axId val="232337408"/>
        <c:scaling>
          <c:orientation val="minMax"/>
        </c:scaling>
        <c:delete val="0"/>
        <c:axPos val="r"/>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1966976"/>
        <c:crosses val="max"/>
        <c:crossBetween val="between"/>
      </c:valAx>
      <c:spPr>
        <a:noFill/>
        <a:ln w="25400">
          <a:noFill/>
        </a:ln>
      </c:spPr>
    </c:plotArea>
    <c:legend>
      <c:legendPos val="t"/>
      <c:layout>
        <c:manualLayout>
          <c:xMode val="edge"/>
          <c:yMode val="edge"/>
          <c:x val="0.22312394520664633"/>
          <c:y val="1.8450184501845018E-2"/>
          <c:w val="0.58823593298302213"/>
          <c:h val="8.1180811808118078E-2"/>
        </c:manualLayout>
      </c:layout>
      <c:overlay val="0"/>
      <c:spPr>
        <a:noFill/>
        <a:ln w="25400">
          <a:noFill/>
        </a:ln>
      </c:spPr>
      <c:txPr>
        <a:bodyPr/>
        <a:lstStyle/>
        <a:p>
          <a:pPr>
            <a:defRPr sz="16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94331983805668"/>
          <c:y val="0.14705882352941177"/>
          <c:w val="0.77327935222672062"/>
          <c:h val="0.6875"/>
        </c:manualLayout>
      </c:layout>
      <c:barChart>
        <c:barDir val="col"/>
        <c:grouping val="clustered"/>
        <c:varyColors val="0"/>
        <c:ser>
          <c:idx val="1"/>
          <c:order val="0"/>
          <c:tx>
            <c:strRef>
              <c:f>'Charts - Annual'!$B$176</c:f>
              <c:strCache>
                <c:ptCount val="1"/>
                <c:pt idx="0">
                  <c:v>Interconnection MRR / Cabinet</c:v>
                </c:pt>
              </c:strCache>
            </c:strRef>
          </c:tx>
          <c:spPr>
            <a:solidFill>
              <a:srgbClr val="EACC80"/>
            </a:solidFill>
            <a:ln w="25400">
              <a:noFill/>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'Charts - Annual'!$O$3:$W$3</c:f>
              <c:strCache>
                <c:ptCount val="9"/>
                <c:pt idx="0">
                  <c:v>2011</c:v>
                </c:pt>
                <c:pt idx="1">
                  <c:v>2012</c:v>
                </c:pt>
                <c:pt idx="2">
                  <c:v>2013</c:v>
                </c:pt>
                <c:pt idx="3">
                  <c:v>2014</c:v>
                </c:pt>
                <c:pt idx="4">
                  <c:v>2015</c:v>
                </c:pt>
                <c:pt idx="5">
                  <c:v>2016</c:v>
                </c:pt>
                <c:pt idx="6">
                  <c:v>2017</c:v>
                </c:pt>
                <c:pt idx="7">
                  <c:v>2018E</c:v>
                </c:pt>
                <c:pt idx="8">
                  <c:v>2019E</c:v>
                </c:pt>
              </c:strCache>
            </c:strRef>
          </c:cat>
          <c:val>
            <c:numRef>
              <c:f>'Charts - Annual'!$O$176:$W$176</c:f>
              <c:numCache>
                <c:formatCode>"$"#,##0_);\("$"#,##0\)</c:formatCode>
                <c:ptCount val="9"/>
                <c:pt idx="0">
                  <c:v>47.842490842490839</c:v>
                </c:pt>
                <c:pt idx="1">
                  <c:v>75.57184750733137</c:v>
                </c:pt>
                <c:pt idx="2">
                  <c:v>108.29961888009382</c:v>
                </c:pt>
                <c:pt idx="3">
                  <c:v>124.30123456790122</c:v>
                </c:pt>
                <c:pt idx="4">
                  <c:v>127.42919389978213</c:v>
                </c:pt>
                <c:pt idx="5">
                  <c:v>142.33217304823469</c:v>
                </c:pt>
                <c:pt idx="6">
                  <c:v>110.12178477690287</c:v>
                </c:pt>
                <c:pt idx="7">
                  <c:v>128.86564585597878</c:v>
                </c:pt>
                <c:pt idx="8">
                  <c:v>135.05891723935414</c:v>
                </c:pt>
              </c:numCache>
            </c:numRef>
          </c:val>
        </c:ser>
        <c:dLbls>
          <c:showLegendKey val="0"/>
          <c:showVal val="0"/>
          <c:showCatName val="0"/>
          <c:showSerName val="0"/>
          <c:showPercent val="0"/>
          <c:showBubbleSize val="0"/>
        </c:dLbls>
        <c:gapWidth val="150"/>
        <c:axId val="232380672"/>
        <c:axId val="251793408"/>
      </c:barChart>
      <c:lineChart>
        <c:grouping val="standard"/>
        <c:varyColors val="0"/>
        <c:ser>
          <c:idx val="0"/>
          <c:order val="1"/>
          <c:tx>
            <c:strRef>
              <c:f>'Charts - Annual'!$B$177</c:f>
              <c:strCache>
                <c:ptCount val="1"/>
                <c:pt idx="0">
                  <c:v>% Y/Y</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dLbl>
              <c:idx val="1"/>
              <c:layout>
                <c:manualLayout>
                  <c:x val="-5.6680161943319832E-2"/>
                  <c:y val="-4.5949127682569063E-2"/>
                </c:manualLayout>
              </c:layout>
              <c:dLblPos val="r"/>
              <c:showLegendKey val="0"/>
              <c:showVal val="1"/>
              <c:showCatName val="0"/>
              <c:showSerName val="0"/>
              <c:showPercent val="0"/>
              <c:showBubbleSize val="0"/>
            </c:dLbl>
            <c:dLbl>
              <c:idx val="2"/>
              <c:layout>
                <c:manualLayout>
                  <c:x val="-6.1628359208135426E-2"/>
                  <c:y val="6.3815423807318195E-2"/>
                </c:manualLayout>
              </c:layout>
              <c:dLblPos val="r"/>
              <c:showLegendKey val="0"/>
              <c:showVal val="1"/>
              <c:showCatName val="0"/>
              <c:showSerName val="0"/>
              <c:showPercent val="0"/>
              <c:showBubbleSize val="0"/>
            </c:dLbl>
            <c:dLbl>
              <c:idx val="4"/>
              <c:layout>
                <c:manualLayout>
                  <c:x val="-5.3306342780027001E-2"/>
                  <c:y val="-5.5032422417785998E-2"/>
                </c:manualLayout>
              </c:layout>
              <c:dLblPos val="r"/>
              <c:showLegendKey val="0"/>
              <c:showVal val="1"/>
              <c:showCatName val="0"/>
              <c:showSerName val="0"/>
              <c:showPercent val="0"/>
              <c:showBubbleSize val="0"/>
            </c:dLbl>
            <c:dLbl>
              <c:idx val="5"/>
              <c:layout>
                <c:manualLayout>
                  <c:x val="-5.8254540044842595E-2"/>
                  <c:y val="-3.9355411455920995E-2"/>
                </c:manualLayout>
              </c:layout>
              <c:dLblPos val="r"/>
              <c:showLegendKey val="0"/>
              <c:showVal val="1"/>
              <c:showCatName val="0"/>
              <c:showSerName val="0"/>
              <c:showPercent val="0"/>
              <c:showBubbleSize val="0"/>
            </c:dLbl>
            <c:dLbl>
              <c:idx val="6"/>
              <c:layout>
                <c:manualLayout>
                  <c:x val="-6.3202949833699978E-2"/>
                  <c:y val="-5.2455998147290385E-2"/>
                </c:manualLayout>
              </c:layout>
              <c:dLblPos val="r"/>
              <c:showLegendKey val="0"/>
              <c:showVal val="1"/>
              <c:showCatName val="0"/>
              <c:showSerName val="0"/>
              <c:showPercent val="0"/>
              <c:showBubbleSize val="0"/>
            </c:dLbl>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b"/>
            <c:showLegendKey val="0"/>
            <c:showVal val="1"/>
            <c:showCatName val="0"/>
            <c:showSerName val="0"/>
            <c:showPercent val="0"/>
            <c:showBubbleSize val="0"/>
            <c:showLeaderLines val="0"/>
          </c:dLbls>
          <c:cat>
            <c:strRef>
              <c:f>'Charts - Annual'!$O$3:$W$3</c:f>
              <c:strCache>
                <c:ptCount val="9"/>
                <c:pt idx="0">
                  <c:v>2011</c:v>
                </c:pt>
                <c:pt idx="1">
                  <c:v>2012</c:v>
                </c:pt>
                <c:pt idx="2">
                  <c:v>2013</c:v>
                </c:pt>
                <c:pt idx="3">
                  <c:v>2014</c:v>
                </c:pt>
                <c:pt idx="4">
                  <c:v>2015</c:v>
                </c:pt>
                <c:pt idx="5">
                  <c:v>2016</c:v>
                </c:pt>
                <c:pt idx="6">
                  <c:v>2017</c:v>
                </c:pt>
                <c:pt idx="7">
                  <c:v>2018E</c:v>
                </c:pt>
                <c:pt idx="8">
                  <c:v>2019E</c:v>
                </c:pt>
              </c:strCache>
            </c:strRef>
          </c:cat>
          <c:val>
            <c:numRef>
              <c:f>'Charts - Annual'!$O$177:$W$177</c:f>
              <c:numCache>
                <c:formatCode>0.0%_);\(0.0%\);"–"_)</c:formatCode>
                <c:ptCount val="9"/>
                <c:pt idx="1">
                  <c:v>0.57959684323569904</c:v>
                </c:pt>
                <c:pt idx="2">
                  <c:v>0.43306829794769097</c:v>
                </c:pt>
                <c:pt idx="3">
                  <c:v>0.14775320405812242</c:v>
                </c:pt>
                <c:pt idx="4">
                  <c:v>2.5164346458459663E-2</c:v>
                </c:pt>
                <c:pt idx="5">
                  <c:v>0.11695105879876433</c:v>
                </c:pt>
                <c:pt idx="6">
                  <c:v>-0.22630433851674636</c:v>
                </c:pt>
                <c:pt idx="7">
                  <c:v>0.17021029142461996</c:v>
                </c:pt>
                <c:pt idx="8">
                  <c:v>4.8059910321615273E-2</c:v>
                </c:pt>
              </c:numCache>
            </c:numRef>
          </c:val>
          <c:smooth val="0"/>
        </c:ser>
        <c:dLbls>
          <c:showLegendKey val="0"/>
          <c:showVal val="0"/>
          <c:showCatName val="0"/>
          <c:showSerName val="0"/>
          <c:showPercent val="0"/>
          <c:showBubbleSize val="0"/>
        </c:dLbls>
        <c:marker val="1"/>
        <c:smooth val="0"/>
        <c:axId val="251794944"/>
        <c:axId val="251796480"/>
      </c:lineChart>
      <c:catAx>
        <c:axId val="232380672"/>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51793408"/>
        <c:crosses val="autoZero"/>
        <c:auto val="0"/>
        <c:lblAlgn val="ctr"/>
        <c:lblOffset val="100"/>
        <c:tickLblSkip val="1"/>
        <c:tickMarkSkip val="1"/>
        <c:noMultiLvlLbl val="0"/>
      </c:catAx>
      <c:valAx>
        <c:axId val="251793408"/>
        <c:scaling>
          <c:orientation val="minMax"/>
        </c:scaling>
        <c:delete val="0"/>
        <c:axPos val="l"/>
        <c:majorGridlines>
          <c:spPr>
            <a:ln w="3175">
              <a:solidFill>
                <a:srgbClr val="C0C0C0"/>
              </a:solidFill>
              <a:prstDash val="solid"/>
            </a:ln>
          </c:spPr>
        </c:majorGridlines>
        <c:numFmt formatCode="&quot;$&quot;#,##0_);\(&quot;$&quot;#,##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2380672"/>
        <c:crosses val="autoZero"/>
        <c:crossBetween val="between"/>
      </c:valAx>
      <c:catAx>
        <c:axId val="251794944"/>
        <c:scaling>
          <c:orientation val="minMax"/>
        </c:scaling>
        <c:delete val="1"/>
        <c:axPos val="b"/>
        <c:majorTickMark val="out"/>
        <c:minorTickMark val="none"/>
        <c:tickLblPos val="nextTo"/>
        <c:crossAx val="251796480"/>
        <c:crosses val="autoZero"/>
        <c:auto val="0"/>
        <c:lblAlgn val="ctr"/>
        <c:lblOffset val="100"/>
        <c:noMultiLvlLbl val="0"/>
      </c:catAx>
      <c:valAx>
        <c:axId val="251796480"/>
        <c:scaling>
          <c:orientation val="minMax"/>
        </c:scaling>
        <c:delete val="0"/>
        <c:axPos val="r"/>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51794944"/>
        <c:crosses val="max"/>
        <c:crossBetween val="between"/>
      </c:valAx>
      <c:spPr>
        <a:noFill/>
        <a:ln w="25400">
          <a:noFill/>
        </a:ln>
      </c:spPr>
    </c:plotArea>
    <c:legend>
      <c:legendPos val="t"/>
      <c:layout>
        <c:manualLayout>
          <c:xMode val="edge"/>
          <c:yMode val="edge"/>
          <c:x val="0.20850202429149797"/>
          <c:y val="1.8382352941176471E-2"/>
          <c:w val="0.58704453441295545"/>
          <c:h val="8.0882352941176461E-2"/>
        </c:manualLayout>
      </c:layout>
      <c:overlay val="0"/>
      <c:spPr>
        <a:noFill/>
        <a:ln w="25400">
          <a:noFill/>
        </a:ln>
      </c:spPr>
      <c:txPr>
        <a:bodyPr/>
        <a:lstStyle/>
        <a:p>
          <a:pPr>
            <a:defRPr sz="16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919215434058227"/>
          <c:y val="0.14285765388068725"/>
          <c:w val="0.78990054825707912"/>
          <c:h val="0.69231016880640739"/>
        </c:manualLayout>
      </c:layout>
      <c:barChart>
        <c:barDir val="col"/>
        <c:grouping val="clustered"/>
        <c:varyColors val="0"/>
        <c:ser>
          <c:idx val="1"/>
          <c:order val="0"/>
          <c:tx>
            <c:strRef>
              <c:f>'Charts - Annual'!$B$110</c:f>
              <c:strCache>
                <c:ptCount val="1"/>
                <c:pt idx="0">
                  <c:v>Interconnection MRR / Cabinet</c:v>
                </c:pt>
              </c:strCache>
            </c:strRef>
          </c:tx>
          <c:spPr>
            <a:solidFill>
              <a:srgbClr val="EACC80"/>
            </a:solidFill>
            <a:ln w="25400">
              <a:noFill/>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'Charts - Annual'!$O$3:$W$3</c:f>
              <c:strCache>
                <c:ptCount val="9"/>
                <c:pt idx="0">
                  <c:v>2011</c:v>
                </c:pt>
                <c:pt idx="1">
                  <c:v>2012</c:v>
                </c:pt>
                <c:pt idx="2">
                  <c:v>2013</c:v>
                </c:pt>
                <c:pt idx="3">
                  <c:v>2014</c:v>
                </c:pt>
                <c:pt idx="4">
                  <c:v>2015</c:v>
                </c:pt>
                <c:pt idx="5">
                  <c:v>2016</c:v>
                </c:pt>
                <c:pt idx="6">
                  <c:v>2017</c:v>
                </c:pt>
                <c:pt idx="7">
                  <c:v>2018E</c:v>
                </c:pt>
                <c:pt idx="8">
                  <c:v>2019E</c:v>
                </c:pt>
              </c:strCache>
            </c:strRef>
          </c:cat>
          <c:val>
            <c:numRef>
              <c:f>'Charts - Annual'!$O$110:$W$110</c:f>
              <c:numCache>
                <c:formatCode>"$"#,##0_);\("$"#,##0\)</c:formatCode>
                <c:ptCount val="9"/>
                <c:pt idx="0">
                  <c:v>455.56247118487789</c:v>
                </c:pt>
                <c:pt idx="1">
                  <c:v>461.28040973111399</c:v>
                </c:pt>
                <c:pt idx="2">
                  <c:v>480.74603174603175</c:v>
                </c:pt>
                <c:pt idx="3">
                  <c:v>510.99286786786786</c:v>
                </c:pt>
                <c:pt idx="4">
                  <c:v>547.32291666666663</c:v>
                </c:pt>
                <c:pt idx="5">
                  <c:v>590.87095741274413</c:v>
                </c:pt>
                <c:pt idx="6">
                  <c:v>590.72004028197387</c:v>
                </c:pt>
                <c:pt idx="7">
                  <c:v>600.27830492384146</c:v>
                </c:pt>
                <c:pt idx="8">
                  <c:v>611.54375290795417</c:v>
                </c:pt>
              </c:numCache>
            </c:numRef>
          </c:val>
        </c:ser>
        <c:dLbls>
          <c:showLegendKey val="0"/>
          <c:showVal val="0"/>
          <c:showCatName val="0"/>
          <c:showSerName val="0"/>
          <c:showPercent val="0"/>
          <c:showBubbleSize val="0"/>
        </c:dLbls>
        <c:gapWidth val="150"/>
        <c:axId val="251840000"/>
        <c:axId val="251841536"/>
      </c:barChart>
      <c:lineChart>
        <c:grouping val="standard"/>
        <c:varyColors val="0"/>
        <c:ser>
          <c:idx val="0"/>
          <c:order val="1"/>
          <c:tx>
            <c:strRef>
              <c:f>'Charts - Annual'!$B$111</c:f>
              <c:strCache>
                <c:ptCount val="1"/>
                <c:pt idx="0">
                  <c:v>% Y/Y</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dLbl>
              <c:idx val="1"/>
              <c:layout>
                <c:manualLayout>
                  <c:x val="-6.5656701321830879E-2"/>
                  <c:y val="-0.129834125810532"/>
                </c:manualLayout>
              </c:layout>
              <c:dLblPos val="r"/>
              <c:showLegendKey val="0"/>
              <c:showVal val="1"/>
              <c:showCatName val="0"/>
              <c:showSerName val="0"/>
              <c:showPercent val="0"/>
              <c:showBubbleSize val="0"/>
            </c:dLbl>
            <c:dLbl>
              <c:idx val="2"/>
              <c:layout>
                <c:manualLayout>
                  <c:x val="-5.4433302868662319E-2"/>
                  <c:y val="-0.12965519656114419"/>
                </c:manualLayout>
              </c:layout>
              <c:dLblPos val="r"/>
              <c:showLegendKey val="0"/>
              <c:showVal val="1"/>
              <c:showCatName val="0"/>
              <c:showSerName val="0"/>
              <c:showPercent val="0"/>
              <c:showBubbleSize val="0"/>
            </c:dLbl>
            <c:dLbl>
              <c:idx val="4"/>
              <c:layout>
                <c:manualLayout>
                  <c:x val="-5.0168360014278636E-2"/>
                  <c:y val="0.37332345584078613"/>
                </c:manualLayout>
              </c:layout>
              <c:dLblPos val="r"/>
              <c:showLegendKey val="0"/>
              <c:showVal val="1"/>
              <c:showCatName val="0"/>
              <c:showSerName val="0"/>
              <c:showPercent val="0"/>
              <c:showBubbleSize val="0"/>
            </c:dLbl>
            <c:dLbl>
              <c:idx val="6"/>
              <c:layout>
                <c:manualLayout>
                  <c:x val="-6.206506520607543E-2"/>
                  <c:y val="2.8030935332700974E-2"/>
                </c:manualLayout>
              </c:layout>
              <c:dLblPos val="r"/>
              <c:showLegendKey val="0"/>
              <c:showVal val="1"/>
              <c:showCatName val="0"/>
              <c:showSerName val="0"/>
              <c:showPercent val="0"/>
              <c:showBubbleSize val="0"/>
            </c:dLbl>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b"/>
            <c:showLegendKey val="0"/>
            <c:showVal val="1"/>
            <c:showCatName val="0"/>
            <c:showSerName val="0"/>
            <c:showPercent val="0"/>
            <c:showBubbleSize val="0"/>
            <c:showLeaderLines val="0"/>
          </c:dLbls>
          <c:cat>
            <c:strRef>
              <c:f>'Charts - Annual'!$O$3:$W$3</c:f>
              <c:strCache>
                <c:ptCount val="9"/>
                <c:pt idx="0">
                  <c:v>2011</c:v>
                </c:pt>
                <c:pt idx="1">
                  <c:v>2012</c:v>
                </c:pt>
                <c:pt idx="2">
                  <c:v>2013</c:v>
                </c:pt>
                <c:pt idx="3">
                  <c:v>2014</c:v>
                </c:pt>
                <c:pt idx="4">
                  <c:v>2015</c:v>
                </c:pt>
                <c:pt idx="5">
                  <c:v>2016</c:v>
                </c:pt>
                <c:pt idx="6">
                  <c:v>2017</c:v>
                </c:pt>
                <c:pt idx="7">
                  <c:v>2018E</c:v>
                </c:pt>
                <c:pt idx="8">
                  <c:v>2019E</c:v>
                </c:pt>
              </c:strCache>
            </c:strRef>
          </c:cat>
          <c:val>
            <c:numRef>
              <c:f>'Charts - Annual'!$O$111:$W$111</c:f>
              <c:numCache>
                <c:formatCode>0.0%_);\(0.0%\);"–"_)</c:formatCode>
                <c:ptCount val="9"/>
                <c:pt idx="1">
                  <c:v>1.2551381880435031E-2</c:v>
                </c:pt>
                <c:pt idx="2">
                  <c:v>4.2199108404071373E-2</c:v>
                </c:pt>
                <c:pt idx="3">
                  <c:v>6.2916455102046243E-2</c:v>
                </c:pt>
                <c:pt idx="4">
                  <c:v>7.1096978222782159E-2</c:v>
                </c:pt>
                <c:pt idx="5">
                  <c:v>7.9565535116446373E-2</c:v>
                </c:pt>
                <c:pt idx="6">
                  <c:v>-2.5541470413625866E-4</c:v>
                </c:pt>
                <c:pt idx="7">
                  <c:v>1.6180701499994843E-2</c:v>
                </c:pt>
                <c:pt idx="8">
                  <c:v>1.8767041706666321E-2</c:v>
                </c:pt>
              </c:numCache>
            </c:numRef>
          </c:val>
          <c:smooth val="0"/>
        </c:ser>
        <c:dLbls>
          <c:showLegendKey val="0"/>
          <c:showVal val="0"/>
          <c:showCatName val="0"/>
          <c:showSerName val="0"/>
          <c:showPercent val="0"/>
          <c:showBubbleSize val="0"/>
        </c:dLbls>
        <c:marker val="1"/>
        <c:smooth val="0"/>
        <c:axId val="256049920"/>
        <c:axId val="256051456"/>
      </c:lineChart>
      <c:catAx>
        <c:axId val="251840000"/>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51841536"/>
        <c:crosses val="autoZero"/>
        <c:auto val="0"/>
        <c:lblAlgn val="ctr"/>
        <c:lblOffset val="100"/>
        <c:tickLblSkip val="1"/>
        <c:tickMarkSkip val="1"/>
        <c:noMultiLvlLbl val="0"/>
      </c:catAx>
      <c:valAx>
        <c:axId val="251841536"/>
        <c:scaling>
          <c:orientation val="minMax"/>
        </c:scaling>
        <c:delete val="0"/>
        <c:axPos val="l"/>
        <c:majorGridlines>
          <c:spPr>
            <a:ln w="3175">
              <a:solidFill>
                <a:srgbClr val="C0C0C0"/>
              </a:solidFill>
              <a:prstDash val="solid"/>
            </a:ln>
          </c:spPr>
        </c:majorGridlines>
        <c:numFmt formatCode="&quot;$&quot;#,##0_);\(&quot;$&quot;#,##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51840000"/>
        <c:crosses val="autoZero"/>
        <c:crossBetween val="between"/>
      </c:valAx>
      <c:catAx>
        <c:axId val="256049920"/>
        <c:scaling>
          <c:orientation val="minMax"/>
        </c:scaling>
        <c:delete val="1"/>
        <c:axPos val="b"/>
        <c:majorTickMark val="out"/>
        <c:minorTickMark val="none"/>
        <c:tickLblPos val="nextTo"/>
        <c:crossAx val="256051456"/>
        <c:crosses val="autoZero"/>
        <c:auto val="0"/>
        <c:lblAlgn val="ctr"/>
        <c:lblOffset val="100"/>
        <c:noMultiLvlLbl val="0"/>
      </c:catAx>
      <c:valAx>
        <c:axId val="256051456"/>
        <c:scaling>
          <c:orientation val="minMax"/>
        </c:scaling>
        <c:delete val="0"/>
        <c:axPos val="r"/>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56049920"/>
        <c:crosses val="max"/>
        <c:crossBetween val="between"/>
      </c:valAx>
      <c:spPr>
        <a:noFill/>
        <a:ln w="25400">
          <a:noFill/>
        </a:ln>
      </c:spPr>
    </c:plotArea>
    <c:legend>
      <c:legendPos val="t"/>
      <c:layout>
        <c:manualLayout>
          <c:xMode val="edge"/>
          <c:yMode val="edge"/>
          <c:x val="0.22020244439142075"/>
          <c:y val="1.8315018315018316E-2"/>
          <c:w val="0.58585964633208731"/>
          <c:h val="8.0586465153394279E-2"/>
        </c:manualLayout>
      </c:layout>
      <c:overlay val="0"/>
      <c:spPr>
        <a:noFill/>
        <a:ln w="25400">
          <a:noFill/>
        </a:ln>
      </c:spPr>
      <c:txPr>
        <a:bodyPr/>
        <a:lstStyle/>
        <a:p>
          <a:pPr>
            <a:defRPr sz="16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483881288473106"/>
          <c:y val="0.14598566161336254"/>
          <c:w val="0.80443627578860943"/>
          <c:h val="0.68978225112313796"/>
        </c:manualLayout>
      </c:layout>
      <c:barChart>
        <c:barDir val="col"/>
        <c:grouping val="clustered"/>
        <c:varyColors val="0"/>
        <c:ser>
          <c:idx val="1"/>
          <c:order val="0"/>
          <c:tx>
            <c:strRef>
              <c:f>'Charts - Annual'!$B$105</c:f>
              <c:strCache>
                <c:ptCount val="1"/>
                <c:pt idx="0">
                  <c:v>Cross Connect / Cabinet</c:v>
                </c:pt>
              </c:strCache>
            </c:strRef>
          </c:tx>
          <c:spPr>
            <a:solidFill>
              <a:srgbClr val="EACC80"/>
            </a:solidFill>
            <a:ln w="25400">
              <a:noFill/>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'Charts - Annual'!$O$3:$W$3</c:f>
              <c:strCache>
                <c:ptCount val="9"/>
                <c:pt idx="0">
                  <c:v>2011</c:v>
                </c:pt>
                <c:pt idx="1">
                  <c:v>2012</c:v>
                </c:pt>
                <c:pt idx="2">
                  <c:v>2013</c:v>
                </c:pt>
                <c:pt idx="3">
                  <c:v>2014</c:v>
                </c:pt>
                <c:pt idx="4">
                  <c:v>2015</c:v>
                </c:pt>
                <c:pt idx="5">
                  <c:v>2016</c:v>
                </c:pt>
                <c:pt idx="6">
                  <c:v>2017</c:v>
                </c:pt>
                <c:pt idx="7">
                  <c:v>2018E</c:v>
                </c:pt>
                <c:pt idx="8">
                  <c:v>2019E</c:v>
                </c:pt>
              </c:strCache>
            </c:strRef>
          </c:cat>
          <c:val>
            <c:numRef>
              <c:f>'Charts - Annual'!$O$105:$W$105</c:f>
              <c:numCache>
                <c:formatCode>0.00</c:formatCode>
                <c:ptCount val="9"/>
                <c:pt idx="0">
                  <c:v>1.5712309820193637</c:v>
                </c:pt>
                <c:pt idx="1">
                  <c:v>1.5787451984635084</c:v>
                </c:pt>
                <c:pt idx="2">
                  <c:v>1.6047619047619048</c:v>
                </c:pt>
                <c:pt idx="3">
                  <c:v>1.7139639639639639</c:v>
                </c:pt>
                <c:pt idx="4">
                  <c:v>1.8302083333333334</c:v>
                </c:pt>
                <c:pt idx="5">
                  <c:v>1.9221902017291066</c:v>
                </c:pt>
                <c:pt idx="6">
                  <c:v>1.851963746223565</c:v>
                </c:pt>
                <c:pt idx="7">
                  <c:v>1.7728487435412768</c:v>
                </c:pt>
                <c:pt idx="8">
                  <c:v>1.7882374949019078</c:v>
                </c:pt>
              </c:numCache>
            </c:numRef>
          </c:val>
        </c:ser>
        <c:dLbls>
          <c:showLegendKey val="0"/>
          <c:showVal val="0"/>
          <c:showCatName val="0"/>
          <c:showSerName val="0"/>
          <c:showPercent val="0"/>
          <c:showBubbleSize val="0"/>
        </c:dLbls>
        <c:gapWidth val="150"/>
        <c:axId val="256107264"/>
        <c:axId val="256108800"/>
      </c:barChart>
      <c:lineChart>
        <c:grouping val="standard"/>
        <c:varyColors val="0"/>
        <c:ser>
          <c:idx val="0"/>
          <c:order val="1"/>
          <c:tx>
            <c:strRef>
              <c:f>'Charts - Annual'!$B$106</c:f>
              <c:strCache>
                <c:ptCount val="1"/>
                <c:pt idx="0">
                  <c:v>% Y/Y</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dLbl>
              <c:idx val="1"/>
              <c:layout>
                <c:manualLayout>
                  <c:x val="-6.4180026793363251E-2"/>
                  <c:y val="-5.819877844833353E-2"/>
                </c:manualLayout>
              </c:layout>
              <c:dLblPos val="r"/>
              <c:showLegendKey val="0"/>
              <c:showVal val="1"/>
              <c:showCatName val="0"/>
              <c:showSerName val="0"/>
              <c:showPercent val="0"/>
              <c:showBubbleSize val="0"/>
            </c:dLbl>
            <c:dLbl>
              <c:idx val="2"/>
              <c:layout>
                <c:manualLayout>
                  <c:x val="-5.2755408039857836E-2"/>
                  <c:y val="1.8248207701670318E-2"/>
                </c:manualLayout>
              </c:layout>
              <c:dLblPos val="r"/>
              <c:showLegendKey val="0"/>
              <c:showVal val="1"/>
              <c:showCatName val="0"/>
              <c:showSerName val="0"/>
              <c:showPercent val="0"/>
              <c:showBubbleSize val="0"/>
            </c:dLbl>
            <c:dLbl>
              <c:idx val="4"/>
              <c:layout>
                <c:manualLayout>
                  <c:x val="-5.0067269035897609E-2"/>
                  <c:y val="0.10218996312935377"/>
                </c:manualLayout>
              </c:layout>
              <c:dLblPos val="r"/>
              <c:showLegendKey val="0"/>
              <c:showVal val="1"/>
              <c:showCatName val="0"/>
              <c:showSerName val="0"/>
              <c:showPercent val="0"/>
              <c:showBubbleSize val="0"/>
            </c:dLbl>
            <c:dLbl>
              <c:idx val="6"/>
              <c:layout>
                <c:manualLayout>
                  <c:x val="-5.7459573449917659E-2"/>
                  <c:y val="8.7892909530420116E-2"/>
                </c:manualLayout>
              </c:layout>
              <c:dLblPos val="r"/>
              <c:showLegendKey val="0"/>
              <c:showVal val="1"/>
              <c:showCatName val="0"/>
              <c:showSerName val="0"/>
              <c:showPercent val="0"/>
              <c:showBubbleSize val="0"/>
            </c:dLbl>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b"/>
            <c:showLegendKey val="0"/>
            <c:showVal val="1"/>
            <c:showCatName val="0"/>
            <c:showSerName val="0"/>
            <c:showPercent val="0"/>
            <c:showBubbleSize val="0"/>
            <c:showLeaderLines val="0"/>
          </c:dLbls>
          <c:cat>
            <c:strRef>
              <c:f>'Charts - Annual'!$O$3:$W$3</c:f>
              <c:strCache>
                <c:ptCount val="9"/>
                <c:pt idx="0">
                  <c:v>2011</c:v>
                </c:pt>
                <c:pt idx="1">
                  <c:v>2012</c:v>
                </c:pt>
                <c:pt idx="2">
                  <c:v>2013</c:v>
                </c:pt>
                <c:pt idx="3">
                  <c:v>2014</c:v>
                </c:pt>
                <c:pt idx="4">
                  <c:v>2015</c:v>
                </c:pt>
                <c:pt idx="5">
                  <c:v>2016</c:v>
                </c:pt>
                <c:pt idx="6">
                  <c:v>2017</c:v>
                </c:pt>
                <c:pt idx="7">
                  <c:v>2018E</c:v>
                </c:pt>
                <c:pt idx="8">
                  <c:v>2019E</c:v>
                </c:pt>
              </c:strCache>
            </c:strRef>
          </c:cat>
          <c:val>
            <c:numRef>
              <c:f>'Charts - Annual'!$O$106:$W$106</c:f>
              <c:numCache>
                <c:formatCode>0.0%_);\(0.0%\);"–"_)</c:formatCode>
                <c:ptCount val="9"/>
                <c:pt idx="1">
                  <c:v>4.7823754305602595E-3</c:v>
                </c:pt>
                <c:pt idx="2">
                  <c:v>1.647935735526973E-2</c:v>
                </c:pt>
                <c:pt idx="3">
                  <c:v>6.8048760927099217E-2</c:v>
                </c:pt>
                <c:pt idx="4">
                  <c:v>6.7821944809461243E-2</c:v>
                </c:pt>
                <c:pt idx="5">
                  <c:v>5.0257594570257469E-2</c:v>
                </c:pt>
                <c:pt idx="6">
                  <c:v>-3.6534602789239812E-2</c:v>
                </c:pt>
                <c:pt idx="7">
                  <c:v>-4.271952020854386E-2</c:v>
                </c:pt>
                <c:pt idx="8">
                  <c:v>8.680239313531013E-3</c:v>
                </c:pt>
              </c:numCache>
            </c:numRef>
          </c:val>
          <c:smooth val="0"/>
        </c:ser>
        <c:dLbls>
          <c:showLegendKey val="0"/>
          <c:showVal val="0"/>
          <c:showCatName val="0"/>
          <c:showSerName val="0"/>
          <c:showPercent val="0"/>
          <c:showBubbleSize val="0"/>
        </c:dLbls>
        <c:marker val="1"/>
        <c:smooth val="0"/>
        <c:axId val="257376256"/>
        <c:axId val="257377792"/>
      </c:lineChart>
      <c:catAx>
        <c:axId val="256107264"/>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56108800"/>
        <c:crosses val="autoZero"/>
        <c:auto val="0"/>
        <c:lblAlgn val="ctr"/>
        <c:lblOffset val="100"/>
        <c:tickLblSkip val="1"/>
        <c:tickMarkSkip val="1"/>
        <c:noMultiLvlLbl val="0"/>
      </c:catAx>
      <c:valAx>
        <c:axId val="256108800"/>
        <c:scaling>
          <c:orientation val="minMax"/>
        </c:scaling>
        <c:delete val="0"/>
        <c:axPos val="l"/>
        <c:majorGridlines>
          <c:spPr>
            <a:ln w="3175">
              <a:solidFill>
                <a:srgbClr val="C0C0C0"/>
              </a:solidFill>
              <a:prstDash val="solid"/>
            </a:ln>
          </c:spPr>
        </c:majorGridlines>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56107264"/>
        <c:crosses val="autoZero"/>
        <c:crossBetween val="between"/>
      </c:valAx>
      <c:catAx>
        <c:axId val="257376256"/>
        <c:scaling>
          <c:orientation val="minMax"/>
        </c:scaling>
        <c:delete val="1"/>
        <c:axPos val="b"/>
        <c:majorTickMark val="out"/>
        <c:minorTickMark val="none"/>
        <c:tickLblPos val="nextTo"/>
        <c:crossAx val="257377792"/>
        <c:crosses val="autoZero"/>
        <c:auto val="0"/>
        <c:lblAlgn val="ctr"/>
        <c:lblOffset val="100"/>
        <c:noMultiLvlLbl val="0"/>
      </c:catAx>
      <c:valAx>
        <c:axId val="257377792"/>
        <c:scaling>
          <c:orientation val="minMax"/>
          <c:max val="0.01"/>
        </c:scaling>
        <c:delete val="0"/>
        <c:axPos val="r"/>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57376256"/>
        <c:crosses val="max"/>
        <c:crossBetween val="between"/>
        <c:majorUnit val="2.5000000000000001E-3"/>
      </c:valAx>
      <c:spPr>
        <a:noFill/>
        <a:ln w="25400">
          <a:noFill/>
        </a:ln>
      </c:spPr>
    </c:plotArea>
    <c:legend>
      <c:legendPos val="t"/>
      <c:layout>
        <c:manualLayout>
          <c:xMode val="edge"/>
          <c:yMode val="edge"/>
          <c:x val="0.25604859876386421"/>
          <c:y val="1.824817518248175E-2"/>
          <c:w val="0.51411332655998643"/>
          <c:h val="8.0291970802919721E-2"/>
        </c:manualLayout>
      </c:layout>
      <c:overlay val="0"/>
      <c:spPr>
        <a:noFill/>
        <a:ln w="25400">
          <a:noFill/>
        </a:ln>
      </c:spPr>
      <c:txPr>
        <a:bodyPr/>
        <a:lstStyle/>
        <a:p>
          <a:pPr>
            <a:defRPr sz="16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05071230017421"/>
          <c:y val="0.14652067064685872"/>
          <c:w val="0.78990054825707912"/>
          <c:h val="0.68864715204023597"/>
        </c:manualLayout>
      </c:layout>
      <c:barChart>
        <c:barDir val="col"/>
        <c:grouping val="clustered"/>
        <c:varyColors val="0"/>
        <c:ser>
          <c:idx val="1"/>
          <c:order val="0"/>
          <c:tx>
            <c:strRef>
              <c:f>'Charts - Annual'!$B$171</c:f>
              <c:strCache>
                <c:ptCount val="1"/>
                <c:pt idx="0">
                  <c:v>Cross Connect / Cabinet</c:v>
                </c:pt>
              </c:strCache>
            </c:strRef>
          </c:tx>
          <c:spPr>
            <a:solidFill>
              <a:srgbClr val="EACC80"/>
            </a:solidFill>
            <a:ln w="25400">
              <a:noFill/>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'Charts - Annual'!$O$3:$W$3</c:f>
              <c:strCache>
                <c:ptCount val="9"/>
                <c:pt idx="0">
                  <c:v>2011</c:v>
                </c:pt>
                <c:pt idx="1">
                  <c:v>2012</c:v>
                </c:pt>
                <c:pt idx="2">
                  <c:v>2013</c:v>
                </c:pt>
                <c:pt idx="3">
                  <c:v>2014</c:v>
                </c:pt>
                <c:pt idx="4">
                  <c:v>2015</c:v>
                </c:pt>
                <c:pt idx="5">
                  <c:v>2016</c:v>
                </c:pt>
                <c:pt idx="6">
                  <c:v>2017</c:v>
                </c:pt>
                <c:pt idx="7">
                  <c:v>2018E</c:v>
                </c:pt>
                <c:pt idx="8">
                  <c:v>2019E</c:v>
                </c:pt>
              </c:strCache>
            </c:strRef>
          </c:cat>
          <c:val>
            <c:numRef>
              <c:f>'Charts - Annual'!$O$171:$W$171</c:f>
              <c:numCache>
                <c:formatCode>0.00</c:formatCode>
                <c:ptCount val="9"/>
                <c:pt idx="0">
                  <c:v>0.67643956043956044</c:v>
                </c:pt>
                <c:pt idx="1">
                  <c:v>0.87194525904203324</c:v>
                </c:pt>
                <c:pt idx="2">
                  <c:v>1.0430958663148637</c:v>
                </c:pt>
                <c:pt idx="3">
                  <c:v>1.0222222222222221</c:v>
                </c:pt>
                <c:pt idx="4">
                  <c:v>1.0562091503267974</c:v>
                </c:pt>
                <c:pt idx="5">
                  <c:v>1.2610641471904525</c:v>
                </c:pt>
                <c:pt idx="6">
                  <c:v>1.1029921259842519</c:v>
                </c:pt>
                <c:pt idx="7">
                  <c:v>1.1235677372710662</c:v>
                </c:pt>
                <c:pt idx="8">
                  <c:v>1.1601638443000726</c:v>
                </c:pt>
              </c:numCache>
            </c:numRef>
          </c:val>
        </c:ser>
        <c:dLbls>
          <c:showLegendKey val="0"/>
          <c:showVal val="0"/>
          <c:showCatName val="0"/>
          <c:showSerName val="0"/>
          <c:showPercent val="0"/>
          <c:showBubbleSize val="0"/>
        </c:dLbls>
        <c:gapWidth val="150"/>
        <c:axId val="261054464"/>
        <c:axId val="261056000"/>
      </c:barChart>
      <c:lineChart>
        <c:grouping val="standard"/>
        <c:varyColors val="0"/>
        <c:ser>
          <c:idx val="0"/>
          <c:order val="1"/>
          <c:tx>
            <c:strRef>
              <c:f>'Charts - Annual'!$B$172</c:f>
              <c:strCache>
                <c:ptCount val="1"/>
                <c:pt idx="0">
                  <c:v>% Y/Y</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dLbl>
              <c:idx val="1"/>
              <c:layout>
                <c:manualLayout>
                  <c:x val="-5.9596111203507059E-2"/>
                  <c:y val="-4.4276489401426387E-2"/>
                </c:manualLayout>
              </c:layout>
              <c:dLblPos val="r"/>
              <c:showLegendKey val="0"/>
              <c:showVal val="1"/>
              <c:showCatName val="0"/>
              <c:showSerName val="0"/>
              <c:showPercent val="0"/>
              <c:showBubbleSize val="0"/>
            </c:dLbl>
            <c:dLbl>
              <c:idx val="2"/>
              <c:layout>
                <c:manualLayout>
                  <c:x val="-4.8372712750338526E-2"/>
                  <c:y val="-8.3882181448651991E-2"/>
                </c:manualLayout>
              </c:layout>
              <c:dLblPos val="r"/>
              <c:showLegendKey val="0"/>
              <c:showVal val="1"/>
              <c:showCatName val="0"/>
              <c:showSerName val="0"/>
              <c:showPercent val="0"/>
              <c:showBubbleSize val="0"/>
            </c:dLbl>
            <c:dLbl>
              <c:idx val="3"/>
              <c:layout>
                <c:manualLayout>
                  <c:x val="-6.5432198377986125E-2"/>
                  <c:y val="-9.0519931834818795E-2"/>
                </c:manualLayout>
              </c:layout>
              <c:dLblPos val="r"/>
              <c:showLegendKey val="0"/>
              <c:showVal val="1"/>
              <c:showCatName val="0"/>
              <c:showSerName val="0"/>
              <c:showPercent val="0"/>
              <c:showBubbleSize val="0"/>
            </c:dLbl>
            <c:dLbl>
              <c:idx val="4"/>
              <c:layout>
                <c:manualLayout>
                  <c:x val="-5.2188593919045081E-2"/>
                  <c:y val="-6.4468878818380801E-2"/>
                </c:manualLayout>
              </c:layout>
              <c:dLblPos val="r"/>
              <c:showLegendKey val="0"/>
              <c:showVal val="1"/>
              <c:showCatName val="0"/>
              <c:showSerName val="0"/>
              <c:showPercent val="0"/>
              <c:showBubbleSize val="0"/>
            </c:dLbl>
            <c:dLbl>
              <c:idx val="5"/>
              <c:layout>
                <c:manualLayout>
                  <c:x val="-5.9147049517829765E-2"/>
                  <c:y val="-4.9426614850004331E-3"/>
                </c:manualLayout>
              </c:layout>
              <c:dLblPos val="r"/>
              <c:showLegendKey val="0"/>
              <c:showVal val="1"/>
              <c:showCatName val="0"/>
              <c:showSerName val="0"/>
              <c:showPercent val="0"/>
              <c:showBubbleSize val="0"/>
            </c:dLbl>
            <c:dLbl>
              <c:idx val="6"/>
              <c:layout>
                <c:manualLayout>
                  <c:x val="-6.2065093105069302E-2"/>
                  <c:y val="9.0289022564992494E-2"/>
                </c:manualLayout>
              </c:layout>
              <c:dLblPos val="r"/>
              <c:showLegendKey val="0"/>
              <c:showVal val="1"/>
              <c:showCatName val="0"/>
              <c:showSerName val="0"/>
              <c:showPercent val="0"/>
              <c:showBubbleSize val="0"/>
            </c:dLbl>
            <c:dLbl>
              <c:idx val="7"/>
              <c:layout>
                <c:manualLayout>
                  <c:x val="-4.4781076634583104E-2"/>
                  <c:y val="-5.7672543187297608E-2"/>
                </c:manualLayout>
              </c:layout>
              <c:dLblPos val="r"/>
              <c:showLegendKey val="0"/>
              <c:showVal val="1"/>
              <c:showCatName val="0"/>
              <c:showSerName val="0"/>
              <c:showPercent val="0"/>
              <c:showBubbleSize val="0"/>
            </c:dLbl>
            <c:dLbl>
              <c:idx val="8"/>
              <c:layout>
                <c:manualLayout>
                  <c:x val="-5.1739532233367788E-2"/>
                  <c:y val="-6.6002668872546563E-2"/>
                </c:manualLayout>
              </c:layout>
              <c:dLblPos val="r"/>
              <c:showLegendKey val="0"/>
              <c:showVal val="1"/>
              <c:showCatName val="0"/>
              <c:showSerName val="0"/>
              <c:showPercent val="0"/>
              <c:showBubbleSize val="0"/>
            </c:dLbl>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b"/>
            <c:showLegendKey val="0"/>
            <c:showVal val="1"/>
            <c:showCatName val="0"/>
            <c:showSerName val="0"/>
            <c:showPercent val="0"/>
            <c:showBubbleSize val="0"/>
            <c:showLeaderLines val="0"/>
          </c:dLbls>
          <c:cat>
            <c:strRef>
              <c:f>'Charts - Annual'!$O$3:$W$3</c:f>
              <c:strCache>
                <c:ptCount val="9"/>
                <c:pt idx="0">
                  <c:v>2011</c:v>
                </c:pt>
                <c:pt idx="1">
                  <c:v>2012</c:v>
                </c:pt>
                <c:pt idx="2">
                  <c:v>2013</c:v>
                </c:pt>
                <c:pt idx="3">
                  <c:v>2014</c:v>
                </c:pt>
                <c:pt idx="4">
                  <c:v>2015</c:v>
                </c:pt>
                <c:pt idx="5">
                  <c:v>2016</c:v>
                </c:pt>
                <c:pt idx="6">
                  <c:v>2017</c:v>
                </c:pt>
                <c:pt idx="7">
                  <c:v>2018E</c:v>
                </c:pt>
                <c:pt idx="8">
                  <c:v>2019E</c:v>
                </c:pt>
              </c:strCache>
            </c:strRef>
          </c:cat>
          <c:val>
            <c:numRef>
              <c:f>'Charts - Annual'!$O$172:$W$172</c:f>
              <c:numCache>
                <c:formatCode>0.0%_);\(0.0%\);"–"_)</c:formatCode>
                <c:ptCount val="9"/>
                <c:pt idx="1">
                  <c:v>0.28902168062942724</c:v>
                </c:pt>
                <c:pt idx="2">
                  <c:v>0.19628595430505102</c:v>
                </c:pt>
                <c:pt idx="3">
                  <c:v>-2.0011242270938867E-2</c:v>
                </c:pt>
                <c:pt idx="4">
                  <c:v>3.3248081841432242E-2</c:v>
                </c:pt>
                <c:pt idx="5">
                  <c:v>0.19395306014937641</c:v>
                </c:pt>
                <c:pt idx="6">
                  <c:v>-0.12534812091706204</c:v>
                </c:pt>
                <c:pt idx="7">
                  <c:v>1.8654359176366375E-2</c:v>
                </c:pt>
                <c:pt idx="8">
                  <c:v>3.2571340218340072E-2</c:v>
                </c:pt>
              </c:numCache>
            </c:numRef>
          </c:val>
          <c:smooth val="0"/>
        </c:ser>
        <c:dLbls>
          <c:showLegendKey val="0"/>
          <c:showVal val="0"/>
          <c:showCatName val="0"/>
          <c:showSerName val="0"/>
          <c:showPercent val="0"/>
          <c:showBubbleSize val="0"/>
        </c:dLbls>
        <c:marker val="1"/>
        <c:smooth val="0"/>
        <c:axId val="261057536"/>
        <c:axId val="261063424"/>
      </c:lineChart>
      <c:catAx>
        <c:axId val="261054464"/>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61056000"/>
        <c:crosses val="autoZero"/>
        <c:auto val="0"/>
        <c:lblAlgn val="ctr"/>
        <c:lblOffset val="100"/>
        <c:tickLblSkip val="1"/>
        <c:tickMarkSkip val="1"/>
        <c:noMultiLvlLbl val="0"/>
      </c:catAx>
      <c:valAx>
        <c:axId val="261056000"/>
        <c:scaling>
          <c:orientation val="minMax"/>
        </c:scaling>
        <c:delete val="0"/>
        <c:axPos val="l"/>
        <c:majorGridlines>
          <c:spPr>
            <a:ln w="3175">
              <a:solidFill>
                <a:srgbClr val="C0C0C0"/>
              </a:solidFill>
              <a:prstDash val="solid"/>
            </a:ln>
          </c:spPr>
        </c:majorGridlines>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61054464"/>
        <c:crosses val="autoZero"/>
        <c:crossBetween val="between"/>
      </c:valAx>
      <c:catAx>
        <c:axId val="261057536"/>
        <c:scaling>
          <c:orientation val="minMax"/>
        </c:scaling>
        <c:delete val="1"/>
        <c:axPos val="b"/>
        <c:majorTickMark val="out"/>
        <c:minorTickMark val="none"/>
        <c:tickLblPos val="nextTo"/>
        <c:crossAx val="261063424"/>
        <c:crosses val="autoZero"/>
        <c:auto val="0"/>
        <c:lblAlgn val="ctr"/>
        <c:lblOffset val="100"/>
        <c:noMultiLvlLbl val="0"/>
      </c:catAx>
      <c:valAx>
        <c:axId val="261063424"/>
        <c:scaling>
          <c:orientation val="minMax"/>
        </c:scaling>
        <c:delete val="0"/>
        <c:axPos val="r"/>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61057536"/>
        <c:crosses val="max"/>
        <c:crossBetween val="between"/>
      </c:valAx>
      <c:spPr>
        <a:noFill/>
        <a:ln w="25400">
          <a:noFill/>
        </a:ln>
      </c:spPr>
    </c:plotArea>
    <c:legend>
      <c:legendPos val="t"/>
      <c:layout>
        <c:manualLayout>
          <c:xMode val="edge"/>
          <c:yMode val="edge"/>
          <c:x val="0.2343438585328349"/>
          <c:y val="1.8315018315018316E-2"/>
          <c:w val="0.5151525756250166"/>
          <c:h val="8.0586465153394279E-2"/>
        </c:manualLayout>
      </c:layout>
      <c:overlay val="0"/>
      <c:spPr>
        <a:noFill/>
        <a:ln w="25400">
          <a:noFill/>
        </a:ln>
      </c:spPr>
      <c:txPr>
        <a:bodyPr/>
        <a:lstStyle/>
        <a:p>
          <a:pPr>
            <a:defRPr sz="16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26315789473684"/>
          <c:y val="0.14705882352941177"/>
          <c:w val="0.75708502024291502"/>
          <c:h val="0.6875"/>
        </c:manualLayout>
      </c:layout>
      <c:barChart>
        <c:barDir val="col"/>
        <c:grouping val="clustered"/>
        <c:varyColors val="0"/>
        <c:ser>
          <c:idx val="1"/>
          <c:order val="0"/>
          <c:tx>
            <c:strRef>
              <c:f>'Charts - Annual'!$B$237</c:f>
              <c:strCache>
                <c:ptCount val="1"/>
                <c:pt idx="0">
                  <c:v>Cross Connect / Cabinet</c:v>
                </c:pt>
              </c:strCache>
            </c:strRef>
          </c:tx>
          <c:spPr>
            <a:solidFill>
              <a:srgbClr val="EACC80"/>
            </a:solidFill>
            <a:ln w="25400">
              <a:noFill/>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'Charts - Annual'!$O$3:$W$3</c:f>
              <c:strCache>
                <c:ptCount val="9"/>
                <c:pt idx="0">
                  <c:v>2011</c:v>
                </c:pt>
                <c:pt idx="1">
                  <c:v>2012</c:v>
                </c:pt>
                <c:pt idx="2">
                  <c:v>2013</c:v>
                </c:pt>
                <c:pt idx="3">
                  <c:v>2014</c:v>
                </c:pt>
                <c:pt idx="4">
                  <c:v>2015</c:v>
                </c:pt>
                <c:pt idx="5">
                  <c:v>2016</c:v>
                </c:pt>
                <c:pt idx="6">
                  <c:v>2017</c:v>
                </c:pt>
                <c:pt idx="7">
                  <c:v>2018E</c:v>
                </c:pt>
                <c:pt idx="8">
                  <c:v>2019E</c:v>
                </c:pt>
              </c:strCache>
            </c:strRef>
          </c:cat>
          <c:val>
            <c:numRef>
              <c:f>'Charts - Annual'!$O$237:$W$237</c:f>
              <c:numCache>
                <c:formatCode>0.00</c:formatCode>
                <c:ptCount val="9"/>
                <c:pt idx="0">
                  <c:v>1.821027027027027</c:v>
                </c:pt>
                <c:pt idx="1">
                  <c:v>1.6376706827309238</c:v>
                </c:pt>
                <c:pt idx="2">
                  <c:v>1.5631067961165048</c:v>
                </c:pt>
                <c:pt idx="3">
                  <c:v>1.5174418604651163</c:v>
                </c:pt>
                <c:pt idx="4">
                  <c:v>1.4656862745098038</c:v>
                </c:pt>
                <c:pt idx="5">
                  <c:v>1.4354527938342967</c:v>
                </c:pt>
                <c:pt idx="6">
                  <c:v>1.4077046548956662</c:v>
                </c:pt>
                <c:pt idx="7">
                  <c:v>1.4060390038037032</c:v>
                </c:pt>
                <c:pt idx="8">
                  <c:v>1.3965759679818437</c:v>
                </c:pt>
              </c:numCache>
            </c:numRef>
          </c:val>
        </c:ser>
        <c:dLbls>
          <c:showLegendKey val="0"/>
          <c:showVal val="0"/>
          <c:showCatName val="0"/>
          <c:showSerName val="0"/>
          <c:showPercent val="0"/>
          <c:showBubbleSize val="0"/>
        </c:dLbls>
        <c:gapWidth val="150"/>
        <c:axId val="318389248"/>
        <c:axId val="318407424"/>
      </c:barChart>
      <c:lineChart>
        <c:grouping val="standard"/>
        <c:varyColors val="0"/>
        <c:ser>
          <c:idx val="0"/>
          <c:order val="1"/>
          <c:tx>
            <c:strRef>
              <c:f>'Charts - Annual'!$B$238</c:f>
              <c:strCache>
                <c:ptCount val="1"/>
                <c:pt idx="0">
                  <c:v>% Y/Y</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dLbl>
              <c:idx val="1"/>
              <c:layout>
                <c:manualLayout>
                  <c:x val="-5.6005398110661277E-2"/>
                  <c:y val="-6.4311795584375525E-2"/>
                </c:manualLayout>
              </c:layout>
              <c:dLblPos val="r"/>
              <c:showLegendKey val="0"/>
              <c:showVal val="1"/>
              <c:showCatName val="0"/>
              <c:showSerName val="0"/>
              <c:showPercent val="0"/>
              <c:showBubbleSize val="0"/>
            </c:dLbl>
            <c:dLbl>
              <c:idx val="2"/>
              <c:layout>
                <c:manualLayout>
                  <c:x val="-5.1057200845845668E-2"/>
                  <c:y val="-6.5108460707117496E-2"/>
                </c:manualLayout>
              </c:layout>
              <c:dLblPos val="r"/>
              <c:showLegendKey val="0"/>
              <c:showVal val="1"/>
              <c:showCatName val="0"/>
              <c:showSerName val="0"/>
              <c:showPercent val="0"/>
              <c:showBubbleSize val="0"/>
            </c:dLbl>
            <c:dLbl>
              <c:idx val="3"/>
              <c:layout>
                <c:manualLayout>
                  <c:x val="-6.8375997534721122E-2"/>
                  <c:y val="3.4956770109618659E-2"/>
                </c:manualLayout>
              </c:layout>
              <c:dLblPos val="r"/>
              <c:showLegendKey val="0"/>
              <c:showVal val="1"/>
              <c:showCatName val="0"/>
              <c:showSerName val="0"/>
              <c:showPercent val="0"/>
              <c:showBubbleSize val="0"/>
            </c:dLbl>
            <c:dLbl>
              <c:idx val="4"/>
              <c:layout>
                <c:manualLayout>
                  <c:x val="-5.7354925775978415E-2"/>
                  <c:y val="4.2103211363285466E-2"/>
                </c:manualLayout>
              </c:layout>
              <c:dLblPos val="r"/>
              <c:showLegendKey val="0"/>
              <c:showVal val="1"/>
              <c:showCatName val="0"/>
              <c:showSerName val="0"/>
              <c:showPercent val="0"/>
              <c:showBubbleSize val="0"/>
            </c:dLbl>
            <c:dLbl>
              <c:idx val="5"/>
              <c:layout>
                <c:manualLayout>
                  <c:x val="-6.0503894503065571E-2"/>
                  <c:y val="5.2891384900416824E-2"/>
                </c:manualLayout>
              </c:layout>
              <c:dLblPos val="r"/>
              <c:showLegendKey val="0"/>
              <c:showVal val="1"/>
              <c:showCatName val="0"/>
              <c:showSerName val="0"/>
              <c:showPercent val="0"/>
              <c:showBubbleSize val="0"/>
            </c:dLbl>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b"/>
            <c:showLegendKey val="0"/>
            <c:showVal val="1"/>
            <c:showCatName val="0"/>
            <c:showSerName val="0"/>
            <c:showPercent val="0"/>
            <c:showBubbleSize val="0"/>
            <c:showLeaderLines val="0"/>
          </c:dLbls>
          <c:cat>
            <c:strRef>
              <c:f>'Charts - Annual'!$O$3:$W$3</c:f>
              <c:strCache>
                <c:ptCount val="9"/>
                <c:pt idx="0">
                  <c:v>2011</c:v>
                </c:pt>
                <c:pt idx="1">
                  <c:v>2012</c:v>
                </c:pt>
                <c:pt idx="2">
                  <c:v>2013</c:v>
                </c:pt>
                <c:pt idx="3">
                  <c:v>2014</c:v>
                </c:pt>
                <c:pt idx="4">
                  <c:v>2015</c:v>
                </c:pt>
                <c:pt idx="5">
                  <c:v>2016</c:v>
                </c:pt>
                <c:pt idx="6">
                  <c:v>2017</c:v>
                </c:pt>
                <c:pt idx="7">
                  <c:v>2018E</c:v>
                </c:pt>
                <c:pt idx="8">
                  <c:v>2019E</c:v>
                </c:pt>
              </c:strCache>
            </c:strRef>
          </c:cat>
          <c:val>
            <c:numRef>
              <c:f>'Charts - Annual'!$O$238:$W$238</c:f>
              <c:numCache>
                <c:formatCode>0.0%_);\(0.0%\);"–"_)</c:formatCode>
                <c:ptCount val="9"/>
                <c:pt idx="1">
                  <c:v>-0.10068842558336277</c:v>
                </c:pt>
                <c:pt idx="2">
                  <c:v>-4.5530452123670351E-2</c:v>
                </c:pt>
                <c:pt idx="3">
                  <c:v>-2.9214213491260965E-2</c:v>
                </c:pt>
                <c:pt idx="4">
                  <c:v>-3.4107129441815154E-2</c:v>
                </c:pt>
                <c:pt idx="5">
                  <c:v>-2.0627525276934677E-2</c:v>
                </c:pt>
                <c:pt idx="6">
                  <c:v>-1.9330582696844623E-2</c:v>
                </c:pt>
                <c:pt idx="7">
                  <c:v>-1.1832390311208307E-3</c:v>
                </c:pt>
                <c:pt idx="8">
                  <c:v>-6.7302797406469939E-3</c:v>
                </c:pt>
              </c:numCache>
            </c:numRef>
          </c:val>
          <c:smooth val="0"/>
        </c:ser>
        <c:dLbls>
          <c:showLegendKey val="0"/>
          <c:showVal val="0"/>
          <c:showCatName val="0"/>
          <c:showSerName val="0"/>
          <c:showPercent val="0"/>
          <c:showBubbleSize val="0"/>
        </c:dLbls>
        <c:marker val="1"/>
        <c:smooth val="0"/>
        <c:axId val="318408960"/>
        <c:axId val="318418944"/>
      </c:lineChart>
      <c:catAx>
        <c:axId val="318389248"/>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8407424"/>
        <c:crosses val="autoZero"/>
        <c:auto val="0"/>
        <c:lblAlgn val="ctr"/>
        <c:lblOffset val="100"/>
        <c:tickLblSkip val="1"/>
        <c:tickMarkSkip val="1"/>
        <c:noMultiLvlLbl val="0"/>
      </c:catAx>
      <c:valAx>
        <c:axId val="318407424"/>
        <c:scaling>
          <c:orientation val="minMax"/>
        </c:scaling>
        <c:delete val="0"/>
        <c:axPos val="l"/>
        <c:majorGridlines>
          <c:spPr>
            <a:ln w="3175">
              <a:solidFill>
                <a:srgbClr val="C0C0C0"/>
              </a:solidFill>
              <a:prstDash val="solid"/>
            </a:ln>
          </c:spPr>
        </c:majorGridlines>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8389248"/>
        <c:crosses val="autoZero"/>
        <c:crossBetween val="between"/>
      </c:valAx>
      <c:catAx>
        <c:axId val="318408960"/>
        <c:scaling>
          <c:orientation val="minMax"/>
        </c:scaling>
        <c:delete val="1"/>
        <c:axPos val="b"/>
        <c:majorTickMark val="out"/>
        <c:minorTickMark val="none"/>
        <c:tickLblPos val="nextTo"/>
        <c:crossAx val="318418944"/>
        <c:crosses val="autoZero"/>
        <c:auto val="0"/>
        <c:lblAlgn val="ctr"/>
        <c:lblOffset val="100"/>
        <c:noMultiLvlLbl val="0"/>
      </c:catAx>
      <c:valAx>
        <c:axId val="318418944"/>
        <c:scaling>
          <c:orientation val="minMax"/>
          <c:max val="0.01"/>
        </c:scaling>
        <c:delete val="0"/>
        <c:axPos val="r"/>
        <c:numFmt formatCode="0.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8408960"/>
        <c:crosses val="max"/>
        <c:crossBetween val="between"/>
        <c:majorUnit val="2.5000000000000001E-3"/>
      </c:valAx>
      <c:spPr>
        <a:noFill/>
        <a:ln w="25400">
          <a:noFill/>
        </a:ln>
      </c:spPr>
    </c:plotArea>
    <c:legend>
      <c:legendPos val="t"/>
      <c:layout>
        <c:manualLayout>
          <c:xMode val="edge"/>
          <c:yMode val="edge"/>
          <c:x val="0.23684210526315788"/>
          <c:y val="1.8382352941176471E-2"/>
          <c:w val="0.51619433198380571"/>
          <c:h val="8.0882352941176461E-2"/>
        </c:manualLayout>
      </c:layout>
      <c:overlay val="0"/>
      <c:spPr>
        <a:noFill/>
        <a:ln w="25400">
          <a:noFill/>
        </a:ln>
      </c:spPr>
      <c:txPr>
        <a:bodyPr/>
        <a:lstStyle/>
        <a:p>
          <a:pPr>
            <a:defRPr sz="16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72379105490792"/>
          <c:y val="0.14869888475836432"/>
          <c:w val="0.79878207329393991"/>
          <c:h val="0.68401486988847582"/>
        </c:manualLayout>
      </c:layout>
      <c:barChart>
        <c:barDir val="col"/>
        <c:grouping val="clustered"/>
        <c:varyColors val="0"/>
        <c:ser>
          <c:idx val="1"/>
          <c:order val="0"/>
          <c:tx>
            <c:strRef>
              <c:f>'Charts - Annual'!$B$305</c:f>
              <c:strCache>
                <c:ptCount val="1"/>
                <c:pt idx="0">
                  <c:v>Cross Connect / Cabinet</c:v>
                </c:pt>
              </c:strCache>
            </c:strRef>
          </c:tx>
          <c:spPr>
            <a:solidFill>
              <a:srgbClr val="EACC80"/>
            </a:solidFill>
            <a:ln w="25400">
              <a:noFill/>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'Charts - Annual'!$O$3:$W$3</c:f>
              <c:strCache>
                <c:ptCount val="9"/>
                <c:pt idx="0">
                  <c:v>2011</c:v>
                </c:pt>
                <c:pt idx="1">
                  <c:v>2012</c:v>
                </c:pt>
                <c:pt idx="2">
                  <c:v>2013</c:v>
                </c:pt>
                <c:pt idx="3">
                  <c:v>2014</c:v>
                </c:pt>
                <c:pt idx="4">
                  <c:v>2015</c:v>
                </c:pt>
                <c:pt idx="5">
                  <c:v>2016</c:v>
                </c:pt>
                <c:pt idx="6">
                  <c:v>2017</c:v>
                </c:pt>
                <c:pt idx="7">
                  <c:v>2018E</c:v>
                </c:pt>
                <c:pt idx="8">
                  <c:v>2019E</c:v>
                </c:pt>
              </c:strCache>
            </c:strRef>
          </c:cat>
          <c:val>
            <c:numRef>
              <c:f>'Charts - Annual'!$O$305:$W$305</c:f>
              <c:numCache>
                <c:formatCode>0.00</c:formatCode>
                <c:ptCount val="9"/>
                <c:pt idx="0">
                  <c:v>1.3064343360234776</c:v>
                </c:pt>
                <c:pt idx="1">
                  <c:v>1.3515414507772021</c:v>
                </c:pt>
                <c:pt idx="2">
                  <c:v>1.4167153711279954</c:v>
                </c:pt>
                <c:pt idx="3">
                  <c:v>1.4565796483750666</c:v>
                </c:pt>
                <c:pt idx="4">
                  <c:v>1.4898728214790391</c:v>
                </c:pt>
                <c:pt idx="5">
                  <c:v>1.4806344522316488</c:v>
                </c:pt>
                <c:pt idx="6">
                  <c:v>1.4411347517730497</c:v>
                </c:pt>
                <c:pt idx="7">
                  <c:v>1.4362133057683006</c:v>
                </c:pt>
                <c:pt idx="8">
                  <c:v>1.4530178819795565</c:v>
                </c:pt>
              </c:numCache>
            </c:numRef>
          </c:val>
        </c:ser>
        <c:dLbls>
          <c:showLegendKey val="0"/>
          <c:showVal val="0"/>
          <c:showCatName val="0"/>
          <c:showSerName val="0"/>
          <c:showPercent val="0"/>
          <c:showBubbleSize val="0"/>
        </c:dLbls>
        <c:gapWidth val="150"/>
        <c:axId val="319695104"/>
        <c:axId val="319709184"/>
      </c:barChart>
      <c:lineChart>
        <c:grouping val="standard"/>
        <c:varyColors val="0"/>
        <c:ser>
          <c:idx val="0"/>
          <c:order val="1"/>
          <c:tx>
            <c:strRef>
              <c:f>'Charts - Annual'!$B$306</c:f>
              <c:strCache>
                <c:ptCount val="1"/>
                <c:pt idx="0">
                  <c:v>% Y/Y</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dLbl>
              <c:idx val="1"/>
              <c:layout>
                <c:manualLayout>
                  <c:x val="-8.2994770498219517E-2"/>
                  <c:y val="-8.7178136190225256E-2"/>
                </c:manualLayout>
              </c:layout>
              <c:dLblPos val="r"/>
              <c:showLegendKey val="0"/>
              <c:showVal val="1"/>
              <c:showCatName val="0"/>
              <c:showSerName val="0"/>
              <c:showPercent val="0"/>
              <c:showBubbleSize val="0"/>
            </c:dLbl>
            <c:dLbl>
              <c:idx val="2"/>
              <c:layout>
                <c:manualLayout>
                  <c:x val="-5.1829220820027541E-2"/>
                  <c:y val="-3.8858023787918701E-2"/>
                </c:manualLayout>
              </c:layout>
              <c:dLblPos val="r"/>
              <c:showLegendKey val="0"/>
              <c:showVal val="1"/>
              <c:showCatName val="0"/>
              <c:showSerName val="0"/>
              <c:showPercent val="0"/>
              <c:showBubbleSize val="0"/>
            </c:dLbl>
            <c:dLbl>
              <c:idx val="3"/>
              <c:layout>
                <c:manualLayout>
                  <c:x val="-6.1314371720327547E-2"/>
                  <c:y val="5.7394647230434519E-2"/>
                </c:manualLayout>
              </c:layout>
              <c:dLblPos val="r"/>
              <c:showLegendKey val="0"/>
              <c:showVal val="1"/>
              <c:showCatName val="0"/>
              <c:showSerName val="0"/>
              <c:showPercent val="0"/>
              <c:showBubbleSize val="0"/>
            </c:dLbl>
            <c:dLbl>
              <c:idx val="4"/>
              <c:layout>
                <c:manualLayout>
                  <c:x val="-6.6734473901574332E-2"/>
                  <c:y val="0.19321253988232881"/>
                </c:manualLayout>
              </c:layout>
              <c:dLblPos val="r"/>
              <c:showLegendKey val="0"/>
              <c:showVal val="1"/>
              <c:showCatName val="0"/>
              <c:showSerName val="0"/>
              <c:showPercent val="0"/>
              <c:showBubbleSize val="0"/>
            </c:dLbl>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b"/>
            <c:showLegendKey val="0"/>
            <c:showVal val="1"/>
            <c:showCatName val="0"/>
            <c:showSerName val="0"/>
            <c:showPercent val="0"/>
            <c:showBubbleSize val="0"/>
            <c:showLeaderLines val="0"/>
          </c:dLbls>
          <c:cat>
            <c:strRef>
              <c:f>'Charts - Annual'!$O$3:$W$3</c:f>
              <c:strCache>
                <c:ptCount val="9"/>
                <c:pt idx="0">
                  <c:v>2011</c:v>
                </c:pt>
                <c:pt idx="1">
                  <c:v>2012</c:v>
                </c:pt>
                <c:pt idx="2">
                  <c:v>2013</c:v>
                </c:pt>
                <c:pt idx="3">
                  <c:v>2014</c:v>
                </c:pt>
                <c:pt idx="4">
                  <c:v>2015</c:v>
                </c:pt>
                <c:pt idx="5">
                  <c:v>2016</c:v>
                </c:pt>
                <c:pt idx="6">
                  <c:v>2017</c:v>
                </c:pt>
                <c:pt idx="7">
                  <c:v>2018E</c:v>
                </c:pt>
                <c:pt idx="8">
                  <c:v>2019E</c:v>
                </c:pt>
              </c:strCache>
            </c:strRef>
          </c:cat>
          <c:val>
            <c:numRef>
              <c:f>'Charts - Annual'!$O$306:$W$306</c:f>
              <c:numCache>
                <c:formatCode>0.0%_);\(0.0%\);"–"_)</c:formatCode>
                <c:ptCount val="9"/>
                <c:pt idx="1">
                  <c:v>3.4526890108401043E-2</c:v>
                </c:pt>
                <c:pt idx="2">
                  <c:v>4.8221917510051338E-2</c:v>
                </c:pt>
                <c:pt idx="3">
                  <c:v>2.8138522429760338E-2</c:v>
                </c:pt>
                <c:pt idx="4">
                  <c:v>2.2857090678916059E-2</c:v>
                </c:pt>
                <c:pt idx="5">
                  <c:v>-6.2007770825828201E-3</c:v>
                </c:pt>
                <c:pt idx="6">
                  <c:v>-2.6677550558859564E-2</c:v>
                </c:pt>
                <c:pt idx="7">
                  <c:v>-3.4149797572323726E-3</c:v>
                </c:pt>
                <c:pt idx="8">
                  <c:v>1.1700613094004275E-2</c:v>
                </c:pt>
              </c:numCache>
            </c:numRef>
          </c:val>
          <c:smooth val="0"/>
        </c:ser>
        <c:dLbls>
          <c:showLegendKey val="0"/>
          <c:showVal val="0"/>
          <c:showCatName val="0"/>
          <c:showSerName val="0"/>
          <c:showPercent val="0"/>
          <c:showBubbleSize val="0"/>
        </c:dLbls>
        <c:marker val="1"/>
        <c:smooth val="0"/>
        <c:axId val="319710720"/>
        <c:axId val="319712256"/>
      </c:lineChart>
      <c:catAx>
        <c:axId val="319695104"/>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9709184"/>
        <c:crosses val="autoZero"/>
        <c:auto val="0"/>
        <c:lblAlgn val="ctr"/>
        <c:lblOffset val="100"/>
        <c:tickLblSkip val="1"/>
        <c:tickMarkSkip val="1"/>
        <c:noMultiLvlLbl val="0"/>
      </c:catAx>
      <c:valAx>
        <c:axId val="319709184"/>
        <c:scaling>
          <c:orientation val="minMax"/>
        </c:scaling>
        <c:delete val="0"/>
        <c:axPos val="l"/>
        <c:majorGridlines>
          <c:spPr>
            <a:ln w="3175">
              <a:solidFill>
                <a:srgbClr val="C0C0C0"/>
              </a:solidFill>
              <a:prstDash val="solid"/>
            </a:ln>
          </c:spPr>
        </c:majorGridlines>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9695104"/>
        <c:crosses val="autoZero"/>
        <c:crossBetween val="between"/>
      </c:valAx>
      <c:catAx>
        <c:axId val="319710720"/>
        <c:scaling>
          <c:orientation val="minMax"/>
        </c:scaling>
        <c:delete val="1"/>
        <c:axPos val="b"/>
        <c:majorTickMark val="out"/>
        <c:minorTickMark val="none"/>
        <c:tickLblPos val="nextTo"/>
        <c:crossAx val="319712256"/>
        <c:crosses val="autoZero"/>
        <c:auto val="0"/>
        <c:lblAlgn val="ctr"/>
        <c:lblOffset val="100"/>
        <c:noMultiLvlLbl val="0"/>
      </c:catAx>
      <c:valAx>
        <c:axId val="319712256"/>
        <c:scaling>
          <c:orientation val="minMax"/>
        </c:scaling>
        <c:delete val="0"/>
        <c:axPos val="r"/>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9710720"/>
        <c:crosses val="max"/>
        <c:crossBetween val="between"/>
      </c:valAx>
      <c:spPr>
        <a:noFill/>
        <a:ln w="25400">
          <a:noFill/>
        </a:ln>
      </c:spPr>
    </c:plotArea>
    <c:legend>
      <c:legendPos val="t"/>
      <c:layout>
        <c:manualLayout>
          <c:xMode val="edge"/>
          <c:yMode val="edge"/>
          <c:x val="0.24187034547510827"/>
          <c:y val="1.858736059479554E-2"/>
          <c:w val="0.51829374986663246"/>
          <c:h val="8.1784386617100371E-2"/>
        </c:manualLayout>
      </c:layout>
      <c:overlay val="0"/>
      <c:spPr>
        <a:noFill/>
        <a:ln w="25400">
          <a:noFill/>
        </a:ln>
      </c:spPr>
      <c:txPr>
        <a:bodyPr/>
        <a:lstStyle/>
        <a:p>
          <a:pPr>
            <a:defRPr sz="16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CAPITAL EXPENDITURES</a:t>
            </a:r>
          </a:p>
        </c:rich>
      </c:tx>
      <c:layout>
        <c:manualLayout>
          <c:xMode val="edge"/>
          <c:yMode val="edge"/>
          <c:x val="2.5672641983581837E-3"/>
          <c:y val="0"/>
        </c:manualLayout>
      </c:layout>
      <c:overlay val="1"/>
    </c:title>
    <c:autoTitleDeleted val="0"/>
    <c:plotArea>
      <c:layout>
        <c:manualLayout>
          <c:layoutTarget val="inner"/>
          <c:xMode val="edge"/>
          <c:yMode val="edge"/>
          <c:x val="0.14893617021276595"/>
          <c:y val="0.13205954441164264"/>
          <c:w val="0.71702127659574466"/>
          <c:h val="0.69876745260487216"/>
        </c:manualLayout>
      </c:layout>
      <c:barChart>
        <c:barDir val="col"/>
        <c:grouping val="clustered"/>
        <c:varyColors val="0"/>
        <c:ser>
          <c:idx val="1"/>
          <c:order val="0"/>
          <c:tx>
            <c:strRef>
              <c:f>'Charts - Annual'!$B$9</c:f>
              <c:strCache>
                <c:ptCount val="1"/>
                <c:pt idx="0">
                  <c:v>Capex</c:v>
                </c:pt>
              </c:strCache>
            </c:strRef>
          </c:tx>
          <c:spPr>
            <a:solidFill>
              <a:srgbClr val="EACC80"/>
            </a:solidFill>
            <a:ln w="25400">
              <a:noFill/>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inBase"/>
            <c:showLegendKey val="0"/>
            <c:showVal val="1"/>
            <c:showCatName val="0"/>
            <c:showSerName val="0"/>
            <c:showPercent val="0"/>
            <c:showBubbleSize val="0"/>
            <c:showLeaderLines val="0"/>
          </c:dLbls>
          <c:cat>
            <c:strRef>
              <c:f>'Charts - Annual'!$Q$3:$V$3</c:f>
              <c:strCache>
                <c:ptCount val="6"/>
                <c:pt idx="0">
                  <c:v>2013</c:v>
                </c:pt>
                <c:pt idx="1">
                  <c:v>2014</c:v>
                </c:pt>
                <c:pt idx="2">
                  <c:v>2015</c:v>
                </c:pt>
                <c:pt idx="3">
                  <c:v>2016</c:v>
                </c:pt>
                <c:pt idx="4">
                  <c:v>2017</c:v>
                </c:pt>
                <c:pt idx="5">
                  <c:v>2018E</c:v>
                </c:pt>
              </c:strCache>
            </c:strRef>
          </c:cat>
          <c:val>
            <c:numRef>
              <c:f>'Charts - Annual'!$Q$9:$V$9</c:f>
              <c:numCache>
                <c:formatCode>"$"#,##0_);\("$"#,##0\)</c:formatCode>
                <c:ptCount val="6"/>
                <c:pt idx="0">
                  <c:v>572.40599999999995</c:v>
                </c:pt>
                <c:pt idx="1">
                  <c:v>660.20399999999995</c:v>
                </c:pt>
                <c:pt idx="2">
                  <c:v>873.80399999999997</c:v>
                </c:pt>
                <c:pt idx="3">
                  <c:v>1113.365</c:v>
                </c:pt>
                <c:pt idx="4">
                  <c:v>1378.7249999999999</c:v>
                </c:pt>
                <c:pt idx="5">
                  <c:v>1935.5663438236477</c:v>
                </c:pt>
              </c:numCache>
            </c:numRef>
          </c:val>
        </c:ser>
        <c:dLbls>
          <c:showLegendKey val="0"/>
          <c:showVal val="0"/>
          <c:showCatName val="0"/>
          <c:showSerName val="0"/>
          <c:showPercent val="0"/>
          <c:showBubbleSize val="0"/>
        </c:dLbls>
        <c:gapWidth val="150"/>
        <c:axId val="319776640"/>
        <c:axId val="319778176"/>
      </c:barChart>
      <c:lineChart>
        <c:grouping val="standard"/>
        <c:varyColors val="0"/>
        <c:ser>
          <c:idx val="0"/>
          <c:order val="1"/>
          <c:tx>
            <c:strRef>
              <c:f>'Charts - Annual'!$B$10</c:f>
              <c:strCache>
                <c:ptCount val="1"/>
                <c:pt idx="0">
                  <c:v>% Capex / Sales</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'Charts - Annual'!$Q$3:$V$3</c:f>
              <c:strCache>
                <c:ptCount val="6"/>
                <c:pt idx="0">
                  <c:v>2013</c:v>
                </c:pt>
                <c:pt idx="1">
                  <c:v>2014</c:v>
                </c:pt>
                <c:pt idx="2">
                  <c:v>2015</c:v>
                </c:pt>
                <c:pt idx="3">
                  <c:v>2016</c:v>
                </c:pt>
                <c:pt idx="4">
                  <c:v>2017</c:v>
                </c:pt>
                <c:pt idx="5">
                  <c:v>2018E</c:v>
                </c:pt>
              </c:strCache>
            </c:strRef>
          </c:cat>
          <c:val>
            <c:numRef>
              <c:f>'Charts - Annual'!$Q$10:$V$10</c:f>
              <c:numCache>
                <c:formatCode>0.0%</c:formatCode>
                <c:ptCount val="6"/>
                <c:pt idx="0">
                  <c:v>0.26589327404836377</c:v>
                </c:pt>
                <c:pt idx="1">
                  <c:v>0.27015744084459498</c:v>
                </c:pt>
                <c:pt idx="2">
                  <c:v>0.32056002732341671</c:v>
                </c:pt>
                <c:pt idx="3">
                  <c:v>0.3082415256524868</c:v>
                </c:pt>
                <c:pt idx="4">
                  <c:v>0.31561124505199578</c:v>
                </c:pt>
                <c:pt idx="5">
                  <c:v>0.38410506577766645</c:v>
                </c:pt>
              </c:numCache>
            </c:numRef>
          </c:val>
          <c:smooth val="0"/>
        </c:ser>
        <c:dLbls>
          <c:showLegendKey val="0"/>
          <c:showVal val="0"/>
          <c:showCatName val="0"/>
          <c:showSerName val="0"/>
          <c:showPercent val="0"/>
          <c:showBubbleSize val="0"/>
        </c:dLbls>
        <c:marker val="1"/>
        <c:smooth val="0"/>
        <c:axId val="319792256"/>
        <c:axId val="319793792"/>
      </c:lineChart>
      <c:catAx>
        <c:axId val="319776640"/>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9778176"/>
        <c:crosses val="autoZero"/>
        <c:auto val="0"/>
        <c:lblAlgn val="ctr"/>
        <c:lblOffset val="100"/>
        <c:tickLblSkip val="1"/>
        <c:tickMarkSkip val="1"/>
        <c:noMultiLvlLbl val="0"/>
      </c:catAx>
      <c:valAx>
        <c:axId val="319778176"/>
        <c:scaling>
          <c:orientation val="minMax"/>
          <c:max val="1800"/>
        </c:scaling>
        <c:delete val="0"/>
        <c:axPos val="l"/>
        <c:majorGridlines>
          <c:spPr>
            <a:ln w="3175">
              <a:solidFill>
                <a:srgbClr val="C0C0C0"/>
              </a:solidFill>
              <a:prstDash val="solid"/>
            </a:ln>
          </c:spPr>
        </c:majorGridlines>
        <c:numFmt formatCode="&quot;$&quot;#,##0_);\(&quot;$&quot;#,##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9776640"/>
        <c:crosses val="autoZero"/>
        <c:crossBetween val="between"/>
        <c:majorUnit val="300"/>
      </c:valAx>
      <c:catAx>
        <c:axId val="319792256"/>
        <c:scaling>
          <c:orientation val="minMax"/>
        </c:scaling>
        <c:delete val="1"/>
        <c:axPos val="b"/>
        <c:majorTickMark val="out"/>
        <c:minorTickMark val="none"/>
        <c:tickLblPos val="nextTo"/>
        <c:crossAx val="319793792"/>
        <c:crosses val="autoZero"/>
        <c:auto val="0"/>
        <c:lblAlgn val="ctr"/>
        <c:lblOffset val="100"/>
        <c:noMultiLvlLbl val="0"/>
      </c:catAx>
      <c:valAx>
        <c:axId val="319793792"/>
        <c:scaling>
          <c:orientation val="minMax"/>
        </c:scaling>
        <c:delete val="0"/>
        <c:axPos val="r"/>
        <c:numFmt formatCode="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9792256"/>
        <c:crosses val="max"/>
        <c:crossBetween val="between"/>
      </c:valAx>
      <c:spPr>
        <a:noFill/>
        <a:ln w="25400">
          <a:noFill/>
        </a:ln>
      </c:spPr>
    </c:plotArea>
    <c:legend>
      <c:legendPos val="t"/>
      <c:layout>
        <c:manualLayout>
          <c:xMode val="edge"/>
          <c:yMode val="edge"/>
          <c:x val="0.55035460992907803"/>
          <c:y val="3.8797781856215342E-3"/>
          <c:w val="0.44680851063829785"/>
          <c:h val="8.2706766917293228E-2"/>
        </c:manualLayout>
      </c:layout>
      <c:overlay val="0"/>
      <c:spPr>
        <a:noFill/>
        <a:ln w="25400">
          <a:noFill/>
        </a:ln>
      </c:spPr>
      <c:txPr>
        <a:bodyPr/>
        <a:lstStyle/>
        <a:p>
          <a:pPr>
            <a:defRPr sz="29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245439204369578"/>
          <c:y val="9.5588235294117641E-2"/>
          <c:w val="0.76891769099423846"/>
          <c:h val="0.73897058823529416"/>
        </c:manualLayout>
      </c:layout>
      <c:barChart>
        <c:barDir val="col"/>
        <c:grouping val="clustered"/>
        <c:varyColors val="0"/>
        <c:ser>
          <c:idx val="0"/>
          <c:order val="0"/>
          <c:tx>
            <c:strRef>
              <c:f>'Charts - Annual'!$B$368</c:f>
              <c:strCache>
                <c:ptCount val="1"/>
                <c:pt idx="0">
                  <c:v>Global MRR Churn</c:v>
                </c:pt>
              </c:strCache>
            </c:strRef>
          </c:tx>
          <c:spPr>
            <a:solidFill>
              <a:srgbClr val="137CB1"/>
            </a:solidFill>
            <a:ln w="25400">
              <a:noFill/>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numRef>
              <c:f>'Charts - Annual'!$O$3:$S$3</c:f>
              <c:numCache>
                <c:formatCode>General</c:formatCode>
                <c:ptCount val="5"/>
                <c:pt idx="0">
                  <c:v>2011</c:v>
                </c:pt>
                <c:pt idx="1">
                  <c:v>2012</c:v>
                </c:pt>
                <c:pt idx="2">
                  <c:v>2013</c:v>
                </c:pt>
                <c:pt idx="3">
                  <c:v>2014</c:v>
                </c:pt>
                <c:pt idx="4">
                  <c:v>2015</c:v>
                </c:pt>
              </c:numCache>
            </c:numRef>
          </c:cat>
          <c:val>
            <c:numRef>
              <c:f>'Charts - Annual'!$O$386:$S$386</c:f>
              <c:numCache>
                <c:formatCode>"$"#,##0.0_);\("$"#,##0.0\)</c:formatCode>
                <c:ptCount val="5"/>
                <c:pt idx="0">
                  <c:v>-141.95099999999977</c:v>
                </c:pt>
                <c:pt idx="1">
                  <c:v>-73.505000000000223</c:v>
                </c:pt>
                <c:pt idx="2">
                  <c:v>183.0870000000001</c:v>
                </c:pt>
                <c:pt idx="3">
                  <c:v>186.02599999999967</c:v>
                </c:pt>
                <c:pt idx="4">
                  <c:v>108.03300000000036</c:v>
                </c:pt>
              </c:numCache>
            </c:numRef>
          </c:val>
        </c:ser>
        <c:dLbls>
          <c:showLegendKey val="0"/>
          <c:showVal val="0"/>
          <c:showCatName val="0"/>
          <c:showSerName val="0"/>
          <c:showPercent val="0"/>
          <c:showBubbleSize val="0"/>
        </c:dLbls>
        <c:gapWidth val="150"/>
        <c:axId val="319822848"/>
        <c:axId val="319849216"/>
      </c:barChart>
      <c:catAx>
        <c:axId val="31982284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9849216"/>
        <c:crosses val="autoZero"/>
        <c:auto val="1"/>
        <c:lblAlgn val="ctr"/>
        <c:lblOffset val="100"/>
        <c:tickLblSkip val="1"/>
        <c:tickMarkSkip val="1"/>
        <c:noMultiLvlLbl val="0"/>
      </c:catAx>
      <c:valAx>
        <c:axId val="319849216"/>
        <c:scaling>
          <c:orientation val="minMax"/>
        </c:scaling>
        <c:delete val="0"/>
        <c:axPos val="l"/>
        <c:majorGridlines>
          <c:spPr>
            <a:ln w="3175">
              <a:solidFill>
                <a:srgbClr val="C0C0C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FCF (EBITDA - capex - net interest)</a:t>
                </a:r>
              </a:p>
            </c:rich>
          </c:tx>
          <c:layout>
            <c:manualLayout>
              <c:xMode val="edge"/>
              <c:yMode val="edge"/>
              <c:x val="2.4539877300613498E-2"/>
              <c:y val="0.11764705882352941"/>
            </c:manualLayout>
          </c:layout>
          <c:overlay val="0"/>
          <c:spPr>
            <a:noFill/>
            <a:ln w="25400">
              <a:noFill/>
            </a:ln>
          </c:spPr>
        </c:title>
        <c:numFmt formatCode="&quot;$&quot;#,##0.0_);\(&quot;$&quot;#,##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9822848"/>
        <c:crosses val="autoZero"/>
        <c:crossBetween val="between"/>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DIVIDEND</a:t>
            </a:r>
          </a:p>
        </c:rich>
      </c:tx>
      <c:layout>
        <c:manualLayout>
          <c:xMode val="edge"/>
          <c:yMode val="edge"/>
          <c:x val="1.4334009465855309E-3"/>
          <c:y val="0"/>
        </c:manualLayout>
      </c:layout>
      <c:overlay val="1"/>
    </c:title>
    <c:autoTitleDeleted val="0"/>
    <c:plotArea>
      <c:layout>
        <c:manualLayout>
          <c:layoutTarget val="inner"/>
          <c:xMode val="edge"/>
          <c:yMode val="edge"/>
          <c:x val="0.11899953682260306"/>
          <c:y val="0.17754491329820951"/>
          <c:w val="0.78296223591435954"/>
          <c:h val="0.72928224751471837"/>
        </c:manualLayout>
      </c:layout>
      <c:barChart>
        <c:barDir val="col"/>
        <c:grouping val="clustered"/>
        <c:varyColors val="0"/>
        <c:ser>
          <c:idx val="1"/>
          <c:order val="0"/>
          <c:tx>
            <c:strRef>
              <c:f>'Charts - Annual'!$B$425</c:f>
              <c:strCache>
                <c:ptCount val="1"/>
                <c:pt idx="0">
                  <c:v>Cash Dividend</c:v>
                </c:pt>
              </c:strCache>
            </c:strRef>
          </c:tx>
          <c:spPr>
            <a:solidFill>
              <a:srgbClr val="EACC80"/>
            </a:solidFill>
            <a:ln w="25400">
              <a:noFill/>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inBase"/>
            <c:showLegendKey val="0"/>
            <c:showVal val="1"/>
            <c:showCatName val="0"/>
            <c:showSerName val="0"/>
            <c:showPercent val="0"/>
            <c:showBubbleSize val="0"/>
            <c:showLeaderLines val="0"/>
          </c:dLbls>
          <c:cat>
            <c:strRef>
              <c:f>'Charts - Annual'!$S$3:$V$3</c:f>
              <c:strCache>
                <c:ptCount val="4"/>
                <c:pt idx="0">
                  <c:v>2015</c:v>
                </c:pt>
                <c:pt idx="1">
                  <c:v>2016</c:v>
                </c:pt>
                <c:pt idx="2">
                  <c:v>2017</c:v>
                </c:pt>
                <c:pt idx="3">
                  <c:v>2018E</c:v>
                </c:pt>
              </c:strCache>
            </c:strRef>
          </c:cat>
          <c:val>
            <c:numRef>
              <c:f>'Charts - Annual'!$S$425:$V$425</c:f>
              <c:numCache>
                <c:formatCode>"$"#,##0.00</c:formatCode>
                <c:ptCount val="4"/>
                <c:pt idx="0">
                  <c:v>8.9376588095656384</c:v>
                </c:pt>
                <c:pt idx="1">
                  <c:v>7.0754737695802925</c:v>
                </c:pt>
                <c:pt idx="2">
                  <c:v>8.0265140997410587</c:v>
                </c:pt>
                <c:pt idx="3">
                  <c:v>9.1199999999999992</c:v>
                </c:pt>
              </c:numCache>
            </c:numRef>
          </c:val>
        </c:ser>
        <c:dLbls>
          <c:showLegendKey val="0"/>
          <c:showVal val="0"/>
          <c:showCatName val="0"/>
          <c:showSerName val="0"/>
          <c:showPercent val="0"/>
          <c:showBubbleSize val="0"/>
        </c:dLbls>
        <c:gapWidth val="150"/>
        <c:axId val="320486400"/>
        <c:axId val="320492288"/>
      </c:barChart>
      <c:lineChart>
        <c:grouping val="standard"/>
        <c:varyColors val="0"/>
        <c:ser>
          <c:idx val="0"/>
          <c:order val="1"/>
          <c:tx>
            <c:v>% of AFFO per diluted share</c:v>
          </c:tx>
          <c:spPr>
            <a:ln w="12700">
              <a:solidFill>
                <a:srgbClr val="1275A6"/>
              </a:solidFill>
              <a:prstDash val="solid"/>
            </a:ln>
          </c:spPr>
          <c:marker>
            <c:symbol val="diamond"/>
            <c:size val="5"/>
            <c:spPr>
              <a:solidFill>
                <a:srgbClr val="1275A6"/>
              </a:solidFill>
              <a:ln>
                <a:solidFill>
                  <a:srgbClr val="1275A6"/>
                </a:solidFill>
                <a:prstDash val="solid"/>
              </a:ln>
            </c:spPr>
          </c:marker>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'Charts - Annual'!$S$3:$V$3</c:f>
              <c:strCache>
                <c:ptCount val="4"/>
                <c:pt idx="0">
                  <c:v>2015</c:v>
                </c:pt>
                <c:pt idx="1">
                  <c:v>2016</c:v>
                </c:pt>
                <c:pt idx="2">
                  <c:v>2017</c:v>
                </c:pt>
                <c:pt idx="3">
                  <c:v>2018E</c:v>
                </c:pt>
              </c:strCache>
            </c:strRef>
          </c:cat>
          <c:val>
            <c:numRef>
              <c:f>'Charts - Annual'!$S$429:$V$429</c:f>
              <c:numCache>
                <c:formatCode>0.0%_);\(0.0%\);"–"_)</c:formatCode>
                <c:ptCount val="4"/>
                <c:pt idx="0">
                  <c:v>0.63450090480867427</c:v>
                </c:pt>
                <c:pt idx="1">
                  <c:v>0.46711038560205831</c:v>
                </c:pt>
                <c:pt idx="2">
                  <c:v>0.43329477963979757</c:v>
                </c:pt>
                <c:pt idx="3">
                  <c:v>0.43733976014490261</c:v>
                </c:pt>
              </c:numCache>
            </c:numRef>
          </c:val>
          <c:smooth val="0"/>
        </c:ser>
        <c:dLbls>
          <c:showLegendKey val="0"/>
          <c:showVal val="0"/>
          <c:showCatName val="0"/>
          <c:showSerName val="0"/>
          <c:showPercent val="0"/>
          <c:showBubbleSize val="0"/>
        </c:dLbls>
        <c:marker val="1"/>
        <c:smooth val="0"/>
        <c:axId val="320493824"/>
        <c:axId val="320499712"/>
      </c:lineChart>
      <c:catAx>
        <c:axId val="320486400"/>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20492288"/>
        <c:crosses val="autoZero"/>
        <c:auto val="0"/>
        <c:lblAlgn val="ctr"/>
        <c:lblOffset val="100"/>
        <c:tickLblSkip val="1"/>
        <c:tickMarkSkip val="1"/>
        <c:noMultiLvlLbl val="0"/>
      </c:catAx>
      <c:valAx>
        <c:axId val="320492288"/>
        <c:scaling>
          <c:orientation val="minMax"/>
        </c:scaling>
        <c:delete val="0"/>
        <c:axPos val="l"/>
        <c:majorGridlines>
          <c:spPr>
            <a:ln w="3175">
              <a:solidFill>
                <a:srgbClr val="C0C0C0"/>
              </a:solidFill>
              <a:prstDash val="solid"/>
            </a:ln>
          </c:spPr>
        </c:majorGridlines>
        <c:numFmt formatCode="&quot;$&quot;#,##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20486400"/>
        <c:crosses val="autoZero"/>
        <c:crossBetween val="between"/>
      </c:valAx>
      <c:catAx>
        <c:axId val="320493824"/>
        <c:scaling>
          <c:orientation val="minMax"/>
        </c:scaling>
        <c:delete val="1"/>
        <c:axPos val="b"/>
        <c:majorTickMark val="out"/>
        <c:minorTickMark val="none"/>
        <c:tickLblPos val="nextTo"/>
        <c:crossAx val="320499712"/>
        <c:crosses val="autoZero"/>
        <c:auto val="0"/>
        <c:lblAlgn val="ctr"/>
        <c:lblOffset val="100"/>
        <c:noMultiLvlLbl val="0"/>
      </c:catAx>
      <c:valAx>
        <c:axId val="320499712"/>
        <c:scaling>
          <c:orientation val="minMax"/>
        </c:scaling>
        <c:delete val="0"/>
        <c:axPos val="r"/>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20493824"/>
        <c:crosses val="max"/>
        <c:crossBetween val="between"/>
      </c:valAx>
      <c:spPr>
        <a:noFill/>
        <a:ln w="25400">
          <a:noFill/>
        </a:ln>
      </c:spPr>
    </c:plotArea>
    <c:legend>
      <c:legendPos val="t"/>
      <c:layout>
        <c:manualLayout>
          <c:xMode val="edge"/>
          <c:yMode val="edge"/>
          <c:x val="0.34618006420597019"/>
          <c:y val="8.719743365412657E-3"/>
          <c:w val="0.64908785996070972"/>
          <c:h val="8.1481870321765335E-2"/>
        </c:manualLayout>
      </c:layout>
      <c:overlay val="0"/>
      <c:spPr>
        <a:noFill/>
        <a:ln w="25400">
          <a:noFill/>
        </a:ln>
      </c:spPr>
      <c:txPr>
        <a:bodyPr/>
        <a:lstStyle/>
        <a:p>
          <a:pPr>
            <a:defRPr sz="29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01636981844437"/>
          <c:y val="0.14814868398684891"/>
          <c:w val="0.82555862698742055"/>
          <c:h val="0.68518766343917625"/>
        </c:manualLayout>
      </c:layout>
      <c:barChart>
        <c:barDir val="col"/>
        <c:grouping val="stacked"/>
        <c:varyColors val="0"/>
        <c:ser>
          <c:idx val="1"/>
          <c:order val="0"/>
          <c:tx>
            <c:strRef>
              <c:f>'Charts - Annual'!$B$447</c:f>
              <c:strCache>
                <c:ptCount val="1"/>
                <c:pt idx="0">
                  <c:v>SE3 - Phase 1 &amp; 2 (Seattle)</c:v>
                </c:pt>
              </c:strCache>
            </c:strRef>
          </c:tx>
          <c:spPr>
            <a:solidFill>
              <a:srgbClr val="EACC80"/>
            </a:solidFill>
            <a:ln w="25400">
              <a:noFill/>
            </a:ln>
          </c:spPr>
          <c:invertIfNegative val="0"/>
          <c:cat>
            <c:numRef>
              <c:f>'Charts - Annual'!$Q$3:$R$3</c:f>
              <c:numCache>
                <c:formatCode>General</c:formatCode>
                <c:ptCount val="2"/>
                <c:pt idx="0">
                  <c:v>2013</c:v>
                </c:pt>
                <c:pt idx="1">
                  <c:v>2014</c:v>
                </c:pt>
              </c:numCache>
            </c:numRef>
          </c:cat>
          <c:val>
            <c:numRef>
              <c:f>'Charts - Annual'!$Q$447:$R$447</c:f>
              <c:numCache>
                <c:formatCode>#,##0_);\(#,##0\)</c:formatCode>
                <c:ptCount val="2"/>
                <c:pt idx="0">
                  <c:v>1100</c:v>
                </c:pt>
              </c:numCache>
            </c:numRef>
          </c:val>
        </c:ser>
        <c:ser>
          <c:idx val="0"/>
          <c:order val="1"/>
          <c:tx>
            <c:strRef>
              <c:f>'Charts - Annual'!$B$448</c:f>
              <c:strCache>
                <c:ptCount val="1"/>
                <c:pt idx="0">
                  <c:v>DC11 - Phase 1 (Ashburn)</c:v>
                </c:pt>
              </c:strCache>
            </c:strRef>
          </c:tx>
          <c:spPr>
            <a:solidFill>
              <a:srgbClr val="137CB1"/>
            </a:solidFill>
            <a:ln w="25400">
              <a:noFill/>
            </a:ln>
          </c:spPr>
          <c:invertIfNegative val="0"/>
          <c:cat>
            <c:numRef>
              <c:f>'Charts - Annual'!$Q$3:$R$3</c:f>
              <c:numCache>
                <c:formatCode>General</c:formatCode>
                <c:ptCount val="2"/>
                <c:pt idx="0">
                  <c:v>2013</c:v>
                </c:pt>
                <c:pt idx="1">
                  <c:v>2014</c:v>
                </c:pt>
              </c:numCache>
            </c:numRef>
          </c:cat>
          <c:val>
            <c:numRef>
              <c:f>'Charts - Annual'!$Q$448:$R$448</c:f>
              <c:numCache>
                <c:formatCode>#,##0_);\(#,##0\)</c:formatCode>
                <c:ptCount val="2"/>
                <c:pt idx="0">
                  <c:v>1200</c:v>
                </c:pt>
              </c:numCache>
            </c:numRef>
          </c:val>
        </c:ser>
        <c:ser>
          <c:idx val="2"/>
          <c:order val="2"/>
          <c:tx>
            <c:strRef>
              <c:f>'Charts - Annual'!$B$449</c:f>
              <c:strCache>
                <c:ptCount val="1"/>
                <c:pt idx="0">
                  <c:v>CH3 - Phase 3 (Chicago)</c:v>
                </c:pt>
              </c:strCache>
            </c:strRef>
          </c:tx>
          <c:spPr>
            <a:solidFill>
              <a:srgbClr val="4AAC6B"/>
            </a:solidFill>
            <a:ln w="25400">
              <a:noFill/>
            </a:ln>
          </c:spPr>
          <c:invertIfNegative val="0"/>
          <c:cat>
            <c:numRef>
              <c:f>'Charts - Annual'!$Q$3:$R$3</c:f>
              <c:numCache>
                <c:formatCode>General</c:formatCode>
                <c:ptCount val="2"/>
                <c:pt idx="0">
                  <c:v>2013</c:v>
                </c:pt>
                <c:pt idx="1">
                  <c:v>2014</c:v>
                </c:pt>
              </c:numCache>
            </c:numRef>
          </c:cat>
          <c:val>
            <c:numRef>
              <c:f>'Charts - Annual'!$Q$449:$R$449</c:f>
              <c:numCache>
                <c:formatCode>#,##0_);\(#,##0\)</c:formatCode>
                <c:ptCount val="2"/>
                <c:pt idx="0">
                  <c:v>630</c:v>
                </c:pt>
              </c:numCache>
            </c:numRef>
          </c:val>
        </c:ser>
        <c:ser>
          <c:idx val="3"/>
          <c:order val="3"/>
          <c:tx>
            <c:strRef>
              <c:f>'Charts - Annual'!$B$450</c:f>
              <c:strCache>
                <c:ptCount val="1"/>
                <c:pt idx="0">
                  <c:v>RJ2 - Phase 1 (Rio de Janeiro)</c:v>
                </c:pt>
              </c:strCache>
            </c:strRef>
          </c:tx>
          <c:spPr>
            <a:solidFill>
              <a:srgbClr val="A8D7E2"/>
            </a:solidFill>
            <a:ln w="25400">
              <a:noFill/>
            </a:ln>
          </c:spPr>
          <c:invertIfNegative val="0"/>
          <c:cat>
            <c:numRef>
              <c:f>'Charts - Annual'!$Q$3:$R$3</c:f>
              <c:numCache>
                <c:formatCode>General</c:formatCode>
                <c:ptCount val="2"/>
                <c:pt idx="0">
                  <c:v>2013</c:v>
                </c:pt>
                <c:pt idx="1">
                  <c:v>2014</c:v>
                </c:pt>
              </c:numCache>
            </c:numRef>
          </c:cat>
          <c:val>
            <c:numRef>
              <c:f>'Charts - Annual'!$Q$450:$R$450</c:f>
              <c:numCache>
                <c:formatCode>#,##0_);\(#,##0\)</c:formatCode>
                <c:ptCount val="2"/>
                <c:pt idx="0">
                  <c:v>320</c:v>
                </c:pt>
              </c:numCache>
            </c:numRef>
          </c:val>
        </c:ser>
        <c:ser>
          <c:idx val="4"/>
          <c:order val="4"/>
          <c:tx>
            <c:strRef>
              <c:f>'Charts - Annual'!$B$451</c:f>
              <c:strCache>
                <c:ptCount val="1"/>
                <c:pt idx="0">
                  <c:v>SV5 - Phase 2 (Silicon Valley)</c:v>
                </c:pt>
              </c:strCache>
            </c:strRef>
          </c:tx>
          <c:spPr>
            <a:solidFill>
              <a:srgbClr val="E58061"/>
            </a:solidFill>
            <a:ln w="25400">
              <a:noFill/>
            </a:ln>
          </c:spPr>
          <c:invertIfNegative val="0"/>
          <c:cat>
            <c:numRef>
              <c:f>'Charts - Annual'!$Q$3:$R$3</c:f>
              <c:numCache>
                <c:formatCode>General</c:formatCode>
                <c:ptCount val="2"/>
                <c:pt idx="0">
                  <c:v>2013</c:v>
                </c:pt>
                <c:pt idx="1">
                  <c:v>2014</c:v>
                </c:pt>
              </c:numCache>
            </c:numRef>
          </c:cat>
          <c:val>
            <c:numRef>
              <c:f>'Charts - Annual'!$Q$451:$R$451</c:f>
              <c:numCache>
                <c:formatCode>#,##0_);\(#,##0\)</c:formatCode>
                <c:ptCount val="2"/>
                <c:pt idx="0">
                  <c:v>715</c:v>
                </c:pt>
              </c:numCache>
            </c:numRef>
          </c:val>
        </c:ser>
        <c:ser>
          <c:idx val="5"/>
          <c:order val="5"/>
          <c:tx>
            <c:strRef>
              <c:f>'Charts - Annual'!$B$452</c:f>
              <c:strCache>
                <c:ptCount val="1"/>
                <c:pt idx="0">
                  <c:v>DC10 - Phase 3 (Ashburn)</c:v>
                </c:pt>
              </c:strCache>
            </c:strRef>
          </c:tx>
          <c:spPr>
            <a:solidFill>
              <a:srgbClr val="BCE3A1"/>
            </a:solidFill>
            <a:ln w="25400">
              <a:noFill/>
            </a:ln>
          </c:spPr>
          <c:invertIfNegative val="0"/>
          <c:cat>
            <c:numRef>
              <c:f>'Charts - Annual'!$Q$3:$R$3</c:f>
              <c:numCache>
                <c:formatCode>General</c:formatCode>
                <c:ptCount val="2"/>
                <c:pt idx="0">
                  <c:v>2013</c:v>
                </c:pt>
                <c:pt idx="1">
                  <c:v>2014</c:v>
                </c:pt>
              </c:numCache>
            </c:numRef>
          </c:cat>
          <c:val>
            <c:numRef>
              <c:f>'Charts - Annual'!$Q$452:$R$452</c:f>
              <c:numCache>
                <c:formatCode>"$"#,##0.00</c:formatCode>
                <c:ptCount val="2"/>
                <c:pt idx="0" formatCode="#,##0_);\(#,##0\)">
                  <c:v>680</c:v>
                </c:pt>
              </c:numCache>
            </c:numRef>
          </c:val>
        </c:ser>
        <c:ser>
          <c:idx val="6"/>
          <c:order val="6"/>
          <c:tx>
            <c:strRef>
              <c:f>'Charts - Annual'!$B$453</c:f>
              <c:strCache>
                <c:ptCount val="1"/>
                <c:pt idx="0">
                  <c:v>DX1 (Dubai)</c:v>
                </c:pt>
              </c:strCache>
            </c:strRef>
          </c:tx>
          <c:spPr>
            <a:solidFill>
              <a:srgbClr val="8E466A"/>
            </a:solidFill>
            <a:ln w="25400">
              <a:noFill/>
            </a:ln>
          </c:spPr>
          <c:invertIfNegative val="0"/>
          <c:cat>
            <c:numRef>
              <c:f>'Charts - Annual'!$Q$3:$R$3</c:f>
              <c:numCache>
                <c:formatCode>General</c:formatCode>
                <c:ptCount val="2"/>
                <c:pt idx="0">
                  <c:v>2013</c:v>
                </c:pt>
                <c:pt idx="1">
                  <c:v>2014</c:v>
                </c:pt>
              </c:numCache>
            </c:numRef>
          </c:cat>
          <c:val>
            <c:numRef>
              <c:f>'Charts - Annual'!$Q$453:$R$453</c:f>
              <c:numCache>
                <c:formatCode>"$"#,##0.00</c:formatCode>
                <c:ptCount val="2"/>
                <c:pt idx="0" formatCode="#,##0_);\(#,##0\)">
                  <c:v>280</c:v>
                </c:pt>
              </c:numCache>
            </c:numRef>
          </c:val>
        </c:ser>
        <c:ser>
          <c:idx val="7"/>
          <c:order val="7"/>
          <c:tx>
            <c:strRef>
              <c:f>'Charts - Annual'!$B$454</c:f>
              <c:strCache>
                <c:ptCount val="1"/>
                <c:pt idx="0">
                  <c:v>ZH5 - Phase 1 (Zurich)</c:v>
                </c:pt>
              </c:strCache>
            </c:strRef>
          </c:tx>
          <c:spPr>
            <a:solidFill>
              <a:srgbClr val="F3A7A9"/>
            </a:solidFill>
            <a:ln w="25400">
              <a:noFill/>
            </a:ln>
          </c:spPr>
          <c:invertIfNegative val="0"/>
          <c:cat>
            <c:numRef>
              <c:f>'Charts - Annual'!$Q$3:$R$3</c:f>
              <c:numCache>
                <c:formatCode>General</c:formatCode>
                <c:ptCount val="2"/>
                <c:pt idx="0">
                  <c:v>2013</c:v>
                </c:pt>
                <c:pt idx="1">
                  <c:v>2014</c:v>
                </c:pt>
              </c:numCache>
            </c:numRef>
          </c:cat>
          <c:val>
            <c:numRef>
              <c:f>'Charts - Annual'!$Q$454:$R$454</c:f>
              <c:numCache>
                <c:formatCode>"$"#,##0.00</c:formatCode>
                <c:ptCount val="2"/>
                <c:pt idx="0" formatCode="#,##0_);\(#,##0\)">
                  <c:v>425</c:v>
                </c:pt>
              </c:numCache>
            </c:numRef>
          </c:val>
        </c:ser>
        <c:ser>
          <c:idx val="8"/>
          <c:order val="8"/>
          <c:tx>
            <c:strRef>
              <c:f>'Charts - Annual'!$B$455</c:f>
              <c:strCache>
                <c:ptCount val="1"/>
                <c:pt idx="0">
                  <c:v>FR5 - Phase 2 (Frankfurt)</c:v>
                </c:pt>
              </c:strCache>
            </c:strRef>
          </c:tx>
          <c:spPr>
            <a:solidFill>
              <a:srgbClr val="1275A6"/>
            </a:solidFill>
            <a:ln w="25400">
              <a:noFill/>
            </a:ln>
          </c:spPr>
          <c:invertIfNegative val="0"/>
          <c:cat>
            <c:numRef>
              <c:f>'Charts - Annual'!$Q$3:$R$3</c:f>
              <c:numCache>
                <c:formatCode>General</c:formatCode>
                <c:ptCount val="2"/>
                <c:pt idx="0">
                  <c:v>2013</c:v>
                </c:pt>
                <c:pt idx="1">
                  <c:v>2014</c:v>
                </c:pt>
              </c:numCache>
            </c:numRef>
          </c:cat>
          <c:val>
            <c:numRef>
              <c:f>'Charts - Annual'!$Q$455:$R$455</c:f>
              <c:numCache>
                <c:formatCode>"$"#,##0.00</c:formatCode>
                <c:ptCount val="2"/>
                <c:pt idx="0" formatCode="#,##0_);\(#,##0\)">
                  <c:v>500</c:v>
                </c:pt>
              </c:numCache>
            </c:numRef>
          </c:val>
        </c:ser>
        <c:ser>
          <c:idx val="9"/>
          <c:order val="9"/>
          <c:tx>
            <c:strRef>
              <c:f>'Charts - Annual'!$B$456</c:f>
              <c:strCache>
                <c:ptCount val="1"/>
                <c:pt idx="0">
                  <c:v>LD5 - Phase 4 (London)</c:v>
                </c:pt>
              </c:strCache>
            </c:strRef>
          </c:tx>
          <c:spPr>
            <a:solidFill>
              <a:srgbClr val="E5BF61"/>
            </a:solidFill>
            <a:ln w="25400">
              <a:noFill/>
            </a:ln>
          </c:spPr>
          <c:invertIfNegative val="0"/>
          <c:cat>
            <c:numRef>
              <c:f>'Charts - Annual'!$Q$3:$R$3</c:f>
              <c:numCache>
                <c:formatCode>General</c:formatCode>
                <c:ptCount val="2"/>
                <c:pt idx="0">
                  <c:v>2013</c:v>
                </c:pt>
                <c:pt idx="1">
                  <c:v>2014</c:v>
                </c:pt>
              </c:numCache>
            </c:numRef>
          </c:cat>
          <c:val>
            <c:numRef>
              <c:f>'Charts - Annual'!$Q$456:$R$456</c:f>
              <c:numCache>
                <c:formatCode>"$"#,##0.00</c:formatCode>
                <c:ptCount val="2"/>
                <c:pt idx="0" formatCode="#,##0_);\(#,##0\)">
                  <c:v>1475</c:v>
                </c:pt>
              </c:numCache>
            </c:numRef>
          </c:val>
        </c:ser>
        <c:ser>
          <c:idx val="10"/>
          <c:order val="10"/>
          <c:tx>
            <c:strRef>
              <c:f>'Charts - Annual'!$B$457</c:f>
              <c:strCache>
                <c:ptCount val="1"/>
                <c:pt idx="0">
                  <c:v>SH5 - Phase 2 (Shanghai)</c:v>
                </c:pt>
              </c:strCache>
            </c:strRef>
          </c:tx>
          <c:spPr>
            <a:solidFill>
              <a:srgbClr val="4AAC6B"/>
            </a:solidFill>
            <a:ln w="25400">
              <a:noFill/>
            </a:ln>
          </c:spPr>
          <c:invertIfNegative val="0"/>
          <c:cat>
            <c:numRef>
              <c:f>'Charts - Annual'!$Q$3:$R$3</c:f>
              <c:numCache>
                <c:formatCode>General</c:formatCode>
                <c:ptCount val="2"/>
                <c:pt idx="0">
                  <c:v>2013</c:v>
                </c:pt>
                <c:pt idx="1">
                  <c:v>2014</c:v>
                </c:pt>
              </c:numCache>
            </c:numRef>
          </c:cat>
          <c:val>
            <c:numRef>
              <c:f>'Charts - Annual'!$Q$457:$R$457</c:f>
              <c:numCache>
                <c:formatCode>"$"#,##0.00</c:formatCode>
                <c:ptCount val="2"/>
                <c:pt idx="0" formatCode="#,##0_);\(#,##0\)">
                  <c:v>325</c:v>
                </c:pt>
              </c:numCache>
            </c:numRef>
          </c:val>
        </c:ser>
        <c:ser>
          <c:idx val="11"/>
          <c:order val="11"/>
          <c:tx>
            <c:strRef>
              <c:f>'Charts - Annual'!$B$458</c:f>
              <c:strCache>
                <c:ptCount val="1"/>
                <c:pt idx="0">
                  <c:v>TY4 - Phase 1 (Tokyo)</c:v>
                </c:pt>
              </c:strCache>
            </c:strRef>
          </c:tx>
          <c:spPr>
            <a:solidFill>
              <a:srgbClr val="97D0DD"/>
            </a:solidFill>
            <a:ln w="25400">
              <a:noFill/>
            </a:ln>
          </c:spPr>
          <c:invertIfNegative val="0"/>
          <c:cat>
            <c:numRef>
              <c:f>'Charts - Annual'!$Q$3:$R$3</c:f>
              <c:numCache>
                <c:formatCode>General</c:formatCode>
                <c:ptCount val="2"/>
                <c:pt idx="0">
                  <c:v>2013</c:v>
                </c:pt>
                <c:pt idx="1">
                  <c:v>2014</c:v>
                </c:pt>
              </c:numCache>
            </c:numRef>
          </c:cat>
          <c:val>
            <c:numRef>
              <c:f>'Charts - Annual'!$Q$458:$R$458</c:f>
              <c:numCache>
                <c:formatCode>"$"#,##0.00</c:formatCode>
                <c:ptCount val="2"/>
                <c:pt idx="0" formatCode="#,##0_);\(#,##0\)">
                  <c:v>450</c:v>
                </c:pt>
              </c:numCache>
            </c:numRef>
          </c:val>
        </c:ser>
        <c:ser>
          <c:idx val="12"/>
          <c:order val="12"/>
          <c:tx>
            <c:strRef>
              <c:f>'Charts - Annual'!$B$459</c:f>
              <c:strCache>
                <c:ptCount val="1"/>
                <c:pt idx="0">
                  <c:v>OS1 - Phase 1 (Osaka)</c:v>
                </c:pt>
              </c:strCache>
            </c:strRef>
          </c:tx>
          <c:spPr>
            <a:solidFill>
              <a:srgbClr val="763A58"/>
            </a:solidFill>
            <a:ln w="25400">
              <a:noFill/>
            </a:ln>
          </c:spPr>
          <c:invertIfNegative val="0"/>
          <c:cat>
            <c:numRef>
              <c:f>'Charts - Annual'!$Q$3:$R$3</c:f>
              <c:numCache>
                <c:formatCode>General</c:formatCode>
                <c:ptCount val="2"/>
                <c:pt idx="0">
                  <c:v>2013</c:v>
                </c:pt>
                <c:pt idx="1">
                  <c:v>2014</c:v>
                </c:pt>
              </c:numCache>
            </c:numRef>
          </c:cat>
          <c:val>
            <c:numRef>
              <c:f>'Charts - Annual'!$Q$459:$R$459</c:f>
              <c:numCache>
                <c:formatCode>"$"#,##0.00</c:formatCode>
                <c:ptCount val="2"/>
                <c:pt idx="0" formatCode="#,##0_);\(#,##0\)">
                  <c:v>320</c:v>
                </c:pt>
              </c:numCache>
            </c:numRef>
          </c:val>
        </c:ser>
        <c:ser>
          <c:idx val="13"/>
          <c:order val="13"/>
          <c:tx>
            <c:strRef>
              <c:f>'Charts - Annual'!$B$460</c:f>
              <c:strCache>
                <c:ptCount val="1"/>
                <c:pt idx="0">
                  <c:v>SG2 - Phase 5 (Singapore)</c:v>
                </c:pt>
              </c:strCache>
            </c:strRef>
          </c:tx>
          <c:spPr>
            <a:solidFill>
              <a:srgbClr val="EF8D8F"/>
            </a:solidFill>
            <a:ln w="25400">
              <a:noFill/>
            </a:ln>
          </c:spPr>
          <c:invertIfNegative val="0"/>
          <c:cat>
            <c:numRef>
              <c:f>'Charts - Annual'!$Q$3:$R$3</c:f>
              <c:numCache>
                <c:formatCode>General</c:formatCode>
                <c:ptCount val="2"/>
                <c:pt idx="0">
                  <c:v>2013</c:v>
                </c:pt>
                <c:pt idx="1">
                  <c:v>2014</c:v>
                </c:pt>
              </c:numCache>
            </c:numRef>
          </c:cat>
          <c:val>
            <c:numRef>
              <c:f>'Charts - Annual'!$Q$460:$R$460</c:f>
              <c:numCache>
                <c:formatCode>"$"#,##0.00</c:formatCode>
                <c:ptCount val="2"/>
                <c:pt idx="0" formatCode="#,##0_);\(#,##0\)">
                  <c:v>920</c:v>
                </c:pt>
              </c:numCache>
            </c:numRef>
          </c:val>
        </c:ser>
        <c:ser>
          <c:idx val="14"/>
          <c:order val="14"/>
          <c:tx>
            <c:strRef>
              <c:f>'Charts - Annual'!$B$461</c:f>
              <c:strCache>
                <c:ptCount val="1"/>
                <c:pt idx="0">
                  <c:v>DA6 - Phase 1 (Dallas)</c:v>
                </c:pt>
              </c:strCache>
            </c:strRef>
          </c:tx>
          <c:spPr>
            <a:solidFill>
              <a:srgbClr val="E2704C"/>
            </a:solidFill>
            <a:ln w="25400">
              <a:noFill/>
            </a:ln>
          </c:spPr>
          <c:invertIfNegative val="0"/>
          <c:cat>
            <c:numRef>
              <c:f>'Charts - Annual'!$Q$3:$R$3</c:f>
              <c:numCache>
                <c:formatCode>General</c:formatCode>
                <c:ptCount val="2"/>
                <c:pt idx="0">
                  <c:v>2013</c:v>
                </c:pt>
                <c:pt idx="1">
                  <c:v>2014</c:v>
                </c:pt>
              </c:numCache>
            </c:numRef>
          </c:cat>
          <c:val>
            <c:numRef>
              <c:f>'Charts - Annual'!$Q$461:$R$461</c:f>
              <c:numCache>
                <c:formatCode>#,##0_);\(#,##0\)</c:formatCode>
                <c:ptCount val="2"/>
                <c:pt idx="1">
                  <c:v>450</c:v>
                </c:pt>
              </c:numCache>
            </c:numRef>
          </c:val>
        </c:ser>
        <c:ser>
          <c:idx val="15"/>
          <c:order val="15"/>
          <c:tx>
            <c:strRef>
              <c:f>'Charts - Annual'!$B$462</c:f>
              <c:strCache>
                <c:ptCount val="1"/>
                <c:pt idx="0">
                  <c:v>SP2 - Phase 3 (Sao Paulo)</c:v>
                </c:pt>
              </c:strCache>
            </c:strRef>
          </c:tx>
          <c:spPr>
            <a:solidFill>
              <a:srgbClr val="A5D981"/>
            </a:solidFill>
            <a:ln w="25400">
              <a:noFill/>
            </a:ln>
          </c:spPr>
          <c:invertIfNegative val="0"/>
          <c:cat>
            <c:numRef>
              <c:f>'Charts - Annual'!$Q$3:$R$3</c:f>
              <c:numCache>
                <c:formatCode>General</c:formatCode>
                <c:ptCount val="2"/>
                <c:pt idx="0">
                  <c:v>2013</c:v>
                </c:pt>
                <c:pt idx="1">
                  <c:v>2014</c:v>
                </c:pt>
              </c:numCache>
            </c:numRef>
          </c:cat>
          <c:val>
            <c:numRef>
              <c:f>'Charts - Annual'!$Q$462:$R$462</c:f>
              <c:numCache>
                <c:formatCode>#,##0_);\(#,##0\)</c:formatCode>
                <c:ptCount val="2"/>
                <c:pt idx="1">
                  <c:v>600</c:v>
                </c:pt>
              </c:numCache>
            </c:numRef>
          </c:val>
        </c:ser>
        <c:ser>
          <c:idx val="16"/>
          <c:order val="16"/>
          <c:tx>
            <c:strRef>
              <c:f>'Charts - Annual'!$B$463</c:f>
              <c:strCache>
                <c:ptCount val="1"/>
                <c:pt idx="0">
                  <c:v>TR2 - Phase 1 (Toronto)</c:v>
                </c:pt>
              </c:strCache>
            </c:strRef>
          </c:tx>
          <c:spPr>
            <a:solidFill>
              <a:srgbClr val="800080"/>
            </a:solidFill>
            <a:ln w="25400">
              <a:noFill/>
            </a:ln>
          </c:spPr>
          <c:invertIfNegative val="0"/>
          <c:cat>
            <c:numRef>
              <c:f>'Charts - Annual'!$Q$3:$R$3</c:f>
              <c:numCache>
                <c:formatCode>General</c:formatCode>
                <c:ptCount val="2"/>
                <c:pt idx="0">
                  <c:v>2013</c:v>
                </c:pt>
                <c:pt idx="1">
                  <c:v>2014</c:v>
                </c:pt>
              </c:numCache>
            </c:numRef>
          </c:cat>
          <c:val>
            <c:numRef>
              <c:f>'Charts - Annual'!$Q$463:$R$463</c:f>
              <c:numCache>
                <c:formatCode>#,##0_);\(#,##0\)</c:formatCode>
                <c:ptCount val="2"/>
                <c:pt idx="1">
                  <c:v>675</c:v>
                </c:pt>
              </c:numCache>
            </c:numRef>
          </c:val>
        </c:ser>
        <c:ser>
          <c:idx val="17"/>
          <c:order val="17"/>
          <c:tx>
            <c:strRef>
              <c:f>'Charts - Annual'!$B$464</c:f>
              <c:strCache>
                <c:ptCount val="1"/>
                <c:pt idx="0">
                  <c:v>TY4 - Phase 2 (Tokyo)</c:v>
                </c:pt>
              </c:strCache>
            </c:strRef>
          </c:tx>
          <c:spPr>
            <a:solidFill>
              <a:srgbClr val="F3EEA1"/>
            </a:solidFill>
            <a:ln w="25400">
              <a:noFill/>
            </a:ln>
          </c:spPr>
          <c:invertIfNegative val="0"/>
          <c:cat>
            <c:numRef>
              <c:f>'Charts - Annual'!$Q$3:$R$3</c:f>
              <c:numCache>
                <c:formatCode>General</c:formatCode>
                <c:ptCount val="2"/>
                <c:pt idx="0">
                  <c:v>2013</c:v>
                </c:pt>
                <c:pt idx="1">
                  <c:v>2014</c:v>
                </c:pt>
              </c:numCache>
            </c:numRef>
          </c:cat>
          <c:val>
            <c:numRef>
              <c:f>'Charts - Annual'!$Q$464:$R$464</c:f>
              <c:numCache>
                <c:formatCode>#,##0_);\(#,##0\)</c:formatCode>
                <c:ptCount val="2"/>
                <c:pt idx="1">
                  <c:v>300</c:v>
                </c:pt>
              </c:numCache>
            </c:numRef>
          </c:val>
        </c:ser>
        <c:ser>
          <c:idx val="18"/>
          <c:order val="18"/>
          <c:tx>
            <c:strRef>
              <c:f>'Charts - Annual'!$B$465</c:f>
              <c:strCache>
                <c:ptCount val="1"/>
                <c:pt idx="0">
                  <c:v>SH5 - Phase 3 (Shanghai)</c:v>
                </c:pt>
              </c:strCache>
            </c:strRef>
          </c:tx>
          <c:spPr>
            <a:solidFill>
              <a:srgbClr val="9DC9DC"/>
            </a:solidFill>
            <a:ln w="25400">
              <a:noFill/>
            </a:ln>
          </c:spPr>
          <c:invertIfNegative val="0"/>
          <c:cat>
            <c:numRef>
              <c:f>'Charts - Annual'!$Q$3:$R$3</c:f>
              <c:numCache>
                <c:formatCode>General</c:formatCode>
                <c:ptCount val="2"/>
                <c:pt idx="0">
                  <c:v>2013</c:v>
                </c:pt>
                <c:pt idx="1">
                  <c:v>2014</c:v>
                </c:pt>
              </c:numCache>
            </c:numRef>
          </c:cat>
          <c:val>
            <c:numRef>
              <c:f>'Charts - Annual'!$Q$465:$R$465</c:f>
              <c:numCache>
                <c:formatCode>#,##0_);\(#,##0\)</c:formatCode>
                <c:ptCount val="2"/>
                <c:pt idx="1">
                  <c:v>375</c:v>
                </c:pt>
              </c:numCache>
            </c:numRef>
          </c:val>
        </c:ser>
        <c:ser>
          <c:idx val="19"/>
          <c:order val="19"/>
          <c:tx>
            <c:strRef>
              <c:f>'Charts - Annual'!$B$466</c:f>
              <c:strCache>
                <c:ptCount val="1"/>
                <c:pt idx="0">
                  <c:v>SY3 - Phase 3 (Sydney)</c:v>
                </c:pt>
              </c:strCache>
            </c:strRef>
          </c:tx>
          <c:spPr>
            <a:solidFill>
              <a:srgbClr val="F7BEBF"/>
            </a:solidFill>
            <a:ln w="25400">
              <a:noFill/>
            </a:ln>
          </c:spPr>
          <c:invertIfNegative val="0"/>
          <c:cat>
            <c:numRef>
              <c:f>'Charts - Annual'!$Q$3:$R$3</c:f>
              <c:numCache>
                <c:formatCode>General</c:formatCode>
                <c:ptCount val="2"/>
                <c:pt idx="0">
                  <c:v>2013</c:v>
                </c:pt>
                <c:pt idx="1">
                  <c:v>2014</c:v>
                </c:pt>
              </c:numCache>
            </c:numRef>
          </c:cat>
          <c:val>
            <c:numRef>
              <c:f>'Charts - Annual'!$Q$466:$R$466</c:f>
              <c:numCache>
                <c:formatCode>#,##0_);\(#,##0\)</c:formatCode>
                <c:ptCount val="2"/>
                <c:pt idx="1">
                  <c:v>1000</c:v>
                </c:pt>
              </c:numCache>
            </c:numRef>
          </c:val>
        </c:ser>
        <c:ser>
          <c:idx val="20"/>
          <c:order val="20"/>
          <c:tx>
            <c:strRef>
              <c:f>'Charts - Annual'!$B$467</c:f>
              <c:strCache>
                <c:ptCount val="1"/>
                <c:pt idx="0">
                  <c:v>HK3 - Phase 2 (Hong Kong)</c:v>
                </c:pt>
              </c:strCache>
            </c:strRef>
          </c:tx>
          <c:spPr>
            <a:solidFill>
              <a:srgbClr val="EFC1D2"/>
            </a:solidFill>
            <a:ln w="25400">
              <a:noFill/>
            </a:ln>
          </c:spPr>
          <c:invertIfNegative val="0"/>
          <c:cat>
            <c:numRef>
              <c:f>'Charts - Annual'!$Q$3:$R$3</c:f>
              <c:numCache>
                <c:formatCode>General</c:formatCode>
                <c:ptCount val="2"/>
                <c:pt idx="0">
                  <c:v>2013</c:v>
                </c:pt>
                <c:pt idx="1">
                  <c:v>2014</c:v>
                </c:pt>
              </c:numCache>
            </c:numRef>
          </c:cat>
          <c:val>
            <c:numRef>
              <c:f>'Charts - Annual'!$Q$467:$R$467</c:f>
              <c:numCache>
                <c:formatCode>#,##0_);\(#,##0\)</c:formatCode>
                <c:ptCount val="2"/>
                <c:pt idx="1">
                  <c:v>650</c:v>
                </c:pt>
              </c:numCache>
            </c:numRef>
          </c:val>
        </c:ser>
        <c:ser>
          <c:idx val="21"/>
          <c:order val="21"/>
          <c:tx>
            <c:strRef>
              <c:f>'Charts - Annual'!$B$468</c:f>
              <c:strCache>
                <c:ptCount val="1"/>
                <c:pt idx="0">
                  <c:v>SG3 - Phase 1 (Singapore)</c:v>
                </c:pt>
              </c:strCache>
            </c:strRef>
          </c:tx>
          <c:spPr>
            <a:solidFill>
              <a:srgbClr val="EFC49F"/>
            </a:solidFill>
            <a:ln w="25400">
              <a:noFill/>
            </a:ln>
          </c:spPr>
          <c:invertIfNegative val="0"/>
          <c:cat>
            <c:numRef>
              <c:f>'Charts - Annual'!$Q$3:$R$3</c:f>
              <c:numCache>
                <c:formatCode>General</c:formatCode>
                <c:ptCount val="2"/>
                <c:pt idx="0">
                  <c:v>2013</c:v>
                </c:pt>
                <c:pt idx="1">
                  <c:v>2014</c:v>
                </c:pt>
              </c:numCache>
            </c:numRef>
          </c:cat>
          <c:val>
            <c:numRef>
              <c:f>'Charts - Annual'!$Q$468:$R$468</c:f>
              <c:numCache>
                <c:formatCode>#,##0_);\(#,##0\)</c:formatCode>
                <c:ptCount val="2"/>
                <c:pt idx="1">
                  <c:v>1000</c:v>
                </c:pt>
              </c:numCache>
            </c:numRef>
          </c:val>
        </c:ser>
        <c:ser>
          <c:idx val="22"/>
          <c:order val="22"/>
          <c:tx>
            <c:strRef>
              <c:f>'Charts - Annual'!$B$469</c:f>
              <c:strCache>
                <c:ptCount val="1"/>
                <c:pt idx="0">
                  <c:v>TOTAL</c:v>
                </c:pt>
              </c:strCache>
            </c:strRef>
          </c:tx>
          <c:spPr>
            <a:noFill/>
            <a:ln w="25400">
              <a:noFill/>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inBase"/>
            <c:showLegendKey val="0"/>
            <c:showVal val="1"/>
            <c:showCatName val="0"/>
            <c:showSerName val="0"/>
            <c:showPercent val="0"/>
            <c:showBubbleSize val="0"/>
            <c:showLeaderLines val="0"/>
          </c:dLbls>
          <c:cat>
            <c:numRef>
              <c:f>'Charts - Annual'!$Q$3:$R$3</c:f>
              <c:numCache>
                <c:formatCode>General</c:formatCode>
                <c:ptCount val="2"/>
                <c:pt idx="0">
                  <c:v>2013</c:v>
                </c:pt>
                <c:pt idx="1">
                  <c:v>2014</c:v>
                </c:pt>
              </c:numCache>
            </c:numRef>
          </c:cat>
          <c:val>
            <c:numRef>
              <c:f>'Charts - Annual'!$Q$469:$R$469</c:f>
              <c:numCache>
                <c:formatCode>#,##0_);\(#,##0\)</c:formatCode>
                <c:ptCount val="2"/>
                <c:pt idx="0">
                  <c:v>9340</c:v>
                </c:pt>
                <c:pt idx="1">
                  <c:v>5050</c:v>
                </c:pt>
              </c:numCache>
            </c:numRef>
          </c:val>
        </c:ser>
        <c:dLbls>
          <c:showLegendKey val="0"/>
          <c:showVal val="0"/>
          <c:showCatName val="0"/>
          <c:showSerName val="0"/>
          <c:showPercent val="0"/>
          <c:showBubbleSize val="0"/>
        </c:dLbls>
        <c:gapWidth val="150"/>
        <c:overlap val="100"/>
        <c:axId val="320649472"/>
        <c:axId val="320655360"/>
      </c:barChart>
      <c:catAx>
        <c:axId val="3206494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20655360"/>
        <c:crosses val="autoZero"/>
        <c:auto val="0"/>
        <c:lblAlgn val="ctr"/>
        <c:lblOffset val="100"/>
        <c:tickLblSkip val="1"/>
        <c:tickMarkSkip val="1"/>
        <c:noMultiLvlLbl val="0"/>
      </c:catAx>
      <c:valAx>
        <c:axId val="320655360"/>
        <c:scaling>
          <c:orientation val="minMax"/>
          <c:max val="10000"/>
        </c:scaling>
        <c:delete val="0"/>
        <c:axPos val="l"/>
        <c:majorGridlines>
          <c:spPr>
            <a:ln w="3175">
              <a:solidFill>
                <a:srgbClr val="C0C0C0"/>
              </a:solidFill>
              <a:prstDash val="solid"/>
            </a:ln>
          </c:spPr>
        </c:majorGridlines>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20649472"/>
        <c:crosses val="autoZero"/>
        <c:crossBetween val="between"/>
        <c:majorUnit val="2000"/>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17004048582996"/>
          <c:y val="0.12546148066600962"/>
          <c:w val="0.8502024291497976"/>
          <c:h val="0.70848836140805427"/>
        </c:manualLayout>
      </c:layout>
      <c:barChart>
        <c:barDir val="col"/>
        <c:grouping val="stacked"/>
        <c:varyColors val="0"/>
        <c:ser>
          <c:idx val="1"/>
          <c:order val="0"/>
          <c:tx>
            <c:strRef>
              <c:f>'Charts - Annual'!$B$486</c:f>
              <c:strCache>
                <c:ptCount val="1"/>
                <c:pt idx="0">
                  <c:v>SE3 - Phase 1 &amp; 2 (Seattle)</c:v>
                </c:pt>
              </c:strCache>
            </c:strRef>
          </c:tx>
          <c:spPr>
            <a:solidFill>
              <a:srgbClr val="EACC80"/>
            </a:solidFill>
            <a:ln w="25400">
              <a:noFill/>
            </a:ln>
          </c:spPr>
          <c:invertIfNegative val="0"/>
          <c:cat>
            <c:numRef>
              <c:f>'Charts - Annual'!$Q$3:$S$3</c:f>
              <c:numCache>
                <c:formatCode>General</c:formatCode>
                <c:ptCount val="3"/>
                <c:pt idx="0">
                  <c:v>2013</c:v>
                </c:pt>
                <c:pt idx="1">
                  <c:v>2014</c:v>
                </c:pt>
                <c:pt idx="2">
                  <c:v>2015</c:v>
                </c:pt>
              </c:numCache>
            </c:numRef>
          </c:cat>
          <c:val>
            <c:numRef>
              <c:f>'Charts - Annual'!$Q$486:$S$486</c:f>
              <c:numCache>
                <c:formatCode>#,##0_);\(#,##0\)</c:formatCode>
                <c:ptCount val="3"/>
                <c:pt idx="0">
                  <c:v>1100</c:v>
                </c:pt>
              </c:numCache>
            </c:numRef>
          </c:val>
        </c:ser>
        <c:ser>
          <c:idx val="0"/>
          <c:order val="1"/>
          <c:tx>
            <c:strRef>
              <c:f>'Charts - Annual'!$B$487</c:f>
              <c:strCache>
                <c:ptCount val="1"/>
                <c:pt idx="0">
                  <c:v>DC11 - Phase 1 (Ashburn)</c:v>
                </c:pt>
              </c:strCache>
            </c:strRef>
          </c:tx>
          <c:spPr>
            <a:solidFill>
              <a:srgbClr val="137CB1"/>
            </a:solidFill>
            <a:ln w="25400">
              <a:noFill/>
            </a:ln>
          </c:spPr>
          <c:invertIfNegative val="0"/>
          <c:cat>
            <c:numRef>
              <c:f>'Charts - Annual'!$Q$3:$S$3</c:f>
              <c:numCache>
                <c:formatCode>General</c:formatCode>
                <c:ptCount val="3"/>
                <c:pt idx="0">
                  <c:v>2013</c:v>
                </c:pt>
                <c:pt idx="1">
                  <c:v>2014</c:v>
                </c:pt>
                <c:pt idx="2">
                  <c:v>2015</c:v>
                </c:pt>
              </c:numCache>
            </c:numRef>
          </c:cat>
          <c:val>
            <c:numRef>
              <c:f>'Charts - Annual'!$Q$487:$S$487</c:f>
              <c:numCache>
                <c:formatCode>#,##0_);\(#,##0\)</c:formatCode>
                <c:ptCount val="3"/>
                <c:pt idx="0">
                  <c:v>1200</c:v>
                </c:pt>
              </c:numCache>
            </c:numRef>
          </c:val>
        </c:ser>
        <c:ser>
          <c:idx val="2"/>
          <c:order val="2"/>
          <c:tx>
            <c:strRef>
              <c:f>'Charts - Annual'!$B$488</c:f>
              <c:strCache>
                <c:ptCount val="1"/>
                <c:pt idx="0">
                  <c:v>CH3 - Phase 3 (Chicago)</c:v>
                </c:pt>
              </c:strCache>
            </c:strRef>
          </c:tx>
          <c:spPr>
            <a:solidFill>
              <a:srgbClr val="4AAC6B"/>
            </a:solidFill>
            <a:ln w="25400">
              <a:noFill/>
            </a:ln>
          </c:spPr>
          <c:invertIfNegative val="0"/>
          <c:cat>
            <c:numRef>
              <c:f>'Charts - Annual'!$Q$3:$S$3</c:f>
              <c:numCache>
                <c:formatCode>General</c:formatCode>
                <c:ptCount val="3"/>
                <c:pt idx="0">
                  <c:v>2013</c:v>
                </c:pt>
                <c:pt idx="1">
                  <c:v>2014</c:v>
                </c:pt>
                <c:pt idx="2">
                  <c:v>2015</c:v>
                </c:pt>
              </c:numCache>
            </c:numRef>
          </c:cat>
          <c:val>
            <c:numRef>
              <c:f>'Charts - Annual'!$Q$488:$S$488</c:f>
              <c:numCache>
                <c:formatCode>#,##0_);\(#,##0\)</c:formatCode>
                <c:ptCount val="3"/>
                <c:pt idx="0">
                  <c:v>630</c:v>
                </c:pt>
              </c:numCache>
            </c:numRef>
          </c:val>
        </c:ser>
        <c:ser>
          <c:idx val="3"/>
          <c:order val="3"/>
          <c:tx>
            <c:strRef>
              <c:f>'Charts - Annual'!$B$489</c:f>
              <c:strCache>
                <c:ptCount val="1"/>
                <c:pt idx="0">
                  <c:v>RJ2 - Phase 1 (Rio de Janeiro)</c:v>
                </c:pt>
              </c:strCache>
            </c:strRef>
          </c:tx>
          <c:spPr>
            <a:solidFill>
              <a:srgbClr val="A8D7E2"/>
            </a:solidFill>
            <a:ln w="25400">
              <a:noFill/>
            </a:ln>
          </c:spPr>
          <c:invertIfNegative val="0"/>
          <c:cat>
            <c:numRef>
              <c:f>'Charts - Annual'!$Q$3:$S$3</c:f>
              <c:numCache>
                <c:formatCode>General</c:formatCode>
                <c:ptCount val="3"/>
                <c:pt idx="0">
                  <c:v>2013</c:v>
                </c:pt>
                <c:pt idx="1">
                  <c:v>2014</c:v>
                </c:pt>
                <c:pt idx="2">
                  <c:v>2015</c:v>
                </c:pt>
              </c:numCache>
            </c:numRef>
          </c:cat>
          <c:val>
            <c:numRef>
              <c:f>'Charts - Annual'!$Q$489:$S$489</c:f>
              <c:numCache>
                <c:formatCode>#,##0_);\(#,##0\)</c:formatCode>
                <c:ptCount val="3"/>
                <c:pt idx="0">
                  <c:v>320</c:v>
                </c:pt>
              </c:numCache>
            </c:numRef>
          </c:val>
        </c:ser>
        <c:ser>
          <c:idx val="4"/>
          <c:order val="4"/>
          <c:tx>
            <c:strRef>
              <c:f>'Charts - Annual'!$B$490</c:f>
              <c:strCache>
                <c:ptCount val="1"/>
                <c:pt idx="0">
                  <c:v>SV5 - Phase 2 (Silicon Valley)</c:v>
                </c:pt>
              </c:strCache>
            </c:strRef>
          </c:tx>
          <c:spPr>
            <a:solidFill>
              <a:srgbClr val="F8CD14"/>
            </a:solidFill>
            <a:ln w="25400">
              <a:noFill/>
            </a:ln>
          </c:spPr>
          <c:invertIfNegative val="0"/>
          <c:cat>
            <c:numRef>
              <c:f>'Charts - Annual'!$Q$3:$S$3</c:f>
              <c:numCache>
                <c:formatCode>General</c:formatCode>
                <c:ptCount val="3"/>
                <c:pt idx="0">
                  <c:v>2013</c:v>
                </c:pt>
                <c:pt idx="1">
                  <c:v>2014</c:v>
                </c:pt>
                <c:pt idx="2">
                  <c:v>2015</c:v>
                </c:pt>
              </c:numCache>
            </c:numRef>
          </c:cat>
          <c:val>
            <c:numRef>
              <c:f>'Charts - Annual'!$Q$490:$S$490</c:f>
              <c:numCache>
                <c:formatCode>#,##0_);\(#,##0\)</c:formatCode>
                <c:ptCount val="3"/>
                <c:pt idx="0">
                  <c:v>715</c:v>
                </c:pt>
              </c:numCache>
            </c:numRef>
          </c:val>
        </c:ser>
        <c:ser>
          <c:idx val="5"/>
          <c:order val="5"/>
          <c:tx>
            <c:strRef>
              <c:f>'Charts - Annual'!$B$491</c:f>
              <c:strCache>
                <c:ptCount val="1"/>
                <c:pt idx="0">
                  <c:v>DC10 - Phase 3 (Ashburn)</c:v>
                </c:pt>
              </c:strCache>
            </c:strRef>
          </c:tx>
          <c:spPr>
            <a:solidFill>
              <a:srgbClr val="808080"/>
            </a:solidFill>
            <a:ln w="25400">
              <a:noFill/>
            </a:ln>
          </c:spPr>
          <c:invertIfNegative val="0"/>
          <c:cat>
            <c:numRef>
              <c:f>'Charts - Annual'!$Q$3:$S$3</c:f>
              <c:numCache>
                <c:formatCode>General</c:formatCode>
                <c:ptCount val="3"/>
                <c:pt idx="0">
                  <c:v>2013</c:v>
                </c:pt>
                <c:pt idx="1">
                  <c:v>2014</c:v>
                </c:pt>
                <c:pt idx="2">
                  <c:v>2015</c:v>
                </c:pt>
              </c:numCache>
            </c:numRef>
          </c:cat>
          <c:val>
            <c:numRef>
              <c:f>'Charts - Annual'!$Q$491:$S$491</c:f>
              <c:numCache>
                <c:formatCode>"$"#,##0.00</c:formatCode>
                <c:ptCount val="3"/>
                <c:pt idx="0" formatCode="#,##0_);\(#,##0\)">
                  <c:v>680</c:v>
                </c:pt>
              </c:numCache>
            </c:numRef>
          </c:val>
        </c:ser>
        <c:ser>
          <c:idx val="6"/>
          <c:order val="6"/>
          <c:tx>
            <c:strRef>
              <c:f>'Charts - Annual'!$B$492</c:f>
              <c:strCache>
                <c:ptCount val="1"/>
                <c:pt idx="0">
                  <c:v>DX1 (Dubai)</c:v>
                </c:pt>
              </c:strCache>
            </c:strRef>
          </c:tx>
          <c:spPr>
            <a:solidFill>
              <a:srgbClr val="8E466A"/>
            </a:solidFill>
            <a:ln w="25400">
              <a:noFill/>
            </a:ln>
          </c:spPr>
          <c:invertIfNegative val="0"/>
          <c:cat>
            <c:numRef>
              <c:f>'Charts - Annual'!$Q$3:$S$3</c:f>
              <c:numCache>
                <c:formatCode>General</c:formatCode>
                <c:ptCount val="3"/>
                <c:pt idx="0">
                  <c:v>2013</c:v>
                </c:pt>
                <c:pt idx="1">
                  <c:v>2014</c:v>
                </c:pt>
                <c:pt idx="2">
                  <c:v>2015</c:v>
                </c:pt>
              </c:numCache>
            </c:numRef>
          </c:cat>
          <c:val>
            <c:numRef>
              <c:f>'Charts - Annual'!$Q$492:$S$492</c:f>
              <c:numCache>
                <c:formatCode>"$"#,##0.00</c:formatCode>
                <c:ptCount val="3"/>
                <c:pt idx="0" formatCode="#,##0_);\(#,##0\)">
                  <c:v>280</c:v>
                </c:pt>
              </c:numCache>
            </c:numRef>
          </c:val>
        </c:ser>
        <c:ser>
          <c:idx val="7"/>
          <c:order val="7"/>
          <c:tx>
            <c:strRef>
              <c:f>'Charts - Annual'!$B$493</c:f>
              <c:strCache>
                <c:ptCount val="1"/>
                <c:pt idx="0">
                  <c:v>ZH5 - Phase 1 (Zurich)</c:v>
                </c:pt>
              </c:strCache>
            </c:strRef>
          </c:tx>
          <c:spPr>
            <a:solidFill>
              <a:srgbClr val="F3A7A9"/>
            </a:solidFill>
            <a:ln w="25400">
              <a:noFill/>
            </a:ln>
          </c:spPr>
          <c:invertIfNegative val="0"/>
          <c:cat>
            <c:numRef>
              <c:f>'Charts - Annual'!$Q$3:$S$3</c:f>
              <c:numCache>
                <c:formatCode>General</c:formatCode>
                <c:ptCount val="3"/>
                <c:pt idx="0">
                  <c:v>2013</c:v>
                </c:pt>
                <c:pt idx="1">
                  <c:v>2014</c:v>
                </c:pt>
                <c:pt idx="2">
                  <c:v>2015</c:v>
                </c:pt>
              </c:numCache>
            </c:numRef>
          </c:cat>
          <c:val>
            <c:numRef>
              <c:f>'Charts - Annual'!$Q$493:$S$493</c:f>
              <c:numCache>
                <c:formatCode>"$"#,##0.00</c:formatCode>
                <c:ptCount val="3"/>
                <c:pt idx="0" formatCode="#,##0_);\(#,##0\)">
                  <c:v>425</c:v>
                </c:pt>
              </c:numCache>
            </c:numRef>
          </c:val>
        </c:ser>
        <c:ser>
          <c:idx val="8"/>
          <c:order val="8"/>
          <c:tx>
            <c:strRef>
              <c:f>'Charts - Annual'!$B$494</c:f>
              <c:strCache>
                <c:ptCount val="1"/>
                <c:pt idx="0">
                  <c:v>FR5 - Phase 2 (Frankfurt)</c:v>
                </c:pt>
              </c:strCache>
            </c:strRef>
          </c:tx>
          <c:spPr>
            <a:solidFill>
              <a:srgbClr val="1275A6"/>
            </a:solidFill>
            <a:ln w="25400">
              <a:noFill/>
            </a:ln>
          </c:spPr>
          <c:invertIfNegative val="0"/>
          <c:cat>
            <c:numRef>
              <c:f>'Charts - Annual'!$Q$3:$S$3</c:f>
              <c:numCache>
                <c:formatCode>General</c:formatCode>
                <c:ptCount val="3"/>
                <c:pt idx="0">
                  <c:v>2013</c:v>
                </c:pt>
                <c:pt idx="1">
                  <c:v>2014</c:v>
                </c:pt>
                <c:pt idx="2">
                  <c:v>2015</c:v>
                </c:pt>
              </c:numCache>
            </c:numRef>
          </c:cat>
          <c:val>
            <c:numRef>
              <c:f>'Charts - Annual'!$Q$494:$S$494</c:f>
              <c:numCache>
                <c:formatCode>"$"#,##0.00</c:formatCode>
                <c:ptCount val="3"/>
                <c:pt idx="0" formatCode="#,##0_);\(#,##0\)">
                  <c:v>500</c:v>
                </c:pt>
              </c:numCache>
            </c:numRef>
          </c:val>
        </c:ser>
        <c:ser>
          <c:idx val="9"/>
          <c:order val="9"/>
          <c:tx>
            <c:strRef>
              <c:f>'Charts - Annual'!$B$495</c:f>
              <c:strCache>
                <c:ptCount val="1"/>
                <c:pt idx="0">
                  <c:v>LD5 - Phase 4 (London)</c:v>
                </c:pt>
              </c:strCache>
            </c:strRef>
          </c:tx>
          <c:spPr>
            <a:solidFill>
              <a:srgbClr val="E5BF61"/>
            </a:solidFill>
            <a:ln w="25400">
              <a:noFill/>
            </a:ln>
          </c:spPr>
          <c:invertIfNegative val="0"/>
          <c:cat>
            <c:numRef>
              <c:f>'Charts - Annual'!$Q$3:$S$3</c:f>
              <c:numCache>
                <c:formatCode>General</c:formatCode>
                <c:ptCount val="3"/>
                <c:pt idx="0">
                  <c:v>2013</c:v>
                </c:pt>
                <c:pt idx="1">
                  <c:v>2014</c:v>
                </c:pt>
                <c:pt idx="2">
                  <c:v>2015</c:v>
                </c:pt>
              </c:numCache>
            </c:numRef>
          </c:cat>
          <c:val>
            <c:numRef>
              <c:f>'Charts - Annual'!$Q$495:$S$495</c:f>
              <c:numCache>
                <c:formatCode>"$"#,##0.00</c:formatCode>
                <c:ptCount val="3"/>
                <c:pt idx="0" formatCode="#,##0_);\(#,##0\)">
                  <c:v>1475</c:v>
                </c:pt>
              </c:numCache>
            </c:numRef>
          </c:val>
        </c:ser>
        <c:ser>
          <c:idx val="10"/>
          <c:order val="10"/>
          <c:tx>
            <c:strRef>
              <c:f>'Charts - Annual'!$B$496</c:f>
              <c:strCache>
                <c:ptCount val="1"/>
                <c:pt idx="0">
                  <c:v>SH5 - Phase 2 (Shanghai)</c:v>
                </c:pt>
              </c:strCache>
            </c:strRef>
          </c:tx>
          <c:spPr>
            <a:solidFill>
              <a:srgbClr val="4AAC6B"/>
            </a:solidFill>
            <a:ln w="25400">
              <a:noFill/>
            </a:ln>
          </c:spPr>
          <c:invertIfNegative val="0"/>
          <c:cat>
            <c:numRef>
              <c:f>'Charts - Annual'!$Q$3:$S$3</c:f>
              <c:numCache>
                <c:formatCode>General</c:formatCode>
                <c:ptCount val="3"/>
                <c:pt idx="0">
                  <c:v>2013</c:v>
                </c:pt>
                <c:pt idx="1">
                  <c:v>2014</c:v>
                </c:pt>
                <c:pt idx="2">
                  <c:v>2015</c:v>
                </c:pt>
              </c:numCache>
            </c:numRef>
          </c:cat>
          <c:val>
            <c:numRef>
              <c:f>'Charts - Annual'!$Q$496:$S$496</c:f>
              <c:numCache>
                <c:formatCode>"$"#,##0.00</c:formatCode>
                <c:ptCount val="3"/>
                <c:pt idx="0" formatCode="#,##0_);\(#,##0\)">
                  <c:v>325</c:v>
                </c:pt>
              </c:numCache>
            </c:numRef>
          </c:val>
        </c:ser>
        <c:ser>
          <c:idx val="11"/>
          <c:order val="11"/>
          <c:tx>
            <c:strRef>
              <c:f>'Charts - Annual'!$B$497</c:f>
              <c:strCache>
                <c:ptCount val="1"/>
                <c:pt idx="0">
                  <c:v>TY4 - Phase 1 (Tokyo)</c:v>
                </c:pt>
              </c:strCache>
            </c:strRef>
          </c:tx>
          <c:spPr>
            <a:solidFill>
              <a:srgbClr val="97D0DD"/>
            </a:solidFill>
            <a:ln w="25400">
              <a:noFill/>
            </a:ln>
          </c:spPr>
          <c:invertIfNegative val="0"/>
          <c:cat>
            <c:numRef>
              <c:f>'Charts - Annual'!$Q$3:$S$3</c:f>
              <c:numCache>
                <c:formatCode>General</c:formatCode>
                <c:ptCount val="3"/>
                <c:pt idx="0">
                  <c:v>2013</c:v>
                </c:pt>
                <c:pt idx="1">
                  <c:v>2014</c:v>
                </c:pt>
                <c:pt idx="2">
                  <c:v>2015</c:v>
                </c:pt>
              </c:numCache>
            </c:numRef>
          </c:cat>
          <c:val>
            <c:numRef>
              <c:f>'Charts - Annual'!$Q$497:$S$497</c:f>
              <c:numCache>
                <c:formatCode>"$"#,##0.00</c:formatCode>
                <c:ptCount val="3"/>
                <c:pt idx="0" formatCode="#,##0_);\(#,##0\)">
                  <c:v>450</c:v>
                </c:pt>
              </c:numCache>
            </c:numRef>
          </c:val>
        </c:ser>
        <c:ser>
          <c:idx val="12"/>
          <c:order val="12"/>
          <c:tx>
            <c:strRef>
              <c:f>'Charts - Annual'!$B$498</c:f>
              <c:strCache>
                <c:ptCount val="1"/>
                <c:pt idx="0">
                  <c:v>OS1 - Phase 1 (Osaka)</c:v>
                </c:pt>
              </c:strCache>
            </c:strRef>
          </c:tx>
          <c:spPr>
            <a:solidFill>
              <a:srgbClr val="763A58"/>
            </a:solidFill>
            <a:ln w="25400">
              <a:noFill/>
            </a:ln>
          </c:spPr>
          <c:invertIfNegative val="0"/>
          <c:cat>
            <c:numRef>
              <c:f>'Charts - Annual'!$Q$3:$S$3</c:f>
              <c:numCache>
                <c:formatCode>General</c:formatCode>
                <c:ptCount val="3"/>
                <c:pt idx="0">
                  <c:v>2013</c:v>
                </c:pt>
                <c:pt idx="1">
                  <c:v>2014</c:v>
                </c:pt>
                <c:pt idx="2">
                  <c:v>2015</c:v>
                </c:pt>
              </c:numCache>
            </c:numRef>
          </c:cat>
          <c:val>
            <c:numRef>
              <c:f>'Charts - Annual'!$Q$498:$S$498</c:f>
              <c:numCache>
                <c:formatCode>"$"#,##0.00</c:formatCode>
                <c:ptCount val="3"/>
                <c:pt idx="0" formatCode="#,##0_);\(#,##0\)">
                  <c:v>320</c:v>
                </c:pt>
              </c:numCache>
            </c:numRef>
          </c:val>
        </c:ser>
        <c:ser>
          <c:idx val="13"/>
          <c:order val="13"/>
          <c:tx>
            <c:strRef>
              <c:f>'Charts - Annual'!$B$499</c:f>
              <c:strCache>
                <c:ptCount val="1"/>
                <c:pt idx="0">
                  <c:v>SG2 - Phase 5 (Singapore)</c:v>
                </c:pt>
              </c:strCache>
            </c:strRef>
          </c:tx>
          <c:spPr>
            <a:solidFill>
              <a:srgbClr val="EF8D8F"/>
            </a:solidFill>
            <a:ln w="25400">
              <a:noFill/>
            </a:ln>
          </c:spPr>
          <c:invertIfNegative val="0"/>
          <c:cat>
            <c:numRef>
              <c:f>'Charts - Annual'!$Q$3:$S$3</c:f>
              <c:numCache>
                <c:formatCode>General</c:formatCode>
                <c:ptCount val="3"/>
                <c:pt idx="0">
                  <c:v>2013</c:v>
                </c:pt>
                <c:pt idx="1">
                  <c:v>2014</c:v>
                </c:pt>
                <c:pt idx="2">
                  <c:v>2015</c:v>
                </c:pt>
              </c:numCache>
            </c:numRef>
          </c:cat>
          <c:val>
            <c:numRef>
              <c:f>'Charts - Annual'!$Q$499:$S$499</c:f>
              <c:numCache>
                <c:formatCode>"$"#,##0.00</c:formatCode>
                <c:ptCount val="3"/>
                <c:pt idx="0" formatCode="#,##0_);\(#,##0\)">
                  <c:v>920</c:v>
                </c:pt>
              </c:numCache>
            </c:numRef>
          </c:val>
        </c:ser>
        <c:ser>
          <c:idx val="14"/>
          <c:order val="14"/>
          <c:tx>
            <c:strRef>
              <c:f>'Charts - Annual'!$B$500</c:f>
              <c:strCache>
                <c:ptCount val="1"/>
                <c:pt idx="0">
                  <c:v>2Q13 Announcements</c:v>
                </c:pt>
              </c:strCache>
            </c:strRef>
          </c:tx>
          <c:spPr>
            <a:solidFill>
              <a:srgbClr val="E2704C"/>
            </a:solidFill>
            <a:ln w="25400">
              <a:noFill/>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numRef>
              <c:f>'Charts - Annual'!$Q$3:$S$3</c:f>
              <c:numCache>
                <c:formatCode>General</c:formatCode>
                <c:ptCount val="3"/>
                <c:pt idx="0">
                  <c:v>2013</c:v>
                </c:pt>
                <c:pt idx="1">
                  <c:v>2014</c:v>
                </c:pt>
                <c:pt idx="2">
                  <c:v>2015</c:v>
                </c:pt>
              </c:numCache>
            </c:numRef>
          </c:cat>
          <c:val>
            <c:numRef>
              <c:f>'Charts - Annual'!$Q$500:$S$500</c:f>
              <c:numCache>
                <c:formatCode>#,##0_);\(#,##0\)</c:formatCode>
                <c:ptCount val="3"/>
                <c:pt idx="1">
                  <c:v>3775</c:v>
                </c:pt>
              </c:numCache>
            </c:numRef>
          </c:val>
        </c:ser>
        <c:ser>
          <c:idx val="15"/>
          <c:order val="15"/>
          <c:tx>
            <c:strRef>
              <c:f>'Charts - Annual'!$B$501</c:f>
              <c:strCache>
                <c:ptCount val="1"/>
                <c:pt idx="0">
                  <c:v>3Q13 Announcements</c:v>
                </c:pt>
              </c:strCache>
            </c:strRef>
          </c:tx>
          <c:spPr>
            <a:solidFill>
              <a:srgbClr val="A5D981"/>
            </a:solidFill>
            <a:ln w="25400">
              <a:noFill/>
            </a:ln>
          </c:spPr>
          <c:invertIfNegative val="0"/>
          <c:dLbls>
            <c:dLbl>
              <c:idx val="1"/>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dLbl>
            <c:showLegendKey val="0"/>
            <c:showVal val="0"/>
            <c:showCatName val="0"/>
            <c:showSerName val="0"/>
            <c:showPercent val="0"/>
            <c:showBubbleSize val="0"/>
          </c:dLbls>
          <c:cat>
            <c:numRef>
              <c:f>'Charts - Annual'!$Q$3:$S$3</c:f>
              <c:numCache>
                <c:formatCode>General</c:formatCode>
                <c:ptCount val="3"/>
                <c:pt idx="0">
                  <c:v>2013</c:v>
                </c:pt>
                <c:pt idx="1">
                  <c:v>2014</c:v>
                </c:pt>
                <c:pt idx="2">
                  <c:v>2015</c:v>
                </c:pt>
              </c:numCache>
            </c:numRef>
          </c:cat>
          <c:val>
            <c:numRef>
              <c:f>'Charts - Annual'!$Q$501:$S$501</c:f>
              <c:numCache>
                <c:formatCode>#,##0_);\(#,##0\)</c:formatCode>
                <c:ptCount val="3"/>
                <c:pt idx="1">
                  <c:v>1275</c:v>
                </c:pt>
              </c:numCache>
            </c:numRef>
          </c:val>
        </c:ser>
        <c:ser>
          <c:idx val="16"/>
          <c:order val="16"/>
          <c:tx>
            <c:strRef>
              <c:f>'Charts - Annual'!$B$502</c:f>
              <c:strCache>
                <c:ptCount val="1"/>
                <c:pt idx="0">
                  <c:v>NY6 - Phase 1 (New York)</c:v>
                </c:pt>
              </c:strCache>
            </c:strRef>
          </c:tx>
          <c:spPr>
            <a:solidFill>
              <a:srgbClr val="800080"/>
            </a:solidFill>
            <a:ln w="25400">
              <a:noFill/>
            </a:ln>
          </c:spPr>
          <c:invertIfNegative val="0"/>
          <c:cat>
            <c:numRef>
              <c:f>'Charts - Annual'!$Q$3:$S$3</c:f>
              <c:numCache>
                <c:formatCode>General</c:formatCode>
                <c:ptCount val="3"/>
                <c:pt idx="0">
                  <c:v>2013</c:v>
                </c:pt>
                <c:pt idx="1">
                  <c:v>2014</c:v>
                </c:pt>
                <c:pt idx="2">
                  <c:v>2015</c:v>
                </c:pt>
              </c:numCache>
            </c:numRef>
          </c:cat>
          <c:val>
            <c:numRef>
              <c:f>'Charts - Annual'!$Q$502:$S$502</c:f>
              <c:numCache>
                <c:formatCode>#,##0_);\(#,##0\)</c:formatCode>
                <c:ptCount val="3"/>
                <c:pt idx="2">
                  <c:v>720</c:v>
                </c:pt>
              </c:numCache>
            </c:numRef>
          </c:val>
        </c:ser>
        <c:ser>
          <c:idx val="17"/>
          <c:order val="17"/>
          <c:tx>
            <c:strRef>
              <c:f>'Charts - Annual'!$B$503</c:f>
              <c:strCache>
                <c:ptCount val="1"/>
                <c:pt idx="0">
                  <c:v>LD6 - Phase 1 (London)</c:v>
                </c:pt>
              </c:strCache>
            </c:strRef>
          </c:tx>
          <c:spPr>
            <a:solidFill>
              <a:srgbClr val="F3EEA1"/>
            </a:solidFill>
            <a:ln w="25400">
              <a:noFill/>
            </a:ln>
          </c:spPr>
          <c:invertIfNegative val="0"/>
          <c:cat>
            <c:numRef>
              <c:f>'Charts - Annual'!$Q$3:$S$3</c:f>
              <c:numCache>
                <c:formatCode>General</c:formatCode>
                <c:ptCount val="3"/>
                <c:pt idx="0">
                  <c:v>2013</c:v>
                </c:pt>
                <c:pt idx="1">
                  <c:v>2014</c:v>
                </c:pt>
                <c:pt idx="2">
                  <c:v>2015</c:v>
                </c:pt>
              </c:numCache>
            </c:numRef>
          </c:cat>
          <c:val>
            <c:numRef>
              <c:f>'Charts - Annual'!$Q$503:$S$503</c:f>
              <c:numCache>
                <c:formatCode>#,##0_);\(#,##0\)</c:formatCode>
                <c:ptCount val="3"/>
                <c:pt idx="2">
                  <c:v>1385</c:v>
                </c:pt>
              </c:numCache>
            </c:numRef>
          </c:val>
        </c:ser>
        <c:ser>
          <c:idx val="18"/>
          <c:order val="18"/>
          <c:tx>
            <c:strRef>
              <c:f>'Charts - Annual'!$B$504</c:f>
              <c:strCache>
                <c:ptCount val="1"/>
                <c:pt idx="0">
                  <c:v>TOTAL</c:v>
                </c:pt>
              </c:strCache>
            </c:strRef>
          </c:tx>
          <c:spPr>
            <a:noFill/>
            <a:ln w="25400">
              <a:noFill/>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inBase"/>
            <c:showLegendKey val="0"/>
            <c:showVal val="1"/>
            <c:showCatName val="0"/>
            <c:showSerName val="0"/>
            <c:showPercent val="0"/>
            <c:showBubbleSize val="0"/>
            <c:showLeaderLines val="0"/>
          </c:dLbls>
          <c:cat>
            <c:numRef>
              <c:f>'Charts - Annual'!$Q$3:$S$3</c:f>
              <c:numCache>
                <c:formatCode>General</c:formatCode>
                <c:ptCount val="3"/>
                <c:pt idx="0">
                  <c:v>2013</c:v>
                </c:pt>
                <c:pt idx="1">
                  <c:v>2014</c:v>
                </c:pt>
                <c:pt idx="2">
                  <c:v>2015</c:v>
                </c:pt>
              </c:numCache>
            </c:numRef>
          </c:cat>
          <c:val>
            <c:numRef>
              <c:f>'Charts - Annual'!$Q$504:$S$504</c:f>
              <c:numCache>
                <c:formatCode>#,##0_);\(#,##0\)</c:formatCode>
                <c:ptCount val="3"/>
                <c:pt idx="0">
                  <c:v>9340</c:v>
                </c:pt>
                <c:pt idx="1">
                  <c:v>5050</c:v>
                </c:pt>
                <c:pt idx="2">
                  <c:v>2105</c:v>
                </c:pt>
              </c:numCache>
            </c:numRef>
          </c:val>
        </c:ser>
        <c:dLbls>
          <c:showLegendKey val="0"/>
          <c:showVal val="0"/>
          <c:showCatName val="0"/>
          <c:showSerName val="0"/>
          <c:showPercent val="0"/>
          <c:showBubbleSize val="0"/>
        </c:dLbls>
        <c:gapWidth val="150"/>
        <c:overlap val="100"/>
        <c:axId val="320906368"/>
        <c:axId val="320927616"/>
      </c:barChart>
      <c:catAx>
        <c:axId val="3209063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20927616"/>
        <c:crosses val="autoZero"/>
        <c:auto val="0"/>
        <c:lblAlgn val="ctr"/>
        <c:lblOffset val="100"/>
        <c:tickLblSkip val="1"/>
        <c:tickMarkSkip val="1"/>
        <c:noMultiLvlLbl val="0"/>
      </c:catAx>
      <c:valAx>
        <c:axId val="320927616"/>
        <c:scaling>
          <c:orientation val="minMax"/>
          <c:max val="10000"/>
        </c:scaling>
        <c:delete val="0"/>
        <c:axPos val="l"/>
        <c:majorGridlines>
          <c:spPr>
            <a:ln w="3175">
              <a:solidFill>
                <a:srgbClr val="C0C0C0"/>
              </a:solidFill>
              <a:prstDash val="solid"/>
            </a:ln>
          </c:spPr>
        </c:majorGridlines>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20906368"/>
        <c:crosses val="autoZero"/>
        <c:crossBetween val="between"/>
        <c:majorUnit val="2000"/>
      </c:valAx>
      <c:spPr>
        <a:noFill/>
        <a:ln w="25400">
          <a:noFill/>
        </a:ln>
      </c:spPr>
    </c:plotArea>
    <c:legend>
      <c:legendPos val="b"/>
      <c:legendEntry>
        <c:idx val="0"/>
        <c:delete val="1"/>
      </c:legendEntry>
      <c:legendEntry>
        <c:idx val="1"/>
        <c:delete val="1"/>
      </c:legendEntry>
      <c:legendEntry>
        <c:idx val="2"/>
        <c:delete val="1"/>
      </c:legendEntry>
      <c:legendEntry>
        <c:idx val="5"/>
        <c:delete val="1"/>
      </c:legendEntry>
      <c:legendEntry>
        <c:idx val="6"/>
        <c:delete val="1"/>
      </c:legendEntry>
      <c:legendEntry>
        <c:idx val="7"/>
        <c:delete val="1"/>
      </c:legendEntry>
      <c:legendEntry>
        <c:idx val="8"/>
        <c:delete val="1"/>
      </c:legendEntry>
      <c:legendEntry>
        <c:idx val="9"/>
        <c:delete val="1"/>
      </c:legendEntry>
      <c:legendEntry>
        <c:idx val="10"/>
        <c:delete val="1"/>
      </c:legendEntry>
      <c:legendEntry>
        <c:idx val="11"/>
        <c:delete val="1"/>
      </c:legendEntry>
      <c:legendEntry>
        <c:idx val="12"/>
        <c:delete val="1"/>
      </c:legendEntry>
      <c:legendEntry>
        <c:idx val="13"/>
        <c:delete val="1"/>
      </c:legendEntry>
      <c:legendEntry>
        <c:idx val="14"/>
        <c:delete val="1"/>
      </c:legendEntry>
      <c:legendEntry>
        <c:idx val="15"/>
        <c:delete val="1"/>
      </c:legendEntry>
      <c:legendEntry>
        <c:idx val="16"/>
        <c:delete val="1"/>
      </c:legendEntry>
      <c:legendEntry>
        <c:idx val="17"/>
        <c:delete val="1"/>
      </c:legendEntry>
      <c:legendEntry>
        <c:idx val="18"/>
        <c:delete val="1"/>
      </c:legendEntry>
      <c:layout>
        <c:manualLayout>
          <c:xMode val="edge"/>
          <c:yMode val="edge"/>
          <c:x val="0.39068825910931176"/>
          <c:y val="1.8450184501845018E-2"/>
          <c:w val="0.59716599190283404"/>
          <c:h val="8.1180811808118078E-2"/>
        </c:manualLayout>
      </c:layout>
      <c:overlay val="0"/>
      <c:spPr>
        <a:noFill/>
        <a:ln w="25400">
          <a:noFill/>
        </a:ln>
      </c:spPr>
      <c:txPr>
        <a:bodyPr/>
        <a:lstStyle/>
        <a:p>
          <a:pPr>
            <a:defRPr sz="16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7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TOTAL REVENUES</a:t>
            </a:r>
          </a:p>
        </c:rich>
      </c:tx>
      <c:layout>
        <c:manualLayout>
          <c:xMode val="edge"/>
          <c:yMode val="edge"/>
          <c:x val="2.5672641983581837E-3"/>
          <c:y val="0"/>
        </c:manualLayout>
      </c:layout>
      <c:overlay val="1"/>
    </c:title>
    <c:autoTitleDeleted val="0"/>
    <c:plotArea>
      <c:layout>
        <c:manualLayout>
          <c:layoutTarget val="inner"/>
          <c:xMode val="edge"/>
          <c:yMode val="edge"/>
          <c:x val="0.14609929078014183"/>
          <c:y val="0.12260675160332962"/>
          <c:w val="0.70851063829787231"/>
          <c:h val="0.7087124029975802"/>
        </c:manualLayout>
      </c:layout>
      <c:barChart>
        <c:barDir val="col"/>
        <c:grouping val="clustered"/>
        <c:varyColors val="0"/>
        <c:ser>
          <c:idx val="1"/>
          <c:order val="0"/>
          <c:tx>
            <c:strRef>
              <c:f>'Charts - Annual'!$B$4</c:f>
              <c:strCache>
                <c:ptCount val="1"/>
                <c:pt idx="0">
                  <c:v>Revenue</c:v>
                </c:pt>
              </c:strCache>
            </c:strRef>
          </c:tx>
          <c:spPr>
            <a:solidFill>
              <a:srgbClr val="EACC80"/>
            </a:solidFill>
            <a:ln w="25400">
              <a:noFill/>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inBase"/>
            <c:showLegendKey val="0"/>
            <c:showVal val="1"/>
            <c:showCatName val="0"/>
            <c:showSerName val="0"/>
            <c:showPercent val="0"/>
            <c:showBubbleSize val="0"/>
            <c:showLeaderLines val="0"/>
          </c:dLbls>
          <c:cat>
            <c:strRef>
              <c:f>'Charts - Annual'!$Q$3:$V$3</c:f>
              <c:strCache>
                <c:ptCount val="6"/>
                <c:pt idx="0">
                  <c:v>2013</c:v>
                </c:pt>
                <c:pt idx="1">
                  <c:v>2014</c:v>
                </c:pt>
                <c:pt idx="2">
                  <c:v>2015</c:v>
                </c:pt>
                <c:pt idx="3">
                  <c:v>2016</c:v>
                </c:pt>
                <c:pt idx="4">
                  <c:v>2017</c:v>
                </c:pt>
                <c:pt idx="5">
                  <c:v>2018E</c:v>
                </c:pt>
              </c:strCache>
            </c:strRef>
          </c:cat>
          <c:val>
            <c:numRef>
              <c:f>'Charts - Annual'!$Q$4:$V$4</c:f>
              <c:numCache>
                <c:formatCode>"$"#,##0_);\("$"#,##0\)</c:formatCode>
                <c:ptCount val="6"/>
                <c:pt idx="0">
                  <c:v>2152.7660000000001</c:v>
                </c:pt>
                <c:pt idx="1">
                  <c:v>2443.7749999999996</c:v>
                </c:pt>
                <c:pt idx="2">
                  <c:v>2725.8670000000002</c:v>
                </c:pt>
                <c:pt idx="3">
                  <c:v>3611.9889999999996</c:v>
                </c:pt>
                <c:pt idx="4">
                  <c:v>4368.4279999999999</c:v>
                </c:pt>
                <c:pt idx="5">
                  <c:v>5039.1585955911905</c:v>
                </c:pt>
              </c:numCache>
            </c:numRef>
          </c:val>
        </c:ser>
        <c:dLbls>
          <c:showLegendKey val="0"/>
          <c:showVal val="0"/>
          <c:showCatName val="0"/>
          <c:showSerName val="0"/>
          <c:showPercent val="0"/>
          <c:showBubbleSize val="0"/>
        </c:dLbls>
        <c:gapWidth val="150"/>
        <c:axId val="321511424"/>
        <c:axId val="321512960"/>
      </c:barChart>
      <c:lineChart>
        <c:grouping val="standard"/>
        <c:varyColors val="0"/>
        <c:ser>
          <c:idx val="0"/>
          <c:order val="1"/>
          <c:tx>
            <c:strRef>
              <c:f>'Charts - Annual'!$B$5</c:f>
              <c:strCache>
                <c:ptCount val="1"/>
                <c:pt idx="0">
                  <c:v>% Y/Y</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'Charts - Annual'!$Q$3:$V$3</c:f>
              <c:strCache>
                <c:ptCount val="6"/>
                <c:pt idx="0">
                  <c:v>2013</c:v>
                </c:pt>
                <c:pt idx="1">
                  <c:v>2014</c:v>
                </c:pt>
                <c:pt idx="2">
                  <c:v>2015</c:v>
                </c:pt>
                <c:pt idx="3">
                  <c:v>2016</c:v>
                </c:pt>
                <c:pt idx="4">
                  <c:v>2017</c:v>
                </c:pt>
                <c:pt idx="5">
                  <c:v>2018E</c:v>
                </c:pt>
              </c:strCache>
            </c:strRef>
          </c:cat>
          <c:val>
            <c:numRef>
              <c:f>'Charts - Annual'!$Q$5:$V$5</c:f>
              <c:numCache>
                <c:formatCode>0.0%_);\(0.0%\);"–"_)</c:formatCode>
                <c:ptCount val="6"/>
                <c:pt idx="0">
                  <c:v>0.14061321114605674</c:v>
                </c:pt>
                <c:pt idx="1">
                  <c:v>0.13517911375411895</c:v>
                </c:pt>
                <c:pt idx="2">
                  <c:v>0.11543288559707854</c:v>
                </c:pt>
                <c:pt idx="3">
                  <c:v>0.32507895653016061</c:v>
                </c:pt>
                <c:pt idx="4">
                  <c:v>0.20942450267705692</c:v>
                </c:pt>
                <c:pt idx="5">
                  <c:v>0.1535404945649077</c:v>
                </c:pt>
              </c:numCache>
            </c:numRef>
          </c:val>
          <c:smooth val="0"/>
        </c:ser>
        <c:dLbls>
          <c:showLegendKey val="0"/>
          <c:showVal val="0"/>
          <c:showCatName val="0"/>
          <c:showSerName val="0"/>
          <c:showPercent val="0"/>
          <c:showBubbleSize val="0"/>
        </c:dLbls>
        <c:marker val="1"/>
        <c:smooth val="0"/>
        <c:axId val="321514496"/>
        <c:axId val="321524480"/>
      </c:lineChart>
      <c:catAx>
        <c:axId val="321511424"/>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21512960"/>
        <c:crosses val="autoZero"/>
        <c:auto val="0"/>
        <c:lblAlgn val="ctr"/>
        <c:lblOffset val="100"/>
        <c:tickLblSkip val="1"/>
        <c:tickMarkSkip val="1"/>
        <c:noMultiLvlLbl val="0"/>
      </c:catAx>
      <c:valAx>
        <c:axId val="321512960"/>
        <c:scaling>
          <c:orientation val="minMax"/>
        </c:scaling>
        <c:delete val="0"/>
        <c:axPos val="l"/>
        <c:majorGridlines>
          <c:spPr>
            <a:ln w="3175">
              <a:solidFill>
                <a:srgbClr val="C0C0C0"/>
              </a:solidFill>
              <a:prstDash val="solid"/>
            </a:ln>
          </c:spPr>
        </c:majorGridlines>
        <c:numFmt formatCode="&quot;$&quot;#,##0_);\(&quot;$&quot;#,##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21511424"/>
        <c:crosses val="autoZero"/>
        <c:crossBetween val="between"/>
        <c:majorUnit val="1000"/>
      </c:valAx>
      <c:catAx>
        <c:axId val="321514496"/>
        <c:scaling>
          <c:orientation val="minMax"/>
        </c:scaling>
        <c:delete val="1"/>
        <c:axPos val="b"/>
        <c:majorTickMark val="out"/>
        <c:minorTickMark val="none"/>
        <c:tickLblPos val="nextTo"/>
        <c:crossAx val="321524480"/>
        <c:crosses val="autoZero"/>
        <c:auto val="0"/>
        <c:lblAlgn val="ctr"/>
        <c:lblOffset val="100"/>
        <c:noMultiLvlLbl val="0"/>
      </c:catAx>
      <c:valAx>
        <c:axId val="321524480"/>
        <c:scaling>
          <c:orientation val="minMax"/>
        </c:scaling>
        <c:delete val="0"/>
        <c:axPos val="r"/>
        <c:numFmt formatCode="0.0%_);\(0.0%\);&quot;–&quot;_)"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21514496"/>
        <c:crosses val="max"/>
        <c:crossBetween val="between"/>
      </c:valAx>
      <c:spPr>
        <a:noFill/>
        <a:ln w="25400">
          <a:noFill/>
        </a:ln>
      </c:spPr>
    </c:plotArea>
    <c:legend>
      <c:legendPos val="t"/>
      <c:layout>
        <c:manualLayout>
          <c:xMode val="edge"/>
          <c:yMode val="edge"/>
          <c:x val="0.51697570782375601"/>
          <c:y val="0"/>
          <c:w val="0.48302429217624399"/>
          <c:h val="8.5529966648905734E-2"/>
        </c:manualLayout>
      </c:layout>
      <c:overlay val="0"/>
      <c:spPr>
        <a:noFill/>
        <a:ln w="25400">
          <a:noFill/>
        </a:ln>
      </c:spPr>
      <c:txPr>
        <a:bodyPr/>
        <a:lstStyle/>
        <a:p>
          <a:pPr>
            <a:defRPr sz="29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7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862026568360553"/>
          <c:y val="0.19101193458836094"/>
          <c:w val="0.70913098197606073"/>
          <c:h val="0.64045178067862196"/>
        </c:manualLayout>
      </c:layout>
      <c:barChart>
        <c:barDir val="col"/>
        <c:grouping val="clustered"/>
        <c:varyColors val="0"/>
        <c:ser>
          <c:idx val="1"/>
          <c:order val="0"/>
          <c:tx>
            <c:v>MS Revenue</c:v>
          </c:tx>
          <c:spPr>
            <a:solidFill>
              <a:srgbClr val="EACC80"/>
            </a:solidFill>
            <a:ln w="25400">
              <a:noFill/>
            </a:ln>
          </c:spPr>
          <c:invertIfNegative val="0"/>
          <c:dLbls>
            <c:spPr>
              <a:noFill/>
              <a:ln w="25400">
                <a:noFill/>
              </a:ln>
            </c:spPr>
            <c:txPr>
              <a:bodyPr rot="-5400000" vert="horz"/>
              <a:lstStyle/>
              <a:p>
                <a:pPr algn="ctr">
                  <a:defRPr sz="1000" b="0" i="0" u="none" strike="noStrike" baseline="0">
                    <a:solidFill>
                      <a:srgbClr val="000000"/>
                    </a:solidFill>
                    <a:latin typeface="Arial"/>
                    <a:ea typeface="Arial"/>
                    <a:cs typeface="Arial"/>
                  </a:defRPr>
                </a:pPr>
                <a:endParaRPr lang="en-US"/>
              </a:p>
            </c:txPr>
            <c:dLblPos val="outEnd"/>
            <c:showLegendKey val="0"/>
            <c:showVal val="1"/>
            <c:showCatName val="0"/>
            <c:showSerName val="0"/>
            <c:showPercent val="0"/>
            <c:showBubbleSize val="0"/>
            <c:showLeaderLines val="0"/>
          </c:dLbls>
          <c:cat>
            <c:numRef>
              <c:f>'Charts - Annual'!$P$3:$S$3</c:f>
              <c:numCache>
                <c:formatCode>General</c:formatCode>
                <c:ptCount val="4"/>
                <c:pt idx="0">
                  <c:v>2012</c:v>
                </c:pt>
                <c:pt idx="1">
                  <c:v>2013</c:v>
                </c:pt>
                <c:pt idx="2">
                  <c:v>2014</c:v>
                </c:pt>
                <c:pt idx="3">
                  <c:v>2015</c:v>
                </c:pt>
              </c:numCache>
            </c:numRef>
          </c:cat>
          <c:val>
            <c:numRef>
              <c:f>'Charts - Annual'!$P$4:$S$4</c:f>
              <c:numCache>
                <c:formatCode>"$"#,##0_);\("$"#,##0\)</c:formatCode>
                <c:ptCount val="4"/>
                <c:pt idx="0">
                  <c:v>1887.376</c:v>
                </c:pt>
                <c:pt idx="1">
                  <c:v>2152.7660000000001</c:v>
                </c:pt>
                <c:pt idx="2">
                  <c:v>2443.7749999999996</c:v>
                </c:pt>
                <c:pt idx="3">
                  <c:v>2725.8670000000002</c:v>
                </c:pt>
              </c:numCache>
            </c:numRef>
          </c:val>
        </c:ser>
        <c:ser>
          <c:idx val="0"/>
          <c:order val="1"/>
          <c:tx>
            <c:strRef>
              <c:f>'Charts - Annual'!$B$6</c:f>
              <c:strCache>
                <c:ptCount val="1"/>
                <c:pt idx="0">
                  <c:v>Consensus Revenue</c:v>
                </c:pt>
              </c:strCache>
            </c:strRef>
          </c:tx>
          <c:spPr>
            <a:solidFill>
              <a:srgbClr val="4AAC6B"/>
            </a:solidFill>
            <a:ln w="25400">
              <a:noFill/>
            </a:ln>
          </c:spPr>
          <c:invertIfNegative val="0"/>
          <c:dLbls>
            <c:dLbl>
              <c:idx val="2"/>
              <c:layout>
                <c:manualLayout>
                  <c:x val="-2.1484350114806101E-3"/>
                  <c:y val="-4.55963888313448E-2"/>
                </c:manualLayout>
              </c:layout>
              <c:dLblPos val="outEnd"/>
              <c:showLegendKey val="0"/>
              <c:showVal val="1"/>
              <c:showCatName val="0"/>
              <c:showSerName val="0"/>
              <c:showPercent val="0"/>
              <c:showBubbleSize val="0"/>
            </c:dLbl>
            <c:dLbl>
              <c:idx val="3"/>
              <c:layout>
                <c:manualLayout>
                  <c:x val="3.1594648416609578E-3"/>
                  <c:y val="2.6378847526797949E-3"/>
                </c:manualLayout>
              </c:layout>
              <c:dLblPos val="outEnd"/>
              <c:showLegendKey val="0"/>
              <c:showVal val="1"/>
              <c:showCatName val="0"/>
              <c:showSerName val="0"/>
              <c:showPercent val="0"/>
              <c:showBubbleSize val="0"/>
            </c:dLbl>
            <c:spPr>
              <a:noFill/>
              <a:ln w="25400">
                <a:noFill/>
              </a:ln>
            </c:spPr>
            <c:txPr>
              <a:bodyPr rot="-5400000" vert="horz"/>
              <a:lstStyle/>
              <a:p>
                <a:pPr algn="ct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numRef>
              <c:f>'Charts - Annual'!$P$3:$S$3</c:f>
              <c:numCache>
                <c:formatCode>General</c:formatCode>
                <c:ptCount val="4"/>
                <c:pt idx="0">
                  <c:v>2012</c:v>
                </c:pt>
                <c:pt idx="1">
                  <c:v>2013</c:v>
                </c:pt>
                <c:pt idx="2">
                  <c:v>2014</c:v>
                </c:pt>
                <c:pt idx="3">
                  <c:v>2015</c:v>
                </c:pt>
              </c:numCache>
            </c:numRef>
          </c:cat>
          <c:val>
            <c:numRef>
              <c:f>'Charts - Annual'!$P$6:$S$6</c:f>
              <c:numCache>
                <c:formatCode>"$"#,##0_);\("$"#,##0\)</c:formatCode>
                <c:ptCount val="4"/>
                <c:pt idx="2">
                  <c:v>2393.66</c:v>
                </c:pt>
                <c:pt idx="3">
                  <c:v>2655.93</c:v>
                </c:pt>
              </c:numCache>
            </c:numRef>
          </c:val>
        </c:ser>
        <c:dLbls>
          <c:showLegendKey val="0"/>
          <c:showVal val="0"/>
          <c:showCatName val="0"/>
          <c:showSerName val="0"/>
          <c:showPercent val="0"/>
          <c:showBubbleSize val="0"/>
        </c:dLbls>
        <c:gapWidth val="150"/>
        <c:axId val="321573632"/>
        <c:axId val="321575168"/>
      </c:barChart>
      <c:lineChart>
        <c:grouping val="standard"/>
        <c:varyColors val="0"/>
        <c:ser>
          <c:idx val="2"/>
          <c:order val="2"/>
          <c:tx>
            <c:v>MS % Y/Y</c:v>
          </c:tx>
          <c:spPr>
            <a:ln w="12700">
              <a:solidFill>
                <a:srgbClr val="137CB1"/>
              </a:solidFill>
              <a:prstDash val="solid"/>
            </a:ln>
          </c:spPr>
          <c:marker>
            <c:symbol val="triangle"/>
            <c:size val="5"/>
            <c:spPr>
              <a:solidFill>
                <a:srgbClr val="137CB1"/>
              </a:solidFill>
              <a:ln>
                <a:solidFill>
                  <a:srgbClr val="137CB1"/>
                </a:solidFill>
                <a:prstDash val="solid"/>
              </a:ln>
            </c:spPr>
          </c:marker>
          <c:dLbls>
            <c:dLbl>
              <c:idx val="0"/>
              <c:layout>
                <c:manualLayout>
                  <c:x val="-6.8117599085511085E-2"/>
                  <c:y val="-6.3481283916448999E-2"/>
                </c:manualLayout>
              </c:layout>
              <c:dLblPos val="r"/>
              <c:showLegendKey val="0"/>
              <c:showVal val="1"/>
              <c:showCatName val="0"/>
              <c:showSerName val="0"/>
              <c:showPercent val="0"/>
              <c:showBubbleSize val="0"/>
            </c:dLbl>
            <c:dLbl>
              <c:idx val="1"/>
              <c:layout>
                <c:manualLayout>
                  <c:x val="-5.4317112621877717E-2"/>
                  <c:y val="-0.10544572600819592"/>
                </c:manualLayout>
              </c:layout>
              <c:dLblPos val="r"/>
              <c:showLegendKey val="0"/>
              <c:showVal val="1"/>
              <c:showCatName val="0"/>
              <c:showSerName val="0"/>
              <c:showPercent val="0"/>
              <c:showBubbleSize val="0"/>
            </c:dLbl>
            <c:dLbl>
              <c:idx val="2"/>
              <c:layout>
                <c:manualLayout>
                  <c:x val="-8.0856412558080237E-2"/>
                  <c:y val="0.10535301583627012"/>
                </c:manualLayout>
              </c:layout>
              <c:dLblPos val="r"/>
              <c:showLegendKey val="0"/>
              <c:showVal val="1"/>
              <c:showCatName val="0"/>
              <c:showSerName val="0"/>
              <c:showPercent val="0"/>
              <c:showBubbleSize val="0"/>
            </c:dLbl>
            <c:dLbl>
              <c:idx val="3"/>
              <c:layout>
                <c:manualLayout>
                  <c:x val="-6.7055926094446841E-2"/>
                  <c:y val="3.2288294410135344E-2"/>
                </c:manualLayout>
              </c:layout>
              <c:dLblPos val="r"/>
              <c:showLegendKey val="0"/>
              <c:showVal val="1"/>
              <c:showCatName val="0"/>
              <c:showSerName val="0"/>
              <c:showPercent val="0"/>
              <c:showBubbleSize val="0"/>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val>
            <c:numRef>
              <c:f>'Charts - Annual'!$P$5:$S$5</c:f>
              <c:numCache>
                <c:formatCode>0.0%_);\(0.0%\);"–"_)</c:formatCode>
                <c:ptCount val="4"/>
                <c:pt idx="0">
                  <c:v>0.20231573261034619</c:v>
                </c:pt>
                <c:pt idx="1">
                  <c:v>0.14061321114605674</c:v>
                </c:pt>
                <c:pt idx="2">
                  <c:v>0.13517911375411895</c:v>
                </c:pt>
                <c:pt idx="3">
                  <c:v>0.11543288559707854</c:v>
                </c:pt>
              </c:numCache>
            </c:numRef>
          </c:val>
          <c:smooth val="0"/>
        </c:ser>
        <c:dLbls>
          <c:showLegendKey val="0"/>
          <c:showVal val="0"/>
          <c:showCatName val="0"/>
          <c:showSerName val="0"/>
          <c:showPercent val="0"/>
          <c:showBubbleSize val="0"/>
        </c:dLbls>
        <c:marker val="1"/>
        <c:smooth val="0"/>
        <c:axId val="321581056"/>
        <c:axId val="321582592"/>
      </c:lineChart>
      <c:catAx>
        <c:axId val="321573632"/>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21575168"/>
        <c:crosses val="autoZero"/>
        <c:auto val="0"/>
        <c:lblAlgn val="ctr"/>
        <c:lblOffset val="100"/>
        <c:tickLblSkip val="1"/>
        <c:tickMarkSkip val="1"/>
        <c:noMultiLvlLbl val="0"/>
      </c:catAx>
      <c:valAx>
        <c:axId val="321575168"/>
        <c:scaling>
          <c:orientation val="minMax"/>
          <c:max val="3000"/>
          <c:min val="1750"/>
        </c:scaling>
        <c:delete val="0"/>
        <c:axPos val="l"/>
        <c:majorGridlines>
          <c:spPr>
            <a:ln w="3175">
              <a:solidFill>
                <a:srgbClr val="C0C0C0"/>
              </a:solidFill>
              <a:prstDash val="solid"/>
            </a:ln>
          </c:spPr>
        </c:majorGridlines>
        <c:numFmt formatCode="&quot;$&quot;#,##0_);\(&quot;$&quot;#,##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21573632"/>
        <c:crosses val="autoZero"/>
        <c:crossBetween val="between"/>
        <c:majorUnit val="250"/>
      </c:valAx>
      <c:catAx>
        <c:axId val="321581056"/>
        <c:scaling>
          <c:orientation val="minMax"/>
        </c:scaling>
        <c:delete val="1"/>
        <c:axPos val="b"/>
        <c:majorTickMark val="out"/>
        <c:minorTickMark val="none"/>
        <c:tickLblPos val="nextTo"/>
        <c:crossAx val="321582592"/>
        <c:crosses val="autoZero"/>
        <c:auto val="0"/>
        <c:lblAlgn val="ctr"/>
        <c:lblOffset val="100"/>
        <c:noMultiLvlLbl val="0"/>
      </c:catAx>
      <c:valAx>
        <c:axId val="321582592"/>
        <c:scaling>
          <c:orientation val="minMax"/>
        </c:scaling>
        <c:delete val="0"/>
        <c:axPos val="r"/>
        <c:numFmt formatCode="0.0%_);\(0.0%\);&quot;–&quot;_)"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21581056"/>
        <c:crosses val="max"/>
        <c:crossBetween val="between"/>
      </c:valAx>
      <c:spPr>
        <a:noFill/>
        <a:ln w="25400">
          <a:noFill/>
        </a:ln>
      </c:spPr>
    </c:plotArea>
    <c:legend>
      <c:legendPos val="t"/>
      <c:layout>
        <c:manualLayout>
          <c:xMode val="edge"/>
          <c:yMode val="edge"/>
          <c:x val="1.0615711252653927E-2"/>
          <c:y val="1.8726591760299626E-2"/>
          <c:w val="0.90233723969217217"/>
          <c:h val="8.2397396954594151E-2"/>
        </c:manualLayout>
      </c:layout>
      <c:overlay val="0"/>
      <c:spPr>
        <a:noFill/>
        <a:ln w="25400">
          <a:noFill/>
        </a:ln>
      </c:spPr>
      <c:txPr>
        <a:bodyPr/>
        <a:lstStyle/>
        <a:p>
          <a:pPr>
            <a:defRPr sz="16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 r="0.75" t="1" header="0.5" footer="0.5"/>
    <c:pageSetup orientation="landscape"/>
  </c:printSettings>
</c:chartSpace>
</file>

<file path=xl/charts/chart7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AFFO PER DILUTED SHARE</a:t>
            </a:r>
          </a:p>
        </c:rich>
      </c:tx>
      <c:layout>
        <c:manualLayout>
          <c:xMode val="edge"/>
          <c:yMode val="edge"/>
          <c:x val="1.4334009465855309E-3"/>
          <c:y val="0"/>
        </c:manualLayout>
      </c:layout>
      <c:overlay val="1"/>
    </c:title>
    <c:autoTitleDeleted val="0"/>
    <c:plotArea>
      <c:layout>
        <c:manualLayout>
          <c:layoutTarget val="inner"/>
          <c:xMode val="edge"/>
          <c:yMode val="edge"/>
          <c:x val="0.11899953682260306"/>
          <c:y val="0.13345042996943479"/>
          <c:w val="0.78296223591435954"/>
          <c:h val="0.77337673084349312"/>
        </c:manualLayout>
      </c:layout>
      <c:barChart>
        <c:barDir val="col"/>
        <c:grouping val="clustered"/>
        <c:varyColors val="0"/>
        <c:ser>
          <c:idx val="1"/>
          <c:order val="0"/>
          <c:tx>
            <c:strRef>
              <c:f>'Charts - Annual'!$B$405</c:f>
              <c:strCache>
                <c:ptCount val="1"/>
                <c:pt idx="0">
                  <c:v>AFFO per diluted share</c:v>
                </c:pt>
              </c:strCache>
            </c:strRef>
          </c:tx>
          <c:spPr>
            <a:solidFill>
              <a:srgbClr val="EACC80"/>
            </a:solidFill>
            <a:ln w="25400">
              <a:noFill/>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inBase"/>
            <c:showLegendKey val="0"/>
            <c:showVal val="1"/>
            <c:showCatName val="0"/>
            <c:showSerName val="0"/>
            <c:showPercent val="0"/>
            <c:showBubbleSize val="0"/>
            <c:showLeaderLines val="0"/>
          </c:dLbls>
          <c:cat>
            <c:strRef>
              <c:f>'Charts - Annual'!$R$3:$V$3</c:f>
              <c:strCache>
                <c:ptCount val="5"/>
                <c:pt idx="0">
                  <c:v>2014</c:v>
                </c:pt>
                <c:pt idx="1">
                  <c:v>2015</c:v>
                </c:pt>
                <c:pt idx="2">
                  <c:v>2016</c:v>
                </c:pt>
                <c:pt idx="3">
                  <c:v>2017</c:v>
                </c:pt>
                <c:pt idx="4">
                  <c:v>2018E</c:v>
                </c:pt>
              </c:strCache>
            </c:strRef>
          </c:cat>
          <c:val>
            <c:numRef>
              <c:f>'Charts - Annual'!$R$405:$V$405</c:f>
              <c:numCache>
                <c:formatCode>"$"#,##0.00</c:formatCode>
                <c:ptCount val="5"/>
                <c:pt idx="0">
                  <c:v>13.363464359455008</c:v>
                </c:pt>
                <c:pt idx="1">
                  <c:v>14.086124608854066</c:v>
                </c:pt>
                <c:pt idx="2">
                  <c:v>15.147327029478735</c:v>
                </c:pt>
                <c:pt idx="3">
                  <c:v>18.52437296016717</c:v>
                </c:pt>
                <c:pt idx="4">
                  <c:v>20.853352087123966</c:v>
                </c:pt>
              </c:numCache>
            </c:numRef>
          </c:val>
        </c:ser>
        <c:dLbls>
          <c:showLegendKey val="0"/>
          <c:showVal val="0"/>
          <c:showCatName val="0"/>
          <c:showSerName val="0"/>
          <c:showPercent val="0"/>
          <c:showBubbleSize val="0"/>
        </c:dLbls>
        <c:gapWidth val="150"/>
        <c:axId val="330481664"/>
        <c:axId val="330483200"/>
      </c:barChart>
      <c:lineChart>
        <c:grouping val="standard"/>
        <c:varyColors val="0"/>
        <c:ser>
          <c:idx val="0"/>
          <c:order val="1"/>
          <c:tx>
            <c:v>% Y/Y</c:v>
          </c:tx>
          <c:spPr>
            <a:ln w="12700">
              <a:solidFill>
                <a:srgbClr val="1275A6"/>
              </a:solidFill>
              <a:prstDash val="solid"/>
            </a:ln>
          </c:spPr>
          <c:marker>
            <c:symbol val="diamond"/>
            <c:size val="5"/>
            <c:spPr>
              <a:solidFill>
                <a:srgbClr val="1275A6"/>
              </a:solidFill>
              <a:ln>
                <a:solidFill>
                  <a:srgbClr val="1275A6"/>
                </a:solidFill>
                <a:prstDash val="solid"/>
              </a:ln>
            </c:spPr>
          </c:marker>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'Charts - Annual'!$R$3:$V$3</c:f>
              <c:strCache>
                <c:ptCount val="5"/>
                <c:pt idx="0">
                  <c:v>2014</c:v>
                </c:pt>
                <c:pt idx="1">
                  <c:v>2015</c:v>
                </c:pt>
                <c:pt idx="2">
                  <c:v>2016</c:v>
                </c:pt>
                <c:pt idx="3">
                  <c:v>2017</c:v>
                </c:pt>
                <c:pt idx="4">
                  <c:v>2018E</c:v>
                </c:pt>
              </c:strCache>
            </c:strRef>
          </c:cat>
          <c:val>
            <c:numRef>
              <c:f>'Charts - Annual'!$R$406:$V$406</c:f>
              <c:numCache>
                <c:formatCode>0.0%_);\(0.0%\);"–"_)</c:formatCode>
                <c:ptCount val="5"/>
                <c:pt idx="0">
                  <c:v>0.12499116170566915</c:v>
                </c:pt>
                <c:pt idx="1">
                  <c:v>5.4077313334379262E-2</c:v>
                </c:pt>
                <c:pt idx="2">
                  <c:v>7.5336719650884953E-2</c:v>
                </c:pt>
                <c:pt idx="3">
                  <c:v>0.22294665746083453</c:v>
                </c:pt>
                <c:pt idx="4">
                  <c:v>0.12572512613327236</c:v>
                </c:pt>
              </c:numCache>
            </c:numRef>
          </c:val>
          <c:smooth val="0"/>
        </c:ser>
        <c:dLbls>
          <c:showLegendKey val="0"/>
          <c:showVal val="0"/>
          <c:showCatName val="0"/>
          <c:showSerName val="0"/>
          <c:showPercent val="0"/>
          <c:showBubbleSize val="0"/>
        </c:dLbls>
        <c:marker val="1"/>
        <c:smooth val="0"/>
        <c:axId val="330484736"/>
        <c:axId val="330568448"/>
      </c:lineChart>
      <c:catAx>
        <c:axId val="330481664"/>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30483200"/>
        <c:crosses val="autoZero"/>
        <c:auto val="0"/>
        <c:lblAlgn val="ctr"/>
        <c:lblOffset val="100"/>
        <c:tickLblSkip val="1"/>
        <c:tickMarkSkip val="1"/>
        <c:noMultiLvlLbl val="0"/>
      </c:catAx>
      <c:valAx>
        <c:axId val="330483200"/>
        <c:scaling>
          <c:orientation val="minMax"/>
        </c:scaling>
        <c:delete val="0"/>
        <c:axPos val="l"/>
        <c:majorGridlines>
          <c:spPr>
            <a:ln w="3175">
              <a:solidFill>
                <a:srgbClr val="C0C0C0"/>
              </a:solidFill>
              <a:prstDash val="solid"/>
            </a:ln>
          </c:spPr>
        </c:majorGridlines>
        <c:numFmt formatCode="&quot;$&quot;#,##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30481664"/>
        <c:crosses val="autoZero"/>
        <c:crossBetween val="between"/>
      </c:valAx>
      <c:catAx>
        <c:axId val="330484736"/>
        <c:scaling>
          <c:orientation val="minMax"/>
        </c:scaling>
        <c:delete val="1"/>
        <c:axPos val="b"/>
        <c:majorTickMark val="out"/>
        <c:minorTickMark val="none"/>
        <c:tickLblPos val="nextTo"/>
        <c:crossAx val="330568448"/>
        <c:crosses val="autoZero"/>
        <c:auto val="0"/>
        <c:lblAlgn val="ctr"/>
        <c:lblOffset val="100"/>
        <c:noMultiLvlLbl val="0"/>
      </c:catAx>
      <c:valAx>
        <c:axId val="330568448"/>
        <c:scaling>
          <c:orientation val="minMax"/>
        </c:scaling>
        <c:delete val="0"/>
        <c:axPos val="r"/>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30484736"/>
        <c:crosses val="max"/>
        <c:crossBetween val="between"/>
      </c:valAx>
      <c:spPr>
        <a:noFill/>
        <a:ln w="25400">
          <a:noFill/>
        </a:ln>
      </c:spPr>
    </c:plotArea>
    <c:legend>
      <c:legendPos val="t"/>
      <c:layout>
        <c:manualLayout>
          <c:xMode val="edge"/>
          <c:yMode val="edge"/>
          <c:x val="0.46247485798555099"/>
          <c:y val="8.719743365412657E-3"/>
          <c:w val="0.53279306618112898"/>
          <c:h val="8.1481870321765335E-2"/>
        </c:manualLayout>
      </c:layout>
      <c:overlay val="0"/>
      <c:spPr>
        <a:noFill/>
        <a:ln w="25400">
          <a:noFill/>
        </a:ln>
      </c:spPr>
      <c:txPr>
        <a:bodyPr/>
        <a:lstStyle/>
        <a:p>
          <a:pPr>
            <a:defRPr sz="29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7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Calibri"/>
                <a:ea typeface="Calibri"/>
                <a:cs typeface="Calibri"/>
              </a:defRPr>
            </a:pPr>
            <a:r>
              <a:rPr lang="en-US"/>
              <a:t>PEERING COUNT</a:t>
            </a:r>
          </a:p>
        </c:rich>
      </c:tx>
      <c:layout>
        <c:manualLayout>
          <c:xMode val="edge"/>
          <c:yMode val="edge"/>
          <c:x val="1.2637980691973943E-3"/>
          <c:y val="0"/>
        </c:manualLayout>
      </c:layout>
      <c:overlay val="0"/>
    </c:title>
    <c:autoTitleDeleted val="0"/>
    <c:plotArea>
      <c:layout>
        <c:manualLayout>
          <c:layoutTarget val="inner"/>
          <c:xMode val="edge"/>
          <c:yMode val="edge"/>
          <c:x val="9.3427404511680773E-2"/>
          <c:y val="6.7925023232077011E-2"/>
          <c:w val="0.86593282281995254"/>
          <c:h val="0.50878891372901491"/>
        </c:manualLayout>
      </c:layout>
      <c:barChart>
        <c:barDir val="col"/>
        <c:grouping val="clustered"/>
        <c:varyColors val="0"/>
        <c:ser>
          <c:idx val="0"/>
          <c:order val="0"/>
          <c:tx>
            <c:v>Peering Count</c:v>
          </c:tx>
          <c:spPr>
            <a:solidFill>
              <a:srgbClr val="137CB1"/>
            </a:solidFill>
            <a:ln>
              <a:noFill/>
            </a:ln>
          </c:spPr>
          <c:invertIfNegative val="0"/>
          <c:dPt>
            <c:idx val="2"/>
            <c:invertIfNegative val="0"/>
            <c:bubble3D val="0"/>
            <c:spPr>
              <a:solidFill>
                <a:srgbClr val="EACC80"/>
              </a:solidFill>
              <a:ln>
                <a:noFill/>
              </a:ln>
            </c:spPr>
          </c:dPt>
          <c:dPt>
            <c:idx val="5"/>
            <c:invertIfNegative val="0"/>
            <c:bubble3D val="0"/>
            <c:spPr>
              <a:solidFill>
                <a:srgbClr val="EACC80"/>
              </a:solidFill>
              <a:ln>
                <a:noFill/>
              </a:ln>
            </c:spPr>
          </c:dPt>
          <c:dPt>
            <c:idx val="8"/>
            <c:invertIfNegative val="0"/>
            <c:bubble3D val="0"/>
            <c:spPr>
              <a:solidFill>
                <a:srgbClr val="EACC80"/>
              </a:solidFill>
              <a:ln>
                <a:noFill/>
              </a:ln>
            </c:spPr>
          </c:dPt>
          <c:dPt>
            <c:idx val="14"/>
            <c:invertIfNegative val="0"/>
            <c:bubble3D val="0"/>
            <c:spPr>
              <a:solidFill>
                <a:srgbClr val="EACC80"/>
              </a:solidFill>
              <a:ln>
                <a:noFill/>
              </a:ln>
            </c:spPr>
          </c:dPt>
          <c:dPt>
            <c:idx val="18"/>
            <c:invertIfNegative val="0"/>
            <c:bubble3D val="0"/>
            <c:spPr>
              <a:solidFill>
                <a:srgbClr val="EACC80"/>
              </a:solidFill>
              <a:ln>
                <a:noFill/>
              </a:ln>
            </c:spPr>
          </c:dPt>
          <c:dPt>
            <c:idx val="20"/>
            <c:invertIfNegative val="0"/>
            <c:bubble3D val="0"/>
            <c:spPr>
              <a:solidFill>
                <a:srgbClr val="EACC80"/>
              </a:solidFill>
              <a:ln>
                <a:noFill/>
              </a:ln>
            </c:spPr>
          </c:dPt>
          <c:dPt>
            <c:idx val="23"/>
            <c:invertIfNegative val="0"/>
            <c:bubble3D val="0"/>
            <c:spPr>
              <a:solidFill>
                <a:srgbClr val="EACC80"/>
              </a:solidFill>
              <a:ln>
                <a:noFill/>
              </a:ln>
            </c:spPr>
          </c:dPt>
          <c:dLbls>
            <c:txPr>
              <a:bodyPr rot="-5400000" vert="horz"/>
              <a:lstStyle/>
              <a:p>
                <a:pPr algn="ctr">
                  <a:defRPr sz="1000" b="0" i="0" u="none" strike="noStrike" baseline="0">
                    <a:solidFill>
                      <a:srgbClr val="000000"/>
                    </a:solidFill>
                    <a:latin typeface="Calibri"/>
                    <a:ea typeface="Calibri"/>
                    <a:cs typeface="Calibri"/>
                  </a:defRPr>
                </a:pPr>
                <a:endParaRPr lang="en-US"/>
              </a:p>
            </c:txPr>
            <c:dLblPos val="outEnd"/>
            <c:showLegendKey val="0"/>
            <c:showVal val="1"/>
            <c:showCatName val="0"/>
            <c:showSerName val="0"/>
            <c:showPercent val="0"/>
            <c:showBubbleSize val="0"/>
            <c:showLeaderLines val="0"/>
          </c:dLbls>
          <c:cat>
            <c:strRef>
              <c:f>Peering!$C$128:$C$162</c:f>
              <c:strCache>
                <c:ptCount val="35"/>
                <c:pt idx="0">
                  <c:v>TCYAMS2</c:v>
                </c:pt>
                <c:pt idx="1">
                  <c:v>TCYHEX</c:v>
                </c:pt>
                <c:pt idx="2">
                  <c:v>TCYSovereign House</c:v>
                </c:pt>
                <c:pt idx="3">
                  <c:v>TCYHEX 2</c:v>
                </c:pt>
                <c:pt idx="4">
                  <c:v>TCYStockholm 1</c:v>
                </c:pt>
                <c:pt idx="5">
                  <c:v>TCYAMS1</c:v>
                </c:pt>
                <c:pt idx="6">
                  <c:v>TCYAMS5</c:v>
                </c:pt>
                <c:pt idx="7">
                  <c:v>TCYManchester 1</c:v>
                </c:pt>
                <c:pt idx="8">
                  <c:v>TCYMeridian Gate</c:v>
                </c:pt>
                <c:pt idx="9">
                  <c:v>TCYFrankfurt Gutleutstrasse</c:v>
                </c:pt>
                <c:pt idx="10">
                  <c:v>TCYParis Courbevoie</c:v>
                </c:pt>
                <c:pt idx="11">
                  <c:v>TCYManchester 2</c:v>
                </c:pt>
                <c:pt idx="12">
                  <c:v>TCYAMS3</c:v>
                </c:pt>
                <c:pt idx="13">
                  <c:v>TCYDublin CityWest</c:v>
                </c:pt>
                <c:pt idx="14">
                  <c:v>TCYAMS4</c:v>
                </c:pt>
                <c:pt idx="15">
                  <c:v>TCYDublin Kilcarbery</c:v>
                </c:pt>
                <c:pt idx="16">
                  <c:v>TCYParis Aubervilliers</c:v>
                </c:pt>
                <c:pt idx="17">
                  <c:v>TCYStockholm 2</c:v>
                </c:pt>
                <c:pt idx="18">
                  <c:v>TCYBonnington House</c:v>
                </c:pt>
                <c:pt idx="19">
                  <c:v>TCYParis Condercet</c:v>
                </c:pt>
                <c:pt idx="20">
                  <c:v>TCYFrankfurt Lyoner Strasse</c:v>
                </c:pt>
                <c:pt idx="21">
                  <c:v>TCYPowergate</c:v>
                </c:pt>
                <c:pt idx="22">
                  <c:v>TCYManchester 3</c:v>
                </c:pt>
                <c:pt idx="23">
                  <c:v>EQIX London West (LD2)</c:v>
                </c:pt>
                <c:pt idx="24">
                  <c:v>TCYSofia 1</c:v>
                </c:pt>
                <c:pt idx="25">
                  <c:v>TCYDublin Ballycoolin</c:v>
                </c:pt>
                <c:pt idx="26">
                  <c:v>TCYHelsinki 1</c:v>
                </c:pt>
                <c:pt idx="27">
                  <c:v>TCYMilano 2</c:v>
                </c:pt>
                <c:pt idx="28">
                  <c:v>TCYMilano 1</c:v>
                </c:pt>
                <c:pt idx="29">
                  <c:v>TCYHelsinki 2</c:v>
                </c:pt>
                <c:pt idx="30">
                  <c:v>TCYHelsinki 3</c:v>
                </c:pt>
                <c:pt idx="31">
                  <c:v>TCYHelsinki 5</c:v>
                </c:pt>
                <c:pt idx="32">
                  <c:v>TCYBellerive House</c:v>
                </c:pt>
                <c:pt idx="33">
                  <c:v>TCYHelsinki 4</c:v>
                </c:pt>
                <c:pt idx="34">
                  <c:v>TCYNorthwest Business Park</c:v>
                </c:pt>
              </c:strCache>
            </c:strRef>
          </c:cat>
          <c:val>
            <c:numRef>
              <c:f>Peering!$D$128:$D$162</c:f>
              <c:numCache>
                <c:formatCode>General</c:formatCode>
                <c:ptCount val="35"/>
                <c:pt idx="0">
                  <c:v>180</c:v>
                </c:pt>
                <c:pt idx="1">
                  <c:v>129</c:v>
                </c:pt>
                <c:pt idx="2">
                  <c:v>104</c:v>
                </c:pt>
                <c:pt idx="3">
                  <c:v>93</c:v>
                </c:pt>
                <c:pt idx="4">
                  <c:v>82</c:v>
                </c:pt>
                <c:pt idx="5">
                  <c:v>72</c:v>
                </c:pt>
                <c:pt idx="6">
                  <c:v>64</c:v>
                </c:pt>
                <c:pt idx="7">
                  <c:v>57</c:v>
                </c:pt>
                <c:pt idx="8">
                  <c:v>53</c:v>
                </c:pt>
                <c:pt idx="9">
                  <c:v>43</c:v>
                </c:pt>
                <c:pt idx="10">
                  <c:v>42</c:v>
                </c:pt>
                <c:pt idx="11">
                  <c:v>31</c:v>
                </c:pt>
                <c:pt idx="12">
                  <c:v>27</c:v>
                </c:pt>
                <c:pt idx="13">
                  <c:v>27</c:v>
                </c:pt>
                <c:pt idx="14">
                  <c:v>24</c:v>
                </c:pt>
                <c:pt idx="15">
                  <c:v>23</c:v>
                </c:pt>
                <c:pt idx="16">
                  <c:v>22</c:v>
                </c:pt>
                <c:pt idx="17">
                  <c:v>19</c:v>
                </c:pt>
                <c:pt idx="18">
                  <c:v>18</c:v>
                </c:pt>
                <c:pt idx="19">
                  <c:v>15</c:v>
                </c:pt>
                <c:pt idx="20">
                  <c:v>14</c:v>
                </c:pt>
                <c:pt idx="21">
                  <c:v>11</c:v>
                </c:pt>
                <c:pt idx="22">
                  <c:v>11</c:v>
                </c:pt>
                <c:pt idx="23">
                  <c:v>9</c:v>
                </c:pt>
                <c:pt idx="24">
                  <c:v>7</c:v>
                </c:pt>
                <c:pt idx="25">
                  <c:v>4</c:v>
                </c:pt>
                <c:pt idx="26">
                  <c:v>4</c:v>
                </c:pt>
                <c:pt idx="27">
                  <c:v>3</c:v>
                </c:pt>
                <c:pt idx="28">
                  <c:v>2</c:v>
                </c:pt>
                <c:pt idx="29">
                  <c:v>2</c:v>
                </c:pt>
                <c:pt idx="30">
                  <c:v>2</c:v>
                </c:pt>
                <c:pt idx="31">
                  <c:v>2</c:v>
                </c:pt>
                <c:pt idx="32">
                  <c:v>1</c:v>
                </c:pt>
                <c:pt idx="33">
                  <c:v>1</c:v>
                </c:pt>
                <c:pt idx="34">
                  <c:v>0</c:v>
                </c:pt>
              </c:numCache>
            </c:numRef>
          </c:val>
        </c:ser>
        <c:dLbls>
          <c:showLegendKey val="0"/>
          <c:showVal val="0"/>
          <c:showCatName val="0"/>
          <c:showSerName val="0"/>
          <c:showPercent val="0"/>
          <c:showBubbleSize val="0"/>
        </c:dLbls>
        <c:gapWidth val="150"/>
        <c:axId val="370255744"/>
        <c:axId val="370257280"/>
      </c:barChart>
      <c:catAx>
        <c:axId val="370255744"/>
        <c:scaling>
          <c:orientation val="minMax"/>
        </c:scaling>
        <c:delete val="0"/>
        <c:axPos val="b"/>
        <c:numFmt formatCode="General" sourceLinked="1"/>
        <c:majorTickMark val="out"/>
        <c:minorTickMark val="none"/>
        <c:tickLblPos val="nextTo"/>
        <c:txPr>
          <a:bodyPr rot="-5400000" vert="horz"/>
          <a:lstStyle/>
          <a:p>
            <a:pPr>
              <a:defRPr sz="1000" b="0" i="0" u="none" strike="noStrike" baseline="0">
                <a:solidFill>
                  <a:srgbClr val="000000"/>
                </a:solidFill>
                <a:latin typeface="Calibri"/>
                <a:ea typeface="Calibri"/>
                <a:cs typeface="Calibri"/>
              </a:defRPr>
            </a:pPr>
            <a:endParaRPr lang="en-US"/>
          </a:p>
        </c:txPr>
        <c:crossAx val="370257280"/>
        <c:crosses val="autoZero"/>
        <c:auto val="1"/>
        <c:lblAlgn val="ctr"/>
        <c:lblOffset val="100"/>
        <c:tickLblSkip val="1"/>
        <c:noMultiLvlLbl val="0"/>
      </c:catAx>
      <c:valAx>
        <c:axId val="370257280"/>
        <c:scaling>
          <c:orientation val="minMax"/>
        </c:scaling>
        <c:delete val="0"/>
        <c:axPos val="l"/>
        <c:majorGridlines>
          <c:spPr>
            <a:ln>
              <a:solidFill>
                <a:schemeClr val="bg1">
                  <a:lumMod val="90000"/>
                </a:schemeClr>
              </a:solidFill>
            </a:ln>
          </c:spPr>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370255744"/>
        <c:crosses val="autoZero"/>
        <c:crossBetween val="between"/>
      </c:valAx>
      <c:spPr>
        <a:noFill/>
        <a:ln w="25400">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landscape"/>
  </c:printSettings>
</c:chartSpace>
</file>

<file path=xl/charts/chart7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805017474938823E-2"/>
          <c:y val="0.22701213129751285"/>
          <c:w val="0.84065174138043286"/>
          <c:h val="0.6091971118363636"/>
        </c:manualLayout>
      </c:layout>
      <c:barChart>
        <c:barDir val="col"/>
        <c:grouping val="clustered"/>
        <c:varyColors val="0"/>
        <c:ser>
          <c:idx val="0"/>
          <c:order val="0"/>
          <c:tx>
            <c:strRef>
              <c:f>Link!$CH$80</c:f>
              <c:strCache>
                <c:ptCount val="1"/>
                <c:pt idx="0">
                  <c:v>North America</c:v>
                </c:pt>
              </c:strCache>
            </c:strRef>
          </c:tx>
          <c:spPr>
            <a:solidFill>
              <a:srgbClr val="C6D9E2"/>
            </a:solidFill>
            <a:ln w="25400">
              <a:noFill/>
            </a:ln>
          </c:spPr>
          <c:invertIfNegative val="0"/>
          <c:cat>
            <c:strRef>
              <c:f>Link!$CI$79:$CQ$79</c:f>
              <c:strCache>
                <c:ptCount val="9"/>
                <c:pt idx="0">
                  <c:v>1Q09</c:v>
                </c:pt>
                <c:pt idx="1">
                  <c:v>2Q09</c:v>
                </c:pt>
                <c:pt idx="2">
                  <c:v>3Q09</c:v>
                </c:pt>
                <c:pt idx="3">
                  <c:v>4Q09</c:v>
                </c:pt>
                <c:pt idx="4">
                  <c:v>1Q10</c:v>
                </c:pt>
                <c:pt idx="5">
                  <c:v>2Q10</c:v>
                </c:pt>
                <c:pt idx="6">
                  <c:v>3Q10</c:v>
                </c:pt>
                <c:pt idx="7">
                  <c:v>4Q10</c:v>
                </c:pt>
                <c:pt idx="8">
                  <c:v>1Q11</c:v>
                </c:pt>
              </c:strCache>
            </c:strRef>
          </c:cat>
          <c:val>
            <c:numRef>
              <c:f>Link!$CI$80:$CQ$80</c:f>
              <c:numCache>
                <c:formatCode>General</c:formatCode>
                <c:ptCount val="9"/>
                <c:pt idx="0">
                  <c:v>350</c:v>
                </c:pt>
                <c:pt idx="1">
                  <c:v>900</c:v>
                </c:pt>
                <c:pt idx="2">
                  <c:v>400</c:v>
                </c:pt>
                <c:pt idx="3">
                  <c:v>400</c:v>
                </c:pt>
                <c:pt idx="4">
                  <c:v>0</c:v>
                </c:pt>
                <c:pt idx="5">
                  <c:v>600</c:v>
                </c:pt>
                <c:pt idx="6" formatCode="0">
                  <c:v>600</c:v>
                </c:pt>
                <c:pt idx="7" formatCode="0">
                  <c:v>1000</c:v>
                </c:pt>
                <c:pt idx="8" formatCode="0">
                  <c:v>1700</c:v>
                </c:pt>
              </c:numCache>
            </c:numRef>
          </c:val>
        </c:ser>
        <c:ser>
          <c:idx val="1"/>
          <c:order val="1"/>
          <c:tx>
            <c:strRef>
              <c:f>Link!$CH$82</c:f>
              <c:strCache>
                <c:ptCount val="1"/>
                <c:pt idx="0">
                  <c:v>Europe</c:v>
                </c:pt>
              </c:strCache>
            </c:strRef>
          </c:tx>
          <c:spPr>
            <a:solidFill>
              <a:srgbClr val="FDCDB8"/>
            </a:solidFill>
            <a:ln w="25400">
              <a:noFill/>
            </a:ln>
          </c:spPr>
          <c:invertIfNegative val="0"/>
          <c:cat>
            <c:strRef>
              <c:f>Link!$CI$79:$CQ$79</c:f>
              <c:strCache>
                <c:ptCount val="9"/>
                <c:pt idx="0">
                  <c:v>1Q09</c:v>
                </c:pt>
                <c:pt idx="1">
                  <c:v>2Q09</c:v>
                </c:pt>
                <c:pt idx="2">
                  <c:v>3Q09</c:v>
                </c:pt>
                <c:pt idx="3">
                  <c:v>4Q09</c:v>
                </c:pt>
                <c:pt idx="4">
                  <c:v>1Q10</c:v>
                </c:pt>
                <c:pt idx="5">
                  <c:v>2Q10</c:v>
                </c:pt>
                <c:pt idx="6">
                  <c:v>3Q10</c:v>
                </c:pt>
                <c:pt idx="7">
                  <c:v>4Q10</c:v>
                </c:pt>
                <c:pt idx="8">
                  <c:v>1Q11</c:v>
                </c:pt>
              </c:strCache>
            </c:strRef>
          </c:cat>
          <c:val>
            <c:numRef>
              <c:f>Link!$CI$82:$CQ$82</c:f>
              <c:numCache>
                <c:formatCode>General</c:formatCode>
                <c:ptCount val="9"/>
                <c:pt idx="0">
                  <c:v>0</c:v>
                </c:pt>
                <c:pt idx="1">
                  <c:v>1100</c:v>
                </c:pt>
                <c:pt idx="2">
                  <c:v>200</c:v>
                </c:pt>
                <c:pt idx="3">
                  <c:v>100</c:v>
                </c:pt>
                <c:pt idx="4">
                  <c:v>200</c:v>
                </c:pt>
                <c:pt idx="5">
                  <c:v>2300</c:v>
                </c:pt>
                <c:pt idx="6" formatCode="0">
                  <c:v>0</c:v>
                </c:pt>
                <c:pt idx="7" formatCode="0">
                  <c:v>1000</c:v>
                </c:pt>
                <c:pt idx="8" formatCode="0">
                  <c:v>900</c:v>
                </c:pt>
              </c:numCache>
            </c:numRef>
          </c:val>
        </c:ser>
        <c:ser>
          <c:idx val="2"/>
          <c:order val="2"/>
          <c:tx>
            <c:strRef>
              <c:f>Link!$CH$83</c:f>
              <c:strCache>
                <c:ptCount val="1"/>
                <c:pt idx="0">
                  <c:v>Asia / Pac</c:v>
                </c:pt>
              </c:strCache>
            </c:strRef>
          </c:tx>
          <c:spPr>
            <a:solidFill>
              <a:srgbClr val="E3EEDE"/>
            </a:solidFill>
            <a:ln w="25400">
              <a:noFill/>
            </a:ln>
          </c:spPr>
          <c:invertIfNegative val="0"/>
          <c:cat>
            <c:strRef>
              <c:f>Link!$CI$79:$CQ$79</c:f>
              <c:strCache>
                <c:ptCount val="9"/>
                <c:pt idx="0">
                  <c:v>1Q09</c:v>
                </c:pt>
                <c:pt idx="1">
                  <c:v>2Q09</c:v>
                </c:pt>
                <c:pt idx="2">
                  <c:v>3Q09</c:v>
                </c:pt>
                <c:pt idx="3">
                  <c:v>4Q09</c:v>
                </c:pt>
                <c:pt idx="4">
                  <c:v>1Q10</c:v>
                </c:pt>
                <c:pt idx="5">
                  <c:v>2Q10</c:v>
                </c:pt>
                <c:pt idx="6">
                  <c:v>3Q10</c:v>
                </c:pt>
                <c:pt idx="7">
                  <c:v>4Q10</c:v>
                </c:pt>
                <c:pt idx="8">
                  <c:v>1Q11</c:v>
                </c:pt>
              </c:strCache>
            </c:strRef>
          </c:cat>
          <c:val>
            <c:numRef>
              <c:f>Link!$CI$83:$CQ$83</c:f>
              <c:numCache>
                <c:formatCode>General</c:formatCode>
                <c:ptCount val="9"/>
                <c:pt idx="0">
                  <c:v>300</c:v>
                </c:pt>
                <c:pt idx="1">
                  <c:v>300</c:v>
                </c:pt>
                <c:pt idx="2">
                  <c:v>100</c:v>
                </c:pt>
                <c:pt idx="3">
                  <c:v>200</c:v>
                </c:pt>
                <c:pt idx="4">
                  <c:v>600</c:v>
                </c:pt>
                <c:pt idx="5">
                  <c:v>300</c:v>
                </c:pt>
                <c:pt idx="6" formatCode="0">
                  <c:v>100</c:v>
                </c:pt>
                <c:pt idx="7" formatCode="0">
                  <c:v>300</c:v>
                </c:pt>
                <c:pt idx="8" formatCode="0">
                  <c:v>300</c:v>
                </c:pt>
              </c:numCache>
            </c:numRef>
          </c:val>
        </c:ser>
        <c:ser>
          <c:idx val="4"/>
          <c:order val="3"/>
          <c:tx>
            <c:strRef>
              <c:f>Link!$CH$81</c:f>
              <c:strCache>
                <c:ptCount val="1"/>
                <c:pt idx="0">
                  <c:v>Switch and Data</c:v>
                </c:pt>
              </c:strCache>
            </c:strRef>
          </c:tx>
          <c:spPr>
            <a:solidFill>
              <a:srgbClr val="E58061"/>
            </a:solidFill>
            <a:ln w="12700">
              <a:solidFill>
                <a:srgbClr val="000000"/>
              </a:solidFill>
              <a:prstDash val="solid"/>
            </a:ln>
          </c:spPr>
          <c:invertIfNegative val="0"/>
          <c:cat>
            <c:strRef>
              <c:f>Link!$CI$79:$CQ$79</c:f>
              <c:strCache>
                <c:ptCount val="9"/>
                <c:pt idx="0">
                  <c:v>1Q09</c:v>
                </c:pt>
                <c:pt idx="1">
                  <c:v>2Q09</c:v>
                </c:pt>
                <c:pt idx="2">
                  <c:v>3Q09</c:v>
                </c:pt>
                <c:pt idx="3">
                  <c:v>4Q09</c:v>
                </c:pt>
                <c:pt idx="4">
                  <c:v>1Q10</c:v>
                </c:pt>
                <c:pt idx="5">
                  <c:v>2Q10</c:v>
                </c:pt>
                <c:pt idx="6">
                  <c:v>3Q10</c:v>
                </c:pt>
                <c:pt idx="7">
                  <c:v>4Q10</c:v>
                </c:pt>
                <c:pt idx="8">
                  <c:v>1Q11</c:v>
                </c:pt>
              </c:strCache>
            </c:strRef>
          </c:cat>
          <c:val>
            <c:numRef>
              <c:f>Link!$CI$81:$CQ$81</c:f>
              <c:numCache>
                <c:formatCode>General</c:formatCode>
                <c:ptCount val="9"/>
                <c:pt idx="6" formatCode="0">
                  <c:v>-100</c:v>
                </c:pt>
                <c:pt idx="7" formatCode="0">
                  <c:v>0</c:v>
                </c:pt>
                <c:pt idx="8" formatCode="0">
                  <c:v>348</c:v>
                </c:pt>
              </c:numCache>
            </c:numRef>
          </c:val>
        </c:ser>
        <c:ser>
          <c:idx val="3"/>
          <c:order val="4"/>
          <c:tx>
            <c:v>TOTAL</c:v>
          </c:tx>
          <c:spPr>
            <a:solidFill>
              <a:srgbClr val="E5BF61"/>
            </a:solidFill>
            <a:ln w="12700">
              <a:solidFill>
                <a:srgbClr val="000000"/>
              </a:solidFill>
              <a:prstDash val="solid"/>
            </a:ln>
          </c:spPr>
          <c:invertIfNegative val="0"/>
          <c:cat>
            <c:strRef>
              <c:f>Link!$CI$79:$CQ$79</c:f>
              <c:strCache>
                <c:ptCount val="9"/>
                <c:pt idx="0">
                  <c:v>1Q09</c:v>
                </c:pt>
                <c:pt idx="1">
                  <c:v>2Q09</c:v>
                </c:pt>
                <c:pt idx="2">
                  <c:v>3Q09</c:v>
                </c:pt>
                <c:pt idx="3">
                  <c:v>4Q09</c:v>
                </c:pt>
                <c:pt idx="4">
                  <c:v>1Q10</c:v>
                </c:pt>
                <c:pt idx="5">
                  <c:v>2Q10</c:v>
                </c:pt>
                <c:pt idx="6">
                  <c:v>3Q10</c:v>
                </c:pt>
                <c:pt idx="7">
                  <c:v>4Q10</c:v>
                </c:pt>
                <c:pt idx="8">
                  <c:v>1Q11</c:v>
                </c:pt>
              </c:strCache>
            </c:strRef>
          </c:cat>
          <c:val>
            <c:numRef>
              <c:f>Link!$CI$84:$CQ$84</c:f>
              <c:numCache>
                <c:formatCode>General</c:formatCode>
                <c:ptCount val="9"/>
                <c:pt idx="1">
                  <c:v>2300</c:v>
                </c:pt>
                <c:pt idx="2">
                  <c:v>700</c:v>
                </c:pt>
                <c:pt idx="3">
                  <c:v>700</c:v>
                </c:pt>
                <c:pt idx="4">
                  <c:v>800</c:v>
                </c:pt>
                <c:pt idx="5">
                  <c:v>3200</c:v>
                </c:pt>
                <c:pt idx="6">
                  <c:v>600</c:v>
                </c:pt>
                <c:pt idx="7">
                  <c:v>2300</c:v>
                </c:pt>
                <c:pt idx="8">
                  <c:v>3248</c:v>
                </c:pt>
              </c:numCache>
            </c:numRef>
          </c:val>
        </c:ser>
        <c:dLbls>
          <c:showLegendKey val="0"/>
          <c:showVal val="0"/>
          <c:showCatName val="0"/>
          <c:showSerName val="0"/>
          <c:showPercent val="0"/>
          <c:showBubbleSize val="0"/>
        </c:dLbls>
        <c:gapWidth val="150"/>
        <c:axId val="49516928"/>
        <c:axId val="49518464"/>
      </c:barChart>
      <c:catAx>
        <c:axId val="495169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49518464"/>
        <c:crosses val="autoZero"/>
        <c:auto val="1"/>
        <c:lblAlgn val="ctr"/>
        <c:lblOffset val="100"/>
        <c:tickLblSkip val="1"/>
        <c:tickMarkSkip val="1"/>
        <c:noMultiLvlLbl val="0"/>
      </c:catAx>
      <c:valAx>
        <c:axId val="49518464"/>
        <c:scaling>
          <c:orientation val="minMax"/>
        </c:scaling>
        <c:delete val="0"/>
        <c:axPos val="l"/>
        <c:majorGridlines>
          <c:spPr>
            <a:ln w="3175">
              <a:solidFill>
                <a:srgbClr val="C0C0C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49516928"/>
        <c:crosses val="autoZero"/>
        <c:crossBetween val="between"/>
      </c:valAx>
      <c:spPr>
        <a:noFill/>
        <a:ln w="25400">
          <a:noFill/>
        </a:ln>
      </c:spPr>
    </c:plotArea>
    <c:legend>
      <c:legendPos val="r"/>
      <c:layout>
        <c:manualLayout>
          <c:xMode val="edge"/>
          <c:yMode val="edge"/>
          <c:x val="6.504082111687258E-2"/>
          <c:y val="0.19540290222342896"/>
          <c:w val="0.92845682094616222"/>
          <c:h val="8.333363501976046E-2"/>
        </c:manualLayout>
      </c:layout>
      <c:overlay val="0"/>
      <c:spPr>
        <a:solidFill>
          <a:srgbClr val="FFFFFF"/>
        </a:solidFill>
        <a:ln w="25400">
          <a:noFill/>
        </a:ln>
      </c:spPr>
      <c:txPr>
        <a:bodyPr/>
        <a:lstStyle/>
        <a:p>
          <a:pPr>
            <a:defRPr sz="15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8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739734548730836"/>
          <c:y val="0.19489559164733178"/>
          <c:w val="0.80000053510309765"/>
          <c:h val="0.64269141531322505"/>
        </c:manualLayout>
      </c:layout>
      <c:barChart>
        <c:barDir val="col"/>
        <c:grouping val="clustered"/>
        <c:varyColors val="0"/>
        <c:ser>
          <c:idx val="0"/>
          <c:order val="0"/>
          <c:tx>
            <c:strRef>
              <c:f>Link!$CQ$113</c:f>
              <c:strCache>
                <c:ptCount val="1"/>
                <c:pt idx="0">
                  <c:v>EBITDA</c:v>
                </c:pt>
              </c:strCache>
            </c:strRef>
          </c:tx>
          <c:spPr>
            <a:solidFill>
              <a:srgbClr val="C6D9E2"/>
            </a:solidFill>
            <a:ln w="25400">
              <a:noFill/>
            </a:ln>
          </c:spPr>
          <c:invertIfNegative val="0"/>
          <c:dLbls>
            <c:dLbl>
              <c:idx val="12"/>
              <c:layout>
                <c:manualLayout>
                  <c:xMode val="edge"/>
                  <c:yMode val="edge"/>
                  <c:x val="0.6109593127670917"/>
                  <c:y val="0.21809744779582366"/>
                </c:manualLayout>
              </c:layout>
              <c:dLblPos val="outEnd"/>
              <c:showLegendKey val="0"/>
              <c:showVal val="1"/>
              <c:showCatName val="0"/>
              <c:showSerName val="0"/>
              <c:showPercent val="0"/>
              <c:showBubbleSize val="0"/>
            </c:dLbl>
            <c:numFmt formatCode="\$#,##0_);[Red]\(\$#,##0\)" sourceLinked="0"/>
            <c:spPr>
              <a:noFill/>
              <a:ln w="25400">
                <a:noFill/>
              </a:ln>
            </c:spPr>
            <c:txPr>
              <a:bodyPr/>
              <a:lstStyle/>
              <a:p>
                <a:pPr>
                  <a:defRPr sz="12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Link!$CW$112:$DG$112</c:f>
              <c:strCache>
                <c:ptCount val="11"/>
                <c:pt idx="0">
                  <c:v>2Q09</c:v>
                </c:pt>
                <c:pt idx="1">
                  <c:v>3Q09</c:v>
                </c:pt>
                <c:pt idx="2">
                  <c:v>4Q09</c:v>
                </c:pt>
                <c:pt idx="3">
                  <c:v>1Q10</c:v>
                </c:pt>
                <c:pt idx="4">
                  <c:v>2Q10</c:v>
                </c:pt>
                <c:pt idx="5">
                  <c:v>3Q10</c:v>
                </c:pt>
                <c:pt idx="6">
                  <c:v>4Q10</c:v>
                </c:pt>
                <c:pt idx="7">
                  <c:v>1Q11</c:v>
                </c:pt>
                <c:pt idx="8">
                  <c:v>2Q11</c:v>
                </c:pt>
                <c:pt idx="9">
                  <c:v>3Q11E</c:v>
                </c:pt>
                <c:pt idx="10">
                  <c:v>4Q11E</c:v>
                </c:pt>
              </c:strCache>
            </c:strRef>
          </c:cat>
          <c:val>
            <c:numRef>
              <c:f>Link!$CW$113:$DG$113</c:f>
              <c:numCache>
                <c:formatCode>"$"#,##0.0_);[Red]\("$"#,##0.0\)</c:formatCode>
                <c:ptCount val="11"/>
                <c:pt idx="0">
                  <c:v>99.533999999999992</c:v>
                </c:pt>
                <c:pt idx="1">
                  <c:v>106.036</c:v>
                </c:pt>
                <c:pt idx="2">
                  <c:v>111.66</c:v>
                </c:pt>
                <c:pt idx="3">
                  <c:v>117.27200000000002</c:v>
                </c:pt>
                <c:pt idx="4">
                  <c:v>129.28399999999996</c:v>
                </c:pt>
                <c:pt idx="5">
                  <c:v>142.08600000000001</c:v>
                </c:pt>
                <c:pt idx="6">
                  <c:v>144.37900000000002</c:v>
                </c:pt>
                <c:pt idx="7">
                  <c:v>162.327</c:v>
                </c:pt>
                <c:pt idx="8">
                  <c:v>177.40600000000001</c:v>
                </c:pt>
                <c:pt idx="9">
                  <c:v>186.82799999999997</c:v>
                </c:pt>
                <c:pt idx="10">
                  <c:v>193.244</c:v>
                </c:pt>
              </c:numCache>
            </c:numRef>
          </c:val>
        </c:ser>
        <c:dLbls>
          <c:showLegendKey val="0"/>
          <c:showVal val="0"/>
          <c:showCatName val="0"/>
          <c:showSerName val="0"/>
          <c:showPercent val="0"/>
          <c:showBubbleSize val="0"/>
        </c:dLbls>
        <c:gapWidth val="150"/>
        <c:axId val="395010432"/>
        <c:axId val="395011968"/>
      </c:barChart>
      <c:lineChart>
        <c:grouping val="standard"/>
        <c:varyColors val="0"/>
        <c:ser>
          <c:idx val="1"/>
          <c:order val="1"/>
          <c:tx>
            <c:strRef>
              <c:f>Link!$CQ$114</c:f>
              <c:strCache>
                <c:ptCount val="1"/>
                <c:pt idx="0">
                  <c:v>EBITDA Margin</c:v>
                </c:pt>
              </c:strCache>
            </c:strRef>
          </c:tx>
          <c:spPr>
            <a:ln w="12700">
              <a:solidFill>
                <a:srgbClr val="2270AB"/>
              </a:solidFill>
              <a:prstDash val="solid"/>
            </a:ln>
          </c:spPr>
          <c:marker>
            <c:symbol val="square"/>
            <c:size val="7"/>
            <c:spPr>
              <a:solidFill>
                <a:srgbClr val="2270AB"/>
              </a:solidFill>
              <a:ln>
                <a:solidFill>
                  <a:srgbClr val="2270AB"/>
                </a:solidFill>
                <a:prstDash val="solid"/>
              </a:ln>
            </c:spPr>
          </c:marker>
          <c:dLbls>
            <c:dLbl>
              <c:idx val="0"/>
              <c:layout>
                <c:manualLayout>
                  <c:x val="-2.7687960583080453E-2"/>
                  <c:y val="-3.8519952987315094E-2"/>
                </c:manualLayout>
              </c:layout>
              <c:dLblPos val="r"/>
              <c:showLegendKey val="0"/>
              <c:showVal val="1"/>
              <c:showCatName val="0"/>
              <c:showSerName val="0"/>
              <c:showPercent val="0"/>
              <c:showBubbleSize val="0"/>
            </c:dLbl>
            <c:dLbl>
              <c:idx val="1"/>
              <c:layout>
                <c:manualLayout>
                  <c:x val="-3.1922049886131149E-2"/>
                  <c:y val="-4.158552106740717E-2"/>
                </c:manualLayout>
              </c:layout>
              <c:dLblPos val="r"/>
              <c:showLegendKey val="0"/>
              <c:showVal val="1"/>
              <c:showCatName val="0"/>
              <c:showSerName val="0"/>
              <c:showPercent val="0"/>
              <c:showBubbleSize val="0"/>
            </c:dLbl>
            <c:dLbl>
              <c:idx val="2"/>
              <c:layout>
                <c:manualLayout>
                  <c:x val="-4.163559490906607E-2"/>
                  <c:y val="-3.8758913836466534E-2"/>
                </c:manualLayout>
              </c:layout>
              <c:dLblPos val="r"/>
              <c:showLegendKey val="0"/>
              <c:showVal val="1"/>
              <c:showCatName val="0"/>
              <c:showSerName val="0"/>
              <c:showPercent val="0"/>
              <c:showBubbleSize val="0"/>
            </c:dLbl>
            <c:dLbl>
              <c:idx val="3"/>
              <c:layout>
                <c:manualLayout>
                  <c:x val="-4.5869684212116797E-2"/>
                  <c:y val="-4.1948468738391483E-2"/>
                </c:manualLayout>
              </c:layout>
              <c:dLblPos val="r"/>
              <c:showLegendKey val="0"/>
              <c:showVal val="1"/>
              <c:showCatName val="0"/>
              <c:showSerName val="0"/>
              <c:showPercent val="0"/>
              <c:showBubbleSize val="0"/>
            </c:dLbl>
            <c:dLbl>
              <c:idx val="4"/>
              <c:layout>
                <c:manualLayout>
                  <c:x val="-2.8186094453269778E-2"/>
                  <c:y val="-5.542990420860968E-2"/>
                </c:manualLayout>
              </c:layout>
              <c:dLblPos val="r"/>
              <c:showLegendKey val="0"/>
              <c:showVal val="1"/>
              <c:showCatName val="0"/>
              <c:showSerName val="0"/>
              <c:showPercent val="0"/>
              <c:showBubbleSize val="0"/>
            </c:dLbl>
            <c:dLbl>
              <c:idx val="5"/>
              <c:layout>
                <c:manualLayout>
                  <c:x val="-3.65297755462336E-2"/>
                  <c:y val="-3.711834164580937E-2"/>
                </c:manualLayout>
              </c:layout>
              <c:dLblPos val="r"/>
              <c:showLegendKey val="0"/>
              <c:showVal val="1"/>
              <c:showCatName val="0"/>
              <c:showSerName val="0"/>
              <c:showPercent val="0"/>
              <c:showBubbleSize val="0"/>
            </c:dLbl>
            <c:dLbl>
              <c:idx val="6"/>
              <c:layout>
                <c:manualLayout>
                  <c:x val="-3.5284409129400097E-2"/>
                  <c:y val="-3.8133620768401627E-2"/>
                </c:manualLayout>
              </c:layout>
              <c:dLblPos val="r"/>
              <c:showLegendKey val="0"/>
              <c:showVal val="1"/>
              <c:showCatName val="0"/>
              <c:showSerName val="0"/>
              <c:showPercent val="0"/>
              <c:showBubbleSize val="0"/>
            </c:dLbl>
            <c:dLbl>
              <c:idx val="7"/>
              <c:layout>
                <c:manualLayout>
                  <c:x val="-3.9518642250089997E-2"/>
                  <c:y val="-3.970355213718936E-2"/>
                </c:manualLayout>
              </c:layout>
              <c:dLblPos val="r"/>
              <c:showLegendKey val="0"/>
              <c:showVal val="1"/>
              <c:showCatName val="0"/>
              <c:showSerName val="0"/>
              <c:showPercent val="0"/>
              <c:showBubbleSize val="0"/>
            </c:dLbl>
            <c:dLbl>
              <c:idx val="8"/>
              <c:layout>
                <c:manualLayout>
                  <c:x val="-3.2793820113372202E-2"/>
                  <c:y val="-4.1628149149569756E-2"/>
                </c:manualLayout>
              </c:layout>
              <c:dLblPos val="r"/>
              <c:showLegendKey val="0"/>
              <c:showVal val="1"/>
              <c:showCatName val="0"/>
              <c:showSerName val="0"/>
              <c:showPercent val="0"/>
              <c:showBubbleSize val="0"/>
            </c:dLbl>
            <c:dLbl>
              <c:idx val="9"/>
              <c:layout>
                <c:manualLayout>
                  <c:x val="-3.7027909416422873E-2"/>
                  <c:y val="-6.1280669382684484E-2"/>
                </c:manualLayout>
              </c:layout>
              <c:dLblPos val="r"/>
              <c:showLegendKey val="0"/>
              <c:showVal val="1"/>
              <c:showCatName val="0"/>
              <c:showSerName val="0"/>
              <c:showPercent val="0"/>
              <c:showBubbleSize val="0"/>
            </c:dLbl>
            <c:dLbl>
              <c:idx val="10"/>
              <c:layout>
                <c:manualLayout>
                  <c:x val="-3.8522270859531506E-2"/>
                  <c:y val="-4.4654255805031358E-2"/>
                </c:manualLayout>
              </c:layout>
              <c:dLblPos val="r"/>
              <c:showLegendKey val="0"/>
              <c:showVal val="1"/>
              <c:showCatName val="0"/>
              <c:showSerName val="0"/>
              <c:showPercent val="0"/>
              <c:showBubbleSize val="0"/>
            </c:dLbl>
            <c:dLbl>
              <c:idx val="13"/>
              <c:layout>
                <c:manualLayout>
                  <c:xMode val="edge"/>
                  <c:yMode val="edge"/>
                  <c:x val="0.6794525092656446"/>
                  <c:y val="0.1716937354988399"/>
                </c:manualLayout>
              </c:layout>
              <c:dLblPos val="r"/>
              <c:showLegendKey val="0"/>
              <c:showVal val="1"/>
              <c:showCatName val="0"/>
              <c:showSerName val="0"/>
              <c:showPercent val="0"/>
              <c:showBubbleSize val="0"/>
            </c:dLbl>
            <c:dLbl>
              <c:idx val="14"/>
              <c:layout>
                <c:manualLayout>
                  <c:xMode val="edge"/>
                  <c:yMode val="edge"/>
                  <c:x val="0.70684978786506569"/>
                  <c:y val="0.22273781902552203"/>
                </c:manualLayout>
              </c:layout>
              <c:dLblPos val="r"/>
              <c:showLegendKey val="0"/>
              <c:showVal val="1"/>
              <c:showCatName val="0"/>
              <c:showSerName val="0"/>
              <c:showPercent val="0"/>
              <c:showBubbleSize val="0"/>
            </c:dLbl>
            <c:dLbl>
              <c:idx val="15"/>
              <c:layout>
                <c:manualLayout>
                  <c:xMode val="edge"/>
                  <c:yMode val="edge"/>
                  <c:x val="0.7479457057641975"/>
                  <c:y val="0.16937354988399073"/>
                </c:manualLayout>
              </c:layout>
              <c:dLblPos val="r"/>
              <c:showLegendKey val="0"/>
              <c:showVal val="1"/>
              <c:showCatName val="0"/>
              <c:showSerName val="0"/>
              <c:showPercent val="0"/>
              <c:showBubbleSize val="0"/>
            </c:dLbl>
            <c:spPr>
              <a:noFill/>
              <a:ln w="25400">
                <a:noFill/>
              </a:ln>
            </c:spPr>
            <c:txPr>
              <a:bodyPr/>
              <a:lstStyle/>
              <a:p>
                <a:pPr>
                  <a:defRPr sz="12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Link!$CW$112:$DG$112</c:f>
              <c:strCache>
                <c:ptCount val="11"/>
                <c:pt idx="0">
                  <c:v>2Q09</c:v>
                </c:pt>
                <c:pt idx="1">
                  <c:v>3Q09</c:v>
                </c:pt>
                <c:pt idx="2">
                  <c:v>4Q09</c:v>
                </c:pt>
                <c:pt idx="3">
                  <c:v>1Q10</c:v>
                </c:pt>
                <c:pt idx="4">
                  <c:v>2Q10</c:v>
                </c:pt>
                <c:pt idx="5">
                  <c:v>3Q10</c:v>
                </c:pt>
                <c:pt idx="6">
                  <c:v>4Q10</c:v>
                </c:pt>
                <c:pt idx="7">
                  <c:v>1Q11</c:v>
                </c:pt>
                <c:pt idx="8">
                  <c:v>2Q11</c:v>
                </c:pt>
                <c:pt idx="9">
                  <c:v>3Q11E</c:v>
                </c:pt>
                <c:pt idx="10">
                  <c:v>4Q11E</c:v>
                </c:pt>
              </c:strCache>
            </c:strRef>
          </c:cat>
          <c:val>
            <c:numRef>
              <c:f>Link!$CW$114:$DG$114</c:f>
              <c:numCache>
                <c:formatCode>0%</c:formatCode>
                <c:ptCount val="11"/>
                <c:pt idx="0">
                  <c:v>0.46692749380770099</c:v>
                </c:pt>
                <c:pt idx="1">
                  <c:v>0.465973510050185</c:v>
                </c:pt>
                <c:pt idx="2">
                  <c:v>0.46035489297140408</c:v>
                </c:pt>
                <c:pt idx="3">
                  <c:v>0.47163672486114966</c:v>
                </c:pt>
                <c:pt idx="4">
                  <c:v>0.44578076457586968</c:v>
                </c:pt>
                <c:pt idx="5">
                  <c:v>0.44209288287895859</c:v>
                </c:pt>
                <c:pt idx="6">
                  <c:v>0.42950254942675092</c:v>
                </c:pt>
                <c:pt idx="7">
                  <c:v>0.4586169193866913</c:v>
                </c:pt>
                <c:pt idx="8">
                  <c:v>0.46018401550150323</c:v>
                </c:pt>
                <c:pt idx="9">
                  <c:v>0.4576784384431466</c:v>
                </c:pt>
                <c:pt idx="10">
                  <c:v>0.45779833031678496</c:v>
                </c:pt>
              </c:numCache>
            </c:numRef>
          </c:val>
          <c:smooth val="0"/>
        </c:ser>
        <c:dLbls>
          <c:showLegendKey val="0"/>
          <c:showVal val="0"/>
          <c:showCatName val="0"/>
          <c:showSerName val="0"/>
          <c:showPercent val="0"/>
          <c:showBubbleSize val="0"/>
        </c:dLbls>
        <c:marker val="1"/>
        <c:smooth val="0"/>
        <c:axId val="173555712"/>
        <c:axId val="173557248"/>
      </c:lineChart>
      <c:catAx>
        <c:axId val="395010432"/>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200" b="0" i="0" u="none" strike="noStrike" baseline="0">
                <a:solidFill>
                  <a:srgbClr val="000000"/>
                </a:solidFill>
                <a:latin typeface="Arial"/>
                <a:ea typeface="Arial"/>
                <a:cs typeface="Arial"/>
              </a:defRPr>
            </a:pPr>
            <a:endParaRPr lang="en-US"/>
          </a:p>
        </c:txPr>
        <c:crossAx val="395011968"/>
        <c:crosses val="autoZero"/>
        <c:auto val="1"/>
        <c:lblAlgn val="ctr"/>
        <c:lblOffset val="100"/>
        <c:tickLblSkip val="1"/>
        <c:tickMarkSkip val="1"/>
        <c:noMultiLvlLbl val="0"/>
      </c:catAx>
      <c:valAx>
        <c:axId val="395011968"/>
        <c:scaling>
          <c:orientation val="minMax"/>
          <c:max val="300"/>
        </c:scaling>
        <c:delete val="0"/>
        <c:axPos val="l"/>
        <c:majorGridlines>
          <c:spPr>
            <a:ln w="3175">
              <a:solidFill>
                <a:srgbClr val="C0C0C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($MM)</a:t>
                </a:r>
              </a:p>
            </c:rich>
          </c:tx>
          <c:layout>
            <c:manualLayout>
              <c:xMode val="edge"/>
              <c:yMode val="edge"/>
              <c:x val="1.0208032215151187E-2"/>
              <c:y val="0.46463391612011379"/>
            </c:manualLayout>
          </c:layout>
          <c:overlay val="0"/>
          <c:spPr>
            <a:noFill/>
            <a:ln w="25400">
              <a:noFill/>
            </a:ln>
          </c:spPr>
        </c:title>
        <c:numFmt formatCode="\$#,##0_);[Red]\(\$#,##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395010432"/>
        <c:crosses val="autoZero"/>
        <c:crossBetween val="between"/>
      </c:valAx>
      <c:catAx>
        <c:axId val="173555712"/>
        <c:scaling>
          <c:orientation val="minMax"/>
        </c:scaling>
        <c:delete val="1"/>
        <c:axPos val="b"/>
        <c:majorTickMark val="out"/>
        <c:minorTickMark val="none"/>
        <c:tickLblPos val="nextTo"/>
        <c:crossAx val="173557248"/>
        <c:crosses val="autoZero"/>
        <c:auto val="1"/>
        <c:lblAlgn val="ctr"/>
        <c:lblOffset val="100"/>
        <c:noMultiLvlLbl val="0"/>
      </c:catAx>
      <c:valAx>
        <c:axId val="173557248"/>
        <c:scaling>
          <c:orientation val="minMax"/>
          <c:min val="0.3"/>
        </c:scaling>
        <c:delete val="0"/>
        <c:axPos val="r"/>
        <c:numFmt formatCode="0%" sourceLinked="1"/>
        <c:majorTickMark val="cross"/>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73555712"/>
        <c:crosses val="max"/>
        <c:crossBetween val="between"/>
      </c:valAx>
      <c:spPr>
        <a:noFill/>
        <a:ln w="25400">
          <a:noFill/>
        </a:ln>
      </c:spPr>
    </c:plotArea>
    <c:legend>
      <c:legendPos val="r"/>
      <c:layout>
        <c:manualLayout>
          <c:xMode val="edge"/>
          <c:yMode val="edge"/>
          <c:x val="0.62876755474058899"/>
          <c:y val="8.3526682134570762E-2"/>
          <c:w val="0.36575371229281273"/>
          <c:h val="7.6566125290023213E-2"/>
        </c:manualLayout>
      </c:layout>
      <c:overlay val="0"/>
      <c:spPr>
        <a:solidFill>
          <a:srgbClr val="FFFFFF"/>
        </a:solidFill>
        <a:ln w="25400">
          <a:noFill/>
        </a:ln>
      </c:spPr>
      <c:txPr>
        <a:bodyPr/>
        <a:lstStyle/>
        <a:p>
          <a:pPr>
            <a:defRPr sz="1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8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977547815953976"/>
          <c:y val="0.11294796226100384"/>
          <c:w val="0.65168610832833163"/>
          <c:h val="0.79890022087051504"/>
        </c:manualLayout>
      </c:layout>
      <c:pieChart>
        <c:varyColors val="1"/>
        <c:ser>
          <c:idx val="0"/>
          <c:order val="0"/>
          <c:tx>
            <c:strRef>
              <c:f>Link!$DE$146</c:f>
              <c:strCache>
                <c:ptCount val="1"/>
                <c:pt idx="0">
                  <c:v>Colocation</c:v>
                </c:pt>
              </c:strCache>
            </c:strRef>
          </c:tx>
          <c:spPr>
            <a:solidFill>
              <a:srgbClr val="137CB1"/>
            </a:solidFill>
            <a:ln w="25400">
              <a:noFill/>
            </a:ln>
          </c:spPr>
          <c:dPt>
            <c:idx val="0"/>
            <c:bubble3D val="0"/>
          </c:dPt>
          <c:dPt>
            <c:idx val="1"/>
            <c:bubble3D val="0"/>
            <c:spPr>
              <a:solidFill>
                <a:srgbClr val="EACC80"/>
              </a:solidFill>
              <a:ln w="25400">
                <a:noFill/>
              </a:ln>
            </c:spPr>
          </c:dPt>
          <c:dPt>
            <c:idx val="2"/>
            <c:bubble3D val="0"/>
            <c:spPr>
              <a:solidFill>
                <a:srgbClr val="4AAC6B"/>
              </a:solidFill>
              <a:ln w="25400">
                <a:noFill/>
              </a:ln>
            </c:spPr>
          </c:dPt>
          <c:dPt>
            <c:idx val="3"/>
            <c:bubble3D val="0"/>
            <c:spPr>
              <a:solidFill>
                <a:srgbClr val="A8D7E2"/>
              </a:solidFill>
              <a:ln w="25400">
                <a:noFill/>
              </a:ln>
            </c:spPr>
          </c:dPt>
          <c:dLbls>
            <c:dLbl>
              <c:idx val="1"/>
              <c:layout>
                <c:manualLayout>
                  <c:x val="-9.4094545477030694E-2"/>
                  <c:y val="7.6438643182160218E-2"/>
                </c:manualLayout>
              </c:layout>
              <c:numFmt formatCode="0.0%" sourceLinked="0"/>
              <c:spPr>
                <a:noFill/>
                <a:ln w="25400">
                  <a:noFill/>
                </a:ln>
              </c:spPr>
              <c:txPr>
                <a:bodyPr/>
                <a:lstStyle/>
                <a:p>
                  <a:pPr>
                    <a:defRPr sz="900" b="0" i="0" u="none" strike="noStrike" baseline="0">
                      <a:solidFill>
                        <a:srgbClr val="000000"/>
                      </a:solidFill>
                      <a:latin typeface="Arial"/>
                      <a:ea typeface="Arial"/>
                      <a:cs typeface="Arial"/>
                    </a:defRPr>
                  </a:pPr>
                  <a:endParaRPr lang="en-US"/>
                </a:p>
              </c:txPr>
              <c:dLblPos val="bestFit"/>
              <c:showLegendKey val="0"/>
              <c:showVal val="0"/>
              <c:showCatName val="1"/>
              <c:showSerName val="0"/>
              <c:showPercent val="1"/>
              <c:showBubbleSize val="0"/>
            </c:dLbl>
            <c:dLbl>
              <c:idx val="2"/>
              <c:layout>
                <c:manualLayout>
                  <c:x val="-0.13385804334979909"/>
                  <c:y val="-9.745615322388039E-3"/>
                </c:manualLayout>
              </c:layout>
              <c:numFmt formatCode="0.0%" sourceLinked="0"/>
              <c:spPr>
                <a:noFill/>
                <a:ln w="25400">
                  <a:noFill/>
                </a:ln>
              </c:spPr>
              <c:txPr>
                <a:bodyPr/>
                <a:lstStyle/>
                <a:p>
                  <a:pPr>
                    <a:defRPr sz="900" b="0" i="0" u="none" strike="noStrike" baseline="0">
                      <a:solidFill>
                        <a:srgbClr val="000000"/>
                      </a:solidFill>
                      <a:latin typeface="Arial"/>
                      <a:ea typeface="Arial"/>
                      <a:cs typeface="Arial"/>
                    </a:defRPr>
                  </a:pPr>
                  <a:endParaRPr lang="en-US"/>
                </a:p>
              </c:txPr>
              <c:dLblPos val="bestFit"/>
              <c:showLegendKey val="0"/>
              <c:showVal val="0"/>
              <c:showCatName val="1"/>
              <c:showSerName val="0"/>
              <c:showPercent val="1"/>
              <c:showBubbleSize val="0"/>
            </c:dLbl>
            <c:dLbl>
              <c:idx val="3"/>
              <c:layout>
                <c:manualLayout>
                  <c:x val="0.15919864533671615"/>
                  <c:y val="-6.4917442080728079E-3"/>
                </c:manualLayout>
              </c:layout>
              <c:dLblPos val="bestFit"/>
              <c:showLegendKey val="0"/>
              <c:showVal val="0"/>
              <c:showCatName val="1"/>
              <c:showSerName val="0"/>
              <c:showPercent val="1"/>
              <c:showBubbleSize val="0"/>
            </c:dLbl>
            <c:numFmt formatCode="0.0%" sourceLinked="0"/>
            <c:spPr>
              <a:noFill/>
              <a:ln w="25400">
                <a:noFill/>
              </a:ln>
            </c:spPr>
            <c:txPr>
              <a:bodyPr/>
              <a:lstStyle/>
              <a:p>
                <a:pPr>
                  <a:defRPr sz="1200" b="0" i="0" u="none" strike="noStrike" baseline="0">
                    <a:solidFill>
                      <a:srgbClr val="000000"/>
                    </a:solidFill>
                    <a:latin typeface="Arial"/>
                    <a:ea typeface="Arial"/>
                    <a:cs typeface="Arial"/>
                  </a:defRPr>
                </a:pPr>
                <a:endParaRPr lang="en-US"/>
              </a:p>
            </c:txPr>
            <c:showLegendKey val="0"/>
            <c:showVal val="0"/>
            <c:showCatName val="1"/>
            <c:showSerName val="0"/>
            <c:showPercent val="1"/>
            <c:showBubbleSize val="0"/>
            <c:showLeaderLines val="1"/>
          </c:dLbls>
          <c:cat>
            <c:strRef>
              <c:f>Link!$DE$146:$DE$149</c:f>
              <c:strCache>
                <c:ptCount val="4"/>
                <c:pt idx="0">
                  <c:v>Colocation</c:v>
                </c:pt>
                <c:pt idx="1">
                  <c:v>Interconnection</c:v>
                </c:pt>
                <c:pt idx="2">
                  <c:v>Managed Infrastructure</c:v>
                </c:pt>
                <c:pt idx="3">
                  <c:v>Rental</c:v>
                </c:pt>
              </c:strCache>
            </c:strRef>
          </c:cat>
          <c:val>
            <c:numRef>
              <c:f>Link!$DD$146:$DD$149</c:f>
              <c:numCache>
                <c:formatCode>General</c:formatCode>
                <c:ptCount val="4"/>
                <c:pt idx="0">
                  <c:v>228.52190162018246</c:v>
                </c:pt>
                <c:pt idx="1">
                  <c:v>39.809335000054112</c:v>
                </c:pt>
                <c:pt idx="2">
                  <c:v>7.2709076160481398</c:v>
                </c:pt>
                <c:pt idx="3">
                  <c:v>0.54685576371527223</c:v>
                </c:pt>
              </c:numCache>
            </c:numRef>
          </c:val>
        </c:ser>
        <c:ser>
          <c:idx val="1"/>
          <c:order val="1"/>
          <c:spPr>
            <a:solidFill>
              <a:srgbClr val="EACC80"/>
            </a:solidFill>
            <a:ln w="12700">
              <a:solidFill>
                <a:srgbClr val="000000"/>
              </a:solidFill>
              <a:prstDash val="solid"/>
            </a:ln>
          </c:spPr>
          <c:dPt>
            <c:idx val="0"/>
            <c:bubble3D val="0"/>
            <c:spPr>
              <a:solidFill>
                <a:srgbClr val="137CB1"/>
              </a:solidFill>
              <a:ln w="12700">
                <a:solidFill>
                  <a:srgbClr val="000000"/>
                </a:solidFill>
                <a:prstDash val="solid"/>
              </a:ln>
            </c:spPr>
          </c:dPt>
          <c:dPt>
            <c:idx val="1"/>
            <c:bubble3D val="0"/>
          </c:dPt>
          <c:dPt>
            <c:idx val="2"/>
            <c:bubble3D val="0"/>
          </c:dPt>
          <c:dPt>
            <c:idx val="3"/>
            <c:bubble3D val="0"/>
          </c:dPt>
          <c:cat>
            <c:strRef>
              <c:f>Link!$DE$146:$DE$149</c:f>
              <c:strCache>
                <c:ptCount val="4"/>
                <c:pt idx="0">
                  <c:v>Colocation</c:v>
                </c:pt>
                <c:pt idx="1">
                  <c:v>Interconnection</c:v>
                </c:pt>
                <c:pt idx="2">
                  <c:v>Managed Infrastructure</c:v>
                </c:pt>
                <c:pt idx="3">
                  <c:v>Rental</c:v>
                </c:pt>
              </c:strCache>
            </c:strRef>
          </c:cat>
          <c:val>
            <c:numRef>
              <c:f>Link!$DD$147</c:f>
              <c:numCache>
                <c:formatCode>General</c:formatCode>
                <c:ptCount val="1"/>
                <c:pt idx="0">
                  <c:v>39.809335000054112</c:v>
                </c:pt>
              </c:numCache>
            </c:numRef>
          </c:val>
        </c:ser>
        <c:ser>
          <c:idx val="2"/>
          <c:order val="2"/>
          <c:spPr>
            <a:solidFill>
              <a:srgbClr val="4AAC6B"/>
            </a:solidFill>
            <a:ln w="12700">
              <a:solidFill>
                <a:srgbClr val="000000"/>
              </a:solidFill>
              <a:prstDash val="solid"/>
            </a:ln>
          </c:spPr>
          <c:dPt>
            <c:idx val="0"/>
            <c:bubble3D val="0"/>
            <c:spPr>
              <a:solidFill>
                <a:srgbClr val="137CB1"/>
              </a:solidFill>
              <a:ln w="12700">
                <a:solidFill>
                  <a:srgbClr val="000000"/>
                </a:solidFill>
                <a:prstDash val="solid"/>
              </a:ln>
            </c:spPr>
          </c:dPt>
          <c:dPt>
            <c:idx val="1"/>
            <c:bubble3D val="0"/>
          </c:dPt>
          <c:dPt>
            <c:idx val="2"/>
            <c:bubble3D val="0"/>
          </c:dPt>
          <c:dPt>
            <c:idx val="3"/>
            <c:bubble3D val="0"/>
          </c:dPt>
          <c:cat>
            <c:strRef>
              <c:f>Link!$DE$146:$DE$149</c:f>
              <c:strCache>
                <c:ptCount val="4"/>
                <c:pt idx="0">
                  <c:v>Colocation</c:v>
                </c:pt>
                <c:pt idx="1">
                  <c:v>Interconnection</c:v>
                </c:pt>
                <c:pt idx="2">
                  <c:v>Managed Infrastructure</c:v>
                </c:pt>
                <c:pt idx="3">
                  <c:v>Rental</c:v>
                </c:pt>
              </c:strCache>
            </c:strRef>
          </c:cat>
          <c:val>
            <c:numRef>
              <c:f>Link!$DD$148</c:f>
              <c:numCache>
                <c:formatCode>General</c:formatCode>
                <c:ptCount val="1"/>
                <c:pt idx="0">
                  <c:v>7.2709076160481398</c:v>
                </c:pt>
              </c:numCache>
            </c:numRef>
          </c:val>
        </c:ser>
        <c:ser>
          <c:idx val="3"/>
          <c:order val="3"/>
          <c:spPr>
            <a:solidFill>
              <a:srgbClr val="A8D7E2"/>
            </a:solidFill>
            <a:ln w="12700">
              <a:solidFill>
                <a:srgbClr val="000000"/>
              </a:solidFill>
              <a:prstDash val="solid"/>
            </a:ln>
          </c:spPr>
          <c:dPt>
            <c:idx val="0"/>
            <c:bubble3D val="0"/>
            <c:spPr>
              <a:solidFill>
                <a:srgbClr val="137CB1"/>
              </a:solidFill>
              <a:ln w="12700">
                <a:solidFill>
                  <a:srgbClr val="000000"/>
                </a:solidFill>
                <a:prstDash val="solid"/>
              </a:ln>
            </c:spPr>
          </c:dPt>
          <c:dPt>
            <c:idx val="1"/>
            <c:bubble3D val="0"/>
          </c:dPt>
          <c:dPt>
            <c:idx val="2"/>
            <c:bubble3D val="0"/>
          </c:dPt>
          <c:dPt>
            <c:idx val="3"/>
            <c:bubble3D val="0"/>
          </c:dPt>
          <c:cat>
            <c:strRef>
              <c:f>Link!$DE$146:$DE$149</c:f>
              <c:strCache>
                <c:ptCount val="4"/>
                <c:pt idx="0">
                  <c:v>Colocation</c:v>
                </c:pt>
                <c:pt idx="1">
                  <c:v>Interconnection</c:v>
                </c:pt>
                <c:pt idx="2">
                  <c:v>Managed Infrastructure</c:v>
                </c:pt>
                <c:pt idx="3">
                  <c:v>Rental</c:v>
                </c:pt>
              </c:strCache>
            </c:strRef>
          </c:cat>
          <c:val>
            <c:numRef>
              <c:f>Link!$DD$149</c:f>
              <c:numCache>
                <c:formatCode>General</c:formatCode>
                <c:ptCount val="1"/>
                <c:pt idx="0">
                  <c:v>0.54685576371527223</c:v>
                </c:pt>
              </c:numCache>
            </c:numRef>
          </c:val>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8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044970203838442"/>
          <c:y val="0.19283798434805535"/>
          <c:w val="0.51910169318567112"/>
          <c:h val="0.6363653483485826"/>
        </c:manualLayout>
      </c:layout>
      <c:pieChart>
        <c:varyColors val="1"/>
        <c:ser>
          <c:idx val="0"/>
          <c:order val="0"/>
          <c:tx>
            <c:strRef>
              <c:f>Link!$DE$146</c:f>
              <c:strCache>
                <c:ptCount val="1"/>
                <c:pt idx="0">
                  <c:v>Colocation</c:v>
                </c:pt>
              </c:strCache>
            </c:strRef>
          </c:tx>
          <c:spPr>
            <a:solidFill>
              <a:srgbClr val="137CB1"/>
            </a:solidFill>
            <a:ln w="25400">
              <a:noFill/>
            </a:ln>
          </c:spPr>
          <c:dPt>
            <c:idx val="0"/>
            <c:bubble3D val="0"/>
          </c:dPt>
          <c:dPt>
            <c:idx val="1"/>
            <c:bubble3D val="0"/>
            <c:spPr>
              <a:solidFill>
                <a:srgbClr val="4AAC6B"/>
              </a:solidFill>
              <a:ln w="25400">
                <a:noFill/>
              </a:ln>
            </c:spPr>
          </c:dPt>
          <c:dPt>
            <c:idx val="2"/>
            <c:bubble3D val="0"/>
            <c:spPr>
              <a:solidFill>
                <a:srgbClr val="C6D9E2"/>
              </a:solidFill>
              <a:ln w="25400">
                <a:noFill/>
              </a:ln>
            </c:spPr>
          </c:dPt>
          <c:dLbls>
            <c:dLbl>
              <c:idx val="1"/>
              <c:layout>
                <c:manualLayout>
                  <c:x val="2.4569754958196344E-2"/>
                  <c:y val="-3.8430260487187902E-2"/>
                </c:manualLayout>
              </c:layout>
              <c:dLblPos val="bestFit"/>
              <c:showLegendKey val="0"/>
              <c:showVal val="0"/>
              <c:showCatName val="1"/>
              <c:showSerName val="0"/>
              <c:showPercent val="1"/>
              <c:showBubbleSize val="0"/>
            </c:dLbl>
            <c:dLbl>
              <c:idx val="2"/>
              <c:layout>
                <c:manualLayout>
                  <c:x val="-7.7487971682082407E-2"/>
                  <c:y val="9.9714239071656136E-2"/>
                </c:manualLayout>
              </c:layout>
              <c:dLblPos val="bestFit"/>
              <c:showLegendKey val="0"/>
              <c:showVal val="0"/>
              <c:showCatName val="1"/>
              <c:showSerName val="0"/>
              <c:showPercent val="1"/>
              <c:showBubbleSize val="0"/>
            </c:dLbl>
            <c:numFmt formatCode="0.0%" sourceLinked="0"/>
            <c:spPr>
              <a:noFill/>
              <a:ln w="25400">
                <a:noFill/>
              </a:ln>
            </c:spPr>
            <c:txPr>
              <a:bodyPr/>
              <a:lstStyle/>
              <a:p>
                <a:pPr>
                  <a:defRPr sz="1200" b="0" i="0" u="none" strike="noStrike" baseline="0">
                    <a:solidFill>
                      <a:srgbClr val="000000"/>
                    </a:solidFill>
                    <a:latin typeface="Arial"/>
                    <a:ea typeface="Arial"/>
                    <a:cs typeface="Arial"/>
                  </a:defRPr>
                </a:pPr>
                <a:endParaRPr lang="en-US"/>
              </a:p>
            </c:txPr>
            <c:showLegendKey val="0"/>
            <c:showVal val="0"/>
            <c:showCatName val="1"/>
            <c:showSerName val="0"/>
            <c:showPercent val="1"/>
            <c:showBubbleSize val="0"/>
            <c:showLeaderLines val="1"/>
          </c:dLbls>
          <c:cat>
            <c:strRef>
              <c:f>Link!$DE$162:$DE$164</c:f>
              <c:strCache>
                <c:ptCount val="3"/>
                <c:pt idx="0">
                  <c:v>Colocation</c:v>
                </c:pt>
                <c:pt idx="1">
                  <c:v>Managed Hosting</c:v>
                </c:pt>
                <c:pt idx="2">
                  <c:v>Network Services</c:v>
                </c:pt>
              </c:strCache>
            </c:strRef>
          </c:cat>
          <c:val>
            <c:numRef>
              <c:f>Link!$DD$162:$DD$164</c:f>
              <c:numCache>
                <c:formatCode>General</c:formatCode>
                <c:ptCount val="3"/>
                <c:pt idx="0">
                  <c:v>84.281000000000006</c:v>
                </c:pt>
                <c:pt idx="1">
                  <c:v>73.897999999999996</c:v>
                </c:pt>
                <c:pt idx="2">
                  <c:v>63.576999999999998</c:v>
                </c:pt>
              </c:numCache>
            </c:numRef>
          </c:val>
        </c:ser>
        <c:ser>
          <c:idx val="1"/>
          <c:order val="1"/>
          <c:spPr>
            <a:solidFill>
              <a:srgbClr val="EACC80"/>
            </a:solidFill>
            <a:ln w="12700">
              <a:solidFill>
                <a:srgbClr val="000000"/>
              </a:solidFill>
              <a:prstDash val="solid"/>
            </a:ln>
          </c:spPr>
          <c:dPt>
            <c:idx val="0"/>
            <c:bubble3D val="0"/>
            <c:spPr>
              <a:solidFill>
                <a:srgbClr val="137CB1"/>
              </a:solidFill>
              <a:ln w="12700">
                <a:solidFill>
                  <a:srgbClr val="000000"/>
                </a:solidFill>
                <a:prstDash val="solid"/>
              </a:ln>
            </c:spPr>
          </c:dPt>
          <c:dPt>
            <c:idx val="1"/>
            <c:bubble3D val="0"/>
          </c:dPt>
          <c:dPt>
            <c:idx val="2"/>
            <c:bubble3D val="0"/>
          </c:dPt>
          <c:cat>
            <c:strRef>
              <c:f>Link!$DE$162:$DE$164</c:f>
              <c:strCache>
                <c:ptCount val="3"/>
                <c:pt idx="0">
                  <c:v>Colocation</c:v>
                </c:pt>
                <c:pt idx="1">
                  <c:v>Managed Hosting</c:v>
                </c:pt>
                <c:pt idx="2">
                  <c:v>Network Services</c:v>
                </c:pt>
              </c:strCache>
            </c:strRef>
          </c:cat>
          <c:val>
            <c:numRef>
              <c:f>Link!$DD$147</c:f>
              <c:numCache>
                <c:formatCode>General</c:formatCode>
                <c:ptCount val="1"/>
                <c:pt idx="0">
                  <c:v>39.809335000054112</c:v>
                </c:pt>
              </c:numCache>
            </c:numRef>
          </c:val>
        </c:ser>
        <c:ser>
          <c:idx val="2"/>
          <c:order val="2"/>
          <c:spPr>
            <a:solidFill>
              <a:srgbClr val="4AAC6B"/>
            </a:solidFill>
            <a:ln w="12700">
              <a:solidFill>
                <a:srgbClr val="000000"/>
              </a:solidFill>
              <a:prstDash val="solid"/>
            </a:ln>
          </c:spPr>
          <c:dPt>
            <c:idx val="0"/>
            <c:bubble3D val="0"/>
            <c:spPr>
              <a:solidFill>
                <a:srgbClr val="137CB1"/>
              </a:solidFill>
              <a:ln w="12700">
                <a:solidFill>
                  <a:srgbClr val="000000"/>
                </a:solidFill>
                <a:prstDash val="solid"/>
              </a:ln>
            </c:spPr>
          </c:dPt>
          <c:dPt>
            <c:idx val="1"/>
            <c:bubble3D val="0"/>
          </c:dPt>
          <c:dPt>
            <c:idx val="2"/>
            <c:bubble3D val="0"/>
          </c:dPt>
          <c:cat>
            <c:strRef>
              <c:f>Link!$DE$162:$DE$164</c:f>
              <c:strCache>
                <c:ptCount val="3"/>
                <c:pt idx="0">
                  <c:v>Colocation</c:v>
                </c:pt>
                <c:pt idx="1">
                  <c:v>Managed Hosting</c:v>
                </c:pt>
                <c:pt idx="2">
                  <c:v>Network Services</c:v>
                </c:pt>
              </c:strCache>
            </c:strRef>
          </c:cat>
          <c:val>
            <c:numRef>
              <c:f>Link!$DD$148</c:f>
              <c:numCache>
                <c:formatCode>General</c:formatCode>
                <c:ptCount val="1"/>
                <c:pt idx="0">
                  <c:v>7.2709076160481398</c:v>
                </c:pt>
              </c:numCache>
            </c:numRef>
          </c:val>
        </c:ser>
        <c:ser>
          <c:idx val="3"/>
          <c:order val="3"/>
          <c:spPr>
            <a:solidFill>
              <a:srgbClr val="A8D7E2"/>
            </a:solidFill>
            <a:ln w="12700">
              <a:solidFill>
                <a:srgbClr val="000000"/>
              </a:solidFill>
              <a:prstDash val="solid"/>
            </a:ln>
          </c:spPr>
          <c:dPt>
            <c:idx val="0"/>
            <c:bubble3D val="0"/>
            <c:spPr>
              <a:solidFill>
                <a:srgbClr val="137CB1"/>
              </a:solidFill>
              <a:ln w="12700">
                <a:solidFill>
                  <a:srgbClr val="000000"/>
                </a:solidFill>
                <a:prstDash val="solid"/>
              </a:ln>
            </c:spPr>
          </c:dPt>
          <c:dPt>
            <c:idx val="1"/>
            <c:bubble3D val="0"/>
          </c:dPt>
          <c:dPt>
            <c:idx val="2"/>
            <c:bubble3D val="0"/>
          </c:dPt>
          <c:cat>
            <c:strRef>
              <c:f>Link!$DE$162:$DE$164</c:f>
              <c:strCache>
                <c:ptCount val="3"/>
                <c:pt idx="0">
                  <c:v>Colocation</c:v>
                </c:pt>
                <c:pt idx="1">
                  <c:v>Managed Hosting</c:v>
                </c:pt>
                <c:pt idx="2">
                  <c:v>Network Services</c:v>
                </c:pt>
              </c:strCache>
            </c:strRef>
          </c:cat>
          <c:val>
            <c:numRef>
              <c:f>Link!$DD$149</c:f>
              <c:numCache>
                <c:formatCode>General</c:formatCode>
                <c:ptCount val="1"/>
                <c:pt idx="0">
                  <c:v>0.54685576371527223</c:v>
                </c:pt>
              </c:numCache>
            </c:numRef>
          </c:val>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8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123618683745923"/>
          <c:y val="0.14325107408712684"/>
          <c:w val="0.6134838192194294"/>
          <c:h val="0.75206813895741587"/>
        </c:manualLayout>
      </c:layout>
      <c:pieChart>
        <c:varyColors val="1"/>
        <c:ser>
          <c:idx val="0"/>
          <c:order val="0"/>
          <c:tx>
            <c:strRef>
              <c:f>Link!$DE$146</c:f>
              <c:strCache>
                <c:ptCount val="1"/>
                <c:pt idx="0">
                  <c:v>Colocation</c:v>
                </c:pt>
              </c:strCache>
            </c:strRef>
          </c:tx>
          <c:spPr>
            <a:solidFill>
              <a:srgbClr val="137CB1"/>
            </a:solidFill>
            <a:ln w="25400">
              <a:noFill/>
            </a:ln>
          </c:spPr>
          <c:dPt>
            <c:idx val="0"/>
            <c:bubble3D val="0"/>
            <c:spPr>
              <a:solidFill>
                <a:srgbClr val="4AAC6B"/>
              </a:solidFill>
              <a:ln w="25400">
                <a:noFill/>
              </a:ln>
            </c:spPr>
          </c:dPt>
          <c:dPt>
            <c:idx val="1"/>
            <c:bubble3D val="0"/>
            <c:spPr>
              <a:solidFill>
                <a:srgbClr val="FDCDB8"/>
              </a:solidFill>
              <a:ln w="25400">
                <a:noFill/>
              </a:ln>
            </c:spPr>
          </c:dPt>
          <c:dLbls>
            <c:dLbl>
              <c:idx val="0"/>
              <c:layout>
                <c:manualLayout>
                  <c:x val="6.048323423584788E-2"/>
                  <c:y val="-3.8430260487187902E-2"/>
                </c:manualLayout>
              </c:layout>
              <c:dLblPos val="bestFit"/>
              <c:showLegendKey val="0"/>
              <c:showVal val="0"/>
              <c:showCatName val="1"/>
              <c:showSerName val="0"/>
              <c:showPercent val="1"/>
              <c:showBubbleSize val="0"/>
            </c:dLbl>
            <c:dLbl>
              <c:idx val="1"/>
              <c:layout>
                <c:manualLayout>
                  <c:x val="4.9911960108794118E-2"/>
                  <c:y val="4.207701235038909E-2"/>
                </c:manualLayout>
              </c:layout>
              <c:dLblPos val="bestFit"/>
              <c:showLegendKey val="0"/>
              <c:showVal val="0"/>
              <c:showCatName val="1"/>
              <c:showSerName val="0"/>
              <c:showPercent val="1"/>
              <c:showBubbleSize val="0"/>
            </c:dLbl>
            <c:dLbl>
              <c:idx val="2"/>
              <c:numFmt formatCode="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bestFit"/>
              <c:showLegendKey val="0"/>
              <c:showVal val="0"/>
              <c:showCatName val="1"/>
              <c:showSerName val="0"/>
              <c:showPercent val="1"/>
              <c:showBubbleSize val="0"/>
            </c:dLbl>
            <c:numFmt formatCode="0.0%" sourceLinked="0"/>
            <c:spPr>
              <a:noFill/>
              <a:ln w="25400">
                <a:noFill/>
              </a:ln>
            </c:spPr>
            <c:txPr>
              <a:bodyPr/>
              <a:lstStyle/>
              <a:p>
                <a:pPr>
                  <a:defRPr sz="1200" b="0" i="0" u="none" strike="noStrike" baseline="0">
                    <a:solidFill>
                      <a:srgbClr val="000000"/>
                    </a:solidFill>
                    <a:latin typeface="Arial"/>
                    <a:ea typeface="Arial"/>
                    <a:cs typeface="Arial"/>
                  </a:defRPr>
                </a:pPr>
                <a:endParaRPr lang="en-US"/>
              </a:p>
            </c:txPr>
            <c:showLegendKey val="0"/>
            <c:showVal val="0"/>
            <c:showCatName val="1"/>
            <c:showSerName val="0"/>
            <c:showPercent val="1"/>
            <c:showBubbleSize val="0"/>
            <c:showLeaderLines val="1"/>
          </c:dLbls>
          <c:cat>
            <c:strRef>
              <c:f>Link!$DE$183:$DE$184</c:f>
              <c:strCache>
                <c:ptCount val="2"/>
                <c:pt idx="0">
                  <c:v>Managed Hosting</c:v>
                </c:pt>
                <c:pt idx="1">
                  <c:v>Cloud</c:v>
                </c:pt>
              </c:strCache>
            </c:strRef>
          </c:cat>
          <c:val>
            <c:numRef>
              <c:f>Link!$DD$183:$DD$184</c:f>
              <c:numCache>
                <c:formatCode>General</c:formatCode>
                <c:ptCount val="2"/>
                <c:pt idx="0">
                  <c:v>164.09399999999999</c:v>
                </c:pt>
                <c:pt idx="1">
                  <c:v>23.22</c:v>
                </c:pt>
              </c:numCache>
            </c:numRef>
          </c:val>
        </c:ser>
        <c:ser>
          <c:idx val="1"/>
          <c:order val="1"/>
          <c:spPr>
            <a:solidFill>
              <a:srgbClr val="EACC80"/>
            </a:solidFill>
            <a:ln w="12700">
              <a:solidFill>
                <a:srgbClr val="000000"/>
              </a:solidFill>
              <a:prstDash val="solid"/>
            </a:ln>
          </c:spPr>
          <c:dPt>
            <c:idx val="0"/>
            <c:bubble3D val="0"/>
            <c:spPr>
              <a:solidFill>
                <a:srgbClr val="137CB1"/>
              </a:solidFill>
              <a:ln w="12700">
                <a:solidFill>
                  <a:srgbClr val="000000"/>
                </a:solidFill>
                <a:prstDash val="solid"/>
              </a:ln>
            </c:spPr>
          </c:dPt>
          <c:dPt>
            <c:idx val="1"/>
            <c:bubble3D val="0"/>
          </c:dPt>
          <c:cat>
            <c:strRef>
              <c:f>Link!$DE$183:$DE$184</c:f>
              <c:strCache>
                <c:ptCount val="2"/>
                <c:pt idx="0">
                  <c:v>Managed Hosting</c:v>
                </c:pt>
                <c:pt idx="1">
                  <c:v>Cloud</c:v>
                </c:pt>
              </c:strCache>
            </c:strRef>
          </c:cat>
          <c:val>
            <c:numRef>
              <c:f>Link!$DD$147</c:f>
              <c:numCache>
                <c:formatCode>General</c:formatCode>
                <c:ptCount val="1"/>
                <c:pt idx="0">
                  <c:v>39.809335000054112</c:v>
                </c:pt>
              </c:numCache>
            </c:numRef>
          </c:val>
        </c:ser>
        <c:ser>
          <c:idx val="2"/>
          <c:order val="2"/>
          <c:spPr>
            <a:solidFill>
              <a:srgbClr val="4AAC6B"/>
            </a:solidFill>
            <a:ln w="12700">
              <a:solidFill>
                <a:srgbClr val="000000"/>
              </a:solidFill>
              <a:prstDash val="solid"/>
            </a:ln>
          </c:spPr>
          <c:dPt>
            <c:idx val="0"/>
            <c:bubble3D val="0"/>
            <c:spPr>
              <a:solidFill>
                <a:srgbClr val="137CB1"/>
              </a:solidFill>
              <a:ln w="12700">
                <a:solidFill>
                  <a:srgbClr val="000000"/>
                </a:solidFill>
                <a:prstDash val="solid"/>
              </a:ln>
            </c:spPr>
          </c:dPt>
          <c:dPt>
            <c:idx val="1"/>
            <c:bubble3D val="0"/>
          </c:dPt>
          <c:cat>
            <c:strRef>
              <c:f>Link!$DE$183:$DE$184</c:f>
              <c:strCache>
                <c:ptCount val="2"/>
                <c:pt idx="0">
                  <c:v>Managed Hosting</c:v>
                </c:pt>
                <c:pt idx="1">
                  <c:v>Cloud</c:v>
                </c:pt>
              </c:strCache>
            </c:strRef>
          </c:cat>
          <c:val>
            <c:numRef>
              <c:f>Link!$DD$148</c:f>
              <c:numCache>
                <c:formatCode>General</c:formatCode>
                <c:ptCount val="1"/>
                <c:pt idx="0">
                  <c:v>7.2709076160481398</c:v>
                </c:pt>
              </c:numCache>
            </c:numRef>
          </c:val>
        </c:ser>
        <c:ser>
          <c:idx val="3"/>
          <c:order val="3"/>
          <c:spPr>
            <a:solidFill>
              <a:srgbClr val="A8D7E2"/>
            </a:solidFill>
            <a:ln w="12700">
              <a:solidFill>
                <a:srgbClr val="000000"/>
              </a:solidFill>
              <a:prstDash val="solid"/>
            </a:ln>
          </c:spPr>
          <c:dPt>
            <c:idx val="0"/>
            <c:bubble3D val="0"/>
            <c:spPr>
              <a:solidFill>
                <a:srgbClr val="137CB1"/>
              </a:solidFill>
              <a:ln w="12700">
                <a:solidFill>
                  <a:srgbClr val="000000"/>
                </a:solidFill>
                <a:prstDash val="solid"/>
              </a:ln>
            </c:spPr>
          </c:dPt>
          <c:dPt>
            <c:idx val="1"/>
            <c:bubble3D val="0"/>
          </c:dPt>
          <c:cat>
            <c:strRef>
              <c:f>Link!$DE$183:$DE$184</c:f>
              <c:strCache>
                <c:ptCount val="2"/>
                <c:pt idx="0">
                  <c:v>Managed Hosting</c:v>
                </c:pt>
                <c:pt idx="1">
                  <c:v>Cloud</c:v>
                </c:pt>
              </c:strCache>
            </c:strRef>
          </c:cat>
          <c:val>
            <c:numRef>
              <c:f>Link!$DD$149</c:f>
              <c:numCache>
                <c:formatCode>General</c:formatCode>
                <c:ptCount val="1"/>
                <c:pt idx="0">
                  <c:v>0.54685576371527223</c:v>
                </c:pt>
              </c:numCache>
            </c:numRef>
          </c:val>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8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306483300589392"/>
          <c:y val="8.8737201365187715E-2"/>
          <c:w val="0.80943025540275049"/>
          <c:h val="0.69965870307167233"/>
        </c:manualLayout>
      </c:layout>
      <c:barChart>
        <c:barDir val="col"/>
        <c:grouping val="clustered"/>
        <c:varyColors val="0"/>
        <c:ser>
          <c:idx val="0"/>
          <c:order val="0"/>
          <c:spPr>
            <a:solidFill>
              <a:srgbClr val="137CB1"/>
            </a:solidFill>
            <a:ln w="25400">
              <a:noFill/>
            </a:ln>
          </c:spPr>
          <c:invertIfNegative val="0"/>
          <c:dLbls>
            <c:dLbl>
              <c:idx val="0"/>
              <c:layout>
                <c:manualLayout>
                  <c:x val="-2.3837590045841825E-3"/>
                  <c:y val="2.0783460087966825E-2"/>
                </c:manualLayout>
              </c:layout>
              <c:dLblPos val="outEnd"/>
              <c:showLegendKey val="0"/>
              <c:showVal val="1"/>
              <c:showCatName val="0"/>
              <c:showSerName val="0"/>
              <c:showPercent val="0"/>
              <c:showBubbleSize val="0"/>
            </c:dLbl>
            <c:dLbl>
              <c:idx val="1"/>
              <c:layout>
                <c:manualLayout>
                  <c:x val="-1.0740013097577056E-3"/>
                  <c:y val="1.2738527138032691E-2"/>
                </c:manualLayout>
              </c:layout>
              <c:dLblPos val="outEnd"/>
              <c:showLegendKey val="0"/>
              <c:showVal val="1"/>
              <c:showCatName val="0"/>
              <c:showSerName val="0"/>
              <c:showPercent val="0"/>
              <c:showBubbleSize val="0"/>
            </c:dLbl>
            <c:dLbl>
              <c:idx val="2"/>
              <c:layout>
                <c:manualLayout>
                  <c:x val="2.3575638506877108E-4"/>
                  <c:y val="2.5171409887757203E-2"/>
                </c:manualLayout>
              </c:layout>
              <c:dLblPos val="outEnd"/>
              <c:showLegendKey val="0"/>
              <c:showVal val="1"/>
              <c:showCatName val="0"/>
              <c:showSerName val="0"/>
              <c:showPercent val="0"/>
              <c:showBubbleSize val="0"/>
            </c:dLbl>
            <c:spPr>
              <a:noFill/>
              <a:ln w="25400">
                <a:noFill/>
              </a:ln>
            </c:spPr>
            <c:txPr>
              <a:bodyPr/>
              <a:lstStyle/>
              <a:p>
                <a:pPr>
                  <a:defRPr sz="975"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Link!$DK$109:$DM$109</c:f>
              <c:strCache>
                <c:ptCount val="3"/>
                <c:pt idx="0">
                  <c:v>Analyst Day (11/11/2010)</c:v>
                </c:pt>
                <c:pt idx="1">
                  <c:v>4Q Earnings (02/09/2011)</c:v>
                </c:pt>
                <c:pt idx="2">
                  <c:v>1Q11 Earnings (04/27/11)</c:v>
                </c:pt>
              </c:strCache>
            </c:strRef>
          </c:cat>
          <c:val>
            <c:numRef>
              <c:f>Link!$DK$110:$DM$110</c:f>
              <c:numCache>
                <c:formatCode>"$"#,##0_);[Red]\("$"#,##0\)</c:formatCode>
                <c:ptCount val="3"/>
                <c:pt idx="0">
                  <c:v>400</c:v>
                </c:pt>
                <c:pt idx="1">
                  <c:v>450</c:v>
                </c:pt>
                <c:pt idx="2">
                  <c:v>640</c:v>
                </c:pt>
              </c:numCache>
            </c:numRef>
          </c:val>
        </c:ser>
        <c:dLbls>
          <c:showLegendKey val="0"/>
          <c:showVal val="0"/>
          <c:showCatName val="0"/>
          <c:showSerName val="0"/>
          <c:showPercent val="0"/>
          <c:showBubbleSize val="0"/>
        </c:dLbls>
        <c:gapWidth val="150"/>
        <c:axId val="177048960"/>
        <c:axId val="395682944"/>
      </c:barChart>
      <c:catAx>
        <c:axId val="1770489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395682944"/>
        <c:crosses val="autoZero"/>
        <c:auto val="1"/>
        <c:lblAlgn val="ctr"/>
        <c:lblOffset val="100"/>
        <c:tickLblSkip val="1"/>
        <c:tickMarkSkip val="1"/>
        <c:noMultiLvlLbl val="0"/>
      </c:catAx>
      <c:valAx>
        <c:axId val="395682944"/>
        <c:scaling>
          <c:orientation val="minMax"/>
        </c:scaling>
        <c:delete val="0"/>
        <c:axPos val="l"/>
        <c:majorGridlines>
          <c:spPr>
            <a:ln w="3175">
              <a:solidFill>
                <a:srgbClr val="C0C0C0"/>
              </a:solidFill>
              <a:prstDash val="solid"/>
            </a:ln>
          </c:spPr>
        </c:majorGridlines>
        <c:title>
          <c:tx>
            <c:rich>
              <a:bodyPr/>
              <a:lstStyle/>
              <a:p>
                <a:pPr>
                  <a:defRPr sz="950" b="1" i="0" u="none" strike="noStrike" baseline="0">
                    <a:solidFill>
                      <a:srgbClr val="000000"/>
                    </a:solidFill>
                    <a:latin typeface="Arial"/>
                    <a:ea typeface="Arial"/>
                    <a:cs typeface="Arial"/>
                  </a:defRPr>
                </a:pPr>
                <a:r>
                  <a:rPr lang="en-US"/>
                  <a:t>($MM)</a:t>
                </a:r>
              </a:p>
            </c:rich>
          </c:tx>
          <c:layout>
            <c:manualLayout>
              <c:xMode val="edge"/>
              <c:yMode val="edge"/>
              <c:x val="3.1434184675834968E-2"/>
              <c:y val="0.36860068259385664"/>
            </c:manualLayout>
          </c:layout>
          <c:overlay val="0"/>
          <c:spPr>
            <a:noFill/>
            <a:ln w="25400">
              <a:noFill/>
            </a:ln>
          </c:spPr>
        </c:title>
        <c:numFmt formatCode="&quot;$&quot;#,##0_);[Red]\(&quot;$&quot;#,##0\)"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177048960"/>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8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337349397590355E-2"/>
          <c:y val="7.4879403682168263E-2"/>
          <c:w val="0.87435456110154908"/>
          <c:h val="0.78502600634531239"/>
        </c:manualLayout>
      </c:layout>
      <c:lineChart>
        <c:grouping val="standard"/>
        <c:varyColors val="0"/>
        <c:ser>
          <c:idx val="0"/>
          <c:order val="0"/>
          <c:tx>
            <c:strRef>
              <c:f>Sheet1!$C$14</c:f>
              <c:strCache>
                <c:ptCount val="1"/>
                <c:pt idx="0">
                  <c:v>MRR / Cross Connect Growth (Q/Q)</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dLbl>
              <c:idx val="12"/>
              <c:layout>
                <c:manualLayout>
                  <c:x val="-2.6142791528319883E-2"/>
                  <c:y val="-2.9210885167286548E-2"/>
                </c:manualLayout>
              </c:layout>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r"/>
              <c:showLegendKey val="0"/>
              <c:showVal val="1"/>
              <c:showCatName val="0"/>
              <c:showSerName val="0"/>
              <c:showPercent val="0"/>
              <c:showBubbleSize val="0"/>
            </c:dLbl>
            <c:showLegendKey val="0"/>
            <c:showVal val="0"/>
            <c:showCatName val="0"/>
            <c:showSerName val="0"/>
            <c:showPercent val="0"/>
            <c:showBubbleSize val="0"/>
          </c:dLbls>
          <c:cat>
            <c:strRef>
              <c:f>Sheet1!$F$3:$R$3</c:f>
              <c:strCache>
                <c:ptCount val="13"/>
                <c:pt idx="0">
                  <c:v>4Q07</c:v>
                </c:pt>
                <c:pt idx="1">
                  <c:v>1Q08</c:v>
                </c:pt>
                <c:pt idx="2">
                  <c:v>2Q08</c:v>
                </c:pt>
                <c:pt idx="3">
                  <c:v>3Q08</c:v>
                </c:pt>
                <c:pt idx="4">
                  <c:v>4Q08</c:v>
                </c:pt>
                <c:pt idx="5">
                  <c:v>1Q09</c:v>
                </c:pt>
                <c:pt idx="6">
                  <c:v>2Q09</c:v>
                </c:pt>
                <c:pt idx="7">
                  <c:v>3Q09</c:v>
                </c:pt>
                <c:pt idx="8">
                  <c:v>4Q09</c:v>
                </c:pt>
                <c:pt idx="9">
                  <c:v>1Q10</c:v>
                </c:pt>
                <c:pt idx="10">
                  <c:v>2Q10</c:v>
                </c:pt>
                <c:pt idx="11">
                  <c:v>3Q10</c:v>
                </c:pt>
                <c:pt idx="12">
                  <c:v>4Q10</c:v>
                </c:pt>
              </c:strCache>
            </c:strRef>
          </c:cat>
          <c:val>
            <c:numRef>
              <c:f>Sheet1!$F$14:$R$14</c:f>
              <c:numCache>
                <c:formatCode>0.0%</c:formatCode>
                <c:ptCount val="13"/>
                <c:pt idx="0">
                  <c:v>-2.6568024090512954E-2</c:v>
                </c:pt>
                <c:pt idx="1">
                  <c:v>-7.0714692601616669E-3</c:v>
                </c:pt>
                <c:pt idx="2">
                  <c:v>1.895274497842081E-2</c:v>
                </c:pt>
                <c:pt idx="3">
                  <c:v>-1.7667551691749828E-2</c:v>
                </c:pt>
                <c:pt idx="4">
                  <c:v>1.3225913128451339E-2</c:v>
                </c:pt>
                <c:pt idx="5">
                  <c:v>-9.3064310309669551E-3</c:v>
                </c:pt>
                <c:pt idx="6">
                  <c:v>-4.7683126151975008E-3</c:v>
                </c:pt>
                <c:pt idx="7">
                  <c:v>4.5680799705409836E-3</c:v>
                </c:pt>
                <c:pt idx="8">
                  <c:v>4.3514247780684912E-4</c:v>
                </c:pt>
                <c:pt idx="9">
                  <c:v>2.3081816157190627E-2</c:v>
                </c:pt>
                <c:pt idx="10">
                  <c:v>-1.0300511339804697E-3</c:v>
                </c:pt>
                <c:pt idx="11">
                  <c:v>3.3993036974038215E-3</c:v>
                </c:pt>
                <c:pt idx="12">
                  <c:v>2.5269637994645988E-2</c:v>
                </c:pt>
              </c:numCache>
            </c:numRef>
          </c:val>
          <c:smooth val="0"/>
        </c:ser>
        <c:ser>
          <c:idx val="2"/>
          <c:order val="1"/>
          <c:tx>
            <c:strRef>
              <c:f>Sheet1!$C$18</c:f>
              <c:strCache>
                <c:ptCount val="1"/>
                <c:pt idx="0">
                  <c:v>MRR / Space &amp; Power Growth (Q/Q)</c:v>
                </c:pt>
              </c:strCache>
            </c:strRef>
          </c:tx>
          <c:spPr>
            <a:ln w="12700">
              <a:solidFill>
                <a:srgbClr val="4AAC6B"/>
              </a:solidFill>
              <a:prstDash val="solid"/>
            </a:ln>
          </c:spPr>
          <c:marker>
            <c:symbol val="triangle"/>
            <c:size val="5"/>
            <c:spPr>
              <a:solidFill>
                <a:srgbClr val="4AAC6B"/>
              </a:solidFill>
              <a:ln>
                <a:solidFill>
                  <a:srgbClr val="4AAC6B"/>
                </a:solidFill>
                <a:prstDash val="solid"/>
              </a:ln>
            </c:spPr>
          </c:marker>
          <c:dLbls>
            <c:dLbl>
              <c:idx val="12"/>
              <c:layout>
                <c:manualLayout>
                  <c:x val="-2.5369930568707458E-2"/>
                  <c:y val="3.4562403122941072E-2"/>
                </c:manualLayout>
              </c:layout>
              <c:numFmt formatCode="0.0%"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r"/>
              <c:showLegendKey val="0"/>
              <c:showVal val="1"/>
              <c:showCatName val="0"/>
              <c:showSerName val="0"/>
              <c:showPercent val="0"/>
              <c:showBubbleSize val="0"/>
            </c:dLbl>
            <c:showLegendKey val="0"/>
            <c:showVal val="0"/>
            <c:showCatName val="0"/>
            <c:showSerName val="0"/>
            <c:showPercent val="0"/>
            <c:showBubbleSize val="0"/>
          </c:dLbls>
          <c:cat>
            <c:strRef>
              <c:f>Sheet1!$F$3:$R$3</c:f>
              <c:strCache>
                <c:ptCount val="13"/>
                <c:pt idx="0">
                  <c:v>4Q07</c:v>
                </c:pt>
                <c:pt idx="1">
                  <c:v>1Q08</c:v>
                </c:pt>
                <c:pt idx="2">
                  <c:v>2Q08</c:v>
                </c:pt>
                <c:pt idx="3">
                  <c:v>3Q08</c:v>
                </c:pt>
                <c:pt idx="4">
                  <c:v>4Q08</c:v>
                </c:pt>
                <c:pt idx="5">
                  <c:v>1Q09</c:v>
                </c:pt>
                <c:pt idx="6">
                  <c:v>2Q09</c:v>
                </c:pt>
                <c:pt idx="7">
                  <c:v>3Q09</c:v>
                </c:pt>
                <c:pt idx="8">
                  <c:v>4Q09</c:v>
                </c:pt>
                <c:pt idx="9">
                  <c:v>1Q10</c:v>
                </c:pt>
                <c:pt idx="10">
                  <c:v>2Q10</c:v>
                </c:pt>
                <c:pt idx="11">
                  <c:v>3Q10</c:v>
                </c:pt>
                <c:pt idx="12">
                  <c:v>4Q10</c:v>
                </c:pt>
              </c:strCache>
            </c:strRef>
          </c:cat>
          <c:val>
            <c:numRef>
              <c:f>Sheet1!$F$18:$R$18</c:f>
              <c:numCache>
                <c:formatCode>0.0%</c:formatCode>
                <c:ptCount val="13"/>
                <c:pt idx="0">
                  <c:v>1.9887474813978789E-2</c:v>
                </c:pt>
                <c:pt idx="1">
                  <c:v>4.0863045189380776E-2</c:v>
                </c:pt>
                <c:pt idx="2">
                  <c:v>2.8811815064551993E-2</c:v>
                </c:pt>
                <c:pt idx="3">
                  <c:v>2.0931900774203482E-2</c:v>
                </c:pt>
                <c:pt idx="4">
                  <c:v>3.3894802677041591E-2</c:v>
                </c:pt>
                <c:pt idx="5">
                  <c:v>2.0443007053867701E-2</c:v>
                </c:pt>
                <c:pt idx="6">
                  <c:v>1.1616346055721483E-2</c:v>
                </c:pt>
                <c:pt idx="7">
                  <c:v>3.5177440502627944E-2</c:v>
                </c:pt>
                <c:pt idx="8">
                  <c:v>3.4025816329818825E-2</c:v>
                </c:pt>
                <c:pt idx="9">
                  <c:v>2.8375643760891744E-2</c:v>
                </c:pt>
                <c:pt idx="10">
                  <c:v>1.0579075779115321E-2</c:v>
                </c:pt>
                <c:pt idx="11">
                  <c:v>7.9081138277157237E-3</c:v>
                </c:pt>
                <c:pt idx="12">
                  <c:v>-1.7594945363677339E-2</c:v>
                </c:pt>
              </c:numCache>
            </c:numRef>
          </c:val>
          <c:smooth val="0"/>
        </c:ser>
        <c:dLbls>
          <c:showLegendKey val="0"/>
          <c:showVal val="0"/>
          <c:showCatName val="0"/>
          <c:showSerName val="0"/>
          <c:showPercent val="0"/>
          <c:showBubbleSize val="0"/>
        </c:dLbls>
        <c:marker val="1"/>
        <c:smooth val="0"/>
        <c:axId val="53195904"/>
        <c:axId val="53197440"/>
      </c:lineChart>
      <c:catAx>
        <c:axId val="53195904"/>
        <c:scaling>
          <c:orientation val="minMax"/>
        </c:scaling>
        <c:delete val="0"/>
        <c:axPos val="b"/>
        <c:numFmt formatCode="General" sourceLinked="1"/>
        <c:majorTickMark val="out"/>
        <c:minorTickMark val="none"/>
        <c:tickLblPos val="low"/>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53197440"/>
        <c:crosses val="autoZero"/>
        <c:auto val="1"/>
        <c:lblAlgn val="ctr"/>
        <c:lblOffset val="100"/>
        <c:tickLblSkip val="1"/>
        <c:tickMarkSkip val="1"/>
        <c:noMultiLvlLbl val="0"/>
      </c:catAx>
      <c:valAx>
        <c:axId val="53197440"/>
        <c:scaling>
          <c:orientation val="minMax"/>
        </c:scaling>
        <c:delete val="0"/>
        <c:axPos val="l"/>
        <c:majorGridlines>
          <c:spPr>
            <a:ln w="3175">
              <a:solidFill>
                <a:srgbClr val="C0C0C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3195904"/>
        <c:crosses val="autoZero"/>
        <c:crossBetween val="between"/>
      </c:valAx>
      <c:spPr>
        <a:noFill/>
        <a:ln w="25400">
          <a:noFill/>
        </a:ln>
      </c:spPr>
    </c:plotArea>
    <c:legend>
      <c:legendPos val="r"/>
      <c:layout>
        <c:manualLayout>
          <c:xMode val="edge"/>
          <c:yMode val="edge"/>
          <c:x val="0.52323580034423411"/>
          <c:y val="1.2077294685990338E-2"/>
          <c:w val="0.44922547332185891"/>
          <c:h val="9.6618611079412178E-2"/>
        </c:manualLayout>
      </c:layout>
      <c:overlay val="0"/>
      <c:spPr>
        <a:solidFill>
          <a:srgbClr val="FFFFFF"/>
        </a:solidFill>
        <a:ln w="25400">
          <a:noFill/>
        </a:ln>
      </c:spPr>
      <c:txPr>
        <a:bodyPr/>
        <a:lstStyle/>
        <a:p>
          <a:pPr>
            <a:defRPr sz="15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294277929155316E-2"/>
          <c:y val="0.14736842105263157"/>
          <c:w val="0.90054495912806543"/>
          <c:h val="0.73157894736842111"/>
        </c:manualLayout>
      </c:layout>
      <c:barChart>
        <c:barDir val="col"/>
        <c:grouping val="clustered"/>
        <c:varyColors val="0"/>
        <c:ser>
          <c:idx val="0"/>
          <c:order val="0"/>
          <c:tx>
            <c:strRef>
              <c:f>Sheet1!$C$27</c:f>
              <c:strCache>
                <c:ptCount val="1"/>
                <c:pt idx="0">
                  <c:v>North America</c:v>
                </c:pt>
              </c:strCache>
            </c:strRef>
          </c:tx>
          <c:spPr>
            <a:solidFill>
              <a:srgbClr val="137CB1"/>
            </a:solidFill>
            <a:ln w="12700">
              <a:solidFill>
                <a:srgbClr val="000000"/>
              </a:solidFill>
              <a:prstDash val="solid"/>
            </a:ln>
          </c:spPr>
          <c:invertIfNegative val="0"/>
          <c:cat>
            <c:strRef>
              <c:f>Sheet1!$Q$3:$T$3</c:f>
              <c:strCache>
                <c:ptCount val="4"/>
                <c:pt idx="0">
                  <c:v>3Q10</c:v>
                </c:pt>
                <c:pt idx="1">
                  <c:v>4Q10</c:v>
                </c:pt>
                <c:pt idx="2">
                  <c:v>1Q11</c:v>
                </c:pt>
                <c:pt idx="3">
                  <c:v>2Q11</c:v>
                </c:pt>
              </c:strCache>
            </c:strRef>
          </c:cat>
          <c:val>
            <c:numRef>
              <c:f>Sheet1!$Q$27:$T$27</c:f>
              <c:numCache>
                <c:formatCode>"$"#,##0</c:formatCode>
                <c:ptCount val="4"/>
                <c:pt idx="0">
                  <c:v>600</c:v>
                </c:pt>
                <c:pt idx="1">
                  <c:v>900</c:v>
                </c:pt>
                <c:pt idx="2">
                  <c:v>2000</c:v>
                </c:pt>
                <c:pt idx="3">
                  <c:v>500</c:v>
                </c:pt>
              </c:numCache>
            </c:numRef>
          </c:val>
        </c:ser>
        <c:ser>
          <c:idx val="1"/>
          <c:order val="1"/>
          <c:tx>
            <c:strRef>
              <c:f>Sheet1!$C$28</c:f>
              <c:strCache>
                <c:ptCount val="1"/>
                <c:pt idx="0">
                  <c:v>Europe</c:v>
                </c:pt>
              </c:strCache>
            </c:strRef>
          </c:tx>
          <c:spPr>
            <a:solidFill>
              <a:srgbClr val="EACC80"/>
            </a:solidFill>
            <a:ln w="12700">
              <a:solidFill>
                <a:srgbClr val="000000"/>
              </a:solidFill>
              <a:prstDash val="solid"/>
            </a:ln>
          </c:spPr>
          <c:invertIfNegative val="0"/>
          <c:cat>
            <c:strRef>
              <c:f>Sheet1!$Q$3:$T$3</c:f>
              <c:strCache>
                <c:ptCount val="4"/>
                <c:pt idx="0">
                  <c:v>3Q10</c:v>
                </c:pt>
                <c:pt idx="1">
                  <c:v>4Q10</c:v>
                </c:pt>
                <c:pt idx="2">
                  <c:v>1Q11</c:v>
                </c:pt>
                <c:pt idx="3">
                  <c:v>2Q11</c:v>
                </c:pt>
              </c:strCache>
            </c:strRef>
          </c:cat>
          <c:val>
            <c:numRef>
              <c:f>Sheet1!$Q$28:$T$28</c:f>
              <c:numCache>
                <c:formatCode>"$"#,##0</c:formatCode>
                <c:ptCount val="4"/>
                <c:pt idx="0">
                  <c:v>0</c:v>
                </c:pt>
                <c:pt idx="1">
                  <c:v>1000</c:v>
                </c:pt>
                <c:pt idx="2">
                  <c:v>900</c:v>
                </c:pt>
                <c:pt idx="3">
                  <c:v>700</c:v>
                </c:pt>
              </c:numCache>
            </c:numRef>
          </c:val>
        </c:ser>
        <c:ser>
          <c:idx val="2"/>
          <c:order val="2"/>
          <c:tx>
            <c:strRef>
              <c:f>Sheet1!$C$29</c:f>
              <c:strCache>
                <c:ptCount val="1"/>
                <c:pt idx="0">
                  <c:v>Asia / Pacific</c:v>
                </c:pt>
              </c:strCache>
            </c:strRef>
          </c:tx>
          <c:spPr>
            <a:solidFill>
              <a:srgbClr val="4AAC6B"/>
            </a:solidFill>
            <a:ln w="12700">
              <a:solidFill>
                <a:srgbClr val="000000"/>
              </a:solidFill>
              <a:prstDash val="solid"/>
            </a:ln>
          </c:spPr>
          <c:invertIfNegative val="0"/>
          <c:cat>
            <c:strRef>
              <c:f>Sheet1!$Q$3:$T$3</c:f>
              <c:strCache>
                <c:ptCount val="4"/>
                <c:pt idx="0">
                  <c:v>3Q10</c:v>
                </c:pt>
                <c:pt idx="1">
                  <c:v>4Q10</c:v>
                </c:pt>
                <c:pt idx="2">
                  <c:v>1Q11</c:v>
                </c:pt>
                <c:pt idx="3">
                  <c:v>2Q11</c:v>
                </c:pt>
              </c:strCache>
            </c:strRef>
          </c:cat>
          <c:val>
            <c:numRef>
              <c:f>Sheet1!$Q$29:$T$29</c:f>
              <c:numCache>
                <c:formatCode>"$"#,##0</c:formatCode>
                <c:ptCount val="4"/>
                <c:pt idx="0">
                  <c:v>100</c:v>
                </c:pt>
                <c:pt idx="1">
                  <c:v>300</c:v>
                </c:pt>
                <c:pt idx="2">
                  <c:v>300</c:v>
                </c:pt>
                <c:pt idx="3">
                  <c:v>700</c:v>
                </c:pt>
              </c:numCache>
            </c:numRef>
          </c:val>
        </c:ser>
        <c:ser>
          <c:idx val="3"/>
          <c:order val="3"/>
          <c:tx>
            <c:strRef>
              <c:f>Sheet1!$C$30</c:f>
              <c:strCache>
                <c:ptCount val="1"/>
                <c:pt idx="0">
                  <c:v>Total</c:v>
                </c:pt>
              </c:strCache>
            </c:strRef>
          </c:tx>
          <c:spPr>
            <a:solidFill>
              <a:srgbClr val="A8D7E2"/>
            </a:solidFill>
            <a:ln w="12700">
              <a:solidFill>
                <a:srgbClr val="000000"/>
              </a:solidFill>
              <a:prstDash val="solid"/>
            </a:ln>
          </c:spPr>
          <c:invertIfNegative val="0"/>
          <c:cat>
            <c:strRef>
              <c:f>Sheet1!$Q$3:$T$3</c:f>
              <c:strCache>
                <c:ptCount val="4"/>
                <c:pt idx="0">
                  <c:v>3Q10</c:v>
                </c:pt>
                <c:pt idx="1">
                  <c:v>4Q10</c:v>
                </c:pt>
                <c:pt idx="2">
                  <c:v>1Q11</c:v>
                </c:pt>
                <c:pt idx="3">
                  <c:v>2Q11</c:v>
                </c:pt>
              </c:strCache>
            </c:strRef>
          </c:cat>
          <c:val>
            <c:numRef>
              <c:f>Sheet1!$Q$30:$T$30</c:f>
              <c:numCache>
                <c:formatCode>"$"#,##0_);[Red]\("$"#,##0\)</c:formatCode>
                <c:ptCount val="4"/>
                <c:pt idx="0">
                  <c:v>700</c:v>
                </c:pt>
                <c:pt idx="1">
                  <c:v>2200</c:v>
                </c:pt>
                <c:pt idx="2">
                  <c:v>3200</c:v>
                </c:pt>
                <c:pt idx="3">
                  <c:v>1900</c:v>
                </c:pt>
              </c:numCache>
            </c:numRef>
          </c:val>
        </c:ser>
        <c:dLbls>
          <c:showLegendKey val="0"/>
          <c:showVal val="0"/>
          <c:showCatName val="0"/>
          <c:showSerName val="0"/>
          <c:showPercent val="0"/>
          <c:showBubbleSize val="0"/>
        </c:dLbls>
        <c:gapWidth val="150"/>
        <c:axId val="54616832"/>
        <c:axId val="54618368"/>
      </c:barChart>
      <c:catAx>
        <c:axId val="546168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4618368"/>
        <c:crosses val="autoZero"/>
        <c:auto val="1"/>
        <c:lblAlgn val="ctr"/>
        <c:lblOffset val="100"/>
        <c:tickLblSkip val="1"/>
        <c:tickMarkSkip val="1"/>
        <c:noMultiLvlLbl val="0"/>
      </c:catAx>
      <c:valAx>
        <c:axId val="54618368"/>
        <c:scaling>
          <c:orientation val="minMax"/>
        </c:scaling>
        <c:delete val="0"/>
        <c:axPos val="l"/>
        <c:majorGridlines>
          <c:spPr>
            <a:ln w="3175">
              <a:solidFill>
                <a:srgbClr val="000000"/>
              </a:solidFill>
              <a:prstDash val="solid"/>
            </a:ln>
          </c:spPr>
        </c:majorGridlines>
        <c:numFmt formatCode="General"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4616832"/>
        <c:crosses val="autoZero"/>
        <c:crossBetween val="between"/>
      </c:valAx>
      <c:spPr>
        <a:noFill/>
        <a:ln w="25400">
          <a:noFill/>
        </a:ln>
      </c:spPr>
    </c:plotArea>
    <c:legend>
      <c:legendPos val="t"/>
      <c:layout>
        <c:manualLayout>
          <c:xMode val="edge"/>
          <c:yMode val="edge"/>
          <c:x val="0.14850136239782016"/>
          <c:y val="1.3157894736842105E-2"/>
          <c:w val="0.67983651226158037"/>
          <c:h val="5.7894736842105263E-2"/>
        </c:manualLayout>
      </c:layout>
      <c:overlay val="0"/>
      <c:spPr>
        <a:solidFill>
          <a:srgbClr val="FFFFFF"/>
        </a:solidFill>
        <a:ln w="3175">
          <a:solidFill>
            <a:srgbClr val="000000"/>
          </a:solidFill>
          <a:prstDash val="solid"/>
        </a:ln>
      </c:spPr>
      <c:txPr>
        <a:bodyPr/>
        <a:lstStyle/>
        <a:p>
          <a:pPr>
            <a:defRPr sz="16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8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962984610799496"/>
          <c:y val="0.14285714285714285"/>
          <c:w val="0.82370489540638803"/>
          <c:h val="0.63364055299539168"/>
        </c:manualLayout>
      </c:layout>
      <c:barChart>
        <c:barDir val="col"/>
        <c:grouping val="clustered"/>
        <c:varyColors val="0"/>
        <c:ser>
          <c:idx val="0"/>
          <c:order val="0"/>
          <c:tx>
            <c:strRef>
              <c:f>Sheet1!$C$8</c:f>
              <c:strCache>
                <c:ptCount val="1"/>
                <c:pt idx="0">
                  <c:v>Total MRR / Cab</c:v>
                </c:pt>
              </c:strCache>
            </c:strRef>
          </c:tx>
          <c:spPr>
            <a:solidFill>
              <a:srgbClr val="137CB1"/>
            </a:solidFill>
            <a:ln w="25400">
              <a:noFill/>
            </a:ln>
          </c:spPr>
          <c:invertIfNegative val="0"/>
          <c:dLbls>
            <c:spPr>
              <a:noFill/>
              <a:ln w="25400">
                <a:noFill/>
              </a:ln>
            </c:spPr>
            <c:txPr>
              <a:bodyPr/>
              <a:lstStyle/>
              <a:p>
                <a:pPr>
                  <a:defRPr sz="12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Sheet1!$P$3:$T$3</c:f>
              <c:strCache>
                <c:ptCount val="5"/>
                <c:pt idx="0">
                  <c:v>2Q10</c:v>
                </c:pt>
                <c:pt idx="1">
                  <c:v>3Q10</c:v>
                </c:pt>
                <c:pt idx="2">
                  <c:v>4Q10</c:v>
                </c:pt>
                <c:pt idx="3">
                  <c:v>1Q11</c:v>
                </c:pt>
                <c:pt idx="4">
                  <c:v>2Q11</c:v>
                </c:pt>
              </c:strCache>
            </c:strRef>
          </c:cat>
          <c:val>
            <c:numRef>
              <c:f>Sheet1!$P$19:$T$19</c:f>
              <c:numCache>
                <c:formatCode>"$"#,##0</c:formatCode>
                <c:ptCount val="5"/>
                <c:pt idx="0">
                  <c:v>2051</c:v>
                </c:pt>
                <c:pt idx="1">
                  <c:v>2059</c:v>
                </c:pt>
                <c:pt idx="2">
                  <c:v>2056</c:v>
                </c:pt>
                <c:pt idx="3">
                  <c:v>2080</c:v>
                </c:pt>
                <c:pt idx="4">
                  <c:v>2100</c:v>
                </c:pt>
              </c:numCache>
            </c:numRef>
          </c:val>
        </c:ser>
        <c:dLbls>
          <c:showLegendKey val="0"/>
          <c:showVal val="0"/>
          <c:showCatName val="0"/>
          <c:showSerName val="0"/>
          <c:showPercent val="0"/>
          <c:showBubbleSize val="0"/>
        </c:dLbls>
        <c:gapWidth val="150"/>
        <c:axId val="54638848"/>
        <c:axId val="54648832"/>
      </c:barChart>
      <c:catAx>
        <c:axId val="54638848"/>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200" b="0" i="0" u="none" strike="noStrike" baseline="0">
                <a:solidFill>
                  <a:srgbClr val="000000"/>
                </a:solidFill>
                <a:latin typeface="Arial"/>
                <a:ea typeface="Arial"/>
                <a:cs typeface="Arial"/>
              </a:defRPr>
            </a:pPr>
            <a:endParaRPr lang="en-US"/>
          </a:p>
        </c:txPr>
        <c:crossAx val="54648832"/>
        <c:crosses val="autoZero"/>
        <c:auto val="1"/>
        <c:lblAlgn val="ctr"/>
        <c:lblOffset val="100"/>
        <c:tickLblSkip val="1"/>
        <c:tickMarkSkip val="1"/>
        <c:noMultiLvlLbl val="0"/>
      </c:catAx>
      <c:valAx>
        <c:axId val="54648832"/>
        <c:scaling>
          <c:orientation val="minMax"/>
          <c:max val="2200"/>
          <c:min val="1600"/>
        </c:scaling>
        <c:delete val="0"/>
        <c:axPos val="l"/>
        <c:majorGridlines>
          <c:spPr>
            <a:ln w="3175">
              <a:solidFill>
                <a:srgbClr val="C0C0C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Americas MRR / Cabinet</a:t>
                </a:r>
              </a:p>
            </c:rich>
          </c:tx>
          <c:layout>
            <c:manualLayout>
              <c:xMode val="edge"/>
              <c:yMode val="edge"/>
              <c:x val="7.5872071546612234E-3"/>
              <c:y val="0.27656494551084337"/>
            </c:manualLayout>
          </c:layout>
          <c:overlay val="0"/>
          <c:spPr>
            <a:noFill/>
            <a:ln w="25400">
              <a:noFill/>
            </a:ln>
          </c:spPr>
        </c:title>
        <c:numFmt formatCode="\$#,##0_);[Red]\(\$#,##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54638848"/>
        <c:crosses val="autoZero"/>
        <c:crossBetween val="between"/>
        <c:majorUnit val="200"/>
      </c:valAx>
      <c:spPr>
        <a:noFill/>
        <a:ln w="25400">
          <a:noFill/>
        </a:ln>
      </c:spPr>
    </c:plotArea>
    <c:legend>
      <c:legendPos val="r"/>
      <c:layout>
        <c:manualLayout>
          <c:xMode val="edge"/>
          <c:yMode val="edge"/>
          <c:x val="0.55111188879167883"/>
          <c:y val="2.9953917050691243E-2"/>
          <c:w val="0.42666728881112082"/>
          <c:h val="5.9907834101382493E-2"/>
        </c:manualLayout>
      </c:layout>
      <c:overlay val="0"/>
      <c:spPr>
        <a:solidFill>
          <a:srgbClr val="FFFFFF"/>
        </a:solidFill>
        <a:ln w="25400">
          <a:noFill/>
        </a:ln>
      </c:spPr>
      <c:txPr>
        <a:bodyPr/>
        <a:lstStyle/>
        <a:p>
          <a:pPr>
            <a:defRPr sz="2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8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058823529411765"/>
          <c:y val="0.19585253456221199"/>
          <c:w val="0.80588235294117649"/>
          <c:h val="0.61981566820276501"/>
        </c:manualLayout>
      </c:layout>
      <c:lineChart>
        <c:grouping val="standard"/>
        <c:varyColors val="0"/>
        <c:ser>
          <c:idx val="0"/>
          <c:order val="0"/>
          <c:tx>
            <c:strRef>
              <c:f>Sheet1!$C$8</c:f>
              <c:strCache>
                <c:ptCount val="1"/>
                <c:pt idx="0">
                  <c:v>Total MRR / Cab</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cat>
            <c:strRef>
              <c:f>Sheet1!$E$3:$T$3</c:f>
              <c:strCache>
                <c:ptCount val="16"/>
                <c:pt idx="0">
                  <c:v>3Q07</c:v>
                </c:pt>
                <c:pt idx="1">
                  <c:v>4Q07</c:v>
                </c:pt>
                <c:pt idx="2">
                  <c:v>1Q08</c:v>
                </c:pt>
                <c:pt idx="3">
                  <c:v>2Q08</c:v>
                </c:pt>
                <c:pt idx="4">
                  <c:v>3Q08</c:v>
                </c:pt>
                <c:pt idx="5">
                  <c:v>4Q08</c:v>
                </c:pt>
                <c:pt idx="6">
                  <c:v>1Q09</c:v>
                </c:pt>
                <c:pt idx="7">
                  <c:v>2Q09</c:v>
                </c:pt>
                <c:pt idx="8">
                  <c:v>3Q09</c:v>
                </c:pt>
                <c:pt idx="9">
                  <c:v>4Q09</c:v>
                </c:pt>
                <c:pt idx="10">
                  <c:v>1Q10</c:v>
                </c:pt>
                <c:pt idx="11">
                  <c:v>2Q10</c:v>
                </c:pt>
                <c:pt idx="12">
                  <c:v>3Q10</c:v>
                </c:pt>
                <c:pt idx="13">
                  <c:v>4Q10</c:v>
                </c:pt>
                <c:pt idx="14">
                  <c:v>1Q11</c:v>
                </c:pt>
                <c:pt idx="15">
                  <c:v>2Q11</c:v>
                </c:pt>
              </c:strCache>
            </c:strRef>
          </c:cat>
          <c:val>
            <c:numRef>
              <c:f>Sheet1!$E$8:$T$8</c:f>
              <c:numCache>
                <c:formatCode>"$"#,##0_);[Red]\("$"#,##0\)</c:formatCode>
                <c:ptCount val="16"/>
                <c:pt idx="0">
                  <c:v>1643.7154218533888</c:v>
                </c:pt>
                <c:pt idx="1">
                  <c:v>1657.0409399719531</c:v>
                </c:pt>
                <c:pt idx="2">
                  <c:v>1705.3032055731217</c:v>
                </c:pt>
                <c:pt idx="3">
                  <c:v>1750.4640385490036</c:v>
                </c:pt>
                <c:pt idx="4">
                  <c:v>1771.2588322142931</c:v>
                </c:pt>
                <c:pt idx="5">
                  <c:v>1822.9602689905987</c:v>
                </c:pt>
                <c:pt idx="6">
                  <c:v>1848.0714957666985</c:v>
                </c:pt>
                <c:pt idx="7">
                  <c:v>1862.9068936391398</c:v>
                </c:pt>
                <c:pt idx="8">
                  <c:v>1916.1077398062387</c:v>
                </c:pt>
                <c:pt idx="9">
                  <c:v>1967.7105339463981</c:v>
                </c:pt>
                <c:pt idx="10">
                  <c:v>2021.4022140221398</c:v>
                </c:pt>
                <c:pt idx="11">
                  <c:v>2037.9779779779783</c:v>
                </c:pt>
                <c:pt idx="12">
                  <c:v>2052.2287968441815</c:v>
                </c:pt>
                <c:pt idx="13">
                  <c:v>2033.9176245210729</c:v>
                </c:pt>
                <c:pt idx="14">
                  <c:v>2020.8152409900129</c:v>
                </c:pt>
                <c:pt idx="15">
                  <c:v>0</c:v>
                </c:pt>
              </c:numCache>
            </c:numRef>
          </c:val>
          <c:smooth val="0"/>
        </c:ser>
        <c:ser>
          <c:idx val="1"/>
          <c:order val="1"/>
          <c:tx>
            <c:strRef>
              <c:f>Sheet1!$C$17</c:f>
              <c:strCache>
                <c:ptCount val="1"/>
                <c:pt idx="0">
                  <c:v>Colocation MRR / Cabinet</c:v>
                </c:pt>
              </c:strCache>
            </c:strRef>
          </c:tx>
          <c:spPr>
            <a:ln w="12700">
              <a:solidFill>
                <a:srgbClr val="E5BF61"/>
              </a:solidFill>
              <a:prstDash val="solid"/>
            </a:ln>
          </c:spPr>
          <c:marker>
            <c:symbol val="square"/>
            <c:size val="5"/>
            <c:spPr>
              <a:solidFill>
                <a:srgbClr val="E5BF61"/>
              </a:solidFill>
              <a:ln>
                <a:solidFill>
                  <a:srgbClr val="E5BF61"/>
                </a:solidFill>
                <a:prstDash val="solid"/>
              </a:ln>
            </c:spPr>
          </c:marker>
          <c:cat>
            <c:strRef>
              <c:f>Sheet1!$E$3:$T$3</c:f>
              <c:strCache>
                <c:ptCount val="16"/>
                <c:pt idx="0">
                  <c:v>3Q07</c:v>
                </c:pt>
                <c:pt idx="1">
                  <c:v>4Q07</c:v>
                </c:pt>
                <c:pt idx="2">
                  <c:v>1Q08</c:v>
                </c:pt>
                <c:pt idx="3">
                  <c:v>2Q08</c:v>
                </c:pt>
                <c:pt idx="4">
                  <c:v>3Q08</c:v>
                </c:pt>
                <c:pt idx="5">
                  <c:v>4Q08</c:v>
                </c:pt>
                <c:pt idx="6">
                  <c:v>1Q09</c:v>
                </c:pt>
                <c:pt idx="7">
                  <c:v>2Q09</c:v>
                </c:pt>
                <c:pt idx="8">
                  <c:v>3Q09</c:v>
                </c:pt>
                <c:pt idx="9">
                  <c:v>4Q09</c:v>
                </c:pt>
                <c:pt idx="10">
                  <c:v>1Q10</c:v>
                </c:pt>
                <c:pt idx="11">
                  <c:v>2Q10</c:v>
                </c:pt>
                <c:pt idx="12">
                  <c:v>3Q10</c:v>
                </c:pt>
                <c:pt idx="13">
                  <c:v>4Q10</c:v>
                </c:pt>
                <c:pt idx="14">
                  <c:v>1Q11</c:v>
                </c:pt>
                <c:pt idx="15">
                  <c:v>2Q11</c:v>
                </c:pt>
              </c:strCache>
            </c:strRef>
          </c:cat>
          <c:val>
            <c:numRef>
              <c:f>Sheet1!$E$17:$T$17</c:f>
              <c:numCache>
                <c:formatCode>"$"#,##0_);[Red]\("$"#,##0\)</c:formatCode>
                <c:ptCount val="16"/>
                <c:pt idx="0">
                  <c:v>1226.8902329846705</c:v>
                </c:pt>
                <c:pt idx="1">
                  <c:v>1251.2899815926696</c:v>
                </c:pt>
                <c:pt idx="2">
                  <c:v>1302.4215006555103</c:v>
                </c:pt>
                <c:pt idx="3">
                  <c:v>1339.9466280684931</c:v>
                </c:pt>
                <c:pt idx="4">
                  <c:v>1367.9942579299513</c:v>
                </c:pt>
                <c:pt idx="5">
                  <c:v>1414.3621533658131</c:v>
                </c:pt>
                <c:pt idx="6">
                  <c:v>1443.2759688437939</c:v>
                </c:pt>
                <c:pt idx="7">
                  <c:v>1460.0415619517901</c:v>
                </c:pt>
                <c:pt idx="8">
                  <c:v>1511.402087128713</c:v>
                </c:pt>
                <c:pt idx="9">
                  <c:v>1562.8287769458595</c:v>
                </c:pt>
                <c:pt idx="10">
                  <c:v>1607.1750495797453</c:v>
                </c:pt>
                <c:pt idx="11">
                  <c:v>1624.177476219553</c:v>
                </c:pt>
                <c:pt idx="12">
                  <c:v>1637.0216565779092</c:v>
                </c:pt>
                <c:pt idx="13">
                  <c:v>1608.2183499712644</c:v>
                </c:pt>
                <c:pt idx="14">
                  <c:v>1605.396911519395</c:v>
                </c:pt>
                <c:pt idx="15">
                  <c:v>0</c:v>
                </c:pt>
              </c:numCache>
            </c:numRef>
          </c:val>
          <c:smooth val="0"/>
        </c:ser>
        <c:ser>
          <c:idx val="2"/>
          <c:order val="2"/>
          <c:tx>
            <c:strRef>
              <c:f>Sheet1!$C$13</c:f>
              <c:strCache>
                <c:ptCount val="1"/>
                <c:pt idx="0">
                  <c:v>Interconnection MRR / Cabinet</c:v>
                </c:pt>
              </c:strCache>
            </c:strRef>
          </c:tx>
          <c:spPr>
            <a:ln w="12700">
              <a:solidFill>
                <a:srgbClr val="4AAC6B"/>
              </a:solidFill>
              <a:prstDash val="solid"/>
            </a:ln>
          </c:spPr>
          <c:marker>
            <c:symbol val="triangle"/>
            <c:size val="5"/>
            <c:spPr>
              <a:solidFill>
                <a:srgbClr val="4AAC6B"/>
              </a:solidFill>
              <a:ln>
                <a:solidFill>
                  <a:srgbClr val="4AAC6B"/>
                </a:solidFill>
                <a:prstDash val="solid"/>
              </a:ln>
            </c:spPr>
          </c:marker>
          <c:cat>
            <c:strRef>
              <c:f>Sheet1!$E$3:$T$3</c:f>
              <c:strCache>
                <c:ptCount val="16"/>
                <c:pt idx="0">
                  <c:v>3Q07</c:v>
                </c:pt>
                <c:pt idx="1">
                  <c:v>4Q07</c:v>
                </c:pt>
                <c:pt idx="2">
                  <c:v>1Q08</c:v>
                </c:pt>
                <c:pt idx="3">
                  <c:v>2Q08</c:v>
                </c:pt>
                <c:pt idx="4">
                  <c:v>3Q08</c:v>
                </c:pt>
                <c:pt idx="5">
                  <c:v>4Q08</c:v>
                </c:pt>
                <c:pt idx="6">
                  <c:v>1Q09</c:v>
                </c:pt>
                <c:pt idx="7">
                  <c:v>2Q09</c:v>
                </c:pt>
                <c:pt idx="8">
                  <c:v>3Q09</c:v>
                </c:pt>
                <c:pt idx="9">
                  <c:v>4Q09</c:v>
                </c:pt>
                <c:pt idx="10">
                  <c:v>1Q10</c:v>
                </c:pt>
                <c:pt idx="11">
                  <c:v>2Q10</c:v>
                </c:pt>
                <c:pt idx="12">
                  <c:v>3Q10</c:v>
                </c:pt>
                <c:pt idx="13">
                  <c:v>4Q10</c:v>
                </c:pt>
                <c:pt idx="14">
                  <c:v>1Q11</c:v>
                </c:pt>
                <c:pt idx="15">
                  <c:v>2Q11</c:v>
                </c:pt>
              </c:strCache>
            </c:strRef>
          </c:cat>
          <c:val>
            <c:numRef>
              <c:f>Sheet1!$E$13:$T$13</c:f>
              <c:numCache>
                <c:formatCode>"$"#,##0_);[Red]\("$"#,##0\)</c:formatCode>
                <c:ptCount val="16"/>
                <c:pt idx="0">
                  <c:v>416.82514983863535</c:v>
                </c:pt>
                <c:pt idx="1">
                  <c:v>405.7509292161908</c:v>
                </c:pt>
                <c:pt idx="2">
                  <c:v>402.88167399295645</c:v>
                </c:pt>
                <c:pt idx="3">
                  <c:v>410.51738761662426</c:v>
                </c:pt>
                <c:pt idx="4">
                  <c:v>403.26455045054547</c:v>
                </c:pt>
                <c:pt idx="5">
                  <c:v>408.59809236258837</c:v>
                </c:pt>
                <c:pt idx="6">
                  <c:v>404.79550239663126</c:v>
                </c:pt>
                <c:pt idx="7">
                  <c:v>402.86531089597821</c:v>
                </c:pt>
                <c:pt idx="8">
                  <c:v>404.7056318535079</c:v>
                </c:pt>
                <c:pt idx="9">
                  <c:v>404.88173646493505</c:v>
                </c:pt>
                <c:pt idx="10">
                  <c:v>414.22714227142274</c:v>
                </c:pt>
                <c:pt idx="11">
                  <c:v>413.80046713380057</c:v>
                </c:pt>
                <c:pt idx="12">
                  <c:v>415.20710059171591</c:v>
                </c:pt>
                <c:pt idx="13">
                  <c:v>425.69923371647513</c:v>
                </c:pt>
                <c:pt idx="14">
                  <c:v>415.41829497756549</c:v>
                </c:pt>
                <c:pt idx="15">
                  <c:v>0</c:v>
                </c:pt>
              </c:numCache>
            </c:numRef>
          </c:val>
          <c:smooth val="0"/>
        </c:ser>
        <c:dLbls>
          <c:showLegendKey val="0"/>
          <c:showVal val="0"/>
          <c:showCatName val="0"/>
          <c:showSerName val="0"/>
          <c:showPercent val="0"/>
          <c:showBubbleSize val="0"/>
        </c:dLbls>
        <c:marker val="1"/>
        <c:smooth val="0"/>
        <c:axId val="55145600"/>
        <c:axId val="55147520"/>
      </c:lineChart>
      <c:catAx>
        <c:axId val="55145600"/>
        <c:scaling>
          <c:orientation val="minMax"/>
        </c:scaling>
        <c:delete val="0"/>
        <c:axPos val="b"/>
        <c:numFmt formatCode="General" sourceLinked="1"/>
        <c:majorTickMark val="out"/>
        <c:minorTickMark val="none"/>
        <c:tickLblPos val="low"/>
        <c:spPr>
          <a:ln w="3175">
            <a:solidFill>
              <a:srgbClr val="000000"/>
            </a:solidFill>
            <a:prstDash val="solid"/>
          </a:ln>
        </c:spPr>
        <c:txPr>
          <a:bodyPr rot="-5400000" vert="horz"/>
          <a:lstStyle/>
          <a:p>
            <a:pPr>
              <a:defRPr sz="1400" b="0" i="0" u="none" strike="noStrike" baseline="0">
                <a:solidFill>
                  <a:srgbClr val="000000"/>
                </a:solidFill>
                <a:latin typeface="Arial"/>
                <a:ea typeface="Arial"/>
                <a:cs typeface="Arial"/>
              </a:defRPr>
            </a:pPr>
            <a:endParaRPr lang="en-US"/>
          </a:p>
        </c:txPr>
        <c:crossAx val="55147520"/>
        <c:crosses val="autoZero"/>
        <c:auto val="1"/>
        <c:lblAlgn val="ctr"/>
        <c:lblOffset val="100"/>
        <c:tickLblSkip val="1"/>
        <c:tickMarkSkip val="1"/>
        <c:noMultiLvlLbl val="0"/>
      </c:catAx>
      <c:valAx>
        <c:axId val="55147520"/>
        <c:scaling>
          <c:orientation val="minMax"/>
          <c:max val="2200"/>
          <c:min val="0"/>
        </c:scaling>
        <c:delete val="0"/>
        <c:axPos val="l"/>
        <c:majorGridlines>
          <c:spPr>
            <a:ln w="3175">
              <a:solidFill>
                <a:srgbClr val="C0C0C0"/>
              </a:solidFill>
              <a:prstDash val="solid"/>
            </a:ln>
          </c:spPr>
        </c:majorGridlines>
        <c:title>
          <c:tx>
            <c:rich>
              <a:bodyPr/>
              <a:lstStyle/>
              <a:p>
                <a:pPr>
                  <a:defRPr sz="1400" b="0" i="0" u="none" strike="noStrike" baseline="0">
                    <a:solidFill>
                      <a:srgbClr val="000000"/>
                    </a:solidFill>
                    <a:latin typeface="Arial"/>
                    <a:ea typeface="Arial"/>
                    <a:cs typeface="Arial"/>
                  </a:defRPr>
                </a:pPr>
                <a:r>
                  <a:rPr lang="en-US"/>
                  <a:t>MRR / Cabinet</a:t>
                </a:r>
              </a:p>
            </c:rich>
          </c:tx>
          <c:layout>
            <c:manualLayout>
              <c:xMode val="edge"/>
              <c:yMode val="edge"/>
              <c:x val="7.5873089393237603E-3"/>
              <c:y val="0.27656494551084337"/>
            </c:manualLayout>
          </c:layout>
          <c:overlay val="0"/>
          <c:spPr>
            <a:noFill/>
            <a:ln w="25400">
              <a:noFill/>
            </a:ln>
          </c:spPr>
        </c:title>
        <c:numFmt formatCode="\$#,##0_);[Red]\(\$#,##0\)" sourceLinked="0"/>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Arial"/>
                <a:ea typeface="Arial"/>
                <a:cs typeface="Arial"/>
              </a:defRPr>
            </a:pPr>
            <a:endParaRPr lang="en-US"/>
          </a:p>
        </c:txPr>
        <c:crossAx val="55145600"/>
        <c:crosses val="autoZero"/>
        <c:crossBetween val="between"/>
        <c:majorUnit val="200"/>
      </c:valAx>
      <c:spPr>
        <a:noFill/>
        <a:ln w="25400">
          <a:noFill/>
        </a:ln>
      </c:spPr>
    </c:plotArea>
    <c:legend>
      <c:legendPos val="r"/>
      <c:layout>
        <c:manualLayout>
          <c:xMode val="edge"/>
          <c:yMode val="edge"/>
          <c:x val="7.3529411764705881E-3"/>
          <c:y val="8.0645161290322578E-2"/>
          <c:w val="0.97647058823529409"/>
          <c:h val="9.4470046082949302E-2"/>
        </c:manualLayout>
      </c:layout>
      <c:overlay val="0"/>
      <c:spPr>
        <a:noFill/>
        <a:ln w="25400">
          <a:noFill/>
        </a:ln>
      </c:spPr>
      <c:txPr>
        <a:bodyPr/>
        <a:lstStyle/>
        <a:p>
          <a:pPr>
            <a:defRPr sz="23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4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8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162471395881007"/>
          <c:y val="8.5808857418192483E-2"/>
          <c:w val="0.79633867276887871"/>
          <c:h val="0.69307154068540078"/>
        </c:manualLayout>
      </c:layout>
      <c:lineChart>
        <c:grouping val="standard"/>
        <c:varyColors val="0"/>
        <c:ser>
          <c:idx val="0"/>
          <c:order val="0"/>
          <c:tx>
            <c:strRef>
              <c:f>Sheet1!$Q$37</c:f>
              <c:strCache>
                <c:ptCount val="1"/>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dLbl>
              <c:idx val="2"/>
              <c:layout>
                <c:manualLayout>
                  <c:x val="-3.1164765731514651E-2"/>
                  <c:y val="2.9350985113310444E-2"/>
                </c:manualLayout>
              </c:layout>
              <c:dLblPos val="r"/>
              <c:showLegendKey val="0"/>
              <c:showVal val="1"/>
              <c:showCatName val="0"/>
              <c:showSerName val="0"/>
              <c:showPercent val="0"/>
              <c:showBubbleSize val="0"/>
            </c:dLbl>
            <c:dLbl>
              <c:idx val="4"/>
              <c:layout>
                <c:manualLayout>
                  <c:x val="-1.3839048151017773E-2"/>
                  <c:y val="2.6710791018143162E-2"/>
                </c:manualLayout>
              </c:layout>
              <c:dLblPos val="r"/>
              <c:showLegendKey val="0"/>
              <c:showVal val="1"/>
              <c:showCatName val="0"/>
              <c:showSerName val="0"/>
              <c:showPercent val="0"/>
              <c:showBubbleSize val="0"/>
            </c:dLbl>
            <c:dLbl>
              <c:idx val="5"/>
              <c:layout>
                <c:manualLayout>
                  <c:x val="-1.5473431953728961E-2"/>
                  <c:y val="-2.8734976911783075E-2"/>
                </c:manualLayout>
              </c:layout>
              <c:dLblPos val="r"/>
              <c:showLegendKey val="0"/>
              <c:showVal val="1"/>
              <c:showCatName val="0"/>
              <c:showSerName val="0"/>
              <c:showPercent val="0"/>
              <c:showBubbleSize val="0"/>
            </c:dLbl>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Sheet1!$P$38:$P$44</c:f>
              <c:strCache>
                <c:ptCount val="7"/>
                <c:pt idx="0">
                  <c:v>1Q10</c:v>
                </c:pt>
                <c:pt idx="1">
                  <c:v>2Q10</c:v>
                </c:pt>
                <c:pt idx="2">
                  <c:v>3Q10</c:v>
                </c:pt>
                <c:pt idx="3">
                  <c:v>4Q10</c:v>
                </c:pt>
                <c:pt idx="4">
                  <c:v>1Q11</c:v>
                </c:pt>
                <c:pt idx="5">
                  <c:v>2Q11E</c:v>
                </c:pt>
                <c:pt idx="6">
                  <c:v>2012E</c:v>
                </c:pt>
              </c:strCache>
            </c:strRef>
          </c:cat>
          <c:val>
            <c:numRef>
              <c:f>Sheet1!$Q$38:$Q$44</c:f>
              <c:numCache>
                <c:formatCode>0%</c:formatCode>
                <c:ptCount val="7"/>
                <c:pt idx="0">
                  <c:v>0.8</c:v>
                </c:pt>
                <c:pt idx="1">
                  <c:v>0.78</c:v>
                </c:pt>
                <c:pt idx="2">
                  <c:v>0.77</c:v>
                </c:pt>
                <c:pt idx="3">
                  <c:v>0.77</c:v>
                </c:pt>
                <c:pt idx="4">
                  <c:v>0.8</c:v>
                </c:pt>
                <c:pt idx="5">
                  <c:v>0.80500000000000005</c:v>
                </c:pt>
                <c:pt idx="6">
                  <c:v>0.79</c:v>
                </c:pt>
              </c:numCache>
            </c:numRef>
          </c:val>
          <c:smooth val="0"/>
        </c:ser>
        <c:ser>
          <c:idx val="1"/>
          <c:order val="1"/>
          <c:tx>
            <c:strRef>
              <c:f>Sheet1!$R$37</c:f>
              <c:strCache>
                <c:ptCount val="1"/>
              </c:strCache>
            </c:strRef>
          </c:tx>
          <c:spPr>
            <a:ln w="12700">
              <a:solidFill>
                <a:srgbClr val="E5BF61"/>
              </a:solidFill>
              <a:prstDash val="solid"/>
            </a:ln>
          </c:spPr>
          <c:marker>
            <c:symbol val="square"/>
            <c:size val="5"/>
            <c:spPr>
              <a:solidFill>
                <a:srgbClr val="E5BF61"/>
              </a:solidFill>
              <a:ln>
                <a:solidFill>
                  <a:srgbClr val="E5BF61"/>
                </a:solidFill>
                <a:prstDash val="solid"/>
              </a:ln>
            </c:spPr>
          </c:marker>
          <c:dLbls>
            <c:dLbl>
              <c:idx val="4"/>
              <c:layout>
                <c:manualLayout>
                  <c:x val="-2.0704036709370155E-2"/>
                  <c:y val="2.9350985113310444E-2"/>
                </c:manualLayout>
              </c:layout>
              <c:dLblPos val="r"/>
              <c:showLegendKey val="0"/>
              <c:showVal val="1"/>
              <c:showCatName val="0"/>
              <c:showSerName val="0"/>
              <c:showPercent val="0"/>
              <c:showBubbleSize val="0"/>
            </c:dLbl>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Sheet1!$P$38:$P$44</c:f>
              <c:strCache>
                <c:ptCount val="7"/>
                <c:pt idx="0">
                  <c:v>1Q10</c:v>
                </c:pt>
                <c:pt idx="1">
                  <c:v>2Q10</c:v>
                </c:pt>
                <c:pt idx="2">
                  <c:v>3Q10</c:v>
                </c:pt>
                <c:pt idx="3">
                  <c:v>4Q10</c:v>
                </c:pt>
                <c:pt idx="4">
                  <c:v>1Q11</c:v>
                </c:pt>
                <c:pt idx="5">
                  <c:v>2Q11E</c:v>
                </c:pt>
                <c:pt idx="6">
                  <c:v>2012E</c:v>
                </c:pt>
              </c:strCache>
            </c:strRef>
          </c:cat>
          <c:val>
            <c:numRef>
              <c:f>Sheet1!$R$38:$R$44</c:f>
              <c:numCache>
                <c:formatCode>0%</c:formatCode>
                <c:ptCount val="7"/>
                <c:pt idx="0">
                  <c:v>0.7</c:v>
                </c:pt>
                <c:pt idx="1">
                  <c:v>0.7</c:v>
                </c:pt>
                <c:pt idx="2">
                  <c:v>0.7</c:v>
                </c:pt>
                <c:pt idx="3">
                  <c:v>0.74</c:v>
                </c:pt>
                <c:pt idx="4">
                  <c:v>0.77</c:v>
                </c:pt>
                <c:pt idx="5">
                  <c:v>0.76</c:v>
                </c:pt>
                <c:pt idx="6">
                  <c:v>0.76500000000000001</c:v>
                </c:pt>
              </c:numCache>
            </c:numRef>
          </c:val>
          <c:smooth val="0"/>
        </c:ser>
        <c:ser>
          <c:idx val="2"/>
          <c:order val="2"/>
          <c:tx>
            <c:strRef>
              <c:f>Sheet1!$S$37</c:f>
              <c:strCache>
                <c:ptCount val="1"/>
              </c:strCache>
            </c:strRef>
          </c:tx>
          <c:spPr>
            <a:ln w="12700">
              <a:solidFill>
                <a:srgbClr val="4AAC6B"/>
              </a:solidFill>
              <a:prstDash val="solid"/>
            </a:ln>
          </c:spPr>
          <c:marker>
            <c:symbol val="triangle"/>
            <c:size val="5"/>
            <c:spPr>
              <a:solidFill>
                <a:srgbClr val="4AAC6B"/>
              </a:solidFill>
              <a:ln>
                <a:solidFill>
                  <a:srgbClr val="4AAC6B"/>
                </a:solidFill>
                <a:prstDash val="solid"/>
              </a:ln>
            </c:spPr>
          </c:marker>
          <c:dLbls>
            <c:dLbl>
              <c:idx val="2"/>
              <c:layout>
                <c:manualLayout>
                  <c:x val="-1.5146459095359043E-2"/>
                  <c:y val="-5.6457872304882056E-2"/>
                </c:manualLayout>
              </c:layout>
              <c:dLblPos val="r"/>
              <c:showLegendKey val="0"/>
              <c:showVal val="1"/>
              <c:showCatName val="0"/>
              <c:showSerName val="0"/>
              <c:showPercent val="0"/>
              <c:showBubbleSize val="0"/>
            </c:dLbl>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Sheet1!$P$38:$P$44</c:f>
              <c:strCache>
                <c:ptCount val="7"/>
                <c:pt idx="0">
                  <c:v>1Q10</c:v>
                </c:pt>
                <c:pt idx="1">
                  <c:v>2Q10</c:v>
                </c:pt>
                <c:pt idx="2">
                  <c:v>3Q10</c:v>
                </c:pt>
                <c:pt idx="3">
                  <c:v>4Q10</c:v>
                </c:pt>
                <c:pt idx="4">
                  <c:v>1Q11</c:v>
                </c:pt>
                <c:pt idx="5">
                  <c:v>2Q11E</c:v>
                </c:pt>
                <c:pt idx="6">
                  <c:v>2012E</c:v>
                </c:pt>
              </c:strCache>
            </c:strRef>
          </c:cat>
          <c:val>
            <c:numRef>
              <c:f>Sheet1!$S$38:$S$44</c:f>
              <c:numCache>
                <c:formatCode>0%</c:formatCode>
                <c:ptCount val="7"/>
                <c:pt idx="0">
                  <c:v>0.85</c:v>
                </c:pt>
                <c:pt idx="1">
                  <c:v>0.83</c:v>
                </c:pt>
                <c:pt idx="2">
                  <c:v>0.77</c:v>
                </c:pt>
                <c:pt idx="3">
                  <c:v>0.79</c:v>
                </c:pt>
                <c:pt idx="4">
                  <c:v>0.81</c:v>
                </c:pt>
                <c:pt idx="5">
                  <c:v>0.78500000000000003</c:v>
                </c:pt>
                <c:pt idx="6">
                  <c:v>0.82</c:v>
                </c:pt>
              </c:numCache>
            </c:numRef>
          </c:val>
          <c:smooth val="0"/>
        </c:ser>
        <c:dLbls>
          <c:showLegendKey val="0"/>
          <c:showVal val="0"/>
          <c:showCatName val="0"/>
          <c:showSerName val="0"/>
          <c:showPercent val="0"/>
          <c:showBubbleSize val="0"/>
        </c:dLbls>
        <c:marker val="1"/>
        <c:smooth val="0"/>
        <c:axId val="55854976"/>
        <c:axId val="55856512"/>
      </c:lineChart>
      <c:catAx>
        <c:axId val="558549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en-US"/>
          </a:p>
        </c:txPr>
        <c:crossAx val="55856512"/>
        <c:crosses val="autoZero"/>
        <c:auto val="1"/>
        <c:lblAlgn val="ctr"/>
        <c:lblOffset val="100"/>
        <c:tickLblSkip val="1"/>
        <c:tickMarkSkip val="1"/>
        <c:noMultiLvlLbl val="0"/>
      </c:catAx>
      <c:valAx>
        <c:axId val="55856512"/>
        <c:scaling>
          <c:orientation val="minMax"/>
          <c:max val="0.9"/>
          <c:min val="0.65"/>
        </c:scaling>
        <c:delete val="0"/>
        <c:axPos val="l"/>
        <c:majorGridlines>
          <c:spPr>
            <a:ln w="3175">
              <a:solidFill>
                <a:srgbClr val="969696"/>
              </a:solidFill>
              <a:prstDash val="solid"/>
            </a:ln>
          </c:spPr>
        </c:majorGridlines>
        <c:title>
          <c:tx>
            <c:rich>
              <a:bodyPr/>
              <a:lstStyle/>
              <a:p>
                <a:pPr>
                  <a:defRPr sz="925" b="0" i="0" u="none" strike="noStrike" baseline="0">
                    <a:solidFill>
                      <a:srgbClr val="000000"/>
                    </a:solidFill>
                    <a:latin typeface="Arial"/>
                    <a:ea typeface="Arial"/>
                    <a:cs typeface="Arial"/>
                  </a:defRPr>
                </a:pPr>
                <a:r>
                  <a:rPr lang="en-US"/>
                  <a:t>Utilization</a:t>
                </a:r>
              </a:p>
            </c:rich>
          </c:tx>
          <c:layout>
            <c:manualLayout>
              <c:xMode val="edge"/>
              <c:yMode val="edge"/>
              <c:x val="3.6613272311212815E-2"/>
              <c:y val="0.33993503287336607"/>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en-US"/>
          </a:p>
        </c:txPr>
        <c:crossAx val="55854976"/>
        <c:crosses val="autoZero"/>
        <c:crossBetween val="between"/>
        <c:majorUnit val="0.05"/>
      </c:valAx>
      <c:spPr>
        <a:noFill/>
        <a:ln w="25400">
          <a:noFill/>
        </a:ln>
      </c:spPr>
    </c:plotArea>
    <c:legend>
      <c:legendPos val="b"/>
      <c:layout>
        <c:manualLayout>
          <c:xMode val="edge"/>
          <c:yMode val="edge"/>
          <c:x val="0.4416475972540046"/>
          <c:y val="0.9141945375639926"/>
          <c:w val="0.25400457665903886"/>
          <c:h val="6.6006947151408091E-2"/>
        </c:manualLayout>
      </c:layout>
      <c:overlay val="0"/>
      <c:spPr>
        <a:noFill/>
        <a:ln w="25400">
          <a:noFill/>
        </a:ln>
      </c:spPr>
      <c:txPr>
        <a:bodyPr/>
        <a:lstStyle/>
        <a:p>
          <a:pPr>
            <a:defRPr sz="15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drawings/_rels/drawing1.xml.rels><?xml version="1.0" encoding="UTF-8" standalone="yes"?>
<Relationships xmlns="http://schemas.openxmlformats.org/package/2006/relationships">
<Relationship Id="rId1" Target="../charts/chart1.xml" Type="http://schemas.openxmlformats.org/officeDocument/2006/relationships/chart"/>
<Relationship Id="rId2" Target="../charts/chart2.xml" Type="http://schemas.openxmlformats.org/officeDocument/2006/relationships/chart"/>
<Relationship Id="rId3" Target="../charts/chart3.xml" Type="http://schemas.openxmlformats.org/officeDocument/2006/relationships/chart"/>
<Relationship Id="rId4" Target="../charts/chart4.xml" Type="http://schemas.openxmlformats.org/officeDocument/2006/relationships/chart"/>
<Relationship Id="rId5" Target="../charts/chart5.xml" Type="http://schemas.openxmlformats.org/officeDocument/2006/relationships/chart"/>
<Relationship Id="rId6" Target="../charts/chart6.xml" Type="http://schemas.openxmlformats.org/officeDocument/2006/relationships/chart"/>
<Relationship Id="rId7" Target="../charts/chart7.xml" Type="http://schemas.openxmlformats.org/officeDocument/2006/relationships/chart"/>
<Relationship Id="rId8" Target="../charts/chart8.xml" Type="http://schemas.openxmlformats.org/officeDocument/2006/relationships/chart"/>
</Relationships>

</file>

<file path=xl/drawings/_rels/drawing9.xml.rels><?xml version="1.0" encoding="UTF-8" standalone="yes"?>
<Relationships xmlns="http://schemas.openxmlformats.org/package/2006/relationships">
<Relationship Id="rId1" Target="../charts/chart9.xml" Type="http://schemas.openxmlformats.org/officeDocument/2006/relationships/chart"/>
<Relationship Id="rId2" Target="../charts/chart10.xml" Type="http://schemas.openxmlformats.org/officeDocument/2006/relationships/chart"/>
<Relationship Id="rId3" Target="../charts/chart11.xml" Type="http://schemas.openxmlformats.org/officeDocument/2006/relationships/chart"/>
<Relationship Id="rId4" Target="../charts/chart12.xml" Type="http://schemas.openxmlformats.org/officeDocument/2006/relationships/chart"/>
<Relationship Id="rId5" Target="../charts/chart13.xml" Type="http://schemas.openxmlformats.org/officeDocument/2006/relationships/chart"/>
<Relationship Id="rId6" Target="../charts/chart14.xml" Type="http://schemas.openxmlformats.org/officeDocument/2006/relationships/chart"/>
<Relationship Id="rId7" Target="../charts/chart15.xml" Type="http://schemas.openxmlformats.org/officeDocument/2006/relationships/chart"/>
</Relationships>

</file>

<file path=xl/drawings/_rels/drawing10.xml.rels><?xml version="1.0" encoding="UTF-8" standalone="yes"?>
<Relationships xmlns="http://schemas.openxmlformats.org/package/2006/relationships">
<Relationship Id="rId1" Target="../charts/chart16.xml" Type="http://schemas.openxmlformats.org/officeDocument/2006/relationships/chart"/>
<Relationship Id="rId2" Target="../charts/chart17.xml" Type="http://schemas.openxmlformats.org/officeDocument/2006/relationships/chart"/>
<Relationship Id="rId3" Target="../charts/chart18.xml" Type="http://schemas.openxmlformats.org/officeDocument/2006/relationships/chart"/>
<Relationship Id="rId4" Target="../charts/chart19.xml" Type="http://schemas.openxmlformats.org/officeDocument/2006/relationships/chart"/>
<Relationship Id="rId5" Target="../charts/chart20.xml" Type="http://schemas.openxmlformats.org/officeDocument/2006/relationships/chart"/>
<Relationship Id="rId6" Target="../charts/chart21.xml" Type="http://schemas.openxmlformats.org/officeDocument/2006/relationships/chart"/>
<Relationship Id="rId7" Target="../charts/chart22.xml" Type="http://schemas.openxmlformats.org/officeDocument/2006/relationships/chart"/>
<Relationship Id="rId8" Target="../charts/chart23.xml" Type="http://schemas.openxmlformats.org/officeDocument/2006/relationships/chart"/>
</Relationships>

</file>

<file path=xl/drawings/_rels/drawing18.xml.rels><?xml version="1.0" encoding="UTF-8" standalone="yes"?>
<Relationships xmlns="http://schemas.openxmlformats.org/package/2006/relationships">
<Relationship Id="rId1" Target="../charts/chart24.xml" Type="http://schemas.openxmlformats.org/officeDocument/2006/relationships/chart"/>
<Relationship Id="rId10" Target="../charts/chart33.xml" Type="http://schemas.openxmlformats.org/officeDocument/2006/relationships/chart"/>
<Relationship Id="rId11" Target="../charts/chart34.xml" Type="http://schemas.openxmlformats.org/officeDocument/2006/relationships/chart"/>
<Relationship Id="rId12" Target="../charts/chart35.xml" Type="http://schemas.openxmlformats.org/officeDocument/2006/relationships/chart"/>
<Relationship Id="rId13" Target="../charts/chart36.xml" Type="http://schemas.openxmlformats.org/officeDocument/2006/relationships/chart"/>
<Relationship Id="rId14" Target="../charts/chart37.xml" Type="http://schemas.openxmlformats.org/officeDocument/2006/relationships/chart"/>
<Relationship Id="rId15" Target="../charts/chart38.xml" Type="http://schemas.openxmlformats.org/officeDocument/2006/relationships/chart"/>
<Relationship Id="rId16" Target="../charts/chart39.xml" Type="http://schemas.openxmlformats.org/officeDocument/2006/relationships/chart"/>
<Relationship Id="rId17" Target="../charts/chart40.xml" Type="http://schemas.openxmlformats.org/officeDocument/2006/relationships/chart"/>
<Relationship Id="rId18" Target="../charts/chart41.xml" Type="http://schemas.openxmlformats.org/officeDocument/2006/relationships/chart"/>
<Relationship Id="rId19" Target="../charts/chart42.xml" Type="http://schemas.openxmlformats.org/officeDocument/2006/relationships/chart"/>
<Relationship Id="rId2" Target="../charts/chart25.xml" Type="http://schemas.openxmlformats.org/officeDocument/2006/relationships/chart"/>
<Relationship Id="rId20" Target="../charts/chart43.xml" Type="http://schemas.openxmlformats.org/officeDocument/2006/relationships/chart"/>
<Relationship Id="rId21" Target="../charts/chart44.xml" Type="http://schemas.openxmlformats.org/officeDocument/2006/relationships/chart"/>
<Relationship Id="rId22" Target="../charts/chart45.xml" Type="http://schemas.openxmlformats.org/officeDocument/2006/relationships/chart"/>
<Relationship Id="rId23" Target="../charts/chart46.xml" Type="http://schemas.openxmlformats.org/officeDocument/2006/relationships/chart"/>
<Relationship Id="rId24" Target="../charts/chart47.xml" Type="http://schemas.openxmlformats.org/officeDocument/2006/relationships/chart"/>
<Relationship Id="rId25" Target="../charts/chart48.xml" Type="http://schemas.openxmlformats.org/officeDocument/2006/relationships/chart"/>
<Relationship Id="rId26" Target="../charts/chart49.xml" Type="http://schemas.openxmlformats.org/officeDocument/2006/relationships/chart"/>
<Relationship Id="rId27" Target="../charts/chart50.xml" Type="http://schemas.openxmlformats.org/officeDocument/2006/relationships/chart"/>
<Relationship Id="rId28" Target="../charts/chart51.xml" Type="http://schemas.openxmlformats.org/officeDocument/2006/relationships/chart"/>
<Relationship Id="rId29" Target="../charts/chart52.xml" Type="http://schemas.openxmlformats.org/officeDocument/2006/relationships/chart"/>
<Relationship Id="rId3" Target="../charts/chart26.xml" Type="http://schemas.openxmlformats.org/officeDocument/2006/relationships/chart"/>
<Relationship Id="rId4" Target="../charts/chart27.xml" Type="http://schemas.openxmlformats.org/officeDocument/2006/relationships/chart"/>
<Relationship Id="rId5" Target="../charts/chart28.xml" Type="http://schemas.openxmlformats.org/officeDocument/2006/relationships/chart"/>
<Relationship Id="rId6" Target="../charts/chart29.xml" Type="http://schemas.openxmlformats.org/officeDocument/2006/relationships/chart"/>
<Relationship Id="rId7" Target="../charts/chart30.xml" Type="http://schemas.openxmlformats.org/officeDocument/2006/relationships/chart"/>
<Relationship Id="rId8" Target="../charts/chart31.xml" Type="http://schemas.openxmlformats.org/officeDocument/2006/relationships/chart"/>
<Relationship Id="rId9" Target="../charts/chart32.xml" Type="http://schemas.openxmlformats.org/officeDocument/2006/relationships/chart"/>
</Relationships>

</file>

<file path=xl/drawings/_rels/drawing19.xml.rels><?xml version="1.0" encoding="UTF-8" standalone="yes"?>
<Relationships xmlns="http://schemas.openxmlformats.org/package/2006/relationships">
<Relationship Id="rId1" Target="../charts/chart53.xml" Type="http://schemas.openxmlformats.org/officeDocument/2006/relationships/chart"/>
<Relationship Id="rId2" Target="../charts/chart54.xml" Type="http://schemas.openxmlformats.org/officeDocument/2006/relationships/chart"/>
</Relationships>

</file>

<file path=xl/drawings/_rels/drawing20.xml.rels><?xml version="1.0" encoding="UTF-8" standalone="yes"?>
<Relationships xmlns="http://schemas.openxmlformats.org/package/2006/relationships">
<Relationship Id="rId1" Target="../charts/chart55.xml" Type="http://schemas.openxmlformats.org/officeDocument/2006/relationships/chart"/>
<Relationship Id="rId10" Target="../charts/chart64.xml" Type="http://schemas.openxmlformats.org/officeDocument/2006/relationships/chart"/>
<Relationship Id="rId11" Target="../charts/chart65.xml" Type="http://schemas.openxmlformats.org/officeDocument/2006/relationships/chart"/>
<Relationship Id="rId12" Target="../charts/chart66.xml" Type="http://schemas.openxmlformats.org/officeDocument/2006/relationships/chart"/>
<Relationship Id="rId13" Target="../charts/chart67.xml" Type="http://schemas.openxmlformats.org/officeDocument/2006/relationships/chart"/>
<Relationship Id="rId14" Target="../charts/chart68.xml" Type="http://schemas.openxmlformats.org/officeDocument/2006/relationships/chart"/>
<Relationship Id="rId15" Target="../charts/chart69.xml" Type="http://schemas.openxmlformats.org/officeDocument/2006/relationships/chart"/>
<Relationship Id="rId16" Target="../charts/chart70.xml" Type="http://schemas.openxmlformats.org/officeDocument/2006/relationships/chart"/>
<Relationship Id="rId17" Target="../charts/chart71.xml" Type="http://schemas.openxmlformats.org/officeDocument/2006/relationships/chart"/>
<Relationship Id="rId18" Target="../charts/chart72.xml" Type="http://schemas.openxmlformats.org/officeDocument/2006/relationships/chart"/>
<Relationship Id="rId19" Target="../charts/chart73.xml" Type="http://schemas.openxmlformats.org/officeDocument/2006/relationships/chart"/>
<Relationship Id="rId2" Target="../charts/chart56.xml" Type="http://schemas.openxmlformats.org/officeDocument/2006/relationships/chart"/>
<Relationship Id="rId20" Target="../charts/chart74.xml" Type="http://schemas.openxmlformats.org/officeDocument/2006/relationships/chart"/>
<Relationship Id="rId21" Target="../charts/chart75.xml" Type="http://schemas.openxmlformats.org/officeDocument/2006/relationships/chart"/>
<Relationship Id="rId22" Target="../charts/chart76.xml" Type="http://schemas.openxmlformats.org/officeDocument/2006/relationships/chart"/>
<Relationship Id="rId23" Target="../charts/chart77.xml" Type="http://schemas.openxmlformats.org/officeDocument/2006/relationships/chart"/>
<Relationship Id="rId3" Target="../charts/chart57.xml" Type="http://schemas.openxmlformats.org/officeDocument/2006/relationships/chart"/>
<Relationship Id="rId4" Target="../charts/chart58.xml" Type="http://schemas.openxmlformats.org/officeDocument/2006/relationships/chart"/>
<Relationship Id="rId5" Target="../charts/chart59.xml" Type="http://schemas.openxmlformats.org/officeDocument/2006/relationships/chart"/>
<Relationship Id="rId6" Target="../charts/chart60.xml" Type="http://schemas.openxmlformats.org/officeDocument/2006/relationships/chart"/>
<Relationship Id="rId7" Target="../charts/chart61.xml" Type="http://schemas.openxmlformats.org/officeDocument/2006/relationships/chart"/>
<Relationship Id="rId8" Target="../charts/chart62.xml" Type="http://schemas.openxmlformats.org/officeDocument/2006/relationships/chart"/>
<Relationship Id="rId9" Target="../charts/chart63.xml" Type="http://schemas.openxmlformats.org/officeDocument/2006/relationships/chart"/>
</Relationships>

</file>

<file path=xl/drawings/_rels/drawing21.xml.rels><?xml version="1.0" encoding="UTF-8" standalone="yes"?>
<Relationships xmlns="http://schemas.openxmlformats.org/package/2006/relationships">
<Relationship Id="rId1" Target="../media/image8.png" Type="http://schemas.openxmlformats.org/officeDocument/2006/relationships/image"/>
<Relationship Id="rId2" Target="../media/image9.jpeg" Type="http://schemas.openxmlformats.org/officeDocument/2006/relationships/image"/>
<Relationship Id="rId3" Target="../media/image10.gif" Type="http://schemas.openxmlformats.org/officeDocument/2006/relationships/image"/>
</Relationships>

</file>

<file path=xl/drawings/_rels/drawing26.xml.rels><?xml version="1.0" encoding="UTF-8" standalone="yes"?>
<Relationships xmlns="http://schemas.openxmlformats.org/package/2006/relationships">
<Relationship Id="rId1" Target="../charts/chart78.xml" Type="http://schemas.openxmlformats.org/officeDocument/2006/relationships/chart"/>
</Relationships>

</file>

<file path=xl/drawings/_rels/drawing27.xml.rels><?xml version="1.0" encoding="UTF-8" standalone="yes"?>
<Relationships xmlns="http://schemas.openxmlformats.org/package/2006/relationships">
<Relationship Id="rId1" Target="../charts/chart79.xml" Type="http://schemas.openxmlformats.org/officeDocument/2006/relationships/chart"/>
<Relationship Id="rId2" Target="../charts/chart80.xml" Type="http://schemas.openxmlformats.org/officeDocument/2006/relationships/chart"/>
<Relationship Id="rId3" Target="../charts/chart81.xml" Type="http://schemas.openxmlformats.org/officeDocument/2006/relationships/chart"/>
<Relationship Id="rId4" Target="../charts/chart82.xml" Type="http://schemas.openxmlformats.org/officeDocument/2006/relationships/chart"/>
<Relationship Id="rId5" Target="../charts/chart83.xml" Type="http://schemas.openxmlformats.org/officeDocument/2006/relationships/chart"/>
<Relationship Id="rId6" Target="../charts/chart84.xml" Type="http://schemas.openxmlformats.org/officeDocument/2006/relationships/chart"/>
</Relationships>

</file>

<file path=xl/drawings/_rels/drawing31.xml.rels><?xml version="1.0" encoding="UTF-8" standalone="yes"?>
<Relationships xmlns="http://schemas.openxmlformats.org/package/2006/relationships">
<Relationship Id="rId1" Target="../charts/chart85.xml" Type="http://schemas.openxmlformats.org/officeDocument/2006/relationships/chart"/>
<Relationship Id="rId2" Target="../charts/chart86.xml" Type="http://schemas.openxmlformats.org/officeDocument/2006/relationships/chart"/>
<Relationship Id="rId3" Target="../charts/chart87.xml" Type="http://schemas.openxmlformats.org/officeDocument/2006/relationships/chart"/>
<Relationship Id="rId4" Target="../charts/chart88.xml" Type="http://schemas.openxmlformats.org/officeDocument/2006/relationships/chart"/>
<Relationship Id="rId5" Target="../charts/chart89.xml" Type="http://schemas.openxmlformats.org/officeDocument/2006/relationships/chart"/>
</Relationships>

</file>

<file path=xl/drawings/_rels/vmlDrawing1.vml.rels><?xml version="1.0" encoding="UTF-8" standalone="yes"?>
<Relationships xmlns="http://schemas.openxmlformats.org/package/2006/relationships">
<Relationship Id="rId1" Target="../media/image1.emf" Type="http://schemas.openxmlformats.org/officeDocument/2006/relationships/image"/>
<Relationship Id="rId2" Target="../media/image2.emf" Type="http://schemas.openxmlformats.org/officeDocument/2006/relationships/image"/>
</Relationships>

</file>

<file path=xl/drawings/_rels/vmlDrawing2.vml.rels><?xml version="1.0" encoding="UTF-8" standalone="yes"?>
<Relationships xmlns="http://schemas.openxmlformats.org/package/2006/relationships">
<Relationship Id="rId1" Target="../media/image6.emf" Type="http://schemas.openxmlformats.org/officeDocument/2006/relationships/image"/>
<Relationship Id="rId2" Target="../media/image7.emf"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5</xdr:col>
      <xdr:colOff>514350</xdr:colOff>
      <xdr:row>6</xdr:row>
      <xdr:rowOff>9525</xdr:rowOff>
    </xdr:from>
    <xdr:to>
      <xdr:col>11</xdr:col>
      <xdr:colOff>409575</xdr:colOff>
      <xdr:row>14</xdr:row>
      <xdr:rowOff>0</xdr:rowOff>
    </xdr:to>
    <xdr:graphicFrame macro="">
      <xdr:nvGraphicFramePr>
        <xdr:cNvPr id="66544425" name="MW_NOPAT Margin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514350</xdr:colOff>
      <xdr:row>14</xdr:row>
      <xdr:rowOff>57150</xdr:rowOff>
    </xdr:from>
    <xdr:to>
      <xdr:col>11</xdr:col>
      <xdr:colOff>419100</xdr:colOff>
      <xdr:row>22</xdr:row>
      <xdr:rowOff>0</xdr:rowOff>
    </xdr:to>
    <xdr:graphicFrame macro="">
      <xdr:nvGraphicFramePr>
        <xdr:cNvPr id="66544426" name="MW_Operating_Asset_Turnover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514350</xdr:colOff>
      <xdr:row>22</xdr:row>
      <xdr:rowOff>57150</xdr:rowOff>
    </xdr:from>
    <xdr:to>
      <xdr:col>11</xdr:col>
      <xdr:colOff>419100</xdr:colOff>
      <xdr:row>29</xdr:row>
      <xdr:rowOff>266700</xdr:rowOff>
    </xdr:to>
    <xdr:graphicFrame macro="">
      <xdr:nvGraphicFramePr>
        <xdr:cNvPr id="66544427" name="MW_Return_From_Leverag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38100</xdr:colOff>
      <xdr:row>6</xdr:row>
      <xdr:rowOff>9525</xdr:rowOff>
    </xdr:from>
    <xdr:to>
      <xdr:col>2</xdr:col>
      <xdr:colOff>47625</xdr:colOff>
      <xdr:row>14</xdr:row>
      <xdr:rowOff>0</xdr:rowOff>
    </xdr:to>
    <xdr:graphicFrame macro="">
      <xdr:nvGraphicFramePr>
        <xdr:cNvPr id="66544428" name="MW_RO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38100</xdr:colOff>
      <xdr:row>22</xdr:row>
      <xdr:rowOff>57150</xdr:rowOff>
    </xdr:from>
    <xdr:to>
      <xdr:col>2</xdr:col>
      <xdr:colOff>47625</xdr:colOff>
      <xdr:row>29</xdr:row>
      <xdr:rowOff>257175</xdr:rowOff>
    </xdr:to>
    <xdr:graphicFrame macro="">
      <xdr:nvGraphicFramePr>
        <xdr:cNvPr id="66544429" name="MW_Profitability Map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xdr:col>
      <xdr:colOff>38100</xdr:colOff>
      <xdr:row>14</xdr:row>
      <xdr:rowOff>57150</xdr:rowOff>
    </xdr:from>
    <xdr:to>
      <xdr:col>2</xdr:col>
      <xdr:colOff>47625</xdr:colOff>
      <xdr:row>22</xdr:row>
      <xdr:rowOff>0</xdr:rowOff>
    </xdr:to>
    <xdr:graphicFrame macro="">
      <xdr:nvGraphicFramePr>
        <xdr:cNvPr id="66544430" name="MW_RNOA Leverage RO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314325</xdr:colOff>
          <xdr:row>0</xdr:row>
          <xdr:rowOff>104775</xdr:rowOff>
        </xdr:from>
        <xdr:to>
          <xdr:col>17</xdr:col>
          <xdr:colOff>247650</xdr:colOff>
          <xdr:row>0</xdr:row>
          <xdr:rowOff>361950</xdr:rowOff>
        </xdr:to>
        <xdr:sp macro="" textlink="">
          <xdr:nvSpPr>
            <xdr:cNvPr id="192523" name="cmbLanguage" hidden="1">
              <a:extLst>
                <a:ext uri="{63B3BB69-23CF-44E3-9099-C40C66FF867C}">
                  <a14:compatExt spid="_x0000_s1925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14</xdr:row>
          <xdr:rowOff>85725</xdr:rowOff>
        </xdr:from>
        <xdr:to>
          <xdr:col>0</xdr:col>
          <xdr:colOff>904875</xdr:colOff>
          <xdr:row>15</xdr:row>
          <xdr:rowOff>57150</xdr:rowOff>
        </xdr:to>
        <xdr:sp macro="" textlink="">
          <xdr:nvSpPr>
            <xdr:cNvPr id="192524" name="cmbYear" hidden="1">
              <a:extLst>
                <a:ext uri="{63B3BB69-23CF-44E3-9099-C40C66FF867C}">
                  <a14:compatExt spid="_x0000_s192524"/>
                </a:ext>
              </a:extLst>
            </xdr:cNvPr>
            <xdr:cNvSpPr/>
          </xdr:nvSpPr>
          <xdr:spPr>
            <a:xfrm>
              <a:off x="0" y="0"/>
              <a:ext cx="0" cy="0"/>
            </a:xfrm>
            <a:prstGeom prst="rect">
              <a:avLst/>
            </a:prstGeom>
          </xdr:spPr>
        </xdr:sp>
        <xdr:clientData/>
      </xdr:twoCellAnchor>
    </mc:Choice>
    <mc:Fallback/>
  </mc:AlternateContent>
  <xdr:twoCellAnchor editAs="absolute">
    <xdr:from>
      <xdr:col>54</xdr:col>
      <xdr:colOff>209550</xdr:colOff>
      <xdr:row>2</xdr:row>
      <xdr:rowOff>47625</xdr:rowOff>
    </xdr:from>
    <xdr:to>
      <xdr:col>62</xdr:col>
      <xdr:colOff>57150</xdr:colOff>
      <xdr:row>4</xdr:row>
      <xdr:rowOff>47625</xdr:rowOff>
    </xdr:to>
    <xdr:sp macro="" textlink="">
      <xdr:nvSpPr>
        <xdr:cNvPr id="2" name="Rectangle 13"/>
        <xdr:cNvSpPr>
          <a:spLocks noChangeArrowheads="1"/>
        </xdr:cNvSpPr>
      </xdr:nvSpPr>
      <xdr:spPr bwMode="auto">
        <a:xfrm>
          <a:off x="39281100" y="485775"/>
          <a:ext cx="5029200" cy="609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Instructions: </a:t>
          </a:r>
          <a:endParaRPr lang="en-US" sz="10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1. Select a year from the  </a:t>
          </a:r>
          <a:r>
            <a:rPr lang="en-US" sz="800" b="1" i="0" u="none" strike="noStrike" baseline="0">
              <a:solidFill>
                <a:srgbClr val="000000"/>
              </a:solidFill>
              <a:latin typeface="Arial"/>
              <a:cs typeface="Arial"/>
            </a:rPr>
            <a:t>ROE Decomposition</a:t>
          </a:r>
          <a:r>
            <a:rPr lang="en-US" sz="800" b="0" i="0" u="none" strike="noStrike" baseline="0">
              <a:solidFill>
                <a:srgbClr val="000000"/>
              </a:solidFill>
              <a:latin typeface="Arial"/>
              <a:cs typeface="Arial"/>
            </a:rPr>
            <a:t> Year drop-down list.</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2</a:t>
          </a:r>
          <a:r>
            <a:rPr lang="en-US" sz="800" b="0" i="0" u="none" strike="noStrike" baseline="0">
              <a:solidFill>
                <a:srgbClr val="000000"/>
              </a:solidFill>
              <a:latin typeface="Arial"/>
              <a:cs typeface="Arial"/>
            </a:rPr>
            <a:t>. To hide cell note indicators, go to </a:t>
          </a:r>
          <a:r>
            <a:rPr lang="en-US" sz="800" b="1" i="0" u="none" strike="noStrike" baseline="0">
              <a:solidFill>
                <a:srgbClr val="000000"/>
              </a:solidFill>
              <a:latin typeface="Arial"/>
              <a:cs typeface="Arial"/>
            </a:rPr>
            <a:t>Tools</a:t>
          </a:r>
          <a:r>
            <a:rPr lang="en-US" sz="800" b="0" i="0" u="none" strike="noStrike" baseline="0">
              <a:solidFill>
                <a:srgbClr val="000000"/>
              </a:solidFill>
              <a:latin typeface="Arial"/>
              <a:cs typeface="Arial"/>
            </a:rPr>
            <a:t>&gt;</a:t>
          </a:r>
          <a:r>
            <a:rPr lang="en-US" sz="800" b="1" i="0" u="none" strike="noStrike" baseline="0">
              <a:solidFill>
                <a:srgbClr val="000000"/>
              </a:solidFill>
              <a:latin typeface="Arial"/>
              <a:cs typeface="Arial"/>
            </a:rPr>
            <a:t>Options</a:t>
          </a:r>
          <a:r>
            <a:rPr lang="en-US" sz="800" b="0" i="0" u="none" strike="noStrike" baseline="0">
              <a:solidFill>
                <a:srgbClr val="000000"/>
              </a:solidFill>
              <a:latin typeface="Arial"/>
              <a:cs typeface="Arial"/>
            </a:rPr>
            <a:t>&gt;</a:t>
          </a:r>
          <a:r>
            <a:rPr lang="en-US" sz="800" b="1" i="0" u="none" strike="noStrike" baseline="0">
              <a:solidFill>
                <a:srgbClr val="000000"/>
              </a:solidFill>
              <a:latin typeface="Arial"/>
              <a:cs typeface="Arial"/>
            </a:rPr>
            <a:t>View</a:t>
          </a:r>
          <a:r>
            <a:rPr lang="en-US" sz="800" b="0" i="0" u="none" strike="noStrike" baseline="0">
              <a:solidFill>
                <a:srgbClr val="000000"/>
              </a:solidFill>
              <a:latin typeface="Arial"/>
              <a:cs typeface="Arial"/>
            </a:rPr>
            <a:t> tab&gt;</a:t>
          </a:r>
          <a:r>
            <a:rPr lang="en-US" sz="800" b="1" i="0" u="none" strike="noStrike" baseline="0">
              <a:solidFill>
                <a:srgbClr val="000000"/>
              </a:solidFill>
              <a:latin typeface="Arial"/>
              <a:cs typeface="Arial"/>
            </a:rPr>
            <a:t>Comments</a:t>
          </a:r>
          <a:r>
            <a:rPr lang="en-US" sz="800" b="0" i="0" u="none" strike="noStrike" baseline="0">
              <a:solidFill>
                <a:srgbClr val="000000"/>
              </a:solidFill>
              <a:latin typeface="Arial"/>
              <a:cs typeface="Arial"/>
            </a:rPr>
            <a:t> section and select </a:t>
          </a:r>
          <a:r>
            <a:rPr lang="en-US" sz="800" b="1" i="0" u="none" strike="noStrike" baseline="0">
              <a:solidFill>
                <a:srgbClr val="000000"/>
              </a:solidFill>
              <a:latin typeface="Arial"/>
              <a:cs typeface="Arial"/>
            </a:rPr>
            <a:t>None</a:t>
          </a:r>
          <a:r>
            <a:rPr lang="en-US" sz="800" b="0" i="0" u="none" strike="noStrike" baseline="0">
              <a:solidFill>
                <a:srgbClr val="000000"/>
              </a:solidFill>
              <a:latin typeface="Arial"/>
              <a:cs typeface="Arial"/>
            </a:rPr>
            <a:t>. </a:t>
          </a:r>
        </a:p>
      </xdr:txBody>
    </xdr:sp>
    <xdr:clientData/>
  </xdr:twoCellAnchor>
  <xdr:twoCellAnchor>
    <xdr:from>
      <xdr:col>1</xdr:col>
      <xdr:colOff>0</xdr:colOff>
      <xdr:row>2</xdr:row>
      <xdr:rowOff>123825</xdr:rowOff>
    </xdr:from>
    <xdr:to>
      <xdr:col>11</xdr:col>
      <xdr:colOff>542925</xdr:colOff>
      <xdr:row>2</xdr:row>
      <xdr:rowOff>466725</xdr:rowOff>
    </xdr:to>
    <xdr:sp macro="" textlink="">
      <xdr:nvSpPr>
        <xdr:cNvPr id="66544432" name="Rectangle 14"/>
        <xdr:cNvSpPr>
          <a:spLocks noChangeArrowheads="1"/>
        </xdr:cNvSpPr>
      </xdr:nvSpPr>
      <xdr:spPr bwMode="auto">
        <a:xfrm>
          <a:off x="1066800" y="561975"/>
          <a:ext cx="10696575" cy="342900"/>
        </a:xfrm>
        <a:prstGeom prst="rect">
          <a:avLst/>
        </a:prstGeom>
        <a:noFill/>
        <a:ln w="1905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57150</xdr:colOff>
      <xdr:row>6</xdr:row>
      <xdr:rowOff>104775</xdr:rowOff>
    </xdr:from>
    <xdr:to>
      <xdr:col>5</xdr:col>
      <xdr:colOff>457200</xdr:colOff>
      <xdr:row>29</xdr:row>
      <xdr:rowOff>152400</xdr:rowOff>
    </xdr:to>
    <xdr:sp macro="" textlink="">
      <xdr:nvSpPr>
        <xdr:cNvPr id="66544433" name="AutoShape 15"/>
        <xdr:cNvSpPr>
          <a:spLocks/>
        </xdr:cNvSpPr>
      </xdr:nvSpPr>
      <xdr:spPr bwMode="auto">
        <a:xfrm>
          <a:off x="7162800" y="1552575"/>
          <a:ext cx="400050" cy="6400800"/>
        </a:xfrm>
        <a:prstGeom prst="leftBrace">
          <a:avLst>
            <a:gd name="adj1" fmla="val 63481"/>
            <a:gd name="adj2" fmla="val 16898"/>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13</xdr:col>
      <xdr:colOff>561975</xdr:colOff>
      <xdr:row>22</xdr:row>
      <xdr:rowOff>38100</xdr:rowOff>
    </xdr:from>
    <xdr:to>
      <xdr:col>20</xdr:col>
      <xdr:colOff>200025</xdr:colOff>
      <xdr:row>30</xdr:row>
      <xdr:rowOff>0</xdr:rowOff>
    </xdr:to>
    <xdr:graphicFrame macro="">
      <xdr:nvGraphicFramePr>
        <xdr:cNvPr id="66544434" name="MW_ROE_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371475</xdr:colOff>
      <xdr:row>32</xdr:row>
      <xdr:rowOff>95250</xdr:rowOff>
    </xdr:from>
    <xdr:to>
      <xdr:col>20</xdr:col>
      <xdr:colOff>495300</xdr:colOff>
      <xdr:row>46</xdr:row>
      <xdr:rowOff>66675</xdr:rowOff>
    </xdr:to>
    <xdr:graphicFrame macro="">
      <xdr:nvGraphicFramePr>
        <xdr:cNvPr id="66544435" name="Chart 20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0.33452</cdr:x>
      <cdr:y>0.97845</cdr:y>
    </cdr:from>
    <cdr:to>
      <cdr:x>0.98815</cdr:x>
      <cdr:y>0.97845</cdr:y>
    </cdr:to>
    <cdr:sp macro="" textlink="'MWA ROE - Qtr'!$B$380">
      <cdr:nvSpPr>
        <cdr:cNvPr id="193537" name="Text Box 1"/>
        <cdr:cNvSpPr txBox="1">
          <a:spLocks xmlns:a="http://schemas.openxmlformats.org/drawingml/2006/main" noChangeArrowheads="1" noTextEdit="1"/>
        </cdr:cNvSpPr>
      </cdr:nvSpPr>
      <cdr:spPr bwMode="auto">
        <a:xfrm xmlns:a="http://schemas.openxmlformats.org/drawingml/2006/main">
          <a:off x="1347781" y="2165350"/>
          <a:ext cx="2627319" cy="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fld id="{E4AB7ACE-7A09-4E28-B8B8-6E9A9D383985}" type="TxLink">
            <a:rPr lang="en-US" sz="1000" b="1" i="0" u="none" strike="noStrike" baseline="0">
              <a:solidFill>
                <a:srgbClr val="000000"/>
              </a:solidFill>
              <a:latin typeface="Arial"/>
              <a:cs typeface="Arial"/>
            </a:rPr>
            <a:pPr algn="ctr" rtl="0">
              <a:defRPr sz="1000"/>
            </a:pPr>
            <a:t>Source: Morgan Stanley Research, ModelWare</a:t>
          </a:fld>
          <a:endParaRPr lang="en-US" sz="1000" b="1" i="0" u="none" strike="noStrike" baseline="0">
            <a:solidFill>
              <a:srgbClr val="000000"/>
            </a:solidFill>
            <a:latin typeface="Arial"/>
            <a:cs typeface="Arial"/>
          </a:endParaRPr>
        </a:p>
      </cdr:txBody>
    </cdr:sp>
  </cdr:relSizeAnchor>
  <cdr:relSizeAnchor xmlns:cdr="http://schemas.openxmlformats.org/drawingml/2006/chartDrawing">
    <cdr:from>
      <cdr:x>0.01185</cdr:x>
      <cdr:y>0.03614</cdr:y>
    </cdr:from>
    <cdr:to>
      <cdr:x>0.49976</cdr:x>
      <cdr:y>0.12609</cdr:y>
    </cdr:to>
    <cdr:sp macro="" textlink="'MWA ROE - Qtr'!$AB$8">
      <cdr:nvSpPr>
        <cdr:cNvPr id="193538" name="Text Box 2"/>
        <cdr:cNvSpPr txBox="1">
          <a:spLocks xmlns:a="http://schemas.openxmlformats.org/drawingml/2006/main" noChangeArrowheads="1" noTextEdit="1"/>
        </cdr:cNvSpPr>
      </cdr:nvSpPr>
      <cdr:spPr bwMode="auto">
        <a:xfrm xmlns:a="http://schemas.openxmlformats.org/drawingml/2006/main">
          <a:off x="50800" y="83047"/>
          <a:ext cx="1961169" cy="198768"/>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22860" rIns="0" bIns="22860" anchor="ctr" upright="1"/>
        <a:lstStyle xmlns:a="http://schemas.openxmlformats.org/drawingml/2006/main"/>
        <a:p xmlns:a="http://schemas.openxmlformats.org/drawingml/2006/main">
          <a:pPr algn="l" rtl="0">
            <a:defRPr sz="1000"/>
          </a:pPr>
          <a:fld id="{13CDC764-3D83-4B45-9C8C-FF0DBB8CB31F}" type="TxLink">
            <a:rPr lang="en-US" sz="1000" b="1" i="0" u="none" strike="noStrike" baseline="0">
              <a:solidFill>
                <a:srgbClr val="000000"/>
              </a:solidFill>
              <a:latin typeface="Arial"/>
              <a:cs typeface="Arial"/>
            </a:rPr>
            <a:pPr algn="l" rtl="0">
              <a:defRPr sz="1000"/>
            </a:pPr>
            <a:t>NOPAT Margin (%)</a:t>
          </a:fld>
          <a:endParaRPr lang="en-US" sz="1000" b="1" i="0" u="none" strike="noStrike" baseline="0">
            <a:solidFill>
              <a:srgbClr val="000000"/>
            </a:solidFill>
            <a:latin typeface="Arial"/>
            <a:cs typeface="Arial"/>
          </a:endParaRPr>
        </a:p>
      </cdr:txBody>
    </cdr:sp>
  </cdr:relSizeAnchor>
</c:userShapes>
</file>

<file path=xl/drawings/drawing3.xml><?xml version="1.0" encoding="utf-8"?>
<c:userShapes xmlns:c="http://schemas.openxmlformats.org/drawingml/2006/chart">
  <cdr:relSizeAnchor xmlns:cdr="http://schemas.openxmlformats.org/drawingml/2006/chartDrawing">
    <cdr:from>
      <cdr:x>0.01182</cdr:x>
      <cdr:y>0.02203</cdr:y>
    </cdr:from>
    <cdr:to>
      <cdr:x>0.68087</cdr:x>
      <cdr:y>0.10711</cdr:y>
    </cdr:to>
    <cdr:sp macro="" textlink="'MWA ROE - Qtr'!$AE$10">
      <cdr:nvSpPr>
        <cdr:cNvPr id="194561" name="Text Box 1"/>
        <cdr:cNvSpPr txBox="1">
          <a:spLocks xmlns:a="http://schemas.openxmlformats.org/drawingml/2006/main" noChangeArrowheads="1" noTextEdit="1"/>
        </cdr:cNvSpPr>
      </cdr:nvSpPr>
      <cdr:spPr bwMode="auto">
        <a:xfrm xmlns:a="http://schemas.openxmlformats.org/drawingml/2006/main">
          <a:off x="50800" y="50800"/>
          <a:ext cx="2695654" cy="183956"/>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22860" rIns="0" bIns="22860" anchor="ctr" upright="1"/>
        <a:lstStyle xmlns:a="http://schemas.openxmlformats.org/drawingml/2006/main"/>
        <a:p xmlns:a="http://schemas.openxmlformats.org/drawingml/2006/main">
          <a:pPr algn="l" rtl="0">
            <a:defRPr sz="1000"/>
          </a:pPr>
          <a:fld id="{76F727BE-C8DC-45F1-B7E0-C1EEF41EDF05}" type="TxLink">
            <a:rPr lang="en-US" sz="1000" b="1" i="0" u="none" strike="noStrike" baseline="0">
              <a:solidFill>
                <a:srgbClr val="000000"/>
              </a:solidFill>
              <a:latin typeface="Arial"/>
              <a:cs typeface="Arial"/>
            </a:rPr>
            <a:pPr algn="l" rtl="0">
              <a:defRPr sz="1000"/>
            </a:pPr>
            <a:t>× Operating Asset Turnover</a:t>
          </a:fld>
          <a:endParaRPr lang="en-US" sz="1000" b="1" i="0" u="none" strike="noStrike" baseline="0">
            <a:solidFill>
              <a:srgbClr val="000000"/>
            </a:solidFill>
            <a:latin typeface="Arial"/>
            <a:cs typeface="Arial"/>
          </a:endParaRPr>
        </a:p>
      </cdr:txBody>
    </cdr:sp>
  </cdr:relSizeAnchor>
</c:userShapes>
</file>

<file path=xl/drawings/drawing4.xml><?xml version="1.0" encoding="utf-8"?>
<c:userShapes xmlns:c="http://schemas.openxmlformats.org/drawingml/2006/chart">
  <cdr:relSizeAnchor xmlns:cdr="http://schemas.openxmlformats.org/drawingml/2006/chartDrawing">
    <cdr:from>
      <cdr:x>0.01182</cdr:x>
      <cdr:y>0.02212</cdr:y>
    </cdr:from>
    <cdr:to>
      <cdr:x>0.69234</cdr:x>
      <cdr:y>0.11077</cdr:y>
    </cdr:to>
    <cdr:sp macro="" textlink="'MWA ROE - Qtr'!$AE$12">
      <cdr:nvSpPr>
        <cdr:cNvPr id="195585" name="Text Box 1"/>
        <cdr:cNvSpPr txBox="1">
          <a:spLocks xmlns:a="http://schemas.openxmlformats.org/drawingml/2006/main" noChangeArrowheads="1" noTextEdit="1"/>
        </cdr:cNvSpPr>
      </cdr:nvSpPr>
      <cdr:spPr bwMode="auto">
        <a:xfrm xmlns:a="http://schemas.openxmlformats.org/drawingml/2006/main">
          <a:off x="50800" y="50800"/>
          <a:ext cx="2741876" cy="190824"/>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22860" rIns="0" bIns="22860" anchor="ctr" upright="1"/>
        <a:lstStyle xmlns:a="http://schemas.openxmlformats.org/drawingml/2006/main"/>
        <a:p xmlns:a="http://schemas.openxmlformats.org/drawingml/2006/main">
          <a:pPr algn="l" rtl="0">
            <a:defRPr sz="1000"/>
          </a:pPr>
          <a:fld id="{92D2F8B1-D141-4793-A604-B5BCEBE0885B}" type="TxLink">
            <a:rPr lang="en-US" sz="1000" b="1" i="0" u="none" strike="noStrike" baseline="0">
              <a:solidFill>
                <a:srgbClr val="000000"/>
              </a:solidFill>
              <a:latin typeface="Arial"/>
              <a:cs typeface="Arial"/>
            </a:rPr>
            <a:pPr algn="l" rtl="0">
              <a:defRPr sz="1000"/>
            </a:pPr>
            <a:t>+ Return From Leverage</a:t>
          </a:fld>
          <a:endParaRPr lang="en-US" sz="1000" b="1" i="0" u="none" strike="noStrike" baseline="0">
            <a:solidFill>
              <a:srgbClr val="000000"/>
            </a:solidFill>
            <a:latin typeface="Arial"/>
            <a:cs typeface="Arial"/>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0.9881</cdr:x>
      <cdr:y>0.13088</cdr:y>
    </cdr:from>
    <cdr:to>
      <cdr:x>0.9881</cdr:x>
      <cdr:y>0.22226</cdr:y>
    </cdr:to>
    <cdr:sp macro="" textlink="'MWA ROE - Qtr'!$AB$7">
      <cdr:nvSpPr>
        <cdr:cNvPr id="196609" name="Text Box 1"/>
        <cdr:cNvSpPr txBox="1">
          <a:spLocks xmlns:a="http://schemas.openxmlformats.org/drawingml/2006/main" noChangeArrowheads="1" noTextEdit="1"/>
        </cdr:cNvSpPr>
      </cdr:nvSpPr>
      <cdr:spPr bwMode="auto">
        <a:xfrm xmlns:a="http://schemas.openxmlformats.org/drawingml/2006/main">
          <a:off x="3956050" y="292387"/>
          <a:ext cx="0" cy="20194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fld id="{C3BCE9FC-2AD7-4875-9835-4DF680C4D766}" type="TxLink">
            <a:rPr lang="en-US" sz="1000" b="0" i="0" u="none" strike="noStrike" baseline="0">
              <a:solidFill>
                <a:srgbClr val="000000"/>
              </a:solidFill>
              <a:latin typeface="Arial"/>
              <a:cs typeface="Arial"/>
            </a:rPr>
            <a:pPr algn="ctr" rtl="0">
              <a:defRPr sz="1000"/>
            </a:pPr>
            <a:t>Return on Equity (ROE)</a:t>
          </a:fld>
          <a:endParaRPr lang="en-US" sz="1000" b="0" i="0" u="none" strike="noStrike" baseline="0">
            <a:solidFill>
              <a:srgbClr val="000000"/>
            </a:solidFill>
            <a:latin typeface="Arial"/>
            <a:cs typeface="Arial"/>
          </a:endParaRPr>
        </a:p>
      </cdr:txBody>
    </cdr:sp>
  </cdr:relSizeAnchor>
  <cdr:relSizeAnchor xmlns:cdr="http://schemas.openxmlformats.org/drawingml/2006/chartDrawing">
    <cdr:from>
      <cdr:x>0.9881</cdr:x>
      <cdr:y>0.13088</cdr:y>
    </cdr:from>
    <cdr:to>
      <cdr:x>0.9881</cdr:x>
      <cdr:y>0.22226</cdr:y>
    </cdr:to>
    <cdr:sp macro="" textlink="'MWA ROE - Qtr'!$AB$7">
      <cdr:nvSpPr>
        <cdr:cNvPr id="196610" name="Text Box 2"/>
        <cdr:cNvSpPr txBox="1">
          <a:spLocks xmlns:a="http://schemas.openxmlformats.org/drawingml/2006/main" noChangeArrowheads="1" noTextEdit="1"/>
        </cdr:cNvSpPr>
      </cdr:nvSpPr>
      <cdr:spPr bwMode="auto">
        <a:xfrm xmlns:a="http://schemas.openxmlformats.org/drawingml/2006/main">
          <a:off x="3956050" y="292387"/>
          <a:ext cx="0" cy="20194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fld id="{EC6A1A3F-316C-422B-BEAF-C06D81078F99}" type="TxLink">
            <a:rPr lang="en-US" sz="1000" b="0" i="0" u="none" strike="noStrike" baseline="0">
              <a:solidFill>
                <a:srgbClr val="000000"/>
              </a:solidFill>
              <a:latin typeface="Arial"/>
              <a:cs typeface="Arial"/>
            </a:rPr>
            <a:pPr algn="ctr" rtl="0">
              <a:defRPr sz="1000"/>
            </a:pPr>
            <a:t>Return on Equity (ROE)</a:t>
          </a:fld>
          <a:endParaRPr lang="en-US" sz="1000" b="0" i="0" u="none" strike="noStrike" baseline="0">
            <a:solidFill>
              <a:srgbClr val="000000"/>
            </a:solidFill>
            <a:latin typeface="Arial"/>
            <a:cs typeface="Arial"/>
          </a:endParaRPr>
        </a:p>
      </cdr:txBody>
    </cdr:sp>
  </cdr:relSizeAnchor>
  <cdr:relSizeAnchor xmlns:cdr="http://schemas.openxmlformats.org/drawingml/2006/chartDrawing">
    <cdr:from>
      <cdr:x>0.0119</cdr:x>
      <cdr:y>0.02155</cdr:y>
    </cdr:from>
    <cdr:to>
      <cdr:x>0.62739</cdr:x>
      <cdr:y>0.11533</cdr:y>
    </cdr:to>
    <cdr:sp macro="" textlink="'MWA ROE - Qtr'!$AB$7">
      <cdr:nvSpPr>
        <cdr:cNvPr id="196611" name="Text Box 3"/>
        <cdr:cNvSpPr txBox="1">
          <a:spLocks xmlns:a="http://schemas.openxmlformats.org/drawingml/2006/main" noChangeArrowheads="1" noTextEdit="1"/>
        </cdr:cNvSpPr>
      </cdr:nvSpPr>
      <cdr:spPr bwMode="auto">
        <a:xfrm xmlns:a="http://schemas.openxmlformats.org/drawingml/2006/main">
          <a:off x="50800" y="50800"/>
          <a:ext cx="2462260" cy="207226"/>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22860" rIns="0" bIns="22860" anchor="ctr" upright="1"/>
        <a:lstStyle xmlns:a="http://schemas.openxmlformats.org/drawingml/2006/main"/>
        <a:p xmlns:a="http://schemas.openxmlformats.org/drawingml/2006/main">
          <a:pPr algn="l" rtl="0">
            <a:defRPr sz="1000"/>
          </a:pPr>
          <a:fld id="{9FB1E912-1339-47BB-9317-6B7ADBCE6E70}" type="TxLink">
            <a:rPr lang="en-US" sz="1000" b="1" i="0" u="none" strike="noStrike" baseline="0">
              <a:solidFill>
                <a:srgbClr val="000000"/>
              </a:solidFill>
              <a:latin typeface="Arial"/>
              <a:cs typeface="Arial"/>
            </a:rPr>
            <a:pPr algn="l" rtl="0">
              <a:defRPr sz="1000"/>
            </a:pPr>
            <a:t>Return on Equity (ROE)</a:t>
          </a:fld>
          <a:endParaRPr lang="en-US" sz="1000" b="1" i="0" u="none" strike="noStrike" baseline="0">
            <a:solidFill>
              <a:srgbClr val="000000"/>
            </a:solidFill>
            <a:latin typeface="Arial"/>
            <a:cs typeface="Aria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0.82307</cdr:x>
      <cdr:y>0.00168</cdr:y>
    </cdr:from>
    <cdr:to>
      <cdr:x>1</cdr:x>
      <cdr:y>0.09389</cdr:y>
    </cdr:to>
    <cdr:sp macro="" textlink="'MWA ROE - Qtr'!$AB$11">
      <cdr:nvSpPr>
        <cdr:cNvPr id="197633" name="Text Box 1"/>
        <cdr:cNvSpPr txBox="1">
          <a:spLocks xmlns:a="http://schemas.openxmlformats.org/drawingml/2006/main" noChangeArrowheads="1" noTextEdit="1"/>
        </cdr:cNvSpPr>
      </cdr:nvSpPr>
      <cdr:spPr bwMode="auto">
        <a:xfrm xmlns:a="http://schemas.openxmlformats.org/drawingml/2006/main">
          <a:off x="4830826" y="6771"/>
          <a:ext cx="707827" cy="19762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fld id="{8DD7E823-70C0-4423-AA06-5F0A7C9D1B11}" type="TxLink">
            <a:rPr lang="en-US" sz="1000" b="0" i="0" u="none" strike="noStrike" baseline="0">
              <a:solidFill>
                <a:srgbClr val="000000"/>
              </a:solidFill>
              <a:latin typeface="Arial"/>
              <a:cs typeface="Arial"/>
            </a:rPr>
            <a:pPr algn="ctr" rtl="0">
              <a:defRPr sz="1000"/>
            </a:pPr>
            <a:t>Profitability Map</a:t>
          </a:fld>
          <a:endParaRPr lang="en-US" sz="1000" b="0" i="0" u="none" strike="noStrike" baseline="0">
            <a:solidFill>
              <a:srgbClr val="000000"/>
            </a:solidFill>
            <a:latin typeface="Arial"/>
            <a:cs typeface="Arial"/>
          </a:endParaRPr>
        </a:p>
      </cdr:txBody>
    </cdr:sp>
  </cdr:relSizeAnchor>
  <cdr:relSizeAnchor xmlns:cdr="http://schemas.openxmlformats.org/drawingml/2006/chartDrawing">
    <cdr:from>
      <cdr:x>0.0119</cdr:x>
      <cdr:y>0.02222</cdr:y>
    </cdr:from>
    <cdr:to>
      <cdr:x>0.74795</cdr:x>
      <cdr:y>0.11372</cdr:y>
    </cdr:to>
    <cdr:sp macro="" textlink="'MWA ROE - Qtr'!$AB$11">
      <cdr:nvSpPr>
        <cdr:cNvPr id="197634" name="Text Box 2"/>
        <cdr:cNvSpPr txBox="1">
          <a:spLocks xmlns:a="http://schemas.openxmlformats.org/drawingml/2006/main" noChangeArrowheads="1" noTextEdit="1"/>
        </cdr:cNvSpPr>
      </cdr:nvSpPr>
      <cdr:spPr bwMode="auto">
        <a:xfrm xmlns:a="http://schemas.openxmlformats.org/drawingml/2006/main">
          <a:off x="50800" y="50800"/>
          <a:ext cx="2944559" cy="196084"/>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22860" rIns="0" bIns="22860" anchor="ctr" upright="1"/>
        <a:lstStyle xmlns:a="http://schemas.openxmlformats.org/drawingml/2006/main"/>
        <a:p xmlns:a="http://schemas.openxmlformats.org/drawingml/2006/main">
          <a:pPr algn="l" rtl="0">
            <a:defRPr sz="1000"/>
          </a:pPr>
          <a:fld id="{1BA5E7D1-4D55-485F-8D52-B0A553FB2C5A}" type="TxLink">
            <a:rPr lang="en-US" sz="1000" b="1" i="0" u="none" strike="noStrike" baseline="0">
              <a:solidFill>
                <a:srgbClr val="000000"/>
              </a:solidFill>
              <a:latin typeface="Arial"/>
              <a:cs typeface="Arial"/>
            </a:rPr>
            <a:pPr algn="l" rtl="0">
              <a:defRPr sz="1000"/>
            </a:pPr>
            <a:t>Profitability Map</a:t>
          </a:fld>
          <a:endParaRPr lang="en-US" sz="1000" b="1" i="0" u="none" strike="noStrike" baseline="0">
            <a:solidFill>
              <a:srgbClr val="000000"/>
            </a:solidFill>
            <a:latin typeface="Arial"/>
            <a:cs typeface="Arial"/>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0.01435</cdr:x>
      <cdr:y>0.02203</cdr:y>
    </cdr:from>
    <cdr:to>
      <cdr:x>0.72599</cdr:x>
      <cdr:y>0.10567</cdr:y>
    </cdr:to>
    <cdr:sp macro="" textlink="'MWA ROE - Qtr'!$AB$9">
      <cdr:nvSpPr>
        <cdr:cNvPr id="198657" name="Text Box 1"/>
        <cdr:cNvSpPr txBox="1">
          <a:spLocks xmlns:a="http://schemas.openxmlformats.org/drawingml/2006/main" noChangeArrowheads="1" noTextEdit="1"/>
        </cdr:cNvSpPr>
      </cdr:nvSpPr>
      <cdr:spPr bwMode="auto">
        <a:xfrm xmlns:a="http://schemas.openxmlformats.org/drawingml/2006/main">
          <a:off x="60563" y="50800"/>
          <a:ext cx="2846927" cy="180856"/>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22860" rIns="0" bIns="22860" anchor="ctr" upright="1"/>
        <a:lstStyle xmlns:a="http://schemas.openxmlformats.org/drawingml/2006/main"/>
        <a:p xmlns:a="http://schemas.openxmlformats.org/drawingml/2006/main">
          <a:pPr algn="l" rtl="0">
            <a:defRPr sz="1000"/>
          </a:pPr>
          <a:fld id="{50A622CB-31C3-497B-9655-D36F103E349F}" type="TxLink">
            <a:rPr lang="en-US" sz="1000" b="1" i="0" u="none" strike="noStrike" baseline="0">
              <a:solidFill>
                <a:srgbClr val="000000"/>
              </a:solidFill>
              <a:latin typeface="Arial"/>
              <a:cs typeface="Arial"/>
            </a:rPr>
            <a:pPr algn="l" rtl="0">
              <a:defRPr sz="1000"/>
            </a:pPr>
            <a:t>ROE Decomposition (2011e)</a:t>
          </a:fld>
          <a:endParaRPr lang="en-US" sz="1000" b="1" i="0" u="none" strike="noStrike" baseline="0">
            <a:solidFill>
              <a:srgbClr val="000000"/>
            </a:solidFill>
            <a:latin typeface="Arial"/>
            <a:cs typeface="Arial"/>
          </a:endParaRPr>
        </a:p>
      </cdr:txBody>
    </cdr:sp>
  </cdr:relSizeAnchor>
  <cdr:relSizeAnchor xmlns:cdr="http://schemas.openxmlformats.org/drawingml/2006/chartDrawing">
    <cdr:from>
      <cdr:x>0.99054</cdr:x>
      <cdr:y>0.00386</cdr:y>
    </cdr:from>
    <cdr:to>
      <cdr:x>0.99054</cdr:x>
      <cdr:y>0.08703</cdr:y>
    </cdr:to>
    <cdr:sp macro="" textlink="'MWA ROE - Qtr'!$AB$9">
      <cdr:nvSpPr>
        <cdr:cNvPr id="198658" name="Text Box 2"/>
        <cdr:cNvSpPr txBox="1">
          <a:spLocks xmlns:a="http://schemas.openxmlformats.org/drawingml/2006/main" noChangeArrowheads="1" noTextEdit="1"/>
        </cdr:cNvSpPr>
      </cdr:nvSpPr>
      <cdr:spPr bwMode="auto">
        <a:xfrm xmlns:a="http://schemas.openxmlformats.org/drawingml/2006/main">
          <a:off x="3965813" y="11528"/>
          <a:ext cx="0" cy="179823"/>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fld id="{FBC9F231-AA2F-4B56-BB64-60324AD4EB08}" type="TxLink">
            <a:rPr lang="en-US" sz="1000" b="0" i="0" u="none" strike="noStrike" baseline="0">
              <a:solidFill>
                <a:srgbClr val="000000"/>
              </a:solidFill>
              <a:latin typeface="Arial"/>
              <a:cs typeface="Arial"/>
            </a:rPr>
            <a:pPr algn="ctr" rtl="0">
              <a:defRPr sz="1000"/>
            </a:pPr>
            <a:t>ROE Decomposition (2011e)</a:t>
          </a:fld>
          <a:endParaRPr lang="en-US" sz="1000" b="0" i="0" u="none" strike="noStrike" baseline="0">
            <a:solidFill>
              <a:srgbClr val="000000"/>
            </a:solidFill>
            <a:latin typeface="Arial"/>
            <a:cs typeface="Arial"/>
          </a:endParaRPr>
        </a:p>
      </cdr:txBody>
    </cdr:sp>
  </cdr:relSizeAnchor>
</c:userShapes>
</file>

<file path=xl/drawings/drawing8.xml><?xml version="1.0" encoding="utf-8"?>
<c:userShapes xmlns:c="http://schemas.openxmlformats.org/drawingml/2006/chart">
  <cdr:relSizeAnchor xmlns:cdr="http://schemas.openxmlformats.org/drawingml/2006/chartDrawing">
    <cdr:from>
      <cdr:x>0.98815</cdr:x>
      <cdr:y>0.14103</cdr:y>
    </cdr:from>
    <cdr:to>
      <cdr:x>0.98815</cdr:x>
      <cdr:y>0.2413</cdr:y>
    </cdr:to>
    <cdr:sp macro="" textlink="'MWA ROE - Annual'!$AB$7">
      <cdr:nvSpPr>
        <cdr:cNvPr id="229377" name="Text Box 1"/>
        <cdr:cNvSpPr txBox="1">
          <a:spLocks xmlns:a="http://schemas.openxmlformats.org/drawingml/2006/main" noChangeArrowheads="1" noTextEdit="1"/>
        </cdr:cNvSpPr>
      </cdr:nvSpPr>
      <cdr:spPr bwMode="auto">
        <a:xfrm xmlns:a="http://schemas.openxmlformats.org/drawingml/2006/main">
          <a:off x="3975100" y="317500"/>
          <a:ext cx="0" cy="223495"/>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fld id="{B66D7EE2-19A7-4A2D-95B3-1CF179745F24}" type="TxLink">
            <a:rPr lang="en-US" sz="1000" b="0" i="0" u="none" strike="noStrike" baseline="0">
              <a:solidFill>
                <a:srgbClr val="000000"/>
              </a:solidFill>
              <a:latin typeface="Arial"/>
              <a:cs typeface="Arial"/>
            </a:rPr>
            <a:pPr algn="ctr" rtl="0">
              <a:defRPr sz="1000"/>
            </a:pPr>
            <a:t>Return on Equity (ROE)</a:t>
          </a:fld>
          <a:endParaRPr lang="en-US" sz="1000" b="0" i="0" u="none" strike="noStrike" baseline="0">
            <a:solidFill>
              <a:srgbClr val="000000"/>
            </a:solidFill>
            <a:latin typeface="Arial"/>
            <a:cs typeface="Arial"/>
          </a:endParaRPr>
        </a:p>
      </cdr:txBody>
    </cdr:sp>
  </cdr:relSizeAnchor>
  <cdr:relSizeAnchor xmlns:cdr="http://schemas.openxmlformats.org/drawingml/2006/chartDrawing">
    <cdr:from>
      <cdr:x>0.98815</cdr:x>
      <cdr:y>0.14103</cdr:y>
    </cdr:from>
    <cdr:to>
      <cdr:x>0.98815</cdr:x>
      <cdr:y>0.2413</cdr:y>
    </cdr:to>
    <cdr:sp macro="" textlink="'MWA ROE - Annual'!$AB$7">
      <cdr:nvSpPr>
        <cdr:cNvPr id="229378" name="Text Box 2"/>
        <cdr:cNvSpPr txBox="1">
          <a:spLocks xmlns:a="http://schemas.openxmlformats.org/drawingml/2006/main" noChangeArrowheads="1" noTextEdit="1"/>
        </cdr:cNvSpPr>
      </cdr:nvSpPr>
      <cdr:spPr bwMode="auto">
        <a:xfrm xmlns:a="http://schemas.openxmlformats.org/drawingml/2006/main">
          <a:off x="3975100" y="317500"/>
          <a:ext cx="0" cy="223495"/>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fld id="{02D44137-F226-4F0D-BBAD-5D6FCC6069D4}" type="TxLink">
            <a:rPr lang="en-US" sz="1000" b="0" i="0" u="none" strike="noStrike" baseline="0">
              <a:solidFill>
                <a:srgbClr val="000000"/>
              </a:solidFill>
              <a:latin typeface="Arial"/>
              <a:cs typeface="Arial"/>
            </a:rPr>
            <a:pPr algn="ctr" rtl="0">
              <a:defRPr sz="1000"/>
            </a:pPr>
            <a:t>Return on Equity (ROE)</a:t>
          </a:fld>
          <a:endParaRPr lang="en-US" sz="1000" b="0" i="0" u="none" strike="noStrike" baseline="0">
            <a:solidFill>
              <a:srgbClr val="000000"/>
            </a:solidFill>
            <a:latin typeface="Arial"/>
            <a:cs typeface="Arial"/>
          </a:endParaRPr>
        </a:p>
      </cdr:txBody>
    </cdr:sp>
  </cdr:relSizeAnchor>
</c:userShapes>
</file>

<file path=xl/drawings/drawing9.xml><?xml version="1.0" encoding="utf-8"?>
<xdr:wsDr xmlns:xdr="http://schemas.openxmlformats.org/drawingml/2006/spreadsheetDrawing" xmlns:a="http://schemas.openxmlformats.org/drawingml/2006/main">
  <xdr:twoCellAnchor>
    <xdr:from>
      <xdr:col>2</xdr:col>
      <xdr:colOff>0</xdr:colOff>
      <xdr:row>56</xdr:row>
      <xdr:rowOff>152400</xdr:rowOff>
    </xdr:from>
    <xdr:to>
      <xdr:col>18</xdr:col>
      <xdr:colOff>381000</xdr:colOff>
      <xdr:row>73</xdr:row>
      <xdr:rowOff>142875</xdr:rowOff>
    </xdr:to>
    <xdr:graphicFrame macro="">
      <xdr:nvGraphicFramePr>
        <xdr:cNvPr id="65400781"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552450</xdr:colOff>
      <xdr:row>38</xdr:row>
      <xdr:rowOff>142875</xdr:rowOff>
    </xdr:from>
    <xdr:to>
      <xdr:col>25</xdr:col>
      <xdr:colOff>609600</xdr:colOff>
      <xdr:row>55</xdr:row>
      <xdr:rowOff>114300</xdr:rowOff>
    </xdr:to>
    <xdr:graphicFrame macro="">
      <xdr:nvGraphicFramePr>
        <xdr:cNvPr id="6540078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485775</xdr:colOff>
      <xdr:row>57</xdr:row>
      <xdr:rowOff>114300</xdr:rowOff>
    </xdr:from>
    <xdr:to>
      <xdr:col>25</xdr:col>
      <xdr:colOff>561975</xdr:colOff>
      <xdr:row>74</xdr:row>
      <xdr:rowOff>114300</xdr:rowOff>
    </xdr:to>
    <xdr:graphicFrame macro="">
      <xdr:nvGraphicFramePr>
        <xdr:cNvPr id="65400783"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39</xdr:row>
      <xdr:rowOff>0</xdr:rowOff>
    </xdr:from>
    <xdr:to>
      <xdr:col>18</xdr:col>
      <xdr:colOff>381000</xdr:colOff>
      <xdr:row>55</xdr:row>
      <xdr:rowOff>142875</xdr:rowOff>
    </xdr:to>
    <xdr:graphicFrame macro="">
      <xdr:nvGraphicFramePr>
        <xdr:cNvPr id="65400784"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400050</xdr:colOff>
      <xdr:row>76</xdr:row>
      <xdr:rowOff>38100</xdr:rowOff>
    </xdr:from>
    <xdr:to>
      <xdr:col>25</xdr:col>
      <xdr:colOff>466725</xdr:colOff>
      <xdr:row>93</xdr:row>
      <xdr:rowOff>19050</xdr:rowOff>
    </xdr:to>
    <xdr:graphicFrame macro="">
      <xdr:nvGraphicFramePr>
        <xdr:cNvPr id="65400785"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0</xdr:colOff>
      <xdr:row>76</xdr:row>
      <xdr:rowOff>0</xdr:rowOff>
    </xdr:from>
    <xdr:to>
      <xdr:col>18</xdr:col>
      <xdr:colOff>390525</xdr:colOff>
      <xdr:row>92</xdr:row>
      <xdr:rowOff>152400</xdr:rowOff>
    </xdr:to>
    <xdr:graphicFrame macro="">
      <xdr:nvGraphicFramePr>
        <xdr:cNvPr id="65400786"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95</xdr:row>
      <xdr:rowOff>0</xdr:rowOff>
    </xdr:from>
    <xdr:to>
      <xdr:col>18</xdr:col>
      <xdr:colOff>390525</xdr:colOff>
      <xdr:row>112</xdr:row>
      <xdr:rowOff>0</xdr:rowOff>
    </xdr:to>
    <xdr:graphicFrame macro="">
      <xdr:nvGraphicFramePr>
        <xdr:cNvPr id="65400787"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oneCell">
    <xdr:from>
      <xdr:col>5</xdr:col>
      <xdr:colOff>514350</xdr:colOff>
      <xdr:row>6</xdr:row>
      <xdr:rowOff>9525</xdr:rowOff>
    </xdr:from>
    <xdr:to>
      <xdr:col>11</xdr:col>
      <xdr:colOff>409575</xdr:colOff>
      <xdr:row>14</xdr:row>
      <xdr:rowOff>0</xdr:rowOff>
    </xdr:to>
    <xdr:graphicFrame macro="">
      <xdr:nvGraphicFramePr>
        <xdr:cNvPr id="66545449" name="MW_NOPAT Margi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514350</xdr:colOff>
      <xdr:row>14</xdr:row>
      <xdr:rowOff>57150</xdr:rowOff>
    </xdr:from>
    <xdr:to>
      <xdr:col>11</xdr:col>
      <xdr:colOff>419100</xdr:colOff>
      <xdr:row>22</xdr:row>
      <xdr:rowOff>0</xdr:rowOff>
    </xdr:to>
    <xdr:graphicFrame macro="">
      <xdr:nvGraphicFramePr>
        <xdr:cNvPr id="66545450" name="MW_Operating_Asset_Turnove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514350</xdr:colOff>
      <xdr:row>22</xdr:row>
      <xdr:rowOff>57150</xdr:rowOff>
    </xdr:from>
    <xdr:to>
      <xdr:col>11</xdr:col>
      <xdr:colOff>419100</xdr:colOff>
      <xdr:row>29</xdr:row>
      <xdr:rowOff>266700</xdr:rowOff>
    </xdr:to>
    <xdr:graphicFrame macro="">
      <xdr:nvGraphicFramePr>
        <xdr:cNvPr id="66545451" name="MW_Return_From_Leverag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38100</xdr:colOff>
      <xdr:row>6</xdr:row>
      <xdr:rowOff>9525</xdr:rowOff>
    </xdr:from>
    <xdr:to>
      <xdr:col>1</xdr:col>
      <xdr:colOff>4029075</xdr:colOff>
      <xdr:row>14</xdr:row>
      <xdr:rowOff>0</xdr:rowOff>
    </xdr:to>
    <xdr:graphicFrame macro="">
      <xdr:nvGraphicFramePr>
        <xdr:cNvPr id="66545452" name="MW_RO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38100</xdr:colOff>
      <xdr:row>22</xdr:row>
      <xdr:rowOff>57150</xdr:rowOff>
    </xdr:from>
    <xdr:to>
      <xdr:col>1</xdr:col>
      <xdr:colOff>4029075</xdr:colOff>
      <xdr:row>29</xdr:row>
      <xdr:rowOff>257175</xdr:rowOff>
    </xdr:to>
    <xdr:graphicFrame macro="">
      <xdr:nvGraphicFramePr>
        <xdr:cNvPr id="66545453" name="MW_Profitability Map"/>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xdr:col>
      <xdr:colOff>38100</xdr:colOff>
      <xdr:row>14</xdr:row>
      <xdr:rowOff>57150</xdr:rowOff>
    </xdr:from>
    <xdr:to>
      <xdr:col>1</xdr:col>
      <xdr:colOff>4029075</xdr:colOff>
      <xdr:row>22</xdr:row>
      <xdr:rowOff>0</xdr:rowOff>
    </xdr:to>
    <xdr:graphicFrame macro="">
      <xdr:nvGraphicFramePr>
        <xdr:cNvPr id="66545454" name="MW_RNOA Leverage RO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314325</xdr:colOff>
          <xdr:row>0</xdr:row>
          <xdr:rowOff>104775</xdr:rowOff>
        </xdr:from>
        <xdr:to>
          <xdr:col>17</xdr:col>
          <xdr:colOff>247650</xdr:colOff>
          <xdr:row>0</xdr:row>
          <xdr:rowOff>361950</xdr:rowOff>
        </xdr:to>
        <xdr:sp macro="" textlink="">
          <xdr:nvSpPr>
            <xdr:cNvPr id="150539" name="cmbLanguage" hidden="1">
              <a:extLst>
                <a:ext uri="{63B3BB69-23CF-44E3-9099-C40C66FF867C}">
                  <a14:compatExt spid="_x0000_s1505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14</xdr:row>
          <xdr:rowOff>85725</xdr:rowOff>
        </xdr:from>
        <xdr:to>
          <xdr:col>0</xdr:col>
          <xdr:colOff>904875</xdr:colOff>
          <xdr:row>15</xdr:row>
          <xdr:rowOff>57150</xdr:rowOff>
        </xdr:to>
        <xdr:sp macro="" textlink="">
          <xdr:nvSpPr>
            <xdr:cNvPr id="150540" name="cmbYear" hidden="1">
              <a:extLst>
                <a:ext uri="{63B3BB69-23CF-44E3-9099-C40C66FF867C}">
                  <a14:compatExt spid="_x0000_s150540"/>
                </a:ext>
              </a:extLst>
            </xdr:cNvPr>
            <xdr:cNvSpPr/>
          </xdr:nvSpPr>
          <xdr:spPr>
            <a:xfrm>
              <a:off x="0" y="0"/>
              <a:ext cx="0" cy="0"/>
            </a:xfrm>
            <a:prstGeom prst="rect">
              <a:avLst/>
            </a:prstGeom>
          </xdr:spPr>
        </xdr:sp>
        <xdr:clientData/>
      </xdr:twoCellAnchor>
    </mc:Choice>
    <mc:Fallback/>
  </mc:AlternateContent>
  <xdr:twoCellAnchor editAs="absolute">
    <xdr:from>
      <xdr:col>54</xdr:col>
      <xdr:colOff>485775</xdr:colOff>
      <xdr:row>2</xdr:row>
      <xdr:rowOff>47625</xdr:rowOff>
    </xdr:from>
    <xdr:to>
      <xdr:col>62</xdr:col>
      <xdr:colOff>333375</xdr:colOff>
      <xdr:row>4</xdr:row>
      <xdr:rowOff>47625</xdr:rowOff>
    </xdr:to>
    <xdr:sp macro="" textlink="">
      <xdr:nvSpPr>
        <xdr:cNvPr id="2" name="Rectangle 13"/>
        <xdr:cNvSpPr>
          <a:spLocks noChangeArrowheads="1"/>
        </xdr:cNvSpPr>
      </xdr:nvSpPr>
      <xdr:spPr bwMode="auto">
        <a:xfrm>
          <a:off x="39281100" y="485775"/>
          <a:ext cx="5029200" cy="609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defRPr sz="1000"/>
          </a:pPr>
          <a:r>
            <a:rPr lang="en-US" sz="1000" b="1" i="0" u="none" strike="noStrike" baseline="0">
              <a:solidFill>
                <a:srgbClr val="000000"/>
              </a:solidFill>
              <a:latin typeface="Arial"/>
              <a:cs typeface="Arial"/>
            </a:rPr>
            <a:t>Instructions: </a:t>
          </a:r>
          <a:endParaRPr lang="en-US" sz="10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1. Select a year from the  </a:t>
          </a:r>
          <a:r>
            <a:rPr lang="en-US" sz="800" b="1" i="0" u="none" strike="noStrike" baseline="0">
              <a:solidFill>
                <a:srgbClr val="000000"/>
              </a:solidFill>
              <a:latin typeface="Arial"/>
              <a:cs typeface="Arial"/>
            </a:rPr>
            <a:t>ROE Decomposition</a:t>
          </a:r>
          <a:r>
            <a:rPr lang="en-US" sz="800" b="0" i="0" u="none" strike="noStrike" baseline="0">
              <a:solidFill>
                <a:srgbClr val="000000"/>
              </a:solidFill>
              <a:latin typeface="Arial"/>
              <a:cs typeface="Arial"/>
            </a:rPr>
            <a:t> Year drop-down list.</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2</a:t>
          </a:r>
          <a:r>
            <a:rPr lang="en-US" sz="800" b="0" i="0" u="none" strike="noStrike" baseline="0">
              <a:solidFill>
                <a:srgbClr val="000000"/>
              </a:solidFill>
              <a:latin typeface="Arial"/>
              <a:cs typeface="Arial"/>
            </a:rPr>
            <a:t>. To hide cell note indicators, go to </a:t>
          </a:r>
          <a:r>
            <a:rPr lang="en-US" sz="800" b="1" i="0" u="none" strike="noStrike" baseline="0">
              <a:solidFill>
                <a:srgbClr val="000000"/>
              </a:solidFill>
              <a:latin typeface="Arial"/>
              <a:cs typeface="Arial"/>
            </a:rPr>
            <a:t>Tools</a:t>
          </a:r>
          <a:r>
            <a:rPr lang="en-US" sz="800" b="0" i="0" u="none" strike="noStrike" baseline="0">
              <a:solidFill>
                <a:srgbClr val="000000"/>
              </a:solidFill>
              <a:latin typeface="Arial"/>
              <a:cs typeface="Arial"/>
            </a:rPr>
            <a:t>&gt;</a:t>
          </a:r>
          <a:r>
            <a:rPr lang="en-US" sz="800" b="1" i="0" u="none" strike="noStrike" baseline="0">
              <a:solidFill>
                <a:srgbClr val="000000"/>
              </a:solidFill>
              <a:latin typeface="Arial"/>
              <a:cs typeface="Arial"/>
            </a:rPr>
            <a:t>Options</a:t>
          </a:r>
          <a:r>
            <a:rPr lang="en-US" sz="800" b="0" i="0" u="none" strike="noStrike" baseline="0">
              <a:solidFill>
                <a:srgbClr val="000000"/>
              </a:solidFill>
              <a:latin typeface="Arial"/>
              <a:cs typeface="Arial"/>
            </a:rPr>
            <a:t>&gt;</a:t>
          </a:r>
          <a:r>
            <a:rPr lang="en-US" sz="800" b="1" i="0" u="none" strike="noStrike" baseline="0">
              <a:solidFill>
                <a:srgbClr val="000000"/>
              </a:solidFill>
              <a:latin typeface="Arial"/>
              <a:cs typeface="Arial"/>
            </a:rPr>
            <a:t>View</a:t>
          </a:r>
          <a:r>
            <a:rPr lang="en-US" sz="800" b="0" i="0" u="none" strike="noStrike" baseline="0">
              <a:solidFill>
                <a:srgbClr val="000000"/>
              </a:solidFill>
              <a:latin typeface="Arial"/>
              <a:cs typeface="Arial"/>
            </a:rPr>
            <a:t> tab&gt;</a:t>
          </a:r>
          <a:r>
            <a:rPr lang="en-US" sz="800" b="1" i="0" u="none" strike="noStrike" baseline="0">
              <a:solidFill>
                <a:srgbClr val="000000"/>
              </a:solidFill>
              <a:latin typeface="Arial"/>
              <a:cs typeface="Arial"/>
            </a:rPr>
            <a:t>Comments</a:t>
          </a:r>
          <a:r>
            <a:rPr lang="en-US" sz="800" b="0" i="0" u="none" strike="noStrike" baseline="0">
              <a:solidFill>
                <a:srgbClr val="000000"/>
              </a:solidFill>
              <a:latin typeface="Arial"/>
              <a:cs typeface="Arial"/>
            </a:rPr>
            <a:t> section and select </a:t>
          </a:r>
          <a:r>
            <a:rPr lang="en-US" sz="800" b="1" i="0" u="none" strike="noStrike" baseline="0">
              <a:solidFill>
                <a:srgbClr val="000000"/>
              </a:solidFill>
              <a:latin typeface="Arial"/>
              <a:cs typeface="Arial"/>
            </a:rPr>
            <a:t>None</a:t>
          </a:r>
          <a:r>
            <a:rPr lang="en-US" sz="800" b="0" i="0" u="none" strike="noStrike" baseline="0">
              <a:solidFill>
                <a:srgbClr val="000000"/>
              </a:solidFill>
              <a:latin typeface="Arial"/>
              <a:cs typeface="Arial"/>
            </a:rPr>
            <a:t>. </a:t>
          </a:r>
        </a:p>
      </xdr:txBody>
    </xdr:sp>
    <xdr:clientData/>
  </xdr:twoCellAnchor>
  <xdr:twoCellAnchor>
    <xdr:from>
      <xdr:col>1</xdr:col>
      <xdr:colOff>0</xdr:colOff>
      <xdr:row>2</xdr:row>
      <xdr:rowOff>123825</xdr:rowOff>
    </xdr:from>
    <xdr:to>
      <xdr:col>11</xdr:col>
      <xdr:colOff>542925</xdr:colOff>
      <xdr:row>2</xdr:row>
      <xdr:rowOff>466725</xdr:rowOff>
    </xdr:to>
    <xdr:sp macro="" textlink="">
      <xdr:nvSpPr>
        <xdr:cNvPr id="66545456" name="Rectangle 14"/>
        <xdr:cNvSpPr>
          <a:spLocks noChangeArrowheads="1"/>
        </xdr:cNvSpPr>
      </xdr:nvSpPr>
      <xdr:spPr bwMode="auto">
        <a:xfrm>
          <a:off x="1066800" y="561975"/>
          <a:ext cx="10982325" cy="342900"/>
        </a:xfrm>
        <a:prstGeom prst="rect">
          <a:avLst/>
        </a:prstGeom>
        <a:noFill/>
        <a:ln w="1905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57150</xdr:colOff>
      <xdr:row>6</xdr:row>
      <xdr:rowOff>104775</xdr:rowOff>
    </xdr:from>
    <xdr:to>
      <xdr:col>5</xdr:col>
      <xdr:colOff>457200</xdr:colOff>
      <xdr:row>29</xdr:row>
      <xdr:rowOff>152400</xdr:rowOff>
    </xdr:to>
    <xdr:sp macro="" textlink="">
      <xdr:nvSpPr>
        <xdr:cNvPr id="66545457" name="AutoShape 15"/>
        <xdr:cNvSpPr>
          <a:spLocks/>
        </xdr:cNvSpPr>
      </xdr:nvSpPr>
      <xdr:spPr bwMode="auto">
        <a:xfrm>
          <a:off x="7448550" y="1552575"/>
          <a:ext cx="400050" cy="6400800"/>
        </a:xfrm>
        <a:prstGeom prst="leftBrace">
          <a:avLst>
            <a:gd name="adj1" fmla="val 63481"/>
            <a:gd name="adj2" fmla="val 16898"/>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13</xdr:col>
      <xdr:colOff>542925</xdr:colOff>
      <xdr:row>22</xdr:row>
      <xdr:rowOff>142875</xdr:rowOff>
    </xdr:from>
    <xdr:to>
      <xdr:col>20</xdr:col>
      <xdr:colOff>180975</xdr:colOff>
      <xdr:row>31</xdr:row>
      <xdr:rowOff>47625</xdr:rowOff>
    </xdr:to>
    <xdr:graphicFrame macro="">
      <xdr:nvGraphicFramePr>
        <xdr:cNvPr id="66545458" name="MW_ROE_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542925</xdr:colOff>
      <xdr:row>33</xdr:row>
      <xdr:rowOff>0</xdr:rowOff>
    </xdr:from>
    <xdr:to>
      <xdr:col>20</xdr:col>
      <xdr:colOff>85725</xdr:colOff>
      <xdr:row>47</xdr:row>
      <xdr:rowOff>85725</xdr:rowOff>
    </xdr:to>
    <xdr:graphicFrame macro="">
      <xdr:nvGraphicFramePr>
        <xdr:cNvPr id="66545459"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1.xml><?xml version="1.0" encoding="utf-8"?>
<c:userShapes xmlns:c="http://schemas.openxmlformats.org/drawingml/2006/chart">
  <cdr:relSizeAnchor xmlns:cdr="http://schemas.openxmlformats.org/drawingml/2006/chartDrawing">
    <cdr:from>
      <cdr:x>0.33452</cdr:x>
      <cdr:y>0.97845</cdr:y>
    </cdr:from>
    <cdr:to>
      <cdr:x>0.98815</cdr:x>
      <cdr:y>0.97845</cdr:y>
    </cdr:to>
    <cdr:sp macro="" textlink="'MWA ROE - Annual'!$B$381">
      <cdr:nvSpPr>
        <cdr:cNvPr id="151553" name="Text Box 1"/>
        <cdr:cNvSpPr txBox="1">
          <a:spLocks xmlns:a="http://schemas.openxmlformats.org/drawingml/2006/main" noChangeArrowheads="1" noTextEdit="1"/>
        </cdr:cNvSpPr>
      </cdr:nvSpPr>
      <cdr:spPr bwMode="auto">
        <a:xfrm xmlns:a="http://schemas.openxmlformats.org/drawingml/2006/main">
          <a:off x="1347781" y="2165350"/>
          <a:ext cx="2627319" cy="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18288" rIns="27432" bIns="18288" anchor="ctr" upright="1"/>
        <a:lstStyle xmlns:a="http://schemas.openxmlformats.org/drawingml/2006/main"/>
        <a:p xmlns:a="http://schemas.openxmlformats.org/drawingml/2006/main">
          <a:pPr algn="ctr" rtl="0">
            <a:defRPr sz="1000"/>
          </a:pPr>
          <a:fld id="{A47D70CA-A587-46BC-BEFE-B6D471F39181}" type="TxLink">
            <a:rPr lang="en-US" sz="1000" b="1" i="0" u="none" strike="noStrike" baseline="0">
              <a:solidFill>
                <a:srgbClr val="000000"/>
              </a:solidFill>
              <a:latin typeface="Arial"/>
              <a:cs typeface="Arial"/>
            </a:rPr>
            <a:pPr algn="ctr" rtl="0">
              <a:defRPr sz="1000"/>
            </a:pPr>
            <a:t>Source: Morgan Stanley Research, ModelWare</a:t>
          </a:fld>
          <a:endParaRPr lang="en-US" sz="1000" b="1" i="0" u="none" strike="noStrike" baseline="0">
            <a:solidFill>
              <a:srgbClr val="000000"/>
            </a:solidFill>
            <a:latin typeface="Arial"/>
            <a:cs typeface="Arial"/>
          </a:endParaRPr>
        </a:p>
      </cdr:txBody>
    </cdr:sp>
  </cdr:relSizeAnchor>
  <cdr:relSizeAnchor xmlns:cdr="http://schemas.openxmlformats.org/drawingml/2006/chartDrawing">
    <cdr:from>
      <cdr:x>0.01185</cdr:x>
      <cdr:y>0.03662</cdr:y>
    </cdr:from>
    <cdr:to>
      <cdr:x>0.49976</cdr:x>
      <cdr:y>0.12561</cdr:y>
    </cdr:to>
    <cdr:sp macro="" textlink="'MWA ROE - Annual'!$AB$8">
      <cdr:nvSpPr>
        <cdr:cNvPr id="151554" name="Text Box 2"/>
        <cdr:cNvSpPr txBox="1">
          <a:spLocks xmlns:a="http://schemas.openxmlformats.org/drawingml/2006/main" noChangeArrowheads="1" noTextEdit="1"/>
        </cdr:cNvSpPr>
      </cdr:nvSpPr>
      <cdr:spPr bwMode="auto">
        <a:xfrm xmlns:a="http://schemas.openxmlformats.org/drawingml/2006/main">
          <a:off x="50800" y="84104"/>
          <a:ext cx="1961169" cy="196653"/>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18288" rIns="0" bIns="18288" anchor="ctr" upright="1"/>
        <a:lstStyle xmlns:a="http://schemas.openxmlformats.org/drawingml/2006/main"/>
        <a:p xmlns:a="http://schemas.openxmlformats.org/drawingml/2006/main">
          <a:pPr algn="l" rtl="0">
            <a:defRPr sz="1000"/>
          </a:pPr>
          <a:fld id="{653C370C-9606-4315-A659-2A9F363836D5}" type="TxLink">
            <a:rPr lang="en-US" sz="1000" b="1" i="0" u="none" strike="noStrike" baseline="0">
              <a:solidFill>
                <a:srgbClr val="000000"/>
              </a:solidFill>
              <a:latin typeface="Arial"/>
              <a:cs typeface="Arial"/>
            </a:rPr>
            <a:pPr algn="l" rtl="0">
              <a:defRPr sz="1000"/>
            </a:pPr>
            <a:t>NOPAT Margin (%)</a:t>
          </a:fld>
          <a:endParaRPr lang="en-US" sz="1000" b="1" i="0" u="none" strike="noStrike" baseline="0">
            <a:solidFill>
              <a:srgbClr val="000000"/>
            </a:solidFill>
            <a:latin typeface="Arial"/>
            <a:cs typeface="Arial"/>
          </a:endParaRPr>
        </a:p>
      </cdr:txBody>
    </cdr:sp>
  </cdr:relSizeAnchor>
</c:userShapes>
</file>

<file path=xl/drawings/drawing12.xml><?xml version="1.0" encoding="utf-8"?>
<c:userShapes xmlns:c="http://schemas.openxmlformats.org/drawingml/2006/chart">
  <cdr:relSizeAnchor xmlns:cdr="http://schemas.openxmlformats.org/drawingml/2006/chartDrawing">
    <cdr:from>
      <cdr:x>0.01182</cdr:x>
      <cdr:y>0.02203</cdr:y>
    </cdr:from>
    <cdr:to>
      <cdr:x>0.68087</cdr:x>
      <cdr:y>0.10926</cdr:y>
    </cdr:to>
    <cdr:sp macro="" textlink="'MWA ROE - Annual'!$AE$10">
      <cdr:nvSpPr>
        <cdr:cNvPr id="152577" name="Text Box 1"/>
        <cdr:cNvSpPr txBox="1">
          <a:spLocks xmlns:a="http://schemas.openxmlformats.org/drawingml/2006/main" noChangeArrowheads="1" noTextEdit="1"/>
        </cdr:cNvSpPr>
      </cdr:nvSpPr>
      <cdr:spPr bwMode="auto">
        <a:xfrm xmlns:a="http://schemas.openxmlformats.org/drawingml/2006/main">
          <a:off x="50800" y="50800"/>
          <a:ext cx="2695654" cy="188607"/>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18288" rIns="0" bIns="18288" anchor="ctr" upright="1"/>
        <a:lstStyle xmlns:a="http://schemas.openxmlformats.org/drawingml/2006/main"/>
        <a:p xmlns:a="http://schemas.openxmlformats.org/drawingml/2006/main">
          <a:pPr algn="l" rtl="0">
            <a:defRPr sz="1000"/>
          </a:pPr>
          <a:fld id="{3931FCDD-550B-4FFE-AB4B-F83380AA5EF6}" type="TxLink">
            <a:rPr lang="en-US" sz="1000" b="1" i="0" u="none" strike="noStrike" baseline="0">
              <a:solidFill>
                <a:srgbClr val="000000"/>
              </a:solidFill>
              <a:latin typeface="Arial"/>
              <a:cs typeface="Arial"/>
            </a:rPr>
            <a:pPr algn="l" rtl="0">
              <a:defRPr sz="1000"/>
            </a:pPr>
            <a:t>× Operating Asset Turnover</a:t>
          </a:fld>
          <a:endParaRPr lang="en-US" sz="1000" b="1" i="0" u="none" strike="noStrike" baseline="0">
            <a:solidFill>
              <a:srgbClr val="000000"/>
            </a:solidFill>
            <a:latin typeface="Arial"/>
            <a:cs typeface="Arial"/>
          </a:endParaRPr>
        </a:p>
      </cdr:txBody>
    </cdr:sp>
  </cdr:relSizeAnchor>
</c:userShapes>
</file>

<file path=xl/drawings/drawing13.xml><?xml version="1.0" encoding="utf-8"?>
<c:userShapes xmlns:c="http://schemas.openxmlformats.org/drawingml/2006/chart">
  <cdr:relSizeAnchor xmlns:cdr="http://schemas.openxmlformats.org/drawingml/2006/chartDrawing">
    <cdr:from>
      <cdr:x>0.01182</cdr:x>
      <cdr:y>0.02212</cdr:y>
    </cdr:from>
    <cdr:to>
      <cdr:x>0.69234</cdr:x>
      <cdr:y>0.11388</cdr:y>
    </cdr:to>
    <cdr:sp macro="" textlink="'MWA ROE - Annual'!$AE$12">
      <cdr:nvSpPr>
        <cdr:cNvPr id="153601" name="Text Box 1"/>
        <cdr:cNvSpPr txBox="1">
          <a:spLocks xmlns:a="http://schemas.openxmlformats.org/drawingml/2006/main" noChangeArrowheads="1" noTextEdit="1"/>
        </cdr:cNvSpPr>
      </cdr:nvSpPr>
      <cdr:spPr bwMode="auto">
        <a:xfrm xmlns:a="http://schemas.openxmlformats.org/drawingml/2006/main">
          <a:off x="50800" y="50800"/>
          <a:ext cx="2741876" cy="19751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18288" rIns="0" bIns="18288" anchor="ctr" upright="1"/>
        <a:lstStyle xmlns:a="http://schemas.openxmlformats.org/drawingml/2006/main"/>
        <a:p xmlns:a="http://schemas.openxmlformats.org/drawingml/2006/main">
          <a:pPr algn="l" rtl="0">
            <a:defRPr sz="1000"/>
          </a:pPr>
          <a:fld id="{553804D8-EA04-4E4F-9537-222838F7BBCB}" type="TxLink">
            <a:rPr lang="en-US" sz="1000" b="1" i="0" u="none" strike="noStrike" baseline="0">
              <a:solidFill>
                <a:srgbClr val="000000"/>
              </a:solidFill>
              <a:latin typeface="Arial"/>
              <a:cs typeface="Arial"/>
            </a:rPr>
            <a:pPr algn="l" rtl="0">
              <a:defRPr sz="1000"/>
            </a:pPr>
            <a:t>+ Return From Leverage</a:t>
          </a:fld>
          <a:endParaRPr lang="en-US" sz="1000" b="1" i="0" u="none" strike="noStrike" baseline="0">
            <a:solidFill>
              <a:srgbClr val="000000"/>
            </a:solidFill>
            <a:latin typeface="Arial"/>
            <a:cs typeface="Arial"/>
          </a:endParaRPr>
        </a:p>
      </cdr:txBody>
    </cdr:sp>
  </cdr:relSizeAnchor>
</c:userShapes>
</file>

<file path=xl/drawings/drawing14.xml><?xml version="1.0" encoding="utf-8"?>
<c:userShapes xmlns:c="http://schemas.openxmlformats.org/drawingml/2006/chart">
  <cdr:relSizeAnchor xmlns:cdr="http://schemas.openxmlformats.org/drawingml/2006/chartDrawing">
    <cdr:from>
      <cdr:x>0.9881</cdr:x>
      <cdr:y>0.13064</cdr:y>
    </cdr:from>
    <cdr:to>
      <cdr:x>0.9881</cdr:x>
      <cdr:y>0.22274</cdr:y>
    </cdr:to>
    <cdr:sp macro="" textlink="'MWA ROE - Annual'!$AB$7">
      <cdr:nvSpPr>
        <cdr:cNvPr id="154625" name="Text Box 1"/>
        <cdr:cNvSpPr txBox="1">
          <a:spLocks xmlns:a="http://schemas.openxmlformats.org/drawingml/2006/main" noChangeArrowheads="1" noTextEdit="1"/>
        </cdr:cNvSpPr>
      </cdr:nvSpPr>
      <cdr:spPr bwMode="auto">
        <a:xfrm xmlns:a="http://schemas.openxmlformats.org/drawingml/2006/main">
          <a:off x="3956050" y="291859"/>
          <a:ext cx="0" cy="203525"/>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fld id="{22E93438-C252-4B03-92DC-F42E4FB98D26}" type="TxLink">
            <a:rPr lang="en-US" sz="1000" b="0" i="0" u="none" strike="noStrike" baseline="0">
              <a:solidFill>
                <a:srgbClr val="000000"/>
              </a:solidFill>
              <a:latin typeface="Arial"/>
              <a:cs typeface="Arial"/>
            </a:rPr>
            <a:pPr algn="ctr" rtl="0">
              <a:defRPr sz="1000"/>
            </a:pPr>
            <a:t>Return on Equity (ROE)</a:t>
          </a:fld>
          <a:endParaRPr lang="en-US" sz="1000" b="0" i="0" u="none" strike="noStrike" baseline="0">
            <a:solidFill>
              <a:srgbClr val="000000"/>
            </a:solidFill>
            <a:latin typeface="Arial"/>
            <a:cs typeface="Arial"/>
          </a:endParaRPr>
        </a:p>
      </cdr:txBody>
    </cdr:sp>
  </cdr:relSizeAnchor>
  <cdr:relSizeAnchor xmlns:cdr="http://schemas.openxmlformats.org/drawingml/2006/chartDrawing">
    <cdr:from>
      <cdr:x>0.9881</cdr:x>
      <cdr:y>0.13064</cdr:y>
    </cdr:from>
    <cdr:to>
      <cdr:x>0.9881</cdr:x>
      <cdr:y>0.22274</cdr:y>
    </cdr:to>
    <cdr:sp macro="" textlink="'MWA ROE - Annual'!$AB$7">
      <cdr:nvSpPr>
        <cdr:cNvPr id="154626" name="Text Box 2"/>
        <cdr:cNvSpPr txBox="1">
          <a:spLocks xmlns:a="http://schemas.openxmlformats.org/drawingml/2006/main" noChangeArrowheads="1" noTextEdit="1"/>
        </cdr:cNvSpPr>
      </cdr:nvSpPr>
      <cdr:spPr bwMode="auto">
        <a:xfrm xmlns:a="http://schemas.openxmlformats.org/drawingml/2006/main">
          <a:off x="3956050" y="291859"/>
          <a:ext cx="0" cy="203525"/>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fld id="{64170928-DFDB-4038-9009-298B6530E994}" type="TxLink">
            <a:rPr lang="en-US" sz="1000" b="0" i="0" u="none" strike="noStrike" baseline="0">
              <a:solidFill>
                <a:srgbClr val="000000"/>
              </a:solidFill>
              <a:latin typeface="Arial"/>
              <a:cs typeface="Arial"/>
            </a:rPr>
            <a:pPr algn="ctr" rtl="0">
              <a:defRPr sz="1000"/>
            </a:pPr>
            <a:t>Return on Equity (ROE)</a:t>
          </a:fld>
          <a:endParaRPr lang="en-US" sz="1000" b="0" i="0" u="none" strike="noStrike" baseline="0">
            <a:solidFill>
              <a:srgbClr val="000000"/>
            </a:solidFill>
            <a:latin typeface="Arial"/>
            <a:cs typeface="Arial"/>
          </a:endParaRPr>
        </a:p>
      </cdr:txBody>
    </cdr:sp>
  </cdr:relSizeAnchor>
  <cdr:relSizeAnchor xmlns:cdr="http://schemas.openxmlformats.org/drawingml/2006/chartDrawing">
    <cdr:from>
      <cdr:x>0.0119</cdr:x>
      <cdr:y>0.02155</cdr:y>
    </cdr:from>
    <cdr:to>
      <cdr:x>0.62739</cdr:x>
      <cdr:y>0.11628</cdr:y>
    </cdr:to>
    <cdr:sp macro="" textlink="'MWA ROE - Annual'!$AB$7">
      <cdr:nvSpPr>
        <cdr:cNvPr id="154627" name="Text Box 3"/>
        <cdr:cNvSpPr txBox="1">
          <a:spLocks xmlns:a="http://schemas.openxmlformats.org/drawingml/2006/main" noChangeArrowheads="1" noTextEdit="1"/>
        </cdr:cNvSpPr>
      </cdr:nvSpPr>
      <cdr:spPr bwMode="auto">
        <a:xfrm xmlns:a="http://schemas.openxmlformats.org/drawingml/2006/main">
          <a:off x="50800" y="50800"/>
          <a:ext cx="2462260" cy="20934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18288" rIns="0" bIns="18288" anchor="ctr" upright="1"/>
        <a:lstStyle xmlns:a="http://schemas.openxmlformats.org/drawingml/2006/main"/>
        <a:p xmlns:a="http://schemas.openxmlformats.org/drawingml/2006/main">
          <a:pPr algn="l" rtl="0">
            <a:defRPr sz="1000"/>
          </a:pPr>
          <a:fld id="{38FBD815-FDC6-482E-B2EE-F6504CD228C1}" type="TxLink">
            <a:rPr lang="en-US" sz="1000" b="1" i="0" u="none" strike="noStrike" baseline="0">
              <a:solidFill>
                <a:srgbClr val="000000"/>
              </a:solidFill>
              <a:latin typeface="Arial"/>
              <a:cs typeface="Arial"/>
            </a:rPr>
            <a:pPr algn="l" rtl="0">
              <a:defRPr sz="1000"/>
            </a:pPr>
            <a:t>Return on Equity (ROE)</a:t>
          </a:fld>
          <a:endParaRPr lang="en-US" sz="1000" b="1" i="0" u="none" strike="noStrike" baseline="0">
            <a:solidFill>
              <a:srgbClr val="000000"/>
            </a:solidFill>
            <a:latin typeface="Arial"/>
            <a:cs typeface="Arial"/>
          </a:endParaRPr>
        </a:p>
      </cdr:txBody>
    </cdr:sp>
  </cdr:relSizeAnchor>
</c:userShapes>
</file>

<file path=xl/drawings/drawing15.xml><?xml version="1.0" encoding="utf-8"?>
<c:userShapes xmlns:c="http://schemas.openxmlformats.org/drawingml/2006/chart">
  <cdr:relSizeAnchor xmlns:cdr="http://schemas.openxmlformats.org/drawingml/2006/chartDrawing">
    <cdr:from>
      <cdr:x>0.82282</cdr:x>
      <cdr:y>0.00168</cdr:y>
    </cdr:from>
    <cdr:to>
      <cdr:x>1</cdr:x>
      <cdr:y>0.09389</cdr:y>
    </cdr:to>
    <cdr:sp macro="" textlink="'MWA ROE - Annual'!$AB$11">
      <cdr:nvSpPr>
        <cdr:cNvPr id="155649" name="Text Box 1"/>
        <cdr:cNvSpPr txBox="1">
          <a:spLocks xmlns:a="http://schemas.openxmlformats.org/drawingml/2006/main" noChangeArrowheads="1" noTextEdit="1"/>
        </cdr:cNvSpPr>
      </cdr:nvSpPr>
      <cdr:spPr bwMode="auto">
        <a:xfrm xmlns:a="http://schemas.openxmlformats.org/drawingml/2006/main">
          <a:off x="4828873" y="6771"/>
          <a:ext cx="708803" cy="19762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fld id="{C7F82ADE-29DF-48CA-B139-1A989D92AC88}" type="TxLink">
            <a:rPr lang="en-US" sz="1000" b="0" i="0" u="none" strike="noStrike" baseline="0">
              <a:solidFill>
                <a:srgbClr val="000000"/>
              </a:solidFill>
              <a:latin typeface="Arial"/>
              <a:cs typeface="Arial"/>
            </a:rPr>
            <a:pPr algn="ctr" rtl="0">
              <a:defRPr sz="1000"/>
            </a:pPr>
            <a:t>Profitability Map</a:t>
          </a:fld>
          <a:endParaRPr lang="en-US" sz="1000" b="0" i="0" u="none" strike="noStrike" baseline="0">
            <a:solidFill>
              <a:srgbClr val="000000"/>
            </a:solidFill>
            <a:latin typeface="Arial"/>
            <a:cs typeface="Arial"/>
          </a:endParaRPr>
        </a:p>
      </cdr:txBody>
    </cdr:sp>
  </cdr:relSizeAnchor>
  <cdr:relSizeAnchor xmlns:cdr="http://schemas.openxmlformats.org/drawingml/2006/chartDrawing">
    <cdr:from>
      <cdr:x>0.0119</cdr:x>
      <cdr:y>0.02222</cdr:y>
    </cdr:from>
    <cdr:to>
      <cdr:x>0.74795</cdr:x>
      <cdr:y>0.11372</cdr:y>
    </cdr:to>
    <cdr:sp macro="" textlink="'MWA ROE - Annual'!$AB$11">
      <cdr:nvSpPr>
        <cdr:cNvPr id="155650" name="Text Box 2"/>
        <cdr:cNvSpPr txBox="1">
          <a:spLocks xmlns:a="http://schemas.openxmlformats.org/drawingml/2006/main" noChangeArrowheads="1" noTextEdit="1"/>
        </cdr:cNvSpPr>
      </cdr:nvSpPr>
      <cdr:spPr bwMode="auto">
        <a:xfrm xmlns:a="http://schemas.openxmlformats.org/drawingml/2006/main">
          <a:off x="50800" y="50800"/>
          <a:ext cx="2944559" cy="196084"/>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18288" rIns="0" bIns="18288" anchor="ctr" upright="1"/>
        <a:lstStyle xmlns:a="http://schemas.openxmlformats.org/drawingml/2006/main"/>
        <a:p xmlns:a="http://schemas.openxmlformats.org/drawingml/2006/main">
          <a:pPr algn="l" rtl="0">
            <a:defRPr sz="1000"/>
          </a:pPr>
          <a:fld id="{57150409-FB63-4701-832E-3DDA780E22CC}" type="TxLink">
            <a:rPr lang="en-US" sz="1000" b="1" i="0" u="none" strike="noStrike" baseline="0">
              <a:solidFill>
                <a:srgbClr val="000000"/>
              </a:solidFill>
              <a:latin typeface="Arial"/>
              <a:cs typeface="Arial"/>
            </a:rPr>
            <a:pPr algn="l" rtl="0">
              <a:defRPr sz="1000"/>
            </a:pPr>
            <a:t>Profitability Map</a:t>
          </a:fld>
          <a:endParaRPr lang="en-US" sz="1000" b="1" i="0" u="none" strike="noStrike" baseline="0">
            <a:solidFill>
              <a:srgbClr val="000000"/>
            </a:solidFill>
            <a:latin typeface="Arial"/>
            <a:cs typeface="Arial"/>
          </a:endParaRPr>
        </a:p>
      </cdr:txBody>
    </cdr:sp>
  </cdr:relSizeAnchor>
</c:userShapes>
</file>

<file path=xl/drawings/drawing16.xml><?xml version="1.0" encoding="utf-8"?>
<c:userShapes xmlns:c="http://schemas.openxmlformats.org/drawingml/2006/chart">
  <cdr:relSizeAnchor xmlns:cdr="http://schemas.openxmlformats.org/drawingml/2006/chartDrawing">
    <cdr:from>
      <cdr:x>0.01435</cdr:x>
      <cdr:y>0.02203</cdr:y>
    </cdr:from>
    <cdr:to>
      <cdr:x>0.72599</cdr:x>
      <cdr:y>0.10926</cdr:y>
    </cdr:to>
    <cdr:sp macro="" textlink="'MWA ROE - Annual'!$AB$9">
      <cdr:nvSpPr>
        <cdr:cNvPr id="156673" name="Text Box 1"/>
        <cdr:cNvSpPr txBox="1">
          <a:spLocks xmlns:a="http://schemas.openxmlformats.org/drawingml/2006/main" noChangeArrowheads="1" noTextEdit="1"/>
        </cdr:cNvSpPr>
      </cdr:nvSpPr>
      <cdr:spPr bwMode="auto">
        <a:xfrm xmlns:a="http://schemas.openxmlformats.org/drawingml/2006/main">
          <a:off x="60563" y="50800"/>
          <a:ext cx="2846927" cy="188607"/>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18288" rIns="0" bIns="18288" anchor="ctr" upright="1"/>
        <a:lstStyle xmlns:a="http://schemas.openxmlformats.org/drawingml/2006/main"/>
        <a:p xmlns:a="http://schemas.openxmlformats.org/drawingml/2006/main">
          <a:pPr algn="l" rtl="0">
            <a:defRPr sz="1000"/>
          </a:pPr>
          <a:fld id="{60F69C4A-B87B-465F-AAEF-A694BE94219C}" type="TxLink">
            <a:rPr lang="en-US" sz="1000" b="1" i="0" u="none" strike="noStrike" baseline="0">
              <a:solidFill>
                <a:srgbClr val="000000"/>
              </a:solidFill>
              <a:latin typeface="Arial"/>
              <a:cs typeface="Arial"/>
            </a:rPr>
            <a:pPr algn="l" rtl="0">
              <a:defRPr sz="1000"/>
            </a:pPr>
            <a:t>ROE Decomposition (2011e)</a:t>
          </a:fld>
          <a:endParaRPr lang="en-US" sz="1000" b="1" i="0" u="none" strike="noStrike" baseline="0">
            <a:solidFill>
              <a:srgbClr val="000000"/>
            </a:solidFill>
            <a:latin typeface="Arial"/>
            <a:cs typeface="Arial"/>
          </a:endParaRPr>
        </a:p>
      </cdr:txBody>
    </cdr:sp>
  </cdr:relSizeAnchor>
  <cdr:relSizeAnchor xmlns:cdr="http://schemas.openxmlformats.org/drawingml/2006/chartDrawing">
    <cdr:from>
      <cdr:x>0.99054</cdr:x>
      <cdr:y>0.00315</cdr:y>
    </cdr:from>
    <cdr:to>
      <cdr:x>0.99054</cdr:x>
      <cdr:y>0.09038</cdr:y>
    </cdr:to>
    <cdr:sp macro="" textlink="'MWA ROE - Annual'!$AB$9">
      <cdr:nvSpPr>
        <cdr:cNvPr id="156674" name="Text Box 2"/>
        <cdr:cNvSpPr txBox="1">
          <a:spLocks xmlns:a="http://schemas.openxmlformats.org/drawingml/2006/main" noChangeArrowheads="1" noTextEdit="1"/>
        </cdr:cNvSpPr>
      </cdr:nvSpPr>
      <cdr:spPr bwMode="auto">
        <a:xfrm xmlns:a="http://schemas.openxmlformats.org/drawingml/2006/main">
          <a:off x="3965813" y="9978"/>
          <a:ext cx="0" cy="188607"/>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fld id="{4F4ABB2E-5C64-4C17-81B9-E553CA17DD77}" type="TxLink">
            <a:rPr lang="en-US" sz="1000" b="0" i="0" u="none" strike="noStrike" baseline="0">
              <a:solidFill>
                <a:srgbClr val="000000"/>
              </a:solidFill>
              <a:latin typeface="Arial"/>
              <a:cs typeface="Arial"/>
            </a:rPr>
            <a:pPr algn="ctr" rtl="0">
              <a:defRPr sz="1000"/>
            </a:pPr>
            <a:t>ROE Decomposition (2011e)</a:t>
          </a:fld>
          <a:endParaRPr lang="en-US" sz="1000" b="0" i="0" u="none" strike="noStrike" baseline="0">
            <a:solidFill>
              <a:srgbClr val="000000"/>
            </a:solidFill>
            <a:latin typeface="Arial"/>
            <a:cs typeface="Arial"/>
          </a:endParaRPr>
        </a:p>
      </cdr:txBody>
    </cdr:sp>
  </cdr:relSizeAnchor>
</c:userShapes>
</file>

<file path=xl/drawings/drawing17.xml><?xml version="1.0" encoding="utf-8"?>
<c:userShapes xmlns:c="http://schemas.openxmlformats.org/drawingml/2006/chart">
  <cdr:relSizeAnchor xmlns:cdr="http://schemas.openxmlformats.org/drawingml/2006/chartDrawing">
    <cdr:from>
      <cdr:x>0.98812</cdr:x>
      <cdr:y>0.14636</cdr:y>
    </cdr:from>
    <cdr:to>
      <cdr:x>0.98812</cdr:x>
      <cdr:y>0.24566</cdr:y>
    </cdr:to>
    <cdr:sp macro="" textlink="'MWA ROE - Annual'!$AB$7">
      <cdr:nvSpPr>
        <cdr:cNvPr id="187393" name="Text Box 1"/>
        <cdr:cNvSpPr txBox="1">
          <a:spLocks xmlns:a="http://schemas.openxmlformats.org/drawingml/2006/main" noChangeArrowheads="1" noTextEdit="1"/>
        </cdr:cNvSpPr>
      </cdr:nvSpPr>
      <cdr:spPr bwMode="auto">
        <a:xfrm xmlns:a="http://schemas.openxmlformats.org/drawingml/2006/main">
          <a:off x="3965575" y="327992"/>
          <a:ext cx="0" cy="220373"/>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fld id="{0F1F00AB-2EC7-4151-BCD0-0552E0F7A5C5}" type="TxLink">
            <a:rPr lang="en-US" sz="1000" b="0" i="0" u="none" strike="noStrike" baseline="0">
              <a:solidFill>
                <a:srgbClr val="000000"/>
              </a:solidFill>
              <a:latin typeface="Arial"/>
              <a:cs typeface="Arial"/>
            </a:rPr>
            <a:pPr algn="ctr" rtl="0">
              <a:defRPr sz="1000"/>
            </a:pPr>
            <a:t>Return on Equity (ROE)</a:t>
          </a:fld>
          <a:endParaRPr lang="en-US" sz="1000" b="0" i="0" u="none" strike="noStrike" baseline="0">
            <a:solidFill>
              <a:srgbClr val="000000"/>
            </a:solidFill>
            <a:latin typeface="Arial"/>
            <a:cs typeface="Arial"/>
          </a:endParaRPr>
        </a:p>
      </cdr:txBody>
    </cdr:sp>
  </cdr:relSizeAnchor>
  <cdr:relSizeAnchor xmlns:cdr="http://schemas.openxmlformats.org/drawingml/2006/chartDrawing">
    <cdr:from>
      <cdr:x>0.98812</cdr:x>
      <cdr:y>0.14636</cdr:y>
    </cdr:from>
    <cdr:to>
      <cdr:x>0.98812</cdr:x>
      <cdr:y>0.24566</cdr:y>
    </cdr:to>
    <cdr:sp macro="" textlink="'MWA ROE - Annual'!$AB$7">
      <cdr:nvSpPr>
        <cdr:cNvPr id="187394" name="Text Box 2"/>
        <cdr:cNvSpPr txBox="1">
          <a:spLocks xmlns:a="http://schemas.openxmlformats.org/drawingml/2006/main" noChangeArrowheads="1" noTextEdit="1"/>
        </cdr:cNvSpPr>
      </cdr:nvSpPr>
      <cdr:spPr bwMode="auto">
        <a:xfrm xmlns:a="http://schemas.openxmlformats.org/drawingml/2006/main">
          <a:off x="3965575" y="327992"/>
          <a:ext cx="0" cy="220373"/>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fld id="{5D0AF64B-C00D-4DDA-90B2-3CE26D76FB60}" type="TxLink">
            <a:rPr lang="en-US" sz="1000" b="0" i="0" u="none" strike="noStrike" baseline="0">
              <a:solidFill>
                <a:srgbClr val="000000"/>
              </a:solidFill>
              <a:latin typeface="Arial"/>
              <a:cs typeface="Arial"/>
            </a:rPr>
            <a:pPr algn="ctr" rtl="0">
              <a:defRPr sz="1000"/>
            </a:pPr>
            <a:t>Return on Equity (ROE)</a:t>
          </a:fld>
          <a:endParaRPr lang="en-US" sz="1000" b="0" i="0" u="none" strike="noStrike" baseline="0">
            <a:solidFill>
              <a:srgbClr val="000000"/>
            </a:solidFill>
            <a:latin typeface="Arial"/>
            <a:cs typeface="Arial"/>
          </a:endParaRPr>
        </a:p>
      </cdr:txBody>
    </cdr:sp>
  </cdr:relSizeAnchor>
</c:userShapes>
</file>

<file path=xl/drawings/drawing18.xml><?xml version="1.0" encoding="utf-8"?>
<xdr:wsDr xmlns:xdr="http://schemas.openxmlformats.org/drawingml/2006/spreadsheetDrawing" xmlns:a="http://schemas.openxmlformats.org/drawingml/2006/main">
  <xdr:twoCellAnchor>
    <xdr:from>
      <xdr:col>1</xdr:col>
      <xdr:colOff>9525</xdr:colOff>
      <xdr:row>81</xdr:row>
      <xdr:rowOff>38100</xdr:rowOff>
    </xdr:from>
    <xdr:to>
      <xdr:col>1</xdr:col>
      <xdr:colOff>4724400</xdr:colOff>
      <xdr:row>96</xdr:row>
      <xdr:rowOff>152400</xdr:rowOff>
    </xdr:to>
    <xdr:graphicFrame macro="">
      <xdr:nvGraphicFramePr>
        <xdr:cNvPr id="66027198"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xdr:colOff>
      <xdr:row>114</xdr:row>
      <xdr:rowOff>0</xdr:rowOff>
    </xdr:from>
    <xdr:to>
      <xdr:col>1</xdr:col>
      <xdr:colOff>4733925</xdr:colOff>
      <xdr:row>129</xdr:row>
      <xdr:rowOff>123825</xdr:rowOff>
    </xdr:to>
    <xdr:graphicFrame macro="">
      <xdr:nvGraphicFramePr>
        <xdr:cNvPr id="66027199"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44</xdr:row>
      <xdr:rowOff>9525</xdr:rowOff>
    </xdr:from>
    <xdr:to>
      <xdr:col>1</xdr:col>
      <xdr:colOff>4438650</xdr:colOff>
      <xdr:row>59</xdr:row>
      <xdr:rowOff>104775</xdr:rowOff>
    </xdr:to>
    <xdr:graphicFrame macro="">
      <xdr:nvGraphicFramePr>
        <xdr:cNvPr id="66027200"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9525</xdr:colOff>
      <xdr:row>463</xdr:row>
      <xdr:rowOff>152400</xdr:rowOff>
    </xdr:from>
    <xdr:to>
      <xdr:col>1</xdr:col>
      <xdr:colOff>4667250</xdr:colOff>
      <xdr:row>479</xdr:row>
      <xdr:rowOff>152400</xdr:rowOff>
    </xdr:to>
    <xdr:graphicFrame macro="">
      <xdr:nvGraphicFramePr>
        <xdr:cNvPr id="66027201"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372</xdr:row>
      <xdr:rowOff>57150</xdr:rowOff>
    </xdr:from>
    <xdr:to>
      <xdr:col>1</xdr:col>
      <xdr:colOff>4724400</xdr:colOff>
      <xdr:row>388</xdr:row>
      <xdr:rowOff>19050</xdr:rowOff>
    </xdr:to>
    <xdr:graphicFrame macro="">
      <xdr:nvGraphicFramePr>
        <xdr:cNvPr id="66027202"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85725</xdr:colOff>
      <xdr:row>390</xdr:row>
      <xdr:rowOff>38100</xdr:rowOff>
    </xdr:from>
    <xdr:to>
      <xdr:col>1</xdr:col>
      <xdr:colOff>4762500</xdr:colOff>
      <xdr:row>406</xdr:row>
      <xdr:rowOff>0</xdr:rowOff>
    </xdr:to>
    <xdr:graphicFrame macro="">
      <xdr:nvGraphicFramePr>
        <xdr:cNvPr id="66027203"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9525</xdr:colOff>
      <xdr:row>217</xdr:row>
      <xdr:rowOff>0</xdr:rowOff>
    </xdr:from>
    <xdr:to>
      <xdr:col>1</xdr:col>
      <xdr:colOff>4733925</xdr:colOff>
      <xdr:row>232</xdr:row>
      <xdr:rowOff>123825</xdr:rowOff>
    </xdr:to>
    <xdr:graphicFrame macro="">
      <xdr:nvGraphicFramePr>
        <xdr:cNvPr id="66027204"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301</xdr:row>
      <xdr:rowOff>0</xdr:rowOff>
    </xdr:from>
    <xdr:to>
      <xdr:col>1</xdr:col>
      <xdr:colOff>4733925</xdr:colOff>
      <xdr:row>316</xdr:row>
      <xdr:rowOff>123825</xdr:rowOff>
    </xdr:to>
    <xdr:graphicFrame macro="">
      <xdr:nvGraphicFramePr>
        <xdr:cNvPr id="66027205"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142875</xdr:colOff>
      <xdr:row>318</xdr:row>
      <xdr:rowOff>0</xdr:rowOff>
    </xdr:from>
    <xdr:to>
      <xdr:col>1</xdr:col>
      <xdr:colOff>4667250</xdr:colOff>
      <xdr:row>333</xdr:row>
      <xdr:rowOff>133350</xdr:rowOff>
    </xdr:to>
    <xdr:graphicFrame macro="">
      <xdr:nvGraphicFramePr>
        <xdr:cNvPr id="66027206"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233</xdr:row>
      <xdr:rowOff>152400</xdr:rowOff>
    </xdr:from>
    <xdr:to>
      <xdr:col>1</xdr:col>
      <xdr:colOff>4695825</xdr:colOff>
      <xdr:row>249</xdr:row>
      <xdr:rowOff>133350</xdr:rowOff>
    </xdr:to>
    <xdr:graphicFrame macro="">
      <xdr:nvGraphicFramePr>
        <xdr:cNvPr id="66027207"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0</xdr:colOff>
      <xdr:row>168</xdr:row>
      <xdr:rowOff>0</xdr:rowOff>
    </xdr:from>
    <xdr:to>
      <xdr:col>1</xdr:col>
      <xdr:colOff>4705350</xdr:colOff>
      <xdr:row>183</xdr:row>
      <xdr:rowOff>152400</xdr:rowOff>
    </xdr:to>
    <xdr:graphicFrame macro="">
      <xdr:nvGraphicFramePr>
        <xdr:cNvPr id="66027208"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407</xdr:row>
      <xdr:rowOff>0</xdr:rowOff>
    </xdr:from>
    <xdr:to>
      <xdr:col>1</xdr:col>
      <xdr:colOff>4686300</xdr:colOff>
      <xdr:row>422</xdr:row>
      <xdr:rowOff>133350</xdr:rowOff>
    </xdr:to>
    <xdr:graphicFrame macro="">
      <xdr:nvGraphicFramePr>
        <xdr:cNvPr id="66027209"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0</xdr:colOff>
      <xdr:row>335</xdr:row>
      <xdr:rowOff>0</xdr:rowOff>
    </xdr:from>
    <xdr:to>
      <xdr:col>1</xdr:col>
      <xdr:colOff>4695825</xdr:colOff>
      <xdr:row>350</xdr:row>
      <xdr:rowOff>142875</xdr:rowOff>
    </xdr:to>
    <xdr:graphicFrame macro="">
      <xdr:nvGraphicFramePr>
        <xdr:cNvPr id="66027210"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xdr:col>
      <xdr:colOff>0</xdr:colOff>
      <xdr:row>251</xdr:row>
      <xdr:rowOff>0</xdr:rowOff>
    </xdr:from>
    <xdr:to>
      <xdr:col>1</xdr:col>
      <xdr:colOff>4705350</xdr:colOff>
      <xdr:row>266</xdr:row>
      <xdr:rowOff>152400</xdr:rowOff>
    </xdr:to>
    <xdr:graphicFrame macro="">
      <xdr:nvGraphicFramePr>
        <xdr:cNvPr id="66027211"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185</xdr:row>
      <xdr:rowOff>0</xdr:rowOff>
    </xdr:from>
    <xdr:to>
      <xdr:col>1</xdr:col>
      <xdr:colOff>4714875</xdr:colOff>
      <xdr:row>201</xdr:row>
      <xdr:rowOff>0</xdr:rowOff>
    </xdr:to>
    <xdr:graphicFrame macro="">
      <xdr:nvGraphicFramePr>
        <xdr:cNvPr id="66027212"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xdr:col>
      <xdr:colOff>0</xdr:colOff>
      <xdr:row>11</xdr:row>
      <xdr:rowOff>0</xdr:rowOff>
    </xdr:from>
    <xdr:to>
      <xdr:col>1</xdr:col>
      <xdr:colOff>4476750</xdr:colOff>
      <xdr:row>26</xdr:row>
      <xdr:rowOff>104775</xdr:rowOff>
    </xdr:to>
    <xdr:graphicFrame macro="">
      <xdr:nvGraphicFramePr>
        <xdr:cNvPr id="66027213"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19050</xdr:colOff>
      <xdr:row>493</xdr:row>
      <xdr:rowOff>133350</xdr:rowOff>
    </xdr:from>
    <xdr:to>
      <xdr:col>1</xdr:col>
      <xdr:colOff>4676775</xdr:colOff>
      <xdr:row>509</xdr:row>
      <xdr:rowOff>133350</xdr:rowOff>
    </xdr:to>
    <xdr:graphicFrame macro="">
      <xdr:nvGraphicFramePr>
        <xdr:cNvPr id="66027214" name="Chart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xdr:col>
      <xdr:colOff>0</xdr:colOff>
      <xdr:row>510</xdr:row>
      <xdr:rowOff>0</xdr:rowOff>
    </xdr:from>
    <xdr:to>
      <xdr:col>1</xdr:col>
      <xdr:colOff>4667250</xdr:colOff>
      <xdr:row>526</xdr:row>
      <xdr:rowOff>9525</xdr:rowOff>
    </xdr:to>
    <xdr:graphicFrame macro="">
      <xdr:nvGraphicFramePr>
        <xdr:cNvPr id="66027215"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0</xdr:col>
      <xdr:colOff>133350</xdr:colOff>
      <xdr:row>150</xdr:row>
      <xdr:rowOff>0</xdr:rowOff>
    </xdr:from>
    <xdr:to>
      <xdr:col>1</xdr:col>
      <xdr:colOff>4686300</xdr:colOff>
      <xdr:row>166</xdr:row>
      <xdr:rowOff>0</xdr:rowOff>
    </xdr:to>
    <xdr:graphicFrame macro="">
      <xdr:nvGraphicFramePr>
        <xdr:cNvPr id="66027216"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xdr:col>
      <xdr:colOff>0</xdr:colOff>
      <xdr:row>60</xdr:row>
      <xdr:rowOff>0</xdr:rowOff>
    </xdr:from>
    <xdr:to>
      <xdr:col>1</xdr:col>
      <xdr:colOff>4476750</xdr:colOff>
      <xdr:row>75</xdr:row>
      <xdr:rowOff>104775</xdr:rowOff>
    </xdr:to>
    <xdr:graphicFrame macro="">
      <xdr:nvGraphicFramePr>
        <xdr:cNvPr id="66027217"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xdr:col>
      <xdr:colOff>0</xdr:colOff>
      <xdr:row>532</xdr:row>
      <xdr:rowOff>0</xdr:rowOff>
    </xdr:from>
    <xdr:to>
      <xdr:col>1</xdr:col>
      <xdr:colOff>4667250</xdr:colOff>
      <xdr:row>548</xdr:row>
      <xdr:rowOff>9525</xdr:rowOff>
    </xdr:to>
    <xdr:graphicFrame macro="">
      <xdr:nvGraphicFramePr>
        <xdr:cNvPr id="66027218" name="Chart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xdr:col>
      <xdr:colOff>9525</xdr:colOff>
      <xdr:row>564</xdr:row>
      <xdr:rowOff>0</xdr:rowOff>
    </xdr:from>
    <xdr:to>
      <xdr:col>1</xdr:col>
      <xdr:colOff>4733925</xdr:colOff>
      <xdr:row>579</xdr:row>
      <xdr:rowOff>123825</xdr:rowOff>
    </xdr:to>
    <xdr:graphicFrame macro="">
      <xdr:nvGraphicFramePr>
        <xdr:cNvPr id="66027219" name="Chart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xdr:col>
      <xdr:colOff>0</xdr:colOff>
      <xdr:row>599</xdr:row>
      <xdr:rowOff>0</xdr:rowOff>
    </xdr:from>
    <xdr:to>
      <xdr:col>1</xdr:col>
      <xdr:colOff>4705350</xdr:colOff>
      <xdr:row>614</xdr:row>
      <xdr:rowOff>152400</xdr:rowOff>
    </xdr:to>
    <xdr:graphicFrame macro="">
      <xdr:nvGraphicFramePr>
        <xdr:cNvPr id="66027220" name="Chart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0</xdr:col>
      <xdr:colOff>133350</xdr:colOff>
      <xdr:row>581</xdr:row>
      <xdr:rowOff>0</xdr:rowOff>
    </xdr:from>
    <xdr:to>
      <xdr:col>1</xdr:col>
      <xdr:colOff>4686300</xdr:colOff>
      <xdr:row>597</xdr:row>
      <xdr:rowOff>0</xdr:rowOff>
    </xdr:to>
    <xdr:graphicFrame macro="">
      <xdr:nvGraphicFramePr>
        <xdr:cNvPr id="66027221" name="Chart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xdr:col>
      <xdr:colOff>0</xdr:colOff>
      <xdr:row>443</xdr:row>
      <xdr:rowOff>0</xdr:rowOff>
    </xdr:from>
    <xdr:to>
      <xdr:col>1</xdr:col>
      <xdr:colOff>4733925</xdr:colOff>
      <xdr:row>458</xdr:row>
      <xdr:rowOff>133350</xdr:rowOff>
    </xdr:to>
    <xdr:graphicFrame macro="">
      <xdr:nvGraphicFramePr>
        <xdr:cNvPr id="66027222" name="Chart 4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xdr:col>
      <xdr:colOff>0</xdr:colOff>
      <xdr:row>28</xdr:row>
      <xdr:rowOff>0</xdr:rowOff>
    </xdr:from>
    <xdr:to>
      <xdr:col>1</xdr:col>
      <xdr:colOff>4486275</xdr:colOff>
      <xdr:row>43</xdr:row>
      <xdr:rowOff>114300</xdr:rowOff>
    </xdr:to>
    <xdr:graphicFrame macro="">
      <xdr:nvGraphicFramePr>
        <xdr:cNvPr id="66027223" name="Chart 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xdr:col>
      <xdr:colOff>0</xdr:colOff>
      <xdr:row>131</xdr:row>
      <xdr:rowOff>0</xdr:rowOff>
    </xdr:from>
    <xdr:to>
      <xdr:col>1</xdr:col>
      <xdr:colOff>4724400</xdr:colOff>
      <xdr:row>147</xdr:row>
      <xdr:rowOff>9525</xdr:rowOff>
    </xdr:to>
    <xdr:graphicFrame macro="">
      <xdr:nvGraphicFramePr>
        <xdr:cNvPr id="66027224" name="Chart 4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xdr:col>
      <xdr:colOff>0</xdr:colOff>
      <xdr:row>424</xdr:row>
      <xdr:rowOff>0</xdr:rowOff>
    </xdr:from>
    <xdr:to>
      <xdr:col>1</xdr:col>
      <xdr:colOff>4686300</xdr:colOff>
      <xdr:row>439</xdr:row>
      <xdr:rowOff>133350</xdr:rowOff>
    </xdr:to>
    <xdr:graphicFrame macro="">
      <xdr:nvGraphicFramePr>
        <xdr:cNvPr id="66027225" name="global billable cabinets"/>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xdr:col>
      <xdr:colOff>0</xdr:colOff>
      <xdr:row>284</xdr:row>
      <xdr:rowOff>0</xdr:rowOff>
    </xdr:from>
    <xdr:to>
      <xdr:col>1</xdr:col>
      <xdr:colOff>4724400</xdr:colOff>
      <xdr:row>300</xdr:row>
      <xdr:rowOff>9525</xdr:rowOff>
    </xdr:to>
    <xdr:graphicFrame macro="">
      <xdr:nvGraphicFramePr>
        <xdr:cNvPr id="30" name="Chart 4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40</xdr:col>
      <xdr:colOff>209550</xdr:colOff>
      <xdr:row>72</xdr:row>
      <xdr:rowOff>9525</xdr:rowOff>
    </xdr:from>
    <xdr:to>
      <xdr:col>51</xdr:col>
      <xdr:colOff>514350</xdr:colOff>
      <xdr:row>94</xdr:row>
      <xdr:rowOff>57150</xdr:rowOff>
    </xdr:to>
    <xdr:graphicFrame macro="">
      <xdr:nvGraphicFramePr>
        <xdr:cNvPr id="45795754" name="Chart 3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41</xdr:col>
      <xdr:colOff>95250</xdr:colOff>
      <xdr:row>34</xdr:row>
      <xdr:rowOff>76200</xdr:rowOff>
    </xdr:from>
    <xdr:to>
      <xdr:col>49</xdr:col>
      <xdr:colOff>9525</xdr:colOff>
      <xdr:row>56</xdr:row>
      <xdr:rowOff>95250</xdr:rowOff>
    </xdr:to>
    <xdr:graphicFrame macro="">
      <xdr:nvGraphicFramePr>
        <xdr:cNvPr id="45795755" name="Chart 4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9525</xdr:colOff>
      <xdr:row>82</xdr:row>
      <xdr:rowOff>38100</xdr:rowOff>
    </xdr:from>
    <xdr:to>
      <xdr:col>1</xdr:col>
      <xdr:colOff>4724400</xdr:colOff>
      <xdr:row>97</xdr:row>
      <xdr:rowOff>152400</xdr:rowOff>
    </xdr:to>
    <xdr:graphicFrame macro="">
      <xdr:nvGraphicFramePr>
        <xdr:cNvPr id="66027546"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xdr:colOff>
      <xdr:row>114</xdr:row>
      <xdr:rowOff>0</xdr:rowOff>
    </xdr:from>
    <xdr:to>
      <xdr:col>1</xdr:col>
      <xdr:colOff>4733925</xdr:colOff>
      <xdr:row>129</xdr:row>
      <xdr:rowOff>123825</xdr:rowOff>
    </xdr:to>
    <xdr:graphicFrame macro="">
      <xdr:nvGraphicFramePr>
        <xdr:cNvPr id="66027547"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45</xdr:row>
      <xdr:rowOff>9525</xdr:rowOff>
    </xdr:from>
    <xdr:to>
      <xdr:col>1</xdr:col>
      <xdr:colOff>4438650</xdr:colOff>
      <xdr:row>60</xdr:row>
      <xdr:rowOff>104775</xdr:rowOff>
    </xdr:to>
    <xdr:graphicFrame macro="">
      <xdr:nvGraphicFramePr>
        <xdr:cNvPr id="66027548"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9525</xdr:colOff>
      <xdr:row>368</xdr:row>
      <xdr:rowOff>152400</xdr:rowOff>
    </xdr:from>
    <xdr:to>
      <xdr:col>1</xdr:col>
      <xdr:colOff>4667250</xdr:colOff>
      <xdr:row>384</xdr:row>
      <xdr:rowOff>152400</xdr:rowOff>
    </xdr:to>
    <xdr:graphicFrame macro="">
      <xdr:nvGraphicFramePr>
        <xdr:cNvPr id="66027549"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315</xdr:row>
      <xdr:rowOff>57150</xdr:rowOff>
    </xdr:from>
    <xdr:to>
      <xdr:col>1</xdr:col>
      <xdr:colOff>4724400</xdr:colOff>
      <xdr:row>331</xdr:row>
      <xdr:rowOff>19050</xdr:rowOff>
    </xdr:to>
    <xdr:graphicFrame macro="">
      <xdr:nvGraphicFramePr>
        <xdr:cNvPr id="66027550"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85725</xdr:colOff>
      <xdr:row>333</xdr:row>
      <xdr:rowOff>38100</xdr:rowOff>
    </xdr:from>
    <xdr:to>
      <xdr:col>1</xdr:col>
      <xdr:colOff>4762500</xdr:colOff>
      <xdr:row>349</xdr:row>
      <xdr:rowOff>0</xdr:rowOff>
    </xdr:to>
    <xdr:graphicFrame macro="">
      <xdr:nvGraphicFramePr>
        <xdr:cNvPr id="66027551"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9525</xdr:colOff>
      <xdr:row>180</xdr:row>
      <xdr:rowOff>0</xdr:rowOff>
    </xdr:from>
    <xdr:to>
      <xdr:col>1</xdr:col>
      <xdr:colOff>4733925</xdr:colOff>
      <xdr:row>195</xdr:row>
      <xdr:rowOff>123825</xdr:rowOff>
    </xdr:to>
    <xdr:graphicFrame macro="">
      <xdr:nvGraphicFramePr>
        <xdr:cNvPr id="66027552"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247</xdr:row>
      <xdr:rowOff>0</xdr:rowOff>
    </xdr:from>
    <xdr:to>
      <xdr:col>1</xdr:col>
      <xdr:colOff>4733925</xdr:colOff>
      <xdr:row>262</xdr:row>
      <xdr:rowOff>123825</xdr:rowOff>
    </xdr:to>
    <xdr:graphicFrame macro="">
      <xdr:nvGraphicFramePr>
        <xdr:cNvPr id="66027553"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265</xdr:row>
      <xdr:rowOff>0</xdr:rowOff>
    </xdr:from>
    <xdr:to>
      <xdr:col>1</xdr:col>
      <xdr:colOff>4695825</xdr:colOff>
      <xdr:row>280</xdr:row>
      <xdr:rowOff>152400</xdr:rowOff>
    </xdr:to>
    <xdr:graphicFrame macro="">
      <xdr:nvGraphicFramePr>
        <xdr:cNvPr id="66027554"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197</xdr:row>
      <xdr:rowOff>0</xdr:rowOff>
    </xdr:from>
    <xdr:to>
      <xdr:col>1</xdr:col>
      <xdr:colOff>4705350</xdr:colOff>
      <xdr:row>213</xdr:row>
      <xdr:rowOff>0</xdr:rowOff>
    </xdr:to>
    <xdr:graphicFrame macro="">
      <xdr:nvGraphicFramePr>
        <xdr:cNvPr id="66027555"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0</xdr:colOff>
      <xdr:row>131</xdr:row>
      <xdr:rowOff>0</xdr:rowOff>
    </xdr:from>
    <xdr:to>
      <xdr:col>1</xdr:col>
      <xdr:colOff>4714875</xdr:colOff>
      <xdr:row>147</xdr:row>
      <xdr:rowOff>9525</xdr:rowOff>
    </xdr:to>
    <xdr:graphicFrame macro="">
      <xdr:nvGraphicFramePr>
        <xdr:cNvPr id="66027556"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148</xdr:row>
      <xdr:rowOff>0</xdr:rowOff>
    </xdr:from>
    <xdr:to>
      <xdr:col>1</xdr:col>
      <xdr:colOff>4724400</xdr:colOff>
      <xdr:row>164</xdr:row>
      <xdr:rowOff>19050</xdr:rowOff>
    </xdr:to>
    <xdr:graphicFrame macro="">
      <xdr:nvGraphicFramePr>
        <xdr:cNvPr id="66027557"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0</xdr:colOff>
      <xdr:row>214</xdr:row>
      <xdr:rowOff>0</xdr:rowOff>
    </xdr:from>
    <xdr:to>
      <xdr:col>1</xdr:col>
      <xdr:colOff>4714875</xdr:colOff>
      <xdr:row>230</xdr:row>
      <xdr:rowOff>9525</xdr:rowOff>
    </xdr:to>
    <xdr:graphicFrame macro="">
      <xdr:nvGraphicFramePr>
        <xdr:cNvPr id="66027558"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xdr:col>
      <xdr:colOff>0</xdr:colOff>
      <xdr:row>282</xdr:row>
      <xdr:rowOff>0</xdr:rowOff>
    </xdr:from>
    <xdr:to>
      <xdr:col>1</xdr:col>
      <xdr:colOff>4705350</xdr:colOff>
      <xdr:row>298</xdr:row>
      <xdr:rowOff>0</xdr:rowOff>
    </xdr:to>
    <xdr:graphicFrame macro="">
      <xdr:nvGraphicFramePr>
        <xdr:cNvPr id="66027559"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350</xdr:row>
      <xdr:rowOff>0</xdr:rowOff>
    </xdr:from>
    <xdr:to>
      <xdr:col>1</xdr:col>
      <xdr:colOff>4686300</xdr:colOff>
      <xdr:row>365</xdr:row>
      <xdr:rowOff>133350</xdr:rowOff>
    </xdr:to>
    <xdr:graphicFrame macro="">
      <xdr:nvGraphicFramePr>
        <xdr:cNvPr id="66027560"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xdr:col>
      <xdr:colOff>0</xdr:colOff>
      <xdr:row>61</xdr:row>
      <xdr:rowOff>0</xdr:rowOff>
    </xdr:from>
    <xdr:to>
      <xdr:col>1</xdr:col>
      <xdr:colOff>4476750</xdr:colOff>
      <xdr:row>76</xdr:row>
      <xdr:rowOff>104775</xdr:rowOff>
    </xdr:to>
    <xdr:graphicFrame macro="">
      <xdr:nvGraphicFramePr>
        <xdr:cNvPr id="66027561"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9525</xdr:colOff>
      <xdr:row>386</xdr:row>
      <xdr:rowOff>152400</xdr:rowOff>
    </xdr:from>
    <xdr:to>
      <xdr:col>1</xdr:col>
      <xdr:colOff>4667250</xdr:colOff>
      <xdr:row>402</xdr:row>
      <xdr:rowOff>152400</xdr:rowOff>
    </xdr:to>
    <xdr:graphicFrame macro="">
      <xdr:nvGraphicFramePr>
        <xdr:cNvPr id="66027562" name="Chart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20</xdr:col>
      <xdr:colOff>561975</xdr:colOff>
      <xdr:row>434</xdr:row>
      <xdr:rowOff>123825</xdr:rowOff>
    </xdr:from>
    <xdr:to>
      <xdr:col>21</xdr:col>
      <xdr:colOff>57150</xdr:colOff>
      <xdr:row>436</xdr:row>
      <xdr:rowOff>9525</xdr:rowOff>
    </xdr:to>
    <xdr:sp macro="" textlink="">
      <xdr:nvSpPr>
        <xdr:cNvPr id="66027563" name="Text Box 31"/>
        <xdr:cNvSpPr txBox="1">
          <a:spLocks noChangeArrowheads="1"/>
        </xdr:cNvSpPr>
      </xdr:nvSpPr>
      <xdr:spPr bwMode="auto">
        <a:xfrm>
          <a:off x="9239250" y="70399275"/>
          <a:ext cx="104775" cy="2095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lgn="ctr">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xdr:col>
      <xdr:colOff>0</xdr:colOff>
      <xdr:row>429</xdr:row>
      <xdr:rowOff>0</xdr:rowOff>
    </xdr:from>
    <xdr:to>
      <xdr:col>1</xdr:col>
      <xdr:colOff>4695825</xdr:colOff>
      <xdr:row>444</xdr:row>
      <xdr:rowOff>142875</xdr:rowOff>
    </xdr:to>
    <xdr:graphicFrame macro="">
      <xdr:nvGraphicFramePr>
        <xdr:cNvPr id="66027564"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oneCell">
    <xdr:from>
      <xdr:col>20</xdr:col>
      <xdr:colOff>561975</xdr:colOff>
      <xdr:row>474</xdr:row>
      <xdr:rowOff>123825</xdr:rowOff>
    </xdr:from>
    <xdr:to>
      <xdr:col>21</xdr:col>
      <xdr:colOff>57150</xdr:colOff>
      <xdr:row>476</xdr:row>
      <xdr:rowOff>9525</xdr:rowOff>
    </xdr:to>
    <xdr:sp macro="" textlink="">
      <xdr:nvSpPr>
        <xdr:cNvPr id="66027565" name="Text Box 35"/>
        <xdr:cNvSpPr txBox="1">
          <a:spLocks noChangeArrowheads="1"/>
        </xdr:cNvSpPr>
      </xdr:nvSpPr>
      <xdr:spPr bwMode="auto">
        <a:xfrm>
          <a:off x="9239250" y="76876275"/>
          <a:ext cx="104775" cy="2095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lgn="ctr">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xdr:col>
      <xdr:colOff>0</xdr:colOff>
      <xdr:row>469</xdr:row>
      <xdr:rowOff>0</xdr:rowOff>
    </xdr:from>
    <xdr:to>
      <xdr:col>1</xdr:col>
      <xdr:colOff>4695825</xdr:colOff>
      <xdr:row>484</xdr:row>
      <xdr:rowOff>142875</xdr:rowOff>
    </xdr:to>
    <xdr:graphicFrame macro="">
      <xdr:nvGraphicFramePr>
        <xdr:cNvPr id="66027566" name="Chart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oneCell">
    <xdr:from>
      <xdr:col>20</xdr:col>
      <xdr:colOff>561975</xdr:colOff>
      <xdr:row>518</xdr:row>
      <xdr:rowOff>123825</xdr:rowOff>
    </xdr:from>
    <xdr:to>
      <xdr:col>21</xdr:col>
      <xdr:colOff>57150</xdr:colOff>
      <xdr:row>520</xdr:row>
      <xdr:rowOff>9525</xdr:rowOff>
    </xdr:to>
    <xdr:sp macro="" textlink="">
      <xdr:nvSpPr>
        <xdr:cNvPr id="66027567" name="Text Box 38"/>
        <xdr:cNvSpPr txBox="1">
          <a:spLocks noChangeArrowheads="1"/>
        </xdr:cNvSpPr>
      </xdr:nvSpPr>
      <xdr:spPr bwMode="auto">
        <a:xfrm>
          <a:off x="9239250" y="84000975"/>
          <a:ext cx="104775" cy="2095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lgn="ctr">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xdr:col>
      <xdr:colOff>28575</xdr:colOff>
      <xdr:row>513</xdr:row>
      <xdr:rowOff>104775</xdr:rowOff>
    </xdr:from>
    <xdr:to>
      <xdr:col>1</xdr:col>
      <xdr:colOff>4733925</xdr:colOff>
      <xdr:row>529</xdr:row>
      <xdr:rowOff>95250</xdr:rowOff>
    </xdr:to>
    <xdr:graphicFrame macro="">
      <xdr:nvGraphicFramePr>
        <xdr:cNvPr id="66027568" name="Chart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xdr:col>
      <xdr:colOff>0</xdr:colOff>
      <xdr:row>12</xdr:row>
      <xdr:rowOff>0</xdr:rowOff>
    </xdr:from>
    <xdr:to>
      <xdr:col>1</xdr:col>
      <xdr:colOff>4476750</xdr:colOff>
      <xdr:row>27</xdr:row>
      <xdr:rowOff>104775</xdr:rowOff>
    </xdr:to>
    <xdr:graphicFrame macro="">
      <xdr:nvGraphicFramePr>
        <xdr:cNvPr id="66027569" name="Chart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xdr:col>
      <xdr:colOff>0</xdr:colOff>
      <xdr:row>29</xdr:row>
      <xdr:rowOff>0</xdr:rowOff>
    </xdr:from>
    <xdr:to>
      <xdr:col>1</xdr:col>
      <xdr:colOff>4486275</xdr:colOff>
      <xdr:row>44</xdr:row>
      <xdr:rowOff>114300</xdr:rowOff>
    </xdr:to>
    <xdr:graphicFrame macro="">
      <xdr:nvGraphicFramePr>
        <xdr:cNvPr id="66027570" name="Chart 4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editAs="oneCell">
    <xdr:from>
      <xdr:col>20</xdr:col>
      <xdr:colOff>561975</xdr:colOff>
      <xdr:row>411</xdr:row>
      <xdr:rowOff>123825</xdr:rowOff>
    </xdr:from>
    <xdr:to>
      <xdr:col>21</xdr:col>
      <xdr:colOff>57150</xdr:colOff>
      <xdr:row>413</xdr:row>
      <xdr:rowOff>9525</xdr:rowOff>
    </xdr:to>
    <xdr:sp macro="" textlink="">
      <xdr:nvSpPr>
        <xdr:cNvPr id="66027571" name="Text Box 31"/>
        <xdr:cNvSpPr txBox="1">
          <a:spLocks noChangeArrowheads="1"/>
        </xdr:cNvSpPr>
      </xdr:nvSpPr>
      <xdr:spPr bwMode="auto">
        <a:xfrm>
          <a:off x="9239250" y="66675000"/>
          <a:ext cx="104775" cy="2095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lgn="ctr">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xdr:col>
      <xdr:colOff>38100</xdr:colOff>
      <xdr:row>407</xdr:row>
      <xdr:rowOff>28575</xdr:rowOff>
    </xdr:from>
    <xdr:to>
      <xdr:col>1</xdr:col>
      <xdr:colOff>4733925</xdr:colOff>
      <xdr:row>423</xdr:row>
      <xdr:rowOff>9525</xdr:rowOff>
    </xdr:to>
    <xdr:graphicFrame macro="">
      <xdr:nvGraphicFramePr>
        <xdr:cNvPr id="66027572" name="chart 00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180</xdr:row>
      <xdr:rowOff>0</xdr:rowOff>
    </xdr:from>
    <xdr:to>
      <xdr:col>7</xdr:col>
      <xdr:colOff>390525</xdr:colOff>
      <xdr:row>203</xdr:row>
      <xdr:rowOff>104775</xdr:rowOff>
    </xdr:to>
    <xdr:pic>
      <xdr:nvPicPr>
        <xdr:cNvPr id="15611905" name="Picture 1" descr="C:\Users\laml\AppData\Local\Temp\MercuryPriceRatingHistoryChart\EQIX.O_2018_04_22_18_51_02.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777490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107</xdr:col>
      <xdr:colOff>133350</xdr:colOff>
      <xdr:row>698</xdr:row>
      <xdr:rowOff>121104</xdr:rowOff>
    </xdr:from>
    <xdr:to>
      <xdr:col>109</xdr:col>
      <xdr:colOff>476250</xdr:colOff>
      <xdr:row>786</xdr:row>
      <xdr:rowOff>68036</xdr:rowOff>
    </xdr:to>
    <xdr:sp macro="" textlink="">
      <xdr:nvSpPr>
        <xdr:cNvPr id="1842299" name="Text Box 32891" hidden="1"/>
        <xdr:cNvSpPr txBox="1">
          <a:spLocks noChangeArrowheads="1"/>
        </xdr:cNvSpPr>
      </xdr:nvSpPr>
      <xdr:spPr bwMode="auto">
        <a:xfrm>
          <a:off x="11344275" y="70627875"/>
          <a:ext cx="1371600" cy="74295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107</xdr:col>
      <xdr:colOff>133350</xdr:colOff>
      <xdr:row>170</xdr:row>
      <xdr:rowOff>66675</xdr:rowOff>
    </xdr:from>
    <xdr:to>
      <xdr:col>109</xdr:col>
      <xdr:colOff>476250</xdr:colOff>
      <xdr:row>175</xdr:row>
      <xdr:rowOff>0</xdr:rowOff>
    </xdr:to>
    <xdr:sp macro="" textlink="">
      <xdr:nvSpPr>
        <xdr:cNvPr id="1842298" name="Text Box 32890" hidden="1"/>
        <xdr:cNvSpPr txBox="1">
          <a:spLocks noChangeArrowheads="1"/>
        </xdr:cNvSpPr>
      </xdr:nvSpPr>
      <xdr:spPr bwMode="auto">
        <a:xfrm>
          <a:off x="11344275" y="10591800"/>
          <a:ext cx="1371600" cy="74295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99</xdr:col>
      <xdr:colOff>590550</xdr:colOff>
      <xdr:row>179</xdr:row>
      <xdr:rowOff>66675</xdr:rowOff>
    </xdr:from>
    <xdr:to>
      <xdr:col>102</xdr:col>
      <xdr:colOff>66675</xdr:colOff>
      <xdr:row>184</xdr:row>
      <xdr:rowOff>0</xdr:rowOff>
    </xdr:to>
    <xdr:sp macro="" textlink="">
      <xdr:nvSpPr>
        <xdr:cNvPr id="1842297" name="Text Box 32889" hidden="1"/>
        <xdr:cNvSpPr txBox="1">
          <a:spLocks noChangeArrowheads="1"/>
        </xdr:cNvSpPr>
      </xdr:nvSpPr>
      <xdr:spPr bwMode="auto">
        <a:xfrm>
          <a:off x="6772275" y="12049125"/>
          <a:ext cx="1362075" cy="74295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107</xdr:col>
      <xdr:colOff>133350</xdr:colOff>
      <xdr:row>423</xdr:row>
      <xdr:rowOff>66675</xdr:rowOff>
    </xdr:from>
    <xdr:to>
      <xdr:col>109</xdr:col>
      <xdr:colOff>476250</xdr:colOff>
      <xdr:row>428</xdr:row>
      <xdr:rowOff>0</xdr:rowOff>
    </xdr:to>
    <xdr:sp macro="" textlink="">
      <xdr:nvSpPr>
        <xdr:cNvPr id="1842296" name="Text Box 32888" hidden="1"/>
        <xdr:cNvSpPr txBox="1">
          <a:spLocks noChangeArrowheads="1"/>
        </xdr:cNvSpPr>
      </xdr:nvSpPr>
      <xdr:spPr bwMode="auto">
        <a:xfrm>
          <a:off x="11344275" y="32356425"/>
          <a:ext cx="1371600" cy="74295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99</xdr:col>
      <xdr:colOff>581025</xdr:colOff>
      <xdr:row>382</xdr:row>
      <xdr:rowOff>66675</xdr:rowOff>
    </xdr:from>
    <xdr:to>
      <xdr:col>102</xdr:col>
      <xdr:colOff>85725</xdr:colOff>
      <xdr:row>386</xdr:row>
      <xdr:rowOff>152400</xdr:rowOff>
    </xdr:to>
    <xdr:sp macro="" textlink="">
      <xdr:nvSpPr>
        <xdr:cNvPr id="246794" name="Text Box 3082" hidden="1"/>
        <xdr:cNvSpPr txBox="1">
          <a:spLocks noChangeArrowheads="1"/>
        </xdr:cNvSpPr>
      </xdr:nvSpPr>
      <xdr:spPr bwMode="auto">
        <a:xfrm>
          <a:off x="6762750" y="28632150"/>
          <a:ext cx="1390650" cy="73342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123</xdr:col>
      <xdr:colOff>266700</xdr:colOff>
      <xdr:row>83</xdr:row>
      <xdr:rowOff>66675</xdr:rowOff>
    </xdr:from>
    <xdr:to>
      <xdr:col>125</xdr:col>
      <xdr:colOff>293914</xdr:colOff>
      <xdr:row>101</xdr:row>
      <xdr:rowOff>0</xdr:rowOff>
    </xdr:to>
    <xdr:sp macro="" textlink="">
      <xdr:nvSpPr>
        <xdr:cNvPr id="279563" name="Text Box 1035" hidden="1"/>
        <xdr:cNvSpPr txBox="1">
          <a:spLocks noChangeArrowheads="1"/>
        </xdr:cNvSpPr>
      </xdr:nvSpPr>
      <xdr:spPr bwMode="auto">
        <a:xfrm>
          <a:off x="10572750" y="10267950"/>
          <a:ext cx="1371600" cy="74295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23</xdr:col>
      <xdr:colOff>152400</xdr:colOff>
      <xdr:row>55</xdr:row>
      <xdr:rowOff>66675</xdr:rowOff>
    </xdr:from>
    <xdr:to>
      <xdr:col>118</xdr:col>
      <xdr:colOff>42182</xdr:colOff>
      <xdr:row>60</xdr:row>
      <xdr:rowOff>0</xdr:rowOff>
    </xdr:to>
    <xdr:sp macro="" textlink="">
      <xdr:nvSpPr>
        <xdr:cNvPr id="279562" name="Text Box 1034" hidden="1"/>
        <xdr:cNvSpPr txBox="1">
          <a:spLocks noChangeArrowheads="1"/>
        </xdr:cNvSpPr>
      </xdr:nvSpPr>
      <xdr:spPr bwMode="auto">
        <a:xfrm>
          <a:off x="5619750" y="7839075"/>
          <a:ext cx="1362075" cy="74295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120</xdr:col>
      <xdr:colOff>521153</xdr:colOff>
      <xdr:row>177</xdr:row>
      <xdr:rowOff>66675</xdr:rowOff>
    </xdr:from>
    <xdr:to>
      <xdr:col>126</xdr:col>
      <xdr:colOff>27214</xdr:colOff>
      <xdr:row>230</xdr:row>
      <xdr:rowOff>85725</xdr:rowOff>
    </xdr:to>
    <xdr:sp macro="" textlink="">
      <xdr:nvSpPr>
        <xdr:cNvPr id="279559" name="Text Box 1031" hidden="1"/>
        <xdr:cNvSpPr txBox="1">
          <a:spLocks noChangeArrowheads="1"/>
        </xdr:cNvSpPr>
      </xdr:nvSpPr>
      <xdr:spPr bwMode="auto">
        <a:xfrm>
          <a:off x="8810625" y="21440775"/>
          <a:ext cx="3457575" cy="180975"/>
        </a:xfrm>
        <a:prstGeom prst="rect">
          <a:avLst/>
        </a:prstGeom>
        <a:solidFill>
          <a:srgbClr xmlns:mc="http://schemas.openxmlformats.org/markup-compatibility/2006" xmlns:a14="http://schemas.microsoft.com/office/drawing/2010/main" val="FFFFE1" mc:Ignorable="a14" a14:legacySpreadsheetColorIndex="80"/>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23</xdr:col>
      <xdr:colOff>152400</xdr:colOff>
      <xdr:row>61</xdr:row>
      <xdr:rowOff>66675</xdr:rowOff>
    </xdr:from>
    <xdr:to>
      <xdr:col>118</xdr:col>
      <xdr:colOff>51707</xdr:colOff>
      <xdr:row>66</xdr:row>
      <xdr:rowOff>0</xdr:rowOff>
    </xdr:to>
    <xdr:sp macro="" textlink="">
      <xdr:nvSpPr>
        <xdr:cNvPr id="279558" name="Text Box 1030" hidden="1"/>
        <xdr:cNvSpPr txBox="1">
          <a:spLocks noChangeArrowheads="1"/>
        </xdr:cNvSpPr>
      </xdr:nvSpPr>
      <xdr:spPr bwMode="auto">
        <a:xfrm>
          <a:off x="5619750" y="8810625"/>
          <a:ext cx="1371600" cy="74295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121</xdr:col>
      <xdr:colOff>410936</xdr:colOff>
      <xdr:row>169</xdr:row>
      <xdr:rowOff>66675</xdr:rowOff>
    </xdr:from>
    <xdr:to>
      <xdr:col>123</xdr:col>
      <xdr:colOff>409575</xdr:colOff>
      <xdr:row>169</xdr:row>
      <xdr:rowOff>66675</xdr:rowOff>
    </xdr:to>
    <xdr:sp macro="" textlink="">
      <xdr:nvSpPr>
        <xdr:cNvPr id="279557" name="Text Box 1029" hidden="1"/>
        <xdr:cNvSpPr txBox="1">
          <a:spLocks noChangeArrowheads="1"/>
        </xdr:cNvSpPr>
      </xdr:nvSpPr>
      <xdr:spPr bwMode="auto">
        <a:xfrm>
          <a:off x="9372600" y="20145375"/>
          <a:ext cx="1343025" cy="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121</xdr:col>
      <xdr:colOff>410936</xdr:colOff>
      <xdr:row>102</xdr:row>
      <xdr:rowOff>66675</xdr:rowOff>
    </xdr:from>
    <xdr:to>
      <xdr:col>123</xdr:col>
      <xdr:colOff>438150</xdr:colOff>
      <xdr:row>107</xdr:row>
      <xdr:rowOff>0</xdr:rowOff>
    </xdr:to>
    <xdr:sp macro="" textlink="">
      <xdr:nvSpPr>
        <xdr:cNvPr id="279556" name="Text Box 1028" hidden="1"/>
        <xdr:cNvSpPr txBox="1">
          <a:spLocks noChangeArrowheads="1"/>
        </xdr:cNvSpPr>
      </xdr:nvSpPr>
      <xdr:spPr bwMode="auto">
        <a:xfrm>
          <a:off x="9372600" y="11239500"/>
          <a:ext cx="1371600" cy="74295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wsDr>
</file>

<file path=xl/drawings/drawing24.xml><?xml version="1.0" encoding="utf-8"?>
<xdr:wsDr xmlns:xdr="http://schemas.openxmlformats.org/drawingml/2006/spreadsheetDrawing" xmlns:a="http://schemas.openxmlformats.org/drawingml/2006/main">
  <xdr:twoCellAnchor editAs="absolute">
    <xdr:from>
      <xdr:col>164</xdr:col>
      <xdr:colOff>287111</xdr:colOff>
      <xdr:row>38</xdr:row>
      <xdr:rowOff>76200</xdr:rowOff>
    </xdr:from>
    <xdr:to>
      <xdr:col>167</xdr:col>
      <xdr:colOff>594632</xdr:colOff>
      <xdr:row>40</xdr:row>
      <xdr:rowOff>57150</xdr:rowOff>
    </xdr:to>
    <xdr:sp macro="" textlink="">
      <xdr:nvSpPr>
        <xdr:cNvPr id="15362" name="Text Box 2" hidden="1"/>
        <xdr:cNvSpPr txBox="1">
          <a:spLocks noChangeArrowheads="1"/>
        </xdr:cNvSpPr>
      </xdr:nvSpPr>
      <xdr:spPr bwMode="auto">
        <a:xfrm>
          <a:off x="27955875" y="4610100"/>
          <a:ext cx="2133600" cy="304800"/>
        </a:xfrm>
        <a:prstGeom prst="rect">
          <a:avLst/>
        </a:prstGeom>
        <a:solidFill>
          <a:srgbClr xmlns:mc="http://schemas.openxmlformats.org/markup-compatibility/2006" xmlns:a14="http://schemas.microsoft.com/office/drawing/2010/main" val="FFFFE1" mc:Ignorable="a14" a14:legacySpreadsheetColorIndex="80"/>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105</xdr:col>
      <xdr:colOff>617764</xdr:colOff>
      <xdr:row>211</xdr:row>
      <xdr:rowOff>66675</xdr:rowOff>
    </xdr:from>
    <xdr:to>
      <xdr:col>108</xdr:col>
      <xdr:colOff>115661</xdr:colOff>
      <xdr:row>216</xdr:row>
      <xdr:rowOff>0</xdr:rowOff>
    </xdr:to>
    <xdr:sp macro="" textlink="">
      <xdr:nvSpPr>
        <xdr:cNvPr id="281604" name="Text Box 1028" hidden="1"/>
        <xdr:cNvSpPr txBox="1">
          <a:spLocks noChangeArrowheads="1"/>
        </xdr:cNvSpPr>
      </xdr:nvSpPr>
      <xdr:spPr bwMode="auto">
        <a:xfrm>
          <a:off x="10953750" y="17992725"/>
          <a:ext cx="1381125" cy="74295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102</xdr:col>
      <xdr:colOff>560614</xdr:colOff>
      <xdr:row>64</xdr:row>
      <xdr:rowOff>66675</xdr:rowOff>
    </xdr:from>
    <xdr:to>
      <xdr:col>105</xdr:col>
      <xdr:colOff>68035</xdr:colOff>
      <xdr:row>69</xdr:row>
      <xdr:rowOff>0</xdr:rowOff>
    </xdr:to>
    <xdr:sp macro="" textlink="">
      <xdr:nvSpPr>
        <xdr:cNvPr id="281603" name="Text Box 1027" hidden="1"/>
        <xdr:cNvSpPr txBox="1">
          <a:spLocks noChangeArrowheads="1"/>
        </xdr:cNvSpPr>
      </xdr:nvSpPr>
      <xdr:spPr bwMode="auto">
        <a:xfrm>
          <a:off x="9010650" y="7696200"/>
          <a:ext cx="1390650" cy="74295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103</xdr:col>
      <xdr:colOff>560615</xdr:colOff>
      <xdr:row>64</xdr:row>
      <xdr:rowOff>66675</xdr:rowOff>
    </xdr:from>
    <xdr:to>
      <xdr:col>151</xdr:col>
      <xdr:colOff>2058760</xdr:colOff>
      <xdr:row>107</xdr:row>
      <xdr:rowOff>104775</xdr:rowOff>
    </xdr:to>
    <xdr:sp macro="" textlink="">
      <xdr:nvSpPr>
        <xdr:cNvPr id="281602" name="Text Box 1026" hidden="1"/>
        <xdr:cNvSpPr txBox="1">
          <a:spLocks noChangeArrowheads="1"/>
        </xdr:cNvSpPr>
      </xdr:nvSpPr>
      <xdr:spPr bwMode="auto">
        <a:xfrm>
          <a:off x="9639300" y="7696200"/>
          <a:ext cx="6486525" cy="43434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2486025</xdr:colOff>
      <xdr:row>426</xdr:row>
      <xdr:rowOff>28575</xdr:rowOff>
    </xdr:from>
    <xdr:to>
      <xdr:col>21</xdr:col>
      <xdr:colOff>409575</xdr:colOff>
      <xdr:row>426</xdr:row>
      <xdr:rowOff>85725</xdr:rowOff>
    </xdr:to>
    <xdr:sp macro="" textlink="">
      <xdr:nvSpPr>
        <xdr:cNvPr id="2051" name="Text Box 3" hidden="1"/>
        <xdr:cNvSpPr txBox="1">
          <a:spLocks noChangeArrowheads="1"/>
        </xdr:cNvSpPr>
      </xdr:nvSpPr>
      <xdr:spPr bwMode="auto">
        <a:xfrm>
          <a:off x="3095625" y="30308550"/>
          <a:ext cx="2171700" cy="57150"/>
        </a:xfrm>
        <a:prstGeom prst="rect">
          <a:avLst/>
        </a:prstGeom>
        <a:solidFill>
          <a:srgbClr xmlns:mc="http://schemas.openxmlformats.org/markup-compatibility/2006" xmlns:a14="http://schemas.microsoft.com/office/drawing/2010/main" val="FFFFE1" mc:Ignorable="a14" a14:legacySpreadsheetColorIndex="80"/>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xdr:col>
      <xdr:colOff>247650</xdr:colOff>
      <xdr:row>351</xdr:row>
      <xdr:rowOff>9525</xdr:rowOff>
    </xdr:from>
    <xdr:to>
      <xdr:col>22</xdr:col>
      <xdr:colOff>476250</xdr:colOff>
      <xdr:row>355</xdr:row>
      <xdr:rowOff>28575</xdr:rowOff>
    </xdr:to>
    <xdr:sp macro="" textlink="">
      <xdr:nvSpPr>
        <xdr:cNvPr id="2052" name="Text Box 4" hidden="1"/>
        <xdr:cNvSpPr txBox="1">
          <a:spLocks noChangeArrowheads="1"/>
        </xdr:cNvSpPr>
      </xdr:nvSpPr>
      <xdr:spPr bwMode="auto">
        <a:xfrm>
          <a:off x="3790950" y="18145125"/>
          <a:ext cx="2152650" cy="666750"/>
        </a:xfrm>
        <a:prstGeom prst="rect">
          <a:avLst/>
        </a:prstGeom>
        <a:solidFill>
          <a:srgbClr xmlns:mc="http://schemas.openxmlformats.org/markup-compatibility/2006" xmlns:a14="http://schemas.microsoft.com/office/drawing/2010/main" val="FFFFE1" mc:Ignorable="a14" a14:legacySpreadsheetColorIndex="80"/>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xdr:col>
      <xdr:colOff>247650</xdr:colOff>
      <xdr:row>361</xdr:row>
      <xdr:rowOff>28575</xdr:rowOff>
    </xdr:from>
    <xdr:to>
      <xdr:col>22</xdr:col>
      <xdr:colOff>476250</xdr:colOff>
      <xdr:row>365</xdr:row>
      <xdr:rowOff>28575</xdr:rowOff>
    </xdr:to>
    <xdr:sp macro="" textlink="">
      <xdr:nvSpPr>
        <xdr:cNvPr id="2053" name="Text Box 5" hidden="1"/>
        <xdr:cNvSpPr txBox="1">
          <a:spLocks noChangeArrowheads="1"/>
        </xdr:cNvSpPr>
      </xdr:nvSpPr>
      <xdr:spPr bwMode="auto">
        <a:xfrm>
          <a:off x="3790950" y="19783425"/>
          <a:ext cx="2152650" cy="647700"/>
        </a:xfrm>
        <a:prstGeom prst="rect">
          <a:avLst/>
        </a:prstGeom>
        <a:solidFill>
          <a:srgbClr xmlns:mc="http://schemas.openxmlformats.org/markup-compatibility/2006" xmlns:a14="http://schemas.microsoft.com/office/drawing/2010/main" val="FFFFE1" mc:Ignorable="a14" a14:legacySpreadsheetColorIndex="80"/>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20</xdr:col>
      <xdr:colOff>95250</xdr:colOff>
      <xdr:row>226</xdr:row>
      <xdr:rowOff>0</xdr:rowOff>
    </xdr:from>
    <xdr:to>
      <xdr:col>22</xdr:col>
      <xdr:colOff>257175</xdr:colOff>
      <xdr:row>256</xdr:row>
      <xdr:rowOff>0</xdr:rowOff>
    </xdr:to>
    <xdr:sp macro="" textlink="">
      <xdr:nvSpPr>
        <xdr:cNvPr id="2054" name="Text Box 6" hidden="1"/>
        <xdr:cNvSpPr txBox="1">
          <a:spLocks noChangeArrowheads="1"/>
        </xdr:cNvSpPr>
      </xdr:nvSpPr>
      <xdr:spPr bwMode="auto">
        <a:xfrm>
          <a:off x="4343400" y="7448550"/>
          <a:ext cx="1381125" cy="97155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20</xdr:col>
      <xdr:colOff>95250</xdr:colOff>
      <xdr:row>226</xdr:row>
      <xdr:rowOff>0</xdr:rowOff>
    </xdr:from>
    <xdr:to>
      <xdr:col>22</xdr:col>
      <xdr:colOff>257175</xdr:colOff>
      <xdr:row>256</xdr:row>
      <xdr:rowOff>0</xdr:rowOff>
    </xdr:to>
    <xdr:sp macro="" textlink="">
      <xdr:nvSpPr>
        <xdr:cNvPr id="2055" name="Text Box 7" hidden="1"/>
        <xdr:cNvSpPr txBox="1">
          <a:spLocks noChangeArrowheads="1"/>
        </xdr:cNvSpPr>
      </xdr:nvSpPr>
      <xdr:spPr bwMode="auto">
        <a:xfrm>
          <a:off x="4343400" y="7448550"/>
          <a:ext cx="1381125" cy="97155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103</xdr:col>
      <xdr:colOff>152400</xdr:colOff>
      <xdr:row>49</xdr:row>
      <xdr:rowOff>66675</xdr:rowOff>
    </xdr:from>
    <xdr:to>
      <xdr:col>106</xdr:col>
      <xdr:colOff>466725</xdr:colOff>
      <xdr:row>51</xdr:row>
      <xdr:rowOff>66675</xdr:rowOff>
    </xdr:to>
    <xdr:sp macro="" textlink="">
      <xdr:nvSpPr>
        <xdr:cNvPr id="282637" name="Text Box 1037" hidden="1"/>
        <xdr:cNvSpPr txBox="1">
          <a:spLocks noChangeArrowheads="1"/>
        </xdr:cNvSpPr>
      </xdr:nvSpPr>
      <xdr:spPr bwMode="auto">
        <a:xfrm>
          <a:off x="9886950" y="2981325"/>
          <a:ext cx="2143125" cy="323850"/>
        </a:xfrm>
        <a:prstGeom prst="rect">
          <a:avLst/>
        </a:prstGeom>
        <a:solidFill>
          <a:srgbClr xmlns:mc="http://schemas.openxmlformats.org/markup-compatibility/2006" xmlns:a14="http://schemas.microsoft.com/office/drawing/2010/main" val="FFFFE1" mc:Ignorable="a14" a14:legacySpreadsheetColorIndex="80"/>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103</xdr:col>
      <xdr:colOff>152400</xdr:colOff>
      <xdr:row>91</xdr:row>
      <xdr:rowOff>66675</xdr:rowOff>
    </xdr:from>
    <xdr:to>
      <xdr:col>106</xdr:col>
      <xdr:colOff>466725</xdr:colOff>
      <xdr:row>96</xdr:row>
      <xdr:rowOff>38100</xdr:rowOff>
    </xdr:to>
    <xdr:sp macro="" textlink="">
      <xdr:nvSpPr>
        <xdr:cNvPr id="282636" name="Text Box 1036" hidden="1"/>
        <xdr:cNvSpPr txBox="1">
          <a:spLocks noChangeArrowheads="1"/>
        </xdr:cNvSpPr>
      </xdr:nvSpPr>
      <xdr:spPr bwMode="auto">
        <a:xfrm>
          <a:off x="9886950" y="3952875"/>
          <a:ext cx="2143125" cy="781050"/>
        </a:xfrm>
        <a:prstGeom prst="rect">
          <a:avLst/>
        </a:prstGeom>
        <a:solidFill>
          <a:srgbClr xmlns:mc="http://schemas.openxmlformats.org/markup-compatibility/2006" xmlns:a14="http://schemas.microsoft.com/office/drawing/2010/main" val="FFFFE1" mc:Ignorable="a14" a14:legacySpreadsheetColorIndex="80"/>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xdr:col>
      <xdr:colOff>152400</xdr:colOff>
      <xdr:row>101</xdr:row>
      <xdr:rowOff>66675</xdr:rowOff>
    </xdr:from>
    <xdr:to>
      <xdr:col>22</xdr:col>
      <xdr:colOff>390525</xdr:colOff>
      <xdr:row>217</xdr:row>
      <xdr:rowOff>152400</xdr:rowOff>
    </xdr:to>
    <xdr:sp macro="" textlink="">
      <xdr:nvSpPr>
        <xdr:cNvPr id="282633" name="Text Box 1033" hidden="1"/>
        <xdr:cNvSpPr txBox="1">
          <a:spLocks noChangeArrowheads="1"/>
        </xdr:cNvSpPr>
      </xdr:nvSpPr>
      <xdr:spPr bwMode="auto">
        <a:xfrm>
          <a:off x="3695700" y="5572125"/>
          <a:ext cx="2162175" cy="571500"/>
        </a:xfrm>
        <a:prstGeom prst="rect">
          <a:avLst/>
        </a:prstGeom>
        <a:solidFill>
          <a:srgbClr xmlns:mc="http://schemas.openxmlformats.org/markup-compatibility/2006" xmlns:a14="http://schemas.microsoft.com/office/drawing/2010/main" val="FFFFE1" mc:Ignorable="a14" a14:legacySpreadsheetColorIndex="80"/>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107</xdr:col>
      <xdr:colOff>152400</xdr:colOff>
      <xdr:row>5</xdr:row>
      <xdr:rowOff>66675</xdr:rowOff>
    </xdr:from>
    <xdr:to>
      <xdr:col>111</xdr:col>
      <xdr:colOff>542925</xdr:colOff>
      <xdr:row>13</xdr:row>
      <xdr:rowOff>152400</xdr:rowOff>
    </xdr:to>
    <xdr:sp macro="" textlink="">
      <xdr:nvSpPr>
        <xdr:cNvPr id="282630" name="Text Box 1030" hidden="1"/>
        <xdr:cNvSpPr txBox="1">
          <a:spLocks noChangeArrowheads="1"/>
        </xdr:cNvSpPr>
      </xdr:nvSpPr>
      <xdr:spPr bwMode="auto">
        <a:xfrm>
          <a:off x="12325350" y="876300"/>
          <a:ext cx="2828925" cy="138112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107</xdr:col>
      <xdr:colOff>152400</xdr:colOff>
      <xdr:row>8</xdr:row>
      <xdr:rowOff>66675</xdr:rowOff>
    </xdr:from>
    <xdr:to>
      <xdr:col>109</xdr:col>
      <xdr:colOff>295275</xdr:colOff>
      <xdr:row>13</xdr:row>
      <xdr:rowOff>0</xdr:rowOff>
    </xdr:to>
    <xdr:sp macro="" textlink="">
      <xdr:nvSpPr>
        <xdr:cNvPr id="282629" name="Text Box 1029" hidden="1"/>
        <xdr:cNvSpPr txBox="1">
          <a:spLocks noChangeArrowheads="1"/>
        </xdr:cNvSpPr>
      </xdr:nvSpPr>
      <xdr:spPr bwMode="auto">
        <a:xfrm>
          <a:off x="12325350" y="1362075"/>
          <a:ext cx="1362075" cy="74295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99</xdr:col>
      <xdr:colOff>152400</xdr:colOff>
      <xdr:row>216</xdr:row>
      <xdr:rowOff>66675</xdr:rowOff>
    </xdr:from>
    <xdr:to>
      <xdr:col>102</xdr:col>
      <xdr:colOff>409575</xdr:colOff>
      <xdr:row>218</xdr:row>
      <xdr:rowOff>66675</xdr:rowOff>
    </xdr:to>
    <xdr:sp macro="" textlink="">
      <xdr:nvSpPr>
        <xdr:cNvPr id="282628" name="Text Box 1028" hidden="1"/>
        <xdr:cNvSpPr txBox="1">
          <a:spLocks noChangeArrowheads="1"/>
        </xdr:cNvSpPr>
      </xdr:nvSpPr>
      <xdr:spPr bwMode="auto">
        <a:xfrm>
          <a:off x="7448550" y="5895975"/>
          <a:ext cx="2085975" cy="323850"/>
        </a:xfrm>
        <a:prstGeom prst="rect">
          <a:avLst/>
        </a:prstGeom>
        <a:solidFill>
          <a:srgbClr xmlns:mc="http://schemas.openxmlformats.org/markup-compatibility/2006" xmlns:a14="http://schemas.microsoft.com/office/drawing/2010/main" val="FFFFE1" mc:Ignorable="a14" a14:legacySpreadsheetColorIndex="80"/>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xdr:col>
      <xdr:colOff>723900</xdr:colOff>
      <xdr:row>222</xdr:row>
      <xdr:rowOff>28575</xdr:rowOff>
    </xdr:from>
    <xdr:to>
      <xdr:col>2</xdr:col>
      <xdr:colOff>438150</xdr:colOff>
      <xdr:row>272</xdr:row>
      <xdr:rowOff>9525</xdr:rowOff>
    </xdr:to>
    <xdr:sp macro="" textlink="">
      <xdr:nvSpPr>
        <xdr:cNvPr id="282627" name="Text Box 1027" hidden="1"/>
        <xdr:cNvSpPr txBox="1">
          <a:spLocks noChangeArrowheads="1"/>
        </xdr:cNvSpPr>
      </xdr:nvSpPr>
      <xdr:spPr bwMode="auto">
        <a:xfrm>
          <a:off x="1333500" y="6829425"/>
          <a:ext cx="2647950" cy="41910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104</xdr:col>
      <xdr:colOff>152400</xdr:colOff>
      <xdr:row>275</xdr:row>
      <xdr:rowOff>66675</xdr:rowOff>
    </xdr:from>
    <xdr:to>
      <xdr:col>107</xdr:col>
      <xdr:colOff>466725</xdr:colOff>
      <xdr:row>285</xdr:row>
      <xdr:rowOff>66675</xdr:rowOff>
    </xdr:to>
    <xdr:sp macro="" textlink="">
      <xdr:nvSpPr>
        <xdr:cNvPr id="282626" name="Text Box 1026" hidden="1"/>
        <xdr:cNvSpPr txBox="1">
          <a:spLocks noChangeArrowheads="1"/>
        </xdr:cNvSpPr>
      </xdr:nvSpPr>
      <xdr:spPr bwMode="auto">
        <a:xfrm>
          <a:off x="10496550" y="11563350"/>
          <a:ext cx="2143125" cy="1619250"/>
        </a:xfrm>
        <a:prstGeom prst="rect">
          <a:avLst/>
        </a:prstGeom>
        <a:solidFill>
          <a:srgbClr xmlns:mc="http://schemas.openxmlformats.org/markup-compatibility/2006" xmlns:a14="http://schemas.microsoft.com/office/drawing/2010/main" val="FFFFE1" mc:Ignorable="a14" a14:legacySpreadsheetColorIndex="80"/>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85725</xdr:colOff>
      <xdr:row>0</xdr:row>
      <xdr:rowOff>57150</xdr:rowOff>
    </xdr:from>
    <xdr:to>
      <xdr:col>0</xdr:col>
      <xdr:colOff>6153150</xdr:colOff>
      <xdr:row>27</xdr:row>
      <xdr:rowOff>19050</xdr:rowOff>
    </xdr:to>
    <xdr:graphicFrame macro="">
      <xdr:nvGraphicFramePr>
        <xdr:cNvPr id="184436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85</xdr:col>
      <xdr:colOff>9525</xdr:colOff>
      <xdr:row>85</xdr:row>
      <xdr:rowOff>38100</xdr:rowOff>
    </xdr:from>
    <xdr:to>
      <xdr:col>94</xdr:col>
      <xdr:colOff>142875</xdr:colOff>
      <xdr:row>105</xdr:row>
      <xdr:rowOff>114300</xdr:rowOff>
    </xdr:to>
    <xdr:graphicFrame macro="">
      <xdr:nvGraphicFramePr>
        <xdr:cNvPr id="57275041" name="Chart 3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94</xdr:col>
      <xdr:colOff>38100</xdr:colOff>
      <xdr:row>114</xdr:row>
      <xdr:rowOff>66675</xdr:rowOff>
    </xdr:from>
    <xdr:to>
      <xdr:col>105</xdr:col>
      <xdr:colOff>304800</xdr:colOff>
      <xdr:row>139</xdr:row>
      <xdr:rowOff>123825</xdr:rowOff>
    </xdr:to>
    <xdr:graphicFrame macro="">
      <xdr:nvGraphicFramePr>
        <xdr:cNvPr id="57275042" name="Chart 4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112</xdr:col>
      <xdr:colOff>381000</xdr:colOff>
      <xdr:row>136</xdr:row>
      <xdr:rowOff>0</xdr:rowOff>
    </xdr:from>
    <xdr:to>
      <xdr:col>119</xdr:col>
      <xdr:colOff>352425</xdr:colOff>
      <xdr:row>157</xdr:row>
      <xdr:rowOff>57150</xdr:rowOff>
    </xdr:to>
    <xdr:graphicFrame macro="">
      <xdr:nvGraphicFramePr>
        <xdr:cNvPr id="57275043" name="Chart 5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113</xdr:col>
      <xdr:colOff>76200</xdr:colOff>
      <xdr:row>142</xdr:row>
      <xdr:rowOff>114300</xdr:rowOff>
    </xdr:from>
    <xdr:to>
      <xdr:col>113</xdr:col>
      <xdr:colOff>171450</xdr:colOff>
      <xdr:row>144</xdr:row>
      <xdr:rowOff>0</xdr:rowOff>
    </xdr:to>
    <xdr:sp macro="" textlink="">
      <xdr:nvSpPr>
        <xdr:cNvPr id="57275044" name="Text Box 7"/>
        <xdr:cNvSpPr txBox="1">
          <a:spLocks noChangeArrowheads="1"/>
        </xdr:cNvSpPr>
      </xdr:nvSpPr>
      <xdr:spPr bwMode="auto">
        <a:xfrm>
          <a:off x="68246625" y="22536150"/>
          <a:ext cx="9525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111</xdr:col>
      <xdr:colOff>266700</xdr:colOff>
      <xdr:row>142</xdr:row>
      <xdr:rowOff>114300</xdr:rowOff>
    </xdr:from>
    <xdr:to>
      <xdr:col>111</xdr:col>
      <xdr:colOff>361950</xdr:colOff>
      <xdr:row>144</xdr:row>
      <xdr:rowOff>0</xdr:rowOff>
    </xdr:to>
    <xdr:sp macro="" textlink="">
      <xdr:nvSpPr>
        <xdr:cNvPr id="57275045" name="Text Box 8"/>
        <xdr:cNvSpPr txBox="1">
          <a:spLocks noChangeArrowheads="1"/>
        </xdr:cNvSpPr>
      </xdr:nvSpPr>
      <xdr:spPr bwMode="auto">
        <a:xfrm>
          <a:off x="67217925" y="22536150"/>
          <a:ext cx="9525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112</xdr:col>
      <xdr:colOff>400050</xdr:colOff>
      <xdr:row>158</xdr:row>
      <xdr:rowOff>85725</xdr:rowOff>
    </xdr:from>
    <xdr:to>
      <xdr:col>119</xdr:col>
      <xdr:colOff>371475</xdr:colOff>
      <xdr:row>179</xdr:row>
      <xdr:rowOff>142875</xdr:rowOff>
    </xdr:to>
    <xdr:graphicFrame macro="">
      <xdr:nvGraphicFramePr>
        <xdr:cNvPr id="57275046" name="Chart 9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112</xdr:col>
      <xdr:colOff>400050</xdr:colOff>
      <xdr:row>181</xdr:row>
      <xdr:rowOff>0</xdr:rowOff>
    </xdr:from>
    <xdr:to>
      <xdr:col>119</xdr:col>
      <xdr:colOff>371475</xdr:colOff>
      <xdr:row>202</xdr:row>
      <xdr:rowOff>57150</xdr:rowOff>
    </xdr:to>
    <xdr:graphicFrame macro="">
      <xdr:nvGraphicFramePr>
        <xdr:cNvPr id="57275047" name="Chart 10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112</xdr:col>
      <xdr:colOff>266700</xdr:colOff>
      <xdr:row>114</xdr:row>
      <xdr:rowOff>76200</xdr:rowOff>
    </xdr:from>
    <xdr:to>
      <xdr:col>120</xdr:col>
      <xdr:colOff>238125</xdr:colOff>
      <xdr:row>131</xdr:row>
      <xdr:rowOff>114300</xdr:rowOff>
    </xdr:to>
    <xdr:graphicFrame macro="">
      <xdr:nvGraphicFramePr>
        <xdr:cNvPr id="57275048"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8.xml><?xml version="1.0" encoding="utf-8"?>
<c:userShapes xmlns:c="http://schemas.openxmlformats.org/drawingml/2006/chart">
  <cdr:relSizeAnchor xmlns:cdr="http://schemas.openxmlformats.org/drawingml/2006/chartDrawing">
    <cdr:from>
      <cdr:x>0.01936</cdr:x>
      <cdr:y>0.02436</cdr:y>
    </cdr:from>
    <cdr:to>
      <cdr:x>0.21983</cdr:x>
      <cdr:y>0.07565</cdr:y>
    </cdr:to>
    <cdr:sp macro="" textlink="">
      <cdr:nvSpPr>
        <cdr:cNvPr id="95233" name="Text Box 1"/>
        <cdr:cNvSpPr txBox="1">
          <a:spLocks xmlns:a="http://schemas.openxmlformats.org/drawingml/2006/main" noChangeArrowheads="1"/>
        </cdr:cNvSpPr>
      </cdr:nvSpPr>
      <cdr:spPr bwMode="auto">
        <a:xfrm xmlns:a="http://schemas.openxmlformats.org/drawingml/2006/main">
          <a:off x="84747" y="95722"/>
          <a:ext cx="1025614" cy="26708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36576" tIns="27432" rIns="0" bIns="0" anchor="t" upright="1"/>
        <a:lstStyle xmlns:a="http://schemas.openxmlformats.org/drawingml/2006/main"/>
        <a:p xmlns:a="http://schemas.openxmlformats.org/drawingml/2006/main">
          <a:pPr algn="l" rtl="0">
            <a:defRPr sz="1000"/>
          </a:pPr>
          <a:r>
            <a:rPr lang="en-US" sz="1200" b="1" i="0" u="none" strike="noStrike" baseline="0">
              <a:solidFill>
                <a:srgbClr val="000000"/>
              </a:solidFill>
              <a:latin typeface="Arial"/>
              <a:cs typeface="Arial"/>
            </a:rPr>
            <a:t>EQUINIX</a:t>
          </a:r>
        </a:p>
      </cdr:txBody>
    </cdr:sp>
  </cdr:relSizeAnchor>
</c:userShapes>
</file>

<file path=xl/drawings/drawing29.xml><?xml version="1.0" encoding="utf-8"?>
<c:userShapes xmlns:c="http://schemas.openxmlformats.org/drawingml/2006/chart">
  <cdr:relSizeAnchor xmlns:cdr="http://schemas.openxmlformats.org/drawingml/2006/chartDrawing">
    <cdr:from>
      <cdr:x>0.01863</cdr:x>
      <cdr:y>0.02898</cdr:y>
    </cdr:from>
    <cdr:to>
      <cdr:x>0.27205</cdr:x>
      <cdr:y>0.18152</cdr:y>
    </cdr:to>
    <cdr:sp macro="" textlink="">
      <cdr:nvSpPr>
        <cdr:cNvPr id="96257" name="Text Box 1"/>
        <cdr:cNvSpPr txBox="1">
          <a:spLocks xmlns:a="http://schemas.openxmlformats.org/drawingml/2006/main" noChangeArrowheads="1"/>
        </cdr:cNvSpPr>
      </cdr:nvSpPr>
      <cdr:spPr bwMode="auto">
        <a:xfrm xmlns:a="http://schemas.openxmlformats.org/drawingml/2006/main">
          <a:off x="83718" y="95722"/>
          <a:ext cx="1034873" cy="43697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36576" tIns="27432" rIns="0" bIns="0" anchor="t" upright="1"/>
        <a:lstStyle xmlns:a="http://schemas.openxmlformats.org/drawingml/2006/main"/>
        <a:p xmlns:a="http://schemas.openxmlformats.org/drawingml/2006/main">
          <a:pPr algn="l" rtl="0">
            <a:defRPr sz="1000"/>
          </a:pPr>
          <a:r>
            <a:rPr lang="en-US" sz="1200" b="1" i="0" u="none" strike="noStrike" baseline="0">
              <a:solidFill>
                <a:srgbClr val="000000"/>
              </a:solidFill>
              <a:latin typeface="Arial"/>
              <a:cs typeface="Arial"/>
            </a:rPr>
            <a:t>SAVVIS</a:t>
          </a:r>
        </a:p>
      </cdr:txBody>
    </cdr:sp>
  </cdr:relSizeAnchor>
</c:userShapes>
</file>

<file path=xl/drawings/drawing30.xml><?xml version="1.0" encoding="utf-8"?>
<c:userShapes xmlns:c="http://schemas.openxmlformats.org/drawingml/2006/chart">
  <cdr:relSizeAnchor xmlns:cdr="http://schemas.openxmlformats.org/drawingml/2006/chartDrawing">
    <cdr:from>
      <cdr:x>0.01839</cdr:x>
      <cdr:y>0.02534</cdr:y>
    </cdr:from>
    <cdr:to>
      <cdr:x>0.3746</cdr:x>
      <cdr:y>0.13491</cdr:y>
    </cdr:to>
    <cdr:sp macro="" textlink="">
      <cdr:nvSpPr>
        <cdr:cNvPr id="97281" name="Text Box 1"/>
        <cdr:cNvSpPr txBox="1">
          <a:spLocks xmlns:a="http://schemas.openxmlformats.org/drawingml/2006/main" noChangeArrowheads="1"/>
        </cdr:cNvSpPr>
      </cdr:nvSpPr>
      <cdr:spPr bwMode="auto">
        <a:xfrm xmlns:a="http://schemas.openxmlformats.org/drawingml/2006/main">
          <a:off x="83718" y="94906"/>
          <a:ext cx="1518362" cy="41736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36576" tIns="27432" rIns="0" bIns="0" anchor="t" upright="1"/>
        <a:lstStyle xmlns:a="http://schemas.openxmlformats.org/drawingml/2006/main"/>
        <a:p xmlns:a="http://schemas.openxmlformats.org/drawingml/2006/main">
          <a:pPr algn="l" rtl="0">
            <a:defRPr sz="1000"/>
          </a:pPr>
          <a:r>
            <a:rPr lang="en-US" sz="1200" b="1" i="0" u="none" strike="noStrike" baseline="0">
              <a:solidFill>
                <a:srgbClr val="000000"/>
              </a:solidFill>
              <a:latin typeface="Arial"/>
              <a:cs typeface="Arial"/>
            </a:rPr>
            <a:t>RACKSPACE</a:t>
          </a:r>
        </a:p>
      </cdr:txBody>
    </cdr:sp>
  </cdr:relSizeAnchor>
</c:userShapes>
</file>

<file path=xl/drawings/drawing31.xml><?xml version="1.0" encoding="utf-8"?>
<xdr:wsDr xmlns:xdr="http://schemas.openxmlformats.org/drawingml/2006/spreadsheetDrawing" xmlns:a="http://schemas.openxmlformats.org/drawingml/2006/main">
  <xdr:twoCellAnchor>
    <xdr:from>
      <xdr:col>2</xdr:col>
      <xdr:colOff>0</xdr:colOff>
      <xdr:row>58</xdr:row>
      <xdr:rowOff>0</xdr:rowOff>
    </xdr:from>
    <xdr:to>
      <xdr:col>7</xdr:col>
      <xdr:colOff>581025</xdr:colOff>
      <xdr:row>82</xdr:row>
      <xdr:rowOff>57150</xdr:rowOff>
    </xdr:to>
    <xdr:graphicFrame macro="">
      <xdr:nvGraphicFramePr>
        <xdr:cNvPr id="55032357" name="Chart 119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85</xdr:row>
      <xdr:rowOff>0</xdr:rowOff>
    </xdr:from>
    <xdr:to>
      <xdr:col>10</xdr:col>
      <xdr:colOff>209550</xdr:colOff>
      <xdr:row>107</xdr:row>
      <xdr:rowOff>57150</xdr:rowOff>
    </xdr:to>
    <xdr:graphicFrame macro="">
      <xdr:nvGraphicFramePr>
        <xdr:cNvPr id="55032358" name="Chart 2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9525</xdr:colOff>
      <xdr:row>111</xdr:row>
      <xdr:rowOff>9525</xdr:rowOff>
    </xdr:from>
    <xdr:to>
      <xdr:col>9</xdr:col>
      <xdr:colOff>266700</xdr:colOff>
      <xdr:row>136</xdr:row>
      <xdr:rowOff>95250</xdr:rowOff>
    </xdr:to>
    <xdr:graphicFrame macro="">
      <xdr:nvGraphicFramePr>
        <xdr:cNvPr id="55032359" name="Chart 11967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600075</xdr:colOff>
      <xdr:row>31</xdr:row>
      <xdr:rowOff>0</xdr:rowOff>
    </xdr:from>
    <xdr:to>
      <xdr:col>9</xdr:col>
      <xdr:colOff>295275</xdr:colOff>
      <xdr:row>56</xdr:row>
      <xdr:rowOff>85725</xdr:rowOff>
    </xdr:to>
    <xdr:graphicFrame macro="">
      <xdr:nvGraphicFramePr>
        <xdr:cNvPr id="55032360" name="Chart 119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238125</xdr:colOff>
      <xdr:row>46</xdr:row>
      <xdr:rowOff>47625</xdr:rowOff>
    </xdr:from>
    <xdr:to>
      <xdr:col>21</xdr:col>
      <xdr:colOff>133350</xdr:colOff>
      <xdr:row>64</xdr:row>
      <xdr:rowOff>19050</xdr:rowOff>
    </xdr:to>
    <xdr:graphicFrame macro="">
      <xdr:nvGraphicFramePr>
        <xdr:cNvPr id="55032361" name="Chart 5 (1)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externalLinks/_rels/externalLink1.xml.rels><?xml version="1.0" encoding="UTF-8" standalone="yes"?>
<Relationships xmlns="http://schemas.openxmlformats.org/package/2006/relationships">
<Relationship Id="rId1" Target="ER13/CLECs/CLEC/LVLT/Fcalls/2011/August%20-%20Reassumption/Backup_LVLT%20-%20Reassumption.xls" TargetMode="External" Type="http://schemas.microsoft.com/office/2006/relationships/xlExternalLinkPath/xlStartup"/>
</Relationships>

</file>

<file path=xl/externalLinks/_rels/externalLink2.xml.rels><?xml version="1.0" encoding="UTF-8" standalone="yes"?>
<Relationships xmlns="http://schemas.openxmlformats.org/package/2006/relationships">
<Relationship Id="rId1" Target="ER13/CLECs/CLEC/LVLT/Fcalls/2011/August%20-%20Reassumption/Backup_LVLT%20-%20Reassumption.xls" TargetMode="External" Type="http://schemas.microsoft.com/office/2006/relationships/xlExternalLinkPath/xlAlternateStartup"/>
</Relationships>

</file>

<file path=xl/externalLinks/_rels/externalLink3.xml.rels><?xml version="1.0" encoding="UTF-8" standalone="yes"?>
<Relationships xmlns="http://schemas.openxmlformats.org/package/2006/relationships">
<Relationship Id="rId1" Target="ER13/CLECs/CLEC/LVLT/Models/LVLT%20Morgan%20Stanley%20-%20v1.xls" TargetMode="External" Type="http://schemas.microsoft.com/office/2006/relationships/xlExternalLinkPath/xlStartup"/>
</Relationships>

</file>

<file path=xl/externalLinks/_rels/externalLink4.xml.rels><?xml version="1.0" encoding="UTF-8" standalone="yes"?>
<Relationships xmlns="http://schemas.openxmlformats.org/package/2006/relationships">
<Relationship Id="rId1" Target="ER13/CLECs/CLEC/TWTC/Models/TWTC%20Morgan%20Stanley.xls" TargetMode="External" Type="http://schemas.microsoft.com/office/2006/relationships/xlExternalLinkPath/xlAlternateStartup"/>
</Relationships>

</file>

<file path=xl/externalLinks/_rels/externalLink5.xml.rels><?xml version="1.0" encoding="UTF-8" standalone="yes"?>
<Relationships xmlns="http://schemas.openxmlformats.org/package/2006/relationships">
<Relationship Id="rId1" Target="file://///MSAD/ROOT/NA/NY/LIB/ER/ER13/Independent_Rural%20Telcos/CTL/CTLEQ_MergerDocs/Summary_states.xls" TargetMode="External" Type="http://schemas.openxmlformats.org/officeDocument/2006/relationships/externalLinkPath"/>
</Relationships>

</file>

<file path=xl/externalLinks/_rels/externalLink6.xml.rels><?xml version="1.0" encoding="UTF-8" standalone="yes"?>
<Relationships xmlns="http://schemas.openxmlformats.org/package/2006/relationships">
<Relationship Id="rId1" Target="c1" TargetMode="External" Type="http://schemas.microsoft.com/office/2006/relationships/xlExternalLinkPath/xlPathMissing"/>
</Relationships>

</file>

<file path=xl/externalLinks/_rels/externalLink7.xml.rels><?xml version="1.0" encoding="UTF-8" standalone="yes"?>
<Relationships xmlns="http://schemas.openxmlformats.org/package/2006/relationships">
<Relationship Id="rId1" Target="CENmodel091205b.xls" TargetMode="External" Type="http://schemas.microsoft.com/office/2006/relationships/xlExternalLinkPath/xl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CSCO Report"/>
      <sheetName val="GLBC"/>
      <sheetName val="WACC"/>
      <sheetName val="Guidance"/>
      <sheetName val="Sheet1"/>
      <sheetName val="Maturities"/>
      <sheetName val="Approvals"/>
      <sheetName val="PF Mix"/>
      <sheetName val="LVLT M&amp;A - FactSet"/>
      <sheetName val="LVLT M&amp;A"/>
      <sheetName val="Summary"/>
      <sheetName val="Leverage"/>
      <sheetName val="Fiber &amp; Clec"/>
      <sheetName val="Synergies"/>
      <sheetName val="Timing"/>
      <sheetName val="Revs"/>
      <sheetName val="transactionCTL_SVVS"/>
      <sheetName val="Backup_LVLT - Reassumption"/>
    </sheetNames>
    <sheetDataSet>
      <sheetData sheetId="0" refreshError="1"/>
      <sheetData sheetId="1" refreshError="1">
        <row r="1">
          <cell r="A1" t="str">
            <v>Consumer Internet Traffic, 2010–2015</v>
          </cell>
          <cell r="B1">
            <v>2010</v>
          </cell>
          <cell r="C1">
            <v>2011</v>
          </cell>
          <cell r="D1">
            <v>2012</v>
          </cell>
          <cell r="E1">
            <v>2013</v>
          </cell>
          <cell r="F1">
            <v>2014</v>
          </cell>
          <cell r="G1">
            <v>2015</v>
          </cell>
          <cell r="H1" t="str">
            <v>CAGR</v>
          </cell>
          <cell r="I1" t="str">
            <v>Comment</v>
          </cell>
        </row>
        <row r="2">
          <cell r="A2" t="str">
            <v>GLOBAL - By Network (PB per Month)</v>
          </cell>
        </row>
        <row r="3">
          <cell r="A3" t="str">
            <v>Fixed</v>
          </cell>
          <cell r="B3">
            <v>12355</v>
          </cell>
          <cell r="C3">
            <v>17467</v>
          </cell>
          <cell r="D3">
            <v>23618</v>
          </cell>
          <cell r="E3">
            <v>31318</v>
          </cell>
          <cell r="F3">
            <v>40842</v>
          </cell>
          <cell r="G3">
            <v>53282</v>
          </cell>
          <cell r="H3">
            <v>0.3395149150436787</v>
          </cell>
        </row>
        <row r="4">
          <cell r="A4" t="str">
            <v>Mobile</v>
          </cell>
          <cell r="B4">
            <v>174</v>
          </cell>
          <cell r="C4">
            <v>399</v>
          </cell>
          <cell r="D4">
            <v>858</v>
          </cell>
          <cell r="E4">
            <v>1654</v>
          </cell>
          <cell r="F4">
            <v>2930</v>
          </cell>
          <cell r="G4">
            <v>4931</v>
          </cell>
          <cell r="H4">
            <v>0.95198803312699054</v>
          </cell>
        </row>
        <row r="5">
          <cell r="A5" t="str">
            <v>TOTAL</v>
          </cell>
          <cell r="B5">
            <v>12529</v>
          </cell>
          <cell r="C5">
            <v>17866</v>
          </cell>
          <cell r="D5">
            <v>24476</v>
          </cell>
          <cell r="E5">
            <v>32972</v>
          </cell>
          <cell r="F5">
            <v>43772</v>
          </cell>
          <cell r="G5">
            <v>58213</v>
          </cell>
          <cell r="H5">
            <v>0.3596299240456704</v>
          </cell>
        </row>
        <row r="7">
          <cell r="A7" t="str">
            <v>Fixed</v>
          </cell>
          <cell r="B7">
            <v>0.98611221965041107</v>
          </cell>
          <cell r="C7">
            <v>0.97766707712974366</v>
          </cell>
          <cell r="D7">
            <v>0.96494525249223728</v>
          </cell>
          <cell r="E7">
            <v>0.94983622467548223</v>
          </cell>
          <cell r="F7">
            <v>0.93306223156355661</v>
          </cell>
          <cell r="G7">
            <v>0.91529383471045989</v>
          </cell>
        </row>
        <row r="8">
          <cell r="A8" t="str">
            <v>Mobile</v>
          </cell>
          <cell r="B8">
            <v>1.388778034958893E-2</v>
          </cell>
          <cell r="C8">
            <v>2.2332922870256344E-2</v>
          </cell>
          <cell r="D8">
            <v>3.5054747507762718E-2</v>
          </cell>
          <cell r="E8">
            <v>5.0163775324517768E-2</v>
          </cell>
          <cell r="F8">
            <v>6.693776843644339E-2</v>
          </cell>
          <cell r="G8">
            <v>8.4706165289540114E-2</v>
          </cell>
        </row>
        <row r="10">
          <cell r="A10" t="str">
            <v>GLOBAL By Subsegment (PB per Month)</v>
          </cell>
        </row>
        <row r="11">
          <cell r="A11" t="str">
            <v>File sharing</v>
          </cell>
          <cell r="B11">
            <v>4968</v>
          </cell>
          <cell r="C11">
            <v>6017</v>
          </cell>
          <cell r="D11">
            <v>7277</v>
          </cell>
          <cell r="E11">
            <v>8867</v>
          </cell>
          <cell r="F11">
            <v>11040</v>
          </cell>
          <cell r="G11">
            <v>13797</v>
          </cell>
          <cell r="H11">
            <v>0.22664986513602114</v>
          </cell>
        </row>
        <row r="12">
          <cell r="A12" t="str">
            <v>Internet video</v>
          </cell>
          <cell r="B12">
            <v>4672</v>
          </cell>
          <cell r="C12">
            <v>8079</v>
          </cell>
          <cell r="D12">
            <v>12146</v>
          </cell>
          <cell r="E12">
            <v>17583</v>
          </cell>
          <cell r="F12">
            <v>24357</v>
          </cell>
          <cell r="G12">
            <v>33620</v>
          </cell>
          <cell r="H12">
            <v>0.48394899838707173</v>
          </cell>
        </row>
        <row r="13">
          <cell r="A13" t="str">
            <v>Web, email, and data</v>
          </cell>
          <cell r="B13">
            <v>2393</v>
          </cell>
          <cell r="C13">
            <v>3113</v>
          </cell>
          <cell r="D13">
            <v>4146</v>
          </cell>
          <cell r="E13">
            <v>5325</v>
          </cell>
          <cell r="F13">
            <v>6769</v>
          </cell>
          <cell r="G13">
            <v>8592</v>
          </cell>
          <cell r="H13">
            <v>0.29130940443989806</v>
          </cell>
        </row>
        <row r="14">
          <cell r="A14" t="str">
            <v>Video calling</v>
          </cell>
          <cell r="B14">
            <v>308</v>
          </cell>
          <cell r="C14">
            <v>442</v>
          </cell>
          <cell r="D14">
            <v>659</v>
          </cell>
          <cell r="E14">
            <v>905</v>
          </cell>
          <cell r="F14">
            <v>1251</v>
          </cell>
          <cell r="G14">
            <v>1736</v>
          </cell>
          <cell r="H14">
            <v>0.413187544034475</v>
          </cell>
        </row>
        <row r="15">
          <cell r="A15" t="str">
            <v>Online gaming</v>
          </cell>
          <cell r="B15">
            <v>49</v>
          </cell>
          <cell r="C15">
            <v>68</v>
          </cell>
          <cell r="D15">
            <v>95</v>
          </cell>
          <cell r="E15">
            <v>133</v>
          </cell>
          <cell r="F15">
            <v>187</v>
          </cell>
          <cell r="G15">
            <v>290</v>
          </cell>
          <cell r="H15">
            <v>0.42705392232469253</v>
          </cell>
        </row>
        <row r="16">
          <cell r="A16" t="str">
            <v>Voice over IP (VoIP)</v>
          </cell>
          <cell r="B16">
            <v>138</v>
          </cell>
          <cell r="C16">
            <v>147</v>
          </cell>
          <cell r="D16">
            <v>153</v>
          </cell>
          <cell r="E16">
            <v>157</v>
          </cell>
          <cell r="F16">
            <v>160</v>
          </cell>
          <cell r="G16">
            <v>168</v>
          </cell>
          <cell r="H16">
            <v>4.0126207180960938E-2</v>
          </cell>
        </row>
        <row r="17">
          <cell r="A17" t="str">
            <v>Other</v>
          </cell>
          <cell r="B17">
            <v>0.16500000000000001</v>
          </cell>
          <cell r="C17">
            <v>1</v>
          </cell>
          <cell r="D17">
            <v>1</v>
          </cell>
          <cell r="E17">
            <v>3</v>
          </cell>
          <cell r="F17">
            <v>8</v>
          </cell>
          <cell r="G17">
            <v>11</v>
          </cell>
          <cell r="H17">
            <v>1.3162303512385889</v>
          </cell>
        </row>
        <row r="18">
          <cell r="A18" t="str">
            <v>TOTAL</v>
          </cell>
          <cell r="B18">
            <v>12528.165000000001</v>
          </cell>
          <cell r="C18">
            <v>17867</v>
          </cell>
          <cell r="D18">
            <v>24477</v>
          </cell>
          <cell r="E18">
            <v>32973</v>
          </cell>
          <cell r="F18">
            <v>43772</v>
          </cell>
          <cell r="G18">
            <v>58214</v>
          </cell>
          <cell r="H18">
            <v>0.35965271863625325</v>
          </cell>
        </row>
        <row r="20">
          <cell r="A20" t="str">
            <v>File sharing</v>
          </cell>
          <cell r="B20">
            <v>0.39654650142299369</v>
          </cell>
          <cell r="C20">
            <v>0.33676610510997929</v>
          </cell>
          <cell r="D20">
            <v>0.29729950565837315</v>
          </cell>
          <cell r="E20">
            <v>0.26891699269098962</v>
          </cell>
          <cell r="F20">
            <v>0.25221602851137714</v>
          </cell>
          <cell r="G20">
            <v>0.23700484419555434</v>
          </cell>
        </row>
        <row r="21">
          <cell r="A21" t="str">
            <v>Internet video</v>
          </cell>
          <cell r="B21">
            <v>0.37291973724803273</v>
          </cell>
          <cell r="C21">
            <v>0.45217439973134832</v>
          </cell>
          <cell r="D21">
            <v>0.49622094210891859</v>
          </cell>
          <cell r="E21">
            <v>0.53325448093895</v>
          </cell>
          <cell r="F21">
            <v>0.55645161290322576</v>
          </cell>
          <cell r="G21">
            <v>0.57752430686776379</v>
          </cell>
        </row>
        <row r="22">
          <cell r="A22" t="str">
            <v>Web, email, and data</v>
          </cell>
          <cell r="B22">
            <v>0.19100961713068113</v>
          </cell>
          <cell r="C22">
            <v>0.1742318240331337</v>
          </cell>
          <cell r="D22">
            <v>0.16938350288025494</v>
          </cell>
          <cell r="E22">
            <v>0.1614957692657629</v>
          </cell>
          <cell r="F22">
            <v>0.15464223704651375</v>
          </cell>
          <cell r="G22">
            <v>0.14759336242141066</v>
          </cell>
        </row>
        <row r="23">
          <cell r="A23" t="str">
            <v>Video calling</v>
          </cell>
          <cell r="B23">
            <v>2.4584605965837773E-2</v>
          </cell>
          <cell r="C23">
            <v>2.4738344433872503E-2</v>
          </cell>
          <cell r="D23">
            <v>2.6923234056461166E-2</v>
          </cell>
          <cell r="E23">
            <v>2.7446698814181301E-2</v>
          </cell>
          <cell r="F23">
            <v>2.8579914100338114E-2</v>
          </cell>
          <cell r="G23">
            <v>2.9821005256467515E-2</v>
          </cell>
        </row>
        <row r="24">
          <cell r="A24" t="str">
            <v>Online gaming</v>
          </cell>
          <cell r="B24">
            <v>3.9111873127469186E-3</v>
          </cell>
          <cell r="C24">
            <v>3.8058991436726928E-3</v>
          </cell>
          <cell r="D24">
            <v>3.8811945908403807E-3</v>
          </cell>
          <cell r="E24">
            <v>4.0336032511448759E-3</v>
          </cell>
          <cell r="F24">
            <v>4.2721374394590148E-3</v>
          </cell>
          <cell r="G24">
            <v>4.9816195416910024E-3</v>
          </cell>
        </row>
        <row r="25">
          <cell r="A25" t="str">
            <v>Voice over IP (VoIP)</v>
          </cell>
          <cell r="B25">
            <v>1.1015180595083158E-2</v>
          </cell>
          <cell r="C25">
            <v>8.2274584429394976E-3</v>
          </cell>
          <cell r="D25">
            <v>6.250766025248192E-3</v>
          </cell>
          <cell r="E25">
            <v>4.7614715069905682E-3</v>
          </cell>
          <cell r="F25">
            <v>3.6553047610344514E-3</v>
          </cell>
          <cell r="G25">
            <v>2.8859037344968566E-3</v>
          </cell>
        </row>
        <row r="26">
          <cell r="A26" t="str">
            <v>Other</v>
          </cell>
          <cell r="B26">
            <v>1.317032462455595E-5</v>
          </cell>
          <cell r="C26">
            <v>5.5969105054010188E-5</v>
          </cell>
          <cell r="D26">
            <v>4.0854679903582957E-5</v>
          </cell>
          <cell r="E26">
            <v>9.0983531980711496E-5</v>
          </cell>
          <cell r="F26">
            <v>1.8276523805172256E-4</v>
          </cell>
          <cell r="G26">
            <v>1.8895798261586559E-4</v>
          </cell>
        </row>
        <row r="29">
          <cell r="A29" t="str">
            <v>North America - By Network (PB per Month)</v>
          </cell>
        </row>
        <row r="30">
          <cell r="A30" t="str">
            <v>Fixed</v>
          </cell>
          <cell r="B30">
            <v>3255.1564370660071</v>
          </cell>
          <cell r="C30">
            <v>4888.3353856487183</v>
          </cell>
          <cell r="D30">
            <v>6348.3748161464291</v>
          </cell>
          <cell r="E30">
            <v>7889.3396821545557</v>
          </cell>
          <cell r="F30">
            <v>9341.8190624143281</v>
          </cell>
          <cell r="G30">
            <v>11475.038805765036</v>
          </cell>
          <cell r="H30">
            <v>0.28657900355019894</v>
          </cell>
          <cell r="I30" t="str">
            <v>MS assumption</v>
          </cell>
        </row>
        <row r="31">
          <cell r="A31" t="str">
            <v>Mobile</v>
          </cell>
          <cell r="B31">
            <v>45.843562933993056</v>
          </cell>
          <cell r="C31">
            <v>111.66461435128173</v>
          </cell>
          <cell r="D31">
            <v>230.62518385357092</v>
          </cell>
          <cell r="E31">
            <v>416.66031784544458</v>
          </cell>
          <cell r="F31">
            <v>670.18093758567124</v>
          </cell>
          <cell r="G31">
            <v>1061.9611942349645</v>
          </cell>
          <cell r="H31">
            <v>0.87484796951331134</v>
          </cell>
          <cell r="I31" t="str">
            <v>MS assumption</v>
          </cell>
        </row>
        <row r="32">
          <cell r="A32" t="str">
            <v>TOTAL</v>
          </cell>
          <cell r="B32">
            <v>3301</v>
          </cell>
          <cell r="C32">
            <v>5000</v>
          </cell>
          <cell r="D32">
            <v>6579</v>
          </cell>
          <cell r="E32">
            <v>8306</v>
          </cell>
          <cell r="F32">
            <v>10012</v>
          </cell>
          <cell r="G32">
            <v>12537</v>
          </cell>
          <cell r="H32">
            <v>0.30589909319424868</v>
          </cell>
        </row>
        <row r="35">
          <cell r="A35" t="str">
            <v>North America By Subsegment (PB per Month)</v>
          </cell>
        </row>
        <row r="36">
          <cell r="A36" t="str">
            <v>Internet video</v>
          </cell>
          <cell r="B36">
            <v>1213.9120832118979</v>
          </cell>
          <cell r="C36">
            <v>2210.3801186912183</v>
          </cell>
          <cell r="D36">
            <v>3150.1965321287139</v>
          </cell>
          <cell r="E36">
            <v>4207.0257371583884</v>
          </cell>
          <cell r="F36">
            <v>5198.2702847305527</v>
          </cell>
          <cell r="G36">
            <v>6627.1138325801448</v>
          </cell>
          <cell r="H36">
            <v>0.40419505473362394</v>
          </cell>
          <cell r="I36" t="str">
            <v>MS assumption</v>
          </cell>
        </row>
        <row r="37">
          <cell r="A37" t="str">
            <v>File sharing</v>
          </cell>
          <cell r="B37">
            <v>1290.8208967030625</v>
          </cell>
          <cell r="C37">
            <v>1646.2256682962075</v>
          </cell>
          <cell r="D37">
            <v>1887.3686945743989</v>
          </cell>
          <cell r="E37">
            <v>2121.577501642691</v>
          </cell>
          <cell r="F37">
            <v>2356.1565029940189</v>
          </cell>
          <cell r="G37">
            <v>2719.6397842982824</v>
          </cell>
          <cell r="H37">
            <v>0.16072430817085537</v>
          </cell>
          <cell r="I37" t="str">
            <v>MS assumption</v>
          </cell>
        </row>
        <row r="38">
          <cell r="A38" t="str">
            <v>Web, email, and data</v>
          </cell>
          <cell r="B38">
            <v>621.76618474445013</v>
          </cell>
          <cell r="C38">
            <v>851.7035907272882</v>
          </cell>
          <cell r="D38">
            <v>1075.3099639556767</v>
          </cell>
          <cell r="E38">
            <v>1274.0949809684594</v>
          </cell>
          <cell r="F38">
            <v>1444.6397978955174</v>
          </cell>
          <cell r="G38">
            <v>1693.6395612590304</v>
          </cell>
          <cell r="H38">
            <v>0.22190875954387734</v>
          </cell>
          <cell r="I38" t="str">
            <v>MS assumption</v>
          </cell>
        </row>
        <row r="39">
          <cell r="A39" t="str">
            <v>Other</v>
          </cell>
          <cell r="B39">
            <v>128.6572724065966</v>
          </cell>
          <cell r="C39">
            <v>180.02600793400441</v>
          </cell>
          <cell r="D39">
            <v>235.49962548763972</v>
          </cell>
          <cell r="E39">
            <v>286.64146238501678</v>
          </cell>
          <cell r="F39">
            <v>342.75247679423859</v>
          </cell>
          <cell r="G39">
            <v>434.6456276275793</v>
          </cell>
          <cell r="H39">
            <v>0.27567544209083272</v>
          </cell>
          <cell r="I39" t="str">
            <v>MS assumption</v>
          </cell>
        </row>
        <row r="40">
          <cell r="A40" t="str">
            <v>TOTAL</v>
          </cell>
          <cell r="B40">
            <v>3255.1564370660071</v>
          </cell>
          <cell r="C40">
            <v>4888.3353856487183</v>
          </cell>
          <cell r="D40">
            <v>6348.3748161464291</v>
          </cell>
          <cell r="E40">
            <v>7889.3396821545548</v>
          </cell>
          <cell r="F40">
            <v>9341.8190624143263</v>
          </cell>
          <cell r="G40">
            <v>11475.038805765038</v>
          </cell>
          <cell r="H40">
            <v>0.28657900355019894</v>
          </cell>
          <cell r="I40" t="str">
            <v>MS assumption</v>
          </cell>
        </row>
        <row r="43">
          <cell r="A43" t="str">
            <v>US</v>
          </cell>
          <cell r="B43">
            <v>0.88802339809592035</v>
          </cell>
          <cell r="C43">
            <v>0.88967538682405478</v>
          </cell>
          <cell r="D43">
            <v>0.89112996350983076</v>
          </cell>
          <cell r="E43">
            <v>0.89123426750490964</v>
          </cell>
          <cell r="F43">
            <v>0.88974999222934814</v>
          </cell>
          <cell r="G43">
            <v>0.88974999222934814</v>
          </cell>
          <cell r="I43" t="str">
            <v>MS assumption, using trends in previous VNI report</v>
          </cell>
        </row>
        <row r="44">
          <cell r="A44" t="str">
            <v>Canada</v>
          </cell>
          <cell r="B44">
            <v>0.11197660190407965</v>
          </cell>
          <cell r="C44">
            <v>0.11032461317594522</v>
          </cell>
          <cell r="D44">
            <v>0.10887003649016924</v>
          </cell>
          <cell r="E44">
            <v>0.10876573249509036</v>
          </cell>
          <cell r="F44">
            <v>0.11025000777065186</v>
          </cell>
          <cell r="G44">
            <v>0.11025000777065186</v>
          </cell>
        </row>
        <row r="47">
          <cell r="A47" t="str">
            <v>US By Subsegment (PB per Month)</v>
          </cell>
          <cell r="B47">
            <v>2890.6550805771644</v>
          </cell>
          <cell r="C47">
            <v>4349.0316751527389</v>
          </cell>
          <cell r="D47">
            <v>5657.2270182592956</v>
          </cell>
          <cell r="E47">
            <v>7031.2498727224311</v>
          </cell>
          <cell r="F47">
            <v>8311.8834381911238</v>
          </cell>
          <cell r="G47">
            <v>10209.915688260911</v>
          </cell>
          <cell r="H47">
            <v>0.28707891698489285</v>
          </cell>
        </row>
        <row r="48">
          <cell r="A48" t="str">
            <v>Total US Residential BB Subs (M)</v>
          </cell>
          <cell r="B48">
            <v>71.428043545595983</v>
          </cell>
          <cell r="C48">
            <v>72.803202778573578</v>
          </cell>
          <cell r="D48">
            <v>74.790532105880871</v>
          </cell>
          <cell r="E48">
            <v>75.449067469188265</v>
          </cell>
          <cell r="F48">
            <v>76.781666962756361</v>
          </cell>
          <cell r="G48">
            <v>77.865921155857947</v>
          </cell>
          <cell r="H48">
            <v>1.740937274555554E-2</v>
          </cell>
        </row>
        <row r="49">
          <cell r="A49" t="str">
            <v>Average traffic per sub per mo (GB)</v>
          </cell>
          <cell r="B49">
            <v>40.469470212101207</v>
          </cell>
          <cell r="C49">
            <v>59.736818013076274</v>
          </cell>
          <cell r="D49">
            <v>75.640951587967919</v>
          </cell>
          <cell r="E49">
            <v>93.192004998522194</v>
          </cell>
          <cell r="F49">
            <v>108.2534902794293</v>
          </cell>
          <cell r="G49">
            <v>131.12174795729373</v>
          </cell>
          <cell r="H49">
            <v>0.26505510118470177</v>
          </cell>
        </row>
      </sheetData>
      <sheetData sheetId="2" refreshError="1">
        <row r="2">
          <cell r="B2">
            <v>744</v>
          </cell>
          <cell r="C2">
            <v>0.81489594742606786</v>
          </cell>
        </row>
        <row r="3">
          <cell r="B3">
            <v>151</v>
          </cell>
          <cell r="C3">
            <v>0.16538882803943045</v>
          </cell>
        </row>
        <row r="4">
          <cell r="B4">
            <v>18</v>
          </cell>
          <cell r="C4">
            <v>1.9715224534501644E-2</v>
          </cell>
          <cell r="E4" t="str">
            <v>GLBC Premium Analysis</v>
          </cell>
        </row>
        <row r="5">
          <cell r="B5">
            <v>913</v>
          </cell>
          <cell r="E5" t="str">
            <v>$ in millions</v>
          </cell>
        </row>
        <row r="7">
          <cell r="E7" t="str">
            <v>2011E EBITDA (consensus @ 4/8/11)</v>
          </cell>
          <cell r="F7">
            <v>431</v>
          </cell>
        </row>
        <row r="8">
          <cell r="E8" t="str">
            <v>EV/EBITDA (4/8/11)</v>
          </cell>
          <cell r="F8">
            <v>4.5999999999999996</v>
          </cell>
        </row>
        <row r="9">
          <cell r="E9" t="str">
            <v>EV/EBITDA (implied deal valuation)</v>
          </cell>
          <cell r="F9">
            <v>7</v>
          </cell>
        </row>
        <row r="10">
          <cell r="E10" t="str">
            <v xml:space="preserve">Implied premium </v>
          </cell>
          <cell r="F10">
            <v>2.4000000000000004</v>
          </cell>
        </row>
        <row r="11">
          <cell r="E11" t="str">
            <v>Implied premium ($)</v>
          </cell>
          <cell r="F11">
            <v>1034.4000000000001</v>
          </cell>
        </row>
        <row r="13">
          <cell r="E13" t="str">
            <v>NPV of estimated synergies</v>
          </cell>
          <cell r="F13">
            <v>2500</v>
          </cell>
        </row>
        <row r="14">
          <cell r="E14" t="str">
            <v>% of implied premium</v>
          </cell>
          <cell r="F14">
            <v>2.4168600154679041</v>
          </cell>
        </row>
      </sheetData>
      <sheetData sheetId="3" refreshError="1">
        <row r="3">
          <cell r="D3">
            <v>2012</v>
          </cell>
          <cell r="E3">
            <v>2013</v>
          </cell>
          <cell r="F3">
            <v>2014</v>
          </cell>
          <cell r="G3">
            <v>2015</v>
          </cell>
          <cell r="H3">
            <v>2016</v>
          </cell>
          <cell r="I3">
            <v>2017</v>
          </cell>
          <cell r="J3">
            <v>2018</v>
          </cell>
          <cell r="K3">
            <v>2019</v>
          </cell>
        </row>
        <row r="4">
          <cell r="B4" t="str">
            <v>Senior Secured Term Loan (2014)</v>
          </cell>
          <cell r="C4">
            <v>2.75E-2</v>
          </cell>
          <cell r="F4">
            <v>1680</v>
          </cell>
        </row>
        <row r="5">
          <cell r="B5" t="str">
            <v>Senior Secured Term Loan (2018)</v>
          </cell>
          <cell r="C5">
            <v>5.7500000000000002E-2</v>
          </cell>
          <cell r="J5">
            <v>650</v>
          </cell>
        </row>
        <row r="6">
          <cell r="B6" t="str">
            <v>Senior Notes (9.25%)</v>
          </cell>
          <cell r="C6">
            <v>9.2499999999999999E-2</v>
          </cell>
          <cell r="F6">
            <v>807</v>
          </cell>
        </row>
        <row r="7">
          <cell r="B7" t="str">
            <v>Senior Notes (8.75%)</v>
          </cell>
          <cell r="C7">
            <v>8.7499999999999994E-2</v>
          </cell>
          <cell r="I7">
            <v>700</v>
          </cell>
        </row>
        <row r="8">
          <cell r="B8" t="str">
            <v>Senior Notes (10.0%)</v>
          </cell>
          <cell r="C8">
            <v>0.1</v>
          </cell>
          <cell r="J8">
            <v>640</v>
          </cell>
        </row>
        <row r="9">
          <cell r="B9" t="str">
            <v>Senior Notes (11.875%)</v>
          </cell>
          <cell r="C9">
            <v>0.11874999999999999</v>
          </cell>
          <cell r="K9">
            <v>605</v>
          </cell>
        </row>
        <row r="10">
          <cell r="B10" t="str">
            <v>Senior Notes (9.375%)</v>
          </cell>
          <cell r="C10">
            <v>9.375E-2</v>
          </cell>
          <cell r="K10">
            <v>500</v>
          </cell>
        </row>
        <row r="11">
          <cell r="B11" t="str">
            <v>Senior Notes (8.125%)</v>
          </cell>
          <cell r="C11">
            <v>8.1250000000000003E-2</v>
          </cell>
          <cell r="K11">
            <v>600</v>
          </cell>
        </row>
        <row r="12">
          <cell r="B12" t="str">
            <v>Senior Notes (8.125%)</v>
          </cell>
          <cell r="C12">
            <v>8.1250000000000003E-2</v>
          </cell>
          <cell r="K12">
            <v>600</v>
          </cell>
        </row>
        <row r="13">
          <cell r="B13" t="str">
            <v>Floating Rate Senior Notes (4.215% as of 6/30/11)</v>
          </cell>
          <cell r="C13">
            <v>4.215E-2</v>
          </cell>
          <cell r="G13">
            <v>300</v>
          </cell>
        </row>
        <row r="14">
          <cell r="B14" t="str">
            <v>Convertible Senior Notes (3.5%)</v>
          </cell>
          <cell r="C14">
            <v>3.5000000000000003E-2</v>
          </cell>
          <cell r="D14">
            <v>294</v>
          </cell>
        </row>
        <row r="15">
          <cell r="B15" t="str">
            <v>Convertible Senior Notes (15.0%)</v>
          </cell>
          <cell r="C15">
            <v>0.15</v>
          </cell>
          <cell r="E15">
            <v>272</v>
          </cell>
        </row>
        <row r="16">
          <cell r="B16" t="str">
            <v>Convertible Senior Notes (7.0%)</v>
          </cell>
          <cell r="C16">
            <v>7.0000000000000007E-2</v>
          </cell>
          <cell r="G16">
            <v>200</v>
          </cell>
        </row>
        <row r="17">
          <cell r="B17" t="str">
            <v>Convertible Senior Notes Series B (7.0%)</v>
          </cell>
          <cell r="C17">
            <v>7.0000000000000007E-2</v>
          </cell>
          <cell r="G17">
            <v>275</v>
          </cell>
        </row>
        <row r="18">
          <cell r="B18" t="str">
            <v>Convertible Senior Notes (6.5%)</v>
          </cell>
          <cell r="C18">
            <v>6.5000000000000002E-2</v>
          </cell>
          <cell r="H18">
            <v>201</v>
          </cell>
        </row>
        <row r="19">
          <cell r="D19">
            <v>294</v>
          </cell>
          <cell r="E19">
            <v>272</v>
          </cell>
          <cell r="F19">
            <v>2487</v>
          </cell>
          <cell r="G19">
            <v>775</v>
          </cell>
          <cell r="H19">
            <v>201</v>
          </cell>
          <cell r="I19">
            <v>700</v>
          </cell>
          <cell r="J19">
            <v>1290</v>
          </cell>
          <cell r="K19">
            <v>2305</v>
          </cell>
          <cell r="L19">
            <v>8324</v>
          </cell>
        </row>
        <row r="20">
          <cell r="B20" t="str">
            <v>WACC (each year)</v>
          </cell>
          <cell r="D20">
            <v>3.5000000000000003E-2</v>
          </cell>
          <cell r="E20">
            <v>0.15</v>
          </cell>
          <cell r="F20">
            <v>4.8591676718938479E-2</v>
          </cell>
          <cell r="G20">
            <v>5.9219354838709694E-2</v>
          </cell>
          <cell r="H20">
            <v>6.5000000000000002E-2</v>
          </cell>
          <cell r="I20">
            <v>8.7499999999999994E-2</v>
          </cell>
          <cell r="J20">
            <v>7.8585271317829455E-2</v>
          </cell>
          <cell r="K20">
            <v>9.3804229934924072E-2</v>
          </cell>
        </row>
        <row r="21">
          <cell r="B21" t="str">
            <v>WACC (total)</v>
          </cell>
          <cell r="L21">
            <v>7.325099111004324E-2</v>
          </cell>
        </row>
        <row r="23">
          <cell r="F23">
            <v>807</v>
          </cell>
          <cell r="I23">
            <v>700</v>
          </cell>
          <cell r="J23">
            <v>640</v>
          </cell>
          <cell r="K23">
            <v>2305</v>
          </cell>
          <cell r="L23">
            <v>4452</v>
          </cell>
        </row>
        <row r="24">
          <cell r="F24">
            <v>9.2499999999999999E-2</v>
          </cell>
          <cell r="I24">
            <v>8.7499999999999994E-2</v>
          </cell>
          <cell r="J24">
            <v>0.1</v>
          </cell>
          <cell r="K24">
            <v>9.3804229934924072E-2</v>
          </cell>
        </row>
        <row r="25">
          <cell r="L25">
            <v>9.3467261904761886E-2</v>
          </cell>
        </row>
        <row r="28">
          <cell r="B28" t="str">
            <v>Current (1)</v>
          </cell>
        </row>
        <row r="29">
          <cell r="B29" t="str">
            <v>Total Debt @ 6/30/11</v>
          </cell>
          <cell r="C29">
            <v>8324</v>
          </cell>
        </row>
        <row r="30">
          <cell r="B30" t="str">
            <v>Debt Cost (2)</v>
          </cell>
          <cell r="C30">
            <v>9.3467261904761886E-2</v>
          </cell>
        </row>
        <row r="31">
          <cell r="B31" t="str">
            <v>Implied Annual Interest Expense</v>
          </cell>
          <cell r="C31">
            <v>778.02148809523794</v>
          </cell>
        </row>
        <row r="33">
          <cell r="B33" t="str">
            <v>Cost of Debt Less 50 bps</v>
          </cell>
        </row>
        <row r="34">
          <cell r="B34" t="str">
            <v>Debt Cost (less 50 bps)</v>
          </cell>
          <cell r="C34">
            <v>8.8467261904761882E-2</v>
          </cell>
        </row>
        <row r="35">
          <cell r="B35" t="str">
            <v>Implied Annual Interest Expense (less 50 bps)</v>
          </cell>
          <cell r="C35">
            <v>736.40148809523794</v>
          </cell>
        </row>
        <row r="36">
          <cell r="B36" t="str">
            <v>Implied Interest Expense Savings</v>
          </cell>
          <cell r="C36">
            <v>41.620000000000005</v>
          </cell>
        </row>
        <row r="38">
          <cell r="B38" t="str">
            <v>Cost of Debt Less 100 bps</v>
          </cell>
        </row>
        <row r="39">
          <cell r="B39" t="str">
            <v>Debt Cost (less 100 bps)</v>
          </cell>
          <cell r="C39">
            <v>8.3467261904761891E-2</v>
          </cell>
        </row>
        <row r="40">
          <cell r="B40" t="str">
            <v>Implied Annual Interest Expense (less 100 bps)</v>
          </cell>
          <cell r="C40">
            <v>694.78148809523793</v>
          </cell>
        </row>
        <row r="41">
          <cell r="B41" t="str">
            <v>Implied Interest Expense Savings</v>
          </cell>
          <cell r="C41">
            <v>83.240000000000009</v>
          </cell>
        </row>
        <row r="43">
          <cell r="B43" t="str">
            <v>(1) Pro-forma for recent debt issuances by LVLT to refinance GLBC debt</v>
          </cell>
        </row>
        <row r="44">
          <cell r="B44" t="str">
            <v>(2) Average debt cost for LVLT's PF fixed rate senior notes at 6/30/11</v>
          </cell>
        </row>
        <row r="49">
          <cell r="B49" t="str">
            <v>Current (1)</v>
          </cell>
        </row>
        <row r="50">
          <cell r="B50" t="str">
            <v>Total Debt @ 6/30/11</v>
          </cell>
          <cell r="C50">
            <v>8324</v>
          </cell>
        </row>
        <row r="51">
          <cell r="B51" t="str">
            <v>WACC @ 6/30/11</v>
          </cell>
          <cell r="C51">
            <v>7.325099111004324E-2</v>
          </cell>
        </row>
        <row r="52">
          <cell r="B52" t="str">
            <v>Annual Interest Expense</v>
          </cell>
          <cell r="C52">
            <v>609.74124999999992</v>
          </cell>
        </row>
        <row r="54">
          <cell r="B54" t="str">
            <v>Cost of Debt Less 50 bps</v>
          </cell>
        </row>
        <row r="55">
          <cell r="B55" t="str">
            <v>WACC (less 50 bps)</v>
          </cell>
          <cell r="C55">
            <v>6.8250991110043235E-2</v>
          </cell>
        </row>
        <row r="56">
          <cell r="B56" t="str">
            <v>Annual Interest Expense (less 50 bps)</v>
          </cell>
          <cell r="C56">
            <v>568.12124999999992</v>
          </cell>
        </row>
        <row r="57">
          <cell r="B57" t="str">
            <v>Interest Expense Savings</v>
          </cell>
          <cell r="C57">
            <v>-41.620000000000005</v>
          </cell>
        </row>
        <row r="59">
          <cell r="B59" t="str">
            <v>Cost of Debt Less 100 bps</v>
          </cell>
        </row>
        <row r="60">
          <cell r="B60" t="str">
            <v>WACC (less 100 bps)</v>
          </cell>
          <cell r="C60">
            <v>6.3250991110043245E-2</v>
          </cell>
        </row>
        <row r="61">
          <cell r="B61" t="str">
            <v>Annual Interest Expense (less 100 bps)</v>
          </cell>
          <cell r="C61">
            <v>526.50124999999991</v>
          </cell>
        </row>
        <row r="62">
          <cell r="B62" t="str">
            <v>Interest Expense Savings</v>
          </cell>
          <cell r="C62">
            <v>-83.240000000000009</v>
          </cell>
        </row>
        <row r="64">
          <cell r="B64" t="str">
            <v>(1) Pro-forma for recent debt issuances by LVLT to refinance GLBC debt</v>
          </cell>
        </row>
      </sheetData>
      <sheetData sheetId="4" refreshError="1">
        <row r="4">
          <cell r="B4" t="str">
            <v>FY 2011 Guidance - LVLT (1)</v>
          </cell>
        </row>
        <row r="5">
          <cell r="B5" t="str">
            <v>Revenue</v>
          </cell>
          <cell r="C5" t="str">
            <v>"Sequential revenue growth" (1% - 2%)</v>
          </cell>
        </row>
        <row r="6">
          <cell r="B6" t="str">
            <v>EBITDA</v>
          </cell>
          <cell r="C6" t="str">
            <v>"low double-digit" growth compared to 2010</v>
          </cell>
        </row>
        <row r="7">
          <cell r="B7" t="str">
            <v>Capex</v>
          </cell>
          <cell r="C7" t="str">
            <v>"12% of communications revenue"</v>
          </cell>
        </row>
        <row r="8">
          <cell r="B8" t="str">
            <v>FCF</v>
          </cell>
          <cell r="C8" t="str">
            <v>"breakeven for last 3 quarters of 2011 in aggregate"</v>
          </cell>
        </row>
        <row r="10">
          <cell r="B10" t="str">
            <v>FY 2011 Guidance - GLBC</v>
          </cell>
        </row>
        <row r="11">
          <cell r="B11" t="str">
            <v>Revenue</v>
          </cell>
          <cell r="C11" t="str">
            <v>$2,765M - $2,845M (approx 6% to 9%" from 2010)</v>
          </cell>
          <cell r="E11">
            <v>2609</v>
          </cell>
          <cell r="F11">
            <v>0.06</v>
          </cell>
          <cell r="G11">
            <v>2765.54</v>
          </cell>
        </row>
        <row r="12">
          <cell r="B12" t="str">
            <v>OIBIDA</v>
          </cell>
          <cell r="C12" t="str">
            <v>"grow to roughly $425M" at 7.5% revenue growth</v>
          </cell>
          <cell r="F12">
            <v>0.09</v>
          </cell>
          <cell r="G12">
            <v>2843.8100000000004</v>
          </cell>
        </row>
        <row r="13">
          <cell r="B13" t="str">
            <v>Opex</v>
          </cell>
          <cell r="C13" t="str">
            <v>"approx $20 million in higher opex" relative to 2010</v>
          </cell>
        </row>
        <row r="14">
          <cell r="B14" t="str">
            <v>Capex</v>
          </cell>
          <cell r="C14" t="str">
            <v>"approx 10% of invest and grow revenue"</v>
          </cell>
        </row>
        <row r="15">
          <cell r="B15" t="str">
            <v>FCF</v>
          </cell>
          <cell r="C15" t="str">
            <v>positive FCF in 2011</v>
          </cell>
        </row>
      </sheetData>
      <sheetData sheetId="5" refreshError="1">
        <row r="2">
          <cell r="C2" t="str">
            <v>11.875% senior unsecured</v>
          </cell>
        </row>
        <row r="3">
          <cell r="C3" t="str">
            <v>52729NBS</v>
          </cell>
          <cell r="D3" t="str">
            <v>527298AM</v>
          </cell>
        </row>
        <row r="4">
          <cell r="B4">
            <v>40767</v>
          </cell>
          <cell r="C4">
            <v>11.620000000000001</v>
          </cell>
          <cell r="D4">
            <v>9.516</v>
          </cell>
        </row>
        <row r="5">
          <cell r="B5">
            <v>40766</v>
          </cell>
          <cell r="C5">
            <v>12.394</v>
          </cell>
          <cell r="D5">
            <v>9.609</v>
          </cell>
        </row>
        <row r="6">
          <cell r="B6">
            <v>40765</v>
          </cell>
          <cell r="C6">
            <v>11.682</v>
          </cell>
          <cell r="D6">
            <v>9.3780000000000001</v>
          </cell>
        </row>
        <row r="7">
          <cell r="B7">
            <v>40764</v>
          </cell>
          <cell r="C7">
            <v>11.495000000000001</v>
          </cell>
          <cell r="D7">
            <v>9.4239999999999995</v>
          </cell>
        </row>
        <row r="8">
          <cell r="B8">
            <v>40763</v>
          </cell>
          <cell r="C8">
            <v>11.248000000000001</v>
          </cell>
          <cell r="D8">
            <v>9.4239999999999995</v>
          </cell>
        </row>
        <row r="9">
          <cell r="B9">
            <v>40762</v>
          </cell>
          <cell r="C9">
            <v>10.292</v>
          </cell>
          <cell r="D9">
            <v>8.3610000000000007</v>
          </cell>
        </row>
        <row r="10">
          <cell r="B10">
            <v>40761</v>
          </cell>
          <cell r="C10">
            <v>10.292</v>
          </cell>
          <cell r="D10">
            <v>8.3610000000000007</v>
          </cell>
        </row>
        <row r="11">
          <cell r="B11">
            <v>40760</v>
          </cell>
          <cell r="C11">
            <v>10.292</v>
          </cell>
          <cell r="D11">
            <v>8.3610000000000007</v>
          </cell>
        </row>
        <row r="12">
          <cell r="B12">
            <v>40759</v>
          </cell>
          <cell r="C12">
            <v>10.061</v>
          </cell>
          <cell r="D12">
            <v>7.5110000000000001</v>
          </cell>
        </row>
        <row r="13">
          <cell r="B13">
            <v>40758</v>
          </cell>
          <cell r="C13">
            <v>9.8320000000000007</v>
          </cell>
          <cell r="D13">
            <v>6.9889999999999999</v>
          </cell>
        </row>
        <row r="14">
          <cell r="B14">
            <v>40757</v>
          </cell>
          <cell r="C14">
            <v>9.6910000000000007</v>
          </cell>
          <cell r="D14">
            <v>6.8900000000000006</v>
          </cell>
        </row>
        <row r="15">
          <cell r="B15">
            <v>40756</v>
          </cell>
          <cell r="C15">
            <v>9.495000000000001</v>
          </cell>
          <cell r="D15">
            <v>6.843</v>
          </cell>
        </row>
        <row r="16">
          <cell r="B16">
            <v>40755</v>
          </cell>
          <cell r="C16">
            <v>9.609</v>
          </cell>
          <cell r="D16">
            <v>6.8529999999999998</v>
          </cell>
        </row>
        <row r="17">
          <cell r="B17">
            <v>40754</v>
          </cell>
          <cell r="C17">
            <v>9.609</v>
          </cell>
          <cell r="D17">
            <v>6.8529999999999998</v>
          </cell>
        </row>
        <row r="18">
          <cell r="B18">
            <v>40753</v>
          </cell>
          <cell r="C18">
            <v>9.609</v>
          </cell>
          <cell r="D18">
            <v>6.8529999999999998</v>
          </cell>
        </row>
        <row r="19">
          <cell r="B19">
            <v>40752</v>
          </cell>
          <cell r="C19">
            <v>9.5820000000000007</v>
          </cell>
          <cell r="D19">
            <v>6.9089999999999998</v>
          </cell>
        </row>
        <row r="20">
          <cell r="B20">
            <v>40751</v>
          </cell>
          <cell r="C20">
            <v>9.4979999999999993</v>
          </cell>
          <cell r="D20">
            <v>6.9139999999999997</v>
          </cell>
        </row>
        <row r="21">
          <cell r="B21">
            <v>40750</v>
          </cell>
          <cell r="C21">
            <v>9.4990000000000006</v>
          </cell>
          <cell r="D21">
            <v>6.7540000000000004</v>
          </cell>
        </row>
        <row r="22">
          <cell r="B22">
            <v>40749</v>
          </cell>
          <cell r="C22">
            <v>9.4719999999999995</v>
          </cell>
          <cell r="D22">
            <v>6.7770000000000001</v>
          </cell>
        </row>
        <row r="23">
          <cell r="B23">
            <v>40748</v>
          </cell>
          <cell r="C23">
            <v>9.3919999999999995</v>
          </cell>
          <cell r="D23">
            <v>5.9560000000000004</v>
          </cell>
        </row>
        <row r="24">
          <cell r="B24">
            <v>40747</v>
          </cell>
          <cell r="C24">
            <v>9.3919999999999995</v>
          </cell>
          <cell r="D24">
            <v>5.9560000000000004</v>
          </cell>
        </row>
        <row r="25">
          <cell r="B25">
            <v>40746</v>
          </cell>
          <cell r="C25">
            <v>9.3919999999999995</v>
          </cell>
          <cell r="D25">
            <v>5.9560000000000004</v>
          </cell>
        </row>
        <row r="26">
          <cell r="B26">
            <v>40745</v>
          </cell>
          <cell r="C26">
            <v>9.3650000000000002</v>
          </cell>
          <cell r="D26">
            <v>5.9859999999999998</v>
          </cell>
        </row>
        <row r="27">
          <cell r="B27">
            <v>40744</v>
          </cell>
          <cell r="C27">
            <v>9.3930000000000007</v>
          </cell>
          <cell r="D27">
            <v>6.0150000000000006</v>
          </cell>
        </row>
        <row r="28">
          <cell r="B28">
            <v>40743</v>
          </cell>
          <cell r="C28">
            <v>9.5329999999999995</v>
          </cell>
          <cell r="D28">
            <v>6.952</v>
          </cell>
        </row>
        <row r="29">
          <cell r="B29">
            <v>40742</v>
          </cell>
          <cell r="C29">
            <v>9.5060000000000002</v>
          </cell>
          <cell r="D29">
            <v>6.5</v>
          </cell>
        </row>
        <row r="30">
          <cell r="B30">
            <v>40741</v>
          </cell>
          <cell r="C30">
            <v>9.4529999999999994</v>
          </cell>
          <cell r="D30">
            <v>6.9710000000000001</v>
          </cell>
        </row>
        <row r="31">
          <cell r="B31">
            <v>40740</v>
          </cell>
          <cell r="C31">
            <v>9.4529999999999994</v>
          </cell>
          <cell r="D31">
            <v>6.9710000000000001</v>
          </cell>
        </row>
        <row r="32">
          <cell r="B32">
            <v>40739</v>
          </cell>
          <cell r="C32">
            <v>9.4529999999999994</v>
          </cell>
          <cell r="D32">
            <v>6.9710000000000001</v>
          </cell>
        </row>
        <row r="33">
          <cell r="B33">
            <v>40738</v>
          </cell>
          <cell r="C33">
            <v>9.4540000000000006</v>
          </cell>
          <cell r="D33">
            <v>6.5940000000000003</v>
          </cell>
        </row>
        <row r="34">
          <cell r="B34">
            <v>40737</v>
          </cell>
          <cell r="C34">
            <v>9.51</v>
          </cell>
          <cell r="D34">
            <v>6.6160000000000005</v>
          </cell>
        </row>
        <row r="35">
          <cell r="B35">
            <v>40736</v>
          </cell>
          <cell r="C35">
            <v>9.5660000000000007</v>
          </cell>
          <cell r="D35">
            <v>7.2860000000000005</v>
          </cell>
        </row>
        <row r="36">
          <cell r="B36">
            <v>40735</v>
          </cell>
          <cell r="C36">
            <v>9.4559999999999995</v>
          </cell>
          <cell r="D36">
            <v>7.0890000000000004</v>
          </cell>
        </row>
        <row r="37">
          <cell r="B37">
            <v>40734</v>
          </cell>
          <cell r="C37">
            <v>9.2940000000000005</v>
          </cell>
          <cell r="D37">
            <v>6.7229999999999999</v>
          </cell>
        </row>
        <row r="38">
          <cell r="B38">
            <v>40733</v>
          </cell>
          <cell r="C38">
            <v>9.2940000000000005</v>
          </cell>
          <cell r="D38">
            <v>6.7229999999999999</v>
          </cell>
        </row>
        <row r="39">
          <cell r="B39">
            <v>40732</v>
          </cell>
          <cell r="C39">
            <v>9.2940000000000005</v>
          </cell>
          <cell r="D39">
            <v>6.7229999999999999</v>
          </cell>
        </row>
        <row r="40">
          <cell r="B40">
            <v>40731</v>
          </cell>
          <cell r="C40">
            <v>9.4600000000000009</v>
          </cell>
          <cell r="D40">
            <v>6.7430000000000003</v>
          </cell>
        </row>
        <row r="41">
          <cell r="B41">
            <v>40730</v>
          </cell>
          <cell r="C41">
            <v>9.7110000000000003</v>
          </cell>
          <cell r="D41">
            <v>7.21</v>
          </cell>
        </row>
        <row r="42">
          <cell r="B42">
            <v>40729</v>
          </cell>
          <cell r="C42">
            <v>9.6549999999999994</v>
          </cell>
          <cell r="D42">
            <v>6.7830000000000004</v>
          </cell>
        </row>
        <row r="43">
          <cell r="B43">
            <v>40728</v>
          </cell>
          <cell r="C43">
            <v>9.6840000000000011</v>
          </cell>
          <cell r="D43">
            <v>6.923</v>
          </cell>
        </row>
        <row r="44">
          <cell r="B44">
            <v>40727</v>
          </cell>
          <cell r="C44">
            <v>9.6859999999999999</v>
          </cell>
          <cell r="D44">
            <v>6.9370000000000003</v>
          </cell>
        </row>
        <row r="45">
          <cell r="B45">
            <v>40726</v>
          </cell>
          <cell r="C45">
            <v>9.6859999999999999</v>
          </cell>
          <cell r="D45">
            <v>6.9370000000000003</v>
          </cell>
        </row>
        <row r="46">
          <cell r="B46">
            <v>40725</v>
          </cell>
          <cell r="C46">
            <v>9.6859999999999999</v>
          </cell>
          <cell r="D46">
            <v>6.9370000000000003</v>
          </cell>
        </row>
        <row r="47">
          <cell r="B47">
            <v>40724</v>
          </cell>
          <cell r="C47">
            <v>9.9960000000000004</v>
          </cell>
          <cell r="D47">
            <v>6.9409999999999998</v>
          </cell>
        </row>
        <row r="48">
          <cell r="B48">
            <v>40723</v>
          </cell>
          <cell r="C48">
            <v>10.025</v>
          </cell>
          <cell r="D48">
            <v>6.9950000000000001</v>
          </cell>
        </row>
        <row r="49">
          <cell r="B49">
            <v>40722</v>
          </cell>
          <cell r="C49">
            <v>10.197000000000001</v>
          </cell>
          <cell r="D49">
            <v>6.9990000000000006</v>
          </cell>
        </row>
        <row r="50">
          <cell r="B50">
            <v>40721</v>
          </cell>
          <cell r="C50">
            <v>10.14</v>
          </cell>
          <cell r="D50">
            <v>7.0520000000000005</v>
          </cell>
        </row>
        <row r="51">
          <cell r="B51">
            <v>40720</v>
          </cell>
          <cell r="C51">
            <v>9.8879999999999999</v>
          </cell>
          <cell r="D51">
            <v>6.6310000000000002</v>
          </cell>
        </row>
        <row r="52">
          <cell r="B52">
            <v>40719</v>
          </cell>
          <cell r="C52">
            <v>9.8879999999999999</v>
          </cell>
          <cell r="D52">
            <v>6.6310000000000002</v>
          </cell>
        </row>
        <row r="53">
          <cell r="B53">
            <v>40718</v>
          </cell>
          <cell r="C53">
            <v>9.8879999999999999</v>
          </cell>
          <cell r="D53">
            <v>6.6310000000000002</v>
          </cell>
        </row>
        <row r="54">
          <cell r="B54">
            <v>40717</v>
          </cell>
          <cell r="C54">
            <v>9.8879999999999999</v>
          </cell>
          <cell r="D54">
            <v>6.65</v>
          </cell>
        </row>
        <row r="55">
          <cell r="B55">
            <v>40716</v>
          </cell>
          <cell r="C55">
            <v>9.8889999999999993</v>
          </cell>
          <cell r="D55">
            <v>6.6690000000000005</v>
          </cell>
        </row>
        <row r="56">
          <cell r="B56">
            <v>40715</v>
          </cell>
          <cell r="C56">
            <v>10.087</v>
          </cell>
          <cell r="D56">
            <v>6.8860000000000001</v>
          </cell>
        </row>
        <row r="57">
          <cell r="B57">
            <v>40714</v>
          </cell>
          <cell r="C57">
            <v>9.947000000000001</v>
          </cell>
          <cell r="D57">
            <v>7.0819999999999999</v>
          </cell>
        </row>
        <row r="58">
          <cell r="B58">
            <v>40713</v>
          </cell>
          <cell r="C58">
            <v>9.9209999999999994</v>
          </cell>
          <cell r="D58">
            <v>7.0949999999999998</v>
          </cell>
        </row>
        <row r="59">
          <cell r="B59">
            <v>40712</v>
          </cell>
          <cell r="C59">
            <v>9.9209999999999994</v>
          </cell>
          <cell r="D59">
            <v>7.0949999999999998</v>
          </cell>
        </row>
        <row r="60">
          <cell r="B60">
            <v>40711</v>
          </cell>
          <cell r="C60">
            <v>9.9209999999999994</v>
          </cell>
          <cell r="D60">
            <v>7.0949999999999998</v>
          </cell>
        </row>
        <row r="61">
          <cell r="B61">
            <v>40710</v>
          </cell>
          <cell r="C61">
            <v>9.9209999999999994</v>
          </cell>
          <cell r="D61">
            <v>7.1000000000000005</v>
          </cell>
        </row>
        <row r="62">
          <cell r="B62">
            <v>40709</v>
          </cell>
          <cell r="C62">
            <v>9.7550000000000008</v>
          </cell>
          <cell r="D62">
            <v>7.0090000000000003</v>
          </cell>
        </row>
        <row r="63">
          <cell r="B63">
            <v>40708</v>
          </cell>
          <cell r="C63">
            <v>9.7829999999999995</v>
          </cell>
          <cell r="D63">
            <v>6.9190000000000005</v>
          </cell>
        </row>
        <row r="64">
          <cell r="B64">
            <v>40707</v>
          </cell>
          <cell r="C64">
            <v>9.84</v>
          </cell>
          <cell r="D64">
            <v>7.1120000000000001</v>
          </cell>
        </row>
        <row r="65">
          <cell r="B65">
            <v>40706</v>
          </cell>
          <cell r="C65">
            <v>9.8140000000000001</v>
          </cell>
          <cell r="D65">
            <v>6.843</v>
          </cell>
        </row>
        <row r="66">
          <cell r="B66">
            <v>40705</v>
          </cell>
          <cell r="C66">
            <v>9.8140000000000001</v>
          </cell>
          <cell r="D66">
            <v>6.843</v>
          </cell>
        </row>
        <row r="67">
          <cell r="B67">
            <v>40704</v>
          </cell>
          <cell r="C67">
            <v>9.8140000000000001</v>
          </cell>
          <cell r="D67">
            <v>6.843</v>
          </cell>
        </row>
        <row r="68">
          <cell r="B68">
            <v>40703</v>
          </cell>
          <cell r="C68">
            <v>9.843</v>
          </cell>
          <cell r="D68">
            <v>7.1290000000000004</v>
          </cell>
        </row>
        <row r="69">
          <cell r="B69">
            <v>40702</v>
          </cell>
          <cell r="C69">
            <v>9.76</v>
          </cell>
          <cell r="D69">
            <v>7.133</v>
          </cell>
        </row>
        <row r="70">
          <cell r="B70">
            <v>40701</v>
          </cell>
          <cell r="C70">
            <v>9.6229999999999993</v>
          </cell>
          <cell r="D70">
            <v>6.95</v>
          </cell>
        </row>
        <row r="71">
          <cell r="B71">
            <v>40700</v>
          </cell>
          <cell r="C71">
            <v>9.5960000000000001</v>
          </cell>
          <cell r="D71">
            <v>6.9550000000000001</v>
          </cell>
        </row>
        <row r="72">
          <cell r="B72">
            <v>40699</v>
          </cell>
          <cell r="C72">
            <v>9.5990000000000002</v>
          </cell>
          <cell r="D72">
            <v>6.968</v>
          </cell>
        </row>
        <row r="73">
          <cell r="B73">
            <v>40698</v>
          </cell>
          <cell r="C73">
            <v>9.5990000000000002</v>
          </cell>
          <cell r="D73">
            <v>6.968</v>
          </cell>
        </row>
        <row r="74">
          <cell r="B74">
            <v>40697</v>
          </cell>
          <cell r="C74">
            <v>9.5990000000000002</v>
          </cell>
          <cell r="D74">
            <v>6.968</v>
          </cell>
        </row>
        <row r="75">
          <cell r="B75">
            <v>40696</v>
          </cell>
          <cell r="C75">
            <v>9.463000000000001</v>
          </cell>
          <cell r="D75">
            <v>6.88</v>
          </cell>
        </row>
        <row r="76">
          <cell r="B76">
            <v>40695</v>
          </cell>
          <cell r="C76">
            <v>9.3550000000000004</v>
          </cell>
          <cell r="D76">
            <v>6.7140000000000004</v>
          </cell>
        </row>
        <row r="77">
          <cell r="B77">
            <v>40694</v>
          </cell>
          <cell r="C77">
            <v>9.3830000000000009</v>
          </cell>
          <cell r="D77">
            <v>6.9809999999999999</v>
          </cell>
        </row>
        <row r="78">
          <cell r="B78">
            <v>40693</v>
          </cell>
          <cell r="C78">
            <v>9.4369999999999994</v>
          </cell>
          <cell r="D78">
            <v>6.9809999999999999</v>
          </cell>
        </row>
        <row r="79">
          <cell r="B79">
            <v>40692</v>
          </cell>
          <cell r="C79">
            <v>9.44</v>
          </cell>
          <cell r="D79">
            <v>6.9939999999999998</v>
          </cell>
        </row>
        <row r="80">
          <cell r="B80">
            <v>40691</v>
          </cell>
          <cell r="C80">
            <v>9.44</v>
          </cell>
          <cell r="D80">
            <v>6.9939999999999998</v>
          </cell>
        </row>
        <row r="81">
          <cell r="B81">
            <v>40690</v>
          </cell>
          <cell r="C81">
            <v>9.44</v>
          </cell>
          <cell r="D81">
            <v>6.9939999999999998</v>
          </cell>
        </row>
        <row r="82">
          <cell r="B82">
            <v>40689</v>
          </cell>
          <cell r="C82">
            <v>9.36</v>
          </cell>
          <cell r="D82">
            <v>7.09</v>
          </cell>
        </row>
        <row r="83">
          <cell r="B83">
            <v>40688</v>
          </cell>
          <cell r="C83">
            <v>9.4150000000000009</v>
          </cell>
          <cell r="D83">
            <v>6.9110000000000005</v>
          </cell>
        </row>
        <row r="84">
          <cell r="B84">
            <v>40687</v>
          </cell>
          <cell r="C84">
            <v>9.2539999999999996</v>
          </cell>
          <cell r="D84">
            <v>6.8239999999999998</v>
          </cell>
        </row>
        <row r="85">
          <cell r="B85">
            <v>40686</v>
          </cell>
          <cell r="C85">
            <v>9.39</v>
          </cell>
          <cell r="D85">
            <v>7.0110000000000001</v>
          </cell>
        </row>
        <row r="86">
          <cell r="B86">
            <v>40685</v>
          </cell>
          <cell r="C86">
            <v>9.2309999999999999</v>
          </cell>
          <cell r="D86">
            <v>6.843</v>
          </cell>
        </row>
        <row r="87">
          <cell r="B87">
            <v>40684</v>
          </cell>
          <cell r="C87">
            <v>9.2309999999999999</v>
          </cell>
          <cell r="D87">
            <v>6.843</v>
          </cell>
        </row>
        <row r="88">
          <cell r="B88">
            <v>40683</v>
          </cell>
          <cell r="C88">
            <v>9.2309999999999999</v>
          </cell>
          <cell r="D88">
            <v>6.843</v>
          </cell>
        </row>
        <row r="89">
          <cell r="B89">
            <v>40682</v>
          </cell>
          <cell r="C89">
            <v>9.2319999999999993</v>
          </cell>
          <cell r="D89">
            <v>6.343</v>
          </cell>
        </row>
        <row r="90">
          <cell r="B90">
            <v>40681</v>
          </cell>
          <cell r="C90">
            <v>9.34</v>
          </cell>
          <cell r="D90">
            <v>6.36</v>
          </cell>
        </row>
        <row r="91">
          <cell r="B91">
            <v>40680</v>
          </cell>
          <cell r="C91">
            <v>9.2070000000000007</v>
          </cell>
          <cell r="D91">
            <v>6.1040000000000001</v>
          </cell>
        </row>
        <row r="92">
          <cell r="B92">
            <v>40679</v>
          </cell>
          <cell r="C92">
            <v>9.1549999999999994</v>
          </cell>
          <cell r="D92">
            <v>5.8520000000000003</v>
          </cell>
        </row>
        <row r="93">
          <cell r="B93">
            <v>40678</v>
          </cell>
          <cell r="C93">
            <v>9.2650000000000006</v>
          </cell>
          <cell r="D93">
            <v>5.9110000000000005</v>
          </cell>
        </row>
        <row r="94">
          <cell r="B94">
            <v>40677</v>
          </cell>
          <cell r="C94">
            <v>9.2650000000000006</v>
          </cell>
          <cell r="D94">
            <v>5.9110000000000005</v>
          </cell>
        </row>
        <row r="95">
          <cell r="B95">
            <v>40676</v>
          </cell>
          <cell r="C95">
            <v>9.2650000000000006</v>
          </cell>
          <cell r="D95">
            <v>5.9110000000000005</v>
          </cell>
        </row>
        <row r="96">
          <cell r="B96">
            <v>40675</v>
          </cell>
          <cell r="C96">
            <v>9.3460000000000001</v>
          </cell>
          <cell r="D96">
            <v>5.93</v>
          </cell>
        </row>
        <row r="97">
          <cell r="B97">
            <v>40674</v>
          </cell>
          <cell r="C97">
            <v>9.4009999999999998</v>
          </cell>
          <cell r="D97">
            <v>6.476</v>
          </cell>
        </row>
        <row r="98">
          <cell r="B98">
            <v>40673</v>
          </cell>
          <cell r="C98">
            <v>9.3480000000000008</v>
          </cell>
          <cell r="D98">
            <v>6.3620000000000001</v>
          </cell>
        </row>
        <row r="99">
          <cell r="B99">
            <v>40672</v>
          </cell>
          <cell r="C99">
            <v>9.4030000000000005</v>
          </cell>
          <cell r="D99">
            <v>6.2469999999999999</v>
          </cell>
        </row>
        <row r="100">
          <cell r="B100">
            <v>40671</v>
          </cell>
          <cell r="C100">
            <v>9.4589999999999996</v>
          </cell>
          <cell r="D100">
            <v>5.7850000000000001</v>
          </cell>
        </row>
        <row r="101">
          <cell r="B101">
            <v>40670</v>
          </cell>
          <cell r="C101">
            <v>9.4589999999999996</v>
          </cell>
          <cell r="D101">
            <v>5.7850000000000001</v>
          </cell>
        </row>
        <row r="102">
          <cell r="B102">
            <v>40669</v>
          </cell>
          <cell r="C102">
            <v>9.4589999999999996</v>
          </cell>
          <cell r="D102">
            <v>5.7850000000000001</v>
          </cell>
        </row>
        <row r="103">
          <cell r="B103">
            <v>40668</v>
          </cell>
          <cell r="C103">
            <v>9.4600000000000009</v>
          </cell>
          <cell r="D103">
            <v>6.0590000000000002</v>
          </cell>
        </row>
        <row r="104">
          <cell r="B104">
            <v>40667</v>
          </cell>
          <cell r="C104">
            <v>9.4209999999999994</v>
          </cell>
          <cell r="D104">
            <v>6.077</v>
          </cell>
        </row>
        <row r="105">
          <cell r="B105">
            <v>40666</v>
          </cell>
          <cell r="C105">
            <v>9.4079999999999995</v>
          </cell>
          <cell r="D105">
            <v>5.8420000000000005</v>
          </cell>
        </row>
        <row r="106">
          <cell r="B106">
            <v>40665</v>
          </cell>
          <cell r="C106">
            <v>9.3559999999999999</v>
          </cell>
          <cell r="D106">
            <v>5.6109999999999998</v>
          </cell>
        </row>
        <row r="107">
          <cell r="B107">
            <v>40664</v>
          </cell>
          <cell r="C107">
            <v>9.4120000000000008</v>
          </cell>
          <cell r="D107">
            <v>6.16</v>
          </cell>
        </row>
        <row r="108">
          <cell r="B108">
            <v>40663</v>
          </cell>
          <cell r="C108">
            <v>9.4120000000000008</v>
          </cell>
          <cell r="D108">
            <v>6.16</v>
          </cell>
        </row>
        <row r="109">
          <cell r="B109">
            <v>40662</v>
          </cell>
          <cell r="C109">
            <v>9.4120000000000008</v>
          </cell>
          <cell r="D109">
            <v>6.16</v>
          </cell>
        </row>
        <row r="110">
          <cell r="B110">
            <v>40661</v>
          </cell>
          <cell r="C110">
            <v>9.6289999999999996</v>
          </cell>
          <cell r="D110">
            <v>6.1749999999999998</v>
          </cell>
        </row>
        <row r="111">
          <cell r="B111">
            <v>40660</v>
          </cell>
          <cell r="C111">
            <v>9.5760000000000005</v>
          </cell>
          <cell r="D111">
            <v>5.702</v>
          </cell>
        </row>
        <row r="112">
          <cell r="B112">
            <v>40659</v>
          </cell>
          <cell r="C112">
            <v>9.5229999999999997</v>
          </cell>
          <cell r="D112">
            <v>5.9610000000000003</v>
          </cell>
        </row>
        <row r="113">
          <cell r="B113">
            <v>40658</v>
          </cell>
          <cell r="C113">
            <v>9.5240000000000009</v>
          </cell>
          <cell r="D113">
            <v>5.2549999999999999</v>
          </cell>
        </row>
        <row r="114">
          <cell r="B114">
            <v>40657</v>
          </cell>
          <cell r="C114">
            <v>9.5809999999999995</v>
          </cell>
          <cell r="D114">
            <v>5.5650000000000004</v>
          </cell>
        </row>
        <row r="115">
          <cell r="B115">
            <v>40656</v>
          </cell>
          <cell r="C115">
            <v>9.5809999999999995</v>
          </cell>
          <cell r="D115">
            <v>5.5650000000000004</v>
          </cell>
        </row>
        <row r="116">
          <cell r="B116">
            <v>40655</v>
          </cell>
          <cell r="C116">
            <v>9.5809999999999995</v>
          </cell>
          <cell r="D116">
            <v>5.5650000000000004</v>
          </cell>
        </row>
        <row r="117">
          <cell r="B117">
            <v>40654</v>
          </cell>
          <cell r="C117">
            <v>9.5809999999999995</v>
          </cell>
          <cell r="D117">
            <v>5.5650000000000004</v>
          </cell>
        </row>
        <row r="118">
          <cell r="B118">
            <v>40653</v>
          </cell>
          <cell r="C118">
            <v>9.5820000000000007</v>
          </cell>
          <cell r="D118">
            <v>5.5830000000000002</v>
          </cell>
        </row>
        <row r="119">
          <cell r="B119">
            <v>40652</v>
          </cell>
          <cell r="C119">
            <v>9.6639999999999997</v>
          </cell>
          <cell r="D119">
            <v>5.8319999999999999</v>
          </cell>
        </row>
        <row r="120">
          <cell r="B120">
            <v>40651</v>
          </cell>
          <cell r="C120">
            <v>9.6379999999999999</v>
          </cell>
          <cell r="D120">
            <v>5.6160000000000005</v>
          </cell>
        </row>
        <row r="121">
          <cell r="B121">
            <v>40650</v>
          </cell>
          <cell r="C121">
            <v>9.6950000000000003</v>
          </cell>
          <cell r="D121">
            <v>5.4379999999999997</v>
          </cell>
        </row>
        <row r="122">
          <cell r="B122">
            <v>40649</v>
          </cell>
          <cell r="C122">
            <v>9.6950000000000003</v>
          </cell>
          <cell r="D122">
            <v>5.4379999999999997</v>
          </cell>
        </row>
        <row r="123">
          <cell r="B123">
            <v>40648</v>
          </cell>
          <cell r="C123">
            <v>9.6950000000000003</v>
          </cell>
          <cell r="D123">
            <v>5.4379999999999997</v>
          </cell>
        </row>
        <row r="124">
          <cell r="B124">
            <v>40647</v>
          </cell>
          <cell r="C124">
            <v>9.75</v>
          </cell>
          <cell r="D124">
            <v>5.4550000000000001</v>
          </cell>
        </row>
        <row r="125">
          <cell r="B125">
            <v>40646</v>
          </cell>
          <cell r="C125">
            <v>9.9689999999999994</v>
          </cell>
          <cell r="D125">
            <v>5.4720000000000004</v>
          </cell>
        </row>
        <row r="126">
          <cell r="B126">
            <v>40645</v>
          </cell>
          <cell r="C126">
            <v>10.025</v>
          </cell>
          <cell r="D126">
            <v>5.2649999999999997</v>
          </cell>
        </row>
        <row r="127">
          <cell r="B127">
            <v>40644</v>
          </cell>
          <cell r="C127">
            <v>10.136000000000001</v>
          </cell>
          <cell r="D127">
            <v>5.5060000000000002</v>
          </cell>
        </row>
        <row r="128">
          <cell r="B128">
            <v>40643</v>
          </cell>
          <cell r="C128">
            <v>12.620000000000001</v>
          </cell>
          <cell r="D128">
            <v>7.0940000000000003</v>
          </cell>
        </row>
        <row r="129">
          <cell r="B129">
            <v>40642</v>
          </cell>
          <cell r="C129">
            <v>12.620000000000001</v>
          </cell>
          <cell r="D129">
            <v>7.0940000000000003</v>
          </cell>
        </row>
        <row r="130">
          <cell r="B130">
            <v>40641</v>
          </cell>
          <cell r="C130">
            <v>12.620000000000001</v>
          </cell>
          <cell r="D130">
            <v>7.0940000000000003</v>
          </cell>
        </row>
        <row r="131">
          <cell r="B131">
            <v>40640</v>
          </cell>
          <cell r="C131">
            <v>12.620000000000001</v>
          </cell>
          <cell r="D131">
            <v>7.0970000000000004</v>
          </cell>
        </row>
        <row r="132">
          <cell r="B132">
            <v>40639</v>
          </cell>
          <cell r="C132">
            <v>12.646000000000001</v>
          </cell>
          <cell r="D132">
            <v>7.101</v>
          </cell>
        </row>
        <row r="133">
          <cell r="B133">
            <v>40638</v>
          </cell>
          <cell r="C133">
            <v>12.832000000000001</v>
          </cell>
          <cell r="D133">
            <v>7.1040000000000001</v>
          </cell>
        </row>
        <row r="134">
          <cell r="B134">
            <v>40637</v>
          </cell>
          <cell r="C134">
            <v>12.858000000000001</v>
          </cell>
          <cell r="D134">
            <v>7.1909999999999998</v>
          </cell>
        </row>
        <row r="135">
          <cell r="B135">
            <v>40636</v>
          </cell>
          <cell r="C135">
            <v>13.073</v>
          </cell>
          <cell r="D135">
            <v>7.7030000000000003</v>
          </cell>
        </row>
        <row r="136">
          <cell r="B136">
            <v>40635</v>
          </cell>
          <cell r="C136">
            <v>13.073</v>
          </cell>
          <cell r="D136">
            <v>7.7030000000000003</v>
          </cell>
        </row>
        <row r="137">
          <cell r="B137">
            <v>40634</v>
          </cell>
          <cell r="C137">
            <v>13.073</v>
          </cell>
          <cell r="D137">
            <v>7.7030000000000003</v>
          </cell>
        </row>
        <row r="138">
          <cell r="B138">
            <v>40633</v>
          </cell>
          <cell r="C138">
            <v>13.073</v>
          </cell>
          <cell r="D138">
            <v>7.7050000000000001</v>
          </cell>
        </row>
        <row r="139">
          <cell r="B139">
            <v>40632</v>
          </cell>
          <cell r="C139">
            <v>13.182</v>
          </cell>
          <cell r="D139">
            <v>7.8730000000000002</v>
          </cell>
        </row>
        <row r="140">
          <cell r="B140">
            <v>40631</v>
          </cell>
          <cell r="C140">
            <v>13.236000000000001</v>
          </cell>
          <cell r="D140">
            <v>7.6240000000000006</v>
          </cell>
        </row>
        <row r="141">
          <cell r="B141">
            <v>40630</v>
          </cell>
          <cell r="C141">
            <v>13.208</v>
          </cell>
          <cell r="D141">
            <v>7.6260000000000003</v>
          </cell>
        </row>
        <row r="142">
          <cell r="B142">
            <v>40629</v>
          </cell>
          <cell r="C142">
            <v>13.234999999999999</v>
          </cell>
          <cell r="D142">
            <v>7.7160000000000002</v>
          </cell>
        </row>
        <row r="143">
          <cell r="B143">
            <v>40628</v>
          </cell>
          <cell r="C143">
            <v>13.234999999999999</v>
          </cell>
          <cell r="D143">
            <v>7.7160000000000002</v>
          </cell>
        </row>
        <row r="144">
          <cell r="B144">
            <v>40627</v>
          </cell>
          <cell r="C144">
            <v>13.234999999999999</v>
          </cell>
          <cell r="D144">
            <v>7.7160000000000002</v>
          </cell>
        </row>
        <row r="145">
          <cell r="B145">
            <v>40626</v>
          </cell>
          <cell r="C145">
            <v>13.234999999999999</v>
          </cell>
          <cell r="D145">
            <v>7.7190000000000003</v>
          </cell>
        </row>
        <row r="146">
          <cell r="B146">
            <v>40625</v>
          </cell>
          <cell r="C146">
            <v>13.234</v>
          </cell>
          <cell r="D146">
            <v>7.8040000000000003</v>
          </cell>
        </row>
        <row r="147">
          <cell r="B147">
            <v>40624</v>
          </cell>
          <cell r="C147">
            <v>13.18</v>
          </cell>
          <cell r="D147">
            <v>7.7229999999999999</v>
          </cell>
        </row>
        <row r="148">
          <cell r="B148">
            <v>40623</v>
          </cell>
          <cell r="C148">
            <v>13.125</v>
          </cell>
          <cell r="D148">
            <v>7.7250000000000005</v>
          </cell>
        </row>
        <row r="149">
          <cell r="B149">
            <v>40622</v>
          </cell>
          <cell r="C149">
            <v>13.233000000000001</v>
          </cell>
          <cell r="D149">
            <v>7.5680000000000005</v>
          </cell>
        </row>
        <row r="150">
          <cell r="B150">
            <v>40621</v>
          </cell>
          <cell r="C150">
            <v>13.233000000000001</v>
          </cell>
          <cell r="D150">
            <v>7.5680000000000005</v>
          </cell>
        </row>
        <row r="151">
          <cell r="B151">
            <v>40620</v>
          </cell>
          <cell r="C151">
            <v>13.233000000000001</v>
          </cell>
          <cell r="D151">
            <v>7.5680000000000005</v>
          </cell>
        </row>
        <row r="152">
          <cell r="B152">
            <v>40619</v>
          </cell>
          <cell r="C152">
            <v>13.233000000000001</v>
          </cell>
          <cell r="D152">
            <v>7.8170000000000002</v>
          </cell>
        </row>
        <row r="153">
          <cell r="B153">
            <v>40618</v>
          </cell>
          <cell r="C153">
            <v>13.124000000000001</v>
          </cell>
          <cell r="D153">
            <v>7.9009999999999998</v>
          </cell>
        </row>
        <row r="154">
          <cell r="B154">
            <v>40617</v>
          </cell>
          <cell r="C154">
            <v>13.016</v>
          </cell>
          <cell r="D154">
            <v>7.9030000000000005</v>
          </cell>
        </row>
        <row r="155">
          <cell r="B155">
            <v>40616</v>
          </cell>
          <cell r="C155">
            <v>12.856</v>
          </cell>
          <cell r="D155">
            <v>7.415</v>
          </cell>
        </row>
        <row r="156">
          <cell r="B156">
            <v>40615</v>
          </cell>
          <cell r="C156">
            <v>12.802</v>
          </cell>
          <cell r="D156">
            <v>7.2610000000000001</v>
          </cell>
        </row>
        <row r="157">
          <cell r="B157">
            <v>40614</v>
          </cell>
          <cell r="C157">
            <v>12.802</v>
          </cell>
          <cell r="D157">
            <v>7.2610000000000001</v>
          </cell>
        </row>
        <row r="158">
          <cell r="B158">
            <v>40613</v>
          </cell>
          <cell r="C158">
            <v>12.802</v>
          </cell>
          <cell r="D158">
            <v>7.2610000000000001</v>
          </cell>
        </row>
        <row r="159">
          <cell r="B159">
            <v>40612</v>
          </cell>
          <cell r="C159">
            <v>12.488</v>
          </cell>
          <cell r="D159">
            <v>6.8630000000000004</v>
          </cell>
        </row>
        <row r="160">
          <cell r="B160">
            <v>40611</v>
          </cell>
          <cell r="C160">
            <v>12.411</v>
          </cell>
          <cell r="D160">
            <v>6.5490000000000004</v>
          </cell>
        </row>
        <row r="161">
          <cell r="B161">
            <v>40610</v>
          </cell>
          <cell r="C161">
            <v>12.359</v>
          </cell>
          <cell r="D161">
            <v>5.7889999999999997</v>
          </cell>
        </row>
        <row r="162">
          <cell r="B162">
            <v>40609</v>
          </cell>
          <cell r="C162">
            <v>12.333</v>
          </cell>
          <cell r="D162">
            <v>5.9930000000000003</v>
          </cell>
        </row>
        <row r="163">
          <cell r="B163">
            <v>40608</v>
          </cell>
          <cell r="C163">
            <v>12.282</v>
          </cell>
          <cell r="D163">
            <v>6.4080000000000004</v>
          </cell>
        </row>
        <row r="164">
          <cell r="B164">
            <v>40607</v>
          </cell>
          <cell r="C164">
            <v>12.282</v>
          </cell>
          <cell r="D164">
            <v>6.4080000000000004</v>
          </cell>
        </row>
        <row r="165">
          <cell r="B165">
            <v>40606</v>
          </cell>
          <cell r="C165">
            <v>12.282</v>
          </cell>
          <cell r="D165">
            <v>6.4080000000000004</v>
          </cell>
        </row>
        <row r="166">
          <cell r="B166">
            <v>40605</v>
          </cell>
          <cell r="C166">
            <v>12.231</v>
          </cell>
          <cell r="D166">
            <v>6.4190000000000005</v>
          </cell>
        </row>
        <row r="167">
          <cell r="B167">
            <v>40604</v>
          </cell>
          <cell r="C167">
            <v>12.282</v>
          </cell>
          <cell r="D167">
            <v>6.2410000000000005</v>
          </cell>
        </row>
        <row r="168">
          <cell r="B168">
            <v>40603</v>
          </cell>
          <cell r="C168">
            <v>12.155000000000001</v>
          </cell>
          <cell r="D168">
            <v>6.4390000000000001</v>
          </cell>
        </row>
        <row r="169">
          <cell r="B169">
            <v>40602</v>
          </cell>
          <cell r="C169">
            <v>12.231</v>
          </cell>
          <cell r="D169">
            <v>7.1360000000000001</v>
          </cell>
        </row>
        <row r="170">
          <cell r="B170">
            <v>40601</v>
          </cell>
          <cell r="C170">
            <v>12.105</v>
          </cell>
          <cell r="D170">
            <v>7.0730000000000004</v>
          </cell>
        </row>
        <row r="171">
          <cell r="B171">
            <v>40600</v>
          </cell>
          <cell r="C171">
            <v>12.105</v>
          </cell>
          <cell r="D171">
            <v>7.0730000000000004</v>
          </cell>
        </row>
        <row r="172">
          <cell r="B172">
            <v>40599</v>
          </cell>
          <cell r="C172">
            <v>12.105</v>
          </cell>
          <cell r="D172">
            <v>7.0730000000000004</v>
          </cell>
        </row>
        <row r="173">
          <cell r="B173">
            <v>40598</v>
          </cell>
          <cell r="C173">
            <v>12.334</v>
          </cell>
          <cell r="D173">
            <v>7.2330000000000005</v>
          </cell>
        </row>
        <row r="174">
          <cell r="B174">
            <v>40597</v>
          </cell>
          <cell r="C174">
            <v>12.181000000000001</v>
          </cell>
          <cell r="D174">
            <v>7.3140000000000001</v>
          </cell>
        </row>
        <row r="175">
          <cell r="B175">
            <v>40596</v>
          </cell>
          <cell r="C175">
            <v>12.055</v>
          </cell>
          <cell r="D175">
            <v>7.0049999999999999</v>
          </cell>
        </row>
        <row r="176">
          <cell r="B176">
            <v>40595</v>
          </cell>
          <cell r="C176">
            <v>12.232000000000001</v>
          </cell>
          <cell r="D176">
            <v>6.8529999999999998</v>
          </cell>
        </row>
        <row r="177">
          <cell r="B177">
            <v>40594</v>
          </cell>
          <cell r="C177">
            <v>12.232000000000001</v>
          </cell>
          <cell r="D177">
            <v>6.8630000000000004</v>
          </cell>
        </row>
        <row r="178">
          <cell r="B178">
            <v>40593</v>
          </cell>
          <cell r="C178">
            <v>12.232000000000001</v>
          </cell>
          <cell r="D178">
            <v>6.8630000000000004</v>
          </cell>
        </row>
        <row r="179">
          <cell r="B179">
            <v>40592</v>
          </cell>
          <cell r="C179">
            <v>12.232000000000001</v>
          </cell>
          <cell r="D179">
            <v>6.8630000000000004</v>
          </cell>
        </row>
        <row r="180">
          <cell r="B180">
            <v>40591</v>
          </cell>
          <cell r="C180">
            <v>12.181000000000001</v>
          </cell>
          <cell r="D180">
            <v>7.1760000000000002</v>
          </cell>
        </row>
        <row r="181">
          <cell r="B181">
            <v>40590</v>
          </cell>
          <cell r="C181">
            <v>12.282999999999999</v>
          </cell>
          <cell r="D181">
            <v>7.2560000000000002</v>
          </cell>
        </row>
        <row r="182">
          <cell r="B182">
            <v>40589</v>
          </cell>
          <cell r="C182">
            <v>12.334</v>
          </cell>
          <cell r="D182">
            <v>7.3369999999999997</v>
          </cell>
        </row>
        <row r="183">
          <cell r="B183">
            <v>40588</v>
          </cell>
          <cell r="C183">
            <v>12.282999999999999</v>
          </cell>
          <cell r="D183">
            <v>7.65</v>
          </cell>
        </row>
        <row r="184">
          <cell r="B184">
            <v>40587</v>
          </cell>
          <cell r="C184">
            <v>12.282999999999999</v>
          </cell>
          <cell r="D184">
            <v>7.3479999999999999</v>
          </cell>
        </row>
        <row r="185">
          <cell r="B185">
            <v>40586</v>
          </cell>
          <cell r="C185">
            <v>12.282999999999999</v>
          </cell>
          <cell r="D185">
            <v>7.3479999999999999</v>
          </cell>
        </row>
        <row r="186">
          <cell r="B186">
            <v>40585</v>
          </cell>
          <cell r="C186">
            <v>12.282999999999999</v>
          </cell>
          <cell r="D186">
            <v>7.3479999999999999</v>
          </cell>
        </row>
        <row r="187">
          <cell r="B187">
            <v>40584</v>
          </cell>
          <cell r="C187">
            <v>12.282999999999999</v>
          </cell>
          <cell r="D187">
            <v>7.5049999999999999</v>
          </cell>
        </row>
        <row r="188">
          <cell r="B188">
            <v>40583</v>
          </cell>
          <cell r="C188">
            <v>12.081</v>
          </cell>
          <cell r="D188">
            <v>7.2</v>
          </cell>
        </row>
        <row r="189">
          <cell r="B189">
            <v>40582</v>
          </cell>
          <cell r="C189">
            <v>11.982000000000001</v>
          </cell>
          <cell r="D189">
            <v>7.3559999999999999</v>
          </cell>
        </row>
        <row r="190">
          <cell r="B190">
            <v>40581</v>
          </cell>
          <cell r="C190">
            <v>12.032</v>
          </cell>
          <cell r="D190">
            <v>7.8209999999999997</v>
          </cell>
        </row>
        <row r="191">
          <cell r="B191">
            <v>40580</v>
          </cell>
          <cell r="C191">
            <v>12.385</v>
          </cell>
          <cell r="D191">
            <v>8.0590000000000011</v>
          </cell>
        </row>
        <row r="192">
          <cell r="B192">
            <v>40579</v>
          </cell>
          <cell r="C192">
            <v>12.385</v>
          </cell>
          <cell r="D192">
            <v>8.0590000000000011</v>
          </cell>
        </row>
        <row r="193">
          <cell r="B193">
            <v>40578</v>
          </cell>
          <cell r="C193">
            <v>12.385</v>
          </cell>
          <cell r="D193">
            <v>8.0590000000000011</v>
          </cell>
        </row>
        <row r="194">
          <cell r="B194">
            <v>40577</v>
          </cell>
          <cell r="C194">
            <v>12.411</v>
          </cell>
          <cell r="D194">
            <v>8.293000000000001</v>
          </cell>
        </row>
        <row r="195">
          <cell r="B195">
            <v>40576</v>
          </cell>
          <cell r="C195">
            <v>12.411</v>
          </cell>
          <cell r="D195">
            <v>8.3719999999999999</v>
          </cell>
        </row>
        <row r="196">
          <cell r="B196">
            <v>40575</v>
          </cell>
          <cell r="C196">
            <v>12.436999999999999</v>
          </cell>
          <cell r="D196">
            <v>8.4499999999999993</v>
          </cell>
        </row>
        <row r="197">
          <cell r="B197">
            <v>40574</v>
          </cell>
          <cell r="C197">
            <v>12.488</v>
          </cell>
          <cell r="D197">
            <v>8.452</v>
          </cell>
        </row>
        <row r="198">
          <cell r="B198">
            <v>40573</v>
          </cell>
          <cell r="C198" t="e">
            <v>#N/A</v>
          </cell>
          <cell r="D198">
            <v>8.4540000000000006</v>
          </cell>
        </row>
        <row r="199">
          <cell r="B199">
            <v>40572</v>
          </cell>
          <cell r="C199" t="e">
            <v>#N/A</v>
          </cell>
          <cell r="D199">
            <v>8.4540000000000006</v>
          </cell>
        </row>
        <row r="200">
          <cell r="B200">
            <v>40571</v>
          </cell>
          <cell r="C200" t="e">
            <v>#N/A</v>
          </cell>
          <cell r="D200">
            <v>8.4540000000000006</v>
          </cell>
        </row>
        <row r="201">
          <cell r="B201">
            <v>40570</v>
          </cell>
          <cell r="C201" t="e">
            <v>#N/A</v>
          </cell>
          <cell r="D201">
            <v>8.61</v>
          </cell>
        </row>
        <row r="202">
          <cell r="B202">
            <v>40569</v>
          </cell>
          <cell r="C202" t="e">
            <v>#N/A</v>
          </cell>
          <cell r="D202">
            <v>8.6110000000000007</v>
          </cell>
        </row>
        <row r="203">
          <cell r="B203">
            <v>40568</v>
          </cell>
          <cell r="C203" t="e">
            <v>#N/A</v>
          </cell>
          <cell r="D203">
            <v>8.766</v>
          </cell>
        </row>
        <row r="204">
          <cell r="B204">
            <v>40567</v>
          </cell>
          <cell r="C204" t="e">
            <v>#N/A</v>
          </cell>
          <cell r="D204">
            <v>8.7669999999999995</v>
          </cell>
        </row>
        <row r="205">
          <cell r="B205">
            <v>40566</v>
          </cell>
          <cell r="C205" t="e">
            <v>#N/A</v>
          </cell>
          <cell r="D205">
            <v>9.1560000000000006</v>
          </cell>
        </row>
        <row r="206">
          <cell r="B206">
            <v>40565</v>
          </cell>
          <cell r="C206" t="e">
            <v>#N/A</v>
          </cell>
          <cell r="D206">
            <v>9.1560000000000006</v>
          </cell>
        </row>
        <row r="207">
          <cell r="B207">
            <v>40564</v>
          </cell>
          <cell r="C207" t="e">
            <v>#N/A</v>
          </cell>
          <cell r="D207">
            <v>9.1560000000000006</v>
          </cell>
        </row>
        <row r="208">
          <cell r="B208">
            <v>40563</v>
          </cell>
          <cell r="C208" t="e">
            <v>#N/A</v>
          </cell>
          <cell r="D208">
            <v>9.1560000000000006</v>
          </cell>
        </row>
        <row r="209">
          <cell r="B209">
            <v>40562</v>
          </cell>
          <cell r="C209" t="e">
            <v>#N/A</v>
          </cell>
          <cell r="D209">
            <v>9.0790000000000006</v>
          </cell>
        </row>
        <row r="210">
          <cell r="B210">
            <v>40561</v>
          </cell>
          <cell r="C210" t="e">
            <v>#N/A</v>
          </cell>
          <cell r="D210">
            <v>9.0790000000000006</v>
          </cell>
        </row>
        <row r="211">
          <cell r="B211">
            <v>40560</v>
          </cell>
          <cell r="C211" t="e">
            <v>#N/A</v>
          </cell>
          <cell r="D211">
            <v>9.08</v>
          </cell>
        </row>
        <row r="212">
          <cell r="B212">
            <v>40559</v>
          </cell>
          <cell r="C212" t="e">
            <v>#N/A</v>
          </cell>
          <cell r="D212">
            <v>9.0809999999999995</v>
          </cell>
        </row>
        <row r="213">
          <cell r="B213">
            <v>40558</v>
          </cell>
          <cell r="C213" t="e">
            <v>#N/A</v>
          </cell>
          <cell r="D213">
            <v>9.0809999999999995</v>
          </cell>
        </row>
        <row r="214">
          <cell r="B214">
            <v>40557</v>
          </cell>
          <cell r="C214" t="e">
            <v>#N/A</v>
          </cell>
          <cell r="D214">
            <v>9.0809999999999995</v>
          </cell>
        </row>
        <row r="215">
          <cell r="B215">
            <v>40556</v>
          </cell>
          <cell r="C215" t="e">
            <v>#N/A</v>
          </cell>
          <cell r="D215">
            <v>8.8510000000000009</v>
          </cell>
        </row>
        <row r="216">
          <cell r="B216">
            <v>40555</v>
          </cell>
          <cell r="C216" t="e">
            <v>#N/A</v>
          </cell>
          <cell r="D216">
            <v>8.6240000000000006</v>
          </cell>
        </row>
        <row r="217">
          <cell r="B217">
            <v>40554</v>
          </cell>
          <cell r="C217" t="e">
            <v>#N/A</v>
          </cell>
          <cell r="D217">
            <v>8.9290000000000003</v>
          </cell>
        </row>
        <row r="218">
          <cell r="B218">
            <v>40553</v>
          </cell>
          <cell r="C218" t="e">
            <v>#N/A</v>
          </cell>
          <cell r="D218">
            <v>9.322000000000001</v>
          </cell>
        </row>
        <row r="219">
          <cell r="B219">
            <v>40552</v>
          </cell>
          <cell r="C219" t="e">
            <v>#N/A</v>
          </cell>
          <cell r="D219">
            <v>9.322000000000001</v>
          </cell>
        </row>
        <row r="220">
          <cell r="B220">
            <v>40551</v>
          </cell>
          <cell r="C220" t="e">
            <v>#N/A</v>
          </cell>
          <cell r="D220">
            <v>9.322000000000001</v>
          </cell>
        </row>
        <row r="221">
          <cell r="B221">
            <v>40550</v>
          </cell>
          <cell r="C221" t="e">
            <v>#N/A</v>
          </cell>
          <cell r="D221">
            <v>9.322000000000001</v>
          </cell>
        </row>
        <row r="222">
          <cell r="B222">
            <v>40549</v>
          </cell>
          <cell r="C222" t="e">
            <v>#N/A</v>
          </cell>
          <cell r="D222">
            <v>9.2349999999999994</v>
          </cell>
        </row>
        <row r="223">
          <cell r="B223">
            <v>40548</v>
          </cell>
          <cell r="C223" t="e">
            <v>#N/A</v>
          </cell>
          <cell r="D223">
            <v>9.2349999999999994</v>
          </cell>
        </row>
        <row r="224">
          <cell r="B224">
            <v>40547</v>
          </cell>
          <cell r="C224" t="e">
            <v>#N/A</v>
          </cell>
          <cell r="D224">
            <v>9.2349999999999994</v>
          </cell>
        </row>
        <row r="225">
          <cell r="B225">
            <v>40546</v>
          </cell>
          <cell r="C225" t="e">
            <v>#N/A</v>
          </cell>
          <cell r="D225">
            <v>9.4009999999999998</v>
          </cell>
        </row>
        <row r="226">
          <cell r="B226">
            <v>40545</v>
          </cell>
          <cell r="C226" t="e">
            <v>#N/A</v>
          </cell>
          <cell r="D226">
            <v>9.48</v>
          </cell>
        </row>
        <row r="227">
          <cell r="B227">
            <v>40544</v>
          </cell>
          <cell r="C227" t="e">
            <v>#N/A</v>
          </cell>
          <cell r="D227">
            <v>9.48</v>
          </cell>
        </row>
      </sheetData>
      <sheetData sheetId="6" refreshError="1"/>
      <sheetData sheetId="7" refreshError="1">
        <row r="2">
          <cell r="B2" t="str">
            <v>Regulatory / Other Required Approvals</v>
          </cell>
        </row>
        <row r="3">
          <cell r="B3" t="str">
            <v>Approval Entity</v>
          </cell>
          <cell r="D3" t="str">
            <v>Purpose / Reason</v>
          </cell>
          <cell r="F3" t="str">
            <v>Status</v>
          </cell>
        </row>
        <row r="4">
          <cell r="B4" t="str">
            <v>Department of Justice (DOJ) / Federal Trade Commission (FTC)</v>
          </cell>
          <cell r="C4" t="str">
            <v xml:space="preserve">•
</v>
          </cell>
          <cell r="D4" t="str">
            <v xml:space="preserve">US antitrust clearance.  In regards to Hart-Scott-Rodino Antitrust Improvements Act of 1976 </v>
          </cell>
          <cell r="E4" t="str">
            <v xml:space="preserve">•
</v>
          </cell>
          <cell r="F4" t="str">
            <v>7/12/11: LVLT receives DOJ request for additional information</v>
          </cell>
        </row>
        <row r="5">
          <cell r="B5" t="str">
            <v>Federal Communications Commission (FCC)</v>
          </cell>
          <cell r="C5" t="str">
            <v xml:space="preserve">•
•
</v>
          </cell>
          <cell r="D5" t="str">
            <v>GLBC seeks approval for the change of control (Sections 214 and 310(d) of the Communications Act of 1934, Cable Landing License Act of 1921)
LVLT petitioning section 310(b)(4) of the Communications Act</v>
          </cell>
          <cell r="E5" t="str">
            <v xml:space="preserve">•
•
•
</v>
          </cell>
          <cell r="F5" t="str">
            <v>6/9/11: FCC review clock began
7/26/11: GLBC files a response to a request for information
7/28/11: LVLT files updated information for the record</v>
          </cell>
        </row>
        <row r="6">
          <cell r="B6" t="str">
            <v>Committee on Foreign Investment (CFIUS)</v>
          </cell>
          <cell r="C6" t="str">
            <v xml:space="preserve">•
•
•
•
</v>
          </cell>
          <cell r="D6" t="str">
            <v>Regarding Section 721 of the Defense Production Act
GLBC's top shareholder, STT Communications Ltd, is a foreign entity based in Singapore. 
STT will become a significant shareholder in LVLT.
CFIUS needs to approval any changes of ownership of a US compan</v>
          </cell>
          <cell r="E6" t="str">
            <v>•</v>
          </cell>
          <cell r="F6" t="str">
            <v>GLBC and LVLT filed a joint filing</v>
          </cell>
        </row>
        <row r="7">
          <cell r="B7" t="str">
            <v>Foreign regulatory authorities</v>
          </cell>
          <cell r="C7" t="str">
            <v xml:space="preserve">•
</v>
          </cell>
          <cell r="D7" t="str">
            <v>Approval for change of ownership by various foreign regulatory authorities of businesses that are controlled by GLBC and LVLT abroad</v>
          </cell>
          <cell r="F7" t="str">
            <v>ü</v>
          </cell>
        </row>
        <row r="8">
          <cell r="B8" t="str">
            <v>State regulatory authorities</v>
          </cell>
          <cell r="C8" t="str">
            <v xml:space="preserve">•
</v>
          </cell>
          <cell r="D8" t="str">
            <v>Approval for change of ownership by various state regulatory authorities</v>
          </cell>
          <cell r="F8" t="str">
            <v>ü</v>
          </cell>
        </row>
        <row r="9">
          <cell r="B9" t="str">
            <v>GLBC and LVLT Shareholder Approvals</v>
          </cell>
          <cell r="C9" t="str">
            <v>•</v>
          </cell>
          <cell r="D9" t="str">
            <v>Customary approvals for transactions</v>
          </cell>
          <cell r="F9" t="str">
            <v>ü</v>
          </cell>
        </row>
      </sheetData>
      <sheetData sheetId="8" refreshError="1">
        <row r="4">
          <cell r="B4" t="str">
            <v>North America</v>
          </cell>
          <cell r="C4">
            <v>3570</v>
          </cell>
        </row>
        <row r="5">
          <cell r="B5" t="str">
            <v>Europe</v>
          </cell>
          <cell r="C5">
            <v>939</v>
          </cell>
        </row>
        <row r="6">
          <cell r="B6" t="str">
            <v>Latin America</v>
          </cell>
          <cell r="C6">
            <v>597</v>
          </cell>
        </row>
        <row r="8">
          <cell r="B8" t="str">
            <v>Enterprise</v>
          </cell>
          <cell r="C8">
            <v>2856</v>
          </cell>
        </row>
        <row r="9">
          <cell r="B9" t="str">
            <v>Wholesale</v>
          </cell>
          <cell r="C9">
            <v>2250</v>
          </cell>
        </row>
        <row r="13">
          <cell r="E13" t="str">
            <v>Diverse Geography</v>
          </cell>
          <cell r="H13" t="str">
            <v>Balanced Customer Base</v>
          </cell>
        </row>
      </sheetData>
      <sheetData sheetId="9" refreshError="1">
        <row r="2">
          <cell r="A2" t="str">
            <v>Level 3 Communications, Inc.</v>
          </cell>
        </row>
        <row r="3">
          <cell r="A3" t="str">
            <v xml:space="preserve"> </v>
          </cell>
          <cell r="B3" t="str">
            <v xml:space="preserve"> </v>
          </cell>
          <cell r="C3" t="str">
            <v xml:space="preserve"> </v>
          </cell>
          <cell r="D3" t="str">
            <v xml:space="preserve"> </v>
          </cell>
          <cell r="E3" t="str">
            <v xml:space="preserve"> </v>
          </cell>
          <cell r="F3" t="str">
            <v xml:space="preserve"> </v>
          </cell>
          <cell r="G3" t="str">
            <v xml:space="preserve"> </v>
          </cell>
          <cell r="H3" t="str">
            <v xml:space="preserve"> </v>
          </cell>
          <cell r="I3" t="str">
            <v>Industry M&amp;A Reports</v>
          </cell>
          <cell r="J3" t="str">
            <v>Build M&amp;A Travelbook</v>
          </cell>
        </row>
        <row r="4">
          <cell r="A4" t="str">
            <v>Deal Activity Chart from August 11, 2010 to August 11, 2011</v>
          </cell>
        </row>
        <row r="16">
          <cell r="J16" t="str">
            <v>Source: FactSet Prices / FactSet Mergerstat</v>
          </cell>
        </row>
        <row r="17">
          <cell r="A17" t="str">
            <v>M&amp;A Summary</v>
          </cell>
          <cell r="H17" t="str">
            <v>Entity Structure</v>
          </cell>
          <cell r="I17" t="str">
            <v>link</v>
          </cell>
          <cell r="J17" t="str">
            <v>link</v>
          </cell>
        </row>
        <row r="18">
          <cell r="A18" t="str">
            <v>All monetary values in millions of U.S. Dollars</v>
          </cell>
          <cell r="H18" t="str">
            <v>Ultimate Parent: Level 3 Communications, Inc.</v>
          </cell>
        </row>
        <row r="19">
          <cell r="A19" t="str">
            <v>LTM Deals (1)</v>
          </cell>
          <cell r="B19" t="str">
            <v>1,411.9</v>
          </cell>
          <cell r="C19" t="str">
            <v>All Deals (59)</v>
          </cell>
          <cell r="D19" t="str">
            <v>8,544.6</v>
          </cell>
          <cell r="E19" t="str">
            <v xml:space="preserve"> </v>
          </cell>
          <cell r="F19" t="str">
            <v xml:space="preserve"> </v>
          </cell>
          <cell r="H19" t="str">
            <v>Broadwing Financial Services, Inc. (Subsidiary)</v>
          </cell>
        </row>
        <row r="20">
          <cell r="A20" t="str">
            <v>As Buyer / Seller</v>
          </cell>
          <cell r="B20" t="str">
            <v>1 / 0</v>
          </cell>
          <cell r="C20" t="str">
            <v>As Buyer / Seller</v>
          </cell>
          <cell r="D20" t="str">
            <v>42 / 17</v>
          </cell>
          <cell r="H20" t="str">
            <v>BusinessNet Ltd (Subsidiary)</v>
          </cell>
        </row>
        <row r="21">
          <cell r="A21" t="str">
            <v>Avg Size</v>
          </cell>
          <cell r="B21" t="str">
            <v>1,411.9</v>
          </cell>
          <cell r="C21" t="str">
            <v>Avg Size</v>
          </cell>
          <cell r="D21" t="str">
            <v>284.8</v>
          </cell>
          <cell r="H21" t="str">
            <v>CorpSoft, Inc. (Subsidiary)</v>
          </cell>
        </row>
        <row r="22">
          <cell r="A22" t="str">
            <v>Max / Min Size</v>
          </cell>
          <cell r="B22" t="str">
            <v>1,411.9 / 1,411.9</v>
          </cell>
          <cell r="C22" t="str">
            <v>Max / Min Size</v>
          </cell>
          <cell r="D22" t="str">
            <v>1,812.8 / 7.0</v>
          </cell>
          <cell r="H22" t="str">
            <v>Friede Goldman Newfoundland, Inc. (Subsidiary)</v>
          </cell>
        </row>
        <row r="23">
          <cell r="A23" t="str">
            <v>Full Mergerstat</v>
          </cell>
          <cell r="D23" t="str">
            <v>Source: FactSet Mergerstat</v>
          </cell>
          <cell r="H23" t="str">
            <v>GeoNet Communications, Inc. (Subsidiary)</v>
          </cell>
        </row>
        <row r="24">
          <cell r="H24" t="str">
            <v>Full Entity Structure</v>
          </cell>
        </row>
        <row r="27">
          <cell r="B27" t="str">
            <v>Latest M&amp;A Deals as Buyer (10 of 42)</v>
          </cell>
        </row>
        <row r="28">
          <cell r="B28" t="str">
            <v>All monetary values in millions of U.S. Dollars</v>
          </cell>
        </row>
        <row r="29">
          <cell r="B29" t="str">
            <v>LVLT HISTORICAL TRANSACTIONS (&gt;$1B)</v>
          </cell>
        </row>
        <row r="30">
          <cell r="B30" t="str">
            <v>Announce Date</v>
          </cell>
          <cell r="C30" t="str">
            <v>Close Date</v>
          </cell>
          <cell r="D30" t="str">
            <v>Target</v>
          </cell>
          <cell r="E30" t="str">
            <v>Deal Value</v>
          </cell>
          <cell r="F30" t="str">
            <v>EV/Sales</v>
          </cell>
          <cell r="G30" t="str">
            <v>EV/EBITDA</v>
          </cell>
        </row>
        <row r="31">
          <cell r="B31">
            <v>40644</v>
          </cell>
          <cell r="C31" t="str">
            <v>Pending</v>
          </cell>
          <cell r="D31" t="str">
            <v>Global Crossing Ltd.</v>
          </cell>
          <cell r="E31">
            <v>1411.9</v>
          </cell>
          <cell r="F31" t="str">
            <v>1.0x</v>
          </cell>
          <cell r="G31" t="str">
            <v>6.1x</v>
          </cell>
        </row>
        <row r="32">
          <cell r="B32">
            <v>39007</v>
          </cell>
          <cell r="C32">
            <v>39085</v>
          </cell>
          <cell r="D32" t="str">
            <v>Broadwing Corp.</v>
          </cell>
          <cell r="E32">
            <v>1377.6</v>
          </cell>
          <cell r="F32" t="str">
            <v>1.6x</v>
          </cell>
          <cell r="G32" t="str">
            <v>-36.9x</v>
          </cell>
        </row>
        <row r="33">
          <cell r="B33">
            <v>38838</v>
          </cell>
          <cell r="C33">
            <v>38922</v>
          </cell>
          <cell r="D33" t="str">
            <v>Telcove, Inc.</v>
          </cell>
          <cell r="E33">
            <v>1082</v>
          </cell>
        </row>
        <row r="34">
          <cell r="K34" t="str">
            <v>Source: FactSet Mergerstat</v>
          </cell>
        </row>
        <row r="37">
          <cell r="B37" t="str">
            <v>Latest M&amp;A Deals as Seller (10 of 17)</v>
          </cell>
        </row>
        <row r="38">
          <cell r="B38" t="str">
            <v>All monetary values in millions of U.S. Dollars</v>
          </cell>
        </row>
        <row r="39">
          <cell r="B39" t="str">
            <v>Announce</v>
          </cell>
          <cell r="C39" t="str">
            <v>Close</v>
          </cell>
          <cell r="E39" t="str">
            <v>Deal</v>
          </cell>
          <cell r="F39" t="str">
            <v>EV/</v>
          </cell>
          <cell r="G39" t="str">
            <v>EV/</v>
          </cell>
          <cell r="H39" t="str">
            <v>Deal</v>
          </cell>
          <cell r="I39" t="str">
            <v>Detail</v>
          </cell>
          <cell r="J39" t="str">
            <v>Source</v>
          </cell>
        </row>
        <row r="40">
          <cell r="B40" t="str">
            <v>Date</v>
          </cell>
          <cell r="C40" t="str">
            <v>Date</v>
          </cell>
          <cell r="D40" t="str">
            <v>Buyer</v>
          </cell>
          <cell r="E40" t="str">
            <v>Value</v>
          </cell>
          <cell r="F40" t="str">
            <v>Sales</v>
          </cell>
          <cell r="G40" t="str">
            <v>EBITDA</v>
          </cell>
          <cell r="H40" t="str">
            <v>Type</v>
          </cell>
          <cell r="I40" t="str">
            <v>Link</v>
          </cell>
          <cell r="J40" t="str">
            <v>Link</v>
          </cell>
        </row>
        <row r="41">
          <cell r="B41" t="str">
            <v>19-Dec-07</v>
          </cell>
          <cell r="C41" t="str">
            <v>05-Jun-08</v>
          </cell>
          <cell r="D41" t="str">
            <v>DG FastChannel, Inc.</v>
          </cell>
          <cell r="E41" t="str">
            <v>135.4</v>
          </cell>
          <cell r="F41" t="str">
            <v>--</v>
          </cell>
          <cell r="G41" t="str">
            <v>--</v>
          </cell>
          <cell r="H41" t="str">
            <v>Acq/Merger</v>
          </cell>
          <cell r="I41" t="str">
            <v>link</v>
          </cell>
          <cell r="J41" t="str">
            <v>link</v>
          </cell>
        </row>
        <row r="42">
          <cell r="D42" t="str">
            <v xml:space="preserve">Advisor(s): ThinkEquity Partners (B - Financial), Willkie Farr &amp; Gallagher LLP </v>
          </cell>
        </row>
        <row r="43">
          <cell r="D43" t="str">
            <v>(S - Legal), Latham &amp; Watkins LLP (B - Legal)</v>
          </cell>
        </row>
        <row r="44">
          <cell r="B44" t="str">
            <v>09-Jan-07</v>
          </cell>
          <cell r="C44" t="str">
            <v>09-Jan-07</v>
          </cell>
          <cell r="D44" t="str">
            <v>Revenue Management Solutions LLC</v>
          </cell>
          <cell r="E44" t="str">
            <v>--</v>
          </cell>
          <cell r="F44" t="str">
            <v>--</v>
          </cell>
          <cell r="G44" t="str">
            <v>--</v>
          </cell>
          <cell r="H44" t="str">
            <v>Acq/Merger</v>
          </cell>
          <cell r="I44" t="str">
            <v>link</v>
          </cell>
          <cell r="J44" t="str">
            <v>link</v>
          </cell>
        </row>
        <row r="45">
          <cell r="D45" t="str">
            <v>Advisor(s): Not Disclosed</v>
          </cell>
        </row>
        <row r="46">
          <cell r="B46" t="str">
            <v>20-Jul-06</v>
          </cell>
          <cell r="C46" t="str">
            <v>07-Sep-06</v>
          </cell>
          <cell r="D46" t="str">
            <v>Insight Enterprises, Inc.</v>
          </cell>
          <cell r="E46" t="str">
            <v>287.0</v>
          </cell>
          <cell r="F46" t="str">
            <v>--</v>
          </cell>
          <cell r="G46" t="str">
            <v>--</v>
          </cell>
          <cell r="H46" t="str">
            <v>Acq/Merger</v>
          </cell>
          <cell r="I46" t="str">
            <v>link</v>
          </cell>
          <cell r="J46" t="str">
            <v>link</v>
          </cell>
        </row>
        <row r="47">
          <cell r="D47" t="str">
            <v xml:space="preserve">Advisor(s): Merrill Lynch &amp; Co., Inc. (S - Financial), Raymond James &amp; </v>
          </cell>
        </row>
        <row r="48">
          <cell r="D48" t="str">
            <v xml:space="preserve">Associates (B - Financial), Willkie Farr &amp; Gallagher LLP (S - Legal), Skadden, </v>
          </cell>
        </row>
        <row r="49">
          <cell r="D49" t="str">
            <v>Arps, Slate, Meagher &amp; Flom LLP (B - Legal)</v>
          </cell>
        </row>
        <row r="50">
          <cell r="B50" t="str">
            <v>25-Oct-05</v>
          </cell>
          <cell r="C50" t="str">
            <v>01-Dec-05</v>
          </cell>
          <cell r="D50" t="str">
            <v>Infocrossing, Inc.</v>
          </cell>
          <cell r="E50" t="str">
            <v>81.5</v>
          </cell>
          <cell r="F50" t="str">
            <v>1.2x</v>
          </cell>
          <cell r="G50" t="str">
            <v>9.1x</v>
          </cell>
          <cell r="H50" t="str">
            <v>Acq/Merger</v>
          </cell>
          <cell r="I50" t="str">
            <v>link</v>
          </cell>
          <cell r="J50" t="str">
            <v>link</v>
          </cell>
        </row>
        <row r="51">
          <cell r="D51" t="str">
            <v xml:space="preserve">Advisor(s): Merrill Lynch &amp; Co., Inc. (S - Financial), Evercore Partners LLC (B </v>
          </cell>
        </row>
        <row r="52">
          <cell r="D52" t="str">
            <v xml:space="preserve">- Financial), Gibson, Dunn &amp; Crutcher LLP (B - Legal), Simpson Thacher &amp; </v>
          </cell>
        </row>
        <row r="53">
          <cell r="D53" t="str">
            <v>Bartlett LLP (B - Legal)</v>
          </cell>
        </row>
        <row r="54">
          <cell r="B54" t="str">
            <v>27-Jan-05</v>
          </cell>
          <cell r="C54" t="str">
            <v>27-Jan-05</v>
          </cell>
          <cell r="D54" t="str">
            <v>Tel West Network Services Corp.</v>
          </cell>
          <cell r="E54" t="str">
            <v>--</v>
          </cell>
          <cell r="F54" t="str">
            <v>--</v>
          </cell>
          <cell r="G54" t="str">
            <v>--</v>
          </cell>
          <cell r="H54" t="str">
            <v>Acq/Merger</v>
          </cell>
          <cell r="I54" t="str">
            <v>link</v>
          </cell>
          <cell r="J54" t="str">
            <v>--</v>
          </cell>
        </row>
        <row r="55">
          <cell r="D55" t="str">
            <v>Advisor(s): Daniels &amp; Associates (S - Financial)</v>
          </cell>
        </row>
        <row r="56">
          <cell r="B56" t="str">
            <v>10-May-04</v>
          </cell>
          <cell r="C56" t="str">
            <v>10-May-04</v>
          </cell>
          <cell r="D56" t="str">
            <v>Fiberlink Communications Corp.</v>
          </cell>
          <cell r="E56" t="str">
            <v>--</v>
          </cell>
          <cell r="F56" t="str">
            <v>--</v>
          </cell>
          <cell r="G56" t="str">
            <v>--</v>
          </cell>
          <cell r="H56" t="str">
            <v>Acq/Merger</v>
          </cell>
          <cell r="I56" t="str">
            <v>link</v>
          </cell>
          <cell r="J56" t="str">
            <v>link</v>
          </cell>
        </row>
        <row r="57">
          <cell r="D57" t="str">
            <v>Advisor(s): Not Disclosed</v>
          </cell>
        </row>
        <row r="58">
          <cell r="B58" t="str">
            <v>27-Oct-03</v>
          </cell>
          <cell r="C58" t="str">
            <v>27-Oct-03</v>
          </cell>
          <cell r="D58" t="str">
            <v>H.I.G. Capital Management, Inc.</v>
          </cell>
          <cell r="E58" t="str">
            <v>--</v>
          </cell>
          <cell r="F58" t="str">
            <v>--</v>
          </cell>
          <cell r="G58" t="str">
            <v>--</v>
          </cell>
          <cell r="H58" t="str">
            <v>Acq/Merger</v>
          </cell>
          <cell r="I58" t="str">
            <v>link</v>
          </cell>
          <cell r="J58" t="str">
            <v>--</v>
          </cell>
        </row>
        <row r="59">
          <cell r="D59" t="str">
            <v>Advisor(s): Not Disclosed</v>
          </cell>
        </row>
        <row r="60">
          <cell r="B60" t="str">
            <v>19-Aug-03</v>
          </cell>
          <cell r="C60" t="str">
            <v>31-Dec-03</v>
          </cell>
          <cell r="D60" t="str">
            <v>CenturyTel, Inc.</v>
          </cell>
          <cell r="E60" t="str">
            <v>17.0</v>
          </cell>
          <cell r="F60" t="str">
            <v>--</v>
          </cell>
          <cell r="G60" t="str">
            <v>--</v>
          </cell>
          <cell r="H60" t="str">
            <v>Acq/Merger</v>
          </cell>
          <cell r="I60" t="str">
            <v>link</v>
          </cell>
          <cell r="J60" t="str">
            <v>--</v>
          </cell>
        </row>
        <row r="61">
          <cell r="D61" t="str">
            <v>Advisor(s): Daniels &amp; Associates (S - Financial)</v>
          </cell>
        </row>
        <row r="62">
          <cell r="B62" t="str">
            <v>18-Jun-03</v>
          </cell>
          <cell r="C62" t="str">
            <v>18-Jun-03</v>
          </cell>
          <cell r="D62" t="str">
            <v>H.I.G. Capital Management, Inc.</v>
          </cell>
          <cell r="E62" t="str">
            <v>--</v>
          </cell>
          <cell r="F62" t="str">
            <v>--</v>
          </cell>
          <cell r="G62" t="str">
            <v>--</v>
          </cell>
          <cell r="H62" t="str">
            <v>Acq/Merger</v>
          </cell>
          <cell r="I62" t="str">
            <v>link</v>
          </cell>
          <cell r="J62" t="str">
            <v>--</v>
          </cell>
        </row>
        <row r="63">
          <cell r="D63" t="str">
            <v xml:space="preserve">Advisor(s): Daniels &amp; Associates (S - Financial), Petsky Prunier LLC (B - </v>
          </cell>
        </row>
        <row r="64">
          <cell r="D64" t="str">
            <v>Financial)</v>
          </cell>
        </row>
        <row r="65">
          <cell r="B65" t="str">
            <v>04-Apr-03</v>
          </cell>
          <cell r="C65" t="str">
            <v>31-May-03</v>
          </cell>
          <cell r="D65" t="str">
            <v>Computer Sciences Corp.</v>
          </cell>
          <cell r="E65" t="str">
            <v>--</v>
          </cell>
          <cell r="F65" t="str">
            <v>--</v>
          </cell>
          <cell r="G65" t="str">
            <v>--</v>
          </cell>
          <cell r="H65" t="str">
            <v>Acq/Merger</v>
          </cell>
          <cell r="I65" t="str">
            <v>link</v>
          </cell>
          <cell r="J65" t="str">
            <v>--</v>
          </cell>
        </row>
        <row r="66">
          <cell r="D66" t="str">
            <v>Advisor(s): Not Disclosed</v>
          </cell>
        </row>
        <row r="67">
          <cell r="K67" t="str">
            <v>Source: FactSet Mergerstat</v>
          </cell>
        </row>
        <row r="68">
          <cell r="B68" t="str">
            <v>New Issues from 2000 to Present (2)</v>
          </cell>
        </row>
        <row r="69">
          <cell r="B69" t="str">
            <v>All monetary values in millions, except offer price</v>
          </cell>
        </row>
        <row r="70">
          <cell r="J70" t="str">
            <v>Gross</v>
          </cell>
        </row>
        <row r="71">
          <cell r="I71" t="str">
            <v>% of Over-</v>
          </cell>
          <cell r="J71" t="str">
            <v>Proceeds</v>
          </cell>
        </row>
        <row r="72">
          <cell r="C72" t="str">
            <v>Offer</v>
          </cell>
          <cell r="D72" t="str">
            <v>Offer</v>
          </cell>
          <cell r="F72" t="str">
            <v>Offer</v>
          </cell>
          <cell r="G72" t="str">
            <v>Offer</v>
          </cell>
          <cell r="H72" t="str">
            <v>Total</v>
          </cell>
          <cell r="I72" t="str">
            <v>Allotment</v>
          </cell>
          <cell r="J72" t="str">
            <v>Adj. Over-</v>
          </cell>
          <cell r="K72" t="str">
            <v>Detail</v>
          </cell>
          <cell r="L72" t="str">
            <v>Source</v>
          </cell>
        </row>
        <row r="73">
          <cell r="B73" t="str">
            <v>Closing Name (Ticker(s))</v>
          </cell>
          <cell r="C73" t="str">
            <v>Date</v>
          </cell>
          <cell r="D73" t="str">
            <v>Type</v>
          </cell>
          <cell r="E73" t="str">
            <v>Exchange</v>
          </cell>
          <cell r="F73" t="str">
            <v>Curr.</v>
          </cell>
          <cell r="G73" t="str">
            <v>Price</v>
          </cell>
          <cell r="H73" t="str">
            <v>Shs Offered</v>
          </cell>
          <cell r="I73" t="str">
            <v>Exercised</v>
          </cell>
          <cell r="J73" t="str">
            <v>Allotment</v>
          </cell>
          <cell r="K73" t="str">
            <v>Link</v>
          </cell>
          <cell r="L73" t="str">
            <v>Link</v>
          </cell>
        </row>
        <row r="74">
          <cell r="B74" t="str">
            <v>Level 3 Communications, Inc. (LVLT)</v>
          </cell>
          <cell r="C74">
            <v>38875</v>
          </cell>
          <cell r="D74" t="str">
            <v>Follow-On</v>
          </cell>
          <cell r="E74" t="str">
            <v>NASDAQ</v>
          </cell>
          <cell r="F74" t="str">
            <v>USD</v>
          </cell>
          <cell r="G74">
            <v>4.55</v>
          </cell>
          <cell r="H74">
            <v>125000000</v>
          </cell>
          <cell r="I74">
            <v>0</v>
          </cell>
          <cell r="J74">
            <v>568.75</v>
          </cell>
          <cell r="K74" t="str">
            <v>Link</v>
          </cell>
          <cell r="L74" t="str">
            <v>Link</v>
          </cell>
        </row>
        <row r="75">
          <cell r="B75" t="str">
            <v>Level 3 Communications, Inc. (LVLT)</v>
          </cell>
          <cell r="C75">
            <v>36579</v>
          </cell>
          <cell r="D75" t="str">
            <v>Follow-On</v>
          </cell>
          <cell r="E75" t="str">
            <v>NASDAQ</v>
          </cell>
          <cell r="F75" t="str">
            <v>USD</v>
          </cell>
          <cell r="G75">
            <v>107.88</v>
          </cell>
          <cell r="H75">
            <v>23000000</v>
          </cell>
          <cell r="I75">
            <v>100</v>
          </cell>
          <cell r="J75">
            <v>2481.125</v>
          </cell>
          <cell r="K75" t="str">
            <v>Link</v>
          </cell>
          <cell r="L75" t="str">
            <v>Link</v>
          </cell>
        </row>
        <row r="76">
          <cell r="M76" t="str">
            <v>Source: FactSet New Issues</v>
          </cell>
        </row>
        <row r="77">
          <cell r="B77" t="str">
            <v>Latest Private Placement Deals (5)</v>
          </cell>
          <cell r="K77" t="str">
            <v>link</v>
          </cell>
        </row>
        <row r="78">
          <cell r="B78" t="str">
            <v>All monetary values in millions of U.S. Dollars, except security sold and per share items</v>
          </cell>
        </row>
        <row r="79">
          <cell r="B79" t="str">
            <v>Closing Name/Ticker</v>
          </cell>
          <cell r="C79" t="str">
            <v>Closing Date</v>
          </cell>
          <cell r="D79" t="str">
            <v>Structure Type</v>
          </cell>
          <cell r="E79" t="str">
            <v>Legal Structure</v>
          </cell>
          <cell r="F79" t="str">
            <v>Gross Proceeds</v>
          </cell>
          <cell r="G79" t="str">
            <v>Number of Sec. Sold</v>
          </cell>
          <cell r="H79" t="str">
            <v>Purch Price per Share</v>
          </cell>
          <cell r="I79" t="str">
            <v>Detail Link</v>
          </cell>
          <cell r="J79" t="str">
            <v>Source Link</v>
          </cell>
        </row>
        <row r="80">
          <cell r="B80" t="str">
            <v>Level 3 Communications, Inc. (LVLT)</v>
          </cell>
          <cell r="C80">
            <v>40087</v>
          </cell>
          <cell r="D80" t="str">
            <v>Convertible - Fixed</v>
          </cell>
          <cell r="E80" t="str">
            <v>PIPE</v>
          </cell>
          <cell r="F80">
            <v>275</v>
          </cell>
          <cell r="G80">
            <v>275000</v>
          </cell>
          <cell r="H80">
            <v>1000</v>
          </cell>
          <cell r="I80" t="str">
            <v>link</v>
          </cell>
          <cell r="J80" t="str">
            <v>link</v>
          </cell>
        </row>
        <row r="81">
          <cell r="B81" t="str">
            <v>Level 3 Communications, Inc. (LVLT)</v>
          </cell>
          <cell r="C81">
            <v>39769</v>
          </cell>
          <cell r="D81" t="str">
            <v>Convertible - Fixed</v>
          </cell>
          <cell r="E81" t="str">
            <v>PIPE</v>
          </cell>
          <cell r="F81">
            <v>400</v>
          </cell>
          <cell r="G81">
            <v>400000</v>
          </cell>
          <cell r="H81">
            <v>1000</v>
          </cell>
          <cell r="I81" t="str">
            <v>link</v>
          </cell>
          <cell r="J81" t="str">
            <v>link</v>
          </cell>
        </row>
        <row r="82">
          <cell r="B82" t="str">
            <v>Level 3 Communications, Inc. (LVLT)</v>
          </cell>
          <cell r="C82">
            <v>38401</v>
          </cell>
          <cell r="D82" t="str">
            <v>Convertible - Fixed</v>
          </cell>
          <cell r="E82" t="str">
            <v>PIPE</v>
          </cell>
          <cell r="F82">
            <v>880</v>
          </cell>
          <cell r="G82">
            <v>880000</v>
          </cell>
          <cell r="H82">
            <v>1000</v>
          </cell>
          <cell r="I82" t="str">
            <v>link</v>
          </cell>
          <cell r="J82" t="str">
            <v>--</v>
          </cell>
        </row>
        <row r="83">
          <cell r="B83" t="str">
            <v>Level 3 Communications, Inc. (LVLT)</v>
          </cell>
          <cell r="C83">
            <v>38323</v>
          </cell>
          <cell r="D83" t="str">
            <v>Convertible - Fixed</v>
          </cell>
          <cell r="E83" t="str">
            <v>144-A</v>
          </cell>
          <cell r="F83">
            <v>345</v>
          </cell>
          <cell r="G83">
            <v>345000</v>
          </cell>
          <cell r="H83">
            <v>1000</v>
          </cell>
          <cell r="I83" t="str">
            <v>link</v>
          </cell>
          <cell r="J83" t="str">
            <v>--</v>
          </cell>
        </row>
        <row r="84">
          <cell r="B84" t="str">
            <v>Level 3 Communications, Inc. (LVLT)</v>
          </cell>
          <cell r="C84">
            <v>37445</v>
          </cell>
          <cell r="D84" t="str">
            <v>Convertible - Fixed</v>
          </cell>
          <cell r="E84" t="str">
            <v>PIPE</v>
          </cell>
          <cell r="F84">
            <v>500</v>
          </cell>
          <cell r="G84">
            <v>500000</v>
          </cell>
          <cell r="H84">
            <v>1000</v>
          </cell>
          <cell r="I84" t="str">
            <v>link</v>
          </cell>
          <cell r="J84" t="str">
            <v>--</v>
          </cell>
        </row>
        <row r="85">
          <cell r="K85" t="str">
            <v>Source: PlacementTracker</v>
          </cell>
        </row>
        <row r="86">
          <cell r="A86" t="str">
            <v>1. Deal Value does not include preferred stock or option value.</v>
          </cell>
        </row>
        <row r="87">
          <cell r="A87" t="str">
            <v>2. Financial Advisors are sourced from press releases, filings, offering documents and advisor surveys.</v>
          </cell>
        </row>
        <row r="88">
          <cell r="A88" t="str">
            <v>3. M&amp;A deals shown are for the specified company and companies within its corporate structure.</v>
          </cell>
        </row>
        <row r="89">
          <cell r="A89" t="str">
            <v>4. For more details on how Deal Value is calculated, please see Online Assistant page 13079.</v>
          </cell>
        </row>
      </sheetData>
      <sheetData sheetId="10" refreshError="1">
        <row r="3">
          <cell r="B3" t="str">
            <v>LVLT - HISTORICAL M&amp;A TRANSACTIONS</v>
          </cell>
        </row>
        <row r="4">
          <cell r="B4" t="str">
            <v>Announced Date</v>
          </cell>
          <cell r="C4" t="str">
            <v>Closed Date</v>
          </cell>
          <cell r="D4" t="str">
            <v>Target</v>
          </cell>
          <cell r="E4" t="str">
            <v>Size ($M)</v>
          </cell>
        </row>
        <row r="5">
          <cell r="B5">
            <v>40644</v>
          </cell>
          <cell r="C5" t="str">
            <v>-</v>
          </cell>
          <cell r="D5" t="str">
            <v>Global Crossing Ltd. (NasdaqGS:GLBC)</v>
          </cell>
          <cell r="E5">
            <v>2900</v>
          </cell>
        </row>
        <row r="6">
          <cell r="B6">
            <v>39007</v>
          </cell>
          <cell r="C6">
            <v>39085</v>
          </cell>
          <cell r="D6" t="str">
            <v>Broadwing Corporation</v>
          </cell>
          <cell r="E6">
            <v>1390</v>
          </cell>
        </row>
        <row r="7">
          <cell r="B7">
            <v>38840</v>
          </cell>
          <cell r="C7">
            <v>38922</v>
          </cell>
          <cell r="D7" t="str">
            <v>TelCove, Inc.</v>
          </cell>
          <cell r="E7">
            <v>1082</v>
          </cell>
        </row>
        <row r="8">
          <cell r="B8">
            <v>38655</v>
          </cell>
          <cell r="C8">
            <v>38709</v>
          </cell>
          <cell r="D8" t="str">
            <v>WilTel Communications Group Inc.</v>
          </cell>
          <cell r="E8">
            <v>680.5</v>
          </cell>
        </row>
        <row r="9">
          <cell r="B9">
            <v>37587</v>
          </cell>
          <cell r="C9">
            <v>37656</v>
          </cell>
          <cell r="D9" t="str">
            <v>Genuity Inc., Substantially All Assets (1)</v>
          </cell>
          <cell r="E9">
            <v>242</v>
          </cell>
        </row>
        <row r="10">
          <cell r="B10" t="str">
            <v>(1) LVLT assumes many of Genuity's long-term operating agreements.</v>
          </cell>
        </row>
      </sheetData>
      <sheetData sheetId="11" refreshError="1">
        <row r="4">
          <cell r="C4" t="str">
            <v>LVLT / GLBC TRANSACTION SUMMARY</v>
          </cell>
          <cell r="G4" t="str">
            <v>COMPANY OVERVIEWS</v>
          </cell>
        </row>
        <row r="5">
          <cell r="C5" t="str">
            <v>Consideration</v>
          </cell>
          <cell r="D5" t="str">
            <v>•</v>
          </cell>
          <cell r="E5" t="str">
            <v>100% stock</v>
          </cell>
          <cell r="G5" t="str">
            <v>Level 3 operates one of the largest Internet backbones in the world. Over its broadband fiber optic network, LVLT provides IP services, broadband transport and infrastructure services, colocation services, voice services and voice over IP services.</v>
          </cell>
        </row>
        <row r="6">
          <cell r="C6" t="str">
            <v>Exchange Ratio</v>
          </cell>
          <cell r="D6" t="str">
            <v xml:space="preserve">•
</v>
          </cell>
          <cell r="E6" t="str">
            <v>16 LVLT common shares for each GLBC common and preferred share</v>
          </cell>
        </row>
        <row r="7">
          <cell r="C7" t="str">
            <v>Transaction Value</v>
          </cell>
          <cell r="D7" t="str">
            <v>•</v>
          </cell>
          <cell r="E7" t="str">
            <v>$1.9B, plus GLBC net debt of $1.1B</v>
          </cell>
        </row>
        <row r="8">
          <cell r="C8" t="str">
            <v>Estimated Multiples</v>
          </cell>
          <cell r="D8" t="str">
            <v>•</v>
          </cell>
          <cell r="E8" t="str">
            <v>7.1x GLBC's 2010 Adjusted EBITDA</v>
          </cell>
        </row>
        <row r="9">
          <cell r="C9" t="str">
            <v>Synergies</v>
          </cell>
          <cell r="D9" t="str">
            <v>•
•
•</v>
          </cell>
          <cell r="E9" t="str">
            <v>NPV of synergies $2.5B
$300M of annualized adjusted EBITDA
$40M of annualized capex savings</v>
          </cell>
          <cell r="G9" t="str">
            <v xml:space="preserve">Global Crossing is a leading global IP, Ethernet, data center and video solutions provider with the world's first integrated global IP-based network.
</v>
          </cell>
        </row>
        <row r="10">
          <cell r="C10" t="str">
            <v>Timing</v>
          </cell>
          <cell r="D10" t="str">
            <v>•</v>
          </cell>
          <cell r="E10" t="str">
            <v>Expected to close before year end</v>
          </cell>
        </row>
      </sheetData>
      <sheetData sheetId="12" refreshError="1">
        <row r="2">
          <cell r="A2">
            <v>0</v>
          </cell>
          <cell r="B2">
            <v>0</v>
          </cell>
        </row>
        <row r="3">
          <cell r="A3">
            <v>0</v>
          </cell>
          <cell r="B3">
            <v>0</v>
          </cell>
        </row>
        <row r="4">
          <cell r="A4">
            <v>0</v>
          </cell>
          <cell r="B4">
            <v>0</v>
          </cell>
        </row>
        <row r="5">
          <cell r="B5">
            <v>40724</v>
          </cell>
          <cell r="D5" t="str">
            <v>LVLT</v>
          </cell>
          <cell r="E5" t="str">
            <v>GLBC</v>
          </cell>
          <cell r="F5" t="str">
            <v>Pro Forma</v>
          </cell>
          <cell r="G5" t="str">
            <v>Pro Forma w/ Synergies</v>
          </cell>
        </row>
        <row r="6">
          <cell r="C6" t="str">
            <v>Total Debt</v>
          </cell>
          <cell r="D6">
            <v>7224</v>
          </cell>
          <cell r="E6">
            <v>1417</v>
          </cell>
          <cell r="F6">
            <v>8641</v>
          </cell>
          <cell r="G6">
            <v>8641</v>
          </cell>
        </row>
        <row r="7">
          <cell r="C7" t="str">
            <v>cash and cash equiv</v>
          </cell>
          <cell r="D7">
            <v>584</v>
          </cell>
          <cell r="E7">
            <v>265</v>
          </cell>
          <cell r="F7">
            <v>849</v>
          </cell>
          <cell r="G7">
            <v>849</v>
          </cell>
        </row>
        <row r="8">
          <cell r="C8" t="str">
            <v>Net debt</v>
          </cell>
          <cell r="D8">
            <v>6640</v>
          </cell>
          <cell r="E8">
            <v>1152</v>
          </cell>
          <cell r="F8">
            <v>7792</v>
          </cell>
          <cell r="G8">
            <v>7792</v>
          </cell>
        </row>
        <row r="10">
          <cell r="C10" t="str">
            <v>adjusted EBITDA</v>
          </cell>
          <cell r="D10">
            <v>870</v>
          </cell>
          <cell r="E10">
            <v>407</v>
          </cell>
          <cell r="F10">
            <v>1277</v>
          </cell>
          <cell r="G10">
            <v>1577</v>
          </cell>
        </row>
        <row r="11">
          <cell r="C11" t="str">
            <v>synergies</v>
          </cell>
          <cell r="G11">
            <v>300</v>
          </cell>
        </row>
        <row r="13">
          <cell r="C13" t="str">
            <v>LTM Total Debt / EBITDA</v>
          </cell>
          <cell r="D13">
            <v>8.3034482758620687</v>
          </cell>
          <cell r="E13">
            <v>3.4815724815724818</v>
          </cell>
          <cell r="F13">
            <v>6.7666405638214568</v>
          </cell>
          <cell r="G13">
            <v>5.4793912492073558</v>
          </cell>
        </row>
        <row r="14">
          <cell r="C14" t="str">
            <v>LTM Net Debt / EBITDA</v>
          </cell>
          <cell r="D14">
            <v>7.6321839080459766</v>
          </cell>
          <cell r="E14">
            <v>2.8304668304668303</v>
          </cell>
          <cell r="F14">
            <v>6.1018010963194991</v>
          </cell>
          <cell r="G14">
            <v>4.9410272669625872</v>
          </cell>
        </row>
      </sheetData>
      <sheetData sheetId="13" refreshError="1">
        <row r="2">
          <cell r="B2">
            <v>1</v>
          </cell>
          <cell r="C2">
            <v>2</v>
          </cell>
          <cell r="D2">
            <v>3</v>
          </cell>
          <cell r="E2">
            <v>4</v>
          </cell>
          <cell r="F2">
            <v>5</v>
          </cell>
          <cell r="G2">
            <v>6</v>
          </cell>
          <cell r="H2">
            <v>7</v>
          </cell>
          <cell r="I2">
            <v>8</v>
          </cell>
          <cell r="J2">
            <v>9</v>
          </cell>
          <cell r="K2">
            <v>10</v>
          </cell>
          <cell r="L2">
            <v>11</v>
          </cell>
        </row>
        <row r="3">
          <cell r="F3" t="str">
            <v xml:space="preserve">Date </v>
          </cell>
          <cell r="G3" t="str">
            <v xml:space="preserve">Price </v>
          </cell>
          <cell r="H3" t="str">
            <v>LTM EV / EBITDA</v>
          </cell>
          <cell r="I3" t="str">
            <v>LTM EV / EBITDA</v>
          </cell>
          <cell r="J3" t="str">
            <v xml:space="preserve">Opex </v>
          </cell>
          <cell r="K3" t="str">
            <v xml:space="preserve">Cash </v>
          </cell>
          <cell r="L3" t="str">
            <v xml:space="preserve">Synergies % </v>
          </cell>
        </row>
        <row r="4">
          <cell r="A4" t="str">
            <v>Strategics</v>
          </cell>
          <cell r="D4" t="str">
            <v>Target</v>
          </cell>
          <cell r="E4" t="str">
            <v>Acquirer</v>
          </cell>
          <cell r="F4" t="str">
            <v>Announced</v>
          </cell>
          <cell r="G4" t="str">
            <v>(EV)</v>
          </cell>
          <cell r="H4" t="str">
            <v>Pre-Synergies</v>
          </cell>
          <cell r="I4" t="str">
            <v>Post-Synergies</v>
          </cell>
          <cell r="J4" t="str">
            <v>Synergies</v>
          </cell>
          <cell r="K4" t="str">
            <v>Opex</v>
          </cell>
          <cell r="L4" t="str">
            <v>of Total Opex</v>
          </cell>
        </row>
        <row r="5">
          <cell r="B5">
            <v>10</v>
          </cell>
          <cell r="C5" t="str">
            <v>Level 3 / Global Crossing</v>
          </cell>
          <cell r="D5" t="str">
            <v>Global Crossing</v>
          </cell>
          <cell r="E5" t="str">
            <v>Level 3</v>
          </cell>
          <cell r="F5">
            <v>40644</v>
          </cell>
          <cell r="G5">
            <v>3000</v>
          </cell>
          <cell r="H5">
            <v>7.1</v>
          </cell>
          <cell r="I5">
            <v>4.2</v>
          </cell>
          <cell r="J5">
            <v>300</v>
          </cell>
          <cell r="K5">
            <v>2189</v>
          </cell>
          <cell r="L5">
            <v>0.13704888076747374</v>
          </cell>
          <cell r="O5">
            <v>1</v>
          </cell>
          <cell r="P5" t="str">
            <v>EarthLink / One Comm.</v>
          </cell>
          <cell r="Q5">
            <v>4.0322580645161289E-2</v>
          </cell>
        </row>
        <row r="6">
          <cell r="B6">
            <v>1</v>
          </cell>
          <cell r="C6" t="str">
            <v>EarthLink / One Comm.</v>
          </cell>
          <cell r="D6" t="str">
            <v>One Comm.</v>
          </cell>
          <cell r="E6" t="str">
            <v>EarthLink</v>
          </cell>
          <cell r="F6">
            <v>40532</v>
          </cell>
          <cell r="G6">
            <v>370</v>
          </cell>
          <cell r="H6" t="str">
            <v>4.7x</v>
          </cell>
          <cell r="I6" t="str">
            <v>3.7x</v>
          </cell>
          <cell r="J6">
            <v>20</v>
          </cell>
          <cell r="K6">
            <v>496</v>
          </cell>
          <cell r="L6">
            <v>4.0322580645161289E-2</v>
          </cell>
          <cell r="O6">
            <v>2</v>
          </cell>
          <cell r="P6" t="str">
            <v>Neutral Tandem / Tinet</v>
          </cell>
          <cell r="Q6">
            <v>4.6833184656556649E-2</v>
          </cell>
        </row>
        <row r="7">
          <cell r="B7">
            <v>4</v>
          </cell>
          <cell r="C7" t="str">
            <v>EarthLink / ITC^Deltacom</v>
          </cell>
          <cell r="D7" t="str">
            <v>ITC^Deltacom</v>
          </cell>
          <cell r="E7" t="str">
            <v>EarthLink</v>
          </cell>
          <cell r="F7">
            <v>40452</v>
          </cell>
          <cell r="G7">
            <v>516</v>
          </cell>
          <cell r="H7" t="str">
            <v>5.8x</v>
          </cell>
          <cell r="I7" t="str">
            <v>4.7x</v>
          </cell>
          <cell r="J7">
            <v>20</v>
          </cell>
          <cell r="K7">
            <v>362</v>
          </cell>
          <cell r="L7">
            <v>5.5248618784530384E-2</v>
          </cell>
          <cell r="O7">
            <v>3</v>
          </cell>
          <cell r="P7" t="str">
            <v>PAETEC / US LEC (1)</v>
          </cell>
          <cell r="Q7">
            <v>4.9261083743842367E-2</v>
          </cell>
        </row>
        <row r="8">
          <cell r="B8" t="e">
            <v>#VALUE!</v>
          </cell>
          <cell r="C8" t="str">
            <v>Lightower / Lexent</v>
          </cell>
          <cell r="D8" t="str">
            <v>Lexent</v>
          </cell>
          <cell r="E8" t="str">
            <v>Lightower</v>
          </cell>
          <cell r="F8">
            <v>40435</v>
          </cell>
          <cell r="G8" t="str">
            <v>NA</v>
          </cell>
          <cell r="H8" t="str">
            <v>NA</v>
          </cell>
          <cell r="I8" t="str">
            <v>NA</v>
          </cell>
          <cell r="J8" t="str">
            <v>NA</v>
          </cell>
          <cell r="K8" t="str">
            <v>NA</v>
          </cell>
          <cell r="L8" t="str">
            <v>NA</v>
          </cell>
          <cell r="O8">
            <v>4</v>
          </cell>
          <cell r="P8" t="str">
            <v>EarthLink / ITC^Deltacom</v>
          </cell>
          <cell r="Q8">
            <v>5.5248618784530384E-2</v>
          </cell>
        </row>
        <row r="9">
          <cell r="B9">
            <v>9</v>
          </cell>
          <cell r="C9" t="str">
            <v>PAETEC / Cavalier</v>
          </cell>
          <cell r="D9" t="str">
            <v>Cavalier</v>
          </cell>
          <cell r="E9" t="str">
            <v>PAETEC</v>
          </cell>
          <cell r="F9">
            <v>40434</v>
          </cell>
          <cell r="G9">
            <v>460</v>
          </cell>
          <cell r="H9" t="str">
            <v>5.1x</v>
          </cell>
          <cell r="I9" t="str">
            <v>3.8x</v>
          </cell>
          <cell r="J9">
            <v>30</v>
          </cell>
          <cell r="K9">
            <v>288</v>
          </cell>
          <cell r="L9">
            <v>0.10416666666666667</v>
          </cell>
          <cell r="O9">
            <v>4</v>
          </cell>
          <cell r="P9" t="str">
            <v>EarthLink / ITC^Deltacom</v>
          </cell>
          <cell r="Q9">
            <v>5.5248618784530384E-2</v>
          </cell>
        </row>
        <row r="10">
          <cell r="B10">
            <v>2</v>
          </cell>
          <cell r="C10" t="str">
            <v>Neutral Tandem / Tinet</v>
          </cell>
          <cell r="D10" t="str">
            <v>Tinet</v>
          </cell>
          <cell r="E10" t="str">
            <v>Neutral Tandem</v>
          </cell>
          <cell r="F10">
            <v>40430</v>
          </cell>
          <cell r="G10">
            <v>94.9</v>
          </cell>
          <cell r="H10" t="str">
            <v>7.0x</v>
          </cell>
          <cell r="I10" t="str">
            <v>6.1x</v>
          </cell>
          <cell r="J10">
            <v>2.1</v>
          </cell>
          <cell r="K10">
            <v>44.839999999999996</v>
          </cell>
          <cell r="L10">
            <v>4.6833184656556649E-2</v>
          </cell>
          <cell r="O10">
            <v>5</v>
          </cell>
          <cell r="P10" t="str">
            <v>Windstream / PAETEC</v>
          </cell>
          <cell r="Q10">
            <v>0.06</v>
          </cell>
        </row>
        <row r="11">
          <cell r="B11">
            <v>12</v>
          </cell>
          <cell r="C11" t="str">
            <v>Windstream / KDL / Norlight</v>
          </cell>
          <cell r="D11" t="str">
            <v>KDL / Norlight</v>
          </cell>
          <cell r="E11" t="str">
            <v>Windstream</v>
          </cell>
          <cell r="F11">
            <v>40407</v>
          </cell>
          <cell r="G11">
            <v>782</v>
          </cell>
          <cell r="H11" t="str">
            <v>8.4x</v>
          </cell>
          <cell r="I11" t="str">
            <v>6.6x</v>
          </cell>
          <cell r="J11">
            <v>25</v>
          </cell>
          <cell r="K11">
            <v>138.19999999999999</v>
          </cell>
          <cell r="L11">
            <v>0.18089725036179452</v>
          </cell>
          <cell r="O11">
            <v>6</v>
          </cell>
          <cell r="P11" t="str">
            <v>PAETEC / McLeod USA</v>
          </cell>
          <cell r="Q11">
            <v>6.3965884861407252E-2</v>
          </cell>
        </row>
        <row r="12">
          <cell r="B12">
            <v>11</v>
          </cell>
          <cell r="C12" t="str">
            <v xml:space="preserve">NTELOS / Fibernet </v>
          </cell>
          <cell r="D12" t="str">
            <v xml:space="preserve">Fibernet </v>
          </cell>
          <cell r="E12" t="str">
            <v>NTELOS</v>
          </cell>
          <cell r="F12">
            <v>40379</v>
          </cell>
          <cell r="G12">
            <v>170</v>
          </cell>
          <cell r="H12" t="str">
            <v>6.8x (1)</v>
          </cell>
          <cell r="I12" t="str">
            <v>5.4x (1)</v>
          </cell>
          <cell r="J12">
            <v>8</v>
          </cell>
          <cell r="K12">
            <v>51</v>
          </cell>
          <cell r="L12">
            <v>0.15686274509803921</v>
          </cell>
          <cell r="O12">
            <v>7</v>
          </cell>
          <cell r="P12" t="str">
            <v>Windstream / NuVox</v>
          </cell>
          <cell r="Q12">
            <v>6.726457399103139E-2</v>
          </cell>
        </row>
        <row r="13">
          <cell r="B13" t="e">
            <v>#VALUE!</v>
          </cell>
          <cell r="C13" t="str">
            <v>Lightyear / SouthEast Telephone</v>
          </cell>
          <cell r="D13" t="str">
            <v>SouthEast Telephone</v>
          </cell>
          <cell r="E13" t="str">
            <v>Lightyear</v>
          </cell>
          <cell r="F13">
            <v>40360</v>
          </cell>
          <cell r="G13">
            <v>7.3</v>
          </cell>
          <cell r="H13" t="str">
            <v>NA</v>
          </cell>
          <cell r="I13" t="str">
            <v>NA</v>
          </cell>
          <cell r="J13" t="str">
            <v>NA</v>
          </cell>
          <cell r="K13" t="str">
            <v>NA</v>
          </cell>
          <cell r="L13" t="str">
            <v>NA</v>
          </cell>
          <cell r="O13">
            <v>8</v>
          </cell>
          <cell r="P13" t="str">
            <v>PAETEC / US LEC (2)</v>
          </cell>
          <cell r="Q13">
            <v>9.8039215686274508E-2</v>
          </cell>
        </row>
        <row r="14">
          <cell r="B14" t="e">
            <v>#VALUE!</v>
          </cell>
          <cell r="C14" t="str">
            <v>Zayo Group / AFS</v>
          </cell>
          <cell r="D14" t="str">
            <v>AFS</v>
          </cell>
          <cell r="E14" t="str">
            <v>Zayo Group</v>
          </cell>
          <cell r="F14">
            <v>40359</v>
          </cell>
          <cell r="G14">
            <v>115.5</v>
          </cell>
          <cell r="H14" t="str">
            <v>NA</v>
          </cell>
          <cell r="I14" t="str">
            <v>7.7x</v>
          </cell>
          <cell r="J14" t="str">
            <v>NA</v>
          </cell>
          <cell r="K14" t="str">
            <v>NA</v>
          </cell>
          <cell r="L14" t="str">
            <v>NA</v>
          </cell>
          <cell r="O14">
            <v>9</v>
          </cell>
          <cell r="P14" t="str">
            <v>PAETEC / Cavalier</v>
          </cell>
          <cell r="Q14">
            <v>0.10416666666666667</v>
          </cell>
        </row>
        <row r="15">
          <cell r="B15" t="e">
            <v>#VALUE!</v>
          </cell>
          <cell r="C15" t="str">
            <v>Covad / Megapath / Speakeasy</v>
          </cell>
          <cell r="D15" t="str">
            <v>Speakeasy</v>
          </cell>
          <cell r="E15" t="str">
            <v>Covad / Megapath</v>
          </cell>
          <cell r="F15">
            <v>40340</v>
          </cell>
          <cell r="G15" t="str">
            <v>NA</v>
          </cell>
          <cell r="H15" t="str">
            <v>NA</v>
          </cell>
          <cell r="I15" t="str">
            <v>NA</v>
          </cell>
          <cell r="J15" t="str">
            <v>NA</v>
          </cell>
          <cell r="K15" t="str">
            <v>NA</v>
          </cell>
          <cell r="L15" t="str">
            <v>NA</v>
          </cell>
          <cell r="O15">
            <v>10</v>
          </cell>
          <cell r="P15" t="str">
            <v>Level 3 / Global Crossing</v>
          </cell>
          <cell r="Q15">
            <v>0.13704888076747374</v>
          </cell>
        </row>
        <row r="16">
          <cell r="B16" t="e">
            <v>#VALUE!</v>
          </cell>
          <cell r="C16" t="str">
            <v>Lightower / Veroxity</v>
          </cell>
          <cell r="D16" t="str">
            <v>Veroxity</v>
          </cell>
          <cell r="E16" t="str">
            <v>Lightower</v>
          </cell>
          <cell r="F16">
            <v>40323</v>
          </cell>
          <cell r="G16" t="str">
            <v>NA</v>
          </cell>
          <cell r="H16" t="str">
            <v>NA</v>
          </cell>
          <cell r="I16" t="str">
            <v>NA</v>
          </cell>
          <cell r="J16" t="str">
            <v>NA</v>
          </cell>
          <cell r="K16" t="str">
            <v>NA</v>
          </cell>
          <cell r="L16" t="str">
            <v>NA</v>
          </cell>
          <cell r="O16">
            <v>11</v>
          </cell>
          <cell r="P16" t="str">
            <v xml:space="preserve">NTELOS / Fibernet </v>
          </cell>
          <cell r="Q16">
            <v>0.15686274509803921</v>
          </cell>
        </row>
        <row r="17">
          <cell r="B17" t="e">
            <v>#VALUE!</v>
          </cell>
          <cell r="C17" t="str">
            <v>Covad / Megapath</v>
          </cell>
          <cell r="D17" t="str">
            <v>Megapath</v>
          </cell>
          <cell r="E17" t="str">
            <v>Covad</v>
          </cell>
          <cell r="F17">
            <v>40268</v>
          </cell>
          <cell r="G17" t="str">
            <v>NA</v>
          </cell>
          <cell r="H17" t="str">
            <v>NA</v>
          </cell>
          <cell r="I17" t="str">
            <v>NA</v>
          </cell>
          <cell r="J17" t="str">
            <v>NA</v>
          </cell>
          <cell r="K17" t="str">
            <v>NA</v>
          </cell>
          <cell r="L17" t="str">
            <v>NA</v>
          </cell>
          <cell r="O17">
            <v>12</v>
          </cell>
          <cell r="P17" t="str">
            <v>Windstream / KDL / Norlight</v>
          </cell>
          <cell r="Q17">
            <v>0.18089725036179452</v>
          </cell>
        </row>
        <row r="18">
          <cell r="B18">
            <v>14</v>
          </cell>
          <cell r="C18" t="str">
            <v>Zayo Group / AGL Networks</v>
          </cell>
          <cell r="D18" t="str">
            <v>AGL Networks</v>
          </cell>
          <cell r="E18" t="str">
            <v>Zayo Group</v>
          </cell>
          <cell r="F18">
            <v>40261</v>
          </cell>
          <cell r="G18">
            <v>73</v>
          </cell>
          <cell r="H18" t="str">
            <v>10.1x</v>
          </cell>
          <cell r="I18" t="str">
            <v>7.7x</v>
          </cell>
          <cell r="J18">
            <v>2.2999999999999998</v>
          </cell>
          <cell r="K18">
            <v>11.2</v>
          </cell>
          <cell r="L18">
            <v>0.20535714285714285</v>
          </cell>
          <cell r="O18">
            <v>8</v>
          </cell>
          <cell r="P18" t="str">
            <v>PAETEC / US LEC (2)</v>
          </cell>
          <cell r="Q18">
            <v>9.8039215686274508E-2</v>
          </cell>
        </row>
        <row r="19">
          <cell r="B19" t="e">
            <v>#VALUE!</v>
          </cell>
          <cell r="C19" t="str">
            <v>PacketExchange / Mzima Networks</v>
          </cell>
          <cell r="D19" t="str">
            <v>Mzima Networks</v>
          </cell>
          <cell r="E19" t="str">
            <v>PacketExchange</v>
          </cell>
          <cell r="F19">
            <v>40196</v>
          </cell>
          <cell r="G19" t="str">
            <v>NA</v>
          </cell>
          <cell r="H19" t="str">
            <v>NA</v>
          </cell>
          <cell r="I19" t="str">
            <v>NA</v>
          </cell>
          <cell r="J19" t="str">
            <v>NA</v>
          </cell>
          <cell r="K19" t="str">
            <v>NA</v>
          </cell>
          <cell r="L19" t="str">
            <v>NA</v>
          </cell>
          <cell r="O19">
            <v>9</v>
          </cell>
          <cell r="P19" t="str">
            <v>PAETEC / Cavalier</v>
          </cell>
          <cell r="Q19">
            <v>0.10416666666666667</v>
          </cell>
        </row>
        <row r="20">
          <cell r="B20">
            <v>7</v>
          </cell>
          <cell r="C20" t="str">
            <v>Windstream / NuVox</v>
          </cell>
          <cell r="D20" t="str">
            <v>NuVox</v>
          </cell>
          <cell r="E20" t="str">
            <v>Windstream</v>
          </cell>
          <cell r="F20">
            <v>40120</v>
          </cell>
          <cell r="G20">
            <v>643</v>
          </cell>
          <cell r="H20" t="str">
            <v>5.7x</v>
          </cell>
          <cell r="I20" t="str">
            <v>4.5x</v>
          </cell>
          <cell r="J20">
            <v>30</v>
          </cell>
          <cell r="K20">
            <v>446</v>
          </cell>
          <cell r="L20">
            <v>6.726457399103139E-2</v>
          </cell>
          <cell r="O20">
            <v>9</v>
          </cell>
          <cell r="P20" t="str">
            <v>PAETEC / Cavalier</v>
          </cell>
          <cell r="Q20">
            <v>0.10416666666666667</v>
          </cell>
        </row>
        <row r="21">
          <cell r="B21">
            <v>6</v>
          </cell>
          <cell r="C21" t="str">
            <v>PAETEC / McLeod USA</v>
          </cell>
          <cell r="D21" t="str">
            <v>McLeod USA</v>
          </cell>
          <cell r="E21" t="str">
            <v>PAETEC</v>
          </cell>
          <cell r="F21">
            <v>39342</v>
          </cell>
          <cell r="G21">
            <v>557</v>
          </cell>
          <cell r="H21" t="str">
            <v>11.6x</v>
          </cell>
          <cell r="I21" t="str">
            <v>7.1x</v>
          </cell>
          <cell r="J21">
            <v>30</v>
          </cell>
          <cell r="K21">
            <v>469</v>
          </cell>
          <cell r="L21">
            <v>6.3965884861407252E-2</v>
          </cell>
          <cell r="O21">
            <v>10</v>
          </cell>
          <cell r="P21" t="str">
            <v>Level 3 / Global Crossing</v>
          </cell>
          <cell r="Q21">
            <v>0.13704888076747374</v>
          </cell>
        </row>
        <row r="22">
          <cell r="B22">
            <v>8</v>
          </cell>
          <cell r="C22" t="str">
            <v>PAETEC / US LEC (2)</v>
          </cell>
          <cell r="D22" t="str">
            <v>US LEC (2)</v>
          </cell>
          <cell r="E22" t="str">
            <v>PAETEC</v>
          </cell>
          <cell r="F22">
            <v>38943</v>
          </cell>
          <cell r="G22">
            <v>826</v>
          </cell>
          <cell r="H22" t="str">
            <v>14.2x</v>
          </cell>
          <cell r="I22" t="str">
            <v>8.4x</v>
          </cell>
          <cell r="J22">
            <v>40</v>
          </cell>
          <cell r="K22">
            <v>408</v>
          </cell>
          <cell r="L22">
            <v>9.8039215686274508E-2</v>
          </cell>
          <cell r="O22">
            <v>11</v>
          </cell>
          <cell r="P22" t="str">
            <v xml:space="preserve">NTELOS / Fibernet </v>
          </cell>
          <cell r="Q22">
            <v>0.15686274509803921</v>
          </cell>
        </row>
        <row r="23">
          <cell r="B23">
            <v>3</v>
          </cell>
          <cell r="C23" t="str">
            <v>PAETEC / US LEC (1)</v>
          </cell>
          <cell r="D23" t="str">
            <v>US LEC (1)</v>
          </cell>
          <cell r="E23" t="str">
            <v>PAETEC</v>
          </cell>
          <cell r="F23">
            <v>38943</v>
          </cell>
          <cell r="G23">
            <v>1262</v>
          </cell>
          <cell r="H23" t="str">
            <v>8.6x</v>
          </cell>
          <cell r="I23" t="str">
            <v>6.8x</v>
          </cell>
          <cell r="J23">
            <v>40</v>
          </cell>
          <cell r="K23">
            <v>812</v>
          </cell>
          <cell r="L23">
            <v>4.9261083743842367E-2</v>
          </cell>
          <cell r="O23">
            <v>12</v>
          </cell>
          <cell r="P23" t="str">
            <v>Windstream / KDL / Norlight</v>
          </cell>
          <cell r="Q23">
            <v>0.18089725036179452</v>
          </cell>
        </row>
        <row r="24">
          <cell r="B24">
            <v>15</v>
          </cell>
          <cell r="C24" t="str">
            <v>tw telecom / Xspedius</v>
          </cell>
          <cell r="D24" t="str">
            <v>Xspedius</v>
          </cell>
          <cell r="E24" t="str">
            <v>tw telecom</v>
          </cell>
          <cell r="F24">
            <v>38926</v>
          </cell>
          <cell r="G24">
            <v>531.5</v>
          </cell>
          <cell r="H24" t="str">
            <v>11.8x (2)</v>
          </cell>
          <cell r="I24" t="str">
            <v>5.9x (2)</v>
          </cell>
          <cell r="J24">
            <v>45</v>
          </cell>
          <cell r="K24">
            <v>195</v>
          </cell>
          <cell r="L24">
            <v>0.23076923076923078</v>
          </cell>
          <cell r="O24">
            <v>13</v>
          </cell>
          <cell r="P24" t="str">
            <v>Level 3 / WilTel</v>
          </cell>
          <cell r="Q24">
            <v>0.19444444444444445</v>
          </cell>
        </row>
        <row r="25">
          <cell r="C25" t="str">
            <v>Level 3 / Telcove</v>
          </cell>
          <cell r="D25" t="str">
            <v>Telcove</v>
          </cell>
          <cell r="E25" t="str">
            <v>Level 3</v>
          </cell>
          <cell r="F25">
            <v>38838</v>
          </cell>
          <cell r="G25">
            <v>1237.5</v>
          </cell>
          <cell r="H25" t="str">
            <v>9.5x (3)</v>
          </cell>
          <cell r="I25" t="str">
            <v>NA</v>
          </cell>
          <cell r="J25" t="str">
            <v>NA</v>
          </cell>
          <cell r="K25">
            <v>260</v>
          </cell>
          <cell r="L25" t="str">
            <v>NA</v>
          </cell>
          <cell r="M25" t="str">
            <v>Revenue</v>
          </cell>
          <cell r="N25" t="str">
            <v>Integration</v>
          </cell>
          <cell r="O25">
            <v>12</v>
          </cell>
          <cell r="P25" t="str">
            <v>Windstream / KDL / Norlight</v>
          </cell>
          <cell r="Q25">
            <v>0.18089725036179452</v>
          </cell>
          <cell r="R25" t="str">
            <v>Capex</v>
          </cell>
        </row>
        <row r="26">
          <cell r="B26">
            <v>13</v>
          </cell>
          <cell r="C26" t="str">
            <v>Level 3 / WilTel</v>
          </cell>
          <cell r="D26" t="str">
            <v>WilTel</v>
          </cell>
          <cell r="E26" t="str">
            <v>Level 3</v>
          </cell>
          <cell r="F26">
            <v>38656</v>
          </cell>
          <cell r="G26">
            <v>703.5</v>
          </cell>
          <cell r="H26" t="str">
            <v>NA</v>
          </cell>
          <cell r="I26" t="str">
            <v>NA</v>
          </cell>
          <cell r="J26">
            <v>140</v>
          </cell>
          <cell r="K26">
            <v>720</v>
          </cell>
          <cell r="L26">
            <v>0.19444444444444445</v>
          </cell>
          <cell r="M26">
            <v>900</v>
          </cell>
          <cell r="O26">
            <v>14</v>
          </cell>
          <cell r="P26" t="str">
            <v>Zayo Group / AGL Networks</v>
          </cell>
          <cell r="Q26">
            <v>0.20535714285714285</v>
          </cell>
        </row>
        <row r="27">
          <cell r="B27">
            <v>5</v>
          </cell>
          <cell r="C27" t="str">
            <v>Windstream / PAETEC</v>
          </cell>
          <cell r="D27" t="str">
            <v>PAETEC</v>
          </cell>
          <cell r="E27" t="str">
            <v>Windstream</v>
          </cell>
          <cell r="L27">
            <v>0.06</v>
          </cell>
          <cell r="O27">
            <v>15</v>
          </cell>
          <cell r="P27" t="str">
            <v>tw telecom / Xspedius</v>
          </cell>
          <cell r="Q27">
            <v>0.23076923076923078</v>
          </cell>
        </row>
        <row r="28">
          <cell r="D28" t="str">
            <v>AVERAGE</v>
          </cell>
          <cell r="L28">
            <v>0.1164629645238283</v>
          </cell>
        </row>
        <row r="30">
          <cell r="A30" t="str">
            <v>Private Equity</v>
          </cell>
          <cell r="D30" t="str">
            <v>RCN</v>
          </cell>
          <cell r="E30" t="str">
            <v>ABRY Partners</v>
          </cell>
          <cell r="F30">
            <v>40243</v>
          </cell>
          <cell r="G30">
            <v>1200</v>
          </cell>
          <cell r="H30" t="str">
            <v>8.3x</v>
          </cell>
          <cell r="I30" t="str">
            <v>NA</v>
          </cell>
          <cell r="J30" t="str">
            <v>NA</v>
          </cell>
          <cell r="K30">
            <v>422.5</v>
          </cell>
          <cell r="L30" t="str">
            <v>NA</v>
          </cell>
        </row>
        <row r="31">
          <cell r="D31" t="str">
            <v>DukeNet</v>
          </cell>
          <cell r="E31" t="str">
            <v>Alinda Capital Partners (50% Stake)</v>
          </cell>
          <cell r="F31">
            <v>40354</v>
          </cell>
          <cell r="G31">
            <v>137</v>
          </cell>
          <cell r="H31" t="str">
            <v>NA</v>
          </cell>
          <cell r="I31" t="str">
            <v>NA</v>
          </cell>
          <cell r="J31" t="str">
            <v>NA</v>
          </cell>
          <cell r="K31" t="str">
            <v>NA</v>
          </cell>
          <cell r="L31" t="str">
            <v>NA</v>
          </cell>
        </row>
        <row r="32">
          <cell r="D32" t="str">
            <v>Fibertech</v>
          </cell>
          <cell r="E32" t="str">
            <v>Court Square Capital Partners</v>
          </cell>
          <cell r="F32">
            <v>40416</v>
          </cell>
          <cell r="G32">
            <v>500</v>
          </cell>
          <cell r="H32" t="str">
            <v>NA</v>
          </cell>
          <cell r="I32" t="str">
            <v>NA</v>
          </cell>
          <cell r="J32" t="str">
            <v>NA</v>
          </cell>
          <cell r="K32" t="str">
            <v>NA</v>
          </cell>
          <cell r="L32" t="str">
            <v>NA</v>
          </cell>
        </row>
        <row r="33">
          <cell r="D33" t="str">
            <v>Unite Private Networks</v>
          </cell>
          <cell r="E33" t="str">
            <v>Ridgemont Equity Partners</v>
          </cell>
          <cell r="F33">
            <v>40421</v>
          </cell>
          <cell r="G33" t="str">
            <v>NA</v>
          </cell>
          <cell r="H33" t="str">
            <v>NA</v>
          </cell>
          <cell r="I33" t="str">
            <v>NA</v>
          </cell>
          <cell r="J33" t="str">
            <v>NA</v>
          </cell>
          <cell r="K33" t="str">
            <v>NA</v>
          </cell>
          <cell r="L33" t="str">
            <v>NA</v>
          </cell>
        </row>
        <row r="35">
          <cell r="E35" t="str">
            <v>= Prior Year EBITDA</v>
          </cell>
        </row>
        <row r="37">
          <cell r="E37" t="str">
            <v>= 2007 Projected EBITDA</v>
          </cell>
          <cell r="N37">
            <v>125</v>
          </cell>
          <cell r="O37">
            <v>75</v>
          </cell>
          <cell r="Q37">
            <v>200</v>
          </cell>
          <cell r="R37">
            <v>35</v>
          </cell>
          <cell r="S37">
            <v>235</v>
          </cell>
          <cell r="T37">
            <v>665</v>
          </cell>
          <cell r="U37">
            <v>0.21052631578947367</v>
          </cell>
        </row>
        <row r="38">
          <cell r="E38" t="str">
            <v>= 2006 Projected EBITDA</v>
          </cell>
        </row>
        <row r="40">
          <cell r="D40" t="str">
            <v>(1) Projected Merged Entity</v>
          </cell>
        </row>
        <row r="41">
          <cell r="D41" t="str">
            <v>(2) Price Includes Financing of PAETEC's First and Second Lien Debt, US LEC Debt, Purchase of US LEC Preferred Stock, and Fees &amp; Other</v>
          </cell>
        </row>
      </sheetData>
      <sheetData sheetId="14" refreshError="1">
        <row r="1">
          <cell r="J1" t="str">
            <v>Sep 30 2008 LTM</v>
          </cell>
          <cell r="O1" t="str">
            <v>CTL</v>
          </cell>
          <cell r="P1" t="str">
            <v>SVVS</v>
          </cell>
          <cell r="Q1" t="str">
            <v>SVVS</v>
          </cell>
          <cell r="R1" t="str">
            <v>T/Tmo</v>
          </cell>
          <cell r="X1">
            <v>2008</v>
          </cell>
          <cell r="Z1" t="str">
            <v>12 months ended sept 30 2009</v>
          </cell>
          <cell r="AC1" t="str">
            <v>12 months ended sept 30 2009</v>
          </cell>
        </row>
        <row r="2">
          <cell r="I2" t="str">
            <v>CTL</v>
          </cell>
          <cell r="K2" t="str">
            <v>EMBARQ</v>
          </cell>
          <cell r="L2" t="str">
            <v>CTL</v>
          </cell>
          <cell r="M2" t="str">
            <v>Q</v>
          </cell>
          <cell r="O2" t="str">
            <v>CTL</v>
          </cell>
          <cell r="P2" t="str">
            <v xml:space="preserve">1Q11 </v>
          </cell>
          <cell r="Q2" t="str">
            <v>2011 Guidance</v>
          </cell>
          <cell r="R2">
            <v>2010</v>
          </cell>
          <cell r="T2" t="str">
            <v>Spinco</v>
          </cell>
          <cell r="U2" t="str">
            <v>FRP legacy</v>
          </cell>
          <cell r="V2" t="str">
            <v>adj</v>
          </cell>
          <cell r="X2" t="str">
            <v>FTR</v>
          </cell>
          <cell r="Y2" t="str">
            <v>Spinco</v>
          </cell>
          <cell r="Z2" t="str">
            <v>WIN</v>
          </cell>
          <cell r="AA2" t="str">
            <v>IOWA</v>
          </cell>
          <cell r="AC2" t="str">
            <v>WIN</v>
          </cell>
          <cell r="AD2" t="str">
            <v>Lexcom</v>
          </cell>
          <cell r="AF2" t="str">
            <v>Nuvox</v>
          </cell>
          <cell r="AG2" t="str">
            <v>D&amp;E</v>
          </cell>
          <cell r="AH2" t="str">
            <v>WIN</v>
          </cell>
        </row>
        <row r="3">
          <cell r="B3" t="str">
            <v>WIN / D&amp;E</v>
          </cell>
          <cell r="C3">
            <v>0.29761904761904762</v>
          </cell>
          <cell r="L3">
            <v>7530.2110000000002</v>
          </cell>
          <cell r="M3">
            <v>12311</v>
          </cell>
          <cell r="N3">
            <v>19841.210999999999</v>
          </cell>
          <cell r="Q3">
            <v>1045</v>
          </cell>
          <cell r="R3">
            <v>21346.996447092166</v>
          </cell>
          <cell r="T3">
            <v>1197</v>
          </cell>
          <cell r="U3">
            <v>283</v>
          </cell>
          <cell r="V3">
            <v>-5</v>
          </cell>
          <cell r="W3">
            <v>1475</v>
          </cell>
          <cell r="X3">
            <v>2237</v>
          </cell>
          <cell r="Y3">
            <v>4352</v>
          </cell>
          <cell r="Z3">
            <v>3716.3002721330281</v>
          </cell>
          <cell r="AA3">
            <v>275</v>
          </cell>
          <cell r="AB3">
            <v>3991.3002721330281</v>
          </cell>
          <cell r="AC3">
            <v>3020.2</v>
          </cell>
          <cell r="AD3">
            <v>44</v>
          </cell>
          <cell r="AE3">
            <v>3064.2</v>
          </cell>
          <cell r="AF3">
            <v>565</v>
          </cell>
          <cell r="AG3">
            <v>148</v>
          </cell>
          <cell r="AH3">
            <v>3246.6</v>
          </cell>
          <cell r="AI3">
            <v>3394.6</v>
          </cell>
        </row>
        <row r="4">
          <cell r="B4" t="str">
            <v>WIN / IOWA</v>
          </cell>
          <cell r="C4">
            <v>0.2413793103448276</v>
          </cell>
          <cell r="K4">
            <v>6222</v>
          </cell>
          <cell r="L4">
            <v>3729.6940000000004</v>
          </cell>
          <cell r="M4">
            <v>7896</v>
          </cell>
          <cell r="N4">
            <v>11625.694</v>
          </cell>
          <cell r="Q4">
            <v>767.5</v>
          </cell>
          <cell r="R4">
            <v>15869</v>
          </cell>
          <cell r="T4">
            <v>845</v>
          </cell>
          <cell r="U4">
            <v>218</v>
          </cell>
          <cell r="V4">
            <v>-99</v>
          </cell>
          <cell r="W4">
            <v>964</v>
          </cell>
          <cell r="X4">
            <v>1023</v>
          </cell>
          <cell r="Y4">
            <v>2549</v>
          </cell>
          <cell r="Z4">
            <v>1912.3</v>
          </cell>
          <cell r="AA4">
            <v>145</v>
          </cell>
          <cell r="AB4">
            <v>2057.3000000000002</v>
          </cell>
          <cell r="AC4">
            <v>1497.6999999999998</v>
          </cell>
          <cell r="AD4">
            <v>21</v>
          </cell>
          <cell r="AE4">
            <v>1518.6999999999998</v>
          </cell>
          <cell r="AF4">
            <v>453</v>
          </cell>
          <cell r="AG4">
            <v>84</v>
          </cell>
          <cell r="AH4">
            <v>1527.3</v>
          </cell>
          <cell r="AI4">
            <v>1611.3</v>
          </cell>
        </row>
        <row r="5">
          <cell r="B5" t="str">
            <v>WIN / LEXCOM</v>
          </cell>
          <cell r="C5">
            <v>0.23809523809523808</v>
          </cell>
          <cell r="K5">
            <v>3624</v>
          </cell>
          <cell r="L5">
            <v>3800.5169999999998</v>
          </cell>
          <cell r="M5">
            <v>4415</v>
          </cell>
          <cell r="N5">
            <v>8215.5169999999998</v>
          </cell>
          <cell r="Q5">
            <v>277.5</v>
          </cell>
          <cell r="T5">
            <v>352</v>
          </cell>
          <cell r="U5">
            <v>65</v>
          </cell>
          <cell r="X5">
            <v>1214</v>
          </cell>
          <cell r="Y5">
            <v>1803</v>
          </cell>
          <cell r="Z5">
            <v>1804.0002721330281</v>
          </cell>
          <cell r="AA5">
            <v>130</v>
          </cell>
          <cell r="AB5">
            <v>1934.0002721330281</v>
          </cell>
          <cell r="AC5">
            <v>1522.5</v>
          </cell>
          <cell r="AD5">
            <v>23</v>
          </cell>
          <cell r="AE5">
            <v>1545.5</v>
          </cell>
          <cell r="AF5">
            <v>112</v>
          </cell>
          <cell r="AG5">
            <v>64</v>
          </cell>
          <cell r="AH5">
            <v>1719.3</v>
          </cell>
          <cell r="AI5">
            <v>1783.3</v>
          </cell>
        </row>
        <row r="6">
          <cell r="B6" t="str">
            <v>FTR / VZ</v>
          </cell>
          <cell r="C6">
            <v>0.19615535504119264</v>
          </cell>
          <cell r="K6">
            <v>2598</v>
          </cell>
        </row>
        <row r="7">
          <cell r="B7" t="str">
            <v>T/T-Mo</v>
          </cell>
          <cell r="C7">
            <v>0.18904782910076248</v>
          </cell>
          <cell r="M7">
            <v>575</v>
          </cell>
          <cell r="Q7">
            <v>70</v>
          </cell>
          <cell r="R7">
            <v>3000</v>
          </cell>
          <cell r="T7">
            <v>111</v>
          </cell>
          <cell r="Y7">
            <v>500</v>
          </cell>
          <cell r="AA7">
            <v>35</v>
          </cell>
          <cell r="AD7">
            <v>5</v>
          </cell>
          <cell r="AF7">
            <v>30</v>
          </cell>
          <cell r="AG7">
            <v>25</v>
          </cell>
        </row>
        <row r="8">
          <cell r="B8" t="str">
            <v>LVLT/GLBC</v>
          </cell>
          <cell r="C8">
            <v>0.13700000000000001</v>
          </cell>
          <cell r="J8">
            <v>300</v>
          </cell>
          <cell r="K8">
            <v>375</v>
          </cell>
          <cell r="M8">
            <v>50</v>
          </cell>
        </row>
        <row r="9">
          <cell r="B9" t="str">
            <v>FRP / VZ</v>
          </cell>
          <cell r="C9">
            <v>0.13136094674556212</v>
          </cell>
        </row>
        <row r="10">
          <cell r="B10" t="str">
            <v>CTL / EQ *</v>
          </cell>
          <cell r="C10">
            <v>0.10347682119205298</v>
          </cell>
          <cell r="T10">
            <v>111</v>
          </cell>
          <cell r="Y10">
            <v>500</v>
          </cell>
          <cell r="AG10">
            <v>25</v>
          </cell>
        </row>
        <row r="11">
          <cell r="B11" t="str">
            <v>CTL / SVVS</v>
          </cell>
          <cell r="C11">
            <v>9.1205211726384364E-2</v>
          </cell>
        </row>
        <row r="12">
          <cell r="B12" t="str">
            <v>CTL / EQ **</v>
          </cell>
          <cell r="C12">
            <v>8.2781456953642391E-2</v>
          </cell>
          <cell r="J12">
            <v>8.2781456953642391E-2</v>
          </cell>
          <cell r="K12">
            <v>0.10347682119205298</v>
          </cell>
          <cell r="M12">
            <v>7.2821681864235058E-2</v>
          </cell>
          <cell r="Q12">
            <v>9.1205211726384364E-2</v>
          </cell>
          <cell r="R12">
            <v>0.18904782910076248</v>
          </cell>
          <cell r="T12">
            <v>0.13136094674556212</v>
          </cell>
          <cell r="Y12">
            <v>0.19615535504119264</v>
          </cell>
          <cell r="AA12">
            <v>0.2413793103448276</v>
          </cell>
          <cell r="AD12">
            <v>0.23809523809523808</v>
          </cell>
          <cell r="AF12">
            <v>6.6225165562913912E-2</v>
          </cell>
          <cell r="AG12">
            <v>0.29761904761904762</v>
          </cell>
        </row>
        <row r="13">
          <cell r="B13" t="str">
            <v>CTL / Q (1)</v>
          </cell>
          <cell r="C13">
            <v>7.2821681864235058E-2</v>
          </cell>
          <cell r="I13" t="str">
            <v>Note 1: CenturyTel presentation (10/27/08) assuming $300m in announced cost synergies and $4.4b 2008 proforma cash opex</v>
          </cell>
          <cell r="L13" t="str">
            <v>Note: Investors' presentation (04/22/10) assuming $575 of operating expense synergies and $11.6b 2009 proforma cash opex</v>
          </cell>
          <cell r="T13" t="str">
            <v>Note: Fairpoint investor presentation (04/17/08), assuming $111m of announced cost synergies and $964m in proforma 2007 cash opex.</v>
          </cell>
          <cell r="X13" t="str">
            <v>Note: Assuming $500m cash opex savings and $3.5b in pro forma 2008 cash opex. Spinco numbers from Verizon's 8-k (03/24/2010)</v>
          </cell>
          <cell r="Z13" t="str">
            <v>Note: Windstream press release (11/24/09) assuming $35m in operating expenses and capex savings, and $2.0bn in proforma cash opex for the 12 months ended 09/30/09. IWA proforma for Sherburne, WIN proforma for Nuvox, D&amp;E and Lexcom</v>
          </cell>
          <cell r="AC13" t="str">
            <v>Note: Windstream press releases (09/08/09-12/01/09) assuming $5m in operating expenses and capex savings, and $1.5bn in proforma cash opex for the 12 months ended 09/30/09. WIN excludes Nuvox, D&amp;E and Lexcom.</v>
          </cell>
          <cell r="AG13" t="str">
            <v>(7) Windstream press release (05/11/09) assuming $25m in operating expenses and capex savings, and $1.6bn in proforma cash opex for the 12 months ended 03/31/09. WIN excludes Nuvox.</v>
          </cell>
        </row>
        <row r="14">
          <cell r="B14" t="str">
            <v>WIN / NuVox</v>
          </cell>
          <cell r="C14">
            <v>6.7000000000000004E-2</v>
          </cell>
        </row>
        <row r="15">
          <cell r="B15" t="str">
            <v>WIN / PAET</v>
          </cell>
          <cell r="C15">
            <v>0.06</v>
          </cell>
          <cell r="Q15">
            <v>280</v>
          </cell>
        </row>
        <row r="16">
          <cell r="Q16">
            <v>8000</v>
          </cell>
        </row>
        <row r="17">
          <cell r="I17" t="str">
            <v>Note 2: CenturyTel 2Q09 earnings conference call, assuming $375m in cost synergies and $4.4b 2008 proforma cash opex</v>
          </cell>
          <cell r="Q17">
            <v>8280</v>
          </cell>
        </row>
        <row r="43">
          <cell r="Q43" t="str">
            <v>Share price</v>
          </cell>
          <cell r="R43">
            <v>40</v>
          </cell>
        </row>
        <row r="45">
          <cell r="C45" t="str">
            <v>2Q10</v>
          </cell>
          <cell r="G45" t="str">
            <v>4Q09</v>
          </cell>
          <cell r="R45" t="str">
            <v>CTL</v>
          </cell>
          <cell r="S45" t="str">
            <v>SVVS</v>
          </cell>
          <cell r="T45" t="str">
            <v>CTL+SVVS</v>
          </cell>
        </row>
        <row r="46">
          <cell r="C46" t="str">
            <v>Access 
Lines
(000)</v>
          </cell>
          <cell r="D46" t="str">
            <v>Mkt
Share
(%)</v>
          </cell>
          <cell r="G46" t="str">
            <v>B'band
(000)</v>
          </cell>
          <cell r="H46" t="str">
            <v>Mkt
Share
(%)</v>
          </cell>
          <cell r="I46" t="str">
            <v>Penetration of Access Lines</v>
          </cell>
          <cell r="Q46" t="str">
            <v>Shares</v>
          </cell>
          <cell r="R46">
            <v>588.5</v>
          </cell>
          <cell r="S46">
            <v>16</v>
          </cell>
          <cell r="T46">
            <v>604.5</v>
          </cell>
        </row>
        <row r="47">
          <cell r="Q47" t="str">
            <v>Mkt cap</v>
          </cell>
          <cell r="R47">
            <v>23540</v>
          </cell>
          <cell r="S47">
            <v>640</v>
          </cell>
          <cell r="T47">
            <v>24180</v>
          </cell>
        </row>
        <row r="49">
          <cell r="B49" t="str">
            <v>AT&amp;T</v>
          </cell>
          <cell r="C49">
            <v>46058</v>
          </cell>
          <cell r="D49">
            <v>0.37751097804547484</v>
          </cell>
          <cell r="F49" t="str">
            <v>Comcast</v>
          </cell>
          <cell r="G49">
            <v>16448</v>
          </cell>
          <cell r="H49">
            <v>0.23394901123401871</v>
          </cell>
          <cell r="I49" t="str">
            <v>na</v>
          </cell>
          <cell r="Q49" t="str">
            <v>Net Debt</v>
          </cell>
          <cell r="R49">
            <v>19631</v>
          </cell>
          <cell r="S49">
            <v>2400</v>
          </cell>
          <cell r="T49">
            <v>22031</v>
          </cell>
        </row>
        <row r="50">
          <cell r="B50" t="str">
            <v>Verizon</v>
          </cell>
          <cell r="C50">
            <v>27138</v>
          </cell>
          <cell r="D50">
            <v>0.22243460250549515</v>
          </cell>
          <cell r="F50" t="str">
            <v>AT&amp;T</v>
          </cell>
          <cell r="G50">
            <v>15916</v>
          </cell>
          <cell r="H50">
            <v>0.22638208066638144</v>
          </cell>
          <cell r="I50">
            <v>0.34556428850579701</v>
          </cell>
        </row>
        <row r="51">
          <cell r="B51" t="str">
            <v>CTL + Q</v>
          </cell>
          <cell r="C51">
            <v>16258</v>
          </cell>
          <cell r="D51">
            <v>0.13325749014423835</v>
          </cell>
          <cell r="F51" t="str">
            <v>Time Warner Cable</v>
          </cell>
          <cell r="G51">
            <v>9606</v>
          </cell>
          <cell r="H51">
            <v>0.13663145682842801</v>
          </cell>
          <cell r="I51" t="str">
            <v>na</v>
          </cell>
          <cell r="Q51" t="str">
            <v>EV</v>
          </cell>
          <cell r="R51">
            <v>43171</v>
          </cell>
          <cell r="S51">
            <v>3040</v>
          </cell>
          <cell r="T51">
            <v>46211</v>
          </cell>
        </row>
        <row r="52">
          <cell r="B52" t="str">
            <v>Comcast</v>
          </cell>
          <cell r="C52">
            <v>8125</v>
          </cell>
          <cell r="D52">
            <v>6.659595936904518E-2</v>
          </cell>
          <cell r="F52" t="str">
            <v>Verizon</v>
          </cell>
          <cell r="G52">
            <v>8279</v>
          </cell>
          <cell r="H52">
            <v>0.1177568010704305</v>
          </cell>
          <cell r="I52">
            <v>0.30507038101555017</v>
          </cell>
        </row>
        <row r="53">
          <cell r="B53" t="str">
            <v>Frontier</v>
          </cell>
          <cell r="C53">
            <v>6009.25</v>
          </cell>
          <cell r="D53">
            <v>4.9254371549345817E-2</v>
          </cell>
          <cell r="F53" t="str">
            <v>CTL + Q</v>
          </cell>
          <cell r="G53">
            <v>5201</v>
          </cell>
          <cell r="H53">
            <v>7.3976702786243395E-2</v>
          </cell>
          <cell r="I53">
            <v>0.3199040472382827</v>
          </cell>
        </row>
        <row r="54">
          <cell r="B54" t="str">
            <v>Time Warner Cable</v>
          </cell>
          <cell r="C54">
            <v>4392</v>
          </cell>
          <cell r="D54">
            <v>3.5998701975242638E-2</v>
          </cell>
          <cell r="F54" t="str">
            <v>Cox</v>
          </cell>
          <cell r="G54">
            <v>4157.3310000000001</v>
          </cell>
          <cell r="H54">
            <v>5.9132020721214394E-2</v>
          </cell>
          <cell r="I54" t="str">
            <v>na</v>
          </cell>
          <cell r="Q54" t="str">
            <v>EBITDA</v>
          </cell>
          <cell r="R54">
            <v>8000</v>
          </cell>
          <cell r="S54">
            <v>280</v>
          </cell>
          <cell r="T54">
            <v>8280</v>
          </cell>
          <cell r="U54">
            <v>8350</v>
          </cell>
          <cell r="W54">
            <v>8300</v>
          </cell>
          <cell r="X54">
            <v>8370</v>
          </cell>
        </row>
        <row r="55">
          <cell r="B55" t="str">
            <v>Windstream</v>
          </cell>
          <cell r="C55">
            <v>3358.5</v>
          </cell>
          <cell r="D55">
            <v>2.7527695943500092E-2</v>
          </cell>
          <cell r="F55" t="str">
            <v>Charter</v>
          </cell>
          <cell r="G55">
            <v>3316.2</v>
          </cell>
          <cell r="H55">
            <v>4.7168148775185603E-2</v>
          </cell>
          <cell r="I55" t="str">
            <v>na</v>
          </cell>
        </row>
        <row r="56">
          <cell r="B56" t="str">
            <v>Cox</v>
          </cell>
          <cell r="C56">
            <v>2646.703</v>
          </cell>
          <cell r="D56">
            <v>2.1693504670760613E-2</v>
          </cell>
          <cell r="F56" t="str">
            <v>Cablevision</v>
          </cell>
          <cell r="G56">
            <v>2876.5000000000005</v>
          </cell>
          <cell r="H56">
            <v>4.0914052213926008E-2</v>
          </cell>
          <cell r="I56" t="str">
            <v>na</v>
          </cell>
          <cell r="Q56" t="str">
            <v>EV/EBITDA</v>
          </cell>
          <cell r="R56">
            <v>5.3963749999999999</v>
          </cell>
          <cell r="T56">
            <v>5.5810386473429956</v>
          </cell>
          <cell r="U56">
            <v>5.5342514970059877</v>
          </cell>
        </row>
        <row r="57">
          <cell r="B57" t="str">
            <v>Cablevision</v>
          </cell>
          <cell r="C57">
            <v>2706.0840202898721</v>
          </cell>
          <cell r="D57">
            <v>2.2180216795624215E-2</v>
          </cell>
          <cell r="F57" t="str">
            <v>Frontier</v>
          </cell>
          <cell r="G57">
            <v>1715.4540000000002</v>
          </cell>
          <cell r="H57">
            <v>2.4399852086420377E-2</v>
          </cell>
          <cell r="I57">
            <v>0.28546890210924825</v>
          </cell>
        </row>
        <row r="58">
          <cell r="B58" t="str">
            <v>Charter</v>
          </cell>
          <cell r="C58">
            <v>1708</v>
          </cell>
          <cell r="D58">
            <v>1.3999495212594359E-2</v>
          </cell>
          <cell r="F58" t="str">
            <v>Windstream</v>
          </cell>
          <cell r="G58">
            <v>1273.3</v>
          </cell>
          <cell r="H58">
            <v>1.8110850924384487E-2</v>
          </cell>
          <cell r="I58">
            <v>0.37912758672026203</v>
          </cell>
          <cell r="R58">
            <v>2.453875</v>
          </cell>
          <cell r="T58">
            <v>2.6607487922705313</v>
          </cell>
          <cell r="U58">
            <v>2.6384431137724551</v>
          </cell>
        </row>
        <row r="59">
          <cell r="B59" t="str">
            <v>FairPoint</v>
          </cell>
          <cell r="C59">
            <v>1197</v>
          </cell>
          <cell r="D59">
            <v>9.8111216448919479E-3</v>
          </cell>
          <cell r="F59" t="str">
            <v>Insight</v>
          </cell>
          <cell r="G59">
            <v>517.5</v>
          </cell>
          <cell r="H59">
            <v>7.3606890390080669E-3</v>
          </cell>
          <cell r="I59" t="str">
            <v>na</v>
          </cell>
        </row>
        <row r="60">
          <cell r="B60" t="str">
            <v>TDS</v>
          </cell>
          <cell r="C60">
            <v>868.1</v>
          </cell>
          <cell r="D60">
            <v>7.1153172096329997E-3</v>
          </cell>
          <cell r="F60" t="str">
            <v>FairPoint</v>
          </cell>
          <cell r="G60">
            <v>303</v>
          </cell>
          <cell r="H60">
            <v>4.3097367706655927E-3</v>
          </cell>
          <cell r="I60">
            <v>0.25313283208020049</v>
          </cell>
        </row>
        <row r="61">
          <cell r="B61" t="str">
            <v>Cincinnati Bell</v>
          </cell>
          <cell r="C61">
            <v>699</v>
          </cell>
          <cell r="D61">
            <v>5.7293016121800098E-3</v>
          </cell>
          <cell r="F61" t="str">
            <v>TDS</v>
          </cell>
          <cell r="G61">
            <v>258.2</v>
          </cell>
          <cell r="H61">
            <v>3.672521564969822E-3</v>
          </cell>
          <cell r="I61">
            <v>0.29743117152401793</v>
          </cell>
        </row>
        <row r="62">
          <cell r="B62" t="str">
            <v>Insight</v>
          </cell>
          <cell r="C62">
            <v>310</v>
          </cell>
          <cell r="D62">
            <v>2.5408919882343394E-3</v>
          </cell>
          <cell r="F62" t="str">
            <v>Cincinnati Bell</v>
          </cell>
          <cell r="G62">
            <v>252.6</v>
          </cell>
          <cell r="H62">
            <v>3.5928696642578508E-3</v>
          </cell>
          <cell r="I62">
            <v>0.36137339055793993</v>
          </cell>
          <cell r="S62">
            <v>800</v>
          </cell>
        </row>
        <row r="63">
          <cell r="B63" t="str">
            <v>Consolidated Comm.</v>
          </cell>
          <cell r="C63">
            <v>242.28200000000001</v>
          </cell>
          <cell r="D63">
            <v>1.9858464280432006E-3</v>
          </cell>
          <cell r="F63" t="str">
            <v>Consolidated Comm.</v>
          </cell>
          <cell r="G63">
            <v>103.428</v>
          </cell>
          <cell r="H63">
            <v>1.4711137119353165E-3</v>
          </cell>
          <cell r="I63">
            <v>0.42689097828150663</v>
          </cell>
          <cell r="P63">
            <v>2276</v>
          </cell>
          <cell r="S63">
            <v>20</v>
          </cell>
        </row>
        <row r="64">
          <cell r="B64" t="str">
            <v>Alaska</v>
          </cell>
          <cell r="C64">
            <v>178.00799999999998</v>
          </cell>
          <cell r="D64">
            <v>1.4590293581987683E-3</v>
          </cell>
          <cell r="F64" t="str">
            <v>Alaska</v>
          </cell>
          <cell r="G64">
            <v>45.933</v>
          </cell>
          <cell r="H64">
            <v>6.5333049203624642E-4</v>
          </cell>
          <cell r="I64">
            <v>0.25803896454091951</v>
          </cell>
        </row>
        <row r="65">
          <cell r="B65" t="str">
            <v>nTelos</v>
          </cell>
          <cell r="C65">
            <v>86.432000000000002</v>
          </cell>
          <cell r="D65">
            <v>7.0843347202280773E-4</v>
          </cell>
          <cell r="F65" t="str">
            <v>nTelos</v>
          </cell>
          <cell r="G65">
            <v>24.802</v>
          </cell>
          <cell r="H65">
            <v>3.5277257883184167E-4</v>
          </cell>
          <cell r="I65">
            <v>0.28695390596075526</v>
          </cell>
          <cell r="S65">
            <v>3.3984706881903144E-2</v>
          </cell>
        </row>
        <row r="66">
          <cell r="B66" t="str">
            <v>Shenandoah</v>
          </cell>
          <cell r="C66">
            <v>24.04</v>
          </cell>
          <cell r="D66">
            <v>1.9704207547468876E-4</v>
          </cell>
          <cell r="F66" t="str">
            <v>Shenandoah</v>
          </cell>
          <cell r="G66">
            <v>11.67</v>
          </cell>
          <cell r="H66">
            <v>1.6598887166226886E-4</v>
          </cell>
          <cell r="I66">
            <v>0.48544093178036607</v>
          </cell>
        </row>
        <row r="67">
          <cell r="B67" t="str">
            <v>TOTAL</v>
          </cell>
          <cell r="C67">
            <v>122004.39902028987</v>
          </cell>
          <cell r="D67">
            <v>1.0000000000000002</v>
          </cell>
          <cell r="F67" t="str">
            <v>TOTAL</v>
          </cell>
          <cell r="G67">
            <v>70305.918000000005</v>
          </cell>
          <cell r="H67">
            <v>0.99999999999999978</v>
          </cell>
          <cell r="I67">
            <v>0.57625723797309814</v>
          </cell>
        </row>
        <row r="69">
          <cell r="B69" t="str">
            <v>Qwest</v>
          </cell>
          <cell r="C69">
            <v>0</v>
          </cell>
          <cell r="D69">
            <v>0</v>
          </cell>
          <cell r="F69" t="str">
            <v>Qwest</v>
          </cell>
          <cell r="G69">
            <v>0</v>
          </cell>
          <cell r="H69">
            <v>0</v>
          </cell>
          <cell r="I69" t="e">
            <v>#DIV/0!</v>
          </cell>
          <cell r="S69">
            <v>2500</v>
          </cell>
        </row>
        <row r="70">
          <cell r="B70" t="str">
            <v>CenturyLink</v>
          </cell>
          <cell r="C70">
            <v>16258</v>
          </cell>
          <cell r="D70">
            <v>0.13325749014423835</v>
          </cell>
          <cell r="F70" t="str">
            <v>CenturyLink</v>
          </cell>
          <cell r="G70">
            <v>5201</v>
          </cell>
          <cell r="H70">
            <v>7.3976702786243395E-2</v>
          </cell>
          <cell r="I70">
            <v>0.3199040472382827</v>
          </cell>
          <cell r="R70">
            <v>58</v>
          </cell>
          <cell r="S70">
            <v>43.103448275862071</v>
          </cell>
        </row>
      </sheetData>
      <sheetData sheetId="15" refreshError="1">
        <row r="1">
          <cell r="G1" t="str">
            <v>FCC  Approval</v>
          </cell>
          <cell r="J1">
            <v>40660</v>
          </cell>
        </row>
        <row r="2">
          <cell r="C2" t="str">
            <v>Announced</v>
          </cell>
          <cell r="D2" t="str">
            <v xml:space="preserve">Closed </v>
          </cell>
          <cell r="E2" t="str">
            <v>Days Outstanding</v>
          </cell>
          <cell r="H2" t="str">
            <v>Days Outstanding</v>
          </cell>
        </row>
        <row r="3">
          <cell r="G3" t="str">
            <v>Status</v>
          </cell>
        </row>
        <row r="4">
          <cell r="B4" t="str">
            <v>CenturyTel/Embarq</v>
          </cell>
          <cell r="C4">
            <v>39748</v>
          </cell>
          <cell r="D4">
            <v>39995</v>
          </cell>
          <cell r="E4">
            <v>247</v>
          </cell>
          <cell r="G4" t="str">
            <v>Closed</v>
          </cell>
          <cell r="H4">
            <v>197</v>
          </cell>
        </row>
        <row r="5">
          <cell r="B5" t="str">
            <v>Verizon / Alltel</v>
          </cell>
          <cell r="C5">
            <v>39604</v>
          </cell>
          <cell r="D5">
            <v>39822</v>
          </cell>
          <cell r="E5">
            <v>218</v>
          </cell>
          <cell r="G5" t="str">
            <v>Closed</v>
          </cell>
          <cell r="H5">
            <v>132</v>
          </cell>
        </row>
        <row r="6">
          <cell r="B6" t="str">
            <v xml:space="preserve"> AT&amp;T / Verizon</v>
          </cell>
          <cell r="C6">
            <v>39941</v>
          </cell>
          <cell r="D6">
            <v>40351</v>
          </cell>
          <cell r="E6">
            <v>410</v>
          </cell>
          <cell r="G6" t="str">
            <v>Closed</v>
          </cell>
          <cell r="H6">
            <v>368</v>
          </cell>
        </row>
        <row r="7">
          <cell r="B7" t="str">
            <v xml:space="preserve"> ATN / Verizon</v>
          </cell>
          <cell r="C7">
            <v>39973</v>
          </cell>
          <cell r="D7">
            <v>40288</v>
          </cell>
          <cell r="E7">
            <v>315</v>
          </cell>
          <cell r="G7" t="str">
            <v>Closed</v>
          </cell>
          <cell r="H7">
            <v>285</v>
          </cell>
        </row>
        <row r="8">
          <cell r="B8" t="str">
            <v>AT&amp;T / Centennial</v>
          </cell>
          <cell r="C8">
            <v>39759</v>
          </cell>
          <cell r="D8">
            <v>40123</v>
          </cell>
          <cell r="E8">
            <v>364</v>
          </cell>
          <cell r="G8" t="str">
            <v>Closed</v>
          </cell>
          <cell r="H8">
            <v>323</v>
          </cell>
        </row>
        <row r="9">
          <cell r="B9" t="str">
            <v>Windstream / D&amp;E</v>
          </cell>
          <cell r="C9">
            <v>39944</v>
          </cell>
          <cell r="D9">
            <v>40127</v>
          </cell>
          <cell r="E9">
            <v>183</v>
          </cell>
          <cell r="G9" t="str">
            <v>na</v>
          </cell>
          <cell r="H9" t="str">
            <v>na</v>
          </cell>
        </row>
        <row r="10">
          <cell r="B10" t="str">
            <v>Frontier/Verizon</v>
          </cell>
          <cell r="C10">
            <v>39946</v>
          </cell>
          <cell r="D10">
            <v>40360</v>
          </cell>
          <cell r="E10">
            <v>414</v>
          </cell>
          <cell r="G10" t="str">
            <v>Closed</v>
          </cell>
          <cell r="H10">
            <v>283</v>
          </cell>
        </row>
        <row r="11">
          <cell r="B11" t="str">
            <v>Windstream / Lexcom</v>
          </cell>
          <cell r="C11">
            <v>40064</v>
          </cell>
          <cell r="D11">
            <v>40148</v>
          </cell>
          <cell r="E11">
            <v>84</v>
          </cell>
          <cell r="G11" t="str">
            <v>na</v>
          </cell>
          <cell r="H11" t="str">
            <v>na</v>
          </cell>
        </row>
        <row r="12">
          <cell r="B12" t="str">
            <v>Windstream / Nuvox</v>
          </cell>
          <cell r="C12">
            <v>40120</v>
          </cell>
          <cell r="D12">
            <v>40217</v>
          </cell>
          <cell r="E12">
            <v>97</v>
          </cell>
          <cell r="G12" t="str">
            <v>na</v>
          </cell>
          <cell r="H12" t="str">
            <v>na</v>
          </cell>
          <cell r="J12">
            <v>40326</v>
          </cell>
          <cell r="K12">
            <v>40568</v>
          </cell>
        </row>
        <row r="13">
          <cell r="B13" t="str">
            <v>Windstream / Iowa</v>
          </cell>
          <cell r="C13">
            <v>40141</v>
          </cell>
          <cell r="D13">
            <v>40330</v>
          </cell>
          <cell r="E13">
            <v>189</v>
          </cell>
          <cell r="G13" t="str">
            <v>na</v>
          </cell>
          <cell r="H13" t="str">
            <v>na</v>
          </cell>
          <cell r="K13">
            <v>40506</v>
          </cell>
        </row>
        <row r="14">
          <cell r="B14" t="str">
            <v>CenturyLink/Qwest</v>
          </cell>
          <cell r="C14">
            <v>40290</v>
          </cell>
          <cell r="D14">
            <v>40620</v>
          </cell>
          <cell r="E14">
            <v>330</v>
          </cell>
          <cell r="G14" t="str">
            <v>Closed</v>
          </cell>
          <cell r="H14">
            <v>294</v>
          </cell>
        </row>
        <row r="15">
          <cell r="B15" t="str">
            <v>Verizon / Terremark</v>
          </cell>
          <cell r="C15">
            <v>40571</v>
          </cell>
          <cell r="D15">
            <v>40644</v>
          </cell>
          <cell r="E15">
            <v>73</v>
          </cell>
          <cell r="G15" t="str">
            <v>na</v>
          </cell>
          <cell r="H15" t="str">
            <v>na</v>
          </cell>
        </row>
        <row r="16">
          <cell r="B16" t="str">
            <v>CenturyLink / SAVVIS</v>
          </cell>
          <cell r="C16">
            <v>40660</v>
          </cell>
          <cell r="D16">
            <v>40739</v>
          </cell>
          <cell r="E16">
            <v>79</v>
          </cell>
          <cell r="G16" t="str">
            <v>Closed</v>
          </cell>
          <cell r="H16">
            <v>54</v>
          </cell>
          <cell r="J16">
            <v>40683</v>
          </cell>
          <cell r="K16">
            <v>40737</v>
          </cell>
        </row>
        <row r="17">
          <cell r="B17" t="str">
            <v>Average</v>
          </cell>
          <cell r="E17">
            <v>231</v>
          </cell>
          <cell r="H17">
            <v>242</v>
          </cell>
        </row>
        <row r="19">
          <cell r="B19" t="str">
            <v>PENDING DEALS:</v>
          </cell>
        </row>
        <row r="20">
          <cell r="B20" t="str">
            <v>AT&amp;T / T-Mobile USA</v>
          </cell>
          <cell r="C20">
            <v>40622</v>
          </cell>
          <cell r="E20">
            <v>38</v>
          </cell>
          <cell r="G20" t="str">
            <v>Pending</v>
          </cell>
        </row>
        <row r="21">
          <cell r="B21" t="str">
            <v>Level 3 / Global Crossing</v>
          </cell>
          <cell r="C21">
            <v>40645</v>
          </cell>
          <cell r="E21">
            <v>15</v>
          </cell>
          <cell r="G21" t="str">
            <v>Pending</v>
          </cell>
        </row>
        <row r="23">
          <cell r="F23">
            <v>197</v>
          </cell>
        </row>
        <row r="27">
          <cell r="B27" t="str">
            <v>Fairpoint / Verizon</v>
          </cell>
          <cell r="C27">
            <v>39098</v>
          </cell>
          <cell r="D27">
            <v>39538</v>
          </cell>
          <cell r="E27">
            <v>440</v>
          </cell>
          <cell r="G27" t="str">
            <v>Closed</v>
          </cell>
          <cell r="H27">
            <v>301</v>
          </cell>
        </row>
        <row r="28">
          <cell r="B28" t="str">
            <v>Sprint / Clearwire</v>
          </cell>
          <cell r="C28">
            <v>39575</v>
          </cell>
          <cell r="D28">
            <v>39780</v>
          </cell>
          <cell r="E28">
            <v>205</v>
          </cell>
          <cell r="G28" t="str">
            <v>Closed</v>
          </cell>
          <cell r="H28">
            <v>133</v>
          </cell>
        </row>
      </sheetData>
      <sheetData sheetId="16" refreshError="1">
        <row r="2">
          <cell r="G2">
            <v>2010</v>
          </cell>
          <cell r="K2">
            <v>2011</v>
          </cell>
          <cell r="O2">
            <v>2012</v>
          </cell>
        </row>
        <row r="3">
          <cell r="G3" t="str">
            <v>CTL</v>
          </cell>
          <cell r="H3" t="str">
            <v>SVVS</v>
          </cell>
          <cell r="I3" t="str">
            <v>Synergies</v>
          </cell>
          <cell r="J3" t="str">
            <v>CTL+
SVVS</v>
          </cell>
          <cell r="K3" t="str">
            <v>CTL</v>
          </cell>
          <cell r="L3" t="str">
            <v>SVVS</v>
          </cell>
          <cell r="M3" t="str">
            <v>Synergies</v>
          </cell>
          <cell r="N3" t="str">
            <v>CTL+
SVVS</v>
          </cell>
          <cell r="O3" t="str">
            <v>CTL</v>
          </cell>
          <cell r="P3" t="str">
            <v>SVVS</v>
          </cell>
          <cell r="Q3" t="str">
            <v>Synergies</v>
          </cell>
          <cell r="R3" t="str">
            <v>CTL+
SVVS</v>
          </cell>
          <cell r="AA3" t="str">
            <v>2011E</v>
          </cell>
          <cell r="AD3" t="str">
            <v>2012E</v>
          </cell>
          <cell r="AJ3" t="str">
            <v>2011E</v>
          </cell>
          <cell r="AM3" t="str">
            <v>2012E</v>
          </cell>
        </row>
        <row r="4">
          <cell r="B4" t="str">
            <v>REVENUE</v>
          </cell>
          <cell r="G4">
            <v>0</v>
          </cell>
          <cell r="H4">
            <v>932.98399999999992</v>
          </cell>
          <cell r="J4">
            <v>932.98399999999992</v>
          </cell>
          <cell r="K4">
            <v>0.14130561399182451</v>
          </cell>
          <cell r="L4">
            <v>1064.8198769645483</v>
          </cell>
          <cell r="N4">
            <v>1064.96118257854</v>
          </cell>
          <cell r="O4">
            <v>9.6519420651753007E-2</v>
          </cell>
          <cell r="P4">
            <v>1167.5956745876374</v>
          </cell>
          <cell r="R4">
            <v>1167.6921940082891</v>
          </cell>
          <cell r="AA4" t="str">
            <v>REVENUES</v>
          </cell>
          <cell r="AB4" t="str">
            <v>EBITDA MARGINS</v>
          </cell>
          <cell r="AC4" t="str">
            <v>EBITDA MARGINS w/ SYERNGIES</v>
          </cell>
          <cell r="AD4" t="str">
            <v>REVENUES</v>
          </cell>
          <cell r="AE4" t="str">
            <v>EBITDA MARGINS</v>
          </cell>
          <cell r="AF4" t="str">
            <v>EBITDA MARGINS w/ SYERNGIES</v>
          </cell>
          <cell r="AJ4" t="str">
            <v>REVENUES</v>
          </cell>
          <cell r="AK4" t="str">
            <v>EBITDA MARGINS</v>
          </cell>
          <cell r="AL4" t="str">
            <v>EBITDA MARGINS w/ SYERNGIES</v>
          </cell>
          <cell r="AM4" t="str">
            <v>REVENUES</v>
          </cell>
          <cell r="AN4" t="str">
            <v>EBITDA MARGINS</v>
          </cell>
          <cell r="AO4" t="str">
            <v>EBITDA MARGINS w/ SYERNGIES</v>
          </cell>
        </row>
        <row r="5">
          <cell r="B5" t="str">
            <v>Growth Y/Y</v>
          </cell>
          <cell r="K5" t="e">
            <v>#DIV/0!</v>
          </cell>
          <cell r="L5">
            <v>0.14130561399182451</v>
          </cell>
          <cell r="N5">
            <v>0.14145706955161086</v>
          </cell>
          <cell r="O5">
            <v>-0.31694560516656245</v>
          </cell>
          <cell r="P5">
            <v>9.6519420651753007E-2</v>
          </cell>
          <cell r="R5">
            <v>9.6464559563580909E-2</v>
          </cell>
          <cell r="T5" t="e">
            <v>#DIV/0!</v>
          </cell>
          <cell r="U5">
            <v>4134.1016473014333</v>
          </cell>
          <cell r="AA5">
            <v>7535.5808370512113</v>
          </cell>
          <cell r="AB5" t="e">
            <v>#DIV/0!</v>
          </cell>
          <cell r="AC5" t="e">
            <v>#DIV/0!</v>
          </cell>
          <cell r="AD5">
            <v>12097.002517248649</v>
          </cell>
          <cell r="AE5" t="e">
            <v>#DIV/0!</v>
          </cell>
          <cell r="AF5" t="e">
            <v>#DIV/0!</v>
          </cell>
          <cell r="AJ5">
            <v>0.99986731383612537</v>
          </cell>
          <cell r="AK5">
            <v>1</v>
          </cell>
          <cell r="AL5">
            <v>1</v>
          </cell>
          <cell r="AM5">
            <v>0.99991734172657232</v>
          </cell>
          <cell r="AN5">
            <v>1</v>
          </cell>
          <cell r="AO5">
            <v>1</v>
          </cell>
        </row>
        <row r="6">
          <cell r="B6" t="str">
            <v>EBITDA</v>
          </cell>
          <cell r="G6">
            <v>0</v>
          </cell>
          <cell r="H6">
            <v>231.07099999999994</v>
          </cell>
          <cell r="J6">
            <v>231.07099999999994</v>
          </cell>
          <cell r="K6">
            <v>0</v>
          </cell>
          <cell r="L6">
            <v>309.05796100415847</v>
          </cell>
          <cell r="N6">
            <v>309.05796100415847</v>
          </cell>
          <cell r="O6">
            <v>0</v>
          </cell>
          <cell r="P6">
            <v>332.55774998685092</v>
          </cell>
          <cell r="R6">
            <v>332.55774998685092</v>
          </cell>
        </row>
        <row r="7">
          <cell r="B7" t="str">
            <v>Growth Y/Y</v>
          </cell>
          <cell r="K7" t="e">
            <v>#DIV/0!</v>
          </cell>
          <cell r="L7">
            <v>0.33750215736357458</v>
          </cell>
          <cell r="N7">
            <v>0.33750215736357458</v>
          </cell>
          <cell r="O7" t="e">
            <v>#DIV/0!</v>
          </cell>
          <cell r="P7">
            <v>7.6036834341168369E-2</v>
          </cell>
          <cell r="R7">
            <v>7.6036834341168369E-2</v>
          </cell>
        </row>
        <row r="8">
          <cell r="B8" t="str">
            <v>Margin</v>
          </cell>
          <cell r="G8" t="e">
            <v>#DIV/0!</v>
          </cell>
          <cell r="H8">
            <v>0.24766877031117357</v>
          </cell>
          <cell r="J8">
            <v>0.24766877031117357</v>
          </cell>
          <cell r="K8">
            <v>0</v>
          </cell>
          <cell r="L8">
            <v>0.29024435746370664</v>
          </cell>
          <cell r="N8">
            <v>0.2902058460533285</v>
          </cell>
          <cell r="O8">
            <v>0</v>
          </cell>
          <cell r="P8">
            <v>0.28482269780958308</v>
          </cell>
          <cell r="R8">
            <v>0.28479915485714913</v>
          </cell>
        </row>
        <row r="9">
          <cell r="B9" t="str">
            <v>EBITDA (2)</v>
          </cell>
          <cell r="G9">
            <v>0</v>
          </cell>
          <cell r="H9">
            <v>231.07099999999994</v>
          </cell>
          <cell r="I9">
            <v>70</v>
          </cell>
          <cell r="J9">
            <v>301.07099999999991</v>
          </cell>
          <cell r="K9">
            <v>0</v>
          </cell>
          <cell r="L9">
            <v>309.05796100415847</v>
          </cell>
          <cell r="M9">
            <v>70</v>
          </cell>
          <cell r="N9">
            <v>379.05796100415847</v>
          </cell>
          <cell r="O9">
            <v>0</v>
          </cell>
          <cell r="P9">
            <v>332.55774998685092</v>
          </cell>
          <cell r="Q9">
            <v>70</v>
          </cell>
          <cell r="R9">
            <v>402.55774998685092</v>
          </cell>
        </row>
        <row r="10">
          <cell r="B10" t="str">
            <v>Growth Y/Y</v>
          </cell>
          <cell r="K10" t="e">
            <v>#DIV/0!</v>
          </cell>
          <cell r="L10">
            <v>0.33750215736357458</v>
          </cell>
          <cell r="N10">
            <v>0.25903179317887992</v>
          </cell>
          <cell r="O10" t="e">
            <v>#DIV/0!</v>
          </cell>
          <cell r="P10">
            <v>7.6036834341168369E-2</v>
          </cell>
          <cell r="R10">
            <v>6.1995239251642076E-2</v>
          </cell>
        </row>
        <row r="11">
          <cell r="B11" t="str">
            <v>Margin</v>
          </cell>
          <cell r="G11" t="e">
            <v>#DIV/0!</v>
          </cell>
          <cell r="H11">
            <v>0.24766877031117357</v>
          </cell>
          <cell r="J11">
            <v>0.32269685225041367</v>
          </cell>
          <cell r="K11">
            <v>0</v>
          </cell>
          <cell r="L11">
            <v>0.29024435746370664</v>
          </cell>
          <cell r="N11">
            <v>0.3559359413329633</v>
          </cell>
          <cell r="O11">
            <v>0</v>
          </cell>
          <cell r="P11">
            <v>0.28482269780958308</v>
          </cell>
          <cell r="R11">
            <v>0.34474645977122398</v>
          </cell>
        </row>
        <row r="13">
          <cell r="J13">
            <v>0</v>
          </cell>
          <cell r="N13" t="e">
            <v>#DIV/0!</v>
          </cell>
          <cell r="R13">
            <v>4134.1016473014333</v>
          </cell>
        </row>
        <row r="15">
          <cell r="G15">
            <v>0</v>
          </cell>
          <cell r="J15">
            <v>932.98399999999992</v>
          </cell>
          <cell r="N15">
            <v>1</v>
          </cell>
        </row>
        <row r="16">
          <cell r="G16">
            <v>-466.49199999999996</v>
          </cell>
          <cell r="J16">
            <v>466.49199999999996</v>
          </cell>
          <cell r="N16">
            <v>1</v>
          </cell>
        </row>
        <row r="17">
          <cell r="G17" t="e">
            <v>#DIV/0!</v>
          </cell>
          <cell r="N17">
            <v>379.05796100415847</v>
          </cell>
        </row>
        <row r="20">
          <cell r="G20">
            <v>2010</v>
          </cell>
          <cell r="K20">
            <v>2011</v>
          </cell>
          <cell r="O20">
            <v>2012</v>
          </cell>
        </row>
        <row r="21">
          <cell r="G21" t="str">
            <v>CTL</v>
          </cell>
          <cell r="H21" t="str">
            <v>SVVS</v>
          </cell>
          <cell r="I21" t="str">
            <v>Synergies</v>
          </cell>
          <cell r="J21" t="str">
            <v>CTL+
SVVS</v>
          </cell>
          <cell r="K21" t="str">
            <v>CTL</v>
          </cell>
          <cell r="L21" t="str">
            <v>SVVS</v>
          </cell>
          <cell r="M21" t="str">
            <v>Synergies</v>
          </cell>
          <cell r="N21" t="str">
            <v>CTL+
SVVS</v>
          </cell>
          <cell r="O21" t="str">
            <v>CTL</v>
          </cell>
          <cell r="P21" t="str">
            <v>SVVS</v>
          </cell>
          <cell r="Q21" t="str">
            <v>Synergies</v>
          </cell>
          <cell r="R21" t="str">
            <v>CTL+
SVVS</v>
          </cell>
        </row>
        <row r="22">
          <cell r="B22" t="str">
            <v>REVENUE</v>
          </cell>
          <cell r="G22">
            <v>18552.534</v>
          </cell>
          <cell r="H22">
            <v>933</v>
          </cell>
          <cell r="J22">
            <v>19485.534</v>
          </cell>
          <cell r="K22">
            <v>18124.320550851284</v>
          </cell>
          <cell r="L22">
            <v>1045</v>
          </cell>
          <cell r="N22">
            <v>19169.320550851284</v>
          </cell>
          <cell r="O22">
            <v>17695.292413378193</v>
          </cell>
          <cell r="P22">
            <v>1172</v>
          </cell>
          <cell r="R22">
            <v>18867.292413378193</v>
          </cell>
        </row>
        <row r="23">
          <cell r="B23" t="str">
            <v>Growth Y/Y</v>
          </cell>
          <cell r="K23">
            <v>-2.3081130003519523E-2</v>
          </cell>
          <cell r="L23">
            <v>0.120042872454448</v>
          </cell>
          <cell r="N23">
            <v>-1.6228113078590289E-2</v>
          </cell>
          <cell r="O23">
            <v>-2.367140529595968E-2</v>
          </cell>
          <cell r="P23">
            <v>0.12153110047846893</v>
          </cell>
          <cell r="R23">
            <v>-1.5755808176502017E-2</v>
          </cell>
        </row>
        <row r="24">
          <cell r="B24" t="str">
            <v>EBITDA</v>
          </cell>
          <cell r="G24">
            <v>8063.5629999999983</v>
          </cell>
          <cell r="H24">
            <v>236.2</v>
          </cell>
          <cell r="J24">
            <v>8299.762999999999</v>
          </cell>
          <cell r="K24">
            <v>7926</v>
          </cell>
          <cell r="L24">
            <v>277.5</v>
          </cell>
          <cell r="N24">
            <v>8203.5</v>
          </cell>
          <cell r="O24">
            <v>7952.8475416387664</v>
          </cell>
          <cell r="P24">
            <v>330</v>
          </cell>
          <cell r="R24">
            <v>8282.8475416387664</v>
          </cell>
        </row>
        <row r="25">
          <cell r="B25" t="str">
            <v>Growth Y/Y</v>
          </cell>
          <cell r="K25">
            <v>-1.7059828266983046E-2</v>
          </cell>
          <cell r="L25">
            <v>0.17485182049110937</v>
          </cell>
          <cell r="N25">
            <v>-1.1598282987116515E-2</v>
          </cell>
          <cell r="O25">
            <v>3.3872749985826012E-3</v>
          </cell>
          <cell r="P25">
            <v>0.18918918918918926</v>
          </cell>
          <cell r="R25">
            <v>9.6724010042990027E-3</v>
          </cell>
        </row>
        <row r="26">
          <cell r="B26" t="str">
            <v>Margin</v>
          </cell>
          <cell r="G26">
            <v>0.43463405052916215</v>
          </cell>
          <cell r="H26">
            <v>0.25316184351554127</v>
          </cell>
          <cell r="J26">
            <v>0.42594485734904669</v>
          </cell>
          <cell r="K26">
            <v>0.43731294520873626</v>
          </cell>
          <cell r="L26">
            <v>0.26555023923444976</v>
          </cell>
          <cell r="N26">
            <v>0.4279494402651477</v>
          </cell>
          <cell r="O26">
            <v>0.44943295402262839</v>
          </cell>
          <cell r="P26">
            <v>0.28156996587030719</v>
          </cell>
          <cell r="R26">
            <v>0.439005627313311</v>
          </cell>
        </row>
        <row r="27">
          <cell r="B27" t="str">
            <v>EBITDA w/ Synergies</v>
          </cell>
          <cell r="G27">
            <v>8063.5629999999983</v>
          </cell>
          <cell r="H27">
            <v>236.2</v>
          </cell>
          <cell r="I27">
            <v>70</v>
          </cell>
          <cell r="J27">
            <v>8369.762999999999</v>
          </cell>
          <cell r="K27">
            <v>7926</v>
          </cell>
          <cell r="L27">
            <v>277.5</v>
          </cell>
          <cell r="M27">
            <v>70</v>
          </cell>
          <cell r="N27">
            <v>8273.5</v>
          </cell>
          <cell r="O27">
            <v>7952.8475416387664</v>
          </cell>
          <cell r="P27">
            <v>330</v>
          </cell>
          <cell r="Q27">
            <v>70</v>
          </cell>
          <cell r="R27">
            <v>8352.8475416387664</v>
          </cell>
        </row>
        <row r="28">
          <cell r="B28" t="str">
            <v>Growth Y/Y</v>
          </cell>
          <cell r="K28">
            <v>-1.7059828266983046E-2</v>
          </cell>
          <cell r="L28">
            <v>0.17485182049110937</v>
          </cell>
          <cell r="N28">
            <v>-1.15012814580292E-2</v>
          </cell>
          <cell r="O28">
            <v>3.3872749985826012E-3</v>
          </cell>
          <cell r="P28">
            <v>0.18918918918918926</v>
          </cell>
          <cell r="R28">
            <v>9.5905652551842024E-3</v>
          </cell>
        </row>
        <row r="29">
          <cell r="B29" t="str">
            <v>Margin</v>
          </cell>
          <cell r="G29">
            <v>0.43463405052916215</v>
          </cell>
          <cell r="H29">
            <v>0.25316184351554127</v>
          </cell>
          <cell r="J29">
            <v>0.42953726595329639</v>
          </cell>
          <cell r="K29">
            <v>0.43731294520873626</v>
          </cell>
          <cell r="L29">
            <v>0.26555023923444976</v>
          </cell>
          <cell r="N29">
            <v>0.43160110855533607</v>
          </cell>
          <cell r="O29">
            <v>0.44943295402262839</v>
          </cell>
          <cell r="P29">
            <v>0.28156996587030719</v>
          </cell>
          <cell r="R29">
            <v>0.44271575161023263</v>
          </cell>
        </row>
        <row r="31">
          <cell r="N31">
            <v>68.530169249292342</v>
          </cell>
        </row>
        <row r="35">
          <cell r="B35" t="str">
            <v>REVENUE GROWTH</v>
          </cell>
          <cell r="G35">
            <v>2011</v>
          </cell>
          <cell r="H35">
            <v>2012</v>
          </cell>
        </row>
        <row r="36">
          <cell r="B36" t="str">
            <v>CTL</v>
          </cell>
          <cell r="G36" t="e">
            <v>#DIV/0!</v>
          </cell>
          <cell r="H36">
            <v>-0.31694560516656245</v>
          </cell>
        </row>
        <row r="37">
          <cell r="B37" t="str">
            <v>SVVS</v>
          </cell>
          <cell r="G37">
            <v>0.14130561399182451</v>
          </cell>
          <cell r="H37">
            <v>9.6519420651753007E-2</v>
          </cell>
        </row>
        <row r="38">
          <cell r="B38" t="str">
            <v>CTL+SVVS</v>
          </cell>
          <cell r="G38">
            <v>0.14145706955161086</v>
          </cell>
          <cell r="H38">
            <v>9.6464559563580909E-2</v>
          </cell>
        </row>
        <row r="40">
          <cell r="G40" t="str">
            <v>2011E</v>
          </cell>
          <cell r="J40" t="str">
            <v>2012E</v>
          </cell>
        </row>
        <row r="41">
          <cell r="G41" t="str">
            <v>CTL</v>
          </cell>
          <cell r="H41" t="str">
            <v>∆</v>
          </cell>
          <cell r="I41" t="str">
            <v>CTL+
SVVS</v>
          </cell>
          <cell r="J41" t="str">
            <v>CTL</v>
          </cell>
          <cell r="K41" t="str">
            <v>∆</v>
          </cell>
          <cell r="L41" t="str">
            <v>CTL+
SVVS</v>
          </cell>
        </row>
        <row r="42">
          <cell r="G42" t="e">
            <v>#DIV/0!</v>
          </cell>
          <cell r="H42">
            <v>0.14145706955161086</v>
          </cell>
          <cell r="I42">
            <v>0.14145706955161086</v>
          </cell>
          <cell r="J42">
            <v>-0.31694560516656245</v>
          </cell>
          <cell r="K42">
            <v>9.6464559563580909E-2</v>
          </cell>
          <cell r="L42">
            <v>9.6464559563580909E-2</v>
          </cell>
        </row>
        <row r="43">
          <cell r="H43" t="e">
            <v>#DIV/0!</v>
          </cell>
          <cell r="K43">
            <v>-0.41341016473014336</v>
          </cell>
        </row>
        <row r="45">
          <cell r="H45" t="e">
            <v>#DIV/0!</v>
          </cell>
          <cell r="K45">
            <v>4134.1016473014333</v>
          </cell>
        </row>
      </sheetData>
      <sheetData sheetId="17" refreshError="1">
        <row r="2">
          <cell r="A2" t="str">
            <v>CTL / SVVS TRANSACTION SUMMARY</v>
          </cell>
        </row>
        <row r="3">
          <cell r="A3" t="str">
            <v>Consideration</v>
          </cell>
          <cell r="B3" t="str">
            <v xml:space="preserve">$40 per SVVS share; 75% in cash 25% in stock. </v>
          </cell>
        </row>
        <row r="5">
          <cell r="A5" t="str">
            <v>Exchange ratio</v>
          </cell>
          <cell r="B5" t="str">
            <v>The number of CTL shares issued will be based upon the volume-weighted average price of CTL during the 30-day trading period ending 3 trading days prior to the closing, provided that if this avg price is less than or equal to $34.42, each SAVVIS share wil</v>
          </cell>
        </row>
        <row r="7">
          <cell r="A7" t="str">
            <v>Transaction Value</v>
          </cell>
          <cell r="B7" t="str">
            <v>~$2.5B, plus net debt of ~$0.7B which will be assumed or refinanced at close.</v>
          </cell>
        </row>
        <row r="9">
          <cell r="A9" t="str">
            <v>Estimated Synergies</v>
          </cell>
          <cell r="B9" t="str">
            <v>~$70M annual run-rate synergies or 9.1% of 2011 SAVVIS cash opex guidance</v>
          </cell>
        </row>
        <row r="11">
          <cell r="A11" t="str">
            <v>Estimated multiples</v>
          </cell>
          <cell r="B11" t="str">
            <v>10.9x / 8.8x 2011 EBITDA  (before / after run-rate synergies)</v>
          </cell>
        </row>
        <row r="12">
          <cell r="I12">
            <v>35.619999999999997</v>
          </cell>
        </row>
        <row r="13">
          <cell r="A13" t="str">
            <v>Financing</v>
          </cell>
          <cell r="B13" t="str">
            <v>CTL will finance the transaction through a combination of existing cash and debt, including a $2B committed bridge facility and $1.7B existing undrawn revolver</v>
          </cell>
          <cell r="I13">
            <v>5.66</v>
          </cell>
        </row>
        <row r="14">
          <cell r="I14">
            <v>0.15889949466591805</v>
          </cell>
          <cell r="J14">
            <v>0.16639999999999999</v>
          </cell>
        </row>
        <row r="15">
          <cell r="A15" t="str">
            <v>Net Leverage</v>
          </cell>
          <cell r="B15" t="str">
            <v>CTL's leverage stood at ~2.3x at YE2010, the deal increases leverage to ~2.5x</v>
          </cell>
          <cell r="I15">
            <v>-4.5075152248088668E-2</v>
          </cell>
        </row>
        <row r="17">
          <cell r="A17" t="str">
            <v>Dividend Policy</v>
          </cell>
          <cell r="B17" t="str">
            <v>Maintain CTL's annual dividend of $2.90 per share</v>
          </cell>
          <cell r="I17">
            <v>0.15889949466591805</v>
          </cell>
        </row>
        <row r="19">
          <cell r="A19" t="str">
            <v>Dividend payout ratio</v>
          </cell>
          <cell r="B19" t="str">
            <v xml:space="preserve"> ~50%, management says the deal is FCF accretive in first year after closing</v>
          </cell>
          <cell r="J19">
            <v>8.14</v>
          </cell>
        </row>
        <row r="20">
          <cell r="J20">
            <v>5.65</v>
          </cell>
        </row>
        <row r="21">
          <cell r="A21" t="str">
            <v>Anticipated Closing</v>
          </cell>
          <cell r="B21" t="str">
            <v>Management announced timing of closing to be 2H11</v>
          </cell>
          <cell r="J21">
            <v>2.4900000000000002</v>
          </cell>
        </row>
        <row r="23">
          <cell r="A23" t="str">
            <v>Termination Fee</v>
          </cell>
          <cell r="B23" t="str">
            <v>The Merger Agreement provides that, upon termination of the Merger Agreement under certain circumstances, SAVVIS may be obligated to pay
CenturyLink a termination fee of $85M</v>
          </cell>
        </row>
        <row r="27">
          <cell r="G27" t="str">
            <v>BIG TELCO DEALS OF 2011</v>
          </cell>
        </row>
        <row r="28">
          <cell r="H28" t="str">
            <v>SIZE (EV)</v>
          </cell>
          <cell r="I28" t="str">
            <v>DATE</v>
          </cell>
        </row>
        <row r="29">
          <cell r="G29" t="str">
            <v>VERIZON / TERREMARK</v>
          </cell>
          <cell r="H29">
            <v>1.9</v>
          </cell>
          <cell r="I29">
            <v>40571</v>
          </cell>
        </row>
        <row r="30">
          <cell r="G30" t="str">
            <v>AT&amp;T / T-MOBILE</v>
          </cell>
          <cell r="H30">
            <v>39</v>
          </cell>
          <cell r="I30">
            <v>40622</v>
          </cell>
        </row>
        <row r="31">
          <cell r="G31" t="str">
            <v>LEVEL 3 / GLBC</v>
          </cell>
          <cell r="H31">
            <v>3</v>
          </cell>
          <cell r="I31">
            <v>40645</v>
          </cell>
        </row>
        <row r="32">
          <cell r="G32" t="str">
            <v>CENTURYLINK / SVVS</v>
          </cell>
          <cell r="H32">
            <v>3.2</v>
          </cell>
          <cell r="I32">
            <v>40660</v>
          </cell>
        </row>
        <row r="33">
          <cell r="G33" t="str">
            <v>TOTAL</v>
          </cell>
          <cell r="H33">
            <v>47.1</v>
          </cell>
        </row>
      </sheetData>
      <sheetData sheetId="1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CSCO Report"/>
      <sheetName val="GLBC"/>
      <sheetName val="WACC"/>
      <sheetName val="Guidance"/>
      <sheetName val="Sheet1"/>
      <sheetName val="Maturities"/>
      <sheetName val="Approvals"/>
      <sheetName val="PF Mix"/>
      <sheetName val="LVLT M&amp;A - FactSet"/>
      <sheetName val="LVLT M&amp;A"/>
      <sheetName val="Summary"/>
      <sheetName val="Leverage"/>
      <sheetName val="Fiber &amp; Clec"/>
      <sheetName val="Synergies"/>
      <sheetName val="Timing"/>
      <sheetName val="Revs"/>
      <sheetName val="transactionCTL_SVVS"/>
      <sheetName val="Backup_LVLT - Reassumption"/>
    </sheetNames>
    <sheetDataSet>
      <sheetData sheetId="0"/>
      <sheetData sheetId="1">
        <row r="1">
          <cell r="A1" t="str">
            <v>Consumer Internet Traffic, 2010–2015</v>
          </cell>
          <cell r="B1">
            <v>2010</v>
          </cell>
          <cell r="C1">
            <v>2011</v>
          </cell>
          <cell r="D1">
            <v>2012</v>
          </cell>
          <cell r="E1">
            <v>2013</v>
          </cell>
          <cell r="F1">
            <v>2014</v>
          </cell>
          <cell r="G1">
            <v>2015</v>
          </cell>
          <cell r="H1" t="str">
            <v>CAGR</v>
          </cell>
          <cell r="I1" t="str">
            <v>Comment</v>
          </cell>
        </row>
        <row r="2">
          <cell r="A2" t="str">
            <v>GLOBAL - By Network (PB per Month)</v>
          </cell>
        </row>
        <row r="3">
          <cell r="A3" t="str">
            <v>Fixed</v>
          </cell>
          <cell r="B3">
            <v>12355</v>
          </cell>
          <cell r="C3">
            <v>17467</v>
          </cell>
          <cell r="D3">
            <v>23618</v>
          </cell>
          <cell r="E3">
            <v>31318</v>
          </cell>
          <cell r="F3">
            <v>40842</v>
          </cell>
          <cell r="G3">
            <v>53282</v>
          </cell>
          <cell r="H3">
            <v>0.3395149150436787</v>
          </cell>
        </row>
        <row r="4">
          <cell r="A4" t="str">
            <v>Mobile</v>
          </cell>
          <cell r="B4">
            <v>174</v>
          </cell>
          <cell r="C4">
            <v>399</v>
          </cell>
          <cell r="D4">
            <v>858</v>
          </cell>
          <cell r="E4">
            <v>1654</v>
          </cell>
          <cell r="F4">
            <v>2930</v>
          </cell>
          <cell r="G4">
            <v>4931</v>
          </cell>
          <cell r="H4">
            <v>0.95198803312699054</v>
          </cell>
        </row>
        <row r="5">
          <cell r="A5" t="str">
            <v>TOTAL</v>
          </cell>
          <cell r="B5">
            <v>12529</v>
          </cell>
          <cell r="C5">
            <v>17866</v>
          </cell>
          <cell r="D5">
            <v>24476</v>
          </cell>
          <cell r="E5">
            <v>32972</v>
          </cell>
          <cell r="F5">
            <v>43772</v>
          </cell>
          <cell r="G5">
            <v>58213</v>
          </cell>
          <cell r="H5">
            <v>0.3596299240456704</v>
          </cell>
        </row>
        <row r="7">
          <cell r="A7" t="str">
            <v>Fixed</v>
          </cell>
          <cell r="B7">
            <v>0.98611221965041107</v>
          </cell>
          <cell r="C7">
            <v>0.97766707712974366</v>
          </cell>
          <cell r="D7">
            <v>0.96494525249223728</v>
          </cell>
          <cell r="E7">
            <v>0.94983622467548223</v>
          </cell>
          <cell r="F7">
            <v>0.93306223156355661</v>
          </cell>
          <cell r="G7">
            <v>0.91529383471045989</v>
          </cell>
        </row>
        <row r="8">
          <cell r="A8" t="str">
            <v>Mobile</v>
          </cell>
          <cell r="B8">
            <v>1.388778034958893E-2</v>
          </cell>
          <cell r="C8">
            <v>2.2332922870256344E-2</v>
          </cell>
          <cell r="D8">
            <v>3.5054747507762718E-2</v>
          </cell>
          <cell r="E8">
            <v>5.0163775324517768E-2</v>
          </cell>
          <cell r="F8">
            <v>6.693776843644339E-2</v>
          </cell>
          <cell r="G8">
            <v>8.4706165289540114E-2</v>
          </cell>
        </row>
        <row r="10">
          <cell r="A10" t="str">
            <v>GLOBAL By Subsegment (PB per Month)</v>
          </cell>
        </row>
        <row r="11">
          <cell r="A11" t="str">
            <v>File sharing</v>
          </cell>
          <cell r="B11">
            <v>4968</v>
          </cell>
          <cell r="C11">
            <v>6017</v>
          </cell>
          <cell r="D11">
            <v>7277</v>
          </cell>
          <cell r="E11">
            <v>8867</v>
          </cell>
          <cell r="F11">
            <v>11040</v>
          </cell>
          <cell r="G11">
            <v>13797</v>
          </cell>
          <cell r="H11">
            <v>0.22664986513602114</v>
          </cell>
        </row>
        <row r="12">
          <cell r="A12" t="str">
            <v>Internet video</v>
          </cell>
          <cell r="B12">
            <v>4672</v>
          </cell>
          <cell r="C12">
            <v>8079</v>
          </cell>
          <cell r="D12">
            <v>12146</v>
          </cell>
          <cell r="E12">
            <v>17583</v>
          </cell>
          <cell r="F12">
            <v>24357</v>
          </cell>
          <cell r="G12">
            <v>33620</v>
          </cell>
          <cell r="H12">
            <v>0.48394899838707173</v>
          </cell>
        </row>
        <row r="13">
          <cell r="A13" t="str">
            <v>Web, email, and data</v>
          </cell>
          <cell r="B13">
            <v>2393</v>
          </cell>
          <cell r="C13">
            <v>3113</v>
          </cell>
          <cell r="D13">
            <v>4146</v>
          </cell>
          <cell r="E13">
            <v>5325</v>
          </cell>
          <cell r="F13">
            <v>6769</v>
          </cell>
          <cell r="G13">
            <v>8592</v>
          </cell>
          <cell r="H13">
            <v>0.29130940443989806</v>
          </cell>
        </row>
        <row r="14">
          <cell r="A14" t="str">
            <v>Video calling</v>
          </cell>
          <cell r="B14">
            <v>308</v>
          </cell>
          <cell r="C14">
            <v>442</v>
          </cell>
          <cell r="D14">
            <v>659</v>
          </cell>
          <cell r="E14">
            <v>905</v>
          </cell>
          <cell r="F14">
            <v>1251</v>
          </cell>
          <cell r="G14">
            <v>1736</v>
          </cell>
          <cell r="H14">
            <v>0.413187544034475</v>
          </cell>
        </row>
        <row r="15">
          <cell r="A15" t="str">
            <v>Online gaming</v>
          </cell>
          <cell r="B15">
            <v>49</v>
          </cell>
          <cell r="C15">
            <v>68</v>
          </cell>
          <cell r="D15">
            <v>95</v>
          </cell>
          <cell r="E15">
            <v>133</v>
          </cell>
          <cell r="F15">
            <v>187</v>
          </cell>
          <cell r="G15">
            <v>290</v>
          </cell>
          <cell r="H15">
            <v>0.42705392232469253</v>
          </cell>
        </row>
        <row r="16">
          <cell r="A16" t="str">
            <v>Voice over IP (VoIP)</v>
          </cell>
          <cell r="B16">
            <v>138</v>
          </cell>
          <cell r="C16">
            <v>147</v>
          </cell>
          <cell r="D16">
            <v>153</v>
          </cell>
          <cell r="E16">
            <v>157</v>
          </cell>
          <cell r="F16">
            <v>160</v>
          </cell>
          <cell r="G16">
            <v>168</v>
          </cell>
          <cell r="H16">
            <v>4.0126207180960938E-2</v>
          </cell>
        </row>
        <row r="17">
          <cell r="A17" t="str">
            <v>Other</v>
          </cell>
          <cell r="B17">
            <v>0.16500000000000001</v>
          </cell>
          <cell r="C17">
            <v>1</v>
          </cell>
          <cell r="D17">
            <v>1</v>
          </cell>
          <cell r="E17">
            <v>3</v>
          </cell>
          <cell r="F17">
            <v>8</v>
          </cell>
          <cell r="G17">
            <v>11</v>
          </cell>
          <cell r="H17">
            <v>1.3162303512385889</v>
          </cell>
        </row>
        <row r="18">
          <cell r="A18" t="str">
            <v>TOTAL</v>
          </cell>
          <cell r="B18">
            <v>12528.165000000001</v>
          </cell>
          <cell r="C18">
            <v>17867</v>
          </cell>
          <cell r="D18">
            <v>24477</v>
          </cell>
          <cell r="E18">
            <v>32973</v>
          </cell>
          <cell r="F18">
            <v>43772</v>
          </cell>
          <cell r="G18">
            <v>58214</v>
          </cell>
          <cell r="H18">
            <v>0.35965271863625325</v>
          </cell>
        </row>
        <row r="20">
          <cell r="A20" t="str">
            <v>File sharing</v>
          </cell>
          <cell r="B20">
            <v>0.39654650142299369</v>
          </cell>
          <cell r="C20">
            <v>0.33676610510997929</v>
          </cell>
          <cell r="D20">
            <v>0.29729950565837315</v>
          </cell>
          <cell r="E20">
            <v>0.26891699269098962</v>
          </cell>
          <cell r="F20">
            <v>0.25221602851137714</v>
          </cell>
          <cell r="G20">
            <v>0.23700484419555434</v>
          </cell>
        </row>
        <row r="21">
          <cell r="A21" t="str">
            <v>Internet video</v>
          </cell>
          <cell r="B21">
            <v>0.37291973724803273</v>
          </cell>
          <cell r="C21">
            <v>0.45217439973134832</v>
          </cell>
          <cell r="D21">
            <v>0.49622094210891859</v>
          </cell>
          <cell r="E21">
            <v>0.53325448093895</v>
          </cell>
          <cell r="F21">
            <v>0.55645161290322576</v>
          </cell>
          <cell r="G21">
            <v>0.57752430686776379</v>
          </cell>
        </row>
        <row r="22">
          <cell r="A22" t="str">
            <v>Web, email, and data</v>
          </cell>
          <cell r="B22">
            <v>0.19100961713068113</v>
          </cell>
          <cell r="C22">
            <v>0.1742318240331337</v>
          </cell>
          <cell r="D22">
            <v>0.16938350288025494</v>
          </cell>
          <cell r="E22">
            <v>0.1614957692657629</v>
          </cell>
          <cell r="F22">
            <v>0.15464223704651375</v>
          </cell>
          <cell r="G22">
            <v>0.14759336242141066</v>
          </cell>
        </row>
        <row r="23">
          <cell r="A23" t="str">
            <v>Video calling</v>
          </cell>
          <cell r="B23">
            <v>2.4584605965837773E-2</v>
          </cell>
          <cell r="C23">
            <v>2.4738344433872503E-2</v>
          </cell>
          <cell r="D23">
            <v>2.6923234056461166E-2</v>
          </cell>
          <cell r="E23">
            <v>2.7446698814181301E-2</v>
          </cell>
          <cell r="F23">
            <v>2.8579914100338114E-2</v>
          </cell>
          <cell r="G23">
            <v>2.9821005256467515E-2</v>
          </cell>
        </row>
        <row r="24">
          <cell r="A24" t="str">
            <v>Online gaming</v>
          </cell>
          <cell r="B24">
            <v>3.9111873127469186E-3</v>
          </cell>
          <cell r="C24">
            <v>3.8058991436726928E-3</v>
          </cell>
          <cell r="D24">
            <v>3.8811945908403807E-3</v>
          </cell>
          <cell r="E24">
            <v>4.0336032511448759E-3</v>
          </cell>
          <cell r="F24">
            <v>4.2721374394590148E-3</v>
          </cell>
          <cell r="G24">
            <v>4.9816195416910024E-3</v>
          </cell>
        </row>
        <row r="25">
          <cell r="A25" t="str">
            <v>Voice over IP (VoIP)</v>
          </cell>
          <cell r="B25">
            <v>1.1015180595083158E-2</v>
          </cell>
          <cell r="C25">
            <v>8.2274584429394976E-3</v>
          </cell>
          <cell r="D25">
            <v>6.250766025248192E-3</v>
          </cell>
          <cell r="E25">
            <v>4.7614715069905682E-3</v>
          </cell>
          <cell r="F25">
            <v>3.6553047610344514E-3</v>
          </cell>
          <cell r="G25">
            <v>2.8859037344968566E-3</v>
          </cell>
        </row>
        <row r="26">
          <cell r="A26" t="str">
            <v>Other</v>
          </cell>
          <cell r="B26">
            <v>1.317032462455595E-5</v>
          </cell>
          <cell r="C26">
            <v>5.5969105054010188E-5</v>
          </cell>
          <cell r="D26">
            <v>4.0854679903582957E-5</v>
          </cell>
          <cell r="E26">
            <v>9.0983531980711496E-5</v>
          </cell>
          <cell r="F26">
            <v>1.8276523805172256E-4</v>
          </cell>
          <cell r="G26">
            <v>1.8895798261586559E-4</v>
          </cell>
        </row>
        <row r="29">
          <cell r="A29" t="str">
            <v>North America - By Network (PB per Month)</v>
          </cell>
        </row>
        <row r="30">
          <cell r="A30" t="str">
            <v>Fixed</v>
          </cell>
          <cell r="B30">
            <v>3255.1564370660071</v>
          </cell>
          <cell r="C30">
            <v>4888.3353856487183</v>
          </cell>
          <cell r="D30">
            <v>6348.3748161464291</v>
          </cell>
          <cell r="E30">
            <v>7889.3396821545557</v>
          </cell>
          <cell r="F30">
            <v>9341.8190624143281</v>
          </cell>
          <cell r="G30">
            <v>11475.038805765036</v>
          </cell>
          <cell r="H30">
            <v>0.28657900355019894</v>
          </cell>
          <cell r="I30" t="str">
            <v>MS assumption</v>
          </cell>
        </row>
        <row r="31">
          <cell r="A31" t="str">
            <v>Mobile</v>
          </cell>
          <cell r="B31">
            <v>45.843562933993056</v>
          </cell>
          <cell r="C31">
            <v>111.66461435128173</v>
          </cell>
          <cell r="D31">
            <v>230.62518385357092</v>
          </cell>
          <cell r="E31">
            <v>416.66031784544458</v>
          </cell>
          <cell r="F31">
            <v>670.18093758567124</v>
          </cell>
          <cell r="G31">
            <v>1061.9611942349645</v>
          </cell>
          <cell r="H31">
            <v>0.87484796951331134</v>
          </cell>
          <cell r="I31" t="str">
            <v>MS assumption</v>
          </cell>
        </row>
        <row r="32">
          <cell r="A32" t="str">
            <v>TOTAL</v>
          </cell>
          <cell r="B32">
            <v>3301</v>
          </cell>
          <cell r="C32">
            <v>5000</v>
          </cell>
          <cell r="D32">
            <v>6579</v>
          </cell>
          <cell r="E32">
            <v>8306</v>
          </cell>
          <cell r="F32">
            <v>10012</v>
          </cell>
          <cell r="G32">
            <v>12537</v>
          </cell>
          <cell r="H32">
            <v>0.30589909319424868</v>
          </cell>
        </row>
        <row r="35">
          <cell r="A35" t="str">
            <v>North America By Subsegment (PB per Month)</v>
          </cell>
        </row>
        <row r="36">
          <cell r="A36" t="str">
            <v>Internet video</v>
          </cell>
          <cell r="B36">
            <v>1213.9120832118979</v>
          </cell>
          <cell r="C36">
            <v>2210.3801186912183</v>
          </cell>
          <cell r="D36">
            <v>3150.1965321287139</v>
          </cell>
          <cell r="E36">
            <v>4207.0257371583884</v>
          </cell>
          <cell r="F36">
            <v>5198.2702847305527</v>
          </cell>
          <cell r="G36">
            <v>6627.1138325801448</v>
          </cell>
          <cell r="H36">
            <v>0.40419505473362394</v>
          </cell>
          <cell r="I36" t="str">
            <v>MS assumption</v>
          </cell>
        </row>
        <row r="37">
          <cell r="A37" t="str">
            <v>File sharing</v>
          </cell>
          <cell r="B37">
            <v>1290.8208967030625</v>
          </cell>
          <cell r="C37">
            <v>1646.2256682962075</v>
          </cell>
          <cell r="D37">
            <v>1887.3686945743989</v>
          </cell>
          <cell r="E37">
            <v>2121.577501642691</v>
          </cell>
          <cell r="F37">
            <v>2356.1565029940189</v>
          </cell>
          <cell r="G37">
            <v>2719.6397842982824</v>
          </cell>
          <cell r="H37">
            <v>0.16072430817085537</v>
          </cell>
          <cell r="I37" t="str">
            <v>MS assumption</v>
          </cell>
        </row>
        <row r="38">
          <cell r="A38" t="str">
            <v>Web, email, and data</v>
          </cell>
          <cell r="B38">
            <v>621.76618474445013</v>
          </cell>
          <cell r="C38">
            <v>851.7035907272882</v>
          </cell>
          <cell r="D38">
            <v>1075.3099639556767</v>
          </cell>
          <cell r="E38">
            <v>1274.0949809684594</v>
          </cell>
          <cell r="F38">
            <v>1444.6397978955174</v>
          </cell>
          <cell r="G38">
            <v>1693.6395612590304</v>
          </cell>
          <cell r="H38">
            <v>0.22190875954387734</v>
          </cell>
          <cell r="I38" t="str">
            <v>MS assumption</v>
          </cell>
        </row>
        <row r="39">
          <cell r="A39" t="str">
            <v>Other</v>
          </cell>
          <cell r="B39">
            <v>128.6572724065966</v>
          </cell>
          <cell r="C39">
            <v>180.02600793400441</v>
          </cell>
          <cell r="D39">
            <v>235.49962548763972</v>
          </cell>
          <cell r="E39">
            <v>286.64146238501678</v>
          </cell>
          <cell r="F39">
            <v>342.75247679423859</v>
          </cell>
          <cell r="G39">
            <v>434.6456276275793</v>
          </cell>
          <cell r="H39">
            <v>0.27567544209083272</v>
          </cell>
          <cell r="I39" t="str">
            <v>MS assumption</v>
          </cell>
        </row>
        <row r="40">
          <cell r="A40" t="str">
            <v>TOTAL</v>
          </cell>
          <cell r="B40">
            <v>3255.1564370660071</v>
          </cell>
          <cell r="C40">
            <v>4888.3353856487183</v>
          </cell>
          <cell r="D40">
            <v>6348.3748161464291</v>
          </cell>
          <cell r="E40">
            <v>7889.3396821545548</v>
          </cell>
          <cell r="F40">
            <v>9341.8190624143263</v>
          </cell>
          <cell r="G40">
            <v>11475.038805765038</v>
          </cell>
          <cell r="H40">
            <v>0.28657900355019894</v>
          </cell>
          <cell r="I40" t="str">
            <v>MS assumption</v>
          </cell>
        </row>
        <row r="43">
          <cell r="A43" t="str">
            <v>US</v>
          </cell>
          <cell r="B43">
            <v>0.88802339809592035</v>
          </cell>
          <cell r="C43">
            <v>0.88967538682405478</v>
          </cell>
          <cell r="D43">
            <v>0.89112996350983076</v>
          </cell>
          <cell r="E43">
            <v>0.89123426750490964</v>
          </cell>
          <cell r="F43">
            <v>0.88974999222934814</v>
          </cell>
          <cell r="G43">
            <v>0.88974999222934814</v>
          </cell>
          <cell r="I43" t="str">
            <v>MS assumption, using trends in previous VNI report</v>
          </cell>
        </row>
        <row r="44">
          <cell r="A44" t="str">
            <v>Canada</v>
          </cell>
          <cell r="B44">
            <v>0.11197660190407965</v>
          </cell>
          <cell r="C44">
            <v>0.11032461317594522</v>
          </cell>
          <cell r="D44">
            <v>0.10887003649016924</v>
          </cell>
          <cell r="E44">
            <v>0.10876573249509036</v>
          </cell>
          <cell r="F44">
            <v>0.11025000777065186</v>
          </cell>
          <cell r="G44">
            <v>0.11025000777065186</v>
          </cell>
        </row>
        <row r="47">
          <cell r="A47" t="str">
            <v>US By Subsegment (PB per Month)</v>
          </cell>
          <cell r="B47">
            <v>2890.6550805771644</v>
          </cell>
          <cell r="C47">
            <v>4349.0316751527389</v>
          </cell>
          <cell r="D47">
            <v>5657.2270182592956</v>
          </cell>
          <cell r="E47">
            <v>7031.2498727224311</v>
          </cell>
          <cell r="F47">
            <v>8311.8834381911238</v>
          </cell>
          <cell r="G47">
            <v>10209.915688260911</v>
          </cell>
          <cell r="H47">
            <v>0.28707891698489285</v>
          </cell>
        </row>
        <row r="48">
          <cell r="A48" t="str">
            <v>Total US Residential BB Subs (M)</v>
          </cell>
          <cell r="B48">
            <v>71.428043545595983</v>
          </cell>
          <cell r="C48">
            <v>72.803202778573578</v>
          </cell>
          <cell r="D48">
            <v>74.790532105880871</v>
          </cell>
          <cell r="E48">
            <v>75.449067469188265</v>
          </cell>
          <cell r="F48">
            <v>76.781666962756361</v>
          </cell>
          <cell r="G48">
            <v>77.865921155857947</v>
          </cell>
          <cell r="H48">
            <v>1.740937274555554E-2</v>
          </cell>
        </row>
        <row r="49">
          <cell r="A49" t="str">
            <v>Average traffic per sub per mo (GB)</v>
          </cell>
          <cell r="B49">
            <v>40.469470212101207</v>
          </cell>
          <cell r="C49">
            <v>59.736818013076274</v>
          </cell>
          <cell r="D49">
            <v>75.640951587967919</v>
          </cell>
          <cell r="E49">
            <v>93.192004998522194</v>
          </cell>
          <cell r="F49">
            <v>108.2534902794293</v>
          </cell>
          <cell r="G49">
            <v>131.12174795729373</v>
          </cell>
          <cell r="H49">
            <v>0.26505510118470177</v>
          </cell>
        </row>
      </sheetData>
      <sheetData sheetId="2">
        <row r="2">
          <cell r="B2">
            <v>744</v>
          </cell>
          <cell r="C2">
            <v>0.81489594742606786</v>
          </cell>
        </row>
        <row r="3">
          <cell r="B3">
            <v>151</v>
          </cell>
          <cell r="C3">
            <v>0.16538882803943045</v>
          </cell>
        </row>
        <row r="4">
          <cell r="B4">
            <v>18</v>
          </cell>
          <cell r="C4">
            <v>1.9715224534501644E-2</v>
          </cell>
          <cell r="E4" t="str">
            <v>GLBC Premium Analysis</v>
          </cell>
        </row>
        <row r="5">
          <cell r="B5">
            <v>913</v>
          </cell>
          <cell r="E5" t="str">
            <v>$ in millions</v>
          </cell>
        </row>
        <row r="7">
          <cell r="E7" t="str">
            <v>2011E EBITDA (consensus @ 4/8/11)</v>
          </cell>
          <cell r="F7">
            <v>431</v>
          </cell>
        </row>
        <row r="8">
          <cell r="E8" t="str">
            <v>EV/EBITDA (4/8/11)</v>
          </cell>
          <cell r="F8">
            <v>4.5999999999999996</v>
          </cell>
        </row>
        <row r="9">
          <cell r="E9" t="str">
            <v>EV/EBITDA (implied deal valuation)</v>
          </cell>
          <cell r="F9">
            <v>7</v>
          </cell>
        </row>
        <row r="10">
          <cell r="E10" t="str">
            <v xml:space="preserve">Implied premium </v>
          </cell>
          <cell r="F10">
            <v>2.4000000000000004</v>
          </cell>
        </row>
        <row r="11">
          <cell r="E11" t="str">
            <v>Implied premium ($)</v>
          </cell>
          <cell r="F11">
            <v>1034.4000000000001</v>
          </cell>
        </row>
        <row r="13">
          <cell r="E13" t="str">
            <v>NPV of estimated synergies</v>
          </cell>
          <cell r="F13">
            <v>2500</v>
          </cell>
        </row>
        <row r="14">
          <cell r="E14" t="str">
            <v>% of implied premium</v>
          </cell>
          <cell r="F14">
            <v>2.4168600154679041</v>
          </cell>
        </row>
      </sheetData>
      <sheetData sheetId="3">
        <row r="3">
          <cell r="D3">
            <v>2012</v>
          </cell>
          <cell r="E3">
            <v>2013</v>
          </cell>
          <cell r="F3">
            <v>2014</v>
          </cell>
          <cell r="G3">
            <v>2015</v>
          </cell>
          <cell r="H3">
            <v>2016</v>
          </cell>
          <cell r="I3">
            <v>2017</v>
          </cell>
          <cell r="J3">
            <v>2018</v>
          </cell>
          <cell r="K3">
            <v>2019</v>
          </cell>
        </row>
        <row r="4">
          <cell r="B4" t="str">
            <v>Senior Secured Term Loan (2014)</v>
          </cell>
          <cell r="C4">
            <v>2.75E-2</v>
          </cell>
          <cell r="F4">
            <v>1680</v>
          </cell>
        </row>
        <row r="5">
          <cell r="B5" t="str">
            <v>Senior Secured Term Loan (2018)</v>
          </cell>
          <cell r="C5">
            <v>5.7500000000000002E-2</v>
          </cell>
          <cell r="J5">
            <v>650</v>
          </cell>
        </row>
        <row r="6">
          <cell r="B6" t="str">
            <v>Senior Notes (9.25%)</v>
          </cell>
          <cell r="C6">
            <v>9.2499999999999999E-2</v>
          </cell>
          <cell r="F6">
            <v>807</v>
          </cell>
        </row>
        <row r="7">
          <cell r="B7" t="str">
            <v>Senior Notes (8.75%)</v>
          </cell>
          <cell r="C7">
            <v>8.7499999999999994E-2</v>
          </cell>
          <cell r="I7">
            <v>700</v>
          </cell>
        </row>
        <row r="8">
          <cell r="B8" t="str">
            <v>Senior Notes (10.0%)</v>
          </cell>
          <cell r="C8">
            <v>0.1</v>
          </cell>
          <cell r="J8">
            <v>640</v>
          </cell>
        </row>
        <row r="9">
          <cell r="B9" t="str">
            <v>Senior Notes (11.875%)</v>
          </cell>
          <cell r="C9">
            <v>0.11874999999999999</v>
          </cell>
          <cell r="K9">
            <v>605</v>
          </cell>
        </row>
        <row r="10">
          <cell r="B10" t="str">
            <v>Senior Notes (9.375%)</v>
          </cell>
          <cell r="C10">
            <v>9.375E-2</v>
          </cell>
          <cell r="K10">
            <v>500</v>
          </cell>
        </row>
        <row r="11">
          <cell r="B11" t="str">
            <v>Senior Notes (8.125%)</v>
          </cell>
          <cell r="C11">
            <v>8.1250000000000003E-2</v>
          </cell>
          <cell r="K11">
            <v>600</v>
          </cell>
        </row>
        <row r="12">
          <cell r="B12" t="str">
            <v>Senior Notes (8.125%)</v>
          </cell>
          <cell r="C12">
            <v>8.1250000000000003E-2</v>
          </cell>
          <cell r="K12">
            <v>600</v>
          </cell>
        </row>
        <row r="13">
          <cell r="B13" t="str">
            <v>Floating Rate Senior Notes (4.215% as of 6/30/11)</v>
          </cell>
          <cell r="C13">
            <v>4.215E-2</v>
          </cell>
          <cell r="G13">
            <v>300</v>
          </cell>
        </row>
        <row r="14">
          <cell r="B14" t="str">
            <v>Convertible Senior Notes (3.5%)</v>
          </cell>
          <cell r="C14">
            <v>3.5000000000000003E-2</v>
          </cell>
          <cell r="D14">
            <v>294</v>
          </cell>
        </row>
        <row r="15">
          <cell r="B15" t="str">
            <v>Convertible Senior Notes (15.0%)</v>
          </cell>
          <cell r="C15">
            <v>0.15</v>
          </cell>
          <cell r="E15">
            <v>272</v>
          </cell>
        </row>
        <row r="16">
          <cell r="B16" t="str">
            <v>Convertible Senior Notes (7.0%)</v>
          </cell>
          <cell r="C16">
            <v>7.0000000000000007E-2</v>
          </cell>
          <cell r="G16">
            <v>200</v>
          </cell>
        </row>
        <row r="17">
          <cell r="B17" t="str">
            <v>Convertible Senior Notes Series B (7.0%)</v>
          </cell>
          <cell r="C17">
            <v>7.0000000000000007E-2</v>
          </cell>
          <cell r="G17">
            <v>275</v>
          </cell>
        </row>
        <row r="18">
          <cell r="B18" t="str">
            <v>Convertible Senior Notes (6.5%)</v>
          </cell>
          <cell r="C18">
            <v>6.5000000000000002E-2</v>
          </cell>
          <cell r="H18">
            <v>201</v>
          </cell>
        </row>
        <row r="19">
          <cell r="D19">
            <v>294</v>
          </cell>
          <cell r="E19">
            <v>272</v>
          </cell>
          <cell r="F19">
            <v>2487</v>
          </cell>
          <cell r="G19">
            <v>775</v>
          </cell>
          <cell r="H19">
            <v>201</v>
          </cell>
          <cell r="I19">
            <v>700</v>
          </cell>
          <cell r="J19">
            <v>1290</v>
          </cell>
          <cell r="K19">
            <v>2305</v>
          </cell>
          <cell r="L19">
            <v>8324</v>
          </cell>
        </row>
        <row r="20">
          <cell r="B20" t="str">
            <v>WACC (each year)</v>
          </cell>
          <cell r="D20">
            <v>3.5000000000000003E-2</v>
          </cell>
          <cell r="E20">
            <v>0.15</v>
          </cell>
          <cell r="F20">
            <v>4.8591676718938479E-2</v>
          </cell>
          <cell r="G20">
            <v>5.9219354838709694E-2</v>
          </cell>
          <cell r="H20">
            <v>6.5000000000000002E-2</v>
          </cell>
          <cell r="I20">
            <v>8.7499999999999994E-2</v>
          </cell>
          <cell r="J20">
            <v>7.8585271317829455E-2</v>
          </cell>
          <cell r="K20">
            <v>9.3804229934924072E-2</v>
          </cell>
        </row>
        <row r="21">
          <cell r="B21" t="str">
            <v>WACC (total)</v>
          </cell>
          <cell r="L21">
            <v>7.325099111004324E-2</v>
          </cell>
        </row>
        <row r="23">
          <cell r="F23">
            <v>807</v>
          </cell>
          <cell r="I23">
            <v>700</v>
          </cell>
          <cell r="J23">
            <v>640</v>
          </cell>
          <cell r="K23">
            <v>2305</v>
          </cell>
          <cell r="L23">
            <v>4452</v>
          </cell>
        </row>
        <row r="24">
          <cell r="F24">
            <v>9.2499999999999999E-2</v>
          </cell>
          <cell r="I24">
            <v>8.7499999999999994E-2</v>
          </cell>
          <cell r="J24">
            <v>0.1</v>
          </cell>
          <cell r="K24">
            <v>9.3804229934924072E-2</v>
          </cell>
        </row>
        <row r="25">
          <cell r="L25">
            <v>9.3467261904761886E-2</v>
          </cell>
        </row>
        <row r="28">
          <cell r="B28" t="str">
            <v>Current (1)</v>
          </cell>
        </row>
        <row r="29">
          <cell r="B29" t="str">
            <v>Total Debt @ 6/30/11</v>
          </cell>
          <cell r="C29">
            <v>8324</v>
          </cell>
        </row>
        <row r="30">
          <cell r="B30" t="str">
            <v>Debt Cost (2)</v>
          </cell>
          <cell r="C30">
            <v>9.3467261904761886E-2</v>
          </cell>
        </row>
        <row r="31">
          <cell r="B31" t="str">
            <v>Implied Annual Interest Expense</v>
          </cell>
          <cell r="C31">
            <v>778.02148809523794</v>
          </cell>
        </row>
        <row r="33">
          <cell r="B33" t="str">
            <v>Cost of Debt Less 50 bps</v>
          </cell>
        </row>
        <row r="34">
          <cell r="B34" t="str">
            <v>Debt Cost (less 50 bps)</v>
          </cell>
          <cell r="C34">
            <v>8.8467261904761882E-2</v>
          </cell>
        </row>
        <row r="35">
          <cell r="B35" t="str">
            <v>Implied Annual Interest Expense (less 50 bps)</v>
          </cell>
          <cell r="C35">
            <v>736.40148809523794</v>
          </cell>
        </row>
        <row r="36">
          <cell r="B36" t="str">
            <v>Implied Interest Expense Savings</v>
          </cell>
          <cell r="C36">
            <v>41.620000000000005</v>
          </cell>
        </row>
        <row r="38">
          <cell r="B38" t="str">
            <v>Cost of Debt Less 100 bps</v>
          </cell>
        </row>
        <row r="39">
          <cell r="B39" t="str">
            <v>Debt Cost (less 100 bps)</v>
          </cell>
          <cell r="C39">
            <v>8.3467261904761891E-2</v>
          </cell>
        </row>
        <row r="40">
          <cell r="B40" t="str">
            <v>Implied Annual Interest Expense (less 100 bps)</v>
          </cell>
          <cell r="C40">
            <v>694.78148809523793</v>
          </cell>
        </row>
        <row r="41">
          <cell r="B41" t="str">
            <v>Implied Interest Expense Savings</v>
          </cell>
          <cell r="C41">
            <v>83.240000000000009</v>
          </cell>
        </row>
        <row r="43">
          <cell r="B43" t="str">
            <v>(1) Pro-forma for recent debt issuances by LVLT to refinance GLBC debt</v>
          </cell>
        </row>
        <row r="44">
          <cell r="B44" t="str">
            <v>(2) Average debt cost for LVLT's PF fixed rate senior notes at 6/30/11</v>
          </cell>
        </row>
        <row r="49">
          <cell r="B49" t="str">
            <v>Current (1)</v>
          </cell>
        </row>
        <row r="50">
          <cell r="B50" t="str">
            <v>Total Debt @ 6/30/11</v>
          </cell>
          <cell r="C50">
            <v>8324</v>
          </cell>
        </row>
        <row r="51">
          <cell r="B51" t="str">
            <v>WACC @ 6/30/11</v>
          </cell>
          <cell r="C51">
            <v>7.325099111004324E-2</v>
          </cell>
        </row>
        <row r="52">
          <cell r="B52" t="str">
            <v>Annual Interest Expense</v>
          </cell>
          <cell r="C52">
            <v>609.74124999999992</v>
          </cell>
        </row>
        <row r="54">
          <cell r="B54" t="str">
            <v>Cost of Debt Less 50 bps</v>
          </cell>
        </row>
        <row r="55">
          <cell r="B55" t="str">
            <v>WACC (less 50 bps)</v>
          </cell>
          <cell r="C55">
            <v>6.8250991110043235E-2</v>
          </cell>
        </row>
        <row r="56">
          <cell r="B56" t="str">
            <v>Annual Interest Expense (less 50 bps)</v>
          </cell>
          <cell r="C56">
            <v>568.12124999999992</v>
          </cell>
        </row>
        <row r="57">
          <cell r="B57" t="str">
            <v>Interest Expense Savings</v>
          </cell>
          <cell r="C57">
            <v>-41.620000000000005</v>
          </cell>
        </row>
        <row r="59">
          <cell r="B59" t="str">
            <v>Cost of Debt Less 100 bps</v>
          </cell>
        </row>
        <row r="60">
          <cell r="B60" t="str">
            <v>WACC (less 100 bps)</v>
          </cell>
          <cell r="C60">
            <v>6.3250991110043245E-2</v>
          </cell>
        </row>
        <row r="61">
          <cell r="B61" t="str">
            <v>Annual Interest Expense (less 100 bps)</v>
          </cell>
          <cell r="C61">
            <v>526.50124999999991</v>
          </cell>
        </row>
        <row r="62">
          <cell r="B62" t="str">
            <v>Interest Expense Savings</v>
          </cell>
          <cell r="C62">
            <v>-83.240000000000009</v>
          </cell>
        </row>
        <row r="64">
          <cell r="B64" t="str">
            <v>(1) Pro-forma for recent debt issuances by LVLT to refinance GLBC debt</v>
          </cell>
        </row>
      </sheetData>
      <sheetData sheetId="4">
        <row r="4">
          <cell r="B4" t="str">
            <v>FY 2011 Guidance - LVLT (1)</v>
          </cell>
        </row>
        <row r="5">
          <cell r="B5" t="str">
            <v>Revenue</v>
          </cell>
          <cell r="C5" t="str">
            <v>"Sequential revenue growth" (1% - 2%)</v>
          </cell>
        </row>
        <row r="6">
          <cell r="B6" t="str">
            <v>EBITDA</v>
          </cell>
          <cell r="C6" t="str">
            <v>"low double-digit" growth compared to 2010</v>
          </cell>
        </row>
        <row r="7">
          <cell r="B7" t="str">
            <v>Capex</v>
          </cell>
          <cell r="C7" t="str">
            <v>"12% of communications revenue"</v>
          </cell>
        </row>
        <row r="8">
          <cell r="B8" t="str">
            <v>FCF</v>
          </cell>
          <cell r="C8" t="str">
            <v>"breakeven for last 3 quarters of 2011 in aggregate"</v>
          </cell>
        </row>
        <row r="10">
          <cell r="B10" t="str">
            <v>FY 2011 Guidance - GLBC</v>
          </cell>
        </row>
        <row r="11">
          <cell r="B11" t="str">
            <v>Revenue</v>
          </cell>
          <cell r="C11" t="str">
            <v>$2,765M - $2,845M (approx 6% to 9%" from 2010)</v>
          </cell>
          <cell r="E11">
            <v>2609</v>
          </cell>
          <cell r="F11">
            <v>0.06</v>
          </cell>
          <cell r="G11">
            <v>2765.54</v>
          </cell>
        </row>
        <row r="12">
          <cell r="B12" t="str">
            <v>OIBIDA</v>
          </cell>
          <cell r="C12" t="str">
            <v>"grow to roughly $425M" at 7.5% revenue growth</v>
          </cell>
          <cell r="F12">
            <v>0.09</v>
          </cell>
          <cell r="G12">
            <v>2843.8100000000004</v>
          </cell>
        </row>
        <row r="13">
          <cell r="B13" t="str">
            <v>Opex</v>
          </cell>
          <cell r="C13" t="str">
            <v>"approx $20 million in higher opex" relative to 2010</v>
          </cell>
        </row>
        <row r="14">
          <cell r="B14" t="str">
            <v>Capex</v>
          </cell>
          <cell r="C14" t="str">
            <v>"approx 10% of invest and grow revenue"</v>
          </cell>
        </row>
        <row r="15">
          <cell r="B15" t="str">
            <v>FCF</v>
          </cell>
          <cell r="C15" t="str">
            <v>positive FCF in 2011</v>
          </cell>
        </row>
      </sheetData>
      <sheetData sheetId="5">
        <row r="2">
          <cell r="C2" t="str">
            <v>11.875% senior unsecured</v>
          </cell>
        </row>
        <row r="3">
          <cell r="C3" t="str">
            <v>52729NBS</v>
          </cell>
          <cell r="D3" t="str">
            <v>527298AM</v>
          </cell>
        </row>
        <row r="4">
          <cell r="B4">
            <v>40767</v>
          </cell>
          <cell r="C4">
            <v>11.620000000000001</v>
          </cell>
          <cell r="D4">
            <v>9.516</v>
          </cell>
        </row>
        <row r="5">
          <cell r="B5">
            <v>40766</v>
          </cell>
          <cell r="C5">
            <v>12.394</v>
          </cell>
          <cell r="D5">
            <v>9.609</v>
          </cell>
        </row>
        <row r="6">
          <cell r="B6">
            <v>40765</v>
          </cell>
          <cell r="C6">
            <v>11.682</v>
          </cell>
          <cell r="D6">
            <v>9.3780000000000001</v>
          </cell>
        </row>
        <row r="7">
          <cell r="B7">
            <v>40764</v>
          </cell>
          <cell r="C7">
            <v>11.495000000000001</v>
          </cell>
          <cell r="D7">
            <v>9.4239999999999995</v>
          </cell>
        </row>
        <row r="8">
          <cell r="B8">
            <v>40763</v>
          </cell>
          <cell r="C8">
            <v>11.248000000000001</v>
          </cell>
          <cell r="D8">
            <v>9.4239999999999995</v>
          </cell>
        </row>
        <row r="9">
          <cell r="B9">
            <v>40762</v>
          </cell>
          <cell r="C9">
            <v>10.292</v>
          </cell>
          <cell r="D9">
            <v>8.3610000000000007</v>
          </cell>
        </row>
        <row r="10">
          <cell r="B10">
            <v>40761</v>
          </cell>
          <cell r="C10">
            <v>10.292</v>
          </cell>
          <cell r="D10">
            <v>8.3610000000000007</v>
          </cell>
        </row>
        <row r="11">
          <cell r="B11">
            <v>40760</v>
          </cell>
          <cell r="C11">
            <v>10.292</v>
          </cell>
          <cell r="D11">
            <v>8.3610000000000007</v>
          </cell>
        </row>
        <row r="12">
          <cell r="B12">
            <v>40759</v>
          </cell>
          <cell r="C12">
            <v>10.061</v>
          </cell>
          <cell r="D12">
            <v>7.5110000000000001</v>
          </cell>
        </row>
        <row r="13">
          <cell r="B13">
            <v>40758</v>
          </cell>
          <cell r="C13">
            <v>9.8320000000000007</v>
          </cell>
          <cell r="D13">
            <v>6.9889999999999999</v>
          </cell>
        </row>
        <row r="14">
          <cell r="B14">
            <v>40757</v>
          </cell>
          <cell r="C14">
            <v>9.6910000000000007</v>
          </cell>
          <cell r="D14">
            <v>6.8900000000000006</v>
          </cell>
        </row>
        <row r="15">
          <cell r="B15">
            <v>40756</v>
          </cell>
          <cell r="C15">
            <v>9.495000000000001</v>
          </cell>
          <cell r="D15">
            <v>6.843</v>
          </cell>
        </row>
        <row r="16">
          <cell r="B16">
            <v>40755</v>
          </cell>
          <cell r="C16">
            <v>9.609</v>
          </cell>
          <cell r="D16">
            <v>6.8529999999999998</v>
          </cell>
        </row>
        <row r="17">
          <cell r="B17">
            <v>40754</v>
          </cell>
          <cell r="C17">
            <v>9.609</v>
          </cell>
          <cell r="D17">
            <v>6.8529999999999998</v>
          </cell>
        </row>
        <row r="18">
          <cell r="B18">
            <v>40753</v>
          </cell>
          <cell r="C18">
            <v>9.609</v>
          </cell>
          <cell r="D18">
            <v>6.8529999999999998</v>
          </cell>
        </row>
        <row r="19">
          <cell r="B19">
            <v>40752</v>
          </cell>
          <cell r="C19">
            <v>9.5820000000000007</v>
          </cell>
          <cell r="D19">
            <v>6.9089999999999998</v>
          </cell>
        </row>
        <row r="20">
          <cell r="B20">
            <v>40751</v>
          </cell>
          <cell r="C20">
            <v>9.4979999999999993</v>
          </cell>
          <cell r="D20">
            <v>6.9139999999999997</v>
          </cell>
        </row>
        <row r="21">
          <cell r="B21">
            <v>40750</v>
          </cell>
          <cell r="C21">
            <v>9.4990000000000006</v>
          </cell>
          <cell r="D21">
            <v>6.7540000000000004</v>
          </cell>
        </row>
        <row r="22">
          <cell r="B22">
            <v>40749</v>
          </cell>
          <cell r="C22">
            <v>9.4719999999999995</v>
          </cell>
          <cell r="D22">
            <v>6.7770000000000001</v>
          </cell>
        </row>
        <row r="23">
          <cell r="B23">
            <v>40748</v>
          </cell>
          <cell r="C23">
            <v>9.3919999999999995</v>
          </cell>
          <cell r="D23">
            <v>5.9560000000000004</v>
          </cell>
        </row>
        <row r="24">
          <cell r="B24">
            <v>40747</v>
          </cell>
          <cell r="C24">
            <v>9.3919999999999995</v>
          </cell>
          <cell r="D24">
            <v>5.9560000000000004</v>
          </cell>
        </row>
        <row r="25">
          <cell r="B25">
            <v>40746</v>
          </cell>
          <cell r="C25">
            <v>9.3919999999999995</v>
          </cell>
          <cell r="D25">
            <v>5.9560000000000004</v>
          </cell>
        </row>
        <row r="26">
          <cell r="B26">
            <v>40745</v>
          </cell>
          <cell r="C26">
            <v>9.3650000000000002</v>
          </cell>
          <cell r="D26">
            <v>5.9859999999999998</v>
          </cell>
        </row>
        <row r="27">
          <cell r="B27">
            <v>40744</v>
          </cell>
          <cell r="C27">
            <v>9.3930000000000007</v>
          </cell>
          <cell r="D27">
            <v>6.0150000000000006</v>
          </cell>
        </row>
        <row r="28">
          <cell r="B28">
            <v>40743</v>
          </cell>
          <cell r="C28">
            <v>9.5329999999999995</v>
          </cell>
          <cell r="D28">
            <v>6.952</v>
          </cell>
        </row>
        <row r="29">
          <cell r="B29">
            <v>40742</v>
          </cell>
          <cell r="C29">
            <v>9.5060000000000002</v>
          </cell>
          <cell r="D29">
            <v>6.5</v>
          </cell>
        </row>
        <row r="30">
          <cell r="B30">
            <v>40741</v>
          </cell>
          <cell r="C30">
            <v>9.4529999999999994</v>
          </cell>
          <cell r="D30">
            <v>6.9710000000000001</v>
          </cell>
        </row>
        <row r="31">
          <cell r="B31">
            <v>40740</v>
          </cell>
          <cell r="C31">
            <v>9.4529999999999994</v>
          </cell>
          <cell r="D31">
            <v>6.9710000000000001</v>
          </cell>
        </row>
        <row r="32">
          <cell r="B32">
            <v>40739</v>
          </cell>
          <cell r="C32">
            <v>9.4529999999999994</v>
          </cell>
          <cell r="D32">
            <v>6.9710000000000001</v>
          </cell>
        </row>
        <row r="33">
          <cell r="B33">
            <v>40738</v>
          </cell>
          <cell r="C33">
            <v>9.4540000000000006</v>
          </cell>
          <cell r="D33">
            <v>6.5940000000000003</v>
          </cell>
        </row>
        <row r="34">
          <cell r="B34">
            <v>40737</v>
          </cell>
          <cell r="C34">
            <v>9.51</v>
          </cell>
          <cell r="D34">
            <v>6.6160000000000005</v>
          </cell>
        </row>
        <row r="35">
          <cell r="B35">
            <v>40736</v>
          </cell>
          <cell r="C35">
            <v>9.5660000000000007</v>
          </cell>
          <cell r="D35">
            <v>7.2860000000000005</v>
          </cell>
        </row>
        <row r="36">
          <cell r="B36">
            <v>40735</v>
          </cell>
          <cell r="C36">
            <v>9.4559999999999995</v>
          </cell>
          <cell r="D36">
            <v>7.0890000000000004</v>
          </cell>
        </row>
        <row r="37">
          <cell r="B37">
            <v>40734</v>
          </cell>
          <cell r="C37">
            <v>9.2940000000000005</v>
          </cell>
          <cell r="D37">
            <v>6.7229999999999999</v>
          </cell>
        </row>
        <row r="38">
          <cell r="B38">
            <v>40733</v>
          </cell>
          <cell r="C38">
            <v>9.2940000000000005</v>
          </cell>
          <cell r="D38">
            <v>6.7229999999999999</v>
          </cell>
        </row>
        <row r="39">
          <cell r="B39">
            <v>40732</v>
          </cell>
          <cell r="C39">
            <v>9.2940000000000005</v>
          </cell>
          <cell r="D39">
            <v>6.7229999999999999</v>
          </cell>
        </row>
        <row r="40">
          <cell r="B40">
            <v>40731</v>
          </cell>
          <cell r="C40">
            <v>9.4600000000000009</v>
          </cell>
          <cell r="D40">
            <v>6.7430000000000003</v>
          </cell>
        </row>
        <row r="41">
          <cell r="B41">
            <v>40730</v>
          </cell>
          <cell r="C41">
            <v>9.7110000000000003</v>
          </cell>
          <cell r="D41">
            <v>7.21</v>
          </cell>
        </row>
        <row r="42">
          <cell r="B42">
            <v>40729</v>
          </cell>
          <cell r="C42">
            <v>9.6549999999999994</v>
          </cell>
          <cell r="D42">
            <v>6.7830000000000004</v>
          </cell>
        </row>
        <row r="43">
          <cell r="B43">
            <v>40728</v>
          </cell>
          <cell r="C43">
            <v>9.6840000000000011</v>
          </cell>
          <cell r="D43">
            <v>6.923</v>
          </cell>
        </row>
        <row r="44">
          <cell r="B44">
            <v>40727</v>
          </cell>
          <cell r="C44">
            <v>9.6859999999999999</v>
          </cell>
          <cell r="D44">
            <v>6.9370000000000003</v>
          </cell>
        </row>
        <row r="45">
          <cell r="B45">
            <v>40726</v>
          </cell>
          <cell r="C45">
            <v>9.6859999999999999</v>
          </cell>
          <cell r="D45">
            <v>6.9370000000000003</v>
          </cell>
        </row>
        <row r="46">
          <cell r="B46">
            <v>40725</v>
          </cell>
          <cell r="C46">
            <v>9.6859999999999999</v>
          </cell>
          <cell r="D46">
            <v>6.9370000000000003</v>
          </cell>
        </row>
        <row r="47">
          <cell r="B47">
            <v>40724</v>
          </cell>
          <cell r="C47">
            <v>9.9960000000000004</v>
          </cell>
          <cell r="D47">
            <v>6.9409999999999998</v>
          </cell>
        </row>
        <row r="48">
          <cell r="B48">
            <v>40723</v>
          </cell>
          <cell r="C48">
            <v>10.025</v>
          </cell>
          <cell r="D48">
            <v>6.9950000000000001</v>
          </cell>
        </row>
        <row r="49">
          <cell r="B49">
            <v>40722</v>
          </cell>
          <cell r="C49">
            <v>10.197000000000001</v>
          </cell>
          <cell r="D49">
            <v>6.9990000000000006</v>
          </cell>
        </row>
        <row r="50">
          <cell r="B50">
            <v>40721</v>
          </cell>
          <cell r="C50">
            <v>10.14</v>
          </cell>
          <cell r="D50">
            <v>7.0520000000000005</v>
          </cell>
        </row>
        <row r="51">
          <cell r="B51">
            <v>40720</v>
          </cell>
          <cell r="C51">
            <v>9.8879999999999999</v>
          </cell>
          <cell r="D51">
            <v>6.6310000000000002</v>
          </cell>
        </row>
        <row r="52">
          <cell r="B52">
            <v>40719</v>
          </cell>
          <cell r="C52">
            <v>9.8879999999999999</v>
          </cell>
          <cell r="D52">
            <v>6.6310000000000002</v>
          </cell>
        </row>
        <row r="53">
          <cell r="B53">
            <v>40718</v>
          </cell>
          <cell r="C53">
            <v>9.8879999999999999</v>
          </cell>
          <cell r="D53">
            <v>6.6310000000000002</v>
          </cell>
        </row>
        <row r="54">
          <cell r="B54">
            <v>40717</v>
          </cell>
          <cell r="C54">
            <v>9.8879999999999999</v>
          </cell>
          <cell r="D54">
            <v>6.65</v>
          </cell>
        </row>
        <row r="55">
          <cell r="B55">
            <v>40716</v>
          </cell>
          <cell r="C55">
            <v>9.8889999999999993</v>
          </cell>
          <cell r="D55">
            <v>6.6690000000000005</v>
          </cell>
        </row>
        <row r="56">
          <cell r="B56">
            <v>40715</v>
          </cell>
          <cell r="C56">
            <v>10.087</v>
          </cell>
          <cell r="D56">
            <v>6.8860000000000001</v>
          </cell>
        </row>
        <row r="57">
          <cell r="B57">
            <v>40714</v>
          </cell>
          <cell r="C57">
            <v>9.947000000000001</v>
          </cell>
          <cell r="D57">
            <v>7.0819999999999999</v>
          </cell>
        </row>
        <row r="58">
          <cell r="B58">
            <v>40713</v>
          </cell>
          <cell r="C58">
            <v>9.9209999999999994</v>
          </cell>
          <cell r="D58">
            <v>7.0949999999999998</v>
          </cell>
        </row>
        <row r="59">
          <cell r="B59">
            <v>40712</v>
          </cell>
          <cell r="C59">
            <v>9.9209999999999994</v>
          </cell>
          <cell r="D59">
            <v>7.0949999999999998</v>
          </cell>
        </row>
        <row r="60">
          <cell r="B60">
            <v>40711</v>
          </cell>
          <cell r="C60">
            <v>9.9209999999999994</v>
          </cell>
          <cell r="D60">
            <v>7.0949999999999998</v>
          </cell>
        </row>
        <row r="61">
          <cell r="B61">
            <v>40710</v>
          </cell>
          <cell r="C61">
            <v>9.9209999999999994</v>
          </cell>
          <cell r="D61">
            <v>7.1000000000000005</v>
          </cell>
        </row>
        <row r="62">
          <cell r="B62">
            <v>40709</v>
          </cell>
          <cell r="C62">
            <v>9.7550000000000008</v>
          </cell>
          <cell r="D62">
            <v>7.0090000000000003</v>
          </cell>
        </row>
        <row r="63">
          <cell r="B63">
            <v>40708</v>
          </cell>
          <cell r="C63">
            <v>9.7829999999999995</v>
          </cell>
          <cell r="D63">
            <v>6.9190000000000005</v>
          </cell>
        </row>
        <row r="64">
          <cell r="B64">
            <v>40707</v>
          </cell>
          <cell r="C64">
            <v>9.84</v>
          </cell>
          <cell r="D64">
            <v>7.1120000000000001</v>
          </cell>
        </row>
        <row r="65">
          <cell r="B65">
            <v>40706</v>
          </cell>
          <cell r="C65">
            <v>9.8140000000000001</v>
          </cell>
          <cell r="D65">
            <v>6.843</v>
          </cell>
        </row>
        <row r="66">
          <cell r="B66">
            <v>40705</v>
          </cell>
          <cell r="C66">
            <v>9.8140000000000001</v>
          </cell>
          <cell r="D66">
            <v>6.843</v>
          </cell>
        </row>
        <row r="67">
          <cell r="B67">
            <v>40704</v>
          </cell>
          <cell r="C67">
            <v>9.8140000000000001</v>
          </cell>
          <cell r="D67">
            <v>6.843</v>
          </cell>
        </row>
        <row r="68">
          <cell r="B68">
            <v>40703</v>
          </cell>
          <cell r="C68">
            <v>9.843</v>
          </cell>
          <cell r="D68">
            <v>7.1290000000000004</v>
          </cell>
        </row>
        <row r="69">
          <cell r="B69">
            <v>40702</v>
          </cell>
          <cell r="C69">
            <v>9.76</v>
          </cell>
          <cell r="D69">
            <v>7.133</v>
          </cell>
        </row>
        <row r="70">
          <cell r="B70">
            <v>40701</v>
          </cell>
          <cell r="C70">
            <v>9.6229999999999993</v>
          </cell>
          <cell r="D70">
            <v>6.95</v>
          </cell>
        </row>
        <row r="71">
          <cell r="B71">
            <v>40700</v>
          </cell>
          <cell r="C71">
            <v>9.5960000000000001</v>
          </cell>
          <cell r="D71">
            <v>6.9550000000000001</v>
          </cell>
        </row>
        <row r="72">
          <cell r="B72">
            <v>40699</v>
          </cell>
          <cell r="C72">
            <v>9.5990000000000002</v>
          </cell>
          <cell r="D72">
            <v>6.968</v>
          </cell>
        </row>
        <row r="73">
          <cell r="B73">
            <v>40698</v>
          </cell>
          <cell r="C73">
            <v>9.5990000000000002</v>
          </cell>
          <cell r="D73">
            <v>6.968</v>
          </cell>
        </row>
        <row r="74">
          <cell r="B74">
            <v>40697</v>
          </cell>
          <cell r="C74">
            <v>9.5990000000000002</v>
          </cell>
          <cell r="D74">
            <v>6.968</v>
          </cell>
        </row>
        <row r="75">
          <cell r="B75">
            <v>40696</v>
          </cell>
          <cell r="C75">
            <v>9.463000000000001</v>
          </cell>
          <cell r="D75">
            <v>6.88</v>
          </cell>
        </row>
        <row r="76">
          <cell r="B76">
            <v>40695</v>
          </cell>
          <cell r="C76">
            <v>9.3550000000000004</v>
          </cell>
          <cell r="D76">
            <v>6.7140000000000004</v>
          </cell>
        </row>
        <row r="77">
          <cell r="B77">
            <v>40694</v>
          </cell>
          <cell r="C77">
            <v>9.3830000000000009</v>
          </cell>
          <cell r="D77">
            <v>6.9809999999999999</v>
          </cell>
        </row>
        <row r="78">
          <cell r="B78">
            <v>40693</v>
          </cell>
          <cell r="C78">
            <v>9.4369999999999994</v>
          </cell>
          <cell r="D78">
            <v>6.9809999999999999</v>
          </cell>
        </row>
        <row r="79">
          <cell r="B79">
            <v>40692</v>
          </cell>
          <cell r="C79">
            <v>9.44</v>
          </cell>
          <cell r="D79">
            <v>6.9939999999999998</v>
          </cell>
        </row>
        <row r="80">
          <cell r="B80">
            <v>40691</v>
          </cell>
          <cell r="C80">
            <v>9.44</v>
          </cell>
          <cell r="D80">
            <v>6.9939999999999998</v>
          </cell>
        </row>
        <row r="81">
          <cell r="B81">
            <v>40690</v>
          </cell>
          <cell r="C81">
            <v>9.44</v>
          </cell>
          <cell r="D81">
            <v>6.9939999999999998</v>
          </cell>
        </row>
        <row r="82">
          <cell r="B82">
            <v>40689</v>
          </cell>
          <cell r="C82">
            <v>9.36</v>
          </cell>
          <cell r="D82">
            <v>7.09</v>
          </cell>
        </row>
        <row r="83">
          <cell r="B83">
            <v>40688</v>
          </cell>
          <cell r="C83">
            <v>9.4150000000000009</v>
          </cell>
          <cell r="D83">
            <v>6.9110000000000005</v>
          </cell>
        </row>
        <row r="84">
          <cell r="B84">
            <v>40687</v>
          </cell>
          <cell r="C84">
            <v>9.2539999999999996</v>
          </cell>
          <cell r="D84">
            <v>6.8239999999999998</v>
          </cell>
        </row>
        <row r="85">
          <cell r="B85">
            <v>40686</v>
          </cell>
          <cell r="C85">
            <v>9.39</v>
          </cell>
          <cell r="D85">
            <v>7.0110000000000001</v>
          </cell>
        </row>
        <row r="86">
          <cell r="B86">
            <v>40685</v>
          </cell>
          <cell r="C86">
            <v>9.2309999999999999</v>
          </cell>
          <cell r="D86">
            <v>6.843</v>
          </cell>
        </row>
        <row r="87">
          <cell r="B87">
            <v>40684</v>
          </cell>
          <cell r="C87">
            <v>9.2309999999999999</v>
          </cell>
          <cell r="D87">
            <v>6.843</v>
          </cell>
        </row>
        <row r="88">
          <cell r="B88">
            <v>40683</v>
          </cell>
          <cell r="C88">
            <v>9.2309999999999999</v>
          </cell>
          <cell r="D88">
            <v>6.843</v>
          </cell>
        </row>
        <row r="89">
          <cell r="B89">
            <v>40682</v>
          </cell>
          <cell r="C89">
            <v>9.2319999999999993</v>
          </cell>
          <cell r="D89">
            <v>6.343</v>
          </cell>
        </row>
        <row r="90">
          <cell r="B90">
            <v>40681</v>
          </cell>
          <cell r="C90">
            <v>9.34</v>
          </cell>
          <cell r="D90">
            <v>6.36</v>
          </cell>
        </row>
        <row r="91">
          <cell r="B91">
            <v>40680</v>
          </cell>
          <cell r="C91">
            <v>9.2070000000000007</v>
          </cell>
          <cell r="D91">
            <v>6.1040000000000001</v>
          </cell>
        </row>
        <row r="92">
          <cell r="B92">
            <v>40679</v>
          </cell>
          <cell r="C92">
            <v>9.1549999999999994</v>
          </cell>
          <cell r="D92">
            <v>5.8520000000000003</v>
          </cell>
        </row>
        <row r="93">
          <cell r="B93">
            <v>40678</v>
          </cell>
          <cell r="C93">
            <v>9.2650000000000006</v>
          </cell>
          <cell r="D93">
            <v>5.9110000000000005</v>
          </cell>
        </row>
        <row r="94">
          <cell r="B94">
            <v>40677</v>
          </cell>
          <cell r="C94">
            <v>9.2650000000000006</v>
          </cell>
          <cell r="D94">
            <v>5.9110000000000005</v>
          </cell>
        </row>
        <row r="95">
          <cell r="B95">
            <v>40676</v>
          </cell>
          <cell r="C95">
            <v>9.2650000000000006</v>
          </cell>
          <cell r="D95">
            <v>5.9110000000000005</v>
          </cell>
        </row>
        <row r="96">
          <cell r="B96">
            <v>40675</v>
          </cell>
          <cell r="C96">
            <v>9.3460000000000001</v>
          </cell>
          <cell r="D96">
            <v>5.93</v>
          </cell>
        </row>
        <row r="97">
          <cell r="B97">
            <v>40674</v>
          </cell>
          <cell r="C97">
            <v>9.4009999999999998</v>
          </cell>
          <cell r="D97">
            <v>6.476</v>
          </cell>
        </row>
        <row r="98">
          <cell r="B98">
            <v>40673</v>
          </cell>
          <cell r="C98">
            <v>9.3480000000000008</v>
          </cell>
          <cell r="D98">
            <v>6.3620000000000001</v>
          </cell>
        </row>
        <row r="99">
          <cell r="B99">
            <v>40672</v>
          </cell>
          <cell r="C99">
            <v>9.4030000000000005</v>
          </cell>
          <cell r="D99">
            <v>6.2469999999999999</v>
          </cell>
        </row>
        <row r="100">
          <cell r="B100">
            <v>40671</v>
          </cell>
          <cell r="C100">
            <v>9.4589999999999996</v>
          </cell>
          <cell r="D100">
            <v>5.7850000000000001</v>
          </cell>
        </row>
        <row r="101">
          <cell r="B101">
            <v>40670</v>
          </cell>
          <cell r="C101">
            <v>9.4589999999999996</v>
          </cell>
          <cell r="D101">
            <v>5.7850000000000001</v>
          </cell>
        </row>
        <row r="102">
          <cell r="B102">
            <v>40669</v>
          </cell>
          <cell r="C102">
            <v>9.4589999999999996</v>
          </cell>
          <cell r="D102">
            <v>5.7850000000000001</v>
          </cell>
        </row>
        <row r="103">
          <cell r="B103">
            <v>40668</v>
          </cell>
          <cell r="C103">
            <v>9.4600000000000009</v>
          </cell>
          <cell r="D103">
            <v>6.0590000000000002</v>
          </cell>
        </row>
        <row r="104">
          <cell r="B104">
            <v>40667</v>
          </cell>
          <cell r="C104">
            <v>9.4209999999999994</v>
          </cell>
          <cell r="D104">
            <v>6.077</v>
          </cell>
        </row>
        <row r="105">
          <cell r="B105">
            <v>40666</v>
          </cell>
          <cell r="C105">
            <v>9.4079999999999995</v>
          </cell>
          <cell r="D105">
            <v>5.8420000000000005</v>
          </cell>
        </row>
        <row r="106">
          <cell r="B106">
            <v>40665</v>
          </cell>
          <cell r="C106">
            <v>9.3559999999999999</v>
          </cell>
          <cell r="D106">
            <v>5.6109999999999998</v>
          </cell>
        </row>
        <row r="107">
          <cell r="B107">
            <v>40664</v>
          </cell>
          <cell r="C107">
            <v>9.4120000000000008</v>
          </cell>
          <cell r="D107">
            <v>6.16</v>
          </cell>
        </row>
        <row r="108">
          <cell r="B108">
            <v>40663</v>
          </cell>
          <cell r="C108">
            <v>9.4120000000000008</v>
          </cell>
          <cell r="D108">
            <v>6.16</v>
          </cell>
        </row>
        <row r="109">
          <cell r="B109">
            <v>40662</v>
          </cell>
          <cell r="C109">
            <v>9.4120000000000008</v>
          </cell>
          <cell r="D109">
            <v>6.16</v>
          </cell>
        </row>
        <row r="110">
          <cell r="B110">
            <v>40661</v>
          </cell>
          <cell r="C110">
            <v>9.6289999999999996</v>
          </cell>
          <cell r="D110">
            <v>6.1749999999999998</v>
          </cell>
        </row>
        <row r="111">
          <cell r="B111">
            <v>40660</v>
          </cell>
          <cell r="C111">
            <v>9.5760000000000005</v>
          </cell>
          <cell r="D111">
            <v>5.702</v>
          </cell>
        </row>
        <row r="112">
          <cell r="B112">
            <v>40659</v>
          </cell>
          <cell r="C112">
            <v>9.5229999999999997</v>
          </cell>
          <cell r="D112">
            <v>5.9610000000000003</v>
          </cell>
        </row>
        <row r="113">
          <cell r="B113">
            <v>40658</v>
          </cell>
          <cell r="C113">
            <v>9.5240000000000009</v>
          </cell>
          <cell r="D113">
            <v>5.2549999999999999</v>
          </cell>
        </row>
        <row r="114">
          <cell r="B114">
            <v>40657</v>
          </cell>
          <cell r="C114">
            <v>9.5809999999999995</v>
          </cell>
          <cell r="D114">
            <v>5.5650000000000004</v>
          </cell>
        </row>
        <row r="115">
          <cell r="B115">
            <v>40656</v>
          </cell>
          <cell r="C115">
            <v>9.5809999999999995</v>
          </cell>
          <cell r="D115">
            <v>5.5650000000000004</v>
          </cell>
        </row>
        <row r="116">
          <cell r="B116">
            <v>40655</v>
          </cell>
          <cell r="C116">
            <v>9.5809999999999995</v>
          </cell>
          <cell r="D116">
            <v>5.5650000000000004</v>
          </cell>
        </row>
        <row r="117">
          <cell r="B117">
            <v>40654</v>
          </cell>
          <cell r="C117">
            <v>9.5809999999999995</v>
          </cell>
          <cell r="D117">
            <v>5.5650000000000004</v>
          </cell>
        </row>
        <row r="118">
          <cell r="B118">
            <v>40653</v>
          </cell>
          <cell r="C118">
            <v>9.5820000000000007</v>
          </cell>
          <cell r="D118">
            <v>5.5830000000000002</v>
          </cell>
        </row>
        <row r="119">
          <cell r="B119">
            <v>40652</v>
          </cell>
          <cell r="C119">
            <v>9.6639999999999997</v>
          </cell>
          <cell r="D119">
            <v>5.8319999999999999</v>
          </cell>
        </row>
        <row r="120">
          <cell r="B120">
            <v>40651</v>
          </cell>
          <cell r="C120">
            <v>9.6379999999999999</v>
          </cell>
          <cell r="D120">
            <v>5.6160000000000005</v>
          </cell>
        </row>
        <row r="121">
          <cell r="B121">
            <v>40650</v>
          </cell>
          <cell r="C121">
            <v>9.6950000000000003</v>
          </cell>
          <cell r="D121">
            <v>5.4379999999999997</v>
          </cell>
        </row>
        <row r="122">
          <cell r="B122">
            <v>40649</v>
          </cell>
          <cell r="C122">
            <v>9.6950000000000003</v>
          </cell>
          <cell r="D122">
            <v>5.4379999999999997</v>
          </cell>
        </row>
        <row r="123">
          <cell r="B123">
            <v>40648</v>
          </cell>
          <cell r="C123">
            <v>9.6950000000000003</v>
          </cell>
          <cell r="D123">
            <v>5.4379999999999997</v>
          </cell>
        </row>
        <row r="124">
          <cell r="B124">
            <v>40647</v>
          </cell>
          <cell r="C124">
            <v>9.75</v>
          </cell>
          <cell r="D124">
            <v>5.4550000000000001</v>
          </cell>
        </row>
        <row r="125">
          <cell r="B125">
            <v>40646</v>
          </cell>
          <cell r="C125">
            <v>9.9689999999999994</v>
          </cell>
          <cell r="D125">
            <v>5.4720000000000004</v>
          </cell>
        </row>
        <row r="126">
          <cell r="B126">
            <v>40645</v>
          </cell>
          <cell r="C126">
            <v>10.025</v>
          </cell>
          <cell r="D126">
            <v>5.2649999999999997</v>
          </cell>
        </row>
        <row r="127">
          <cell r="B127">
            <v>40644</v>
          </cell>
          <cell r="C127">
            <v>10.136000000000001</v>
          </cell>
          <cell r="D127">
            <v>5.5060000000000002</v>
          </cell>
        </row>
        <row r="128">
          <cell r="B128">
            <v>40643</v>
          </cell>
          <cell r="C128">
            <v>12.620000000000001</v>
          </cell>
          <cell r="D128">
            <v>7.0940000000000003</v>
          </cell>
        </row>
        <row r="129">
          <cell r="B129">
            <v>40642</v>
          </cell>
          <cell r="C129">
            <v>12.620000000000001</v>
          </cell>
          <cell r="D129">
            <v>7.0940000000000003</v>
          </cell>
        </row>
        <row r="130">
          <cell r="B130">
            <v>40641</v>
          </cell>
          <cell r="C130">
            <v>12.620000000000001</v>
          </cell>
          <cell r="D130">
            <v>7.0940000000000003</v>
          </cell>
        </row>
        <row r="131">
          <cell r="B131">
            <v>40640</v>
          </cell>
          <cell r="C131">
            <v>12.620000000000001</v>
          </cell>
          <cell r="D131">
            <v>7.0970000000000004</v>
          </cell>
        </row>
        <row r="132">
          <cell r="B132">
            <v>40639</v>
          </cell>
          <cell r="C132">
            <v>12.646000000000001</v>
          </cell>
          <cell r="D132">
            <v>7.101</v>
          </cell>
        </row>
        <row r="133">
          <cell r="B133">
            <v>40638</v>
          </cell>
          <cell r="C133">
            <v>12.832000000000001</v>
          </cell>
          <cell r="D133">
            <v>7.1040000000000001</v>
          </cell>
        </row>
        <row r="134">
          <cell r="B134">
            <v>40637</v>
          </cell>
          <cell r="C134">
            <v>12.858000000000001</v>
          </cell>
          <cell r="D134">
            <v>7.1909999999999998</v>
          </cell>
        </row>
        <row r="135">
          <cell r="B135">
            <v>40636</v>
          </cell>
          <cell r="C135">
            <v>13.073</v>
          </cell>
          <cell r="D135">
            <v>7.7030000000000003</v>
          </cell>
        </row>
        <row r="136">
          <cell r="B136">
            <v>40635</v>
          </cell>
          <cell r="C136">
            <v>13.073</v>
          </cell>
          <cell r="D136">
            <v>7.7030000000000003</v>
          </cell>
        </row>
        <row r="137">
          <cell r="B137">
            <v>40634</v>
          </cell>
          <cell r="C137">
            <v>13.073</v>
          </cell>
          <cell r="D137">
            <v>7.7030000000000003</v>
          </cell>
        </row>
        <row r="138">
          <cell r="B138">
            <v>40633</v>
          </cell>
          <cell r="C138">
            <v>13.073</v>
          </cell>
          <cell r="D138">
            <v>7.7050000000000001</v>
          </cell>
        </row>
        <row r="139">
          <cell r="B139">
            <v>40632</v>
          </cell>
          <cell r="C139">
            <v>13.182</v>
          </cell>
          <cell r="D139">
            <v>7.8730000000000002</v>
          </cell>
        </row>
        <row r="140">
          <cell r="B140">
            <v>40631</v>
          </cell>
          <cell r="C140">
            <v>13.236000000000001</v>
          </cell>
          <cell r="D140">
            <v>7.6240000000000006</v>
          </cell>
        </row>
        <row r="141">
          <cell r="B141">
            <v>40630</v>
          </cell>
          <cell r="C141">
            <v>13.208</v>
          </cell>
          <cell r="D141">
            <v>7.6260000000000003</v>
          </cell>
        </row>
        <row r="142">
          <cell r="B142">
            <v>40629</v>
          </cell>
          <cell r="C142">
            <v>13.234999999999999</v>
          </cell>
          <cell r="D142">
            <v>7.7160000000000002</v>
          </cell>
        </row>
        <row r="143">
          <cell r="B143">
            <v>40628</v>
          </cell>
          <cell r="C143">
            <v>13.234999999999999</v>
          </cell>
          <cell r="D143">
            <v>7.7160000000000002</v>
          </cell>
        </row>
        <row r="144">
          <cell r="B144">
            <v>40627</v>
          </cell>
          <cell r="C144">
            <v>13.234999999999999</v>
          </cell>
          <cell r="D144">
            <v>7.7160000000000002</v>
          </cell>
        </row>
        <row r="145">
          <cell r="B145">
            <v>40626</v>
          </cell>
          <cell r="C145">
            <v>13.234999999999999</v>
          </cell>
          <cell r="D145">
            <v>7.7190000000000003</v>
          </cell>
        </row>
        <row r="146">
          <cell r="B146">
            <v>40625</v>
          </cell>
          <cell r="C146">
            <v>13.234</v>
          </cell>
          <cell r="D146">
            <v>7.8040000000000003</v>
          </cell>
        </row>
        <row r="147">
          <cell r="B147">
            <v>40624</v>
          </cell>
          <cell r="C147">
            <v>13.18</v>
          </cell>
          <cell r="D147">
            <v>7.7229999999999999</v>
          </cell>
        </row>
        <row r="148">
          <cell r="B148">
            <v>40623</v>
          </cell>
          <cell r="C148">
            <v>13.125</v>
          </cell>
          <cell r="D148">
            <v>7.7250000000000005</v>
          </cell>
        </row>
        <row r="149">
          <cell r="B149">
            <v>40622</v>
          </cell>
          <cell r="C149">
            <v>13.233000000000001</v>
          </cell>
          <cell r="D149">
            <v>7.5680000000000005</v>
          </cell>
        </row>
        <row r="150">
          <cell r="B150">
            <v>40621</v>
          </cell>
          <cell r="C150">
            <v>13.233000000000001</v>
          </cell>
          <cell r="D150">
            <v>7.5680000000000005</v>
          </cell>
        </row>
        <row r="151">
          <cell r="B151">
            <v>40620</v>
          </cell>
          <cell r="C151">
            <v>13.233000000000001</v>
          </cell>
          <cell r="D151">
            <v>7.5680000000000005</v>
          </cell>
        </row>
        <row r="152">
          <cell r="B152">
            <v>40619</v>
          </cell>
          <cell r="C152">
            <v>13.233000000000001</v>
          </cell>
          <cell r="D152">
            <v>7.8170000000000002</v>
          </cell>
        </row>
        <row r="153">
          <cell r="B153">
            <v>40618</v>
          </cell>
          <cell r="C153">
            <v>13.124000000000001</v>
          </cell>
          <cell r="D153">
            <v>7.9009999999999998</v>
          </cell>
        </row>
        <row r="154">
          <cell r="B154">
            <v>40617</v>
          </cell>
          <cell r="C154">
            <v>13.016</v>
          </cell>
          <cell r="D154">
            <v>7.9030000000000005</v>
          </cell>
        </row>
        <row r="155">
          <cell r="B155">
            <v>40616</v>
          </cell>
          <cell r="C155">
            <v>12.856</v>
          </cell>
          <cell r="D155">
            <v>7.415</v>
          </cell>
        </row>
        <row r="156">
          <cell r="B156">
            <v>40615</v>
          </cell>
          <cell r="C156">
            <v>12.802</v>
          </cell>
          <cell r="D156">
            <v>7.2610000000000001</v>
          </cell>
        </row>
        <row r="157">
          <cell r="B157">
            <v>40614</v>
          </cell>
          <cell r="C157">
            <v>12.802</v>
          </cell>
          <cell r="D157">
            <v>7.2610000000000001</v>
          </cell>
        </row>
        <row r="158">
          <cell r="B158">
            <v>40613</v>
          </cell>
          <cell r="C158">
            <v>12.802</v>
          </cell>
          <cell r="D158">
            <v>7.2610000000000001</v>
          </cell>
        </row>
        <row r="159">
          <cell r="B159">
            <v>40612</v>
          </cell>
          <cell r="C159">
            <v>12.488</v>
          </cell>
          <cell r="D159">
            <v>6.8630000000000004</v>
          </cell>
        </row>
        <row r="160">
          <cell r="B160">
            <v>40611</v>
          </cell>
          <cell r="C160">
            <v>12.411</v>
          </cell>
          <cell r="D160">
            <v>6.5490000000000004</v>
          </cell>
        </row>
        <row r="161">
          <cell r="B161">
            <v>40610</v>
          </cell>
          <cell r="C161">
            <v>12.359</v>
          </cell>
          <cell r="D161">
            <v>5.7889999999999997</v>
          </cell>
        </row>
        <row r="162">
          <cell r="B162">
            <v>40609</v>
          </cell>
          <cell r="C162">
            <v>12.333</v>
          </cell>
          <cell r="D162">
            <v>5.9930000000000003</v>
          </cell>
        </row>
        <row r="163">
          <cell r="B163">
            <v>40608</v>
          </cell>
          <cell r="C163">
            <v>12.282</v>
          </cell>
          <cell r="D163">
            <v>6.4080000000000004</v>
          </cell>
        </row>
        <row r="164">
          <cell r="B164">
            <v>40607</v>
          </cell>
          <cell r="C164">
            <v>12.282</v>
          </cell>
          <cell r="D164">
            <v>6.4080000000000004</v>
          </cell>
        </row>
        <row r="165">
          <cell r="B165">
            <v>40606</v>
          </cell>
          <cell r="C165">
            <v>12.282</v>
          </cell>
          <cell r="D165">
            <v>6.4080000000000004</v>
          </cell>
        </row>
        <row r="166">
          <cell r="B166">
            <v>40605</v>
          </cell>
          <cell r="C166">
            <v>12.231</v>
          </cell>
          <cell r="D166">
            <v>6.4190000000000005</v>
          </cell>
        </row>
        <row r="167">
          <cell r="B167">
            <v>40604</v>
          </cell>
          <cell r="C167">
            <v>12.282</v>
          </cell>
          <cell r="D167">
            <v>6.2410000000000005</v>
          </cell>
        </row>
        <row r="168">
          <cell r="B168">
            <v>40603</v>
          </cell>
          <cell r="C168">
            <v>12.155000000000001</v>
          </cell>
          <cell r="D168">
            <v>6.4390000000000001</v>
          </cell>
        </row>
        <row r="169">
          <cell r="B169">
            <v>40602</v>
          </cell>
          <cell r="C169">
            <v>12.231</v>
          </cell>
          <cell r="D169">
            <v>7.1360000000000001</v>
          </cell>
        </row>
        <row r="170">
          <cell r="B170">
            <v>40601</v>
          </cell>
          <cell r="C170">
            <v>12.105</v>
          </cell>
          <cell r="D170">
            <v>7.0730000000000004</v>
          </cell>
        </row>
        <row r="171">
          <cell r="B171">
            <v>40600</v>
          </cell>
          <cell r="C171">
            <v>12.105</v>
          </cell>
          <cell r="D171">
            <v>7.0730000000000004</v>
          </cell>
        </row>
        <row r="172">
          <cell r="B172">
            <v>40599</v>
          </cell>
          <cell r="C172">
            <v>12.105</v>
          </cell>
          <cell r="D172">
            <v>7.0730000000000004</v>
          </cell>
        </row>
        <row r="173">
          <cell r="B173">
            <v>40598</v>
          </cell>
          <cell r="C173">
            <v>12.334</v>
          </cell>
          <cell r="D173">
            <v>7.2330000000000005</v>
          </cell>
        </row>
        <row r="174">
          <cell r="B174">
            <v>40597</v>
          </cell>
          <cell r="C174">
            <v>12.181000000000001</v>
          </cell>
          <cell r="D174">
            <v>7.3140000000000001</v>
          </cell>
        </row>
        <row r="175">
          <cell r="B175">
            <v>40596</v>
          </cell>
          <cell r="C175">
            <v>12.055</v>
          </cell>
          <cell r="D175">
            <v>7.0049999999999999</v>
          </cell>
        </row>
        <row r="176">
          <cell r="B176">
            <v>40595</v>
          </cell>
          <cell r="C176">
            <v>12.232000000000001</v>
          </cell>
          <cell r="D176">
            <v>6.8529999999999998</v>
          </cell>
        </row>
        <row r="177">
          <cell r="B177">
            <v>40594</v>
          </cell>
          <cell r="C177">
            <v>12.232000000000001</v>
          </cell>
          <cell r="D177">
            <v>6.8630000000000004</v>
          </cell>
        </row>
        <row r="178">
          <cell r="B178">
            <v>40593</v>
          </cell>
          <cell r="C178">
            <v>12.232000000000001</v>
          </cell>
          <cell r="D178">
            <v>6.8630000000000004</v>
          </cell>
        </row>
        <row r="179">
          <cell r="B179">
            <v>40592</v>
          </cell>
          <cell r="C179">
            <v>12.232000000000001</v>
          </cell>
          <cell r="D179">
            <v>6.8630000000000004</v>
          </cell>
        </row>
        <row r="180">
          <cell r="B180">
            <v>40591</v>
          </cell>
          <cell r="C180">
            <v>12.181000000000001</v>
          </cell>
          <cell r="D180">
            <v>7.1760000000000002</v>
          </cell>
        </row>
        <row r="181">
          <cell r="B181">
            <v>40590</v>
          </cell>
          <cell r="C181">
            <v>12.282999999999999</v>
          </cell>
          <cell r="D181">
            <v>7.2560000000000002</v>
          </cell>
        </row>
        <row r="182">
          <cell r="B182">
            <v>40589</v>
          </cell>
          <cell r="C182">
            <v>12.334</v>
          </cell>
          <cell r="D182">
            <v>7.3369999999999997</v>
          </cell>
        </row>
        <row r="183">
          <cell r="B183">
            <v>40588</v>
          </cell>
          <cell r="C183">
            <v>12.282999999999999</v>
          </cell>
          <cell r="D183">
            <v>7.65</v>
          </cell>
        </row>
        <row r="184">
          <cell r="B184">
            <v>40587</v>
          </cell>
          <cell r="C184">
            <v>12.282999999999999</v>
          </cell>
          <cell r="D184">
            <v>7.3479999999999999</v>
          </cell>
        </row>
        <row r="185">
          <cell r="B185">
            <v>40586</v>
          </cell>
          <cell r="C185">
            <v>12.282999999999999</v>
          </cell>
          <cell r="D185">
            <v>7.3479999999999999</v>
          </cell>
        </row>
        <row r="186">
          <cell r="B186">
            <v>40585</v>
          </cell>
          <cell r="C186">
            <v>12.282999999999999</v>
          </cell>
          <cell r="D186">
            <v>7.3479999999999999</v>
          </cell>
        </row>
        <row r="187">
          <cell r="B187">
            <v>40584</v>
          </cell>
          <cell r="C187">
            <v>12.282999999999999</v>
          </cell>
          <cell r="D187">
            <v>7.5049999999999999</v>
          </cell>
        </row>
        <row r="188">
          <cell r="B188">
            <v>40583</v>
          </cell>
          <cell r="C188">
            <v>12.081</v>
          </cell>
          <cell r="D188">
            <v>7.2</v>
          </cell>
        </row>
        <row r="189">
          <cell r="B189">
            <v>40582</v>
          </cell>
          <cell r="C189">
            <v>11.982000000000001</v>
          </cell>
          <cell r="D189">
            <v>7.3559999999999999</v>
          </cell>
        </row>
        <row r="190">
          <cell r="B190">
            <v>40581</v>
          </cell>
          <cell r="C190">
            <v>12.032</v>
          </cell>
          <cell r="D190">
            <v>7.8209999999999997</v>
          </cell>
        </row>
        <row r="191">
          <cell r="B191">
            <v>40580</v>
          </cell>
          <cell r="C191">
            <v>12.385</v>
          </cell>
          <cell r="D191">
            <v>8.0590000000000011</v>
          </cell>
        </row>
        <row r="192">
          <cell r="B192">
            <v>40579</v>
          </cell>
          <cell r="C192">
            <v>12.385</v>
          </cell>
          <cell r="D192">
            <v>8.0590000000000011</v>
          </cell>
        </row>
        <row r="193">
          <cell r="B193">
            <v>40578</v>
          </cell>
          <cell r="C193">
            <v>12.385</v>
          </cell>
          <cell r="D193">
            <v>8.0590000000000011</v>
          </cell>
        </row>
        <row r="194">
          <cell r="B194">
            <v>40577</v>
          </cell>
          <cell r="C194">
            <v>12.411</v>
          </cell>
          <cell r="D194">
            <v>8.293000000000001</v>
          </cell>
        </row>
        <row r="195">
          <cell r="B195">
            <v>40576</v>
          </cell>
          <cell r="C195">
            <v>12.411</v>
          </cell>
          <cell r="D195">
            <v>8.3719999999999999</v>
          </cell>
        </row>
        <row r="196">
          <cell r="B196">
            <v>40575</v>
          </cell>
          <cell r="C196">
            <v>12.436999999999999</v>
          </cell>
          <cell r="D196">
            <v>8.4499999999999993</v>
          </cell>
        </row>
        <row r="197">
          <cell r="B197">
            <v>40574</v>
          </cell>
          <cell r="C197">
            <v>12.488</v>
          </cell>
          <cell r="D197">
            <v>8.452</v>
          </cell>
        </row>
        <row r="198">
          <cell r="B198">
            <v>40573</v>
          </cell>
          <cell r="C198" t="e">
            <v>#N/A</v>
          </cell>
          <cell r="D198">
            <v>8.4540000000000006</v>
          </cell>
        </row>
        <row r="199">
          <cell r="B199">
            <v>40572</v>
          </cell>
          <cell r="C199" t="e">
            <v>#N/A</v>
          </cell>
          <cell r="D199">
            <v>8.4540000000000006</v>
          </cell>
        </row>
        <row r="200">
          <cell r="B200">
            <v>40571</v>
          </cell>
          <cell r="C200" t="e">
            <v>#N/A</v>
          </cell>
          <cell r="D200">
            <v>8.4540000000000006</v>
          </cell>
        </row>
        <row r="201">
          <cell r="B201">
            <v>40570</v>
          </cell>
          <cell r="C201" t="e">
            <v>#N/A</v>
          </cell>
          <cell r="D201">
            <v>8.61</v>
          </cell>
        </row>
        <row r="202">
          <cell r="B202">
            <v>40569</v>
          </cell>
          <cell r="C202" t="e">
            <v>#N/A</v>
          </cell>
          <cell r="D202">
            <v>8.6110000000000007</v>
          </cell>
        </row>
        <row r="203">
          <cell r="B203">
            <v>40568</v>
          </cell>
          <cell r="C203" t="e">
            <v>#N/A</v>
          </cell>
          <cell r="D203">
            <v>8.766</v>
          </cell>
        </row>
        <row r="204">
          <cell r="B204">
            <v>40567</v>
          </cell>
          <cell r="C204" t="e">
            <v>#N/A</v>
          </cell>
          <cell r="D204">
            <v>8.7669999999999995</v>
          </cell>
        </row>
        <row r="205">
          <cell r="B205">
            <v>40566</v>
          </cell>
          <cell r="C205" t="e">
            <v>#N/A</v>
          </cell>
          <cell r="D205">
            <v>9.1560000000000006</v>
          </cell>
        </row>
        <row r="206">
          <cell r="B206">
            <v>40565</v>
          </cell>
          <cell r="C206" t="e">
            <v>#N/A</v>
          </cell>
          <cell r="D206">
            <v>9.1560000000000006</v>
          </cell>
        </row>
        <row r="207">
          <cell r="B207">
            <v>40564</v>
          </cell>
          <cell r="C207" t="e">
            <v>#N/A</v>
          </cell>
          <cell r="D207">
            <v>9.1560000000000006</v>
          </cell>
        </row>
        <row r="208">
          <cell r="B208">
            <v>40563</v>
          </cell>
          <cell r="C208" t="e">
            <v>#N/A</v>
          </cell>
          <cell r="D208">
            <v>9.1560000000000006</v>
          </cell>
        </row>
        <row r="209">
          <cell r="B209">
            <v>40562</v>
          </cell>
          <cell r="C209" t="e">
            <v>#N/A</v>
          </cell>
          <cell r="D209">
            <v>9.0790000000000006</v>
          </cell>
        </row>
        <row r="210">
          <cell r="B210">
            <v>40561</v>
          </cell>
          <cell r="C210" t="e">
            <v>#N/A</v>
          </cell>
          <cell r="D210">
            <v>9.0790000000000006</v>
          </cell>
        </row>
        <row r="211">
          <cell r="B211">
            <v>40560</v>
          </cell>
          <cell r="C211" t="e">
            <v>#N/A</v>
          </cell>
          <cell r="D211">
            <v>9.08</v>
          </cell>
        </row>
        <row r="212">
          <cell r="B212">
            <v>40559</v>
          </cell>
          <cell r="C212" t="e">
            <v>#N/A</v>
          </cell>
          <cell r="D212">
            <v>9.0809999999999995</v>
          </cell>
        </row>
        <row r="213">
          <cell r="B213">
            <v>40558</v>
          </cell>
          <cell r="C213" t="e">
            <v>#N/A</v>
          </cell>
          <cell r="D213">
            <v>9.0809999999999995</v>
          </cell>
        </row>
        <row r="214">
          <cell r="B214">
            <v>40557</v>
          </cell>
          <cell r="C214" t="e">
            <v>#N/A</v>
          </cell>
          <cell r="D214">
            <v>9.0809999999999995</v>
          </cell>
        </row>
        <row r="215">
          <cell r="B215">
            <v>40556</v>
          </cell>
          <cell r="C215" t="e">
            <v>#N/A</v>
          </cell>
          <cell r="D215">
            <v>8.8510000000000009</v>
          </cell>
        </row>
        <row r="216">
          <cell r="B216">
            <v>40555</v>
          </cell>
          <cell r="C216" t="e">
            <v>#N/A</v>
          </cell>
          <cell r="D216">
            <v>8.6240000000000006</v>
          </cell>
        </row>
        <row r="217">
          <cell r="B217">
            <v>40554</v>
          </cell>
          <cell r="C217" t="e">
            <v>#N/A</v>
          </cell>
          <cell r="D217">
            <v>8.9290000000000003</v>
          </cell>
        </row>
        <row r="218">
          <cell r="B218">
            <v>40553</v>
          </cell>
          <cell r="C218" t="e">
            <v>#N/A</v>
          </cell>
          <cell r="D218">
            <v>9.322000000000001</v>
          </cell>
        </row>
        <row r="219">
          <cell r="B219">
            <v>40552</v>
          </cell>
          <cell r="C219" t="e">
            <v>#N/A</v>
          </cell>
          <cell r="D219">
            <v>9.322000000000001</v>
          </cell>
        </row>
        <row r="220">
          <cell r="B220">
            <v>40551</v>
          </cell>
          <cell r="C220" t="e">
            <v>#N/A</v>
          </cell>
          <cell r="D220">
            <v>9.322000000000001</v>
          </cell>
        </row>
        <row r="221">
          <cell r="B221">
            <v>40550</v>
          </cell>
          <cell r="C221" t="e">
            <v>#N/A</v>
          </cell>
          <cell r="D221">
            <v>9.322000000000001</v>
          </cell>
        </row>
        <row r="222">
          <cell r="B222">
            <v>40549</v>
          </cell>
          <cell r="C222" t="e">
            <v>#N/A</v>
          </cell>
          <cell r="D222">
            <v>9.2349999999999994</v>
          </cell>
        </row>
        <row r="223">
          <cell r="B223">
            <v>40548</v>
          </cell>
          <cell r="C223" t="e">
            <v>#N/A</v>
          </cell>
          <cell r="D223">
            <v>9.2349999999999994</v>
          </cell>
        </row>
        <row r="224">
          <cell r="B224">
            <v>40547</v>
          </cell>
          <cell r="C224" t="e">
            <v>#N/A</v>
          </cell>
          <cell r="D224">
            <v>9.2349999999999994</v>
          </cell>
        </row>
        <row r="225">
          <cell r="B225">
            <v>40546</v>
          </cell>
          <cell r="C225" t="e">
            <v>#N/A</v>
          </cell>
          <cell r="D225">
            <v>9.4009999999999998</v>
          </cell>
        </row>
        <row r="226">
          <cell r="B226">
            <v>40545</v>
          </cell>
          <cell r="C226" t="e">
            <v>#N/A</v>
          </cell>
          <cell r="D226">
            <v>9.48</v>
          </cell>
        </row>
        <row r="227">
          <cell r="B227">
            <v>40544</v>
          </cell>
          <cell r="C227" t="e">
            <v>#N/A</v>
          </cell>
          <cell r="D227">
            <v>9.48</v>
          </cell>
        </row>
      </sheetData>
      <sheetData sheetId="6">
        <row r="2">
          <cell r="D2">
            <v>2012</v>
          </cell>
        </row>
      </sheetData>
      <sheetData sheetId="7">
        <row r="2">
          <cell r="B2" t="str">
            <v>Regulatory / Other Required Approvals</v>
          </cell>
        </row>
        <row r="3">
          <cell r="B3" t="str">
            <v>Approval Entity</v>
          </cell>
          <cell r="D3" t="str">
            <v>Purpose / Reason</v>
          </cell>
          <cell r="F3" t="str">
            <v>Status</v>
          </cell>
        </row>
        <row r="4">
          <cell r="B4" t="str">
            <v>Department of Justice (DOJ) / Federal Trade Commission (FTC)</v>
          </cell>
          <cell r="C4" t="str">
            <v xml:space="preserve">•
</v>
          </cell>
          <cell r="D4" t="str">
            <v xml:space="preserve">US antitrust clearance.  In regards to Hart-Scott-Rodino Antitrust Improvements Act of 1976 </v>
          </cell>
          <cell r="E4" t="str">
            <v xml:space="preserve">•
</v>
          </cell>
          <cell r="F4" t="str">
            <v>7/12/11: LVLT receives DOJ request for additional information</v>
          </cell>
        </row>
        <row r="5">
          <cell r="B5" t="str">
            <v>Federal Communications Commission (FCC)</v>
          </cell>
          <cell r="C5" t="str">
            <v xml:space="preserve">•
•
</v>
          </cell>
          <cell r="D5" t="str">
            <v>GLBC seeks approval for the change of control (Sections 214 and 310(d) of the Communications Act of 1934, Cable Landing License Act of 1921)
LVLT petitioning section 310(b)(4) of the Communications Act</v>
          </cell>
          <cell r="E5" t="str">
            <v xml:space="preserve">•
•
•
</v>
          </cell>
          <cell r="F5" t="str">
            <v>6/9/11: FCC review clock began
7/26/11: GLBC files a response to a request for information
7/28/11: LVLT files updated information for the record</v>
          </cell>
        </row>
        <row r="6">
          <cell r="B6" t="str">
            <v>Committee on Foreign Investment (CFIUS)</v>
          </cell>
          <cell r="C6" t="str">
            <v xml:space="preserve">•
•
•
•
</v>
          </cell>
          <cell r="D6" t="str">
            <v>Regarding Section 721 of the Defense Production Act
GLBC's top shareholder, STT Communications Ltd, is a foreign entity based in Singapore. 
STT will become a significant shareholder in LVLT.
CFIUS needs to approval any changes of ownership of a US company to a foreign entity.</v>
          </cell>
          <cell r="E6" t="str">
            <v>•</v>
          </cell>
          <cell r="F6" t="str">
            <v>GLBC and LVLT filed a joint filing</v>
          </cell>
        </row>
        <row r="7">
          <cell r="B7" t="str">
            <v>Foreign regulatory authorities</v>
          </cell>
          <cell r="C7" t="str">
            <v xml:space="preserve">•
</v>
          </cell>
          <cell r="D7" t="str">
            <v>Approval for change of ownership by various foreign regulatory authorities of businesses that are controlled by GLBC and LVLT abroad</v>
          </cell>
          <cell r="F7" t="str">
            <v>ü</v>
          </cell>
        </row>
        <row r="8">
          <cell r="B8" t="str">
            <v>State regulatory authorities</v>
          </cell>
          <cell r="C8" t="str">
            <v xml:space="preserve">•
</v>
          </cell>
          <cell r="D8" t="str">
            <v>Approval for change of ownership by various state regulatory authorities</v>
          </cell>
          <cell r="F8" t="str">
            <v>ü</v>
          </cell>
        </row>
        <row r="9">
          <cell r="B9" t="str">
            <v>GLBC and LVLT Shareholder Approvals</v>
          </cell>
          <cell r="C9" t="str">
            <v>•</v>
          </cell>
          <cell r="D9" t="str">
            <v>Customary approvals for transactions</v>
          </cell>
          <cell r="F9" t="str">
            <v>ü</v>
          </cell>
        </row>
      </sheetData>
      <sheetData sheetId="8">
        <row r="4">
          <cell r="B4" t="str">
            <v>North America</v>
          </cell>
          <cell r="C4">
            <v>3570</v>
          </cell>
        </row>
        <row r="5">
          <cell r="B5" t="str">
            <v>Europe</v>
          </cell>
          <cell r="C5">
            <v>939</v>
          </cell>
        </row>
        <row r="6">
          <cell r="B6" t="str">
            <v>Latin America</v>
          </cell>
          <cell r="C6">
            <v>597</v>
          </cell>
        </row>
        <row r="8">
          <cell r="B8" t="str">
            <v>Enterprise</v>
          </cell>
          <cell r="C8">
            <v>2856</v>
          </cell>
        </row>
        <row r="9">
          <cell r="B9" t="str">
            <v>Wholesale</v>
          </cell>
          <cell r="C9">
            <v>2250</v>
          </cell>
        </row>
        <row r="13">
          <cell r="E13" t="str">
            <v>Diverse Geography</v>
          </cell>
          <cell r="H13" t="str">
            <v>Balanced Customer Base</v>
          </cell>
        </row>
      </sheetData>
      <sheetData sheetId="9">
        <row r="2">
          <cell r="A2" t="str">
            <v>Level 3 Communications, Inc.</v>
          </cell>
        </row>
        <row r="3">
          <cell r="A3" t="str">
            <v xml:space="preserve"> </v>
          </cell>
          <cell r="B3" t="str">
            <v xml:space="preserve"> </v>
          </cell>
          <cell r="C3" t="str">
            <v xml:space="preserve"> </v>
          </cell>
          <cell r="D3" t="str">
            <v xml:space="preserve"> </v>
          </cell>
          <cell r="E3" t="str">
            <v xml:space="preserve"> </v>
          </cell>
          <cell r="F3" t="str">
            <v xml:space="preserve"> </v>
          </cell>
          <cell r="G3" t="str">
            <v xml:space="preserve"> </v>
          </cell>
          <cell r="H3" t="str">
            <v xml:space="preserve"> </v>
          </cell>
          <cell r="I3" t="str">
            <v>Industry M&amp;A Reports</v>
          </cell>
          <cell r="J3" t="str">
            <v>Build M&amp;A Travelbook</v>
          </cell>
        </row>
        <row r="4">
          <cell r="A4" t="str">
            <v>Deal Activity Chart from August 11, 2010 to August 11, 2011</v>
          </cell>
        </row>
        <row r="16">
          <cell r="J16" t="str">
            <v>Source: FactSet Prices / FactSet Mergerstat</v>
          </cell>
        </row>
        <row r="17">
          <cell r="A17" t="str">
            <v>M&amp;A Summary</v>
          </cell>
          <cell r="H17" t="str">
            <v>Entity Structure</v>
          </cell>
          <cell r="I17" t="str">
            <v>link</v>
          </cell>
          <cell r="J17" t="str">
            <v>link</v>
          </cell>
        </row>
        <row r="18">
          <cell r="A18" t="str">
            <v>All monetary values in millions of U.S. Dollars</v>
          </cell>
          <cell r="H18" t="str">
            <v>Ultimate Parent: Level 3 Communications, Inc.</v>
          </cell>
        </row>
        <row r="19">
          <cell r="A19" t="str">
            <v>LTM Deals (1)</v>
          </cell>
          <cell r="B19" t="str">
            <v>1,411.9</v>
          </cell>
          <cell r="C19" t="str">
            <v>All Deals (59)</v>
          </cell>
          <cell r="D19" t="str">
            <v>8,544.6</v>
          </cell>
          <cell r="E19" t="str">
            <v xml:space="preserve"> </v>
          </cell>
          <cell r="F19" t="str">
            <v xml:space="preserve"> </v>
          </cell>
          <cell r="H19" t="str">
            <v>Broadwing Financial Services, Inc. (Subsidiary)</v>
          </cell>
        </row>
        <row r="20">
          <cell r="A20" t="str">
            <v>As Buyer / Seller</v>
          </cell>
          <cell r="B20" t="str">
            <v>1 / 0</v>
          </cell>
          <cell r="C20" t="str">
            <v>As Buyer / Seller</v>
          </cell>
          <cell r="D20" t="str">
            <v>42 / 17</v>
          </cell>
          <cell r="H20" t="str">
            <v>BusinessNet Ltd (Subsidiary)</v>
          </cell>
        </row>
        <row r="21">
          <cell r="A21" t="str">
            <v>Avg Size</v>
          </cell>
          <cell r="B21" t="str">
            <v>1,411.9</v>
          </cell>
          <cell r="C21" t="str">
            <v>Avg Size</v>
          </cell>
          <cell r="D21" t="str">
            <v>284.8</v>
          </cell>
          <cell r="H21" t="str">
            <v>CorpSoft, Inc. (Subsidiary)</v>
          </cell>
        </row>
        <row r="22">
          <cell r="A22" t="str">
            <v>Max / Min Size</v>
          </cell>
          <cell r="B22" t="str">
            <v>1,411.9 / 1,411.9</v>
          </cell>
          <cell r="C22" t="str">
            <v>Max / Min Size</v>
          </cell>
          <cell r="D22" t="str">
            <v>1,812.8 / 7.0</v>
          </cell>
          <cell r="H22" t="str">
            <v>Friede Goldman Newfoundland, Inc. (Subsidiary)</v>
          </cell>
        </row>
        <row r="23">
          <cell r="A23" t="str">
            <v>Full Mergerstat</v>
          </cell>
          <cell r="D23" t="str">
            <v>Source: FactSet Mergerstat</v>
          </cell>
          <cell r="H23" t="str">
            <v>GeoNet Communications, Inc. (Subsidiary)</v>
          </cell>
        </row>
        <row r="24">
          <cell r="H24" t="str">
            <v>Full Entity Structure</v>
          </cell>
        </row>
        <row r="27">
          <cell r="B27" t="str">
            <v>Latest M&amp;A Deals as Buyer (10 of 42)</v>
          </cell>
        </row>
        <row r="28">
          <cell r="B28" t="str">
            <v>All monetary values in millions of U.S. Dollars</v>
          </cell>
        </row>
        <row r="29">
          <cell r="B29" t="str">
            <v>LVLT HISTORICAL TRANSACTIONS (&gt;$1B)</v>
          </cell>
        </row>
        <row r="30">
          <cell r="B30" t="str">
            <v>Announce Date</v>
          </cell>
          <cell r="C30" t="str">
            <v>Close Date</v>
          </cell>
          <cell r="D30" t="str">
            <v>Target</v>
          </cell>
          <cell r="E30" t="str">
            <v>Deal Value</v>
          </cell>
          <cell r="F30" t="str">
            <v>EV/Sales</v>
          </cell>
          <cell r="G30" t="str">
            <v>EV/EBITDA</v>
          </cell>
        </row>
        <row r="31">
          <cell r="B31">
            <v>40644</v>
          </cell>
          <cell r="C31" t="str">
            <v>Pending</v>
          </cell>
          <cell r="D31" t="str">
            <v>Global Crossing Ltd.</v>
          </cell>
          <cell r="E31">
            <v>1411.9</v>
          </cell>
          <cell r="F31" t="str">
            <v>1.0x</v>
          </cell>
          <cell r="G31" t="str">
            <v>6.1x</v>
          </cell>
        </row>
        <row r="32">
          <cell r="B32">
            <v>39007</v>
          </cell>
          <cell r="C32">
            <v>39085</v>
          </cell>
          <cell r="D32" t="str">
            <v>Broadwing Corp.</v>
          </cell>
          <cell r="E32">
            <v>1377.6</v>
          </cell>
          <cell r="F32" t="str">
            <v>1.6x</v>
          </cell>
          <cell r="G32" t="str">
            <v>-36.9x</v>
          </cell>
        </row>
        <row r="33">
          <cell r="B33">
            <v>38838</v>
          </cell>
          <cell r="C33">
            <v>38922</v>
          </cell>
          <cell r="D33" t="str">
            <v>Telcove, Inc.</v>
          </cell>
          <cell r="E33">
            <v>1082</v>
          </cell>
        </row>
        <row r="34">
          <cell r="K34" t="str">
            <v>Source: FactSet Mergerstat</v>
          </cell>
        </row>
        <row r="37">
          <cell r="B37" t="str">
            <v>Latest M&amp;A Deals as Seller (10 of 17)</v>
          </cell>
        </row>
        <row r="38">
          <cell r="B38" t="str">
            <v>All monetary values in millions of U.S. Dollars</v>
          </cell>
        </row>
        <row r="39">
          <cell r="B39" t="str">
            <v>Announce</v>
          </cell>
          <cell r="C39" t="str">
            <v>Close</v>
          </cell>
          <cell r="E39" t="str">
            <v>Deal</v>
          </cell>
          <cell r="F39" t="str">
            <v>EV/</v>
          </cell>
          <cell r="G39" t="str">
            <v>EV/</v>
          </cell>
          <cell r="H39" t="str">
            <v>Deal</v>
          </cell>
          <cell r="I39" t="str">
            <v>Detail</v>
          </cell>
          <cell r="J39" t="str">
            <v>Source</v>
          </cell>
        </row>
        <row r="40">
          <cell r="B40" t="str">
            <v>Date</v>
          </cell>
          <cell r="C40" t="str">
            <v>Date</v>
          </cell>
          <cell r="D40" t="str">
            <v>Buyer</v>
          </cell>
          <cell r="E40" t="str">
            <v>Value</v>
          </cell>
          <cell r="F40" t="str">
            <v>Sales</v>
          </cell>
          <cell r="G40" t="str">
            <v>EBITDA</v>
          </cell>
          <cell r="H40" t="str">
            <v>Type</v>
          </cell>
          <cell r="I40" t="str">
            <v>Link</v>
          </cell>
          <cell r="J40" t="str">
            <v>Link</v>
          </cell>
        </row>
        <row r="41">
          <cell r="B41" t="str">
            <v>19-Dec-07</v>
          </cell>
          <cell r="C41" t="str">
            <v>05-Jun-08</v>
          </cell>
          <cell r="D41" t="str">
            <v>DG FastChannel, Inc.</v>
          </cell>
          <cell r="E41" t="str">
            <v>135.4</v>
          </cell>
          <cell r="F41" t="str">
            <v>--</v>
          </cell>
          <cell r="G41" t="str">
            <v>--</v>
          </cell>
          <cell r="H41" t="str">
            <v>Acq/Merger</v>
          </cell>
          <cell r="I41" t="str">
            <v>link</v>
          </cell>
          <cell r="J41" t="str">
            <v>link</v>
          </cell>
        </row>
        <row r="42">
          <cell r="D42" t="str">
            <v xml:space="preserve">Advisor(s): ThinkEquity Partners (B - Financial), Willkie Farr &amp; Gallagher LLP </v>
          </cell>
        </row>
        <row r="43">
          <cell r="D43" t="str">
            <v>(S - Legal), Latham &amp; Watkins LLP (B - Legal)</v>
          </cell>
        </row>
        <row r="44">
          <cell r="B44" t="str">
            <v>09-Jan-07</v>
          </cell>
          <cell r="C44" t="str">
            <v>09-Jan-07</v>
          </cell>
          <cell r="D44" t="str">
            <v>Revenue Management Solutions LLC</v>
          </cell>
          <cell r="E44" t="str">
            <v>--</v>
          </cell>
          <cell r="F44" t="str">
            <v>--</v>
          </cell>
          <cell r="G44" t="str">
            <v>--</v>
          </cell>
          <cell r="H44" t="str">
            <v>Acq/Merger</v>
          </cell>
          <cell r="I44" t="str">
            <v>link</v>
          </cell>
          <cell r="J44" t="str">
            <v>link</v>
          </cell>
        </row>
        <row r="45">
          <cell r="D45" t="str">
            <v>Advisor(s): Not Disclosed</v>
          </cell>
        </row>
        <row r="46">
          <cell r="B46" t="str">
            <v>20-Jul-06</v>
          </cell>
          <cell r="C46" t="str">
            <v>07-Sep-06</v>
          </cell>
          <cell r="D46" t="str">
            <v>Insight Enterprises, Inc.</v>
          </cell>
          <cell r="E46" t="str">
            <v>287.0</v>
          </cell>
          <cell r="F46" t="str">
            <v>--</v>
          </cell>
          <cell r="G46" t="str">
            <v>--</v>
          </cell>
          <cell r="H46" t="str">
            <v>Acq/Merger</v>
          </cell>
          <cell r="I46" t="str">
            <v>link</v>
          </cell>
          <cell r="J46" t="str">
            <v>link</v>
          </cell>
        </row>
        <row r="47">
          <cell r="D47" t="str">
            <v xml:space="preserve">Advisor(s): Merrill Lynch &amp; Co., Inc. (S - Financial), Raymond James &amp; </v>
          </cell>
        </row>
        <row r="48">
          <cell r="D48" t="str">
            <v xml:space="preserve">Associates (B - Financial), Willkie Farr &amp; Gallagher LLP (S - Legal), Skadden, </v>
          </cell>
        </row>
        <row r="49">
          <cell r="D49" t="str">
            <v>Arps, Slate, Meagher &amp; Flom LLP (B - Legal)</v>
          </cell>
        </row>
        <row r="50">
          <cell r="B50" t="str">
            <v>25-Oct-05</v>
          </cell>
          <cell r="C50" t="str">
            <v>01-Dec-05</v>
          </cell>
          <cell r="D50" t="str">
            <v>Infocrossing, Inc.</v>
          </cell>
          <cell r="E50" t="str">
            <v>81.5</v>
          </cell>
          <cell r="F50" t="str">
            <v>1.2x</v>
          </cell>
          <cell r="G50" t="str">
            <v>9.1x</v>
          </cell>
          <cell r="H50" t="str">
            <v>Acq/Merger</v>
          </cell>
          <cell r="I50" t="str">
            <v>link</v>
          </cell>
          <cell r="J50" t="str">
            <v>link</v>
          </cell>
        </row>
        <row r="51">
          <cell r="D51" t="str">
            <v xml:space="preserve">Advisor(s): Merrill Lynch &amp; Co., Inc. (S - Financial), Evercore Partners LLC (B </v>
          </cell>
        </row>
        <row r="52">
          <cell r="D52" t="str">
            <v xml:space="preserve">- Financial), Gibson, Dunn &amp; Crutcher LLP (B - Legal), Simpson Thacher &amp; </v>
          </cell>
        </row>
        <row r="53">
          <cell r="D53" t="str">
            <v>Bartlett LLP (B - Legal)</v>
          </cell>
        </row>
        <row r="54">
          <cell r="B54" t="str">
            <v>27-Jan-05</v>
          </cell>
          <cell r="C54" t="str">
            <v>27-Jan-05</v>
          </cell>
          <cell r="D54" t="str">
            <v>Tel West Network Services Corp.</v>
          </cell>
          <cell r="E54" t="str">
            <v>--</v>
          </cell>
          <cell r="F54" t="str">
            <v>--</v>
          </cell>
          <cell r="G54" t="str">
            <v>--</v>
          </cell>
          <cell r="H54" t="str">
            <v>Acq/Merger</v>
          </cell>
          <cell r="I54" t="str">
            <v>link</v>
          </cell>
          <cell r="J54" t="str">
            <v>--</v>
          </cell>
        </row>
        <row r="55">
          <cell r="D55" t="str">
            <v>Advisor(s): Daniels &amp; Associates (S - Financial)</v>
          </cell>
        </row>
        <row r="56">
          <cell r="B56" t="str">
            <v>10-May-04</v>
          </cell>
          <cell r="C56" t="str">
            <v>10-May-04</v>
          </cell>
          <cell r="D56" t="str">
            <v>Fiberlink Communications Corp.</v>
          </cell>
          <cell r="E56" t="str">
            <v>--</v>
          </cell>
          <cell r="F56" t="str">
            <v>--</v>
          </cell>
          <cell r="G56" t="str">
            <v>--</v>
          </cell>
          <cell r="H56" t="str">
            <v>Acq/Merger</v>
          </cell>
          <cell r="I56" t="str">
            <v>link</v>
          </cell>
          <cell r="J56" t="str">
            <v>link</v>
          </cell>
        </row>
        <row r="57">
          <cell r="D57" t="str">
            <v>Advisor(s): Not Disclosed</v>
          </cell>
        </row>
        <row r="58">
          <cell r="B58" t="str">
            <v>27-Oct-03</v>
          </cell>
          <cell r="C58" t="str">
            <v>27-Oct-03</v>
          </cell>
          <cell r="D58" t="str">
            <v>H.I.G. Capital Management, Inc.</v>
          </cell>
          <cell r="E58" t="str">
            <v>--</v>
          </cell>
          <cell r="F58" t="str">
            <v>--</v>
          </cell>
          <cell r="G58" t="str">
            <v>--</v>
          </cell>
          <cell r="H58" t="str">
            <v>Acq/Merger</v>
          </cell>
          <cell r="I58" t="str">
            <v>link</v>
          </cell>
          <cell r="J58" t="str">
            <v>--</v>
          </cell>
        </row>
        <row r="59">
          <cell r="D59" t="str">
            <v>Advisor(s): Not Disclosed</v>
          </cell>
        </row>
        <row r="60">
          <cell r="B60" t="str">
            <v>19-Aug-03</v>
          </cell>
          <cell r="C60" t="str">
            <v>31-Dec-03</v>
          </cell>
          <cell r="D60" t="str">
            <v>CenturyTel, Inc.</v>
          </cell>
          <cell r="E60" t="str">
            <v>17.0</v>
          </cell>
          <cell r="F60" t="str">
            <v>--</v>
          </cell>
          <cell r="G60" t="str">
            <v>--</v>
          </cell>
          <cell r="H60" t="str">
            <v>Acq/Merger</v>
          </cell>
          <cell r="I60" t="str">
            <v>link</v>
          </cell>
          <cell r="J60" t="str">
            <v>--</v>
          </cell>
        </row>
        <row r="61">
          <cell r="D61" t="str">
            <v>Advisor(s): Daniels &amp; Associates (S - Financial)</v>
          </cell>
        </row>
        <row r="62">
          <cell r="B62" t="str">
            <v>18-Jun-03</v>
          </cell>
          <cell r="C62" t="str">
            <v>18-Jun-03</v>
          </cell>
          <cell r="D62" t="str">
            <v>H.I.G. Capital Management, Inc.</v>
          </cell>
          <cell r="E62" t="str">
            <v>--</v>
          </cell>
          <cell r="F62" t="str">
            <v>--</v>
          </cell>
          <cell r="G62" t="str">
            <v>--</v>
          </cell>
          <cell r="H62" t="str">
            <v>Acq/Merger</v>
          </cell>
          <cell r="I62" t="str">
            <v>link</v>
          </cell>
          <cell r="J62" t="str">
            <v>--</v>
          </cell>
        </row>
        <row r="63">
          <cell r="D63" t="str">
            <v xml:space="preserve">Advisor(s): Daniels &amp; Associates (S - Financial), Petsky Prunier LLC (B - </v>
          </cell>
        </row>
        <row r="64">
          <cell r="D64" t="str">
            <v>Financial)</v>
          </cell>
        </row>
        <row r="65">
          <cell r="B65" t="str">
            <v>04-Apr-03</v>
          </cell>
          <cell r="C65" t="str">
            <v>31-May-03</v>
          </cell>
          <cell r="D65" t="str">
            <v>Computer Sciences Corp.</v>
          </cell>
          <cell r="E65" t="str">
            <v>--</v>
          </cell>
          <cell r="F65" t="str">
            <v>--</v>
          </cell>
          <cell r="G65" t="str">
            <v>--</v>
          </cell>
          <cell r="H65" t="str">
            <v>Acq/Merger</v>
          </cell>
          <cell r="I65" t="str">
            <v>link</v>
          </cell>
          <cell r="J65" t="str">
            <v>--</v>
          </cell>
        </row>
        <row r="66">
          <cell r="D66" t="str">
            <v>Advisor(s): Not Disclosed</v>
          </cell>
        </row>
        <row r="67">
          <cell r="K67" t="str">
            <v>Source: FactSet Mergerstat</v>
          </cell>
        </row>
        <row r="68">
          <cell r="B68" t="str">
            <v>New Issues from 2000 to Present (2)</v>
          </cell>
        </row>
        <row r="69">
          <cell r="B69" t="str">
            <v>All monetary values in millions, except offer price</v>
          </cell>
        </row>
        <row r="70">
          <cell r="J70" t="str">
            <v>Gross</v>
          </cell>
        </row>
        <row r="71">
          <cell r="I71" t="str">
            <v>% of Over-</v>
          </cell>
          <cell r="J71" t="str">
            <v>Proceeds</v>
          </cell>
        </row>
        <row r="72">
          <cell r="C72" t="str">
            <v>Offer</v>
          </cell>
          <cell r="D72" t="str">
            <v>Offer</v>
          </cell>
          <cell r="F72" t="str">
            <v>Offer</v>
          </cell>
          <cell r="G72" t="str">
            <v>Offer</v>
          </cell>
          <cell r="H72" t="str">
            <v>Total</v>
          </cell>
          <cell r="I72" t="str">
            <v>Allotment</v>
          </cell>
          <cell r="J72" t="str">
            <v>Adj. Over-</v>
          </cell>
          <cell r="K72" t="str">
            <v>Detail</v>
          </cell>
          <cell r="L72" t="str">
            <v>Source</v>
          </cell>
        </row>
        <row r="73">
          <cell r="B73" t="str">
            <v>Closing Name (Ticker(s))</v>
          </cell>
          <cell r="C73" t="str">
            <v>Date</v>
          </cell>
          <cell r="D73" t="str">
            <v>Type</v>
          </cell>
          <cell r="E73" t="str">
            <v>Exchange</v>
          </cell>
          <cell r="F73" t="str">
            <v>Curr.</v>
          </cell>
          <cell r="G73" t="str">
            <v>Price</v>
          </cell>
          <cell r="H73" t="str">
            <v>Shs Offered</v>
          </cell>
          <cell r="I73" t="str">
            <v>Exercised</v>
          </cell>
          <cell r="J73" t="str">
            <v>Allotment</v>
          </cell>
          <cell r="K73" t="str">
            <v>Link</v>
          </cell>
          <cell r="L73" t="str">
            <v>Link</v>
          </cell>
        </row>
        <row r="74">
          <cell r="B74" t="str">
            <v>Level 3 Communications, Inc. (LVLT)</v>
          </cell>
          <cell r="C74">
            <v>38875</v>
          </cell>
          <cell r="D74" t="str">
            <v>Follow-On</v>
          </cell>
          <cell r="E74" t="str">
            <v>NASDAQ</v>
          </cell>
          <cell r="F74" t="str">
            <v>USD</v>
          </cell>
          <cell r="G74">
            <v>4.55</v>
          </cell>
          <cell r="H74">
            <v>125000000</v>
          </cell>
          <cell r="I74">
            <v>0</v>
          </cell>
          <cell r="J74">
            <v>568.75</v>
          </cell>
          <cell r="K74" t="str">
            <v>Link</v>
          </cell>
          <cell r="L74" t="str">
            <v>Link</v>
          </cell>
        </row>
        <row r="75">
          <cell r="B75" t="str">
            <v>Level 3 Communications, Inc. (LVLT)</v>
          </cell>
          <cell r="C75">
            <v>36579</v>
          </cell>
          <cell r="D75" t="str">
            <v>Follow-On</v>
          </cell>
          <cell r="E75" t="str">
            <v>NASDAQ</v>
          </cell>
          <cell r="F75" t="str">
            <v>USD</v>
          </cell>
          <cell r="G75">
            <v>107.88</v>
          </cell>
          <cell r="H75">
            <v>23000000</v>
          </cell>
          <cell r="I75">
            <v>100</v>
          </cell>
          <cell r="J75">
            <v>2481.125</v>
          </cell>
          <cell r="K75" t="str">
            <v>Link</v>
          </cell>
          <cell r="L75" t="str">
            <v>Link</v>
          </cell>
        </row>
        <row r="76">
          <cell r="M76" t="str">
            <v>Source: FactSet New Issues</v>
          </cell>
        </row>
        <row r="77">
          <cell r="B77" t="str">
            <v>Latest Private Placement Deals (5)</v>
          </cell>
          <cell r="K77" t="str">
            <v>link</v>
          </cell>
        </row>
        <row r="78">
          <cell r="B78" t="str">
            <v>All monetary values in millions of U.S. Dollars, except security sold and per share items</v>
          </cell>
        </row>
        <row r="79">
          <cell r="B79" t="str">
            <v>Closing Name/Ticker</v>
          </cell>
          <cell r="C79" t="str">
            <v>Closing Date</v>
          </cell>
          <cell r="D79" t="str">
            <v>Structure Type</v>
          </cell>
          <cell r="E79" t="str">
            <v>Legal Structure</v>
          </cell>
          <cell r="F79" t="str">
            <v>Gross Proceeds</v>
          </cell>
          <cell r="G79" t="str">
            <v>Number of Sec. Sold</v>
          </cell>
          <cell r="H79" t="str">
            <v>Purch Price per Share</v>
          </cell>
          <cell r="I79" t="str">
            <v>Detail Link</v>
          </cell>
          <cell r="J79" t="str">
            <v>Source Link</v>
          </cell>
        </row>
        <row r="80">
          <cell r="B80" t="str">
            <v>Level 3 Communications, Inc. (LVLT)</v>
          </cell>
          <cell r="C80">
            <v>40087</v>
          </cell>
          <cell r="D80" t="str">
            <v>Convertible - Fixed</v>
          </cell>
          <cell r="E80" t="str">
            <v>PIPE</v>
          </cell>
          <cell r="F80">
            <v>275</v>
          </cell>
          <cell r="G80">
            <v>275000</v>
          </cell>
          <cell r="H80">
            <v>1000</v>
          </cell>
          <cell r="I80" t="str">
            <v>link</v>
          </cell>
          <cell r="J80" t="str">
            <v>link</v>
          </cell>
        </row>
        <row r="81">
          <cell r="B81" t="str">
            <v>Level 3 Communications, Inc. (LVLT)</v>
          </cell>
          <cell r="C81">
            <v>39769</v>
          </cell>
          <cell r="D81" t="str">
            <v>Convertible - Fixed</v>
          </cell>
          <cell r="E81" t="str">
            <v>PIPE</v>
          </cell>
          <cell r="F81">
            <v>400</v>
          </cell>
          <cell r="G81">
            <v>400000</v>
          </cell>
          <cell r="H81">
            <v>1000</v>
          </cell>
          <cell r="I81" t="str">
            <v>link</v>
          </cell>
          <cell r="J81" t="str">
            <v>link</v>
          </cell>
        </row>
        <row r="82">
          <cell r="B82" t="str">
            <v>Level 3 Communications, Inc. (LVLT)</v>
          </cell>
          <cell r="C82">
            <v>38401</v>
          </cell>
          <cell r="D82" t="str">
            <v>Convertible - Fixed</v>
          </cell>
          <cell r="E82" t="str">
            <v>PIPE</v>
          </cell>
          <cell r="F82">
            <v>880</v>
          </cell>
          <cell r="G82">
            <v>880000</v>
          </cell>
          <cell r="H82">
            <v>1000</v>
          </cell>
          <cell r="I82" t="str">
            <v>link</v>
          </cell>
          <cell r="J82" t="str">
            <v>--</v>
          </cell>
        </row>
        <row r="83">
          <cell r="B83" t="str">
            <v>Level 3 Communications, Inc. (LVLT)</v>
          </cell>
          <cell r="C83">
            <v>38323</v>
          </cell>
          <cell r="D83" t="str">
            <v>Convertible - Fixed</v>
          </cell>
          <cell r="E83" t="str">
            <v>144-A</v>
          </cell>
          <cell r="F83">
            <v>345</v>
          </cell>
          <cell r="G83">
            <v>345000</v>
          </cell>
          <cell r="H83">
            <v>1000</v>
          </cell>
          <cell r="I83" t="str">
            <v>link</v>
          </cell>
          <cell r="J83" t="str">
            <v>--</v>
          </cell>
        </row>
        <row r="84">
          <cell r="B84" t="str">
            <v>Level 3 Communications, Inc. (LVLT)</v>
          </cell>
          <cell r="C84">
            <v>37445</v>
          </cell>
          <cell r="D84" t="str">
            <v>Convertible - Fixed</v>
          </cell>
          <cell r="E84" t="str">
            <v>PIPE</v>
          </cell>
          <cell r="F84">
            <v>500</v>
          </cell>
          <cell r="G84">
            <v>500000</v>
          </cell>
          <cell r="H84">
            <v>1000</v>
          </cell>
          <cell r="I84" t="str">
            <v>link</v>
          </cell>
          <cell r="J84" t="str">
            <v>--</v>
          </cell>
        </row>
        <row r="85">
          <cell r="K85" t="str">
            <v>Source: PlacementTracker</v>
          </cell>
        </row>
        <row r="86">
          <cell r="A86" t="str">
            <v>1. Deal Value does not include preferred stock or option value.</v>
          </cell>
        </row>
        <row r="87">
          <cell r="A87" t="str">
            <v>2. Financial Advisors are sourced from press releases, filings, offering documents and advisor surveys.</v>
          </cell>
        </row>
        <row r="88">
          <cell r="A88" t="str">
            <v>3. M&amp;A deals shown are for the specified company and companies within its corporate structure.</v>
          </cell>
        </row>
        <row r="89">
          <cell r="A89" t="str">
            <v>4. For more details on how Deal Value is calculated, please see Online Assistant page 13079.</v>
          </cell>
        </row>
      </sheetData>
      <sheetData sheetId="10">
        <row r="3">
          <cell r="B3" t="str">
            <v>LVLT - HISTORICAL M&amp;A TRANSACTIONS</v>
          </cell>
        </row>
        <row r="4">
          <cell r="B4" t="str">
            <v>Announced Date</v>
          </cell>
          <cell r="C4" t="str">
            <v>Closed Date</v>
          </cell>
          <cell r="D4" t="str">
            <v>Target</v>
          </cell>
          <cell r="E4" t="str">
            <v>Size ($M)</v>
          </cell>
        </row>
        <row r="5">
          <cell r="B5">
            <v>40644</v>
          </cell>
          <cell r="C5" t="str">
            <v>-</v>
          </cell>
          <cell r="D5" t="str">
            <v>Global Crossing Ltd. (NasdaqGS:GLBC)</v>
          </cell>
          <cell r="E5">
            <v>2900</v>
          </cell>
        </row>
        <row r="6">
          <cell r="B6">
            <v>39007</v>
          </cell>
          <cell r="C6">
            <v>39085</v>
          </cell>
          <cell r="D6" t="str">
            <v>Broadwing Corporation</v>
          </cell>
          <cell r="E6">
            <v>1390</v>
          </cell>
        </row>
        <row r="7">
          <cell r="B7">
            <v>38840</v>
          </cell>
          <cell r="C7">
            <v>38922</v>
          </cell>
          <cell r="D7" t="str">
            <v>TelCove, Inc.</v>
          </cell>
          <cell r="E7">
            <v>1082</v>
          </cell>
        </row>
        <row r="8">
          <cell r="B8">
            <v>38655</v>
          </cell>
          <cell r="C8">
            <v>38709</v>
          </cell>
          <cell r="D8" t="str">
            <v>WilTel Communications Group Inc.</v>
          </cell>
          <cell r="E8">
            <v>680.5</v>
          </cell>
        </row>
        <row r="9">
          <cell r="B9">
            <v>37587</v>
          </cell>
          <cell r="C9">
            <v>37656</v>
          </cell>
          <cell r="D9" t="str">
            <v>Genuity Inc., Substantially All Assets (1)</v>
          </cell>
          <cell r="E9">
            <v>242</v>
          </cell>
        </row>
        <row r="10">
          <cell r="B10" t="str">
            <v>(1) LVLT assumes many of Genuity's long-term operating agreements.</v>
          </cell>
        </row>
      </sheetData>
      <sheetData sheetId="11">
        <row r="4">
          <cell r="C4" t="str">
            <v>LVLT / GLBC TRANSACTION SUMMARY</v>
          </cell>
          <cell r="G4" t="str">
            <v>COMPANY OVERVIEWS</v>
          </cell>
        </row>
        <row r="5">
          <cell r="C5" t="str">
            <v>Consideration</v>
          </cell>
          <cell r="D5" t="str">
            <v>•</v>
          </cell>
          <cell r="E5" t="str">
            <v>100% stock</v>
          </cell>
          <cell r="G5" t="str">
            <v>Level 3 operates one of the largest Internet backbones in the world. Over its broadband fiber optic network, LVLT provides IP services, broadband transport and infrastructure services, colocation services, voice services and voice over IP services.</v>
          </cell>
        </row>
        <row r="6">
          <cell r="C6" t="str">
            <v>Exchange Ratio</v>
          </cell>
          <cell r="D6" t="str">
            <v xml:space="preserve">•
</v>
          </cell>
          <cell r="E6" t="str">
            <v>16 LVLT common shares for each GLBC common and preferred share</v>
          </cell>
        </row>
        <row r="7">
          <cell r="C7" t="str">
            <v>Transaction Value</v>
          </cell>
          <cell r="D7" t="str">
            <v>•</v>
          </cell>
          <cell r="E7" t="str">
            <v>$1.9B, plus GLBC net debt of $1.1B</v>
          </cell>
        </row>
        <row r="8">
          <cell r="C8" t="str">
            <v>Estimated Multiples</v>
          </cell>
          <cell r="D8" t="str">
            <v>•</v>
          </cell>
          <cell r="E8" t="str">
            <v>7.1x GLBC's 2010 Adjusted EBITDA</v>
          </cell>
        </row>
        <row r="9">
          <cell r="C9" t="str">
            <v>Synergies</v>
          </cell>
          <cell r="D9" t="str">
            <v>•
•
•</v>
          </cell>
          <cell r="E9" t="str">
            <v>NPV of synergies $2.5B
$300M of annualized adjusted EBITDA
$40M of annualized capex savings</v>
          </cell>
          <cell r="G9" t="str">
            <v xml:space="preserve">Global Crossing is a leading global IP, Ethernet, data center and video solutions provider with the world's first integrated global IP-based network.
</v>
          </cell>
        </row>
        <row r="10">
          <cell r="C10" t="str">
            <v>Timing</v>
          </cell>
          <cell r="D10" t="str">
            <v>•</v>
          </cell>
          <cell r="E10" t="str">
            <v>Expected to close before year end</v>
          </cell>
        </row>
      </sheetData>
      <sheetData sheetId="12">
        <row r="2">
          <cell r="A2">
            <v>0</v>
          </cell>
          <cell r="B2">
            <v>0</v>
          </cell>
        </row>
        <row r="3">
          <cell r="A3">
            <v>0</v>
          </cell>
          <cell r="B3">
            <v>0</v>
          </cell>
        </row>
        <row r="4">
          <cell r="A4">
            <v>0</v>
          </cell>
          <cell r="B4">
            <v>0</v>
          </cell>
        </row>
        <row r="5">
          <cell r="B5">
            <v>40724</v>
          </cell>
          <cell r="D5" t="str">
            <v>LVLT</v>
          </cell>
          <cell r="E5" t="str">
            <v>GLBC</v>
          </cell>
          <cell r="F5" t="str">
            <v>Pro Forma</v>
          </cell>
          <cell r="G5" t="str">
            <v>Pro Forma w/ Synergies</v>
          </cell>
        </row>
        <row r="6">
          <cell r="C6" t="str">
            <v>Total Debt</v>
          </cell>
          <cell r="D6">
            <v>7224</v>
          </cell>
          <cell r="E6">
            <v>1417</v>
          </cell>
          <cell r="F6">
            <v>8641</v>
          </cell>
          <cell r="G6">
            <v>8641</v>
          </cell>
        </row>
        <row r="7">
          <cell r="C7" t="str">
            <v>cash and cash equiv</v>
          </cell>
          <cell r="D7">
            <v>584</v>
          </cell>
          <cell r="E7">
            <v>265</v>
          </cell>
          <cell r="F7">
            <v>849</v>
          </cell>
          <cell r="G7">
            <v>849</v>
          </cell>
        </row>
        <row r="8">
          <cell r="C8" t="str">
            <v>Net debt</v>
          </cell>
          <cell r="D8">
            <v>6640</v>
          </cell>
          <cell r="E8">
            <v>1152</v>
          </cell>
          <cell r="F8">
            <v>7792</v>
          </cell>
          <cell r="G8">
            <v>7792</v>
          </cell>
        </row>
        <row r="10">
          <cell r="C10" t="str">
            <v>adjusted EBITDA</v>
          </cell>
          <cell r="D10">
            <v>870</v>
          </cell>
          <cell r="E10">
            <v>407</v>
          </cell>
          <cell r="F10">
            <v>1277</v>
          </cell>
          <cell r="G10">
            <v>1577</v>
          </cell>
        </row>
        <row r="11">
          <cell r="C11" t="str">
            <v>synergies</v>
          </cell>
          <cell r="G11">
            <v>300</v>
          </cell>
        </row>
        <row r="13">
          <cell r="C13" t="str">
            <v>LTM Total Debt / EBITDA</v>
          </cell>
          <cell r="D13">
            <v>8.3034482758620687</v>
          </cell>
          <cell r="E13">
            <v>3.4815724815724818</v>
          </cell>
          <cell r="F13">
            <v>6.7666405638214568</v>
          </cell>
          <cell r="G13">
            <v>5.4793912492073558</v>
          </cell>
        </row>
        <row r="14">
          <cell r="C14" t="str">
            <v>LTM Net Debt / EBITDA</v>
          </cell>
          <cell r="D14">
            <v>7.6321839080459766</v>
          </cell>
          <cell r="E14">
            <v>2.8304668304668303</v>
          </cell>
          <cell r="F14">
            <v>6.1018010963194991</v>
          </cell>
          <cell r="G14">
            <v>4.9410272669625872</v>
          </cell>
        </row>
      </sheetData>
      <sheetData sheetId="13">
        <row r="2">
          <cell r="B2">
            <v>1</v>
          </cell>
          <cell r="C2">
            <v>2</v>
          </cell>
          <cell r="D2">
            <v>3</v>
          </cell>
          <cell r="E2">
            <v>4</v>
          </cell>
          <cell r="F2">
            <v>5</v>
          </cell>
          <cell r="G2">
            <v>6</v>
          </cell>
          <cell r="H2">
            <v>7</v>
          </cell>
          <cell r="I2">
            <v>8</v>
          </cell>
          <cell r="J2">
            <v>9</v>
          </cell>
          <cell r="K2">
            <v>10</v>
          </cell>
          <cell r="L2">
            <v>11</v>
          </cell>
        </row>
        <row r="3">
          <cell r="F3" t="str">
            <v xml:space="preserve">Date </v>
          </cell>
          <cell r="G3" t="str">
            <v xml:space="preserve">Price </v>
          </cell>
          <cell r="H3" t="str">
            <v>LTM EV / EBITDA</v>
          </cell>
          <cell r="I3" t="str">
            <v>LTM EV / EBITDA</v>
          </cell>
          <cell r="J3" t="str">
            <v xml:space="preserve">Opex </v>
          </cell>
          <cell r="K3" t="str">
            <v xml:space="preserve">Cash </v>
          </cell>
          <cell r="L3" t="str">
            <v xml:space="preserve">Synergies % </v>
          </cell>
        </row>
        <row r="4">
          <cell r="A4" t="str">
            <v>Strategics</v>
          </cell>
          <cell r="D4" t="str">
            <v>Target</v>
          </cell>
          <cell r="E4" t="str">
            <v>Acquirer</v>
          </cell>
          <cell r="F4" t="str">
            <v>Announced</v>
          </cell>
          <cell r="G4" t="str">
            <v>(EV)</v>
          </cell>
          <cell r="H4" t="str">
            <v>Pre-Synergies</v>
          </cell>
          <cell r="I4" t="str">
            <v>Post-Synergies</v>
          </cell>
          <cell r="J4" t="str">
            <v>Synergies</v>
          </cell>
          <cell r="K4" t="str">
            <v>Opex</v>
          </cell>
          <cell r="L4" t="str">
            <v>of Total Opex</v>
          </cell>
        </row>
        <row r="5">
          <cell r="B5">
            <v>10</v>
          </cell>
          <cell r="C5" t="str">
            <v>Level 3 / Global Crossing</v>
          </cell>
          <cell r="D5" t="str">
            <v>Global Crossing</v>
          </cell>
          <cell r="E5" t="str">
            <v>Level 3</v>
          </cell>
          <cell r="F5">
            <v>40644</v>
          </cell>
          <cell r="G5">
            <v>3000</v>
          </cell>
          <cell r="H5">
            <v>7.1</v>
          </cell>
          <cell r="I5">
            <v>4.2</v>
          </cell>
          <cell r="J5">
            <v>300</v>
          </cell>
          <cell r="K5">
            <v>2189</v>
          </cell>
          <cell r="L5">
            <v>0.13704888076747374</v>
          </cell>
          <cell r="O5">
            <v>1</v>
          </cell>
          <cell r="P5" t="str">
            <v>EarthLink / One Comm.</v>
          </cell>
          <cell r="Q5">
            <v>4.0322580645161289E-2</v>
          </cell>
        </row>
        <row r="6">
          <cell r="B6">
            <v>1</v>
          </cell>
          <cell r="C6" t="str">
            <v>EarthLink / One Comm.</v>
          </cell>
          <cell r="D6" t="str">
            <v>One Comm.</v>
          </cell>
          <cell r="E6" t="str">
            <v>EarthLink</v>
          </cell>
          <cell r="F6">
            <v>40532</v>
          </cell>
          <cell r="G6">
            <v>370</v>
          </cell>
          <cell r="H6" t="str">
            <v>4.7x</v>
          </cell>
          <cell r="I6" t="str">
            <v>3.7x</v>
          </cell>
          <cell r="J6">
            <v>20</v>
          </cell>
          <cell r="K6">
            <v>496</v>
          </cell>
          <cell r="L6">
            <v>4.0322580645161289E-2</v>
          </cell>
          <cell r="O6">
            <v>2</v>
          </cell>
          <cell r="P6" t="str">
            <v>Neutral Tandem / Tinet</v>
          </cell>
          <cell r="Q6">
            <v>4.6833184656556649E-2</v>
          </cell>
        </row>
        <row r="7">
          <cell r="B7">
            <v>4</v>
          </cell>
          <cell r="C7" t="str">
            <v>EarthLink / ITC^Deltacom</v>
          </cell>
          <cell r="D7" t="str">
            <v>ITC^Deltacom</v>
          </cell>
          <cell r="E7" t="str">
            <v>EarthLink</v>
          </cell>
          <cell r="F7">
            <v>40452</v>
          </cell>
          <cell r="G7">
            <v>516</v>
          </cell>
          <cell r="H7" t="str">
            <v>5.8x</v>
          </cell>
          <cell r="I7" t="str">
            <v>4.7x</v>
          </cell>
          <cell r="J7">
            <v>20</v>
          </cell>
          <cell r="K7">
            <v>362</v>
          </cell>
          <cell r="L7">
            <v>5.5248618784530384E-2</v>
          </cell>
          <cell r="O7">
            <v>3</v>
          </cell>
          <cell r="P7" t="str">
            <v>PAETEC / US LEC (1)</v>
          </cell>
          <cell r="Q7">
            <v>4.9261083743842367E-2</v>
          </cell>
        </row>
        <row r="8">
          <cell r="B8" t="e">
            <v>#VALUE!</v>
          </cell>
          <cell r="C8" t="str">
            <v>Lightower / Lexent</v>
          </cell>
          <cell r="D8" t="str">
            <v>Lexent</v>
          </cell>
          <cell r="E8" t="str">
            <v>Lightower</v>
          </cell>
          <cell r="F8">
            <v>40435</v>
          </cell>
          <cell r="G8" t="str">
            <v>NA</v>
          </cell>
          <cell r="H8" t="str">
            <v>NA</v>
          </cell>
          <cell r="I8" t="str">
            <v>NA</v>
          </cell>
          <cell r="J8" t="str">
            <v>NA</v>
          </cell>
          <cell r="K8" t="str">
            <v>NA</v>
          </cell>
          <cell r="L8" t="str">
            <v>NA</v>
          </cell>
          <cell r="O8">
            <v>4</v>
          </cell>
          <cell r="P8" t="str">
            <v>EarthLink / ITC^Deltacom</v>
          </cell>
          <cell r="Q8">
            <v>5.5248618784530384E-2</v>
          </cell>
        </row>
        <row r="9">
          <cell r="B9">
            <v>9</v>
          </cell>
          <cell r="C9" t="str">
            <v>PAETEC / Cavalier</v>
          </cell>
          <cell r="D9" t="str">
            <v>Cavalier</v>
          </cell>
          <cell r="E9" t="str">
            <v>PAETEC</v>
          </cell>
          <cell r="F9">
            <v>40434</v>
          </cell>
          <cell r="G9">
            <v>460</v>
          </cell>
          <cell r="H9" t="str">
            <v>5.1x</v>
          </cell>
          <cell r="I9" t="str">
            <v>3.8x</v>
          </cell>
          <cell r="J9">
            <v>30</v>
          </cell>
          <cell r="K9">
            <v>288</v>
          </cell>
          <cell r="L9">
            <v>0.10416666666666667</v>
          </cell>
          <cell r="O9">
            <v>4</v>
          </cell>
          <cell r="P9" t="str">
            <v>EarthLink / ITC^Deltacom</v>
          </cell>
          <cell r="Q9">
            <v>5.5248618784530384E-2</v>
          </cell>
        </row>
        <row r="10">
          <cell r="B10">
            <v>2</v>
          </cell>
          <cell r="C10" t="str">
            <v>Neutral Tandem / Tinet</v>
          </cell>
          <cell r="D10" t="str">
            <v>Tinet</v>
          </cell>
          <cell r="E10" t="str">
            <v>Neutral Tandem</v>
          </cell>
          <cell r="F10">
            <v>40430</v>
          </cell>
          <cell r="G10">
            <v>94.9</v>
          </cell>
          <cell r="H10" t="str">
            <v>7.0x</v>
          </cell>
          <cell r="I10" t="str">
            <v>6.1x</v>
          </cell>
          <cell r="J10">
            <v>2.1</v>
          </cell>
          <cell r="K10">
            <v>44.839999999999996</v>
          </cell>
          <cell r="L10">
            <v>4.6833184656556649E-2</v>
          </cell>
          <cell r="O10">
            <v>5</v>
          </cell>
          <cell r="P10" t="str">
            <v>Windstream / PAETEC</v>
          </cell>
          <cell r="Q10">
            <v>0.06</v>
          </cell>
        </row>
        <row r="11">
          <cell r="B11">
            <v>12</v>
          </cell>
          <cell r="C11" t="str">
            <v>Windstream / KDL / Norlight</v>
          </cell>
          <cell r="D11" t="str">
            <v>KDL / Norlight</v>
          </cell>
          <cell r="E11" t="str">
            <v>Windstream</v>
          </cell>
          <cell r="F11">
            <v>40407</v>
          </cell>
          <cell r="G11">
            <v>782</v>
          </cell>
          <cell r="H11" t="str">
            <v>8.4x</v>
          </cell>
          <cell r="I11" t="str">
            <v>6.6x</v>
          </cell>
          <cell r="J11">
            <v>25</v>
          </cell>
          <cell r="K11">
            <v>138.19999999999999</v>
          </cell>
          <cell r="L11">
            <v>0.18089725036179452</v>
          </cell>
          <cell r="O11">
            <v>6</v>
          </cell>
          <cell r="P11" t="str">
            <v>PAETEC / McLeod USA</v>
          </cell>
          <cell r="Q11">
            <v>6.3965884861407252E-2</v>
          </cell>
        </row>
        <row r="12">
          <cell r="B12">
            <v>11</v>
          </cell>
          <cell r="C12" t="str">
            <v xml:space="preserve">NTELOS / Fibernet </v>
          </cell>
          <cell r="D12" t="str">
            <v xml:space="preserve">Fibernet </v>
          </cell>
          <cell r="E12" t="str">
            <v>NTELOS</v>
          </cell>
          <cell r="F12">
            <v>40379</v>
          </cell>
          <cell r="G12">
            <v>170</v>
          </cell>
          <cell r="H12" t="str">
            <v>6.8x (1)</v>
          </cell>
          <cell r="I12" t="str">
            <v>5.4x (1)</v>
          </cell>
          <cell r="J12">
            <v>8</v>
          </cell>
          <cell r="K12">
            <v>51</v>
          </cell>
          <cell r="L12">
            <v>0.15686274509803921</v>
          </cell>
          <cell r="O12">
            <v>7</v>
          </cell>
          <cell r="P12" t="str">
            <v>Windstream / NuVox</v>
          </cell>
          <cell r="Q12">
            <v>6.726457399103139E-2</v>
          </cell>
        </row>
        <row r="13">
          <cell r="B13" t="e">
            <v>#VALUE!</v>
          </cell>
          <cell r="C13" t="str">
            <v>Lightyear / SouthEast Telephone</v>
          </cell>
          <cell r="D13" t="str">
            <v>SouthEast Telephone</v>
          </cell>
          <cell r="E13" t="str">
            <v>Lightyear</v>
          </cell>
          <cell r="F13">
            <v>40360</v>
          </cell>
          <cell r="G13">
            <v>7.3</v>
          </cell>
          <cell r="H13" t="str">
            <v>NA</v>
          </cell>
          <cell r="I13" t="str">
            <v>NA</v>
          </cell>
          <cell r="J13" t="str">
            <v>NA</v>
          </cell>
          <cell r="K13" t="str">
            <v>NA</v>
          </cell>
          <cell r="L13" t="str">
            <v>NA</v>
          </cell>
          <cell r="O13">
            <v>8</v>
          </cell>
          <cell r="P13" t="str">
            <v>PAETEC / US LEC (2)</v>
          </cell>
          <cell r="Q13">
            <v>9.8039215686274508E-2</v>
          </cell>
        </row>
        <row r="14">
          <cell r="B14" t="e">
            <v>#VALUE!</v>
          </cell>
          <cell r="C14" t="str">
            <v>Zayo Group / AFS</v>
          </cell>
          <cell r="D14" t="str">
            <v>AFS</v>
          </cell>
          <cell r="E14" t="str">
            <v>Zayo Group</v>
          </cell>
          <cell r="F14">
            <v>40359</v>
          </cell>
          <cell r="G14">
            <v>115.5</v>
          </cell>
          <cell r="H14" t="str">
            <v>NA</v>
          </cell>
          <cell r="I14" t="str">
            <v>7.7x</v>
          </cell>
          <cell r="J14" t="str">
            <v>NA</v>
          </cell>
          <cell r="K14" t="str">
            <v>NA</v>
          </cell>
          <cell r="L14" t="str">
            <v>NA</v>
          </cell>
          <cell r="O14">
            <v>9</v>
          </cell>
          <cell r="P14" t="str">
            <v>PAETEC / Cavalier</v>
          </cell>
          <cell r="Q14">
            <v>0.10416666666666667</v>
          </cell>
        </row>
        <row r="15">
          <cell r="B15" t="e">
            <v>#VALUE!</v>
          </cell>
          <cell r="C15" t="str">
            <v>Covad / Megapath / Speakeasy</v>
          </cell>
          <cell r="D15" t="str">
            <v>Speakeasy</v>
          </cell>
          <cell r="E15" t="str">
            <v>Covad / Megapath</v>
          </cell>
          <cell r="F15">
            <v>40340</v>
          </cell>
          <cell r="G15" t="str">
            <v>NA</v>
          </cell>
          <cell r="H15" t="str">
            <v>NA</v>
          </cell>
          <cell r="I15" t="str">
            <v>NA</v>
          </cell>
          <cell r="J15" t="str">
            <v>NA</v>
          </cell>
          <cell r="K15" t="str">
            <v>NA</v>
          </cell>
          <cell r="L15" t="str">
            <v>NA</v>
          </cell>
          <cell r="O15">
            <v>10</v>
          </cell>
          <cell r="P15" t="str">
            <v>Level 3 / Global Crossing</v>
          </cell>
          <cell r="Q15">
            <v>0.13704888076747374</v>
          </cell>
        </row>
        <row r="16">
          <cell r="B16" t="e">
            <v>#VALUE!</v>
          </cell>
          <cell r="C16" t="str">
            <v>Lightower / Veroxity</v>
          </cell>
          <cell r="D16" t="str">
            <v>Veroxity</v>
          </cell>
          <cell r="E16" t="str">
            <v>Lightower</v>
          </cell>
          <cell r="F16">
            <v>40323</v>
          </cell>
          <cell r="G16" t="str">
            <v>NA</v>
          </cell>
          <cell r="H16" t="str">
            <v>NA</v>
          </cell>
          <cell r="I16" t="str">
            <v>NA</v>
          </cell>
          <cell r="J16" t="str">
            <v>NA</v>
          </cell>
          <cell r="K16" t="str">
            <v>NA</v>
          </cell>
          <cell r="L16" t="str">
            <v>NA</v>
          </cell>
          <cell r="O16">
            <v>11</v>
          </cell>
          <cell r="P16" t="str">
            <v xml:space="preserve">NTELOS / Fibernet </v>
          </cell>
          <cell r="Q16">
            <v>0.15686274509803921</v>
          </cell>
        </row>
        <row r="17">
          <cell r="B17" t="e">
            <v>#VALUE!</v>
          </cell>
          <cell r="C17" t="str">
            <v>Covad / Megapath</v>
          </cell>
          <cell r="D17" t="str">
            <v>Megapath</v>
          </cell>
          <cell r="E17" t="str">
            <v>Covad</v>
          </cell>
          <cell r="F17">
            <v>40268</v>
          </cell>
          <cell r="G17" t="str">
            <v>NA</v>
          </cell>
          <cell r="H17" t="str">
            <v>NA</v>
          </cell>
          <cell r="I17" t="str">
            <v>NA</v>
          </cell>
          <cell r="J17" t="str">
            <v>NA</v>
          </cell>
          <cell r="K17" t="str">
            <v>NA</v>
          </cell>
          <cell r="L17" t="str">
            <v>NA</v>
          </cell>
          <cell r="O17">
            <v>12</v>
          </cell>
          <cell r="P17" t="str">
            <v>Windstream / KDL / Norlight</v>
          </cell>
          <cell r="Q17">
            <v>0.18089725036179452</v>
          </cell>
        </row>
        <row r="18">
          <cell r="B18">
            <v>14</v>
          </cell>
          <cell r="C18" t="str">
            <v>Zayo Group / AGL Networks</v>
          </cell>
          <cell r="D18" t="str">
            <v>AGL Networks</v>
          </cell>
          <cell r="E18" t="str">
            <v>Zayo Group</v>
          </cell>
          <cell r="F18">
            <v>40261</v>
          </cell>
          <cell r="G18">
            <v>73</v>
          </cell>
          <cell r="H18" t="str">
            <v>10.1x</v>
          </cell>
          <cell r="I18" t="str">
            <v>7.7x</v>
          </cell>
          <cell r="J18">
            <v>2.2999999999999998</v>
          </cell>
          <cell r="K18">
            <v>11.2</v>
          </cell>
          <cell r="L18">
            <v>0.20535714285714285</v>
          </cell>
          <cell r="O18">
            <v>8</v>
          </cell>
          <cell r="P18" t="str">
            <v>PAETEC / US LEC (2)</v>
          </cell>
          <cell r="Q18">
            <v>9.8039215686274508E-2</v>
          </cell>
        </row>
        <row r="19">
          <cell r="B19" t="e">
            <v>#VALUE!</v>
          </cell>
          <cell r="C19" t="str">
            <v>PacketExchange / Mzima Networks</v>
          </cell>
          <cell r="D19" t="str">
            <v>Mzima Networks</v>
          </cell>
          <cell r="E19" t="str">
            <v>PacketExchange</v>
          </cell>
          <cell r="F19">
            <v>40196</v>
          </cell>
          <cell r="G19" t="str">
            <v>NA</v>
          </cell>
          <cell r="H19" t="str">
            <v>NA</v>
          </cell>
          <cell r="I19" t="str">
            <v>NA</v>
          </cell>
          <cell r="J19" t="str">
            <v>NA</v>
          </cell>
          <cell r="K19" t="str">
            <v>NA</v>
          </cell>
          <cell r="L19" t="str">
            <v>NA</v>
          </cell>
          <cell r="O19">
            <v>9</v>
          </cell>
          <cell r="P19" t="str">
            <v>PAETEC / Cavalier</v>
          </cell>
          <cell r="Q19">
            <v>0.10416666666666667</v>
          </cell>
        </row>
        <row r="20">
          <cell r="B20">
            <v>7</v>
          </cell>
          <cell r="C20" t="str">
            <v>Windstream / NuVox</v>
          </cell>
          <cell r="D20" t="str">
            <v>NuVox</v>
          </cell>
          <cell r="E20" t="str">
            <v>Windstream</v>
          </cell>
          <cell r="F20">
            <v>40120</v>
          </cell>
          <cell r="G20">
            <v>643</v>
          </cell>
          <cell r="H20" t="str">
            <v>5.7x</v>
          </cell>
          <cell r="I20" t="str">
            <v>4.5x</v>
          </cell>
          <cell r="J20">
            <v>30</v>
          </cell>
          <cell r="K20">
            <v>446</v>
          </cell>
          <cell r="L20">
            <v>6.726457399103139E-2</v>
          </cell>
          <cell r="O20">
            <v>9</v>
          </cell>
          <cell r="P20" t="str">
            <v>PAETEC / Cavalier</v>
          </cell>
          <cell r="Q20">
            <v>0.10416666666666667</v>
          </cell>
        </row>
        <row r="21">
          <cell r="B21">
            <v>6</v>
          </cell>
          <cell r="C21" t="str">
            <v>PAETEC / McLeod USA</v>
          </cell>
          <cell r="D21" t="str">
            <v>McLeod USA</v>
          </cell>
          <cell r="E21" t="str">
            <v>PAETEC</v>
          </cell>
          <cell r="F21">
            <v>39342</v>
          </cell>
          <cell r="G21">
            <v>557</v>
          </cell>
          <cell r="H21" t="str">
            <v>11.6x</v>
          </cell>
          <cell r="I21" t="str">
            <v>7.1x</v>
          </cell>
          <cell r="J21">
            <v>30</v>
          </cell>
          <cell r="K21">
            <v>469</v>
          </cell>
          <cell r="L21">
            <v>6.3965884861407252E-2</v>
          </cell>
          <cell r="O21">
            <v>10</v>
          </cell>
          <cell r="P21" t="str">
            <v>Level 3 / Global Crossing</v>
          </cell>
          <cell r="Q21">
            <v>0.13704888076747374</v>
          </cell>
        </row>
        <row r="22">
          <cell r="B22">
            <v>8</v>
          </cell>
          <cell r="C22" t="str">
            <v>PAETEC / US LEC (2)</v>
          </cell>
          <cell r="D22" t="str">
            <v>US LEC (2)</v>
          </cell>
          <cell r="E22" t="str">
            <v>PAETEC</v>
          </cell>
          <cell r="F22">
            <v>38943</v>
          </cell>
          <cell r="G22">
            <v>826</v>
          </cell>
          <cell r="H22" t="str">
            <v>14.2x</v>
          </cell>
          <cell r="I22" t="str">
            <v>8.4x</v>
          </cell>
          <cell r="J22">
            <v>40</v>
          </cell>
          <cell r="K22">
            <v>408</v>
          </cell>
          <cell r="L22">
            <v>9.8039215686274508E-2</v>
          </cell>
          <cell r="O22">
            <v>11</v>
          </cell>
          <cell r="P22" t="str">
            <v xml:space="preserve">NTELOS / Fibernet </v>
          </cell>
          <cell r="Q22">
            <v>0.15686274509803921</v>
          </cell>
        </row>
        <row r="23">
          <cell r="B23">
            <v>3</v>
          </cell>
          <cell r="C23" t="str">
            <v>PAETEC / US LEC (1)</v>
          </cell>
          <cell r="D23" t="str">
            <v>US LEC (1)</v>
          </cell>
          <cell r="E23" t="str">
            <v>PAETEC</v>
          </cell>
          <cell r="F23">
            <v>38943</v>
          </cell>
          <cell r="G23">
            <v>1262</v>
          </cell>
          <cell r="H23" t="str">
            <v>8.6x</v>
          </cell>
          <cell r="I23" t="str">
            <v>6.8x</v>
          </cell>
          <cell r="J23">
            <v>40</v>
          </cell>
          <cell r="K23">
            <v>812</v>
          </cell>
          <cell r="L23">
            <v>4.9261083743842367E-2</v>
          </cell>
          <cell r="O23">
            <v>12</v>
          </cell>
          <cell r="P23" t="str">
            <v>Windstream / KDL / Norlight</v>
          </cell>
          <cell r="Q23">
            <v>0.18089725036179452</v>
          </cell>
        </row>
        <row r="24">
          <cell r="B24">
            <v>15</v>
          </cell>
          <cell r="C24" t="str">
            <v>tw telecom / Xspedius</v>
          </cell>
          <cell r="D24" t="str">
            <v>Xspedius</v>
          </cell>
          <cell r="E24" t="str">
            <v>tw telecom</v>
          </cell>
          <cell r="F24">
            <v>38926</v>
          </cell>
          <cell r="G24">
            <v>531.5</v>
          </cell>
          <cell r="H24" t="str">
            <v>11.8x (2)</v>
          </cell>
          <cell r="I24" t="str">
            <v>5.9x (2)</v>
          </cell>
          <cell r="J24">
            <v>45</v>
          </cell>
          <cell r="K24">
            <v>195</v>
          </cell>
          <cell r="L24">
            <v>0.23076923076923078</v>
          </cell>
          <cell r="O24">
            <v>13</v>
          </cell>
          <cell r="P24" t="str">
            <v>Level 3 / WilTel</v>
          </cell>
          <cell r="Q24">
            <v>0.19444444444444445</v>
          </cell>
        </row>
        <row r="25">
          <cell r="C25" t="str">
            <v>Level 3 / Telcove</v>
          </cell>
          <cell r="D25" t="str">
            <v>Telcove</v>
          </cell>
          <cell r="E25" t="str">
            <v>Level 3</v>
          </cell>
          <cell r="F25">
            <v>38838</v>
          </cell>
          <cell r="G25">
            <v>1237.5</v>
          </cell>
          <cell r="H25" t="str">
            <v>9.5x (3)</v>
          </cell>
          <cell r="I25" t="str">
            <v>NA</v>
          </cell>
          <cell r="J25" t="str">
            <v>NA</v>
          </cell>
          <cell r="K25">
            <v>260</v>
          </cell>
          <cell r="L25" t="str">
            <v>NA</v>
          </cell>
          <cell r="M25" t="str">
            <v>Revenue</v>
          </cell>
          <cell r="N25" t="str">
            <v>Integration</v>
          </cell>
          <cell r="O25">
            <v>12</v>
          </cell>
          <cell r="P25" t="str">
            <v>Windstream / KDL / Norlight</v>
          </cell>
          <cell r="Q25">
            <v>0.18089725036179452</v>
          </cell>
          <cell r="R25" t="str">
            <v>Capex</v>
          </cell>
        </row>
        <row r="26">
          <cell r="B26">
            <v>13</v>
          </cell>
          <cell r="C26" t="str">
            <v>Level 3 / WilTel</v>
          </cell>
          <cell r="D26" t="str">
            <v>WilTel</v>
          </cell>
          <cell r="E26" t="str">
            <v>Level 3</v>
          </cell>
          <cell r="F26">
            <v>38656</v>
          </cell>
          <cell r="G26">
            <v>703.5</v>
          </cell>
          <cell r="H26" t="str">
            <v>NA</v>
          </cell>
          <cell r="I26" t="str">
            <v>NA</v>
          </cell>
          <cell r="J26">
            <v>140</v>
          </cell>
          <cell r="K26">
            <v>720</v>
          </cell>
          <cell r="L26">
            <v>0.19444444444444445</v>
          </cell>
          <cell r="M26">
            <v>900</v>
          </cell>
          <cell r="O26">
            <v>14</v>
          </cell>
          <cell r="P26" t="str">
            <v>Zayo Group / AGL Networks</v>
          </cell>
          <cell r="Q26">
            <v>0.20535714285714285</v>
          </cell>
        </row>
        <row r="27">
          <cell r="B27">
            <v>5</v>
          </cell>
          <cell r="C27" t="str">
            <v>Windstream / PAETEC</v>
          </cell>
          <cell r="D27" t="str">
            <v>PAETEC</v>
          </cell>
          <cell r="E27" t="str">
            <v>Windstream</v>
          </cell>
          <cell r="L27">
            <v>0.06</v>
          </cell>
          <cell r="O27">
            <v>15</v>
          </cell>
          <cell r="P27" t="str">
            <v>tw telecom / Xspedius</v>
          </cell>
          <cell r="Q27">
            <v>0.23076923076923078</v>
          </cell>
        </row>
        <row r="28">
          <cell r="D28" t="str">
            <v>AVERAGE</v>
          </cell>
          <cell r="L28">
            <v>0.1164629645238283</v>
          </cell>
        </row>
        <row r="30">
          <cell r="A30" t="str">
            <v>Private Equity</v>
          </cell>
          <cell r="D30" t="str">
            <v>RCN</v>
          </cell>
          <cell r="E30" t="str">
            <v>ABRY Partners</v>
          </cell>
          <cell r="F30">
            <v>40243</v>
          </cell>
          <cell r="G30">
            <v>1200</v>
          </cell>
          <cell r="H30" t="str">
            <v>8.3x</v>
          </cell>
          <cell r="I30" t="str">
            <v>NA</v>
          </cell>
          <cell r="J30" t="str">
            <v>NA</v>
          </cell>
          <cell r="K30">
            <v>422.5</v>
          </cell>
          <cell r="L30" t="str">
            <v>NA</v>
          </cell>
        </row>
        <row r="31">
          <cell r="D31" t="str">
            <v>DukeNet</v>
          </cell>
          <cell r="E31" t="str">
            <v>Alinda Capital Partners (50% Stake)</v>
          </cell>
          <cell r="F31">
            <v>40354</v>
          </cell>
          <cell r="G31">
            <v>137</v>
          </cell>
          <cell r="H31" t="str">
            <v>NA</v>
          </cell>
          <cell r="I31" t="str">
            <v>NA</v>
          </cell>
          <cell r="J31" t="str">
            <v>NA</v>
          </cell>
          <cell r="K31" t="str">
            <v>NA</v>
          </cell>
          <cell r="L31" t="str">
            <v>NA</v>
          </cell>
        </row>
        <row r="32">
          <cell r="D32" t="str">
            <v>Fibertech</v>
          </cell>
          <cell r="E32" t="str">
            <v>Court Square Capital Partners</v>
          </cell>
          <cell r="F32">
            <v>40416</v>
          </cell>
          <cell r="G32">
            <v>500</v>
          </cell>
          <cell r="H32" t="str">
            <v>NA</v>
          </cell>
          <cell r="I32" t="str">
            <v>NA</v>
          </cell>
          <cell r="J32" t="str">
            <v>NA</v>
          </cell>
          <cell r="K32" t="str">
            <v>NA</v>
          </cell>
          <cell r="L32" t="str">
            <v>NA</v>
          </cell>
        </row>
        <row r="33">
          <cell r="D33" t="str">
            <v>Unite Private Networks</v>
          </cell>
          <cell r="E33" t="str">
            <v>Ridgemont Equity Partners</v>
          </cell>
          <cell r="F33">
            <v>40421</v>
          </cell>
          <cell r="G33" t="str">
            <v>NA</v>
          </cell>
          <cell r="H33" t="str">
            <v>NA</v>
          </cell>
          <cell r="I33" t="str">
            <v>NA</v>
          </cell>
          <cell r="J33" t="str">
            <v>NA</v>
          </cell>
          <cell r="K33" t="str">
            <v>NA</v>
          </cell>
          <cell r="L33" t="str">
            <v>NA</v>
          </cell>
        </row>
        <row r="35">
          <cell r="E35" t="str">
            <v>= Prior Year EBITDA</v>
          </cell>
        </row>
        <row r="37">
          <cell r="E37" t="str">
            <v>= 2007 Projected EBITDA</v>
          </cell>
          <cell r="N37">
            <v>125</v>
          </cell>
          <cell r="O37">
            <v>75</v>
          </cell>
          <cell r="Q37">
            <v>200</v>
          </cell>
          <cell r="R37">
            <v>35</v>
          </cell>
          <cell r="S37">
            <v>235</v>
          </cell>
          <cell r="T37">
            <v>665</v>
          </cell>
          <cell r="U37">
            <v>0.21052631578947367</v>
          </cell>
        </row>
        <row r="38">
          <cell r="E38" t="str">
            <v>= 2006 Projected EBITDA</v>
          </cell>
        </row>
        <row r="40">
          <cell r="D40" t="str">
            <v>(1) Projected Merged Entity</v>
          </cell>
        </row>
        <row r="41">
          <cell r="D41" t="str">
            <v>(2) Price Includes Financing of PAETEC's First and Second Lien Debt, US LEC Debt, Purchase of US LEC Preferred Stock, and Fees &amp; Other</v>
          </cell>
        </row>
      </sheetData>
      <sheetData sheetId="14">
        <row r="1">
          <cell r="J1" t="str">
            <v>Sep 30 2008 LTM</v>
          </cell>
          <cell r="O1" t="str">
            <v>CTL</v>
          </cell>
          <cell r="P1" t="str">
            <v>SVVS</v>
          </cell>
          <cell r="Q1" t="str">
            <v>SVVS</v>
          </cell>
          <cell r="R1" t="str">
            <v>T/Tmo</v>
          </cell>
          <cell r="X1">
            <v>2008</v>
          </cell>
          <cell r="Z1" t="str">
            <v>12 months ended sept 30 2009</v>
          </cell>
          <cell r="AC1" t="str">
            <v>12 months ended sept 30 2009</v>
          </cell>
        </row>
        <row r="2">
          <cell r="I2" t="str">
            <v>CTL</v>
          </cell>
          <cell r="K2" t="str">
            <v>EMBARQ</v>
          </cell>
          <cell r="L2" t="str">
            <v>CTL</v>
          </cell>
          <cell r="M2" t="str">
            <v>Q</v>
          </cell>
          <cell r="O2" t="str">
            <v>CTL</v>
          </cell>
          <cell r="P2" t="str">
            <v xml:space="preserve">1Q11 </v>
          </cell>
          <cell r="Q2" t="str">
            <v>2011 Guidance</v>
          </cell>
          <cell r="R2">
            <v>2010</v>
          </cell>
          <cell r="T2" t="str">
            <v>Spinco</v>
          </cell>
          <cell r="U2" t="str">
            <v>FRP legacy</v>
          </cell>
          <cell r="V2" t="str">
            <v>adj</v>
          </cell>
          <cell r="X2" t="str">
            <v>FTR</v>
          </cell>
          <cell r="Y2" t="str">
            <v>Spinco</v>
          </cell>
          <cell r="Z2" t="str">
            <v>WIN</v>
          </cell>
          <cell r="AA2" t="str">
            <v>IOWA</v>
          </cell>
          <cell r="AC2" t="str">
            <v>WIN</v>
          </cell>
          <cell r="AD2" t="str">
            <v>Lexcom</v>
          </cell>
          <cell r="AF2" t="str">
            <v>Nuvox</v>
          </cell>
          <cell r="AG2" t="str">
            <v>D&amp;E</v>
          </cell>
          <cell r="AH2" t="str">
            <v>WIN</v>
          </cell>
        </row>
        <row r="3">
          <cell r="B3" t="str">
            <v>WIN / D&amp;E</v>
          </cell>
          <cell r="C3">
            <v>0.29761904761904762</v>
          </cell>
          <cell r="L3">
            <v>7530.2110000000002</v>
          </cell>
          <cell r="M3">
            <v>12311</v>
          </cell>
          <cell r="N3">
            <v>19841.210999999999</v>
          </cell>
          <cell r="Q3">
            <v>1045</v>
          </cell>
          <cell r="R3">
            <v>21346.996447092166</v>
          </cell>
          <cell r="T3">
            <v>1197</v>
          </cell>
          <cell r="U3">
            <v>283</v>
          </cell>
          <cell r="V3">
            <v>-5</v>
          </cell>
          <cell r="W3">
            <v>1475</v>
          </cell>
          <cell r="X3">
            <v>2237</v>
          </cell>
          <cell r="Y3">
            <v>4352</v>
          </cell>
          <cell r="Z3">
            <v>3716.3002721330281</v>
          </cell>
          <cell r="AA3">
            <v>275</v>
          </cell>
          <cell r="AB3">
            <v>3991.3002721330281</v>
          </cell>
          <cell r="AC3">
            <v>3020.2</v>
          </cell>
          <cell r="AD3">
            <v>44</v>
          </cell>
          <cell r="AE3">
            <v>3064.2</v>
          </cell>
          <cell r="AF3">
            <v>565</v>
          </cell>
          <cell r="AG3">
            <v>148</v>
          </cell>
          <cell r="AH3">
            <v>3246.6</v>
          </cell>
          <cell r="AI3">
            <v>3394.6</v>
          </cell>
        </row>
        <row r="4">
          <cell r="B4" t="str">
            <v>WIN / IOWA</v>
          </cell>
          <cell r="C4">
            <v>0.2413793103448276</v>
          </cell>
          <cell r="K4">
            <v>6222</v>
          </cell>
          <cell r="L4">
            <v>3729.6940000000004</v>
          </cell>
          <cell r="M4">
            <v>7896</v>
          </cell>
          <cell r="N4">
            <v>11625.694</v>
          </cell>
          <cell r="Q4">
            <v>767.5</v>
          </cell>
          <cell r="R4">
            <v>15869</v>
          </cell>
          <cell r="T4">
            <v>845</v>
          </cell>
          <cell r="U4">
            <v>218</v>
          </cell>
          <cell r="V4">
            <v>-99</v>
          </cell>
          <cell r="W4">
            <v>964</v>
          </cell>
          <cell r="X4">
            <v>1023</v>
          </cell>
          <cell r="Y4">
            <v>2549</v>
          </cell>
          <cell r="Z4">
            <v>1912.3</v>
          </cell>
          <cell r="AA4">
            <v>145</v>
          </cell>
          <cell r="AB4">
            <v>2057.3000000000002</v>
          </cell>
          <cell r="AC4">
            <v>1497.6999999999998</v>
          </cell>
          <cell r="AD4">
            <v>21</v>
          </cell>
          <cell r="AE4">
            <v>1518.6999999999998</v>
          </cell>
          <cell r="AF4">
            <v>453</v>
          </cell>
          <cell r="AG4">
            <v>84</v>
          </cell>
          <cell r="AH4">
            <v>1527.3</v>
          </cell>
          <cell r="AI4">
            <v>1611.3</v>
          </cell>
        </row>
        <row r="5">
          <cell r="B5" t="str">
            <v>WIN / LEXCOM</v>
          </cell>
          <cell r="C5">
            <v>0.23809523809523808</v>
          </cell>
          <cell r="K5">
            <v>3624</v>
          </cell>
          <cell r="L5">
            <v>3800.5169999999998</v>
          </cell>
          <cell r="M5">
            <v>4415</v>
          </cell>
          <cell r="N5">
            <v>8215.5169999999998</v>
          </cell>
          <cell r="Q5">
            <v>277.5</v>
          </cell>
          <cell r="T5">
            <v>352</v>
          </cell>
          <cell r="U5">
            <v>65</v>
          </cell>
          <cell r="X5">
            <v>1214</v>
          </cell>
          <cell r="Y5">
            <v>1803</v>
          </cell>
          <cell r="Z5">
            <v>1804.0002721330281</v>
          </cell>
          <cell r="AA5">
            <v>130</v>
          </cell>
          <cell r="AB5">
            <v>1934.0002721330281</v>
          </cell>
          <cell r="AC5">
            <v>1522.5</v>
          </cell>
          <cell r="AD5">
            <v>23</v>
          </cell>
          <cell r="AE5">
            <v>1545.5</v>
          </cell>
          <cell r="AF5">
            <v>112</v>
          </cell>
          <cell r="AG5">
            <v>64</v>
          </cell>
          <cell r="AH5">
            <v>1719.3</v>
          </cell>
          <cell r="AI5">
            <v>1783.3</v>
          </cell>
        </row>
        <row r="6">
          <cell r="B6" t="str">
            <v>FTR / VZ</v>
          </cell>
          <cell r="C6">
            <v>0.19615535504119264</v>
          </cell>
          <cell r="K6">
            <v>2598</v>
          </cell>
        </row>
        <row r="7">
          <cell r="B7" t="str">
            <v>T/T-Mo</v>
          </cell>
          <cell r="C7">
            <v>0.18904782910076248</v>
          </cell>
          <cell r="M7">
            <v>575</v>
          </cell>
          <cell r="Q7">
            <v>70</v>
          </cell>
          <cell r="R7">
            <v>3000</v>
          </cell>
          <cell r="T7">
            <v>111</v>
          </cell>
          <cell r="Y7">
            <v>500</v>
          </cell>
          <cell r="AA7">
            <v>35</v>
          </cell>
          <cell r="AD7">
            <v>5</v>
          </cell>
          <cell r="AF7">
            <v>30</v>
          </cell>
          <cell r="AG7">
            <v>25</v>
          </cell>
        </row>
        <row r="8">
          <cell r="B8" t="str">
            <v>LVLT/GLBC</v>
          </cell>
          <cell r="C8">
            <v>0.13700000000000001</v>
          </cell>
          <cell r="J8">
            <v>300</v>
          </cell>
          <cell r="K8">
            <v>375</v>
          </cell>
          <cell r="M8">
            <v>50</v>
          </cell>
        </row>
        <row r="9">
          <cell r="B9" t="str">
            <v>FRP / VZ</v>
          </cell>
          <cell r="C9">
            <v>0.13136094674556212</v>
          </cell>
        </row>
        <row r="10">
          <cell r="B10" t="str">
            <v>CTL / EQ *</v>
          </cell>
          <cell r="C10">
            <v>0.10347682119205298</v>
          </cell>
          <cell r="T10">
            <v>111</v>
          </cell>
          <cell r="Y10">
            <v>500</v>
          </cell>
          <cell r="AG10">
            <v>25</v>
          </cell>
        </row>
        <row r="11">
          <cell r="B11" t="str">
            <v>CTL / SVVS</v>
          </cell>
          <cell r="C11">
            <v>9.1205211726384364E-2</v>
          </cell>
        </row>
        <row r="12">
          <cell r="B12" t="str">
            <v>CTL / EQ **</v>
          </cell>
          <cell r="C12">
            <v>8.2781456953642391E-2</v>
          </cell>
          <cell r="J12">
            <v>8.2781456953642391E-2</v>
          </cell>
          <cell r="K12">
            <v>0.10347682119205298</v>
          </cell>
          <cell r="M12">
            <v>7.2821681864235058E-2</v>
          </cell>
          <cell r="Q12">
            <v>9.1205211726384364E-2</v>
          </cell>
          <cell r="R12">
            <v>0.18904782910076248</v>
          </cell>
          <cell r="T12">
            <v>0.13136094674556212</v>
          </cell>
          <cell r="Y12">
            <v>0.19615535504119264</v>
          </cell>
          <cell r="AA12">
            <v>0.2413793103448276</v>
          </cell>
          <cell r="AD12">
            <v>0.23809523809523808</v>
          </cell>
          <cell r="AF12">
            <v>6.6225165562913912E-2</v>
          </cell>
          <cell r="AG12">
            <v>0.29761904761904762</v>
          </cell>
        </row>
        <row r="13">
          <cell r="B13" t="str">
            <v>CTL / Q (1)</v>
          </cell>
          <cell r="C13">
            <v>7.2821681864235058E-2</v>
          </cell>
          <cell r="I13" t="str">
            <v>Note 1: CenturyTel presentation (10/27/08) assuming $300m in announced cost synergies and $4.4b 2008 proforma cash opex</v>
          </cell>
          <cell r="L13" t="str">
            <v>Note: Investors' presentation (04/22/10) assuming $575 of operating expense synergies and $11.6b 2009 proforma cash opex</v>
          </cell>
          <cell r="T13" t="str">
            <v>Note: Fairpoint investor presentation (04/17/08), assuming $111m of announced cost synergies and $964m in proforma 2007 cash opex.</v>
          </cell>
          <cell r="X13" t="str">
            <v>Note: Assuming $500m cash opex savings and $3.5b in pro forma 2008 cash opex. Spinco numbers from Verizon's 8-k (03/24/2010)</v>
          </cell>
          <cell r="Z13" t="str">
            <v>Note: Windstream press release (11/24/09) assuming $35m in operating expenses and capex savings, and $2.0bn in proforma cash opex for the 12 months ended 09/30/09. IWA proforma for Sherburne, WIN proforma for Nuvox, D&amp;E and Lexcom</v>
          </cell>
          <cell r="AC13" t="str">
            <v>Note: Windstream press releases (09/08/09-12/01/09) assuming $5m in operating expenses and capex savings, and $1.5bn in proforma cash opex for the 12 months ended 09/30/09. WIN excludes Nuvox, D&amp;E and Lexcom.</v>
          </cell>
          <cell r="AG13" t="str">
            <v>(7) Windstream press release (05/11/09) assuming $25m in operating expenses and capex savings, and $1.6bn in proforma cash opex for the 12 months ended 03/31/09. WIN excludes Nuvox.</v>
          </cell>
        </row>
        <row r="14">
          <cell r="B14" t="str">
            <v>WIN / NuVox</v>
          </cell>
          <cell r="C14">
            <v>6.7000000000000004E-2</v>
          </cell>
        </row>
        <row r="15">
          <cell r="B15" t="str">
            <v>WIN / PAET</v>
          </cell>
          <cell r="C15">
            <v>0.06</v>
          </cell>
          <cell r="Q15">
            <v>280</v>
          </cell>
        </row>
        <row r="16">
          <cell r="Q16">
            <v>8000</v>
          </cell>
        </row>
        <row r="17">
          <cell r="I17" t="str">
            <v>Note 2: CenturyTel 2Q09 earnings conference call, assuming $375m in cost synergies and $4.4b 2008 proforma cash opex</v>
          </cell>
          <cell r="Q17">
            <v>8280</v>
          </cell>
        </row>
        <row r="43">
          <cell r="Q43" t="str">
            <v>Share price</v>
          </cell>
          <cell r="R43">
            <v>40</v>
          </cell>
        </row>
        <row r="45">
          <cell r="C45" t="str">
            <v>2Q10</v>
          </cell>
          <cell r="G45" t="str">
            <v>4Q09</v>
          </cell>
          <cell r="R45" t="str">
            <v>CTL</v>
          </cell>
          <cell r="S45" t="str">
            <v>SVVS</v>
          </cell>
          <cell r="T45" t="str">
            <v>CTL+SVVS</v>
          </cell>
        </row>
        <row r="46">
          <cell r="C46" t="str">
            <v>Access 
Lines
(000)</v>
          </cell>
          <cell r="D46" t="str">
            <v>Mkt
Share
(%)</v>
          </cell>
          <cell r="G46" t="str">
            <v>B'band
(000)</v>
          </cell>
          <cell r="H46" t="str">
            <v>Mkt
Share
(%)</v>
          </cell>
          <cell r="I46" t="str">
            <v>Penetration of Access Lines</v>
          </cell>
          <cell r="Q46" t="str">
            <v>Shares</v>
          </cell>
          <cell r="R46">
            <v>588.5</v>
          </cell>
          <cell r="S46">
            <v>16</v>
          </cell>
          <cell r="T46">
            <v>604.5</v>
          </cell>
        </row>
        <row r="47">
          <cell r="Q47" t="str">
            <v>Mkt cap</v>
          </cell>
          <cell r="R47">
            <v>23540</v>
          </cell>
          <cell r="S47">
            <v>640</v>
          </cell>
          <cell r="T47">
            <v>24180</v>
          </cell>
        </row>
        <row r="49">
          <cell r="B49" t="str">
            <v>AT&amp;T</v>
          </cell>
          <cell r="C49">
            <v>46058</v>
          </cell>
          <cell r="D49">
            <v>0.35204163780152753</v>
          </cell>
          <cell r="F49" t="str">
            <v>Comcast</v>
          </cell>
          <cell r="G49">
            <v>16448</v>
          </cell>
          <cell r="H49">
            <v>0.22562339986809371</v>
          </cell>
          <cell r="I49" t="str">
            <v>na</v>
          </cell>
          <cell r="Q49" t="str">
            <v>Net Debt</v>
          </cell>
          <cell r="R49">
            <v>19631</v>
          </cell>
          <cell r="S49">
            <v>2400</v>
          </cell>
          <cell r="T49">
            <v>22031</v>
          </cell>
        </row>
        <row r="50">
          <cell r="B50" t="str">
            <v>Verizon</v>
          </cell>
          <cell r="C50">
            <v>27138</v>
          </cell>
          <cell r="D50">
            <v>0.20742772084454067</v>
          </cell>
          <cell r="F50" t="str">
            <v>AT&amp;T</v>
          </cell>
          <cell r="G50">
            <v>15916</v>
          </cell>
          <cell r="H50">
            <v>0.2183257558548504</v>
          </cell>
          <cell r="I50">
            <v>0.34556428850579701</v>
          </cell>
        </row>
        <row r="51">
          <cell r="B51" t="str">
            <v>CTL + Q</v>
          </cell>
          <cell r="C51">
            <v>25645</v>
          </cell>
          <cell r="D51">
            <v>0.19601606238699409</v>
          </cell>
          <cell r="F51" t="str">
            <v>Time Warner Cable</v>
          </cell>
          <cell r="G51">
            <v>9606</v>
          </cell>
          <cell r="H51">
            <v>0.13176911351732173</v>
          </cell>
          <cell r="I51" t="str">
            <v>na</v>
          </cell>
          <cell r="Q51" t="str">
            <v>EV</v>
          </cell>
          <cell r="R51">
            <v>43171</v>
          </cell>
          <cell r="S51">
            <v>3040</v>
          </cell>
          <cell r="T51">
            <v>46211</v>
          </cell>
        </row>
        <row r="52">
          <cell r="B52" t="str">
            <v>Comcast</v>
          </cell>
          <cell r="C52">
            <v>8125</v>
          </cell>
          <cell r="D52">
            <v>6.2102963809488286E-2</v>
          </cell>
          <cell r="F52" t="str">
            <v>Verizon</v>
          </cell>
          <cell r="G52">
            <v>8279</v>
          </cell>
          <cell r="H52">
            <v>0.11356615561210771</v>
          </cell>
          <cell r="I52">
            <v>0.30507038101555017</v>
          </cell>
        </row>
        <row r="53">
          <cell r="B53" t="str">
            <v>Frontier</v>
          </cell>
          <cell r="C53">
            <v>6009.25</v>
          </cell>
          <cell r="D53">
            <v>4.5931352033497533E-2</v>
          </cell>
          <cell r="F53" t="str">
            <v>CTL + Q</v>
          </cell>
          <cell r="G53">
            <v>8060</v>
          </cell>
          <cell r="H53">
            <v>0.11056205027582899</v>
          </cell>
          <cell r="I53">
            <v>0.31429128485084812</v>
          </cell>
        </row>
        <row r="54">
          <cell r="B54" t="str">
            <v>Time Warner Cable</v>
          </cell>
          <cell r="C54">
            <v>4392</v>
          </cell>
          <cell r="D54">
            <v>3.3569995944772002E-2</v>
          </cell>
          <cell r="F54" t="str">
            <v>Cox</v>
          </cell>
          <cell r="G54">
            <v>4157.3310000000001</v>
          </cell>
          <cell r="H54">
            <v>5.7027672336881191E-2</v>
          </cell>
          <cell r="I54" t="str">
            <v>na</v>
          </cell>
          <cell r="Q54" t="str">
            <v>EBITDA</v>
          </cell>
          <cell r="R54">
            <v>8000</v>
          </cell>
          <cell r="S54">
            <v>280</v>
          </cell>
          <cell r="T54">
            <v>8280</v>
          </cell>
          <cell r="U54">
            <v>8350</v>
          </cell>
          <cell r="W54">
            <v>8300</v>
          </cell>
          <cell r="X54">
            <v>8370</v>
          </cell>
        </row>
        <row r="55">
          <cell r="B55" t="str">
            <v>Windstream</v>
          </cell>
          <cell r="C55">
            <v>3384.3</v>
          </cell>
          <cell r="D55">
            <v>2.5867699744055533E-2</v>
          </cell>
          <cell r="F55" t="str">
            <v>Charter</v>
          </cell>
          <cell r="G55">
            <v>3308.5</v>
          </cell>
          <cell r="H55">
            <v>4.5383938379352382E-2</v>
          </cell>
          <cell r="I55" t="str">
            <v>na</v>
          </cell>
        </row>
        <row r="56">
          <cell r="B56" t="str">
            <v>Cox</v>
          </cell>
          <cell r="C56">
            <v>2646.703</v>
          </cell>
          <cell r="D56">
            <v>2.0229920076734038E-2</v>
          </cell>
          <cell r="F56" t="str">
            <v>Cablevision</v>
          </cell>
          <cell r="G56">
            <v>2637</v>
          </cell>
          <cell r="H56">
            <v>3.6172720419027422E-2</v>
          </cell>
          <cell r="I56" t="str">
            <v>na</v>
          </cell>
          <cell r="Q56" t="str">
            <v>EV/EBITDA</v>
          </cell>
          <cell r="R56">
            <v>5.3963749999999999</v>
          </cell>
          <cell r="T56">
            <v>5.5810386473429956</v>
          </cell>
          <cell r="U56">
            <v>5.5342514970059877</v>
          </cell>
        </row>
        <row r="57">
          <cell r="B57" t="str">
            <v>Cablevision</v>
          </cell>
          <cell r="C57">
            <v>2120</v>
          </cell>
          <cell r="D57">
            <v>1.6204096403214175E-2</v>
          </cell>
          <cell r="F57" t="str">
            <v>Frontier</v>
          </cell>
          <cell r="G57">
            <v>1696.576</v>
          </cell>
          <cell r="H57">
            <v>2.3272570844759907E-2</v>
          </cell>
          <cell r="I57">
            <v>0.28232741190664395</v>
          </cell>
        </row>
        <row r="58">
          <cell r="B58" t="str">
            <v>Charter</v>
          </cell>
          <cell r="C58">
            <v>1708</v>
          </cell>
          <cell r="D58">
            <v>1.3054998422966891E-2</v>
          </cell>
          <cell r="F58" t="str">
            <v>Windstream</v>
          </cell>
          <cell r="G58">
            <v>1275.0999999999999</v>
          </cell>
          <cell r="H58">
            <v>1.7491026092643861E-2</v>
          </cell>
          <cell r="I58">
            <v>0.37676919894808375</v>
          </cell>
          <cell r="R58">
            <v>2.453875</v>
          </cell>
          <cell r="T58">
            <v>2.6607487922705313</v>
          </cell>
          <cell r="U58">
            <v>2.6384431137724551</v>
          </cell>
        </row>
        <row r="59">
          <cell r="B59" t="str">
            <v>FairPoint</v>
          </cell>
          <cell r="C59">
            <v>1197</v>
          </cell>
          <cell r="D59">
            <v>9.1491997144563051E-3</v>
          </cell>
          <cell r="F59" t="str">
            <v>Insight</v>
          </cell>
          <cell r="G59">
            <v>517.5</v>
          </cell>
          <cell r="H59">
            <v>7.0987420617545285E-3</v>
          </cell>
          <cell r="I59" t="str">
            <v>na</v>
          </cell>
        </row>
        <row r="60">
          <cell r="B60" t="str">
            <v>TDS</v>
          </cell>
          <cell r="C60">
            <v>868.1</v>
          </cell>
          <cell r="D60">
            <v>6.6352717394482187E-3</v>
          </cell>
          <cell r="F60" t="str">
            <v>FairPoint</v>
          </cell>
          <cell r="G60">
            <v>303</v>
          </cell>
          <cell r="H60">
            <v>4.1563649173171442E-3</v>
          </cell>
          <cell r="I60">
            <v>0.25313283208020049</v>
          </cell>
        </row>
        <row r="61">
          <cell r="B61" t="str">
            <v>Cincinnati Bell</v>
          </cell>
          <cell r="C61">
            <v>699</v>
          </cell>
          <cell r="D61">
            <v>5.3427657480408994E-3</v>
          </cell>
          <cell r="F61" t="str">
            <v>TDS</v>
          </cell>
          <cell r="G61">
            <v>258.2</v>
          </cell>
          <cell r="H61">
            <v>3.5418264740966557E-3</v>
          </cell>
          <cell r="I61">
            <v>0.29743117152401793</v>
          </cell>
        </row>
        <row r="62">
          <cell r="B62" t="str">
            <v>Insight</v>
          </cell>
          <cell r="C62">
            <v>310</v>
          </cell>
          <cell r="D62">
            <v>2.3694669268850914E-3</v>
          </cell>
          <cell r="F62" t="str">
            <v>Cincinnati Bell</v>
          </cell>
          <cell r="G62">
            <v>252.2</v>
          </cell>
          <cell r="H62">
            <v>3.4595222183081971E-3</v>
          </cell>
          <cell r="I62">
            <v>0.36080114449213158</v>
          </cell>
          <cell r="S62">
            <v>800</v>
          </cell>
        </row>
        <row r="63">
          <cell r="B63" t="str">
            <v>Consolidated Comm.</v>
          </cell>
          <cell r="C63">
            <v>242.28200000000001</v>
          </cell>
          <cell r="D63">
            <v>1.8518683418695928E-3</v>
          </cell>
          <cell r="F63" t="str">
            <v>Consolidated Comm.</v>
          </cell>
          <cell r="G63">
            <v>103.428</v>
          </cell>
          <cell r="H63">
            <v>1.4187607612814442E-3</v>
          </cell>
          <cell r="I63">
            <v>0.42689097828150663</v>
          </cell>
          <cell r="P63">
            <v>2276</v>
          </cell>
          <cell r="S63">
            <v>20</v>
          </cell>
        </row>
        <row r="64">
          <cell r="B64" t="str">
            <v>Alaska</v>
          </cell>
          <cell r="C64">
            <v>178.00799999999998</v>
          </cell>
          <cell r="D64">
            <v>1.3605937700676171E-3</v>
          </cell>
          <cell r="F64" t="str">
            <v>Alaska</v>
          </cell>
          <cell r="G64">
            <v>45.933</v>
          </cell>
          <cell r="H64">
            <v>6.3008023018854258E-4</v>
          </cell>
          <cell r="I64">
            <v>0.25803896454091951</v>
          </cell>
        </row>
        <row r="65">
          <cell r="B65" t="str">
            <v>nTelos</v>
          </cell>
          <cell r="C65">
            <v>86.432000000000002</v>
          </cell>
          <cell r="D65">
            <v>6.6063795298236202E-4</v>
          </cell>
          <cell r="F65" t="str">
            <v>nTelos</v>
          </cell>
          <cell r="G65">
            <v>24.802</v>
          </cell>
          <cell r="H65">
            <v>3.4021835867755715E-4</v>
          </cell>
          <cell r="I65">
            <v>0.28695390596075526</v>
          </cell>
          <cell r="S65">
            <v>3.3984706881903144E-2</v>
          </cell>
        </row>
        <row r="66">
          <cell r="B66" t="str">
            <v>Shenandoah</v>
          </cell>
          <cell r="C66">
            <v>24.04</v>
          </cell>
          <cell r="D66">
            <v>1.8374833845908901E-4</v>
          </cell>
          <cell r="F66" t="str">
            <v>Shenandoah</v>
          </cell>
          <cell r="G66">
            <v>11.67</v>
          </cell>
          <cell r="H66">
            <v>1.600817775085514E-4</v>
          </cell>
          <cell r="I66">
            <v>0.48544093178036607</v>
          </cell>
        </row>
        <row r="67">
          <cell r="B67" t="str">
            <v>TOTAL</v>
          </cell>
          <cell r="C67">
            <v>130831.11500000001</v>
          </cell>
          <cell r="D67">
            <v>0.99999999999999989</v>
          </cell>
          <cell r="F67" t="str">
            <v>TOTAL</v>
          </cell>
          <cell r="G67">
            <v>72900.240000000005</v>
          </cell>
          <cell r="H67">
            <v>0.99999999999999989</v>
          </cell>
          <cell r="I67">
            <v>0.55720873432898588</v>
          </cell>
        </row>
        <row r="69">
          <cell r="B69" t="str">
            <v>Qwest</v>
          </cell>
          <cell r="C69">
            <v>9387</v>
          </cell>
          <cell r="D69">
            <v>7.1748987234420497E-2</v>
          </cell>
          <cell r="F69" t="str">
            <v>Qwest</v>
          </cell>
          <cell r="G69">
            <v>2859</v>
          </cell>
          <cell r="H69">
            <v>3.9217977883200382E-2</v>
          </cell>
          <cell r="I69">
            <v>0.30457015020773409</v>
          </cell>
          <cell r="S69">
            <v>2500</v>
          </cell>
        </row>
        <row r="70">
          <cell r="B70" t="str">
            <v>CenturyLink</v>
          </cell>
          <cell r="C70">
            <v>16258</v>
          </cell>
          <cell r="D70">
            <v>0.1242670751525736</v>
          </cell>
          <cell r="F70" t="str">
            <v>CenturyLink</v>
          </cell>
          <cell r="G70">
            <v>5201</v>
          </cell>
          <cell r="H70">
            <v>7.1344072392628605E-2</v>
          </cell>
          <cell r="I70">
            <v>0.3199040472382827</v>
          </cell>
          <cell r="R70">
            <v>58</v>
          </cell>
          <cell r="S70">
            <v>43.103448275862071</v>
          </cell>
        </row>
      </sheetData>
      <sheetData sheetId="15">
        <row r="1">
          <cell r="G1" t="str">
            <v>FCC  Approval</v>
          </cell>
          <cell r="J1">
            <v>40660</v>
          </cell>
        </row>
        <row r="2">
          <cell r="C2" t="str">
            <v>Announced</v>
          </cell>
          <cell r="D2" t="str">
            <v xml:space="preserve">Closed </v>
          </cell>
          <cell r="E2" t="str">
            <v>Days Outstanding</v>
          </cell>
          <cell r="H2" t="str">
            <v>Days Outstanding</v>
          </cell>
        </row>
        <row r="3">
          <cell r="G3" t="str">
            <v>Status</v>
          </cell>
        </row>
        <row r="4">
          <cell r="B4" t="str">
            <v>CenturyTel/Embarq</v>
          </cell>
          <cell r="C4">
            <v>39748</v>
          </cell>
          <cell r="D4">
            <v>39995</v>
          </cell>
          <cell r="E4">
            <v>247</v>
          </cell>
          <cell r="G4" t="str">
            <v>Closed</v>
          </cell>
          <cell r="H4">
            <v>197</v>
          </cell>
        </row>
        <row r="5">
          <cell r="B5" t="str">
            <v>Verizon / Alltel</v>
          </cell>
          <cell r="C5">
            <v>39604</v>
          </cell>
          <cell r="D5">
            <v>39822</v>
          </cell>
          <cell r="E5">
            <v>218</v>
          </cell>
          <cell r="G5" t="str">
            <v>Closed</v>
          </cell>
          <cell r="H5">
            <v>132</v>
          </cell>
        </row>
        <row r="6">
          <cell r="B6" t="str">
            <v xml:space="preserve"> AT&amp;T / Verizon</v>
          </cell>
          <cell r="C6">
            <v>39941</v>
          </cell>
          <cell r="D6">
            <v>40351</v>
          </cell>
          <cell r="E6">
            <v>410</v>
          </cell>
          <cell r="G6" t="str">
            <v>Closed</v>
          </cell>
          <cell r="H6">
            <v>368</v>
          </cell>
        </row>
        <row r="7">
          <cell r="B7" t="str">
            <v xml:space="preserve"> ATN / Verizon</v>
          </cell>
          <cell r="C7">
            <v>39973</v>
          </cell>
          <cell r="D7">
            <v>40288</v>
          </cell>
          <cell r="E7">
            <v>315</v>
          </cell>
          <cell r="G7" t="str">
            <v>Closed</v>
          </cell>
          <cell r="H7">
            <v>285</v>
          </cell>
        </row>
        <row r="8">
          <cell r="B8" t="str">
            <v>AT&amp;T / Centennial</v>
          </cell>
          <cell r="C8">
            <v>39759</v>
          </cell>
          <cell r="D8">
            <v>40123</v>
          </cell>
          <cell r="E8">
            <v>364</v>
          </cell>
          <cell r="G8" t="str">
            <v>Closed</v>
          </cell>
          <cell r="H8">
            <v>323</v>
          </cell>
        </row>
        <row r="9">
          <cell r="B9" t="str">
            <v>Windstream / D&amp;E</v>
          </cell>
          <cell r="C9">
            <v>39944</v>
          </cell>
          <cell r="D9">
            <v>40127</v>
          </cell>
          <cell r="E9">
            <v>183</v>
          </cell>
          <cell r="G9" t="str">
            <v>na</v>
          </cell>
          <cell r="H9" t="str">
            <v>na</v>
          </cell>
        </row>
        <row r="10">
          <cell r="B10" t="str">
            <v>Frontier/Verizon</v>
          </cell>
          <cell r="C10">
            <v>39946</v>
          </cell>
          <cell r="D10">
            <v>40360</v>
          </cell>
          <cell r="E10">
            <v>414</v>
          </cell>
          <cell r="G10" t="str">
            <v>Closed</v>
          </cell>
          <cell r="H10">
            <v>283</v>
          </cell>
        </row>
        <row r="11">
          <cell r="B11" t="str">
            <v>Windstream / Lexcom</v>
          </cell>
          <cell r="C11">
            <v>40064</v>
          </cell>
          <cell r="D11">
            <v>40148</v>
          </cell>
          <cell r="E11">
            <v>84</v>
          </cell>
          <cell r="G11" t="str">
            <v>na</v>
          </cell>
          <cell r="H11" t="str">
            <v>na</v>
          </cell>
        </row>
        <row r="12">
          <cell r="B12" t="str">
            <v>Windstream / Nuvox</v>
          </cell>
          <cell r="C12">
            <v>40120</v>
          </cell>
          <cell r="D12">
            <v>40217</v>
          </cell>
          <cell r="E12">
            <v>97</v>
          </cell>
          <cell r="G12" t="str">
            <v>na</v>
          </cell>
          <cell r="H12" t="str">
            <v>na</v>
          </cell>
          <cell r="J12">
            <v>40326</v>
          </cell>
          <cell r="K12">
            <v>40568</v>
          </cell>
        </row>
        <row r="13">
          <cell r="B13" t="str">
            <v>Windstream / Iowa</v>
          </cell>
          <cell r="C13">
            <v>40141</v>
          </cell>
          <cell r="D13">
            <v>40330</v>
          </cell>
          <cell r="E13">
            <v>189</v>
          </cell>
          <cell r="G13" t="str">
            <v>na</v>
          </cell>
          <cell r="H13" t="str">
            <v>na</v>
          </cell>
          <cell r="K13">
            <v>40506</v>
          </cell>
        </row>
        <row r="14">
          <cell r="B14" t="str">
            <v>CenturyLink/Qwest</v>
          </cell>
          <cell r="C14">
            <v>40290</v>
          </cell>
          <cell r="D14">
            <v>40620</v>
          </cell>
          <cell r="E14">
            <v>330</v>
          </cell>
          <cell r="G14" t="str">
            <v>Closed</v>
          </cell>
          <cell r="H14">
            <v>294</v>
          </cell>
        </row>
        <row r="15">
          <cell r="B15" t="str">
            <v>Verizon / Terremark</v>
          </cell>
          <cell r="C15">
            <v>40571</v>
          </cell>
          <cell r="D15">
            <v>40644</v>
          </cell>
          <cell r="E15">
            <v>73</v>
          </cell>
          <cell r="G15" t="str">
            <v>na</v>
          </cell>
          <cell r="H15" t="str">
            <v>na</v>
          </cell>
        </row>
        <row r="16">
          <cell r="B16" t="str">
            <v>CenturyLink / SAVVIS</v>
          </cell>
          <cell r="C16">
            <v>40660</v>
          </cell>
          <cell r="D16">
            <v>40739</v>
          </cell>
          <cell r="E16">
            <v>79</v>
          </cell>
          <cell r="G16" t="str">
            <v>Closed</v>
          </cell>
          <cell r="H16">
            <v>54</v>
          </cell>
          <cell r="J16">
            <v>40683</v>
          </cell>
          <cell r="K16">
            <v>40737</v>
          </cell>
        </row>
        <row r="17">
          <cell r="B17" t="str">
            <v>Average</v>
          </cell>
          <cell r="E17">
            <v>231</v>
          </cell>
          <cell r="H17">
            <v>242</v>
          </cell>
        </row>
        <row r="19">
          <cell r="B19" t="str">
            <v>PENDING DEALS:</v>
          </cell>
        </row>
        <row r="20">
          <cell r="B20" t="str">
            <v>AT&amp;T / T-Mobile USA</v>
          </cell>
          <cell r="C20">
            <v>40622</v>
          </cell>
          <cell r="E20">
            <v>38</v>
          </cell>
          <cell r="G20" t="str">
            <v>Pending</v>
          </cell>
        </row>
        <row r="21">
          <cell r="B21" t="str">
            <v>Level 3 / Global Crossing</v>
          </cell>
          <cell r="C21">
            <v>40645</v>
          </cell>
          <cell r="E21">
            <v>15</v>
          </cell>
          <cell r="G21" t="str">
            <v>Pending</v>
          </cell>
        </row>
        <row r="23">
          <cell r="F23">
            <v>197</v>
          </cell>
        </row>
        <row r="27">
          <cell r="B27" t="str">
            <v>Fairpoint / Verizon</v>
          </cell>
          <cell r="C27">
            <v>39098</v>
          </cell>
          <cell r="D27">
            <v>39538</v>
          </cell>
          <cell r="E27">
            <v>440</v>
          </cell>
          <cell r="G27" t="str">
            <v>Closed</v>
          </cell>
          <cell r="H27">
            <v>301</v>
          </cell>
        </row>
        <row r="28">
          <cell r="B28" t="str">
            <v>Sprint / Clearwire</v>
          </cell>
          <cell r="C28">
            <v>39575</v>
          </cell>
          <cell r="D28">
            <v>39780</v>
          </cell>
          <cell r="E28">
            <v>205</v>
          </cell>
          <cell r="G28" t="str">
            <v>Closed</v>
          </cell>
          <cell r="H28">
            <v>133</v>
          </cell>
        </row>
      </sheetData>
      <sheetData sheetId="16">
        <row r="2">
          <cell r="G2">
            <v>2010</v>
          </cell>
          <cell r="K2">
            <v>2011</v>
          </cell>
          <cell r="O2">
            <v>2012</v>
          </cell>
        </row>
        <row r="3">
          <cell r="G3" t="str">
            <v>CTL</v>
          </cell>
          <cell r="H3" t="str">
            <v>SVVS</v>
          </cell>
          <cell r="I3" t="str">
            <v>Synergies</v>
          </cell>
          <cell r="J3" t="str">
            <v>CTL+
SVVS</v>
          </cell>
          <cell r="K3" t="str">
            <v>CTL</v>
          </cell>
          <cell r="L3" t="str">
            <v>SVVS</v>
          </cell>
          <cell r="M3" t="str">
            <v>Synergies</v>
          </cell>
          <cell r="N3" t="str">
            <v>CTL+
SVVS</v>
          </cell>
          <cell r="O3" t="str">
            <v>CTL</v>
          </cell>
          <cell r="P3" t="str">
            <v>SVVS</v>
          </cell>
          <cell r="Q3" t="str">
            <v>Synergies</v>
          </cell>
          <cell r="R3" t="str">
            <v>CTL+
SVVS</v>
          </cell>
          <cell r="AA3" t="str">
            <v>2011E</v>
          </cell>
          <cell r="AD3" t="str">
            <v>2012E</v>
          </cell>
          <cell r="AJ3" t="str">
            <v>2011E</v>
          </cell>
          <cell r="AM3" t="str">
            <v>2012E</v>
          </cell>
        </row>
        <row r="4">
          <cell r="B4" t="str">
            <v>REVENUE</v>
          </cell>
          <cell r="G4">
            <v>0</v>
          </cell>
          <cell r="H4">
            <v>932.98399999999992</v>
          </cell>
          <cell r="J4">
            <v>932.98399999999992</v>
          </cell>
          <cell r="K4">
            <v>0.14130561399182451</v>
          </cell>
          <cell r="L4">
            <v>1064.8198769645483</v>
          </cell>
          <cell r="N4">
            <v>1064.96118257854</v>
          </cell>
          <cell r="O4">
            <v>9.6519420651753007E-2</v>
          </cell>
          <cell r="P4">
            <v>1167.5956745876374</v>
          </cell>
          <cell r="R4">
            <v>1167.6921940082891</v>
          </cell>
          <cell r="AA4" t="str">
            <v>REVENUES</v>
          </cell>
          <cell r="AB4" t="str">
            <v>EBITDA MARGINS</v>
          </cell>
          <cell r="AC4" t="str">
            <v>EBITDA MARGINS w/ SYERNGIES</v>
          </cell>
          <cell r="AD4" t="str">
            <v>REVENUES</v>
          </cell>
          <cell r="AE4" t="str">
            <v>EBITDA MARGINS</v>
          </cell>
          <cell r="AF4" t="str">
            <v>EBITDA MARGINS w/ SYERNGIES</v>
          </cell>
          <cell r="AJ4" t="str">
            <v>REVENUES</v>
          </cell>
          <cell r="AK4" t="str">
            <v>EBITDA MARGINS</v>
          </cell>
          <cell r="AL4" t="str">
            <v>EBITDA MARGINS w/ SYERNGIES</v>
          </cell>
          <cell r="AM4" t="str">
            <v>REVENUES</v>
          </cell>
          <cell r="AN4" t="str">
            <v>EBITDA MARGINS</v>
          </cell>
          <cell r="AO4" t="str">
            <v>EBITDA MARGINS w/ SYERNGIES</v>
          </cell>
        </row>
        <row r="5">
          <cell r="B5" t="str">
            <v>Growth Y/Y</v>
          </cell>
          <cell r="K5" t="e">
            <v>#DIV/0!</v>
          </cell>
          <cell r="L5">
            <v>0.14130561399182451</v>
          </cell>
          <cell r="N5">
            <v>0.14145706955161086</v>
          </cell>
          <cell r="O5">
            <v>-0.31694560516656245</v>
          </cell>
          <cell r="P5">
            <v>9.6519420651753007E-2</v>
          </cell>
          <cell r="R5">
            <v>9.6464559563580909E-2</v>
          </cell>
          <cell r="T5" t="e">
            <v>#DIV/0!</v>
          </cell>
          <cell r="U5">
            <v>4134.1016473014333</v>
          </cell>
          <cell r="AA5">
            <v>7535.5808370512113</v>
          </cell>
          <cell r="AB5" t="e">
            <v>#DIV/0!</v>
          </cell>
          <cell r="AC5" t="e">
            <v>#DIV/0!</v>
          </cell>
          <cell r="AD5">
            <v>12097.002517248649</v>
          </cell>
          <cell r="AE5" t="e">
            <v>#DIV/0!</v>
          </cell>
          <cell r="AF5" t="e">
            <v>#DIV/0!</v>
          </cell>
          <cell r="AJ5">
            <v>0.99986731383612537</v>
          </cell>
          <cell r="AK5">
            <v>1</v>
          </cell>
          <cell r="AL5">
            <v>1</v>
          </cell>
          <cell r="AM5">
            <v>0.99991734172657232</v>
          </cell>
          <cell r="AN5">
            <v>1</v>
          </cell>
          <cell r="AO5">
            <v>1</v>
          </cell>
        </row>
        <row r="6">
          <cell r="B6" t="str">
            <v>EBITDA</v>
          </cell>
          <cell r="G6">
            <v>0</v>
          </cell>
          <cell r="H6">
            <v>231.07099999999994</v>
          </cell>
          <cell r="J6">
            <v>231.07099999999994</v>
          </cell>
          <cell r="K6">
            <v>0</v>
          </cell>
          <cell r="L6">
            <v>309.05796100415847</v>
          </cell>
          <cell r="N6">
            <v>309.05796100415847</v>
          </cell>
          <cell r="O6">
            <v>0</v>
          </cell>
          <cell r="P6">
            <v>332.55774998685092</v>
          </cell>
          <cell r="R6">
            <v>332.55774998685092</v>
          </cell>
        </row>
        <row r="7">
          <cell r="B7" t="str">
            <v>Growth Y/Y</v>
          </cell>
          <cell r="K7" t="e">
            <v>#DIV/0!</v>
          </cell>
          <cell r="L7">
            <v>0.33750215736357458</v>
          </cell>
          <cell r="N7">
            <v>0.33750215736357458</v>
          </cell>
          <cell r="O7" t="e">
            <v>#DIV/0!</v>
          </cell>
          <cell r="P7">
            <v>7.6036834341168369E-2</v>
          </cell>
          <cell r="R7">
            <v>7.6036834341168369E-2</v>
          </cell>
        </row>
        <row r="8">
          <cell r="B8" t="str">
            <v>Margin</v>
          </cell>
          <cell r="G8" t="e">
            <v>#DIV/0!</v>
          </cell>
          <cell r="H8">
            <v>0.24766877031117357</v>
          </cell>
          <cell r="J8">
            <v>0.24766877031117357</v>
          </cell>
          <cell r="K8">
            <v>0</v>
          </cell>
          <cell r="L8">
            <v>0.29024435746370664</v>
          </cell>
          <cell r="N8">
            <v>0.2902058460533285</v>
          </cell>
          <cell r="O8">
            <v>0</v>
          </cell>
          <cell r="P8">
            <v>0.28482269780958308</v>
          </cell>
          <cell r="R8">
            <v>0.28479915485714913</v>
          </cell>
        </row>
        <row r="9">
          <cell r="B9" t="str">
            <v>EBITDA (2)</v>
          </cell>
          <cell r="G9">
            <v>0</v>
          </cell>
          <cell r="H9">
            <v>231.07099999999994</v>
          </cell>
          <cell r="I9">
            <v>70</v>
          </cell>
          <cell r="J9">
            <v>301.07099999999991</v>
          </cell>
          <cell r="K9">
            <v>0</v>
          </cell>
          <cell r="L9">
            <v>309.05796100415847</v>
          </cell>
          <cell r="M9">
            <v>70</v>
          </cell>
          <cell r="N9">
            <v>379.05796100415847</v>
          </cell>
          <cell r="O9">
            <v>0</v>
          </cell>
          <cell r="P9">
            <v>332.55774998685092</v>
          </cell>
          <cell r="Q9">
            <v>70</v>
          </cell>
          <cell r="R9">
            <v>402.55774998685092</v>
          </cell>
        </row>
        <row r="10">
          <cell r="B10" t="str">
            <v>Growth Y/Y</v>
          </cell>
          <cell r="K10" t="e">
            <v>#DIV/0!</v>
          </cell>
          <cell r="L10">
            <v>0.33750215736357458</v>
          </cell>
          <cell r="N10">
            <v>0.25903179317887992</v>
          </cell>
          <cell r="O10" t="e">
            <v>#DIV/0!</v>
          </cell>
          <cell r="P10">
            <v>7.6036834341168369E-2</v>
          </cell>
          <cell r="R10">
            <v>6.1995239251642076E-2</v>
          </cell>
        </row>
        <row r="11">
          <cell r="B11" t="str">
            <v>Margin</v>
          </cell>
          <cell r="G11" t="e">
            <v>#DIV/0!</v>
          </cell>
          <cell r="H11">
            <v>0.24766877031117357</v>
          </cell>
          <cell r="J11">
            <v>0.32269685225041367</v>
          </cell>
          <cell r="K11">
            <v>0</v>
          </cell>
          <cell r="L11">
            <v>0.29024435746370664</v>
          </cell>
          <cell r="N11">
            <v>0.3559359413329633</v>
          </cell>
          <cell r="O11">
            <v>0</v>
          </cell>
          <cell r="P11">
            <v>0.28482269780958308</v>
          </cell>
          <cell r="R11">
            <v>0.34474645977122398</v>
          </cell>
        </row>
        <row r="13">
          <cell r="J13">
            <v>0</v>
          </cell>
          <cell r="N13" t="e">
            <v>#DIV/0!</v>
          </cell>
          <cell r="R13">
            <v>4134.1016473014333</v>
          </cell>
        </row>
        <row r="15">
          <cell r="G15">
            <v>0</v>
          </cell>
          <cell r="J15">
            <v>932.98399999999992</v>
          </cell>
          <cell r="N15">
            <v>1</v>
          </cell>
        </row>
        <row r="16">
          <cell r="G16">
            <v>-466.49199999999996</v>
          </cell>
          <cell r="J16">
            <v>466.49199999999996</v>
          </cell>
          <cell r="N16">
            <v>1</v>
          </cell>
        </row>
        <row r="17">
          <cell r="G17" t="e">
            <v>#DIV/0!</v>
          </cell>
          <cell r="N17">
            <v>379.05796100415847</v>
          </cell>
        </row>
        <row r="20">
          <cell r="G20">
            <v>2010</v>
          </cell>
          <cell r="K20">
            <v>2011</v>
          </cell>
          <cell r="O20">
            <v>2012</v>
          </cell>
        </row>
        <row r="21">
          <cell r="G21" t="str">
            <v>CTL</v>
          </cell>
          <cell r="H21" t="str">
            <v>SVVS</v>
          </cell>
          <cell r="I21" t="str">
            <v>Synergies</v>
          </cell>
          <cell r="J21" t="str">
            <v>CTL+
SVVS</v>
          </cell>
          <cell r="K21" t="str">
            <v>CTL</v>
          </cell>
          <cell r="L21" t="str">
            <v>SVVS</v>
          </cell>
          <cell r="M21" t="str">
            <v>Synergies</v>
          </cell>
          <cell r="N21" t="str">
            <v>CTL+
SVVS</v>
          </cell>
          <cell r="O21" t="str">
            <v>CTL</v>
          </cell>
          <cell r="P21" t="str">
            <v>SVVS</v>
          </cell>
          <cell r="Q21" t="str">
            <v>Synergies</v>
          </cell>
          <cell r="R21" t="str">
            <v>CTL+
SVVS</v>
          </cell>
        </row>
        <row r="22">
          <cell r="B22" t="str">
            <v>REVENUE</v>
          </cell>
          <cell r="G22">
            <v>18552.534</v>
          </cell>
          <cell r="H22">
            <v>933</v>
          </cell>
          <cell r="J22">
            <v>19485.534</v>
          </cell>
          <cell r="K22">
            <v>18124.320550851284</v>
          </cell>
          <cell r="L22">
            <v>1045</v>
          </cell>
          <cell r="N22">
            <v>19169.320550851284</v>
          </cell>
          <cell r="O22">
            <v>17695.292413378193</v>
          </cell>
          <cell r="P22">
            <v>1172</v>
          </cell>
          <cell r="R22">
            <v>18867.292413378193</v>
          </cell>
        </row>
        <row r="23">
          <cell r="B23" t="str">
            <v>Growth Y/Y</v>
          </cell>
          <cell r="K23">
            <v>-2.3081130003519523E-2</v>
          </cell>
          <cell r="L23">
            <v>0.120042872454448</v>
          </cell>
          <cell r="N23">
            <v>-1.6228113078590289E-2</v>
          </cell>
          <cell r="O23">
            <v>-2.367140529595968E-2</v>
          </cell>
          <cell r="P23">
            <v>0.12153110047846893</v>
          </cell>
          <cell r="R23">
            <v>-1.5755808176502017E-2</v>
          </cell>
        </row>
        <row r="24">
          <cell r="B24" t="str">
            <v>EBITDA</v>
          </cell>
          <cell r="G24">
            <v>8063.5629999999983</v>
          </cell>
          <cell r="H24">
            <v>236.2</v>
          </cell>
          <cell r="J24">
            <v>8299.762999999999</v>
          </cell>
          <cell r="K24">
            <v>7926</v>
          </cell>
          <cell r="L24">
            <v>277.5</v>
          </cell>
          <cell r="N24">
            <v>8203.5</v>
          </cell>
          <cell r="O24">
            <v>7952.8475416387664</v>
          </cell>
          <cell r="P24">
            <v>330</v>
          </cell>
          <cell r="R24">
            <v>8282.8475416387664</v>
          </cell>
        </row>
        <row r="25">
          <cell r="B25" t="str">
            <v>Growth Y/Y</v>
          </cell>
          <cell r="K25">
            <v>-1.7059828266983046E-2</v>
          </cell>
          <cell r="L25">
            <v>0.17485182049110937</v>
          </cell>
          <cell r="N25">
            <v>-1.1598282987116515E-2</v>
          </cell>
          <cell r="O25">
            <v>3.3872749985826012E-3</v>
          </cell>
          <cell r="P25">
            <v>0.18918918918918926</v>
          </cell>
          <cell r="R25">
            <v>9.6724010042990027E-3</v>
          </cell>
        </row>
        <row r="26">
          <cell r="B26" t="str">
            <v>Margin</v>
          </cell>
          <cell r="G26">
            <v>0.43463405052916215</v>
          </cell>
          <cell r="H26">
            <v>0.25316184351554127</v>
          </cell>
          <cell r="J26">
            <v>0.42594485734904669</v>
          </cell>
          <cell r="K26">
            <v>0.43731294520873626</v>
          </cell>
          <cell r="L26">
            <v>0.26555023923444976</v>
          </cell>
          <cell r="N26">
            <v>0.4279494402651477</v>
          </cell>
          <cell r="O26">
            <v>0.44943295402262839</v>
          </cell>
          <cell r="P26">
            <v>0.28156996587030719</v>
          </cell>
          <cell r="R26">
            <v>0.439005627313311</v>
          </cell>
        </row>
        <row r="27">
          <cell r="B27" t="str">
            <v>EBITDA w/ Synergies</v>
          </cell>
          <cell r="G27">
            <v>8063.5629999999983</v>
          </cell>
          <cell r="H27">
            <v>236.2</v>
          </cell>
          <cell r="I27">
            <v>70</v>
          </cell>
          <cell r="J27">
            <v>8369.762999999999</v>
          </cell>
          <cell r="K27">
            <v>7926</v>
          </cell>
          <cell r="L27">
            <v>277.5</v>
          </cell>
          <cell r="M27">
            <v>70</v>
          </cell>
          <cell r="N27">
            <v>8273.5</v>
          </cell>
          <cell r="O27">
            <v>7952.8475416387664</v>
          </cell>
          <cell r="P27">
            <v>330</v>
          </cell>
          <cell r="Q27">
            <v>70</v>
          </cell>
          <cell r="R27">
            <v>8352.8475416387664</v>
          </cell>
        </row>
        <row r="28">
          <cell r="B28" t="str">
            <v>Growth Y/Y</v>
          </cell>
          <cell r="K28">
            <v>-1.7059828266983046E-2</v>
          </cell>
          <cell r="L28">
            <v>0.17485182049110937</v>
          </cell>
          <cell r="N28">
            <v>-1.15012814580292E-2</v>
          </cell>
          <cell r="O28">
            <v>3.3872749985826012E-3</v>
          </cell>
          <cell r="P28">
            <v>0.18918918918918926</v>
          </cell>
          <cell r="R28">
            <v>9.5905652551842024E-3</v>
          </cell>
        </row>
        <row r="29">
          <cell r="B29" t="str">
            <v>Margin</v>
          </cell>
          <cell r="G29">
            <v>0.43463405052916215</v>
          </cell>
          <cell r="H29">
            <v>0.25316184351554127</v>
          </cell>
          <cell r="J29">
            <v>0.42953726595329639</v>
          </cell>
          <cell r="K29">
            <v>0.43731294520873626</v>
          </cell>
          <cell r="L29">
            <v>0.26555023923444976</v>
          </cell>
          <cell r="N29">
            <v>0.43160110855533607</v>
          </cell>
          <cell r="O29">
            <v>0.44943295402262839</v>
          </cell>
          <cell r="P29">
            <v>0.28156996587030719</v>
          </cell>
          <cell r="R29">
            <v>0.44271575161023263</v>
          </cell>
        </row>
        <row r="31">
          <cell r="N31">
            <v>68.530169249292342</v>
          </cell>
        </row>
        <row r="35">
          <cell r="B35" t="str">
            <v>REVENUE GROWTH</v>
          </cell>
          <cell r="G35">
            <v>2011</v>
          </cell>
          <cell r="H35">
            <v>2012</v>
          </cell>
        </row>
        <row r="36">
          <cell r="B36" t="str">
            <v>CTL</v>
          </cell>
          <cell r="G36" t="e">
            <v>#DIV/0!</v>
          </cell>
          <cell r="H36">
            <v>-0.31694560516656245</v>
          </cell>
        </row>
        <row r="37">
          <cell r="B37" t="str">
            <v>SVVS</v>
          </cell>
          <cell r="G37">
            <v>0.14130561399182451</v>
          </cell>
          <cell r="H37">
            <v>9.6519420651753007E-2</v>
          </cell>
        </row>
        <row r="38">
          <cell r="B38" t="str">
            <v>CTL+SVVS</v>
          </cell>
          <cell r="G38">
            <v>0.14145706955161086</v>
          </cell>
          <cell r="H38">
            <v>9.6464559563580909E-2</v>
          </cell>
        </row>
        <row r="40">
          <cell r="G40" t="str">
            <v>2011E</v>
          </cell>
          <cell r="J40" t="str">
            <v>2012E</v>
          </cell>
        </row>
        <row r="41">
          <cell r="G41" t="str">
            <v>CTL</v>
          </cell>
          <cell r="H41" t="str">
            <v>∆</v>
          </cell>
          <cell r="I41" t="str">
            <v>CTL+
SVVS</v>
          </cell>
          <cell r="J41" t="str">
            <v>CTL</v>
          </cell>
          <cell r="K41" t="str">
            <v>∆</v>
          </cell>
          <cell r="L41" t="str">
            <v>CTL+
SVVS</v>
          </cell>
        </row>
        <row r="42">
          <cell r="G42" t="e">
            <v>#DIV/0!</v>
          </cell>
          <cell r="H42">
            <v>0.14145706955161086</v>
          </cell>
          <cell r="I42">
            <v>0.14145706955161086</v>
          </cell>
          <cell r="J42">
            <v>-0.31694560516656245</v>
          </cell>
          <cell r="K42">
            <v>9.6464559563580909E-2</v>
          </cell>
          <cell r="L42">
            <v>9.6464559563580909E-2</v>
          </cell>
        </row>
        <row r="43">
          <cell r="H43" t="e">
            <v>#DIV/0!</v>
          </cell>
          <cell r="K43">
            <v>-0.41341016473014336</v>
          </cell>
        </row>
        <row r="45">
          <cell r="H45" t="e">
            <v>#DIV/0!</v>
          </cell>
          <cell r="K45">
            <v>4134.1016473014333</v>
          </cell>
        </row>
      </sheetData>
      <sheetData sheetId="17">
        <row r="2">
          <cell r="A2" t="str">
            <v>CTL / SVVS TRANSACTION SUMMARY</v>
          </cell>
        </row>
        <row r="3">
          <cell r="A3" t="str">
            <v>Consideration</v>
          </cell>
          <cell r="B3" t="str">
            <v xml:space="preserve">$40 per SVVS share; 75% in cash 25% in stock. </v>
          </cell>
        </row>
        <row r="5">
          <cell r="A5" t="str">
            <v>Exchange ratio</v>
          </cell>
          <cell r="B5" t="str">
            <v>The number of CTL shares issued will be based upon the volume-weighted average price of CTL during the 30-day trading period ending 3 trading days prior to the closing, provided that if this avg price is less than or equal to $34.42, each SAVVIS share will receive $30 in cash and 0.2905 of a CTL share.</v>
          </cell>
        </row>
        <row r="7">
          <cell r="A7" t="str">
            <v>Transaction Value</v>
          </cell>
          <cell r="B7" t="str">
            <v>~$2.5B, plus net debt of ~$0.7B which will be assumed or refinanced at close.</v>
          </cell>
        </row>
        <row r="9">
          <cell r="A9" t="str">
            <v>Estimated Synergies</v>
          </cell>
          <cell r="B9" t="str">
            <v>~$70M annual run-rate synergies or 9.1% of 2011 SAVVIS cash opex guidance</v>
          </cell>
        </row>
        <row r="11">
          <cell r="A11" t="str">
            <v>Estimated multiples</v>
          </cell>
          <cell r="B11" t="str">
            <v>10.9x / 8.8x 2011 EBITDA  (before / after run-rate synergies)</v>
          </cell>
        </row>
        <row r="12">
          <cell r="I12">
            <v>35.619999999999997</v>
          </cell>
        </row>
        <row r="13">
          <cell r="A13" t="str">
            <v>Financing</v>
          </cell>
          <cell r="B13" t="str">
            <v>CTL will finance the transaction through a combination of existing cash and debt, including a $2B committed bridge facility and $1.7B existing undrawn revolver</v>
          </cell>
          <cell r="I13">
            <v>5.66</v>
          </cell>
        </row>
        <row r="14">
          <cell r="I14">
            <v>0.15889949466591805</v>
          </cell>
          <cell r="J14">
            <v>0.16639999999999999</v>
          </cell>
        </row>
        <row r="15">
          <cell r="A15" t="str">
            <v>Net Leverage</v>
          </cell>
          <cell r="B15" t="str">
            <v>CTL's leverage stood at ~2.3x at YE2010, the deal increases leverage to ~2.5x</v>
          </cell>
          <cell r="I15">
            <v>-4.5075152248088668E-2</v>
          </cell>
        </row>
        <row r="17">
          <cell r="A17" t="str">
            <v>Dividend Policy</v>
          </cell>
          <cell r="B17" t="str">
            <v>Maintain CTL's annual dividend of $2.90 per share</v>
          </cell>
          <cell r="I17">
            <v>0.15889949466591805</v>
          </cell>
        </row>
        <row r="19">
          <cell r="A19" t="str">
            <v>Dividend payout ratio</v>
          </cell>
          <cell r="B19" t="str">
            <v xml:space="preserve"> ~50%, management says the deal is FCF accretive in first year after closing</v>
          </cell>
          <cell r="J19">
            <v>8.14</v>
          </cell>
        </row>
        <row r="20">
          <cell r="J20">
            <v>5.65</v>
          </cell>
        </row>
        <row r="21">
          <cell r="A21" t="str">
            <v>Anticipated Closing</v>
          </cell>
          <cell r="B21" t="str">
            <v>Management announced timing of closing to be 2H11</v>
          </cell>
          <cell r="J21">
            <v>2.4900000000000002</v>
          </cell>
        </row>
        <row r="23">
          <cell r="A23" t="str">
            <v>Termination Fee</v>
          </cell>
          <cell r="B23" t="str">
            <v>The Merger Agreement provides that, upon termination of the Merger Agreement under certain circumstances, SAVVIS may be obligated to pay
CenturyLink a termination fee of $85M</v>
          </cell>
        </row>
        <row r="27">
          <cell r="G27" t="str">
            <v>BIG TELCO DEALS OF 2011</v>
          </cell>
        </row>
        <row r="28">
          <cell r="H28" t="str">
            <v>SIZE (EV)</v>
          </cell>
          <cell r="I28" t="str">
            <v>DATE</v>
          </cell>
        </row>
        <row r="29">
          <cell r="G29" t="str">
            <v>VERIZON / TERREMARK</v>
          </cell>
          <cell r="H29">
            <v>1.9</v>
          </cell>
          <cell r="I29">
            <v>40571</v>
          </cell>
        </row>
        <row r="30">
          <cell r="G30" t="str">
            <v>AT&amp;T / T-MOBILE</v>
          </cell>
          <cell r="H30">
            <v>39</v>
          </cell>
          <cell r="I30">
            <v>40622</v>
          </cell>
        </row>
        <row r="31">
          <cell r="G31" t="str">
            <v>LEVEL 3 / GLBC</v>
          </cell>
          <cell r="H31">
            <v>3</v>
          </cell>
          <cell r="I31">
            <v>40645</v>
          </cell>
        </row>
        <row r="32">
          <cell r="G32" t="str">
            <v>CENTURYLINK / SVVS</v>
          </cell>
          <cell r="H32">
            <v>3.2</v>
          </cell>
          <cell r="I32">
            <v>40660</v>
          </cell>
        </row>
        <row r="33">
          <cell r="G33" t="str">
            <v>TOTAL</v>
          </cell>
          <cell r="H33">
            <v>47.1</v>
          </cell>
        </row>
      </sheetData>
      <sheetData sheetId="1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Old Q"/>
      <sheetName val="Table"/>
      <sheetName val="Q"/>
      <sheetName val="Rev"/>
      <sheetName val="IS"/>
      <sheetName val="BS"/>
      <sheetName val="CF"/>
      <sheetName val="Debt - PF"/>
      <sheetName val="Debt - Standalone"/>
      <sheetName val="Diff - OLD"/>
      <sheetName val="Maturities"/>
      <sheetName val="Valuation"/>
      <sheetName val="Comparison"/>
      <sheetName val="Tables"/>
      <sheetName val="Link"/>
      <sheetName val="Charts - NEW"/>
      <sheetName val="Performance"/>
      <sheetName val="MWA RR"/>
      <sheetName val="LVLT Standalone"/>
      <sheetName val="GLBC Standalone"/>
      <sheetName val="DCF"/>
      <sheetName val="MW-Cache"/>
      <sheetName val="Est vs Act"/>
      <sheetName val="Est. Table"/>
      <sheetName val="Charts"/>
      <sheetName val="Valuation - Standalone"/>
      <sheetName val="Charts - PF"/>
      <sheetName val="Charts - Standalone"/>
      <sheetName val="mwareSettings"/>
      <sheetName val="Standalone Charts"/>
      <sheetName val="mc"/>
      <sheetName val="pro-forma"/>
      <sheetName val="mwareDat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1">
          <cell r="H1">
            <v>40633</v>
          </cell>
        </row>
        <row r="3">
          <cell r="B3" t="str">
            <v>($MM)</v>
          </cell>
          <cell r="D3" t="str">
            <v>Actual</v>
          </cell>
          <cell r="E3" t="str">
            <v>MS (A)</v>
          </cell>
          <cell r="F3" t="str">
            <v>MS (E)</v>
          </cell>
          <cell r="G3" t="str">
            <v>MS (E)</v>
          </cell>
          <cell r="H3" t="str">
            <v>Cons (E)</v>
          </cell>
          <cell r="I3" t="str">
            <v>MS (E) v.</v>
          </cell>
          <cell r="K3" t="str">
            <v>Actual</v>
          </cell>
          <cell r="L3" t="str">
            <v>Actual</v>
          </cell>
          <cell r="R3" t="str">
            <v>Guidance</v>
          </cell>
          <cell r="S3" t="str">
            <v>Comments</v>
          </cell>
          <cell r="U3" t="str">
            <v>($MM)</v>
          </cell>
          <cell r="V3" t="str">
            <v>NEW</v>
          </cell>
          <cell r="W3" t="str">
            <v>OLD</v>
          </cell>
          <cell r="X3" t="str">
            <v>NEW</v>
          </cell>
          <cell r="Y3" t="str">
            <v>OLD</v>
          </cell>
          <cell r="Z3" t="str">
            <v>NEW</v>
          </cell>
          <cell r="AA3" t="str">
            <v>OLD</v>
          </cell>
        </row>
        <row r="4">
          <cell r="B4" t="str">
            <v>except per share calcs</v>
          </cell>
          <cell r="E4" t="str">
            <v>4Q10</v>
          </cell>
          <cell r="F4" t="str">
            <v>1Q11</v>
          </cell>
          <cell r="G4" t="str">
            <v>Diff.</v>
          </cell>
          <cell r="H4" t="str">
            <v>1Q11</v>
          </cell>
          <cell r="I4" t="str">
            <v>Cons (E)</v>
          </cell>
          <cell r="K4" t="str">
            <v>4Q10</v>
          </cell>
          <cell r="L4" t="str">
            <v>1Q10</v>
          </cell>
          <cell r="M4" t="str">
            <v>Seq. (A)</v>
          </cell>
          <cell r="N4" t="str">
            <v>Y/Y (A)</v>
          </cell>
          <cell r="O4" t="str">
            <v>Seq. (E)</v>
          </cell>
          <cell r="P4" t="str">
            <v>Y/Y (E)</v>
          </cell>
          <cell r="R4" t="str">
            <v xml:space="preserve"> for 2Q10</v>
          </cell>
          <cell r="S4" t="str">
            <v>Post 2Q10</v>
          </cell>
          <cell r="U4" t="str">
            <v>except per share calcs</v>
          </cell>
          <cell r="V4" t="str">
            <v>2011E</v>
          </cell>
          <cell r="W4" t="str">
            <v>2011E</v>
          </cell>
          <cell r="X4" t="str">
            <v>2012E</v>
          </cell>
          <cell r="Y4" t="str">
            <v>2012E</v>
          </cell>
          <cell r="Z4" t="str">
            <v>2013E</v>
          </cell>
          <cell r="AA4" t="str">
            <v>2013E</v>
          </cell>
        </row>
        <row r="5">
          <cell r="U5">
            <v>0</v>
          </cell>
        </row>
        <row r="6">
          <cell r="B6" t="str">
            <v>REVENUES:</v>
          </cell>
          <cell r="U6" t="str">
            <v>REVENUES:</v>
          </cell>
        </row>
        <row r="7">
          <cell r="B7" t="str">
            <v>Core Network Svcs</v>
          </cell>
          <cell r="D7">
            <v>729</v>
          </cell>
          <cell r="E7">
            <v>720</v>
          </cell>
          <cell r="F7">
            <v>729</v>
          </cell>
          <cell r="G7">
            <v>0</v>
          </cell>
          <cell r="K7">
            <v>720</v>
          </cell>
          <cell r="L7">
            <v>701</v>
          </cell>
          <cell r="M7">
            <v>1.2499999999999956E-2</v>
          </cell>
          <cell r="N7">
            <v>3.9942938659058402E-2</v>
          </cell>
          <cell r="O7">
            <v>1.2499999999999956E-2</v>
          </cell>
          <cell r="P7">
            <v>3.9942938659058402E-2</v>
          </cell>
          <cell r="R7" t="str">
            <v>Grow on 694 base</v>
          </cell>
          <cell r="S7" t="str">
            <v>Should grow sequentially in 2H10</v>
          </cell>
          <cell r="U7" t="str">
            <v>Core Network Svcs</v>
          </cell>
          <cell r="V7">
            <v>3008</v>
          </cell>
          <cell r="W7" t="e">
            <v>#REF!</v>
          </cell>
          <cell r="X7">
            <v>0</v>
          </cell>
          <cell r="Y7" t="e">
            <v>#REF!</v>
          </cell>
          <cell r="Z7">
            <v>0</v>
          </cell>
          <cell r="AA7" t="e">
            <v>#REF!</v>
          </cell>
        </row>
        <row r="8">
          <cell r="B8" t="str">
            <v>Wholesale Voice</v>
          </cell>
          <cell r="D8">
            <v>164</v>
          </cell>
          <cell r="E8">
            <v>161</v>
          </cell>
          <cell r="F8">
            <v>164</v>
          </cell>
          <cell r="G8">
            <v>0</v>
          </cell>
          <cell r="K8">
            <v>161</v>
          </cell>
          <cell r="L8">
            <v>165</v>
          </cell>
          <cell r="M8">
            <v>1.8633540372670732E-2</v>
          </cell>
          <cell r="N8">
            <v>-6.0606060606060996E-3</v>
          </cell>
          <cell r="O8">
            <v>1.8633540372670732E-2</v>
          </cell>
          <cell r="P8">
            <v>-6.0606060606060996E-3</v>
          </cell>
          <cell r="S8" t="str">
            <v>Will remain volatile, managed for margin</v>
          </cell>
          <cell r="U8" t="str">
            <v>Wholesale Voice</v>
          </cell>
          <cell r="V8">
            <v>611</v>
          </cell>
          <cell r="W8" t="e">
            <v>#REF!</v>
          </cell>
          <cell r="X8">
            <v>0</v>
          </cell>
          <cell r="Y8" t="e">
            <v>#REF!</v>
          </cell>
          <cell r="Z8">
            <v>0</v>
          </cell>
          <cell r="AA8" t="e">
            <v>#REF!</v>
          </cell>
        </row>
        <row r="9">
          <cell r="B9" t="str">
            <v>Other Communications</v>
          </cell>
          <cell r="D9">
            <v>21</v>
          </cell>
          <cell r="E9">
            <v>23</v>
          </cell>
          <cell r="F9">
            <v>21</v>
          </cell>
          <cell r="G9">
            <v>0</v>
          </cell>
          <cell r="K9">
            <v>23</v>
          </cell>
          <cell r="L9">
            <v>34</v>
          </cell>
          <cell r="M9">
            <v>-8.6956521739130488E-2</v>
          </cell>
          <cell r="N9">
            <v>-0.38235294117647056</v>
          </cell>
          <cell r="O9">
            <v>-8.6956521739130488E-2</v>
          </cell>
          <cell r="P9">
            <v>-0.38235294117647056</v>
          </cell>
          <cell r="R9" t="str">
            <v>Dropping 40% Y/Y</v>
          </cell>
          <cell r="U9" t="str">
            <v>Other Communications</v>
          </cell>
          <cell r="V9">
            <v>69</v>
          </cell>
          <cell r="W9" t="e">
            <v>#REF!</v>
          </cell>
          <cell r="X9">
            <v>0</v>
          </cell>
          <cell r="Y9" t="e">
            <v>#REF!</v>
          </cell>
          <cell r="Z9">
            <v>0</v>
          </cell>
          <cell r="AA9" t="e">
            <v>#REF!</v>
          </cell>
        </row>
        <row r="10">
          <cell r="B10" t="str">
            <v>Coal</v>
          </cell>
          <cell r="D10">
            <v>15</v>
          </cell>
          <cell r="E10">
            <v>17</v>
          </cell>
          <cell r="F10">
            <v>15</v>
          </cell>
          <cell r="G10">
            <v>0</v>
          </cell>
          <cell r="K10">
            <v>17</v>
          </cell>
          <cell r="L10">
            <v>10</v>
          </cell>
          <cell r="M10">
            <v>-0.11764705882352944</v>
          </cell>
          <cell r="N10">
            <v>0.5</v>
          </cell>
          <cell r="O10">
            <v>-0.11764705882352944</v>
          </cell>
          <cell r="P10">
            <v>0.5</v>
          </cell>
          <cell r="R10" t="str">
            <v>Back to mid-teens</v>
          </cell>
          <cell r="U10" t="str">
            <v>Coal</v>
          </cell>
          <cell r="V10">
            <v>54</v>
          </cell>
          <cell r="W10" t="e">
            <v>#REF!</v>
          </cell>
          <cell r="X10">
            <v>0</v>
          </cell>
          <cell r="Y10" t="e">
            <v>#REF!</v>
          </cell>
          <cell r="Z10">
            <v>0</v>
          </cell>
          <cell r="AA10" t="e">
            <v>#REF!</v>
          </cell>
        </row>
        <row r="11">
          <cell r="F11">
            <v>0</v>
          </cell>
          <cell r="N11" t="e">
            <v>#DIV/0!</v>
          </cell>
          <cell r="U11">
            <v>0</v>
          </cell>
          <cell r="W11">
            <v>0</v>
          </cell>
          <cell r="Y11">
            <v>0</v>
          </cell>
        </row>
        <row r="12">
          <cell r="B12" t="str">
            <v>TOTAL REVENUES</v>
          </cell>
          <cell r="D12">
            <v>929</v>
          </cell>
          <cell r="E12">
            <v>921</v>
          </cell>
          <cell r="F12">
            <v>929</v>
          </cell>
          <cell r="G12">
            <v>0</v>
          </cell>
          <cell r="H12">
            <v>922.6</v>
          </cell>
          <cell r="I12">
            <v>6.3999999999999773</v>
          </cell>
          <cell r="K12">
            <v>921</v>
          </cell>
          <cell r="L12">
            <v>910</v>
          </cell>
          <cell r="M12">
            <v>8.6862106406080386E-3</v>
          </cell>
          <cell r="N12">
            <v>2.0879120879120805E-2</v>
          </cell>
          <cell r="O12">
            <v>8.6862106406080386E-3</v>
          </cell>
          <cell r="P12">
            <v>2.0879120879120805E-2</v>
          </cell>
          <cell r="U12" t="str">
            <v>TOTAL REVENUES</v>
          </cell>
          <cell r="V12">
            <v>3742</v>
          </cell>
          <cell r="W12" t="e">
            <v>#REF!</v>
          </cell>
          <cell r="X12">
            <v>0</v>
          </cell>
          <cell r="Y12" t="e">
            <v>#REF!</v>
          </cell>
          <cell r="Z12">
            <v>0</v>
          </cell>
          <cell r="AA12" t="e">
            <v>#REF!</v>
          </cell>
        </row>
        <row r="13">
          <cell r="F13">
            <v>0</v>
          </cell>
          <cell r="U13">
            <v>0</v>
          </cell>
          <cell r="W13">
            <v>0</v>
          </cell>
          <cell r="Y13">
            <v>0</v>
          </cell>
        </row>
        <row r="14">
          <cell r="B14" t="str">
            <v>MARGINS:</v>
          </cell>
          <cell r="U14" t="str">
            <v>MARGINS:</v>
          </cell>
        </row>
        <row r="15">
          <cell r="B15" t="str">
            <v>Cost of Revenue (Comm.)</v>
          </cell>
          <cell r="D15">
            <v>357</v>
          </cell>
          <cell r="E15">
            <v>352</v>
          </cell>
          <cell r="F15">
            <v>357</v>
          </cell>
          <cell r="G15">
            <v>0</v>
          </cell>
          <cell r="K15">
            <v>352</v>
          </cell>
          <cell r="L15">
            <v>371</v>
          </cell>
          <cell r="M15">
            <v>1.4204545454545414E-2</v>
          </cell>
          <cell r="N15">
            <v>-3.7735849056603765E-2</v>
          </cell>
          <cell r="O15">
            <v>1.4204545454545414E-2</v>
          </cell>
          <cell r="P15">
            <v>-3.7735849056603765E-2</v>
          </cell>
          <cell r="S15" t="str">
            <v>Saw network optimization, mix shift benefits in 2Q</v>
          </cell>
          <cell r="U15" t="str">
            <v>Cost of Revenue (Comm.)</v>
          </cell>
          <cell r="V15">
            <v>1388</v>
          </cell>
          <cell r="W15" t="e">
            <v>#REF!</v>
          </cell>
          <cell r="X15">
            <v>0</v>
          </cell>
          <cell r="Y15" t="e">
            <v>#REF!</v>
          </cell>
          <cell r="Z15">
            <v>0</v>
          </cell>
          <cell r="AA15" t="e">
            <v>#REF!</v>
          </cell>
        </row>
        <row r="16">
          <cell r="B16" t="str">
            <v>Gross Margin (Comm.)</v>
          </cell>
          <cell r="D16">
            <v>0.60940919037199126</v>
          </cell>
          <cell r="E16">
            <v>0.61061946902654862</v>
          </cell>
          <cell r="F16">
            <v>0.60940919037199126</v>
          </cell>
          <cell r="G16">
            <v>0</v>
          </cell>
          <cell r="K16">
            <v>0.61061946902654862</v>
          </cell>
          <cell r="L16">
            <v>0.58777777777777773</v>
          </cell>
          <cell r="M16">
            <v>-12.102786545573618</v>
          </cell>
          <cell r="N16">
            <v>216.31412594213529</v>
          </cell>
          <cell r="O16">
            <v>-12.102786545573618</v>
          </cell>
          <cell r="P16">
            <v>216.31412594213529</v>
          </cell>
          <cell r="R16" t="str">
            <v>58 - 60%</v>
          </cell>
          <cell r="U16" t="str">
            <v>Gross Margin (Comm.)</v>
          </cell>
          <cell r="V16">
            <v>0.62364425162689807</v>
          </cell>
          <cell r="W16" t="e">
            <v>#REF!</v>
          </cell>
          <cell r="X16" t="e">
            <v>#DIV/0!</v>
          </cell>
          <cell r="Y16" t="e">
            <v>#REF!</v>
          </cell>
          <cell r="Z16" t="e">
            <v>#DIV/0!</v>
          </cell>
          <cell r="AA16" t="e">
            <v>#REF!</v>
          </cell>
        </row>
        <row r="17">
          <cell r="B17" t="str">
            <v>Cost of Revenue (Coal)</v>
          </cell>
          <cell r="D17">
            <v>15</v>
          </cell>
          <cell r="E17">
            <v>13</v>
          </cell>
          <cell r="F17">
            <v>15</v>
          </cell>
          <cell r="G17">
            <v>0</v>
          </cell>
          <cell r="K17">
            <v>13</v>
          </cell>
          <cell r="L17">
            <v>12</v>
          </cell>
          <cell r="M17">
            <v>0.15384615384615374</v>
          </cell>
          <cell r="N17">
            <v>0.25</v>
          </cell>
          <cell r="O17">
            <v>0.15384615384615374</v>
          </cell>
          <cell r="P17">
            <v>0.25</v>
          </cell>
          <cell r="U17" t="str">
            <v>Cost of Revenue (Coal)</v>
          </cell>
          <cell r="V17">
            <v>52</v>
          </cell>
          <cell r="W17" t="e">
            <v>#REF!</v>
          </cell>
          <cell r="X17">
            <v>0</v>
          </cell>
          <cell r="Y17" t="e">
            <v>#REF!</v>
          </cell>
          <cell r="Z17">
            <v>0</v>
          </cell>
          <cell r="AA17" t="e">
            <v>#REF!</v>
          </cell>
        </row>
        <row r="18">
          <cell r="B18" t="str">
            <v>SG&amp;A</v>
          </cell>
          <cell r="D18">
            <v>332</v>
          </cell>
          <cell r="E18">
            <v>330</v>
          </cell>
          <cell r="F18">
            <v>332</v>
          </cell>
          <cell r="G18">
            <v>0</v>
          </cell>
          <cell r="K18">
            <v>330</v>
          </cell>
          <cell r="L18">
            <v>327</v>
          </cell>
          <cell r="M18">
            <v>6.0606060606060996E-3</v>
          </cell>
          <cell r="N18">
            <v>1.5290519877675823E-2</v>
          </cell>
          <cell r="O18">
            <v>6.0606060606060996E-3</v>
          </cell>
          <cell r="P18">
            <v>1.5290519877675823E-2</v>
          </cell>
          <cell r="R18" t="str">
            <v>Flat through 2010</v>
          </cell>
          <cell r="S18" t="str">
            <v>Likely higher in 3Q on seasonal utility costs</v>
          </cell>
          <cell r="U18" t="str">
            <v>SG&amp;A</v>
          </cell>
          <cell r="V18">
            <v>1384</v>
          </cell>
          <cell r="W18" t="e">
            <v>#REF!</v>
          </cell>
          <cell r="X18">
            <v>0</v>
          </cell>
          <cell r="Y18" t="e">
            <v>#REF!</v>
          </cell>
          <cell r="Z18">
            <v>0</v>
          </cell>
          <cell r="AA18" t="e">
            <v>#REF!</v>
          </cell>
        </row>
        <row r="19">
          <cell r="B19" t="str">
            <v>SG&amp;A (% of Revenue)</v>
          </cell>
          <cell r="D19">
            <v>0.35737351991388588</v>
          </cell>
          <cell r="E19">
            <v>0.35830618892508143</v>
          </cell>
          <cell r="F19">
            <v>0.35737351991388588</v>
          </cell>
          <cell r="G19">
            <v>0</v>
          </cell>
          <cell r="K19">
            <v>0.35830618892508143</v>
          </cell>
          <cell r="L19">
            <v>0.35934065934065934</v>
          </cell>
          <cell r="M19">
            <v>-9.3266901119554149</v>
          </cell>
          <cell r="N19">
            <v>-19.671394267734566</v>
          </cell>
          <cell r="O19">
            <v>-9.3266901119554149</v>
          </cell>
          <cell r="P19">
            <v>-19.671394267734566</v>
          </cell>
          <cell r="R19" t="str">
            <v>Flat through 2010</v>
          </cell>
          <cell r="U19" t="str">
            <v>SG&amp;A (% of Revenue)</v>
          </cell>
          <cell r="V19">
            <v>0.36985569214323893</v>
          </cell>
          <cell r="W19" t="e">
            <v>#REF!</v>
          </cell>
          <cell r="X19" t="e">
            <v>#DIV/0!</v>
          </cell>
          <cell r="Y19" t="e">
            <v>#REF!</v>
          </cell>
          <cell r="Z19" t="e">
            <v>#DIV/0!</v>
          </cell>
          <cell r="AA19" t="e">
            <v>#REF!</v>
          </cell>
        </row>
        <row r="20">
          <cell r="B20" t="str">
            <v>Restructuring</v>
          </cell>
          <cell r="D20">
            <v>0</v>
          </cell>
          <cell r="E20">
            <v>0</v>
          </cell>
          <cell r="F20">
            <v>0</v>
          </cell>
          <cell r="U20" t="str">
            <v>Restructuring</v>
          </cell>
        </row>
        <row r="21">
          <cell r="F21">
            <v>0</v>
          </cell>
          <cell r="U21">
            <v>0</v>
          </cell>
          <cell r="W21">
            <v>0</v>
          </cell>
          <cell r="Y21">
            <v>0</v>
          </cell>
        </row>
        <row r="22">
          <cell r="B22" t="str">
            <v>Adjusted EBITDA</v>
          </cell>
          <cell r="D22">
            <v>225</v>
          </cell>
          <cell r="E22">
            <v>226</v>
          </cell>
          <cell r="F22">
            <v>225</v>
          </cell>
          <cell r="G22">
            <v>0</v>
          </cell>
          <cell r="H22">
            <v>216.1</v>
          </cell>
          <cell r="I22">
            <v>8.9000000000000057</v>
          </cell>
          <cell r="K22">
            <v>226</v>
          </cell>
          <cell r="L22">
            <v>200</v>
          </cell>
          <cell r="M22">
            <v>-4.4247787610619538E-3</v>
          </cell>
          <cell r="N22">
            <v>0.125</v>
          </cell>
          <cell r="O22">
            <v>-4.4247787610619538E-3</v>
          </cell>
          <cell r="P22">
            <v>0.125</v>
          </cell>
          <cell r="S22" t="str">
            <v>Leverage to 80% incremental gross margin in CNS</v>
          </cell>
          <cell r="U22" t="str">
            <v>Adjusted EBITDA</v>
          </cell>
          <cell r="V22">
            <v>918</v>
          </cell>
          <cell r="W22" t="e">
            <v>#REF!</v>
          </cell>
          <cell r="X22">
            <v>0</v>
          </cell>
          <cell r="Y22" t="e">
            <v>#REF!</v>
          </cell>
          <cell r="Z22">
            <v>0</v>
          </cell>
          <cell r="AA22" t="e">
            <v>#REF!</v>
          </cell>
        </row>
        <row r="23">
          <cell r="B23" t="str">
            <v>EBITDA Margin</v>
          </cell>
          <cell r="D23">
            <v>0.24219590958019377</v>
          </cell>
          <cell r="E23">
            <v>0.24538545059717698</v>
          </cell>
          <cell r="F23">
            <v>0.24219590958019377</v>
          </cell>
          <cell r="G23">
            <v>0</v>
          </cell>
          <cell r="H23">
            <v>0.23422935183177973</v>
          </cell>
          <cell r="I23">
            <v>79.665577484140385</v>
          </cell>
          <cell r="K23">
            <v>0.24538545059717698</v>
          </cell>
          <cell r="L23">
            <v>0.21978021978021978</v>
          </cell>
          <cell r="M23">
            <v>-31.895410169832104</v>
          </cell>
          <cell r="N23">
            <v>224.15689799973993</v>
          </cell>
          <cell r="O23">
            <v>-31.895410169832104</v>
          </cell>
          <cell r="P23">
            <v>224.15689799973993</v>
          </cell>
          <cell r="U23" t="str">
            <v>EBITDA Margin</v>
          </cell>
          <cell r="V23">
            <v>0.24532335649385356</v>
          </cell>
          <cell r="W23" t="e">
            <v>#REF!</v>
          </cell>
          <cell r="X23" t="e">
            <v>#DIV/0!</v>
          </cell>
          <cell r="Y23" t="e">
            <v>#REF!</v>
          </cell>
          <cell r="Z23" t="e">
            <v>#DIV/0!</v>
          </cell>
          <cell r="AA23" t="e">
            <v>#REF!</v>
          </cell>
        </row>
        <row r="24">
          <cell r="F24">
            <v>0</v>
          </cell>
          <cell r="U24">
            <v>0</v>
          </cell>
          <cell r="W24">
            <v>0</v>
          </cell>
          <cell r="Y24">
            <v>0</v>
          </cell>
        </row>
        <row r="25">
          <cell r="B25" t="str">
            <v>D&amp;A</v>
          </cell>
          <cell r="E25">
            <v>223</v>
          </cell>
          <cell r="F25">
            <v>0</v>
          </cell>
          <cell r="G25">
            <v>0</v>
          </cell>
          <cell r="H25">
            <v>226.14048099999999</v>
          </cell>
          <cell r="I25">
            <v>-226.14048099999999</v>
          </cell>
          <cell r="K25">
            <v>223</v>
          </cell>
          <cell r="L25">
            <v>229</v>
          </cell>
          <cell r="O25">
            <v>-1</v>
          </cell>
          <cell r="P25">
            <v>-1</v>
          </cell>
          <cell r="U25" t="str">
            <v>D&amp;A</v>
          </cell>
          <cell r="W25">
            <v>0</v>
          </cell>
          <cell r="Y25">
            <v>0</v>
          </cell>
        </row>
        <row r="26">
          <cell r="B26" t="str">
            <v>Stock Comp and Other</v>
          </cell>
          <cell r="E26">
            <v>14</v>
          </cell>
          <cell r="F26">
            <v>0</v>
          </cell>
          <cell r="G26">
            <v>0</v>
          </cell>
          <cell r="K26">
            <v>14</v>
          </cell>
          <cell r="L26">
            <v>10</v>
          </cell>
          <cell r="O26">
            <v>-1</v>
          </cell>
          <cell r="P26">
            <v>-1</v>
          </cell>
          <cell r="U26" t="str">
            <v>Stock Comp and Other</v>
          </cell>
          <cell r="W26">
            <v>0</v>
          </cell>
          <cell r="Y26">
            <v>0</v>
          </cell>
        </row>
        <row r="27">
          <cell r="B27" t="str">
            <v>EBIT</v>
          </cell>
          <cell r="E27">
            <v>-11</v>
          </cell>
          <cell r="F27">
            <v>0</v>
          </cell>
          <cell r="G27">
            <v>0</v>
          </cell>
          <cell r="H27">
            <v>-10.040481</v>
          </cell>
          <cell r="I27">
            <v>10.040481</v>
          </cell>
          <cell r="K27">
            <v>-11</v>
          </cell>
          <cell r="L27">
            <v>-39</v>
          </cell>
          <cell r="O27">
            <v>-1</v>
          </cell>
          <cell r="P27">
            <v>-1</v>
          </cell>
          <cell r="U27" t="str">
            <v>EBIT</v>
          </cell>
          <cell r="W27">
            <v>0</v>
          </cell>
          <cell r="Y27">
            <v>0</v>
          </cell>
        </row>
        <row r="28">
          <cell r="F28">
            <v>0</v>
          </cell>
          <cell r="U28">
            <v>0</v>
          </cell>
          <cell r="W28">
            <v>0</v>
          </cell>
          <cell r="Y28">
            <v>0</v>
          </cell>
        </row>
        <row r="29">
          <cell r="B29" t="str">
            <v>Interest Expense</v>
          </cell>
          <cell r="E29">
            <v>145</v>
          </cell>
          <cell r="F29">
            <v>0</v>
          </cell>
          <cell r="G29">
            <v>0</v>
          </cell>
          <cell r="K29">
            <v>145</v>
          </cell>
          <cell r="L29">
            <v>147</v>
          </cell>
          <cell r="O29">
            <v>-1</v>
          </cell>
          <cell r="P29">
            <v>-1</v>
          </cell>
          <cell r="U29" t="str">
            <v>Interest Expense</v>
          </cell>
          <cell r="W29">
            <v>0</v>
          </cell>
          <cell r="Y29">
            <v>0</v>
          </cell>
        </row>
        <row r="30">
          <cell r="B30" t="str">
            <v>Other</v>
          </cell>
          <cell r="E30">
            <v>-4</v>
          </cell>
          <cell r="F30">
            <v>0</v>
          </cell>
          <cell r="G30">
            <v>0</v>
          </cell>
          <cell r="K30">
            <v>-4</v>
          </cell>
          <cell r="L30">
            <v>-5</v>
          </cell>
          <cell r="U30" t="str">
            <v>Other</v>
          </cell>
          <cell r="W30">
            <v>0</v>
          </cell>
          <cell r="Y30">
            <v>0</v>
          </cell>
        </row>
        <row r="31">
          <cell r="B31" t="str">
            <v>Interest Income</v>
          </cell>
          <cell r="E31">
            <v>0</v>
          </cell>
          <cell r="F31">
            <v>0</v>
          </cell>
          <cell r="G31">
            <v>0</v>
          </cell>
          <cell r="K31">
            <v>0</v>
          </cell>
          <cell r="L31">
            <v>0</v>
          </cell>
          <cell r="U31" t="str">
            <v>Interest Income</v>
          </cell>
          <cell r="W31">
            <v>0</v>
          </cell>
          <cell r="Y31">
            <v>0</v>
          </cell>
        </row>
        <row r="32">
          <cell r="B32" t="str">
            <v>Net Interest Expense and Other</v>
          </cell>
          <cell r="E32">
            <v>141</v>
          </cell>
          <cell r="F32">
            <v>0</v>
          </cell>
          <cell r="G32">
            <v>0</v>
          </cell>
          <cell r="H32">
            <v>156.36071900000002</v>
          </cell>
          <cell r="I32">
            <v>-156.36071900000002</v>
          </cell>
          <cell r="K32">
            <v>141</v>
          </cell>
          <cell r="L32">
            <v>142</v>
          </cell>
          <cell r="U32" t="str">
            <v>Net Interest Expense and Other</v>
          </cell>
          <cell r="W32">
            <v>0</v>
          </cell>
          <cell r="Y32">
            <v>0</v>
          </cell>
        </row>
        <row r="33">
          <cell r="F33">
            <v>0</v>
          </cell>
          <cell r="U33">
            <v>0</v>
          </cell>
          <cell r="W33">
            <v>0</v>
          </cell>
          <cell r="Y33">
            <v>0</v>
          </cell>
        </row>
        <row r="34">
          <cell r="B34" t="str">
            <v>EBT</v>
          </cell>
          <cell r="E34">
            <v>-152</v>
          </cell>
          <cell r="F34">
            <v>0</v>
          </cell>
          <cell r="G34">
            <v>0</v>
          </cell>
          <cell r="H34">
            <v>-166.40120000000002</v>
          </cell>
          <cell r="I34">
            <v>166.40120000000002</v>
          </cell>
          <cell r="K34">
            <v>-152</v>
          </cell>
          <cell r="L34">
            <v>-181</v>
          </cell>
          <cell r="U34" t="str">
            <v>EBT</v>
          </cell>
          <cell r="W34">
            <v>0</v>
          </cell>
          <cell r="Y34">
            <v>0</v>
          </cell>
        </row>
        <row r="35">
          <cell r="F35">
            <v>0</v>
          </cell>
          <cell r="G35">
            <v>0</v>
          </cell>
          <cell r="U35">
            <v>0</v>
          </cell>
          <cell r="W35">
            <v>0</v>
          </cell>
          <cell r="Y35">
            <v>0</v>
          </cell>
        </row>
        <row r="36">
          <cell r="B36" t="str">
            <v>Income Taxes</v>
          </cell>
          <cell r="E36">
            <v>0</v>
          </cell>
          <cell r="F36">
            <v>0</v>
          </cell>
          <cell r="G36">
            <v>0</v>
          </cell>
          <cell r="H36">
            <v>6.4849999999999852</v>
          </cell>
          <cell r="I36">
            <v>-6.4849999999999852</v>
          </cell>
          <cell r="K36">
            <v>0</v>
          </cell>
          <cell r="L36">
            <v>-2</v>
          </cell>
          <cell r="U36" t="str">
            <v>Income Taxes</v>
          </cell>
          <cell r="W36">
            <v>0</v>
          </cell>
          <cell r="Y36">
            <v>0</v>
          </cell>
        </row>
        <row r="37">
          <cell r="F37">
            <v>0</v>
          </cell>
          <cell r="U37">
            <v>0</v>
          </cell>
          <cell r="W37">
            <v>0</v>
          </cell>
          <cell r="Y37">
            <v>0</v>
          </cell>
        </row>
        <row r="38">
          <cell r="B38" t="str">
            <v>Net Income (Operating)</v>
          </cell>
          <cell r="E38">
            <v>-152</v>
          </cell>
          <cell r="F38">
            <v>0</v>
          </cell>
          <cell r="G38">
            <v>0</v>
          </cell>
          <cell r="H38">
            <v>-172.8862</v>
          </cell>
          <cell r="I38">
            <v>172.8862</v>
          </cell>
          <cell r="K38">
            <v>-152</v>
          </cell>
          <cell r="L38">
            <v>-183</v>
          </cell>
          <cell r="U38" t="str">
            <v>Net Income (Operating)</v>
          </cell>
          <cell r="W38">
            <v>0</v>
          </cell>
          <cell r="Y38">
            <v>0</v>
          </cell>
        </row>
        <row r="39">
          <cell r="F39">
            <v>0</v>
          </cell>
          <cell r="U39">
            <v>0</v>
          </cell>
          <cell r="W39">
            <v>0</v>
          </cell>
          <cell r="Y39">
            <v>0</v>
          </cell>
        </row>
        <row r="40">
          <cell r="B40" t="str">
            <v>Reconciliation to (GAAP):</v>
          </cell>
          <cell r="F40">
            <v>0</v>
          </cell>
          <cell r="U40" t="str">
            <v>Reconciliation to (GAAP):</v>
          </cell>
          <cell r="W40">
            <v>0</v>
          </cell>
          <cell r="Y40">
            <v>0</v>
          </cell>
        </row>
        <row r="41">
          <cell r="B41" t="str">
            <v>Minority Interest</v>
          </cell>
          <cell r="F41">
            <v>0</v>
          </cell>
          <cell r="K41">
            <v>0</v>
          </cell>
          <cell r="U41" t="str">
            <v>Minority Interest</v>
          </cell>
          <cell r="W41">
            <v>0</v>
          </cell>
          <cell r="Y41">
            <v>0</v>
          </cell>
        </row>
        <row r="42">
          <cell r="B42" t="str">
            <v>Unusual Charges</v>
          </cell>
          <cell r="F42">
            <v>0</v>
          </cell>
          <cell r="K42">
            <v>0</v>
          </cell>
          <cell r="U42" t="str">
            <v>Unusual Charges</v>
          </cell>
          <cell r="W42">
            <v>0</v>
          </cell>
          <cell r="Y42">
            <v>0</v>
          </cell>
        </row>
        <row r="43">
          <cell r="B43" t="str">
            <v>Asset Impairments</v>
          </cell>
          <cell r="F43">
            <v>0</v>
          </cell>
          <cell r="K43">
            <v>0</v>
          </cell>
          <cell r="U43" t="str">
            <v>Asset Impairments</v>
          </cell>
          <cell r="W43">
            <v>0</v>
          </cell>
          <cell r="Y43">
            <v>0</v>
          </cell>
        </row>
        <row r="44">
          <cell r="B44" t="str">
            <v>Goodwill Impairments</v>
          </cell>
          <cell r="F44">
            <v>0</v>
          </cell>
          <cell r="K44">
            <v>0</v>
          </cell>
          <cell r="U44" t="str">
            <v>Goodwill Impairments</v>
          </cell>
          <cell r="W44">
            <v>0</v>
          </cell>
          <cell r="Y44">
            <v>0</v>
          </cell>
        </row>
        <row r="45">
          <cell r="B45" t="str">
            <v>Dividends on Preferred</v>
          </cell>
          <cell r="F45">
            <v>0</v>
          </cell>
          <cell r="K45">
            <v>0</v>
          </cell>
          <cell r="U45" t="str">
            <v>Dividends on Preferred</v>
          </cell>
          <cell r="W45">
            <v>0</v>
          </cell>
          <cell r="Y45">
            <v>0</v>
          </cell>
        </row>
        <row r="46">
          <cell r="B46" t="str">
            <v>Extraordinary Items</v>
          </cell>
          <cell r="F46">
            <v>0</v>
          </cell>
          <cell r="K46">
            <v>0</v>
          </cell>
          <cell r="U46" t="str">
            <v>Extraordinary Items</v>
          </cell>
          <cell r="W46">
            <v>0</v>
          </cell>
          <cell r="Y46">
            <v>0</v>
          </cell>
        </row>
        <row r="47">
          <cell r="B47" t="str">
            <v>Net Income to Common</v>
          </cell>
          <cell r="E47">
            <v>-152</v>
          </cell>
          <cell r="F47">
            <v>0</v>
          </cell>
          <cell r="G47">
            <v>0</v>
          </cell>
          <cell r="K47">
            <v>-152</v>
          </cell>
          <cell r="L47">
            <v>-183</v>
          </cell>
          <cell r="U47" t="str">
            <v>Net Income to Common</v>
          </cell>
          <cell r="W47">
            <v>0</v>
          </cell>
          <cell r="Y47">
            <v>0</v>
          </cell>
        </row>
        <row r="48">
          <cell r="F48">
            <v>0</v>
          </cell>
          <cell r="U48">
            <v>0</v>
          </cell>
          <cell r="W48">
            <v>0</v>
          </cell>
          <cell r="Y48">
            <v>0</v>
          </cell>
        </row>
        <row r="49">
          <cell r="B49" t="str">
            <v>Basic Reported (GAAP) EPS</v>
          </cell>
          <cell r="E49">
            <v>-9.1565768619326762E-2</v>
          </cell>
          <cell r="F49">
            <v>0</v>
          </cell>
          <cell r="G49">
            <v>0</v>
          </cell>
          <cell r="K49">
            <v>-9.1565768619326762E-2</v>
          </cell>
          <cell r="L49">
            <v>-0.11174023509412741</v>
          </cell>
          <cell r="U49" t="str">
            <v>Basic Reported (GAAP) EPS</v>
          </cell>
          <cell r="W49">
            <v>0</v>
          </cell>
          <cell r="Y49">
            <v>0</v>
          </cell>
        </row>
        <row r="50">
          <cell r="B50" t="str">
            <v>Diluted Reported (GAAP) EPS</v>
          </cell>
          <cell r="E50">
            <v>-9.1565768619326762E-2</v>
          </cell>
          <cell r="F50">
            <v>0</v>
          </cell>
          <cell r="G50">
            <v>0</v>
          </cell>
          <cell r="K50">
            <v>-9.1565768619326762E-2</v>
          </cell>
          <cell r="L50">
            <v>-0.11174023509412741</v>
          </cell>
          <cell r="U50" t="str">
            <v>Diluted Reported (GAAP) EPS</v>
          </cell>
          <cell r="W50">
            <v>0</v>
          </cell>
          <cell r="Y50">
            <v>0</v>
          </cell>
        </row>
        <row r="51">
          <cell r="B51" t="str">
            <v>Diluted EPS (Cont. Ops)</v>
          </cell>
          <cell r="D51">
            <v>-0.12</v>
          </cell>
          <cell r="E51">
            <v>-0.4674347778666037</v>
          </cell>
          <cell r="F51">
            <v>-1.829068085349373</v>
          </cell>
          <cell r="G51">
            <v>1.7090680853493732</v>
          </cell>
          <cell r="H51">
            <v>-0.1</v>
          </cell>
          <cell r="I51">
            <v>-1.729068085349373</v>
          </cell>
          <cell r="K51">
            <v>-9.1565768619326762E-2</v>
          </cell>
          <cell r="L51">
            <v>-0.11174023509412741</v>
          </cell>
          <cell r="M51" t="str">
            <v>NM</v>
          </cell>
          <cell r="N51" t="str">
            <v>NM</v>
          </cell>
          <cell r="O51" t="str">
            <v>NM</v>
          </cell>
          <cell r="P51" t="str">
            <v>NM</v>
          </cell>
          <cell r="U51" t="str">
            <v>Diluted EPS (Cont. Ops)</v>
          </cell>
          <cell r="V51">
            <v>-3.0978389452822923</v>
          </cell>
          <cell r="W51" t="e">
            <v>#REF!</v>
          </cell>
          <cell r="X51">
            <v>0</v>
          </cell>
          <cell r="Y51" t="e">
            <v>#REF!</v>
          </cell>
          <cell r="Z51">
            <v>0</v>
          </cell>
          <cell r="AA51">
            <v>0</v>
          </cell>
        </row>
        <row r="52">
          <cell r="F52">
            <v>0</v>
          </cell>
          <cell r="U52">
            <v>0</v>
          </cell>
          <cell r="W52">
            <v>0</v>
          </cell>
          <cell r="Y52">
            <v>0</v>
          </cell>
        </row>
        <row r="53">
          <cell r="B53" t="str">
            <v>Avg Basic Shares</v>
          </cell>
          <cell r="E53">
            <v>1660.009</v>
          </cell>
          <cell r="F53">
            <v>0</v>
          </cell>
          <cell r="G53">
            <v>0</v>
          </cell>
          <cell r="K53">
            <v>1660.009</v>
          </cell>
          <cell r="L53">
            <v>1637.7270000000001</v>
          </cell>
          <cell r="U53" t="str">
            <v>Avg Basic Shares</v>
          </cell>
          <cell r="W53">
            <v>0</v>
          </cell>
          <cell r="Y53">
            <v>0</v>
          </cell>
        </row>
        <row r="54">
          <cell r="B54" t="str">
            <v>Avg Diluted Shares</v>
          </cell>
          <cell r="E54">
            <v>1660.009</v>
          </cell>
          <cell r="F54">
            <v>0</v>
          </cell>
          <cell r="G54">
            <v>0</v>
          </cell>
          <cell r="K54">
            <v>1660.009</v>
          </cell>
          <cell r="L54">
            <v>1637.7270000000001</v>
          </cell>
          <cell r="U54" t="str">
            <v>Avg Diluted Shares</v>
          </cell>
          <cell r="W54">
            <v>0</v>
          </cell>
          <cell r="Y54">
            <v>0</v>
          </cell>
        </row>
        <row r="55">
          <cell r="W55">
            <v>0</v>
          </cell>
          <cell r="Y55">
            <v>0</v>
          </cell>
        </row>
        <row r="56">
          <cell r="B56" t="str">
            <v>FCFE CALCULATION:</v>
          </cell>
          <cell r="U56" t="str">
            <v>FCFE CALCULATION:</v>
          </cell>
        </row>
        <row r="57">
          <cell r="B57" t="str">
            <v>EBITDA</v>
          </cell>
          <cell r="D57">
            <v>225</v>
          </cell>
          <cell r="E57">
            <v>226</v>
          </cell>
          <cell r="F57">
            <v>225</v>
          </cell>
          <cell r="G57">
            <v>0</v>
          </cell>
          <cell r="H57">
            <v>216.1</v>
          </cell>
          <cell r="I57">
            <v>8.9000000000000057</v>
          </cell>
          <cell r="K57">
            <v>226</v>
          </cell>
          <cell r="L57">
            <v>200</v>
          </cell>
          <cell r="M57">
            <v>-4.4247787610619538E-3</v>
          </cell>
          <cell r="N57">
            <v>0.125</v>
          </cell>
          <cell r="O57">
            <v>-4.4247787610619538E-3</v>
          </cell>
          <cell r="P57">
            <v>0.125</v>
          </cell>
          <cell r="U57" t="str">
            <v>EBITDA</v>
          </cell>
          <cell r="V57">
            <v>918</v>
          </cell>
          <cell r="W57" t="e">
            <v>#REF!</v>
          </cell>
          <cell r="X57">
            <v>0</v>
          </cell>
          <cell r="Y57" t="e">
            <v>#REF!</v>
          </cell>
          <cell r="Z57">
            <v>0</v>
          </cell>
          <cell r="AA57" t="e">
            <v>#REF!</v>
          </cell>
        </row>
        <row r="58">
          <cell r="B58" t="str">
            <v>- Capex</v>
          </cell>
          <cell r="D58">
            <v>115</v>
          </cell>
          <cell r="E58">
            <v>117</v>
          </cell>
          <cell r="F58">
            <v>115</v>
          </cell>
          <cell r="G58">
            <v>0</v>
          </cell>
          <cell r="H58">
            <v>104</v>
          </cell>
          <cell r="I58">
            <v>11</v>
          </cell>
          <cell r="K58">
            <v>117</v>
          </cell>
          <cell r="L58">
            <v>82</v>
          </cell>
          <cell r="M58">
            <v>-1.7094017094017144E-2</v>
          </cell>
          <cell r="N58">
            <v>0.40243902439024382</v>
          </cell>
          <cell r="O58">
            <v>-1.7094017094017144E-2</v>
          </cell>
          <cell r="P58">
            <v>0.40243902439024382</v>
          </cell>
          <cell r="R58" t="str">
            <v>Higher capex in 2010</v>
          </cell>
          <cell r="S58" t="str">
            <v>Close to run-rate for year given better demand trends</v>
          </cell>
          <cell r="U58" t="str">
            <v>- Capex</v>
          </cell>
          <cell r="V58">
            <v>444</v>
          </cell>
          <cell r="W58" t="e">
            <v>#REF!</v>
          </cell>
          <cell r="X58">
            <v>0</v>
          </cell>
          <cell r="Y58" t="e">
            <v>#REF!</v>
          </cell>
          <cell r="Z58">
            <v>0</v>
          </cell>
          <cell r="AA58" t="e">
            <v>#REF!</v>
          </cell>
        </row>
        <row r="59">
          <cell r="B59" t="str">
            <v>- Net Interest Expense</v>
          </cell>
          <cell r="D59">
            <v>157</v>
          </cell>
          <cell r="E59" t="e">
            <v>#REF!</v>
          </cell>
          <cell r="F59" t="e">
            <v>#REF!</v>
          </cell>
          <cell r="G59" t="e">
            <v>#REF!</v>
          </cell>
          <cell r="K59" t="e">
            <v>#REF!</v>
          </cell>
          <cell r="L59" t="e">
            <v>#REF!</v>
          </cell>
          <cell r="M59" t="e">
            <v>#REF!</v>
          </cell>
          <cell r="N59" t="e">
            <v>#REF!</v>
          </cell>
          <cell r="O59" t="e">
            <v>#REF!</v>
          </cell>
          <cell r="P59" t="str">
            <v>NM</v>
          </cell>
          <cell r="U59" t="str">
            <v>- Net Interest Expense</v>
          </cell>
          <cell r="V59">
            <v>495</v>
          </cell>
          <cell r="W59" t="e">
            <v>#REF!</v>
          </cell>
          <cell r="X59">
            <v>0</v>
          </cell>
          <cell r="Y59" t="e">
            <v>#REF!</v>
          </cell>
          <cell r="Z59">
            <v>0</v>
          </cell>
          <cell r="AA59" t="e">
            <v>#REF!</v>
          </cell>
          <cell r="AE59" t="str">
            <v>Actual</v>
          </cell>
          <cell r="AF59" t="str">
            <v>Cons (E)</v>
          </cell>
          <cell r="AI59" t="str">
            <v>Actual</v>
          </cell>
          <cell r="AJ59" t="str">
            <v>Actual</v>
          </cell>
        </row>
        <row r="60">
          <cell r="B60" t="str">
            <v>FCFE</v>
          </cell>
          <cell r="D60">
            <v>-47</v>
          </cell>
          <cell r="E60" t="e">
            <v>#REF!</v>
          </cell>
          <cell r="F60" t="e">
            <v>#REF!</v>
          </cell>
          <cell r="G60" t="e">
            <v>#REF!</v>
          </cell>
          <cell r="K60" t="e">
            <v>#REF!</v>
          </cell>
          <cell r="L60" t="e">
            <v>#REF!</v>
          </cell>
          <cell r="M60" t="e">
            <v>#REF!</v>
          </cell>
          <cell r="N60" t="e">
            <v>#REF!</v>
          </cell>
          <cell r="O60" t="e">
            <v>#REF!</v>
          </cell>
          <cell r="P60" t="e">
            <v>#REF!</v>
          </cell>
          <cell r="S60" t="str">
            <v>Likely negative for the year</v>
          </cell>
          <cell r="U60" t="str">
            <v>FCFE</v>
          </cell>
          <cell r="V60">
            <v>-21</v>
          </cell>
          <cell r="W60" t="e">
            <v>#REF!</v>
          </cell>
          <cell r="X60">
            <v>0</v>
          </cell>
          <cell r="Y60" t="e">
            <v>#REF!</v>
          </cell>
          <cell r="Z60">
            <v>0</v>
          </cell>
          <cell r="AA60" t="e">
            <v>#REF!</v>
          </cell>
          <cell r="AE60" t="str">
            <v>2Q11</v>
          </cell>
          <cell r="AF60" t="str">
            <v>2Q11</v>
          </cell>
          <cell r="AG60" t="str">
            <v>Diff.</v>
          </cell>
          <cell r="AI60" t="str">
            <v>1Q11</v>
          </cell>
          <cell r="AJ60" t="str">
            <v>2Q10</v>
          </cell>
          <cell r="AK60" t="str">
            <v>Seq. (E)</v>
          </cell>
          <cell r="AL60" t="str">
            <v>Y/Y (E)</v>
          </cell>
          <cell r="AM60" t="str">
            <v>Seq. (A)</v>
          </cell>
          <cell r="AN60" t="str">
            <v>Y/Y (A)</v>
          </cell>
        </row>
        <row r="62">
          <cell r="AC62" t="str">
            <v>REVENUES</v>
          </cell>
          <cell r="AF62">
            <v>936.8</v>
          </cell>
          <cell r="AG62">
            <v>-936.8</v>
          </cell>
          <cell r="AI62">
            <v>929</v>
          </cell>
          <cell r="AJ62">
            <v>908</v>
          </cell>
          <cell r="AK62">
            <v>8.3961248654467191E-3</v>
          </cell>
          <cell r="AL62">
            <v>3.1718061674008702E-2</v>
          </cell>
          <cell r="AM62">
            <v>-1</v>
          </cell>
          <cell r="AN62">
            <v>-1</v>
          </cell>
        </row>
        <row r="63">
          <cell r="AC63" t="str">
            <v>GROSS INCOME</v>
          </cell>
          <cell r="AF63">
            <v>563.70000000000005</v>
          </cell>
          <cell r="AG63">
            <v>-563.70000000000005</v>
          </cell>
          <cell r="AI63">
            <v>557</v>
          </cell>
          <cell r="AJ63">
            <v>534</v>
          </cell>
          <cell r="AK63">
            <v>1.2028725314183308E-2</v>
          </cell>
          <cell r="AL63">
            <v>5.5617977528090057E-2</v>
          </cell>
          <cell r="AM63">
            <v>-1</v>
          </cell>
          <cell r="AN63">
            <v>-1</v>
          </cell>
        </row>
        <row r="64">
          <cell r="AC64" t="str">
            <v>Margin</v>
          </cell>
          <cell r="AE64" t="e">
            <v>#DIV/0!</v>
          </cell>
          <cell r="AF64">
            <v>0.60172929120409913</v>
          </cell>
          <cell r="AG64" t="e">
            <v>#DIV/0!</v>
          </cell>
          <cell r="AI64">
            <v>0.59956942949407965</v>
          </cell>
          <cell r="AJ64">
            <v>0.58810572687224671</v>
          </cell>
          <cell r="AK64">
            <v>21.59861710019473</v>
          </cell>
          <cell r="AL64">
            <v>136.23564331852413</v>
          </cell>
        </row>
        <row r="65">
          <cell r="D65">
            <v>115</v>
          </cell>
          <cell r="AC65" t="str">
            <v>EBITDA</v>
          </cell>
          <cell r="AF65">
            <v>230.2</v>
          </cell>
          <cell r="AG65">
            <v>-230.2</v>
          </cell>
          <cell r="AI65">
            <v>225</v>
          </cell>
          <cell r="AJ65">
            <v>209</v>
          </cell>
          <cell r="AK65">
            <v>2.3111111111111082E-2</v>
          </cell>
          <cell r="AL65">
            <v>0.10143540669856455</v>
          </cell>
          <cell r="AM65">
            <v>-1</v>
          </cell>
          <cell r="AN65">
            <v>-1</v>
          </cell>
        </row>
        <row r="66">
          <cell r="AC66" t="str">
            <v>Margin</v>
          </cell>
          <cell r="AE66" t="e">
            <v>#DIV/0!</v>
          </cell>
          <cell r="AF66">
            <v>0.24573014517506406</v>
          </cell>
          <cell r="AG66" t="e">
            <v>#DIV/0!</v>
          </cell>
          <cell r="AI66">
            <v>0.24219590958019377</v>
          </cell>
          <cell r="AJ66">
            <v>0.23017621145374451</v>
          </cell>
          <cell r="AK66">
            <v>35.342355948702888</v>
          </cell>
          <cell r="AL66">
            <v>155.53933721319552</v>
          </cell>
        </row>
        <row r="67">
          <cell r="AC67" t="str">
            <v>CAPEX</v>
          </cell>
          <cell r="AF67">
            <v>107</v>
          </cell>
          <cell r="AG67">
            <v>-107</v>
          </cell>
          <cell r="AI67">
            <v>115</v>
          </cell>
          <cell r="AJ67">
            <v>104</v>
          </cell>
          <cell r="AK67">
            <v>-6.956521739130439E-2</v>
          </cell>
          <cell r="AL67">
            <v>2.8846153846153744E-2</v>
          </cell>
          <cell r="AM67">
            <v>-1</v>
          </cell>
          <cell r="AN67">
            <v>-1</v>
          </cell>
        </row>
        <row r="68">
          <cell r="AC68" t="str">
            <v>Capex Intensity</v>
          </cell>
          <cell r="AE68" t="e">
            <v>#DIV/0!</v>
          </cell>
          <cell r="AF68">
            <v>0.11421861656703673</v>
          </cell>
          <cell r="AG68" t="e">
            <v>#DIV/0!</v>
          </cell>
          <cell r="AI68">
            <v>0.12378902045209902</v>
          </cell>
          <cell r="AJ68">
            <v>0.11453744493392071</v>
          </cell>
          <cell r="AK68">
            <v>-95.704038850622922</v>
          </cell>
          <cell r="AL68">
            <v>-3.1882836688397473</v>
          </cell>
        </row>
        <row r="69">
          <cell r="AC69" t="str">
            <v>NET INTEREST EXP.</v>
          </cell>
          <cell r="AF69">
            <v>154.5</v>
          </cell>
          <cell r="AG69">
            <v>-154.5</v>
          </cell>
          <cell r="AI69">
            <v>157</v>
          </cell>
          <cell r="AJ69">
            <v>145</v>
          </cell>
          <cell r="AK69">
            <v>-1.5923566878980888E-2</v>
          </cell>
          <cell r="AL69">
            <v>6.5517241379310365E-2</v>
          </cell>
          <cell r="AM69">
            <v>-1</v>
          </cell>
          <cell r="AN69">
            <v>-1</v>
          </cell>
        </row>
        <row r="70">
          <cell r="AC70" t="str">
            <v>FCFE</v>
          </cell>
          <cell r="AF70">
            <v>-31.300000000000011</v>
          </cell>
          <cell r="AG70">
            <v>31.300000000000011</v>
          </cell>
          <cell r="AI70">
            <v>-47</v>
          </cell>
          <cell r="AJ70">
            <v>-40</v>
          </cell>
          <cell r="AK70" t="str">
            <v>NA</v>
          </cell>
          <cell r="AL70" t="str">
            <v>NA</v>
          </cell>
        </row>
        <row r="71">
          <cell r="AC71" t="str">
            <v>EPS</v>
          </cell>
          <cell r="AF71">
            <v>-0.09</v>
          </cell>
          <cell r="AG71">
            <v>0.09</v>
          </cell>
          <cell r="AI71">
            <v>-1.829068085349373</v>
          </cell>
          <cell r="AJ71">
            <v>-1.5271001542762721</v>
          </cell>
          <cell r="AK71" t="str">
            <v>NA</v>
          </cell>
          <cell r="AL71" t="str">
            <v>NA</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
      <sheetName val="Q - old"/>
      <sheetName val="Q"/>
      <sheetName val="Rev"/>
      <sheetName val="IS"/>
      <sheetName val="BS"/>
      <sheetName val="CF"/>
      <sheetName val="Valuation"/>
      <sheetName val="Link"/>
      <sheetName val="Charts"/>
      <sheetName val="Est Table"/>
      <sheetName val="MWA RR"/>
      <sheetName val="DCF"/>
      <sheetName val="MW-Cache"/>
      <sheetName val="Est. TableP"/>
      <sheetName val="__FDSCACHE__"/>
      <sheetName val="Est vs Act"/>
      <sheetName val="mwareDates"/>
      <sheetName val="mwareSettings"/>
      <sheetName val="mc"/>
      <sheetName val="pro-forma"/>
      <sheetName val="mwareDates_40024_5763844"/>
      <sheetName val="NY UPLOAD shadow"/>
      <sheetName val="TWTC Morgan Stanley"/>
    </sheetNames>
    <sheetDataSet>
      <sheetData sheetId="0"/>
      <sheetData sheetId="1"/>
      <sheetData sheetId="2"/>
      <sheetData sheetId="3"/>
      <sheetData sheetId="4"/>
      <sheetData sheetId="5">
        <row r="1">
          <cell r="CC1" t="str">
            <v>ElementName</v>
          </cell>
          <cell r="CD1" t="str">
            <v>ScaleOverride</v>
          </cell>
          <cell r="CE1" t="str">
            <v>UnitOverride</v>
          </cell>
          <cell r="CF1" t="str">
            <v>ReverseSign</v>
          </cell>
          <cell r="CG1" t="str">
            <v>ElementName</v>
          </cell>
          <cell r="CH1" t="str">
            <v>ScaleOverride</v>
          </cell>
          <cell r="CI1" t="str">
            <v>UnitOverride</v>
          </cell>
          <cell r="CJ1" t="str">
            <v>ReverseSign</v>
          </cell>
          <cell r="CK1" t="str">
            <v>IsDrivingAssumption</v>
          </cell>
          <cell r="CL1" t="str">
            <v>SegmentID</v>
          </cell>
        </row>
        <row r="5">
          <cell r="B5" t="str">
            <v>tw telecom</v>
          </cell>
        </row>
        <row r="6">
          <cell r="B6" t="str">
            <v>Balance Sheet</v>
          </cell>
        </row>
        <row r="8">
          <cell r="K8" t="str">
            <v>Fiscal Year</v>
          </cell>
          <cell r="AA8" t="str">
            <v>2001A</v>
          </cell>
          <cell r="AE8" t="str">
            <v>2002A</v>
          </cell>
          <cell r="AI8" t="str">
            <v>2003A</v>
          </cell>
          <cell r="AM8" t="str">
            <v>2004A</v>
          </cell>
          <cell r="AQ8" t="str">
            <v>2005A</v>
          </cell>
          <cell r="AU8" t="str">
            <v>2006A</v>
          </cell>
          <cell r="AY8" t="str">
            <v>2007A</v>
          </cell>
          <cell r="BC8" t="str">
            <v>2008A</v>
          </cell>
          <cell r="BG8" t="str">
            <v>2009A</v>
          </cell>
          <cell r="BK8" t="str">
            <v>2010A</v>
          </cell>
          <cell r="BO8">
            <v>2011</v>
          </cell>
          <cell r="BS8">
            <v>2012</v>
          </cell>
          <cell r="BW8" t="str">
            <v>2013E</v>
          </cell>
          <cell r="CA8" t="str">
            <v>2014E</v>
          </cell>
        </row>
        <row r="9">
          <cell r="B9" t="str">
            <v>Fiscal Year ending Dec. 31</v>
          </cell>
          <cell r="D9" t="str">
            <v>2000A</v>
          </cell>
          <cell r="E9" t="str">
            <v>2001A</v>
          </cell>
          <cell r="F9" t="str">
            <v>2002A</v>
          </cell>
          <cell r="G9" t="str">
            <v>2003A</v>
          </cell>
          <cell r="H9" t="str">
            <v>2004A</v>
          </cell>
          <cell r="I9" t="str">
            <v>2005A</v>
          </cell>
          <cell r="J9" t="str">
            <v>2006A</v>
          </cell>
          <cell r="K9" t="str">
            <v>2007A</v>
          </cell>
          <cell r="L9" t="str">
            <v>2008A</v>
          </cell>
          <cell r="M9" t="str">
            <v>2009A</v>
          </cell>
          <cell r="N9" t="str">
            <v>2010A</v>
          </cell>
          <cell r="O9" t="str">
            <v>2011A</v>
          </cell>
          <cell r="P9" t="str">
            <v>2012A</v>
          </cell>
          <cell r="Q9" t="str">
            <v>2013E</v>
          </cell>
          <cell r="R9" t="str">
            <v>2014E</v>
          </cell>
          <cell r="S9" t="str">
            <v>2015E</v>
          </cell>
          <cell r="T9" t="str">
            <v>2016E</v>
          </cell>
          <cell r="U9" t="str">
            <v>2017E</v>
          </cell>
          <cell r="V9" t="str">
            <v>2018E</v>
          </cell>
          <cell r="W9" t="str">
            <v>2019E</v>
          </cell>
          <cell r="X9" t="str">
            <v>2020E</v>
          </cell>
          <cell r="Y9" t="str">
            <v>2021E</v>
          </cell>
          <cell r="AA9" t="str">
            <v>Mar</v>
          </cell>
          <cell r="AB9" t="str">
            <v>Jun</v>
          </cell>
          <cell r="AC9" t="str">
            <v>Sep</v>
          </cell>
          <cell r="AD9" t="str">
            <v>Dec</v>
          </cell>
          <cell r="AE9" t="str">
            <v>Mar</v>
          </cell>
          <cell r="AF9" t="str">
            <v>Jun</v>
          </cell>
          <cell r="AG9" t="str">
            <v>Sep</v>
          </cell>
          <cell r="AH9" t="str">
            <v>Dec</v>
          </cell>
          <cell r="AI9" t="str">
            <v>Mar</v>
          </cell>
          <cell r="AJ9" t="str">
            <v>Jun</v>
          </cell>
          <cell r="AK9" t="str">
            <v>Sep</v>
          </cell>
          <cell r="AL9" t="str">
            <v>Dec</v>
          </cell>
          <cell r="AM9" t="str">
            <v>Mar</v>
          </cell>
          <cell r="AN9" t="str">
            <v>Jun</v>
          </cell>
          <cell r="AO9" t="str">
            <v>Sep</v>
          </cell>
          <cell r="AP9" t="str">
            <v>Dec</v>
          </cell>
          <cell r="AQ9" t="str">
            <v>Mar</v>
          </cell>
          <cell r="AR9" t="str">
            <v>Jun</v>
          </cell>
          <cell r="AS9" t="str">
            <v>Sep</v>
          </cell>
          <cell r="AT9" t="str">
            <v>Dec</v>
          </cell>
          <cell r="AU9" t="str">
            <v>Mar</v>
          </cell>
          <cell r="AV9" t="str">
            <v>Jun</v>
          </cell>
          <cell r="AW9" t="str">
            <v>Sep</v>
          </cell>
          <cell r="AX9" t="str">
            <v>Dec</v>
          </cell>
          <cell r="AY9" t="str">
            <v>Mar</v>
          </cell>
          <cell r="AZ9" t="str">
            <v>Jun</v>
          </cell>
          <cell r="BA9" t="str">
            <v>Sep</v>
          </cell>
          <cell r="BB9" t="str">
            <v>Dec</v>
          </cell>
          <cell r="BC9" t="str">
            <v>Mar</v>
          </cell>
          <cell r="BD9" t="str">
            <v>Jun</v>
          </cell>
          <cell r="BE9" t="str">
            <v>Sep</v>
          </cell>
          <cell r="BF9" t="str">
            <v>Dec</v>
          </cell>
          <cell r="BG9" t="str">
            <v>Mar</v>
          </cell>
          <cell r="BH9" t="str">
            <v>Jun</v>
          </cell>
          <cell r="BI9" t="str">
            <v>Sep</v>
          </cell>
          <cell r="BJ9" t="str">
            <v>Dec</v>
          </cell>
          <cell r="BK9" t="str">
            <v>1Q10</v>
          </cell>
          <cell r="BL9" t="str">
            <v>2Q10</v>
          </cell>
          <cell r="BM9" t="str">
            <v>3Q10</v>
          </cell>
          <cell r="BN9" t="str">
            <v>4Q10</v>
          </cell>
          <cell r="BO9" t="str">
            <v>1Q11</v>
          </cell>
          <cell r="BP9" t="str">
            <v>2Q11</v>
          </cell>
          <cell r="BQ9" t="str">
            <v>3Q11</v>
          </cell>
          <cell r="BR9" t="str">
            <v>4Q11</v>
          </cell>
          <cell r="BS9" t="str">
            <v>1Q12</v>
          </cell>
          <cell r="BT9" t="str">
            <v>2Q12</v>
          </cell>
          <cell r="BU9" t="str">
            <v>3Q12</v>
          </cell>
          <cell r="BV9" t="str">
            <v>4Q12</v>
          </cell>
          <cell r="BW9" t="str">
            <v>1Q13</v>
          </cell>
          <cell r="BX9" t="str">
            <v>2Q13</v>
          </cell>
          <cell r="BY9" t="str">
            <v>3Q13</v>
          </cell>
          <cell r="BZ9" t="str">
            <v>4Q13E</v>
          </cell>
          <cell r="CA9" t="str">
            <v>1Q14E</v>
          </cell>
          <cell r="CB9" t="str">
            <v>2Q14E</v>
          </cell>
          <cell r="CC9" t="str">
            <v>3Q14E</v>
          </cell>
          <cell r="CD9" t="str">
            <v>4Q14E</v>
          </cell>
        </row>
        <row r="10">
          <cell r="B10" t="str">
            <v>ASSETS</v>
          </cell>
        </row>
        <row r="11">
          <cell r="B11" t="str">
            <v xml:space="preserve">  Cash and equivalents</v>
          </cell>
          <cell r="E11">
            <v>365.59999999999997</v>
          </cell>
          <cell r="F11">
            <v>506.46</v>
          </cell>
          <cell r="G11">
            <v>353.03199999999998</v>
          </cell>
          <cell r="H11">
            <v>130.05199999999991</v>
          </cell>
          <cell r="I11">
            <v>210.83399999999989</v>
          </cell>
          <cell r="J11">
            <v>221.55299999999986</v>
          </cell>
          <cell r="K11">
            <v>321.53099999999995</v>
          </cell>
          <cell r="L11">
            <v>352.17599999999993</v>
          </cell>
          <cell r="M11">
            <v>445.90699999999998</v>
          </cell>
          <cell r="N11">
            <v>356.92199999999997</v>
          </cell>
          <cell r="O11">
            <v>353.39400000000006</v>
          </cell>
          <cell r="P11">
            <v>806.72799999999995</v>
          </cell>
          <cell r="Q11">
            <v>380.04555158103085</v>
          </cell>
          <cell r="R11">
            <v>338.78261646628704</v>
          </cell>
          <cell r="S11">
            <v>391.94351970596898</v>
          </cell>
          <cell r="T11">
            <v>417.74603783443143</v>
          </cell>
          <cell r="U11">
            <v>476.02089906165344</v>
          </cell>
          <cell r="V11">
            <v>626.4580650097173</v>
          </cell>
          <cell r="W11">
            <v>887.08700433868717</v>
          </cell>
          <cell r="X11">
            <v>1170.4758084796285</v>
          </cell>
          <cell r="Y11">
            <v>1554.4135289592371</v>
          </cell>
          <cell r="AA11">
            <v>513.04899999999998</v>
          </cell>
          <cell r="AB11">
            <v>450.45799999999997</v>
          </cell>
          <cell r="AC11">
            <v>364.17399999999998</v>
          </cell>
          <cell r="AD11">
            <v>365.59999999999997</v>
          </cell>
          <cell r="AE11">
            <v>305.64</v>
          </cell>
          <cell r="AF11">
            <v>317.077</v>
          </cell>
          <cell r="AG11">
            <v>305.02599999999995</v>
          </cell>
          <cell r="AH11">
            <v>506.46</v>
          </cell>
          <cell r="AI11">
            <v>487.82799999999997</v>
          </cell>
          <cell r="AJ11">
            <v>437.94599999999997</v>
          </cell>
          <cell r="AK11">
            <v>404.50099999999998</v>
          </cell>
          <cell r="AL11">
            <v>353.03199999999998</v>
          </cell>
          <cell r="AM11">
            <v>330.589</v>
          </cell>
          <cell r="AN11">
            <v>208.33599999999998</v>
          </cell>
          <cell r="AO11">
            <v>172.50099999999995</v>
          </cell>
          <cell r="AP11">
            <v>130.05199999999991</v>
          </cell>
          <cell r="AQ11">
            <v>248.21799999999988</v>
          </cell>
          <cell r="AR11">
            <v>271.88599999999985</v>
          </cell>
          <cell r="AS11">
            <v>213.00999999999991</v>
          </cell>
          <cell r="AT11">
            <v>210.83399999999989</v>
          </cell>
          <cell r="AU11">
            <v>545.84699999999987</v>
          </cell>
          <cell r="AV11">
            <v>130.82599999999991</v>
          </cell>
          <cell r="AW11">
            <v>239.12099999999987</v>
          </cell>
          <cell r="AX11">
            <v>221.55299999999986</v>
          </cell>
          <cell r="AY11">
            <v>300.54699999999985</v>
          </cell>
          <cell r="AZ11">
            <v>211.14099999999991</v>
          </cell>
          <cell r="BA11">
            <v>237.48499999999993</v>
          </cell>
          <cell r="BB11">
            <v>321.53099999999995</v>
          </cell>
          <cell r="BC11">
            <v>318.21799999999996</v>
          </cell>
          <cell r="BD11">
            <v>325.15599999999995</v>
          </cell>
          <cell r="BE11">
            <v>333.6869999999999</v>
          </cell>
          <cell r="BF11">
            <v>352.17599999999993</v>
          </cell>
          <cell r="BG11">
            <v>353.21199999999993</v>
          </cell>
          <cell r="BH11">
            <v>391.80099999999993</v>
          </cell>
          <cell r="BI11">
            <v>432.33099999999996</v>
          </cell>
          <cell r="BJ11">
            <v>445.90699999999998</v>
          </cell>
          <cell r="BK11">
            <v>386.91099999999994</v>
          </cell>
          <cell r="BL11">
            <v>352.63299999999992</v>
          </cell>
          <cell r="BM11">
            <v>405.51599999999991</v>
          </cell>
          <cell r="BN11">
            <v>356.92199999999997</v>
          </cell>
          <cell r="BO11">
            <v>362.21499999999997</v>
          </cell>
          <cell r="BP11">
            <v>379.23099999999999</v>
          </cell>
          <cell r="BQ11">
            <v>339.74099999999999</v>
          </cell>
          <cell r="BR11">
            <v>353.39400000000006</v>
          </cell>
          <cell r="BS11">
            <v>352.13099999999997</v>
          </cell>
          <cell r="BT11">
            <v>387.67799999999988</v>
          </cell>
          <cell r="BU11">
            <v>316.7999999999999</v>
          </cell>
          <cell r="BV11">
            <v>806.72799999999995</v>
          </cell>
          <cell r="BW11">
            <v>731.71</v>
          </cell>
          <cell r="BX11">
            <v>420.26499999999999</v>
          </cell>
          <cell r="BY11">
            <v>411.33699999999999</v>
          </cell>
          <cell r="BZ11">
            <v>380.04555158103085</v>
          </cell>
          <cell r="CA11">
            <v>351.25504834676684</v>
          </cell>
          <cell r="CB11">
            <v>338.4030846722556</v>
          </cell>
          <cell r="CC11" t="str">
            <v>mstag:cashAndCashEquivalents</v>
          </cell>
          <cell r="CD11">
            <v>6</v>
          </cell>
          <cell r="CE11" t="str">
            <v>ISO4217:USD</v>
          </cell>
          <cell r="CF11" t="b">
            <v>0</v>
          </cell>
          <cell r="CG11" t="str">
            <v>mstag:cashAndCashEquivalents</v>
          </cell>
          <cell r="CH11">
            <v>6</v>
          </cell>
          <cell r="CI11" t="str">
            <v>ISO4217:USD</v>
          </cell>
          <cell r="CJ11" t="b">
            <v>0</v>
          </cell>
        </row>
        <row r="12">
          <cell r="B12" t="str">
            <v xml:space="preserve">  Marketable securities</v>
          </cell>
          <cell r="E12">
            <v>18.454000000000001</v>
          </cell>
          <cell r="F12">
            <v>0</v>
          </cell>
          <cell r="G12">
            <v>125.56100000000001</v>
          </cell>
          <cell r="H12">
            <v>302.45400000000001</v>
          </cell>
          <cell r="I12">
            <v>182.68899999999999</v>
          </cell>
          <cell r="J12">
            <v>87.9</v>
          </cell>
          <cell r="K12">
            <v>0</v>
          </cell>
          <cell r="L12">
            <v>0</v>
          </cell>
          <cell r="M12">
            <v>24.864999999999998</v>
          </cell>
          <cell r="N12">
            <v>118.672</v>
          </cell>
          <cell r="O12">
            <v>131.52499999999992</v>
          </cell>
          <cell r="P12">
            <v>167.56400000000008</v>
          </cell>
          <cell r="Q12">
            <v>158.18399999999997</v>
          </cell>
          <cell r="R12">
            <v>158.18399999999997</v>
          </cell>
          <cell r="S12">
            <v>158.18399999999997</v>
          </cell>
          <cell r="T12">
            <v>158.18399999999997</v>
          </cell>
          <cell r="U12">
            <v>158.18399999999997</v>
          </cell>
          <cell r="V12">
            <v>158.18399999999997</v>
          </cell>
          <cell r="W12">
            <v>158.18399999999997</v>
          </cell>
          <cell r="X12">
            <v>158.18399999999997</v>
          </cell>
          <cell r="Y12">
            <v>158.18399999999997</v>
          </cell>
          <cell r="AA12">
            <v>36.762</v>
          </cell>
          <cell r="AB12">
            <v>30.152999999999999</v>
          </cell>
          <cell r="AC12">
            <v>15.945</v>
          </cell>
          <cell r="AD12">
            <v>18.454000000000001</v>
          </cell>
          <cell r="AE12">
            <v>9.4920000000000009</v>
          </cell>
          <cell r="AF12">
            <v>6.56</v>
          </cell>
          <cell r="AG12">
            <v>4.0199999999999996</v>
          </cell>
          <cell r="AH12">
            <v>0</v>
          </cell>
          <cell r="AI12">
            <v>0</v>
          </cell>
          <cell r="AJ12">
            <v>67.290999999999997</v>
          </cell>
          <cell r="AK12">
            <v>60.030999999999999</v>
          </cell>
          <cell r="AL12">
            <v>125.56100000000001</v>
          </cell>
          <cell r="AM12">
            <v>139.57</v>
          </cell>
          <cell r="AN12">
            <v>254.83</v>
          </cell>
          <cell r="AO12">
            <v>261.541</v>
          </cell>
          <cell r="AP12">
            <v>302.45400000000001</v>
          </cell>
          <cell r="AQ12">
            <v>124.958</v>
          </cell>
          <cell r="AR12">
            <v>110.498</v>
          </cell>
          <cell r="AS12">
            <v>164.04900000000001</v>
          </cell>
          <cell r="AT12">
            <v>182.68899999999999</v>
          </cell>
          <cell r="AU12">
            <v>195.92599999999999</v>
          </cell>
          <cell r="AV12">
            <v>197.47</v>
          </cell>
          <cell r="AW12">
            <v>106</v>
          </cell>
          <cell r="AX12">
            <v>87.9</v>
          </cell>
          <cell r="AY12">
            <v>5.3040000000000003</v>
          </cell>
          <cell r="AZ12">
            <v>88.043000000000006</v>
          </cell>
          <cell r="BA12">
            <v>69.593000000000004</v>
          </cell>
          <cell r="BB12">
            <v>0</v>
          </cell>
          <cell r="BC12">
            <v>0</v>
          </cell>
          <cell r="BD12">
            <v>0</v>
          </cell>
          <cell r="BE12">
            <v>0</v>
          </cell>
          <cell r="BF12">
            <v>0</v>
          </cell>
          <cell r="BG12">
            <v>0</v>
          </cell>
          <cell r="BH12">
            <v>0</v>
          </cell>
          <cell r="BI12">
            <v>0</v>
          </cell>
          <cell r="BJ12">
            <v>24.864999999999998</v>
          </cell>
          <cell r="BK12">
            <v>99.558000000000007</v>
          </cell>
          <cell r="BL12">
            <v>134.28899999999999</v>
          </cell>
          <cell r="BM12">
            <v>101.94199999999999</v>
          </cell>
          <cell r="BN12">
            <v>118.672</v>
          </cell>
          <cell r="BO12">
            <v>117.547</v>
          </cell>
          <cell r="BP12">
            <v>130.03</v>
          </cell>
          <cell r="BQ12">
            <v>129.352</v>
          </cell>
          <cell r="BR12">
            <v>131.52499999999992</v>
          </cell>
          <cell r="BS12">
            <v>134.536</v>
          </cell>
          <cell r="BT12">
            <v>144.02100000000007</v>
          </cell>
          <cell r="BU12">
            <v>142.59700000000009</v>
          </cell>
          <cell r="BV12">
            <v>167.56400000000008</v>
          </cell>
          <cell r="BW12">
            <v>181.57499999999999</v>
          </cell>
          <cell r="BX12">
            <v>194.155</v>
          </cell>
          <cell r="BY12">
            <v>158.18399999999997</v>
          </cell>
          <cell r="BZ12">
            <v>158.18399999999997</v>
          </cell>
          <cell r="CA12">
            <v>158.18399999999997</v>
          </cell>
          <cell r="CB12">
            <v>158.18399999999997</v>
          </cell>
          <cell r="CC12" t="str">
            <v>mstag:shortTermInvestments</v>
          </cell>
          <cell r="CD12">
            <v>6</v>
          </cell>
          <cell r="CE12" t="str">
            <v>ISO4217:USD</v>
          </cell>
          <cell r="CF12" t="b">
            <v>0</v>
          </cell>
          <cell r="CG12" t="str">
            <v>mstag:shortTermInvestments</v>
          </cell>
          <cell r="CH12">
            <v>6</v>
          </cell>
          <cell r="CI12" t="str">
            <v>ISO4217:USD</v>
          </cell>
          <cell r="CJ12" t="b">
            <v>0</v>
          </cell>
        </row>
        <row r="13">
          <cell r="B13" t="str">
            <v xml:space="preserve">  Restricted Cash</v>
          </cell>
          <cell r="E13">
            <v>0</v>
          </cell>
          <cell r="F13">
            <v>0</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AA13">
            <v>0</v>
          </cell>
          <cell r="AB13">
            <v>0</v>
          </cell>
          <cell r="AC13">
            <v>0</v>
          </cell>
          <cell r="AD13">
            <v>0</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BQ13">
            <v>0</v>
          </cell>
          <cell r="BR13">
            <v>0</v>
          </cell>
          <cell r="BV13">
            <v>0</v>
          </cell>
          <cell r="BW13">
            <v>0</v>
          </cell>
          <cell r="BX13">
            <v>0</v>
          </cell>
          <cell r="BY13">
            <v>0</v>
          </cell>
          <cell r="BZ13">
            <v>0</v>
          </cell>
          <cell r="CA13">
            <v>0</v>
          </cell>
          <cell r="CB13">
            <v>0</v>
          </cell>
          <cell r="CC13" t="str">
            <v>mstag:otherAssetsOperatingCurrent</v>
          </cell>
          <cell r="CD13">
            <v>6</v>
          </cell>
          <cell r="CE13" t="str">
            <v>ISO4217:USD</v>
          </cell>
          <cell r="CF13" t="b">
            <v>0</v>
          </cell>
          <cell r="CG13" t="str">
            <v>mstag:otherAssetsOperatingCurrent</v>
          </cell>
          <cell r="CH13">
            <v>6</v>
          </cell>
          <cell r="CI13" t="str">
            <v>ISO4217:USD</v>
          </cell>
          <cell r="CJ13" t="b">
            <v>0</v>
          </cell>
        </row>
        <row r="14">
          <cell r="B14" t="str">
            <v xml:space="preserve">  Accounts Receivable</v>
          </cell>
          <cell r="E14">
            <v>78.430999999999997</v>
          </cell>
          <cell r="F14">
            <v>59.988999999999997</v>
          </cell>
          <cell r="G14">
            <v>42.969000000000001</v>
          </cell>
          <cell r="H14">
            <v>45.557000000000002</v>
          </cell>
          <cell r="I14">
            <v>47.598999999999997</v>
          </cell>
          <cell r="J14">
            <v>73.923000000000002</v>
          </cell>
          <cell r="K14">
            <v>75.975999999999999</v>
          </cell>
          <cell r="L14">
            <v>82.391000000000005</v>
          </cell>
          <cell r="M14">
            <v>78.016000000000005</v>
          </cell>
          <cell r="N14">
            <v>81.597999999999999</v>
          </cell>
          <cell r="O14">
            <v>96.182000000000002</v>
          </cell>
          <cell r="P14">
            <v>99.703000000000003</v>
          </cell>
          <cell r="Q14">
            <v>105.30554072311693</v>
          </cell>
          <cell r="R14">
            <v>127.57248570261915</v>
          </cell>
          <cell r="S14">
            <v>170.54010292630633</v>
          </cell>
          <cell r="T14">
            <v>186.56550958979088</v>
          </cell>
          <cell r="U14">
            <v>199.83024122447344</v>
          </cell>
          <cell r="V14">
            <v>211.05764975448574</v>
          </cell>
          <cell r="W14">
            <v>220.3910749959085</v>
          </cell>
          <cell r="X14">
            <v>230.26495233554195</v>
          </cell>
          <cell r="Y14">
            <v>240.90498143735294</v>
          </cell>
          <cell r="AA14">
            <v>86.063999999999993</v>
          </cell>
          <cell r="AB14">
            <v>88.483999999999995</v>
          </cell>
          <cell r="AC14">
            <v>98.637</v>
          </cell>
          <cell r="AD14">
            <v>78.430999999999997</v>
          </cell>
          <cell r="AE14">
            <v>78.819999999999993</v>
          </cell>
          <cell r="AF14">
            <v>70.650000000000006</v>
          </cell>
          <cell r="AG14">
            <v>64.350999999999999</v>
          </cell>
          <cell r="AH14">
            <v>59.988999999999997</v>
          </cell>
          <cell r="AI14">
            <v>52.151000000000003</v>
          </cell>
          <cell r="AJ14">
            <v>44.122999999999998</v>
          </cell>
          <cell r="AK14">
            <v>48.081000000000003</v>
          </cell>
          <cell r="AL14">
            <v>42.969000000000001</v>
          </cell>
          <cell r="AM14">
            <v>39.75</v>
          </cell>
          <cell r="AN14">
            <v>41.119</v>
          </cell>
          <cell r="AO14">
            <v>41.622999999999998</v>
          </cell>
          <cell r="AP14">
            <v>45.557000000000002</v>
          </cell>
          <cell r="AQ14">
            <v>40.968000000000004</v>
          </cell>
          <cell r="AR14">
            <v>53.664999999999999</v>
          </cell>
          <cell r="AS14">
            <v>41.067</v>
          </cell>
          <cell r="AT14">
            <v>47.598999999999997</v>
          </cell>
          <cell r="AU14">
            <v>46.271999999999998</v>
          </cell>
          <cell r="AV14">
            <v>46.904000000000003</v>
          </cell>
          <cell r="AW14">
            <v>58.234000000000002</v>
          </cell>
          <cell r="AX14">
            <v>73.923000000000002</v>
          </cell>
          <cell r="AY14">
            <v>68.215999999999994</v>
          </cell>
          <cell r="AZ14">
            <v>75.165000000000006</v>
          </cell>
          <cell r="BA14">
            <v>80.290999999999997</v>
          </cell>
          <cell r="BB14">
            <v>75.975999999999999</v>
          </cell>
          <cell r="BC14">
            <v>76.415000000000006</v>
          </cell>
          <cell r="BD14">
            <v>76.822999999999993</v>
          </cell>
          <cell r="BE14">
            <v>73.608000000000004</v>
          </cell>
          <cell r="BF14">
            <v>82.391000000000005</v>
          </cell>
          <cell r="BG14">
            <v>72.558999999999997</v>
          </cell>
          <cell r="BH14">
            <v>74.799000000000007</v>
          </cell>
          <cell r="BI14">
            <v>75.313000000000002</v>
          </cell>
          <cell r="BJ14">
            <v>78.016000000000005</v>
          </cell>
          <cell r="BK14">
            <v>76.248000000000005</v>
          </cell>
          <cell r="BL14">
            <v>79.429000000000002</v>
          </cell>
          <cell r="BM14">
            <v>80.075999999999993</v>
          </cell>
          <cell r="BN14">
            <v>81.597999999999999</v>
          </cell>
          <cell r="BO14">
            <v>81.819000000000003</v>
          </cell>
          <cell r="BP14">
            <v>86.272999999999996</v>
          </cell>
          <cell r="BQ14">
            <v>92.254000000000005</v>
          </cell>
          <cell r="BR14">
            <v>96.182000000000002</v>
          </cell>
          <cell r="BS14">
            <v>91.421000000000006</v>
          </cell>
          <cell r="BT14">
            <v>100.908</v>
          </cell>
          <cell r="BU14">
            <v>106.714</v>
          </cell>
          <cell r="BV14">
            <v>99.703000000000003</v>
          </cell>
          <cell r="BW14">
            <v>104.43</v>
          </cell>
          <cell r="BX14">
            <v>109.765</v>
          </cell>
          <cell r="BY14">
            <v>103.69</v>
          </cell>
          <cell r="BZ14">
            <v>105.30554072311693</v>
          </cell>
          <cell r="CA14">
            <v>119.69443073403218</v>
          </cell>
          <cell r="CB14">
            <v>122.03105418676593</v>
          </cell>
          <cell r="CC14" t="str">
            <v>mstag:tradeReceivablesCurrent</v>
          </cell>
          <cell r="CD14">
            <v>6</v>
          </cell>
          <cell r="CE14" t="str">
            <v>ISO4217:USD</v>
          </cell>
          <cell r="CF14" t="b">
            <v>0</v>
          </cell>
          <cell r="CG14" t="str">
            <v>mstag:tradeReceivablesCurrent</v>
          </cell>
          <cell r="CH14">
            <v>6</v>
          </cell>
          <cell r="CI14" t="str">
            <v>ISO4217:USD</v>
          </cell>
          <cell r="CJ14" t="b">
            <v>0</v>
          </cell>
        </row>
        <row r="15">
          <cell r="B15" t="str">
            <v xml:space="preserve">  Inventory</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V15">
            <v>0</v>
          </cell>
          <cell r="BW15">
            <v>0</v>
          </cell>
          <cell r="BX15">
            <v>0</v>
          </cell>
          <cell r="BY15">
            <v>0</v>
          </cell>
          <cell r="BZ15">
            <v>0</v>
          </cell>
          <cell r="CA15">
            <v>0</v>
          </cell>
          <cell r="CB15">
            <v>0</v>
          </cell>
          <cell r="CC15" t="str">
            <v>mstag:inventories</v>
          </cell>
          <cell r="CD15">
            <v>6</v>
          </cell>
          <cell r="CE15" t="str">
            <v>ISO4217:USD</v>
          </cell>
          <cell r="CF15" t="b">
            <v>0</v>
          </cell>
          <cell r="CG15" t="str">
            <v>mstag:inventories</v>
          </cell>
          <cell r="CH15">
            <v>6</v>
          </cell>
          <cell r="CI15" t="str">
            <v>ISO4217:USD</v>
          </cell>
          <cell r="CJ15" t="b">
            <v>0</v>
          </cell>
        </row>
        <row r="16">
          <cell r="B16" t="str">
            <v xml:space="preserve">  Prepaid expenses</v>
          </cell>
          <cell r="E16">
            <v>3.3050000000000002</v>
          </cell>
          <cell r="F16">
            <v>11.055999999999999</v>
          </cell>
          <cell r="G16">
            <v>10.510999999999999</v>
          </cell>
          <cell r="H16">
            <v>13.087999999999999</v>
          </cell>
          <cell r="I16">
            <v>16.274999999999999</v>
          </cell>
          <cell r="J16">
            <v>18.504000000000001</v>
          </cell>
          <cell r="K16">
            <v>13.461</v>
          </cell>
          <cell r="L16">
            <v>10.375</v>
          </cell>
          <cell r="M16">
            <v>13.545999999999999</v>
          </cell>
          <cell r="N16">
            <v>16.934999999999999</v>
          </cell>
          <cell r="O16">
            <v>17.34</v>
          </cell>
          <cell r="P16">
            <v>19.164000000000001</v>
          </cell>
          <cell r="Q16">
            <v>25.59161269825271</v>
          </cell>
          <cell r="R16">
            <v>27.767353922207377</v>
          </cell>
          <cell r="S16">
            <v>29.886798656671573</v>
          </cell>
          <cell r="T16">
            <v>31.761068791654669</v>
          </cell>
          <cell r="U16">
            <v>33.074288166012352</v>
          </cell>
          <cell r="V16">
            <v>33.988434985575005</v>
          </cell>
          <cell r="W16">
            <v>34.557490772218685</v>
          </cell>
          <cell r="X16">
            <v>35.17993461193943</v>
          </cell>
          <cell r="Y16">
            <v>35.885382788298131</v>
          </cell>
          <cell r="AA16">
            <v>4.5519999999999996</v>
          </cell>
          <cell r="AB16">
            <v>3.742</v>
          </cell>
          <cell r="AC16">
            <v>4.9109999999999996</v>
          </cell>
          <cell r="AD16">
            <v>3.3050000000000002</v>
          </cell>
          <cell r="AE16">
            <v>4.3460000000000001</v>
          </cell>
          <cell r="AF16">
            <v>8.1389999999999993</v>
          </cell>
          <cell r="AG16">
            <v>8.5310000000000006</v>
          </cell>
          <cell r="AH16">
            <v>11.055999999999999</v>
          </cell>
          <cell r="AI16">
            <v>8.9480000000000004</v>
          </cell>
          <cell r="AJ16">
            <v>11.420999999999999</v>
          </cell>
          <cell r="AK16">
            <v>12.675000000000001</v>
          </cell>
          <cell r="AL16">
            <v>10.510999999999999</v>
          </cell>
          <cell r="AM16">
            <v>12.101000000000001</v>
          </cell>
          <cell r="AN16">
            <v>15.659000000000001</v>
          </cell>
          <cell r="AO16">
            <v>16.452999999999999</v>
          </cell>
          <cell r="AP16">
            <v>13.087999999999999</v>
          </cell>
          <cell r="AQ16">
            <v>14.804</v>
          </cell>
          <cell r="AR16">
            <v>15.555</v>
          </cell>
          <cell r="AS16">
            <v>15.955</v>
          </cell>
          <cell r="AT16">
            <v>16.274999999999999</v>
          </cell>
          <cell r="AU16">
            <v>15.521000000000001</v>
          </cell>
          <cell r="AV16">
            <v>20.314</v>
          </cell>
          <cell r="AW16">
            <v>16.97</v>
          </cell>
          <cell r="AX16">
            <v>18.504000000000001</v>
          </cell>
          <cell r="AY16">
            <v>20.969000000000001</v>
          </cell>
          <cell r="AZ16">
            <v>25.132000000000001</v>
          </cell>
          <cell r="BA16">
            <v>18.295000000000002</v>
          </cell>
          <cell r="BB16">
            <v>13.461</v>
          </cell>
          <cell r="BC16">
            <v>11.33</v>
          </cell>
          <cell r="BD16">
            <v>12.997999999999999</v>
          </cell>
          <cell r="BE16">
            <v>12.972</v>
          </cell>
          <cell r="BF16">
            <v>10.375</v>
          </cell>
          <cell r="BG16">
            <v>11.731999999999999</v>
          </cell>
          <cell r="BH16">
            <v>12.721</v>
          </cell>
          <cell r="BI16">
            <v>12.324999999999999</v>
          </cell>
          <cell r="BJ16">
            <v>13.545999999999999</v>
          </cell>
          <cell r="BK16">
            <v>12.458</v>
          </cell>
          <cell r="BL16">
            <v>15.666</v>
          </cell>
          <cell r="BM16">
            <v>21.347999999999999</v>
          </cell>
          <cell r="BN16">
            <v>16.934999999999999</v>
          </cell>
          <cell r="BO16">
            <v>19.468</v>
          </cell>
          <cell r="BP16">
            <v>19.431999999999999</v>
          </cell>
          <cell r="BQ16">
            <v>22.841999999999999</v>
          </cell>
          <cell r="BR16">
            <v>17.34</v>
          </cell>
          <cell r="BS16">
            <v>18.334</v>
          </cell>
          <cell r="BT16">
            <v>19.928999999999998</v>
          </cell>
          <cell r="BU16">
            <v>19.475000000000001</v>
          </cell>
          <cell r="BV16">
            <v>19.164000000000001</v>
          </cell>
          <cell r="BW16">
            <v>24.524000000000001</v>
          </cell>
          <cell r="BX16">
            <v>28.817</v>
          </cell>
          <cell r="BY16">
            <v>25.199000000000002</v>
          </cell>
          <cell r="BZ16">
            <v>25.59161269825271</v>
          </cell>
          <cell r="CA16">
            <v>26.052621005257812</v>
          </cell>
          <cell r="CB16">
            <v>26.561209123123859</v>
          </cell>
          <cell r="CC16" t="str">
            <v>mstag:prepaidExpenses</v>
          </cell>
          <cell r="CD16">
            <v>6</v>
          </cell>
          <cell r="CE16" t="str">
            <v>ISO4217:USD</v>
          </cell>
          <cell r="CF16" t="b">
            <v>0</v>
          </cell>
          <cell r="CG16" t="str">
            <v>mstag:prepaidExpenses</v>
          </cell>
          <cell r="CH16">
            <v>6</v>
          </cell>
          <cell r="CI16" t="str">
            <v>ISO4217:USD</v>
          </cell>
          <cell r="CJ16" t="b">
            <v>0</v>
          </cell>
        </row>
        <row r="17">
          <cell r="B17" t="str">
            <v xml:space="preserve">  Deferred Income Taxes &amp; Other</v>
          </cell>
          <cell r="E17">
            <v>35.57</v>
          </cell>
          <cell r="F17">
            <v>21.960999999999999</v>
          </cell>
          <cell r="G17">
            <v>22.414000000000001</v>
          </cell>
          <cell r="H17">
            <v>12.51</v>
          </cell>
          <cell r="I17">
            <v>11.976000000000001</v>
          </cell>
          <cell r="J17">
            <v>12.792999999999999</v>
          </cell>
          <cell r="K17">
            <v>8.7029999999999994</v>
          </cell>
          <cell r="L17">
            <v>10.475</v>
          </cell>
          <cell r="M17">
            <v>13.012</v>
          </cell>
          <cell r="N17">
            <v>40.427999999999997</v>
          </cell>
          <cell r="O17">
            <v>65.007999999999996</v>
          </cell>
          <cell r="P17">
            <v>76.16</v>
          </cell>
          <cell r="Q17">
            <v>76.16</v>
          </cell>
          <cell r="R17">
            <v>76.16</v>
          </cell>
          <cell r="S17">
            <v>76.16</v>
          </cell>
          <cell r="T17">
            <v>76.16</v>
          </cell>
          <cell r="U17">
            <v>76.16</v>
          </cell>
          <cell r="V17">
            <v>76.16</v>
          </cell>
          <cell r="W17">
            <v>76.16</v>
          </cell>
          <cell r="X17">
            <v>76.16</v>
          </cell>
          <cell r="Y17">
            <v>76.16</v>
          </cell>
          <cell r="AA17">
            <v>37.475000000000001</v>
          </cell>
          <cell r="AB17">
            <v>32.954999999999998</v>
          </cell>
          <cell r="AC17">
            <v>32.316000000000003</v>
          </cell>
          <cell r="AD17">
            <v>35.57</v>
          </cell>
          <cell r="AE17">
            <v>34.761000000000003</v>
          </cell>
          <cell r="AF17">
            <v>27.195</v>
          </cell>
          <cell r="AG17">
            <v>22.573</v>
          </cell>
          <cell r="AH17">
            <v>21.960999999999999</v>
          </cell>
          <cell r="AI17">
            <v>22.757999999999999</v>
          </cell>
          <cell r="AJ17">
            <v>24.908000000000001</v>
          </cell>
          <cell r="AK17">
            <v>24.808</v>
          </cell>
          <cell r="AL17">
            <v>22.414000000000001</v>
          </cell>
          <cell r="AM17">
            <v>19.773</v>
          </cell>
          <cell r="AN17">
            <v>15.795</v>
          </cell>
          <cell r="AO17">
            <v>18.527999999999999</v>
          </cell>
          <cell r="AP17">
            <v>12.51</v>
          </cell>
          <cell r="AQ17">
            <v>11.022</v>
          </cell>
          <cell r="AR17">
            <v>11.113</v>
          </cell>
          <cell r="AS17">
            <v>9.4749999999999996</v>
          </cell>
          <cell r="AT17">
            <v>11.976000000000001</v>
          </cell>
          <cell r="AU17">
            <v>12.215</v>
          </cell>
          <cell r="AV17">
            <v>11.426</v>
          </cell>
          <cell r="AW17">
            <v>10.548999999999999</v>
          </cell>
          <cell r="AX17">
            <v>12.792999999999999</v>
          </cell>
          <cell r="AY17">
            <v>11.339</v>
          </cell>
          <cell r="AZ17">
            <v>10.506</v>
          </cell>
          <cell r="BA17">
            <v>8.8290000000000006</v>
          </cell>
          <cell r="BB17">
            <v>8.7029999999999994</v>
          </cell>
          <cell r="BC17">
            <v>8.7029999999999994</v>
          </cell>
          <cell r="BD17">
            <v>8.7029999999999994</v>
          </cell>
          <cell r="BE17">
            <v>8.7029999999999994</v>
          </cell>
          <cell r="BF17">
            <v>10.475</v>
          </cell>
          <cell r="BG17">
            <v>10.475</v>
          </cell>
          <cell r="BH17">
            <v>10.475</v>
          </cell>
          <cell r="BI17">
            <v>10.475</v>
          </cell>
          <cell r="BJ17">
            <v>13.012</v>
          </cell>
          <cell r="BK17">
            <v>29.574000000000002</v>
          </cell>
          <cell r="BL17">
            <v>88.911000000000001</v>
          </cell>
          <cell r="BM17">
            <v>88.911000000000001</v>
          </cell>
          <cell r="BN17">
            <v>40.427999999999997</v>
          </cell>
          <cell r="BO17">
            <v>40.427999999999997</v>
          </cell>
          <cell r="BP17">
            <v>40.427999999999997</v>
          </cell>
          <cell r="BQ17">
            <v>40.427999999999997</v>
          </cell>
          <cell r="BR17">
            <v>65.007999999999996</v>
          </cell>
          <cell r="BS17">
            <v>65.007999999999996</v>
          </cell>
          <cell r="BT17">
            <v>65.007999999999996</v>
          </cell>
          <cell r="BU17">
            <v>65.007999999999996</v>
          </cell>
          <cell r="BV17">
            <v>76.16</v>
          </cell>
          <cell r="BW17">
            <v>76.16</v>
          </cell>
          <cell r="BX17">
            <v>76.16</v>
          </cell>
          <cell r="BY17">
            <v>76.16</v>
          </cell>
          <cell r="BZ17">
            <v>76.16</v>
          </cell>
          <cell r="CA17">
            <v>76.16</v>
          </cell>
          <cell r="CB17">
            <v>76.16</v>
          </cell>
          <cell r="CC17" t="str">
            <v>mstag:deferredTaxAssetsCurrent</v>
          </cell>
          <cell r="CD17">
            <v>6</v>
          </cell>
          <cell r="CE17" t="str">
            <v>ISO4217:USD</v>
          </cell>
          <cell r="CF17" t="b">
            <v>0</v>
          </cell>
          <cell r="CG17" t="str">
            <v>mstag:deferredTaxAssetsCurrent</v>
          </cell>
          <cell r="CH17">
            <v>6</v>
          </cell>
          <cell r="CI17" t="str">
            <v>ISO4217:USD</v>
          </cell>
          <cell r="CJ17" t="b">
            <v>0</v>
          </cell>
        </row>
        <row r="18">
          <cell r="B18" t="str">
            <v>Current Assets</v>
          </cell>
          <cell r="E18">
            <v>501.35999999999996</v>
          </cell>
          <cell r="F18">
            <v>599.46600000000001</v>
          </cell>
          <cell r="G18">
            <v>554.48699999999997</v>
          </cell>
          <cell r="H18">
            <v>503.66099999999994</v>
          </cell>
          <cell r="I18">
            <v>469.37299999999988</v>
          </cell>
          <cell r="J18">
            <v>414.67299999999989</v>
          </cell>
          <cell r="K18">
            <v>419.67099999999994</v>
          </cell>
          <cell r="L18">
            <v>455.41699999999997</v>
          </cell>
          <cell r="M18">
            <v>575.346</v>
          </cell>
          <cell r="N18">
            <v>614.55499999999984</v>
          </cell>
          <cell r="O18">
            <v>663.44900000000007</v>
          </cell>
          <cell r="P18">
            <v>1169.3190000000002</v>
          </cell>
          <cell r="Q18">
            <v>745.28670500240037</v>
          </cell>
          <cell r="R18">
            <v>728.46645609111351</v>
          </cell>
          <cell r="S18">
            <v>826.71442128894682</v>
          </cell>
          <cell r="T18">
            <v>870.41661621587696</v>
          </cell>
          <cell r="U18">
            <v>943.2694284521391</v>
          </cell>
          <cell r="V18">
            <v>1105.848149749778</v>
          </cell>
          <cell r="W18">
            <v>1376.3795701068143</v>
          </cell>
          <cell r="X18">
            <v>1670.2646954271099</v>
          </cell>
          <cell r="Y18">
            <v>2065.5478931848879</v>
          </cell>
          <cell r="AA18">
            <v>677.90199999999993</v>
          </cell>
          <cell r="AB18">
            <v>605.79200000000003</v>
          </cell>
          <cell r="AC18">
            <v>515.98299999999995</v>
          </cell>
          <cell r="AD18">
            <v>501.35999999999996</v>
          </cell>
          <cell r="AE18">
            <v>433.05900000000003</v>
          </cell>
          <cell r="AF18">
            <v>429.62100000000004</v>
          </cell>
          <cell r="AG18">
            <v>404.50099999999992</v>
          </cell>
          <cell r="AH18">
            <v>599.46600000000001</v>
          </cell>
          <cell r="AI18">
            <v>571.68499999999995</v>
          </cell>
          <cell r="AJ18">
            <v>585.68900000000008</v>
          </cell>
          <cell r="AK18">
            <v>550.09599999999989</v>
          </cell>
          <cell r="AL18">
            <v>554.48699999999997</v>
          </cell>
          <cell r="AM18">
            <v>541.78300000000002</v>
          </cell>
          <cell r="AN18">
            <v>535.73899999999992</v>
          </cell>
          <cell r="AO18">
            <v>510.6459999999999</v>
          </cell>
          <cell r="AP18">
            <v>503.66099999999994</v>
          </cell>
          <cell r="AQ18">
            <v>439.96999999999986</v>
          </cell>
          <cell r="AR18">
            <v>462.71699999999987</v>
          </cell>
          <cell r="AS18">
            <v>443.55599999999993</v>
          </cell>
          <cell r="AT18">
            <v>469.37299999999988</v>
          </cell>
          <cell r="AU18">
            <v>815.78099999999995</v>
          </cell>
          <cell r="AV18">
            <v>406.93999999999994</v>
          </cell>
          <cell r="AW18">
            <v>430.8739999999998</v>
          </cell>
          <cell r="AX18">
            <v>414.67299999999989</v>
          </cell>
          <cell r="AY18">
            <v>406.37499999999983</v>
          </cell>
          <cell r="AZ18">
            <v>409.98699999999997</v>
          </cell>
          <cell r="BA18">
            <v>414.49299999999994</v>
          </cell>
          <cell r="BB18">
            <v>419.67099999999994</v>
          </cell>
          <cell r="BC18">
            <v>414.66599999999994</v>
          </cell>
          <cell r="BD18">
            <v>423.67999999999989</v>
          </cell>
          <cell r="BE18">
            <v>428.96999999999986</v>
          </cell>
          <cell r="BF18">
            <v>455.41699999999997</v>
          </cell>
          <cell r="BG18">
            <v>447.97799999999995</v>
          </cell>
          <cell r="BH18">
            <v>489.79599999999994</v>
          </cell>
          <cell r="BI18">
            <v>530.44399999999996</v>
          </cell>
          <cell r="BJ18">
            <v>575.346</v>
          </cell>
          <cell r="BK18">
            <v>604.74899999999991</v>
          </cell>
          <cell r="BL18">
            <v>670.92799999999988</v>
          </cell>
          <cell r="BM18">
            <v>697.79299999999989</v>
          </cell>
          <cell r="BN18">
            <v>614.55499999999984</v>
          </cell>
          <cell r="BO18">
            <v>621.47699999999986</v>
          </cell>
          <cell r="BP18">
            <v>655.39400000000001</v>
          </cell>
          <cell r="BQ18">
            <v>624.61699999999996</v>
          </cell>
          <cell r="BR18">
            <v>663.44900000000007</v>
          </cell>
          <cell r="BS18">
            <v>661.43</v>
          </cell>
          <cell r="BT18">
            <v>717.54399999999998</v>
          </cell>
          <cell r="BU18">
            <v>650.59400000000005</v>
          </cell>
          <cell r="BV18">
            <v>1169.3190000000002</v>
          </cell>
          <cell r="BW18">
            <v>1118.3990000000001</v>
          </cell>
          <cell r="BX18">
            <v>829.16199999999992</v>
          </cell>
          <cell r="BY18">
            <v>774.56999999999994</v>
          </cell>
          <cell r="BZ18">
            <v>745.28670500240037</v>
          </cell>
          <cell r="CA18">
            <v>731.34610008605682</v>
          </cell>
          <cell r="CB18">
            <v>721.33934798214534</v>
          </cell>
          <cell r="CC18">
            <v>728.78900892364641</v>
          </cell>
          <cell r="CD18">
            <v>728.46645609111351</v>
          </cell>
        </row>
        <row r="20">
          <cell r="B20" t="str">
            <v xml:space="preserve">  Gross PPE</v>
          </cell>
          <cell r="E20">
            <v>2286.2779999999998</v>
          </cell>
          <cell r="F20">
            <v>2103.7170000000001</v>
          </cell>
          <cell r="G20">
            <v>2215.5230000000001</v>
          </cell>
          <cell r="H20">
            <v>2336.3380000000002</v>
          </cell>
          <cell r="I20">
            <v>2480.1129999999998</v>
          </cell>
          <cell r="J20">
            <v>2771.6309999999999</v>
          </cell>
          <cell r="K20">
            <v>3022.752</v>
          </cell>
          <cell r="L20">
            <v>3266.8679999999999</v>
          </cell>
          <cell r="M20">
            <v>3481.2869999999998</v>
          </cell>
          <cell r="N20">
            <v>3732.05</v>
          </cell>
          <cell r="O20">
            <v>4026.134</v>
          </cell>
          <cell r="P20">
            <v>4247.8680000000004</v>
          </cell>
          <cell r="Q20">
            <v>4707.4427011099642</v>
          </cell>
          <cell r="R20">
            <v>5135.8370117208133</v>
          </cell>
          <cell r="S20">
            <v>5496.9807590941682</v>
          </cell>
          <cell r="T20">
            <v>5861.5830692639311</v>
          </cell>
          <cell r="U20">
            <v>6221.2775034679835</v>
          </cell>
          <cell r="V20">
            <v>6570.3782646835116</v>
          </cell>
          <cell r="W20">
            <v>6904.4447362562569</v>
          </cell>
          <cell r="X20">
            <v>7223.2731317977768</v>
          </cell>
          <cell r="Y20">
            <v>7429.2468909267136</v>
          </cell>
          <cell r="AA20">
            <v>1981.644</v>
          </cell>
          <cell r="AB20">
            <v>2122.77</v>
          </cell>
          <cell r="AC20">
            <v>2217.605</v>
          </cell>
          <cell r="AD20">
            <v>2286.2779999999998</v>
          </cell>
          <cell r="AE20">
            <v>2323.1149999999998</v>
          </cell>
          <cell r="AF20">
            <v>2353.2020000000002</v>
          </cell>
          <cell r="AG20">
            <v>2375.2280000000001</v>
          </cell>
          <cell r="AH20">
            <v>2103.7170000000001</v>
          </cell>
          <cell r="AI20">
            <v>2122.2330000000002</v>
          </cell>
          <cell r="AJ20">
            <v>2149.6460000000002</v>
          </cell>
          <cell r="AK20">
            <v>2181.2399999999998</v>
          </cell>
          <cell r="AL20">
            <v>2215.5230000000001</v>
          </cell>
          <cell r="AM20">
            <v>2245.1309999999999</v>
          </cell>
          <cell r="AN20">
            <v>2288</v>
          </cell>
          <cell r="AO20">
            <v>2334.0059999999999</v>
          </cell>
          <cell r="AP20">
            <v>2336.3380000000002</v>
          </cell>
          <cell r="AQ20">
            <v>2374.9560000000001</v>
          </cell>
          <cell r="AR20">
            <v>2412.34</v>
          </cell>
          <cell r="AS20">
            <v>2447.5729999999999</v>
          </cell>
          <cell r="AT20">
            <v>2480.1129999999998</v>
          </cell>
          <cell r="AU20">
            <v>2515.8870000000002</v>
          </cell>
          <cell r="AV20">
            <v>2561.5010000000002</v>
          </cell>
          <cell r="AW20">
            <v>2601.7460000000001</v>
          </cell>
          <cell r="AX20">
            <v>2771.6309999999999</v>
          </cell>
          <cell r="AY20">
            <v>2827.069</v>
          </cell>
          <cell r="AZ20">
            <v>2904.0880000000002</v>
          </cell>
          <cell r="BA20">
            <v>2959.9450000000002</v>
          </cell>
          <cell r="BB20">
            <v>3022.752</v>
          </cell>
          <cell r="BC20">
            <v>3083.9070000000002</v>
          </cell>
          <cell r="BD20">
            <v>3149.1039999999998</v>
          </cell>
          <cell r="BE20">
            <v>3221.2179999999998</v>
          </cell>
          <cell r="BF20">
            <v>3266.8679999999999</v>
          </cell>
          <cell r="BG20">
            <v>3330.1149999999998</v>
          </cell>
          <cell r="BH20">
            <v>3389.6529999999998</v>
          </cell>
          <cell r="BI20">
            <v>3443.5540000000001</v>
          </cell>
          <cell r="BJ20">
            <v>3481.2869999999998</v>
          </cell>
          <cell r="BK20">
            <v>3559.212</v>
          </cell>
          <cell r="BL20">
            <v>3640.018</v>
          </cell>
          <cell r="BM20">
            <v>3690.547</v>
          </cell>
          <cell r="BN20">
            <v>3732.05</v>
          </cell>
          <cell r="BO20">
            <v>3792.0949999999998</v>
          </cell>
          <cell r="BP20">
            <v>3877.2860000000001</v>
          </cell>
          <cell r="BQ20">
            <v>3958.489</v>
          </cell>
          <cell r="BR20">
            <v>4026.134</v>
          </cell>
          <cell r="BS20">
            <v>4080.835</v>
          </cell>
          <cell r="BT20">
            <v>4116.3289999999997</v>
          </cell>
          <cell r="BU20">
            <v>4186.3209999999999</v>
          </cell>
          <cell r="BV20">
            <v>4247.8680000000004</v>
          </cell>
          <cell r="BW20">
            <v>4327.9390000000003</v>
          </cell>
          <cell r="BX20">
            <v>4421.375</v>
          </cell>
          <cell r="BY20">
            <v>4495.6000000000004</v>
          </cell>
          <cell r="BZ20">
            <v>4707.4427011099642</v>
          </cell>
          <cell r="CA20">
            <v>4817.2002357075862</v>
          </cell>
          <cell r="CB20">
            <v>4925.9920717514487</v>
          </cell>
          <cell r="CC20" t="str">
            <v>mstag:propertyPlantAndEquipmentGross</v>
          </cell>
          <cell r="CD20">
            <v>6</v>
          </cell>
          <cell r="CE20" t="str">
            <v>ISO4217:USD</v>
          </cell>
          <cell r="CF20" t="b">
            <v>0</v>
          </cell>
          <cell r="CG20" t="str">
            <v>mstag:propertyPlantAndEquipmentGross</v>
          </cell>
          <cell r="CH20">
            <v>6</v>
          </cell>
          <cell r="CI20" t="str">
            <v>ISO4217:USD</v>
          </cell>
          <cell r="CJ20" t="b">
            <v>0</v>
          </cell>
        </row>
        <row r="21">
          <cell r="B21" t="str">
            <v xml:space="preserve">  Accumulated depreciation</v>
          </cell>
          <cell r="E21">
            <v>-475.18200000000002</v>
          </cell>
          <cell r="F21">
            <v>-647.82600000000002</v>
          </cell>
          <cell r="G21">
            <v>-852.27599999999995</v>
          </cell>
          <cell r="H21">
            <v>-1033.2460000000001</v>
          </cell>
          <cell r="I21">
            <v>-1253.163</v>
          </cell>
          <cell r="J21">
            <v>-1477.519</v>
          </cell>
          <cell r="K21">
            <v>-1727.8520000000001</v>
          </cell>
          <cell r="L21">
            <v>-1959.9580000000001</v>
          </cell>
          <cell r="M21">
            <v>-2186.915</v>
          </cell>
          <cell r="N21">
            <v>-2375.4380000000001</v>
          </cell>
          <cell r="O21">
            <v>-2598.922</v>
          </cell>
          <cell r="P21">
            <v>-2755.6219999999998</v>
          </cell>
          <cell r="Q21">
            <v>-3002.9345613888627</v>
          </cell>
          <cell r="R21">
            <v>-3378.6233597801097</v>
          </cell>
          <cell r="S21">
            <v>-3778.3266116723807</v>
          </cell>
          <cell r="T21">
            <v>-4205.3055878041087</v>
          </cell>
          <cell r="U21">
            <v>-4666.4651124476559</v>
          </cell>
          <cell r="V21">
            <v>-5166.1531557103863</v>
          </cell>
          <cell r="W21">
            <v>-5646.2874782737854</v>
          </cell>
          <cell r="X21">
            <v>-6090.376040575632</v>
          </cell>
          <cell r="Y21">
            <v>-6492.8259517482993</v>
          </cell>
          <cell r="AA21">
            <v>-325.56400000000002</v>
          </cell>
          <cell r="AB21">
            <v>-367.96199999999999</v>
          </cell>
          <cell r="AC21">
            <v>-419.065</v>
          </cell>
          <cell r="AD21">
            <v>-475.18200000000002</v>
          </cell>
          <cell r="AE21">
            <v>-532.34799999999996</v>
          </cell>
          <cell r="AF21">
            <v>-589.33299999999997</v>
          </cell>
          <cell r="AG21">
            <v>-647.94799999999998</v>
          </cell>
          <cell r="AH21">
            <v>-647.82600000000002</v>
          </cell>
          <cell r="AI21">
            <v>-698.279</v>
          </cell>
          <cell r="AJ21">
            <v>-750.33100000000002</v>
          </cell>
          <cell r="AK21">
            <v>-803.82500000000005</v>
          </cell>
          <cell r="AL21">
            <v>-852.27599999999995</v>
          </cell>
          <cell r="AM21">
            <v>-907.50599999999997</v>
          </cell>
          <cell r="AN21">
            <v>-961.58600000000001</v>
          </cell>
          <cell r="AO21">
            <v>-1015.955</v>
          </cell>
          <cell r="AP21">
            <v>-1033.2460000000001</v>
          </cell>
          <cell r="AQ21">
            <v>-1090.548</v>
          </cell>
          <cell r="AR21">
            <v>-1144.0530000000001</v>
          </cell>
          <cell r="AS21">
            <v>-1199.789</v>
          </cell>
          <cell r="AT21">
            <v>-1253.163</v>
          </cell>
          <cell r="AU21">
            <v>-1311.3520000000001</v>
          </cell>
          <cell r="AV21">
            <v>-1368.3230000000001</v>
          </cell>
          <cell r="AW21">
            <v>-1422.3150000000001</v>
          </cell>
          <cell r="AX21">
            <v>-1477.519</v>
          </cell>
          <cell r="AY21">
            <v>-1540.1610000000001</v>
          </cell>
          <cell r="AZ21">
            <v>-1603.951</v>
          </cell>
          <cell r="BA21">
            <v>-1669.0050000000001</v>
          </cell>
          <cell r="BB21">
            <v>-1727.8520000000001</v>
          </cell>
          <cell r="BC21">
            <v>-1792.0260000000001</v>
          </cell>
          <cell r="BD21">
            <v>-1856.8910000000001</v>
          </cell>
          <cell r="BE21">
            <v>-1921.96</v>
          </cell>
          <cell r="BF21">
            <v>-1959.9580000000001</v>
          </cell>
          <cell r="BG21">
            <v>-2021.5509999999999</v>
          </cell>
          <cell r="BH21">
            <v>-2084.625</v>
          </cell>
          <cell r="BI21">
            <v>-2149.4870000000001</v>
          </cell>
          <cell r="BJ21">
            <v>-2186.915</v>
          </cell>
          <cell r="BK21">
            <v>-2252.5700000000002</v>
          </cell>
          <cell r="BL21">
            <v>-2315.4769999999999</v>
          </cell>
          <cell r="BM21">
            <v>-2346.6219999999998</v>
          </cell>
          <cell r="BN21">
            <v>-2375.4380000000001</v>
          </cell>
          <cell r="BO21">
            <v>-2422.1550000000002</v>
          </cell>
          <cell r="BP21">
            <v>-2481.951</v>
          </cell>
          <cell r="BQ21">
            <v>-2541.8850000000002</v>
          </cell>
          <cell r="BR21">
            <v>-2598.922</v>
          </cell>
          <cell r="BS21">
            <v>-2641.8510000000001</v>
          </cell>
          <cell r="BT21">
            <v>-2662.7939999999999</v>
          </cell>
          <cell r="BU21">
            <v>-2721.0859999999998</v>
          </cell>
          <cell r="BV21">
            <v>-2755.6219999999998</v>
          </cell>
          <cell r="BW21">
            <v>-2812.3319999999999</v>
          </cell>
          <cell r="BX21">
            <v>-2874.0810000000001</v>
          </cell>
          <cell r="BY21">
            <v>-2921.701</v>
          </cell>
          <cell r="BZ21">
            <v>-3002.9345613888627</v>
          </cell>
          <cell r="CA21">
            <v>-3089.4999463165341</v>
          </cell>
          <cell r="CB21">
            <v>-3181.0323623951485</v>
          </cell>
          <cell r="CC21" t="str">
            <v>mstag:accumulatedDepreciation</v>
          </cell>
          <cell r="CD21">
            <v>6</v>
          </cell>
          <cell r="CE21" t="str">
            <v>ISO4217:USD</v>
          </cell>
          <cell r="CF21" t="b">
            <v>1</v>
          </cell>
          <cell r="CG21" t="str">
            <v>mstag:accumulatedDepreciation</v>
          </cell>
          <cell r="CH21">
            <v>6</v>
          </cell>
          <cell r="CI21" t="str">
            <v>ISO4217:USD</v>
          </cell>
          <cell r="CJ21" t="b">
            <v>1</v>
          </cell>
        </row>
        <row r="22">
          <cell r="B22" t="str">
            <v xml:space="preserve">  Net PP&amp;E</v>
          </cell>
          <cell r="E22">
            <v>1811.0959999999998</v>
          </cell>
          <cell r="F22">
            <v>1455.8910000000001</v>
          </cell>
          <cell r="G22">
            <v>1363.2470000000003</v>
          </cell>
          <cell r="H22">
            <v>1303.0920000000001</v>
          </cell>
          <cell r="I22">
            <v>1226.9499999999998</v>
          </cell>
          <cell r="J22">
            <v>1294.1119999999999</v>
          </cell>
          <cell r="K22">
            <v>1294.8999999999999</v>
          </cell>
          <cell r="L22">
            <v>1306.9099999999999</v>
          </cell>
          <cell r="M22">
            <v>1294.3719999999998</v>
          </cell>
          <cell r="N22">
            <v>1356.6120000000001</v>
          </cell>
          <cell r="O22">
            <v>1427.212</v>
          </cell>
          <cell r="P22">
            <v>1492.2460000000005</v>
          </cell>
          <cell r="Q22">
            <v>1704.5081397211015</v>
          </cell>
          <cell r="R22">
            <v>1757.2136519407036</v>
          </cell>
          <cell r="S22">
            <v>1718.6541474217875</v>
          </cell>
          <cell r="T22">
            <v>1656.2774814598224</v>
          </cell>
          <cell r="U22">
            <v>1554.8123910203276</v>
          </cell>
          <cell r="V22">
            <v>1404.2251089731253</v>
          </cell>
          <cell r="W22">
            <v>1258.1572579824715</v>
          </cell>
          <cell r="X22">
            <v>1132.8970912221448</v>
          </cell>
          <cell r="Y22">
            <v>936.4209391784143</v>
          </cell>
          <cell r="AA22">
            <v>1656.08</v>
          </cell>
          <cell r="AB22">
            <v>1754.808</v>
          </cell>
          <cell r="AC22">
            <v>1798.54</v>
          </cell>
          <cell r="AD22">
            <v>1811.0959999999998</v>
          </cell>
          <cell r="AE22">
            <v>1790.7669999999998</v>
          </cell>
          <cell r="AF22">
            <v>1763.8690000000001</v>
          </cell>
          <cell r="AG22">
            <v>1727.2800000000002</v>
          </cell>
          <cell r="AH22">
            <v>1455.8910000000001</v>
          </cell>
          <cell r="AI22">
            <v>1423.9540000000002</v>
          </cell>
          <cell r="AJ22">
            <v>1399.3150000000001</v>
          </cell>
          <cell r="AK22">
            <v>1377.4149999999997</v>
          </cell>
          <cell r="AL22">
            <v>1363.2470000000003</v>
          </cell>
          <cell r="AM22">
            <v>1337.625</v>
          </cell>
          <cell r="AN22">
            <v>1326.414</v>
          </cell>
          <cell r="AO22">
            <v>1318.0509999999999</v>
          </cell>
          <cell r="AP22">
            <v>1303.0920000000001</v>
          </cell>
          <cell r="AQ22">
            <v>1284.4080000000001</v>
          </cell>
          <cell r="AR22">
            <v>1268.287</v>
          </cell>
          <cell r="AS22">
            <v>1247.7839999999999</v>
          </cell>
          <cell r="AT22">
            <v>1226.9499999999998</v>
          </cell>
          <cell r="AU22">
            <v>1204.5350000000001</v>
          </cell>
          <cell r="AV22">
            <v>1193.1780000000001</v>
          </cell>
          <cell r="AW22">
            <v>1179.431</v>
          </cell>
          <cell r="AX22">
            <v>1294.1119999999999</v>
          </cell>
          <cell r="AY22">
            <v>1286.9079999999999</v>
          </cell>
          <cell r="AZ22">
            <v>1300.1370000000002</v>
          </cell>
          <cell r="BA22">
            <v>1290.94</v>
          </cell>
          <cell r="BB22">
            <v>1294.8999999999999</v>
          </cell>
          <cell r="BC22">
            <v>1291.8810000000001</v>
          </cell>
          <cell r="BD22">
            <v>1292.2129999999997</v>
          </cell>
          <cell r="BE22">
            <v>1299.2579999999998</v>
          </cell>
          <cell r="BF22">
            <v>1306.9099999999999</v>
          </cell>
          <cell r="BG22">
            <v>1308.5639999999999</v>
          </cell>
          <cell r="BH22">
            <v>1305.0279999999998</v>
          </cell>
          <cell r="BI22">
            <v>1294.067</v>
          </cell>
          <cell r="BJ22">
            <v>1294.3719999999998</v>
          </cell>
          <cell r="BK22">
            <v>1306.6419999999998</v>
          </cell>
          <cell r="BL22">
            <v>1324.5410000000002</v>
          </cell>
          <cell r="BM22">
            <v>1343.9250000000002</v>
          </cell>
          <cell r="BN22">
            <v>1356.6120000000001</v>
          </cell>
          <cell r="BO22">
            <v>1369.9399999999996</v>
          </cell>
          <cell r="BP22">
            <v>1395.335</v>
          </cell>
          <cell r="BQ22">
            <v>1416.6039999999998</v>
          </cell>
          <cell r="BR22">
            <v>1427.212</v>
          </cell>
          <cell r="BS22">
            <v>1438.9839999999999</v>
          </cell>
          <cell r="BT22">
            <v>1453.5349999999999</v>
          </cell>
          <cell r="BU22">
            <v>1465.2350000000001</v>
          </cell>
          <cell r="BV22">
            <v>1492.2460000000005</v>
          </cell>
          <cell r="BW22">
            <v>1515.6070000000004</v>
          </cell>
          <cell r="BX22">
            <v>1547.2939999999999</v>
          </cell>
          <cell r="BY22">
            <v>1573.8990000000003</v>
          </cell>
          <cell r="BZ22">
            <v>1704.5081397211015</v>
          </cell>
          <cell r="CA22">
            <v>1727.7002893910521</v>
          </cell>
          <cell r="CB22">
            <v>1744.9597093563002</v>
          </cell>
          <cell r="CC22">
            <v>1754.4101412359501</v>
          </cell>
          <cell r="CD22">
            <v>1757.2136519407036</v>
          </cell>
        </row>
        <row r="23">
          <cell r="B23" t="str">
            <v xml:space="preserve">  Deferred Income taxes</v>
          </cell>
          <cell r="E23">
            <v>0</v>
          </cell>
          <cell r="F23">
            <v>0</v>
          </cell>
          <cell r="G23">
            <v>36.06</v>
          </cell>
          <cell r="H23">
            <v>46.267000000000003</v>
          </cell>
          <cell r="I23">
            <v>46.801000000000002</v>
          </cell>
          <cell r="J23">
            <v>45.957000000000001</v>
          </cell>
          <cell r="K23">
            <v>50.046999999999997</v>
          </cell>
          <cell r="L23">
            <v>48.274999999999999</v>
          </cell>
          <cell r="M23">
            <v>0</v>
          </cell>
          <cell r="N23">
            <v>224.79499999999999</v>
          </cell>
          <cell r="O23">
            <v>162.535</v>
          </cell>
          <cell r="P23">
            <v>101.88500000000001</v>
          </cell>
          <cell r="Q23">
            <v>81.718000000000004</v>
          </cell>
          <cell r="R23">
            <v>81.718000000000004</v>
          </cell>
          <cell r="S23">
            <v>81.718000000000004</v>
          </cell>
          <cell r="T23">
            <v>81.718000000000004</v>
          </cell>
          <cell r="U23">
            <v>81.718000000000004</v>
          </cell>
          <cell r="V23">
            <v>81.718000000000004</v>
          </cell>
          <cell r="W23">
            <v>81.718000000000004</v>
          </cell>
          <cell r="X23">
            <v>81.718000000000004</v>
          </cell>
          <cell r="Y23">
            <v>81.718000000000004</v>
          </cell>
          <cell r="AA23">
            <v>0</v>
          </cell>
          <cell r="AB23">
            <v>0</v>
          </cell>
          <cell r="AC23">
            <v>0</v>
          </cell>
          <cell r="AD23">
            <v>0</v>
          </cell>
          <cell r="AE23">
            <v>0</v>
          </cell>
          <cell r="AF23">
            <v>0</v>
          </cell>
          <cell r="AG23">
            <v>0</v>
          </cell>
          <cell r="AH23">
            <v>0</v>
          </cell>
          <cell r="AI23">
            <v>0</v>
          </cell>
          <cell r="AJ23">
            <v>33.07</v>
          </cell>
          <cell r="AK23">
            <v>33.067</v>
          </cell>
          <cell r="AL23">
            <v>36.06</v>
          </cell>
          <cell r="AM23">
            <v>38.886000000000003</v>
          </cell>
          <cell r="AN23">
            <v>42.594000000000001</v>
          </cell>
          <cell r="AO23">
            <v>40.213000000000001</v>
          </cell>
          <cell r="AP23">
            <v>46.267000000000003</v>
          </cell>
          <cell r="AQ23">
            <v>47.755000000000003</v>
          </cell>
          <cell r="AR23">
            <v>47.664000000000001</v>
          </cell>
          <cell r="AS23">
            <v>49.302</v>
          </cell>
          <cell r="AT23">
            <v>46.801000000000002</v>
          </cell>
          <cell r="AU23">
            <v>46.561999999999998</v>
          </cell>
          <cell r="AV23">
            <v>47.343000000000004</v>
          </cell>
          <cell r="AW23">
            <v>48.220999999999997</v>
          </cell>
          <cell r="AX23">
            <v>45.957000000000001</v>
          </cell>
          <cell r="AY23">
            <v>47.411000000000001</v>
          </cell>
          <cell r="AZ23">
            <v>48.244</v>
          </cell>
          <cell r="BA23">
            <v>49.920999999999999</v>
          </cell>
          <cell r="BB23">
            <v>50.046999999999997</v>
          </cell>
          <cell r="BC23">
            <v>50.046999999999997</v>
          </cell>
          <cell r="BD23">
            <v>50.046999999999997</v>
          </cell>
          <cell r="BE23">
            <v>50.046999999999997</v>
          </cell>
          <cell r="BF23">
            <v>48.274999999999999</v>
          </cell>
          <cell r="BG23">
            <v>48.274999999999999</v>
          </cell>
          <cell r="BH23">
            <v>48.274999999999999</v>
          </cell>
          <cell r="BI23">
            <v>48.274999999999999</v>
          </cell>
          <cell r="BJ23">
            <v>0</v>
          </cell>
          <cell r="BK23">
            <v>29.175999999999998</v>
          </cell>
          <cell r="BL23">
            <v>196.667</v>
          </cell>
          <cell r="BM23">
            <v>196.161</v>
          </cell>
          <cell r="BN23">
            <v>224.79499999999999</v>
          </cell>
          <cell r="BO23">
            <v>215.20699999999999</v>
          </cell>
          <cell r="BP23">
            <v>205.16499999999999</v>
          </cell>
          <cell r="BQ23">
            <v>194.08099999999999</v>
          </cell>
          <cell r="BR23">
            <v>162.535</v>
          </cell>
          <cell r="BS23">
            <v>148.43199999999999</v>
          </cell>
          <cell r="BT23">
            <v>136.988</v>
          </cell>
          <cell r="BU23">
            <v>123.063</v>
          </cell>
          <cell r="BV23">
            <v>101.88500000000001</v>
          </cell>
          <cell r="BW23">
            <v>91.238</v>
          </cell>
          <cell r="BX23">
            <v>77.581999999999994</v>
          </cell>
          <cell r="BY23">
            <v>81.718000000000004</v>
          </cell>
          <cell r="BZ23">
            <v>81.718000000000004</v>
          </cell>
          <cell r="CA23">
            <v>81.718000000000004</v>
          </cell>
          <cell r="CB23">
            <v>81.718000000000004</v>
          </cell>
          <cell r="CC23" t="str">
            <v>mstag:deferredTaxAssetsNonCurrent</v>
          </cell>
          <cell r="CD23">
            <v>6</v>
          </cell>
          <cell r="CE23" t="str">
            <v>ISO4217:USD</v>
          </cell>
          <cell r="CF23" t="b">
            <v>0</v>
          </cell>
          <cell r="CG23" t="str">
            <v>mstag:deferredTaxAssetsNonCurrent</v>
          </cell>
          <cell r="CH23">
            <v>6</v>
          </cell>
          <cell r="CI23" t="str">
            <v>ISO4217:USD</v>
          </cell>
          <cell r="CJ23" t="b">
            <v>0</v>
          </cell>
        </row>
        <row r="24">
          <cell r="B24" t="str">
            <v xml:space="preserve">  Goodwill</v>
          </cell>
          <cell r="E24">
            <v>0</v>
          </cell>
          <cell r="F24">
            <v>26.773</v>
          </cell>
          <cell r="G24">
            <v>26.773</v>
          </cell>
          <cell r="H24">
            <v>26.773</v>
          </cell>
          <cell r="I24">
            <v>26.773</v>
          </cell>
          <cell r="J24">
            <v>405.63799999999998</v>
          </cell>
          <cell r="K24">
            <v>412.69400000000002</v>
          </cell>
          <cell r="L24">
            <v>412.69400000000002</v>
          </cell>
          <cell r="M24">
            <v>412.69400000000002</v>
          </cell>
          <cell r="N24">
            <v>412.69400000000002</v>
          </cell>
          <cell r="O24">
            <v>412.69400000000002</v>
          </cell>
          <cell r="P24">
            <v>412.69400000000002</v>
          </cell>
          <cell r="Q24">
            <v>412.69400000000002</v>
          </cell>
          <cell r="R24">
            <v>412.69400000000002</v>
          </cell>
          <cell r="S24">
            <v>412.69400000000002</v>
          </cell>
          <cell r="T24">
            <v>412.69400000000002</v>
          </cell>
          <cell r="U24">
            <v>412.69400000000002</v>
          </cell>
          <cell r="V24">
            <v>412.69400000000002</v>
          </cell>
          <cell r="W24">
            <v>412.69400000000002</v>
          </cell>
          <cell r="X24">
            <v>412.69400000000002</v>
          </cell>
          <cell r="Y24">
            <v>412.69400000000002</v>
          </cell>
          <cell r="AA24">
            <v>0</v>
          </cell>
          <cell r="AB24">
            <v>0</v>
          </cell>
          <cell r="AC24">
            <v>0</v>
          </cell>
          <cell r="AD24">
            <v>0</v>
          </cell>
          <cell r="AE24">
            <v>26.773</v>
          </cell>
          <cell r="AF24">
            <v>26.773</v>
          </cell>
          <cell r="AG24">
            <v>26.773</v>
          </cell>
          <cell r="AH24">
            <v>26.773</v>
          </cell>
          <cell r="AI24">
            <v>26.773</v>
          </cell>
          <cell r="AJ24">
            <v>26.773</v>
          </cell>
          <cell r="AK24">
            <v>26.773</v>
          </cell>
          <cell r="AL24">
            <v>26.773</v>
          </cell>
          <cell r="AM24">
            <v>26.773</v>
          </cell>
          <cell r="AN24">
            <v>26.773</v>
          </cell>
          <cell r="AO24">
            <v>26.773</v>
          </cell>
          <cell r="AP24">
            <v>26.773</v>
          </cell>
          <cell r="AQ24">
            <v>26.773</v>
          </cell>
          <cell r="AR24">
            <v>26.773</v>
          </cell>
          <cell r="AS24">
            <v>26.773</v>
          </cell>
          <cell r="AT24">
            <v>26.773</v>
          </cell>
          <cell r="AU24">
            <v>26.773</v>
          </cell>
          <cell r="AV24">
            <v>26.773</v>
          </cell>
          <cell r="AW24">
            <v>26.773</v>
          </cell>
          <cell r="AX24">
            <v>405.63799999999998</v>
          </cell>
          <cell r="AY24">
            <v>410.42500000000001</v>
          </cell>
          <cell r="AZ24">
            <v>409.84100000000001</v>
          </cell>
          <cell r="BA24">
            <v>408.35500000000002</v>
          </cell>
          <cell r="BB24">
            <v>412.69400000000002</v>
          </cell>
          <cell r="BC24">
            <v>412.69400000000002</v>
          </cell>
          <cell r="BD24">
            <v>412.69400000000002</v>
          </cell>
          <cell r="BE24">
            <v>412.69400000000002</v>
          </cell>
          <cell r="BF24">
            <v>412.69400000000002</v>
          </cell>
          <cell r="BG24">
            <v>412.69400000000002</v>
          </cell>
          <cell r="BH24">
            <v>412.69400000000002</v>
          </cell>
          <cell r="BI24">
            <v>412.69400000000002</v>
          </cell>
          <cell r="BJ24">
            <v>412.69400000000002</v>
          </cell>
          <cell r="BK24">
            <v>412.69400000000002</v>
          </cell>
          <cell r="BL24">
            <v>412.69400000000002</v>
          </cell>
          <cell r="BM24">
            <v>412.69400000000002</v>
          </cell>
          <cell r="BN24">
            <v>412.69400000000002</v>
          </cell>
          <cell r="BO24">
            <v>412.69400000000002</v>
          </cell>
          <cell r="BP24">
            <v>412.69400000000002</v>
          </cell>
          <cell r="BQ24">
            <v>412.69400000000002</v>
          </cell>
          <cell r="BR24">
            <v>412.69400000000002</v>
          </cell>
          <cell r="BS24">
            <v>412.69400000000002</v>
          </cell>
          <cell r="BT24">
            <v>412.69400000000002</v>
          </cell>
          <cell r="BU24">
            <v>412.69400000000002</v>
          </cell>
          <cell r="BV24">
            <v>412.69400000000002</v>
          </cell>
          <cell r="BW24">
            <v>412.69400000000002</v>
          </cell>
          <cell r="BX24">
            <v>412.69400000000002</v>
          </cell>
          <cell r="BY24">
            <v>412.69400000000002</v>
          </cell>
          <cell r="BZ24">
            <v>412.69400000000002</v>
          </cell>
          <cell r="CA24">
            <v>412.69400000000002</v>
          </cell>
          <cell r="CB24">
            <v>412.69400000000002</v>
          </cell>
          <cell r="CC24" t="str">
            <v>mstag:goodwill</v>
          </cell>
          <cell r="CD24">
            <v>6</v>
          </cell>
          <cell r="CE24" t="str">
            <v>ISO4217:USD</v>
          </cell>
          <cell r="CF24" t="b">
            <v>0</v>
          </cell>
          <cell r="CG24" t="str">
            <v>mstag:goodwill</v>
          </cell>
          <cell r="CH24">
            <v>6</v>
          </cell>
          <cell r="CI24" t="str">
            <v>ISO4217:USD</v>
          </cell>
          <cell r="CJ24" t="b">
            <v>0</v>
          </cell>
        </row>
        <row r="25">
          <cell r="B25" t="str">
            <v xml:space="preserve">  Investment in Joint Ventures</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V25">
            <v>0</v>
          </cell>
          <cell r="BW25">
            <v>0</v>
          </cell>
          <cell r="BX25">
            <v>0</v>
          </cell>
          <cell r="BY25">
            <v>0</v>
          </cell>
          <cell r="BZ25">
            <v>0</v>
          </cell>
          <cell r="CA25">
            <v>0</v>
          </cell>
          <cell r="CB25">
            <v>0</v>
          </cell>
          <cell r="CC25" t="str">
            <v>mstag:investmentsInJointVentures</v>
          </cell>
          <cell r="CD25">
            <v>6</v>
          </cell>
          <cell r="CE25" t="str">
            <v>ISO4217:USD</v>
          </cell>
          <cell r="CF25" t="b">
            <v>0</v>
          </cell>
          <cell r="CG25" t="str">
            <v>mstag:investmentsInJointVentures</v>
          </cell>
          <cell r="CH25">
            <v>6</v>
          </cell>
          <cell r="CI25" t="str">
            <v>ISO4217:USD</v>
          </cell>
          <cell r="CJ25" t="b">
            <v>0</v>
          </cell>
        </row>
        <row r="26">
          <cell r="B26" t="str">
            <v xml:space="preserve">  Long-term Investments</v>
          </cell>
          <cell r="E26">
            <v>0</v>
          </cell>
          <cell r="F26">
            <v>0</v>
          </cell>
          <cell r="G26">
            <v>0</v>
          </cell>
          <cell r="H26">
            <v>0</v>
          </cell>
          <cell r="I26">
            <v>0</v>
          </cell>
          <cell r="J26">
            <v>0</v>
          </cell>
          <cell r="K26">
            <v>14.456</v>
          </cell>
          <cell r="L26">
            <v>2.99</v>
          </cell>
          <cell r="M26">
            <v>2.99</v>
          </cell>
          <cell r="N26">
            <v>0</v>
          </cell>
          <cell r="O26">
            <v>0</v>
          </cell>
          <cell r="P26">
            <v>0</v>
          </cell>
          <cell r="Q26">
            <v>0</v>
          </cell>
          <cell r="R26">
            <v>0</v>
          </cell>
          <cell r="S26">
            <v>0</v>
          </cell>
          <cell r="T26">
            <v>0</v>
          </cell>
          <cell r="U26">
            <v>0</v>
          </cell>
          <cell r="V26">
            <v>0</v>
          </cell>
          <cell r="W26">
            <v>0</v>
          </cell>
          <cell r="X26">
            <v>0</v>
          </cell>
          <cell r="Y26">
            <v>0</v>
          </cell>
          <cell r="AA26">
            <v>0</v>
          </cell>
          <cell r="AB26">
            <v>0</v>
          </cell>
          <cell r="AC26">
            <v>0</v>
          </cell>
          <cell r="AD26">
            <v>0</v>
          </cell>
          <cell r="AE26">
            <v>0</v>
          </cell>
          <cell r="AF26">
            <v>0</v>
          </cell>
          <cell r="AG26">
            <v>0</v>
          </cell>
          <cell r="AH26">
            <v>0</v>
          </cell>
          <cell r="AI26">
            <v>0</v>
          </cell>
          <cell r="AJ26">
            <v>0</v>
          </cell>
          <cell r="AK26">
            <v>0</v>
          </cell>
          <cell r="AL26">
            <v>0</v>
          </cell>
          <cell r="AM26">
            <v>3.895</v>
          </cell>
          <cell r="AN26">
            <v>13.494</v>
          </cell>
          <cell r="AO26">
            <v>1.615</v>
          </cell>
          <cell r="AP26">
            <v>0</v>
          </cell>
          <cell r="AQ26">
            <v>0</v>
          </cell>
          <cell r="AR26">
            <v>0</v>
          </cell>
          <cell r="AS26">
            <v>0</v>
          </cell>
          <cell r="AT26">
            <v>0</v>
          </cell>
          <cell r="AU26">
            <v>0</v>
          </cell>
          <cell r="AV26">
            <v>0</v>
          </cell>
          <cell r="AW26">
            <v>0</v>
          </cell>
          <cell r="AX26">
            <v>0</v>
          </cell>
          <cell r="AY26">
            <v>0</v>
          </cell>
          <cell r="AZ26">
            <v>0</v>
          </cell>
          <cell r="BA26">
            <v>0</v>
          </cell>
          <cell r="BB26">
            <v>14.456</v>
          </cell>
          <cell r="BC26">
            <v>14.456</v>
          </cell>
          <cell r="BD26">
            <v>10.361000000000001</v>
          </cell>
          <cell r="BE26">
            <v>2.99</v>
          </cell>
          <cell r="BF26">
            <v>2.99</v>
          </cell>
          <cell r="BG26">
            <v>2.99</v>
          </cell>
          <cell r="BH26">
            <v>2.99</v>
          </cell>
          <cell r="BI26">
            <v>2.99</v>
          </cell>
          <cell r="BJ26">
            <v>2.99</v>
          </cell>
          <cell r="BK26">
            <v>2.99</v>
          </cell>
          <cell r="BL26">
            <v>2.99</v>
          </cell>
          <cell r="BM26">
            <v>0</v>
          </cell>
          <cell r="BN26">
            <v>0</v>
          </cell>
          <cell r="BO26">
            <v>0</v>
          </cell>
          <cell r="BP26">
            <v>0</v>
          </cell>
          <cell r="BQ26">
            <v>0</v>
          </cell>
          <cell r="BR26">
            <v>0</v>
          </cell>
          <cell r="BS26">
            <v>0</v>
          </cell>
          <cell r="BV26">
            <v>0</v>
          </cell>
          <cell r="BW26">
            <v>0</v>
          </cell>
          <cell r="BX26">
            <v>0</v>
          </cell>
          <cell r="BY26">
            <v>0</v>
          </cell>
          <cell r="BZ26">
            <v>0</v>
          </cell>
          <cell r="CA26">
            <v>0</v>
          </cell>
          <cell r="CB26">
            <v>0</v>
          </cell>
          <cell r="CC26" t="str">
            <v>mstag:longTermInvestmentsNonOperating</v>
          </cell>
          <cell r="CD26">
            <v>6</v>
          </cell>
          <cell r="CE26" t="str">
            <v>ISO4217:USD</v>
          </cell>
          <cell r="CF26" t="b">
            <v>0</v>
          </cell>
          <cell r="CG26" t="str">
            <v>mstag:longTermInvestmentsNonOperating</v>
          </cell>
          <cell r="CH26">
            <v>6</v>
          </cell>
          <cell r="CI26" t="str">
            <v>ISO4217:USD</v>
          </cell>
          <cell r="CJ26" t="b">
            <v>0</v>
          </cell>
        </row>
        <row r="27">
          <cell r="B27" t="str">
            <v xml:space="preserve">  Other Assets</v>
          </cell>
          <cell r="E27">
            <v>86.498000000000005</v>
          </cell>
          <cell r="F27">
            <v>67.126000000000005</v>
          </cell>
          <cell r="G27">
            <v>25.315999999999999</v>
          </cell>
          <cell r="H27">
            <v>25.795000000000002</v>
          </cell>
          <cell r="I27">
            <v>22.638999999999999</v>
          </cell>
          <cell r="J27">
            <v>92.856999999999999</v>
          </cell>
          <cell r="K27">
            <v>72.95</v>
          </cell>
          <cell r="L27">
            <v>55.603999999999999</v>
          </cell>
          <cell r="M27">
            <v>43.06</v>
          </cell>
          <cell r="N27">
            <v>42.298000000000002</v>
          </cell>
          <cell r="O27">
            <v>42.335999999999999</v>
          </cell>
          <cell r="P27">
            <v>47.593000000000004</v>
          </cell>
          <cell r="Q27">
            <v>58.423999999999999</v>
          </cell>
          <cell r="R27">
            <v>58.423999999999999</v>
          </cell>
          <cell r="S27">
            <v>58.423999999999999</v>
          </cell>
          <cell r="T27">
            <v>58.423999999999999</v>
          </cell>
          <cell r="U27">
            <v>58.423999999999999</v>
          </cell>
          <cell r="V27">
            <v>58.423999999999999</v>
          </cell>
          <cell r="W27">
            <v>58.423999999999999</v>
          </cell>
          <cell r="X27">
            <v>58.423999999999999</v>
          </cell>
          <cell r="Y27">
            <v>58.423999999999999</v>
          </cell>
          <cell r="AA27">
            <v>90.281000000000006</v>
          </cell>
          <cell r="AB27">
            <v>84.25</v>
          </cell>
          <cell r="AC27">
            <v>73.927000000000007</v>
          </cell>
          <cell r="AD27">
            <v>86.498000000000005</v>
          </cell>
          <cell r="AE27">
            <v>58.868000000000002</v>
          </cell>
          <cell r="AF27">
            <v>64.093999999999994</v>
          </cell>
          <cell r="AG27">
            <v>66.233999999999995</v>
          </cell>
          <cell r="AH27">
            <v>67.126000000000005</v>
          </cell>
          <cell r="AI27">
            <v>65.62</v>
          </cell>
          <cell r="AJ27">
            <v>30.146999999999998</v>
          </cell>
          <cell r="AK27">
            <v>29.178999999999998</v>
          </cell>
          <cell r="AL27">
            <v>25.315999999999999</v>
          </cell>
          <cell r="AM27">
            <v>28.885000000000002</v>
          </cell>
          <cell r="AN27">
            <v>28.524999999999999</v>
          </cell>
          <cell r="AO27">
            <v>27.358000000000001</v>
          </cell>
          <cell r="AP27">
            <v>25.795000000000002</v>
          </cell>
          <cell r="AQ27">
            <v>26.295999999999999</v>
          </cell>
          <cell r="AR27">
            <v>25.425000000000001</v>
          </cell>
          <cell r="AS27">
            <v>24.372</v>
          </cell>
          <cell r="AT27">
            <v>22.638999999999999</v>
          </cell>
          <cell r="AU27">
            <v>32.819000000000003</v>
          </cell>
          <cell r="AV27">
            <v>26.547000000000001</v>
          </cell>
          <cell r="AW27">
            <v>34.256999999999998</v>
          </cell>
          <cell r="AX27">
            <v>92.856999999999999</v>
          </cell>
          <cell r="AY27">
            <v>84.153999999999996</v>
          </cell>
          <cell r="AZ27">
            <v>79.632999999999996</v>
          </cell>
          <cell r="BA27">
            <v>76.287000000000006</v>
          </cell>
          <cell r="BB27">
            <v>72.95</v>
          </cell>
          <cell r="BC27">
            <v>69.88</v>
          </cell>
          <cell r="BD27">
            <v>67.022999999999996</v>
          </cell>
          <cell r="BE27">
            <v>63.814999999999998</v>
          </cell>
          <cell r="BF27">
            <v>55.603999999999999</v>
          </cell>
          <cell r="BG27">
            <v>52.393999999999998</v>
          </cell>
          <cell r="BH27">
            <v>49.361000000000004</v>
          </cell>
          <cell r="BI27">
            <v>46.078000000000003</v>
          </cell>
          <cell r="BJ27">
            <v>43.06</v>
          </cell>
          <cell r="BK27">
            <v>46.231999999999999</v>
          </cell>
          <cell r="BL27">
            <v>43.457999999999998</v>
          </cell>
          <cell r="BM27">
            <v>40.677</v>
          </cell>
          <cell r="BN27">
            <v>42.298000000000002</v>
          </cell>
          <cell r="BO27">
            <v>39.763999999999996</v>
          </cell>
          <cell r="BP27">
            <v>37.22</v>
          </cell>
          <cell r="BQ27">
            <v>44.707000000000001</v>
          </cell>
          <cell r="BR27">
            <v>42.335999999999999</v>
          </cell>
          <cell r="BS27">
            <v>40.21</v>
          </cell>
          <cell r="BT27">
            <v>37.79</v>
          </cell>
          <cell r="BU27">
            <v>42.097999999999999</v>
          </cell>
          <cell r="BV27">
            <v>47.593000000000004</v>
          </cell>
          <cell r="BW27">
            <v>45.048000000000002</v>
          </cell>
          <cell r="BX27">
            <v>48.454000000000001</v>
          </cell>
          <cell r="BY27">
            <v>58.423999999999999</v>
          </cell>
          <cell r="BZ27">
            <v>58.423999999999999</v>
          </cell>
          <cell r="CA27">
            <v>58.423999999999999</v>
          </cell>
          <cell r="CB27">
            <v>58.423999999999999</v>
          </cell>
          <cell r="CC27" t="str">
            <v>mstag:otherAssetsNonOperating</v>
          </cell>
          <cell r="CD27">
            <v>6</v>
          </cell>
          <cell r="CE27" t="str">
            <v>ISO4217:USD</v>
          </cell>
          <cell r="CF27" t="b">
            <v>0</v>
          </cell>
          <cell r="CG27" t="str">
            <v>mstag:otherAssetsNonOperating</v>
          </cell>
          <cell r="CH27">
            <v>6</v>
          </cell>
          <cell r="CI27" t="str">
            <v>ISO4217:USD</v>
          </cell>
          <cell r="CJ27" t="b">
            <v>0</v>
          </cell>
        </row>
        <row r="28">
          <cell r="B28" t="str">
            <v>TOTAL ASSETS</v>
          </cell>
          <cell r="E28">
            <v>2398.9539999999997</v>
          </cell>
          <cell r="F28">
            <v>2149.2559999999999</v>
          </cell>
          <cell r="G28">
            <v>2005.8830000000003</v>
          </cell>
          <cell r="H28">
            <v>1905.5880000000002</v>
          </cell>
          <cell r="I28">
            <v>1792.5359999999994</v>
          </cell>
          <cell r="J28">
            <v>2253.2369999999996</v>
          </cell>
          <cell r="K28">
            <v>2264.7179999999998</v>
          </cell>
          <cell r="L28">
            <v>2281.89</v>
          </cell>
          <cell r="M28">
            <v>2328.4619999999995</v>
          </cell>
          <cell r="N28">
            <v>2650.9539999999997</v>
          </cell>
          <cell r="O28">
            <v>2708.2260000000001</v>
          </cell>
          <cell r="P28">
            <v>3223.737000000001</v>
          </cell>
          <cell r="Q28">
            <v>3002.6308447235024</v>
          </cell>
          <cell r="R28">
            <v>3038.5161080318176</v>
          </cell>
          <cell r="S28">
            <v>3098.2045687107347</v>
          </cell>
          <cell r="T28">
            <v>3079.5300976756998</v>
          </cell>
          <cell r="U28">
            <v>3050.9178194724668</v>
          </cell>
          <cell r="V28">
            <v>3062.9092587229034</v>
          </cell>
          <cell r="W28">
            <v>3187.3728280892856</v>
          </cell>
          <cell r="X28">
            <v>3355.9977866492545</v>
          </cell>
          <cell r="Y28">
            <v>3554.804832363302</v>
          </cell>
          <cell r="AA28">
            <v>2424.2629999999999</v>
          </cell>
          <cell r="AB28">
            <v>2444.85</v>
          </cell>
          <cell r="AC28">
            <v>2388.4499999999998</v>
          </cell>
          <cell r="AD28">
            <v>2398.9539999999997</v>
          </cell>
          <cell r="AE28">
            <v>2309.4669999999996</v>
          </cell>
          <cell r="AF28">
            <v>2284.357</v>
          </cell>
          <cell r="AG28">
            <v>2224.788</v>
          </cell>
          <cell r="AH28">
            <v>2149.2559999999999</v>
          </cell>
          <cell r="AI28">
            <v>2088.0320000000002</v>
          </cell>
          <cell r="AJ28">
            <v>2074.9939999999997</v>
          </cell>
          <cell r="AK28">
            <v>2016.5299999999997</v>
          </cell>
          <cell r="AL28">
            <v>2005.8830000000003</v>
          </cell>
          <cell r="AM28">
            <v>1977.8469999999998</v>
          </cell>
          <cell r="AN28">
            <v>1973.5389999999998</v>
          </cell>
          <cell r="AO28">
            <v>1924.6559999999997</v>
          </cell>
          <cell r="AP28">
            <v>1905.5880000000002</v>
          </cell>
          <cell r="AQ28">
            <v>1825.202</v>
          </cell>
          <cell r="AR28">
            <v>1830.8659999999998</v>
          </cell>
          <cell r="AS28">
            <v>1791.7869999999998</v>
          </cell>
          <cell r="AT28">
            <v>1792.5359999999994</v>
          </cell>
          <cell r="AU28">
            <v>2126.4699999999998</v>
          </cell>
          <cell r="AV28">
            <v>1700.7809999999999</v>
          </cell>
          <cell r="AW28">
            <v>1719.5559999999998</v>
          </cell>
          <cell r="AX28">
            <v>2253.2369999999996</v>
          </cell>
          <cell r="AY28">
            <v>2235.2729999999997</v>
          </cell>
          <cell r="AZ28">
            <v>2247.8420000000001</v>
          </cell>
          <cell r="BA28">
            <v>2239.9960000000001</v>
          </cell>
          <cell r="BB28">
            <v>2264.7179999999998</v>
          </cell>
          <cell r="BC28">
            <v>2253.6239999999998</v>
          </cell>
          <cell r="BD28">
            <v>2256.0179999999996</v>
          </cell>
          <cell r="BE28">
            <v>2257.7739999999999</v>
          </cell>
          <cell r="BF28">
            <v>2281.89</v>
          </cell>
          <cell r="BG28">
            <v>2272.895</v>
          </cell>
          <cell r="BH28">
            <v>2308.1439999999998</v>
          </cell>
          <cell r="BI28">
            <v>2334.5479999999998</v>
          </cell>
          <cell r="BJ28">
            <v>2328.4619999999995</v>
          </cell>
          <cell r="BK28">
            <v>2402.4829999999997</v>
          </cell>
          <cell r="BL28">
            <v>2651.2780000000002</v>
          </cell>
          <cell r="BM28">
            <v>2691.25</v>
          </cell>
          <cell r="BN28">
            <v>2650.9539999999997</v>
          </cell>
          <cell r="BO28">
            <v>2659.0819999999994</v>
          </cell>
          <cell r="BP28">
            <v>2705.808</v>
          </cell>
          <cell r="BQ28">
            <v>2692.7029999999995</v>
          </cell>
          <cell r="BR28">
            <v>2708.2260000000001</v>
          </cell>
          <cell r="BS28">
            <v>2701.75</v>
          </cell>
          <cell r="BT28">
            <v>2758.5509999999999</v>
          </cell>
          <cell r="BU28">
            <v>2693.6840000000002</v>
          </cell>
          <cell r="BV28">
            <v>3223.737000000001</v>
          </cell>
          <cell r="BW28">
            <v>3182.9860000000008</v>
          </cell>
          <cell r="BX28">
            <v>2915.1859999999997</v>
          </cell>
          <cell r="BY28">
            <v>2901.3050000000003</v>
          </cell>
          <cell r="BZ28">
            <v>3002.6308447235024</v>
          </cell>
          <cell r="CA28">
            <v>3011.8823894771094</v>
          </cell>
          <cell r="CB28">
            <v>3019.1350573384457</v>
          </cell>
          <cell r="CC28">
            <v>3036.0351501595969</v>
          </cell>
          <cell r="CD28">
            <v>3038.5161080318176</v>
          </cell>
        </row>
        <row r="30">
          <cell r="B30" t="str">
            <v>LIABILITIES</v>
          </cell>
        </row>
        <row r="31">
          <cell r="B31" t="str">
            <v xml:space="preserve">  Current portion of LT debt</v>
          </cell>
          <cell r="E31">
            <v>0</v>
          </cell>
          <cell r="F31">
            <v>26.004999999999999</v>
          </cell>
          <cell r="G31">
            <v>0.52500000000000002</v>
          </cell>
          <cell r="H31">
            <v>1.387</v>
          </cell>
          <cell r="I31">
            <v>4.2110000000000003</v>
          </cell>
          <cell r="J31">
            <v>6.6790000000000003</v>
          </cell>
          <cell r="K31">
            <v>7.3369999999999997</v>
          </cell>
          <cell r="L31">
            <v>7.2210000000000001</v>
          </cell>
          <cell r="M31">
            <v>7.569</v>
          </cell>
          <cell r="N31">
            <v>7.202</v>
          </cell>
          <cell r="O31">
            <v>7.7329999999999997</v>
          </cell>
          <cell r="P31">
            <v>374.96899999999999</v>
          </cell>
          <cell r="Q31">
            <v>7.9539999999999997</v>
          </cell>
          <cell r="R31">
            <v>7.9539999999999997</v>
          </cell>
          <cell r="S31">
            <v>7.9539999999999997</v>
          </cell>
          <cell r="T31">
            <v>7.9539999999999997</v>
          </cell>
          <cell r="U31">
            <v>7.9539999999999997</v>
          </cell>
          <cell r="V31">
            <v>7.9539999999999997</v>
          </cell>
          <cell r="W31">
            <v>7.9539999999999997</v>
          </cell>
          <cell r="X31">
            <v>7.9539999999999997</v>
          </cell>
          <cell r="Y31">
            <v>7.9539999999999997</v>
          </cell>
          <cell r="AA31">
            <v>0</v>
          </cell>
          <cell r="AB31">
            <v>0</v>
          </cell>
          <cell r="AC31">
            <v>0</v>
          </cell>
          <cell r="AD31">
            <v>0</v>
          </cell>
          <cell r="AE31">
            <v>0</v>
          </cell>
          <cell r="AF31">
            <v>0</v>
          </cell>
          <cell r="AG31">
            <v>0</v>
          </cell>
          <cell r="AH31">
            <v>26.004999999999999</v>
          </cell>
          <cell r="AI31">
            <v>29.393999999999998</v>
          </cell>
          <cell r="AJ31">
            <v>31.864000000000001</v>
          </cell>
          <cell r="AK31">
            <v>34.076000000000001</v>
          </cell>
          <cell r="AL31">
            <v>0.52500000000000002</v>
          </cell>
          <cell r="AM31">
            <v>1.476</v>
          </cell>
          <cell r="AN31">
            <v>1.6559999999999999</v>
          </cell>
          <cell r="AO31">
            <v>1.871</v>
          </cell>
          <cell r="AP31">
            <v>1.387</v>
          </cell>
          <cell r="AQ31">
            <v>2.3690000000000002</v>
          </cell>
          <cell r="AR31">
            <v>2.3849999999999998</v>
          </cell>
          <cell r="AS31">
            <v>1.9430000000000001</v>
          </cell>
          <cell r="AT31">
            <v>4.2110000000000003</v>
          </cell>
          <cell r="AU31">
            <v>404.17500000000001</v>
          </cell>
          <cell r="AV31">
            <v>3.5630000000000002</v>
          </cell>
          <cell r="AW31">
            <v>3.0379999999999998</v>
          </cell>
          <cell r="AX31">
            <v>6.6790000000000003</v>
          </cell>
          <cell r="AY31">
            <v>6.4489999999999998</v>
          </cell>
          <cell r="AZ31">
            <v>6.6230000000000002</v>
          </cell>
          <cell r="BA31">
            <v>6.95</v>
          </cell>
          <cell r="BB31">
            <v>7.3369999999999997</v>
          </cell>
          <cell r="BC31">
            <v>7.5860000000000003</v>
          </cell>
          <cell r="BD31">
            <v>7.4720000000000004</v>
          </cell>
          <cell r="BE31">
            <v>7.2750000000000004</v>
          </cell>
          <cell r="BF31">
            <v>7.2210000000000001</v>
          </cell>
          <cell r="BG31">
            <v>8.5640000000000001</v>
          </cell>
          <cell r="BH31">
            <v>8.1140000000000008</v>
          </cell>
          <cell r="BI31">
            <v>8.2639999999999993</v>
          </cell>
          <cell r="BJ31">
            <v>7.569</v>
          </cell>
          <cell r="BK31">
            <v>7.1470000000000002</v>
          </cell>
          <cell r="BL31">
            <v>7.29</v>
          </cell>
          <cell r="BM31">
            <v>7.1189999999999998</v>
          </cell>
          <cell r="BN31">
            <v>7.202</v>
          </cell>
          <cell r="BO31">
            <v>6.968</v>
          </cell>
          <cell r="BP31">
            <v>7.14</v>
          </cell>
          <cell r="BQ31">
            <v>7.742</v>
          </cell>
          <cell r="BR31">
            <v>7.7329999999999997</v>
          </cell>
          <cell r="BS31">
            <v>108.482</v>
          </cell>
          <cell r="BT31">
            <v>465.39800000000002</v>
          </cell>
          <cell r="BU31">
            <v>369.404</v>
          </cell>
          <cell r="BV31">
            <v>374.96899999999999</v>
          </cell>
          <cell r="BW31">
            <v>380.68700000000001</v>
          </cell>
          <cell r="BX31">
            <v>203.90199999999999</v>
          </cell>
          <cell r="BY31">
            <v>7.9539999999999997</v>
          </cell>
          <cell r="BZ31">
            <v>7.9539999999999997</v>
          </cell>
          <cell r="CA31">
            <v>7.9539999999999997</v>
          </cell>
          <cell r="CB31">
            <v>7.9539999999999997</v>
          </cell>
          <cell r="CC31" t="str">
            <v>mstag:shortTermBorrowings</v>
          </cell>
          <cell r="CD31">
            <v>6</v>
          </cell>
          <cell r="CE31" t="str">
            <v>ISO4217:USD</v>
          </cell>
          <cell r="CF31" t="b">
            <v>0</v>
          </cell>
          <cell r="CG31" t="str">
            <v>mstag:shortTermBorrowings</v>
          </cell>
          <cell r="CH31">
            <v>6</v>
          </cell>
          <cell r="CI31" t="str">
            <v>ISO4217:USD</v>
          </cell>
          <cell r="CJ31" t="b">
            <v>0</v>
          </cell>
        </row>
        <row r="32">
          <cell r="B32" t="str">
            <v xml:space="preserve">  Accounts payable</v>
          </cell>
          <cell r="E32">
            <v>79.429000000000002</v>
          </cell>
          <cell r="F32">
            <v>39.194000000000003</v>
          </cell>
          <cell r="G32">
            <v>40.095999999999997</v>
          </cell>
          <cell r="H32">
            <v>42.503999999999998</v>
          </cell>
          <cell r="I32">
            <v>34.786999999999999</v>
          </cell>
          <cell r="J32">
            <v>41.387999999999998</v>
          </cell>
          <cell r="K32">
            <v>46.972000000000001</v>
          </cell>
          <cell r="L32">
            <v>53.113</v>
          </cell>
          <cell r="M32">
            <v>51.088000000000001</v>
          </cell>
          <cell r="N32">
            <v>53.436</v>
          </cell>
          <cell r="O32">
            <v>52.738999999999997</v>
          </cell>
          <cell r="P32">
            <v>55.856999999999999</v>
          </cell>
          <cell r="Q32">
            <v>64.207294006978984</v>
          </cell>
          <cell r="R32">
            <v>69.997796521260355</v>
          </cell>
          <cell r="S32">
            <v>74.447972532315731</v>
          </cell>
          <cell r="T32">
            <v>78.92704826544788</v>
          </cell>
          <cell r="U32">
            <v>81.992858018716319</v>
          </cell>
          <cell r="V32">
            <v>84.056040990803865</v>
          </cell>
          <cell r="W32">
            <v>85.256926935871519</v>
          </cell>
          <cell r="X32">
            <v>86.582409202006232</v>
          </cell>
          <cell r="Y32">
            <v>88.104243651448385</v>
          </cell>
          <cell r="AA32">
            <v>65.947000000000003</v>
          </cell>
          <cell r="AB32">
            <v>80.957999999999998</v>
          </cell>
          <cell r="AC32">
            <v>72.977999999999994</v>
          </cell>
          <cell r="AD32">
            <v>79.429000000000002</v>
          </cell>
          <cell r="AE32">
            <v>61.628999999999998</v>
          </cell>
          <cell r="AF32">
            <v>53.390999999999998</v>
          </cell>
          <cell r="AG32">
            <v>45.807000000000002</v>
          </cell>
          <cell r="AH32">
            <v>39.194000000000003</v>
          </cell>
          <cell r="AI32">
            <v>33.018000000000001</v>
          </cell>
          <cell r="AJ32">
            <v>32.863</v>
          </cell>
          <cell r="AK32">
            <v>36.972999999999999</v>
          </cell>
          <cell r="AL32">
            <v>40.095999999999997</v>
          </cell>
          <cell r="AM32">
            <v>34.921999999999997</v>
          </cell>
          <cell r="AN32">
            <v>39.534999999999997</v>
          </cell>
          <cell r="AO32">
            <v>41.994</v>
          </cell>
          <cell r="AP32">
            <v>42.503999999999998</v>
          </cell>
          <cell r="AQ32">
            <v>34.673000000000002</v>
          </cell>
          <cell r="AR32">
            <v>33.308999999999997</v>
          </cell>
          <cell r="AS32">
            <v>28.693000000000001</v>
          </cell>
          <cell r="AT32">
            <v>34.786999999999999</v>
          </cell>
          <cell r="AU32">
            <v>29.905999999999999</v>
          </cell>
          <cell r="AV32">
            <v>32.950000000000003</v>
          </cell>
          <cell r="AW32">
            <v>36.305999999999997</v>
          </cell>
          <cell r="AX32">
            <v>41.387999999999998</v>
          </cell>
          <cell r="AY32">
            <v>41.156999999999996</v>
          </cell>
          <cell r="AZ32">
            <v>43.587000000000003</v>
          </cell>
          <cell r="BA32">
            <v>39.786000000000001</v>
          </cell>
          <cell r="BB32">
            <v>46.972000000000001</v>
          </cell>
          <cell r="BC32">
            <v>45.448</v>
          </cell>
          <cell r="BD32">
            <v>41.953000000000003</v>
          </cell>
          <cell r="BE32">
            <v>38.756999999999998</v>
          </cell>
          <cell r="BF32">
            <v>53.113</v>
          </cell>
          <cell r="BG32">
            <v>39.253999999999998</v>
          </cell>
          <cell r="BH32">
            <v>41.997</v>
          </cell>
          <cell r="BI32">
            <v>45.999000000000002</v>
          </cell>
          <cell r="BJ32">
            <v>51.088000000000001</v>
          </cell>
          <cell r="BK32">
            <v>61.506</v>
          </cell>
          <cell r="BL32">
            <v>54.555999999999997</v>
          </cell>
          <cell r="BM32">
            <v>67.988</v>
          </cell>
          <cell r="BN32">
            <v>53.436</v>
          </cell>
          <cell r="BO32">
            <v>69.75</v>
          </cell>
          <cell r="BP32">
            <v>72.376999999999995</v>
          </cell>
          <cell r="BQ32">
            <v>66.355999999999995</v>
          </cell>
          <cell r="BR32">
            <v>52.738999999999997</v>
          </cell>
          <cell r="BS32">
            <v>56.142000000000003</v>
          </cell>
          <cell r="BT32">
            <v>57.433</v>
          </cell>
          <cell r="BU32">
            <v>61.819000000000003</v>
          </cell>
          <cell r="BV32">
            <v>55.856999999999999</v>
          </cell>
          <cell r="BW32">
            <v>57.095999999999997</v>
          </cell>
          <cell r="BX32">
            <v>61.320999999999998</v>
          </cell>
          <cell r="BY32">
            <v>62.680999999999997</v>
          </cell>
          <cell r="BZ32">
            <v>64.207294006978984</v>
          </cell>
          <cell r="CA32">
            <v>65.67518349355845</v>
          </cell>
          <cell r="CB32">
            <v>66.957266319572597</v>
          </cell>
          <cell r="CC32" t="str">
            <v>mstag:otherPayablesCurrent</v>
          </cell>
          <cell r="CD32">
            <v>6</v>
          </cell>
          <cell r="CE32" t="str">
            <v>ISO4217:USD</v>
          </cell>
          <cell r="CF32" t="b">
            <v>0</v>
          </cell>
          <cell r="CG32" t="str">
            <v>mstag:otherPayablesCurrent</v>
          </cell>
          <cell r="CH32">
            <v>6</v>
          </cell>
          <cell r="CI32" t="str">
            <v>ISO4217:USD</v>
          </cell>
          <cell r="CJ32" t="b">
            <v>0</v>
          </cell>
        </row>
        <row r="33">
          <cell r="B33" t="str">
            <v xml:space="preserve">  Deferred Revenue</v>
          </cell>
          <cell r="E33">
            <v>0</v>
          </cell>
          <cell r="F33">
            <v>0</v>
          </cell>
          <cell r="G33">
            <v>29.053000000000001</v>
          </cell>
          <cell r="H33">
            <v>20.228999999999999</v>
          </cell>
          <cell r="I33">
            <v>20.478000000000002</v>
          </cell>
          <cell r="J33">
            <v>22.582000000000001</v>
          </cell>
          <cell r="K33">
            <v>26.015000000000001</v>
          </cell>
          <cell r="L33">
            <v>30.419</v>
          </cell>
          <cell r="M33">
            <v>34.005000000000003</v>
          </cell>
          <cell r="N33">
            <v>37.887999999999998</v>
          </cell>
          <cell r="O33">
            <v>42.253</v>
          </cell>
          <cell r="P33">
            <v>45.470999999999997</v>
          </cell>
          <cell r="Q33">
            <v>47.748532188620551</v>
          </cell>
          <cell r="R33">
            <v>51.808004762351757</v>
          </cell>
          <cell r="S33">
            <v>55.762440003256899</v>
          </cell>
          <cell r="T33">
            <v>59.259431338879949</v>
          </cell>
          <cell r="U33">
            <v>61.709620715633029</v>
          </cell>
          <cell r="V33">
            <v>63.415225178848139</v>
          </cell>
          <cell r="W33">
            <v>64.476962821803795</v>
          </cell>
          <cell r="X33">
            <v>65.638311270881559</v>
          </cell>
          <cell r="Y33">
            <v>66.954528242177261</v>
          </cell>
          <cell r="AA33">
            <v>0</v>
          </cell>
          <cell r="AB33">
            <v>0</v>
          </cell>
          <cell r="AC33">
            <v>0</v>
          </cell>
          <cell r="AD33">
            <v>0</v>
          </cell>
          <cell r="AE33">
            <v>0</v>
          </cell>
          <cell r="AF33">
            <v>0</v>
          </cell>
          <cell r="AG33">
            <v>0</v>
          </cell>
          <cell r="AH33">
            <v>0</v>
          </cell>
          <cell r="AI33">
            <v>42.688000000000002</v>
          </cell>
          <cell r="AJ33">
            <v>41.606999999999999</v>
          </cell>
          <cell r="AK33">
            <v>33.228000000000002</v>
          </cell>
          <cell r="AL33">
            <v>29.053000000000001</v>
          </cell>
          <cell r="AM33">
            <v>25.911999999999999</v>
          </cell>
          <cell r="AN33">
            <v>23.678000000000001</v>
          </cell>
          <cell r="AO33">
            <v>22.042000000000002</v>
          </cell>
          <cell r="AP33">
            <v>20.228999999999999</v>
          </cell>
          <cell r="AQ33">
            <v>19.966999999999999</v>
          </cell>
          <cell r="AR33">
            <v>20.260999999999999</v>
          </cell>
          <cell r="AS33">
            <v>21.971</v>
          </cell>
          <cell r="AT33">
            <v>20.478000000000002</v>
          </cell>
          <cell r="AU33">
            <v>18.405000000000001</v>
          </cell>
          <cell r="AV33">
            <v>18.198</v>
          </cell>
          <cell r="AW33">
            <v>18.622</v>
          </cell>
          <cell r="AX33">
            <v>22.582000000000001</v>
          </cell>
          <cell r="AY33">
            <v>23.356000000000002</v>
          </cell>
          <cell r="AZ33">
            <v>24.411000000000001</v>
          </cell>
          <cell r="BA33">
            <v>24.986000000000001</v>
          </cell>
          <cell r="BB33">
            <v>26.015000000000001</v>
          </cell>
          <cell r="BC33">
            <v>27.221</v>
          </cell>
          <cell r="BD33">
            <v>28.161999999999999</v>
          </cell>
          <cell r="BE33">
            <v>29.183</v>
          </cell>
          <cell r="BF33">
            <v>30.419</v>
          </cell>
          <cell r="BG33">
            <v>31.606999999999999</v>
          </cell>
          <cell r="BH33">
            <v>32.359000000000002</v>
          </cell>
          <cell r="BI33">
            <v>33.11</v>
          </cell>
          <cell r="BJ33">
            <v>34.005000000000003</v>
          </cell>
          <cell r="BK33">
            <v>34.643999999999998</v>
          </cell>
          <cell r="BL33">
            <v>35.805999999999997</v>
          </cell>
          <cell r="BM33">
            <v>36.889000000000003</v>
          </cell>
          <cell r="BN33">
            <v>37.887999999999998</v>
          </cell>
          <cell r="BO33">
            <v>38.981999999999999</v>
          </cell>
          <cell r="BP33">
            <v>41.311</v>
          </cell>
          <cell r="BQ33">
            <v>41.723999999999997</v>
          </cell>
          <cell r="BR33">
            <v>42.253</v>
          </cell>
          <cell r="BS33">
            <v>42.923000000000002</v>
          </cell>
          <cell r="BT33">
            <v>43.856000000000002</v>
          </cell>
          <cell r="BU33">
            <v>44.412999999999997</v>
          </cell>
          <cell r="BV33">
            <v>45.470999999999997</v>
          </cell>
          <cell r="BW33">
            <v>46.758000000000003</v>
          </cell>
          <cell r="BX33">
            <v>47.500999999999998</v>
          </cell>
          <cell r="BY33">
            <v>47.015999999999998</v>
          </cell>
          <cell r="BZ33">
            <v>47.748532188620551</v>
          </cell>
          <cell r="CA33">
            <v>48.608676105528041</v>
          </cell>
          <cell r="CB33">
            <v>49.557593878042432</v>
          </cell>
          <cell r="CC33" t="str">
            <v>mstag:deferredRevenue</v>
          </cell>
          <cell r="CD33">
            <v>6</v>
          </cell>
          <cell r="CE33" t="str">
            <v>ISO4217:USD</v>
          </cell>
          <cell r="CF33" t="b">
            <v>0</v>
          </cell>
          <cell r="CG33" t="str">
            <v>mstag:deferredRevenue</v>
          </cell>
          <cell r="CH33">
            <v>6</v>
          </cell>
          <cell r="CI33" t="str">
            <v>ISO4217:USD</v>
          </cell>
          <cell r="CJ33" t="b">
            <v>0</v>
          </cell>
        </row>
        <row r="34">
          <cell r="B34" t="str">
            <v xml:space="preserve">  Accrued taxes, franchise and other fees</v>
          </cell>
          <cell r="E34">
            <v>0</v>
          </cell>
          <cell r="F34">
            <v>0</v>
          </cell>
          <cell r="G34">
            <v>72.950999999999993</v>
          </cell>
          <cell r="H34">
            <v>69.001000000000005</v>
          </cell>
          <cell r="I34">
            <v>60.686999999999998</v>
          </cell>
          <cell r="J34">
            <v>78.795000000000002</v>
          </cell>
          <cell r="K34">
            <v>73.13</v>
          </cell>
          <cell r="L34">
            <v>64.27</v>
          </cell>
          <cell r="M34">
            <v>68.668999999999997</v>
          </cell>
          <cell r="N34">
            <v>68.662999999999997</v>
          </cell>
          <cell r="O34">
            <v>66.88</v>
          </cell>
          <cell r="P34">
            <v>60.844000000000001</v>
          </cell>
          <cell r="Q34">
            <v>56.259</v>
          </cell>
          <cell r="R34">
            <v>56.259</v>
          </cell>
          <cell r="S34">
            <v>56.259</v>
          </cell>
          <cell r="T34">
            <v>56.259</v>
          </cell>
          <cell r="U34">
            <v>56.259</v>
          </cell>
          <cell r="V34">
            <v>56.259</v>
          </cell>
          <cell r="W34">
            <v>56.259</v>
          </cell>
          <cell r="X34">
            <v>56.259</v>
          </cell>
          <cell r="Y34">
            <v>56.259</v>
          </cell>
          <cell r="AA34">
            <v>0</v>
          </cell>
          <cell r="AB34">
            <v>0</v>
          </cell>
          <cell r="AC34">
            <v>0</v>
          </cell>
          <cell r="AD34">
            <v>0</v>
          </cell>
          <cell r="AE34">
            <v>0</v>
          </cell>
          <cell r="AF34">
            <v>0</v>
          </cell>
          <cell r="AG34">
            <v>0</v>
          </cell>
          <cell r="AH34">
            <v>0</v>
          </cell>
          <cell r="AI34">
            <v>71.534999999999997</v>
          </cell>
          <cell r="AJ34">
            <v>71.941999999999993</v>
          </cell>
          <cell r="AK34">
            <v>75.582999999999998</v>
          </cell>
          <cell r="AL34">
            <v>72.950999999999993</v>
          </cell>
          <cell r="AM34">
            <v>71.531999999999996</v>
          </cell>
          <cell r="AN34">
            <v>72.870999999999995</v>
          </cell>
          <cell r="AO34">
            <v>75.082999999999998</v>
          </cell>
          <cell r="AP34">
            <v>69.001000000000005</v>
          </cell>
          <cell r="AQ34">
            <v>64.653000000000006</v>
          </cell>
          <cell r="AR34">
            <v>64.974999999999994</v>
          </cell>
          <cell r="AS34">
            <v>63.975000000000001</v>
          </cell>
          <cell r="AT34">
            <v>60.686999999999998</v>
          </cell>
          <cell r="AU34">
            <v>58.372</v>
          </cell>
          <cell r="AV34">
            <v>55.593000000000004</v>
          </cell>
          <cell r="AW34">
            <v>57.289000000000001</v>
          </cell>
          <cell r="AX34">
            <v>78.795000000000002</v>
          </cell>
          <cell r="AY34">
            <v>77.394999999999996</v>
          </cell>
          <cell r="AZ34">
            <v>80.335999999999999</v>
          </cell>
          <cell r="BA34">
            <v>80.173000000000002</v>
          </cell>
          <cell r="BB34">
            <v>73.13</v>
          </cell>
          <cell r="BC34">
            <v>69.856999999999999</v>
          </cell>
          <cell r="BD34">
            <v>71.28</v>
          </cell>
          <cell r="BE34">
            <v>69.378</v>
          </cell>
          <cell r="BF34">
            <v>64.27</v>
          </cell>
          <cell r="BG34">
            <v>63.537999999999997</v>
          </cell>
          <cell r="BH34">
            <v>65.337000000000003</v>
          </cell>
          <cell r="BI34">
            <v>67.16</v>
          </cell>
          <cell r="BJ34">
            <v>68.668999999999997</v>
          </cell>
          <cell r="BK34">
            <v>68.010000000000005</v>
          </cell>
          <cell r="BL34">
            <v>65.763999999999996</v>
          </cell>
          <cell r="BM34">
            <v>67.801000000000002</v>
          </cell>
          <cell r="BN34">
            <v>68.662999999999997</v>
          </cell>
          <cell r="BO34">
            <v>67.61</v>
          </cell>
          <cell r="BP34">
            <v>68.828000000000003</v>
          </cell>
          <cell r="BQ34">
            <v>68.707999999999998</v>
          </cell>
          <cell r="BR34">
            <v>66.88</v>
          </cell>
          <cell r="BS34">
            <v>65.84</v>
          </cell>
          <cell r="BT34">
            <v>65.274000000000001</v>
          </cell>
          <cell r="BU34">
            <v>65.974999999999994</v>
          </cell>
          <cell r="BV34">
            <v>60.844000000000001</v>
          </cell>
          <cell r="BW34">
            <v>58.350999999999999</v>
          </cell>
          <cell r="BX34">
            <v>57.747</v>
          </cell>
          <cell r="BY34">
            <v>56.259</v>
          </cell>
          <cell r="BZ34">
            <v>56.259</v>
          </cell>
          <cell r="CA34">
            <v>56.259</v>
          </cell>
          <cell r="CB34">
            <v>56.259</v>
          </cell>
          <cell r="CC34" t="str">
            <v>mstag:accruedTaxesOtherThanIncomeTax</v>
          </cell>
          <cell r="CD34">
            <v>6</v>
          </cell>
          <cell r="CE34" t="str">
            <v>ISO4217:USD</v>
          </cell>
          <cell r="CF34" t="b">
            <v>0</v>
          </cell>
          <cell r="CG34" t="str">
            <v>mstag:accruedTaxesOtherThanIncomeTax</v>
          </cell>
          <cell r="CH34">
            <v>6</v>
          </cell>
          <cell r="CI34" t="str">
            <v>ISO4217:USD</v>
          </cell>
          <cell r="CJ34" t="b">
            <v>0</v>
          </cell>
        </row>
        <row r="35">
          <cell r="B35" t="str">
            <v xml:space="preserve">  Accured Interest</v>
          </cell>
          <cell r="E35">
            <v>0</v>
          </cell>
          <cell r="F35">
            <v>0</v>
          </cell>
          <cell r="G35">
            <v>35.078000000000003</v>
          </cell>
          <cell r="H35">
            <v>44.265000000000001</v>
          </cell>
          <cell r="I35">
            <v>35.210999999999999</v>
          </cell>
          <cell r="J35">
            <v>16.984000000000002</v>
          </cell>
          <cell r="K35">
            <v>16.707000000000001</v>
          </cell>
          <cell r="L35">
            <v>17.385999999999999</v>
          </cell>
          <cell r="M35">
            <v>16.219000000000001</v>
          </cell>
          <cell r="N35">
            <v>15.208</v>
          </cell>
          <cell r="O35">
            <v>13.933999999999999</v>
          </cell>
          <cell r="P35">
            <v>20.343</v>
          </cell>
          <cell r="Q35">
            <v>20.343</v>
          </cell>
          <cell r="R35">
            <v>20.343</v>
          </cell>
          <cell r="S35">
            <v>13.933999999999999</v>
          </cell>
          <cell r="T35">
            <v>20.343</v>
          </cell>
          <cell r="U35">
            <v>20.343</v>
          </cell>
          <cell r="V35">
            <v>20.343</v>
          </cell>
          <cell r="W35">
            <v>13.933999999999999</v>
          </cell>
          <cell r="X35">
            <v>20.343</v>
          </cell>
          <cell r="Y35">
            <v>20.343</v>
          </cell>
          <cell r="AA35">
            <v>0</v>
          </cell>
          <cell r="AB35">
            <v>0</v>
          </cell>
          <cell r="AC35">
            <v>0</v>
          </cell>
          <cell r="AD35">
            <v>0</v>
          </cell>
          <cell r="AE35">
            <v>0</v>
          </cell>
          <cell r="AF35">
            <v>0</v>
          </cell>
          <cell r="AG35">
            <v>0</v>
          </cell>
          <cell r="AH35">
            <v>0</v>
          </cell>
          <cell r="AI35">
            <v>15.538</v>
          </cell>
          <cell r="AJ35">
            <v>35.348999999999997</v>
          </cell>
          <cell r="AK35">
            <v>15.420999999999999</v>
          </cell>
          <cell r="AL35">
            <v>35.078000000000003</v>
          </cell>
          <cell r="AM35">
            <v>18.995000000000001</v>
          </cell>
          <cell r="AN35">
            <v>43.918999999999997</v>
          </cell>
          <cell r="AO35">
            <v>19.611999999999998</v>
          </cell>
          <cell r="AP35">
            <v>44.265000000000001</v>
          </cell>
          <cell r="AQ35">
            <v>18.245999999999999</v>
          </cell>
          <cell r="AR35">
            <v>42.929000000000002</v>
          </cell>
          <cell r="AS35">
            <v>18.994</v>
          </cell>
          <cell r="AT35">
            <v>35.210999999999999</v>
          </cell>
          <cell r="AU35">
            <v>15.695</v>
          </cell>
          <cell r="AV35">
            <v>20.814</v>
          </cell>
          <cell r="AW35">
            <v>13.737</v>
          </cell>
          <cell r="AX35">
            <v>16.984000000000002</v>
          </cell>
          <cell r="AY35">
            <v>10.419</v>
          </cell>
          <cell r="AZ35">
            <v>17.253</v>
          </cell>
          <cell r="BA35">
            <v>9.8740000000000006</v>
          </cell>
          <cell r="BB35">
            <v>16.707000000000001</v>
          </cell>
          <cell r="BC35">
            <v>9.6240000000000006</v>
          </cell>
          <cell r="BD35">
            <v>16.696999999999999</v>
          </cell>
          <cell r="BE35">
            <v>9.6039999999999992</v>
          </cell>
          <cell r="BF35">
            <v>17.385999999999999</v>
          </cell>
          <cell r="BG35">
            <v>9.5549999999999997</v>
          </cell>
          <cell r="BH35">
            <v>16.577000000000002</v>
          </cell>
          <cell r="BI35">
            <v>9.4619999999999997</v>
          </cell>
          <cell r="BJ35">
            <v>16.219000000000001</v>
          </cell>
          <cell r="BK35">
            <v>5.9489999999999998</v>
          </cell>
          <cell r="BL35">
            <v>12.377000000000001</v>
          </cell>
          <cell r="BM35">
            <v>7.4470000000000001</v>
          </cell>
          <cell r="BN35">
            <v>15.208</v>
          </cell>
          <cell r="BO35">
            <v>7.4870000000000001</v>
          </cell>
          <cell r="BP35">
            <v>13.913</v>
          </cell>
          <cell r="BQ35">
            <v>7.4589999999999996</v>
          </cell>
          <cell r="BR35">
            <v>13.933999999999999</v>
          </cell>
          <cell r="BS35">
            <v>7.4880000000000004</v>
          </cell>
          <cell r="BT35">
            <v>13.914</v>
          </cell>
          <cell r="BU35">
            <v>7.6529999999999996</v>
          </cell>
          <cell r="BV35">
            <v>20.343</v>
          </cell>
          <cell r="BW35">
            <v>20.515999999999998</v>
          </cell>
          <cell r="BX35">
            <v>19.408000000000001</v>
          </cell>
          <cell r="BY35">
            <v>27.48</v>
          </cell>
          <cell r="BZ35">
            <v>20.343</v>
          </cell>
          <cell r="CA35">
            <v>20.515999999999998</v>
          </cell>
          <cell r="CB35">
            <v>19.408000000000001</v>
          </cell>
          <cell r="CC35" t="str">
            <v>mstag:otherAccruedExpenses</v>
          </cell>
          <cell r="CD35">
            <v>6</v>
          </cell>
          <cell r="CE35" t="str">
            <v>ISO4217:USD</v>
          </cell>
          <cell r="CF35" t="b">
            <v>0</v>
          </cell>
          <cell r="CG35" t="str">
            <v>mstag:otherAccruedExpenses</v>
          </cell>
          <cell r="CH35">
            <v>6</v>
          </cell>
          <cell r="CI35" t="str">
            <v>ISO4217:USD</v>
          </cell>
          <cell r="CJ35" t="b">
            <v>0</v>
          </cell>
        </row>
        <row r="36">
          <cell r="B36" t="str">
            <v xml:space="preserve">  Other Accruals</v>
          </cell>
          <cell r="E36">
            <v>0</v>
          </cell>
          <cell r="F36">
            <v>0</v>
          </cell>
          <cell r="G36">
            <v>28.402000000000001</v>
          </cell>
          <cell r="H36">
            <v>74.265000000000001</v>
          </cell>
          <cell r="I36">
            <v>28.757000000000001</v>
          </cell>
          <cell r="J36">
            <v>34.688000000000002</v>
          </cell>
          <cell r="K36">
            <v>36.56</v>
          </cell>
          <cell r="L36">
            <v>38.244999999999997</v>
          </cell>
          <cell r="M36">
            <v>78.478999999999999</v>
          </cell>
          <cell r="N36">
            <v>76.820999999999998</v>
          </cell>
          <cell r="O36">
            <v>77.043999999999997</v>
          </cell>
          <cell r="P36">
            <v>76.49199999999999</v>
          </cell>
          <cell r="Q36">
            <v>65.894924334831884</v>
          </cell>
          <cell r="R36">
            <v>71.497162263919321</v>
          </cell>
          <cell r="S36">
            <v>76.954444384280237</v>
          </cell>
          <cell r="T36">
            <v>81.780435234641089</v>
          </cell>
          <cell r="U36">
            <v>85.161796633340401</v>
          </cell>
          <cell r="V36">
            <v>87.51560044462272</v>
          </cell>
          <cell r="W36">
            <v>88.980841750253447</v>
          </cell>
          <cell r="X36">
            <v>90.583550036155302</v>
          </cell>
          <cell r="Y36">
            <v>92.399983207108818</v>
          </cell>
          <cell r="AA36">
            <v>0</v>
          </cell>
          <cell r="AB36">
            <v>0</v>
          </cell>
          <cell r="AC36">
            <v>0</v>
          </cell>
          <cell r="AD36">
            <v>0</v>
          </cell>
          <cell r="AE36">
            <v>0</v>
          </cell>
          <cell r="AF36">
            <v>0</v>
          </cell>
          <cell r="AG36">
            <v>0</v>
          </cell>
          <cell r="AH36">
            <v>0</v>
          </cell>
          <cell r="AI36">
            <v>0</v>
          </cell>
          <cell r="AJ36">
            <v>27.228999999999999</v>
          </cell>
          <cell r="AK36">
            <v>27.46</v>
          </cell>
          <cell r="AL36">
            <v>28.402000000000001</v>
          </cell>
          <cell r="AM36">
            <v>19.007999999999999</v>
          </cell>
          <cell r="AN36">
            <v>24.111999999999998</v>
          </cell>
          <cell r="AO36">
            <v>24.841000000000001</v>
          </cell>
          <cell r="AP36">
            <v>74.265000000000001</v>
          </cell>
          <cell r="AQ36">
            <v>21.196999999999999</v>
          </cell>
          <cell r="AR36">
            <v>29.192</v>
          </cell>
          <cell r="AS36">
            <v>25.231000000000002</v>
          </cell>
          <cell r="AT36">
            <v>28.757000000000001</v>
          </cell>
          <cell r="AU36">
            <v>25.318000000000001</v>
          </cell>
          <cell r="AV36">
            <v>25.634</v>
          </cell>
          <cell r="AW36">
            <v>37.017000000000003</v>
          </cell>
          <cell r="AX36">
            <v>34.688000000000002</v>
          </cell>
          <cell r="AY36">
            <v>28.54</v>
          </cell>
          <cell r="AZ36">
            <v>30.634</v>
          </cell>
          <cell r="BA36">
            <v>37.216000000000001</v>
          </cell>
          <cell r="BB36">
            <v>36.56</v>
          </cell>
          <cell r="BC36">
            <v>34.918999999999997</v>
          </cell>
          <cell r="BD36">
            <v>29.916</v>
          </cell>
          <cell r="BE36">
            <v>42.640999999999998</v>
          </cell>
          <cell r="BF36">
            <v>38.244999999999997</v>
          </cell>
          <cell r="BG36">
            <v>33.465000000000003</v>
          </cell>
          <cell r="BH36">
            <v>67.393000000000001</v>
          </cell>
          <cell r="BI36">
            <v>74.114000000000004</v>
          </cell>
          <cell r="BJ36">
            <v>78.478999999999999</v>
          </cell>
          <cell r="BK36">
            <v>69.067000000000007</v>
          </cell>
          <cell r="BL36">
            <v>72.491</v>
          </cell>
          <cell r="BM36">
            <v>80.442999999999998</v>
          </cell>
          <cell r="BN36">
            <v>76.820999999999998</v>
          </cell>
          <cell r="BO36">
            <v>66.477000000000004</v>
          </cell>
          <cell r="BP36">
            <v>65.569000000000003</v>
          </cell>
          <cell r="BQ36">
            <v>68.554000000000002</v>
          </cell>
          <cell r="BR36">
            <v>77.043999999999997</v>
          </cell>
          <cell r="BS36">
            <v>55.123000000000005</v>
          </cell>
          <cell r="BT36">
            <v>64.751999999999995</v>
          </cell>
          <cell r="BU36">
            <v>64.828000000000003</v>
          </cell>
          <cell r="BV36">
            <v>76.49199999999999</v>
          </cell>
          <cell r="BW36">
            <v>52.868000000000002</v>
          </cell>
          <cell r="BX36">
            <v>71.501000000000005</v>
          </cell>
          <cell r="BY36">
            <v>64.884</v>
          </cell>
          <cell r="BZ36">
            <v>65.894924334831884</v>
          </cell>
          <cell r="CA36">
            <v>67.081958066000539</v>
          </cell>
          <cell r="CB36">
            <v>68.391503343179025</v>
          </cell>
          <cell r="CC36" t="str">
            <v>mstag:otherAccruedExpenses</v>
          </cell>
          <cell r="CD36">
            <v>6</v>
          </cell>
          <cell r="CE36" t="str">
            <v>ISO4217:USD</v>
          </cell>
          <cell r="CF36" t="b">
            <v>0</v>
          </cell>
          <cell r="CG36" t="str">
            <v>mstag:otherAccruedExpenses</v>
          </cell>
          <cell r="CH36">
            <v>6</v>
          </cell>
          <cell r="CI36" t="str">
            <v>ISO4217:USD</v>
          </cell>
          <cell r="CJ36" t="b">
            <v>0</v>
          </cell>
        </row>
        <row r="37">
          <cell r="B37" t="str">
            <v xml:space="preserve">  Other</v>
          </cell>
          <cell r="E37">
            <v>307.44400000000002</v>
          </cell>
          <cell r="F37">
            <v>292.79199999999997</v>
          </cell>
          <cell r="G37">
            <v>92.108999999999995</v>
          </cell>
          <cell r="H37">
            <v>30.088999999999999</v>
          </cell>
          <cell r="I37">
            <v>72.113</v>
          </cell>
          <cell r="J37">
            <v>83.39</v>
          </cell>
          <cell r="K37">
            <v>81.545000000000002</v>
          </cell>
          <cell r="L37">
            <v>63.095999999999997</v>
          </cell>
          <cell r="M37">
            <v>39.119999999999997</v>
          </cell>
          <cell r="N37">
            <v>42.57</v>
          </cell>
          <cell r="O37">
            <v>31.361000000000001</v>
          </cell>
          <cell r="P37">
            <v>29.163</v>
          </cell>
          <cell r="Q37">
            <v>35.148000000000003</v>
          </cell>
          <cell r="R37">
            <v>35.148000000000003</v>
          </cell>
          <cell r="S37">
            <v>35.148000000000003</v>
          </cell>
          <cell r="T37">
            <v>35.148000000000003</v>
          </cell>
          <cell r="U37">
            <v>35.148000000000003</v>
          </cell>
          <cell r="V37">
            <v>35.148000000000003</v>
          </cell>
          <cell r="W37">
            <v>35.148000000000003</v>
          </cell>
          <cell r="X37">
            <v>35.148000000000003</v>
          </cell>
          <cell r="Y37">
            <v>35.148000000000003</v>
          </cell>
          <cell r="AA37">
            <v>278.447</v>
          </cell>
          <cell r="AB37">
            <v>275.69499999999999</v>
          </cell>
          <cell r="AC37">
            <v>271.25299999999999</v>
          </cell>
          <cell r="AD37">
            <v>307.44400000000002</v>
          </cell>
          <cell r="AE37">
            <v>279.51100000000002</v>
          </cell>
          <cell r="AF37">
            <v>296.673</v>
          </cell>
          <cell r="AG37">
            <v>292.66199999999998</v>
          </cell>
          <cell r="AH37">
            <v>292.79199999999997</v>
          </cell>
          <cell r="AI37">
            <v>144.12899999999999</v>
          </cell>
          <cell r="AJ37">
            <v>117.262</v>
          </cell>
          <cell r="AK37">
            <v>90.238</v>
          </cell>
          <cell r="AL37">
            <v>92.108999999999995</v>
          </cell>
          <cell r="AM37">
            <v>90.539000000000001</v>
          </cell>
          <cell r="AN37">
            <v>78.153000000000006</v>
          </cell>
          <cell r="AO37">
            <v>79.793999999999997</v>
          </cell>
          <cell r="AP37">
            <v>30.088999999999999</v>
          </cell>
          <cell r="AQ37">
            <v>73.510000000000005</v>
          </cell>
          <cell r="AR37">
            <v>66.134</v>
          </cell>
          <cell r="AS37">
            <v>73.495000000000005</v>
          </cell>
          <cell r="AT37">
            <v>72.113</v>
          </cell>
          <cell r="AU37">
            <v>70.576999999999998</v>
          </cell>
          <cell r="AV37">
            <v>71.135999999999996</v>
          </cell>
          <cell r="AW37">
            <v>75.093999999999994</v>
          </cell>
          <cell r="AX37">
            <v>83.39</v>
          </cell>
          <cell r="AY37">
            <v>74.257000000000005</v>
          </cell>
          <cell r="AZ37">
            <v>73.950999999999993</v>
          </cell>
          <cell r="BA37">
            <v>70.427000000000007</v>
          </cell>
          <cell r="BB37">
            <v>81.545000000000002</v>
          </cell>
          <cell r="BC37">
            <v>75.462999999999994</v>
          </cell>
          <cell r="BD37">
            <v>67.134</v>
          </cell>
          <cell r="BE37">
            <v>57.262</v>
          </cell>
          <cell r="BF37">
            <v>63.095999999999997</v>
          </cell>
          <cell r="BG37">
            <v>61.268999999999998</v>
          </cell>
          <cell r="BH37">
            <v>36.935000000000002</v>
          </cell>
          <cell r="BI37">
            <v>39.590000000000003</v>
          </cell>
          <cell r="BJ37">
            <v>39.119999999999997</v>
          </cell>
          <cell r="BK37">
            <v>43.814999999999998</v>
          </cell>
          <cell r="BL37">
            <v>41.029000000000003</v>
          </cell>
          <cell r="BM37">
            <v>42.441000000000003</v>
          </cell>
          <cell r="BN37">
            <v>42.57</v>
          </cell>
          <cell r="BO37">
            <v>39.326999999999998</v>
          </cell>
          <cell r="BP37">
            <v>39.469000000000001</v>
          </cell>
          <cell r="BQ37">
            <v>37.404000000000003</v>
          </cell>
          <cell r="BR37">
            <v>31.361000000000001</v>
          </cell>
          <cell r="BS37">
            <v>31.132000000000001</v>
          </cell>
          <cell r="BT37">
            <v>29.11</v>
          </cell>
          <cell r="BU37">
            <v>29.227</v>
          </cell>
          <cell r="BV37">
            <v>29.163</v>
          </cell>
          <cell r="BW37">
            <v>34.156999999999996</v>
          </cell>
          <cell r="BX37">
            <v>37.570999999999998</v>
          </cell>
          <cell r="BY37">
            <v>35.148000000000003</v>
          </cell>
          <cell r="BZ37">
            <v>35.148000000000003</v>
          </cell>
          <cell r="CA37">
            <v>35.148000000000003</v>
          </cell>
          <cell r="CB37">
            <v>35.148000000000003</v>
          </cell>
          <cell r="CC37" t="str">
            <v>mstag:otherLiabilitiesNonOperatingCurrent</v>
          </cell>
          <cell r="CD37">
            <v>6</v>
          </cell>
          <cell r="CE37" t="str">
            <v>ISO4217:USD</v>
          </cell>
          <cell r="CF37" t="b">
            <v>0</v>
          </cell>
          <cell r="CG37" t="str">
            <v>mstag:otherLiabilitiesNonOperatingCurrent</v>
          </cell>
          <cell r="CH37">
            <v>6</v>
          </cell>
          <cell r="CI37" t="str">
            <v>ISO4217:USD</v>
          </cell>
          <cell r="CJ37" t="b">
            <v>0</v>
          </cell>
        </row>
        <row r="38">
          <cell r="B38" t="str">
            <v>Current Liabilities</v>
          </cell>
          <cell r="E38">
            <v>386.87300000000005</v>
          </cell>
          <cell r="F38">
            <v>357.99099999999999</v>
          </cell>
          <cell r="G38">
            <v>298.214</v>
          </cell>
          <cell r="H38">
            <v>281.74</v>
          </cell>
          <cell r="I38">
            <v>256.24400000000003</v>
          </cell>
          <cell r="J38">
            <v>284.50600000000003</v>
          </cell>
          <cell r="K38">
            <v>288.26600000000002</v>
          </cell>
          <cell r="L38">
            <v>273.75</v>
          </cell>
          <cell r="M38">
            <v>295.149</v>
          </cell>
          <cell r="N38">
            <v>301.78799999999995</v>
          </cell>
          <cell r="O38">
            <v>291.94399999999996</v>
          </cell>
          <cell r="P38">
            <v>663.13900000000001</v>
          </cell>
          <cell r="Q38">
            <v>297.55475053043142</v>
          </cell>
          <cell r="R38">
            <v>313.00696354753143</v>
          </cell>
          <cell r="S38">
            <v>320.45985691985288</v>
          </cell>
          <cell r="T38">
            <v>339.67091483896894</v>
          </cell>
          <cell r="U38">
            <v>348.56827536768975</v>
          </cell>
          <cell r="V38">
            <v>354.69086661427474</v>
          </cell>
          <cell r="W38">
            <v>352.00973150792879</v>
          </cell>
          <cell r="X38">
            <v>362.50827050904309</v>
          </cell>
          <cell r="Y38">
            <v>367.1627551007345</v>
          </cell>
          <cell r="AA38">
            <v>344.39400000000001</v>
          </cell>
          <cell r="AB38">
            <v>356.65300000000002</v>
          </cell>
          <cell r="AC38">
            <v>344.23099999999999</v>
          </cell>
          <cell r="AD38">
            <v>386.87300000000005</v>
          </cell>
          <cell r="AE38">
            <v>341.14000000000004</v>
          </cell>
          <cell r="AF38">
            <v>350.06400000000002</v>
          </cell>
          <cell r="AG38">
            <v>338.46899999999999</v>
          </cell>
          <cell r="AH38">
            <v>357.99099999999999</v>
          </cell>
          <cell r="AI38">
            <v>336.30200000000002</v>
          </cell>
          <cell r="AJ38">
            <v>358.11599999999999</v>
          </cell>
          <cell r="AK38">
            <v>312.97900000000004</v>
          </cell>
          <cell r="AL38">
            <v>298.214</v>
          </cell>
          <cell r="AM38">
            <v>262.38400000000001</v>
          </cell>
          <cell r="AN38">
            <v>283.92399999999998</v>
          </cell>
          <cell r="AO38">
            <v>265.23700000000002</v>
          </cell>
          <cell r="AP38">
            <v>281.74</v>
          </cell>
          <cell r="AQ38">
            <v>234.61500000000001</v>
          </cell>
          <cell r="AR38">
            <v>259.185</v>
          </cell>
          <cell r="AS38">
            <v>234.30199999999999</v>
          </cell>
          <cell r="AT38">
            <v>256.24400000000003</v>
          </cell>
          <cell r="AU38">
            <v>622.44799999999998</v>
          </cell>
          <cell r="AV38">
            <v>227.88800000000001</v>
          </cell>
          <cell r="AW38">
            <v>241.10299999999998</v>
          </cell>
          <cell r="AX38">
            <v>284.50600000000003</v>
          </cell>
          <cell r="AY38">
            <v>261.57299999999998</v>
          </cell>
          <cell r="AZ38">
            <v>276.79499999999996</v>
          </cell>
          <cell r="BA38">
            <v>269.41200000000003</v>
          </cell>
          <cell r="BB38">
            <v>288.26600000000002</v>
          </cell>
          <cell r="BC38">
            <v>270.11799999999994</v>
          </cell>
          <cell r="BD38">
            <v>262.61400000000003</v>
          </cell>
          <cell r="BE38">
            <v>254.1</v>
          </cell>
          <cell r="BF38">
            <v>273.75</v>
          </cell>
          <cell r="BG38">
            <v>247.25200000000001</v>
          </cell>
          <cell r="BH38">
            <v>268.71199999999999</v>
          </cell>
          <cell r="BI38">
            <v>277.69900000000001</v>
          </cell>
          <cell r="BJ38">
            <v>295.149</v>
          </cell>
          <cell r="BK38">
            <v>290.13800000000003</v>
          </cell>
          <cell r="BL38">
            <v>289.31299999999999</v>
          </cell>
          <cell r="BM38">
            <v>310.12800000000004</v>
          </cell>
          <cell r="BN38">
            <v>301.78799999999995</v>
          </cell>
          <cell r="BO38">
            <v>296.601</v>
          </cell>
          <cell r="BP38">
            <v>308.60700000000003</v>
          </cell>
          <cell r="BQ38">
            <v>297.947</v>
          </cell>
          <cell r="BR38">
            <v>291.94399999999996</v>
          </cell>
          <cell r="BS38">
            <v>367.13</v>
          </cell>
          <cell r="BT38">
            <v>739.73699999999997</v>
          </cell>
          <cell r="BU38">
            <v>643.31899999999996</v>
          </cell>
          <cell r="BV38">
            <v>663.13900000000001</v>
          </cell>
          <cell r="BW38">
            <v>650.43300000000011</v>
          </cell>
          <cell r="BX38">
            <v>498.95100000000002</v>
          </cell>
          <cell r="BY38">
            <v>301.42199999999997</v>
          </cell>
          <cell r="BZ38">
            <v>297.55475053043142</v>
          </cell>
          <cell r="CA38">
            <v>301.24281766508705</v>
          </cell>
          <cell r="CB38">
            <v>303.67536354079408</v>
          </cell>
          <cell r="CC38">
            <v>315.76285110627202</v>
          </cell>
          <cell r="CD38">
            <v>313.00696354753143</v>
          </cell>
        </row>
        <row r="40">
          <cell r="B40" t="str">
            <v xml:space="preserve">  Long Term Debt</v>
          </cell>
          <cell r="E40">
            <v>1063.3679999999999</v>
          </cell>
          <cell r="F40">
            <v>1206.03</v>
          </cell>
          <cell r="G40">
            <v>1203.383</v>
          </cell>
          <cell r="H40">
            <v>1249.1969999999999</v>
          </cell>
          <cell r="I40">
            <v>1246.3620000000001</v>
          </cell>
          <cell r="J40">
            <v>1375.9580000000001</v>
          </cell>
          <cell r="K40">
            <v>1370.318</v>
          </cell>
          <cell r="L40">
            <v>1284.1780000000001</v>
          </cell>
          <cell r="M40">
            <v>1300.3699999999999</v>
          </cell>
          <cell r="N40">
            <v>1338.297</v>
          </cell>
          <cell r="O40">
            <v>1352.82</v>
          </cell>
          <cell r="P40">
            <v>1384.242</v>
          </cell>
          <cell r="Q40">
            <v>1943.320575</v>
          </cell>
          <cell r="R40">
            <v>1939.3348749999998</v>
          </cell>
          <cell r="S40">
            <v>1935.3491749999998</v>
          </cell>
          <cell r="T40">
            <v>1931.3634749999999</v>
          </cell>
          <cell r="U40">
            <v>1927.3777749999999</v>
          </cell>
          <cell r="V40">
            <v>1923.392075</v>
          </cell>
          <cell r="W40">
            <v>1919.406375</v>
          </cell>
          <cell r="X40">
            <v>1915.4206750000001</v>
          </cell>
          <cell r="Y40">
            <v>1911.4349750000001</v>
          </cell>
          <cell r="AA40">
            <v>1066.913</v>
          </cell>
          <cell r="AB40">
            <v>1066.7159999999999</v>
          </cell>
          <cell r="AC40">
            <v>1064.836</v>
          </cell>
          <cell r="AD40">
            <v>1063.3679999999999</v>
          </cell>
          <cell r="AE40">
            <v>1062.6859999999999</v>
          </cell>
          <cell r="AF40">
            <v>1058.2560000000001</v>
          </cell>
          <cell r="AG40">
            <v>1058.2560000000001</v>
          </cell>
          <cell r="AH40">
            <v>1206.03</v>
          </cell>
          <cell r="AI40">
            <v>1192.8489999999999</v>
          </cell>
          <cell r="AJ40">
            <v>1185.6410000000001</v>
          </cell>
          <cell r="AK40">
            <v>1176.845</v>
          </cell>
          <cell r="AL40">
            <v>1203.383</v>
          </cell>
          <cell r="AM40">
            <v>1248.713</v>
          </cell>
          <cell r="AN40">
            <v>1249.6890000000001</v>
          </cell>
          <cell r="AO40">
            <v>1249.4939999999999</v>
          </cell>
          <cell r="AP40">
            <v>1249.1969999999999</v>
          </cell>
          <cell r="AQ40">
            <v>1249.9670000000001</v>
          </cell>
          <cell r="AR40">
            <v>1249.3520000000001</v>
          </cell>
          <cell r="AS40">
            <v>1248.8969999999999</v>
          </cell>
          <cell r="AT40">
            <v>1246.3620000000001</v>
          </cell>
          <cell r="AU40">
            <v>1219.3409999999999</v>
          </cell>
          <cell r="AV40">
            <v>1219.1289999999999</v>
          </cell>
          <cell r="AW40">
            <v>1218.5409999999999</v>
          </cell>
          <cell r="AX40">
            <v>1375.9580000000001</v>
          </cell>
          <cell r="AY40">
            <v>1374.3330000000001</v>
          </cell>
          <cell r="AZ40">
            <v>1373.0419999999999</v>
          </cell>
          <cell r="BA40">
            <v>1371.681</v>
          </cell>
          <cell r="BB40">
            <v>1370.318</v>
          </cell>
          <cell r="BC40">
            <v>1368.521</v>
          </cell>
          <cell r="BD40">
            <v>1368.25</v>
          </cell>
          <cell r="BE40">
            <v>1367.164</v>
          </cell>
          <cell r="BF40">
            <v>1284.1780000000001</v>
          </cell>
          <cell r="BG40">
            <v>1292.5650000000001</v>
          </cell>
          <cell r="BH40">
            <v>1295.461</v>
          </cell>
          <cell r="BI40">
            <v>1297.8409999999999</v>
          </cell>
          <cell r="BJ40">
            <v>1300.3699999999999</v>
          </cell>
          <cell r="BK40">
            <v>1329.6859999999999</v>
          </cell>
          <cell r="BL40">
            <v>1332.546</v>
          </cell>
          <cell r="BM40">
            <v>1335.4770000000001</v>
          </cell>
          <cell r="BN40">
            <v>1338.297</v>
          </cell>
          <cell r="BO40">
            <v>1341.4179999999999</v>
          </cell>
          <cell r="BP40">
            <v>1345.19</v>
          </cell>
          <cell r="BQ40">
            <v>1349.481</v>
          </cell>
          <cell r="BR40">
            <v>1352.82</v>
          </cell>
          <cell r="BS40">
            <v>1257.779</v>
          </cell>
          <cell r="BT40">
            <v>904.41399999999999</v>
          </cell>
          <cell r="BU40">
            <v>903.24300000000005</v>
          </cell>
          <cell r="BV40">
            <v>1384.242</v>
          </cell>
          <cell r="BW40">
            <v>1385.5440000000001</v>
          </cell>
          <cell r="BX40">
            <v>1441.8030000000001</v>
          </cell>
          <cell r="BY40">
            <v>1822.817</v>
          </cell>
          <cell r="BZ40">
            <v>1943.320575</v>
          </cell>
          <cell r="CA40">
            <v>1942.3241499999999</v>
          </cell>
          <cell r="CB40">
            <v>1941.3277249999999</v>
          </cell>
          <cell r="CC40" t="str">
            <v>mstag:longTermDebt</v>
          </cell>
          <cell r="CD40">
            <v>6</v>
          </cell>
          <cell r="CE40" t="str">
            <v>ISO4217:USD</v>
          </cell>
          <cell r="CF40" t="b">
            <v>0</v>
          </cell>
          <cell r="CG40" t="str">
            <v>mstag:longTermDebt</v>
          </cell>
          <cell r="CH40">
            <v>6</v>
          </cell>
          <cell r="CI40" t="str">
            <v>ISO4217:USD</v>
          </cell>
          <cell r="CJ40" t="b">
            <v>0</v>
          </cell>
        </row>
        <row r="41">
          <cell r="B41" t="str">
            <v xml:space="preserve">  LT Deferred Income Taxes</v>
          </cell>
          <cell r="M41">
            <v>41.914000000000001</v>
          </cell>
          <cell r="N41">
            <v>0</v>
          </cell>
          <cell r="O41">
            <v>0</v>
          </cell>
          <cell r="P41">
            <v>0</v>
          </cell>
          <cell r="Q41">
            <v>0</v>
          </cell>
          <cell r="R41">
            <v>0</v>
          </cell>
          <cell r="S41">
            <v>0</v>
          </cell>
          <cell r="T41">
            <v>0</v>
          </cell>
          <cell r="U41">
            <v>0</v>
          </cell>
          <cell r="V41">
            <v>0</v>
          </cell>
          <cell r="W41">
            <v>0</v>
          </cell>
          <cell r="X41">
            <v>0</v>
          </cell>
          <cell r="Y41">
            <v>0</v>
          </cell>
          <cell r="BJ41">
            <v>41.914000000000001</v>
          </cell>
          <cell r="CC41" t="str">
            <v>mstag:deferredTaxLiabilities</v>
          </cell>
          <cell r="CD41">
            <v>6</v>
          </cell>
          <cell r="CE41" t="str">
            <v>ISO4217:USD</v>
          </cell>
          <cell r="CF41" t="b">
            <v>0</v>
          </cell>
          <cell r="CG41" t="str">
            <v>mstag:deferredTaxLiabilities</v>
          </cell>
          <cell r="CH41">
            <v>6</v>
          </cell>
          <cell r="CI41" t="str">
            <v>ISO4217:USD</v>
          </cell>
          <cell r="CJ41" t="b">
            <v>0</v>
          </cell>
        </row>
        <row r="42">
          <cell r="B42" t="str">
            <v xml:space="preserve">  Other Liabilities</v>
          </cell>
          <cell r="E42">
            <v>0</v>
          </cell>
          <cell r="F42">
            <v>0</v>
          </cell>
          <cell r="G42">
            <v>6.4870000000000001</v>
          </cell>
          <cell r="H42">
            <v>7.4930000000000003</v>
          </cell>
          <cell r="I42">
            <v>25.416</v>
          </cell>
          <cell r="J42">
            <v>40.125</v>
          </cell>
          <cell r="K42">
            <v>39.908999999999999</v>
          </cell>
          <cell r="L42">
            <v>50.768999999999998</v>
          </cell>
          <cell r="M42">
            <v>46.640999999999998</v>
          </cell>
          <cell r="N42">
            <v>44.228000000000002</v>
          </cell>
          <cell r="O42">
            <v>57.741</v>
          </cell>
          <cell r="P42">
            <v>64.417000000000002</v>
          </cell>
          <cell r="Q42">
            <v>65.427999999999997</v>
          </cell>
          <cell r="R42">
            <v>65.427999999999997</v>
          </cell>
          <cell r="S42">
            <v>65.427999999999997</v>
          </cell>
          <cell r="T42">
            <v>65.427999999999997</v>
          </cell>
          <cell r="U42">
            <v>65.427999999999997</v>
          </cell>
          <cell r="V42">
            <v>65.427999999999997</v>
          </cell>
          <cell r="W42">
            <v>65.427999999999997</v>
          </cell>
          <cell r="X42">
            <v>65.427999999999997</v>
          </cell>
          <cell r="Y42">
            <v>65.427999999999997</v>
          </cell>
          <cell r="AA42">
            <v>12.121</v>
          </cell>
          <cell r="AB42">
            <v>10.853999999999999</v>
          </cell>
          <cell r="AC42">
            <v>0</v>
          </cell>
          <cell r="AD42">
            <v>0</v>
          </cell>
          <cell r="AE42">
            <v>0</v>
          </cell>
          <cell r="AF42">
            <v>0</v>
          </cell>
          <cell r="AG42">
            <v>0</v>
          </cell>
          <cell r="AH42">
            <v>0</v>
          </cell>
          <cell r="AI42">
            <v>6.0640000000000001</v>
          </cell>
          <cell r="AJ42">
            <v>6.2060000000000004</v>
          </cell>
          <cell r="AK42">
            <v>6.3460000000000001</v>
          </cell>
          <cell r="AL42">
            <v>6.4870000000000001</v>
          </cell>
          <cell r="AM42">
            <v>6.6269999999999998</v>
          </cell>
          <cell r="AN42">
            <v>6.7679999999999998</v>
          </cell>
          <cell r="AO42">
            <v>6.9489999999999998</v>
          </cell>
          <cell r="AP42">
            <v>7.4930000000000003</v>
          </cell>
          <cell r="AQ42">
            <v>7.6710000000000003</v>
          </cell>
          <cell r="AR42">
            <v>16.109000000000002</v>
          </cell>
          <cell r="AS42">
            <v>24.46</v>
          </cell>
          <cell r="AT42">
            <v>25.416</v>
          </cell>
          <cell r="AU42">
            <v>27.492000000000001</v>
          </cell>
          <cell r="AV42">
            <v>27.436</v>
          </cell>
          <cell r="AW42">
            <v>27.309000000000001</v>
          </cell>
          <cell r="AX42">
            <v>40.125</v>
          </cell>
          <cell r="AY42">
            <v>40.518999999999998</v>
          </cell>
          <cell r="AZ42">
            <v>40.567999999999998</v>
          </cell>
          <cell r="BA42">
            <v>40.393999999999998</v>
          </cell>
          <cell r="BB42">
            <v>39.908999999999999</v>
          </cell>
          <cell r="BC42">
            <v>42.142000000000003</v>
          </cell>
          <cell r="BD42">
            <v>43.533999999999999</v>
          </cell>
          <cell r="BE42">
            <v>43.598999999999997</v>
          </cell>
          <cell r="BF42">
            <v>50.768999999999998</v>
          </cell>
          <cell r="BG42">
            <v>50.576999999999998</v>
          </cell>
          <cell r="BH42">
            <v>46.421999999999997</v>
          </cell>
          <cell r="BI42">
            <v>46.703000000000003</v>
          </cell>
          <cell r="BJ42">
            <v>46.640999999999998</v>
          </cell>
          <cell r="BK42">
            <v>47.465000000000003</v>
          </cell>
          <cell r="BL42">
            <v>46.933999999999997</v>
          </cell>
          <cell r="BM42">
            <v>46.645000000000003</v>
          </cell>
          <cell r="BN42">
            <v>44.228000000000002</v>
          </cell>
          <cell r="BO42">
            <v>45.377000000000002</v>
          </cell>
          <cell r="BP42">
            <v>50.974999999999994</v>
          </cell>
          <cell r="BQ42">
            <v>55.966000000000001</v>
          </cell>
          <cell r="BR42">
            <v>57.741</v>
          </cell>
          <cell r="BS42">
            <v>57.825000000000003</v>
          </cell>
          <cell r="BT42">
            <v>60.674999999999997</v>
          </cell>
          <cell r="BU42">
            <v>60.871000000000002</v>
          </cell>
          <cell r="BV42">
            <v>64.417000000000002</v>
          </cell>
          <cell r="BW42">
            <v>66.316000000000003</v>
          </cell>
          <cell r="BX42">
            <v>65.817999999999998</v>
          </cell>
          <cell r="BY42">
            <v>65.427999999999997</v>
          </cell>
          <cell r="BZ42">
            <v>65.427999999999997</v>
          </cell>
          <cell r="CA42">
            <v>65.427999999999997</v>
          </cell>
          <cell r="CB42">
            <v>65.427999999999997</v>
          </cell>
          <cell r="CC42" t="str">
            <v>mstag:otherLiabilitiesNonOperatingNonCurrent</v>
          </cell>
          <cell r="CD42">
            <v>6</v>
          </cell>
          <cell r="CE42" t="str">
            <v>ISO4217:USD</v>
          </cell>
          <cell r="CF42" t="b">
            <v>0</v>
          </cell>
          <cell r="CG42" t="str">
            <v>mstag:otherLiabilitiesNonOperatingNonCurrent</v>
          </cell>
          <cell r="CH42">
            <v>6</v>
          </cell>
          <cell r="CI42" t="str">
            <v>ISO4217:USD</v>
          </cell>
          <cell r="CJ42" t="b">
            <v>0</v>
          </cell>
        </row>
        <row r="44">
          <cell r="B44" t="str">
            <v>SHAREHOLDERS' EQUITY</v>
          </cell>
        </row>
        <row r="45">
          <cell r="B45" t="str">
            <v xml:space="preserve">  Common Stock</v>
          </cell>
          <cell r="D45">
            <v>1.0589999999999999</v>
          </cell>
          <cell r="E45">
            <v>1.147</v>
          </cell>
          <cell r="F45">
            <v>1.1479999999999999</v>
          </cell>
          <cell r="G45">
            <v>1.1519999999999999</v>
          </cell>
          <cell r="H45">
            <v>1.1579999999999999</v>
          </cell>
          <cell r="I45">
            <v>1.173</v>
          </cell>
          <cell r="J45">
            <v>1.4279999999999999</v>
          </cell>
          <cell r="K45">
            <v>1.4650000000000001</v>
          </cell>
          <cell r="L45">
            <v>1.478</v>
          </cell>
          <cell r="M45">
            <v>1.5009999999999999</v>
          </cell>
          <cell r="N45">
            <v>1.52</v>
          </cell>
          <cell r="O45">
            <v>1.52</v>
          </cell>
          <cell r="P45">
            <v>1.52</v>
          </cell>
          <cell r="Q45">
            <v>1.538</v>
          </cell>
          <cell r="R45">
            <v>1.538</v>
          </cell>
          <cell r="S45">
            <v>1.538</v>
          </cell>
          <cell r="T45">
            <v>1.538</v>
          </cell>
          <cell r="U45">
            <v>1.538</v>
          </cell>
          <cell r="V45">
            <v>1.538</v>
          </cell>
          <cell r="W45">
            <v>1.538</v>
          </cell>
          <cell r="X45">
            <v>1.538</v>
          </cell>
          <cell r="Y45">
            <v>1.538</v>
          </cell>
          <cell r="AA45">
            <v>1.141</v>
          </cell>
          <cell r="AB45">
            <v>1.1419999999999999</v>
          </cell>
          <cell r="AC45">
            <v>1.143</v>
          </cell>
          <cell r="AD45">
            <v>1.147</v>
          </cell>
          <cell r="AE45">
            <v>1.147</v>
          </cell>
          <cell r="AF45">
            <v>1.1479999999999999</v>
          </cell>
          <cell r="AG45">
            <v>1.1479999999999999</v>
          </cell>
          <cell r="AH45">
            <v>1.1479999999999999</v>
          </cell>
          <cell r="AI45">
            <v>1.149</v>
          </cell>
          <cell r="AJ45">
            <v>1.149</v>
          </cell>
          <cell r="AK45">
            <v>1.1499999999999999</v>
          </cell>
          <cell r="AL45">
            <v>1.1519999999999999</v>
          </cell>
          <cell r="AM45">
            <v>1.1559999999999999</v>
          </cell>
          <cell r="AN45">
            <v>1.1559999999999999</v>
          </cell>
          <cell r="AO45">
            <v>1.1579999999999999</v>
          </cell>
          <cell r="AP45">
            <v>1.1579999999999999</v>
          </cell>
          <cell r="AQ45">
            <v>1.161</v>
          </cell>
          <cell r="AR45">
            <v>1.1619999999999999</v>
          </cell>
          <cell r="AS45">
            <v>1.1659999999999999</v>
          </cell>
          <cell r="AT45">
            <v>1.173</v>
          </cell>
          <cell r="AU45">
            <v>1.1950000000000001</v>
          </cell>
          <cell r="AV45">
            <v>1.206</v>
          </cell>
          <cell r="AW45">
            <v>1.228</v>
          </cell>
          <cell r="AX45">
            <v>1.4279999999999999</v>
          </cell>
          <cell r="AY45">
            <v>1.446</v>
          </cell>
          <cell r="AZ45">
            <v>1.4490000000000001</v>
          </cell>
          <cell r="BA45">
            <v>1.456</v>
          </cell>
          <cell r="BB45">
            <v>1.4650000000000001</v>
          </cell>
          <cell r="BC45">
            <v>1.47</v>
          </cell>
          <cell r="BD45">
            <v>1.4730000000000001</v>
          </cell>
          <cell r="BE45">
            <v>1.4750000000000001</v>
          </cell>
          <cell r="BF45">
            <v>1.478</v>
          </cell>
          <cell r="BG45">
            <v>1.4910000000000001</v>
          </cell>
          <cell r="BH45">
            <v>1.492</v>
          </cell>
          <cell r="BI45">
            <v>1.4930000000000001</v>
          </cell>
          <cell r="BJ45">
            <v>1.5009999999999999</v>
          </cell>
          <cell r="BK45">
            <v>1.5169999999999999</v>
          </cell>
          <cell r="BL45">
            <v>1.518</v>
          </cell>
          <cell r="BM45">
            <v>1.52</v>
          </cell>
          <cell r="BN45">
            <v>1.52</v>
          </cell>
          <cell r="BO45">
            <v>1.52</v>
          </cell>
          <cell r="BP45">
            <v>1.52</v>
          </cell>
          <cell r="BQ45">
            <v>1.52</v>
          </cell>
          <cell r="BR45">
            <v>1.52</v>
          </cell>
          <cell r="BS45">
            <v>1.52</v>
          </cell>
          <cell r="BT45">
            <v>1.52</v>
          </cell>
          <cell r="BU45">
            <v>1.52</v>
          </cell>
          <cell r="BV45">
            <v>1.52</v>
          </cell>
          <cell r="BW45">
            <v>1.538</v>
          </cell>
          <cell r="BX45">
            <v>1.538</v>
          </cell>
          <cell r="BY45">
            <v>1.538</v>
          </cell>
          <cell r="BZ45">
            <v>1.538</v>
          </cell>
          <cell r="CA45">
            <v>1.538</v>
          </cell>
          <cell r="CB45">
            <v>1.538</v>
          </cell>
          <cell r="CC45" t="str">
            <v>mstag:commonStock</v>
          </cell>
          <cell r="CD45">
            <v>6</v>
          </cell>
          <cell r="CE45" t="str">
            <v>ISO4217:USD</v>
          </cell>
          <cell r="CF45" t="b">
            <v>0</v>
          </cell>
          <cell r="CG45" t="str">
            <v>mstag:commonStock</v>
          </cell>
          <cell r="CH45">
            <v>6</v>
          </cell>
          <cell r="CI45" t="str">
            <v>ISO4217:USD</v>
          </cell>
          <cell r="CJ45" t="b">
            <v>0</v>
          </cell>
        </row>
        <row r="46">
          <cell r="B46" t="str">
            <v xml:space="preserve">  Additional paid-in capital</v>
          </cell>
          <cell r="D46">
            <v>601.08100000000002</v>
          </cell>
          <cell r="E46">
            <v>1165.8040000000001</v>
          </cell>
          <cell r="F46">
            <v>1167.7650000000001</v>
          </cell>
          <cell r="G46">
            <v>1169.633</v>
          </cell>
          <cell r="H46">
            <v>1172.44</v>
          </cell>
          <cell r="I46">
            <v>1177.845</v>
          </cell>
          <cell r="J46">
            <v>1564.5429999999999</v>
          </cell>
          <cell r="K46">
            <v>1618.3520000000001</v>
          </cell>
          <cell r="L46">
            <v>1764.432</v>
          </cell>
          <cell r="M46">
            <v>1774.5530000000001</v>
          </cell>
          <cell r="N46">
            <v>1802.9459999999999</v>
          </cell>
          <cell r="O46">
            <v>1823.856</v>
          </cell>
          <cell r="P46">
            <v>1843.126</v>
          </cell>
          <cell r="Q46">
            <v>1708.105</v>
          </cell>
          <cell r="R46">
            <v>1760.1169999999997</v>
          </cell>
          <cell r="S46">
            <v>1812.1289999999997</v>
          </cell>
          <cell r="T46">
            <v>1864.1409999999996</v>
          </cell>
          <cell r="U46">
            <v>1916.1529999999996</v>
          </cell>
          <cell r="V46">
            <v>1968.1649999999995</v>
          </cell>
          <cell r="W46">
            <v>2020.1769999999995</v>
          </cell>
          <cell r="X46">
            <v>2072.1889999999994</v>
          </cell>
          <cell r="Y46">
            <v>2124.2009999999996</v>
          </cell>
          <cell r="AA46">
            <v>1160.5119999999999</v>
          </cell>
          <cell r="AB46">
            <v>1164.8</v>
          </cell>
          <cell r="AC46">
            <v>1164.3499999999999</v>
          </cell>
          <cell r="AD46">
            <v>1165.8040000000001</v>
          </cell>
          <cell r="AE46">
            <v>1166.348</v>
          </cell>
          <cell r="AF46">
            <v>1166.848</v>
          </cell>
          <cell r="AG46">
            <v>1167.24</v>
          </cell>
          <cell r="AH46">
            <v>1167.7650000000001</v>
          </cell>
          <cell r="AI46">
            <v>1168.162</v>
          </cell>
          <cell r="AJ46">
            <v>1168.556</v>
          </cell>
          <cell r="AK46">
            <v>1169.3800000000001</v>
          </cell>
          <cell r="AL46">
            <v>1169.633</v>
          </cell>
          <cell r="AM46">
            <v>1171.0709999999999</v>
          </cell>
          <cell r="AN46">
            <v>1171.394</v>
          </cell>
          <cell r="AO46">
            <v>1172.1130000000001</v>
          </cell>
          <cell r="AP46">
            <v>1172.44</v>
          </cell>
          <cell r="AQ46">
            <v>1173.3969999999999</v>
          </cell>
          <cell r="AR46">
            <v>1173.865</v>
          </cell>
          <cell r="AS46">
            <v>1175.21</v>
          </cell>
          <cell r="AT46">
            <v>1177.845</v>
          </cell>
          <cell r="AU46">
            <v>1192.759</v>
          </cell>
          <cell r="AV46">
            <v>1202.299</v>
          </cell>
          <cell r="AW46">
            <v>1219.903</v>
          </cell>
          <cell r="AX46">
            <v>1564.5429999999999</v>
          </cell>
          <cell r="AY46">
            <v>1584.5340000000001</v>
          </cell>
          <cell r="AZ46">
            <v>1592.7049999999999</v>
          </cell>
          <cell r="BA46">
            <v>1605.3530000000001</v>
          </cell>
          <cell r="BB46">
            <v>1618.3520000000001</v>
          </cell>
          <cell r="BC46">
            <v>1625.9090000000001</v>
          </cell>
          <cell r="BD46">
            <v>1633.8579999999999</v>
          </cell>
          <cell r="BE46">
            <v>1641.4960000000001</v>
          </cell>
          <cell r="BF46">
            <v>1764.432</v>
          </cell>
          <cell r="BG46">
            <v>1770.6489999999999</v>
          </cell>
          <cell r="BH46">
            <v>1778.181</v>
          </cell>
          <cell r="BI46">
            <v>1785.182</v>
          </cell>
          <cell r="BJ46">
            <v>1774.5530000000001</v>
          </cell>
          <cell r="BK46">
            <v>1799.8889999999999</v>
          </cell>
          <cell r="BL46">
            <v>1807.35</v>
          </cell>
          <cell r="BM46">
            <v>1815.5719999999999</v>
          </cell>
          <cell r="BN46">
            <v>1802.9459999999999</v>
          </cell>
          <cell r="BO46">
            <v>1805.126</v>
          </cell>
          <cell r="BP46">
            <v>1811.8979999999999</v>
          </cell>
          <cell r="BQ46">
            <v>1817.624</v>
          </cell>
          <cell r="BR46">
            <v>1823.856</v>
          </cell>
          <cell r="BS46">
            <v>1821.9870000000001</v>
          </cell>
          <cell r="BT46">
            <v>1829.0029999999999</v>
          </cell>
          <cell r="BU46">
            <v>1836.144</v>
          </cell>
          <cell r="BV46">
            <v>1843.126</v>
          </cell>
          <cell r="BW46">
            <v>1853.6379999999999</v>
          </cell>
          <cell r="BX46">
            <v>1783.3340000000001</v>
          </cell>
          <cell r="BY46">
            <v>1695.1020000000001</v>
          </cell>
          <cell r="BZ46">
            <v>1708.105</v>
          </cell>
          <cell r="CA46">
            <v>1721.1079999999999</v>
          </cell>
          <cell r="CB46">
            <v>1734.1109999999999</v>
          </cell>
          <cell r="CC46" t="str">
            <v>mstag:additionalPaidInCapital</v>
          </cell>
          <cell r="CD46">
            <v>6</v>
          </cell>
          <cell r="CE46" t="str">
            <v>ISO4217:USD</v>
          </cell>
          <cell r="CF46" t="b">
            <v>0</v>
          </cell>
          <cell r="CG46" t="str">
            <v>mstag:additionalPaidInCapital</v>
          </cell>
          <cell r="CH46">
            <v>6</v>
          </cell>
          <cell r="CI46" t="str">
            <v>ISO4217:USD</v>
          </cell>
          <cell r="CJ46" t="b">
            <v>0</v>
          </cell>
        </row>
        <row r="47">
          <cell r="B47" t="str">
            <v xml:space="preserve">  Treasury Stock</v>
          </cell>
          <cell r="L47">
            <v>0</v>
          </cell>
          <cell r="M47">
            <v>0</v>
          </cell>
          <cell r="N47">
            <v>-45.820999999999998</v>
          </cell>
          <cell r="O47">
            <v>-53.155999999999999</v>
          </cell>
          <cell r="P47">
            <v>-10.978999999999999</v>
          </cell>
          <cell r="Q47">
            <v>-301.35899999999998</v>
          </cell>
          <cell r="R47">
            <v>-361.35899999999998</v>
          </cell>
          <cell r="S47">
            <v>-411.35899999999998</v>
          </cell>
          <cell r="T47">
            <v>-561.35899999999992</v>
          </cell>
          <cell r="U47">
            <v>-711.35899999999992</v>
          </cell>
          <cell r="V47">
            <v>-811.35899999999992</v>
          </cell>
          <cell r="W47">
            <v>-811.35899999999992</v>
          </cell>
          <cell r="X47">
            <v>-811.35899999999992</v>
          </cell>
          <cell r="Y47">
            <v>-811.35899999999992</v>
          </cell>
          <cell r="BG47">
            <v>0</v>
          </cell>
          <cell r="BH47">
            <v>0</v>
          </cell>
          <cell r="BI47">
            <v>0</v>
          </cell>
          <cell r="BJ47">
            <v>0</v>
          </cell>
          <cell r="BK47">
            <v>0</v>
          </cell>
          <cell r="BL47">
            <v>-3.5230000000000001</v>
          </cell>
          <cell r="BM47">
            <v>-11.705</v>
          </cell>
          <cell r="BN47">
            <v>-45.820999999999998</v>
          </cell>
          <cell r="BO47">
            <v>-25.53</v>
          </cell>
          <cell r="BP47">
            <v>-18.491</v>
          </cell>
          <cell r="BQ47">
            <v>-48.085999999999999</v>
          </cell>
          <cell r="BR47">
            <v>-53.155999999999999</v>
          </cell>
          <cell r="BS47">
            <v>-29.669</v>
          </cell>
          <cell r="BT47">
            <v>-18.585000000000001</v>
          </cell>
          <cell r="BU47">
            <v>-12.879</v>
          </cell>
          <cell r="BV47">
            <v>-10.978999999999999</v>
          </cell>
          <cell r="BW47">
            <v>-59.161000000000001</v>
          </cell>
          <cell r="BX47">
            <v>-166.78299999999999</v>
          </cell>
          <cell r="BY47">
            <v>-261.35899999999998</v>
          </cell>
          <cell r="BZ47">
            <v>-301.35899999999998</v>
          </cell>
          <cell r="CA47">
            <v>-316.35899999999998</v>
          </cell>
          <cell r="CB47">
            <v>-331.35899999999998</v>
          </cell>
          <cell r="CC47" t="str">
            <v>mstag:treasuryStockAndInvestmentInOwnShares</v>
          </cell>
          <cell r="CD47">
            <v>6</v>
          </cell>
          <cell r="CE47" t="str">
            <v>ISO4217:USD</v>
          </cell>
          <cell r="CF47" t="b">
            <v>1</v>
          </cell>
          <cell r="CG47" t="str">
            <v>mstag:treasuryStockAndInvestmentInOwnShares</v>
          </cell>
          <cell r="CH47">
            <v>6</v>
          </cell>
          <cell r="CI47" t="str">
            <v>ISO4217:USD</v>
          </cell>
          <cell r="CJ47" t="b">
            <v>1</v>
          </cell>
        </row>
        <row r="48">
          <cell r="B48" t="str">
            <v xml:space="preserve">  Accumulated Other Comprehensive Loss</v>
          </cell>
          <cell r="D48">
            <v>6.492</v>
          </cell>
          <cell r="E48">
            <v>-0.20599999999999999</v>
          </cell>
          <cell r="F48">
            <v>0.38900000000000001</v>
          </cell>
          <cell r="G48">
            <v>0.41699999999999998</v>
          </cell>
          <cell r="H48">
            <v>0</v>
          </cell>
          <cell r="I48">
            <v>0</v>
          </cell>
          <cell r="J48">
            <v>0</v>
          </cell>
          <cell r="K48">
            <v>0</v>
          </cell>
          <cell r="L48">
            <v>-7.1470000000000002</v>
          </cell>
          <cell r="M48">
            <v>-4.2380000000000004</v>
          </cell>
          <cell r="N48">
            <v>-1.829</v>
          </cell>
          <cell r="O48">
            <v>1.9E-2</v>
          </cell>
          <cell r="P48">
            <v>6.5000000000000002E-2</v>
          </cell>
          <cell r="Q48">
            <v>0.13</v>
          </cell>
          <cell r="R48">
            <v>0.13</v>
          </cell>
          <cell r="S48">
            <v>0.13</v>
          </cell>
          <cell r="T48">
            <v>0.13</v>
          </cell>
          <cell r="U48">
            <v>0.13</v>
          </cell>
          <cell r="V48">
            <v>0.13</v>
          </cell>
          <cell r="W48">
            <v>0.13</v>
          </cell>
          <cell r="X48">
            <v>0.13</v>
          </cell>
          <cell r="Y48">
            <v>0.13</v>
          </cell>
          <cell r="AA48">
            <v>4.7539999999999996</v>
          </cell>
          <cell r="AB48">
            <v>5.8719999999999999</v>
          </cell>
          <cell r="AC48">
            <v>-0.6</v>
          </cell>
          <cell r="AD48">
            <v>-0.20599999999999999</v>
          </cell>
          <cell r="AE48">
            <v>-0.69299999999999995</v>
          </cell>
          <cell r="AF48">
            <v>0</v>
          </cell>
          <cell r="AG48">
            <v>0</v>
          </cell>
          <cell r="AH48">
            <v>0.38900000000000001</v>
          </cell>
          <cell r="AI48">
            <v>0.92200000000000004</v>
          </cell>
          <cell r="AJ48">
            <v>1.7430000000000001</v>
          </cell>
          <cell r="AK48">
            <v>1.905</v>
          </cell>
          <cell r="AL48">
            <v>0.41699999999999998</v>
          </cell>
          <cell r="AM48">
            <v>0.13</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0.126</v>
          </cell>
          <cell r="BE48">
            <v>-2.4E-2</v>
          </cell>
          <cell r="BF48">
            <v>-7.1470000000000002</v>
          </cell>
          <cell r="BG48">
            <v>-6.9489999999999998</v>
          </cell>
          <cell r="BH48">
            <v>-5.3460000000000001</v>
          </cell>
          <cell r="BI48">
            <v>-5.29</v>
          </cell>
          <cell r="BJ48">
            <v>-4.2380000000000004</v>
          </cell>
          <cell r="BK48">
            <v>-3.766</v>
          </cell>
          <cell r="BL48">
            <v>-2.7370000000000001</v>
          </cell>
          <cell r="BM48">
            <v>-2.343</v>
          </cell>
          <cell r="BN48">
            <v>-1.829</v>
          </cell>
          <cell r="BO48">
            <v>-1.2649999999999999</v>
          </cell>
          <cell r="BP48">
            <v>-0.77200000000000002</v>
          </cell>
          <cell r="BQ48">
            <v>-0.81799999999999995</v>
          </cell>
          <cell r="BR48">
            <v>1.9E-2</v>
          </cell>
          <cell r="BS48">
            <v>1.0999999999999999E-2</v>
          </cell>
          <cell r="BT48">
            <v>-4.1000000000000002E-2</v>
          </cell>
          <cell r="BU48">
            <v>6.4000000000000001E-2</v>
          </cell>
          <cell r="BV48">
            <v>6.5000000000000002E-2</v>
          </cell>
          <cell r="BW48">
            <v>7.2999999999999995E-2</v>
          </cell>
          <cell r="BX48">
            <v>4.4999999999999998E-2</v>
          </cell>
          <cell r="BY48">
            <v>0.13</v>
          </cell>
          <cell r="BZ48">
            <v>0.13</v>
          </cell>
          <cell r="CA48">
            <v>0.13</v>
          </cell>
          <cell r="CB48">
            <v>0.13</v>
          </cell>
          <cell r="CC48" t="str">
            <v>mstag:accumulatedOtherComprehensiveIncomeLossAndReserves</v>
          </cell>
          <cell r="CD48">
            <v>6</v>
          </cell>
          <cell r="CE48" t="str">
            <v>ISO4217:USD</v>
          </cell>
          <cell r="CF48" t="b">
            <v>0</v>
          </cell>
          <cell r="CG48" t="str">
            <v>mstag:accumulatedOtherComprehensiveIncomeLossAndReserves</v>
          </cell>
          <cell r="CH48">
            <v>6</v>
          </cell>
          <cell r="CI48" t="str">
            <v>ISO4217:USD</v>
          </cell>
          <cell r="CJ48" t="b">
            <v>0</v>
          </cell>
        </row>
        <row r="49">
          <cell r="B49" t="str">
            <v xml:space="preserve">  Retained earnings</v>
          </cell>
          <cell r="D49">
            <v>-136.86500000000001</v>
          </cell>
          <cell r="E49">
            <v>-218.03200000000001</v>
          </cell>
          <cell r="F49">
            <v>-584.06700000000001</v>
          </cell>
          <cell r="G49">
            <v>-673.40300000000002</v>
          </cell>
          <cell r="H49">
            <v>-806.44</v>
          </cell>
          <cell r="I49">
            <v>-914.50400000000002</v>
          </cell>
          <cell r="J49">
            <v>-1013.323</v>
          </cell>
          <cell r="K49">
            <v>-1053.5920000000001</v>
          </cell>
          <cell r="L49">
            <v>-1085.57</v>
          </cell>
          <cell r="M49">
            <v>-1127.4280000000001</v>
          </cell>
          <cell r="N49">
            <v>-790.17499999999995</v>
          </cell>
          <cell r="O49">
            <v>-766.51800000000003</v>
          </cell>
          <cell r="P49">
            <v>-721.79300000000001</v>
          </cell>
          <cell r="Q49">
            <v>-712.08648080693001</v>
          </cell>
          <cell r="R49">
            <v>-679.7209504094975</v>
          </cell>
          <cell r="S49">
            <v>-626.66771410951026</v>
          </cell>
          <cell r="T49">
            <v>-563.47940648383667</v>
          </cell>
          <cell r="U49">
            <v>-500.44805725843855</v>
          </cell>
          <cell r="V49">
            <v>-444.58294736214316</v>
          </cell>
          <cell r="W49">
            <v>-367.98077919200921</v>
          </cell>
          <cell r="X49">
            <v>-260.8012383692498</v>
          </cell>
          <cell r="Y49">
            <v>-118.77240992208749</v>
          </cell>
          <cell r="AA49">
            <v>-165.572</v>
          </cell>
          <cell r="AB49">
            <v>-161.18700000000001</v>
          </cell>
          <cell r="AC49">
            <v>-185.51</v>
          </cell>
          <cell r="AD49">
            <v>-218.03200000000001</v>
          </cell>
          <cell r="AE49">
            <v>-261.161</v>
          </cell>
          <cell r="AF49">
            <v>-291.959</v>
          </cell>
          <cell r="AG49">
            <v>-340.32499999999999</v>
          </cell>
          <cell r="AH49">
            <v>-584.06700000000001</v>
          </cell>
          <cell r="AI49">
            <v>-617.41600000000005</v>
          </cell>
          <cell r="AJ49">
            <v>-646.41700000000003</v>
          </cell>
          <cell r="AK49">
            <v>-652.07500000000005</v>
          </cell>
          <cell r="AL49">
            <v>-673.40300000000002</v>
          </cell>
          <cell r="AM49">
            <v>-712.23400000000004</v>
          </cell>
          <cell r="AN49">
            <v>-739.39200000000005</v>
          </cell>
          <cell r="AO49">
            <v>-770.29499999999996</v>
          </cell>
          <cell r="AP49">
            <v>-806.44</v>
          </cell>
          <cell r="AQ49">
            <v>-841.60900000000004</v>
          </cell>
          <cell r="AR49">
            <v>-868.80700000000002</v>
          </cell>
          <cell r="AS49">
            <v>-892.24800000000005</v>
          </cell>
          <cell r="AT49">
            <v>-914.50400000000002</v>
          </cell>
          <cell r="AU49">
            <v>-936.76499999999999</v>
          </cell>
          <cell r="AV49">
            <v>-977.17700000000002</v>
          </cell>
          <cell r="AW49">
            <v>-988.52800000000002</v>
          </cell>
          <cell r="AX49">
            <v>-1013.323</v>
          </cell>
          <cell r="AY49">
            <v>-1027.1320000000001</v>
          </cell>
          <cell r="AZ49">
            <v>-1036.7170000000001</v>
          </cell>
          <cell r="BA49">
            <v>-1048.3</v>
          </cell>
          <cell r="BB49">
            <v>-1053.5920000000001</v>
          </cell>
          <cell r="BC49">
            <v>-1054.5360000000001</v>
          </cell>
          <cell r="BD49">
            <v>-1053.837</v>
          </cell>
          <cell r="BE49">
            <v>-1050.0360000000001</v>
          </cell>
          <cell r="BF49">
            <v>-1085.57</v>
          </cell>
          <cell r="BG49">
            <v>-1082.69</v>
          </cell>
          <cell r="BH49">
            <v>-1076.778</v>
          </cell>
          <cell r="BI49">
            <v>-1069.08</v>
          </cell>
          <cell r="BJ49">
            <v>-1127.4280000000001</v>
          </cell>
          <cell r="BK49">
            <v>-1062.4459999999999</v>
          </cell>
          <cell r="BL49">
            <v>-820.12300000000005</v>
          </cell>
          <cell r="BM49">
            <v>-804.04399999999998</v>
          </cell>
          <cell r="BN49">
            <v>-790.17499999999995</v>
          </cell>
          <cell r="BO49">
            <v>-804.16499999999996</v>
          </cell>
          <cell r="BP49">
            <v>-793.11900000000003</v>
          </cell>
          <cell r="BQ49">
            <v>-780.93100000000004</v>
          </cell>
          <cell r="BR49">
            <v>-766.51800000000003</v>
          </cell>
          <cell r="BS49">
            <v>-774.83299999999997</v>
          </cell>
          <cell r="BT49">
            <v>-758.17200000000003</v>
          </cell>
          <cell r="BU49">
            <v>-738.59799999999996</v>
          </cell>
          <cell r="BV49">
            <v>-721.79300000000001</v>
          </cell>
          <cell r="BW49">
            <v>-715.39499999999998</v>
          </cell>
          <cell r="BX49">
            <v>-709.52</v>
          </cell>
          <cell r="BY49">
            <v>-723.77300000000002</v>
          </cell>
          <cell r="BZ49">
            <v>-712.08648080693001</v>
          </cell>
          <cell r="CA49">
            <v>-703.52957818797893</v>
          </cell>
          <cell r="CB49">
            <v>-695.73589146590552</v>
          </cell>
          <cell r="CC49" t="str">
            <v>mstag:retainedEarnings</v>
          </cell>
          <cell r="CD49">
            <v>6</v>
          </cell>
          <cell r="CE49" t="str">
            <v>ISO4217:USD</v>
          </cell>
          <cell r="CF49" t="b">
            <v>0</v>
          </cell>
          <cell r="CG49" t="str">
            <v>mstag:retainedEarnings</v>
          </cell>
          <cell r="CH49">
            <v>6</v>
          </cell>
          <cell r="CI49" t="str">
            <v>ISO4217:USD</v>
          </cell>
          <cell r="CJ49" t="b">
            <v>0</v>
          </cell>
        </row>
        <row r="50">
          <cell r="B50" t="str">
            <v>Total Shareholders' Equity</v>
          </cell>
          <cell r="D50">
            <v>471.76699999999994</v>
          </cell>
          <cell r="E50">
            <v>948.71300000000008</v>
          </cell>
          <cell r="F50">
            <v>585.2349999999999</v>
          </cell>
          <cell r="G50">
            <v>497.79899999999998</v>
          </cell>
          <cell r="H50">
            <v>367.1579999999999</v>
          </cell>
          <cell r="I50">
            <v>264.51400000000001</v>
          </cell>
          <cell r="J50">
            <v>552.64800000000002</v>
          </cell>
          <cell r="K50">
            <v>566.22499999999991</v>
          </cell>
          <cell r="L50">
            <v>673.19300000000021</v>
          </cell>
          <cell r="M50">
            <v>644.38799999999992</v>
          </cell>
          <cell r="N50">
            <v>966.64100000000008</v>
          </cell>
          <cell r="O50">
            <v>1005.721</v>
          </cell>
          <cell r="P50">
            <v>1111.9389999999999</v>
          </cell>
          <cell r="Q50">
            <v>696.3275191930702</v>
          </cell>
          <cell r="R50">
            <v>720.70504959050243</v>
          </cell>
          <cell r="S50">
            <v>775.77028589048962</v>
          </cell>
          <cell r="T50">
            <v>740.97059351616315</v>
          </cell>
          <cell r="U50">
            <v>706.01394274156121</v>
          </cell>
          <cell r="V50">
            <v>713.89105263785655</v>
          </cell>
          <cell r="W50">
            <v>842.50522080799044</v>
          </cell>
          <cell r="X50">
            <v>1001.6967616307497</v>
          </cell>
          <cell r="Y50">
            <v>1195.7375900779123</v>
          </cell>
          <cell r="AA50">
            <v>1000.8349999999999</v>
          </cell>
          <cell r="AB50">
            <v>1010.6270000000001</v>
          </cell>
          <cell r="AC50">
            <v>979.38300000000004</v>
          </cell>
          <cell r="AD50">
            <v>948.71300000000008</v>
          </cell>
          <cell r="AE50">
            <v>905.64099999999985</v>
          </cell>
          <cell r="AF50">
            <v>876.03699999999981</v>
          </cell>
          <cell r="AG50">
            <v>828.06299999999987</v>
          </cell>
          <cell r="AH50">
            <v>585.2349999999999</v>
          </cell>
          <cell r="AI50">
            <v>552.81699999999989</v>
          </cell>
          <cell r="AJ50">
            <v>525.03099999999984</v>
          </cell>
          <cell r="AK50">
            <v>520.36000000000013</v>
          </cell>
          <cell r="AL50">
            <v>497.79899999999998</v>
          </cell>
          <cell r="AM50">
            <v>460.12299999999993</v>
          </cell>
          <cell r="AN50">
            <v>433.1579999999999</v>
          </cell>
          <cell r="AO50">
            <v>402.976</v>
          </cell>
          <cell r="AP50">
            <v>367.1579999999999</v>
          </cell>
          <cell r="AQ50">
            <v>332.94899999999996</v>
          </cell>
          <cell r="AR50">
            <v>306.22000000000003</v>
          </cell>
          <cell r="AS50">
            <v>284.12799999999993</v>
          </cell>
          <cell r="AT50">
            <v>264.51400000000001</v>
          </cell>
          <cell r="AU50">
            <v>257.18899999999996</v>
          </cell>
          <cell r="AV50">
            <v>226.32799999999986</v>
          </cell>
          <cell r="AW50">
            <v>232.60300000000007</v>
          </cell>
          <cell r="AX50">
            <v>552.64800000000002</v>
          </cell>
          <cell r="AY50">
            <v>558.84799999999996</v>
          </cell>
          <cell r="AZ50">
            <v>557.4369999999999</v>
          </cell>
          <cell r="BA50">
            <v>558.50900000000001</v>
          </cell>
          <cell r="BB50">
            <v>566.22499999999991</v>
          </cell>
          <cell r="BC50">
            <v>572.84300000000007</v>
          </cell>
          <cell r="BD50">
            <v>581.61999999999989</v>
          </cell>
          <cell r="BE50">
            <v>592.91100000000006</v>
          </cell>
          <cell r="BF50">
            <v>673.19300000000021</v>
          </cell>
          <cell r="BG50">
            <v>682.50099999999975</v>
          </cell>
          <cell r="BH50">
            <v>697.54899999999998</v>
          </cell>
          <cell r="BI50">
            <v>712.30500000000006</v>
          </cell>
          <cell r="BJ50">
            <v>644.38799999999992</v>
          </cell>
          <cell r="BK50">
            <v>735.19399999999996</v>
          </cell>
          <cell r="BL50">
            <v>982.4849999999999</v>
          </cell>
          <cell r="BM50">
            <v>998.99999999999989</v>
          </cell>
          <cell r="BN50">
            <v>966.64100000000008</v>
          </cell>
          <cell r="BO50">
            <v>975.68599999999992</v>
          </cell>
          <cell r="BP50">
            <v>1001.0359999999999</v>
          </cell>
          <cell r="BQ50">
            <v>989.30899999999997</v>
          </cell>
          <cell r="BR50">
            <v>1005.721</v>
          </cell>
          <cell r="BS50">
            <v>1019.016</v>
          </cell>
          <cell r="BT50">
            <v>1053.7249999999999</v>
          </cell>
          <cell r="BU50">
            <v>1086.2510000000002</v>
          </cell>
          <cell r="BV50">
            <v>1111.9389999999999</v>
          </cell>
          <cell r="BW50">
            <v>1080.693</v>
          </cell>
          <cell r="BX50">
            <v>908.61400000000026</v>
          </cell>
          <cell r="BY50">
            <v>711.63800000000026</v>
          </cell>
          <cell r="BZ50">
            <v>696.3275191930702</v>
          </cell>
          <cell r="CA50">
            <v>702.88742181202122</v>
          </cell>
          <cell r="CB50">
            <v>708.68410853409455</v>
          </cell>
          <cell r="CC50">
            <v>714.45738444684093</v>
          </cell>
          <cell r="CD50">
            <v>720.70504959050243</v>
          </cell>
        </row>
        <row r="52">
          <cell r="B52" t="str">
            <v>Total Liabilities and Shareholders' Equity</v>
          </cell>
          <cell r="E52">
            <v>2398.9540000000002</v>
          </cell>
          <cell r="F52">
            <v>2149.2559999999999</v>
          </cell>
          <cell r="G52">
            <v>2005.883</v>
          </cell>
          <cell r="H52">
            <v>1905.5879999999997</v>
          </cell>
          <cell r="I52">
            <v>1792.5360000000001</v>
          </cell>
          <cell r="J52">
            <v>2253.2370000000001</v>
          </cell>
          <cell r="K52">
            <v>2264.7179999999998</v>
          </cell>
          <cell r="L52">
            <v>2281.8900000000003</v>
          </cell>
          <cell r="M52">
            <v>2328.462</v>
          </cell>
          <cell r="N52">
            <v>2650.9540000000002</v>
          </cell>
          <cell r="O52">
            <v>2708.2260000000001</v>
          </cell>
          <cell r="P52">
            <v>3223.7370000000001</v>
          </cell>
          <cell r="Q52">
            <v>3002.6308447235015</v>
          </cell>
          <cell r="R52">
            <v>3038.4748881380337</v>
          </cell>
          <cell r="S52">
            <v>3097.0073178103421</v>
          </cell>
          <cell r="T52">
            <v>3077.4329833551324</v>
          </cell>
          <cell r="U52">
            <v>3047.3879931092506</v>
          </cell>
          <cell r="V52">
            <v>3057.4019942521313</v>
          </cell>
          <cell r="W52">
            <v>3179.3493273159193</v>
          </cell>
          <cell r="X52">
            <v>3345.053707139793</v>
          </cell>
          <cell r="Y52">
            <v>3539.7633201786471</v>
          </cell>
          <cell r="AA52">
            <v>2424.2629999999999</v>
          </cell>
          <cell r="AB52">
            <v>2444.8500000000004</v>
          </cell>
          <cell r="AC52">
            <v>2388.4499999999998</v>
          </cell>
          <cell r="AD52">
            <v>2398.9540000000002</v>
          </cell>
          <cell r="AE52">
            <v>2309.4669999999996</v>
          </cell>
          <cell r="AF52">
            <v>2284.357</v>
          </cell>
          <cell r="AG52">
            <v>2224.788</v>
          </cell>
          <cell r="AH52">
            <v>2149.2559999999999</v>
          </cell>
          <cell r="AI52">
            <v>2088.0320000000002</v>
          </cell>
          <cell r="AJ52">
            <v>2074.9939999999997</v>
          </cell>
          <cell r="AK52">
            <v>2016.5300000000002</v>
          </cell>
          <cell r="AL52">
            <v>2005.883</v>
          </cell>
          <cell r="AM52">
            <v>1977.8469999999998</v>
          </cell>
          <cell r="AN52">
            <v>1973.539</v>
          </cell>
          <cell r="AO52">
            <v>1924.6559999999999</v>
          </cell>
          <cell r="AP52">
            <v>1905.5879999999997</v>
          </cell>
          <cell r="AQ52">
            <v>1825.202</v>
          </cell>
          <cell r="AR52">
            <v>1830.866</v>
          </cell>
          <cell r="AS52">
            <v>1791.7869999999998</v>
          </cell>
          <cell r="AT52">
            <v>1792.5360000000001</v>
          </cell>
          <cell r="AU52">
            <v>2126.4699999999998</v>
          </cell>
          <cell r="AV52">
            <v>1700.7809999999995</v>
          </cell>
          <cell r="AW52">
            <v>1719.556</v>
          </cell>
          <cell r="AX52">
            <v>2253.2370000000001</v>
          </cell>
          <cell r="AY52">
            <v>2235.2730000000001</v>
          </cell>
          <cell r="AZ52">
            <v>2247.8419999999996</v>
          </cell>
          <cell r="BA52">
            <v>2239.9960000000001</v>
          </cell>
          <cell r="BB52">
            <v>2264.7179999999998</v>
          </cell>
          <cell r="BC52">
            <v>2253.6239999999998</v>
          </cell>
          <cell r="BD52">
            <v>2256.018</v>
          </cell>
          <cell r="BE52">
            <v>2257.7739999999999</v>
          </cell>
          <cell r="BF52">
            <v>2281.8900000000003</v>
          </cell>
          <cell r="BG52">
            <v>2272.895</v>
          </cell>
          <cell r="BH52">
            <v>2308.1440000000002</v>
          </cell>
          <cell r="BI52">
            <v>2334.5480000000002</v>
          </cell>
          <cell r="BJ52">
            <v>2328.462</v>
          </cell>
          <cell r="BK52">
            <v>2402.4829999999997</v>
          </cell>
          <cell r="BL52">
            <v>2651.2780000000002</v>
          </cell>
          <cell r="BM52">
            <v>2691.25</v>
          </cell>
          <cell r="BN52">
            <v>2650.9540000000002</v>
          </cell>
          <cell r="BO52">
            <v>2659.0819999999999</v>
          </cell>
          <cell r="BP52">
            <v>2705.808</v>
          </cell>
          <cell r="BQ52">
            <v>2692.703</v>
          </cell>
          <cell r="BR52">
            <v>2708.2260000000001</v>
          </cell>
          <cell r="BS52">
            <v>2701.75</v>
          </cell>
          <cell r="BT52">
            <v>2758.5509999999999</v>
          </cell>
          <cell r="BU52">
            <v>2693.6840000000002</v>
          </cell>
          <cell r="BV52">
            <v>3223.7370000000001</v>
          </cell>
          <cell r="BW52">
            <v>3182.9859999999999</v>
          </cell>
          <cell r="BX52">
            <v>2915.1860000000006</v>
          </cell>
          <cell r="BY52">
            <v>2901.3050000000003</v>
          </cell>
          <cell r="BZ52">
            <v>3002.6308447235015</v>
          </cell>
          <cell r="CA52">
            <v>3011.8823894771081</v>
          </cell>
          <cell r="CB52">
            <v>3019.1151970748888</v>
          </cell>
          <cell r="CC52">
            <v>3035.9795355531128</v>
          </cell>
          <cell r="CD52">
            <v>3038.4748881380337</v>
          </cell>
        </row>
        <row r="54">
          <cell r="B54" t="str">
            <v>Check</v>
          </cell>
          <cell r="E54">
            <v>0</v>
          </cell>
          <cell r="F54">
            <v>0</v>
          </cell>
          <cell r="G54">
            <v>0</v>
          </cell>
          <cell r="H54">
            <v>0</v>
          </cell>
          <cell r="I54">
            <v>0</v>
          </cell>
          <cell r="J54">
            <v>0</v>
          </cell>
          <cell r="K54">
            <v>0</v>
          </cell>
          <cell r="L54">
            <v>0</v>
          </cell>
          <cell r="M54">
            <v>0</v>
          </cell>
          <cell r="N54">
            <v>0</v>
          </cell>
          <cell r="O54">
            <v>0</v>
          </cell>
          <cell r="P54">
            <v>0</v>
          </cell>
          <cell r="Q54">
            <v>0</v>
          </cell>
          <cell r="R54">
            <v>-4.1219893783818407E-2</v>
          </cell>
          <cell r="S54">
            <v>-1.1972509003926461</v>
          </cell>
          <cell r="T54">
            <v>-2.0971143205674707</v>
          </cell>
          <cell r="U54">
            <v>-3.5298263632162161</v>
          </cell>
          <cell r="V54">
            <v>-5.5072644707720428</v>
          </cell>
          <cell r="W54">
            <v>-8.0235007733663224</v>
          </cell>
          <cell r="X54">
            <v>-10.944079509461517</v>
          </cell>
          <cell r="Y54">
            <v>-15.041512184654948</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-1.9860263556893187E-2</v>
          </cell>
          <cell r="CC54">
            <v>-5.5614606484141405E-2</v>
          </cell>
          <cell r="CD54">
            <v>-4.1219893783818407E-2</v>
          </cell>
        </row>
        <row r="56">
          <cell r="B56" t="str">
            <v>Shareholders' Equity (beginning of period)</v>
          </cell>
          <cell r="E56">
            <v>471.76699999999994</v>
          </cell>
          <cell r="F56">
            <v>948.71300000000008</v>
          </cell>
          <cell r="G56">
            <v>585.2349999999999</v>
          </cell>
          <cell r="H56">
            <v>497.79899999999998</v>
          </cell>
          <cell r="I56">
            <v>367.1579999999999</v>
          </cell>
          <cell r="J56">
            <v>264.51400000000001</v>
          </cell>
          <cell r="K56">
            <v>552.64800000000002</v>
          </cell>
          <cell r="L56">
            <v>566.22499999999991</v>
          </cell>
          <cell r="M56">
            <v>673.19300000000021</v>
          </cell>
          <cell r="N56">
            <v>644.38799999999992</v>
          </cell>
          <cell r="O56">
            <v>966.64100000000008</v>
          </cell>
          <cell r="P56">
            <v>1005.721</v>
          </cell>
          <cell r="Q56">
            <v>1111.9389999999999</v>
          </cell>
          <cell r="R56">
            <v>696.3275191930702</v>
          </cell>
          <cell r="S56">
            <v>720.70504959050243</v>
          </cell>
          <cell r="T56">
            <v>775.77028589048962</v>
          </cell>
          <cell r="U56">
            <v>740.97059351616315</v>
          </cell>
          <cell r="V56">
            <v>706.01394274156121</v>
          </cell>
          <cell r="W56">
            <v>713.89105263785655</v>
          </cell>
          <cell r="X56">
            <v>842.50522080799044</v>
          </cell>
          <cell r="Y56">
            <v>1001.6967616307497</v>
          </cell>
          <cell r="AB56">
            <v>1000.8349999999999</v>
          </cell>
          <cell r="AC56">
            <v>1010.6270000000001</v>
          </cell>
          <cell r="AD56">
            <v>979.38300000000004</v>
          </cell>
          <cell r="AE56">
            <v>948.71300000000008</v>
          </cell>
          <cell r="AF56">
            <v>905.64099999999985</v>
          </cell>
          <cell r="AG56">
            <v>876.03699999999981</v>
          </cell>
          <cell r="AH56">
            <v>828.06299999999987</v>
          </cell>
          <cell r="AI56">
            <v>585.2349999999999</v>
          </cell>
          <cell r="AJ56">
            <v>552.81699999999989</v>
          </cell>
          <cell r="AK56">
            <v>525.03099999999984</v>
          </cell>
          <cell r="AL56">
            <v>520.36000000000013</v>
          </cell>
          <cell r="AM56">
            <v>497.79899999999998</v>
          </cell>
          <cell r="AN56">
            <v>460.12299999999993</v>
          </cell>
          <cell r="AO56">
            <v>433.1579999999999</v>
          </cell>
          <cell r="AP56">
            <v>402.976</v>
          </cell>
          <cell r="AQ56">
            <v>367.1579999999999</v>
          </cell>
          <cell r="AR56">
            <v>332.94899999999996</v>
          </cell>
          <cell r="AS56">
            <v>306.22000000000003</v>
          </cell>
          <cell r="AT56">
            <v>284.12799999999993</v>
          </cell>
          <cell r="AU56">
            <v>264.51400000000001</v>
          </cell>
          <cell r="AV56">
            <v>257.18899999999996</v>
          </cell>
          <cell r="AW56">
            <v>226.32799999999986</v>
          </cell>
          <cell r="AX56">
            <v>232.60300000000007</v>
          </cell>
          <cell r="AY56">
            <v>552.64800000000002</v>
          </cell>
          <cell r="AZ56">
            <v>558.84799999999996</v>
          </cell>
          <cell r="BA56">
            <v>557.4369999999999</v>
          </cell>
          <cell r="BB56">
            <v>558.50900000000001</v>
          </cell>
          <cell r="BC56">
            <v>566.22499999999991</v>
          </cell>
          <cell r="BD56">
            <v>572.84300000000007</v>
          </cell>
          <cell r="BE56">
            <v>581.61999999999989</v>
          </cell>
          <cell r="BF56">
            <v>592.91100000000006</v>
          </cell>
          <cell r="BG56">
            <v>673.19300000000021</v>
          </cell>
          <cell r="BH56">
            <v>682.50099999999975</v>
          </cell>
          <cell r="BI56">
            <v>697.54899999999998</v>
          </cell>
          <cell r="BJ56">
            <v>712.30500000000006</v>
          </cell>
          <cell r="BK56">
            <v>644.38799999999992</v>
          </cell>
          <cell r="BL56">
            <v>735.19399999999996</v>
          </cell>
          <cell r="BM56">
            <v>982.4849999999999</v>
          </cell>
          <cell r="BN56">
            <v>998.99999999999989</v>
          </cell>
          <cell r="BO56">
            <v>966.64100000000008</v>
          </cell>
          <cell r="BP56">
            <v>975.68599999999992</v>
          </cell>
          <cell r="BQ56">
            <v>1001.0359999999999</v>
          </cell>
          <cell r="BR56">
            <v>989.30899999999997</v>
          </cell>
          <cell r="BS56">
            <v>1005.721</v>
          </cell>
          <cell r="BT56">
            <v>1019.016</v>
          </cell>
          <cell r="BU56">
            <v>1053.7249999999999</v>
          </cell>
          <cell r="BV56">
            <v>1086.2510000000002</v>
          </cell>
          <cell r="BW56">
            <v>1111.9389999999999</v>
          </cell>
          <cell r="BX56">
            <v>1080.693</v>
          </cell>
          <cell r="BY56">
            <v>908.61400000000026</v>
          </cell>
          <cell r="BZ56">
            <v>711.63800000000026</v>
          </cell>
          <cell r="CA56">
            <v>696.3275191930702</v>
          </cell>
          <cell r="CB56">
            <v>702.88742181202122</v>
          </cell>
          <cell r="CC56">
            <v>708.68410853409455</v>
          </cell>
          <cell r="CD56">
            <v>714.45738444684093</v>
          </cell>
        </row>
        <row r="57">
          <cell r="B57" t="str">
            <v xml:space="preserve"> + Net income (less preferred dividends)</v>
          </cell>
          <cell r="E57">
            <v>-81.167000000000002</v>
          </cell>
          <cell r="F57">
            <v>-366.03500000000008</v>
          </cell>
          <cell r="G57">
            <v>-89.33599999999997</v>
          </cell>
          <cell r="H57">
            <v>-133.03700000000006</v>
          </cell>
          <cell r="I57">
            <v>-108.06399999999994</v>
          </cell>
          <cell r="J57">
            <v>-98.818999999999974</v>
          </cell>
          <cell r="K57">
            <v>-40.268999999999849</v>
          </cell>
          <cell r="L57">
            <v>-16.410000000000096</v>
          </cell>
          <cell r="M57">
            <v>18.41099999999981</v>
          </cell>
          <cell r="N57">
            <v>340.8780000000001</v>
          </cell>
          <cell r="O57">
            <v>57.910999999999774</v>
          </cell>
          <cell r="P57">
            <v>76.887999999999806</v>
          </cell>
          <cell r="Q57">
            <v>32.743519193069851</v>
          </cell>
          <cell r="R57">
            <v>32.365530397432536</v>
          </cell>
          <cell r="S57">
            <v>53.053236299987219</v>
          </cell>
          <cell r="T57">
            <v>63.188307625673581</v>
          </cell>
          <cell r="U57">
            <v>63.031349225398138</v>
          </cell>
          <cell r="V57">
            <v>55.865109896295408</v>
          </cell>
          <cell r="W57">
            <v>76.60216817013395</v>
          </cell>
          <cell r="X57">
            <v>107.17954082275941</v>
          </cell>
          <cell r="Y57">
            <v>142.02882844716231</v>
          </cell>
          <cell r="AB57">
            <v>4.384999999999982</v>
          </cell>
          <cell r="AC57">
            <v>-24.323000000000008</v>
          </cell>
          <cell r="AD57">
            <v>-32.522000000000027</v>
          </cell>
          <cell r="AE57">
            <v>-43.128999999999984</v>
          </cell>
          <cell r="AF57">
            <v>-30.797999999999973</v>
          </cell>
          <cell r="AG57">
            <v>-48.366000000000014</v>
          </cell>
          <cell r="AH57">
            <v>-243.74200000000002</v>
          </cell>
          <cell r="AI57">
            <v>-33.348999999999997</v>
          </cell>
          <cell r="AJ57">
            <v>-29.001000000000001</v>
          </cell>
          <cell r="AK57">
            <v>-5.6579999999999817</v>
          </cell>
          <cell r="AL57">
            <v>-21.327999999999989</v>
          </cell>
          <cell r="AM57">
            <v>-38.830999999999996</v>
          </cell>
          <cell r="AN57">
            <v>-27.158000000000015</v>
          </cell>
          <cell r="AO57">
            <v>-30.903000000000002</v>
          </cell>
          <cell r="AP57">
            <v>-36.145000000000032</v>
          </cell>
          <cell r="AQ57">
            <v>-35.169000000000018</v>
          </cell>
          <cell r="AR57">
            <v>-27.198000000000004</v>
          </cell>
          <cell r="AS57">
            <v>-23.440999999999992</v>
          </cell>
          <cell r="AT57">
            <v>-22.25599999999999</v>
          </cell>
          <cell r="AU57">
            <v>-22.261000000000017</v>
          </cell>
          <cell r="AV57">
            <v>-40.411999999999978</v>
          </cell>
          <cell r="AW57">
            <v>-11.351000000000017</v>
          </cell>
          <cell r="AX57">
            <v>-24.795000000000019</v>
          </cell>
          <cell r="AY57">
            <v>-13.808999999999999</v>
          </cell>
          <cell r="AZ57">
            <v>-9.5849999999999689</v>
          </cell>
          <cell r="BA57">
            <v>-11.582999999999975</v>
          </cell>
          <cell r="BB57">
            <v>-5.2920000000000087</v>
          </cell>
          <cell r="BC57">
            <v>-4.771000000000015</v>
          </cell>
          <cell r="BD57">
            <v>-3.2079999999999913</v>
          </cell>
          <cell r="BE57">
            <v>-0.18600000000003702</v>
          </cell>
          <cell r="BF57">
            <v>-8.2449999999999921</v>
          </cell>
          <cell r="BG57">
            <v>2.8800000000000319</v>
          </cell>
          <cell r="BH57">
            <v>5.9119999999999804</v>
          </cell>
          <cell r="BI57">
            <v>7.6979999999999995</v>
          </cell>
          <cell r="BJ57">
            <v>1.9210000000000296</v>
          </cell>
          <cell r="BK57">
            <v>-6.7789999999999893</v>
          </cell>
          <cell r="BL57">
            <v>314.08399999999995</v>
          </cell>
          <cell r="BM57">
            <v>16.078999999999986</v>
          </cell>
          <cell r="BN57">
            <v>17.494000000000071</v>
          </cell>
          <cell r="BO57">
            <v>12.61899999999995</v>
          </cell>
          <cell r="BP57">
            <v>14.307000000000007</v>
          </cell>
          <cell r="BQ57">
            <v>14.593000000000027</v>
          </cell>
          <cell r="BR57">
            <v>16.392000000000067</v>
          </cell>
          <cell r="BS57">
            <v>19.331999999999915</v>
          </cell>
          <cell r="BT57">
            <v>19.318999999999939</v>
          </cell>
          <cell r="BU57">
            <v>20.969000000000015</v>
          </cell>
          <cell r="BV57">
            <v>17.267999999999969</v>
          </cell>
          <cell r="BW57">
            <v>13.144000000000018</v>
          </cell>
          <cell r="BX57">
            <v>17.346999999999916</v>
          </cell>
          <cell r="BY57">
            <v>-9.4340000000000259</v>
          </cell>
          <cell r="BZ57">
            <v>11.686519193069977</v>
          </cell>
          <cell r="CA57">
            <v>8.5569026189510886</v>
          </cell>
          <cell r="CB57">
            <v>7.793686722073355</v>
          </cell>
          <cell r="CC57">
            <v>7.7702759127464027</v>
          </cell>
          <cell r="CD57">
            <v>8.2446651436615603</v>
          </cell>
        </row>
        <row r="58">
          <cell r="B58" t="str">
            <v xml:space="preserve"> + Change in AOCI</v>
          </cell>
          <cell r="E58">
            <v>-6.6980000000000004</v>
          </cell>
          <cell r="F58">
            <v>0.59499999999999997</v>
          </cell>
          <cell r="G58">
            <v>2.7999999999999969E-2</v>
          </cell>
          <cell r="H58">
            <v>-0.41699999999999998</v>
          </cell>
          <cell r="I58">
            <v>0</v>
          </cell>
          <cell r="J58">
            <v>0</v>
          </cell>
          <cell r="K58">
            <v>0</v>
          </cell>
          <cell r="L58">
            <v>-7.1470000000000002</v>
          </cell>
          <cell r="M58">
            <v>2.9089999999999998</v>
          </cell>
          <cell r="N58">
            <v>2.4090000000000007</v>
          </cell>
          <cell r="O58">
            <v>1.8479999999999999</v>
          </cell>
          <cell r="P58">
            <v>4.5999999999999999E-2</v>
          </cell>
          <cell r="Q58">
            <v>6.5000000000000002E-2</v>
          </cell>
          <cell r="R58">
            <v>0</v>
          </cell>
          <cell r="S58">
            <v>0</v>
          </cell>
          <cell r="T58">
            <v>0</v>
          </cell>
          <cell r="U58">
            <v>0</v>
          </cell>
          <cell r="V58">
            <v>0</v>
          </cell>
          <cell r="W58">
            <v>0</v>
          </cell>
          <cell r="X58">
            <v>0</v>
          </cell>
          <cell r="Y58">
            <v>0</v>
          </cell>
          <cell r="AB58">
            <v>1.1180000000000003</v>
          </cell>
          <cell r="AC58">
            <v>-6.4719999999999995</v>
          </cell>
          <cell r="AD58">
            <v>0.39400000000000002</v>
          </cell>
          <cell r="AE58">
            <v>-0.48699999999999999</v>
          </cell>
          <cell r="AF58">
            <v>0.69299999999999995</v>
          </cell>
          <cell r="AG58">
            <v>0</v>
          </cell>
          <cell r="AH58">
            <v>0.38900000000000001</v>
          </cell>
          <cell r="AI58">
            <v>0.53300000000000003</v>
          </cell>
          <cell r="AJ58">
            <v>0.82100000000000006</v>
          </cell>
          <cell r="AK58">
            <v>0.16199999999999992</v>
          </cell>
          <cell r="AL58">
            <v>-1.488</v>
          </cell>
          <cell r="AM58">
            <v>-0.28699999999999998</v>
          </cell>
          <cell r="AN58">
            <v>-0.13</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0.126</v>
          </cell>
          <cell r="BE58">
            <v>-0.15</v>
          </cell>
          <cell r="BF58">
            <v>-7.1230000000000002</v>
          </cell>
          <cell r="BG58">
            <v>0.1980000000000004</v>
          </cell>
          <cell r="BH58">
            <v>1.6029999999999998</v>
          </cell>
          <cell r="BI58">
            <v>5.600000000000005E-2</v>
          </cell>
          <cell r="BJ58">
            <v>1.0519999999999996</v>
          </cell>
          <cell r="BK58">
            <v>0.47200000000000042</v>
          </cell>
          <cell r="BL58">
            <v>1.0289999999999999</v>
          </cell>
          <cell r="BM58">
            <v>0.39400000000000013</v>
          </cell>
          <cell r="BN58">
            <v>0.51400000000000001</v>
          </cell>
          <cell r="BO58">
            <v>0.56400000000000006</v>
          </cell>
          <cell r="BP58">
            <v>0.49299999999999988</v>
          </cell>
          <cell r="BQ58">
            <v>-4.599999999999993E-2</v>
          </cell>
          <cell r="BR58">
            <v>0.83699999999999997</v>
          </cell>
          <cell r="BS58">
            <v>-8.0000000000000002E-3</v>
          </cell>
          <cell r="BT58">
            <v>-5.2000000000000005E-2</v>
          </cell>
          <cell r="BU58">
            <v>0.10500000000000001</v>
          </cell>
          <cell r="BV58">
            <v>1.0000000000000009E-3</v>
          </cell>
          <cell r="BW58">
            <v>7.9999999999999932E-3</v>
          </cell>
          <cell r="BX58">
            <v>-2.7999999999999997E-2</v>
          </cell>
          <cell r="BY58">
            <v>8.5000000000000006E-2</v>
          </cell>
          <cell r="BZ58">
            <v>0</v>
          </cell>
          <cell r="CA58">
            <v>0</v>
          </cell>
          <cell r="CB58">
            <v>0</v>
          </cell>
          <cell r="CC58">
            <v>0</v>
          </cell>
          <cell r="CD58">
            <v>0</v>
          </cell>
        </row>
        <row r="59">
          <cell r="B59" t="str">
            <v xml:space="preserve"> - Dividends</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row>
        <row r="60">
          <cell r="B60" t="str">
            <v xml:space="preserve"> + Net Share Issuance</v>
          </cell>
          <cell r="E60">
            <v>564.81100000000004</v>
          </cell>
          <cell r="F60">
            <v>1.9619999999999891</v>
          </cell>
          <cell r="G60">
            <v>1.8720000000000709</v>
          </cell>
          <cell r="H60">
            <v>2.8129999999998745</v>
          </cell>
          <cell r="I60">
            <v>5.4200000000000728</v>
          </cell>
          <cell r="J60">
            <v>386.95299999999997</v>
          </cell>
          <cell r="K60">
            <v>53.846000000000004</v>
          </cell>
          <cell r="L60">
            <v>146.09300000000007</v>
          </cell>
          <cell r="M60">
            <v>10.144000000000005</v>
          </cell>
          <cell r="N60">
            <v>28.411999999999807</v>
          </cell>
          <cell r="O60">
            <v>20.910000000000082</v>
          </cell>
          <cell r="P60">
            <v>19.269999999999982</v>
          </cell>
          <cell r="Q60">
            <v>-135.00299999999993</v>
          </cell>
          <cell r="R60">
            <v>52.011999999999716</v>
          </cell>
          <cell r="S60">
            <v>52.011999999999944</v>
          </cell>
          <cell r="T60">
            <v>52.011999999999944</v>
          </cell>
          <cell r="U60">
            <v>52.011999999999944</v>
          </cell>
          <cell r="V60">
            <v>52.011999999999944</v>
          </cell>
          <cell r="W60">
            <v>52.011999999999944</v>
          </cell>
          <cell r="X60">
            <v>52.011999999999944</v>
          </cell>
          <cell r="Y60">
            <v>52.012000000000171</v>
          </cell>
          <cell r="AB60">
            <v>4.2889999999999873</v>
          </cell>
          <cell r="AC60">
            <v>-0.44900000000006912</v>
          </cell>
          <cell r="AD60">
            <v>1.4580000000000837</v>
          </cell>
          <cell r="AE60">
            <v>0.54399999999986903</v>
          </cell>
          <cell r="AF60">
            <v>0.50099999999997635</v>
          </cell>
          <cell r="AG60">
            <v>0.39200000000005275</v>
          </cell>
          <cell r="AH60">
            <v>0.52500000000009095</v>
          </cell>
          <cell r="AI60">
            <v>0.39799999999991087</v>
          </cell>
          <cell r="AJ60">
            <v>0.39400000000000546</v>
          </cell>
          <cell r="AK60">
            <v>0.82500000000027285</v>
          </cell>
          <cell r="AL60">
            <v>0.25499999999988177</v>
          </cell>
          <cell r="AM60">
            <v>1.4419999999997799</v>
          </cell>
          <cell r="AN60">
            <v>0.32300000000009277</v>
          </cell>
          <cell r="AO60">
            <v>0.72100000000000364</v>
          </cell>
          <cell r="AP60">
            <v>0.32699999999999818</v>
          </cell>
          <cell r="AQ60">
            <v>0.96000000000003638</v>
          </cell>
          <cell r="AR60">
            <v>0.46900000000005093</v>
          </cell>
          <cell r="AS60">
            <v>1.3489999999999327</v>
          </cell>
          <cell r="AT60">
            <v>2.6420000000000528</v>
          </cell>
          <cell r="AU60">
            <v>14.935999999999922</v>
          </cell>
          <cell r="AV60">
            <v>9.5509999999999309</v>
          </cell>
          <cell r="AW60">
            <v>17.626000000000204</v>
          </cell>
          <cell r="AX60">
            <v>344.83999999999992</v>
          </cell>
          <cell r="AY60">
            <v>20.009000000000015</v>
          </cell>
          <cell r="AZ60">
            <v>8.1739999999999782</v>
          </cell>
          <cell r="BA60">
            <v>12.654999999999973</v>
          </cell>
          <cell r="BB60">
            <v>13.008000000000038</v>
          </cell>
          <cell r="BC60">
            <v>7.5620000000001255</v>
          </cell>
          <cell r="BD60">
            <v>7.9519999999997708</v>
          </cell>
          <cell r="BE60">
            <v>7.6400000000001</v>
          </cell>
          <cell r="BF60">
            <v>122.93900000000008</v>
          </cell>
          <cell r="BG60">
            <v>6.2299999999997908</v>
          </cell>
          <cell r="BH60">
            <v>7.5330000000001291</v>
          </cell>
          <cell r="BI60">
            <v>7.0019999999999527</v>
          </cell>
          <cell r="BJ60">
            <v>-10.620999999999867</v>
          </cell>
          <cell r="BK60">
            <v>25.351999999999862</v>
          </cell>
          <cell r="BL60">
            <v>3.938999999999989</v>
          </cell>
          <cell r="BM60">
            <v>4.1999999999932314E-2</v>
          </cell>
          <cell r="BN60">
            <v>-46.741999999999976</v>
          </cell>
          <cell r="BO60">
            <v>22.47100000000006</v>
          </cell>
          <cell r="BP60">
            <v>13.810999999999936</v>
          </cell>
          <cell r="BQ60">
            <v>-23.868999999999886</v>
          </cell>
          <cell r="BR60">
            <v>1.1619999999999706</v>
          </cell>
          <cell r="BS60">
            <v>21.618000000000084</v>
          </cell>
          <cell r="BT60">
            <v>18.099999999999849</v>
          </cell>
          <cell r="BU60">
            <v>12.847000000000078</v>
          </cell>
          <cell r="BV60">
            <v>8.8819999999999713</v>
          </cell>
          <cell r="BW60">
            <v>-37.652000000000029</v>
          </cell>
          <cell r="BX60">
            <v>-177.92599999999985</v>
          </cell>
          <cell r="BY60">
            <v>-182.80799999999996</v>
          </cell>
          <cell r="BZ60">
            <v>-26.997000000000071</v>
          </cell>
          <cell r="CA60">
            <v>-1.9970000000000709</v>
          </cell>
          <cell r="CB60">
            <v>-1.9970000000000709</v>
          </cell>
          <cell r="CC60" t="str">
            <v>mstag:netIssuanceRepurchaseOfCommonStock</v>
          </cell>
          <cell r="CD60">
            <v>6</v>
          </cell>
          <cell r="CE60" t="str">
            <v>ISO4217:USD</v>
          </cell>
          <cell r="CF60" t="b">
            <v>0</v>
          </cell>
          <cell r="CG60" t="str">
            <v>mstag:netIssuanceRepurchaseOfCommonStock</v>
          </cell>
          <cell r="CH60">
            <v>6</v>
          </cell>
          <cell r="CI60" t="str">
            <v>ISO4217:USD</v>
          </cell>
          <cell r="CJ60" t="b">
            <v>0</v>
          </cell>
        </row>
        <row r="61">
          <cell r="B61" t="str">
            <v>Shareholders' Equity (end of period)</v>
          </cell>
          <cell r="E61">
            <v>948.71299999999997</v>
          </cell>
          <cell r="F61">
            <v>585.23500000000001</v>
          </cell>
          <cell r="G61">
            <v>497.79900000000004</v>
          </cell>
          <cell r="H61">
            <v>367.15799999999984</v>
          </cell>
          <cell r="I61">
            <v>264.51400000000001</v>
          </cell>
          <cell r="J61">
            <v>552.64800000000002</v>
          </cell>
          <cell r="K61">
            <v>566.22500000000014</v>
          </cell>
          <cell r="L61">
            <v>688.76099999999985</v>
          </cell>
          <cell r="M61">
            <v>704.65700000000004</v>
          </cell>
          <cell r="N61">
            <v>1016.0869999999999</v>
          </cell>
          <cell r="O61">
            <v>1047.31</v>
          </cell>
          <cell r="P61">
            <v>1101.925</v>
          </cell>
          <cell r="Q61">
            <v>1009.7445191930699</v>
          </cell>
          <cell r="R61">
            <v>780.70504959050243</v>
          </cell>
          <cell r="S61">
            <v>825.77028589048962</v>
          </cell>
          <cell r="T61">
            <v>890.97059351616315</v>
          </cell>
          <cell r="U61">
            <v>856.01394274156121</v>
          </cell>
          <cell r="V61">
            <v>813.89105263785655</v>
          </cell>
          <cell r="W61">
            <v>842.50522080799044</v>
          </cell>
          <cell r="X61">
            <v>1001.6967616307497</v>
          </cell>
          <cell r="Y61">
            <v>1195.7375900779123</v>
          </cell>
          <cell r="AB61">
            <v>1010.627</v>
          </cell>
          <cell r="AC61">
            <v>979.38300000000004</v>
          </cell>
          <cell r="AD61">
            <v>948.71300000000008</v>
          </cell>
          <cell r="AE61">
            <v>905.64099999999996</v>
          </cell>
          <cell r="AF61">
            <v>876.03699999999981</v>
          </cell>
          <cell r="AG61">
            <v>828.06299999999987</v>
          </cell>
          <cell r="AH61">
            <v>585.23500000000001</v>
          </cell>
          <cell r="AI61">
            <v>552.81699999999978</v>
          </cell>
          <cell r="AJ61">
            <v>525.03099999999995</v>
          </cell>
          <cell r="AK61">
            <v>520.36000000000013</v>
          </cell>
          <cell r="AL61">
            <v>497.79900000000004</v>
          </cell>
          <cell r="AM61">
            <v>460.12299999999976</v>
          </cell>
          <cell r="AN61">
            <v>433.15800000000002</v>
          </cell>
          <cell r="AO61">
            <v>402.97599999999989</v>
          </cell>
          <cell r="AP61">
            <v>367.15799999999996</v>
          </cell>
          <cell r="AQ61">
            <v>332.9489999999999</v>
          </cell>
          <cell r="AR61">
            <v>306.22000000000003</v>
          </cell>
          <cell r="AS61">
            <v>284.12799999999999</v>
          </cell>
          <cell r="AT61">
            <v>264.51400000000001</v>
          </cell>
          <cell r="AU61">
            <v>257.18899999999991</v>
          </cell>
          <cell r="AV61">
            <v>226.32799999999992</v>
          </cell>
          <cell r="AW61">
            <v>232.60300000000004</v>
          </cell>
          <cell r="AX61">
            <v>552.64799999999991</v>
          </cell>
          <cell r="AY61">
            <v>558.84800000000007</v>
          </cell>
          <cell r="AZ61">
            <v>557.43700000000001</v>
          </cell>
          <cell r="BA61">
            <v>558.5089999999999</v>
          </cell>
          <cell r="BB61">
            <v>566.22500000000002</v>
          </cell>
          <cell r="BC61">
            <v>569.01600000000008</v>
          </cell>
          <cell r="BD61">
            <v>577.71299999999985</v>
          </cell>
          <cell r="BE61">
            <v>588.92399999999998</v>
          </cell>
          <cell r="BF61">
            <v>700.48200000000008</v>
          </cell>
          <cell r="BG61">
            <v>682.50099999999998</v>
          </cell>
          <cell r="BH61">
            <v>697.54899999999986</v>
          </cell>
          <cell r="BI61">
            <v>712.30499999999995</v>
          </cell>
          <cell r="BJ61">
            <v>704.65700000000027</v>
          </cell>
          <cell r="BK61">
            <v>663.43299999999977</v>
          </cell>
          <cell r="BL61">
            <v>1054.2459999999999</v>
          </cell>
          <cell r="BM61">
            <v>998.99999999999977</v>
          </cell>
          <cell r="BN61">
            <v>970.26599999999996</v>
          </cell>
          <cell r="BO61">
            <v>1002.2950000000001</v>
          </cell>
          <cell r="BP61">
            <v>1004.2969999999999</v>
          </cell>
          <cell r="BQ61">
            <v>991.71400000000006</v>
          </cell>
          <cell r="BR61">
            <v>1007.6999999999999</v>
          </cell>
          <cell r="BS61">
            <v>1046.663</v>
          </cell>
          <cell r="BT61">
            <v>1056.3829999999998</v>
          </cell>
          <cell r="BU61">
            <v>1087.646</v>
          </cell>
          <cell r="BV61">
            <v>1112.4020000000003</v>
          </cell>
          <cell r="BW61">
            <v>1087.4389999999999</v>
          </cell>
          <cell r="BX61">
            <v>920.08600000000013</v>
          </cell>
          <cell r="BY61">
            <v>716.45700000000033</v>
          </cell>
          <cell r="BZ61">
            <v>696.3275191930702</v>
          </cell>
          <cell r="CA61">
            <v>702.88742181202122</v>
          </cell>
          <cell r="CB61">
            <v>708.68410853409455</v>
          </cell>
          <cell r="CC61">
            <v>714.45738444684093</v>
          </cell>
          <cell r="CD61">
            <v>720.70504959050243</v>
          </cell>
        </row>
        <row r="62">
          <cell r="B62" t="str">
            <v>Shareholders' Equity (end of period check)</v>
          </cell>
          <cell r="E62">
            <v>948.71300000000008</v>
          </cell>
          <cell r="F62">
            <v>585.2349999999999</v>
          </cell>
          <cell r="G62">
            <v>497.79899999999998</v>
          </cell>
          <cell r="H62">
            <v>367.1579999999999</v>
          </cell>
          <cell r="I62">
            <v>264.51400000000001</v>
          </cell>
          <cell r="J62">
            <v>552.64800000000002</v>
          </cell>
          <cell r="K62">
            <v>566.22499999999991</v>
          </cell>
          <cell r="L62">
            <v>673.19300000000021</v>
          </cell>
          <cell r="M62">
            <v>644.38799999999992</v>
          </cell>
          <cell r="N62">
            <v>966.64100000000008</v>
          </cell>
          <cell r="O62">
            <v>1005.721</v>
          </cell>
          <cell r="P62">
            <v>1111.9389999999999</v>
          </cell>
          <cell r="Q62">
            <v>696.3275191930702</v>
          </cell>
          <cell r="R62">
            <v>720.70504959050243</v>
          </cell>
          <cell r="S62">
            <v>775.77028589048962</v>
          </cell>
          <cell r="T62">
            <v>740.97059351616315</v>
          </cell>
          <cell r="U62">
            <v>706.01394274156121</v>
          </cell>
          <cell r="V62">
            <v>713.89105263785655</v>
          </cell>
          <cell r="W62">
            <v>842.50522080799044</v>
          </cell>
          <cell r="X62">
            <v>1001.6967616307497</v>
          </cell>
          <cell r="Y62">
            <v>1195.7375900779123</v>
          </cell>
          <cell r="AB62">
            <v>1010.6270000000001</v>
          </cell>
          <cell r="AC62">
            <v>979.38300000000004</v>
          </cell>
          <cell r="AD62">
            <v>948.71300000000008</v>
          </cell>
          <cell r="AE62">
            <v>905.64099999999985</v>
          </cell>
          <cell r="AF62">
            <v>876.03699999999981</v>
          </cell>
          <cell r="AG62">
            <v>828.06299999999987</v>
          </cell>
          <cell r="AH62">
            <v>585.2349999999999</v>
          </cell>
          <cell r="AI62">
            <v>552.81699999999989</v>
          </cell>
          <cell r="AJ62">
            <v>525.03099999999984</v>
          </cell>
          <cell r="AK62">
            <v>520.36000000000013</v>
          </cell>
          <cell r="AL62">
            <v>497.79899999999998</v>
          </cell>
          <cell r="AM62">
            <v>460.12299999999993</v>
          </cell>
          <cell r="AN62">
            <v>433.1579999999999</v>
          </cell>
          <cell r="AO62">
            <v>402.976</v>
          </cell>
          <cell r="AP62">
            <v>367.1579999999999</v>
          </cell>
          <cell r="AQ62">
            <v>332.94899999999996</v>
          </cell>
          <cell r="AR62">
            <v>306.22000000000003</v>
          </cell>
          <cell r="AS62">
            <v>284.12799999999993</v>
          </cell>
          <cell r="AT62">
            <v>264.51400000000001</v>
          </cell>
          <cell r="AU62">
            <v>257.18899999999996</v>
          </cell>
          <cell r="AV62">
            <v>226.32799999999986</v>
          </cell>
          <cell r="AW62">
            <v>232.60300000000007</v>
          </cell>
          <cell r="AX62">
            <v>552.64800000000002</v>
          </cell>
          <cell r="AY62">
            <v>558.84799999999996</v>
          </cell>
          <cell r="AZ62">
            <v>557.4369999999999</v>
          </cell>
          <cell r="BA62">
            <v>558.50900000000001</v>
          </cell>
          <cell r="BB62">
            <v>566.22499999999991</v>
          </cell>
          <cell r="BC62">
            <v>572.84300000000007</v>
          </cell>
          <cell r="BD62">
            <v>581.61999999999989</v>
          </cell>
          <cell r="BE62">
            <v>592.91100000000006</v>
          </cell>
          <cell r="BF62">
            <v>673.19300000000021</v>
          </cell>
          <cell r="BG62">
            <v>682.50099999999975</v>
          </cell>
          <cell r="BH62">
            <v>697.54899999999998</v>
          </cell>
          <cell r="BI62">
            <v>712.30500000000006</v>
          </cell>
          <cell r="BJ62">
            <v>644.38799999999992</v>
          </cell>
          <cell r="BK62">
            <v>735.19399999999996</v>
          </cell>
          <cell r="BL62">
            <v>982.4849999999999</v>
          </cell>
          <cell r="BM62">
            <v>998.99999999999989</v>
          </cell>
          <cell r="BN62">
            <v>966.64100000000008</v>
          </cell>
          <cell r="BO62">
            <v>975.68599999999992</v>
          </cell>
          <cell r="BP62">
            <v>1001.0359999999999</v>
          </cell>
          <cell r="BQ62">
            <v>989.30899999999997</v>
          </cell>
          <cell r="BR62">
            <v>1005.721</v>
          </cell>
          <cell r="BS62">
            <v>1019.016</v>
          </cell>
          <cell r="BT62">
            <v>1053.7249999999999</v>
          </cell>
          <cell r="BU62">
            <v>1086.2510000000002</v>
          </cell>
          <cell r="BV62">
            <v>1111.9389999999999</v>
          </cell>
          <cell r="BW62">
            <v>1080.693</v>
          </cell>
          <cell r="BX62">
            <v>908.61400000000026</v>
          </cell>
          <cell r="BY62">
            <v>711.63800000000026</v>
          </cell>
          <cell r="BZ62">
            <v>696.3275191930702</v>
          </cell>
          <cell r="CA62">
            <v>702.88742181202122</v>
          </cell>
          <cell r="CB62">
            <v>708.68410853409455</v>
          </cell>
          <cell r="CC62">
            <v>714.45738444684093</v>
          </cell>
          <cell r="CD62">
            <v>720.70504959050243</v>
          </cell>
        </row>
        <row r="64">
          <cell r="B64" t="str">
            <v>Check</v>
          </cell>
          <cell r="E64">
            <v>0</v>
          </cell>
          <cell r="F64">
            <v>0</v>
          </cell>
          <cell r="G64">
            <v>0</v>
          </cell>
          <cell r="H64">
            <v>0</v>
          </cell>
          <cell r="I64">
            <v>0</v>
          </cell>
          <cell r="J64">
            <v>0</v>
          </cell>
          <cell r="K64">
            <v>0</v>
          </cell>
          <cell r="L64">
            <v>-15.567999999999643</v>
          </cell>
          <cell r="M64">
            <v>-60.269000000000119</v>
          </cell>
          <cell r="N64">
            <v>-49.445999999999799</v>
          </cell>
          <cell r="O64">
            <v>-41.588999999999942</v>
          </cell>
          <cell r="P64">
            <v>10.013999999999896</v>
          </cell>
          <cell r="Q64">
            <v>-313.41699999999969</v>
          </cell>
          <cell r="R64">
            <v>-60</v>
          </cell>
          <cell r="S64">
            <v>-50</v>
          </cell>
          <cell r="T64">
            <v>-150</v>
          </cell>
          <cell r="U64">
            <v>-150</v>
          </cell>
          <cell r="V64">
            <v>-100</v>
          </cell>
          <cell r="W64">
            <v>0</v>
          </cell>
          <cell r="X64">
            <v>0</v>
          </cell>
          <cell r="Y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3.8269999999999982</v>
          </cell>
          <cell r="BD64">
            <v>3.9070000000000391</v>
          </cell>
          <cell r="BE64">
            <v>3.98700000000008</v>
          </cell>
          <cell r="BF64">
            <v>-27.288999999999874</v>
          </cell>
          <cell r="BG64">
            <v>0</v>
          </cell>
          <cell r="BH64">
            <v>0</v>
          </cell>
          <cell r="BI64">
            <v>0</v>
          </cell>
          <cell r="BJ64">
            <v>-60.269000000000347</v>
          </cell>
          <cell r="BK64">
            <v>71.761000000000195</v>
          </cell>
          <cell r="BL64">
            <v>-71.760999999999967</v>
          </cell>
          <cell r="BM64">
            <v>0</v>
          </cell>
          <cell r="BN64">
            <v>-3.6249999999998863</v>
          </cell>
          <cell r="BO64">
            <v>-26.609000000000151</v>
          </cell>
          <cell r="BP64">
            <v>-3.2609999999999673</v>
          </cell>
          <cell r="BQ64">
            <v>-2.4050000000000864</v>
          </cell>
          <cell r="BR64">
            <v>-1.9789999999999281</v>
          </cell>
          <cell r="BS64">
            <v>-27.647000000000048</v>
          </cell>
          <cell r="BT64">
            <v>-2.6579999999999018</v>
          </cell>
          <cell r="BU64">
            <v>-1.3949999999997544</v>
          </cell>
          <cell r="BV64">
            <v>-0.46300000000042019</v>
          </cell>
          <cell r="BW64">
            <v>-6.7459999999998672</v>
          </cell>
          <cell r="BX64">
            <v>-11.471999999999866</v>
          </cell>
          <cell r="BY64">
            <v>-4.8190000000000737</v>
          </cell>
          <cell r="BZ64">
            <v>0</v>
          </cell>
          <cell r="CA64">
            <v>0</v>
          </cell>
          <cell r="CB64">
            <v>0</v>
          </cell>
          <cell r="CC64" t="str">
            <v>mstag:netIssuanceRepurchaseOfCommonStock</v>
          </cell>
          <cell r="CD64">
            <v>6</v>
          </cell>
          <cell r="CE64" t="str">
            <v>ISO4217:USD</v>
          </cell>
          <cell r="CF64" t="b">
            <v>0</v>
          </cell>
          <cell r="CG64" t="str">
            <v>mstag:netIssuanceRepurchaseOfCommonStock</v>
          </cell>
          <cell r="CH64">
            <v>6</v>
          </cell>
          <cell r="CI64" t="str">
            <v>ISO4217:USD</v>
          </cell>
          <cell r="CJ64" t="b">
            <v>0</v>
          </cell>
        </row>
        <row r="66">
          <cell r="B66" t="str">
            <v>Unrecorded Goodwill</v>
          </cell>
          <cell r="E66">
            <v>0</v>
          </cell>
          <cell r="F66">
            <v>0</v>
          </cell>
          <cell r="G66">
            <v>0</v>
          </cell>
          <cell r="H66">
            <v>0</v>
          </cell>
          <cell r="I66">
            <v>0</v>
          </cell>
          <cell r="J66">
            <v>0</v>
          </cell>
          <cell r="K66">
            <v>0</v>
          </cell>
          <cell r="L66">
            <v>0</v>
          </cell>
          <cell r="M66">
            <v>0</v>
          </cell>
          <cell r="N66">
            <v>0</v>
          </cell>
          <cell r="O66">
            <v>0</v>
          </cell>
          <cell r="P66">
            <v>0</v>
          </cell>
          <cell r="Q66">
            <v>0</v>
          </cell>
          <cell r="R66">
            <v>0</v>
          </cell>
          <cell r="S66">
            <v>0</v>
          </cell>
          <cell r="T66">
            <v>0</v>
          </cell>
          <cell r="U66">
            <v>0</v>
          </cell>
          <cell r="V66">
            <v>0</v>
          </cell>
          <cell r="W66">
            <v>0</v>
          </cell>
          <cell r="X66">
            <v>0</v>
          </cell>
          <cell r="Y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t="str">
            <v>mstag:unrecordedGoodwillFromPoolingAndAmortizedOrWrittenOffGoodwill</v>
          </cell>
          <cell r="CD66">
            <v>6</v>
          </cell>
          <cell r="CE66" t="str">
            <v>ISO4217:USD</v>
          </cell>
          <cell r="CF66" t="b">
            <v>0</v>
          </cell>
          <cell r="CG66" t="str">
            <v>mstag:unrecordedGoodwillFromPoolingAndAmortizedOrWrittenOffGoodwill</v>
          </cell>
          <cell r="CH66">
            <v>6</v>
          </cell>
          <cell r="CI66" t="str">
            <v>ISO4217:USD</v>
          </cell>
          <cell r="CJ66" t="b">
            <v>0</v>
          </cell>
        </row>
        <row r="68">
          <cell r="B68" t="str">
            <v>Sales</v>
          </cell>
          <cell r="E68">
            <v>692.08699999999999</v>
          </cell>
          <cell r="F68">
            <v>695.57399999999996</v>
          </cell>
          <cell r="G68">
            <v>669.59100000000001</v>
          </cell>
          <cell r="H68">
            <v>653.08699999999999</v>
          </cell>
          <cell r="I68">
            <v>708.72700000000009</v>
          </cell>
          <cell r="J68">
            <v>812.375</v>
          </cell>
          <cell r="K68">
            <v>1083.6790000000001</v>
          </cell>
          <cell r="L68">
            <v>1159.019</v>
          </cell>
          <cell r="M68">
            <v>1211.3899999999999</v>
          </cell>
          <cell r="N68">
            <v>1273.171</v>
          </cell>
          <cell r="O68">
            <v>1366.8909999999998</v>
          </cell>
          <cell r="P68">
            <v>1470.2549999999999</v>
          </cell>
          <cell r="Q68">
            <v>1563.178091782451</v>
          </cell>
          <cell r="R68">
            <v>1677.6648387982591</v>
          </cell>
          <cell r="S68">
            <v>1805.718736866773</v>
          </cell>
          <cell r="T68">
            <v>1918.9595272092777</v>
          </cell>
          <cell r="U68">
            <v>1998.3024122447343</v>
          </cell>
          <cell r="V68">
            <v>2053.5338895031045</v>
          </cell>
          <cell r="W68">
            <v>2087.9154473296594</v>
          </cell>
          <cell r="X68">
            <v>2125.522636943464</v>
          </cell>
          <cell r="Y68">
            <v>2168.1448329361765</v>
          </cell>
          <cell r="AA68">
            <v>168.505</v>
          </cell>
          <cell r="AB68">
            <v>179.08199999999999</v>
          </cell>
          <cell r="AC68">
            <v>171.15299999999999</v>
          </cell>
          <cell r="AD68">
            <v>173.34699999999998</v>
          </cell>
          <cell r="AE68">
            <v>168.71900000000002</v>
          </cell>
          <cell r="AF68">
            <v>184.57600000000002</v>
          </cell>
          <cell r="AG68">
            <v>167.16499999999999</v>
          </cell>
          <cell r="AH68">
            <v>175.11399999999998</v>
          </cell>
          <cell r="AI68">
            <v>165.01300000000001</v>
          </cell>
          <cell r="AJ68">
            <v>162.77199999999999</v>
          </cell>
          <cell r="AK68">
            <v>172.42800000000003</v>
          </cell>
          <cell r="AL68">
            <v>169.37800000000001</v>
          </cell>
          <cell r="AM68">
            <v>161.649</v>
          </cell>
          <cell r="AN68">
            <v>162.82599999999999</v>
          </cell>
          <cell r="AO68">
            <v>160.58799999999999</v>
          </cell>
          <cell r="AP68">
            <v>168.02399999999997</v>
          </cell>
          <cell r="AQ68">
            <v>171.57399999999998</v>
          </cell>
          <cell r="AR68">
            <v>174.77699999999999</v>
          </cell>
          <cell r="AS68">
            <v>177.857</v>
          </cell>
          <cell r="AT68">
            <v>184.51900000000001</v>
          </cell>
          <cell r="AU68">
            <v>186.18699999999998</v>
          </cell>
          <cell r="AV68">
            <v>191.298</v>
          </cell>
          <cell r="AW68">
            <v>196.10899999999998</v>
          </cell>
          <cell r="AX68">
            <v>238.78099999999998</v>
          </cell>
          <cell r="AY68">
            <v>261.392</v>
          </cell>
          <cell r="AZ68">
            <v>268.01800000000003</v>
          </cell>
          <cell r="BA68">
            <v>274.79300000000001</v>
          </cell>
          <cell r="BB68">
            <v>279.476</v>
          </cell>
          <cell r="BC68">
            <v>282.584</v>
          </cell>
          <cell r="BD68">
            <v>290.17</v>
          </cell>
          <cell r="BE68">
            <v>291.61899999999997</v>
          </cell>
          <cell r="BF68">
            <v>294.64600000000002</v>
          </cell>
          <cell r="BG68">
            <v>297.63100000000003</v>
          </cell>
          <cell r="BH68">
            <v>301.05899999999997</v>
          </cell>
          <cell r="BI68">
            <v>304.76600000000002</v>
          </cell>
          <cell r="BJ68">
            <v>307.93400000000003</v>
          </cell>
          <cell r="BK68">
            <v>311.21100000000001</v>
          </cell>
          <cell r="BL68">
            <v>316.84899999999999</v>
          </cell>
          <cell r="BM68">
            <v>320.29399999999998</v>
          </cell>
          <cell r="BN68">
            <v>324.81700000000001</v>
          </cell>
          <cell r="BO68">
            <v>332.54199999999997</v>
          </cell>
          <cell r="BP68">
            <v>338.38600000000002</v>
          </cell>
          <cell r="BQ68">
            <v>344.45600000000002</v>
          </cell>
          <cell r="BR68">
            <v>351.50700000000006</v>
          </cell>
          <cell r="BS68">
            <v>358.92499999999995</v>
          </cell>
          <cell r="BT68">
            <v>364.50299999999993</v>
          </cell>
          <cell r="BU68">
            <v>368.93399999999997</v>
          </cell>
          <cell r="BV68">
            <v>377.89299999999997</v>
          </cell>
          <cell r="BW68">
            <v>381.18900000000002</v>
          </cell>
          <cell r="BX68">
            <v>389.48299999999995</v>
          </cell>
          <cell r="BY68">
            <v>393.19</v>
          </cell>
          <cell r="BZ68">
            <v>399.316091782451</v>
          </cell>
          <cell r="CA68">
            <v>406.50938739859987</v>
          </cell>
          <cell r="CB68">
            <v>414.44508969090316</v>
          </cell>
          <cell r="CC68">
            <v>423.44531592627584</v>
          </cell>
          <cell r="CD68">
            <v>433.26504578248012</v>
          </cell>
        </row>
        <row r="69">
          <cell r="B69" t="str">
            <v>COGS</v>
          </cell>
          <cell r="E69">
            <v>313.57900000000001</v>
          </cell>
          <cell r="F69">
            <v>279.351</v>
          </cell>
          <cell r="G69">
            <v>264.322</v>
          </cell>
          <cell r="H69">
            <v>261.28500000000003</v>
          </cell>
          <cell r="I69">
            <v>264.517</v>
          </cell>
          <cell r="J69">
            <v>309.45699999999999</v>
          </cell>
          <cell r="K69">
            <v>466.48299999999995</v>
          </cell>
          <cell r="L69">
            <v>487.61700000000008</v>
          </cell>
          <cell r="M69">
            <v>500.30600000000004</v>
          </cell>
          <cell r="N69">
            <v>525.70399999999995</v>
          </cell>
          <cell r="O69">
            <v>569.10400000000004</v>
          </cell>
          <cell r="P69">
            <v>615.649</v>
          </cell>
          <cell r="Q69">
            <v>655.50375854862955</v>
          </cell>
          <cell r="R69">
            <v>707.97456197286533</v>
          </cell>
          <cell r="S69">
            <v>752.98471327344441</v>
          </cell>
          <cell r="T69">
            <v>798.28716331905957</v>
          </cell>
          <cell r="U69">
            <v>829.29550108156479</v>
          </cell>
          <cell r="V69">
            <v>850.16303025428533</v>
          </cell>
          <cell r="W69">
            <v>862.30907974714921</v>
          </cell>
          <cell r="X69">
            <v>875.71532642070702</v>
          </cell>
          <cell r="Y69">
            <v>891.10752633676839</v>
          </cell>
          <cell r="AA69">
            <v>76.602000000000004</v>
          </cell>
          <cell r="AB69">
            <v>81.662000000000006</v>
          </cell>
          <cell r="AC69">
            <v>77.504999999999995</v>
          </cell>
          <cell r="AD69">
            <v>77.81</v>
          </cell>
          <cell r="AE69">
            <v>73.355000000000004</v>
          </cell>
          <cell r="AF69">
            <v>72.811999999999998</v>
          </cell>
          <cell r="AG69">
            <v>70.799000000000007</v>
          </cell>
          <cell r="AH69">
            <v>62.384999999999998</v>
          </cell>
          <cell r="AI69">
            <v>66.367000000000004</v>
          </cell>
          <cell r="AJ69">
            <v>65.462999999999994</v>
          </cell>
          <cell r="AK69">
            <v>66.631</v>
          </cell>
          <cell r="AL69">
            <v>65.861000000000004</v>
          </cell>
          <cell r="AM69">
            <v>64.316999999999993</v>
          </cell>
          <cell r="AN69">
            <v>64.221000000000004</v>
          </cell>
          <cell r="AO69">
            <v>65.55</v>
          </cell>
          <cell r="AP69">
            <v>67.197000000000003</v>
          </cell>
          <cell r="AQ69">
            <v>66.807000000000002</v>
          </cell>
          <cell r="AR69">
            <v>66.716999999999999</v>
          </cell>
          <cell r="AS69">
            <v>68.394999999999996</v>
          </cell>
          <cell r="AT69">
            <v>62.597999999999999</v>
          </cell>
          <cell r="AU69">
            <v>69.569000000000003</v>
          </cell>
          <cell r="AV69">
            <v>68.878999999999991</v>
          </cell>
          <cell r="AW69">
            <v>73.527000000000001</v>
          </cell>
          <cell r="AX69">
            <v>97.481999999999999</v>
          </cell>
          <cell r="AY69">
            <v>116.52799999999999</v>
          </cell>
          <cell r="AZ69">
            <v>114.20899999999999</v>
          </cell>
          <cell r="BA69">
            <v>117.515</v>
          </cell>
          <cell r="BB69">
            <v>118.23100000000001</v>
          </cell>
          <cell r="BC69">
            <v>119.896</v>
          </cell>
          <cell r="BD69">
            <v>120.471</v>
          </cell>
          <cell r="BE69">
            <v>122.227</v>
          </cell>
          <cell r="BF69">
            <v>125.023</v>
          </cell>
          <cell r="BG69">
            <v>123.006</v>
          </cell>
          <cell r="BH69">
            <v>122.44099999999999</v>
          </cell>
          <cell r="BI69">
            <v>126.194</v>
          </cell>
          <cell r="BJ69">
            <v>128.66499999999999</v>
          </cell>
          <cell r="BK69">
            <v>128.09699999999998</v>
          </cell>
          <cell r="BL69">
            <v>131.57</v>
          </cell>
          <cell r="BM69">
            <v>132.41200000000001</v>
          </cell>
          <cell r="BN69">
            <v>133.625</v>
          </cell>
          <cell r="BO69">
            <v>139.14100000000002</v>
          </cell>
          <cell r="BP69">
            <v>140.667</v>
          </cell>
          <cell r="BQ69">
            <v>143.566</v>
          </cell>
          <cell r="BR69">
            <v>145.72999999999999</v>
          </cell>
          <cell r="BS69">
            <v>148.69300000000001</v>
          </cell>
          <cell r="BT69">
            <v>152.53099999999998</v>
          </cell>
          <cell r="BU69">
            <v>155.72199999999998</v>
          </cell>
          <cell r="BV69">
            <v>158.703</v>
          </cell>
          <cell r="BW69">
            <v>160.47900000000001</v>
          </cell>
          <cell r="BX69">
            <v>163.58600000000001</v>
          </cell>
          <cell r="BY69">
            <v>163.726</v>
          </cell>
          <cell r="BZ69">
            <v>167.71275854862944</v>
          </cell>
          <cell r="CA69">
            <v>171.54696148220916</v>
          </cell>
          <cell r="CB69">
            <v>174.89582784956116</v>
          </cell>
          <cell r="CC69">
            <v>178.69392332088842</v>
          </cell>
          <cell r="CD69">
            <v>182.83784932020663</v>
          </cell>
        </row>
        <row r="70">
          <cell r="B70" t="str">
            <v>EBITDA</v>
          </cell>
          <cell r="E70">
            <v>142.41999999999999</v>
          </cell>
          <cell r="F70">
            <v>189.21599999999995</v>
          </cell>
          <cell r="G70">
            <v>232.34399999999999</v>
          </cell>
          <cell r="H70">
            <v>213.48499999999996</v>
          </cell>
          <cell r="I70">
            <v>251.15800000000007</v>
          </cell>
          <cell r="J70">
            <v>286.02300000000002</v>
          </cell>
          <cell r="K70">
            <v>339.00300000000016</v>
          </cell>
          <cell r="L70">
            <v>399.01599999999991</v>
          </cell>
          <cell r="M70">
            <v>436.65799999999984</v>
          </cell>
          <cell r="N70">
            <v>463.5680000000001</v>
          </cell>
          <cell r="O70">
            <v>497.73899999999981</v>
          </cell>
          <cell r="P70">
            <v>540.57899999999984</v>
          </cell>
          <cell r="Q70">
            <v>552.01594821564015</v>
          </cell>
          <cell r="R70">
            <v>590.28517664154265</v>
          </cell>
          <cell r="S70">
            <v>651.86446400890509</v>
          </cell>
          <cell r="T70">
            <v>697.54178814057241</v>
          </cell>
          <cell r="U70">
            <v>731.37868288157279</v>
          </cell>
          <cell r="V70">
            <v>756.72723828189396</v>
          </cell>
          <cell r="W70">
            <v>774.61663095930373</v>
          </cell>
          <cell r="X70">
            <v>793.88270489838385</v>
          </cell>
          <cell r="Y70">
            <v>815.22245718400234</v>
          </cell>
          <cell r="AA70">
            <v>32.942999999999991</v>
          </cell>
          <cell r="AB70">
            <v>36.057999999999986</v>
          </cell>
          <cell r="AC70">
            <v>35.409999999999997</v>
          </cell>
          <cell r="AD70">
            <v>38.008999999999979</v>
          </cell>
          <cell r="AE70">
            <v>38.633000000000017</v>
          </cell>
          <cell r="AF70">
            <v>53.078000000000024</v>
          </cell>
          <cell r="AG70">
            <v>40.072999999999986</v>
          </cell>
          <cell r="AH70">
            <v>57.431999999999988</v>
          </cell>
          <cell r="AI70">
            <v>48.666000000000004</v>
          </cell>
          <cell r="AJ70">
            <v>50.156999999999996</v>
          </cell>
          <cell r="AK70">
            <v>74.635000000000019</v>
          </cell>
          <cell r="AL70">
            <v>58.88600000000001</v>
          </cell>
          <cell r="AM70">
            <v>52.02000000000001</v>
          </cell>
          <cell r="AN70">
            <v>55.22399999999999</v>
          </cell>
          <cell r="AO70">
            <v>51.605999999999995</v>
          </cell>
          <cell r="AP70">
            <v>54.63499999999997</v>
          </cell>
          <cell r="AQ70">
            <v>59.987999999999978</v>
          </cell>
          <cell r="AR70">
            <v>58.146999999999991</v>
          </cell>
          <cell r="AS70">
            <v>62.391000000000005</v>
          </cell>
          <cell r="AT70">
            <v>70.632000000000005</v>
          </cell>
          <cell r="AU70">
            <v>65.007999999999981</v>
          </cell>
          <cell r="AV70">
            <v>69.571000000000012</v>
          </cell>
          <cell r="AW70">
            <v>71.198999999999984</v>
          </cell>
          <cell r="AX70">
            <v>80.244999999999976</v>
          </cell>
          <cell r="AY70">
            <v>76.334000000000003</v>
          </cell>
          <cell r="AZ70">
            <v>82.977000000000032</v>
          </cell>
          <cell r="BA70">
            <v>86.431000000000026</v>
          </cell>
          <cell r="BB70">
            <v>93.260999999999996</v>
          </cell>
          <cell r="BC70">
            <v>93.367999999999981</v>
          </cell>
          <cell r="BD70">
            <v>98.769000000000005</v>
          </cell>
          <cell r="BE70">
            <v>102.62999999999997</v>
          </cell>
          <cell r="BF70">
            <v>104.24900000000001</v>
          </cell>
          <cell r="BG70">
            <v>104.44200000000004</v>
          </cell>
          <cell r="BH70">
            <v>108.92299999999999</v>
          </cell>
          <cell r="BI70">
            <v>109.426</v>
          </cell>
          <cell r="BJ70">
            <v>113.86700000000003</v>
          </cell>
          <cell r="BK70">
            <v>114.23100000000002</v>
          </cell>
          <cell r="BL70">
            <v>114.449</v>
          </cell>
          <cell r="BM70">
            <v>115.53199999999998</v>
          </cell>
          <cell r="BN70">
            <v>119.35600000000001</v>
          </cell>
          <cell r="BO70">
            <v>121.44599999999996</v>
          </cell>
          <cell r="BP70">
            <v>123.18400000000001</v>
          </cell>
          <cell r="BQ70">
            <v>125.05300000000003</v>
          </cell>
          <cell r="BR70">
            <v>128.05600000000007</v>
          </cell>
          <cell r="BS70">
            <v>131.76999999999992</v>
          </cell>
          <cell r="BT70">
            <v>133.98599999999993</v>
          </cell>
          <cell r="BU70">
            <v>136.53800000000001</v>
          </cell>
          <cell r="BV70">
            <v>138.28499999999997</v>
          </cell>
          <cell r="BW70">
            <v>136.02700000000002</v>
          </cell>
          <cell r="BX70">
            <v>137.32799999999992</v>
          </cell>
          <cell r="BY70">
            <v>138.50099999999998</v>
          </cell>
          <cell r="BZ70">
            <v>140.15994821564027</v>
          </cell>
          <cell r="CA70">
            <v>141.05875742731416</v>
          </cell>
          <cell r="CB70">
            <v>144.64133630212518</v>
          </cell>
          <cell r="CC70">
            <v>149.47619652197534</v>
          </cell>
          <cell r="CD70">
            <v>155.10888639012785</v>
          </cell>
        </row>
        <row r="71">
          <cell r="B71" t="str">
            <v>Net Income, ModelWare</v>
          </cell>
          <cell r="E71">
            <v>-81.167000000000002</v>
          </cell>
          <cell r="F71">
            <v>-366.03500000000008</v>
          </cell>
          <cell r="G71">
            <v>-89.33599999999997</v>
          </cell>
          <cell r="H71">
            <v>-133.03700000000006</v>
          </cell>
          <cell r="I71">
            <v>-108.06399999999994</v>
          </cell>
          <cell r="J71">
            <v>-98.818999999999974</v>
          </cell>
          <cell r="K71">
            <v>-40.268999999999849</v>
          </cell>
          <cell r="L71">
            <v>-16.410000000000096</v>
          </cell>
          <cell r="M71">
            <v>18.41099999999981</v>
          </cell>
          <cell r="N71">
            <v>340.8780000000001</v>
          </cell>
          <cell r="O71">
            <v>57.910999999999774</v>
          </cell>
          <cell r="P71">
            <v>76.887999999999806</v>
          </cell>
          <cell r="Q71">
            <v>32.743519193069851</v>
          </cell>
          <cell r="R71">
            <v>32.365530397432536</v>
          </cell>
          <cell r="S71">
            <v>53.053236299987219</v>
          </cell>
          <cell r="T71">
            <v>63.188307625673581</v>
          </cell>
          <cell r="U71">
            <v>63.031349225398138</v>
          </cell>
          <cell r="V71">
            <v>55.865109896295408</v>
          </cell>
          <cell r="W71">
            <v>76.60216817013395</v>
          </cell>
          <cell r="X71">
            <v>107.17954082275941</v>
          </cell>
          <cell r="Y71">
            <v>142.02882844716231</v>
          </cell>
          <cell r="AA71">
            <v>-28.707000000000008</v>
          </cell>
          <cell r="AB71">
            <v>4.384999999999982</v>
          </cell>
          <cell r="AC71">
            <v>-24.323000000000008</v>
          </cell>
          <cell r="AD71">
            <v>-32.522000000000027</v>
          </cell>
          <cell r="AE71">
            <v>-43.128999999999984</v>
          </cell>
          <cell r="AF71">
            <v>-30.797999999999973</v>
          </cell>
          <cell r="AG71">
            <v>-48.366000000000014</v>
          </cell>
          <cell r="AH71">
            <v>-243.74200000000002</v>
          </cell>
          <cell r="AI71">
            <v>-33.348999999999997</v>
          </cell>
          <cell r="AJ71">
            <v>-29.001000000000001</v>
          </cell>
          <cell r="AK71">
            <v>-5.6579999999999817</v>
          </cell>
          <cell r="AL71">
            <v>-21.327999999999989</v>
          </cell>
          <cell r="AM71">
            <v>-38.830999999999996</v>
          </cell>
          <cell r="AN71">
            <v>-27.158000000000015</v>
          </cell>
          <cell r="AO71">
            <v>-30.903000000000002</v>
          </cell>
          <cell r="AP71">
            <v>-36.145000000000032</v>
          </cell>
          <cell r="AQ71">
            <v>-35.169000000000018</v>
          </cell>
          <cell r="AR71">
            <v>-27.198000000000004</v>
          </cell>
          <cell r="AS71">
            <v>-23.440999999999992</v>
          </cell>
          <cell r="AT71">
            <v>-22.25599999999999</v>
          </cell>
          <cell r="AU71">
            <v>-22.261000000000017</v>
          </cell>
          <cell r="AV71">
            <v>-40.411999999999978</v>
          </cell>
          <cell r="AW71">
            <v>-11.351000000000017</v>
          </cell>
          <cell r="AX71">
            <v>-24.795000000000019</v>
          </cell>
          <cell r="AY71">
            <v>-13.808999999999999</v>
          </cell>
          <cell r="AZ71">
            <v>-9.5849999999999689</v>
          </cell>
          <cell r="BA71">
            <v>-11.582999999999975</v>
          </cell>
          <cell r="BB71">
            <v>-5.2920000000000087</v>
          </cell>
          <cell r="BC71">
            <v>-4.771000000000015</v>
          </cell>
          <cell r="BD71">
            <v>-3.2079999999999913</v>
          </cell>
          <cell r="BE71">
            <v>-0.18600000000003702</v>
          </cell>
          <cell r="BF71">
            <v>-8.2449999999999921</v>
          </cell>
          <cell r="BG71">
            <v>2.8800000000000319</v>
          </cell>
          <cell r="BH71">
            <v>5.9119999999999804</v>
          </cell>
          <cell r="BI71">
            <v>7.6979999999999995</v>
          </cell>
          <cell r="BJ71">
            <v>1.9210000000000296</v>
          </cell>
          <cell r="BK71">
            <v>-6.7789999999999893</v>
          </cell>
          <cell r="BL71">
            <v>314.08399999999995</v>
          </cell>
          <cell r="BM71">
            <v>16.078999999999986</v>
          </cell>
          <cell r="BN71">
            <v>17.494000000000071</v>
          </cell>
          <cell r="BO71">
            <v>12.61899999999995</v>
          </cell>
          <cell r="BP71">
            <v>14.307000000000007</v>
          </cell>
          <cell r="BQ71">
            <v>14.593000000000027</v>
          </cell>
          <cell r="BR71">
            <v>16.392000000000067</v>
          </cell>
          <cell r="BS71">
            <v>19.331999999999915</v>
          </cell>
          <cell r="BT71">
            <v>19.318999999999939</v>
          </cell>
          <cell r="BU71">
            <v>20.969000000000015</v>
          </cell>
          <cell r="BV71">
            <v>17.267999999999969</v>
          </cell>
          <cell r="BW71">
            <v>13.144000000000018</v>
          </cell>
          <cell r="BX71">
            <v>17.346999999999916</v>
          </cell>
          <cell r="BY71">
            <v>-9.4340000000000259</v>
          </cell>
          <cell r="BZ71">
            <v>11.686519193069977</v>
          </cell>
          <cell r="CA71">
            <v>8.5569026189510886</v>
          </cell>
          <cell r="CB71">
            <v>7.793686722073355</v>
          </cell>
          <cell r="CC71">
            <v>7.7702759127464027</v>
          </cell>
          <cell r="CD71">
            <v>8.2446651436615603</v>
          </cell>
        </row>
        <row r="72">
          <cell r="B72" t="str">
            <v>Total Cash</v>
          </cell>
          <cell r="E72">
            <v>384.05399999999997</v>
          </cell>
          <cell r="F72">
            <v>506.46</v>
          </cell>
          <cell r="G72">
            <v>478.59299999999996</v>
          </cell>
          <cell r="H72">
            <v>432.50599999999991</v>
          </cell>
          <cell r="I72">
            <v>393.52299999999991</v>
          </cell>
          <cell r="J72">
            <v>309.45299999999986</v>
          </cell>
          <cell r="K72">
            <v>321.53099999999995</v>
          </cell>
          <cell r="L72">
            <v>352.17599999999993</v>
          </cell>
          <cell r="M72">
            <v>470.77199999999999</v>
          </cell>
          <cell r="N72">
            <v>475.59399999999994</v>
          </cell>
          <cell r="O72">
            <v>484.91899999999998</v>
          </cell>
          <cell r="P72">
            <v>974.29200000000003</v>
          </cell>
          <cell r="Q72">
            <v>538.22955158103082</v>
          </cell>
          <cell r="R72">
            <v>496.96661646628701</v>
          </cell>
          <cell r="S72">
            <v>550.12751970596901</v>
          </cell>
          <cell r="T72">
            <v>575.93003783443146</v>
          </cell>
          <cell r="U72">
            <v>634.20489906165335</v>
          </cell>
          <cell r="V72">
            <v>784.64206500971727</v>
          </cell>
          <cell r="W72">
            <v>1045.2710043386871</v>
          </cell>
          <cell r="X72">
            <v>1328.6598084796285</v>
          </cell>
          <cell r="Y72">
            <v>1712.597528959237</v>
          </cell>
          <cell r="AA72">
            <v>549.81099999999992</v>
          </cell>
          <cell r="AB72">
            <v>480.61099999999999</v>
          </cell>
          <cell r="AC72">
            <v>380.11899999999997</v>
          </cell>
          <cell r="AD72">
            <v>384.05399999999997</v>
          </cell>
          <cell r="AE72">
            <v>315.13200000000001</v>
          </cell>
          <cell r="AF72">
            <v>323.637</v>
          </cell>
          <cell r="AG72">
            <v>309.04599999999994</v>
          </cell>
          <cell r="AH72">
            <v>506.46</v>
          </cell>
          <cell r="AI72">
            <v>487.82799999999997</v>
          </cell>
          <cell r="AJ72">
            <v>505.23699999999997</v>
          </cell>
          <cell r="AK72">
            <v>464.53199999999998</v>
          </cell>
          <cell r="AL72">
            <v>478.59299999999996</v>
          </cell>
          <cell r="AM72">
            <v>470.15899999999999</v>
          </cell>
          <cell r="AN72">
            <v>463.166</v>
          </cell>
          <cell r="AO72">
            <v>434.04199999999992</v>
          </cell>
          <cell r="AP72">
            <v>432.50599999999991</v>
          </cell>
          <cell r="AQ72">
            <v>373.17599999999987</v>
          </cell>
          <cell r="AR72">
            <v>382.38399999999984</v>
          </cell>
          <cell r="AS72">
            <v>377.05899999999991</v>
          </cell>
          <cell r="AT72">
            <v>393.52299999999991</v>
          </cell>
          <cell r="AU72">
            <v>741.77299999999991</v>
          </cell>
          <cell r="AV72">
            <v>328.29599999999994</v>
          </cell>
          <cell r="AW72">
            <v>345.12099999999987</v>
          </cell>
          <cell r="AX72">
            <v>309.45299999999986</v>
          </cell>
          <cell r="AY72">
            <v>305.85099999999983</v>
          </cell>
          <cell r="AZ72">
            <v>299.18399999999991</v>
          </cell>
          <cell r="BA72">
            <v>307.07799999999992</v>
          </cell>
          <cell r="BB72">
            <v>321.53099999999995</v>
          </cell>
          <cell r="BC72">
            <v>318.21799999999996</v>
          </cell>
          <cell r="BD72">
            <v>325.15599999999995</v>
          </cell>
          <cell r="BE72">
            <v>333.6869999999999</v>
          </cell>
          <cell r="BF72">
            <v>352.17599999999993</v>
          </cell>
          <cell r="BG72">
            <v>353.21199999999993</v>
          </cell>
          <cell r="BH72">
            <v>391.80099999999993</v>
          </cell>
          <cell r="BI72">
            <v>432.33099999999996</v>
          </cell>
          <cell r="BJ72">
            <v>470.77199999999999</v>
          </cell>
          <cell r="BK72">
            <v>486.46899999999994</v>
          </cell>
          <cell r="BL72">
            <v>486.92199999999991</v>
          </cell>
          <cell r="BM72">
            <v>507.45799999999991</v>
          </cell>
          <cell r="BN72">
            <v>475.59399999999994</v>
          </cell>
          <cell r="BO72">
            <v>479.76199999999994</v>
          </cell>
          <cell r="BP72">
            <v>509.26099999999997</v>
          </cell>
          <cell r="BQ72">
            <v>469.09299999999996</v>
          </cell>
          <cell r="BR72">
            <v>484.91899999999998</v>
          </cell>
          <cell r="BS72">
            <v>486.66699999999997</v>
          </cell>
          <cell r="BT72">
            <v>531.69899999999996</v>
          </cell>
          <cell r="BU72">
            <v>459.39699999999999</v>
          </cell>
          <cell r="BV72">
            <v>974.29200000000003</v>
          </cell>
          <cell r="BW72">
            <v>913.28500000000008</v>
          </cell>
          <cell r="BX72">
            <v>614.41999999999996</v>
          </cell>
          <cell r="BY72">
            <v>569.52099999999996</v>
          </cell>
          <cell r="BZ72">
            <v>538.22955158103082</v>
          </cell>
          <cell r="CA72">
            <v>509.43904834676681</v>
          </cell>
          <cell r="CB72">
            <v>496.58708467225557</v>
          </cell>
          <cell r="CC72">
            <v>500.80986702385104</v>
          </cell>
          <cell r="CD72">
            <v>496.96661646628701</v>
          </cell>
        </row>
        <row r="73">
          <cell r="B73" t="str">
            <v>Total Debt</v>
          </cell>
          <cell r="E73">
            <v>1063.3679999999999</v>
          </cell>
          <cell r="F73">
            <v>1232.0350000000001</v>
          </cell>
          <cell r="G73">
            <v>1203.9080000000001</v>
          </cell>
          <cell r="H73">
            <v>1250.5839999999998</v>
          </cell>
          <cell r="I73">
            <v>1250.5730000000001</v>
          </cell>
          <cell r="J73">
            <v>1382.6370000000002</v>
          </cell>
          <cell r="K73">
            <v>1377.655</v>
          </cell>
          <cell r="L73">
            <v>1372.817</v>
          </cell>
          <cell r="M73">
            <v>1372.7469999999998</v>
          </cell>
          <cell r="N73">
            <v>1392.231</v>
          </cell>
          <cell r="O73">
            <v>1397.655</v>
          </cell>
          <cell r="P73">
            <v>1764.855</v>
          </cell>
          <cell r="Q73">
            <v>1951.2745749999999</v>
          </cell>
          <cell r="R73">
            <v>1947.2888749999997</v>
          </cell>
          <cell r="S73">
            <v>1943.3642999999997</v>
          </cell>
          <cell r="T73">
            <v>1939.3550999999998</v>
          </cell>
          <cell r="U73">
            <v>1935.3505874999998</v>
          </cell>
          <cell r="V73">
            <v>1931.3554812499999</v>
          </cell>
          <cell r="W73">
            <v>1927.3650781250001</v>
          </cell>
          <cell r="X73">
            <v>1923.3770265625001</v>
          </cell>
          <cell r="Y73">
            <v>1919.39015078125</v>
          </cell>
          <cell r="AA73">
            <v>1066.913</v>
          </cell>
          <cell r="AB73">
            <v>1066.7159999999999</v>
          </cell>
          <cell r="AC73">
            <v>1064.836</v>
          </cell>
          <cell r="AD73">
            <v>1063.3679999999999</v>
          </cell>
          <cell r="AE73">
            <v>1062.6859999999999</v>
          </cell>
          <cell r="AF73">
            <v>1058.2560000000001</v>
          </cell>
          <cell r="AG73">
            <v>1058.2560000000001</v>
          </cell>
          <cell r="AH73">
            <v>1232.0350000000001</v>
          </cell>
          <cell r="AI73">
            <v>1222.2429999999999</v>
          </cell>
          <cell r="AJ73">
            <v>1217.5050000000001</v>
          </cell>
          <cell r="AK73">
            <v>1210.921</v>
          </cell>
          <cell r="AL73">
            <v>1203.9080000000001</v>
          </cell>
          <cell r="AM73">
            <v>1250.1890000000001</v>
          </cell>
          <cell r="AN73">
            <v>1251.345</v>
          </cell>
          <cell r="AO73">
            <v>1251.365</v>
          </cell>
          <cell r="AP73">
            <v>1250.5839999999998</v>
          </cell>
          <cell r="AQ73">
            <v>1252.336</v>
          </cell>
          <cell r="AR73">
            <v>1251.7370000000001</v>
          </cell>
          <cell r="AS73">
            <v>1250.8399999999999</v>
          </cell>
          <cell r="AT73">
            <v>1250.5730000000001</v>
          </cell>
          <cell r="AU73">
            <v>1623.5159999999998</v>
          </cell>
          <cell r="AV73">
            <v>1222.692</v>
          </cell>
          <cell r="AW73">
            <v>1221.579</v>
          </cell>
          <cell r="AX73">
            <v>1382.6370000000002</v>
          </cell>
          <cell r="AY73">
            <v>1380.7820000000002</v>
          </cell>
          <cell r="AZ73">
            <v>1379.665</v>
          </cell>
          <cell r="BA73">
            <v>1378.6310000000001</v>
          </cell>
          <cell r="BB73">
            <v>1377.655</v>
          </cell>
          <cell r="BC73">
            <v>1376.107</v>
          </cell>
          <cell r="BD73">
            <v>1375.722</v>
          </cell>
          <cell r="BE73">
            <v>1374.4390000000001</v>
          </cell>
          <cell r="BF73">
            <v>1372.817</v>
          </cell>
          <cell r="BG73">
            <v>1378.5260000000001</v>
          </cell>
          <cell r="BH73">
            <v>1376.864</v>
          </cell>
          <cell r="BI73">
            <v>1375.1989999999998</v>
          </cell>
          <cell r="BJ73">
            <v>1372.7469999999998</v>
          </cell>
          <cell r="BK73">
            <v>1397.2491999999997</v>
          </cell>
          <cell r="BL73">
            <v>1395.797</v>
          </cell>
          <cell r="BM73">
            <v>1393.991</v>
          </cell>
          <cell r="BN73">
            <v>1392.231</v>
          </cell>
          <cell r="BO73">
            <v>1390.354</v>
          </cell>
          <cell r="BP73">
            <v>1389.4320000000002</v>
          </cell>
          <cell r="BQ73">
            <v>1394.325</v>
          </cell>
          <cell r="BR73">
            <v>1397.655</v>
          </cell>
          <cell r="BS73">
            <v>1388.133</v>
          </cell>
          <cell r="BT73">
            <v>1386.3889999999999</v>
          </cell>
          <cell r="BU73">
            <v>1283.816</v>
          </cell>
          <cell r="BV73">
            <v>1764.855</v>
          </cell>
          <cell r="BW73">
            <v>1766.2730000000001</v>
          </cell>
          <cell r="BX73">
            <v>1645.9520000000002</v>
          </cell>
          <cell r="BY73">
            <v>1830.771</v>
          </cell>
          <cell r="BZ73">
            <v>1951.2745749999999</v>
          </cell>
          <cell r="CA73">
            <v>1950.2781499999999</v>
          </cell>
          <cell r="CB73">
            <v>1949.2817249999998</v>
          </cell>
          <cell r="CC73">
            <v>1948.2852999999998</v>
          </cell>
          <cell r="CD73">
            <v>1947.2888749999997</v>
          </cell>
        </row>
        <row r="74">
          <cell r="B74" t="str">
            <v>Net Debt</v>
          </cell>
          <cell r="E74">
            <v>679.31399999999996</v>
          </cell>
          <cell r="F74">
            <v>725.57500000000005</v>
          </cell>
          <cell r="G74">
            <v>725.31500000000017</v>
          </cell>
          <cell r="H74">
            <v>818.07799999999997</v>
          </cell>
          <cell r="I74">
            <v>857.05000000000018</v>
          </cell>
          <cell r="J74">
            <v>1073.1840000000002</v>
          </cell>
          <cell r="K74">
            <v>1056.124</v>
          </cell>
          <cell r="L74">
            <v>1020.6410000000001</v>
          </cell>
          <cell r="M74">
            <v>901.97499999999991</v>
          </cell>
          <cell r="N74">
            <v>916.63700000000006</v>
          </cell>
          <cell r="O74">
            <v>912.73599999999999</v>
          </cell>
          <cell r="P74">
            <v>790.56299999999999</v>
          </cell>
          <cell r="Q74">
            <v>1413.0450234189691</v>
          </cell>
          <cell r="R74">
            <v>1450.3222585337128</v>
          </cell>
          <cell r="S74">
            <v>1393.2367802940307</v>
          </cell>
          <cell r="T74">
            <v>1363.4250621655683</v>
          </cell>
          <cell r="U74">
            <v>1301.1456884383465</v>
          </cell>
          <cell r="V74">
            <v>1146.7134162402826</v>
          </cell>
          <cell r="W74">
            <v>882.09407378631295</v>
          </cell>
          <cell r="X74">
            <v>594.71721808287157</v>
          </cell>
          <cell r="Y74">
            <v>206.79262182201296</v>
          </cell>
          <cell r="AA74">
            <v>517.10200000000009</v>
          </cell>
          <cell r="AB74">
            <v>586.1049999999999</v>
          </cell>
          <cell r="AC74">
            <v>684.7170000000001</v>
          </cell>
          <cell r="AD74">
            <v>679.31399999999996</v>
          </cell>
          <cell r="AE74">
            <v>747.55399999999986</v>
          </cell>
          <cell r="AF74">
            <v>734.61900000000014</v>
          </cell>
          <cell r="AG74">
            <v>749.21000000000015</v>
          </cell>
          <cell r="AH74">
            <v>725.57500000000005</v>
          </cell>
          <cell r="AI74">
            <v>734.41499999999996</v>
          </cell>
          <cell r="AJ74">
            <v>712.26800000000014</v>
          </cell>
          <cell r="AK74">
            <v>746.38900000000012</v>
          </cell>
          <cell r="AL74">
            <v>725.31500000000017</v>
          </cell>
          <cell r="AM74">
            <v>780.03000000000009</v>
          </cell>
          <cell r="AN74">
            <v>788.17900000000009</v>
          </cell>
          <cell r="AO74">
            <v>817.32300000000009</v>
          </cell>
          <cell r="AP74">
            <v>818.07799999999997</v>
          </cell>
          <cell r="AQ74">
            <v>879.16000000000008</v>
          </cell>
          <cell r="AR74">
            <v>869.35300000000029</v>
          </cell>
          <cell r="AS74">
            <v>873.78099999999995</v>
          </cell>
          <cell r="AT74">
            <v>857.05000000000018</v>
          </cell>
          <cell r="AU74">
            <v>881.74299999999994</v>
          </cell>
          <cell r="AV74">
            <v>894.39600000000007</v>
          </cell>
          <cell r="AW74">
            <v>876.45800000000008</v>
          </cell>
          <cell r="AX74">
            <v>1073.1840000000002</v>
          </cell>
          <cell r="AY74">
            <v>1074.9310000000003</v>
          </cell>
          <cell r="AZ74">
            <v>1080.481</v>
          </cell>
          <cell r="BA74">
            <v>1071.5530000000001</v>
          </cell>
          <cell r="BB74">
            <v>1056.124</v>
          </cell>
          <cell r="BC74">
            <v>1057.8890000000001</v>
          </cell>
          <cell r="BD74">
            <v>1050.566</v>
          </cell>
          <cell r="BE74">
            <v>1040.7520000000002</v>
          </cell>
          <cell r="BF74">
            <v>1020.6410000000001</v>
          </cell>
          <cell r="BG74">
            <v>1025.3140000000001</v>
          </cell>
          <cell r="BH74">
            <v>985.0630000000001</v>
          </cell>
          <cell r="BI74">
            <v>942.86799999999994</v>
          </cell>
          <cell r="BJ74">
            <v>901.97499999999991</v>
          </cell>
          <cell r="BK74">
            <v>910.78019999999981</v>
          </cell>
          <cell r="BL74">
            <v>908.87500000000011</v>
          </cell>
          <cell r="BM74">
            <v>886.53300000000013</v>
          </cell>
          <cell r="BN74">
            <v>916.63700000000006</v>
          </cell>
          <cell r="BO74">
            <v>910.5920000000001</v>
          </cell>
          <cell r="BP74">
            <v>880.17100000000028</v>
          </cell>
          <cell r="BQ74">
            <v>925.23200000000008</v>
          </cell>
          <cell r="BR74">
            <v>912.73599999999999</v>
          </cell>
          <cell r="BS74">
            <v>901.46600000000012</v>
          </cell>
          <cell r="BT74">
            <v>854.68999999999994</v>
          </cell>
          <cell r="BU74">
            <v>824.4190000000001</v>
          </cell>
          <cell r="BV74">
            <v>790.56299999999999</v>
          </cell>
          <cell r="BW74">
            <v>852.98800000000006</v>
          </cell>
          <cell r="BX74">
            <v>1031.5320000000002</v>
          </cell>
          <cell r="BY74">
            <v>1261.25</v>
          </cell>
          <cell r="BZ74">
            <v>1413.0450234189691</v>
          </cell>
          <cell r="CA74">
            <v>1440.839101653233</v>
          </cell>
          <cell r="CB74">
            <v>1452.6946403277443</v>
          </cell>
          <cell r="CC74">
            <v>1447.4754329761488</v>
          </cell>
          <cell r="CD74">
            <v>1450.3222585337128</v>
          </cell>
        </row>
        <row r="75">
          <cell r="B75" t="str">
            <v>Total Equity</v>
          </cell>
          <cell r="E75">
            <v>948.71300000000008</v>
          </cell>
          <cell r="F75">
            <v>585.2349999999999</v>
          </cell>
          <cell r="G75">
            <v>497.79899999999998</v>
          </cell>
          <cell r="H75">
            <v>367.1579999999999</v>
          </cell>
          <cell r="I75">
            <v>264.51400000000001</v>
          </cell>
          <cell r="J75">
            <v>552.64800000000002</v>
          </cell>
          <cell r="K75">
            <v>566.22499999999991</v>
          </cell>
          <cell r="L75">
            <v>673.19300000000021</v>
          </cell>
          <cell r="M75">
            <v>644.38799999999992</v>
          </cell>
          <cell r="N75">
            <v>966.64100000000008</v>
          </cell>
          <cell r="O75">
            <v>1005.721</v>
          </cell>
          <cell r="P75">
            <v>1111.9389999999999</v>
          </cell>
          <cell r="Q75">
            <v>696.3275191930702</v>
          </cell>
          <cell r="R75">
            <v>720.70504959050243</v>
          </cell>
          <cell r="S75">
            <v>775.77028589048962</v>
          </cell>
          <cell r="T75">
            <v>740.97059351616315</v>
          </cell>
          <cell r="U75">
            <v>706.01394274156121</v>
          </cell>
          <cell r="V75">
            <v>713.89105263785655</v>
          </cell>
          <cell r="W75">
            <v>842.50522080799044</v>
          </cell>
          <cell r="X75">
            <v>1001.6967616307497</v>
          </cell>
          <cell r="Y75">
            <v>1195.7375900779123</v>
          </cell>
          <cell r="AA75">
            <v>1000.8349999999999</v>
          </cell>
          <cell r="AB75">
            <v>1010.6270000000001</v>
          </cell>
          <cell r="AC75">
            <v>979.38300000000004</v>
          </cell>
          <cell r="AD75">
            <v>948.71300000000008</v>
          </cell>
          <cell r="AE75">
            <v>905.64099999999985</v>
          </cell>
          <cell r="AF75">
            <v>876.03699999999981</v>
          </cell>
          <cell r="AG75">
            <v>828.06299999999987</v>
          </cell>
          <cell r="AH75">
            <v>585.2349999999999</v>
          </cell>
          <cell r="AI75">
            <v>552.81699999999989</v>
          </cell>
          <cell r="AJ75">
            <v>525.03099999999984</v>
          </cell>
          <cell r="AK75">
            <v>520.36000000000013</v>
          </cell>
          <cell r="AL75">
            <v>497.79899999999998</v>
          </cell>
          <cell r="AM75">
            <v>460.12299999999993</v>
          </cell>
          <cell r="AN75">
            <v>433.1579999999999</v>
          </cell>
          <cell r="AO75">
            <v>402.976</v>
          </cell>
          <cell r="AP75">
            <v>367.1579999999999</v>
          </cell>
          <cell r="AQ75">
            <v>332.94899999999996</v>
          </cell>
          <cell r="AR75">
            <v>306.22000000000003</v>
          </cell>
          <cell r="AS75">
            <v>284.12799999999993</v>
          </cell>
          <cell r="AT75">
            <v>264.51400000000001</v>
          </cell>
          <cell r="AU75">
            <v>257.18899999999996</v>
          </cell>
          <cell r="AV75">
            <v>226.32799999999986</v>
          </cell>
          <cell r="AW75">
            <v>232.60300000000007</v>
          </cell>
          <cell r="AX75">
            <v>552.64800000000002</v>
          </cell>
          <cell r="AY75">
            <v>558.84799999999996</v>
          </cell>
          <cell r="AZ75">
            <v>557.4369999999999</v>
          </cell>
          <cell r="BA75">
            <v>558.50900000000001</v>
          </cell>
          <cell r="BB75">
            <v>566.22499999999991</v>
          </cell>
          <cell r="BC75">
            <v>572.84300000000007</v>
          </cell>
          <cell r="BD75">
            <v>581.61999999999989</v>
          </cell>
          <cell r="BE75">
            <v>592.91100000000006</v>
          </cell>
          <cell r="BF75">
            <v>673.19300000000021</v>
          </cell>
          <cell r="BG75">
            <v>682.50099999999975</v>
          </cell>
          <cell r="BH75">
            <v>697.54899999999998</v>
          </cell>
          <cell r="BI75">
            <v>712.30500000000006</v>
          </cell>
          <cell r="BJ75">
            <v>644.38799999999992</v>
          </cell>
          <cell r="BK75">
            <v>735.19399999999996</v>
          </cell>
          <cell r="BL75">
            <v>982.4849999999999</v>
          </cell>
          <cell r="BM75">
            <v>998.99999999999989</v>
          </cell>
          <cell r="BN75">
            <v>966.64100000000008</v>
          </cell>
          <cell r="BO75">
            <v>975.68599999999992</v>
          </cell>
          <cell r="BP75">
            <v>1001.0359999999999</v>
          </cell>
          <cell r="BQ75">
            <v>989.30899999999997</v>
          </cell>
          <cell r="BR75">
            <v>1005.721</v>
          </cell>
          <cell r="BS75">
            <v>1019.016</v>
          </cell>
          <cell r="BT75">
            <v>1053.7249999999999</v>
          </cell>
          <cell r="BU75">
            <v>1086.2510000000002</v>
          </cell>
          <cell r="BV75">
            <v>1111.9389999999999</v>
          </cell>
          <cell r="BW75">
            <v>1080.693</v>
          </cell>
          <cell r="BX75">
            <v>908.61400000000026</v>
          </cell>
          <cell r="BY75">
            <v>711.63800000000026</v>
          </cell>
          <cell r="BZ75">
            <v>696.3275191930702</v>
          </cell>
          <cell r="CA75">
            <v>702.88742181202122</v>
          </cell>
          <cell r="CB75">
            <v>708.68410853409455</v>
          </cell>
          <cell r="CC75">
            <v>714.45738444684093</v>
          </cell>
          <cell r="CD75">
            <v>720.70504959050243</v>
          </cell>
        </row>
        <row r="76">
          <cell r="B76" t="str">
            <v>DSOs</v>
          </cell>
          <cell r="E76">
            <v>10.199281304229093</v>
          </cell>
          <cell r="F76">
            <v>7.7619491240328138</v>
          </cell>
          <cell r="G76">
            <v>5.7754808532372754</v>
          </cell>
          <cell r="H76">
            <v>6.2780762746770344</v>
          </cell>
          <cell r="I76">
            <v>6.0445136138456688</v>
          </cell>
          <cell r="J76">
            <v>8.1896537928912139</v>
          </cell>
          <cell r="K76">
            <v>25.23935593473713</v>
          </cell>
          <cell r="L76">
            <v>25.591262955999859</v>
          </cell>
          <cell r="M76">
            <v>23.184738193315123</v>
          </cell>
          <cell r="N76">
            <v>23.07253306900644</v>
          </cell>
          <cell r="O76">
            <v>25.331588253928079</v>
          </cell>
          <cell r="P76">
            <v>24.41282634645011</v>
          </cell>
          <cell r="Q76">
            <v>24.251871785827245</v>
          </cell>
          <cell r="R76">
            <v>27.375011856265978</v>
          </cell>
          <cell r="S76">
            <v>34</v>
          </cell>
          <cell r="T76">
            <v>35</v>
          </cell>
          <cell r="U76">
            <v>36</v>
          </cell>
          <cell r="V76">
            <v>37</v>
          </cell>
          <cell r="W76">
            <v>38</v>
          </cell>
          <cell r="X76">
            <v>39</v>
          </cell>
          <cell r="Y76">
            <v>40</v>
          </cell>
          <cell r="AA76">
            <v>45.967538055250586</v>
          </cell>
          <cell r="AB76">
            <v>44.468790833249571</v>
          </cell>
          <cell r="AC76">
            <v>51.867802492506705</v>
          </cell>
          <cell r="AD76">
            <v>40.720577800596494</v>
          </cell>
          <cell r="AE76">
            <v>42.045057166057163</v>
          </cell>
          <cell r="AF76">
            <v>34.449224167822472</v>
          </cell>
          <cell r="AG76">
            <v>34.645948613645203</v>
          </cell>
          <cell r="AH76">
            <v>30.831401258608679</v>
          </cell>
          <cell r="AI76">
            <v>28.443758976565483</v>
          </cell>
          <cell r="AJ76">
            <v>24.396517828619174</v>
          </cell>
          <cell r="AK76">
            <v>25.096214071960468</v>
          </cell>
          <cell r="AL76">
            <v>22.83183176091346</v>
          </cell>
          <cell r="AM76">
            <v>22.131284449640887</v>
          </cell>
          <cell r="AN76">
            <v>22.72800412710501</v>
          </cell>
          <cell r="AO76">
            <v>23.3272100032381</v>
          </cell>
          <cell r="AP76">
            <v>24.402049707184691</v>
          </cell>
          <cell r="AQ76">
            <v>21.489969342674303</v>
          </cell>
          <cell r="AR76">
            <v>27.63435692339381</v>
          </cell>
          <cell r="AS76">
            <v>20.780908257757638</v>
          </cell>
          <cell r="AT76">
            <v>23.216633517415552</v>
          </cell>
          <cell r="AU76">
            <v>22.367189975669625</v>
          </cell>
          <cell r="AV76">
            <v>22.066932220932788</v>
          </cell>
          <cell r="AW76">
            <v>26.725239535156472</v>
          </cell>
          <cell r="AX76">
            <v>27.862644012714579</v>
          </cell>
          <cell r="AY76">
            <v>23.487482401909773</v>
          </cell>
          <cell r="AZ76">
            <v>25.240282369094611</v>
          </cell>
          <cell r="BA76">
            <v>26.296848900808968</v>
          </cell>
          <cell r="BB76">
            <v>24.466644720834704</v>
          </cell>
          <cell r="BC76">
            <v>24.337365172833568</v>
          </cell>
          <cell r="BD76">
            <v>23.827652755281385</v>
          </cell>
          <cell r="BE76">
            <v>22.717038327406652</v>
          </cell>
          <cell r="BF76">
            <v>25.166437012550652</v>
          </cell>
          <cell r="BG76">
            <v>21.940960451028282</v>
          </cell>
          <cell r="BH76">
            <v>22.360766494275214</v>
          </cell>
          <cell r="BI76">
            <v>22.240571454821076</v>
          </cell>
          <cell r="BJ76">
            <v>22.801769210285322</v>
          </cell>
          <cell r="BK76">
            <v>22.05037739668585</v>
          </cell>
          <cell r="BL76">
            <v>22.561567181843717</v>
          </cell>
          <cell r="BM76">
            <v>22.500702479596868</v>
          </cell>
          <cell r="BN76">
            <v>22.609099893170615</v>
          </cell>
          <cell r="BO76">
            <v>22.143699141762546</v>
          </cell>
          <cell r="BP76">
            <v>22.945896106812928</v>
          </cell>
          <cell r="BQ76">
            <v>24.104268760015795</v>
          </cell>
          <cell r="BR76">
            <v>24.62647970026201</v>
          </cell>
          <cell r="BS76">
            <v>22.923702723410187</v>
          </cell>
          <cell r="BT76">
            <v>24.915350490942465</v>
          </cell>
          <cell r="BU76">
            <v>26.032461090601576</v>
          </cell>
          <cell r="BV76">
            <v>23.745531142413331</v>
          </cell>
          <cell r="BW76">
            <v>24.656272872512059</v>
          </cell>
          <cell r="BX76">
            <v>25.364008185209627</v>
          </cell>
          <cell r="BY76">
            <v>23.734326915740482</v>
          </cell>
          <cell r="BZ76">
            <v>23.734326915740482</v>
          </cell>
          <cell r="CA76">
            <v>26.5</v>
          </cell>
          <cell r="CB76">
            <v>26.5</v>
          </cell>
          <cell r="CC76">
            <v>26.5</v>
          </cell>
          <cell r="CD76">
            <v>26.5</v>
          </cell>
        </row>
        <row r="77">
          <cell r="B77" t="str">
            <v>DPOs</v>
          </cell>
          <cell r="E77">
            <v>22.796839074045138</v>
          </cell>
          <cell r="F77">
            <v>12.627339798318246</v>
          </cell>
          <cell r="G77">
            <v>13.652439070527612</v>
          </cell>
          <cell r="H77">
            <v>14.640564900396118</v>
          </cell>
          <cell r="I77">
            <v>11.836025661866723</v>
          </cell>
          <cell r="J77">
            <v>12.036955053529248</v>
          </cell>
          <cell r="K77">
            <v>36.249809746550255</v>
          </cell>
          <cell r="L77">
            <v>39.212496693101343</v>
          </cell>
          <cell r="M77">
            <v>36.760862352240423</v>
          </cell>
          <cell r="N77">
            <v>36.592759423553943</v>
          </cell>
          <cell r="O77">
            <v>33.361283702100138</v>
          </cell>
          <cell r="P77">
            <v>32.662312454011946</v>
          </cell>
          <cell r="Q77">
            <v>35.262384907893157</v>
          </cell>
          <cell r="R77">
            <v>35.593378775407956</v>
          </cell>
          <cell r="S77">
            <v>35.593378775407956</v>
          </cell>
          <cell r="T77">
            <v>35.593378775407956</v>
          </cell>
          <cell r="U77">
            <v>35.593378775407956</v>
          </cell>
          <cell r="V77">
            <v>35.593378775407956</v>
          </cell>
          <cell r="W77">
            <v>35.593378775407956</v>
          </cell>
          <cell r="X77">
            <v>35.593378775407956</v>
          </cell>
          <cell r="Y77">
            <v>35.593378775407956</v>
          </cell>
          <cell r="AA77">
            <v>77.481397352549536</v>
          </cell>
          <cell r="AB77">
            <v>89.224118929244938</v>
          </cell>
          <cell r="AC77">
            <v>84.743177859492931</v>
          </cell>
          <cell r="AD77">
            <v>91.872638478344683</v>
          </cell>
          <cell r="AE77">
            <v>75.613250630495529</v>
          </cell>
          <cell r="AF77">
            <v>65.994478932044174</v>
          </cell>
          <cell r="AG77">
            <v>58.230059746606585</v>
          </cell>
          <cell r="AH77">
            <v>56.543399855734563</v>
          </cell>
          <cell r="AI77">
            <v>44.775566169933853</v>
          </cell>
          <cell r="AJ77">
            <v>45.180789148068378</v>
          </cell>
          <cell r="AK77">
            <v>49.940268043403215</v>
          </cell>
          <cell r="AL77">
            <v>54.79175840026722</v>
          </cell>
          <cell r="AM77">
            <v>48.867018051215076</v>
          </cell>
          <cell r="AN77">
            <v>55.404774139300223</v>
          </cell>
          <cell r="AO77">
            <v>57.657665903890162</v>
          </cell>
          <cell r="AP77">
            <v>56.92754140809857</v>
          </cell>
          <cell r="AQ77">
            <v>46.710224976424627</v>
          </cell>
          <cell r="AR77">
            <v>44.933225414811815</v>
          </cell>
          <cell r="AS77">
            <v>37.756707361649248</v>
          </cell>
          <cell r="AT77">
            <v>50.014856704687048</v>
          </cell>
          <cell r="AU77">
            <v>38.688783797381014</v>
          </cell>
          <cell r="AV77">
            <v>43.053760943103129</v>
          </cell>
          <cell r="AW77">
            <v>44.440001632053523</v>
          </cell>
          <cell r="AX77">
            <v>38.211362097618021</v>
          </cell>
          <cell r="AY77">
            <v>31.787467389811891</v>
          </cell>
          <cell r="AZ77">
            <v>34.347818473150106</v>
          </cell>
          <cell r="BA77">
            <v>30.470493128536784</v>
          </cell>
          <cell r="BB77">
            <v>35.75610457494227</v>
          </cell>
          <cell r="BC77">
            <v>34.115566824581308</v>
          </cell>
          <cell r="BD77">
            <v>31.341733695246159</v>
          </cell>
          <cell r="BE77">
            <v>28.53812987310496</v>
          </cell>
          <cell r="BF77">
            <v>38.234324884221309</v>
          </cell>
          <cell r="BG77">
            <v>28.721037998146429</v>
          </cell>
          <cell r="BH77">
            <v>30.869806682402135</v>
          </cell>
          <cell r="BI77">
            <v>32.805917872482055</v>
          </cell>
          <cell r="BJ77">
            <v>35.735592429953762</v>
          </cell>
          <cell r="BK77">
            <v>43.213658399494143</v>
          </cell>
          <cell r="BL77">
            <v>37.318841681234325</v>
          </cell>
          <cell r="BM77">
            <v>46.211219526931089</v>
          </cell>
          <cell r="BN77">
            <v>35.990570626753971</v>
          </cell>
          <cell r="BO77">
            <v>45.1161052457579</v>
          </cell>
          <cell r="BP77">
            <v>46.307449508413484</v>
          </cell>
          <cell r="BQ77">
            <v>41.597871362300261</v>
          </cell>
          <cell r="BR77">
            <v>32.570575722226032</v>
          </cell>
          <cell r="BS77">
            <v>33.981290309563995</v>
          </cell>
          <cell r="BT77">
            <v>33.887996538408586</v>
          </cell>
          <cell r="BU77">
            <v>35.728477671748379</v>
          </cell>
          <cell r="BV77">
            <v>31.676338821572369</v>
          </cell>
          <cell r="BW77">
            <v>32.020638214345801</v>
          </cell>
          <cell r="BX77">
            <v>33.736933478415018</v>
          </cell>
          <cell r="BY77">
            <v>34.455675946398252</v>
          </cell>
          <cell r="BZ77">
            <v>34.455675946398252</v>
          </cell>
          <cell r="CA77">
            <v>34.455675946398252</v>
          </cell>
          <cell r="CB77">
            <v>34.455675946398252</v>
          </cell>
          <cell r="CC77">
            <v>34.455675946398252</v>
          </cell>
          <cell r="CD77">
            <v>34.455675946398252</v>
          </cell>
        </row>
        <row r="78">
          <cell r="B78" t="str">
            <v>Net Leverage</v>
          </cell>
          <cell r="E78">
            <v>4.7697935683190567</v>
          </cell>
          <cell r="F78">
            <v>3.8346387197699996</v>
          </cell>
          <cell r="G78">
            <v>3.1217289880521992</v>
          </cell>
          <cell r="H78">
            <v>3.8320163009110715</v>
          </cell>
          <cell r="I78">
            <v>3.4123937919556613</v>
          </cell>
          <cell r="J78">
            <v>3.7520898668988161</v>
          </cell>
          <cell r="K78">
            <v>3.1153824597422428</v>
          </cell>
          <cell r="L78">
            <v>2.5578949215069078</v>
          </cell>
          <cell r="M78">
            <v>2.0656326003416865</v>
          </cell>
          <cell r="N78">
            <v>1.977351758533807</v>
          </cell>
          <cell r="O78">
            <v>1.8337642820835827</v>
          </cell>
          <cell r="P78">
            <v>1.4624374975720482</v>
          </cell>
          <cell r="Q78">
            <v>2.5597902161822605</v>
          </cell>
          <cell r="R78">
            <v>2.4569857349042619</v>
          </cell>
          <cell r="S78">
            <v>2.1373105257583083</v>
          </cell>
          <cell r="T78">
            <v>1.95461416842141</v>
          </cell>
          <cell r="U78">
            <v>1.7790314633069941</v>
          </cell>
          <cell r="V78">
            <v>1.5153589803954064</v>
          </cell>
          <cell r="W78">
            <v>1.1387492064221583</v>
          </cell>
          <cell r="X78">
            <v>0.74912479439767454</v>
          </cell>
          <cell r="Y78">
            <v>0.25366403979636465</v>
          </cell>
          <cell r="AA78">
            <v>3.9242175879549541</v>
          </cell>
          <cell r="AB78">
            <v>4.0636266570525272</v>
          </cell>
          <cell r="AC78">
            <v>4.8342064388590806</v>
          </cell>
          <cell r="AD78">
            <v>4.4681128153858323</v>
          </cell>
          <cell r="AE78">
            <v>4.8375352677762509</v>
          </cell>
          <cell r="AF78">
            <v>3.4600917517615577</v>
          </cell>
          <cell r="AG78">
            <v>4.6740323908866346</v>
          </cell>
          <cell r="AH78">
            <v>3.1584090750800957</v>
          </cell>
          <cell r="AI78">
            <v>3.7727314757736403</v>
          </cell>
          <cell r="AJ78">
            <v>3.5501923958769472</v>
          </cell>
          <cell r="AK78">
            <v>2.5001306357607018</v>
          </cell>
          <cell r="AL78">
            <v>3.0793185137384098</v>
          </cell>
          <cell r="AM78">
            <v>3.7487024221453282</v>
          </cell>
          <cell r="AN78">
            <v>3.5680999203244976</v>
          </cell>
          <cell r="AO78">
            <v>3.9594378560632495</v>
          </cell>
          <cell r="AP78">
            <v>3.7433787864921775</v>
          </cell>
          <cell r="AQ78">
            <v>3.6638994465559795</v>
          </cell>
          <cell r="AR78">
            <v>3.7377379744440833</v>
          </cell>
          <cell r="AS78">
            <v>3.5012301453735311</v>
          </cell>
          <cell r="AT78">
            <v>3.0335046437875191</v>
          </cell>
          <cell r="AU78">
            <v>3.390901888998278</v>
          </cell>
          <cell r="AV78">
            <v>3.2139684638714403</v>
          </cell>
          <cell r="AW78">
            <v>3.0774940659278931</v>
          </cell>
          <cell r="AX78">
            <v>3.3434606517540049</v>
          </cell>
          <cell r="AY78">
            <v>3.520485628946473</v>
          </cell>
          <cell r="AZ78">
            <v>3.2553629318967894</v>
          </cell>
          <cell r="BA78">
            <v>3.0994463791926501</v>
          </cell>
          <cell r="BB78">
            <v>2.8310976721244683</v>
          </cell>
          <cell r="BC78">
            <v>2.8325791491731653</v>
          </cell>
          <cell r="BD78">
            <v>2.6591491257378328</v>
          </cell>
          <cell r="BE78">
            <v>2.5352041313456115</v>
          </cell>
          <cell r="BF78">
            <v>2.4476038139454577</v>
          </cell>
          <cell r="BG78">
            <v>2.4542664828325762</v>
          </cell>
          <cell r="BH78">
            <v>2.2609159681609952</v>
          </cell>
          <cell r="BI78">
            <v>2.1541224206312939</v>
          </cell>
          <cell r="BJ78">
            <v>1.9803257308965716</v>
          </cell>
          <cell r="BK78">
            <v>1.9932859731596493</v>
          </cell>
          <cell r="BL78">
            <v>1.9853275257975171</v>
          </cell>
          <cell r="BM78">
            <v>1.9183711006474402</v>
          </cell>
          <cell r="BN78">
            <v>1.9199642246724087</v>
          </cell>
          <cell r="BO78">
            <v>1.8744791923982684</v>
          </cell>
          <cell r="BP78">
            <v>1.7862932686063129</v>
          </cell>
          <cell r="BQ78">
            <v>1.849679735792024</v>
          </cell>
          <cell r="BR78">
            <v>1.7819079152870609</v>
          </cell>
          <cell r="BS78">
            <v>1.7103020414358363</v>
          </cell>
          <cell r="BT78">
            <v>1.5947375098890937</v>
          </cell>
          <cell r="BU78">
            <v>1.5095046800158198</v>
          </cell>
          <cell r="BV78">
            <v>1.4292276819611676</v>
          </cell>
          <cell r="BW78">
            <v>1.567681416189433</v>
          </cell>
          <cell r="BX78">
            <v>1.8778617616218121</v>
          </cell>
          <cell r="BY78">
            <v>2.2766081111327718</v>
          </cell>
          <cell r="BZ78">
            <v>2.5204151425001902</v>
          </cell>
          <cell r="CA78">
            <v>2.5536151174372841</v>
          </cell>
          <cell r="CB78">
            <v>2.5108566428295647</v>
          </cell>
          <cell r="CC78">
            <v>2.4209129390768034</v>
          </cell>
          <cell r="CD78">
            <v>2.3375873109002296</v>
          </cell>
        </row>
        <row r="79">
          <cell r="B79" t="str">
            <v>Total Leverage</v>
          </cell>
          <cell r="E79">
            <v>7.4664232551607919</v>
          </cell>
          <cell r="F79">
            <v>6.511262261119569</v>
          </cell>
          <cell r="G79">
            <v>5.1815755948076996</v>
          </cell>
          <cell r="H79">
            <v>5.8579478651895922</v>
          </cell>
          <cell r="I79">
            <v>4.9792282149085425</v>
          </cell>
          <cell r="J79">
            <v>4.8340063561321998</v>
          </cell>
          <cell r="K79">
            <v>4.0638430928339844</v>
          </cell>
          <cell r="L79">
            <v>3.4405061451169887</v>
          </cell>
          <cell r="M79">
            <v>3.1437578150406047</v>
          </cell>
          <cell r="N79">
            <v>3.0032940151175227</v>
          </cell>
          <cell r="O79">
            <v>2.8080078113228026</v>
          </cell>
          <cell r="P79">
            <v>3.2647494630757032</v>
          </cell>
          <cell r="Q79">
            <v>3.5348155815196698</v>
          </cell>
          <cell r="R79">
            <v>3.2988950969075628</v>
          </cell>
          <cell r="S79">
            <v>2.9812398240709306</v>
          </cell>
          <cell r="T79">
            <v>2.7802708496787156</v>
          </cell>
          <cell r="U79">
            <v>2.6461676184967207</v>
          </cell>
          <cell r="V79">
            <v>2.5522478689085282</v>
          </cell>
          <cell r="W79">
            <v>2.4881534956693416</v>
          </cell>
          <cell r="X79">
            <v>2.4227471069654936</v>
          </cell>
          <cell r="Y79">
            <v>2.3544372874752981</v>
          </cell>
          <cell r="AT79">
            <v>4.426368359950164</v>
          </cell>
          <cell r="AU79">
            <v>6.2435238739847412</v>
          </cell>
          <cell r="AV79">
            <v>4.3936841500050301</v>
          </cell>
          <cell r="AW79">
            <v>4.2893123498925556</v>
          </cell>
          <cell r="AX79">
            <v>4.3075487569318982</v>
          </cell>
          <cell r="AY79">
            <v>4.5221722954384678</v>
          </cell>
          <cell r="AZ79">
            <v>4.1567693457223065</v>
          </cell>
          <cell r="BA79">
            <v>3.9876635697839884</v>
          </cell>
          <cell r="BB79">
            <v>3.6930094037164518</v>
          </cell>
          <cell r="BC79">
            <v>3.6846323151400915</v>
          </cell>
          <cell r="BD79">
            <v>3.4821705190899976</v>
          </cell>
          <cell r="BE79">
            <v>3.3480439442658105</v>
          </cell>
          <cell r="BF79">
            <v>3.2921586777810816</v>
          </cell>
          <cell r="BG79">
            <v>3.2997405258420933</v>
          </cell>
          <cell r="BH79">
            <v>3.1601773730066198</v>
          </cell>
          <cell r="BI79">
            <v>3.1418470016266697</v>
          </cell>
          <cell r="BJ79">
            <v>3.0139263351102592</v>
          </cell>
          <cell r="BK79">
            <v>3.0579466169428602</v>
          </cell>
          <cell r="BL79">
            <v>3.0489497505439105</v>
          </cell>
          <cell r="BM79">
            <v>3.016460807395354</v>
          </cell>
          <cell r="BN79">
            <v>2.9161311538590433</v>
          </cell>
          <cell r="BO79">
            <v>2.8620827363601942</v>
          </cell>
          <cell r="BP79">
            <v>2.8198304974672039</v>
          </cell>
          <cell r="BQ79">
            <v>2.7874681135198669</v>
          </cell>
          <cell r="BR79">
            <v>2.7286011588679937</v>
          </cell>
          <cell r="BS79">
            <v>2.6336286711694634</v>
          </cell>
          <cell r="BT79">
            <v>2.586816906243937</v>
          </cell>
          <cell r="BU79">
            <v>2.3506569599671887</v>
          </cell>
          <cell r="BV79">
            <v>3.1906117800195255</v>
          </cell>
          <cell r="BW79">
            <v>3.2461809052614554</v>
          </cell>
          <cell r="BX79">
            <v>2.9963882092508469</v>
          </cell>
          <cell r="BY79">
            <v>3.3046169341737608</v>
          </cell>
          <cell r="BZ79">
            <v>3.4804425227061042</v>
          </cell>
          <cell r="CA79">
            <v>3.4564995920316295</v>
          </cell>
          <cell r="CB79">
            <v>3.3691643323322911</v>
          </cell>
          <cell r="CC79">
            <v>3.2585209975448688</v>
          </cell>
          <cell r="CD79">
            <v>3.1385836755061929</v>
          </cell>
        </row>
        <row r="82">
          <cell r="A82" t="str">
            <v>x</v>
          </cell>
          <cell r="B82" t="str">
            <v>Debt and Interest Schedule</v>
          </cell>
        </row>
        <row r="84">
          <cell r="B84" t="str">
            <v>Term Loan B (Eurodollar rate + 250bps; due 4/17/20)</v>
          </cell>
        </row>
        <row r="85">
          <cell r="B85" t="str">
            <v>Beginning Balance</v>
          </cell>
          <cell r="M85">
            <v>588</v>
          </cell>
          <cell r="N85">
            <v>582</v>
          </cell>
          <cell r="O85">
            <v>576</v>
          </cell>
          <cell r="P85">
            <v>573</v>
          </cell>
          <cell r="Q85">
            <v>463.01900000000001</v>
          </cell>
          <cell r="R85">
            <v>516.27</v>
          </cell>
          <cell r="S85">
            <v>516.27</v>
          </cell>
          <cell r="T85">
            <v>516.27</v>
          </cell>
          <cell r="U85">
            <v>516.27</v>
          </cell>
          <cell r="V85">
            <v>516.27</v>
          </cell>
          <cell r="W85">
            <v>516.27</v>
          </cell>
          <cell r="X85">
            <v>516.27</v>
          </cell>
          <cell r="Y85">
            <v>516.27</v>
          </cell>
          <cell r="BG85">
            <v>588</v>
          </cell>
          <cell r="BH85">
            <v>586.5</v>
          </cell>
          <cell r="BI85">
            <v>585</v>
          </cell>
          <cell r="BJ85">
            <v>583.5</v>
          </cell>
          <cell r="BK85">
            <v>582</v>
          </cell>
          <cell r="BL85">
            <v>580.5</v>
          </cell>
          <cell r="BM85">
            <v>579</v>
          </cell>
          <cell r="BN85">
            <v>577.5</v>
          </cell>
          <cell r="BO85">
            <v>576</v>
          </cell>
          <cell r="BP85">
            <v>574.5</v>
          </cell>
          <cell r="BQ85">
            <v>573</v>
          </cell>
          <cell r="BR85">
            <v>573</v>
          </cell>
          <cell r="BS85">
            <v>573</v>
          </cell>
          <cell r="BT85">
            <v>568.5</v>
          </cell>
          <cell r="BU85">
            <v>567</v>
          </cell>
          <cell r="BV85">
            <v>464.25</v>
          </cell>
          <cell r="BW85">
            <v>463.01900000000001</v>
          </cell>
          <cell r="BX85">
            <v>461.78699999999998</v>
          </cell>
          <cell r="BY85">
            <v>517.47699999999998</v>
          </cell>
          <cell r="BZ85">
            <v>516.27</v>
          </cell>
          <cell r="CA85">
            <v>516.27</v>
          </cell>
          <cell r="CB85">
            <v>516.27</v>
          </cell>
          <cell r="CC85">
            <v>516.27</v>
          </cell>
          <cell r="CD85">
            <v>516.27</v>
          </cell>
        </row>
        <row r="86">
          <cell r="B86" t="str">
            <v>Additions/Deletions</v>
          </cell>
          <cell r="M86">
            <v>-6</v>
          </cell>
          <cell r="N86">
            <v>-6</v>
          </cell>
          <cell r="O86">
            <v>-3</v>
          </cell>
          <cell r="P86">
            <v>-109.98099999999999</v>
          </cell>
          <cell r="Q86">
            <v>53.250999999999976</v>
          </cell>
          <cell r="R86">
            <v>0</v>
          </cell>
          <cell r="S86">
            <v>0</v>
          </cell>
          <cell r="T86">
            <v>0</v>
          </cell>
          <cell r="U86">
            <v>0</v>
          </cell>
          <cell r="V86">
            <v>0</v>
          </cell>
          <cell r="W86">
            <v>0</v>
          </cell>
          <cell r="X86">
            <v>0</v>
          </cell>
          <cell r="Y86">
            <v>0</v>
          </cell>
          <cell r="BG86">
            <v>-1.5</v>
          </cell>
          <cell r="BH86">
            <v>-1.5</v>
          </cell>
          <cell r="BI86">
            <v>-1.5</v>
          </cell>
          <cell r="BJ86">
            <v>-1.5</v>
          </cell>
          <cell r="BK86">
            <v>-1.5</v>
          </cell>
          <cell r="BL86">
            <v>-1.5</v>
          </cell>
          <cell r="BM86">
            <v>-1.5</v>
          </cell>
          <cell r="BN86">
            <v>-1.5</v>
          </cell>
          <cell r="BO86">
            <v>-1.5</v>
          </cell>
          <cell r="BP86">
            <v>-1.5</v>
          </cell>
          <cell r="BQ86">
            <v>0</v>
          </cell>
          <cell r="BR86">
            <v>0</v>
          </cell>
          <cell r="BS86">
            <v>-4.5</v>
          </cell>
          <cell r="BT86">
            <v>-1.5</v>
          </cell>
          <cell r="BU86">
            <v>-102.75</v>
          </cell>
          <cell r="BV86">
            <v>-1.2309999999999945</v>
          </cell>
          <cell r="BW86">
            <v>-1.2320000000000277</v>
          </cell>
          <cell r="BX86">
            <v>55.69</v>
          </cell>
          <cell r="BY86">
            <v>-1.2069999999999936</v>
          </cell>
          <cell r="BZ86">
            <v>0</v>
          </cell>
          <cell r="CA86">
            <v>0</v>
          </cell>
          <cell r="CB86">
            <v>0</v>
          </cell>
          <cell r="CC86">
            <v>0</v>
          </cell>
          <cell r="CD86">
            <v>0</v>
          </cell>
        </row>
        <row r="87">
          <cell r="B87" t="str">
            <v>Ending Balance</v>
          </cell>
          <cell r="L87">
            <v>588</v>
          </cell>
          <cell r="M87">
            <v>582</v>
          </cell>
          <cell r="N87">
            <v>576</v>
          </cell>
          <cell r="O87">
            <v>573</v>
          </cell>
          <cell r="P87">
            <v>463.01900000000001</v>
          </cell>
          <cell r="Q87">
            <v>516.27</v>
          </cell>
          <cell r="R87">
            <v>516.27</v>
          </cell>
          <cell r="S87">
            <v>516.27</v>
          </cell>
          <cell r="T87">
            <v>516.27</v>
          </cell>
          <cell r="U87">
            <v>516.27</v>
          </cell>
          <cell r="V87">
            <v>516.27</v>
          </cell>
          <cell r="W87">
            <v>516.27</v>
          </cell>
          <cell r="X87">
            <v>516.27</v>
          </cell>
          <cell r="Y87">
            <v>516.27</v>
          </cell>
          <cell r="BF87">
            <v>588</v>
          </cell>
          <cell r="BG87">
            <v>586.5</v>
          </cell>
          <cell r="BH87">
            <v>585</v>
          </cell>
          <cell r="BI87">
            <v>583.5</v>
          </cell>
          <cell r="BJ87">
            <v>582</v>
          </cell>
          <cell r="BK87">
            <v>580.5</v>
          </cell>
          <cell r="BL87">
            <v>579</v>
          </cell>
          <cell r="BM87">
            <v>577.5</v>
          </cell>
          <cell r="BN87">
            <v>576</v>
          </cell>
          <cell r="BO87">
            <v>574.5</v>
          </cell>
          <cell r="BP87">
            <v>573</v>
          </cell>
          <cell r="BQ87">
            <v>573</v>
          </cell>
          <cell r="BR87">
            <v>573</v>
          </cell>
          <cell r="BS87">
            <v>568.5</v>
          </cell>
          <cell r="BT87">
            <v>567</v>
          </cell>
          <cell r="BU87">
            <v>464.25</v>
          </cell>
          <cell r="BV87">
            <v>463.01900000000001</v>
          </cell>
          <cell r="BW87">
            <v>461.78699999999998</v>
          </cell>
          <cell r="BX87">
            <v>517.47699999999998</v>
          </cell>
          <cell r="BY87">
            <v>516.27</v>
          </cell>
          <cell r="BZ87">
            <v>516.27</v>
          </cell>
          <cell r="CA87">
            <v>516.27</v>
          </cell>
          <cell r="CB87">
            <v>516.27</v>
          </cell>
          <cell r="CC87">
            <v>516.27</v>
          </cell>
          <cell r="CD87">
            <v>516.27</v>
          </cell>
        </row>
        <row r="89">
          <cell r="B89" t="str">
            <v>Senior Notes (9.25%; due 2014)</v>
          </cell>
        </row>
        <row r="90">
          <cell r="B90" t="str">
            <v>Beginning Balance</v>
          </cell>
          <cell r="M90">
            <v>400</v>
          </cell>
          <cell r="N90">
            <v>400</v>
          </cell>
          <cell r="O90">
            <v>0</v>
          </cell>
          <cell r="P90">
            <v>0</v>
          </cell>
          <cell r="Q90">
            <v>0</v>
          </cell>
          <cell r="R90">
            <v>0</v>
          </cell>
          <cell r="S90">
            <v>0</v>
          </cell>
          <cell r="T90">
            <v>0</v>
          </cell>
          <cell r="U90">
            <v>0</v>
          </cell>
          <cell r="V90">
            <v>0</v>
          </cell>
          <cell r="W90">
            <v>0</v>
          </cell>
          <cell r="X90">
            <v>0</v>
          </cell>
          <cell r="Y90">
            <v>0</v>
          </cell>
          <cell r="BG90">
            <v>400</v>
          </cell>
          <cell r="BH90">
            <v>400</v>
          </cell>
          <cell r="BI90">
            <v>400</v>
          </cell>
          <cell r="BJ90">
            <v>400</v>
          </cell>
          <cell r="BK90">
            <v>400</v>
          </cell>
          <cell r="BL90">
            <v>0</v>
          </cell>
          <cell r="BM90">
            <v>0</v>
          </cell>
          <cell r="BN90">
            <v>0</v>
          </cell>
          <cell r="BO90">
            <v>0</v>
          </cell>
          <cell r="BP90">
            <v>0</v>
          </cell>
          <cell r="BQ90">
            <v>0</v>
          </cell>
          <cell r="BR90">
            <v>0</v>
          </cell>
          <cell r="BS90">
            <v>0</v>
          </cell>
          <cell r="BT90">
            <v>0</v>
          </cell>
          <cell r="BU90">
            <v>0</v>
          </cell>
          <cell r="BV90">
            <v>0</v>
          </cell>
          <cell r="BW90">
            <v>0</v>
          </cell>
          <cell r="BX90">
            <v>0</v>
          </cell>
          <cell r="BY90">
            <v>0</v>
          </cell>
          <cell r="BZ90">
            <v>0</v>
          </cell>
          <cell r="CA90">
            <v>0</v>
          </cell>
          <cell r="CB90">
            <v>0</v>
          </cell>
          <cell r="CC90">
            <v>0</v>
          </cell>
          <cell r="CD90">
            <v>0</v>
          </cell>
        </row>
        <row r="91">
          <cell r="B91" t="str">
            <v>Additions/Deletions</v>
          </cell>
          <cell r="M91">
            <v>0</v>
          </cell>
          <cell r="N91">
            <v>-400</v>
          </cell>
          <cell r="O91">
            <v>0</v>
          </cell>
          <cell r="P91">
            <v>0</v>
          </cell>
          <cell r="Q91">
            <v>0</v>
          </cell>
          <cell r="R91">
            <v>0</v>
          </cell>
          <cell r="S91">
            <v>0</v>
          </cell>
          <cell r="T91">
            <v>0</v>
          </cell>
          <cell r="U91">
            <v>0</v>
          </cell>
          <cell r="V91">
            <v>0</v>
          </cell>
          <cell r="W91">
            <v>0</v>
          </cell>
          <cell r="X91">
            <v>0</v>
          </cell>
          <cell r="Y91">
            <v>0</v>
          </cell>
          <cell r="BG91">
            <v>0</v>
          </cell>
          <cell r="BH91">
            <v>0</v>
          </cell>
          <cell r="BI91">
            <v>0</v>
          </cell>
          <cell r="BJ91">
            <v>0</v>
          </cell>
          <cell r="BK91">
            <v>-400</v>
          </cell>
          <cell r="BL91">
            <v>0</v>
          </cell>
          <cell r="BM91">
            <v>0</v>
          </cell>
          <cell r="BN91">
            <v>0</v>
          </cell>
          <cell r="BO91">
            <v>0</v>
          </cell>
          <cell r="BP91">
            <v>0</v>
          </cell>
          <cell r="BQ91">
            <v>0</v>
          </cell>
          <cell r="BR91">
            <v>0</v>
          </cell>
          <cell r="BS91">
            <v>0</v>
          </cell>
          <cell r="BT91">
            <v>0</v>
          </cell>
          <cell r="BU91">
            <v>0</v>
          </cell>
          <cell r="BV91">
            <v>0</v>
          </cell>
          <cell r="BW91">
            <v>0</v>
          </cell>
          <cell r="BX91">
            <v>0</v>
          </cell>
          <cell r="BY91">
            <v>0</v>
          </cell>
          <cell r="BZ91">
            <v>0</v>
          </cell>
          <cell r="CA91">
            <v>0</v>
          </cell>
          <cell r="CB91">
            <v>0</v>
          </cell>
          <cell r="CC91">
            <v>0</v>
          </cell>
          <cell r="CD91">
            <v>0</v>
          </cell>
        </row>
        <row r="92">
          <cell r="B92" t="str">
            <v>Ending Balance</v>
          </cell>
          <cell r="L92">
            <v>400</v>
          </cell>
          <cell r="M92">
            <v>400</v>
          </cell>
          <cell r="N92">
            <v>0</v>
          </cell>
          <cell r="O92">
            <v>0</v>
          </cell>
          <cell r="P92">
            <v>0</v>
          </cell>
          <cell r="Q92">
            <v>0</v>
          </cell>
          <cell r="R92">
            <v>0</v>
          </cell>
          <cell r="S92">
            <v>0</v>
          </cell>
          <cell r="T92">
            <v>0</v>
          </cell>
          <cell r="U92">
            <v>0</v>
          </cell>
          <cell r="V92">
            <v>0</v>
          </cell>
          <cell r="W92">
            <v>0</v>
          </cell>
          <cell r="X92">
            <v>0</v>
          </cell>
          <cell r="Y92">
            <v>0</v>
          </cell>
          <cell r="BF92">
            <v>400</v>
          </cell>
          <cell r="BG92">
            <v>400</v>
          </cell>
          <cell r="BH92">
            <v>400</v>
          </cell>
          <cell r="BI92">
            <v>400</v>
          </cell>
          <cell r="BJ92">
            <v>400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row>
        <row r="93">
          <cell r="B93" t="str">
            <v>Unamortized Premium</v>
          </cell>
          <cell r="M93">
            <v>0.28499999999999998</v>
          </cell>
          <cell r="N93">
            <v>0</v>
          </cell>
          <cell r="O93">
            <v>0</v>
          </cell>
          <cell r="P93">
            <v>0</v>
          </cell>
          <cell r="Q93">
            <v>0</v>
          </cell>
          <cell r="R93">
            <v>0</v>
          </cell>
          <cell r="S93">
            <v>0</v>
          </cell>
          <cell r="T93">
            <v>0</v>
          </cell>
          <cell r="U93">
            <v>0</v>
          </cell>
          <cell r="V93">
            <v>0</v>
          </cell>
          <cell r="W93">
            <v>0</v>
          </cell>
          <cell r="X93">
            <v>0</v>
          </cell>
          <cell r="Y93">
            <v>0</v>
          </cell>
          <cell r="BF93">
            <v>0.28499999999999998</v>
          </cell>
          <cell r="BG93">
            <v>0.27100000000000002</v>
          </cell>
          <cell r="BH93">
            <v>0.25700000000000001</v>
          </cell>
          <cell r="BI93">
            <v>0.24299999999999999</v>
          </cell>
          <cell r="BJ93">
            <v>0.22900000000000001</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row>
        <row r="94">
          <cell r="B94" t="str">
            <v>Reduction of Premium</v>
          </cell>
          <cell r="N94">
            <v>-0.28499999999999998</v>
          </cell>
          <cell r="O94">
            <v>0</v>
          </cell>
          <cell r="P94">
            <v>0</v>
          </cell>
          <cell r="Q94">
            <v>0</v>
          </cell>
          <cell r="R94">
            <v>0</v>
          </cell>
          <cell r="S94">
            <v>0</v>
          </cell>
          <cell r="T94">
            <v>0</v>
          </cell>
          <cell r="U94">
            <v>0</v>
          </cell>
          <cell r="V94">
            <v>0</v>
          </cell>
          <cell r="W94">
            <v>0</v>
          </cell>
          <cell r="X94">
            <v>0</v>
          </cell>
          <cell r="Y94">
            <v>0</v>
          </cell>
          <cell r="BG94">
            <v>-1.3999999999999957E-2</v>
          </cell>
          <cell r="BH94">
            <v>-1.4000000000000012E-2</v>
          </cell>
          <cell r="BI94">
            <v>-1.4000000000000012E-2</v>
          </cell>
          <cell r="BJ94">
            <v>-1.3999999999999985E-2</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row>
        <row r="95">
          <cell r="B95" t="str">
            <v>Net Balance</v>
          </cell>
          <cell r="M95">
            <v>400.28500000000003</v>
          </cell>
          <cell r="N95">
            <v>0</v>
          </cell>
          <cell r="O95">
            <v>0</v>
          </cell>
          <cell r="P95">
            <v>0</v>
          </cell>
          <cell r="Q95">
            <v>0</v>
          </cell>
          <cell r="R95">
            <v>0</v>
          </cell>
          <cell r="S95">
            <v>0</v>
          </cell>
          <cell r="T95">
            <v>0</v>
          </cell>
          <cell r="U95">
            <v>0</v>
          </cell>
          <cell r="V95">
            <v>0</v>
          </cell>
          <cell r="W95">
            <v>0</v>
          </cell>
          <cell r="X95">
            <v>0</v>
          </cell>
          <cell r="Y95">
            <v>0</v>
          </cell>
          <cell r="BF95">
            <v>400.28500000000003</v>
          </cell>
          <cell r="BG95">
            <v>400.27100000000002</v>
          </cell>
          <cell r="BH95">
            <v>400.25700000000001</v>
          </cell>
          <cell r="BI95">
            <v>400.24299999999999</v>
          </cell>
          <cell r="BJ95">
            <v>400.22899999999998</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row>
        <row r="97">
          <cell r="B97" t="str">
            <v>Senior Notes (8%; due 2018)</v>
          </cell>
        </row>
        <row r="98">
          <cell r="B98" t="str">
            <v>Beginning Balance</v>
          </cell>
          <cell r="R98">
            <v>430</v>
          </cell>
          <cell r="S98">
            <v>23.5</v>
          </cell>
          <cell r="T98">
            <v>23.5</v>
          </cell>
          <cell r="U98">
            <v>23.5</v>
          </cell>
          <cell r="V98">
            <v>23.5</v>
          </cell>
          <cell r="W98">
            <v>23.5</v>
          </cell>
          <cell r="X98">
            <v>23.5</v>
          </cell>
          <cell r="Y98">
            <v>23.5</v>
          </cell>
          <cell r="BL98">
            <v>430</v>
          </cell>
          <cell r="BM98">
            <v>430</v>
          </cell>
          <cell r="BN98">
            <v>430</v>
          </cell>
          <cell r="BO98">
            <v>430</v>
          </cell>
          <cell r="BP98">
            <v>430</v>
          </cell>
          <cell r="BQ98">
            <v>430</v>
          </cell>
          <cell r="BR98">
            <v>430</v>
          </cell>
          <cell r="BS98">
            <v>430</v>
          </cell>
          <cell r="BT98">
            <v>430</v>
          </cell>
          <cell r="BU98">
            <v>430</v>
          </cell>
          <cell r="BV98">
            <v>430</v>
          </cell>
          <cell r="BW98">
            <v>430</v>
          </cell>
          <cell r="BX98">
            <v>430</v>
          </cell>
          <cell r="BY98">
            <v>430</v>
          </cell>
          <cell r="BZ98">
            <v>23.5</v>
          </cell>
          <cell r="CA98">
            <v>23.5</v>
          </cell>
          <cell r="CB98">
            <v>23.5</v>
          </cell>
          <cell r="CC98">
            <v>23.5</v>
          </cell>
          <cell r="CD98">
            <v>23.5</v>
          </cell>
        </row>
        <row r="99">
          <cell r="B99" t="str">
            <v>Additions/Deletions</v>
          </cell>
          <cell r="R99">
            <v>0</v>
          </cell>
          <cell r="S99">
            <v>0</v>
          </cell>
          <cell r="T99">
            <v>0</v>
          </cell>
          <cell r="U99">
            <v>0</v>
          </cell>
          <cell r="V99">
            <v>0</v>
          </cell>
          <cell r="W99">
            <v>0</v>
          </cell>
          <cell r="X99">
            <v>0</v>
          </cell>
          <cell r="Y99">
            <v>0</v>
          </cell>
          <cell r="BL99">
            <v>0</v>
          </cell>
          <cell r="BM99">
            <v>0</v>
          </cell>
          <cell r="BN99">
            <v>0</v>
          </cell>
          <cell r="BO99">
            <v>0</v>
          </cell>
          <cell r="BP99">
            <v>0</v>
          </cell>
          <cell r="BQ99">
            <v>0</v>
          </cell>
          <cell r="BR99">
            <v>0</v>
          </cell>
          <cell r="BS99">
            <v>0</v>
          </cell>
          <cell r="BT99">
            <v>0</v>
          </cell>
          <cell r="BU99">
            <v>0</v>
          </cell>
          <cell r="BV99">
            <v>0</v>
          </cell>
          <cell r="BW99">
            <v>0</v>
          </cell>
          <cell r="BX99">
            <v>0</v>
          </cell>
          <cell r="BY99">
            <v>-406.5</v>
          </cell>
          <cell r="BZ99">
            <v>0</v>
          </cell>
          <cell r="CA99">
            <v>0</v>
          </cell>
          <cell r="CB99">
            <v>0</v>
          </cell>
          <cell r="CC99">
            <v>0</v>
          </cell>
          <cell r="CD99">
            <v>0</v>
          </cell>
        </row>
        <row r="100">
          <cell r="B100" t="str">
            <v>Ending Balance</v>
          </cell>
          <cell r="N100">
            <v>430</v>
          </cell>
          <cell r="O100">
            <v>430</v>
          </cell>
          <cell r="P100">
            <v>430</v>
          </cell>
          <cell r="Q100">
            <v>23.5</v>
          </cell>
          <cell r="R100">
            <v>23.5</v>
          </cell>
          <cell r="S100">
            <v>23.5</v>
          </cell>
          <cell r="T100">
            <v>23.5</v>
          </cell>
          <cell r="U100">
            <v>23.5</v>
          </cell>
          <cell r="V100">
            <v>23.5</v>
          </cell>
          <cell r="W100">
            <v>23.5</v>
          </cell>
          <cell r="X100">
            <v>23.5</v>
          </cell>
          <cell r="Y100">
            <v>23.5</v>
          </cell>
          <cell r="BK100">
            <v>430</v>
          </cell>
          <cell r="BL100">
            <v>430</v>
          </cell>
          <cell r="BM100">
            <v>430</v>
          </cell>
          <cell r="BN100">
            <v>430</v>
          </cell>
          <cell r="BO100">
            <v>430</v>
          </cell>
          <cell r="BP100">
            <v>430</v>
          </cell>
          <cell r="BQ100">
            <v>430</v>
          </cell>
          <cell r="BR100">
            <v>430</v>
          </cell>
          <cell r="BS100">
            <v>430</v>
          </cell>
          <cell r="BT100">
            <v>430</v>
          </cell>
          <cell r="BU100">
            <v>430</v>
          </cell>
          <cell r="BV100">
            <v>430</v>
          </cell>
          <cell r="BW100">
            <v>430</v>
          </cell>
          <cell r="BX100">
            <v>430</v>
          </cell>
          <cell r="BY100">
            <v>23.5</v>
          </cell>
          <cell r="BZ100">
            <v>23.5</v>
          </cell>
          <cell r="CA100">
            <v>23.5</v>
          </cell>
          <cell r="CB100">
            <v>23.5</v>
          </cell>
          <cell r="CC100">
            <v>23.5</v>
          </cell>
          <cell r="CD100">
            <v>23.5</v>
          </cell>
        </row>
        <row r="101">
          <cell r="B101" t="str">
            <v>Unamortized Discount</v>
          </cell>
          <cell r="N101">
            <v>-2.7730000000000246</v>
          </cell>
          <cell r="O101">
            <v>-2.5799999999999841</v>
          </cell>
          <cell r="P101">
            <v>-1.9990000000000236</v>
          </cell>
          <cell r="Q101">
            <v>-0.1081250000000008</v>
          </cell>
          <cell r="R101">
            <v>-8.4625000000000949E-2</v>
          </cell>
          <cell r="S101">
            <v>-6.1125000000001095E-2</v>
          </cell>
          <cell r="T101">
            <v>-3.7625000000001241E-2</v>
          </cell>
          <cell r="U101">
            <v>-1.881250000000062E-2</v>
          </cell>
          <cell r="V101">
            <v>-9.4062500000003102E-3</v>
          </cell>
          <cell r="W101">
            <v>-4.7031250000001551E-3</v>
          </cell>
          <cell r="X101">
            <v>-2.3515625000000775E-3</v>
          </cell>
          <cell r="Y101">
            <v>-1.1757812500000388E-3</v>
          </cell>
          <cell r="BK101">
            <v>-3.0788000000000011</v>
          </cell>
          <cell r="BL101">
            <v>-2.9712999999999852</v>
          </cell>
          <cell r="BM101">
            <v>-2.8700000000000045</v>
          </cell>
          <cell r="BN101">
            <v>-2.7730000000000246</v>
          </cell>
          <cell r="BO101">
            <v>-2.6759999999999877</v>
          </cell>
          <cell r="BP101">
            <v>-2.5799999999999841</v>
          </cell>
          <cell r="BQ101">
            <v>-2.5799999999999841</v>
          </cell>
          <cell r="BR101">
            <v>-2.5799999999999841</v>
          </cell>
          <cell r="BS101">
            <v>-2.2889999999999873</v>
          </cell>
          <cell r="BT101">
            <v>-2.2889999999999873</v>
          </cell>
          <cell r="BU101">
            <v>-2.0950000000000273</v>
          </cell>
          <cell r="BV101">
            <v>-1.9990000000000236</v>
          </cell>
          <cell r="BW101">
            <v>-1.9019999999999868</v>
          </cell>
          <cell r="BX101">
            <v>-1.8050000000000068</v>
          </cell>
          <cell r="BY101">
            <v>-0.11400000000000077</v>
          </cell>
          <cell r="BZ101">
            <v>-0.1081250000000008</v>
          </cell>
          <cell r="CA101">
            <v>-0.10225000000000084</v>
          </cell>
          <cell r="CB101">
            <v>-9.6375000000000877E-2</v>
          </cell>
          <cell r="CC101">
            <v>-9.0500000000000913E-2</v>
          </cell>
          <cell r="CD101">
            <v>-8.4625000000000949E-2</v>
          </cell>
        </row>
        <row r="102">
          <cell r="B102" t="str">
            <v>Reduction of Premium</v>
          </cell>
          <cell r="N102">
            <v>0</v>
          </cell>
          <cell r="O102">
            <v>0</v>
          </cell>
          <cell r="P102">
            <v>0</v>
          </cell>
          <cell r="Q102">
            <v>5.8749999999999636E-3</v>
          </cell>
          <cell r="R102">
            <v>2.3499999999999854E-2</v>
          </cell>
          <cell r="S102">
            <v>2.3499999999999854E-2</v>
          </cell>
          <cell r="T102">
            <v>2.3499999999999854E-2</v>
          </cell>
          <cell r="U102">
            <v>2.3499999999999854E-2</v>
          </cell>
          <cell r="V102">
            <v>2.3499999999999854E-2</v>
          </cell>
          <cell r="W102">
            <v>2.3499999999999854E-2</v>
          </cell>
          <cell r="X102">
            <v>2.3499999999999854E-2</v>
          </cell>
          <cell r="Y102">
            <v>2.3499999999999854E-2</v>
          </cell>
          <cell r="BL102">
            <v>0</v>
          </cell>
          <cell r="BM102">
            <v>0</v>
          </cell>
          <cell r="BN102">
            <v>0</v>
          </cell>
          <cell r="BO102">
            <v>0</v>
          </cell>
          <cell r="BP102">
            <v>0</v>
          </cell>
          <cell r="BQ102">
            <v>0</v>
          </cell>
          <cell r="BR102">
            <v>0</v>
          </cell>
          <cell r="BS102">
            <v>0</v>
          </cell>
          <cell r="BT102">
            <v>0</v>
          </cell>
          <cell r="BU102">
            <v>0</v>
          </cell>
          <cell r="BV102">
            <v>0</v>
          </cell>
          <cell r="BW102">
            <v>0</v>
          </cell>
          <cell r="BX102">
            <v>0</v>
          </cell>
          <cell r="BY102">
            <v>0</v>
          </cell>
          <cell r="BZ102">
            <v>5.8749999999999636E-3</v>
          </cell>
          <cell r="CA102">
            <v>5.8749999999999636E-3</v>
          </cell>
          <cell r="CB102">
            <v>5.8749999999999636E-3</v>
          </cell>
          <cell r="CC102">
            <v>5.8749999999999636E-3</v>
          </cell>
          <cell r="CD102">
            <v>5.8749999999999636E-3</v>
          </cell>
        </row>
        <row r="103">
          <cell r="B103" t="str">
            <v>Net Balance</v>
          </cell>
          <cell r="N103">
            <v>427.22699999999998</v>
          </cell>
          <cell r="O103">
            <v>427.42</v>
          </cell>
          <cell r="P103">
            <v>428.00099999999998</v>
          </cell>
          <cell r="Q103">
            <v>23.391874999999999</v>
          </cell>
          <cell r="R103">
            <v>23.415374999999997</v>
          </cell>
          <cell r="S103">
            <v>23.438874999999999</v>
          </cell>
          <cell r="T103">
            <v>23.462374999999998</v>
          </cell>
          <cell r="U103">
            <v>23.481187500000001</v>
          </cell>
          <cell r="V103">
            <v>23.490593749999999</v>
          </cell>
          <cell r="W103">
            <v>23.495296875000001</v>
          </cell>
          <cell r="X103">
            <v>23.497648437500001</v>
          </cell>
          <cell r="Y103">
            <v>23.498824218749998</v>
          </cell>
          <cell r="BK103">
            <v>426.9212</v>
          </cell>
          <cell r="BL103">
            <v>427.02870000000001</v>
          </cell>
          <cell r="BM103">
            <v>427.13</v>
          </cell>
          <cell r="BN103">
            <v>427.22699999999998</v>
          </cell>
          <cell r="BO103">
            <v>427.32400000000001</v>
          </cell>
          <cell r="BP103">
            <v>427.42</v>
          </cell>
          <cell r="BQ103">
            <v>427.42</v>
          </cell>
          <cell r="BR103">
            <v>427.42</v>
          </cell>
          <cell r="BS103">
            <v>427.71100000000001</v>
          </cell>
          <cell r="BT103">
            <v>427.71100000000001</v>
          </cell>
          <cell r="BU103">
            <v>427.90499999999997</v>
          </cell>
          <cell r="BV103">
            <v>428.00099999999998</v>
          </cell>
          <cell r="BW103">
            <v>428.09800000000001</v>
          </cell>
          <cell r="BX103">
            <v>428.19499999999999</v>
          </cell>
          <cell r="BY103">
            <v>23.385999999999999</v>
          </cell>
          <cell r="BZ103">
            <v>23.391874999999999</v>
          </cell>
          <cell r="CA103">
            <v>23.397749999999998</v>
          </cell>
          <cell r="CB103">
            <v>23.403624999999998</v>
          </cell>
          <cell r="CC103">
            <v>23.409499999999998</v>
          </cell>
          <cell r="CD103">
            <v>23.415374999999997</v>
          </cell>
        </row>
        <row r="105">
          <cell r="B105" t="str">
            <v>Senior Notes (5.375%; due 2022)</v>
          </cell>
        </row>
        <row r="106">
          <cell r="B106" t="str">
            <v>Beginning Balance</v>
          </cell>
          <cell r="R106">
            <v>480</v>
          </cell>
          <cell r="S106">
            <v>480</v>
          </cell>
          <cell r="T106">
            <v>480</v>
          </cell>
          <cell r="U106">
            <v>480</v>
          </cell>
          <cell r="V106">
            <v>480</v>
          </cell>
          <cell r="W106">
            <v>480</v>
          </cell>
          <cell r="X106">
            <v>480</v>
          </cell>
          <cell r="Y106">
            <v>480</v>
          </cell>
          <cell r="BW106">
            <v>480</v>
          </cell>
          <cell r="BX106">
            <v>480</v>
          </cell>
          <cell r="BY106">
            <v>480</v>
          </cell>
          <cell r="BZ106">
            <v>480</v>
          </cell>
          <cell r="CA106">
            <v>480</v>
          </cell>
          <cell r="CB106">
            <v>480</v>
          </cell>
          <cell r="CC106">
            <v>480</v>
          </cell>
          <cell r="CD106">
            <v>480</v>
          </cell>
        </row>
        <row r="107">
          <cell r="B107" t="str">
            <v>Additions/Deletions</v>
          </cell>
          <cell r="R107">
            <v>0</v>
          </cell>
          <cell r="S107">
            <v>0</v>
          </cell>
          <cell r="T107">
            <v>0</v>
          </cell>
          <cell r="U107">
            <v>0</v>
          </cell>
          <cell r="V107">
            <v>0</v>
          </cell>
          <cell r="W107">
            <v>0</v>
          </cell>
          <cell r="X107">
            <v>0</v>
          </cell>
          <cell r="Y107">
            <v>0</v>
          </cell>
          <cell r="BV107">
            <v>480</v>
          </cell>
          <cell r="BW107">
            <v>0</v>
          </cell>
          <cell r="BX107">
            <v>0</v>
          </cell>
          <cell r="BY107">
            <v>0</v>
          </cell>
          <cell r="BZ107">
            <v>0</v>
          </cell>
          <cell r="CA107">
            <v>0</v>
          </cell>
          <cell r="CB107">
            <v>0</v>
          </cell>
          <cell r="CC107">
            <v>0</v>
          </cell>
          <cell r="CD107">
            <v>0</v>
          </cell>
        </row>
        <row r="108">
          <cell r="B108" t="str">
            <v>Ending Balance</v>
          </cell>
          <cell r="N108">
            <v>0</v>
          </cell>
          <cell r="O108">
            <v>0</v>
          </cell>
          <cell r="P108">
            <v>480</v>
          </cell>
          <cell r="Q108">
            <v>480</v>
          </cell>
          <cell r="R108">
            <v>480</v>
          </cell>
          <cell r="S108">
            <v>480</v>
          </cell>
          <cell r="T108">
            <v>480</v>
          </cell>
          <cell r="U108">
            <v>480</v>
          </cell>
          <cell r="V108">
            <v>480</v>
          </cell>
          <cell r="W108">
            <v>480</v>
          </cell>
          <cell r="X108">
            <v>480</v>
          </cell>
          <cell r="Y108">
            <v>480</v>
          </cell>
          <cell r="BV108">
            <v>480</v>
          </cell>
          <cell r="BW108">
            <v>480</v>
          </cell>
          <cell r="BX108">
            <v>480</v>
          </cell>
          <cell r="BY108">
            <v>480</v>
          </cell>
          <cell r="BZ108">
            <v>480</v>
          </cell>
          <cell r="CA108">
            <v>480</v>
          </cell>
          <cell r="CB108">
            <v>480</v>
          </cell>
          <cell r="CC108">
            <v>480</v>
          </cell>
          <cell r="CD108">
            <v>480</v>
          </cell>
        </row>
        <row r="109">
          <cell r="B109" t="str">
            <v>Unamortized Discount</v>
          </cell>
          <cell r="N109">
            <v>0</v>
          </cell>
          <cell r="O109">
            <v>0</v>
          </cell>
          <cell r="P109">
            <v>0</v>
          </cell>
          <cell r="Q109">
            <v>0</v>
          </cell>
          <cell r="R109">
            <v>0</v>
          </cell>
          <cell r="S109">
            <v>0</v>
          </cell>
          <cell r="T109">
            <v>0</v>
          </cell>
          <cell r="U109">
            <v>0</v>
          </cell>
          <cell r="V109">
            <v>0</v>
          </cell>
          <cell r="W109">
            <v>0</v>
          </cell>
          <cell r="X109">
            <v>0</v>
          </cell>
          <cell r="Y109">
            <v>0</v>
          </cell>
          <cell r="BV109">
            <v>0</v>
          </cell>
          <cell r="BW109">
            <v>0</v>
          </cell>
          <cell r="BX109">
            <v>0</v>
          </cell>
          <cell r="BY109">
            <v>0</v>
          </cell>
          <cell r="BZ109">
            <v>0</v>
          </cell>
          <cell r="CA109">
            <v>0</v>
          </cell>
          <cell r="CB109">
            <v>0</v>
          </cell>
          <cell r="CC109">
            <v>0</v>
          </cell>
          <cell r="CD109">
            <v>0</v>
          </cell>
        </row>
        <row r="110">
          <cell r="B110" t="str">
            <v>Reduction of Premium</v>
          </cell>
          <cell r="N110">
            <v>0</v>
          </cell>
          <cell r="O110">
            <v>0</v>
          </cell>
          <cell r="P110">
            <v>0</v>
          </cell>
          <cell r="Q110">
            <v>0</v>
          </cell>
          <cell r="R110">
            <v>0</v>
          </cell>
          <cell r="S110">
            <v>0</v>
          </cell>
          <cell r="T110">
            <v>0</v>
          </cell>
          <cell r="U110">
            <v>0</v>
          </cell>
          <cell r="V110">
            <v>0</v>
          </cell>
          <cell r="W110">
            <v>0</v>
          </cell>
          <cell r="X110">
            <v>0</v>
          </cell>
          <cell r="Y110">
            <v>0</v>
          </cell>
          <cell r="BW110">
            <v>0</v>
          </cell>
          <cell r="BX110">
            <v>0</v>
          </cell>
          <cell r="BY110">
            <v>0</v>
          </cell>
          <cell r="BZ110">
            <v>0</v>
          </cell>
          <cell r="CA110">
            <v>0</v>
          </cell>
          <cell r="CB110">
            <v>0</v>
          </cell>
          <cell r="CC110">
            <v>0</v>
          </cell>
          <cell r="CD110">
            <v>0</v>
          </cell>
        </row>
        <row r="111">
          <cell r="B111" t="str">
            <v>Net Balance</v>
          </cell>
          <cell r="N111">
            <v>0</v>
          </cell>
          <cell r="O111">
            <v>0</v>
          </cell>
          <cell r="P111">
            <v>480</v>
          </cell>
          <cell r="Q111">
            <v>480</v>
          </cell>
          <cell r="R111">
            <v>480</v>
          </cell>
          <cell r="S111">
            <v>480</v>
          </cell>
          <cell r="T111">
            <v>480</v>
          </cell>
          <cell r="U111">
            <v>480</v>
          </cell>
          <cell r="V111">
            <v>480</v>
          </cell>
          <cell r="W111">
            <v>480</v>
          </cell>
          <cell r="X111">
            <v>480</v>
          </cell>
          <cell r="Y111">
            <v>480</v>
          </cell>
          <cell r="BV111">
            <v>480</v>
          </cell>
          <cell r="BW111">
            <v>480</v>
          </cell>
          <cell r="BX111">
            <v>480</v>
          </cell>
          <cell r="BY111">
            <v>480</v>
          </cell>
          <cell r="BZ111">
            <v>480</v>
          </cell>
          <cell r="CA111">
            <v>480</v>
          </cell>
          <cell r="CB111">
            <v>480</v>
          </cell>
          <cell r="CC111">
            <v>480</v>
          </cell>
          <cell r="CD111">
            <v>480</v>
          </cell>
        </row>
        <row r="113">
          <cell r="B113" t="str">
            <v>Senior Notes (5.375%; due 2022) - addition</v>
          </cell>
        </row>
        <row r="114">
          <cell r="B114" t="str">
            <v>Beginning Balance</v>
          </cell>
          <cell r="J114">
            <v>12.837999999999999</v>
          </cell>
          <cell r="M114">
            <v>373.75</v>
          </cell>
          <cell r="N114">
            <v>373.75</v>
          </cell>
          <cell r="O114">
            <v>373.74400000000003</v>
          </cell>
          <cell r="P114">
            <v>373.74400000000003</v>
          </cell>
          <cell r="Q114">
            <v>373.74400000000003</v>
          </cell>
          <cell r="R114">
            <v>0</v>
          </cell>
          <cell r="S114">
            <v>450</v>
          </cell>
          <cell r="T114">
            <v>450</v>
          </cell>
          <cell r="U114">
            <v>450</v>
          </cell>
          <cell r="V114">
            <v>450</v>
          </cell>
          <cell r="W114">
            <v>450</v>
          </cell>
          <cell r="X114">
            <v>450</v>
          </cell>
          <cell r="Y114">
            <v>450</v>
          </cell>
          <cell r="BG114">
            <v>373.75</v>
          </cell>
          <cell r="BH114">
            <v>373.75</v>
          </cell>
          <cell r="BI114">
            <v>373.75</v>
          </cell>
          <cell r="BJ114">
            <v>373.75</v>
          </cell>
          <cell r="BK114">
            <v>373.75</v>
          </cell>
          <cell r="BL114">
            <v>373.74400000000003</v>
          </cell>
          <cell r="BM114">
            <v>373.74400000000003</v>
          </cell>
          <cell r="BN114">
            <v>373.74400000000003</v>
          </cell>
          <cell r="BO114">
            <v>373.74400000000003</v>
          </cell>
          <cell r="BP114">
            <v>373.74400000000003</v>
          </cell>
          <cell r="BQ114">
            <v>373.74400000000003</v>
          </cell>
          <cell r="BR114">
            <v>373.74400000000003</v>
          </cell>
          <cell r="BS114">
            <v>373.74400000000003</v>
          </cell>
          <cell r="BT114">
            <v>373.74400000000003</v>
          </cell>
          <cell r="BU114">
            <v>373.74400000000003</v>
          </cell>
          <cell r="BV114">
            <v>373.74400000000003</v>
          </cell>
          <cell r="BW114">
            <v>373.74400000000003</v>
          </cell>
          <cell r="BX114">
            <v>373.75</v>
          </cell>
          <cell r="BY114">
            <v>0</v>
          </cell>
          <cell r="BZ114">
            <v>450</v>
          </cell>
          <cell r="CA114">
            <v>450</v>
          </cell>
          <cell r="CB114">
            <v>450</v>
          </cell>
          <cell r="CC114">
            <v>450</v>
          </cell>
          <cell r="CD114">
            <v>450</v>
          </cell>
        </row>
        <row r="115">
          <cell r="B115" t="str">
            <v>Additions/Deletions</v>
          </cell>
          <cell r="J115">
            <v>-12.677</v>
          </cell>
          <cell r="N115">
            <v>-5.9999999999718057E-3</v>
          </cell>
          <cell r="O115">
            <v>0</v>
          </cell>
          <cell r="P115">
            <v>0</v>
          </cell>
          <cell r="Q115">
            <v>-373.74400000000003</v>
          </cell>
          <cell r="R115">
            <v>373.75</v>
          </cell>
          <cell r="S115">
            <v>0</v>
          </cell>
          <cell r="T115">
            <v>0</v>
          </cell>
          <cell r="U115">
            <v>0</v>
          </cell>
          <cell r="V115">
            <v>0</v>
          </cell>
          <cell r="W115">
            <v>0</v>
          </cell>
          <cell r="X115">
            <v>0</v>
          </cell>
          <cell r="Y115">
            <v>0</v>
          </cell>
          <cell r="BG115">
            <v>0</v>
          </cell>
          <cell r="BH115">
            <v>0</v>
          </cell>
          <cell r="BI115">
            <v>0</v>
          </cell>
          <cell r="BJ115">
            <v>0</v>
          </cell>
          <cell r="BK115">
            <v>-5.9999999999718057E-3</v>
          </cell>
          <cell r="BL115">
            <v>0</v>
          </cell>
          <cell r="BM115">
            <v>0</v>
          </cell>
          <cell r="BN115">
            <v>0</v>
          </cell>
          <cell r="BO115">
            <v>0</v>
          </cell>
          <cell r="BP115">
            <v>0</v>
          </cell>
          <cell r="BQ115">
            <v>0</v>
          </cell>
          <cell r="BR115">
            <v>0</v>
          </cell>
          <cell r="BS115">
            <v>0</v>
          </cell>
          <cell r="BT115">
            <v>0</v>
          </cell>
          <cell r="BU115">
            <v>0</v>
          </cell>
          <cell r="BV115">
            <v>0</v>
          </cell>
          <cell r="BW115">
            <v>5.9999999999718057E-3</v>
          </cell>
          <cell r="BX115">
            <v>-373.75</v>
          </cell>
          <cell r="BY115">
            <v>450</v>
          </cell>
          <cell r="BZ115">
            <v>0</v>
          </cell>
          <cell r="CA115">
            <v>0</v>
          </cell>
          <cell r="CB115">
            <v>0</v>
          </cell>
          <cell r="CC115">
            <v>0</v>
          </cell>
          <cell r="CD115">
            <v>0</v>
          </cell>
        </row>
        <row r="116">
          <cell r="B116" t="str">
            <v>Ending Balance</v>
          </cell>
          <cell r="I116">
            <v>12.837999999999999</v>
          </cell>
          <cell r="J116">
            <v>0.161</v>
          </cell>
          <cell r="L116">
            <v>373.75</v>
          </cell>
          <cell r="M116">
            <v>373.75</v>
          </cell>
          <cell r="N116">
            <v>0</v>
          </cell>
          <cell r="O116">
            <v>0</v>
          </cell>
          <cell r="P116">
            <v>0</v>
          </cell>
          <cell r="Q116">
            <v>450</v>
          </cell>
          <cell r="R116">
            <v>450</v>
          </cell>
          <cell r="S116">
            <v>450</v>
          </cell>
          <cell r="T116">
            <v>450</v>
          </cell>
          <cell r="U116">
            <v>450</v>
          </cell>
          <cell r="V116">
            <v>450</v>
          </cell>
          <cell r="W116">
            <v>450</v>
          </cell>
          <cell r="X116">
            <v>450</v>
          </cell>
          <cell r="Y116">
            <v>450</v>
          </cell>
          <cell r="BF116">
            <v>373.75</v>
          </cell>
          <cell r="BG116">
            <v>373.75</v>
          </cell>
          <cell r="BH116">
            <v>373.75</v>
          </cell>
          <cell r="BI116">
            <v>373.75</v>
          </cell>
          <cell r="BJ116">
            <v>373.75</v>
          </cell>
          <cell r="BK116">
            <v>373.74400000000003</v>
          </cell>
          <cell r="BL116">
            <v>373.74400000000003</v>
          </cell>
          <cell r="BM116">
            <v>373.74400000000003</v>
          </cell>
          <cell r="BN116">
            <v>373.74400000000003</v>
          </cell>
          <cell r="BO116">
            <v>373.74400000000003</v>
          </cell>
          <cell r="BP116">
            <v>373.74400000000003</v>
          </cell>
          <cell r="BQ116">
            <v>373.74400000000003</v>
          </cell>
          <cell r="BR116">
            <v>373.74400000000003</v>
          </cell>
          <cell r="BS116">
            <v>373.74400000000003</v>
          </cell>
          <cell r="BT116">
            <v>373.74400000000003</v>
          </cell>
          <cell r="BU116">
            <v>373.74400000000003</v>
          </cell>
          <cell r="BV116">
            <v>373.74400000000003</v>
          </cell>
          <cell r="BW116">
            <v>373.75</v>
          </cell>
          <cell r="BX116">
            <v>0</v>
          </cell>
          <cell r="BY116">
            <v>450</v>
          </cell>
          <cell r="BZ116">
            <v>450</v>
          </cell>
          <cell r="CA116">
            <v>450</v>
          </cell>
          <cell r="CB116">
            <v>450</v>
          </cell>
          <cell r="CC116">
            <v>450</v>
          </cell>
          <cell r="CD116">
            <v>450</v>
          </cell>
        </row>
        <row r="117">
          <cell r="B117" t="str">
            <v>Unamortized Discount</v>
          </cell>
          <cell r="M117">
            <v>-64.808000000000007</v>
          </cell>
          <cell r="N117">
            <v>0</v>
          </cell>
          <cell r="O117">
            <v>0</v>
          </cell>
          <cell r="P117">
            <v>0</v>
          </cell>
          <cell r="Q117">
            <v>0.49770000000000003</v>
          </cell>
          <cell r="R117">
            <v>2.4885000000000002</v>
          </cell>
          <cell r="S117">
            <v>4.4793000000000003</v>
          </cell>
          <cell r="T117">
            <v>6.4701000000000004</v>
          </cell>
          <cell r="U117">
            <v>3.2350500000000002</v>
          </cell>
          <cell r="V117">
            <v>1.6175250000000001</v>
          </cell>
          <cell r="W117">
            <v>0.80876250000000005</v>
          </cell>
          <cell r="X117">
            <v>0.40438125000000003</v>
          </cell>
          <cell r="Y117">
            <v>0.20219062500000001</v>
          </cell>
          <cell r="BF117">
            <v>-81.418000000000006</v>
          </cell>
          <cell r="BG117">
            <v>-77.397000000000006</v>
          </cell>
          <cell r="BH117">
            <v>-73.289000000000001</v>
          </cell>
          <cell r="BI117">
            <v>-69.093999999999994</v>
          </cell>
          <cell r="BJ117">
            <v>-64.808000000000007</v>
          </cell>
          <cell r="BK117">
            <v>-60.416199999999996</v>
          </cell>
          <cell r="BL117">
            <v>-55.960999999999999</v>
          </cell>
          <cell r="BM117">
            <v>-51.395000000000003</v>
          </cell>
          <cell r="BN117">
            <v>-46.731999999999999</v>
          </cell>
          <cell r="BO117">
            <v>-41.968000000000018</v>
          </cell>
          <cell r="BP117">
            <v>-37.102000000000032</v>
          </cell>
          <cell r="BQ117">
            <v>-37.102000000000032</v>
          </cell>
          <cell r="BR117">
            <v>-37.102000000000032</v>
          </cell>
          <cell r="BS117">
            <v>-21.872000000000014</v>
          </cell>
          <cell r="BT117">
            <v>-16.577000000000055</v>
          </cell>
          <cell r="BU117">
            <v>-11.16900000000004</v>
          </cell>
          <cell r="BV117">
            <v>-5.6440000000000055</v>
          </cell>
          <cell r="BW117">
            <v>-2.2237163613392346</v>
          </cell>
          <cell r="BX117">
            <v>0</v>
          </cell>
          <cell r="BY117">
            <v>0</v>
          </cell>
          <cell r="BZ117">
            <v>0.49770000000000003</v>
          </cell>
          <cell r="CA117">
            <v>0.99540000000000006</v>
          </cell>
          <cell r="CB117">
            <v>1.4931000000000001</v>
          </cell>
          <cell r="CC117">
            <v>1.9908000000000001</v>
          </cell>
          <cell r="CD117">
            <v>2.4885000000000002</v>
          </cell>
        </row>
        <row r="118">
          <cell r="B118" t="str">
            <v>Reduction of Premium</v>
          </cell>
          <cell r="N118">
            <v>0</v>
          </cell>
          <cell r="O118">
            <v>0</v>
          </cell>
          <cell r="P118">
            <v>0</v>
          </cell>
          <cell r="Q118">
            <v>0.49770000000000003</v>
          </cell>
          <cell r="R118">
            <v>1.9908000000000001</v>
          </cell>
          <cell r="S118">
            <v>1.9908000000000001</v>
          </cell>
          <cell r="T118">
            <v>1.9908000000000001</v>
          </cell>
          <cell r="U118">
            <v>1.9908000000000001</v>
          </cell>
          <cell r="V118">
            <v>1.9908000000000001</v>
          </cell>
          <cell r="W118">
            <v>1.9908000000000001</v>
          </cell>
          <cell r="X118">
            <v>1.9908000000000001</v>
          </cell>
          <cell r="Y118">
            <v>1.9908000000000001</v>
          </cell>
          <cell r="BG118">
            <v>4.0210000000000008</v>
          </cell>
          <cell r="BH118">
            <v>4.1080000000000041</v>
          </cell>
          <cell r="BI118">
            <v>4.1950000000000074</v>
          </cell>
          <cell r="BJ118">
            <v>4.2859999999999872</v>
          </cell>
          <cell r="BK118">
            <v>4.3918000000000106</v>
          </cell>
          <cell r="BL118">
            <v>4.4551999999999978</v>
          </cell>
          <cell r="BM118">
            <v>4.5659999999999954</v>
          </cell>
          <cell r="BN118">
            <v>4.6630000000000038</v>
          </cell>
          <cell r="BO118">
            <v>4.7639999999999816</v>
          </cell>
          <cell r="BP118">
            <v>4.8659999999999854</v>
          </cell>
          <cell r="BQ118">
            <v>0</v>
          </cell>
          <cell r="BR118">
            <v>0</v>
          </cell>
          <cell r="BS118">
            <v>15.230000000000018</v>
          </cell>
          <cell r="BT118">
            <v>5.2949999999999591</v>
          </cell>
          <cell r="BU118">
            <v>5.4080000000000155</v>
          </cell>
          <cell r="BV118">
            <v>5.5250000000000341</v>
          </cell>
          <cell r="BW118">
            <v>3.4202836386607709</v>
          </cell>
          <cell r="BX118">
            <v>0</v>
          </cell>
          <cell r="BY118">
            <v>0</v>
          </cell>
          <cell r="BZ118">
            <v>0.49770000000000003</v>
          </cell>
          <cell r="CA118">
            <v>0.49770000000000003</v>
          </cell>
          <cell r="CB118">
            <v>0.49770000000000003</v>
          </cell>
          <cell r="CC118">
            <v>0.49770000000000003</v>
          </cell>
          <cell r="CD118">
            <v>0.49770000000000003</v>
          </cell>
        </row>
        <row r="119">
          <cell r="B119" t="str">
            <v>Net Balance</v>
          </cell>
          <cell r="M119">
            <v>308.94200000000001</v>
          </cell>
          <cell r="N119">
            <v>0</v>
          </cell>
          <cell r="O119">
            <v>0</v>
          </cell>
          <cell r="P119">
            <v>0</v>
          </cell>
          <cell r="Q119">
            <v>450.49770000000001</v>
          </cell>
          <cell r="R119">
            <v>452.48849999999999</v>
          </cell>
          <cell r="S119">
            <v>454.47930000000002</v>
          </cell>
          <cell r="T119">
            <v>456.4701</v>
          </cell>
          <cell r="U119">
            <v>453.23505</v>
          </cell>
          <cell r="V119">
            <v>451.617525</v>
          </cell>
          <cell r="W119">
            <v>450.8087625</v>
          </cell>
          <cell r="X119">
            <v>450.40438124999997</v>
          </cell>
          <cell r="Y119">
            <v>450.20219062500001</v>
          </cell>
          <cell r="BF119">
            <v>292.33199999999999</v>
          </cell>
          <cell r="BG119">
            <v>296.35300000000001</v>
          </cell>
          <cell r="BH119">
            <v>300.46100000000001</v>
          </cell>
          <cell r="BI119">
            <v>304.65600000000001</v>
          </cell>
          <cell r="BJ119">
            <v>308.94200000000001</v>
          </cell>
          <cell r="BK119">
            <v>313.32780000000002</v>
          </cell>
          <cell r="BL119">
            <v>317.78300000000002</v>
          </cell>
          <cell r="BM119">
            <v>322.34900000000005</v>
          </cell>
          <cell r="BN119">
            <v>327.01200000000006</v>
          </cell>
          <cell r="BO119">
            <v>331.77600000000001</v>
          </cell>
          <cell r="BP119">
            <v>336.642</v>
          </cell>
          <cell r="BQ119">
            <v>336.642</v>
          </cell>
          <cell r="BR119">
            <v>336.642</v>
          </cell>
          <cell r="BS119">
            <v>351.87200000000001</v>
          </cell>
          <cell r="BT119">
            <v>357.16699999999997</v>
          </cell>
          <cell r="BU119">
            <v>362.57499999999999</v>
          </cell>
          <cell r="BV119">
            <v>368.1</v>
          </cell>
          <cell r="BW119">
            <v>371.52628363866074</v>
          </cell>
          <cell r="BX119">
            <v>0</v>
          </cell>
          <cell r="BY119">
            <v>433.28</v>
          </cell>
          <cell r="BZ119">
            <v>450.49770000000001</v>
          </cell>
          <cell r="CA119">
            <v>450.99540000000002</v>
          </cell>
          <cell r="CB119">
            <v>451.49310000000003</v>
          </cell>
          <cell r="CC119">
            <v>451.99079999999998</v>
          </cell>
          <cell r="CD119">
            <v>452.48849999999999</v>
          </cell>
        </row>
        <row r="121">
          <cell r="B121" t="str">
            <v>Senior Notes (6.375%; due 2023)</v>
          </cell>
        </row>
        <row r="122">
          <cell r="B122" t="str">
            <v>Beginning Balance</v>
          </cell>
          <cell r="J122">
            <v>12.837999999999999</v>
          </cell>
          <cell r="M122">
            <v>10.782</v>
          </cell>
          <cell r="N122">
            <v>16.768000000000001</v>
          </cell>
          <cell r="O122">
            <v>15.26</v>
          </cell>
          <cell r="P122">
            <v>15.268000000000001</v>
          </cell>
          <cell r="Q122">
            <v>20.091000000000001</v>
          </cell>
          <cell r="R122">
            <v>20.091000000000001</v>
          </cell>
          <cell r="S122">
            <v>350</v>
          </cell>
          <cell r="T122">
            <v>350</v>
          </cell>
          <cell r="U122">
            <v>350</v>
          </cell>
          <cell r="V122">
            <v>350</v>
          </cell>
          <cell r="W122">
            <v>350</v>
          </cell>
          <cell r="X122">
            <v>350</v>
          </cell>
          <cell r="Y122">
            <v>350</v>
          </cell>
          <cell r="BG122">
            <v>10.782</v>
          </cell>
          <cell r="BH122">
            <v>18.004999999999999</v>
          </cell>
          <cell r="BI122">
            <v>17.856999999999999</v>
          </cell>
          <cell r="BJ122">
            <v>17.706</v>
          </cell>
          <cell r="BK122">
            <v>16.768000000000001</v>
          </cell>
          <cell r="BL122">
            <v>16.084</v>
          </cell>
          <cell r="BM122">
            <v>16.018999999999998</v>
          </cell>
          <cell r="BN122">
            <v>15.617000000000001</v>
          </cell>
          <cell r="BO122">
            <v>15.26</v>
          </cell>
          <cell r="BP122">
            <v>14.786</v>
          </cell>
          <cell r="BQ122">
            <v>15.268000000000001</v>
          </cell>
          <cell r="BR122">
            <v>15.268000000000001</v>
          </cell>
          <cell r="BS122">
            <v>15.268000000000001</v>
          </cell>
          <cell r="BT122">
            <v>18.178000000000001</v>
          </cell>
          <cell r="BU122">
            <v>17.837</v>
          </cell>
          <cell r="BV122">
            <v>17.917000000000002</v>
          </cell>
          <cell r="BW122">
            <v>20.091000000000001</v>
          </cell>
          <cell r="BX122">
            <v>20.091000000000001</v>
          </cell>
          <cell r="BY122">
            <v>20.091000000000001</v>
          </cell>
          <cell r="BZ122">
            <v>350</v>
          </cell>
          <cell r="CA122">
            <v>350</v>
          </cell>
          <cell r="CB122">
            <v>350</v>
          </cell>
          <cell r="CC122">
            <v>350</v>
          </cell>
          <cell r="CD122">
            <v>350</v>
          </cell>
        </row>
        <row r="123">
          <cell r="B123" t="str">
            <v>Additions/Deletions</v>
          </cell>
          <cell r="J123">
            <v>-12.677</v>
          </cell>
          <cell r="M123">
            <v>5.9860000000000007</v>
          </cell>
          <cell r="N123">
            <v>-1.5080000000000009</v>
          </cell>
          <cell r="O123">
            <v>8.0000000000008953E-3</v>
          </cell>
          <cell r="P123">
            <v>4.8230000000000004</v>
          </cell>
          <cell r="Q123">
            <v>0</v>
          </cell>
          <cell r="R123">
            <v>0</v>
          </cell>
          <cell r="S123">
            <v>0</v>
          </cell>
          <cell r="T123">
            <v>0</v>
          </cell>
          <cell r="U123">
            <v>0</v>
          </cell>
          <cell r="V123">
            <v>0</v>
          </cell>
          <cell r="W123">
            <v>0</v>
          </cell>
          <cell r="X123">
            <v>0</v>
          </cell>
          <cell r="Y123">
            <v>0</v>
          </cell>
          <cell r="BG123">
            <v>7.222999999999999</v>
          </cell>
          <cell r="BH123">
            <v>-0.14799999999999969</v>
          </cell>
          <cell r="BI123">
            <v>-0.1509999999999998</v>
          </cell>
          <cell r="BJ123">
            <v>-0.93799999999999883</v>
          </cell>
          <cell r="BK123">
            <v>-0.68400000000000105</v>
          </cell>
          <cell r="BL123">
            <v>-6.5000000000001279E-2</v>
          </cell>
          <cell r="BM123">
            <v>-0.40199999999999747</v>
          </cell>
          <cell r="BN123">
            <v>-0.35700000000000109</v>
          </cell>
          <cell r="BO123">
            <v>-0.4740000000000002</v>
          </cell>
          <cell r="BP123">
            <v>0.48200000000000109</v>
          </cell>
          <cell r="BQ123">
            <v>0</v>
          </cell>
          <cell r="BR123">
            <v>0</v>
          </cell>
          <cell r="BS123">
            <v>2.91</v>
          </cell>
          <cell r="BT123">
            <v>-0.34100000000000108</v>
          </cell>
          <cell r="BU123">
            <v>8.0000000000001847E-2</v>
          </cell>
          <cell r="BV123">
            <v>2.1739999999999995</v>
          </cell>
          <cell r="BW123">
            <v>0</v>
          </cell>
          <cell r="BX123">
            <v>0</v>
          </cell>
          <cell r="BY123">
            <v>350</v>
          </cell>
          <cell r="BZ123">
            <v>0</v>
          </cell>
          <cell r="CA123">
            <v>0</v>
          </cell>
          <cell r="CB123">
            <v>0</v>
          </cell>
          <cell r="CC123">
            <v>0</v>
          </cell>
          <cell r="CD123">
            <v>0</v>
          </cell>
        </row>
        <row r="124">
          <cell r="B124" t="str">
            <v>Ending Balance</v>
          </cell>
          <cell r="I124">
            <v>12.837999999999999</v>
          </cell>
          <cell r="J124">
            <v>0.161</v>
          </cell>
          <cell r="L124">
            <v>10.782</v>
          </cell>
          <cell r="M124">
            <v>16.768000000000001</v>
          </cell>
          <cell r="N124">
            <v>0</v>
          </cell>
          <cell r="O124">
            <v>0</v>
          </cell>
          <cell r="P124">
            <v>0</v>
          </cell>
          <cell r="Q124">
            <v>350</v>
          </cell>
          <cell r="R124">
            <v>350</v>
          </cell>
          <cell r="S124">
            <v>350</v>
          </cell>
          <cell r="T124">
            <v>350</v>
          </cell>
          <cell r="U124">
            <v>350</v>
          </cell>
          <cell r="V124">
            <v>350</v>
          </cell>
          <cell r="W124">
            <v>350</v>
          </cell>
          <cell r="X124">
            <v>350</v>
          </cell>
          <cell r="Y124">
            <v>350</v>
          </cell>
          <cell r="BF124">
            <v>10.782</v>
          </cell>
          <cell r="BG124">
            <v>18.004999999999999</v>
          </cell>
          <cell r="BH124">
            <v>17.856999999999999</v>
          </cell>
          <cell r="BI124">
            <v>17.706</v>
          </cell>
          <cell r="BJ124">
            <v>16.768000000000001</v>
          </cell>
          <cell r="BK124">
            <v>16.084</v>
          </cell>
          <cell r="BL124">
            <v>16.018999999999998</v>
          </cell>
          <cell r="BM124">
            <v>15.617000000000001</v>
          </cell>
          <cell r="BN124">
            <v>15.26</v>
          </cell>
          <cell r="BO124">
            <v>14.786</v>
          </cell>
          <cell r="BP124">
            <v>15.268000000000001</v>
          </cell>
          <cell r="BQ124">
            <v>15.268000000000001</v>
          </cell>
          <cell r="BR124">
            <v>15.268000000000001</v>
          </cell>
          <cell r="BS124">
            <v>18.178000000000001</v>
          </cell>
          <cell r="BT124">
            <v>17.837</v>
          </cell>
          <cell r="BU124">
            <v>17.917000000000002</v>
          </cell>
          <cell r="BV124">
            <v>20.091000000000001</v>
          </cell>
          <cell r="BW124">
            <v>20.091000000000001</v>
          </cell>
          <cell r="BX124">
            <v>20.091000000000001</v>
          </cell>
          <cell r="BY124">
            <v>350</v>
          </cell>
          <cell r="BZ124">
            <v>350</v>
          </cell>
          <cell r="CA124">
            <v>350</v>
          </cell>
          <cell r="CB124">
            <v>350</v>
          </cell>
          <cell r="CC124">
            <v>350</v>
          </cell>
          <cell r="CD124">
            <v>350</v>
          </cell>
        </row>
        <row r="125">
          <cell r="B125" t="str">
            <v>Unamortized Discount</v>
          </cell>
          <cell r="N125">
            <v>0</v>
          </cell>
          <cell r="O125">
            <v>0</v>
          </cell>
          <cell r="P125">
            <v>0</v>
          </cell>
          <cell r="Q125">
            <v>0</v>
          </cell>
          <cell r="R125">
            <v>0</v>
          </cell>
          <cell r="S125">
            <v>0</v>
          </cell>
          <cell r="T125">
            <v>0</v>
          </cell>
          <cell r="U125">
            <v>0</v>
          </cell>
          <cell r="V125">
            <v>0</v>
          </cell>
          <cell r="W125">
            <v>0</v>
          </cell>
          <cell r="X125">
            <v>0</v>
          </cell>
          <cell r="Y125">
            <v>0</v>
          </cell>
          <cell r="BY125">
            <v>0</v>
          </cell>
          <cell r="BZ125">
            <v>0</v>
          </cell>
          <cell r="CA125">
            <v>0</v>
          </cell>
          <cell r="CB125">
            <v>0</v>
          </cell>
          <cell r="CC125">
            <v>0</v>
          </cell>
          <cell r="CD125">
            <v>0</v>
          </cell>
        </row>
        <row r="126">
          <cell r="B126" t="str">
            <v>Reduction of Premium</v>
          </cell>
          <cell r="N126">
            <v>0</v>
          </cell>
          <cell r="O126">
            <v>0</v>
          </cell>
          <cell r="P126">
            <v>0</v>
          </cell>
          <cell r="Q126">
            <v>0</v>
          </cell>
          <cell r="R126">
            <v>0</v>
          </cell>
          <cell r="S126">
            <v>0</v>
          </cell>
          <cell r="T126">
            <v>0</v>
          </cell>
          <cell r="U126">
            <v>0</v>
          </cell>
          <cell r="V126">
            <v>0</v>
          </cell>
          <cell r="W126">
            <v>0</v>
          </cell>
          <cell r="X126">
            <v>0</v>
          </cell>
          <cell r="Y126">
            <v>0</v>
          </cell>
          <cell r="BF126">
            <v>7.2210000000000001</v>
          </cell>
          <cell r="BG126">
            <v>8.5640000000000001</v>
          </cell>
          <cell r="BH126">
            <v>8.1140000000000008</v>
          </cell>
          <cell r="BI126">
            <v>8.2639999999999993</v>
          </cell>
          <cell r="BJ126">
            <v>7.569</v>
          </cell>
          <cell r="BK126">
            <v>7.1470000000000002</v>
          </cell>
          <cell r="BL126">
            <v>7.29</v>
          </cell>
          <cell r="BM126">
            <v>7.1189999999999998</v>
          </cell>
          <cell r="BN126">
            <v>7.202</v>
          </cell>
          <cell r="BO126">
            <v>6.968</v>
          </cell>
          <cell r="BP126">
            <v>7.14</v>
          </cell>
          <cell r="BQ126">
            <v>7.742</v>
          </cell>
          <cell r="BR126">
            <v>7.7329999999999997</v>
          </cell>
          <cell r="BS126">
            <v>108.482</v>
          </cell>
          <cell r="BT126">
            <v>465.39800000000002</v>
          </cell>
          <cell r="BU126">
            <v>369.404</v>
          </cell>
          <cell r="BV126">
            <v>374.96899999999999</v>
          </cell>
          <cell r="BW126">
            <v>374.96899999999999</v>
          </cell>
          <cell r="BX126">
            <v>374.96899999999999</v>
          </cell>
          <cell r="BY126">
            <v>374.96899999999999</v>
          </cell>
          <cell r="BZ126">
            <v>0</v>
          </cell>
          <cell r="CA126">
            <v>0</v>
          </cell>
          <cell r="CB126">
            <v>0</v>
          </cell>
          <cell r="CC126">
            <v>0</v>
          </cell>
          <cell r="CD126">
            <v>0</v>
          </cell>
        </row>
        <row r="127">
          <cell r="B127" t="str">
            <v>Net Balance</v>
          </cell>
          <cell r="I127">
            <v>12.837999999999999</v>
          </cell>
          <cell r="J127">
            <v>0.161</v>
          </cell>
          <cell r="M127">
            <v>1307.9950000000001</v>
          </cell>
          <cell r="N127">
            <v>0</v>
          </cell>
          <cell r="O127">
            <v>0</v>
          </cell>
          <cell r="P127">
            <v>0</v>
          </cell>
          <cell r="Q127">
            <v>350</v>
          </cell>
          <cell r="R127">
            <v>350</v>
          </cell>
          <cell r="S127">
            <v>350</v>
          </cell>
          <cell r="T127">
            <v>350</v>
          </cell>
          <cell r="U127">
            <v>350</v>
          </cell>
          <cell r="V127">
            <v>350</v>
          </cell>
          <cell r="W127">
            <v>350</v>
          </cell>
          <cell r="X127">
            <v>350</v>
          </cell>
          <cell r="Y127">
            <v>350</v>
          </cell>
          <cell r="BF127">
            <v>1284.1780000000001</v>
          </cell>
          <cell r="BG127">
            <v>1292.5650000000001</v>
          </cell>
          <cell r="BH127">
            <v>1295.461</v>
          </cell>
          <cell r="BI127">
            <v>1297.8409999999999</v>
          </cell>
          <cell r="BJ127">
            <v>1300.3700000000001</v>
          </cell>
          <cell r="BK127">
            <v>1329.6859999999999</v>
          </cell>
          <cell r="BL127">
            <v>1332.5407</v>
          </cell>
          <cell r="BM127">
            <v>1335.4769999999999</v>
          </cell>
          <cell r="BN127">
            <v>1338.297</v>
          </cell>
          <cell r="BO127">
            <v>1341.4180000000001</v>
          </cell>
          <cell r="BP127">
            <v>1345.19</v>
          </cell>
          <cell r="BQ127">
            <v>1344.5880000000002</v>
          </cell>
          <cell r="BR127">
            <v>1344.5970000000002</v>
          </cell>
          <cell r="BS127">
            <v>1257.779</v>
          </cell>
          <cell r="BT127">
            <v>904.31699999999989</v>
          </cell>
          <cell r="BU127">
            <v>903.24300000000005</v>
          </cell>
          <cell r="BV127">
            <v>1384.242</v>
          </cell>
          <cell r="BW127">
            <v>1386.5447836386606</v>
          </cell>
          <cell r="BX127">
            <v>1013.895</v>
          </cell>
          <cell r="BY127">
            <v>350</v>
          </cell>
          <cell r="BZ127">
            <v>350</v>
          </cell>
          <cell r="CA127">
            <v>350</v>
          </cell>
          <cell r="CB127">
            <v>350</v>
          </cell>
          <cell r="CC127">
            <v>350</v>
          </cell>
          <cell r="CD127">
            <v>350</v>
          </cell>
        </row>
        <row r="128">
          <cell r="B128" t="str">
            <v>BS check</v>
          </cell>
          <cell r="J128" t="e">
            <v>#REF!</v>
          </cell>
          <cell r="M128">
            <v>1300.3699999999999</v>
          </cell>
          <cell r="N128">
            <v>1338.297</v>
          </cell>
          <cell r="O128">
            <v>1352.82</v>
          </cell>
          <cell r="P128">
            <v>0</v>
          </cell>
          <cell r="Q128">
            <v>0</v>
          </cell>
          <cell r="R128">
            <v>0</v>
          </cell>
          <cell r="S128">
            <v>0</v>
          </cell>
          <cell r="T128">
            <v>0</v>
          </cell>
          <cell r="U128">
            <v>0.29050000000006548</v>
          </cell>
          <cell r="V128">
            <v>0.65075000000024374</v>
          </cell>
          <cell r="W128">
            <v>1.045875000000251</v>
          </cell>
          <cell r="X128">
            <v>1.4584375000004002</v>
          </cell>
          <cell r="Y128">
            <v>1.8797187500003929</v>
          </cell>
          <cell r="BF128">
            <v>0</v>
          </cell>
          <cell r="BG128">
            <v>0</v>
          </cell>
          <cell r="BH128">
            <v>0</v>
          </cell>
          <cell r="BI128">
            <v>0</v>
          </cell>
          <cell r="BJ128">
            <v>0</v>
          </cell>
          <cell r="BK128">
            <v>0</v>
          </cell>
          <cell r="BL128">
            <v>5.3000000000338332E-3</v>
          </cell>
          <cell r="BM128">
            <v>0</v>
          </cell>
          <cell r="BN128">
            <v>0</v>
          </cell>
          <cell r="BO128">
            <v>0</v>
          </cell>
          <cell r="BP128">
            <v>0</v>
          </cell>
          <cell r="BQ128">
            <v>4.8929999999998017</v>
          </cell>
          <cell r="BR128">
            <v>8.222999999999729</v>
          </cell>
          <cell r="BS128">
            <v>0</v>
          </cell>
          <cell r="BT128">
            <v>9.7000000000093678E-2</v>
          </cell>
          <cell r="BU128">
            <v>0</v>
          </cell>
          <cell r="BV128">
            <v>0</v>
          </cell>
          <cell r="BW128">
            <v>0</v>
          </cell>
          <cell r="BX128">
            <v>-2.2237163613393705</v>
          </cell>
          <cell r="BY128">
            <v>-2.2237163613394841</v>
          </cell>
          <cell r="BZ128">
            <v>-2.2237163613394841</v>
          </cell>
        </row>
        <row r="129">
          <cell r="B129" t="str">
            <v>Convertible Senior Debentures (2.375%; due 2026)</v>
          </cell>
        </row>
        <row r="130">
          <cell r="B130" t="str">
            <v>Beginning Balance</v>
          </cell>
          <cell r="J130">
            <v>12.837999999999999</v>
          </cell>
          <cell r="M130">
            <v>373.75</v>
          </cell>
          <cell r="N130">
            <v>373.75</v>
          </cell>
          <cell r="O130">
            <v>373.74400000000003</v>
          </cell>
          <cell r="P130">
            <v>373.74400000000003</v>
          </cell>
          <cell r="Q130">
            <v>373.74400000000003</v>
          </cell>
          <cell r="R130">
            <v>0</v>
          </cell>
          <cell r="S130">
            <v>0</v>
          </cell>
          <cell r="T130">
            <v>0</v>
          </cell>
          <cell r="U130">
            <v>0</v>
          </cell>
          <cell r="V130">
            <v>0</v>
          </cell>
          <cell r="W130">
            <v>0</v>
          </cell>
          <cell r="X130">
            <v>0</v>
          </cell>
          <cell r="Y130">
            <v>0</v>
          </cell>
          <cell r="BF130">
            <v>1284.1780000000001</v>
          </cell>
          <cell r="BG130">
            <v>373.75</v>
          </cell>
          <cell r="BH130">
            <v>373.75</v>
          </cell>
          <cell r="BI130">
            <v>373.75</v>
          </cell>
          <cell r="BJ130">
            <v>373.75</v>
          </cell>
          <cell r="BK130">
            <v>373.75</v>
          </cell>
          <cell r="BL130">
            <v>373.74400000000003</v>
          </cell>
          <cell r="BM130">
            <v>373.74400000000003</v>
          </cell>
          <cell r="BN130">
            <v>373.74400000000003</v>
          </cell>
          <cell r="BO130">
            <v>373.74400000000003</v>
          </cell>
          <cell r="BP130">
            <v>373.74400000000003</v>
          </cell>
          <cell r="BQ130">
            <v>373.74400000000003</v>
          </cell>
          <cell r="BR130">
            <v>373.74400000000003</v>
          </cell>
          <cell r="BS130">
            <v>373.74400000000003</v>
          </cell>
          <cell r="BT130">
            <v>373.74400000000003</v>
          </cell>
          <cell r="BU130">
            <v>373.74400000000003</v>
          </cell>
          <cell r="BV130">
            <v>373.74400000000003</v>
          </cell>
          <cell r="BW130">
            <v>373.74400000000003</v>
          </cell>
          <cell r="BX130">
            <v>373.74400000000003</v>
          </cell>
          <cell r="BY130">
            <v>196.74400000000003</v>
          </cell>
          <cell r="BZ130">
            <v>0</v>
          </cell>
          <cell r="CA130">
            <v>0</v>
          </cell>
          <cell r="CB130">
            <v>0</v>
          </cell>
          <cell r="CC130">
            <v>0</v>
          </cell>
          <cell r="CD130">
            <v>0</v>
          </cell>
        </row>
        <row r="131">
          <cell r="B131" t="str">
            <v>Additions/Deletions</v>
          </cell>
          <cell r="J131">
            <v>-12.677</v>
          </cell>
          <cell r="N131">
            <v>-5.9999999999718057E-3</v>
          </cell>
          <cell r="O131">
            <v>0</v>
          </cell>
          <cell r="P131">
            <v>0</v>
          </cell>
          <cell r="Q131">
            <v>-373.74400000000003</v>
          </cell>
          <cell r="R131">
            <v>0</v>
          </cell>
          <cell r="S131">
            <v>0</v>
          </cell>
          <cell r="T131">
            <v>0</v>
          </cell>
          <cell r="U131">
            <v>0</v>
          </cell>
          <cell r="V131">
            <v>0</v>
          </cell>
          <cell r="W131">
            <v>0</v>
          </cell>
          <cell r="X131">
            <v>0</v>
          </cell>
          <cell r="Y131">
            <v>0</v>
          </cell>
          <cell r="BG131">
            <v>0</v>
          </cell>
          <cell r="BH131">
            <v>0</v>
          </cell>
          <cell r="BI131">
            <v>0</v>
          </cell>
          <cell r="BJ131">
            <v>0</v>
          </cell>
          <cell r="BK131">
            <v>-5.9999999999718057E-3</v>
          </cell>
          <cell r="BL131">
            <v>0</v>
          </cell>
          <cell r="BM131">
            <v>0</v>
          </cell>
          <cell r="BN131">
            <v>0</v>
          </cell>
          <cell r="BO131">
            <v>0</v>
          </cell>
          <cell r="BP131">
            <v>0</v>
          </cell>
          <cell r="BQ131">
            <v>0</v>
          </cell>
          <cell r="BR131">
            <v>0</v>
          </cell>
          <cell r="BS131">
            <v>0</v>
          </cell>
          <cell r="BT131">
            <v>0</v>
          </cell>
          <cell r="BU131">
            <v>0</v>
          </cell>
          <cell r="BV131">
            <v>0</v>
          </cell>
          <cell r="BW131">
            <v>0</v>
          </cell>
          <cell r="BX131">
            <v>-177</v>
          </cell>
          <cell r="BY131">
            <v>-196.74400000000003</v>
          </cell>
          <cell r="BZ131">
            <v>0</v>
          </cell>
          <cell r="CA131">
            <v>0</v>
          </cell>
          <cell r="CB131">
            <v>0</v>
          </cell>
          <cell r="CC131">
            <v>0</v>
          </cell>
          <cell r="CD131">
            <v>0</v>
          </cell>
        </row>
        <row r="132">
          <cell r="B132" t="str">
            <v>Ending Balance</v>
          </cell>
          <cell r="I132">
            <v>12.837999999999999</v>
          </cell>
          <cell r="J132">
            <v>0.161</v>
          </cell>
          <cell r="L132">
            <v>373.75</v>
          </cell>
          <cell r="M132">
            <v>373.75</v>
          </cell>
          <cell r="N132">
            <v>373.74400000000003</v>
          </cell>
          <cell r="O132">
            <v>373.74400000000003</v>
          </cell>
          <cell r="P132">
            <v>373.74400000000003</v>
          </cell>
          <cell r="Q132">
            <v>0</v>
          </cell>
          <cell r="R132">
            <v>0</v>
          </cell>
          <cell r="S132">
            <v>0</v>
          </cell>
          <cell r="T132">
            <v>0</v>
          </cell>
          <cell r="U132">
            <v>0</v>
          </cell>
          <cell r="V132">
            <v>0</v>
          </cell>
          <cell r="W132">
            <v>0</v>
          </cell>
          <cell r="X132">
            <v>0</v>
          </cell>
          <cell r="Y132">
            <v>0</v>
          </cell>
          <cell r="BF132">
            <v>373.75</v>
          </cell>
          <cell r="BG132">
            <v>373.75</v>
          </cell>
          <cell r="BH132">
            <v>373.75</v>
          </cell>
          <cell r="BI132">
            <v>373.75</v>
          </cell>
          <cell r="BJ132">
            <v>373.75</v>
          </cell>
          <cell r="BK132">
            <v>373.74400000000003</v>
          </cell>
          <cell r="BL132">
            <v>373.74400000000003</v>
          </cell>
          <cell r="BM132">
            <v>373.74400000000003</v>
          </cell>
          <cell r="BN132">
            <v>373.74400000000003</v>
          </cell>
          <cell r="BO132">
            <v>373.74400000000003</v>
          </cell>
          <cell r="BP132">
            <v>373.74400000000003</v>
          </cell>
          <cell r="BQ132">
            <v>373.74400000000003</v>
          </cell>
          <cell r="BR132">
            <v>373.74400000000003</v>
          </cell>
          <cell r="BS132">
            <v>373.74400000000003</v>
          </cell>
          <cell r="BT132">
            <v>373.74400000000003</v>
          </cell>
          <cell r="BU132">
            <v>373.74400000000003</v>
          </cell>
          <cell r="BV132">
            <v>373.74400000000003</v>
          </cell>
          <cell r="BW132">
            <v>373.74400000000003</v>
          </cell>
          <cell r="BX132">
            <v>196.74400000000003</v>
          </cell>
          <cell r="BY132">
            <v>0</v>
          </cell>
          <cell r="BZ132">
            <v>0</v>
          </cell>
          <cell r="CA132">
            <v>0</v>
          </cell>
          <cell r="CB132">
            <v>0</v>
          </cell>
          <cell r="CC132">
            <v>0</v>
          </cell>
          <cell r="CD132">
            <v>0</v>
          </cell>
        </row>
        <row r="133">
          <cell r="B133" t="str">
            <v>Unamortized Discount</v>
          </cell>
          <cell r="C133">
            <v>0.04</v>
          </cell>
          <cell r="J133">
            <v>0</v>
          </cell>
          <cell r="M133">
            <v>-64.808000000000007</v>
          </cell>
          <cell r="N133">
            <v>-46.731999999999999</v>
          </cell>
          <cell r="O133">
            <v>-37.102000000000032</v>
          </cell>
          <cell r="P133">
            <v>-5.6440000000000055</v>
          </cell>
          <cell r="Q133">
            <v>0</v>
          </cell>
          <cell r="R133">
            <v>18.323800000000002</v>
          </cell>
          <cell r="S133">
            <v>18.323800000000002</v>
          </cell>
          <cell r="T133">
            <v>18.323800000000002</v>
          </cell>
          <cell r="U133">
            <v>18.323800000000002</v>
          </cell>
          <cell r="V133">
            <v>18.323800000000002</v>
          </cell>
          <cell r="W133">
            <v>18.323800000000002</v>
          </cell>
          <cell r="X133">
            <v>18.323800000000002</v>
          </cell>
          <cell r="Y133">
            <v>18.323800000000002</v>
          </cell>
          <cell r="BF133">
            <v>-81.418000000000006</v>
          </cell>
          <cell r="BG133">
            <v>-77.397000000000006</v>
          </cell>
          <cell r="BH133">
            <v>-73.289000000000001</v>
          </cell>
          <cell r="BI133">
            <v>-69.093999999999994</v>
          </cell>
          <cell r="BJ133">
            <v>-64.808000000000007</v>
          </cell>
          <cell r="BK133">
            <v>-60.416199999999996</v>
          </cell>
          <cell r="BL133">
            <v>-55.960999999999999</v>
          </cell>
          <cell r="BM133">
            <v>-51.395000000000003</v>
          </cell>
          <cell r="BN133">
            <v>-46.731999999999999</v>
          </cell>
          <cell r="BO133">
            <v>-41.968000000000018</v>
          </cell>
          <cell r="BP133">
            <v>-37.102000000000032</v>
          </cell>
          <cell r="BQ133">
            <v>-37.102000000000032</v>
          </cell>
          <cell r="BR133">
            <v>-37.102000000000032</v>
          </cell>
          <cell r="BS133">
            <v>-21.872000000000014</v>
          </cell>
          <cell r="BT133">
            <v>-16.577000000000055</v>
          </cell>
          <cell r="BU133">
            <v>-11.16900000000004</v>
          </cell>
          <cell r="BV133">
            <v>4.1287500000000001</v>
          </cell>
          <cell r="BW133">
            <v>4.6240350000000001</v>
          </cell>
          <cell r="BX133">
            <v>4.9028700000000001</v>
          </cell>
          <cell r="BY133">
            <v>5.1878700000000002</v>
          </cell>
          <cell r="BZ133">
            <v>5.1878700000000002</v>
          </cell>
          <cell r="CA133">
            <v>0</v>
          </cell>
          <cell r="CB133">
            <v>0</v>
          </cell>
          <cell r="CC133">
            <v>0</v>
          </cell>
          <cell r="CD133">
            <v>0</v>
          </cell>
        </row>
        <row r="134">
          <cell r="B134" t="str">
            <v>Reduction of Discount</v>
          </cell>
          <cell r="C134">
            <v>9.2499999999999999E-2</v>
          </cell>
          <cell r="J134">
            <v>0</v>
          </cell>
          <cell r="N134">
            <v>18.076000000000008</v>
          </cell>
          <cell r="O134">
            <v>9.629999999999967</v>
          </cell>
          <cell r="P134">
            <v>31.458000000000027</v>
          </cell>
          <cell r="Q134">
            <v>5.6440000000000055</v>
          </cell>
          <cell r="R134">
            <v>0</v>
          </cell>
          <cell r="S134">
            <v>0</v>
          </cell>
          <cell r="T134">
            <v>0</v>
          </cell>
          <cell r="U134">
            <v>0</v>
          </cell>
          <cell r="V134">
            <v>0</v>
          </cell>
          <cell r="W134">
            <v>0</v>
          </cell>
          <cell r="X134">
            <v>0</v>
          </cell>
          <cell r="Y134">
            <v>0</v>
          </cell>
          <cell r="BG134">
            <v>4.0210000000000008</v>
          </cell>
          <cell r="BH134">
            <v>4.1080000000000041</v>
          </cell>
          <cell r="BI134">
            <v>4.1950000000000074</v>
          </cell>
          <cell r="BJ134">
            <v>4.2859999999999872</v>
          </cell>
          <cell r="BK134">
            <v>4.3918000000000106</v>
          </cell>
          <cell r="BL134">
            <v>4.4551999999999978</v>
          </cell>
          <cell r="BM134">
            <v>4.5659999999999954</v>
          </cell>
          <cell r="BN134">
            <v>4.6630000000000038</v>
          </cell>
          <cell r="BO134">
            <v>4.7639999999999816</v>
          </cell>
          <cell r="BP134">
            <v>4.8659999999999854</v>
          </cell>
          <cell r="BQ134">
            <v>0</v>
          </cell>
          <cell r="BR134">
            <v>0</v>
          </cell>
          <cell r="BS134">
            <v>15.230000000000018</v>
          </cell>
          <cell r="BT134">
            <v>5.2949999999999591</v>
          </cell>
          <cell r="BU134">
            <v>5.4080000000000155</v>
          </cell>
          <cell r="BV134">
            <v>0</v>
          </cell>
          <cell r="BW134">
            <v>0</v>
          </cell>
          <cell r="BX134">
            <v>0</v>
          </cell>
          <cell r="BY134">
            <v>0</v>
          </cell>
          <cell r="BZ134">
            <v>0</v>
          </cell>
          <cell r="CA134">
            <v>0</v>
          </cell>
          <cell r="CB134">
            <v>0</v>
          </cell>
          <cell r="CC134">
            <v>0</v>
          </cell>
          <cell r="CD134">
            <v>0</v>
          </cell>
        </row>
        <row r="135">
          <cell r="B135" t="str">
            <v>Net Balance</v>
          </cell>
          <cell r="M135">
            <v>308.94200000000001</v>
          </cell>
          <cell r="N135">
            <v>327.01200000000006</v>
          </cell>
          <cell r="O135">
            <v>336.642</v>
          </cell>
          <cell r="P135">
            <v>368.1</v>
          </cell>
          <cell r="Q135">
            <v>0</v>
          </cell>
          <cell r="R135">
            <v>0</v>
          </cell>
          <cell r="S135">
            <v>0</v>
          </cell>
          <cell r="T135">
            <v>0</v>
          </cell>
          <cell r="U135">
            <v>0</v>
          </cell>
          <cell r="V135">
            <v>0</v>
          </cell>
          <cell r="W135">
            <v>0</v>
          </cell>
          <cell r="X135">
            <v>0</v>
          </cell>
          <cell r="Y135">
            <v>0</v>
          </cell>
          <cell r="BF135">
            <v>292.33199999999999</v>
          </cell>
          <cell r="BG135">
            <v>296.35300000000001</v>
          </cell>
          <cell r="BH135">
            <v>300.46100000000001</v>
          </cell>
          <cell r="BI135">
            <v>304.65600000000001</v>
          </cell>
          <cell r="BJ135">
            <v>308.94200000000001</v>
          </cell>
          <cell r="BK135">
            <v>313.32780000000002</v>
          </cell>
          <cell r="BL135">
            <v>317.78300000000002</v>
          </cell>
          <cell r="BM135">
            <v>322.34900000000005</v>
          </cell>
          <cell r="BN135">
            <v>327.01200000000006</v>
          </cell>
          <cell r="BO135">
            <v>331.77600000000001</v>
          </cell>
          <cell r="BP135">
            <v>336.642</v>
          </cell>
          <cell r="BQ135">
            <v>336.642</v>
          </cell>
          <cell r="BR135">
            <v>336.642</v>
          </cell>
          <cell r="BS135">
            <v>351.87200000000001</v>
          </cell>
          <cell r="BT135">
            <v>357.16699999999997</v>
          </cell>
          <cell r="BU135">
            <v>362.57499999999999</v>
          </cell>
          <cell r="BV135">
            <v>0</v>
          </cell>
          <cell r="BW135">
            <v>0</v>
          </cell>
          <cell r="BX135">
            <v>0</v>
          </cell>
          <cell r="BY135">
            <v>0</v>
          </cell>
          <cell r="BZ135">
            <v>0</v>
          </cell>
          <cell r="CA135">
            <v>0</v>
          </cell>
          <cell r="CB135">
            <v>0</v>
          </cell>
          <cell r="CC135">
            <v>0</v>
          </cell>
          <cell r="CD135">
            <v>0</v>
          </cell>
        </row>
        <row r="136">
          <cell r="B136" t="str">
            <v>Senior Notes (2018)</v>
          </cell>
          <cell r="C136">
            <v>0.08</v>
          </cell>
          <cell r="R136">
            <v>34.4</v>
          </cell>
          <cell r="S136">
            <v>34.4</v>
          </cell>
          <cell r="T136">
            <v>34.4</v>
          </cell>
          <cell r="U136">
            <v>34.4</v>
          </cell>
          <cell r="V136">
            <v>34.4</v>
          </cell>
          <cell r="W136">
            <v>34.4</v>
          </cell>
          <cell r="X136">
            <v>34.4</v>
          </cell>
          <cell r="Y136">
            <v>34.4</v>
          </cell>
          <cell r="BV136">
            <v>8.6</v>
          </cell>
          <cell r="BW136">
            <v>8.6</v>
          </cell>
          <cell r="BX136">
            <v>8.6</v>
          </cell>
          <cell r="BY136">
            <v>8.6</v>
          </cell>
          <cell r="BZ136">
            <v>8.6</v>
          </cell>
        </row>
        <row r="137">
          <cell r="B137" t="str">
            <v>Capital Lease Obligations (8.6%)</v>
          </cell>
          <cell r="C137">
            <v>8.1000000000000003E-2</v>
          </cell>
          <cell r="R137">
            <v>0.42999999999999972</v>
          </cell>
          <cell r="S137">
            <v>0.42999999999999972</v>
          </cell>
          <cell r="T137">
            <v>0.42999999999999972</v>
          </cell>
          <cell r="U137">
            <v>0.42999999999999972</v>
          </cell>
          <cell r="V137">
            <v>0.42999999999999972</v>
          </cell>
          <cell r="W137">
            <v>0.42999999999999972</v>
          </cell>
          <cell r="X137">
            <v>0.42999999999999972</v>
          </cell>
          <cell r="Y137">
            <v>0.42999999999999972</v>
          </cell>
          <cell r="BV137">
            <v>0.10749999999999993</v>
          </cell>
          <cell r="BW137">
            <v>0.10749999999999993</v>
          </cell>
          <cell r="BX137">
            <v>0.10749999999999993</v>
          </cell>
          <cell r="BY137">
            <v>0.10749999999999993</v>
          </cell>
          <cell r="BZ137">
            <v>0.10749999999999993</v>
          </cell>
        </row>
        <row r="138">
          <cell r="B138" t="str">
            <v>Beginning Balance</v>
          </cell>
          <cell r="C138">
            <v>5.3749999999999999E-2</v>
          </cell>
          <cell r="J138">
            <v>12.837999999999999</v>
          </cell>
          <cell r="M138">
            <v>10.782</v>
          </cell>
          <cell r="N138">
            <v>16.768000000000001</v>
          </cell>
          <cell r="O138">
            <v>15.26</v>
          </cell>
          <cell r="P138">
            <v>15.268000000000001</v>
          </cell>
          <cell r="Q138">
            <v>20.091000000000001</v>
          </cell>
          <cell r="R138">
            <v>25.8</v>
          </cell>
          <cell r="S138">
            <v>25.8</v>
          </cell>
          <cell r="T138">
            <v>25.8</v>
          </cell>
          <cell r="U138">
            <v>25.8</v>
          </cell>
          <cell r="V138">
            <v>25.8</v>
          </cell>
          <cell r="W138">
            <v>25.8</v>
          </cell>
          <cell r="X138">
            <v>25.8</v>
          </cell>
          <cell r="Y138">
            <v>25.8</v>
          </cell>
          <cell r="BG138">
            <v>10.782</v>
          </cell>
          <cell r="BH138">
            <v>18.004999999999999</v>
          </cell>
          <cell r="BI138">
            <v>17.856999999999999</v>
          </cell>
          <cell r="BJ138">
            <v>17.706</v>
          </cell>
          <cell r="BK138">
            <v>16.768000000000001</v>
          </cell>
          <cell r="BL138">
            <v>16.084</v>
          </cell>
          <cell r="BM138">
            <v>16.018999999999998</v>
          </cell>
          <cell r="BN138">
            <v>15.617000000000001</v>
          </cell>
          <cell r="BO138">
            <v>15.26</v>
          </cell>
          <cell r="BP138">
            <v>14.786</v>
          </cell>
          <cell r="BQ138">
            <v>15.268000000000001</v>
          </cell>
          <cell r="BR138">
            <v>15.268000000000001</v>
          </cell>
          <cell r="BS138">
            <v>15.268000000000001</v>
          </cell>
          <cell r="BT138">
            <v>18.178000000000001</v>
          </cell>
          <cell r="BU138">
            <v>17.837</v>
          </cell>
          <cell r="BV138">
            <v>6.45</v>
          </cell>
          <cell r="BW138">
            <v>6.45</v>
          </cell>
          <cell r="BX138">
            <v>0</v>
          </cell>
          <cell r="BY138">
            <v>0</v>
          </cell>
          <cell r="BZ138">
            <v>0</v>
          </cell>
          <cell r="CA138">
            <v>27.835000000000001</v>
          </cell>
          <cell r="CB138">
            <v>27.835000000000001</v>
          </cell>
          <cell r="CC138">
            <v>27.835000000000001</v>
          </cell>
          <cell r="CD138">
            <v>27.835000000000001</v>
          </cell>
        </row>
        <row r="139">
          <cell r="B139" t="str">
            <v>Additions/Deletions</v>
          </cell>
          <cell r="C139">
            <v>5.3749999999999999E-2</v>
          </cell>
          <cell r="J139">
            <v>-12.677</v>
          </cell>
          <cell r="M139">
            <v>5.9860000000000007</v>
          </cell>
          <cell r="N139">
            <v>-1.5080000000000009</v>
          </cell>
          <cell r="O139">
            <v>8.0000000000008953E-3</v>
          </cell>
          <cell r="P139">
            <v>4.8230000000000004</v>
          </cell>
          <cell r="Q139">
            <v>7.7439999999999998</v>
          </cell>
          <cell r="R139">
            <v>0</v>
          </cell>
          <cell r="S139">
            <v>0</v>
          </cell>
          <cell r="T139">
            <v>0</v>
          </cell>
          <cell r="U139">
            <v>0</v>
          </cell>
          <cell r="V139">
            <v>0</v>
          </cell>
          <cell r="W139">
            <v>0</v>
          </cell>
          <cell r="X139">
            <v>0</v>
          </cell>
          <cell r="Y139">
            <v>0</v>
          </cell>
          <cell r="BG139">
            <v>7.222999999999999</v>
          </cell>
          <cell r="BH139">
            <v>-0.14799999999999969</v>
          </cell>
          <cell r="BI139">
            <v>-0.1509999999999998</v>
          </cell>
          <cell r="BJ139">
            <v>-0.93799999999999883</v>
          </cell>
          <cell r="BK139">
            <v>-0.68400000000000105</v>
          </cell>
          <cell r="BL139">
            <v>-6.5000000000001279E-2</v>
          </cell>
          <cell r="BM139">
            <v>-0.40199999999999747</v>
          </cell>
          <cell r="BN139">
            <v>-0.35700000000000109</v>
          </cell>
          <cell r="BO139">
            <v>-0.4740000000000002</v>
          </cell>
          <cell r="BP139">
            <v>0.48200000000000109</v>
          </cell>
          <cell r="BQ139">
            <v>0</v>
          </cell>
          <cell r="BR139">
            <v>0</v>
          </cell>
          <cell r="BS139">
            <v>2.91</v>
          </cell>
          <cell r="BT139">
            <v>-0.34100000000000108</v>
          </cell>
          <cell r="BU139">
            <v>8.0000000000001847E-2</v>
          </cell>
          <cell r="BV139">
            <v>0</v>
          </cell>
          <cell r="BW139">
            <v>0</v>
          </cell>
          <cell r="BX139">
            <v>0</v>
          </cell>
          <cell r="BY139">
            <v>0</v>
          </cell>
          <cell r="BZ139">
            <v>0</v>
          </cell>
          <cell r="CA139">
            <v>0</v>
          </cell>
          <cell r="CB139">
            <v>0</v>
          </cell>
          <cell r="CC139">
            <v>0</v>
          </cell>
          <cell r="CD139">
            <v>0</v>
          </cell>
        </row>
        <row r="140">
          <cell r="B140" t="str">
            <v>Ending Balance</v>
          </cell>
          <cell r="C140">
            <v>2.375E-2</v>
          </cell>
          <cell r="I140">
            <v>12.837999999999999</v>
          </cell>
          <cell r="J140">
            <v>36.874000000000002</v>
          </cell>
          <cell r="L140">
            <v>10.782</v>
          </cell>
          <cell r="M140">
            <v>16.768000000000001</v>
          </cell>
          <cell r="N140">
            <v>15.26</v>
          </cell>
          <cell r="O140">
            <v>15.268000000000001</v>
          </cell>
          <cell r="P140">
            <v>20.091000000000001</v>
          </cell>
          <cell r="Q140">
            <v>27.835000000000001</v>
          </cell>
          <cell r="R140">
            <v>8.8764912500000008</v>
          </cell>
          <cell r="S140">
            <v>8.8764912500000008</v>
          </cell>
          <cell r="T140">
            <v>8.8764912500000008</v>
          </cell>
          <cell r="U140">
            <v>8.8764912500000008</v>
          </cell>
          <cell r="V140">
            <v>8.8764912500000008</v>
          </cell>
          <cell r="W140">
            <v>8.8764912500000008</v>
          </cell>
          <cell r="X140">
            <v>8.8764912500000008</v>
          </cell>
          <cell r="Y140">
            <v>8.8764912500000008</v>
          </cell>
          <cell r="BF140">
            <v>10.782</v>
          </cell>
          <cell r="BG140">
            <v>18.004999999999999</v>
          </cell>
          <cell r="BH140">
            <v>17.856999999999999</v>
          </cell>
          <cell r="BI140">
            <v>17.706</v>
          </cell>
          <cell r="BJ140">
            <v>16.768000000000001</v>
          </cell>
          <cell r="BK140">
            <v>16.084</v>
          </cell>
          <cell r="BL140">
            <v>16.018999999999998</v>
          </cell>
          <cell r="BM140">
            <v>15.617000000000001</v>
          </cell>
          <cell r="BN140">
            <v>15.26</v>
          </cell>
          <cell r="BO140">
            <v>14.786</v>
          </cell>
          <cell r="BP140">
            <v>15.268000000000001</v>
          </cell>
          <cell r="BQ140">
            <v>15.268000000000001</v>
          </cell>
          <cell r="BR140">
            <v>15.268000000000001</v>
          </cell>
          <cell r="BS140">
            <v>18.178000000000001</v>
          </cell>
          <cell r="BT140">
            <v>17.837</v>
          </cell>
          <cell r="BU140">
            <v>17.917000000000002</v>
          </cell>
          <cell r="BV140">
            <v>2.2191228125000002</v>
          </cell>
          <cell r="BW140">
            <v>4.4382456250000004</v>
          </cell>
          <cell r="BX140">
            <v>0</v>
          </cell>
          <cell r="BY140">
            <v>0</v>
          </cell>
          <cell r="BZ140">
            <v>0</v>
          </cell>
          <cell r="CA140">
            <v>27.835000000000001</v>
          </cell>
          <cell r="CB140">
            <v>27.835000000000001</v>
          </cell>
          <cell r="CC140">
            <v>27.835000000000001</v>
          </cell>
          <cell r="CD140">
            <v>27.835000000000001</v>
          </cell>
        </row>
        <row r="141">
          <cell r="B141" t="str">
            <v>Discount Amortization</v>
          </cell>
          <cell r="C141">
            <v>8.5000000000000006E-2</v>
          </cell>
          <cell r="R141">
            <v>6.9133758046430813</v>
          </cell>
          <cell r="S141">
            <v>22.89225875</v>
          </cell>
          <cell r="T141">
            <v>22.89225875</v>
          </cell>
          <cell r="U141">
            <v>22.89225875</v>
          </cell>
          <cell r="V141">
            <v>22.89225875</v>
          </cell>
          <cell r="W141">
            <v>22.89225875</v>
          </cell>
          <cell r="X141">
            <v>22.89225875</v>
          </cell>
          <cell r="Y141">
            <v>22.89225875</v>
          </cell>
          <cell r="BV141">
            <v>5.5445707517372078</v>
          </cell>
          <cell r="BW141">
            <v>3.4202836386607709</v>
          </cell>
          <cell r="BX141">
            <v>0</v>
          </cell>
          <cell r="BY141">
            <v>0</v>
          </cell>
          <cell r="BZ141">
            <v>0</v>
          </cell>
        </row>
        <row r="142">
          <cell r="B142" t="str">
            <v>Capital Lease Obligations (X.X%)</v>
          </cell>
          <cell r="C142">
            <v>8.5999999999999993E-2</v>
          </cell>
          <cell r="J142">
            <v>36.874000000000002</v>
          </cell>
          <cell r="R142">
            <v>1.7278259999999999</v>
          </cell>
          <cell r="S142">
            <v>1.7278259999999999</v>
          </cell>
          <cell r="T142">
            <v>1.7278259999999999</v>
          </cell>
          <cell r="U142">
            <v>1.7278259999999999</v>
          </cell>
          <cell r="V142">
            <v>1.7278259999999999</v>
          </cell>
          <cell r="W142">
            <v>1.7278259999999999</v>
          </cell>
          <cell r="X142">
            <v>1.7278259999999999</v>
          </cell>
          <cell r="Y142">
            <v>1.7278259999999999</v>
          </cell>
          <cell r="BV142">
            <v>0.38521549999999999</v>
          </cell>
          <cell r="BW142">
            <v>0.43195649999999997</v>
          </cell>
          <cell r="BX142">
            <v>0.48684599999999995</v>
          </cell>
          <cell r="BY142">
            <v>0.48684599999999995</v>
          </cell>
          <cell r="BZ142">
            <v>0.48684599999999995</v>
          </cell>
        </row>
        <row r="143">
          <cell r="B143" t="str">
            <v>Beginning Balance</v>
          </cell>
          <cell r="J143">
            <v>12.837999999999999</v>
          </cell>
          <cell r="M143">
            <v>0</v>
          </cell>
          <cell r="N143">
            <v>0</v>
          </cell>
          <cell r="O143">
            <v>0</v>
          </cell>
          <cell r="P143">
            <v>0</v>
          </cell>
          <cell r="Q143">
            <v>0</v>
          </cell>
          <cell r="R143">
            <v>120</v>
          </cell>
          <cell r="S143">
            <v>114</v>
          </cell>
          <cell r="T143">
            <v>108</v>
          </cell>
          <cell r="U143">
            <v>102</v>
          </cell>
          <cell r="V143">
            <v>96</v>
          </cell>
          <cell r="W143">
            <v>90</v>
          </cell>
          <cell r="X143">
            <v>84</v>
          </cell>
          <cell r="Y143">
            <v>78</v>
          </cell>
          <cell r="BF143">
            <v>23.305</v>
          </cell>
          <cell r="BG143">
            <v>21.458000000000002</v>
          </cell>
          <cell r="BH143">
            <v>21.027000000000001</v>
          </cell>
          <cell r="BI143">
            <v>20.731999999999999</v>
          </cell>
          <cell r="BJ143">
            <v>20.783999999999999</v>
          </cell>
          <cell r="BK143">
            <v>20.941000000000003</v>
          </cell>
          <cell r="BL143">
            <v>19.748999999999999</v>
          </cell>
          <cell r="BM143">
            <v>19.634</v>
          </cell>
          <cell r="BN143">
            <v>20.628</v>
          </cell>
          <cell r="BO143">
            <v>21.972000000000001</v>
          </cell>
          <cell r="BP143">
            <v>21.845000000000002</v>
          </cell>
          <cell r="BQ143">
            <v>21.93</v>
          </cell>
          <cell r="BR143">
            <v>21.971</v>
          </cell>
          <cell r="BS143">
            <v>21.581</v>
          </cell>
          <cell r="BT143">
            <v>21.86</v>
          </cell>
          <cell r="BU143">
            <v>21.824999999999999</v>
          </cell>
          <cell r="BV143">
            <v>28.491</v>
          </cell>
          <cell r="BW143">
            <v>28.07202076366077</v>
          </cell>
          <cell r="BX143">
            <v>20.201181499999997</v>
          </cell>
          <cell r="BY143">
            <v>20.188871499999998</v>
          </cell>
          <cell r="BZ143">
            <v>0</v>
          </cell>
          <cell r="CA143">
            <v>120</v>
          </cell>
          <cell r="CB143">
            <v>118.5</v>
          </cell>
          <cell r="CC143">
            <v>117</v>
          </cell>
          <cell r="CD143">
            <v>115.5</v>
          </cell>
        </row>
        <row r="144">
          <cell r="B144" t="str">
            <v>Additions/Deletions</v>
          </cell>
          <cell r="J144">
            <v>-12.677</v>
          </cell>
          <cell r="M144">
            <v>0</v>
          </cell>
          <cell r="N144">
            <v>0</v>
          </cell>
          <cell r="O144">
            <v>0</v>
          </cell>
          <cell r="P144">
            <v>0</v>
          </cell>
          <cell r="Q144">
            <v>120</v>
          </cell>
          <cell r="R144">
            <v>-6</v>
          </cell>
          <cell r="S144">
            <v>-6</v>
          </cell>
          <cell r="T144">
            <v>-6</v>
          </cell>
          <cell r="U144">
            <v>-6</v>
          </cell>
          <cell r="V144">
            <v>-6</v>
          </cell>
          <cell r="W144">
            <v>-6</v>
          </cell>
          <cell r="X144">
            <v>-6</v>
          </cell>
          <cell r="Y144">
            <v>-6</v>
          </cell>
          <cell r="BZ144">
            <v>120</v>
          </cell>
          <cell r="CA144">
            <v>-1.5</v>
          </cell>
          <cell r="CB144">
            <v>-1.5</v>
          </cell>
          <cell r="CC144">
            <v>-1.5</v>
          </cell>
          <cell r="CD144">
            <v>-1.5</v>
          </cell>
        </row>
        <row r="145">
          <cell r="B145" t="str">
            <v>Ending Balance</v>
          </cell>
          <cell r="I145">
            <v>12.837999999999999</v>
          </cell>
          <cell r="J145">
            <v>0.161</v>
          </cell>
          <cell r="L145">
            <v>0</v>
          </cell>
          <cell r="M145">
            <v>0</v>
          </cell>
          <cell r="N145">
            <v>0</v>
          </cell>
          <cell r="O145">
            <v>0</v>
          </cell>
          <cell r="P145">
            <v>0</v>
          </cell>
          <cell r="Q145">
            <v>120</v>
          </cell>
          <cell r="R145">
            <v>114</v>
          </cell>
          <cell r="S145">
            <v>108</v>
          </cell>
          <cell r="T145">
            <v>102</v>
          </cell>
          <cell r="U145">
            <v>96</v>
          </cell>
          <cell r="V145">
            <v>90</v>
          </cell>
          <cell r="W145">
            <v>84</v>
          </cell>
          <cell r="X145">
            <v>78</v>
          </cell>
          <cell r="Y145">
            <v>72</v>
          </cell>
          <cell r="BZ145">
            <v>120</v>
          </cell>
          <cell r="CA145">
            <v>118.5</v>
          </cell>
          <cell r="CB145">
            <v>117</v>
          </cell>
          <cell r="CC145">
            <v>115.5</v>
          </cell>
          <cell r="CD145">
            <v>114</v>
          </cell>
        </row>
        <row r="146">
          <cell r="B146" t="str">
            <v>Interest Income</v>
          </cell>
        </row>
        <row r="147">
          <cell r="B147" t="str">
            <v>Current Portion</v>
          </cell>
          <cell r="M147">
            <v>0.36</v>
          </cell>
          <cell r="N147">
            <v>7.202</v>
          </cell>
          <cell r="O147">
            <v>7.7329999999999997</v>
          </cell>
          <cell r="P147">
            <v>374.96899999999999</v>
          </cell>
          <cell r="Q147">
            <v>7.9539999999999997</v>
          </cell>
          <cell r="R147">
            <v>7.9539999999999997</v>
          </cell>
          <cell r="S147">
            <v>7.9539999999999997</v>
          </cell>
          <cell r="T147">
            <v>7.9539999999999997</v>
          </cell>
          <cell r="U147">
            <v>7.9539999999999997</v>
          </cell>
          <cell r="V147">
            <v>7.9539999999999997</v>
          </cell>
          <cell r="W147">
            <v>7.9539999999999997</v>
          </cell>
          <cell r="X147">
            <v>7.9539999999999997</v>
          </cell>
          <cell r="Y147">
            <v>7.9539999999999997</v>
          </cell>
          <cell r="BF147">
            <v>7.2210000000000001</v>
          </cell>
          <cell r="BG147">
            <v>8.5640000000000001</v>
          </cell>
          <cell r="BH147">
            <v>8.1140000000000008</v>
          </cell>
          <cell r="BI147">
            <v>8.2639999999999993</v>
          </cell>
          <cell r="BJ147">
            <v>7.569</v>
          </cell>
          <cell r="BK147">
            <v>7.1470000000000002</v>
          </cell>
          <cell r="BL147">
            <v>7.29</v>
          </cell>
          <cell r="BM147">
            <v>7.1189999999999998</v>
          </cell>
          <cell r="BN147">
            <v>7.202</v>
          </cell>
          <cell r="BO147">
            <v>6.968</v>
          </cell>
          <cell r="BP147">
            <v>7.14</v>
          </cell>
          <cell r="BQ147">
            <v>7.742</v>
          </cell>
          <cell r="BR147">
            <v>7.7329999999999997</v>
          </cell>
          <cell r="BS147">
            <v>108.482</v>
          </cell>
          <cell r="BT147">
            <v>465.39800000000002</v>
          </cell>
          <cell r="BU147">
            <v>369.404</v>
          </cell>
          <cell r="BV147">
            <v>374.96899999999999</v>
          </cell>
          <cell r="BW147">
            <v>380.68700000000001</v>
          </cell>
          <cell r="BX147">
            <v>203.90199999999999</v>
          </cell>
          <cell r="BY147">
            <v>7.9539999999999997</v>
          </cell>
          <cell r="BZ147">
            <v>7.9539999999999997</v>
          </cell>
          <cell r="CA147">
            <v>7.9539999999999997</v>
          </cell>
          <cell r="CB147">
            <v>7.9539999999999997</v>
          </cell>
          <cell r="CC147">
            <v>7.9539999999999997</v>
          </cell>
          <cell r="CD147">
            <v>7.9539999999999997</v>
          </cell>
        </row>
        <row r="148">
          <cell r="B148" t="str">
            <v>Total Scheduled Debt</v>
          </cell>
          <cell r="I148">
            <v>12.837999999999999</v>
          </cell>
          <cell r="J148">
            <v>0.161</v>
          </cell>
          <cell r="M148">
            <v>1307.9950000000001</v>
          </cell>
          <cell r="N148">
            <v>1338.297</v>
          </cell>
          <cell r="O148">
            <v>23.472000000000001</v>
          </cell>
          <cell r="P148">
            <v>25.486000000000001</v>
          </cell>
          <cell r="Q148">
            <v>3.8502836386607706</v>
          </cell>
          <cell r="R148">
            <v>7.343375804643081</v>
          </cell>
          <cell r="S148">
            <v>23.32225875</v>
          </cell>
          <cell r="T148">
            <v>23.32225875</v>
          </cell>
          <cell r="U148">
            <v>23.32225875</v>
          </cell>
          <cell r="V148">
            <v>23.32225875</v>
          </cell>
          <cell r="W148">
            <v>23.32225875</v>
          </cell>
          <cell r="X148">
            <v>23.32225875</v>
          </cell>
          <cell r="Y148">
            <v>23.32225875</v>
          </cell>
          <cell r="BF148">
            <v>1284.1780000000001</v>
          </cell>
          <cell r="BG148">
            <v>1292.5650000000001</v>
          </cell>
          <cell r="BH148">
            <v>1295.461</v>
          </cell>
          <cell r="BI148">
            <v>1297.8409999999999</v>
          </cell>
          <cell r="BJ148">
            <v>1300.3700000000001</v>
          </cell>
          <cell r="BK148">
            <v>1329.6859999999999</v>
          </cell>
          <cell r="BL148">
            <v>3.8</v>
          </cell>
          <cell r="BM148">
            <v>5.4539999999999997</v>
          </cell>
          <cell r="BN148">
            <v>5.5709999999999997</v>
          </cell>
          <cell r="BO148">
            <v>5.7119999999999997</v>
          </cell>
          <cell r="BP148">
            <v>5.8150000000000004</v>
          </cell>
          <cell r="BQ148">
            <v>5.9180000000000001</v>
          </cell>
          <cell r="BR148">
            <v>6.0270000000000001</v>
          </cell>
          <cell r="BS148">
            <v>6.1369999999999996</v>
          </cell>
          <cell r="BT148">
            <v>6.2480000000000002</v>
          </cell>
          <cell r="BU148">
            <v>6.33</v>
          </cell>
          <cell r="BV148">
            <v>6.7709999999999999</v>
          </cell>
          <cell r="BW148">
            <v>3.5277836386607708</v>
          </cell>
          <cell r="BX148">
            <v>0.10749999999999993</v>
          </cell>
          <cell r="BY148">
            <v>0.10749999999999993</v>
          </cell>
          <cell r="BZ148">
            <v>0.10749999999999993</v>
          </cell>
          <cell r="CA148">
            <v>1959.0441499999999</v>
          </cell>
          <cell r="CB148">
            <v>1958.0477250000004</v>
          </cell>
          <cell r="CC148">
            <v>1957.0513000000001</v>
          </cell>
          <cell r="CD148">
            <v>1956.054875</v>
          </cell>
        </row>
        <row r="149">
          <cell r="B149" t="str">
            <v>BS check</v>
          </cell>
          <cell r="J149" t="e">
            <v>#REF!</v>
          </cell>
          <cell r="M149">
            <v>1300.3699999999999</v>
          </cell>
          <cell r="N149">
            <v>1338.297</v>
          </cell>
          <cell r="O149">
            <v>63.701000000000001</v>
          </cell>
          <cell r="P149">
            <v>67.477999999999994</v>
          </cell>
          <cell r="Q149">
            <v>84.071122778203815</v>
          </cell>
          <cell r="R149">
            <v>88.144250551169648</v>
          </cell>
          <cell r="S149">
            <v>88.032277463736122</v>
          </cell>
          <cell r="T149">
            <v>87.870771538088476</v>
          </cell>
          <cell r="U149">
            <v>87.675956544207267</v>
          </cell>
          <cell r="V149">
            <v>87.449381700656303</v>
          </cell>
          <cell r="W149">
            <v>87.198597620554494</v>
          </cell>
          <cell r="X149">
            <v>86.928463859599461</v>
          </cell>
          <cell r="Y149">
            <v>86.560745175157663</v>
          </cell>
          <cell r="BF149">
            <v>0</v>
          </cell>
          <cell r="BG149">
            <v>0</v>
          </cell>
          <cell r="BH149">
            <v>0</v>
          </cell>
          <cell r="BI149">
            <v>0</v>
          </cell>
          <cell r="BJ149">
            <v>0</v>
          </cell>
          <cell r="BK149">
            <v>0</v>
          </cell>
          <cell r="BL149">
            <v>15.776999999999997</v>
          </cell>
          <cell r="BM149">
            <v>13.971</v>
          </cell>
          <cell r="BN149">
            <v>14.886999999999999</v>
          </cell>
          <cell r="BO149">
            <v>16.117000000000001</v>
          </cell>
          <cell r="BP149">
            <v>15.856000000000002</v>
          </cell>
          <cell r="BQ149">
            <v>15.885999999999999</v>
          </cell>
          <cell r="BR149">
            <v>15.841999999999999</v>
          </cell>
          <cell r="BS149">
            <v>15.34</v>
          </cell>
          <cell r="BT149">
            <v>15.518999999999998</v>
          </cell>
          <cell r="BU149">
            <v>15.411</v>
          </cell>
          <cell r="BV149">
            <v>21.207999999999998</v>
          </cell>
          <cell r="BW149">
            <v>24.299892996647309</v>
          </cell>
          <cell r="BX149">
            <v>19.938374911010882</v>
          </cell>
          <cell r="BY149">
            <v>19.925069505001794</v>
          </cell>
          <cell r="BZ149">
            <v>19.90778536554383</v>
          </cell>
          <cell r="CA149">
            <v>-16.720000000000027</v>
          </cell>
          <cell r="CB149">
            <v>-16.720000000000482</v>
          </cell>
          <cell r="CC149">
            <v>-16.720000000000255</v>
          </cell>
          <cell r="CD149">
            <v>-16.720000000000255</v>
          </cell>
        </row>
        <row r="150">
          <cell r="B150" t="str">
            <v>Fair Value Adjustments &amp; other obligations</v>
          </cell>
          <cell r="M150">
            <v>83.641000000000005</v>
          </cell>
          <cell r="N150">
            <v>80.343999999999994</v>
          </cell>
          <cell r="O150">
            <v>87.173000000000016</v>
          </cell>
          <cell r="P150">
            <v>92.963999999999999</v>
          </cell>
          <cell r="Q150">
            <v>87.921406416864571</v>
          </cell>
          <cell r="R150">
            <v>95.487626355812736</v>
          </cell>
          <cell r="S150">
            <v>111.35453621373613</v>
          </cell>
          <cell r="T150">
            <v>111.19303028808848</v>
          </cell>
          <cell r="U150">
            <v>110.99821529420727</v>
          </cell>
          <cell r="V150">
            <v>110.77164045065631</v>
          </cell>
          <cell r="W150">
            <v>110.5208563705545</v>
          </cell>
          <cell r="X150">
            <v>110.25072260959946</v>
          </cell>
          <cell r="Y150">
            <v>109.88300392515767</v>
          </cell>
          <cell r="BG150">
            <v>21.328000000000003</v>
          </cell>
          <cell r="BH150">
            <v>20.946000000000002</v>
          </cell>
          <cell r="BI150">
            <v>20.616</v>
          </cell>
          <cell r="BJ150">
            <v>20.750999999999998</v>
          </cell>
          <cell r="BK150">
            <v>20.884000000000004</v>
          </cell>
          <cell r="BL150">
            <v>19.576999999999998</v>
          </cell>
          <cell r="BM150">
            <v>19.425000000000001</v>
          </cell>
          <cell r="BN150">
            <v>20.457999999999998</v>
          </cell>
          <cell r="BO150">
            <v>21.829000000000001</v>
          </cell>
          <cell r="BP150">
            <v>21.671000000000003</v>
          </cell>
          <cell r="BQ150">
            <v>21.803999999999998</v>
          </cell>
          <cell r="BR150">
            <v>21.869</v>
          </cell>
          <cell r="BS150">
            <v>21.477</v>
          </cell>
          <cell r="BT150">
            <v>21.766999999999999</v>
          </cell>
          <cell r="BU150">
            <v>21.741</v>
          </cell>
          <cell r="BV150">
            <v>27.978999999999999</v>
          </cell>
          <cell r="BW150">
            <v>27.82767663530808</v>
          </cell>
          <cell r="BX150">
            <v>20.045874911010884</v>
          </cell>
          <cell r="BY150">
            <v>20.032569505001792</v>
          </cell>
          <cell r="BZ150">
            <v>20.015285365543832</v>
          </cell>
        </row>
        <row r="151">
          <cell r="B151" t="str">
            <v>Total Debt</v>
          </cell>
          <cell r="J151">
            <v>0.161</v>
          </cell>
          <cell r="M151">
            <v>1307.9950000000001</v>
          </cell>
          <cell r="N151">
            <v>1338.297</v>
          </cell>
          <cell r="O151">
            <v>1344.5970000000002</v>
          </cell>
          <cell r="P151">
            <v>1384.242</v>
          </cell>
          <cell r="Q151">
            <v>1960.040575</v>
          </cell>
          <cell r="R151">
            <v>1956.054875</v>
          </cell>
          <cell r="S151">
            <v>1952.0691750000001</v>
          </cell>
          <cell r="T151">
            <v>1948.0834749999999</v>
          </cell>
          <cell r="U151">
            <v>1938.8672375000001</v>
          </cell>
          <cell r="V151">
            <v>1931.2591187500002</v>
          </cell>
          <cell r="W151">
            <v>1924.4550593750002</v>
          </cell>
          <cell r="X151">
            <v>1918.0530296874999</v>
          </cell>
          <cell r="Y151">
            <v>1911.8520148437499</v>
          </cell>
          <cell r="BF151">
            <v>1284.1780000000001</v>
          </cell>
          <cell r="BG151">
            <v>1292.5650000000001</v>
          </cell>
          <cell r="BH151">
            <v>1295.461</v>
          </cell>
          <cell r="BI151">
            <v>1297.8409999999999</v>
          </cell>
          <cell r="BJ151">
            <v>1300.3700000000001</v>
          </cell>
          <cell r="BK151">
            <v>1329.6859999999999</v>
          </cell>
          <cell r="BL151">
            <v>1332.5407</v>
          </cell>
          <cell r="BM151">
            <v>1335.4769999999999</v>
          </cell>
          <cell r="BN151">
            <v>1338.297</v>
          </cell>
          <cell r="BO151">
            <v>1341.4180000000001</v>
          </cell>
          <cell r="BP151">
            <v>1345.19</v>
          </cell>
          <cell r="BQ151">
            <v>1344.5880000000002</v>
          </cell>
          <cell r="BR151">
            <v>1344.5970000000002</v>
          </cell>
          <cell r="BS151">
            <v>1257.779</v>
          </cell>
          <cell r="BT151">
            <v>904.31699999999989</v>
          </cell>
          <cell r="BU151">
            <v>903.24300000000005</v>
          </cell>
          <cell r="BV151">
            <v>1384.242</v>
          </cell>
          <cell r="BW151">
            <v>1385.5440000000001</v>
          </cell>
          <cell r="BX151">
            <v>1441.8029999999999</v>
          </cell>
          <cell r="BY151">
            <v>1822.817</v>
          </cell>
          <cell r="BZ151">
            <v>1960.040575</v>
          </cell>
          <cell r="CA151">
            <v>1959.0441499999999</v>
          </cell>
          <cell r="CB151">
            <v>1958.0477250000004</v>
          </cell>
          <cell r="CC151">
            <v>1957.0513000000001</v>
          </cell>
          <cell r="CD151">
            <v>1956.054875</v>
          </cell>
        </row>
        <row r="153">
          <cell r="B153" t="str">
            <v>Interest Expense</v>
          </cell>
        </row>
        <row r="154">
          <cell r="A154" t="str">
            <v>x</v>
          </cell>
          <cell r="B154" t="str">
            <v>Term Loan B (2020)</v>
          </cell>
          <cell r="C154">
            <v>0.04</v>
          </cell>
          <cell r="E154">
            <v>425.452</v>
          </cell>
          <cell r="F154">
            <v>104.831</v>
          </cell>
          <cell r="G154">
            <v>129.697</v>
          </cell>
          <cell r="H154">
            <v>167.82900000000001</v>
          </cell>
          <cell r="I154">
            <v>161.001</v>
          </cell>
          <cell r="J154">
            <v>0</v>
          </cell>
          <cell r="K154">
            <v>257.90499999999997</v>
          </cell>
          <cell r="L154">
            <v>275.29700000000003</v>
          </cell>
          <cell r="M154">
            <v>274.90299999999996</v>
          </cell>
          <cell r="N154">
            <v>321.84399999999999</v>
          </cell>
          <cell r="O154">
            <v>342.73099999999999</v>
          </cell>
          <cell r="P154">
            <v>340.87</v>
          </cell>
          <cell r="Q154">
            <v>362.97132309144723</v>
          </cell>
          <cell r="R154">
            <v>353.82244655630132</v>
          </cell>
          <cell r="S154">
            <v>20.6508</v>
          </cell>
          <cell r="T154">
            <v>20.6508</v>
          </cell>
          <cell r="U154">
            <v>20.6508</v>
          </cell>
          <cell r="V154">
            <v>20.6508</v>
          </cell>
          <cell r="W154">
            <v>20.6508</v>
          </cell>
          <cell r="X154">
            <v>20.6508</v>
          </cell>
          <cell r="Y154">
            <v>20.6508</v>
          </cell>
          <cell r="AA154">
            <v>95.608000000000004</v>
          </cell>
          <cell r="AB154">
            <v>147.12700000000001</v>
          </cell>
          <cell r="AC154">
            <v>94.400999999999996</v>
          </cell>
          <cell r="AD154">
            <v>88.316000000000003</v>
          </cell>
          <cell r="AE154">
            <v>36.869999999999997</v>
          </cell>
          <cell r="AF154">
            <v>30.126999999999999</v>
          </cell>
          <cell r="AG154">
            <v>25.099</v>
          </cell>
          <cell r="AH154">
            <v>12.734999999999999</v>
          </cell>
          <cell r="AI154">
            <v>22.373000000000001</v>
          </cell>
          <cell r="AJ154">
            <v>27.885000000000002</v>
          </cell>
          <cell r="AK154">
            <v>34.529000000000003</v>
          </cell>
          <cell r="AL154">
            <v>44.91</v>
          </cell>
          <cell r="AM154">
            <v>29.05</v>
          </cell>
          <cell r="AN154">
            <v>42.517000000000003</v>
          </cell>
          <cell r="AO154">
            <v>46.88</v>
          </cell>
          <cell r="AP154">
            <v>49.381999999999998</v>
          </cell>
          <cell r="AQ154">
            <v>37.81</v>
          </cell>
          <cell r="AR154">
            <v>42.468000000000004</v>
          </cell>
          <cell r="AS154">
            <v>39.67</v>
          </cell>
          <cell r="AT154">
            <v>41.052999999999997</v>
          </cell>
          <cell r="AU154">
            <v>37.945999999999998</v>
          </cell>
          <cell r="AV154">
            <v>50.378</v>
          </cell>
          <cell r="AW154">
            <v>48.170999999999999</v>
          </cell>
          <cell r="AX154">
            <v>55.774000000000001</v>
          </cell>
          <cell r="AY154">
            <v>55.103999999999999</v>
          </cell>
          <cell r="AZ154">
            <v>78.126999999999995</v>
          </cell>
          <cell r="BA154">
            <v>58.633000000000003</v>
          </cell>
          <cell r="BB154">
            <v>66.040999999999997</v>
          </cell>
          <cell r="BC154">
            <v>59.637</v>
          </cell>
          <cell r="BD154">
            <v>66.844999999999999</v>
          </cell>
          <cell r="BE154">
            <v>75.947000000000003</v>
          </cell>
          <cell r="BF154">
            <v>72.867999999999995</v>
          </cell>
          <cell r="BG154">
            <v>73.424999999999997</v>
          </cell>
          <cell r="BH154">
            <v>69.2</v>
          </cell>
          <cell r="BI154">
            <v>59.930999999999997</v>
          </cell>
          <cell r="BJ154">
            <v>72.346999999999994</v>
          </cell>
          <cell r="BK154">
            <v>80.929000000000002</v>
          </cell>
          <cell r="BL154">
            <v>84.988</v>
          </cell>
          <cell r="BM154">
            <v>77.808999999999997</v>
          </cell>
          <cell r="BN154">
            <v>78.117999999999995</v>
          </cell>
          <cell r="BO154">
            <v>79.275999999999996</v>
          </cell>
          <cell r="BP154">
            <v>90.861000000000004</v>
          </cell>
          <cell r="BQ154">
            <v>85.956999999999994</v>
          </cell>
          <cell r="BR154">
            <v>86.637</v>
          </cell>
          <cell r="BS154">
            <v>79.108999999999995</v>
          </cell>
          <cell r="BT154">
            <v>80.792000000000002</v>
          </cell>
          <cell r="BU154">
            <v>83.9</v>
          </cell>
          <cell r="BV154">
            <v>97.069000000000003</v>
          </cell>
          <cell r="BW154">
            <v>85.797909427320292</v>
          </cell>
          <cell r="BX154">
            <v>89.0275630904586</v>
          </cell>
          <cell r="BY154">
            <v>92.963647225292377</v>
          </cell>
          <cell r="BZ154">
            <v>5.1627000000000001</v>
          </cell>
          <cell r="CA154">
            <v>5.1627000000000001</v>
          </cell>
          <cell r="CB154">
            <v>5.1627000000000001</v>
          </cell>
          <cell r="CC154">
            <v>5.1627000000000001</v>
          </cell>
          <cell r="CD154">
            <v>5.1627000000000001</v>
          </cell>
        </row>
        <row r="155">
          <cell r="B155" t="str">
            <v>Senior Notes (2014)</v>
          </cell>
          <cell r="C155">
            <v>9.2499999999999999E-2</v>
          </cell>
          <cell r="J155">
            <v>0</v>
          </cell>
          <cell r="S155">
            <v>0</v>
          </cell>
          <cell r="T155">
            <v>0</v>
          </cell>
          <cell r="U155">
            <v>0</v>
          </cell>
          <cell r="V155">
            <v>0</v>
          </cell>
          <cell r="W155">
            <v>0</v>
          </cell>
          <cell r="X155">
            <v>0</v>
          </cell>
          <cell r="Y155">
            <v>0</v>
          </cell>
          <cell r="BZ155">
            <v>0</v>
          </cell>
          <cell r="CA155">
            <v>0</v>
          </cell>
          <cell r="CB155">
            <v>0</v>
          </cell>
          <cell r="CC155">
            <v>0</v>
          </cell>
          <cell r="CD155">
            <v>0</v>
          </cell>
        </row>
        <row r="156">
          <cell r="B156" t="str">
            <v>Premium Amortization</v>
          </cell>
          <cell r="E156">
            <v>0.61473774250925106</v>
          </cell>
          <cell r="F156">
            <v>0.15071149870466696</v>
          </cell>
          <cell r="G156">
            <v>0.19369585314020052</v>
          </cell>
          <cell r="H156">
            <v>0.25697801364902378</v>
          </cell>
          <cell r="I156">
            <v>0.22716927674548873</v>
          </cell>
          <cell r="J156">
            <v>0.23667518079704569</v>
          </cell>
          <cell r="K156">
            <v>0.23799021666009948</v>
          </cell>
          <cell r="L156">
            <v>0.23752587317377888</v>
          </cell>
          <cell r="M156">
            <v>0.2269318716515738</v>
          </cell>
          <cell r="N156">
            <v>0.25278929538922895</v>
          </cell>
          <cell r="O156">
            <v>0.25073762282435103</v>
          </cell>
          <cell r="P156">
            <v>0.23184413588119071</v>
          </cell>
          <cell r="Q156">
            <v>0.23133617264239267</v>
          </cell>
          <cell r="R156">
            <v>0.21</v>
          </cell>
          <cell r="S156">
            <v>0</v>
          </cell>
          <cell r="T156">
            <v>0</v>
          </cell>
          <cell r="U156">
            <v>0</v>
          </cell>
          <cell r="V156">
            <v>0</v>
          </cell>
          <cell r="W156">
            <v>0</v>
          </cell>
          <cell r="X156">
            <v>0</v>
          </cell>
          <cell r="Y156">
            <v>0</v>
          </cell>
          <cell r="AB156">
            <v>0.82156218938810166</v>
          </cell>
          <cell r="AC156">
            <v>0.55155913130357048</v>
          </cell>
          <cell r="AD156">
            <v>0.50947521445424504</v>
          </cell>
          <cell r="AE156">
            <v>0.21852903348170621</v>
          </cell>
          <cell r="AF156">
            <v>0.16322273751733701</v>
          </cell>
          <cell r="AG156">
            <v>0.15014506625190679</v>
          </cell>
          <cell r="AH156">
            <v>7.2724054044793679E-2</v>
          </cell>
          <cell r="AI156">
            <v>0.13558325707671517</v>
          </cell>
          <cell r="AJ156">
            <v>0.17131324797876787</v>
          </cell>
          <cell r="AK156">
            <v>0.20025169925998096</v>
          </cell>
          <cell r="AL156">
            <v>0.26514659518945788</v>
          </cell>
          <cell r="AM156">
            <v>0.17971036010120695</v>
          </cell>
          <cell r="AN156">
            <v>0.26111923157235334</v>
          </cell>
          <cell r="AO156">
            <v>0.29192716765885374</v>
          </cell>
          <cell r="AP156">
            <v>0.29389849069180596</v>
          </cell>
          <cell r="AQ156">
            <v>0.22037138494177444</v>
          </cell>
          <cell r="AR156">
            <v>0.24298391664807159</v>
          </cell>
          <cell r="AS156">
            <v>0.22304435585892038</v>
          </cell>
          <cell r="AT156">
            <v>0.22248657319842399</v>
          </cell>
          <cell r="AU156">
            <v>0.20380585110668306</v>
          </cell>
          <cell r="AV156">
            <v>0.263348283829418</v>
          </cell>
          <cell r="AW156">
            <v>0.24563380568969301</v>
          </cell>
          <cell r="AX156">
            <v>0.23357804850469679</v>
          </cell>
          <cell r="AY156">
            <v>0.21080981820407663</v>
          </cell>
          <cell r="AZ156">
            <v>0.29149907842010608</v>
          </cell>
          <cell r="BA156">
            <v>0.21337151965297516</v>
          </cell>
          <cell r="BB156">
            <v>0.23630293835606633</v>
          </cell>
          <cell r="BC156">
            <v>0.21104167256461795</v>
          </cell>
          <cell r="BD156">
            <v>0.23036495847261948</v>
          </cell>
          <cell r="BE156">
            <v>0.26043227636059385</v>
          </cell>
          <cell r="BF156">
            <v>0.24730693781690569</v>
          </cell>
          <cell r="BG156">
            <v>0.24669809260460096</v>
          </cell>
          <cell r="BH156">
            <v>0.22985527753696122</v>
          </cell>
          <cell r="BI156">
            <v>0.19664595132002913</v>
          </cell>
          <cell r="BJ156">
            <v>0.23494320211473885</v>
          </cell>
          <cell r="BK156">
            <v>0.26004543541198738</v>
          </cell>
          <cell r="BL156">
            <v>0.2682287146243163</v>
          </cell>
          <cell r="BM156">
            <v>0.24292993312394237</v>
          </cell>
          <cell r="BN156">
            <v>0.24049849607625215</v>
          </cell>
          <cell r="BO156">
            <v>0.23839394723072574</v>
          </cell>
          <cell r="BP156">
            <v>0.26851288173860621</v>
          </cell>
          <cell r="BQ156">
            <v>0.24954420883944536</v>
          </cell>
          <cell r="BR156">
            <v>0.24647304321108821</v>
          </cell>
          <cell r="BS156">
            <v>0.22040537716793204</v>
          </cell>
          <cell r="BT156">
            <v>0.22164975322562508</v>
          </cell>
          <cell r="BU156">
            <v>0.22741194902069209</v>
          </cell>
          <cell r="BV156">
            <v>0.25686900789376887</v>
          </cell>
          <cell r="BW156">
            <v>0.22500000000000001</v>
          </cell>
          <cell r="BX156">
            <v>0.23</v>
          </cell>
          <cell r="BY156">
            <v>0.23499999999999999</v>
          </cell>
          <cell r="BZ156">
            <v>0</v>
          </cell>
          <cell r="CA156">
            <v>0</v>
          </cell>
          <cell r="CB156">
            <v>0</v>
          </cell>
          <cell r="CC156">
            <v>0</v>
          </cell>
          <cell r="CD156">
            <v>0</v>
          </cell>
        </row>
        <row r="157">
          <cell r="B157" t="str">
            <v>Senior Notes (2018)</v>
          </cell>
          <cell r="C157">
            <v>0.08</v>
          </cell>
          <cell r="E157">
            <v>2.0496697515548901</v>
          </cell>
          <cell r="F157">
            <v>0.44174708187602713</v>
          </cell>
          <cell r="G157">
            <v>0.57925271544947843</v>
          </cell>
          <cell r="H157">
            <v>0.72751508531002906</v>
          </cell>
          <cell r="I157">
            <v>0.67596355697371735</v>
          </cell>
          <cell r="J157">
            <v>0.75078390103517889</v>
          </cell>
          <cell r="K157">
            <v>0.92288891910654336</v>
          </cell>
          <cell r="L157">
            <v>0.96330782446821539</v>
          </cell>
          <cell r="M157">
            <v>0.92820266943987662</v>
          </cell>
          <cell r="N157">
            <v>1.1114779461535274</v>
          </cell>
          <cell r="O157">
            <v>1.2096573241708402</v>
          </cell>
          <cell r="P157">
            <v>1.1990136901495645</v>
          </cell>
          <cell r="Q157">
            <v>1.2001984124293592</v>
          </cell>
          <cell r="R157">
            <v>1.137630537768433</v>
          </cell>
          <cell r="S157">
            <v>1.8800000000000001</v>
          </cell>
          <cell r="T157">
            <v>1.8800000000000001</v>
          </cell>
          <cell r="U157">
            <v>1.8800000000000001</v>
          </cell>
          <cell r="V157">
            <v>1.8800000000000001</v>
          </cell>
          <cell r="W157">
            <v>1.8800000000000001</v>
          </cell>
          <cell r="X157">
            <v>1.8800000000000001</v>
          </cell>
          <cell r="Y157">
            <v>1.8800000000000001</v>
          </cell>
          <cell r="AA157">
            <v>1.8150545799715236</v>
          </cell>
          <cell r="AB157">
            <v>3.1830513608238502</v>
          </cell>
          <cell r="AC157">
            <v>1.8171161286596984</v>
          </cell>
          <cell r="AD157">
            <v>1.5569698358690478</v>
          </cell>
          <cell r="AE157">
            <v>0.64307391774514244</v>
          </cell>
          <cell r="AF157">
            <v>0.52695375358567131</v>
          </cell>
          <cell r="AG157">
            <v>0.40637598562246008</v>
          </cell>
          <cell r="AH157">
            <v>0.20863026490391703</v>
          </cell>
          <cell r="AI157">
            <v>0.41347255590463872</v>
          </cell>
          <cell r="AJ157">
            <v>0.51298796865226837</v>
          </cell>
          <cell r="AK157">
            <v>0.61212948517940724</v>
          </cell>
          <cell r="AL157">
            <v>0.76082537101036796</v>
          </cell>
          <cell r="AM157">
            <v>0.51132663298892855</v>
          </cell>
          <cell r="AN157">
            <v>0.77884227880564205</v>
          </cell>
          <cell r="AO157">
            <v>0.85619315483800273</v>
          </cell>
          <cell r="AP157">
            <v>0.76524461111713737</v>
          </cell>
          <cell r="AQ157">
            <v>0.65182912112540081</v>
          </cell>
          <cell r="AR157">
            <v>0.72382056176711218</v>
          </cell>
          <cell r="AS157">
            <v>0.66565987079452982</v>
          </cell>
          <cell r="AT157">
            <v>0.66313987109696804</v>
          </cell>
          <cell r="AU157">
            <v>0.63107651881787485</v>
          </cell>
          <cell r="AV157">
            <v>0.80776692802283268</v>
          </cell>
          <cell r="AW157">
            <v>0.77660088992068099</v>
          </cell>
          <cell r="AX157">
            <v>0.77932566685763005</v>
          </cell>
          <cell r="AY157">
            <v>0.83314182038100992</v>
          </cell>
          <cell r="AZ157">
            <v>1.1387945485022957</v>
          </cell>
          <cell r="BA157">
            <v>0.81912545403744064</v>
          </cell>
          <cell r="BB157">
            <v>0.90307538732923998</v>
          </cell>
          <cell r="BC157">
            <v>0.85367669162169524</v>
          </cell>
          <cell r="BD157">
            <v>0.94255418153104253</v>
          </cell>
          <cell r="BE157">
            <v>1.0616464207333267</v>
          </cell>
          <cell r="BF157">
            <v>0.99183317907116009</v>
          </cell>
          <cell r="BG157">
            <v>1.0031971143993113</v>
          </cell>
          <cell r="BH157">
            <v>0.93003252425879634</v>
          </cell>
          <cell r="BI157">
            <v>0.80682552504038763</v>
          </cell>
          <cell r="BJ157">
            <v>0.97384573966886512</v>
          </cell>
          <cell r="BK157">
            <v>1.1027702454113126</v>
          </cell>
          <cell r="BL157">
            <v>1.1798808846191222</v>
          </cell>
          <cell r="BM157">
            <v>1.0865357761269061</v>
          </cell>
          <cell r="BN157">
            <v>1.0769845865387264</v>
          </cell>
          <cell r="BO157">
            <v>1.1368016519444761</v>
          </cell>
          <cell r="BP157">
            <v>1.2965140337609338</v>
          </cell>
          <cell r="BQ157">
            <v>1.2116859317733295</v>
          </cell>
          <cell r="BR157">
            <v>1.1938075290745742</v>
          </cell>
          <cell r="BS157">
            <v>1.1566657893967305</v>
          </cell>
          <cell r="BT157">
            <v>1.146489945933673</v>
          </cell>
          <cell r="BU157">
            <v>1.1862681333597265</v>
          </cell>
          <cell r="BV157">
            <v>1.2993989531879577</v>
          </cell>
          <cell r="BW157">
            <v>1.1595964903566887</v>
          </cell>
          <cell r="BX157">
            <v>1.2036809426612904</v>
          </cell>
          <cell r="BY157">
            <v>1.237882569642544</v>
          </cell>
          <cell r="BZ157">
            <v>0.47000000000000003</v>
          </cell>
          <cell r="CA157">
            <v>0.47000000000000003</v>
          </cell>
          <cell r="CB157">
            <v>0.47000000000000003</v>
          </cell>
          <cell r="CC157">
            <v>0.47000000000000003</v>
          </cell>
          <cell r="CD157">
            <v>0.47000000000000003</v>
          </cell>
        </row>
        <row r="158">
          <cell r="B158" t="str">
            <v>Discount Amortization</v>
          </cell>
          <cell r="C158">
            <v>8.1000000000000003E-2</v>
          </cell>
          <cell r="S158">
            <v>2.3499999999999854E-2</v>
          </cell>
          <cell r="T158">
            <v>2.3499999999999854E-2</v>
          </cell>
          <cell r="U158">
            <v>2.3499999999999854E-2</v>
          </cell>
          <cell r="V158">
            <v>2.3499999999999854E-2</v>
          </cell>
          <cell r="W158">
            <v>2.3499999999999854E-2</v>
          </cell>
          <cell r="X158">
            <v>2.3499999999999854E-2</v>
          </cell>
          <cell r="Y158">
            <v>2.3499999999999854E-2</v>
          </cell>
          <cell r="BZ158">
            <v>5.8749999999999636E-3</v>
          </cell>
          <cell r="CA158">
            <v>5.8749999999999636E-3</v>
          </cell>
          <cell r="CB158">
            <v>5.8749999999999636E-3</v>
          </cell>
          <cell r="CC158">
            <v>5.8749999999999636E-3</v>
          </cell>
          <cell r="CD158">
            <v>5.8749999999999636E-3</v>
          </cell>
        </row>
        <row r="159">
          <cell r="B159" t="str">
            <v>Senior Notes (2022)</v>
          </cell>
          <cell r="C159">
            <v>5.3749999999999999E-2</v>
          </cell>
          <cell r="S159">
            <v>25.8</v>
          </cell>
          <cell r="T159">
            <v>25.8</v>
          </cell>
          <cell r="U159">
            <v>25.8</v>
          </cell>
          <cell r="V159">
            <v>25.8</v>
          </cell>
          <cell r="W159">
            <v>25.8</v>
          </cell>
          <cell r="X159">
            <v>25.8</v>
          </cell>
          <cell r="Y159">
            <v>25.8</v>
          </cell>
          <cell r="AB159">
            <v>0.53885658103924361</v>
          </cell>
          <cell r="AC159">
            <v>-0.35837065936231971</v>
          </cell>
          <cell r="AD159">
            <v>-6.4459062933655331E-2</v>
          </cell>
          <cell r="AE159">
            <v>-0.58252185334480733</v>
          </cell>
          <cell r="AF159">
            <v>-0.18288581502576617</v>
          </cell>
          <cell r="AG159">
            <v>-0.16689348425000827</v>
          </cell>
          <cell r="AH159">
            <v>-0.49260926730148613</v>
          </cell>
          <cell r="AI159">
            <v>0.75681193561052229</v>
          </cell>
          <cell r="AJ159">
            <v>0.24636839047065662</v>
          </cell>
          <cell r="AK159">
            <v>0.23826429980276131</v>
          </cell>
          <cell r="AL159">
            <v>0.30064583393669064</v>
          </cell>
          <cell r="AM159">
            <v>-0.35315074593631701</v>
          </cell>
          <cell r="AN159">
            <v>0.46358003442340801</v>
          </cell>
          <cell r="AO159">
            <v>0.10261777641884429</v>
          </cell>
          <cell r="AP159">
            <v>5.3370307167235342E-2</v>
          </cell>
          <cell r="AQ159">
            <v>-0.23433639787776916</v>
          </cell>
          <cell r="AR159">
            <v>0.12319492197831261</v>
          </cell>
          <cell r="AS159">
            <v>-6.5884901572949128E-2</v>
          </cell>
          <cell r="AT159">
            <v>3.4862616586841311E-2</v>
          </cell>
          <cell r="AU159">
            <v>-7.5682654130027061E-2</v>
          </cell>
          <cell r="AV159">
            <v>0.3276234649238392</v>
          </cell>
          <cell r="AW159">
            <v>-4.3808805430942122E-2</v>
          </cell>
          <cell r="AX159">
            <v>0.15783355130680299</v>
          </cell>
          <cell r="AY159">
            <v>-1.201276580485533E-2</v>
          </cell>
          <cell r="AZ159">
            <v>0.41780995934959342</v>
          </cell>
          <cell r="BA159">
            <v>-0.24951681236960321</v>
          </cell>
          <cell r="BB159">
            <v>0.1263452322071188</v>
          </cell>
          <cell r="BC159">
            <v>-9.6970064051119742E-2</v>
          </cell>
          <cell r="BD159">
            <v>0.12086456394520173</v>
          </cell>
          <cell r="BE159">
            <v>0.13616575660109209</v>
          </cell>
          <cell r="BF159">
            <v>-4.0541430207908236E-2</v>
          </cell>
          <cell r="BG159">
            <v>7.6439589394521334E-3</v>
          </cell>
          <cell r="BH159">
            <v>-5.7541709227102444E-2</v>
          </cell>
          <cell r="BI159">
            <v>-0.13394508670520233</v>
          </cell>
          <cell r="BJ159">
            <v>0.2071715806510821</v>
          </cell>
          <cell r="BK159">
            <v>0.11862274869725087</v>
          </cell>
          <cell r="BL159">
            <v>5.0155074200842753E-2</v>
          </cell>
          <cell r="BM159">
            <v>-8.4470748811596996E-2</v>
          </cell>
          <cell r="BN159">
            <v>3.9712629644386155E-3</v>
          </cell>
          <cell r="BO159">
            <v>1.4823728206047271E-2</v>
          </cell>
          <cell r="BP159">
            <v>0.14613502194863526</v>
          </cell>
          <cell r="BQ159">
            <v>-5.39725514797329E-2</v>
          </cell>
          <cell r="BR159">
            <v>7.910932210291266E-3</v>
          </cell>
          <cell r="BS159">
            <v>-8.6891282015767013E-2</v>
          </cell>
          <cell r="BT159">
            <v>2.1274444121402114E-2</v>
          </cell>
          <cell r="BU159">
            <v>3.8469155361916973E-2</v>
          </cell>
          <cell r="BV159">
            <v>0.15696066746126336</v>
          </cell>
          <cell r="BW159">
            <v>-0.11611421331918237</v>
          </cell>
          <cell r="BX159">
            <v>3.7642568271132104E-2</v>
          </cell>
          <cell r="BY159">
            <v>4.4211972092670138E-2</v>
          </cell>
          <cell r="BZ159">
            <v>6.45</v>
          </cell>
          <cell r="CA159">
            <v>6.45</v>
          </cell>
          <cell r="CB159">
            <v>6.45</v>
          </cell>
          <cell r="CC159">
            <v>6.45</v>
          </cell>
          <cell r="CD159">
            <v>6.45</v>
          </cell>
        </row>
        <row r="160">
          <cell r="B160" t="str">
            <v>Discount Amortization</v>
          </cell>
          <cell r="C160">
            <v>5.3749999999999999E-2</v>
          </cell>
          <cell r="F160">
            <v>-0.75360087624455874</v>
          </cell>
          <cell r="G160">
            <v>0.23720082799935138</v>
          </cell>
          <cell r="H160">
            <v>0.29400834252141528</v>
          </cell>
          <cell r="I160">
            <v>-4.0684267915556904E-2</v>
          </cell>
          <cell r="J160">
            <v>0.19420997385109406</v>
          </cell>
          <cell r="K160">
            <v>0.34137588482802728</v>
          </cell>
          <cell r="L160">
            <v>6.7435683681976055E-2</v>
          </cell>
          <cell r="M160">
            <v>-1.4311815966031594E-3</v>
          </cell>
          <cell r="N160">
            <v>0.17075477532074967</v>
          </cell>
          <cell r="O160">
            <v>6.4897900846372814E-2</v>
          </cell>
          <cell r="P160">
            <v>-5.42991442268137E-3</v>
          </cell>
          <cell r="Q160">
            <v>6.4837982490237422E-2</v>
          </cell>
          <cell r="R160">
            <v>-2.5205507854517029E-2</v>
          </cell>
          <cell r="S160">
            <v>0</v>
          </cell>
          <cell r="T160">
            <v>0</v>
          </cell>
          <cell r="U160">
            <v>0</v>
          </cell>
          <cell r="V160">
            <v>0</v>
          </cell>
          <cell r="W160">
            <v>0</v>
          </cell>
          <cell r="X160">
            <v>0</v>
          </cell>
          <cell r="Y160">
            <v>0</v>
          </cell>
          <cell r="AE160">
            <v>-0.61436281482721111</v>
          </cell>
          <cell r="AF160">
            <v>-0.79523133075506203</v>
          </cell>
          <cell r="AG160">
            <v>-0.73412357919937288</v>
          </cell>
          <cell r="AH160">
            <v>-0.85580189320168487</v>
          </cell>
          <cell r="AI160">
            <v>-0.39319229726064542</v>
          </cell>
          <cell r="AJ160">
            <v>-7.4418295880771312E-2</v>
          </cell>
          <cell r="AK160">
            <v>0.37571217976811844</v>
          </cell>
          <cell r="AL160">
            <v>2.526501766784452</v>
          </cell>
          <cell r="AM160">
            <v>0.29844008402985733</v>
          </cell>
          <cell r="AN160">
            <v>0.52472655549578628</v>
          </cell>
          <cell r="AO160">
            <v>0.35769932520490011</v>
          </cell>
          <cell r="AP160">
            <v>9.9576931641059963E-2</v>
          </cell>
          <cell r="AQ160">
            <v>0.30154905335628235</v>
          </cell>
          <cell r="AR160">
            <v>-1.1524801843968424E-3</v>
          </cell>
          <cell r="AS160">
            <v>-0.15379692832764502</v>
          </cell>
          <cell r="AT160">
            <v>-0.16866469563808673</v>
          </cell>
          <cell r="AU160">
            <v>3.5969320285638151E-3</v>
          </cell>
          <cell r="AV160">
            <v>0.18625788829236112</v>
          </cell>
          <cell r="AW160">
            <v>0.21429291656163341</v>
          </cell>
          <cell r="AX160">
            <v>0.35858524346576393</v>
          </cell>
          <cell r="AY160">
            <v>0.45216887155431418</v>
          </cell>
          <cell r="AZ160">
            <v>0.55081583230775322</v>
          </cell>
          <cell r="BA160">
            <v>0.21718461314899007</v>
          </cell>
          <cell r="BB160">
            <v>0.18408218883350647</v>
          </cell>
          <cell r="BC160">
            <v>8.2262630662020886E-2</v>
          </cell>
          <cell r="BD160">
            <v>-0.14440590320887781</v>
          </cell>
          <cell r="BE160">
            <v>0.2952944587518973</v>
          </cell>
          <cell r="BF160">
            <v>0.1033751760270134</v>
          </cell>
          <cell r="BG160">
            <v>0.23119875245233668</v>
          </cell>
          <cell r="BH160">
            <v>3.5230757723090811E-2</v>
          </cell>
          <cell r="BI160">
            <v>-0.21088390588173334</v>
          </cell>
          <cell r="BJ160">
            <v>-7.1499149146402319E-3</v>
          </cell>
          <cell r="BK160">
            <v>0.10219952332311899</v>
          </cell>
          <cell r="BL160">
            <v>0.22815028901734102</v>
          </cell>
          <cell r="BM160">
            <v>0.29830972284794188</v>
          </cell>
          <cell r="BN160">
            <v>7.9768338700982877E-2</v>
          </cell>
          <cell r="BO160">
            <v>-2.0425311075140007E-2</v>
          </cell>
          <cell r="BP160">
            <v>6.9103873488021827E-2</v>
          </cell>
          <cell r="BQ160">
            <v>0.1047179632176225</v>
          </cell>
          <cell r="BR160">
            <v>0.10905297114621471</v>
          </cell>
          <cell r="BS160">
            <v>-2.1065644078914758E-3</v>
          </cell>
          <cell r="BT160">
            <v>-0.11081762252231431</v>
          </cell>
          <cell r="BU160">
            <v>-2.3930569936130741E-2</v>
          </cell>
          <cell r="BV160">
            <v>0.12041044819188107</v>
          </cell>
          <cell r="BW160">
            <v>8.4553077744887295E-2</v>
          </cell>
          <cell r="BX160">
            <v>0.10193537838472366</v>
          </cell>
          <cell r="BY160">
            <v>0.1080291683586696</v>
          </cell>
          <cell r="BZ160">
            <v>0</v>
          </cell>
          <cell r="CA160">
            <v>0</v>
          </cell>
          <cell r="CB160">
            <v>0</v>
          </cell>
          <cell r="CC160">
            <v>0</v>
          </cell>
          <cell r="CD160">
            <v>0</v>
          </cell>
        </row>
        <row r="161">
          <cell r="B161" t="str">
            <v>Senior Notes (2022)</v>
          </cell>
          <cell r="C161">
            <v>5.3749999999999999E-2</v>
          </cell>
          <cell r="S161">
            <v>24.1875</v>
          </cell>
          <cell r="T161">
            <v>24.1875</v>
          </cell>
          <cell r="U161">
            <v>24.1875</v>
          </cell>
          <cell r="V161">
            <v>24.1875</v>
          </cell>
          <cell r="W161">
            <v>24.1875</v>
          </cell>
          <cell r="X161">
            <v>24.1875</v>
          </cell>
          <cell r="Y161">
            <v>24.1875</v>
          </cell>
          <cell r="BZ161">
            <v>6.046875</v>
          </cell>
          <cell r="CA161">
            <v>6.046875</v>
          </cell>
          <cell r="CB161">
            <v>6.046875</v>
          </cell>
          <cell r="CC161">
            <v>6.046875</v>
          </cell>
          <cell r="CD161">
            <v>6.046875</v>
          </cell>
        </row>
        <row r="162">
          <cell r="A162" t="str">
            <v>x</v>
          </cell>
          <cell r="B162" t="str">
            <v>Discount Amortization</v>
          </cell>
          <cell r="C162">
            <v>5.8173999999999997E-2</v>
          </cell>
          <cell r="S162">
            <v>1.9908000000000001</v>
          </cell>
          <cell r="T162">
            <v>1.9908000000000001</v>
          </cell>
          <cell r="U162">
            <v>1.9908000000000001</v>
          </cell>
          <cell r="V162">
            <v>1.9908000000000001</v>
          </cell>
          <cell r="W162">
            <v>1.9908000000000001</v>
          </cell>
          <cell r="X162">
            <v>1.9908000000000001</v>
          </cell>
          <cell r="Y162">
            <v>1.9908000000000001</v>
          </cell>
          <cell r="BZ162">
            <v>0.49770000000000003</v>
          </cell>
          <cell r="CA162">
            <v>0.49770000000000003</v>
          </cell>
          <cell r="CB162">
            <v>0.49770000000000003</v>
          </cell>
          <cell r="CC162">
            <v>0.49770000000000003</v>
          </cell>
          <cell r="CD162">
            <v>0.49770000000000003</v>
          </cell>
        </row>
        <row r="163">
          <cell r="B163" t="str">
            <v>Senior Notes (2022)</v>
          </cell>
          <cell r="C163">
            <v>6.3750000000000001E-2</v>
          </cell>
          <cell r="S163">
            <v>22.3125</v>
          </cell>
          <cell r="T163">
            <v>22.3125</v>
          </cell>
          <cell r="U163">
            <v>22.3125</v>
          </cell>
          <cell r="V163">
            <v>22.3125</v>
          </cell>
          <cell r="W163">
            <v>22.3125</v>
          </cell>
          <cell r="X163">
            <v>22.3125</v>
          </cell>
          <cell r="Y163">
            <v>22.3125</v>
          </cell>
          <cell r="BZ163">
            <v>5.578125</v>
          </cell>
          <cell r="CA163">
            <v>5.578125</v>
          </cell>
          <cell r="CB163">
            <v>5.578125</v>
          </cell>
          <cell r="CC163">
            <v>5.578125</v>
          </cell>
          <cell r="CD163">
            <v>5.578125</v>
          </cell>
        </row>
        <row r="164">
          <cell r="B164" t="str">
            <v>Discount Amortization</v>
          </cell>
          <cell r="C164">
            <v>6.3750000000000001E-2</v>
          </cell>
          <cell r="K164">
            <v>1968.8009999999999</v>
          </cell>
          <cell r="L164">
            <v>2180.636</v>
          </cell>
          <cell r="M164">
            <v>2356.127</v>
          </cell>
          <cell r="N164">
            <v>2530.4279999999999</v>
          </cell>
          <cell r="O164">
            <v>2738.6179999999999</v>
          </cell>
          <cell r="P164">
            <v>2869.3040000000001</v>
          </cell>
          <cell r="S164">
            <v>0</v>
          </cell>
          <cell r="T164">
            <v>0</v>
          </cell>
          <cell r="U164">
            <v>0</v>
          </cell>
          <cell r="V164">
            <v>0</v>
          </cell>
          <cell r="W164">
            <v>0</v>
          </cell>
          <cell r="X164">
            <v>0</v>
          </cell>
          <cell r="Y164">
            <v>0</v>
          </cell>
          <cell r="BB164">
            <v>1968.8009999999999</v>
          </cell>
          <cell r="BF164">
            <v>2180.636</v>
          </cell>
          <cell r="BJ164">
            <v>2356.127</v>
          </cell>
          <cell r="BN164">
            <v>2530.4279999999999</v>
          </cell>
          <cell r="BR164">
            <v>2738.6179999999999</v>
          </cell>
          <cell r="BV164">
            <v>2869.3040000000001</v>
          </cell>
          <cell r="BZ164">
            <v>0</v>
          </cell>
          <cell r="CA164">
            <v>0</v>
          </cell>
          <cell r="CB164">
            <v>0</v>
          </cell>
          <cell r="CC164">
            <v>0</v>
          </cell>
          <cell r="CD164">
            <v>0</v>
          </cell>
        </row>
        <row r="165">
          <cell r="B165" t="str">
            <v>Convertible Senior Debentures (2026)</v>
          </cell>
          <cell r="C165">
            <v>2.375E-2</v>
          </cell>
          <cell r="J165">
            <v>36.874000000000002</v>
          </cell>
          <cell r="K165">
            <v>792.95799999999997</v>
          </cell>
          <cell r="L165">
            <v>842.18399999999997</v>
          </cell>
          <cell r="M165">
            <v>887.44299999999998</v>
          </cell>
          <cell r="N165">
            <v>947.93700000000001</v>
          </cell>
          <cell r="O165">
            <v>1014.952</v>
          </cell>
          <cell r="P165">
            <v>1089.21</v>
          </cell>
          <cell r="S165">
            <v>8.8764912500000008</v>
          </cell>
          <cell r="T165">
            <v>8.8764912500000008</v>
          </cell>
          <cell r="U165">
            <v>8.8764912500000008</v>
          </cell>
          <cell r="V165">
            <v>8.8764912500000008</v>
          </cell>
          <cell r="W165">
            <v>8.8764912500000008</v>
          </cell>
          <cell r="X165">
            <v>8.8764912500000008</v>
          </cell>
          <cell r="Y165">
            <v>8.8764912500000008</v>
          </cell>
          <cell r="BB165">
            <v>792.95799999999997</v>
          </cell>
          <cell r="BF165">
            <v>842.18399999999997</v>
          </cell>
          <cell r="BJ165">
            <v>887.44299999999998</v>
          </cell>
          <cell r="BN165">
            <v>947.93700000000001</v>
          </cell>
          <cell r="BR165">
            <v>1014.952</v>
          </cell>
          <cell r="BV165">
            <v>1089.21</v>
          </cell>
          <cell r="BZ165">
            <v>0</v>
          </cell>
          <cell r="CA165">
            <v>0</v>
          </cell>
          <cell r="CB165">
            <v>0</v>
          </cell>
          <cell r="CC165">
            <v>0</v>
          </cell>
          <cell r="CD165">
            <v>0</v>
          </cell>
        </row>
        <row r="166">
          <cell r="B166" t="str">
            <v>Discount Amortization</v>
          </cell>
          <cell r="C166">
            <v>8.5000000000000006E-2</v>
          </cell>
          <cell r="K166">
            <v>177.74199999999999</v>
          </cell>
          <cell r="L166">
            <v>178.05099999999999</v>
          </cell>
          <cell r="M166">
            <v>170.59299999999999</v>
          </cell>
          <cell r="N166">
            <v>187.804</v>
          </cell>
          <cell r="O166">
            <v>206.46600000000001</v>
          </cell>
          <cell r="P166">
            <v>227.977</v>
          </cell>
          <cell r="S166">
            <v>-8.8764912500000008</v>
          </cell>
          <cell r="T166">
            <v>-8.8764912500000008</v>
          </cell>
          <cell r="U166">
            <v>-8.8764912500000008</v>
          </cell>
          <cell r="V166">
            <v>-8.8764912500000008</v>
          </cell>
          <cell r="W166">
            <v>-8.8764912500000008</v>
          </cell>
          <cell r="X166">
            <v>-8.8764912500000008</v>
          </cell>
          <cell r="Y166">
            <v>-8.8764912500000008</v>
          </cell>
          <cell r="BB166">
            <v>177.74199999999999</v>
          </cell>
          <cell r="BF166">
            <v>178.05099999999999</v>
          </cell>
          <cell r="BJ166">
            <v>170.59299999999999</v>
          </cell>
          <cell r="BN166">
            <v>187.804</v>
          </cell>
          <cell r="BR166">
            <v>206.46600000000001</v>
          </cell>
          <cell r="BV166">
            <v>227.977</v>
          </cell>
          <cell r="BZ166">
            <v>0</v>
          </cell>
          <cell r="CA166">
            <v>0</v>
          </cell>
          <cell r="CB166">
            <v>0</v>
          </cell>
          <cell r="CC166">
            <v>0</v>
          </cell>
          <cell r="CD166">
            <v>0</v>
          </cell>
        </row>
        <row r="167">
          <cell r="B167" t="str">
            <v>Capital Lease Obligations</v>
          </cell>
          <cell r="C167">
            <v>8.5999999999999993E-2</v>
          </cell>
          <cell r="J167">
            <v>36.874000000000002</v>
          </cell>
          <cell r="K167">
            <v>65.251000000000005</v>
          </cell>
          <cell r="L167">
            <v>65.997</v>
          </cell>
          <cell r="M167">
            <v>67.123999999999995</v>
          </cell>
          <cell r="N167">
            <v>65.881</v>
          </cell>
          <cell r="O167">
            <v>66.097999999999999</v>
          </cell>
          <cell r="P167">
            <v>61.377000000000002</v>
          </cell>
          <cell r="S167">
            <v>2.3938099999999998</v>
          </cell>
          <cell r="T167">
            <v>2.3938099999999998</v>
          </cell>
          <cell r="U167">
            <v>2.3938099999999998</v>
          </cell>
          <cell r="V167">
            <v>2.3938099999999998</v>
          </cell>
          <cell r="W167">
            <v>2.3938099999999998</v>
          </cell>
          <cell r="X167">
            <v>2.3938099999999998</v>
          </cell>
          <cell r="Y167">
            <v>2.3938099999999998</v>
          </cell>
          <cell r="BB167">
            <v>65.251000000000005</v>
          </cell>
          <cell r="BF167">
            <v>65.997</v>
          </cell>
          <cell r="BJ167">
            <v>67.123999999999995</v>
          </cell>
          <cell r="BN167">
            <v>65.881</v>
          </cell>
          <cell r="BR167">
            <v>66.097999999999999</v>
          </cell>
          <cell r="BV167">
            <v>61.377000000000002</v>
          </cell>
          <cell r="BZ167">
            <v>0.59845249999999994</v>
          </cell>
          <cell r="CA167">
            <v>0.59845249999999994</v>
          </cell>
          <cell r="CB167">
            <v>0.59845249999999994</v>
          </cell>
          <cell r="CC167">
            <v>0.59845249999999994</v>
          </cell>
          <cell r="CD167">
            <v>0.59845249999999994</v>
          </cell>
        </row>
        <row r="168">
          <cell r="B168" t="str">
            <v>Capital Lease Obligations</v>
          </cell>
          <cell r="J168">
            <v>36.874000000000002</v>
          </cell>
          <cell r="K168">
            <v>3004.7520000000004</v>
          </cell>
          <cell r="L168">
            <v>3266.8679999999995</v>
          </cell>
          <cell r="M168">
            <v>3481.2869999999994</v>
          </cell>
          <cell r="N168">
            <v>3732.0499999999997</v>
          </cell>
          <cell r="O168">
            <v>4026.1339999999996</v>
          </cell>
          <cell r="P168">
            <v>4247.8680000000004</v>
          </cell>
          <cell r="S168">
            <v>5</v>
          </cell>
          <cell r="T168">
            <v>5</v>
          </cell>
          <cell r="U168">
            <v>5</v>
          </cell>
          <cell r="V168">
            <v>5</v>
          </cell>
          <cell r="W168">
            <v>5</v>
          </cell>
          <cell r="X168">
            <v>5</v>
          </cell>
          <cell r="Y168">
            <v>5</v>
          </cell>
          <cell r="BB168">
            <v>3004.7520000000004</v>
          </cell>
          <cell r="BF168">
            <v>3266.8679999999995</v>
          </cell>
          <cell r="BJ168">
            <v>3481.2869999999994</v>
          </cell>
          <cell r="BK168">
            <v>3559.212</v>
          </cell>
          <cell r="BL168">
            <v>3640.018</v>
          </cell>
          <cell r="BM168">
            <v>3690.547</v>
          </cell>
          <cell r="BN168">
            <v>3732.0499999999997</v>
          </cell>
          <cell r="BO168">
            <v>3792.0949999999998</v>
          </cell>
          <cell r="BP168">
            <v>3877.2860000000001</v>
          </cell>
          <cell r="BQ168">
            <v>3958.489</v>
          </cell>
          <cell r="BR168">
            <v>4026.134</v>
          </cell>
          <cell r="BS168">
            <v>4080.835</v>
          </cell>
          <cell r="BT168">
            <v>4116.3289999999997</v>
          </cell>
          <cell r="BU168">
            <v>4186.3209999999999</v>
          </cell>
          <cell r="BV168">
            <v>4247.8680000000004</v>
          </cell>
          <cell r="BW168">
            <v>4333.6659094273209</v>
          </cell>
          <cell r="BX168">
            <v>4422.6934725177798</v>
          </cell>
          <cell r="BY168">
            <v>4515.6571197430721</v>
          </cell>
          <cell r="BZ168">
            <v>0</v>
          </cell>
          <cell r="CA168">
            <v>1.25</v>
          </cell>
          <cell r="CB168">
            <v>1.25</v>
          </cell>
          <cell r="CC168">
            <v>1.25</v>
          </cell>
          <cell r="CD168">
            <v>1.25</v>
          </cell>
        </row>
        <row r="169">
          <cell r="B169" t="str">
            <v>Total</v>
          </cell>
          <cell r="J169">
            <v>36.874000000000002</v>
          </cell>
          <cell r="K169">
            <v>-1727.8520000000001</v>
          </cell>
          <cell r="L169">
            <v>-1959.9580000000001</v>
          </cell>
          <cell r="M169">
            <v>84.001000000000005</v>
          </cell>
          <cell r="N169">
            <v>80.951999999999998</v>
          </cell>
          <cell r="O169">
            <v>87.718000000000018</v>
          </cell>
          <cell r="P169">
            <v>93.757000000000005</v>
          </cell>
          <cell r="Q169">
            <v>94.963727500000005</v>
          </cell>
          <cell r="R169">
            <v>104.23891</v>
          </cell>
          <cell r="S169">
            <v>104.23891</v>
          </cell>
          <cell r="T169">
            <v>104.23891</v>
          </cell>
          <cell r="U169">
            <v>104.23891</v>
          </cell>
          <cell r="V169">
            <v>104.23891</v>
          </cell>
          <cell r="W169">
            <v>104.23891</v>
          </cell>
          <cell r="X169">
            <v>104.23891</v>
          </cell>
          <cell r="Y169">
            <v>104.23891</v>
          </cell>
          <cell r="BB169">
            <v>-1727.8520000000001</v>
          </cell>
          <cell r="BF169">
            <v>23.305</v>
          </cell>
          <cell r="BG169">
            <v>21.458000000000002</v>
          </cell>
          <cell r="BH169">
            <v>21.027000000000001</v>
          </cell>
          <cell r="BI169">
            <v>20.731999999999999</v>
          </cell>
          <cell r="BJ169">
            <v>-2186.915</v>
          </cell>
          <cell r="BK169">
            <v>-2252.5700000000002</v>
          </cell>
          <cell r="BL169">
            <v>-2315.4769999999999</v>
          </cell>
          <cell r="BM169">
            <v>-2346.6219999999998</v>
          </cell>
          <cell r="BN169">
            <v>-2375.4380000000001</v>
          </cell>
          <cell r="BO169">
            <v>-2422.1550000000002</v>
          </cell>
          <cell r="BP169">
            <v>-2481.951</v>
          </cell>
          <cell r="BQ169">
            <v>-2541.8850000000002</v>
          </cell>
          <cell r="BR169">
            <v>-2598.922</v>
          </cell>
          <cell r="BS169">
            <v>-2641.8510000000001</v>
          </cell>
          <cell r="BT169">
            <v>-2662.7939999999999</v>
          </cell>
          <cell r="BU169">
            <v>-2721.0859999999998</v>
          </cell>
          <cell r="BV169">
            <v>-2755.6219999999998</v>
          </cell>
          <cell r="BW169">
            <v>-2829.6114524869845</v>
          </cell>
          <cell r="BX169">
            <v>-2903.5742111675549</v>
          </cell>
          <cell r="BY169">
            <v>-2978.6731337189381</v>
          </cell>
          <cell r="BZ169">
            <v>-3058.0480983288135</v>
          </cell>
          <cell r="CA169">
            <v>26.059727500000001</v>
          </cell>
          <cell r="CB169">
            <v>26.059727500000001</v>
          </cell>
          <cell r="CC169">
            <v>26.059727500000001</v>
          </cell>
          <cell r="CD169">
            <v>26.059727500000001</v>
          </cell>
        </row>
        <row r="170">
          <cell r="B170" t="str">
            <v>Net PP&amp;E</v>
          </cell>
          <cell r="K170">
            <v>1276.9000000000003</v>
          </cell>
          <cell r="L170">
            <v>1306.9099999999994</v>
          </cell>
          <cell r="M170">
            <v>1294.3719999999994</v>
          </cell>
          <cell r="N170">
            <v>1356.6119999999996</v>
          </cell>
          <cell r="O170">
            <v>1427.2119999999995</v>
          </cell>
          <cell r="P170">
            <v>1492.2460000000005</v>
          </cell>
          <cell r="BB170">
            <v>1276.9000000000003</v>
          </cell>
          <cell r="BF170">
            <v>1306.9099999999994</v>
          </cell>
          <cell r="BJ170">
            <v>1294.3719999999994</v>
          </cell>
          <cell r="BK170">
            <v>1306.6419999999998</v>
          </cell>
          <cell r="BL170">
            <v>1324.5410000000002</v>
          </cell>
          <cell r="BM170">
            <v>1343.9250000000002</v>
          </cell>
          <cell r="BN170">
            <v>1356.6119999999996</v>
          </cell>
          <cell r="BO170">
            <v>1369.9399999999996</v>
          </cell>
          <cell r="BP170">
            <v>1395.335</v>
          </cell>
          <cell r="BQ170">
            <v>1416.6039999999998</v>
          </cell>
          <cell r="BR170">
            <v>1427.212</v>
          </cell>
          <cell r="BS170">
            <v>1438.9839999999999</v>
          </cell>
          <cell r="BT170">
            <v>1453.5349999999999</v>
          </cell>
          <cell r="BU170">
            <v>1465.2350000000001</v>
          </cell>
          <cell r="BV170">
            <v>1492.2460000000005</v>
          </cell>
          <cell r="BW170">
            <v>1504.0544569403364</v>
          </cell>
          <cell r="BX170">
            <v>1519.1192613502249</v>
          </cell>
          <cell r="BY170">
            <v>1536.9839860241341</v>
          </cell>
          <cell r="BZ170">
            <v>1552.7912247626346</v>
          </cell>
        </row>
        <row r="171">
          <cell r="B171" t="str">
            <v>Average Depreciable Life (Annualized)</v>
          </cell>
          <cell r="K171">
            <v>10.752223979617398</v>
          </cell>
          <cell r="L171">
            <v>11.431288775049598</v>
          </cell>
          <cell r="M171">
            <v>11.754472983148018</v>
          </cell>
          <cell r="N171">
            <v>12.888515146910526</v>
          </cell>
          <cell r="O171">
            <v>14.21010203685468</v>
          </cell>
          <cell r="P171">
            <v>14.941918872145541</v>
          </cell>
          <cell r="BB171">
            <v>10.272094517906714</v>
          </cell>
          <cell r="BF171">
            <v>11.116635814232044</v>
          </cell>
          <cell r="BJ171">
            <v>11.715193834971057</v>
          </cell>
          <cell r="BK171">
            <v>12.124804120620817</v>
          </cell>
          <cell r="BL171">
            <v>12.633511960128278</v>
          </cell>
          <cell r="BM171">
            <v>12.883828827570799</v>
          </cell>
          <cell r="BN171">
            <v>12.863105578073728</v>
          </cell>
          <cell r="BO171">
            <v>13.594466989790064</v>
          </cell>
          <cell r="BP171">
            <v>13.831445042165495</v>
          </cell>
          <cell r="BQ171">
            <v>13.950130391880464</v>
          </cell>
          <cell r="BR171">
            <v>13.869446894118944</v>
          </cell>
          <cell r="BS171">
            <v>14.916641079626867</v>
          </cell>
          <cell r="BT171">
            <v>14.603332671103606</v>
          </cell>
          <cell r="BU171">
            <v>14.797673415716993</v>
          </cell>
          <cell r="BV171">
            <v>14.215854784948396</v>
          </cell>
          <cell r="BW171">
            <v>14.642850310960375</v>
          </cell>
          <cell r="BX171">
            <v>14.949055279355044</v>
          </cell>
          <cell r="BY171">
            <v>15.032363202859004</v>
          </cell>
          <cell r="BZ171">
            <v>14.522335051591915</v>
          </cell>
        </row>
        <row r="172">
          <cell r="B172" t="str">
            <v>Interest Income</v>
          </cell>
        </row>
        <row r="173">
          <cell r="B173">
            <v>1E-3</v>
          </cell>
          <cell r="E173">
            <v>425.452</v>
          </cell>
          <cell r="F173">
            <v>104.831</v>
          </cell>
          <cell r="G173">
            <v>129.697</v>
          </cell>
          <cell r="H173">
            <v>167.82900000000001</v>
          </cell>
          <cell r="I173">
            <v>161.001</v>
          </cell>
          <cell r="J173">
            <v>192.26900000000001</v>
          </cell>
          <cell r="K173">
            <v>257.90499999999997</v>
          </cell>
          <cell r="L173">
            <v>275.29700000000003</v>
          </cell>
          <cell r="M173">
            <v>0.36</v>
          </cell>
          <cell r="N173">
            <v>0.60799999999999998</v>
          </cell>
          <cell r="O173">
            <v>0.54499999999999993</v>
          </cell>
          <cell r="P173">
            <v>0.79300000000000004</v>
          </cell>
          <cell r="Q173">
            <v>0.68255738789525777</v>
          </cell>
          <cell r="R173">
            <v>0.50095065412729012</v>
          </cell>
          <cell r="S173">
            <v>0.55012751970596907</v>
          </cell>
          <cell r="T173">
            <v>0.57593003783443142</v>
          </cell>
          <cell r="U173">
            <v>0.63420489906165334</v>
          </cell>
          <cell r="V173">
            <v>0.78464206500971734</v>
          </cell>
          <cell r="W173">
            <v>1.0452710043386872</v>
          </cell>
          <cell r="X173">
            <v>1.3286598084796286</v>
          </cell>
          <cell r="Y173">
            <v>1.712597528959237</v>
          </cell>
          <cell r="BB173">
            <v>66.040999999999997</v>
          </cell>
          <cell r="BC173">
            <v>59.637</v>
          </cell>
          <cell r="BD173">
            <v>66.844999999999999</v>
          </cell>
          <cell r="BE173">
            <v>75.947000000000003</v>
          </cell>
          <cell r="BF173">
            <v>0.56599999999999995</v>
          </cell>
          <cell r="BG173">
            <v>0.13</v>
          </cell>
          <cell r="BH173">
            <v>8.1000000000000003E-2</v>
          </cell>
          <cell r="BI173">
            <v>0.11600000000000001</v>
          </cell>
          <cell r="BJ173">
            <v>3.3000000000000002E-2</v>
          </cell>
          <cell r="BK173">
            <v>5.7000000000000002E-2</v>
          </cell>
          <cell r="BL173">
            <v>0.17199999999999999</v>
          </cell>
          <cell r="BM173">
            <v>0.20899999999999999</v>
          </cell>
          <cell r="BN173">
            <v>0.17</v>
          </cell>
          <cell r="BO173">
            <v>0.14299999999999999</v>
          </cell>
          <cell r="BP173">
            <v>0.17399999999999999</v>
          </cell>
          <cell r="BQ173">
            <v>0.126</v>
          </cell>
          <cell r="BR173">
            <v>0.10199999999999999</v>
          </cell>
          <cell r="BS173">
            <v>0.104</v>
          </cell>
          <cell r="BT173">
            <v>9.2999999999999999E-2</v>
          </cell>
          <cell r="BU173">
            <v>8.4000000000000005E-2</v>
          </cell>
          <cell r="BV173">
            <v>0.51200000000000001</v>
          </cell>
          <cell r="BW173">
            <v>0.27700000000000002</v>
          </cell>
          <cell r="BX173">
            <v>0.17299999999999999</v>
          </cell>
          <cell r="BY173">
            <v>9.8000000000000004E-2</v>
          </cell>
          <cell r="BZ173">
            <v>0.1345573878952577</v>
          </cell>
          <cell r="CA173">
            <v>0.1273597620866917</v>
          </cell>
          <cell r="CB173">
            <v>0.1241467711680639</v>
          </cell>
          <cell r="CC173">
            <v>0.12520246675596275</v>
          </cell>
          <cell r="CD173">
            <v>0.12424165411657176</v>
          </cell>
        </row>
        <row r="174">
          <cell r="B174" t="str">
            <v>Non-cash interest expense</v>
          </cell>
          <cell r="K174">
            <v>1276.9000000000003</v>
          </cell>
          <cell r="L174">
            <v>1306.9099999999994</v>
          </cell>
          <cell r="M174">
            <v>1294.3719999999994</v>
          </cell>
          <cell r="N174">
            <v>1356.6119999999996</v>
          </cell>
          <cell r="O174">
            <v>23.472000000000001</v>
          </cell>
          <cell r="P174">
            <v>25.486000000000001</v>
          </cell>
          <cell r="Q174">
            <v>8.8908749999999994</v>
          </cell>
          <cell r="R174">
            <v>2.3499999999999854E-2</v>
          </cell>
          <cell r="S174">
            <v>-8.8529912500000005</v>
          </cell>
          <cell r="T174">
            <v>-8.8529912500000005</v>
          </cell>
          <cell r="U174">
            <v>-8.8529912500000005</v>
          </cell>
          <cell r="V174">
            <v>-8.8529912500000005</v>
          </cell>
          <cell r="W174">
            <v>-8.8529912500000005</v>
          </cell>
          <cell r="X174">
            <v>-8.8529912500000005</v>
          </cell>
          <cell r="Y174">
            <v>-8.8529912500000005</v>
          </cell>
          <cell r="BF174">
            <v>1306.9099999999994</v>
          </cell>
          <cell r="BJ174">
            <v>1294.3719999999994</v>
          </cell>
          <cell r="BK174">
            <v>1306.6419999999998</v>
          </cell>
          <cell r="BL174">
            <v>3.8</v>
          </cell>
          <cell r="BM174">
            <v>5.4539999999999997</v>
          </cell>
          <cell r="BN174">
            <v>5.5709999999999997</v>
          </cell>
          <cell r="BO174">
            <v>5.7119999999999997</v>
          </cell>
          <cell r="BP174">
            <v>5.8150000000000004</v>
          </cell>
          <cell r="BQ174">
            <v>5.9180000000000001</v>
          </cell>
          <cell r="BR174">
            <v>6.0270000000000001</v>
          </cell>
          <cell r="BS174">
            <v>6.1369999999999996</v>
          </cell>
          <cell r="BT174">
            <v>6.2480000000000002</v>
          </cell>
          <cell r="BU174">
            <v>6.33</v>
          </cell>
          <cell r="BV174">
            <v>6.7709999999999999</v>
          </cell>
          <cell r="BW174">
            <v>6.7709999999999999</v>
          </cell>
          <cell r="BX174">
            <v>1.0569999999999999</v>
          </cell>
          <cell r="BY174">
            <v>1.0569999999999999</v>
          </cell>
          <cell r="BZ174">
            <v>5.8749999999999636E-3</v>
          </cell>
          <cell r="CA174">
            <v>5.8749999999999636E-3</v>
          </cell>
          <cell r="CB174">
            <v>5.8749999999999636E-3</v>
          </cell>
          <cell r="CC174">
            <v>5.8749999999999636E-3</v>
          </cell>
          <cell r="CD174">
            <v>5.8749999999999636E-3</v>
          </cell>
        </row>
        <row r="175">
          <cell r="B175" t="str">
            <v>Cash Net Interest Expense</v>
          </cell>
          <cell r="L175">
            <v>21.998999999999999</v>
          </cell>
          <cell r="M175">
            <v>22.374666666666666</v>
          </cell>
          <cell r="N175">
            <v>65.881</v>
          </cell>
          <cell r="O175">
            <v>63.701000000000001</v>
          </cell>
          <cell r="P175">
            <v>67.477999999999994</v>
          </cell>
          <cell r="Q175">
            <v>85.390295112104738</v>
          </cell>
          <cell r="R175">
            <v>103.71445934587273</v>
          </cell>
          <cell r="S175">
            <v>112.54177373029404</v>
          </cell>
          <cell r="T175">
            <v>112.51597121216558</v>
          </cell>
          <cell r="U175">
            <v>112.45769635093835</v>
          </cell>
          <cell r="V175">
            <v>112.30725918499029</v>
          </cell>
          <cell r="W175">
            <v>112.04663024566132</v>
          </cell>
          <cell r="X175">
            <v>111.76324144152038</v>
          </cell>
          <cell r="Y175">
            <v>111.37930372104077</v>
          </cell>
          <cell r="BF175">
            <v>21.77901</v>
          </cell>
          <cell r="BJ175">
            <v>22.374666666666666</v>
          </cell>
          <cell r="BL175">
            <v>15.776999999999997</v>
          </cell>
          <cell r="BM175">
            <v>13.971</v>
          </cell>
          <cell r="BN175">
            <v>14.886999999999999</v>
          </cell>
          <cell r="BO175">
            <v>16.117000000000001</v>
          </cell>
          <cell r="BP175">
            <v>15.856000000000002</v>
          </cell>
          <cell r="BQ175">
            <v>15.885999999999999</v>
          </cell>
          <cell r="BR175">
            <v>66.097999999999999</v>
          </cell>
          <cell r="BS175">
            <v>15.34</v>
          </cell>
          <cell r="BT175">
            <v>15.518999999999998</v>
          </cell>
          <cell r="BU175">
            <v>15.411</v>
          </cell>
          <cell r="BV175">
            <v>61.377000000000002</v>
          </cell>
          <cell r="BW175">
            <v>0</v>
          </cell>
          <cell r="BX175">
            <v>0</v>
          </cell>
          <cell r="BY175">
            <v>19.115000000000002</v>
          </cell>
          <cell r="BZ175">
            <v>24.669295112104745</v>
          </cell>
          <cell r="CA175">
            <v>25.926492737913311</v>
          </cell>
          <cell r="CB175">
            <v>25.929705728831937</v>
          </cell>
          <cell r="CC175">
            <v>25.92865003324404</v>
          </cell>
          <cell r="CD175">
            <v>25.929610845883431</v>
          </cell>
        </row>
        <row r="176">
          <cell r="B176" t="str">
            <v>Net Interest Expense</v>
          </cell>
          <cell r="M176">
            <v>83.641000000000005</v>
          </cell>
          <cell r="N176">
            <v>80.343999999999994</v>
          </cell>
          <cell r="O176">
            <v>87.173000000000016</v>
          </cell>
          <cell r="P176">
            <v>92.963999999999999</v>
          </cell>
          <cell r="Q176">
            <v>94.281170112104746</v>
          </cell>
          <cell r="R176">
            <v>103.73795934587271</v>
          </cell>
          <cell r="S176">
            <v>103.68878248029404</v>
          </cell>
          <cell r="T176">
            <v>103.66297996216558</v>
          </cell>
          <cell r="U176">
            <v>103.60470510093835</v>
          </cell>
          <cell r="V176">
            <v>103.45426793499028</v>
          </cell>
          <cell r="W176">
            <v>103.19363899566132</v>
          </cell>
          <cell r="X176">
            <v>102.91025019152038</v>
          </cell>
          <cell r="Y176">
            <v>102.52631247104077</v>
          </cell>
          <cell r="BF176">
            <v>1285.1309899999994</v>
          </cell>
          <cell r="BG176">
            <v>21.328000000000003</v>
          </cell>
          <cell r="BH176">
            <v>20.946000000000002</v>
          </cell>
          <cell r="BI176">
            <v>20.616</v>
          </cell>
          <cell r="BJ176">
            <v>1271.9973333333328</v>
          </cell>
          <cell r="BK176">
            <v>20.884000000000004</v>
          </cell>
          <cell r="BL176">
            <v>19.576999999999998</v>
          </cell>
          <cell r="BM176">
            <v>19.425000000000001</v>
          </cell>
          <cell r="BN176">
            <v>20.457999999999998</v>
          </cell>
          <cell r="BO176">
            <v>21.829000000000001</v>
          </cell>
          <cell r="BP176">
            <v>21.671000000000003</v>
          </cell>
          <cell r="BQ176">
            <v>21.803999999999998</v>
          </cell>
          <cell r="BR176">
            <v>21.869</v>
          </cell>
          <cell r="BS176">
            <v>21.477</v>
          </cell>
          <cell r="BT176">
            <v>21.766999999999999</v>
          </cell>
          <cell r="BU176">
            <v>21.741</v>
          </cell>
          <cell r="BV176">
            <v>1430.8690000000006</v>
          </cell>
          <cell r="BW176">
            <v>1515.6070000000004</v>
          </cell>
          <cell r="BX176">
            <v>1547.2939999999999</v>
          </cell>
          <cell r="BY176">
            <v>20.172000000000001</v>
          </cell>
          <cell r="BZ176">
            <v>24.675170112104745</v>
          </cell>
          <cell r="CA176">
            <v>25.93236773791331</v>
          </cell>
          <cell r="CB176">
            <v>25.935580728831937</v>
          </cell>
          <cell r="CC176">
            <v>25.934525033244039</v>
          </cell>
          <cell r="CD176">
            <v>25.935485845883431</v>
          </cell>
        </row>
        <row r="177">
          <cell r="B177">
            <v>5.5</v>
          </cell>
          <cell r="G177">
            <v>223.90399999999997</v>
          </cell>
          <cell r="H177">
            <v>230.68800000000002</v>
          </cell>
          <cell r="I177">
            <v>238.18</v>
          </cell>
          <cell r="J177">
            <v>256.09100000000001</v>
          </cell>
          <cell r="K177">
            <v>279.45400000000001</v>
          </cell>
          <cell r="L177">
            <v>1284.9109999999994</v>
          </cell>
          <cell r="M177">
            <v>1271.9973333333328</v>
          </cell>
          <cell r="N177">
            <v>1290.7309999999995</v>
          </cell>
          <cell r="O177">
            <v>1361.1139999999996</v>
          </cell>
          <cell r="P177">
            <v>1430.8690000000006</v>
          </cell>
          <cell r="Q177">
            <v>260.15800000000013</v>
          </cell>
          <cell r="R177">
            <v>212.85654545454554</v>
          </cell>
          <cell r="S177">
            <v>174.1553553719009</v>
          </cell>
          <cell r="T177">
            <v>142.49074530428254</v>
          </cell>
          <cell r="U177">
            <v>116.58333706714025</v>
          </cell>
          <cell r="V177">
            <v>95.386366691296558</v>
          </cell>
          <cell r="W177">
            <v>78.043390929242634</v>
          </cell>
          <cell r="X177">
            <v>63.853683487562151</v>
          </cell>
          <cell r="Y177">
            <v>52.243922853459935</v>
          </cell>
          <cell r="BO177">
            <v>0</v>
          </cell>
          <cell r="BP177">
            <v>0</v>
          </cell>
          <cell r="BQ177">
            <v>0</v>
          </cell>
          <cell r="BR177">
            <v>1361.114</v>
          </cell>
          <cell r="BS177">
            <v>61.868818181818185</v>
          </cell>
          <cell r="BT177">
            <v>61.868818181818185</v>
          </cell>
          <cell r="BU177">
            <v>61.868818181818185</v>
          </cell>
          <cell r="BV177">
            <v>1430.8690000000006</v>
          </cell>
          <cell r="BW177">
            <v>65.039500000000032</v>
          </cell>
          <cell r="BX177">
            <v>65.039500000000032</v>
          </cell>
          <cell r="BY177">
            <v>65.039500000000032</v>
          </cell>
          <cell r="BZ177">
            <v>65.039500000000032</v>
          </cell>
        </row>
        <row r="178">
          <cell r="B178">
            <v>85.797909427320292</v>
          </cell>
          <cell r="P178">
            <v>12.585522727272725</v>
          </cell>
          <cell r="Q178">
            <v>12.389045454545453</v>
          </cell>
          <cell r="R178">
            <v>16.518727272727272</v>
          </cell>
          <cell r="S178">
            <v>16.518727272727272</v>
          </cell>
          <cell r="T178">
            <v>16.518727272727272</v>
          </cell>
          <cell r="U178">
            <v>16.518727272727272</v>
          </cell>
          <cell r="V178">
            <v>12.389045454545453</v>
          </cell>
          <cell r="W178">
            <v>0</v>
          </cell>
          <cell r="X178">
            <v>0</v>
          </cell>
          <cell r="Y178">
            <v>0</v>
          </cell>
          <cell r="BS178">
            <v>1.797931818181818</v>
          </cell>
          <cell r="BT178">
            <v>3.595863636363636</v>
          </cell>
          <cell r="BU178">
            <v>3.595863636363636</v>
          </cell>
          <cell r="BV178">
            <v>3.595863636363636</v>
          </cell>
          <cell r="BW178">
            <v>1.9499524869845521</v>
          </cell>
          <cell r="BX178">
            <v>4.129681818181818</v>
          </cell>
          <cell r="BY178">
            <v>4.129681818181818</v>
          </cell>
          <cell r="BZ178">
            <v>4.129681818181818</v>
          </cell>
        </row>
        <row r="179">
          <cell r="B179">
            <v>89.0275630904586</v>
          </cell>
          <cell r="P179">
            <v>9.1809090909090898</v>
          </cell>
          <cell r="Q179">
            <v>10.32585281265186</v>
          </cell>
          <cell r="R179">
            <v>16.521364500242978</v>
          </cell>
          <cell r="S179">
            <v>16.521364500242978</v>
          </cell>
          <cell r="T179">
            <v>16.521364500242978</v>
          </cell>
          <cell r="U179">
            <v>16.521364500242978</v>
          </cell>
          <cell r="V179">
            <v>14.456193937712612</v>
          </cell>
          <cell r="W179">
            <v>0</v>
          </cell>
          <cell r="X179">
            <v>0</v>
          </cell>
          <cell r="Y179">
            <v>0</v>
          </cell>
          <cell r="BT179">
            <v>1.8361818181818181</v>
          </cell>
          <cell r="BU179">
            <v>3.6723636363636363</v>
          </cell>
          <cell r="BV179">
            <v>3.6723636363636363</v>
          </cell>
          <cell r="BW179">
            <v>3.6723636363636363</v>
          </cell>
          <cell r="BX179">
            <v>2.0651705625303722</v>
          </cell>
          <cell r="BY179">
            <v>4.1303411250607445</v>
          </cell>
          <cell r="BZ179">
            <v>4.1303411250607445</v>
          </cell>
        </row>
        <row r="180">
          <cell r="A180" t="str">
            <v>x</v>
          </cell>
          <cell r="B180">
            <v>92.963647225292377</v>
          </cell>
          <cell r="E180">
            <v>425.452</v>
          </cell>
          <cell r="F180">
            <v>104.831</v>
          </cell>
          <cell r="G180">
            <v>129.697</v>
          </cell>
          <cell r="H180">
            <v>167.82900000000001</v>
          </cell>
          <cell r="I180">
            <v>161.001</v>
          </cell>
          <cell r="J180">
            <v>192.26900000000001</v>
          </cell>
          <cell r="K180">
            <v>257.90499999999997</v>
          </cell>
          <cell r="L180">
            <v>275.29700000000003</v>
          </cell>
          <cell r="M180">
            <v>274.90299999999996</v>
          </cell>
          <cell r="N180">
            <v>321.84399999999999</v>
          </cell>
          <cell r="O180">
            <v>342.73099999999999</v>
          </cell>
          <cell r="P180">
            <v>5.7204545454545457</v>
          </cell>
          <cell r="Q180">
            <v>6.2891566400959853</v>
          </cell>
          <cell r="R180">
            <v>16.771084373589293</v>
          </cell>
          <cell r="S180">
            <v>16.771084373589293</v>
          </cell>
          <cell r="T180">
            <v>16.771084373589293</v>
          </cell>
          <cell r="U180">
            <v>16.771084373589293</v>
          </cell>
          <cell r="V180">
            <v>16.771084373589293</v>
          </cell>
          <cell r="W180">
            <v>2.0963855466986701</v>
          </cell>
          <cell r="X180">
            <v>0</v>
          </cell>
          <cell r="Y180">
            <v>0</v>
          </cell>
          <cell r="AA180">
            <v>95.608000000000004</v>
          </cell>
          <cell r="AB180">
            <v>147.12700000000001</v>
          </cell>
          <cell r="AC180">
            <v>94.400999999999996</v>
          </cell>
          <cell r="AD180">
            <v>88.316000000000003</v>
          </cell>
          <cell r="AE180">
            <v>36.869999999999997</v>
          </cell>
          <cell r="AF180">
            <v>30.126999999999999</v>
          </cell>
          <cell r="AG180">
            <v>25.099</v>
          </cell>
          <cell r="AH180">
            <v>12.734999999999999</v>
          </cell>
          <cell r="AI180">
            <v>22.373000000000001</v>
          </cell>
          <cell r="AJ180">
            <v>27.885000000000002</v>
          </cell>
          <cell r="AK180">
            <v>34.529000000000003</v>
          </cell>
          <cell r="AL180">
            <v>44.91</v>
          </cell>
          <cell r="AM180">
            <v>29.05</v>
          </cell>
          <cell r="AN180">
            <v>42.517000000000003</v>
          </cell>
          <cell r="AO180">
            <v>46.88</v>
          </cell>
          <cell r="AP180">
            <v>49.381999999999998</v>
          </cell>
          <cell r="AQ180">
            <v>37.81</v>
          </cell>
          <cell r="AR180">
            <v>42.468000000000004</v>
          </cell>
          <cell r="AS180">
            <v>39.67</v>
          </cell>
          <cell r="AT180">
            <v>41.052999999999997</v>
          </cell>
          <cell r="AU180">
            <v>37.945999999999998</v>
          </cell>
          <cell r="AV180">
            <v>50.378</v>
          </cell>
          <cell r="AW180">
            <v>48.170999999999999</v>
          </cell>
          <cell r="AX180">
            <v>55.774000000000001</v>
          </cell>
          <cell r="AY180">
            <v>55.103999999999999</v>
          </cell>
          <cell r="AZ180">
            <v>78.126999999999995</v>
          </cell>
          <cell r="BA180">
            <v>58.633000000000003</v>
          </cell>
          <cell r="BB180">
            <v>66.040999999999997</v>
          </cell>
          <cell r="BC180">
            <v>59.637</v>
          </cell>
          <cell r="BD180">
            <v>66.844999999999999</v>
          </cell>
          <cell r="BE180">
            <v>75.947000000000003</v>
          </cell>
          <cell r="BF180">
            <v>72.867999999999995</v>
          </cell>
          <cell r="BG180">
            <v>73.424999999999997</v>
          </cell>
          <cell r="BH180">
            <v>69.2</v>
          </cell>
          <cell r="BI180">
            <v>59.930999999999997</v>
          </cell>
          <cell r="BJ180">
            <v>72.346999999999994</v>
          </cell>
          <cell r="BK180">
            <v>80.929000000000002</v>
          </cell>
          <cell r="BL180">
            <v>84.988</v>
          </cell>
          <cell r="BM180">
            <v>77.808999999999997</v>
          </cell>
          <cell r="BN180">
            <v>78.117999999999995</v>
          </cell>
          <cell r="BO180">
            <v>79.275999999999996</v>
          </cell>
          <cell r="BP180">
            <v>90.861000000000004</v>
          </cell>
          <cell r="BQ180">
            <v>85.956999999999994</v>
          </cell>
          <cell r="BR180">
            <v>86.637</v>
          </cell>
          <cell r="BS180">
            <v>79.108999999999995</v>
          </cell>
          <cell r="BT180">
            <v>80.792000000000002</v>
          </cell>
          <cell r="BU180">
            <v>1.906818181818182</v>
          </cell>
          <cell r="BV180">
            <v>3.8136363636363639</v>
          </cell>
          <cell r="BW180">
            <v>3.8136363636363639</v>
          </cell>
          <cell r="BX180">
            <v>3.8136363636363639</v>
          </cell>
          <cell r="BY180">
            <v>2.0963855466986616</v>
          </cell>
          <cell r="BZ180">
            <v>4.1927710933973232</v>
          </cell>
          <cell r="CA180">
            <v>109.75753459762197</v>
          </cell>
          <cell r="CB180">
            <v>108.79183604386209</v>
          </cell>
          <cell r="CC180">
            <v>105.86132898156896</v>
          </cell>
          <cell r="CD180">
            <v>103.98361098779522</v>
          </cell>
        </row>
        <row r="181">
          <cell r="B181">
            <v>95.182203348375936</v>
          </cell>
          <cell r="P181">
            <v>2.3097312736932847</v>
          </cell>
          <cell r="Q181">
            <v>2.0946687833084101</v>
          </cell>
          <cell r="R181">
            <v>16.757350266467281</v>
          </cell>
          <cell r="S181">
            <v>16.757350266467281</v>
          </cell>
          <cell r="T181">
            <v>16.757350266467281</v>
          </cell>
          <cell r="U181">
            <v>16.757350266467281</v>
          </cell>
          <cell r="V181">
            <v>16.757350266467281</v>
          </cell>
          <cell r="W181">
            <v>6.2840063499252068</v>
          </cell>
          <cell r="X181">
            <v>0</v>
          </cell>
          <cell r="Y181">
            <v>0</v>
          </cell>
          <cell r="BV181">
            <v>2.3097312736932847</v>
          </cell>
          <cell r="BW181">
            <v>4.6194625473865694</v>
          </cell>
          <cell r="BX181">
            <v>4.6194625473865694</v>
          </cell>
          <cell r="BY181">
            <v>4.6194625473865694</v>
          </cell>
          <cell r="BZ181">
            <v>2.0946687833084101</v>
          </cell>
        </row>
        <row r="182">
          <cell r="B182" t="str">
            <v>% of Revenue</v>
          </cell>
          <cell r="E182">
            <v>0.61473774250925106</v>
          </cell>
          <cell r="F182">
            <v>0.15071149870466696</v>
          </cell>
          <cell r="G182">
            <v>0.19369585314020052</v>
          </cell>
          <cell r="H182">
            <v>0.25697801364902378</v>
          </cell>
          <cell r="I182">
            <v>0.22716927674548873</v>
          </cell>
          <cell r="J182">
            <v>0.23667518079704569</v>
          </cell>
          <cell r="K182">
            <v>0.23799021666009948</v>
          </cell>
          <cell r="L182">
            <v>0.23752587317377888</v>
          </cell>
          <cell r="M182">
            <v>0.2269318716515738</v>
          </cell>
          <cell r="N182">
            <v>0.25278929538922895</v>
          </cell>
          <cell r="O182">
            <v>0.25073762282435103</v>
          </cell>
          <cell r="P182">
            <v>0</v>
          </cell>
          <cell r="Q182">
            <v>13.743402602190002</v>
          </cell>
          <cell r="R182">
            <v>33.673687956327626</v>
          </cell>
          <cell r="S182">
            <v>67.347375912655252</v>
          </cell>
          <cell r="T182">
            <v>67.347375912655252</v>
          </cell>
          <cell r="U182">
            <v>67.347375912655252</v>
          </cell>
          <cell r="V182">
            <v>67.347375912655252</v>
          </cell>
          <cell r="W182">
            <v>67.347375912655252</v>
          </cell>
          <cell r="X182">
            <v>0</v>
          </cell>
          <cell r="Y182">
            <v>0</v>
          </cell>
          <cell r="AB182">
            <v>0.82156218938810166</v>
          </cell>
          <cell r="AC182">
            <v>0.55155913130357048</v>
          </cell>
          <cell r="AD182">
            <v>0.50947521445424504</v>
          </cell>
          <cell r="AE182">
            <v>0.21852903348170621</v>
          </cell>
          <cell r="AF182">
            <v>0.16322273751733701</v>
          </cell>
          <cell r="AG182">
            <v>0.15014506625190679</v>
          </cell>
          <cell r="AH182">
            <v>7.2724054044793679E-2</v>
          </cell>
          <cell r="AI182">
            <v>0.13558325707671517</v>
          </cell>
          <cell r="AJ182">
            <v>0.17131324797876787</v>
          </cell>
          <cell r="AK182">
            <v>0.20025169925998096</v>
          </cell>
          <cell r="AL182">
            <v>0.26514659518945788</v>
          </cell>
          <cell r="AM182">
            <v>0.17971036010120695</v>
          </cell>
          <cell r="AN182">
            <v>0.26111923157235334</v>
          </cell>
          <cell r="AO182">
            <v>0.29192716765885374</v>
          </cell>
          <cell r="AP182">
            <v>0.29389849069180596</v>
          </cell>
          <cell r="AQ182">
            <v>0.22037138494177444</v>
          </cell>
          <cell r="AR182">
            <v>0.24298391664807159</v>
          </cell>
          <cell r="AS182">
            <v>0.22304435585892038</v>
          </cell>
          <cell r="AT182">
            <v>0.22248657319842399</v>
          </cell>
          <cell r="AU182">
            <v>0.20380585110668306</v>
          </cell>
          <cell r="AV182">
            <v>0.263348283829418</v>
          </cell>
          <cell r="AW182">
            <v>0.24563380568969301</v>
          </cell>
          <cell r="AX182">
            <v>0.23357804850469679</v>
          </cell>
          <cell r="AY182">
            <v>0.21080981820407663</v>
          </cell>
          <cell r="AZ182">
            <v>0.29149907842010608</v>
          </cell>
          <cell r="BA182">
            <v>0.21337151965297516</v>
          </cell>
          <cell r="BB182">
            <v>0.23630293835606633</v>
          </cell>
          <cell r="BC182">
            <v>0.21104167256461795</v>
          </cell>
          <cell r="BD182">
            <v>0.23036495847261948</v>
          </cell>
          <cell r="BE182">
            <v>0.26043227636059385</v>
          </cell>
          <cell r="BF182">
            <v>0.24730693781690569</v>
          </cell>
          <cell r="BG182">
            <v>0.24669809260460096</v>
          </cell>
          <cell r="BH182">
            <v>0.22985527753696122</v>
          </cell>
          <cell r="BI182">
            <v>0.19664595132002913</v>
          </cell>
          <cell r="BJ182">
            <v>0.23494320211473885</v>
          </cell>
          <cell r="BK182">
            <v>0.26004543541198738</v>
          </cell>
          <cell r="BL182">
            <v>0.2682287146243163</v>
          </cell>
          <cell r="BM182">
            <v>0.24292993312394237</v>
          </cell>
          <cell r="BN182">
            <v>0.24049849607625215</v>
          </cell>
          <cell r="BO182">
            <v>0.23839394723072574</v>
          </cell>
          <cell r="BP182">
            <v>0.26851288173860621</v>
          </cell>
          <cell r="BQ182">
            <v>0.24954420883944536</v>
          </cell>
          <cell r="BR182">
            <v>0.24647304321108821</v>
          </cell>
          <cell r="BS182">
            <v>0.22040537716793204</v>
          </cell>
          <cell r="BT182">
            <v>0.22164975322562508</v>
          </cell>
          <cell r="BU182">
            <v>0.22741194902069209</v>
          </cell>
          <cell r="BV182">
            <v>0.25686900789376887</v>
          </cell>
          <cell r="BW182">
            <v>1.963343228884286</v>
          </cell>
          <cell r="BX182">
            <v>3.9266864577685721</v>
          </cell>
          <cell r="BY182">
            <v>3.9266864577685721</v>
          </cell>
          <cell r="BZ182">
            <v>3.9266864577685721</v>
          </cell>
          <cell r="CA182">
            <v>0.27</v>
          </cell>
          <cell r="CB182">
            <v>0.26250000000000001</v>
          </cell>
          <cell r="CC182">
            <v>0.25</v>
          </cell>
          <cell r="CD182">
            <v>0.24</v>
          </cell>
        </row>
        <row r="183">
          <cell r="B183" t="str">
            <v>% of Depreciation</v>
          </cell>
          <cell r="E183">
            <v>2.0496697515548901</v>
          </cell>
          <cell r="F183">
            <v>0.44174708187602713</v>
          </cell>
          <cell r="G183">
            <v>0.57925271544947843</v>
          </cell>
          <cell r="H183">
            <v>0.72751508531002906</v>
          </cell>
          <cell r="I183">
            <v>0.67596355697371735</v>
          </cell>
          <cell r="J183">
            <v>0.75078390103517889</v>
          </cell>
          <cell r="K183">
            <v>0.92288891910654336</v>
          </cell>
          <cell r="L183">
            <v>0.96330782446821539</v>
          </cell>
          <cell r="M183">
            <v>0.92820266943987662</v>
          </cell>
          <cell r="N183">
            <v>1.1114779461535274</v>
          </cell>
          <cell r="O183">
            <v>1.2096573241708402</v>
          </cell>
          <cell r="P183">
            <v>0</v>
          </cell>
          <cell r="Q183">
            <v>10.007399877129878</v>
          </cell>
          <cell r="R183">
            <v>16.011839803407806</v>
          </cell>
          <cell r="S183">
            <v>32.845969722750759</v>
          </cell>
          <cell r="T183">
            <v>65.691939445501518</v>
          </cell>
          <cell r="U183">
            <v>65.691939445501518</v>
          </cell>
          <cell r="V183">
            <v>65.691939445501518</v>
          </cell>
          <cell r="W183">
            <v>65.691939445501518</v>
          </cell>
          <cell r="X183">
            <v>65.691939445501475</v>
          </cell>
          <cell r="Y183">
            <v>0</v>
          </cell>
          <cell r="AA183">
            <v>1.8150545799715236</v>
          </cell>
          <cell r="AB183">
            <v>3.1830513608238502</v>
          </cell>
          <cell r="AC183">
            <v>1.8171161286596984</v>
          </cell>
          <cell r="AD183">
            <v>1.5569698358690478</v>
          </cell>
          <cell r="AE183">
            <v>0.64307391774514244</v>
          </cell>
          <cell r="AF183">
            <v>0.52695375358567131</v>
          </cell>
          <cell r="AG183">
            <v>0.40637598562246008</v>
          </cell>
          <cell r="AH183">
            <v>0.20863026490391703</v>
          </cell>
          <cell r="AI183">
            <v>0.41347255590463872</v>
          </cell>
          <cell r="AJ183">
            <v>0.51298796865226837</v>
          </cell>
          <cell r="AK183">
            <v>0.61212948517940724</v>
          </cell>
          <cell r="AL183">
            <v>0.76082537101036796</v>
          </cell>
          <cell r="AM183">
            <v>0.51132663298892855</v>
          </cell>
          <cell r="AN183">
            <v>0.77884227880564205</v>
          </cell>
          <cell r="AO183">
            <v>0.85619315483800273</v>
          </cell>
          <cell r="AP183">
            <v>0.76524461111713737</v>
          </cell>
          <cell r="AQ183">
            <v>0.65182912112540081</v>
          </cell>
          <cell r="AR183">
            <v>0.72382056176711218</v>
          </cell>
          <cell r="AS183">
            <v>0.66565987079452982</v>
          </cell>
          <cell r="AT183">
            <v>0.66313987109696804</v>
          </cell>
          <cell r="AU183">
            <v>0.63107651881787485</v>
          </cell>
          <cell r="AV183">
            <v>0.80776692802283268</v>
          </cell>
          <cell r="AW183">
            <v>0.77660088992068099</v>
          </cell>
          <cell r="AX183">
            <v>0.77932566685763005</v>
          </cell>
          <cell r="AY183">
            <v>0.83314182038100992</v>
          </cell>
          <cell r="AZ183">
            <v>1.1387945485022957</v>
          </cell>
          <cell r="BA183">
            <v>0.81912545403744064</v>
          </cell>
          <cell r="BB183">
            <v>0.90307538732923998</v>
          </cell>
          <cell r="BC183">
            <v>0.85367669162169524</v>
          </cell>
          <cell r="BD183">
            <v>0.94255418153104253</v>
          </cell>
          <cell r="BE183">
            <v>1.0616464207333267</v>
          </cell>
          <cell r="BF183">
            <v>0.99183317907116009</v>
          </cell>
          <cell r="BG183">
            <v>1.0031971143993113</v>
          </cell>
          <cell r="BH183">
            <v>0.93003252425879634</v>
          </cell>
          <cell r="BI183">
            <v>0.80682552504038763</v>
          </cell>
          <cell r="BJ183">
            <v>0</v>
          </cell>
          <cell r="BK183">
            <v>1.1027702454113126</v>
          </cell>
          <cell r="BL183">
            <v>1.1798808846191222</v>
          </cell>
          <cell r="BM183">
            <v>1.0865357761269061</v>
          </cell>
          <cell r="BN183">
            <v>1.0769845865387264</v>
          </cell>
          <cell r="BO183">
            <v>1.1368016519444761</v>
          </cell>
          <cell r="BP183">
            <v>1.2965140337609338</v>
          </cell>
          <cell r="BQ183">
            <v>1.2116859317733295</v>
          </cell>
          <cell r="BR183">
            <v>1.1938075290745742</v>
          </cell>
          <cell r="BS183">
            <v>1.1566657893967305</v>
          </cell>
          <cell r="BT183">
            <v>1.146489945933673</v>
          </cell>
          <cell r="BU183">
            <v>1.1862681333597265</v>
          </cell>
          <cell r="BV183">
            <v>1.2993989531879577</v>
          </cell>
          <cell r="BW183">
            <v>1.2212245446602594</v>
          </cell>
          <cell r="BX183">
            <v>2.0014799754259758</v>
          </cell>
          <cell r="BY183">
            <v>4.0029599508519516</v>
          </cell>
          <cell r="BZ183">
            <v>4.0029599508519516</v>
          </cell>
          <cell r="CA183">
            <v>1.267914821719192</v>
          </cell>
          <cell r="CB183">
            <v>1.1885607384210648</v>
          </cell>
          <cell r="CC183">
            <v>1.0980224452186031</v>
          </cell>
          <cell r="CD183">
            <v>1.0277081234048107</v>
          </cell>
        </row>
        <row r="184">
          <cell r="B184">
            <v>364.55585551449013</v>
          </cell>
          <cell r="P184">
            <v>0</v>
          </cell>
          <cell r="Q184">
            <v>6.2653983129302881</v>
          </cell>
          <cell r="R184">
            <v>16.707728834480768</v>
          </cell>
          <cell r="S184">
            <v>16.707728834480768</v>
          </cell>
          <cell r="T184">
            <v>33.285855176312559</v>
          </cell>
          <cell r="U184">
            <v>66.571710352625118</v>
          </cell>
          <cell r="V184">
            <v>66.571710352625118</v>
          </cell>
          <cell r="W184">
            <v>66.571710352625118</v>
          </cell>
          <cell r="X184">
            <v>66.571710352625118</v>
          </cell>
          <cell r="Y184">
            <v>66.571710352625075</v>
          </cell>
          <cell r="BY184">
            <v>2.088466104310096</v>
          </cell>
          <cell r="BZ184">
            <v>4.1769322086201921</v>
          </cell>
        </row>
        <row r="185">
          <cell r="B185" t="str">
            <v>Growth Q/Q (%)</v>
          </cell>
          <cell r="P185">
            <v>0</v>
          </cell>
          <cell r="Q185">
            <v>2.1325990391497474</v>
          </cell>
          <cell r="R185">
            <v>17.060792313197979</v>
          </cell>
          <cell r="S185">
            <v>17.060792313197979</v>
          </cell>
          <cell r="T185">
            <v>17.060792313197979</v>
          </cell>
          <cell r="U185">
            <v>32.937610346817117</v>
          </cell>
          <cell r="V185">
            <v>65.875220693634233</v>
          </cell>
          <cell r="W185">
            <v>65.875220693634233</v>
          </cell>
          <cell r="X185">
            <v>65.875220693634233</v>
          </cell>
          <cell r="Y185">
            <v>65.875220693634233</v>
          </cell>
          <cell r="AB185">
            <v>0.53885658103924361</v>
          </cell>
          <cell r="AC185">
            <v>-0.35837065936231971</v>
          </cell>
          <cell r="AD185">
            <v>-6.4459062933655331E-2</v>
          </cell>
          <cell r="AE185">
            <v>-0.58252185334480733</v>
          </cell>
          <cell r="AF185">
            <v>-0.18288581502576617</v>
          </cell>
          <cell r="AG185">
            <v>-0.16689348425000827</v>
          </cell>
          <cell r="AH185">
            <v>-0.49260926730148613</v>
          </cell>
          <cell r="AI185">
            <v>0.75681193561052229</v>
          </cell>
          <cell r="AJ185">
            <v>0.24636839047065662</v>
          </cell>
          <cell r="AK185">
            <v>0.23826429980276131</v>
          </cell>
          <cell r="AL185">
            <v>0.30064583393669064</v>
          </cell>
          <cell r="AM185">
            <v>-0.35315074593631701</v>
          </cell>
          <cell r="AN185">
            <v>0.46358003442340801</v>
          </cell>
          <cell r="AO185">
            <v>0.10261777641884429</v>
          </cell>
          <cell r="AP185">
            <v>5.3370307167235342E-2</v>
          </cell>
          <cell r="AQ185">
            <v>-0.23433639787776916</v>
          </cell>
          <cell r="AR185">
            <v>0.12319492197831261</v>
          </cell>
          <cell r="AS185">
            <v>-6.5884901572949128E-2</v>
          </cell>
          <cell r="AT185">
            <v>3.4862616586841311E-2</v>
          </cell>
          <cell r="AU185">
            <v>-7.5682654130027061E-2</v>
          </cell>
          <cell r="AV185">
            <v>0.3276234649238392</v>
          </cell>
          <cell r="AW185">
            <v>-4.3808805430942122E-2</v>
          </cell>
          <cell r="AX185">
            <v>0.15783355130680299</v>
          </cell>
          <cell r="AY185">
            <v>-1.201276580485533E-2</v>
          </cell>
          <cell r="AZ185">
            <v>0.41780995934959342</v>
          </cell>
          <cell r="BA185">
            <v>-0.24951681236960321</v>
          </cell>
          <cell r="BB185">
            <v>0.1263452322071188</v>
          </cell>
          <cell r="BC185">
            <v>-9.6970064051119742E-2</v>
          </cell>
          <cell r="BD185">
            <v>0.12086456394520173</v>
          </cell>
          <cell r="BE185">
            <v>0.13616575660109209</v>
          </cell>
          <cell r="BF185">
            <v>-4.0541430207908236E-2</v>
          </cell>
          <cell r="BG185">
            <v>7.6439589394521334E-3</v>
          </cell>
          <cell r="BH185">
            <v>-5.7541709227102444E-2</v>
          </cell>
          <cell r="BI185">
            <v>-0.13394508670520233</v>
          </cell>
          <cell r="BJ185">
            <v>0.2071715806510821</v>
          </cell>
          <cell r="BK185">
            <v>0.11862274869725087</v>
          </cell>
          <cell r="BL185">
            <v>5.0155074200842753E-2</v>
          </cell>
          <cell r="BM185">
            <v>-8.4470748811596996E-2</v>
          </cell>
          <cell r="BN185">
            <v>3.9712629644386155E-3</v>
          </cell>
          <cell r="BO185">
            <v>1.4823728206047271E-2</v>
          </cell>
          <cell r="BP185">
            <v>0.14613502194863526</v>
          </cell>
          <cell r="BQ185">
            <v>-5.39725514797329E-2</v>
          </cell>
          <cell r="BR185">
            <v>7.910932210291266E-3</v>
          </cell>
          <cell r="BS185">
            <v>-8.6891282015767013E-2</v>
          </cell>
          <cell r="BT185">
            <v>2.1274444121402114E-2</v>
          </cell>
          <cell r="BU185">
            <v>3.8469155361916973E-2</v>
          </cell>
          <cell r="BV185">
            <v>0.15696066746126336</v>
          </cell>
          <cell r="BW185">
            <v>-6.4036922189370515E-2</v>
          </cell>
          <cell r="BX185">
            <v>0.11122362497661054</v>
          </cell>
          <cell r="BY185">
            <v>1.0687612670615687E-2</v>
          </cell>
          <cell r="BZ185">
            <v>2.1325990391497474</v>
          </cell>
          <cell r="CA185">
            <v>0.1950599587245232</v>
          </cell>
          <cell r="CB185">
            <v>-8.7984716247516692E-3</v>
          </cell>
          <cell r="CC185">
            <v>-2.693682879946635E-2</v>
          </cell>
          <cell r="CD185">
            <v>-1.7737525230772988E-2</v>
          </cell>
        </row>
        <row r="186">
          <cell r="B186" t="str">
            <v>Growth Y/Y (%)</v>
          </cell>
          <cell r="F186">
            <v>-0.75360087624455874</v>
          </cell>
          <cell r="G186">
            <v>0.23720082799935138</v>
          </cell>
          <cell r="H186">
            <v>0.29400834252141528</v>
          </cell>
          <cell r="I186">
            <v>-4.0684267915556904E-2</v>
          </cell>
          <cell r="J186">
            <v>0.19420997385109406</v>
          </cell>
          <cell r="K186">
            <v>0.34137588482802728</v>
          </cell>
          <cell r="L186">
            <v>6.7435683681976055E-2</v>
          </cell>
          <cell r="M186">
            <v>-1.4311815966031594E-3</v>
          </cell>
          <cell r="N186">
            <v>0.17075477532074967</v>
          </cell>
          <cell r="O186">
            <v>6.4897900846372814E-2</v>
          </cell>
          <cell r="P186">
            <v>-5.42991442268137E-3</v>
          </cell>
          <cell r="Q186">
            <v>0.13148913400992668</v>
          </cell>
          <cell r="R186">
            <v>32.59127479948279</v>
          </cell>
          <cell r="S186">
            <v>65.182549598965579</v>
          </cell>
          <cell r="T186">
            <v>65.182549598965579</v>
          </cell>
          <cell r="U186">
            <v>65.182549598965579</v>
          </cell>
          <cell r="V186">
            <v>32.051450190682331</v>
          </cell>
          <cell r="W186">
            <v>64.102900381364663</v>
          </cell>
          <cell r="X186">
            <v>64.102900381364663</v>
          </cell>
          <cell r="Y186">
            <v>64.102900381364663</v>
          </cell>
          <cell r="AE186">
            <v>-0.61436281482721111</v>
          </cell>
          <cell r="AF186">
            <v>-0.79523133075506203</v>
          </cell>
          <cell r="AG186">
            <v>-0.73412357919937288</v>
          </cell>
          <cell r="AH186">
            <v>-0.85580189320168487</v>
          </cell>
          <cell r="AI186">
            <v>-0.39319229726064542</v>
          </cell>
          <cell r="AJ186">
            <v>-7.4418295880771312E-2</v>
          </cell>
          <cell r="AK186">
            <v>0.37571217976811844</v>
          </cell>
          <cell r="AL186">
            <v>2.526501766784452</v>
          </cell>
          <cell r="AM186">
            <v>0.29844008402985733</v>
          </cell>
          <cell r="AN186">
            <v>0.52472655549578628</v>
          </cell>
          <cell r="AO186">
            <v>0.35769932520490011</v>
          </cell>
          <cell r="AP186">
            <v>9.9576931641059963E-2</v>
          </cell>
          <cell r="AQ186">
            <v>0.30154905335628235</v>
          </cell>
          <cell r="AR186">
            <v>-1.1524801843968424E-3</v>
          </cell>
          <cell r="AS186">
            <v>-0.15379692832764502</v>
          </cell>
          <cell r="AT186">
            <v>-0.16866469563808673</v>
          </cell>
          <cell r="AU186">
            <v>3.5969320285638151E-3</v>
          </cell>
          <cell r="AV186">
            <v>0.18625788829236112</v>
          </cell>
          <cell r="AW186">
            <v>0.21429291656163341</v>
          </cell>
          <cell r="AX186">
            <v>0.35858524346576393</v>
          </cell>
          <cell r="AY186">
            <v>0.45216887155431418</v>
          </cell>
          <cell r="AZ186">
            <v>0.55081583230775322</v>
          </cell>
          <cell r="BA186">
            <v>0.21718461314899007</v>
          </cell>
          <cell r="BB186">
            <v>0.18408218883350647</v>
          </cell>
          <cell r="BC186">
            <v>8.2262630662020886E-2</v>
          </cell>
          <cell r="BD186">
            <v>-0.14440590320887781</v>
          </cell>
          <cell r="BE186">
            <v>0.2952944587518973</v>
          </cell>
          <cell r="BF186">
            <v>0.1033751760270134</v>
          </cell>
          <cell r="BG186">
            <v>0.23119875245233668</v>
          </cell>
          <cell r="BH186">
            <v>3.5230757723090811E-2</v>
          </cell>
          <cell r="BI186">
            <v>-0.21088390588173334</v>
          </cell>
          <cell r="BJ186">
            <v>-7.1499149146402319E-3</v>
          </cell>
          <cell r="BK186">
            <v>0.10219952332311899</v>
          </cell>
          <cell r="BL186">
            <v>0.22815028901734102</v>
          </cell>
          <cell r="BM186">
            <v>0.29830972284794188</v>
          </cell>
          <cell r="BN186">
            <v>7.9768338700982877E-2</v>
          </cell>
          <cell r="BO186">
            <v>-2.0425311075140007E-2</v>
          </cell>
          <cell r="BP186">
            <v>6.9103873488021827E-2</v>
          </cell>
          <cell r="BQ186">
            <v>0.1047179632176225</v>
          </cell>
          <cell r="BR186">
            <v>0.10905297114621471</v>
          </cell>
          <cell r="BS186">
            <v>-2.1065644078914758E-3</v>
          </cell>
          <cell r="BT186">
            <v>-0.11081762252231431</v>
          </cell>
          <cell r="BU186">
            <v>-2.3930569936130741E-2</v>
          </cell>
          <cell r="BV186">
            <v>0.12041044819188107</v>
          </cell>
          <cell r="BW186">
            <v>0.14845339973959981</v>
          </cell>
          <cell r="BX186">
            <v>0.24960392118031494</v>
          </cell>
          <cell r="BY186">
            <v>0.21617401668653158</v>
          </cell>
          <cell r="BZ186">
            <v>-5.3841070682053793E-2</v>
          </cell>
          <cell r="CA186">
            <v>0.20807826486326242</v>
          </cell>
          <cell r="CB186">
            <v>7.7595000335407782E-2</v>
          </cell>
          <cell r="CC186">
            <v>3.747982576485942E-2</v>
          </cell>
          <cell r="CD186">
            <v>0.13219243043924767</v>
          </cell>
        </row>
        <row r="187">
          <cell r="B187">
            <v>322.98774998482173</v>
          </cell>
          <cell r="S187">
            <v>33.221034359803063</v>
          </cell>
          <cell r="T187">
            <v>66.442068719606127</v>
          </cell>
          <cell r="U187">
            <v>66.442068719606127</v>
          </cell>
          <cell r="V187">
            <v>66.442068719606127</v>
          </cell>
          <cell r="W187">
            <v>30.739689864367623</v>
          </cell>
          <cell r="X187">
            <v>61.479379728735246</v>
          </cell>
          <cell r="Y187">
            <v>61.479379728735246</v>
          </cell>
          <cell r="BJ187">
            <v>0</v>
          </cell>
        </row>
        <row r="188">
          <cell r="A188" t="str">
            <v>x</v>
          </cell>
          <cell r="B188">
            <v>304.39394807480284</v>
          </cell>
          <cell r="T188">
            <v>33.531260292790961</v>
          </cell>
          <cell r="U188">
            <v>67.062520585581922</v>
          </cell>
          <cell r="V188">
            <v>67.062520585581922</v>
          </cell>
          <cell r="W188">
            <v>67.062520585581922</v>
          </cell>
          <cell r="X188">
            <v>29.397674824846661</v>
          </cell>
          <cell r="Y188">
            <v>58.795349649693321</v>
          </cell>
        </row>
        <row r="189">
          <cell r="B189">
            <v>194.49062005779581</v>
          </cell>
          <cell r="U189">
            <v>32.928658405369156</v>
          </cell>
          <cell r="V189">
            <v>65.857316810738311</v>
          </cell>
          <cell r="W189">
            <v>65.857316810738311</v>
          </cell>
          <cell r="X189">
            <v>65.857316810738311</v>
          </cell>
          <cell r="Y189">
            <v>19.027810513232673</v>
          </cell>
        </row>
        <row r="190">
          <cell r="B190" t="str">
            <v>Communications network equipment</v>
          </cell>
          <cell r="K190">
            <v>1968.8009999999999</v>
          </cell>
          <cell r="L190">
            <v>2180.636</v>
          </cell>
          <cell r="M190">
            <v>2356.127</v>
          </cell>
          <cell r="N190">
            <v>2530.4279999999999</v>
          </cell>
          <cell r="O190">
            <v>2738.6179999999999</v>
          </cell>
          <cell r="P190">
            <v>2869.3040000000001</v>
          </cell>
          <cell r="V190">
            <v>31.456550936230748</v>
          </cell>
          <cell r="W190">
            <v>62.913101872461496</v>
          </cell>
          <cell r="X190">
            <v>62.913101872461496</v>
          </cell>
          <cell r="Y190">
            <v>62.913101872461496</v>
          </cell>
          <cell r="BB190">
            <v>1968.8009999999999</v>
          </cell>
          <cell r="BF190">
            <v>2180.636</v>
          </cell>
          <cell r="BJ190">
            <v>2356.127</v>
          </cell>
          <cell r="BN190">
            <v>2530.4279999999999</v>
          </cell>
          <cell r="BR190">
            <v>2738.6179999999999</v>
          </cell>
          <cell r="BV190">
            <v>2869.3040000000001</v>
          </cell>
        </row>
        <row r="191">
          <cell r="B191" t="str">
            <v>Fiber and right to use</v>
          </cell>
          <cell r="K191">
            <v>792.95799999999997</v>
          </cell>
          <cell r="L191">
            <v>842.18399999999997</v>
          </cell>
          <cell r="M191">
            <v>887.44299999999998</v>
          </cell>
          <cell r="N191">
            <v>947.93700000000001</v>
          </cell>
          <cell r="O191">
            <v>1014.952</v>
          </cell>
          <cell r="P191">
            <v>1089.21</v>
          </cell>
          <cell r="W191">
            <v>29.667187961225952</v>
          </cell>
          <cell r="X191">
            <v>59.334375922451905</v>
          </cell>
          <cell r="Y191">
            <v>59.334375922451905</v>
          </cell>
          <cell r="BB191">
            <v>792.95799999999997</v>
          </cell>
          <cell r="BF191">
            <v>842.18399999999997</v>
          </cell>
          <cell r="BJ191">
            <v>887.44299999999998</v>
          </cell>
          <cell r="BN191">
            <v>947.93700000000001</v>
          </cell>
          <cell r="BR191">
            <v>1014.952</v>
          </cell>
          <cell r="BV191">
            <v>1089.21</v>
          </cell>
        </row>
        <row r="192">
          <cell r="B192" t="str">
            <v>Vehicles and other equipment</v>
          </cell>
          <cell r="K192">
            <v>177.74199999999999</v>
          </cell>
          <cell r="L192">
            <v>178.05099999999999</v>
          </cell>
          <cell r="M192">
            <v>170.59299999999999</v>
          </cell>
          <cell r="N192">
            <v>187.804</v>
          </cell>
          <cell r="O192">
            <v>206.46600000000001</v>
          </cell>
          <cell r="P192">
            <v>227.977</v>
          </cell>
          <cell r="X192">
            <v>27.950326083018865</v>
          </cell>
          <cell r="Y192">
            <v>55.90065216603773</v>
          </cell>
          <cell r="BB192">
            <v>177.74199999999999</v>
          </cell>
          <cell r="BF192">
            <v>178.05099999999999</v>
          </cell>
          <cell r="BJ192">
            <v>170.59299999999999</v>
          </cell>
          <cell r="BN192">
            <v>187.804</v>
          </cell>
          <cell r="BR192">
            <v>206.46600000000001</v>
          </cell>
          <cell r="BV192">
            <v>227.977</v>
          </cell>
        </row>
        <row r="193">
          <cell r="B193" t="str">
            <v>Land, buildings, and improvements</v>
          </cell>
          <cell r="K193">
            <v>65.251000000000005</v>
          </cell>
          <cell r="L193">
            <v>65.997</v>
          </cell>
          <cell r="M193">
            <v>67.123999999999995</v>
          </cell>
          <cell r="N193">
            <v>65.881</v>
          </cell>
          <cell r="O193">
            <v>66.097999999999999</v>
          </cell>
          <cell r="P193">
            <v>61.377000000000002</v>
          </cell>
          <cell r="Y193">
            <v>17.853344540322325</v>
          </cell>
          <cell r="BB193">
            <v>65.251000000000005</v>
          </cell>
          <cell r="BF193">
            <v>65.997</v>
          </cell>
          <cell r="BJ193">
            <v>67.123999999999995</v>
          </cell>
          <cell r="BN193">
            <v>65.881</v>
          </cell>
          <cell r="BR193">
            <v>66.097999999999999</v>
          </cell>
          <cell r="BV193">
            <v>61.377000000000002</v>
          </cell>
          <cell r="BW193">
            <v>7</v>
          </cell>
          <cell r="BX193">
            <v>3</v>
          </cell>
        </row>
        <row r="194">
          <cell r="B194" t="str">
            <v>Gross PP&amp;E</v>
          </cell>
          <cell r="E194">
            <v>207.57099999999997</v>
          </cell>
          <cell r="F194">
            <v>237.31</v>
          </cell>
          <cell r="G194">
            <v>223.90399999999997</v>
          </cell>
          <cell r="H194">
            <v>230.68800000000002</v>
          </cell>
          <cell r="I194">
            <v>238.18</v>
          </cell>
          <cell r="J194">
            <v>256.09100000000001</v>
          </cell>
          <cell r="K194">
            <v>3004.7520000000004</v>
          </cell>
          <cell r="L194">
            <v>3266.8679999999995</v>
          </cell>
          <cell r="M194">
            <v>3481.2869999999994</v>
          </cell>
          <cell r="N194">
            <v>3732.0499999999997</v>
          </cell>
          <cell r="O194">
            <v>4026.1339999999996</v>
          </cell>
          <cell r="P194">
            <v>4247.8680000000004</v>
          </cell>
          <cell r="Q194">
            <v>302.42609832881351</v>
          </cell>
          <cell r="R194">
            <v>311.01700843083609</v>
          </cell>
          <cell r="S194">
            <v>337.29437399757217</v>
          </cell>
          <cell r="T194">
            <v>371.58408403007888</v>
          </cell>
          <cell r="U194">
            <v>411.38202908223815</v>
          </cell>
          <cell r="V194">
            <v>445.99848518210086</v>
          </cell>
          <cell r="W194">
            <v>439.62168890829105</v>
          </cell>
          <cell r="X194">
            <v>409.53282152383014</v>
          </cell>
          <cell r="Y194">
            <v>377.65044606780316</v>
          </cell>
          <cell r="AA194">
            <v>52.674999999999997</v>
          </cell>
          <cell r="AB194">
            <v>46.222000000000001</v>
          </cell>
          <cell r="AC194">
            <v>51.951000000000001</v>
          </cell>
          <cell r="AD194">
            <v>56.722999999999999</v>
          </cell>
          <cell r="AE194">
            <v>57.334000000000003</v>
          </cell>
          <cell r="AF194">
            <v>57.171999999999997</v>
          </cell>
          <cell r="AG194">
            <v>61.762999999999998</v>
          </cell>
          <cell r="AH194">
            <v>61.040999999999997</v>
          </cell>
          <cell r="AI194">
            <v>54.11</v>
          </cell>
          <cell r="AJ194">
            <v>54.357999999999997</v>
          </cell>
          <cell r="AK194">
            <v>56.408000000000001</v>
          </cell>
          <cell r="AL194">
            <v>59.027999999999999</v>
          </cell>
          <cell r="AM194">
            <v>56.813000000000002</v>
          </cell>
          <cell r="AN194">
            <v>54.59</v>
          </cell>
          <cell r="AO194">
            <v>54.753999999999998</v>
          </cell>
          <cell r="AP194">
            <v>64.531000000000006</v>
          </cell>
          <cell r="AQ194">
            <v>58.006</v>
          </cell>
          <cell r="AR194">
            <v>58.671999999999997</v>
          </cell>
          <cell r="AS194">
            <v>59.594999999999999</v>
          </cell>
          <cell r="AT194">
            <v>61.906999999999996</v>
          </cell>
          <cell r="AU194">
            <v>60.128999999999998</v>
          </cell>
          <cell r="AV194">
            <v>62.366999999999997</v>
          </cell>
          <cell r="AW194">
            <v>62.027999999999999</v>
          </cell>
          <cell r="AX194">
            <v>71.566999999999993</v>
          </cell>
          <cell r="AY194">
            <v>66.14</v>
          </cell>
          <cell r="AZ194">
            <v>68.605000000000004</v>
          </cell>
          <cell r="BA194">
            <v>71.58</v>
          </cell>
          <cell r="BB194">
            <v>3004.7520000000004</v>
          </cell>
          <cell r="BC194">
            <v>69.858999999999995</v>
          </cell>
          <cell r="BD194">
            <v>70.918999999999997</v>
          </cell>
          <cell r="BE194">
            <v>71.537000000000006</v>
          </cell>
          <cell r="BF194">
            <v>3266.8679999999995</v>
          </cell>
          <cell r="BG194">
            <v>73.191000000000003</v>
          </cell>
          <cell r="BH194">
            <v>74.406000000000006</v>
          </cell>
          <cell r="BI194">
            <v>74.28</v>
          </cell>
          <cell r="BJ194">
            <v>3481.2869999999994</v>
          </cell>
          <cell r="BK194">
            <v>3559.212</v>
          </cell>
          <cell r="BL194">
            <v>3640.018</v>
          </cell>
          <cell r="BM194">
            <v>3690.547</v>
          </cell>
          <cell r="BN194">
            <v>3732.0499999999997</v>
          </cell>
          <cell r="BO194">
            <v>3792.0949999999998</v>
          </cell>
          <cell r="BP194">
            <v>3877.2860000000001</v>
          </cell>
          <cell r="BQ194">
            <v>3958.489</v>
          </cell>
          <cell r="BR194">
            <v>4026.134</v>
          </cell>
          <cell r="BS194">
            <v>4080.835</v>
          </cell>
          <cell r="BT194">
            <v>4116.3289999999997</v>
          </cell>
          <cell r="BU194">
            <v>4186.3209999999999</v>
          </cell>
          <cell r="BV194">
            <v>4247.8680000000004</v>
          </cell>
          <cell r="BW194">
            <v>4327.9390000000003</v>
          </cell>
          <cell r="BX194">
            <v>4421.375</v>
          </cell>
          <cell r="BY194">
            <v>4495.6000000000004</v>
          </cell>
          <cell r="BZ194">
            <v>4707.4427011099642</v>
          </cell>
          <cell r="CA194">
            <v>4817.2002357075862</v>
          </cell>
          <cell r="CB194">
            <v>4925.9920717514487</v>
          </cell>
          <cell r="CC194">
            <v>5031.8534007330181</v>
          </cell>
          <cell r="CD194">
            <v>5135.8370117208133</v>
          </cell>
        </row>
        <row r="195">
          <cell r="B195" t="str">
            <v>Accumulated depreciation</v>
          </cell>
          <cell r="K195">
            <v>-1727.8520000000001</v>
          </cell>
          <cell r="L195">
            <v>-1959.9580000000001</v>
          </cell>
          <cell r="M195">
            <v>-2186.915</v>
          </cell>
          <cell r="N195">
            <v>-2375.4380000000001</v>
          </cell>
          <cell r="O195">
            <v>-2598.922</v>
          </cell>
          <cell r="P195">
            <v>-2755.6219999999998</v>
          </cell>
          <cell r="R195">
            <v>0.87902000412330006</v>
          </cell>
          <cell r="S195">
            <v>0.93448445041426853</v>
          </cell>
          <cell r="T195">
            <v>1.0192788797910541</v>
          </cell>
          <cell r="U195">
            <v>1.1484604926855733</v>
          </cell>
          <cell r="V195">
            <v>1.3027559713666286</v>
          </cell>
          <cell r="W195">
            <v>1.3611094814863731</v>
          </cell>
          <cell r="X195">
            <v>1.3454039546909458</v>
          </cell>
          <cell r="Y195">
            <v>1.9417411798860977</v>
          </cell>
          <cell r="BB195">
            <v>-1727.8520000000001</v>
          </cell>
          <cell r="BF195">
            <v>-1959.9580000000001</v>
          </cell>
          <cell r="BJ195">
            <v>-2186.915</v>
          </cell>
          <cell r="BK195">
            <v>-2252.5700000000002</v>
          </cell>
          <cell r="BL195">
            <v>-2315.4769999999999</v>
          </cell>
          <cell r="BM195">
            <v>-2346.6219999999998</v>
          </cell>
          <cell r="BN195">
            <v>-2375.4380000000001</v>
          </cell>
          <cell r="BO195">
            <v>0.87966093142943647</v>
          </cell>
          <cell r="BP195">
            <v>0.77129901718008831</v>
          </cell>
          <cell r="BQ195">
            <v>0.82529636911478998</v>
          </cell>
          <cell r="BR195">
            <v>0.83765596685019106</v>
          </cell>
          <cell r="BS195">
            <v>0.86455396983908295</v>
          </cell>
          <cell r="BT195">
            <v>0.87222744826220411</v>
          </cell>
          <cell r="BU195">
            <v>0.842979737783075</v>
          </cell>
          <cell r="BV195">
            <v>0.76958658274011271</v>
          </cell>
          <cell r="BW195">
            <v>0.86236894326267133</v>
          </cell>
          <cell r="BX195">
            <v>0.83078494022597049</v>
          </cell>
          <cell r="BY195">
            <v>0.80783106937903171</v>
          </cell>
          <cell r="BZ195">
            <v>0.83392653056533594</v>
          </cell>
          <cell r="CA195">
            <v>-3089.4999463165341</v>
          </cell>
          <cell r="CB195">
            <v>-3181.0323623951485</v>
          </cell>
          <cell r="CC195">
            <v>-3277.4432594970681</v>
          </cell>
          <cell r="CD195">
            <v>-3378.6233597801097</v>
          </cell>
        </row>
        <row r="196">
          <cell r="B196" t="str">
            <v>Net PP&amp;E</v>
          </cell>
          <cell r="K196">
            <v>1276.9000000000003</v>
          </cell>
          <cell r="L196">
            <v>1306.9099999999994</v>
          </cell>
          <cell r="M196">
            <v>1294.3719999999994</v>
          </cell>
          <cell r="N196">
            <v>1356.6119999999996</v>
          </cell>
          <cell r="O196">
            <v>1427.2119999999995</v>
          </cell>
          <cell r="P196">
            <v>1492.2460000000005</v>
          </cell>
          <cell r="BB196">
            <v>1276.9000000000003</v>
          </cell>
          <cell r="BF196">
            <v>1306.9099999999994</v>
          </cell>
          <cell r="BJ196">
            <v>1294.3719999999994</v>
          </cell>
          <cell r="BK196">
            <v>1306.6419999999998</v>
          </cell>
          <cell r="BL196">
            <v>1324.5410000000002</v>
          </cell>
          <cell r="BM196">
            <v>1343.9250000000002</v>
          </cell>
          <cell r="BN196">
            <v>1356.6119999999996</v>
          </cell>
          <cell r="BO196">
            <v>1369.9399999999996</v>
          </cell>
          <cell r="BP196">
            <v>1395.335</v>
          </cell>
          <cell r="BQ196">
            <v>1416.6039999999998</v>
          </cell>
          <cell r="BR196">
            <v>1427.212</v>
          </cell>
          <cell r="BS196">
            <v>1438.9839999999999</v>
          </cell>
          <cell r="BT196">
            <v>1453.5349999999999</v>
          </cell>
          <cell r="BU196">
            <v>1465.2350000000001</v>
          </cell>
          <cell r="BV196">
            <v>1492.2460000000005</v>
          </cell>
          <cell r="BW196">
            <v>1515.6070000000004</v>
          </cell>
          <cell r="BX196">
            <v>1547.2939999999999</v>
          </cell>
          <cell r="BY196">
            <v>1573.8990000000003</v>
          </cell>
          <cell r="BZ196">
            <v>1704.5081397211015</v>
          </cell>
          <cell r="CA196">
            <v>1727.7002893910521</v>
          </cell>
          <cell r="CB196">
            <v>1744.9597093563002</v>
          </cell>
          <cell r="CC196">
            <v>1754.4101412359501</v>
          </cell>
          <cell r="CD196">
            <v>1757.2136519407036</v>
          </cell>
        </row>
        <row r="197">
          <cell r="B197" t="str">
            <v>Average Depreciable Life (Annualized)</v>
          </cell>
          <cell r="K197">
            <v>10.752223979617398</v>
          </cell>
          <cell r="L197">
            <v>11.431288775049598</v>
          </cell>
          <cell r="M197">
            <v>11.754472983148018</v>
          </cell>
          <cell r="N197">
            <v>12.888515146910526</v>
          </cell>
          <cell r="O197">
            <v>14.21010203685468</v>
          </cell>
          <cell r="P197">
            <v>14.941918872145541</v>
          </cell>
          <cell r="BB197">
            <v>10.272094517906714</v>
          </cell>
          <cell r="BF197">
            <v>11.116635814232044</v>
          </cell>
          <cell r="BJ197">
            <v>11.715193834971057</v>
          </cell>
          <cell r="BK197">
            <v>12.124804120620817</v>
          </cell>
          <cell r="BL197">
            <v>12.633511960128278</v>
          </cell>
          <cell r="BM197">
            <v>12.883828827570799</v>
          </cell>
          <cell r="BN197">
            <v>12.863105578073728</v>
          </cell>
          <cell r="BO197">
            <v>13.594466989790064</v>
          </cell>
          <cell r="BP197">
            <v>13.831445042165495</v>
          </cell>
          <cell r="BQ197">
            <v>13.950130391880464</v>
          </cell>
          <cell r="BR197">
            <v>13.869446894118944</v>
          </cell>
          <cell r="BS197">
            <v>14.916641079626867</v>
          </cell>
          <cell r="BT197">
            <v>14.603332671103606</v>
          </cell>
          <cell r="BU197">
            <v>14.797673415716993</v>
          </cell>
          <cell r="BV197">
            <v>14.215854784948396</v>
          </cell>
          <cell r="BW197">
            <v>14.543783184353789</v>
          </cell>
          <cell r="BX197">
            <v>14.610899249193675</v>
          </cell>
          <cell r="BY197">
            <v>14.305170175393936</v>
          </cell>
          <cell r="BZ197">
            <v>14.487370184890592</v>
          </cell>
          <cell r="CA197">
            <v>13.912027999796122</v>
          </cell>
          <cell r="CB197">
            <v>13.454228247183663</v>
          </cell>
          <cell r="CC197">
            <v>13.047937401240166</v>
          </cell>
          <cell r="CD197">
            <v>12.689839695142139</v>
          </cell>
        </row>
        <row r="198">
          <cell r="B198" t="str">
            <v>Depreciation Expense</v>
          </cell>
          <cell r="E198">
            <v>207.57099999999997</v>
          </cell>
          <cell r="F198">
            <v>237.31</v>
          </cell>
          <cell r="G198">
            <v>223.90399999999997</v>
          </cell>
          <cell r="H198">
            <v>230.68800000000002</v>
          </cell>
          <cell r="I198">
            <v>238.18</v>
          </cell>
          <cell r="J198">
            <v>256.09100000000001</v>
          </cell>
          <cell r="K198">
            <v>279.45400000000001</v>
          </cell>
          <cell r="L198">
            <v>285.78300000000002</v>
          </cell>
          <cell r="M198">
            <v>296.16700000000003</v>
          </cell>
          <cell r="N198">
            <v>289.56400000000002</v>
          </cell>
          <cell r="O198">
            <v>283.32900000000001</v>
          </cell>
          <cell r="P198">
            <v>282.03719408361064</v>
          </cell>
          <cell r="Q198">
            <v>305.52929100640694</v>
          </cell>
          <cell r="R198">
            <v>333.17247522210403</v>
          </cell>
          <cell r="S198">
            <v>367.6595500349427</v>
          </cell>
          <cell r="T198">
            <v>408.78210749498908</v>
          </cell>
          <cell r="U198">
            <v>447.04226394470106</v>
          </cell>
          <cell r="V198">
            <v>439.63955136652953</v>
          </cell>
          <cell r="W198">
            <v>428.78031970959699</v>
          </cell>
          <cell r="X198">
            <v>401.24369167143351</v>
          </cell>
          <cell r="Y198">
            <v>371.20820599742768</v>
          </cell>
          <cell r="AA198">
            <v>52.674999999999997</v>
          </cell>
          <cell r="AB198">
            <v>46.222000000000001</v>
          </cell>
          <cell r="AC198">
            <v>51.951000000000001</v>
          </cell>
          <cell r="AD198">
            <v>56.722999999999999</v>
          </cell>
          <cell r="AE198">
            <v>57.334000000000003</v>
          </cell>
          <cell r="AF198">
            <v>57.171999999999997</v>
          </cell>
          <cell r="AG198">
            <v>61.762999999999998</v>
          </cell>
          <cell r="AH198">
            <v>61.040999999999997</v>
          </cell>
          <cell r="AI198">
            <v>54.11</v>
          </cell>
          <cell r="AJ198">
            <v>54.357999999999997</v>
          </cell>
          <cell r="AK198">
            <v>56.408000000000001</v>
          </cell>
          <cell r="AL198">
            <v>59.027999999999999</v>
          </cell>
          <cell r="AM198">
            <v>56.813000000000002</v>
          </cell>
          <cell r="AN198">
            <v>54.59</v>
          </cell>
          <cell r="AO198">
            <v>54.753999999999998</v>
          </cell>
          <cell r="AP198">
            <v>64.531000000000006</v>
          </cell>
          <cell r="AQ198">
            <v>58.006</v>
          </cell>
          <cell r="AR198">
            <v>58.671999999999997</v>
          </cell>
          <cell r="AS198">
            <v>59.594999999999999</v>
          </cell>
          <cell r="AT198">
            <v>61.906999999999996</v>
          </cell>
          <cell r="AU198">
            <v>60.128999999999998</v>
          </cell>
          <cell r="AV198">
            <v>62.366999999999997</v>
          </cell>
          <cell r="AW198">
            <v>62.027999999999999</v>
          </cell>
          <cell r="AX198">
            <v>71.566999999999993</v>
          </cell>
          <cell r="AY198">
            <v>66.14</v>
          </cell>
          <cell r="AZ198">
            <v>68.605000000000004</v>
          </cell>
          <cell r="BA198">
            <v>71.58</v>
          </cell>
          <cell r="BB198">
            <v>73.129000000000005</v>
          </cell>
          <cell r="BC198">
            <v>69.858999999999995</v>
          </cell>
          <cell r="BD198">
            <v>70.918999999999997</v>
          </cell>
          <cell r="BE198">
            <v>71.537000000000006</v>
          </cell>
          <cell r="BF198">
            <v>73.468000000000004</v>
          </cell>
          <cell r="BG198">
            <v>73.191000000000003</v>
          </cell>
          <cell r="BH198">
            <v>74.406000000000006</v>
          </cell>
          <cell r="BI198">
            <v>74.28</v>
          </cell>
          <cell r="BJ198">
            <v>74.290000000000006</v>
          </cell>
          <cell r="BK198">
            <v>73.387</v>
          </cell>
          <cell r="BL198">
            <v>72.031000000000006</v>
          </cell>
          <cell r="BM198">
            <v>71.611999999999995</v>
          </cell>
          <cell r="BN198">
            <v>72.534000000000006</v>
          </cell>
          <cell r="BO198">
            <v>69.736000000000004</v>
          </cell>
          <cell r="BP198">
            <v>70.081000000000003</v>
          </cell>
          <cell r="BQ198">
            <v>70.94</v>
          </cell>
          <cell r="BR198">
            <v>72.572000000000003</v>
          </cell>
          <cell r="BS198">
            <v>68.394000000000005</v>
          </cell>
          <cell r="BT198">
            <v>70.468999999999994</v>
          </cell>
          <cell r="BU198">
            <v>70.725999999999999</v>
          </cell>
          <cell r="BV198">
            <v>72.448194083610645</v>
          </cell>
          <cell r="BW198">
            <v>74.036877714663049</v>
          </cell>
          <cell r="BX198">
            <v>75.439327814335655</v>
          </cell>
          <cell r="BY198">
            <v>77.083372294190312</v>
          </cell>
          <cell r="BZ198">
            <v>78.969713183217905</v>
          </cell>
        </row>
        <row r="199">
          <cell r="B199" t="str">
            <v>Capital Expenditures</v>
          </cell>
          <cell r="E199">
            <v>425.452</v>
          </cell>
          <cell r="F199">
            <v>104.831</v>
          </cell>
          <cell r="G199">
            <v>129.697</v>
          </cell>
          <cell r="H199">
            <v>167.82900000000001</v>
          </cell>
          <cell r="I199">
            <v>161.001</v>
          </cell>
          <cell r="J199">
            <v>192.26900000000001</v>
          </cell>
          <cell r="K199">
            <v>257.90499999999997</v>
          </cell>
          <cell r="L199">
            <v>275.29700000000003</v>
          </cell>
          <cell r="M199">
            <v>274.90299999999996</v>
          </cell>
          <cell r="N199">
            <v>321.84399999999999</v>
          </cell>
          <cell r="O199">
            <v>342.73099999999999</v>
          </cell>
          <cell r="P199">
            <v>340.87</v>
          </cell>
          <cell r="Q199">
            <v>385.6907011099637</v>
          </cell>
          <cell r="R199">
            <v>0.92934096701408431</v>
          </cell>
          <cell r="S199">
            <v>1.0060973748055266</v>
          </cell>
          <cell r="T199">
            <v>1.1082795411737436</v>
          </cell>
          <cell r="U199">
            <v>1.2341895413063073</v>
          </cell>
          <cell r="V199">
            <v>1.2705535334574354</v>
          </cell>
          <cell r="W199">
            <v>1.3139104762963867</v>
          </cell>
          <cell r="X199">
            <v>1.3050545147313648</v>
          </cell>
          <cell r="Y199">
            <v>1.8901892846465753</v>
          </cell>
          <cell r="BB199">
            <v>66.040999999999997</v>
          </cell>
          <cell r="BC199">
            <v>59.637</v>
          </cell>
          <cell r="BD199">
            <v>66.844999999999999</v>
          </cell>
          <cell r="BE199">
            <v>75.947000000000003</v>
          </cell>
          <cell r="BF199">
            <v>72.867999999999995</v>
          </cell>
          <cell r="BG199">
            <v>73.424999999999997</v>
          </cell>
          <cell r="BH199">
            <v>69.2</v>
          </cell>
          <cell r="BI199">
            <v>59.930999999999997</v>
          </cell>
          <cell r="BJ199">
            <v>72.346999999999994</v>
          </cell>
          <cell r="BK199">
            <v>80.929000000000002</v>
          </cell>
          <cell r="BL199">
            <v>84.988</v>
          </cell>
          <cell r="BM199">
            <v>77.808999999999997</v>
          </cell>
          <cell r="BN199">
            <v>78.117999999999995</v>
          </cell>
          <cell r="BO199">
            <v>0.87966093142943647</v>
          </cell>
          <cell r="BP199">
            <v>0.77129901718008831</v>
          </cell>
          <cell r="BQ199">
            <v>0.82529636911478998</v>
          </cell>
          <cell r="BR199">
            <v>0.83765596685019106</v>
          </cell>
          <cell r="BS199">
            <v>0.86455396983908295</v>
          </cell>
          <cell r="BT199">
            <v>0.87222744826220411</v>
          </cell>
          <cell r="BU199">
            <v>0.842979737783075</v>
          </cell>
          <cell r="BV199">
            <v>0.71287507957744156</v>
          </cell>
          <cell r="BW199">
            <v>0.85703624661343336</v>
          </cell>
          <cell r="BX199">
            <v>0.85663119224244721</v>
          </cell>
          <cell r="BY199">
            <v>0.83884283362438516</v>
          </cell>
          <cell r="BZ199">
            <v>0.84158633468439481</v>
          </cell>
          <cell r="CA199">
            <v>109.75753459762197</v>
          </cell>
          <cell r="CB199">
            <v>108.79183604386209</v>
          </cell>
          <cell r="CC199">
            <v>105.86132898156896</v>
          </cell>
          <cell r="CD199">
            <v>103.98361098779522</v>
          </cell>
        </row>
        <row r="200">
          <cell r="B200" t="str">
            <v>Beginning PP&amp;E</v>
          </cell>
          <cell r="K200">
            <v>1276.9000000000003</v>
          </cell>
          <cell r="L200">
            <v>1306.9099999999994</v>
          </cell>
          <cell r="M200">
            <v>1294.3719999999994</v>
          </cell>
          <cell r="N200">
            <v>1356.6119999999996</v>
          </cell>
          <cell r="O200">
            <v>1427.2119999999995</v>
          </cell>
          <cell r="P200">
            <v>1492.2460000000005</v>
          </cell>
          <cell r="BF200">
            <v>1306.9099999999994</v>
          </cell>
          <cell r="BJ200">
            <v>1294.3719999999994</v>
          </cell>
          <cell r="BK200">
            <v>1306.6419999999998</v>
          </cell>
          <cell r="BL200">
            <v>1324.5410000000002</v>
          </cell>
          <cell r="BM200">
            <v>1343.9250000000002</v>
          </cell>
          <cell r="BN200">
            <v>1356.6119999999996</v>
          </cell>
          <cell r="BO200">
            <v>1369.9399999999996</v>
          </cell>
          <cell r="BP200">
            <v>1395.335</v>
          </cell>
          <cell r="BQ200">
            <v>1416.6039999999998</v>
          </cell>
          <cell r="BR200">
            <v>1427.212</v>
          </cell>
          <cell r="BS200">
            <v>1438.9839999999999</v>
          </cell>
          <cell r="BT200">
            <v>1453.5349999999999</v>
          </cell>
          <cell r="BU200">
            <v>1465.2350000000001</v>
          </cell>
          <cell r="BV200">
            <v>1492.2460000000005</v>
          </cell>
          <cell r="BW200">
            <v>1515.6070000000004</v>
          </cell>
          <cell r="BX200">
            <v>1547.2939999999999</v>
          </cell>
          <cell r="BY200">
            <v>1573.8990000000003</v>
          </cell>
          <cell r="BZ200">
            <v>1704.5081397211015</v>
          </cell>
          <cell r="CA200">
            <v>1727.7002893910521</v>
          </cell>
          <cell r="CB200">
            <v>1744.9597093563002</v>
          </cell>
          <cell r="CC200">
            <v>1754.4101412359501</v>
          </cell>
          <cell r="CD200">
            <v>1757.2136519407036</v>
          </cell>
        </row>
        <row r="201">
          <cell r="A201" t="str">
            <v>x</v>
          </cell>
          <cell r="B201" t="str">
            <v>Less: Land</v>
          </cell>
          <cell r="H201" t="str">
            <v>2004-FY</v>
          </cell>
          <cell r="I201" t="str">
            <v>2005-FY</v>
          </cell>
          <cell r="J201" t="str">
            <v>2006-FY</v>
          </cell>
          <cell r="K201" t="str">
            <v>2007-FY</v>
          </cell>
          <cell r="L201">
            <v>21.998999999999999</v>
          </cell>
          <cell r="M201">
            <v>22.374666666666666</v>
          </cell>
          <cell r="N201">
            <v>65.881</v>
          </cell>
          <cell r="O201">
            <v>66.097999999999999</v>
          </cell>
          <cell r="P201">
            <v>61.377000000000002</v>
          </cell>
          <cell r="Q201" t="str">
            <v>2013-FY</v>
          </cell>
          <cell r="R201" t="str">
            <v>2014-FY</v>
          </cell>
          <cell r="S201" t="str">
            <v>2015-FY</v>
          </cell>
          <cell r="T201" t="str">
            <v>2016-FY</v>
          </cell>
          <cell r="U201" t="str">
            <v>2017-FY</v>
          </cell>
          <cell r="V201" t="str">
            <v>2018-FY</v>
          </cell>
          <cell r="W201" t="str">
            <v>2019-FY</v>
          </cell>
          <cell r="X201" t="str">
            <v>2020-FY</v>
          </cell>
          <cell r="Y201" t="str">
            <v>2021-FY</v>
          </cell>
          <cell r="AM201" t="str">
            <v>2004-Q1</v>
          </cell>
          <cell r="AN201" t="str">
            <v>2004-Q2</v>
          </cell>
          <cell r="AO201" t="str">
            <v>2004-Q3</v>
          </cell>
          <cell r="AP201" t="str">
            <v>2004-Q4</v>
          </cell>
          <cell r="AQ201" t="str">
            <v>2005-Q1</v>
          </cell>
          <cell r="AR201" t="str">
            <v>2005-Q2</v>
          </cell>
          <cell r="AS201" t="str">
            <v>2005-Q3</v>
          </cell>
          <cell r="AT201" t="str">
            <v>2005-Q4</v>
          </cell>
          <cell r="AU201" t="str">
            <v>2006-Q1</v>
          </cell>
          <cell r="AV201" t="str">
            <v>2006-Q2</v>
          </cell>
          <cell r="AW201" t="str">
            <v>2006-Q3</v>
          </cell>
          <cell r="AX201" t="str">
            <v>2006-Q4</v>
          </cell>
          <cell r="AY201" t="str">
            <v>2007-Q1</v>
          </cell>
          <cell r="AZ201" t="str">
            <v>2007-Q2</v>
          </cell>
          <cell r="BA201" t="str">
            <v>2007-Q3</v>
          </cell>
          <cell r="BB201" t="str">
            <v>2007-Q4</v>
          </cell>
          <cell r="BC201" t="str">
            <v>2008-Q1</v>
          </cell>
          <cell r="BD201" t="str">
            <v>2008-Q2</v>
          </cell>
          <cell r="BE201" t="str">
            <v>2008-Q3</v>
          </cell>
          <cell r="BF201">
            <v>21.77901</v>
          </cell>
          <cell r="BG201" t="str">
            <v>2009-Q1</v>
          </cell>
          <cell r="BH201" t="str">
            <v>2009-Q2</v>
          </cell>
          <cell r="BI201" t="str">
            <v>2009-Q3</v>
          </cell>
          <cell r="BJ201">
            <v>22.374666666666666</v>
          </cell>
          <cell r="BK201" t="str">
            <v>2010-Q1</v>
          </cell>
          <cell r="BL201" t="str">
            <v>2010-Q2</v>
          </cell>
          <cell r="BM201" t="str">
            <v>2010-Q3</v>
          </cell>
          <cell r="BN201" t="str">
            <v>2010-Q4</v>
          </cell>
          <cell r="BO201" t="str">
            <v>2011-Q1</v>
          </cell>
          <cell r="BP201" t="str">
            <v>2011-Q2</v>
          </cell>
          <cell r="BQ201" t="str">
            <v>2011-Q3</v>
          </cell>
          <cell r="BR201">
            <v>66.097999999999999</v>
          </cell>
          <cell r="BS201" t="str">
            <v>2012-Q1</v>
          </cell>
          <cell r="BT201" t="str">
            <v>2012-Q2</v>
          </cell>
          <cell r="BU201" t="str">
            <v>2012-Q3</v>
          </cell>
          <cell r="BV201">
            <v>61.377000000000002</v>
          </cell>
          <cell r="BW201">
            <v>0</v>
          </cell>
          <cell r="BX201">
            <v>0</v>
          </cell>
          <cell r="BY201">
            <v>0</v>
          </cell>
          <cell r="BZ201" t="str">
            <v>2013-Q4</v>
          </cell>
        </row>
        <row r="202">
          <cell r="B202" t="str">
            <v>PP&amp;E Depreciation</v>
          </cell>
          <cell r="BF202">
            <v>1285.1309899999994</v>
          </cell>
          <cell r="BJ202">
            <v>1271.9973333333328</v>
          </cell>
          <cell r="BV202">
            <v>1430.8690000000006</v>
          </cell>
          <cell r="BW202">
            <v>1515.6070000000004</v>
          </cell>
          <cell r="BX202">
            <v>1547.2939999999999</v>
          </cell>
          <cell r="BY202">
            <v>1573.8990000000003</v>
          </cell>
        </row>
        <row r="203">
          <cell r="B203">
            <v>5.5</v>
          </cell>
          <cell r="G203">
            <v>223.90399999999997</v>
          </cell>
          <cell r="H203">
            <v>230.68800000000002</v>
          </cell>
          <cell r="I203">
            <v>238.18</v>
          </cell>
          <cell r="J203">
            <v>256.09100000000001</v>
          </cell>
          <cell r="K203">
            <v>279.45400000000001</v>
          </cell>
          <cell r="L203">
            <v>1284.9109999999994</v>
          </cell>
          <cell r="M203">
            <v>1271.9973333333328</v>
          </cell>
          <cell r="N203">
            <v>1290.7309999999995</v>
          </cell>
          <cell r="Q203">
            <v>260.15800000000013</v>
          </cell>
          <cell r="R203">
            <v>260.15800000000013</v>
          </cell>
          <cell r="S203">
            <v>212.85654545454554</v>
          </cell>
          <cell r="T203">
            <v>174.1553553719009</v>
          </cell>
          <cell r="U203">
            <v>142.49074530428254</v>
          </cell>
          <cell r="V203">
            <v>116.58333706714025</v>
          </cell>
          <cell r="W203">
            <v>95.386366691296558</v>
          </cell>
          <cell r="X203">
            <v>78.043390929242634</v>
          </cell>
          <cell r="Y203">
            <v>63.853683487562151</v>
          </cell>
          <cell r="BR203">
            <v>1361.114</v>
          </cell>
          <cell r="BW203">
            <v>65.039500000000032</v>
          </cell>
          <cell r="BX203">
            <v>65.039500000000032</v>
          </cell>
          <cell r="BY203">
            <v>65.039500000000032</v>
          </cell>
          <cell r="BZ203">
            <v>65.039500000000032</v>
          </cell>
          <cell r="CA203">
            <v>65.039500000000032</v>
          </cell>
          <cell r="CB203">
            <v>65.039500000000032</v>
          </cell>
          <cell r="CC203">
            <v>65.039500000000032</v>
          </cell>
          <cell r="CD203">
            <v>65.039500000000032</v>
          </cell>
        </row>
        <row r="204">
          <cell r="B204">
            <v>120</v>
          </cell>
          <cell r="Q204">
            <v>0.75</v>
          </cell>
          <cell r="R204">
            <v>6</v>
          </cell>
          <cell r="S204">
            <v>6</v>
          </cell>
          <cell r="T204">
            <v>6</v>
          </cell>
          <cell r="U204">
            <v>6</v>
          </cell>
          <cell r="V204">
            <v>6</v>
          </cell>
          <cell r="W204">
            <v>6</v>
          </cell>
          <cell r="X204">
            <v>6</v>
          </cell>
          <cell r="Y204">
            <v>6</v>
          </cell>
          <cell r="BZ204">
            <v>0.75</v>
          </cell>
          <cell r="CA204">
            <v>1.5</v>
          </cell>
          <cell r="CB204">
            <v>1.5</v>
          </cell>
          <cell r="CC204">
            <v>1.5</v>
          </cell>
          <cell r="CD204">
            <v>1.5</v>
          </cell>
        </row>
        <row r="205">
          <cell r="A205" t="str">
            <v>x</v>
          </cell>
          <cell r="B205">
            <v>90.852999999999994</v>
          </cell>
          <cell r="H205" t="str">
            <v>2004-FY</v>
          </cell>
          <cell r="I205" t="str">
            <v>2005-FY</v>
          </cell>
          <cell r="J205" t="str">
            <v>2006-FY</v>
          </cell>
          <cell r="K205" t="str">
            <v>2007-FY</v>
          </cell>
          <cell r="L205" t="str">
            <v>2008-FY</v>
          </cell>
          <cell r="M205" t="str">
            <v>2009-FY</v>
          </cell>
          <cell r="N205" t="str">
            <v>2010-FY</v>
          </cell>
          <cell r="O205" t="str">
            <v>2011-FY</v>
          </cell>
          <cell r="P205" t="str">
            <v>2012-FY</v>
          </cell>
          <cell r="Q205">
            <v>4.129681818181818</v>
          </cell>
          <cell r="R205">
            <v>16.518727272727272</v>
          </cell>
          <cell r="S205">
            <v>16.518727272727272</v>
          </cell>
          <cell r="T205">
            <v>16.518727272727272</v>
          </cell>
          <cell r="U205">
            <v>16.518727272727272</v>
          </cell>
          <cell r="V205">
            <v>16.518727272727272</v>
          </cell>
          <cell r="W205">
            <v>4.1296818181818082</v>
          </cell>
          <cell r="X205">
            <v>0</v>
          </cell>
          <cell r="Y205">
            <v>0</v>
          </cell>
          <cell r="AM205" t="str">
            <v>2004-Q1</v>
          </cell>
          <cell r="AN205" t="str">
            <v>2004-Q2</v>
          </cell>
          <cell r="AO205" t="str">
            <v>2004-Q3</v>
          </cell>
          <cell r="AP205" t="str">
            <v>2004-Q4</v>
          </cell>
          <cell r="AQ205" t="str">
            <v>2005-Q1</v>
          </cell>
          <cell r="AR205" t="str">
            <v>2005-Q2</v>
          </cell>
          <cell r="AS205" t="str">
            <v>2005-Q3</v>
          </cell>
          <cell r="AT205" t="str">
            <v>2005-Q4</v>
          </cell>
          <cell r="AU205" t="str">
            <v>2006-Q1</v>
          </cell>
          <cell r="AV205" t="str">
            <v>2006-Q2</v>
          </cell>
          <cell r="AW205" t="str">
            <v>2006-Q3</v>
          </cell>
          <cell r="AX205" t="str">
            <v>2006-Q4</v>
          </cell>
          <cell r="AY205" t="str">
            <v>2007-Q1</v>
          </cell>
          <cell r="AZ205" t="str">
            <v>2007-Q2</v>
          </cell>
          <cell r="BA205" t="str">
            <v>2007-Q3</v>
          </cell>
          <cell r="BB205" t="str">
            <v>2007-Q4</v>
          </cell>
          <cell r="BC205" t="str">
            <v>2008-Q1</v>
          </cell>
          <cell r="BD205" t="str">
            <v>2008-Q2</v>
          </cell>
          <cell r="BE205" t="str">
            <v>2008-Q3</v>
          </cell>
          <cell r="BF205" t="str">
            <v>2008-Q4</v>
          </cell>
          <cell r="BG205" t="str">
            <v>2009-Q1</v>
          </cell>
          <cell r="BH205" t="str">
            <v>2009-Q2</v>
          </cell>
          <cell r="BI205" t="str">
            <v>2009-Q3</v>
          </cell>
          <cell r="BJ205" t="str">
            <v>2009-Q4</v>
          </cell>
          <cell r="BK205" t="str">
            <v>2010-Q1</v>
          </cell>
          <cell r="BL205" t="str">
            <v>2010-Q2</v>
          </cell>
          <cell r="BM205" t="str">
            <v>2010-Q3</v>
          </cell>
          <cell r="BN205" t="str">
            <v>2010-Q4</v>
          </cell>
          <cell r="BO205" t="str">
            <v>2011-Q1</v>
          </cell>
          <cell r="BP205" t="str">
            <v>2011-Q2</v>
          </cell>
          <cell r="BQ205" t="str">
            <v>2011-Q3</v>
          </cell>
          <cell r="BR205" t="str">
            <v>2011-Q4</v>
          </cell>
          <cell r="BS205" t="str">
            <v>2012-Q1</v>
          </cell>
          <cell r="BT205" t="str">
            <v>2012-Q2</v>
          </cell>
          <cell r="BU205" t="str">
            <v>2012-Q3</v>
          </cell>
          <cell r="BV205" t="str">
            <v>2012-Q4</v>
          </cell>
          <cell r="BW205" t="str">
            <v>2013-Q1</v>
          </cell>
          <cell r="BX205" t="str">
            <v>2013-Q2</v>
          </cell>
          <cell r="BY205" t="str">
            <v>2013-Q3</v>
          </cell>
          <cell r="BZ205">
            <v>4.129681818181818</v>
          </cell>
          <cell r="CA205">
            <v>4.129681818181818</v>
          </cell>
          <cell r="CB205">
            <v>4.129681818181818</v>
          </cell>
          <cell r="CC205">
            <v>4.129681818181818</v>
          </cell>
          <cell r="CD205">
            <v>4.129681818181818</v>
          </cell>
        </row>
        <row r="206">
          <cell r="B206">
            <v>100.958</v>
          </cell>
          <cell r="Q206">
            <v>4.5889999999999995</v>
          </cell>
          <cell r="R206">
            <v>18.355999999999998</v>
          </cell>
          <cell r="S206">
            <v>18.355999999999998</v>
          </cell>
          <cell r="T206">
            <v>18.355999999999998</v>
          </cell>
          <cell r="U206">
            <v>18.355999999999998</v>
          </cell>
          <cell r="V206">
            <v>18.355999999999998</v>
          </cell>
          <cell r="W206">
            <v>4.5890000000000128</v>
          </cell>
          <cell r="X206">
            <v>0</v>
          </cell>
          <cell r="Y206">
            <v>0</v>
          </cell>
          <cell r="BZ206">
            <v>4.5889999999999995</v>
          </cell>
          <cell r="CA206">
            <v>4.5889999999999995</v>
          </cell>
          <cell r="CB206">
            <v>4.5889999999999995</v>
          </cell>
          <cell r="CC206">
            <v>4.5889999999999995</v>
          </cell>
          <cell r="CD206">
            <v>4.5889999999999995</v>
          </cell>
        </row>
        <row r="207">
          <cell r="B207">
            <v>102.03700000000001</v>
          </cell>
          <cell r="Q207">
            <v>4.6380454545454546</v>
          </cell>
          <cell r="R207">
            <v>18.552181818181818</v>
          </cell>
          <cell r="S207">
            <v>18.552181818181818</v>
          </cell>
          <cell r="T207">
            <v>18.552181818181818</v>
          </cell>
          <cell r="U207">
            <v>18.552181818181818</v>
          </cell>
          <cell r="V207">
            <v>18.552181818181818</v>
          </cell>
          <cell r="W207">
            <v>4.6380454545454484</v>
          </cell>
          <cell r="X207">
            <v>0</v>
          </cell>
          <cell r="Y207">
            <v>0</v>
          </cell>
          <cell r="BZ207">
            <v>4.6380454545454546</v>
          </cell>
          <cell r="CA207">
            <v>4.6380454545454546</v>
          </cell>
          <cell r="CB207">
            <v>4.6380454545454546</v>
          </cell>
          <cell r="CC207">
            <v>4.6380454545454546</v>
          </cell>
          <cell r="CD207">
            <v>4.6380454545454546</v>
          </cell>
        </row>
        <row r="208">
          <cell r="B208">
            <v>91.842701109963727</v>
          </cell>
          <cell r="Q208">
            <v>2.0873341161355392</v>
          </cell>
          <cell r="R208">
            <v>16.698672929084314</v>
          </cell>
          <cell r="S208">
            <v>16.698672929084314</v>
          </cell>
          <cell r="T208">
            <v>16.698672929084314</v>
          </cell>
          <cell r="U208">
            <v>16.698672929084314</v>
          </cell>
          <cell r="V208">
            <v>16.698672929084314</v>
          </cell>
          <cell r="W208">
            <v>6.2620023484066252</v>
          </cell>
          <cell r="X208">
            <v>0</v>
          </cell>
          <cell r="Y208">
            <v>0</v>
          </cell>
          <cell r="BZ208">
            <v>2.0873341161355392</v>
          </cell>
          <cell r="CA208">
            <v>4.1746682322710784</v>
          </cell>
          <cell r="CB208">
            <v>4.1746682322710784</v>
          </cell>
          <cell r="CC208">
            <v>4.1746682322710784</v>
          </cell>
          <cell r="CD208">
            <v>4.1746682322710784</v>
          </cell>
        </row>
        <row r="209">
          <cell r="B209">
            <v>109.75753459762197</v>
          </cell>
          <cell r="R209">
            <v>17.461425958712585</v>
          </cell>
          <cell r="S209">
            <v>19.955915381385811</v>
          </cell>
          <cell r="T209">
            <v>19.955915381385811</v>
          </cell>
          <cell r="U209">
            <v>19.955915381385811</v>
          </cell>
          <cell r="V209">
            <v>19.955915381385811</v>
          </cell>
          <cell r="W209">
            <v>12.472447113366144</v>
          </cell>
          <cell r="X209">
            <v>0</v>
          </cell>
          <cell r="Y209">
            <v>0</v>
          </cell>
          <cell r="CA209">
            <v>2.4944894226732264</v>
          </cell>
          <cell r="CB209">
            <v>4.9889788453464528</v>
          </cell>
          <cell r="CC209">
            <v>4.9889788453464528</v>
          </cell>
          <cell r="CD209">
            <v>4.9889788453464528</v>
          </cell>
        </row>
        <row r="210">
          <cell r="B210">
            <v>108.79183604386209</v>
          </cell>
          <cell r="R210">
            <v>12.362708641347965</v>
          </cell>
          <cell r="S210">
            <v>19.780333826156745</v>
          </cell>
          <cell r="T210">
            <v>19.780333826156745</v>
          </cell>
          <cell r="U210">
            <v>19.780333826156745</v>
          </cell>
          <cell r="V210">
            <v>19.780333826156745</v>
          </cell>
          <cell r="W210">
            <v>17.30779209788713</v>
          </cell>
          <cell r="X210">
            <v>0</v>
          </cell>
          <cell r="Y210">
            <v>0</v>
          </cell>
          <cell r="CB210">
            <v>2.4725417282695932</v>
          </cell>
          <cell r="CC210">
            <v>4.9450834565391864</v>
          </cell>
          <cell r="CD210">
            <v>4.9450834565391864</v>
          </cell>
        </row>
        <row r="211">
          <cell r="B211">
            <v>105.86132898156896</v>
          </cell>
          <cell r="R211">
            <v>7.2178178851069745</v>
          </cell>
          <cell r="S211">
            <v>19.247514360285265</v>
          </cell>
          <cell r="T211">
            <v>19.247514360285265</v>
          </cell>
          <cell r="U211">
            <v>19.247514360285265</v>
          </cell>
          <cell r="V211">
            <v>19.247514360285265</v>
          </cell>
          <cell r="W211">
            <v>19.247514360285265</v>
          </cell>
          <cell r="X211">
            <v>2.4059392950356653</v>
          </cell>
          <cell r="Y211">
            <v>0</v>
          </cell>
          <cell r="CC211">
            <v>2.4059392950356582</v>
          </cell>
          <cell r="CD211">
            <v>4.8118785900713164</v>
          </cell>
        </row>
        <row r="212">
          <cell r="B212">
            <v>103.98361098779522</v>
          </cell>
          <cell r="R212">
            <v>2.3632638860862549</v>
          </cell>
          <cell r="S212">
            <v>18.906111088690039</v>
          </cell>
          <cell r="T212">
            <v>18.906111088690039</v>
          </cell>
          <cell r="U212">
            <v>18.906111088690039</v>
          </cell>
          <cell r="V212">
            <v>18.906111088690039</v>
          </cell>
          <cell r="W212">
            <v>18.906111088690039</v>
          </cell>
          <cell r="X212">
            <v>7.0897916582587612</v>
          </cell>
          <cell r="Y212">
            <v>0</v>
          </cell>
          <cell r="CD212">
            <v>2.3632638860862549</v>
          </cell>
        </row>
        <row r="213">
          <cell r="B213">
            <v>361.14374737335464</v>
          </cell>
          <cell r="S213">
            <v>32.83124976121406</v>
          </cell>
          <cell r="T213">
            <v>65.662499522428121</v>
          </cell>
          <cell r="U213">
            <v>65.662499522428121</v>
          </cell>
          <cell r="V213">
            <v>65.662499522428121</v>
          </cell>
          <cell r="W213">
            <v>65.662499522428121</v>
          </cell>
          <cell r="X213">
            <v>65.662499522428107</v>
          </cell>
          <cell r="Y213">
            <v>0</v>
          </cell>
          <cell r="BJ213">
            <v>0</v>
          </cell>
        </row>
        <row r="214">
          <cell r="B214">
            <v>364.60231016976275</v>
          </cell>
          <cell r="T214">
            <v>33.145664560887525</v>
          </cell>
          <cell r="U214">
            <v>66.29132912177505</v>
          </cell>
          <cell r="V214">
            <v>66.29132912177505</v>
          </cell>
          <cell r="W214">
            <v>66.29132912177505</v>
          </cell>
          <cell r="X214">
            <v>66.29132912177505</v>
          </cell>
          <cell r="Y214">
            <v>66.291329121774993</v>
          </cell>
        </row>
        <row r="215">
          <cell r="B215">
            <v>359.69443420405219</v>
          </cell>
          <cell r="U215">
            <v>32.699494018550197</v>
          </cell>
          <cell r="V215">
            <v>65.398988037100395</v>
          </cell>
          <cell r="W215">
            <v>65.398988037100395</v>
          </cell>
          <cell r="X215">
            <v>65.398988037100395</v>
          </cell>
          <cell r="Y215">
            <v>65.398988037100395</v>
          </cell>
        </row>
        <row r="216">
          <cell r="B216">
            <v>349.10076121552783</v>
          </cell>
          <cell r="V216">
            <v>31.736432837775258</v>
          </cell>
          <cell r="W216">
            <v>63.472865675550516</v>
          </cell>
          <cell r="X216">
            <v>63.472865675550516</v>
          </cell>
          <cell r="Y216">
            <v>63.472865675550516</v>
          </cell>
        </row>
        <row r="217">
          <cell r="B217">
            <v>334.06647157274551</v>
          </cell>
          <cell r="W217">
            <v>30.369679233885957</v>
          </cell>
          <cell r="X217">
            <v>60.739358467771915</v>
          </cell>
          <cell r="Y217">
            <v>60.739358467771915</v>
          </cell>
        </row>
        <row r="218">
          <cell r="B218">
            <v>318.82839554151957</v>
          </cell>
          <cell r="X218">
            <v>28.984399594683598</v>
          </cell>
          <cell r="Y218">
            <v>57.968799189367196</v>
          </cell>
        </row>
        <row r="219">
          <cell r="B219">
            <v>205.97375912893676</v>
          </cell>
          <cell r="Y219">
            <v>18.724887193539704</v>
          </cell>
        </row>
        <row r="224">
          <cell r="B224" t="str">
            <v>Depreciation Expense</v>
          </cell>
          <cell r="E224">
            <v>207.57099999999997</v>
          </cell>
          <cell r="F224">
            <v>237.31</v>
          </cell>
          <cell r="G224">
            <v>223.90399999999997</v>
          </cell>
          <cell r="H224">
            <v>230.68800000000002</v>
          </cell>
          <cell r="I224">
            <v>238.18</v>
          </cell>
          <cell r="J224">
            <v>256.09100000000001</v>
          </cell>
          <cell r="K224">
            <v>279.45400000000001</v>
          </cell>
          <cell r="L224">
            <v>285.78300000000002</v>
          </cell>
          <cell r="M224">
            <v>296.16700000000003</v>
          </cell>
          <cell r="N224">
            <v>289.56400000000002</v>
          </cell>
          <cell r="O224">
            <v>283.32900000000001</v>
          </cell>
          <cell r="P224">
            <v>284.29200000000003</v>
          </cell>
          <cell r="Q224">
            <v>309.84656138886282</v>
          </cell>
          <cell r="R224">
            <v>375.68879839124725</v>
          </cell>
          <cell r="S224">
            <v>399.70325189227083</v>
          </cell>
          <cell r="T224">
            <v>426.97897613172779</v>
          </cell>
          <cell r="U224">
            <v>461.15952464354712</v>
          </cell>
          <cell r="V224">
            <v>499.68804326273039</v>
          </cell>
          <cell r="W224">
            <v>480.13432256339911</v>
          </cell>
          <cell r="X224">
            <v>444.08856230184671</v>
          </cell>
          <cell r="Y224">
            <v>402.44991117266687</v>
          </cell>
          <cell r="AA224">
            <v>52.674999999999997</v>
          </cell>
          <cell r="AB224">
            <v>46.222000000000001</v>
          </cell>
          <cell r="AC224">
            <v>51.951000000000001</v>
          </cell>
          <cell r="AD224">
            <v>56.722999999999999</v>
          </cell>
          <cell r="AE224">
            <v>57.334000000000003</v>
          </cell>
          <cell r="AF224">
            <v>57.171999999999997</v>
          </cell>
          <cell r="AG224">
            <v>61.762999999999998</v>
          </cell>
          <cell r="AH224">
            <v>61.040999999999997</v>
          </cell>
          <cell r="AI224">
            <v>54.11</v>
          </cell>
          <cell r="AJ224">
            <v>54.357999999999997</v>
          </cell>
          <cell r="AK224">
            <v>56.408000000000001</v>
          </cell>
          <cell r="AL224">
            <v>59.027999999999999</v>
          </cell>
          <cell r="AM224">
            <v>56.813000000000002</v>
          </cell>
          <cell r="AN224">
            <v>54.59</v>
          </cell>
          <cell r="AO224">
            <v>54.753999999999998</v>
          </cell>
          <cell r="AP224">
            <v>64.531000000000006</v>
          </cell>
          <cell r="AQ224">
            <v>58.006</v>
          </cell>
          <cell r="AR224">
            <v>58.671999999999997</v>
          </cell>
          <cell r="AS224">
            <v>59.594999999999999</v>
          </cell>
          <cell r="AT224">
            <v>61.906999999999996</v>
          </cell>
          <cell r="AU224">
            <v>60.128999999999998</v>
          </cell>
          <cell r="AV224">
            <v>62.366999999999997</v>
          </cell>
          <cell r="AW224">
            <v>62.027999999999999</v>
          </cell>
          <cell r="AX224">
            <v>71.566999999999993</v>
          </cell>
          <cell r="AY224">
            <v>66.14</v>
          </cell>
          <cell r="AZ224">
            <v>68.605000000000004</v>
          </cell>
          <cell r="BA224">
            <v>71.58</v>
          </cell>
          <cell r="BB224">
            <v>73.129000000000005</v>
          </cell>
          <cell r="BC224">
            <v>69.858999999999995</v>
          </cell>
          <cell r="BD224">
            <v>70.918999999999997</v>
          </cell>
          <cell r="BE224">
            <v>71.537000000000006</v>
          </cell>
          <cell r="BF224">
            <v>73.468000000000004</v>
          </cell>
          <cell r="BG224">
            <v>73.191000000000003</v>
          </cell>
          <cell r="BH224">
            <v>74.406000000000006</v>
          </cell>
          <cell r="BI224">
            <v>74.28</v>
          </cell>
          <cell r="BJ224">
            <v>74.290000000000006</v>
          </cell>
          <cell r="BK224">
            <v>73.387</v>
          </cell>
          <cell r="BL224">
            <v>72.031000000000006</v>
          </cell>
          <cell r="BM224">
            <v>71.611999999999995</v>
          </cell>
          <cell r="BN224">
            <v>72.534000000000006</v>
          </cell>
          <cell r="BO224">
            <v>69.736000000000004</v>
          </cell>
          <cell r="BP224">
            <v>70.081000000000003</v>
          </cell>
          <cell r="BQ224">
            <v>70.94</v>
          </cell>
          <cell r="BR224">
            <v>72.572000000000003</v>
          </cell>
          <cell r="BS224">
            <v>68.394000000000005</v>
          </cell>
          <cell r="BT224">
            <v>70.468999999999994</v>
          </cell>
          <cell r="BU224">
            <v>70.725999999999999</v>
          </cell>
          <cell r="BV224">
            <v>74.703000000000003</v>
          </cell>
          <cell r="BW224">
            <v>74.394999999999996</v>
          </cell>
          <cell r="BX224">
            <v>75.652000000000001</v>
          </cell>
          <cell r="BY224">
            <v>78.566000000000003</v>
          </cell>
          <cell r="BZ224">
            <v>81.233561388862839</v>
          </cell>
          <cell r="CA224">
            <v>86.565384927671602</v>
          </cell>
          <cell r="CB224">
            <v>91.532416078614418</v>
          </cell>
          <cell r="CC224">
            <v>96.410897101919659</v>
          </cell>
          <cell r="CD224">
            <v>101.18010028304158</v>
          </cell>
        </row>
        <row r="225">
          <cell r="B225" t="str">
            <v>% of PP&amp;E</v>
          </cell>
          <cell r="S225">
            <v>1.1067705167246131</v>
          </cell>
          <cell r="T225">
            <v>1.171081378867078</v>
          </cell>
          <cell r="U225">
            <v>1.2820869070827337</v>
          </cell>
          <cell r="V225">
            <v>1.4313576444888729</v>
          </cell>
          <cell r="W225">
            <v>1.4372418767528012</v>
          </cell>
          <cell r="X225">
            <v>1.3928764454859075</v>
          </cell>
          <cell r="Y225">
            <v>1.9538892375156329</v>
          </cell>
          <cell r="BO225">
            <v>0.87966093142943647</v>
          </cell>
          <cell r="BP225">
            <v>0.77129901718008831</v>
          </cell>
          <cell r="BQ225">
            <v>0.82529636911478998</v>
          </cell>
          <cell r="BR225">
            <v>0.83765596685019106</v>
          </cell>
          <cell r="BS225">
            <v>0.86455396983908295</v>
          </cell>
          <cell r="BT225">
            <v>0.87222744826220411</v>
          </cell>
          <cell r="BU225">
            <v>0.842979737783075</v>
          </cell>
          <cell r="BV225">
            <v>0.76958658274011271</v>
          </cell>
          <cell r="BW225">
            <v>0.81885023059227546</v>
          </cell>
          <cell r="BX225">
            <v>0.7493413102478258</v>
          </cell>
          <cell r="BY225">
            <v>0.7699755970873311</v>
          </cell>
          <cell r="BZ225">
            <v>0.8844857610579363</v>
          </cell>
          <cell r="CA225">
            <v>0.78869651404822227</v>
          </cell>
          <cell r="CB225">
            <v>0.84135372107986928</v>
          </cell>
          <cell r="CC225">
            <v>0.91072819536117222</v>
          </cell>
          <cell r="CD225">
            <v>0.97303891759363226</v>
          </cell>
        </row>
        <row r="226">
          <cell r="B226" t="str">
            <v>% of Capex</v>
          </cell>
        </row>
        <row r="231">
          <cell r="A231" t="str">
            <v>x</v>
          </cell>
          <cell r="H231" t="str">
            <v>2004-FY</v>
          </cell>
          <cell r="I231" t="str">
            <v>2005-FY</v>
          </cell>
          <cell r="J231" t="str">
            <v>2006-FY</v>
          </cell>
          <cell r="K231" t="str">
            <v>2007-FY</v>
          </cell>
          <cell r="L231" t="str">
            <v>2008-FY</v>
          </cell>
          <cell r="M231" t="str">
            <v>2009-FY</v>
          </cell>
          <cell r="N231" t="str">
            <v>2010-FY</v>
          </cell>
          <cell r="O231" t="str">
            <v>2011-FY</v>
          </cell>
          <cell r="P231" t="str">
            <v>2012-FY</v>
          </cell>
          <cell r="Q231" t="str">
            <v>2013-FY</v>
          </cell>
          <cell r="R231" t="str">
            <v>2014-FY</v>
          </cell>
          <cell r="S231" t="str">
            <v>2015-FY</v>
          </cell>
          <cell r="T231" t="str">
            <v>2016-FY</v>
          </cell>
          <cell r="U231" t="str">
            <v>2017-FY</v>
          </cell>
          <cell r="V231" t="str">
            <v>2018-FY</v>
          </cell>
          <cell r="W231" t="str">
            <v>2019-FY</v>
          </cell>
          <cell r="X231" t="str">
            <v>2020-FY</v>
          </cell>
          <cell r="Y231" t="str">
            <v>2021-FY</v>
          </cell>
          <cell r="AM231" t="str">
            <v>2004-Q1</v>
          </cell>
          <cell r="AN231" t="str">
            <v>2004-Q2</v>
          </cell>
          <cell r="AO231" t="str">
            <v>2004-Q3</v>
          </cell>
          <cell r="AP231" t="str">
            <v>2004-Q4</v>
          </cell>
          <cell r="AQ231" t="str">
            <v>2005-Q1</v>
          </cell>
          <cell r="AR231" t="str">
            <v>2005-Q2</v>
          </cell>
          <cell r="AS231" t="str">
            <v>2005-Q3</v>
          </cell>
          <cell r="AT231" t="str">
            <v>2005-Q4</v>
          </cell>
          <cell r="AU231" t="str">
            <v>2006-Q1</v>
          </cell>
          <cell r="AV231" t="str">
            <v>2006-Q2</v>
          </cell>
          <cell r="AW231" t="str">
            <v>2006-Q3</v>
          </cell>
          <cell r="AX231" t="str">
            <v>2006-Q4</v>
          </cell>
          <cell r="AY231" t="str">
            <v>2007-Q1</v>
          </cell>
          <cell r="AZ231" t="str">
            <v>2007-Q2</v>
          </cell>
          <cell r="BA231" t="str">
            <v>2007-Q3</v>
          </cell>
          <cell r="BB231" t="str">
            <v>2007-Q4</v>
          </cell>
          <cell r="BC231" t="str">
            <v>2008-Q1</v>
          </cell>
          <cell r="BD231" t="str">
            <v>2008-Q2</v>
          </cell>
          <cell r="BE231" t="str">
            <v>2008-Q3</v>
          </cell>
          <cell r="BF231" t="str">
            <v>2008-Q4</v>
          </cell>
          <cell r="BG231" t="str">
            <v>2009-Q1</v>
          </cell>
          <cell r="BH231" t="str">
            <v>2009-Q2</v>
          </cell>
          <cell r="BI231" t="str">
            <v>2009-Q3</v>
          </cell>
          <cell r="BJ231" t="str">
            <v>2009-Q4</v>
          </cell>
          <cell r="BK231" t="str">
            <v>2010-Q1</v>
          </cell>
          <cell r="BL231" t="str">
            <v>2010-Q2</v>
          </cell>
          <cell r="BM231" t="str">
            <v>2010-Q3</v>
          </cell>
          <cell r="BN231" t="str">
            <v>2010-Q4</v>
          </cell>
          <cell r="BO231" t="str">
            <v>2011-Q1</v>
          </cell>
          <cell r="BP231" t="str">
            <v>2011-Q2</v>
          </cell>
          <cell r="BQ231" t="str">
            <v>2011-Q3</v>
          </cell>
          <cell r="BR231" t="str">
            <v>2011-Q4</v>
          </cell>
          <cell r="BS231" t="str">
            <v>2012-Q1</v>
          </cell>
          <cell r="BT231" t="str">
            <v>2012-Q2</v>
          </cell>
          <cell r="BU231" t="str">
            <v>2012-Q3</v>
          </cell>
          <cell r="BV231" t="str">
            <v>2012-Q4</v>
          </cell>
          <cell r="BW231" t="str">
            <v>2013-Q1</v>
          </cell>
          <cell r="BX231" t="str">
            <v>2013-Q2</v>
          </cell>
          <cell r="BY231" t="str">
            <v>2013-Q3</v>
          </cell>
          <cell r="BZ231" t="str">
            <v>2013-Q4</v>
          </cell>
          <cell r="CA231" t="str">
            <v>2014-Q1</v>
          </cell>
          <cell r="CB231" t="str">
            <v>2014-Q2</v>
          </cell>
          <cell r="CC231" t="str">
            <v>2014-Q3</v>
          </cell>
          <cell r="CD231" t="str">
            <v>2014-Q4</v>
          </cell>
        </row>
      </sheetData>
      <sheetData sheetId="6">
        <row r="1">
          <cell r="CC1" t="str">
            <v>ElementName</v>
          </cell>
          <cell r="CD1" t="str">
            <v>ScaleOverride</v>
          </cell>
          <cell r="CE1" t="str">
            <v>UnitOverride</v>
          </cell>
          <cell r="CF1" t="str">
            <v>ReverseSign</v>
          </cell>
          <cell r="CG1" t="str">
            <v>ElementName</v>
          </cell>
          <cell r="CH1" t="str">
            <v>ScaleOverride</v>
          </cell>
          <cell r="CI1" t="str">
            <v>UnitOverride</v>
          </cell>
          <cell r="CJ1" t="str">
            <v>ReverseSign</v>
          </cell>
          <cell r="CK1" t="str">
            <v>IsDrivingAssumption</v>
          </cell>
          <cell r="CL1" t="str">
            <v>SegmentID</v>
          </cell>
        </row>
        <row r="5">
          <cell r="B5" t="str">
            <v>tw telecom</v>
          </cell>
        </row>
        <row r="6">
          <cell r="B6" t="str">
            <v>Cash Flow Statement</v>
          </cell>
        </row>
        <row r="8">
          <cell r="K8" t="str">
            <v>Fiscal Year</v>
          </cell>
          <cell r="AA8" t="str">
            <v>2001A</v>
          </cell>
          <cell r="AE8" t="str">
            <v>2002A</v>
          </cell>
          <cell r="AI8" t="str">
            <v>2003A</v>
          </cell>
          <cell r="AM8" t="str">
            <v>2004A</v>
          </cell>
          <cell r="AQ8" t="str">
            <v>2005A</v>
          </cell>
          <cell r="AU8" t="str">
            <v>2006A</v>
          </cell>
          <cell r="AY8" t="str">
            <v>2007A</v>
          </cell>
          <cell r="BC8" t="str">
            <v>2008E</v>
          </cell>
          <cell r="BG8" t="str">
            <v>2009A</v>
          </cell>
          <cell r="BK8" t="str">
            <v>2010A</v>
          </cell>
          <cell r="BO8" t="str">
            <v>2011E</v>
          </cell>
          <cell r="BS8">
            <v>2012</v>
          </cell>
          <cell r="BW8" t="str">
            <v>2013E</v>
          </cell>
          <cell r="CA8" t="str">
            <v>2014E</v>
          </cell>
        </row>
        <row r="9">
          <cell r="B9" t="str">
            <v>Fiscal Year ending Dec. 31</v>
          </cell>
          <cell r="D9" t="str">
            <v>2000A</v>
          </cell>
          <cell r="E9" t="str">
            <v>2001A</v>
          </cell>
          <cell r="F9" t="str">
            <v>2002A</v>
          </cell>
          <cell r="G9" t="str">
            <v>2003A</v>
          </cell>
          <cell r="H9" t="str">
            <v>2004A</v>
          </cell>
          <cell r="I9" t="str">
            <v>2005A</v>
          </cell>
          <cell r="J9" t="str">
            <v>2006A</v>
          </cell>
          <cell r="K9" t="str">
            <v>2007A</v>
          </cell>
          <cell r="L9" t="str">
            <v>2008A</v>
          </cell>
          <cell r="M9" t="str">
            <v>2009A</v>
          </cell>
          <cell r="N9" t="str">
            <v>2010A</v>
          </cell>
          <cell r="O9" t="str">
            <v>2011A</v>
          </cell>
          <cell r="P9" t="str">
            <v>2012A</v>
          </cell>
          <cell r="Q9" t="str">
            <v>2013E</v>
          </cell>
          <cell r="R9" t="str">
            <v>2014E</v>
          </cell>
          <cell r="S9" t="str">
            <v>2015E</v>
          </cell>
          <cell r="T9" t="str">
            <v>2016E</v>
          </cell>
          <cell r="U9" t="str">
            <v>2017E</v>
          </cell>
          <cell r="V9" t="str">
            <v>2018E</v>
          </cell>
          <cell r="W9" t="str">
            <v>2019E</v>
          </cell>
          <cell r="X9" t="str">
            <v>2020E</v>
          </cell>
          <cell r="Y9" t="str">
            <v>2021E</v>
          </cell>
          <cell r="AA9" t="str">
            <v>Mar</v>
          </cell>
          <cell r="AB9" t="str">
            <v>Jun</v>
          </cell>
          <cell r="AC9" t="str">
            <v>Sep</v>
          </cell>
          <cell r="AD9" t="str">
            <v>Dec</v>
          </cell>
          <cell r="AE9" t="str">
            <v>Mar</v>
          </cell>
          <cell r="AF9" t="str">
            <v>Jun</v>
          </cell>
          <cell r="AG9" t="str">
            <v>Sep</v>
          </cell>
          <cell r="AH9" t="str">
            <v>Dec</v>
          </cell>
          <cell r="AI9" t="str">
            <v>Mar</v>
          </cell>
          <cell r="AJ9" t="str">
            <v>Jun</v>
          </cell>
          <cell r="AK9" t="str">
            <v>Sep</v>
          </cell>
          <cell r="AL9" t="str">
            <v>Dec</v>
          </cell>
          <cell r="AM9" t="str">
            <v>Mar</v>
          </cell>
          <cell r="AN9" t="str">
            <v>Jun</v>
          </cell>
          <cell r="AO9" t="str">
            <v>Sep</v>
          </cell>
          <cell r="AP9" t="str">
            <v>Dec</v>
          </cell>
          <cell r="AQ9" t="str">
            <v>Mar</v>
          </cell>
          <cell r="AR9" t="str">
            <v>Jun</v>
          </cell>
          <cell r="AS9" t="str">
            <v>Sep</v>
          </cell>
          <cell r="AT9" t="str">
            <v>Dec</v>
          </cell>
          <cell r="AU9" t="str">
            <v>Mar</v>
          </cell>
          <cell r="AV9" t="str">
            <v>Jun</v>
          </cell>
          <cell r="AW9" t="str">
            <v>Sep</v>
          </cell>
          <cell r="AX9" t="str">
            <v>Dec</v>
          </cell>
          <cell r="AY9" t="str">
            <v>Mar</v>
          </cell>
          <cell r="AZ9" t="str">
            <v>Jun</v>
          </cell>
          <cell r="BA9" t="str">
            <v>Sep</v>
          </cell>
          <cell r="BB9" t="str">
            <v>Dec</v>
          </cell>
          <cell r="BC9" t="str">
            <v>Mar</v>
          </cell>
          <cell r="BD9" t="str">
            <v>Jun</v>
          </cell>
          <cell r="BE9" t="str">
            <v>Sep</v>
          </cell>
          <cell r="BF9" t="str">
            <v>Dec</v>
          </cell>
          <cell r="BG9" t="str">
            <v>Mar</v>
          </cell>
          <cell r="BH9" t="str">
            <v>Jun</v>
          </cell>
          <cell r="BI9" t="str">
            <v>Sep</v>
          </cell>
          <cell r="BJ9" t="str">
            <v>Dec</v>
          </cell>
          <cell r="BK9" t="str">
            <v>1Q10</v>
          </cell>
          <cell r="BL9" t="str">
            <v>2Q10</v>
          </cell>
          <cell r="BM9" t="str">
            <v>3Q10</v>
          </cell>
          <cell r="BN9" t="str">
            <v>4Q10</v>
          </cell>
          <cell r="BO9" t="str">
            <v>1Q11</v>
          </cell>
          <cell r="BP9" t="str">
            <v>2Q11</v>
          </cell>
          <cell r="BQ9" t="str">
            <v>3Q11</v>
          </cell>
          <cell r="BR9" t="str">
            <v>4Q11</v>
          </cell>
          <cell r="BS9" t="str">
            <v>1Q12</v>
          </cell>
          <cell r="BT9" t="str">
            <v>2Q12</v>
          </cell>
          <cell r="BU9" t="str">
            <v>3Q12</v>
          </cell>
          <cell r="BV9" t="str">
            <v>4Q12</v>
          </cell>
          <cell r="BW9" t="str">
            <v>1Q13</v>
          </cell>
          <cell r="BX9" t="str">
            <v>2Q13</v>
          </cell>
          <cell r="BY9" t="str">
            <v>3Q13</v>
          </cell>
          <cell r="BZ9" t="str">
            <v>4Q13E</v>
          </cell>
          <cell r="CA9" t="str">
            <v>1Q14E</v>
          </cell>
          <cell r="CB9" t="str">
            <v>2Q14E</v>
          </cell>
          <cell r="CC9" t="str">
            <v>3Q14E</v>
          </cell>
          <cell r="CD9" t="str">
            <v>4Q14E</v>
          </cell>
        </row>
        <row r="10">
          <cell r="B10" t="str">
            <v>Cash Flows From Operations</v>
          </cell>
        </row>
        <row r="11">
          <cell r="B11" t="str">
            <v xml:space="preserve">  Net Profit (Loss)</v>
          </cell>
          <cell r="E11">
            <v>-81.167000000000058</v>
          </cell>
          <cell r="F11">
            <v>-366.03499999999997</v>
          </cell>
          <cell r="G11">
            <v>-89.33599999999997</v>
          </cell>
          <cell r="H11">
            <v>-133.03700000000003</v>
          </cell>
          <cell r="I11">
            <v>-108.06399999999999</v>
          </cell>
          <cell r="J11">
            <v>-98.819000000000031</v>
          </cell>
          <cell r="K11">
            <v>-40.268999999999956</v>
          </cell>
          <cell r="L11">
            <v>-16.410000000000036</v>
          </cell>
          <cell r="M11">
            <v>18.411000000000044</v>
          </cell>
          <cell r="N11">
            <v>340.87800000000004</v>
          </cell>
          <cell r="O11">
            <v>57.911000000000051</v>
          </cell>
          <cell r="P11">
            <v>76.887999999999835</v>
          </cell>
          <cell r="Q11">
            <v>32.743519193069886</v>
          </cell>
          <cell r="R11">
            <v>32.365530397432408</v>
          </cell>
          <cell r="S11">
            <v>53.053236299987219</v>
          </cell>
          <cell r="T11">
            <v>63.188307625673581</v>
          </cell>
          <cell r="U11">
            <v>63.031349225398138</v>
          </cell>
          <cell r="V11">
            <v>55.865109896295408</v>
          </cell>
          <cell r="W11">
            <v>76.60216817013395</v>
          </cell>
          <cell r="X11">
            <v>107.17954082275941</v>
          </cell>
          <cell r="Y11">
            <v>142.02882844716231</v>
          </cell>
          <cell r="AA11">
            <v>-28.707000000000008</v>
          </cell>
          <cell r="AB11">
            <v>4.384999999999982</v>
          </cell>
          <cell r="AC11">
            <v>-24.323000000000008</v>
          </cell>
          <cell r="AD11">
            <v>-32.522000000000027</v>
          </cell>
          <cell r="AE11">
            <v>-43.128999999999984</v>
          </cell>
          <cell r="AF11">
            <v>-30.797999999999973</v>
          </cell>
          <cell r="AG11">
            <v>-48.366000000000014</v>
          </cell>
          <cell r="AH11">
            <v>-243.74200000000002</v>
          </cell>
          <cell r="AI11">
            <v>-33.348999999999997</v>
          </cell>
          <cell r="AJ11">
            <v>-29.001000000000001</v>
          </cell>
          <cell r="AK11">
            <v>-5.6579999999999817</v>
          </cell>
          <cell r="AL11">
            <v>-21.327999999999989</v>
          </cell>
          <cell r="AM11">
            <v>-38.830999999999996</v>
          </cell>
          <cell r="AN11">
            <v>-27.158000000000015</v>
          </cell>
          <cell r="AO11">
            <v>-30.903000000000002</v>
          </cell>
          <cell r="AP11">
            <v>-36.145000000000032</v>
          </cell>
          <cell r="AQ11">
            <v>-35.169000000000018</v>
          </cell>
          <cell r="AR11">
            <v>-27.198000000000004</v>
          </cell>
          <cell r="AS11">
            <v>-23.440999999999992</v>
          </cell>
          <cell r="AT11">
            <v>-22.25599999999999</v>
          </cell>
          <cell r="AU11">
            <v>-22.261000000000017</v>
          </cell>
          <cell r="AV11">
            <v>-40.411999999999978</v>
          </cell>
          <cell r="AW11">
            <v>-11.351000000000017</v>
          </cell>
          <cell r="AX11">
            <v>-24.795000000000019</v>
          </cell>
          <cell r="AY11">
            <v>-13.808999999999999</v>
          </cell>
          <cell r="AZ11">
            <v>-9.5849999999999689</v>
          </cell>
          <cell r="BA11">
            <v>-11.582999999999975</v>
          </cell>
          <cell r="BB11">
            <v>-5.2920000000000087</v>
          </cell>
          <cell r="BC11">
            <v>-4.771000000000015</v>
          </cell>
          <cell r="BD11">
            <v>-3.2079999999999913</v>
          </cell>
          <cell r="BE11">
            <v>-0.18600000000003702</v>
          </cell>
          <cell r="BF11">
            <v>-8.2449999999999921</v>
          </cell>
          <cell r="BG11">
            <v>2.8800000000000319</v>
          </cell>
          <cell r="BH11">
            <v>5.9119999999999804</v>
          </cell>
          <cell r="BI11">
            <v>7.6979999999999995</v>
          </cell>
          <cell r="BJ11">
            <v>1.9210000000000296</v>
          </cell>
          <cell r="BK11">
            <v>-6.7789999999999893</v>
          </cell>
          <cell r="BL11">
            <v>314.08399999999995</v>
          </cell>
          <cell r="BM11">
            <v>16.078999999999986</v>
          </cell>
          <cell r="BN11">
            <v>17.494000000000071</v>
          </cell>
          <cell r="BO11">
            <v>12.61899999999995</v>
          </cell>
          <cell r="BP11">
            <v>14.307000000000007</v>
          </cell>
          <cell r="BQ11">
            <v>14.593000000000027</v>
          </cell>
          <cell r="BR11">
            <v>16.392000000000067</v>
          </cell>
          <cell r="BS11">
            <v>19.331999999999915</v>
          </cell>
          <cell r="BT11">
            <v>19.318999999999939</v>
          </cell>
          <cell r="BU11">
            <v>20.969000000000015</v>
          </cell>
          <cell r="BV11">
            <v>17.267999999999969</v>
          </cell>
          <cell r="BW11">
            <v>13.144000000000018</v>
          </cell>
          <cell r="BX11">
            <v>17.346999999999916</v>
          </cell>
          <cell r="BY11">
            <v>-9.4340000000000259</v>
          </cell>
          <cell r="BZ11">
            <v>11.686519193069977</v>
          </cell>
          <cell r="CA11">
            <v>8.5569026189510886</v>
          </cell>
          <cell r="CB11">
            <v>7.793686722073355</v>
          </cell>
          <cell r="CC11" t="str">
            <v>mstag:netIncomeReported</v>
          </cell>
          <cell r="CD11">
            <v>6</v>
          </cell>
          <cell r="CE11" t="str">
            <v>ISO4217:USD</v>
          </cell>
          <cell r="CF11" t="b">
            <v>0</v>
          </cell>
          <cell r="CG11" t="str">
            <v>mstag:netIncomeReported</v>
          </cell>
          <cell r="CH11">
            <v>6</v>
          </cell>
          <cell r="CI11" t="str">
            <v>ISO4217:USD</v>
          </cell>
          <cell r="CJ11" t="b">
            <v>0</v>
          </cell>
        </row>
        <row r="12">
          <cell r="B12" t="str">
            <v xml:space="preserve">  Depreciation &amp; Amortization</v>
          </cell>
          <cell r="E12">
            <v>207.57099999999997</v>
          </cell>
          <cell r="F12">
            <v>237.31</v>
          </cell>
          <cell r="G12">
            <v>223.90399999999997</v>
          </cell>
          <cell r="H12">
            <v>230.68800000000002</v>
          </cell>
          <cell r="I12">
            <v>238.18</v>
          </cell>
          <cell r="J12">
            <v>256.09100000000001</v>
          </cell>
          <cell r="K12">
            <v>279.45400000000001</v>
          </cell>
          <cell r="L12">
            <v>285.78300000000002</v>
          </cell>
          <cell r="M12">
            <v>296.16700000000003</v>
          </cell>
          <cell r="N12">
            <v>289.56400000000002</v>
          </cell>
          <cell r="O12">
            <v>283.32900000000001</v>
          </cell>
          <cell r="P12">
            <v>284.29200000000003</v>
          </cell>
          <cell r="Q12">
            <v>309.84656138886282</v>
          </cell>
          <cell r="R12">
            <v>375.68879839124725</v>
          </cell>
          <cell r="S12">
            <v>399.70325189227083</v>
          </cell>
          <cell r="T12">
            <v>426.97897613172779</v>
          </cell>
          <cell r="U12">
            <v>461.15952464354712</v>
          </cell>
          <cell r="V12">
            <v>499.68804326273039</v>
          </cell>
          <cell r="W12">
            <v>480.13432256339911</v>
          </cell>
          <cell r="X12">
            <v>444.08856230184671</v>
          </cell>
          <cell r="Y12">
            <v>402.44991117266687</v>
          </cell>
          <cell r="AA12">
            <v>52.674999999999997</v>
          </cell>
          <cell r="AB12">
            <v>46.222000000000001</v>
          </cell>
          <cell r="AC12">
            <v>51.951000000000001</v>
          </cell>
          <cell r="AD12">
            <v>56.722999999999999</v>
          </cell>
          <cell r="AE12">
            <v>57.334000000000003</v>
          </cell>
          <cell r="AF12">
            <v>57.171999999999997</v>
          </cell>
          <cell r="AG12">
            <v>61.762999999999998</v>
          </cell>
          <cell r="AH12">
            <v>61.040999999999997</v>
          </cell>
          <cell r="AI12">
            <v>54.11</v>
          </cell>
          <cell r="AJ12">
            <v>54.357999999999997</v>
          </cell>
          <cell r="AK12">
            <v>56.408000000000001</v>
          </cell>
          <cell r="AL12">
            <v>59.027999999999999</v>
          </cell>
          <cell r="AM12">
            <v>56.813000000000002</v>
          </cell>
          <cell r="AN12">
            <v>54.59</v>
          </cell>
          <cell r="AO12">
            <v>54.753999999999998</v>
          </cell>
          <cell r="AP12">
            <v>64.531000000000006</v>
          </cell>
          <cell r="AQ12">
            <v>58.006</v>
          </cell>
          <cell r="AR12">
            <v>58.671999999999997</v>
          </cell>
          <cell r="AS12">
            <v>59.594999999999999</v>
          </cell>
          <cell r="AT12">
            <v>61.906999999999996</v>
          </cell>
          <cell r="AU12">
            <v>60.128999999999998</v>
          </cell>
          <cell r="AV12">
            <v>62.366999999999997</v>
          </cell>
          <cell r="AW12">
            <v>62.027999999999999</v>
          </cell>
          <cell r="AX12">
            <v>71.566999999999993</v>
          </cell>
          <cell r="AY12">
            <v>66.14</v>
          </cell>
          <cell r="AZ12">
            <v>68.605000000000004</v>
          </cell>
          <cell r="BA12">
            <v>71.58</v>
          </cell>
          <cell r="BB12">
            <v>73.129000000000005</v>
          </cell>
          <cell r="BC12">
            <v>69.858999999999995</v>
          </cell>
          <cell r="BD12">
            <v>70.918999999999997</v>
          </cell>
          <cell r="BE12">
            <v>71.537000000000006</v>
          </cell>
          <cell r="BF12">
            <v>73.468000000000004</v>
          </cell>
          <cell r="BG12">
            <v>73.191000000000003</v>
          </cell>
          <cell r="BH12">
            <v>74.406000000000006</v>
          </cell>
          <cell r="BI12">
            <v>74.28</v>
          </cell>
          <cell r="BJ12">
            <v>74.290000000000006</v>
          </cell>
          <cell r="BK12">
            <v>73.387</v>
          </cell>
          <cell r="BL12">
            <v>72.031000000000006</v>
          </cell>
          <cell r="BM12">
            <v>71.611999999999995</v>
          </cell>
          <cell r="BN12">
            <v>72.534000000000006</v>
          </cell>
          <cell r="BO12">
            <v>69.736000000000004</v>
          </cell>
          <cell r="BP12">
            <v>70.081000000000003</v>
          </cell>
          <cell r="BQ12">
            <v>70.94</v>
          </cell>
          <cell r="BR12">
            <v>72.572000000000003</v>
          </cell>
          <cell r="BS12">
            <v>68.394000000000005</v>
          </cell>
          <cell r="BT12">
            <v>70.468999999999994</v>
          </cell>
          <cell r="BU12">
            <v>70.725999999999999</v>
          </cell>
          <cell r="BV12">
            <v>74.703000000000003</v>
          </cell>
          <cell r="BW12">
            <v>74.394999999999996</v>
          </cell>
          <cell r="BX12">
            <v>75.652000000000001</v>
          </cell>
          <cell r="BY12">
            <v>78.566000000000003</v>
          </cell>
          <cell r="BZ12">
            <v>81.233561388862839</v>
          </cell>
          <cell r="CA12">
            <v>86.565384927671602</v>
          </cell>
          <cell r="CB12">
            <v>91.532416078614418</v>
          </cell>
          <cell r="CC12" t="str">
            <v>mstag:depreciation</v>
          </cell>
          <cell r="CD12">
            <v>6</v>
          </cell>
          <cell r="CE12" t="str">
            <v>ISO4217:USD</v>
          </cell>
          <cell r="CF12" t="b">
            <v>0</v>
          </cell>
          <cell r="CG12" t="str">
            <v>mstag:depreciation</v>
          </cell>
          <cell r="CH12">
            <v>6</v>
          </cell>
          <cell r="CI12" t="str">
            <v>ISO4217:USD</v>
          </cell>
          <cell r="CJ12" t="b">
            <v>0</v>
          </cell>
        </row>
        <row r="13">
          <cell r="B13" t="str">
            <v xml:space="preserve">  Stock based compensation expense</v>
          </cell>
          <cell r="E13">
            <v>0</v>
          </cell>
          <cell r="F13">
            <v>0</v>
          </cell>
          <cell r="G13">
            <v>0</v>
          </cell>
          <cell r="H13">
            <v>0</v>
          </cell>
          <cell r="I13">
            <v>0</v>
          </cell>
          <cell r="J13">
            <v>0</v>
          </cell>
          <cell r="K13">
            <v>0</v>
          </cell>
          <cell r="L13">
            <v>23.356999999999999</v>
          </cell>
          <cell r="M13">
            <v>26.518000000000001</v>
          </cell>
          <cell r="N13">
            <v>27.832000000000001</v>
          </cell>
          <cell r="O13">
            <v>27.817</v>
          </cell>
          <cell r="P13">
            <v>29.3</v>
          </cell>
          <cell r="Q13">
            <v>43.881999999999998</v>
          </cell>
          <cell r="R13">
            <v>52.012</v>
          </cell>
          <cell r="S13">
            <v>52.012</v>
          </cell>
          <cell r="T13">
            <v>52.012</v>
          </cell>
          <cell r="U13">
            <v>52.012</v>
          </cell>
          <cell r="V13">
            <v>52.012</v>
          </cell>
          <cell r="W13">
            <v>52.012</v>
          </cell>
          <cell r="X13">
            <v>52.012</v>
          </cell>
          <cell r="Y13">
            <v>52.012</v>
          </cell>
          <cell r="BC13">
            <v>6.085</v>
          </cell>
          <cell r="BD13">
            <v>5.3559999999999999</v>
          </cell>
          <cell r="BE13">
            <v>5.47</v>
          </cell>
          <cell r="BF13">
            <v>6.4459999999999997</v>
          </cell>
          <cell r="BG13">
            <v>6.3620000000000001</v>
          </cell>
          <cell r="BH13">
            <v>6.5869999999999997</v>
          </cell>
          <cell r="BI13">
            <v>6.4260000000000002</v>
          </cell>
          <cell r="BJ13">
            <v>7.1429999999999998</v>
          </cell>
          <cell r="BK13">
            <v>6.9770000000000003</v>
          </cell>
          <cell r="BL13">
            <v>6.7289999999999992</v>
          </cell>
          <cell r="BM13">
            <v>6.9260000000000019</v>
          </cell>
          <cell r="BN13">
            <v>7.1999999999999993</v>
          </cell>
          <cell r="BO13">
            <v>7.4480000000000004</v>
          </cell>
          <cell r="BP13">
            <v>6.8330000000000002</v>
          </cell>
          <cell r="BQ13">
            <v>6.8129999999999997</v>
          </cell>
          <cell r="BR13">
            <v>6.7229999999999999</v>
          </cell>
          <cell r="BS13">
            <v>8.1280000000000001</v>
          </cell>
          <cell r="BT13">
            <v>7.0490000000000004</v>
          </cell>
          <cell r="BU13">
            <v>7.14</v>
          </cell>
          <cell r="BV13">
            <v>6.9829999999999997</v>
          </cell>
          <cell r="BW13">
            <v>9.4619999999999997</v>
          </cell>
          <cell r="BX13">
            <v>8.4139999999999997</v>
          </cell>
          <cell r="BY13">
            <v>13.003</v>
          </cell>
          <cell r="BZ13">
            <v>13.003</v>
          </cell>
          <cell r="CA13">
            <v>13.003</v>
          </cell>
          <cell r="CB13">
            <v>13.003</v>
          </cell>
          <cell r="CC13" t="str">
            <v>mstag:stockBasedCompensationChargePreTax</v>
          </cell>
          <cell r="CD13">
            <v>6</v>
          </cell>
          <cell r="CE13" t="str">
            <v>ISO4217:USD</v>
          </cell>
          <cell r="CF13" t="b">
            <v>0</v>
          </cell>
          <cell r="CG13" t="str">
            <v>mstag:stockBasedCompensationChargePreTax</v>
          </cell>
          <cell r="CH13">
            <v>6</v>
          </cell>
          <cell r="CI13" t="str">
            <v>ISO4217:USD</v>
          </cell>
          <cell r="CJ13" t="b">
            <v>0</v>
          </cell>
        </row>
        <row r="14">
          <cell r="B14" t="str">
            <v xml:space="preserve">  Deferred Income Taxes</v>
          </cell>
          <cell r="L14">
            <v>9.1440000000000001</v>
          </cell>
          <cell r="M14">
            <v>9.1750000000000007</v>
          </cell>
          <cell r="N14">
            <v>-293.529</v>
          </cell>
          <cell r="O14">
            <v>19.356999999999999</v>
          </cell>
          <cell r="P14">
            <v>48.558999999999997</v>
          </cell>
          <cell r="Q14">
            <v>20.103000000000002</v>
          </cell>
          <cell r="R14">
            <v>0</v>
          </cell>
          <cell r="BF14">
            <v>9.1440000000000001</v>
          </cell>
          <cell r="BJ14">
            <v>9.1750000000000007</v>
          </cell>
          <cell r="BK14">
            <v>2.3170000000000002</v>
          </cell>
          <cell r="BL14">
            <v>-298.05799999999999</v>
          </cell>
          <cell r="BM14">
            <v>0.64700000000000002</v>
          </cell>
          <cell r="BN14">
            <v>1.5649999999999977</v>
          </cell>
          <cell r="BO14">
            <v>9.4860000000000007</v>
          </cell>
          <cell r="BP14">
            <v>9.8710000000000004</v>
          </cell>
          <cell r="BS14">
            <v>14.03</v>
          </cell>
          <cell r="BT14">
            <v>14.946999999999999</v>
          </cell>
          <cell r="BU14">
            <v>15.329000000000001</v>
          </cell>
          <cell r="BV14">
            <v>4.2530000000000001</v>
          </cell>
          <cell r="BW14">
            <v>10.617000000000001</v>
          </cell>
          <cell r="BX14">
            <v>13.672000000000001</v>
          </cell>
          <cell r="BY14">
            <v>-4.1859999999999999</v>
          </cell>
          <cell r="CC14" t="str">
            <v>mstag:netDecreaseInOtherAssets</v>
          </cell>
          <cell r="CD14">
            <v>6</v>
          </cell>
          <cell r="CE14" t="str">
            <v>ISO4217:USD</v>
          </cell>
          <cell r="CF14" t="b">
            <v>0</v>
          </cell>
          <cell r="CG14" t="str">
            <v>mstag:netDecreaseInOtherAssets</v>
          </cell>
          <cell r="CH14">
            <v>6</v>
          </cell>
          <cell r="CI14" t="str">
            <v>ISO4217:USD</v>
          </cell>
          <cell r="CJ14" t="b">
            <v>0</v>
          </cell>
        </row>
        <row r="15">
          <cell r="B15" t="str">
            <v xml:space="preserve">  Discount on debt, amort of issuance costs</v>
          </cell>
          <cell r="E15">
            <v>0</v>
          </cell>
          <cell r="F15">
            <v>0</v>
          </cell>
          <cell r="G15">
            <v>0</v>
          </cell>
          <cell r="H15">
            <v>0</v>
          </cell>
          <cell r="I15">
            <v>0</v>
          </cell>
          <cell r="J15">
            <v>0</v>
          </cell>
          <cell r="K15">
            <v>0</v>
          </cell>
          <cell r="L15">
            <v>27.347000000000001</v>
          </cell>
          <cell r="M15">
            <v>20.036000000000001</v>
          </cell>
          <cell r="N15">
            <v>37.649000000000001</v>
          </cell>
          <cell r="O15">
            <v>23.387999999999998</v>
          </cell>
          <cell r="P15">
            <v>25.545999999999999</v>
          </cell>
          <cell r="Q15">
            <v>48.924574999999997</v>
          </cell>
          <cell r="R15">
            <v>2.0143</v>
          </cell>
          <cell r="S15">
            <v>2.0143</v>
          </cell>
          <cell r="T15">
            <v>2.0143</v>
          </cell>
          <cell r="U15">
            <v>2.0143</v>
          </cell>
          <cell r="V15">
            <v>2.0143</v>
          </cell>
          <cell r="W15">
            <v>2.0143</v>
          </cell>
          <cell r="X15">
            <v>2.0143</v>
          </cell>
          <cell r="Y15">
            <v>2.0143</v>
          </cell>
          <cell r="BC15">
            <v>4.41</v>
          </cell>
          <cell r="BD15">
            <v>8.5830000000000002</v>
          </cell>
          <cell r="BE15">
            <v>9.3179999999999996</v>
          </cell>
          <cell r="BF15">
            <v>5.0359999999999996</v>
          </cell>
          <cell r="BG15">
            <v>5.1980000000000004</v>
          </cell>
          <cell r="BH15">
            <v>4.944</v>
          </cell>
          <cell r="BI15">
            <v>4.9020000000000001</v>
          </cell>
          <cell r="BJ15">
            <v>4.992</v>
          </cell>
          <cell r="BK15">
            <v>22.146000000000001</v>
          </cell>
          <cell r="BL15">
            <v>5.3580000000000005</v>
          </cell>
          <cell r="BM15">
            <v>4.6170000000000009</v>
          </cell>
          <cell r="BN15">
            <v>5.5279999999999951</v>
          </cell>
          <cell r="BO15">
            <v>5.6950000000000003</v>
          </cell>
          <cell r="BP15">
            <v>5.7919999999999998</v>
          </cell>
          <cell r="BQ15">
            <v>5.8869999999999996</v>
          </cell>
          <cell r="BR15">
            <v>6.0140000000000002</v>
          </cell>
          <cell r="BS15">
            <v>6.1210000000000004</v>
          </cell>
          <cell r="BT15">
            <v>6.2460000000000004</v>
          </cell>
          <cell r="BU15">
            <v>6.407</v>
          </cell>
          <cell r="BV15">
            <v>6.7720000000000002</v>
          </cell>
          <cell r="BW15">
            <v>6.7949999999999999</v>
          </cell>
          <cell r="BX15">
            <v>1.454</v>
          </cell>
          <cell r="BY15">
            <v>40.171999999999997</v>
          </cell>
          <cell r="BZ15">
            <v>0.50357499999999999</v>
          </cell>
          <cell r="CA15">
            <v>0.50357499999999999</v>
          </cell>
          <cell r="CB15">
            <v>0.50357499999999999</v>
          </cell>
          <cell r="CC15" t="str">
            <v>mstag:amortizationOfDiscountPremiumOnDebtCashFlowStatement</v>
          </cell>
          <cell r="CD15">
            <v>6</v>
          </cell>
          <cell r="CE15" t="str">
            <v>ISO4217:USD</v>
          </cell>
          <cell r="CF15" t="b">
            <v>0</v>
          </cell>
          <cell r="CG15" t="str">
            <v>mstag:amortizationOfDiscountPremiumOnDebtCashFlowStatement</v>
          </cell>
          <cell r="CH15">
            <v>6</v>
          </cell>
          <cell r="CI15" t="str">
            <v>ISO4217:USD</v>
          </cell>
          <cell r="CJ15" t="b">
            <v>0</v>
          </cell>
        </row>
        <row r="16">
          <cell r="B16" t="str">
            <v>Changes in Working Capital</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row>
        <row r="17">
          <cell r="B17" t="str">
            <v xml:space="preserve">    Accounts Receivables</v>
          </cell>
          <cell r="E17">
            <v>31.701000000000001</v>
          </cell>
          <cell r="F17">
            <v>18.661999999999999</v>
          </cell>
          <cell r="G17">
            <v>17.490000000000002</v>
          </cell>
          <cell r="H17">
            <v>-8.3580000000000005</v>
          </cell>
          <cell r="I17">
            <v>-9.3610000000000007</v>
          </cell>
          <cell r="J17">
            <v>-18.160999999999998</v>
          </cell>
          <cell r="K17">
            <v>-0.33799999999999919</v>
          </cell>
          <cell r="L17">
            <v>-3.4039999999999999</v>
          </cell>
          <cell r="M17">
            <v>1.9720000000000009</v>
          </cell>
          <cell r="N17">
            <v>-5.2640000000000011</v>
          </cell>
          <cell r="O17">
            <v>-22.210999999999995</v>
          </cell>
          <cell r="P17">
            <v>-3.694</v>
          </cell>
          <cell r="Q17">
            <v>-5.6025407231169373</v>
          </cell>
          <cell r="R17">
            <v>-22.266944979502213</v>
          </cell>
          <cell r="S17">
            <v>-42.967617223687185</v>
          </cell>
          <cell r="T17">
            <v>-16.025406663484546</v>
          </cell>
          <cell r="U17">
            <v>-13.264731634682562</v>
          </cell>
          <cell r="V17">
            <v>-11.227408530012298</v>
          </cell>
          <cell r="W17">
            <v>-9.3334252414227592</v>
          </cell>
          <cell r="X17">
            <v>-9.8738773396334523</v>
          </cell>
          <cell r="Y17">
            <v>-10.640029101810995</v>
          </cell>
          <cell r="AA17">
            <v>9.7970000000000006</v>
          </cell>
          <cell r="AB17">
            <v>-1.61</v>
          </cell>
          <cell r="AC17">
            <v>-11.321999999999999</v>
          </cell>
          <cell r="AD17">
            <v>34.835999999999999</v>
          </cell>
          <cell r="AE17">
            <v>-1.429</v>
          </cell>
          <cell r="AF17">
            <v>4.3</v>
          </cell>
          <cell r="AG17">
            <v>5.9329999999999998</v>
          </cell>
          <cell r="AH17">
            <v>9.8580000000000005</v>
          </cell>
          <cell r="AI17">
            <v>9.9209999999999994</v>
          </cell>
          <cell r="AJ17">
            <v>5.46</v>
          </cell>
          <cell r="AK17">
            <v>-5.1619999999999999</v>
          </cell>
          <cell r="AL17">
            <v>7.2709999999999999</v>
          </cell>
          <cell r="AM17">
            <v>1.5449999999999999</v>
          </cell>
          <cell r="AN17">
            <v>-4.843</v>
          </cell>
          <cell r="AO17">
            <v>-1.298</v>
          </cell>
          <cell r="AP17">
            <v>-3.762</v>
          </cell>
          <cell r="AQ17">
            <v>1.873</v>
          </cell>
          <cell r="AR17">
            <v>-14.036</v>
          </cell>
          <cell r="AS17">
            <v>11.257999999999999</v>
          </cell>
          <cell r="AT17">
            <v>-8.4559999999999995</v>
          </cell>
          <cell r="AU17">
            <v>0.58299999999999996</v>
          </cell>
          <cell r="AV17">
            <v>-7.9009999999999998</v>
          </cell>
          <cell r="AW17">
            <v>-9.9149999999999991</v>
          </cell>
          <cell r="AX17">
            <v>-0.92800000000000005</v>
          </cell>
          <cell r="AY17">
            <v>1.331</v>
          </cell>
          <cell r="AZ17">
            <v>-6.09</v>
          </cell>
          <cell r="BA17">
            <v>-4.13</v>
          </cell>
          <cell r="BB17">
            <v>8.5510000000000002</v>
          </cell>
          <cell r="BC17">
            <v>1.6830000000000001</v>
          </cell>
          <cell r="BD17">
            <v>-2.169</v>
          </cell>
          <cell r="BE17">
            <v>3.2480000000000002</v>
          </cell>
          <cell r="BF17">
            <v>-6.1660000000000004</v>
          </cell>
          <cell r="BG17">
            <v>8.6809999999999992</v>
          </cell>
          <cell r="BH17">
            <v>-3.1279999999999992</v>
          </cell>
          <cell r="BI17">
            <v>0.23200000000000109</v>
          </cell>
          <cell r="BJ17">
            <v>-3.8130000000000002</v>
          </cell>
          <cell r="BK17">
            <v>3.1160000000000001</v>
          </cell>
          <cell r="BL17">
            <v>-5.8719999999999999</v>
          </cell>
          <cell r="BM17">
            <v>-5.7129999999999992</v>
          </cell>
          <cell r="BN17">
            <v>3.2049999999999987</v>
          </cell>
          <cell r="BO17">
            <v>-2.1110000000000002</v>
          </cell>
          <cell r="BP17">
            <v>-3.71</v>
          </cell>
          <cell r="BQ17">
            <v>-18.768999999999998</v>
          </cell>
          <cell r="BR17">
            <v>2.379</v>
          </cell>
          <cell r="BS17">
            <v>4.5880000000000001</v>
          </cell>
          <cell r="BT17">
            <v>-9.4870000000000001</v>
          </cell>
          <cell r="BU17">
            <v>-5.806</v>
          </cell>
          <cell r="BV17">
            <v>7.0110000000000001</v>
          </cell>
          <cell r="BW17">
            <v>-4.7270000000000003</v>
          </cell>
          <cell r="BX17">
            <v>-5.335</v>
          </cell>
          <cell r="BY17">
            <v>6.0750000000000002</v>
          </cell>
          <cell r="BZ17">
            <v>-1.6155407231169363</v>
          </cell>
          <cell r="CA17">
            <v>-14.388890010915247</v>
          </cell>
          <cell r="CB17">
            <v>-2.3366234527337468</v>
          </cell>
          <cell r="CC17" t="str">
            <v>mstag:netDecreaseInTradeReceivables</v>
          </cell>
          <cell r="CD17">
            <v>6</v>
          </cell>
          <cell r="CE17" t="str">
            <v>ISO4217:USD</v>
          </cell>
          <cell r="CF17" t="b">
            <v>0</v>
          </cell>
          <cell r="CG17" t="str">
            <v>mstag:netDecreaseInTradeReceivables</v>
          </cell>
          <cell r="CH17">
            <v>6</v>
          </cell>
          <cell r="CI17" t="str">
            <v>ISO4217:USD</v>
          </cell>
          <cell r="CJ17" t="b">
            <v>0</v>
          </cell>
        </row>
        <row r="18">
          <cell r="B18" t="str">
            <v xml:space="preserve">    Inventory</v>
          </cell>
          <cell r="E18">
            <v>0</v>
          </cell>
          <cell r="F18">
            <v>0</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V18">
            <v>0</v>
          </cell>
          <cell r="BW18">
            <v>0</v>
          </cell>
          <cell r="BX18">
            <v>0</v>
          </cell>
          <cell r="BY18">
            <v>0</v>
          </cell>
          <cell r="BZ18">
            <v>0</v>
          </cell>
          <cell r="CA18">
            <v>0</v>
          </cell>
          <cell r="CB18">
            <v>0</v>
          </cell>
          <cell r="CC18" t="str">
            <v>mstag:netDecreaseInInventories</v>
          </cell>
          <cell r="CD18">
            <v>6</v>
          </cell>
          <cell r="CE18" t="str">
            <v>ISO4217:USD</v>
          </cell>
          <cell r="CF18" t="b">
            <v>0</v>
          </cell>
          <cell r="CG18" t="str">
            <v>mstag:netDecreaseInInventories</v>
          </cell>
          <cell r="CH18">
            <v>6</v>
          </cell>
          <cell r="CI18" t="str">
            <v>ISO4217:USD</v>
          </cell>
          <cell r="CJ18" t="b">
            <v>0</v>
          </cell>
        </row>
        <row r="19">
          <cell r="B19" t="str">
            <v xml:space="preserve">    Other Current Assets</v>
          </cell>
          <cell r="E19">
            <v>0</v>
          </cell>
          <cell r="F19">
            <v>0</v>
          </cell>
          <cell r="G19">
            <v>0</v>
          </cell>
          <cell r="H19">
            <v>0</v>
          </cell>
          <cell r="I19">
            <v>0</v>
          </cell>
          <cell r="J19">
            <v>0</v>
          </cell>
          <cell r="K19">
            <v>0</v>
          </cell>
          <cell r="L19">
            <v>0</v>
          </cell>
          <cell r="M19">
            <v>0</v>
          </cell>
          <cell r="N19">
            <v>0</v>
          </cell>
          <cell r="O19">
            <v>0</v>
          </cell>
          <cell r="P19">
            <v>1.671</v>
          </cell>
          <cell r="Q19">
            <v>-5.1426126982527087</v>
          </cell>
          <cell r="R19">
            <v>-2.1757412239546667</v>
          </cell>
          <cell r="S19">
            <v>-2.1194447344641958</v>
          </cell>
          <cell r="T19">
            <v>-1.8742701349830959</v>
          </cell>
          <cell r="U19">
            <v>-1.3132193743576828</v>
          </cell>
          <cell r="V19">
            <v>-0.91414681956265298</v>
          </cell>
          <cell r="W19">
            <v>-0.56905578664368051</v>
          </cell>
          <cell r="X19">
            <v>-0.62244383972074502</v>
          </cell>
          <cell r="Y19">
            <v>-0.70544817635870061</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T19">
            <v>-0.752</v>
          </cell>
          <cell r="BU19">
            <v>1.226</v>
          </cell>
          <cell r="BV19">
            <v>1.1970000000000001</v>
          </cell>
          <cell r="BW19">
            <v>-2.2250000000000001</v>
          </cell>
          <cell r="BX19">
            <v>-1.7589999999999999</v>
          </cell>
          <cell r="BY19">
            <v>-0.76600000000000001</v>
          </cell>
          <cell r="BZ19">
            <v>-0.39261269825270873</v>
          </cell>
          <cell r="CA19">
            <v>-0.46100830700510187</v>
          </cell>
          <cell r="CB19">
            <v>-0.50858811786604718</v>
          </cell>
          <cell r="CC19" t="str">
            <v>mstag:netDecreaseInOtherAssets</v>
          </cell>
          <cell r="CD19">
            <v>6</v>
          </cell>
          <cell r="CE19" t="str">
            <v>ISO4217:USD</v>
          </cell>
          <cell r="CF19" t="b">
            <v>0</v>
          </cell>
          <cell r="CG19" t="str">
            <v>mstag:netDecreaseInOtherAssets</v>
          </cell>
          <cell r="CH19">
            <v>6</v>
          </cell>
          <cell r="CI19" t="str">
            <v>ISO4217:USD</v>
          </cell>
          <cell r="CJ19" t="b">
            <v>0</v>
          </cell>
        </row>
        <row r="20">
          <cell r="B20" t="str">
            <v xml:space="preserve">    Accounts Payable</v>
          </cell>
          <cell r="E20">
            <v>11.336</v>
          </cell>
          <cell r="F20">
            <v>-47.295000000000002</v>
          </cell>
          <cell r="G20">
            <v>1.1769999999999996</v>
          </cell>
          <cell r="H20">
            <v>-16.060000000000002</v>
          </cell>
          <cell r="I20">
            <v>-7.7170000000000023</v>
          </cell>
          <cell r="J20">
            <v>0.57099999999999795</v>
          </cell>
          <cell r="K20">
            <v>0</v>
          </cell>
          <cell r="L20">
            <v>0</v>
          </cell>
          <cell r="M20">
            <v>0</v>
          </cell>
          <cell r="N20">
            <v>0</v>
          </cell>
          <cell r="O20">
            <v>0</v>
          </cell>
          <cell r="P20">
            <v>-4.4489999999999998</v>
          </cell>
          <cell r="Q20">
            <v>2.2702940069789865</v>
          </cell>
          <cell r="R20">
            <v>5.7905025142813713</v>
          </cell>
          <cell r="S20">
            <v>4.4501760110553761</v>
          </cell>
          <cell r="T20">
            <v>4.4790757331321487</v>
          </cell>
          <cell r="U20">
            <v>3.0658097532684394</v>
          </cell>
          <cell r="V20">
            <v>2.0631829720875459</v>
          </cell>
          <cell r="W20">
            <v>1.2008859450676539</v>
          </cell>
          <cell r="X20">
            <v>1.3254822661347134</v>
          </cell>
          <cell r="Y20">
            <v>1.521834449442153</v>
          </cell>
          <cell r="AA20">
            <v>17.832999999999998</v>
          </cell>
          <cell r="AB20">
            <v>23.093</v>
          </cell>
          <cell r="AC20">
            <v>-14.109</v>
          </cell>
          <cell r="AD20">
            <v>-15.481</v>
          </cell>
          <cell r="AE20">
            <v>-44.01</v>
          </cell>
          <cell r="AF20">
            <v>6.1310000000000002</v>
          </cell>
          <cell r="AG20">
            <v>-12.692</v>
          </cell>
          <cell r="AH20">
            <v>3.2759999999999998</v>
          </cell>
          <cell r="AI20">
            <v>-24.898</v>
          </cell>
          <cell r="AJ20">
            <v>19.812000000000001</v>
          </cell>
          <cell r="AK20">
            <v>-47.417000000000002</v>
          </cell>
          <cell r="AL20">
            <v>53.68</v>
          </cell>
          <cell r="AM20">
            <v>-36.524999999999999</v>
          </cell>
          <cell r="AN20">
            <v>21.952000000000002</v>
          </cell>
          <cell r="AO20">
            <v>-19.567</v>
          </cell>
          <cell r="AP20">
            <v>18.079999999999998</v>
          </cell>
          <cell r="AQ20">
            <v>-47.88</v>
          </cell>
          <cell r="AR20">
            <v>32.832999999999998</v>
          </cell>
          <cell r="AS20">
            <v>-16.690999999999999</v>
          </cell>
          <cell r="AT20">
            <v>24.021000000000001</v>
          </cell>
          <cell r="AU20">
            <v>-31.805</v>
          </cell>
          <cell r="AV20">
            <v>5.7690000000000001</v>
          </cell>
          <cell r="AW20">
            <v>4.9429999999999996</v>
          </cell>
          <cell r="AX20">
            <v>21.664000000000001</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T20">
            <v>-6.367</v>
          </cell>
          <cell r="BU20">
            <v>3.1720000000000002</v>
          </cell>
          <cell r="BV20">
            <v>-1.254</v>
          </cell>
          <cell r="BW20">
            <v>-1.1339999999999999</v>
          </cell>
          <cell r="BX20">
            <v>-1.155</v>
          </cell>
          <cell r="BY20">
            <v>3.0329999999999999</v>
          </cell>
          <cell r="BZ20">
            <v>1.5262940069789863</v>
          </cell>
          <cell r="CA20">
            <v>1.4678894865794661</v>
          </cell>
          <cell r="CB20">
            <v>1.2820828260141468</v>
          </cell>
          <cell r="CC20" t="str">
            <v>mstag:netIncreaseInTradeAndOtherPayables</v>
          </cell>
          <cell r="CD20">
            <v>6</v>
          </cell>
          <cell r="CE20" t="str">
            <v>ISO4217:USD</v>
          </cell>
          <cell r="CF20" t="b">
            <v>0</v>
          </cell>
          <cell r="CG20" t="str">
            <v>mstag:netIncreaseInTradeAndOtherPayables</v>
          </cell>
          <cell r="CH20">
            <v>6</v>
          </cell>
          <cell r="CI20" t="str">
            <v>ISO4217:USD</v>
          </cell>
          <cell r="CJ20" t="b">
            <v>0</v>
          </cell>
        </row>
        <row r="21">
          <cell r="B21" t="str">
            <v xml:space="preserve">    Other Current Liabilities</v>
          </cell>
          <cell r="E21">
            <v>61.485999999999997</v>
          </cell>
          <cell r="F21">
            <v>-4.41</v>
          </cell>
          <cell r="G21">
            <v>-34.58</v>
          </cell>
          <cell r="H21">
            <v>0</v>
          </cell>
          <cell r="I21">
            <v>5.548</v>
          </cell>
          <cell r="J21">
            <v>-18.952000000000002</v>
          </cell>
          <cell r="K21">
            <v>-1.9880000000000013</v>
          </cell>
          <cell r="L21">
            <v>-20.297000000000004</v>
          </cell>
          <cell r="M21">
            <v>-0.36799999999999855</v>
          </cell>
          <cell r="N21">
            <v>0</v>
          </cell>
          <cell r="O21">
            <v>0</v>
          </cell>
          <cell r="P21">
            <v>3.8340000000000014</v>
          </cell>
          <cell r="Q21">
            <v>4.076456523452439</v>
          </cell>
          <cell r="R21">
            <v>9.661710502818643</v>
          </cell>
          <cell r="S21">
            <v>3.0027173612660558</v>
          </cell>
          <cell r="T21">
            <v>14.731982185983904</v>
          </cell>
          <cell r="U21">
            <v>5.8315507754523921</v>
          </cell>
          <cell r="V21">
            <v>4.0594082744974287</v>
          </cell>
          <cell r="W21">
            <v>-3.8820210514136182</v>
          </cell>
          <cell r="X21">
            <v>9.1730567349796193</v>
          </cell>
          <cell r="Y21">
            <v>3.1326501422492186</v>
          </cell>
          <cell r="AA21">
            <v>6.8280000000000003</v>
          </cell>
          <cell r="AB21">
            <v>1.137</v>
          </cell>
          <cell r="AC21">
            <v>-7.9649999999999999</v>
          </cell>
          <cell r="AD21">
            <v>61.485999999999997</v>
          </cell>
          <cell r="AE21">
            <v>0</v>
          </cell>
          <cell r="AF21">
            <v>0</v>
          </cell>
          <cell r="AG21">
            <v>0</v>
          </cell>
          <cell r="AH21">
            <v>-4.41</v>
          </cell>
          <cell r="AI21">
            <v>0</v>
          </cell>
          <cell r="AJ21">
            <v>-0.13500000000000001</v>
          </cell>
          <cell r="AK21">
            <v>0.13500000000000001</v>
          </cell>
          <cell r="AL21">
            <v>-34.58</v>
          </cell>
          <cell r="AM21">
            <v>0</v>
          </cell>
          <cell r="AN21">
            <v>0</v>
          </cell>
          <cell r="AO21">
            <v>0</v>
          </cell>
          <cell r="AP21">
            <v>0</v>
          </cell>
          <cell r="AQ21">
            <v>0</v>
          </cell>
          <cell r="AR21">
            <v>0</v>
          </cell>
          <cell r="AS21">
            <v>0</v>
          </cell>
          <cell r="AT21">
            <v>5.548</v>
          </cell>
          <cell r="AU21">
            <v>0</v>
          </cell>
          <cell r="AV21">
            <v>0</v>
          </cell>
          <cell r="AW21">
            <v>0</v>
          </cell>
          <cell r="AX21">
            <v>-18.952000000000002</v>
          </cell>
          <cell r="AY21">
            <v>-19.573</v>
          </cell>
          <cell r="AZ21">
            <v>11.37</v>
          </cell>
          <cell r="BA21">
            <v>-6.2469999999999999</v>
          </cell>
          <cell r="BB21">
            <v>12.462</v>
          </cell>
          <cell r="BC21">
            <v>-18.391999999999999</v>
          </cell>
          <cell r="BD21">
            <v>-7.702</v>
          </cell>
          <cell r="BE21">
            <v>-9.9960000000000004</v>
          </cell>
          <cell r="BF21">
            <v>15.792999999999999</v>
          </cell>
          <cell r="BG21">
            <v>-32.485999999999997</v>
          </cell>
          <cell r="BH21">
            <v>17.880999999999997</v>
          </cell>
          <cell r="BI21">
            <v>14.237000000000002</v>
          </cell>
          <cell r="BJ21">
            <v>0</v>
          </cell>
          <cell r="BK21">
            <v>0</v>
          </cell>
          <cell r="BL21">
            <v>0</v>
          </cell>
          <cell r="BM21">
            <v>0</v>
          </cell>
          <cell r="BN21">
            <v>0</v>
          </cell>
          <cell r="BO21">
            <v>0</v>
          </cell>
          <cell r="BP21">
            <v>0</v>
          </cell>
          <cell r="BQ21">
            <v>0</v>
          </cell>
          <cell r="BT21">
            <v>-7.8490000000000002</v>
          </cell>
          <cell r="BU21">
            <v>-6.1150000000000002</v>
          </cell>
          <cell r="BV21">
            <v>17.798000000000002</v>
          </cell>
          <cell r="BW21">
            <v>-11.302</v>
          </cell>
          <cell r="BX21">
            <v>12.283000000000001</v>
          </cell>
          <cell r="BY21">
            <v>8.4890000000000008</v>
          </cell>
          <cell r="BZ21">
            <v>-5.3935434765475634</v>
          </cell>
          <cell r="CA21">
            <v>2.2201776480761417</v>
          </cell>
          <cell r="CB21">
            <v>1.1504630496928812</v>
          </cell>
          <cell r="CC21" t="str">
            <v>mstag:netIncreaseInTradeAndOtherPayables</v>
          </cell>
          <cell r="CD21">
            <v>6</v>
          </cell>
          <cell r="CE21" t="str">
            <v>ISO4217:USD</v>
          </cell>
          <cell r="CF21" t="b">
            <v>0</v>
          </cell>
          <cell r="CG21" t="str">
            <v>mstag:netIncreaseInTradeAndOtherPayables</v>
          </cell>
          <cell r="CH21">
            <v>6</v>
          </cell>
          <cell r="CI21" t="str">
            <v>ISO4217:USD</v>
          </cell>
          <cell r="CJ21" t="b">
            <v>0</v>
          </cell>
        </row>
        <row r="22">
          <cell r="B22" t="str">
            <v xml:space="preserve">  Other</v>
          </cell>
          <cell r="E22">
            <v>-33.692999999999998</v>
          </cell>
          <cell r="F22">
            <v>223.334</v>
          </cell>
          <cell r="G22">
            <v>4.9659999999999993</v>
          </cell>
          <cell r="H22">
            <v>13.307999999999998</v>
          </cell>
          <cell r="I22">
            <v>9.8340000000000014</v>
          </cell>
          <cell r="J22">
            <v>53.828000000000003</v>
          </cell>
          <cell r="K22">
            <v>27.348000000000003</v>
          </cell>
          <cell r="L22">
            <v>0</v>
          </cell>
          <cell r="M22">
            <v>18.567</v>
          </cell>
          <cell r="N22">
            <v>-11.378000000000004</v>
          </cell>
          <cell r="O22">
            <v>13.997</v>
          </cell>
          <cell r="P22">
            <v>1.729000000000001</v>
          </cell>
          <cell r="Q22">
            <v>-20.084</v>
          </cell>
          <cell r="R22">
            <v>0</v>
          </cell>
          <cell r="S22">
            <v>0</v>
          </cell>
          <cell r="T22">
            <v>0</v>
          </cell>
          <cell r="U22">
            <v>0</v>
          </cell>
          <cell r="V22">
            <v>0</v>
          </cell>
          <cell r="W22">
            <v>0</v>
          </cell>
          <cell r="X22">
            <v>0</v>
          </cell>
          <cell r="Y22">
            <v>0</v>
          </cell>
          <cell r="AA22">
            <v>-18.416</v>
          </cell>
          <cell r="AB22">
            <v>3.6960000000000002</v>
          </cell>
          <cell r="AC22">
            <v>-4.5419999999999998</v>
          </cell>
          <cell r="AD22">
            <v>-14.430999999999999</v>
          </cell>
          <cell r="AE22">
            <v>-0.158</v>
          </cell>
          <cell r="AF22">
            <v>3.117</v>
          </cell>
          <cell r="AG22">
            <v>4.9220000000000006</v>
          </cell>
          <cell r="AH22">
            <v>215.453</v>
          </cell>
          <cell r="AI22">
            <v>4.399</v>
          </cell>
          <cell r="AJ22">
            <v>1.6080000000000001</v>
          </cell>
          <cell r="AK22">
            <v>0.6</v>
          </cell>
          <cell r="AL22">
            <v>-1.641</v>
          </cell>
          <cell r="AM22">
            <v>9.0399999999999991</v>
          </cell>
          <cell r="AN22">
            <v>1.3240000000000001</v>
          </cell>
          <cell r="AO22">
            <v>1.5529999999999999</v>
          </cell>
          <cell r="AP22">
            <v>1.391</v>
          </cell>
          <cell r="AQ22">
            <v>9.8970000000000002</v>
          </cell>
          <cell r="AR22">
            <v>1.3</v>
          </cell>
          <cell r="AS22">
            <v>1.33</v>
          </cell>
          <cell r="AT22">
            <v>-2.6930000000000001</v>
          </cell>
          <cell r="AU22">
            <v>3.78</v>
          </cell>
          <cell r="AV22">
            <v>30.11</v>
          </cell>
          <cell r="AW22">
            <v>4.2960000000000003</v>
          </cell>
          <cell r="AX22">
            <v>15.641999999999999</v>
          </cell>
          <cell r="AY22">
            <v>5.3680000000000003</v>
          </cell>
          <cell r="AZ22">
            <v>6.234</v>
          </cell>
          <cell r="BA22">
            <v>8.7449999999999992</v>
          </cell>
          <cell r="BB22">
            <v>7.0010000000000003</v>
          </cell>
          <cell r="BC22">
            <v>0</v>
          </cell>
          <cell r="BD22">
            <v>0</v>
          </cell>
          <cell r="BE22">
            <v>0</v>
          </cell>
          <cell r="BF22">
            <v>0</v>
          </cell>
          <cell r="BG22">
            <v>0</v>
          </cell>
          <cell r="BH22">
            <v>0</v>
          </cell>
          <cell r="BI22">
            <v>0</v>
          </cell>
          <cell r="BJ22">
            <v>18.567</v>
          </cell>
          <cell r="BK22">
            <v>-3.903</v>
          </cell>
          <cell r="BL22">
            <v>-1.3939999999999997</v>
          </cell>
          <cell r="BM22">
            <v>11.265000000000001</v>
          </cell>
          <cell r="BN22">
            <v>-17.346000000000004</v>
          </cell>
          <cell r="BO22">
            <v>-3.823</v>
          </cell>
          <cell r="BP22">
            <v>13.634</v>
          </cell>
          <cell r="BQ22">
            <v>-3.5389999999999997</v>
          </cell>
          <cell r="BR22">
            <v>7.7249999999999996</v>
          </cell>
          <cell r="BS22">
            <v>-26.231999999999999</v>
          </cell>
          <cell r="BT22">
            <v>20.663</v>
          </cell>
          <cell r="BU22">
            <v>-1.863</v>
          </cell>
          <cell r="BV22">
            <v>9.1609999999999996</v>
          </cell>
          <cell r="BW22">
            <v>-13.425000000000001</v>
          </cell>
          <cell r="BX22">
            <v>4.3869999999999996</v>
          </cell>
          <cell r="BY22">
            <v>-11.045999999999999</v>
          </cell>
          <cell r="BZ22">
            <v>0</v>
          </cell>
          <cell r="CA22">
            <v>0</v>
          </cell>
          <cell r="CB22">
            <v>0</v>
          </cell>
          <cell r="CC22" t="str">
            <v>mstag:otherCashFlow</v>
          </cell>
          <cell r="CD22">
            <v>6</v>
          </cell>
          <cell r="CE22" t="str">
            <v>ISO4217:USD</v>
          </cell>
          <cell r="CF22" t="b">
            <v>0</v>
          </cell>
          <cell r="CG22" t="str">
            <v>mstag:otherCashFlow</v>
          </cell>
          <cell r="CH22">
            <v>6</v>
          </cell>
          <cell r="CI22" t="str">
            <v>ISO4217:USD</v>
          </cell>
          <cell r="CJ22" t="b">
            <v>0</v>
          </cell>
        </row>
        <row r="23">
          <cell r="B23" t="str">
            <v>Cash Provided by Operating Activity</v>
          </cell>
          <cell r="E23">
            <v>197.23399999999992</v>
          </cell>
          <cell r="F23">
            <v>61.566000000000059</v>
          </cell>
          <cell r="G23">
            <v>123.62099999999998</v>
          </cell>
          <cell r="H23">
            <v>86.540999999999968</v>
          </cell>
          <cell r="I23">
            <v>128.42000000000002</v>
          </cell>
          <cell r="J23">
            <v>174.55799999999999</v>
          </cell>
          <cell r="K23">
            <v>264.20700000000005</v>
          </cell>
          <cell r="L23">
            <v>305.52</v>
          </cell>
          <cell r="M23">
            <v>390.47800000000012</v>
          </cell>
          <cell r="N23">
            <v>385.75200000000001</v>
          </cell>
          <cell r="O23">
            <v>403.58800000000008</v>
          </cell>
          <cell r="P23">
            <v>463.67599999999982</v>
          </cell>
          <cell r="Q23">
            <v>431.01725269099455</v>
          </cell>
          <cell r="R23">
            <v>453.09015560232274</v>
          </cell>
          <cell r="S23">
            <v>469.1486196064281</v>
          </cell>
          <cell r="T23">
            <v>545.50496487804992</v>
          </cell>
          <cell r="U23">
            <v>572.5365833886259</v>
          </cell>
          <cell r="V23">
            <v>603.56048905603586</v>
          </cell>
          <cell r="W23">
            <v>598.17917459912064</v>
          </cell>
          <cell r="X23">
            <v>605.29662094636615</v>
          </cell>
          <cell r="Y23">
            <v>591.81404693335082</v>
          </cell>
          <cell r="AA23">
            <v>40.009999999999991</v>
          </cell>
          <cell r="AB23">
            <v>76.922999999999988</v>
          </cell>
          <cell r="AC23">
            <v>-10.310000000000006</v>
          </cell>
          <cell r="AD23">
            <v>90.610999999999976</v>
          </cell>
          <cell r="AE23">
            <v>-31.391999999999982</v>
          </cell>
          <cell r="AF23">
            <v>39.922000000000018</v>
          </cell>
          <cell r="AG23">
            <v>11.559999999999985</v>
          </cell>
          <cell r="AH23">
            <v>41.475999999999999</v>
          </cell>
          <cell r="AI23">
            <v>10.183000000000003</v>
          </cell>
          <cell r="AJ23">
            <v>52.101999999999997</v>
          </cell>
          <cell r="AK23">
            <v>-1.0939999999999794</v>
          </cell>
          <cell r="AL23">
            <v>62.430000000000014</v>
          </cell>
          <cell r="AM23">
            <v>-7.9579999999999913</v>
          </cell>
          <cell r="AN23">
            <v>45.864999999999988</v>
          </cell>
          <cell r="AO23">
            <v>4.538999999999997</v>
          </cell>
          <cell r="AP23">
            <v>44.09499999999997</v>
          </cell>
          <cell r="AQ23">
            <v>-13.273000000000019</v>
          </cell>
          <cell r="AR23">
            <v>51.570999999999991</v>
          </cell>
          <cell r="AS23">
            <v>32.051000000000009</v>
          </cell>
          <cell r="AT23">
            <v>58.071000000000012</v>
          </cell>
          <cell r="AU23">
            <v>10.425999999999979</v>
          </cell>
          <cell r="AV23">
            <v>49.933000000000021</v>
          </cell>
          <cell r="AW23">
            <v>50.000999999999976</v>
          </cell>
          <cell r="AX23">
            <v>64.197999999999979</v>
          </cell>
          <cell r="AY23">
            <v>39.457000000000008</v>
          </cell>
          <cell r="AZ23">
            <v>70.534000000000034</v>
          </cell>
          <cell r="BA23">
            <v>58.365000000000016</v>
          </cell>
          <cell r="BB23">
            <v>95.850999999999999</v>
          </cell>
          <cell r="BC23">
            <v>58.873999999999981</v>
          </cell>
          <cell r="BD23">
            <v>71.779000000000011</v>
          </cell>
          <cell r="BE23">
            <v>79.390999999999977</v>
          </cell>
          <cell r="BF23">
            <v>95.476000000000028</v>
          </cell>
          <cell r="BG23">
            <v>63.826000000000029</v>
          </cell>
          <cell r="BH23">
            <v>106.60199999999999</v>
          </cell>
          <cell r="BI23">
            <v>107.77500000000001</v>
          </cell>
          <cell r="BJ23">
            <v>112.27500000000003</v>
          </cell>
          <cell r="BK23">
            <v>97.26100000000001</v>
          </cell>
          <cell r="BL23">
            <v>92.877999999999943</v>
          </cell>
          <cell r="BM23">
            <v>105.43299999999999</v>
          </cell>
          <cell r="BN23">
            <v>90.180000000000064</v>
          </cell>
          <cell r="BO23">
            <v>99.049999999999983</v>
          </cell>
          <cell r="BP23">
            <v>116.80800000000001</v>
          </cell>
          <cell r="BQ23">
            <v>75.925000000000026</v>
          </cell>
          <cell r="BR23">
            <v>111.80500000000006</v>
          </cell>
          <cell r="BS23">
            <v>94.360999999999905</v>
          </cell>
          <cell r="BT23">
            <v>114.23799999999993</v>
          </cell>
          <cell r="BU23">
            <v>111.18500000000002</v>
          </cell>
          <cell r="BV23">
            <v>143.892</v>
          </cell>
          <cell r="BW23">
            <v>81.600000000000037</v>
          </cell>
          <cell r="BX23">
            <v>124.95999999999991</v>
          </cell>
          <cell r="BY23">
            <v>123.90599999999998</v>
          </cell>
          <cell r="BZ23">
            <v>100.55125269099459</v>
          </cell>
          <cell r="CA23">
            <v>97.467031363357947</v>
          </cell>
          <cell r="CB23">
            <v>112.42001210579502</v>
          </cell>
          <cell r="CC23">
            <v>126.5483569902384</v>
          </cell>
          <cell r="CD23">
            <v>116.65475514293144</v>
          </cell>
        </row>
        <row r="26">
          <cell r="B26" t="str">
            <v>Cash Flows From Investing Activities</v>
          </cell>
        </row>
        <row r="27">
          <cell r="B27" t="str">
            <v xml:space="preserve">  Capital Expenditures</v>
          </cell>
          <cell r="E27">
            <v>-425.452</v>
          </cell>
          <cell r="F27">
            <v>-104.831</v>
          </cell>
          <cell r="G27">
            <v>-129.697</v>
          </cell>
          <cell r="H27">
            <v>-167.82900000000001</v>
          </cell>
          <cell r="I27">
            <v>-161.001</v>
          </cell>
          <cell r="J27">
            <v>-192.26900000000001</v>
          </cell>
          <cell r="K27">
            <v>-257.90499999999997</v>
          </cell>
          <cell r="L27">
            <v>-274.51900000000001</v>
          </cell>
          <cell r="M27">
            <v>-266.99699999999996</v>
          </cell>
          <cell r="N27">
            <v>-321.84399999999999</v>
          </cell>
          <cell r="O27">
            <v>-340.73099999999999</v>
          </cell>
          <cell r="P27">
            <v>-338.11799999999999</v>
          </cell>
          <cell r="Q27">
            <v>-376.90170110996377</v>
          </cell>
          <cell r="R27">
            <v>-428.39431061084821</v>
          </cell>
          <cell r="S27">
            <v>-361.14374737335464</v>
          </cell>
          <cell r="T27">
            <v>-364.60231016976275</v>
          </cell>
          <cell r="U27">
            <v>-359.69443420405219</v>
          </cell>
          <cell r="V27">
            <v>-349.10076121552783</v>
          </cell>
          <cell r="W27">
            <v>-334.06647157274551</v>
          </cell>
          <cell r="X27">
            <v>-318.82839554151957</v>
          </cell>
          <cell r="Y27">
            <v>-205.97375912893676</v>
          </cell>
          <cell r="AA27">
            <v>-95.608000000000004</v>
          </cell>
          <cell r="AB27">
            <v>-147.12700000000001</v>
          </cell>
          <cell r="AC27">
            <v>-94.400999999999996</v>
          </cell>
          <cell r="AD27">
            <v>-88.316000000000003</v>
          </cell>
          <cell r="AE27">
            <v>-36.869999999999997</v>
          </cell>
          <cell r="AF27">
            <v>-30.121000000000002</v>
          </cell>
          <cell r="AG27">
            <v>-25.105000000000004</v>
          </cell>
          <cell r="AH27">
            <v>-12.734999999999999</v>
          </cell>
          <cell r="AI27">
            <v>-22.373000000000001</v>
          </cell>
          <cell r="AJ27">
            <v>-27.885000000000002</v>
          </cell>
          <cell r="AK27">
            <v>-34.529000000000003</v>
          </cell>
          <cell r="AL27">
            <v>-44.91</v>
          </cell>
          <cell r="AM27">
            <v>-29.05</v>
          </cell>
          <cell r="AN27">
            <v>-42.517000000000003</v>
          </cell>
          <cell r="AO27">
            <v>-46.88</v>
          </cell>
          <cell r="AP27">
            <v>-49.381999999999998</v>
          </cell>
          <cell r="AQ27">
            <v>-37.81</v>
          </cell>
          <cell r="AR27">
            <v>-42.468000000000004</v>
          </cell>
          <cell r="AS27">
            <v>-39.67</v>
          </cell>
          <cell r="AT27">
            <v>-41.052999999999997</v>
          </cell>
          <cell r="AU27">
            <v>-37.945999999999998</v>
          </cell>
          <cell r="AV27">
            <v>-50.378</v>
          </cell>
          <cell r="AW27">
            <v>-48.170999999999999</v>
          </cell>
          <cell r="AX27">
            <v>-55.774000000000001</v>
          </cell>
          <cell r="AY27">
            <v>-55.103999999999999</v>
          </cell>
          <cell r="AZ27">
            <v>-78.126999999999995</v>
          </cell>
          <cell r="BA27">
            <v>-58.633000000000003</v>
          </cell>
          <cell r="BB27">
            <v>-66.040999999999997</v>
          </cell>
          <cell r="BC27">
            <v>-59.637</v>
          </cell>
          <cell r="BD27">
            <v>-66.844999999999999</v>
          </cell>
          <cell r="BE27">
            <v>-75.168999999999997</v>
          </cell>
          <cell r="BF27">
            <v>-72.867999999999995</v>
          </cell>
          <cell r="BG27">
            <v>-66.159000000000006</v>
          </cell>
          <cell r="BH27">
            <v>-68.559999999999988</v>
          </cell>
          <cell r="BI27">
            <v>-59.930999999999997</v>
          </cell>
          <cell r="BJ27">
            <v>-72.346999999999994</v>
          </cell>
          <cell r="BK27">
            <v>-80.929000000000002</v>
          </cell>
          <cell r="BL27">
            <v>-84.988</v>
          </cell>
          <cell r="BM27">
            <v>-77.808999999999997</v>
          </cell>
          <cell r="BN27">
            <v>-78.117999999999995</v>
          </cell>
          <cell r="BO27">
            <v>-79.275999999999996</v>
          </cell>
          <cell r="BP27">
            <v>-90.326999999999998</v>
          </cell>
          <cell r="BQ27">
            <v>-84.491</v>
          </cell>
          <cell r="BR27">
            <v>-86.637</v>
          </cell>
          <cell r="BS27">
            <v>-76.783000000000001</v>
          </cell>
          <cell r="BT27">
            <v>-80.792000000000002</v>
          </cell>
          <cell r="BU27">
            <v>-83.474000000000004</v>
          </cell>
          <cell r="BV27">
            <v>-97.069000000000003</v>
          </cell>
          <cell r="BW27">
            <v>-87.8</v>
          </cell>
          <cell r="BX27">
            <v>-99.709000000000003</v>
          </cell>
          <cell r="BY27">
            <v>-97.55</v>
          </cell>
          <cell r="BZ27">
            <v>-91.842701109963727</v>
          </cell>
          <cell r="CA27">
            <v>-109.75753459762197</v>
          </cell>
          <cell r="CB27">
            <v>-108.79183604386209</v>
          </cell>
          <cell r="CC27" t="str">
            <v>mstag:capitalExpenditures</v>
          </cell>
          <cell r="CD27">
            <v>6</v>
          </cell>
          <cell r="CE27" t="str">
            <v>ISO4217:USD</v>
          </cell>
          <cell r="CF27" t="b">
            <v>1</v>
          </cell>
          <cell r="CG27" t="str">
            <v>mstag:capitalExpenditures</v>
          </cell>
          <cell r="CH27">
            <v>6</v>
          </cell>
          <cell r="CI27" t="str">
            <v>ISO4217:USD</v>
          </cell>
          <cell r="CJ27" t="b">
            <v>1</v>
          </cell>
        </row>
        <row r="28">
          <cell r="B28" t="str">
            <v xml:space="preserve">  Acquisitions</v>
          </cell>
          <cell r="E28">
            <v>-651.68899999999996</v>
          </cell>
          <cell r="F28">
            <v>0</v>
          </cell>
          <cell r="G28">
            <v>0</v>
          </cell>
          <cell r="H28">
            <v>0</v>
          </cell>
          <cell r="I28">
            <v>0</v>
          </cell>
          <cell r="J28">
            <v>-212.416</v>
          </cell>
          <cell r="K28">
            <v>3.1179999999999994</v>
          </cell>
          <cell r="L28">
            <v>0</v>
          </cell>
          <cell r="M28">
            <v>-24.891999999999999</v>
          </cell>
          <cell r="N28">
            <v>0.44799999999999995</v>
          </cell>
          <cell r="O28">
            <v>-15.298000000000002</v>
          </cell>
          <cell r="P28">
            <v>-38.419000000000011</v>
          </cell>
          <cell r="Q28">
            <v>-111.91799999999999</v>
          </cell>
          <cell r="R28">
            <v>0</v>
          </cell>
          <cell r="S28">
            <v>0</v>
          </cell>
          <cell r="T28">
            <v>0</v>
          </cell>
          <cell r="U28">
            <v>0</v>
          </cell>
          <cell r="V28">
            <v>0</v>
          </cell>
          <cell r="W28">
            <v>0</v>
          </cell>
          <cell r="X28">
            <v>0</v>
          </cell>
          <cell r="Y28">
            <v>0</v>
          </cell>
          <cell r="AA28">
            <v>-651.68899999999996</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cell r="AW28">
            <v>0</v>
          </cell>
          <cell r="AX28">
            <v>-212.416</v>
          </cell>
          <cell r="AY28">
            <v>-1.08</v>
          </cell>
          <cell r="AZ28">
            <v>0</v>
          </cell>
          <cell r="BA28">
            <v>4.0149999999999997</v>
          </cell>
          <cell r="BB28">
            <v>0.183</v>
          </cell>
          <cell r="BC28">
            <v>0</v>
          </cell>
          <cell r="BD28">
            <v>0</v>
          </cell>
          <cell r="BE28">
            <v>0</v>
          </cell>
          <cell r="BF28">
            <v>0</v>
          </cell>
          <cell r="BG28">
            <v>0</v>
          </cell>
          <cell r="BH28">
            <v>0</v>
          </cell>
          <cell r="BI28">
            <v>0</v>
          </cell>
          <cell r="BJ28">
            <v>-24.891999999999999</v>
          </cell>
          <cell r="BK28">
            <v>0</v>
          </cell>
          <cell r="BL28">
            <v>0</v>
          </cell>
          <cell r="BM28">
            <v>-1.65</v>
          </cell>
          <cell r="BN28">
            <v>2.0979999999999999</v>
          </cell>
          <cell r="BO28">
            <v>0.55100000000000193</v>
          </cell>
          <cell r="BP28">
            <v>-13.126999999999995</v>
          </cell>
          <cell r="BQ28">
            <v>-1.0000000000005116E-2</v>
          </cell>
          <cell r="BR28">
            <v>-2.7120000000000033</v>
          </cell>
          <cell r="BS28">
            <v>-3.6280000000000001</v>
          </cell>
          <cell r="BT28">
            <v>-10.132000000000005</v>
          </cell>
          <cell r="BU28">
            <v>0.9009999999999998</v>
          </cell>
          <cell r="BV28">
            <v>-25.560000000000002</v>
          </cell>
          <cell r="BW28">
            <v>-16.942</v>
          </cell>
          <cell r="BX28">
            <v>-15.539999999999992</v>
          </cell>
          <cell r="BY28">
            <v>40.564</v>
          </cell>
          <cell r="BZ28">
            <v>-120</v>
          </cell>
          <cell r="CA28">
            <v>0</v>
          </cell>
          <cell r="CB28">
            <v>0</v>
          </cell>
          <cell r="CC28" t="str">
            <v>mstag:netDisposalsAcquisitions</v>
          </cell>
          <cell r="CD28">
            <v>6</v>
          </cell>
          <cell r="CE28" t="str">
            <v>ISO4217:USD</v>
          </cell>
          <cell r="CF28" t="b">
            <v>0</v>
          </cell>
          <cell r="CG28" t="str">
            <v>mstag:netDisposalsAcquisitions</v>
          </cell>
          <cell r="CH28">
            <v>6</v>
          </cell>
          <cell r="CI28" t="str">
            <v>ISO4217:USD</v>
          </cell>
          <cell r="CJ28" t="b">
            <v>0</v>
          </cell>
        </row>
        <row r="29">
          <cell r="B29" t="str">
            <v xml:space="preserve">  Other</v>
          </cell>
          <cell r="E29">
            <v>4.2930000000000001</v>
          </cell>
          <cell r="F29">
            <v>0</v>
          </cell>
          <cell r="G29">
            <v>0</v>
          </cell>
          <cell r="H29">
            <v>2.1</v>
          </cell>
          <cell r="I29">
            <v>125.746</v>
          </cell>
          <cell r="J29">
            <v>1.232</v>
          </cell>
          <cell r="K29">
            <v>59.803000000000004</v>
          </cell>
          <cell r="L29">
            <v>0.75999999999999979</v>
          </cell>
          <cell r="M29">
            <v>1.2999999999999998</v>
          </cell>
          <cell r="N29">
            <v>-96.652999999999992</v>
          </cell>
          <cell r="O29">
            <v>3.2300000000000004</v>
          </cell>
          <cell r="P29">
            <v>2.5659999999999998</v>
          </cell>
          <cell r="Q29">
            <v>-2.5550000000000002</v>
          </cell>
          <cell r="R29">
            <v>0</v>
          </cell>
          <cell r="S29">
            <v>0</v>
          </cell>
          <cell r="T29">
            <v>0</v>
          </cell>
          <cell r="U29">
            <v>0</v>
          </cell>
          <cell r="V29">
            <v>0</v>
          </cell>
          <cell r="W29">
            <v>0</v>
          </cell>
          <cell r="X29">
            <v>0</v>
          </cell>
          <cell r="Y29">
            <v>0</v>
          </cell>
          <cell r="AA29">
            <v>1.0740000000000001</v>
          </cell>
          <cell r="AB29">
            <v>-1.7</v>
          </cell>
          <cell r="AC29">
            <v>3.9889999999999999</v>
          </cell>
          <cell r="AD29">
            <v>0.93</v>
          </cell>
          <cell r="AE29">
            <v>0</v>
          </cell>
          <cell r="AF29">
            <v>0</v>
          </cell>
          <cell r="AG29">
            <v>0</v>
          </cell>
          <cell r="AH29">
            <v>0</v>
          </cell>
          <cell r="AI29">
            <v>0</v>
          </cell>
          <cell r="AJ29">
            <v>0</v>
          </cell>
          <cell r="AK29">
            <v>0</v>
          </cell>
          <cell r="AL29">
            <v>0</v>
          </cell>
          <cell r="AM29">
            <v>1.385</v>
          </cell>
          <cell r="AN29">
            <v>0.10299999999999999</v>
          </cell>
          <cell r="AO29">
            <v>0.65600000000000003</v>
          </cell>
          <cell r="AP29">
            <v>-4.3999999999999997E-2</v>
          </cell>
          <cell r="AQ29">
            <v>0.14299999999999999</v>
          </cell>
          <cell r="AR29">
            <v>0.26100000000000001</v>
          </cell>
          <cell r="AS29">
            <v>0.77800000000000002</v>
          </cell>
          <cell r="AT29">
            <v>124.56399999999999</v>
          </cell>
          <cell r="AU29">
            <v>6.8000000000000005E-2</v>
          </cell>
          <cell r="AV29">
            <v>3.6999999999999998E-2</v>
          </cell>
          <cell r="AW29">
            <v>-8.8999999999999996E-2</v>
          </cell>
          <cell r="AX29">
            <v>1.216</v>
          </cell>
          <cell r="AY29">
            <v>-5.3330000000000002</v>
          </cell>
          <cell r="AZ29">
            <v>-0.68600000000000005</v>
          </cell>
          <cell r="BA29">
            <v>17.347000000000001</v>
          </cell>
          <cell r="BB29">
            <v>48.475000000000001</v>
          </cell>
          <cell r="BC29">
            <v>-2.387</v>
          </cell>
          <cell r="BD29">
            <v>1.2450000000000001</v>
          </cell>
          <cell r="BE29">
            <v>4.0599999999999996</v>
          </cell>
          <cell r="BF29">
            <v>-2.1579999999999999</v>
          </cell>
          <cell r="BG29">
            <v>5.149</v>
          </cell>
          <cell r="BH29">
            <v>1.8449999999999998</v>
          </cell>
          <cell r="BI29">
            <v>-6.08</v>
          </cell>
          <cell r="BJ29">
            <v>0.38600000000000001</v>
          </cell>
          <cell r="BK29">
            <v>-77.275000000000006</v>
          </cell>
          <cell r="BL29">
            <v>-37.640999999999991</v>
          </cell>
          <cell r="BM29">
            <v>35.64</v>
          </cell>
          <cell r="BN29">
            <v>-17.376999999999995</v>
          </cell>
          <cell r="BO29">
            <v>-1.591</v>
          </cell>
          <cell r="BP29">
            <v>1.581</v>
          </cell>
          <cell r="BQ29">
            <v>3.8860000000000001</v>
          </cell>
          <cell r="BR29">
            <v>-0.64600000000000002</v>
          </cell>
          <cell r="BS29">
            <v>0.30099999999999999</v>
          </cell>
          <cell r="BT29">
            <v>5.4059999999999997</v>
          </cell>
          <cell r="BU29">
            <v>-1.1779999999999999</v>
          </cell>
          <cell r="BV29">
            <v>-1.9630000000000001</v>
          </cell>
          <cell r="BW29">
            <v>-2.2400000000000002</v>
          </cell>
          <cell r="BX29">
            <v>1.7749999999999999</v>
          </cell>
          <cell r="BY29">
            <v>-2.09</v>
          </cell>
          <cell r="BZ29">
            <v>0</v>
          </cell>
          <cell r="CA29">
            <v>0</v>
          </cell>
          <cell r="CB29">
            <v>0</v>
          </cell>
          <cell r="CC29" t="str">
            <v>mstag:netDisposalsAcquisitions</v>
          </cell>
          <cell r="CD29">
            <v>6</v>
          </cell>
          <cell r="CE29" t="str">
            <v>ISO4217:USD</v>
          </cell>
          <cell r="CF29" t="b">
            <v>0</v>
          </cell>
          <cell r="CG29" t="str">
            <v>mstag:netDisposalsAcquisitions</v>
          </cell>
          <cell r="CH29">
            <v>6</v>
          </cell>
          <cell r="CI29" t="str">
            <v>ISO4217:USD</v>
          </cell>
          <cell r="CJ29" t="b">
            <v>0</v>
          </cell>
        </row>
        <row r="30">
          <cell r="B30" t="str">
            <v>Net Cash Used in Investing Activities</v>
          </cell>
          <cell r="E30">
            <v>-1072.8480000000002</v>
          </cell>
          <cell r="F30">
            <v>-104.831</v>
          </cell>
          <cell r="G30">
            <v>-129.697</v>
          </cell>
          <cell r="H30">
            <v>-165.72900000000001</v>
          </cell>
          <cell r="I30">
            <v>-35.25500000000001</v>
          </cell>
          <cell r="J30">
            <v>-403.45299999999997</v>
          </cell>
          <cell r="K30">
            <v>-194.98399999999998</v>
          </cell>
          <cell r="L30">
            <v>-273.75900000000001</v>
          </cell>
          <cell r="M30">
            <v>-290.58899999999994</v>
          </cell>
          <cell r="N30">
            <v>-418.04899999999998</v>
          </cell>
          <cell r="O30">
            <v>-352.79899999999998</v>
          </cell>
          <cell r="P30">
            <v>-373.97100000000006</v>
          </cell>
          <cell r="Q30">
            <v>-491.37470110996378</v>
          </cell>
          <cell r="R30">
            <v>-428.39431061084821</v>
          </cell>
          <cell r="S30">
            <v>-361.14374737335464</v>
          </cell>
          <cell r="T30">
            <v>-364.60231016976275</v>
          </cell>
          <cell r="U30">
            <v>-359.69443420405219</v>
          </cell>
          <cell r="V30">
            <v>-349.10076121552783</v>
          </cell>
          <cell r="W30">
            <v>-334.06647157274551</v>
          </cell>
          <cell r="X30">
            <v>-318.82839554151957</v>
          </cell>
          <cell r="Y30">
            <v>-205.97375912893676</v>
          </cell>
          <cell r="AA30">
            <v>-746.22300000000007</v>
          </cell>
          <cell r="AB30">
            <v>-148.827</v>
          </cell>
          <cell r="AC30">
            <v>-90.411999999999992</v>
          </cell>
          <cell r="AD30">
            <v>-87.385999999999996</v>
          </cell>
          <cell r="AE30">
            <v>-36.869999999999997</v>
          </cell>
          <cell r="AF30">
            <v>-30.121000000000002</v>
          </cell>
          <cell r="AG30">
            <v>-25.105000000000004</v>
          </cell>
          <cell r="AH30">
            <v>-12.734999999999999</v>
          </cell>
          <cell r="AI30">
            <v>-22.373000000000001</v>
          </cell>
          <cell r="AJ30">
            <v>-27.885000000000002</v>
          </cell>
          <cell r="AK30">
            <v>-34.529000000000003</v>
          </cell>
          <cell r="AL30">
            <v>-44.91</v>
          </cell>
          <cell r="AM30">
            <v>-27.664999999999999</v>
          </cell>
          <cell r="AN30">
            <v>-42.414000000000001</v>
          </cell>
          <cell r="AO30">
            <v>-46.224000000000004</v>
          </cell>
          <cell r="AP30">
            <v>-49.425999999999995</v>
          </cell>
          <cell r="AQ30">
            <v>-37.667000000000002</v>
          </cell>
          <cell r="AR30">
            <v>-42.207000000000001</v>
          </cell>
          <cell r="AS30">
            <v>-38.892000000000003</v>
          </cell>
          <cell r="AT30">
            <v>83.510999999999996</v>
          </cell>
          <cell r="AU30">
            <v>-37.878</v>
          </cell>
          <cell r="AV30">
            <v>-50.341000000000001</v>
          </cell>
          <cell r="AW30">
            <v>-48.26</v>
          </cell>
          <cell r="AX30">
            <v>-266.97399999999999</v>
          </cell>
          <cell r="AY30">
            <v>-61.516999999999996</v>
          </cell>
          <cell r="AZ30">
            <v>-78.813000000000002</v>
          </cell>
          <cell r="BA30">
            <v>-37.271000000000001</v>
          </cell>
          <cell r="BB30">
            <v>-17.382999999999988</v>
          </cell>
          <cell r="BC30">
            <v>-62.024000000000001</v>
          </cell>
          <cell r="BD30">
            <v>-65.599999999999994</v>
          </cell>
          <cell r="BE30">
            <v>-71.108999999999995</v>
          </cell>
          <cell r="BF30">
            <v>-75.025999999999996</v>
          </cell>
          <cell r="BG30">
            <v>-61.010000000000005</v>
          </cell>
          <cell r="BH30">
            <v>-66.714999999999989</v>
          </cell>
          <cell r="BI30">
            <v>-66.010999999999996</v>
          </cell>
          <cell r="BJ30">
            <v>-96.852999999999994</v>
          </cell>
          <cell r="BK30">
            <v>-158.20400000000001</v>
          </cell>
          <cell r="BL30">
            <v>-122.62899999999999</v>
          </cell>
          <cell r="BM30">
            <v>-43.819000000000003</v>
          </cell>
          <cell r="BN30">
            <v>-93.396999999999991</v>
          </cell>
          <cell r="BO30">
            <v>-80.315999999999988</v>
          </cell>
          <cell r="BP30">
            <v>-101.87299999999999</v>
          </cell>
          <cell r="BQ30">
            <v>-80.615000000000009</v>
          </cell>
          <cell r="BR30">
            <v>-89.995000000000005</v>
          </cell>
          <cell r="BS30">
            <v>-80.11</v>
          </cell>
          <cell r="BT30">
            <v>-85.518000000000001</v>
          </cell>
          <cell r="BU30">
            <v>-83.751000000000005</v>
          </cell>
          <cell r="BV30">
            <v>-124.592</v>
          </cell>
          <cell r="BW30">
            <v>-106.98199999999999</v>
          </cell>
          <cell r="BX30">
            <v>-113.47399999999999</v>
          </cell>
          <cell r="BY30">
            <v>-59.075999999999993</v>
          </cell>
          <cell r="BZ30">
            <v>-211.84270110996374</v>
          </cell>
          <cell r="CA30">
            <v>-109.75753459762197</v>
          </cell>
          <cell r="CB30">
            <v>-108.79183604386209</v>
          </cell>
          <cell r="CC30">
            <v>-105.86132898156896</v>
          </cell>
          <cell r="CD30">
            <v>-103.98361098779522</v>
          </cell>
        </row>
        <row r="33">
          <cell r="B33" t="str">
            <v>Cash Flows From Financing Activities</v>
          </cell>
        </row>
        <row r="34">
          <cell r="B34" t="str">
            <v xml:space="preserve">  Issuance of Common Stock</v>
          </cell>
          <cell r="E34">
            <v>532.17800000000011</v>
          </cell>
          <cell r="F34">
            <v>0.36699999999999999</v>
          </cell>
          <cell r="G34">
            <v>1.091</v>
          </cell>
          <cell r="H34">
            <v>1.649</v>
          </cell>
          <cell r="I34">
            <v>4.5050000000000008</v>
          </cell>
          <cell r="J34">
            <v>46.403999999999996</v>
          </cell>
          <cell r="K34">
            <v>31.846</v>
          </cell>
          <cell r="L34">
            <v>6.0760000000000005</v>
          </cell>
          <cell r="M34">
            <v>1.39</v>
          </cell>
          <cell r="N34">
            <v>1.0449999999999999</v>
          </cell>
          <cell r="O34">
            <v>-48.596000000000004</v>
          </cell>
          <cell r="P34">
            <v>5.300000000000149E-2</v>
          </cell>
          <cell r="Q34">
            <v>-307.11199999999997</v>
          </cell>
          <cell r="R34">
            <v>-60</v>
          </cell>
          <cell r="S34">
            <v>-50</v>
          </cell>
          <cell r="T34">
            <v>-150</v>
          </cell>
          <cell r="U34">
            <v>-150</v>
          </cell>
          <cell r="V34">
            <v>-100</v>
          </cell>
          <cell r="W34">
            <v>0</v>
          </cell>
          <cell r="X34">
            <v>0</v>
          </cell>
          <cell r="Y34">
            <v>0</v>
          </cell>
          <cell r="AA34">
            <v>542</v>
          </cell>
          <cell r="AB34">
            <v>3.0939999999999999</v>
          </cell>
          <cell r="AC34">
            <v>1.085</v>
          </cell>
          <cell r="AD34">
            <v>-14.000999999999999</v>
          </cell>
          <cell r="AE34">
            <v>0.123</v>
          </cell>
          <cell r="AF34">
            <v>0.11199999999999999</v>
          </cell>
          <cell r="AG34">
            <v>0</v>
          </cell>
          <cell r="AH34">
            <v>0.13200000000000001</v>
          </cell>
          <cell r="AI34">
            <v>6.0000000000000001E-3</v>
          </cell>
          <cell r="AJ34">
            <v>2E-3</v>
          </cell>
          <cell r="AK34">
            <v>0.43099999999999999</v>
          </cell>
          <cell r="AL34">
            <v>0.65200000000000002</v>
          </cell>
          <cell r="AM34">
            <v>1.149</v>
          </cell>
          <cell r="AN34">
            <v>2.8000000000000001E-2</v>
          </cell>
          <cell r="AO34">
            <v>0.433</v>
          </cell>
          <cell r="AP34">
            <v>3.9E-2</v>
          </cell>
          <cell r="AQ34">
            <v>0.76200000000000001</v>
          </cell>
          <cell r="AR34">
            <v>0.2</v>
          </cell>
          <cell r="AS34">
            <v>1.0569999999999999</v>
          </cell>
          <cell r="AT34">
            <v>2.4860000000000002</v>
          </cell>
          <cell r="AU34">
            <v>12.095000000000001</v>
          </cell>
          <cell r="AV34">
            <v>6.0940000000000003</v>
          </cell>
          <cell r="AW34">
            <v>14.108000000000001</v>
          </cell>
          <cell r="AX34">
            <v>14.106999999999999</v>
          </cell>
          <cell r="AY34">
            <v>15.214</v>
          </cell>
          <cell r="AZ34">
            <v>2.524</v>
          </cell>
          <cell r="BA34">
            <v>6.91</v>
          </cell>
          <cell r="BB34">
            <v>7.1980000000000004</v>
          </cell>
          <cell r="BC34">
            <v>1.4770000000000001</v>
          </cell>
          <cell r="BD34">
            <v>2.5960000000000001</v>
          </cell>
          <cell r="BE34">
            <v>2.3159999999999998</v>
          </cell>
          <cell r="BF34">
            <v>-0.313</v>
          </cell>
          <cell r="BG34">
            <v>-0.13200000000000001</v>
          </cell>
          <cell r="BH34">
            <v>0.94599999999999995</v>
          </cell>
          <cell r="BI34">
            <v>0.57599999999999996</v>
          </cell>
          <cell r="BJ34">
            <v>0</v>
          </cell>
          <cell r="BK34">
            <v>0.16700000000000001</v>
          </cell>
          <cell r="BL34">
            <v>0.73299999999999998</v>
          </cell>
          <cell r="BM34">
            <v>1.298</v>
          </cell>
          <cell r="BN34">
            <v>-1.153</v>
          </cell>
          <cell r="BO34">
            <v>-11.586</v>
          </cell>
          <cell r="BP34">
            <v>3.7170000000000005</v>
          </cell>
          <cell r="BQ34">
            <v>-33.087000000000003</v>
          </cell>
          <cell r="BR34">
            <v>-7.64</v>
          </cell>
          <cell r="BS34">
            <v>-14.084</v>
          </cell>
          <cell r="BT34">
            <v>8.3930000000000007</v>
          </cell>
          <cell r="BU34">
            <v>4.3070000000000004</v>
          </cell>
          <cell r="BV34">
            <v>1.4370000000000001</v>
          </cell>
          <cell r="BW34">
            <v>-48.469000000000001</v>
          </cell>
          <cell r="BX34">
            <v>-116.282</v>
          </cell>
          <cell r="BY34">
            <v>-102.36099999999999</v>
          </cell>
          <cell r="BZ34">
            <v>-40</v>
          </cell>
          <cell r="CA34">
            <v>-15</v>
          </cell>
          <cell r="CB34">
            <v>-15</v>
          </cell>
          <cell r="CC34" t="str">
            <v>mstag:proceedsFromIssuanceFundsUsedToRepurchaseCommonStock</v>
          </cell>
          <cell r="CD34">
            <v>6</v>
          </cell>
          <cell r="CE34" t="str">
            <v>ISO4217:USD</v>
          </cell>
          <cell r="CF34" t="b">
            <v>0</v>
          </cell>
          <cell r="CG34" t="str">
            <v>mstag:proceedsFromIssuanceFundsUsedToRepurchaseCommonStock</v>
          </cell>
          <cell r="CH34">
            <v>6</v>
          </cell>
          <cell r="CI34" t="str">
            <v>ISO4217:USD</v>
          </cell>
          <cell r="CJ34" t="b">
            <v>0</v>
          </cell>
        </row>
        <row r="35">
          <cell r="B35" t="str">
            <v xml:space="preserve">  Proceeds from / Repayments of Debt</v>
          </cell>
          <cell r="E35">
            <v>457.83000000000004</v>
          </cell>
          <cell r="F35">
            <v>166.77</v>
          </cell>
          <cell r="G35">
            <v>-24</v>
          </cell>
          <cell r="H35">
            <v>-398.25800000000004</v>
          </cell>
          <cell r="I35">
            <v>-14.915999999999997</v>
          </cell>
          <cell r="J35">
            <v>94.247999999999962</v>
          </cell>
          <cell r="K35">
            <v>-7.5040000000000004</v>
          </cell>
          <cell r="L35">
            <v>-7.1920000000000002</v>
          </cell>
          <cell r="M35">
            <v>-7.992</v>
          </cell>
          <cell r="N35">
            <v>-4.1229999999999816</v>
          </cell>
          <cell r="O35">
            <v>-7.1059999999999999</v>
          </cell>
          <cell r="P35">
            <v>362.363</v>
          </cell>
          <cell r="Q35">
            <v>-59.906000000000006</v>
          </cell>
          <cell r="R35">
            <v>-6</v>
          </cell>
          <cell r="S35">
            <v>-6</v>
          </cell>
          <cell r="T35">
            <v>-6</v>
          </cell>
          <cell r="U35">
            <v>-6</v>
          </cell>
          <cell r="V35">
            <v>-6</v>
          </cell>
          <cell r="W35">
            <v>-6</v>
          </cell>
          <cell r="X35">
            <v>-6</v>
          </cell>
          <cell r="Y35">
            <v>-6</v>
          </cell>
          <cell r="AA35">
            <v>458.71100000000001</v>
          </cell>
          <cell r="AB35">
            <v>0.875</v>
          </cell>
          <cell r="AC35">
            <v>0</v>
          </cell>
          <cell r="AD35">
            <v>-1.756</v>
          </cell>
          <cell r="AE35">
            <v>0</v>
          </cell>
          <cell r="AF35">
            <v>0</v>
          </cell>
          <cell r="AG35">
            <v>0</v>
          </cell>
          <cell r="AH35">
            <v>166.77</v>
          </cell>
          <cell r="AI35">
            <v>-6.4480000000000004</v>
          </cell>
          <cell r="AJ35">
            <v>-5.5519999999999996</v>
          </cell>
          <cell r="AK35">
            <v>-6</v>
          </cell>
          <cell r="AL35">
            <v>-6</v>
          </cell>
          <cell r="AM35">
            <v>30.443000000000001</v>
          </cell>
          <cell r="AN35">
            <v>-0.41399999999999998</v>
          </cell>
          <cell r="AO35">
            <v>-427.38600000000002</v>
          </cell>
          <cell r="AP35">
            <v>-0.90100000000000002</v>
          </cell>
          <cell r="AQ35">
            <v>-9.7219999999999995</v>
          </cell>
          <cell r="AR35">
            <v>-0.17799999999999999</v>
          </cell>
          <cell r="AS35">
            <v>398.10399999999998</v>
          </cell>
          <cell r="AT35">
            <v>-403.12</v>
          </cell>
          <cell r="AU35">
            <v>362.52499999999998</v>
          </cell>
          <cell r="AV35">
            <v>-420.75200000000001</v>
          </cell>
          <cell r="AW35">
            <v>-0.5</v>
          </cell>
          <cell r="AX35">
            <v>152.97499999999999</v>
          </cell>
          <cell r="AY35">
            <v>-2.66</v>
          </cell>
          <cell r="AZ35">
            <v>-1.5640000000000001</v>
          </cell>
          <cell r="BA35">
            <v>-1.66</v>
          </cell>
          <cell r="BB35">
            <v>-1.62</v>
          </cell>
          <cell r="BC35">
            <v>-1.64</v>
          </cell>
          <cell r="BD35">
            <v>-1.837</v>
          </cell>
          <cell r="BE35">
            <v>-2.0670000000000002</v>
          </cell>
          <cell r="BF35">
            <v>-1.6479999999999999</v>
          </cell>
          <cell r="BG35">
            <v>-1.6479999999999999</v>
          </cell>
          <cell r="BH35">
            <v>-2.2439999999999998</v>
          </cell>
          <cell r="BI35">
            <v>-1.8100000000000003</v>
          </cell>
          <cell r="BJ35">
            <v>-2.29</v>
          </cell>
          <cell r="BK35">
            <v>1.7799999999999829</v>
          </cell>
          <cell r="BL35">
            <v>1.9620000000000357</v>
          </cell>
          <cell r="BM35">
            <v>-1.847</v>
          </cell>
          <cell r="BN35">
            <v>-6.0179999999999998</v>
          </cell>
          <cell r="BO35">
            <v>-1.855</v>
          </cell>
          <cell r="BP35">
            <v>-1.6359999999999999</v>
          </cell>
          <cell r="BQ35">
            <v>-1.7130000000000001</v>
          </cell>
          <cell r="BR35">
            <v>-1.9019999999999999</v>
          </cell>
          <cell r="BS35">
            <v>-1.8779999999999999</v>
          </cell>
          <cell r="BT35">
            <v>-1.8340000000000001</v>
          </cell>
          <cell r="BU35">
            <v>-103.119</v>
          </cell>
          <cell r="BV35">
            <v>469.19400000000002</v>
          </cell>
          <cell r="BW35">
            <v>-1.768</v>
          </cell>
          <cell r="BX35">
            <v>-206.99199999999999</v>
          </cell>
          <cell r="BY35">
            <v>28.853999999999978</v>
          </cell>
          <cell r="BZ35">
            <v>120</v>
          </cell>
          <cell r="CA35">
            <v>-1.5</v>
          </cell>
          <cell r="CB35">
            <v>-1.5</v>
          </cell>
          <cell r="CC35" t="str">
            <v>mstag:proceedsFromIssuanceAndCashUsedToRepayLongTermDebt</v>
          </cell>
          <cell r="CD35">
            <v>6</v>
          </cell>
          <cell r="CE35" t="str">
            <v>ISO4217:USD</v>
          </cell>
          <cell r="CF35" t="b">
            <v>0</v>
          </cell>
          <cell r="CG35" t="str">
            <v>mstag:proceedsFromIssuanceAndCashUsedToRepayLongTermDebt</v>
          </cell>
          <cell r="CH35">
            <v>6</v>
          </cell>
          <cell r="CI35" t="str">
            <v>ISO4217:USD</v>
          </cell>
          <cell r="CJ35" t="b">
            <v>0</v>
          </cell>
        </row>
        <row r="36">
          <cell r="B36" t="str">
            <v xml:space="preserve">  Proceeds from / Repayment of Loans</v>
          </cell>
          <cell r="E36">
            <v>0</v>
          </cell>
          <cell r="F36">
            <v>0</v>
          </cell>
          <cell r="G36">
            <v>0</v>
          </cell>
          <cell r="H36">
            <v>425.858</v>
          </cell>
          <cell r="I36">
            <v>0</v>
          </cell>
          <cell r="J36">
            <v>0</v>
          </cell>
          <cell r="K36">
            <v>0</v>
          </cell>
          <cell r="L36">
            <v>0</v>
          </cell>
          <cell r="M36">
            <v>0</v>
          </cell>
          <cell r="N36">
            <v>-3.6989999999999998</v>
          </cell>
          <cell r="O36">
            <v>0</v>
          </cell>
          <cell r="P36">
            <v>0</v>
          </cell>
          <cell r="Q36">
            <v>0</v>
          </cell>
          <cell r="R36">
            <v>0</v>
          </cell>
          <cell r="S36">
            <v>0</v>
          </cell>
          <cell r="T36">
            <v>0</v>
          </cell>
          <cell r="U36">
            <v>0</v>
          </cell>
          <cell r="V36">
            <v>0</v>
          </cell>
          <cell r="W36">
            <v>0</v>
          </cell>
          <cell r="X36">
            <v>0</v>
          </cell>
          <cell r="Y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425.916</v>
          </cell>
          <cell r="AP36">
            <v>-5.8000000000000003E-2</v>
          </cell>
          <cell r="AQ36">
            <v>0</v>
          </cell>
          <cell r="AR36">
            <v>0</v>
          </cell>
          <cell r="AS36">
            <v>-1.64</v>
          </cell>
          <cell r="AT36">
            <v>1.64</v>
          </cell>
          <cell r="AU36">
            <v>-0.5</v>
          </cell>
          <cell r="AV36">
            <v>-0.159</v>
          </cell>
          <cell r="AW36">
            <v>-7.2999999999999995E-2</v>
          </cell>
          <cell r="AX36">
            <v>0.73199999999999998</v>
          </cell>
          <cell r="AY36">
            <v>0</v>
          </cell>
          <cell r="AZ36">
            <v>0</v>
          </cell>
          <cell r="BA36">
            <v>0</v>
          </cell>
          <cell r="BB36">
            <v>0</v>
          </cell>
          <cell r="BC36">
            <v>0</v>
          </cell>
          <cell r="BD36">
            <v>0</v>
          </cell>
          <cell r="BE36">
            <v>0</v>
          </cell>
          <cell r="BF36">
            <v>0</v>
          </cell>
          <cell r="BG36">
            <v>0</v>
          </cell>
          <cell r="BH36">
            <v>0</v>
          </cell>
          <cell r="BI36">
            <v>0</v>
          </cell>
          <cell r="BJ36">
            <v>0</v>
          </cell>
          <cell r="BK36">
            <v>0</v>
          </cell>
          <cell r="BL36">
            <v>-3.6989999999999998</v>
          </cell>
          <cell r="BM36">
            <v>0</v>
          </cell>
          <cell r="BN36">
            <v>0</v>
          </cell>
          <cell r="BO36">
            <v>0</v>
          </cell>
          <cell r="BP36">
            <v>0</v>
          </cell>
          <cell r="BQ36">
            <v>0</v>
          </cell>
          <cell r="BV36">
            <v>0</v>
          </cell>
          <cell r="BW36">
            <v>0</v>
          </cell>
          <cell r="BX36">
            <v>0</v>
          </cell>
          <cell r="BY36">
            <v>0</v>
          </cell>
          <cell r="BZ36">
            <v>0</v>
          </cell>
          <cell r="CA36">
            <v>0</v>
          </cell>
          <cell r="CB36">
            <v>0</v>
          </cell>
          <cell r="CC36" t="str">
            <v>mstag:proceedsFromIssuanceAndCashUsedToRepayLongTermDebt</v>
          </cell>
          <cell r="CD36">
            <v>6</v>
          </cell>
          <cell r="CE36" t="str">
            <v>ISO4217:USD</v>
          </cell>
          <cell r="CF36" t="b">
            <v>0</v>
          </cell>
          <cell r="CG36" t="str">
            <v>mstag:proceedsFromIssuanceAndCashUsedToRepayLongTermDebt</v>
          </cell>
          <cell r="CH36">
            <v>6</v>
          </cell>
          <cell r="CI36" t="str">
            <v>ISO4217:USD</v>
          </cell>
          <cell r="CJ36" t="b">
            <v>0</v>
          </cell>
        </row>
        <row r="37">
          <cell r="B37" t="str">
            <v xml:space="preserve">  Sale (Purchase) of Securities</v>
          </cell>
          <cell r="E37">
            <v>-14.957999999999997</v>
          </cell>
          <cell r="F37">
            <v>-4.5460000000000012</v>
          </cell>
          <cell r="G37">
            <v>-125.56100000000001</v>
          </cell>
          <cell r="H37">
            <v>-173.04100000000003</v>
          </cell>
          <cell r="I37">
            <v>0</v>
          </cell>
          <cell r="J37">
            <v>102.53</v>
          </cell>
          <cell r="K37">
            <v>6.4129999999999967</v>
          </cell>
          <cell r="L37">
            <v>0</v>
          </cell>
          <cell r="M37">
            <v>0</v>
          </cell>
          <cell r="N37">
            <v>0</v>
          </cell>
          <cell r="O37">
            <v>0</v>
          </cell>
          <cell r="P37">
            <v>0</v>
          </cell>
          <cell r="Q37">
            <v>0</v>
          </cell>
          <cell r="R37">
            <v>0</v>
          </cell>
          <cell r="S37">
            <v>0</v>
          </cell>
          <cell r="T37">
            <v>0</v>
          </cell>
          <cell r="U37">
            <v>0</v>
          </cell>
          <cell r="V37">
            <v>0</v>
          </cell>
          <cell r="W37">
            <v>0</v>
          </cell>
          <cell r="X37">
            <v>0</v>
          </cell>
          <cell r="Y37">
            <v>0</v>
          </cell>
          <cell r="AA37">
            <v>-33.265999999999998</v>
          </cell>
          <cell r="AB37">
            <v>6.609</v>
          </cell>
          <cell r="AC37">
            <v>14.208</v>
          </cell>
          <cell r="AD37">
            <v>-2.5089999999999999</v>
          </cell>
          <cell r="AE37">
            <v>8.9619999999999997</v>
          </cell>
          <cell r="AF37">
            <v>-17.568000000000001</v>
          </cell>
          <cell r="AG37">
            <v>4.0000000000000924E-2</v>
          </cell>
          <cell r="AH37">
            <v>4.0199999999999996</v>
          </cell>
          <cell r="AI37">
            <v>0</v>
          </cell>
          <cell r="AJ37">
            <v>-67.290999999999997</v>
          </cell>
          <cell r="AK37">
            <v>8.5220000000000002</v>
          </cell>
          <cell r="AL37">
            <v>-66.792000000000002</v>
          </cell>
          <cell r="AM37">
            <v>-17.904</v>
          </cell>
          <cell r="AN37">
            <v>-124.85899999999999</v>
          </cell>
          <cell r="AO37">
            <v>5.92</v>
          </cell>
          <cell r="AP37">
            <v>-36.198</v>
          </cell>
          <cell r="AQ37">
            <v>178.46899999999999</v>
          </cell>
          <cell r="AR37">
            <v>15.05</v>
          </cell>
          <cell r="AS37">
            <v>-450.72699999999998</v>
          </cell>
          <cell r="AT37">
            <v>257.20800000000003</v>
          </cell>
          <cell r="AU37">
            <v>-11.282999999999999</v>
          </cell>
          <cell r="AV37">
            <v>0.86099999999999999</v>
          </cell>
          <cell r="AW37">
            <v>93.570999999999998</v>
          </cell>
          <cell r="AX37">
            <v>19.381</v>
          </cell>
          <cell r="AY37">
            <v>88.5</v>
          </cell>
          <cell r="AZ37">
            <v>-82.087000000000003</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V37">
            <v>-1.89</v>
          </cell>
          <cell r="BW37">
            <v>0</v>
          </cell>
          <cell r="BX37">
            <v>0</v>
          </cell>
          <cell r="BY37">
            <v>0</v>
          </cell>
          <cell r="BZ37">
            <v>0</v>
          </cell>
          <cell r="CA37">
            <v>0</v>
          </cell>
          <cell r="CB37">
            <v>0</v>
          </cell>
          <cell r="CC37" t="str">
            <v>mstag:otherCashFlowsFromUsedInFinancingActivities</v>
          </cell>
          <cell r="CD37">
            <v>6</v>
          </cell>
          <cell r="CE37" t="str">
            <v>ISO4217:USD</v>
          </cell>
          <cell r="CF37" t="b">
            <v>0</v>
          </cell>
          <cell r="CG37" t="str">
            <v>mstag:otherCashFlowsFromUsedInFinancingActivities</v>
          </cell>
          <cell r="CH37">
            <v>6</v>
          </cell>
          <cell r="CI37" t="str">
            <v>ISO4217:USD</v>
          </cell>
          <cell r="CJ37" t="b">
            <v>0</v>
          </cell>
        </row>
        <row r="38">
          <cell r="B38" t="str">
            <v xml:space="preserve">  Liquidation (Purchase) of Restr. Cash</v>
          </cell>
          <cell r="E38">
            <v>0</v>
          </cell>
          <cell r="F38">
            <v>23</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AA38">
            <v>0</v>
          </cell>
          <cell r="AB38">
            <v>0</v>
          </cell>
          <cell r="AC38">
            <v>0</v>
          </cell>
          <cell r="AD38">
            <v>0</v>
          </cell>
          <cell r="AE38">
            <v>0</v>
          </cell>
          <cell r="AF38">
            <v>20.5</v>
          </cell>
          <cell r="AG38">
            <v>2.5</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V38">
            <v>0</v>
          </cell>
          <cell r="BW38">
            <v>0</v>
          </cell>
          <cell r="BX38">
            <v>0</v>
          </cell>
          <cell r="BY38">
            <v>0</v>
          </cell>
          <cell r="BZ38">
            <v>0</v>
          </cell>
          <cell r="CA38">
            <v>0</v>
          </cell>
          <cell r="CB38">
            <v>0</v>
          </cell>
          <cell r="CC38" t="str">
            <v>mstag:otherCashFlowsFromUsedInFinancingActivities</v>
          </cell>
          <cell r="CD38">
            <v>6</v>
          </cell>
          <cell r="CE38" t="str">
            <v>ISO4217:USD</v>
          </cell>
          <cell r="CF38" t="b">
            <v>0</v>
          </cell>
          <cell r="CG38" t="str">
            <v>mstag:otherCashFlowsFromUsedInFinancingActivities</v>
          </cell>
          <cell r="CH38">
            <v>6</v>
          </cell>
          <cell r="CI38" t="str">
            <v>ISO4217:USD</v>
          </cell>
          <cell r="CJ38" t="b">
            <v>0</v>
          </cell>
        </row>
        <row r="39">
          <cell r="B39" t="str">
            <v xml:space="preserve">  Other</v>
          </cell>
          <cell r="E39">
            <v>15.424999999999999</v>
          </cell>
          <cell r="F39">
            <v>-1.4660000000000002</v>
          </cell>
          <cell r="G39">
            <v>1.1179999999999999</v>
          </cell>
          <cell r="H39">
            <v>-1.1102230246251565E-16</v>
          </cell>
          <cell r="I39">
            <v>-1.972</v>
          </cell>
          <cell r="J39">
            <v>-3.5680000000000001</v>
          </cell>
          <cell r="K39">
            <v>0</v>
          </cell>
          <cell r="L39">
            <v>0</v>
          </cell>
          <cell r="M39">
            <v>0.44400000000000001</v>
          </cell>
          <cell r="N39">
            <v>-49.911000000000001</v>
          </cell>
          <cell r="O39">
            <v>1.385</v>
          </cell>
          <cell r="P39">
            <v>1.2130000000000001</v>
          </cell>
          <cell r="Q39">
            <v>0.69299999999999995</v>
          </cell>
          <cell r="R39">
            <v>0</v>
          </cell>
          <cell r="S39">
            <v>0</v>
          </cell>
          <cell r="T39">
            <v>0</v>
          </cell>
          <cell r="U39">
            <v>0</v>
          </cell>
          <cell r="V39">
            <v>0</v>
          </cell>
          <cell r="W39">
            <v>0</v>
          </cell>
          <cell r="X39">
            <v>0</v>
          </cell>
          <cell r="Y39">
            <v>0</v>
          </cell>
          <cell r="AA39">
            <v>1.0780000000000001</v>
          </cell>
          <cell r="AB39">
            <v>-1.2649999999999999</v>
          </cell>
          <cell r="AC39">
            <v>-0.85499999999999998</v>
          </cell>
          <cell r="AD39">
            <v>16.466999999999999</v>
          </cell>
          <cell r="AE39">
            <v>-0.78300000000000003</v>
          </cell>
          <cell r="AF39">
            <v>-1.4079999999999999</v>
          </cell>
          <cell r="AG39">
            <v>-1.046</v>
          </cell>
          <cell r="AH39">
            <v>1.7709999999999999</v>
          </cell>
          <cell r="AI39">
            <v>0</v>
          </cell>
          <cell r="AJ39">
            <v>-1.258</v>
          </cell>
          <cell r="AK39">
            <v>-0.77500000000000002</v>
          </cell>
          <cell r="AL39">
            <v>3.1509999999999998</v>
          </cell>
          <cell r="AM39">
            <v>-0.50800000000000001</v>
          </cell>
          <cell r="AN39">
            <v>-0.45900000000000002</v>
          </cell>
          <cell r="AO39">
            <v>0.96699999999999997</v>
          </cell>
          <cell r="AP39">
            <v>0</v>
          </cell>
          <cell r="AQ39">
            <v>-0.40300000000000002</v>
          </cell>
          <cell r="AR39">
            <v>-0.76800000000000002</v>
          </cell>
          <cell r="AS39">
            <v>1.171</v>
          </cell>
          <cell r="AT39">
            <v>-1.972</v>
          </cell>
          <cell r="AU39">
            <v>-0.372</v>
          </cell>
          <cell r="AV39">
            <v>-0.65700000000000003</v>
          </cell>
          <cell r="AW39">
            <v>-0.55200000000000005</v>
          </cell>
          <cell r="AX39">
            <v>-1.9870000000000001</v>
          </cell>
          <cell r="AY39">
            <v>0</v>
          </cell>
          <cell r="AZ39">
            <v>0</v>
          </cell>
          <cell r="BA39">
            <v>0</v>
          </cell>
          <cell r="BB39">
            <v>0</v>
          </cell>
          <cell r="BC39">
            <v>0</v>
          </cell>
          <cell r="BD39">
            <v>0</v>
          </cell>
          <cell r="BE39">
            <v>0</v>
          </cell>
          <cell r="BF39">
            <v>0</v>
          </cell>
          <cell r="BG39">
            <v>0</v>
          </cell>
          <cell r="BH39">
            <v>0</v>
          </cell>
          <cell r="BI39">
            <v>0</v>
          </cell>
          <cell r="BJ39">
            <v>0.44400000000000001</v>
          </cell>
          <cell r="BK39">
            <v>0</v>
          </cell>
          <cell r="BL39">
            <v>-3.5230000000000001</v>
          </cell>
          <cell r="BM39">
            <v>-8.1820000000000004</v>
          </cell>
          <cell r="BN39">
            <v>-38.206000000000003</v>
          </cell>
          <cell r="BO39">
            <v>0</v>
          </cell>
          <cell r="BP39">
            <v>0</v>
          </cell>
          <cell r="BQ39">
            <v>0</v>
          </cell>
          <cell r="BR39">
            <v>1.385</v>
          </cell>
          <cell r="BS39">
            <v>0.44800000000000001</v>
          </cell>
          <cell r="BT39">
            <v>0.26800000000000002</v>
          </cell>
          <cell r="BU39">
            <v>0.5</v>
          </cell>
          <cell r="BV39">
            <v>-3.0000000000000001E-3</v>
          </cell>
          <cell r="BW39">
            <v>0.60099999999999998</v>
          </cell>
          <cell r="BX39">
            <v>0.34300000000000003</v>
          </cell>
          <cell r="BY39">
            <v>-0.251</v>
          </cell>
          <cell r="BZ39">
            <v>0</v>
          </cell>
          <cell r="CA39">
            <v>0</v>
          </cell>
          <cell r="CB39">
            <v>0</v>
          </cell>
          <cell r="CC39" t="str">
            <v>mstag:otherCashFlowsFromUsedInFinancingActivities</v>
          </cell>
          <cell r="CD39">
            <v>6</v>
          </cell>
          <cell r="CE39" t="str">
            <v>ISO4217:USD</v>
          </cell>
          <cell r="CF39" t="b">
            <v>0</v>
          </cell>
          <cell r="CG39" t="str">
            <v>mstag:otherCashFlowsFromUsedInFinancingActivities</v>
          </cell>
          <cell r="CH39">
            <v>6</v>
          </cell>
          <cell r="CI39" t="str">
            <v>ISO4217:USD</v>
          </cell>
          <cell r="CJ39" t="b">
            <v>0</v>
          </cell>
        </row>
        <row r="40">
          <cell r="B40" t="str">
            <v>Net Cash Used in Financing Activities</v>
          </cell>
          <cell r="E40">
            <v>990.47500000000014</v>
          </cell>
          <cell r="F40">
            <v>184.125</v>
          </cell>
          <cell r="G40">
            <v>-147.352</v>
          </cell>
          <cell r="H40">
            <v>-143.79200000000006</v>
          </cell>
          <cell r="I40">
            <v>-12.382999999999996</v>
          </cell>
          <cell r="J40">
            <v>239.61399999999995</v>
          </cell>
          <cell r="K40">
            <v>30.754999999999995</v>
          </cell>
          <cell r="L40">
            <v>-1.1159999999999997</v>
          </cell>
          <cell r="M40">
            <v>-6.1580000000000004</v>
          </cell>
          <cell r="N40">
            <v>-56.687999999999981</v>
          </cell>
          <cell r="O40">
            <v>-54.317000000000007</v>
          </cell>
          <cell r="P40">
            <v>363.62900000000002</v>
          </cell>
          <cell r="Q40">
            <v>-366.32499999999999</v>
          </cell>
          <cell r="R40">
            <v>-66</v>
          </cell>
          <cell r="S40">
            <v>-56</v>
          </cell>
          <cell r="T40">
            <v>-156</v>
          </cell>
          <cell r="U40">
            <v>-156</v>
          </cell>
          <cell r="V40">
            <v>-106</v>
          </cell>
          <cell r="W40">
            <v>-6</v>
          </cell>
          <cell r="X40">
            <v>-6</v>
          </cell>
          <cell r="Y40">
            <v>-6</v>
          </cell>
          <cell r="AA40">
            <v>968.52300000000002</v>
          </cell>
          <cell r="AB40">
            <v>9.3129999999999988</v>
          </cell>
          <cell r="AC40">
            <v>14.437999999999999</v>
          </cell>
          <cell r="AD40">
            <v>-1.7989999999999995</v>
          </cell>
          <cell r="AE40">
            <v>8.3019999999999996</v>
          </cell>
          <cell r="AF40">
            <v>1.635999999999997</v>
          </cell>
          <cell r="AG40">
            <v>1.4940000000000009</v>
          </cell>
          <cell r="AH40">
            <v>172.69300000000001</v>
          </cell>
          <cell r="AI40">
            <v>-6.4420000000000002</v>
          </cell>
          <cell r="AJ40">
            <v>-74.09899999999999</v>
          </cell>
          <cell r="AK40">
            <v>2.1780000000000004</v>
          </cell>
          <cell r="AL40">
            <v>-68.989000000000004</v>
          </cell>
          <cell r="AM40">
            <v>13.180000000000003</v>
          </cell>
          <cell r="AN40">
            <v>-125.70399999999999</v>
          </cell>
          <cell r="AO40">
            <v>5.849999999999965</v>
          </cell>
          <cell r="AP40">
            <v>-37.118000000000002</v>
          </cell>
          <cell r="AQ40">
            <v>169.10599999999999</v>
          </cell>
          <cell r="AR40">
            <v>14.304</v>
          </cell>
          <cell r="AS40">
            <v>-52.034999999999961</v>
          </cell>
          <cell r="AT40">
            <v>-143.75800000000001</v>
          </cell>
          <cell r="AU40">
            <v>362.46499999999997</v>
          </cell>
          <cell r="AV40">
            <v>-414.613</v>
          </cell>
          <cell r="AW40">
            <v>106.55399999999999</v>
          </cell>
          <cell r="AX40">
            <v>185.208</v>
          </cell>
          <cell r="AY40">
            <v>101.054</v>
          </cell>
          <cell r="AZ40">
            <v>-81.12700000000001</v>
          </cell>
          <cell r="BA40">
            <v>5.25</v>
          </cell>
          <cell r="BB40">
            <v>5.5780000000000003</v>
          </cell>
          <cell r="BC40">
            <v>-0.16299999999999981</v>
          </cell>
          <cell r="BD40">
            <v>0.75900000000000012</v>
          </cell>
          <cell r="BE40">
            <v>0.24899999999999967</v>
          </cell>
          <cell r="BF40">
            <v>-1.9609999999999999</v>
          </cell>
          <cell r="BG40">
            <v>-1.7799999999999998</v>
          </cell>
          <cell r="BH40">
            <v>-1.2979999999999998</v>
          </cell>
          <cell r="BI40">
            <v>-1.2340000000000004</v>
          </cell>
          <cell r="BJ40">
            <v>-1.8460000000000001</v>
          </cell>
          <cell r="BK40">
            <v>1.946999999999983</v>
          </cell>
          <cell r="BL40">
            <v>-4.5269999999999637</v>
          </cell>
          <cell r="BM40">
            <v>-8.7309999999999999</v>
          </cell>
          <cell r="BN40">
            <v>-45.377000000000002</v>
          </cell>
          <cell r="BO40">
            <v>-13.441000000000001</v>
          </cell>
          <cell r="BP40">
            <v>2.0810000000000004</v>
          </cell>
          <cell r="BQ40">
            <v>-34.800000000000004</v>
          </cell>
          <cell r="BR40">
            <v>-8.157</v>
          </cell>
          <cell r="BS40">
            <v>-15.513999999999999</v>
          </cell>
          <cell r="BT40">
            <v>6.8270000000000008</v>
          </cell>
          <cell r="BU40">
            <v>-98.311999999999998</v>
          </cell>
          <cell r="BV40">
            <v>470.62800000000004</v>
          </cell>
          <cell r="BW40">
            <v>-49.636000000000003</v>
          </cell>
          <cell r="BX40">
            <v>-322.93099999999998</v>
          </cell>
          <cell r="BY40">
            <v>-73.75800000000001</v>
          </cell>
          <cell r="BZ40">
            <v>80</v>
          </cell>
          <cell r="CA40">
            <v>-16.5</v>
          </cell>
          <cell r="CB40">
            <v>-16.5</v>
          </cell>
          <cell r="CC40">
            <v>-16.5</v>
          </cell>
          <cell r="CD40">
            <v>-16.5</v>
          </cell>
        </row>
        <row r="43">
          <cell r="B43" t="str">
            <v>Net Increase (Decrease) in Cash</v>
          </cell>
          <cell r="E43">
            <v>114.86099999999988</v>
          </cell>
          <cell r="F43">
            <v>140.86000000000007</v>
          </cell>
          <cell r="G43">
            <v>-153.428</v>
          </cell>
          <cell r="H43">
            <v>-222.9800000000001</v>
          </cell>
          <cell r="I43">
            <v>80.782000000000011</v>
          </cell>
          <cell r="J43">
            <v>10.718999999999966</v>
          </cell>
          <cell r="K43">
            <v>99.978000000000065</v>
          </cell>
          <cell r="L43">
            <v>30.644999999999982</v>
          </cell>
          <cell r="M43">
            <v>93.731000000000165</v>
          </cell>
          <cell r="N43">
            <v>-88.984999999999957</v>
          </cell>
          <cell r="O43">
            <v>-3.5279999999999063</v>
          </cell>
          <cell r="P43">
            <v>453.33399999999978</v>
          </cell>
          <cell r="Q43">
            <v>-426.68244841896927</v>
          </cell>
          <cell r="R43">
            <v>-41.30415500852547</v>
          </cell>
          <cell r="S43">
            <v>52.004872233073456</v>
          </cell>
          <cell r="T43">
            <v>24.902654708287173</v>
          </cell>
          <cell r="U43">
            <v>56.842149184573714</v>
          </cell>
          <cell r="V43">
            <v>148.45972784050804</v>
          </cell>
          <cell r="W43">
            <v>258.11270302637513</v>
          </cell>
          <cell r="X43">
            <v>280.46822540484658</v>
          </cell>
          <cell r="Y43">
            <v>379.84028780441406</v>
          </cell>
          <cell r="AA43">
            <v>262.30999999999995</v>
          </cell>
          <cell r="AB43">
            <v>-62.591000000000022</v>
          </cell>
          <cell r="AC43">
            <v>-86.283999999999992</v>
          </cell>
          <cell r="AD43">
            <v>1.4259999999999735</v>
          </cell>
          <cell r="AE43">
            <v>-59.95999999999998</v>
          </cell>
          <cell r="AF43">
            <v>11.437000000000012</v>
          </cell>
          <cell r="AG43">
            <v>-12.05100000000002</v>
          </cell>
          <cell r="AH43">
            <v>201.43400000000003</v>
          </cell>
          <cell r="AI43">
            <v>-18.631999999999998</v>
          </cell>
          <cell r="AJ43">
            <v>-49.881999999999998</v>
          </cell>
          <cell r="AK43">
            <v>-33.444999999999986</v>
          </cell>
          <cell r="AL43">
            <v>-51.468999999999987</v>
          </cell>
          <cell r="AM43">
            <v>-22.442999999999987</v>
          </cell>
          <cell r="AN43">
            <v>-122.25300000000001</v>
          </cell>
          <cell r="AO43">
            <v>-35.835000000000043</v>
          </cell>
          <cell r="AP43">
            <v>-42.449000000000026</v>
          </cell>
          <cell r="AQ43">
            <v>118.16599999999997</v>
          </cell>
          <cell r="AR43">
            <v>23.667999999999992</v>
          </cell>
          <cell r="AS43">
            <v>-58.875999999999955</v>
          </cell>
          <cell r="AT43">
            <v>-2.1760000000000019</v>
          </cell>
          <cell r="AU43">
            <v>335.01299999999998</v>
          </cell>
          <cell r="AV43">
            <v>-415.02099999999996</v>
          </cell>
          <cell r="AW43">
            <v>108.29499999999996</v>
          </cell>
          <cell r="AX43">
            <v>-17.568000000000012</v>
          </cell>
          <cell r="AY43">
            <v>78.994000000000014</v>
          </cell>
          <cell r="AZ43">
            <v>-89.405999999999963</v>
          </cell>
          <cell r="BA43">
            <v>26.344000000000015</v>
          </cell>
          <cell r="BB43">
            <v>84.046000000000006</v>
          </cell>
          <cell r="BC43">
            <v>-3.3130000000000166</v>
          </cell>
          <cell r="BD43">
            <v>6.9380000000000166</v>
          </cell>
          <cell r="BE43">
            <v>8.5309999999999775</v>
          </cell>
          <cell r="BF43">
            <v>18.489000000000033</v>
          </cell>
          <cell r="BG43">
            <v>1.0360000000000227</v>
          </cell>
          <cell r="BH43">
            <v>38.588999999999999</v>
          </cell>
          <cell r="BI43">
            <v>40.530000000000015</v>
          </cell>
          <cell r="BJ43">
            <v>13.576000000000036</v>
          </cell>
          <cell r="BK43">
            <v>-58.996000000000024</v>
          </cell>
          <cell r="BL43">
            <v>-34.278000000000006</v>
          </cell>
          <cell r="BM43">
            <v>52.882999999999988</v>
          </cell>
          <cell r="BN43">
            <v>-48.593999999999937</v>
          </cell>
          <cell r="BO43">
            <v>5.2929999999999922</v>
          </cell>
          <cell r="BP43">
            <v>17.01600000000002</v>
          </cell>
          <cell r="BQ43">
            <v>-39.489999999999995</v>
          </cell>
          <cell r="BR43">
            <v>13.653000000000063</v>
          </cell>
          <cell r="BS43">
            <v>-1.2630000000000905</v>
          </cell>
          <cell r="BT43">
            <v>35.546999999999926</v>
          </cell>
          <cell r="BU43">
            <v>-70.877999999999972</v>
          </cell>
          <cell r="BV43">
            <v>489.92800000000005</v>
          </cell>
          <cell r="BW43">
            <v>-75.017999999999958</v>
          </cell>
          <cell r="BX43">
            <v>-311.44500000000005</v>
          </cell>
          <cell r="BY43">
            <v>-8.9280000000000257</v>
          </cell>
          <cell r="BZ43">
            <v>-31.291448418969154</v>
          </cell>
          <cell r="CA43">
            <v>-28.790503234264023</v>
          </cell>
          <cell r="CB43">
            <v>-12.871823938067067</v>
          </cell>
          <cell r="CC43">
            <v>4.1870280086694436</v>
          </cell>
          <cell r="CD43">
            <v>-3.8288558448637815</v>
          </cell>
        </row>
        <row r="44">
          <cell r="B44" t="str">
            <v>Cash &amp; Equivalents, BOP</v>
          </cell>
          <cell r="E44">
            <v>250.739</v>
          </cell>
          <cell r="F44">
            <v>365.59999999999991</v>
          </cell>
          <cell r="G44">
            <v>506.46</v>
          </cell>
          <cell r="H44">
            <v>353.03199999999998</v>
          </cell>
          <cell r="I44">
            <v>130.05199999999988</v>
          </cell>
          <cell r="J44">
            <v>210.83399999999989</v>
          </cell>
          <cell r="K44">
            <v>221.55299999999986</v>
          </cell>
          <cell r="L44">
            <v>321.53099999999995</v>
          </cell>
          <cell r="M44">
            <v>352.17599999999993</v>
          </cell>
          <cell r="N44">
            <v>445.9070000000001</v>
          </cell>
          <cell r="O44">
            <v>356.92200000000014</v>
          </cell>
          <cell r="P44">
            <v>353.39400000000023</v>
          </cell>
          <cell r="Q44">
            <v>806.72800000000007</v>
          </cell>
          <cell r="R44">
            <v>380.04555158103079</v>
          </cell>
          <cell r="S44">
            <v>338.78261646628704</v>
          </cell>
          <cell r="T44">
            <v>391.94351970596898</v>
          </cell>
          <cell r="U44">
            <v>417.74603783443143</v>
          </cell>
          <cell r="V44">
            <v>476.02089906165344</v>
          </cell>
          <cell r="W44">
            <v>626.4580650097173</v>
          </cell>
          <cell r="X44">
            <v>887.08700433868717</v>
          </cell>
          <cell r="Y44">
            <v>1170.4758084796285</v>
          </cell>
          <cell r="AB44">
            <v>513.04899999999998</v>
          </cell>
          <cell r="AC44">
            <v>450.45799999999997</v>
          </cell>
          <cell r="AD44">
            <v>364.17399999999998</v>
          </cell>
          <cell r="AE44">
            <v>365.59999999999997</v>
          </cell>
          <cell r="AF44">
            <v>305.64</v>
          </cell>
          <cell r="AG44">
            <v>317.077</v>
          </cell>
          <cell r="AH44">
            <v>305.02599999999995</v>
          </cell>
          <cell r="AI44">
            <v>506.46</v>
          </cell>
          <cell r="AJ44">
            <v>487.82799999999997</v>
          </cell>
          <cell r="AK44">
            <v>437.94599999999997</v>
          </cell>
          <cell r="AL44">
            <v>404.50099999999998</v>
          </cell>
          <cell r="AM44">
            <v>353.03199999999998</v>
          </cell>
          <cell r="AN44">
            <v>330.589</v>
          </cell>
          <cell r="AO44">
            <v>208.33599999999998</v>
          </cell>
          <cell r="AP44">
            <v>172.50099999999995</v>
          </cell>
          <cell r="AQ44">
            <v>130.05199999999991</v>
          </cell>
          <cell r="AR44">
            <v>248.21799999999988</v>
          </cell>
          <cell r="AS44">
            <v>271.88599999999985</v>
          </cell>
          <cell r="AT44">
            <v>213.00999999999991</v>
          </cell>
          <cell r="AU44">
            <v>210.83399999999989</v>
          </cell>
          <cell r="AV44">
            <v>545.84699999999987</v>
          </cell>
          <cell r="AW44">
            <v>130.82599999999991</v>
          </cell>
          <cell r="AX44">
            <v>239.12099999999987</v>
          </cell>
          <cell r="AY44">
            <v>221.55299999999986</v>
          </cell>
          <cell r="AZ44">
            <v>300.54699999999985</v>
          </cell>
          <cell r="BA44">
            <v>211.14099999999991</v>
          </cell>
          <cell r="BB44">
            <v>237.48499999999993</v>
          </cell>
          <cell r="BC44">
            <v>321.53099999999995</v>
          </cell>
          <cell r="BD44">
            <v>318.21799999999996</v>
          </cell>
          <cell r="BE44">
            <v>325.15599999999995</v>
          </cell>
          <cell r="BF44">
            <v>333.6869999999999</v>
          </cell>
          <cell r="BG44">
            <v>352.17599999999993</v>
          </cell>
          <cell r="BH44">
            <v>353.21199999999993</v>
          </cell>
          <cell r="BI44">
            <v>391.80099999999993</v>
          </cell>
          <cell r="BJ44">
            <v>432.33099999999996</v>
          </cell>
          <cell r="BK44">
            <v>445.90699999999998</v>
          </cell>
          <cell r="BL44">
            <v>386.91099999999994</v>
          </cell>
          <cell r="BM44">
            <v>352.63299999999992</v>
          </cell>
          <cell r="BN44">
            <v>405.51599999999991</v>
          </cell>
          <cell r="BO44">
            <v>356.92199999999997</v>
          </cell>
          <cell r="BP44">
            <v>362.21499999999997</v>
          </cell>
          <cell r="BQ44">
            <v>379.23099999999999</v>
          </cell>
          <cell r="BR44">
            <v>339.74099999999999</v>
          </cell>
          <cell r="BS44">
            <v>353.39400000000006</v>
          </cell>
          <cell r="BT44">
            <v>352.13099999999997</v>
          </cell>
          <cell r="BU44">
            <v>387.67799999999988</v>
          </cell>
          <cell r="BV44">
            <v>316.7999999999999</v>
          </cell>
          <cell r="BW44">
            <v>806.72799999999995</v>
          </cell>
          <cell r="BX44">
            <v>731.71</v>
          </cell>
          <cell r="BY44">
            <v>420.26499999999999</v>
          </cell>
          <cell r="BZ44">
            <v>411.33699999999999</v>
          </cell>
          <cell r="CA44">
            <v>380.04555158103085</v>
          </cell>
          <cell r="CB44">
            <v>351.25504834676684</v>
          </cell>
          <cell r="CC44">
            <v>338.4030846722556</v>
          </cell>
          <cell r="CD44">
            <v>342.62586702385107</v>
          </cell>
        </row>
        <row r="45">
          <cell r="B45" t="str">
            <v>Cash &amp; Equivalents, EOP</v>
          </cell>
          <cell r="D45">
            <v>250.739</v>
          </cell>
          <cell r="E45">
            <v>365.59999999999991</v>
          </cell>
          <cell r="F45">
            <v>506.46</v>
          </cell>
          <cell r="G45">
            <v>353.03199999999998</v>
          </cell>
          <cell r="H45">
            <v>130.05199999999988</v>
          </cell>
          <cell r="I45">
            <v>210.83399999999989</v>
          </cell>
          <cell r="J45">
            <v>221.55299999999986</v>
          </cell>
          <cell r="K45">
            <v>321.53099999999995</v>
          </cell>
          <cell r="L45">
            <v>352.17599999999993</v>
          </cell>
          <cell r="M45">
            <v>445.9070000000001</v>
          </cell>
          <cell r="N45">
            <v>356.92200000000014</v>
          </cell>
          <cell r="O45">
            <v>353.39400000000023</v>
          </cell>
          <cell r="P45">
            <v>806.72800000000007</v>
          </cell>
          <cell r="Q45">
            <v>380.04555158103079</v>
          </cell>
          <cell r="R45">
            <v>338.74139657250532</v>
          </cell>
          <cell r="S45">
            <v>390.78748869936049</v>
          </cell>
          <cell r="T45">
            <v>416.84617441425615</v>
          </cell>
          <cell r="U45">
            <v>474.58818701900515</v>
          </cell>
          <cell r="V45">
            <v>624.48062690216148</v>
          </cell>
          <cell r="W45">
            <v>884.57076803609243</v>
          </cell>
          <cell r="X45">
            <v>1167.5552297435338</v>
          </cell>
          <cell r="Y45">
            <v>1550.3160962840425</v>
          </cell>
          <cell r="AA45">
            <v>513.04899999999998</v>
          </cell>
          <cell r="AB45">
            <v>450.45799999999997</v>
          </cell>
          <cell r="AC45">
            <v>364.17399999999998</v>
          </cell>
          <cell r="AD45">
            <v>365.59999999999997</v>
          </cell>
          <cell r="AE45">
            <v>305.64</v>
          </cell>
          <cell r="AF45">
            <v>317.077</v>
          </cell>
          <cell r="AG45">
            <v>305.02599999999995</v>
          </cell>
          <cell r="AH45">
            <v>506.46</v>
          </cell>
          <cell r="AI45">
            <v>487.82799999999997</v>
          </cell>
          <cell r="AJ45">
            <v>437.94599999999997</v>
          </cell>
          <cell r="AK45">
            <v>404.50099999999998</v>
          </cell>
          <cell r="AL45">
            <v>353.03199999999998</v>
          </cell>
          <cell r="AM45">
            <v>330.589</v>
          </cell>
          <cell r="AN45">
            <v>208.33599999999998</v>
          </cell>
          <cell r="AO45">
            <v>172.50099999999995</v>
          </cell>
          <cell r="AP45">
            <v>130.05199999999991</v>
          </cell>
          <cell r="AQ45">
            <v>248.21799999999988</v>
          </cell>
          <cell r="AR45">
            <v>271.88599999999985</v>
          </cell>
          <cell r="AS45">
            <v>213.00999999999991</v>
          </cell>
          <cell r="AT45">
            <v>210.83399999999989</v>
          </cell>
          <cell r="AU45">
            <v>545.84699999999987</v>
          </cell>
          <cell r="AV45">
            <v>130.82599999999991</v>
          </cell>
          <cell r="AW45">
            <v>239.12099999999987</v>
          </cell>
          <cell r="AX45">
            <v>221.55299999999986</v>
          </cell>
          <cell r="AY45">
            <v>300.54699999999985</v>
          </cell>
          <cell r="AZ45">
            <v>211.14099999999991</v>
          </cell>
          <cell r="BA45">
            <v>237.48499999999993</v>
          </cell>
          <cell r="BB45">
            <v>321.53099999999995</v>
          </cell>
          <cell r="BC45">
            <v>318.21799999999996</v>
          </cell>
          <cell r="BD45">
            <v>325.15599999999995</v>
          </cell>
          <cell r="BE45">
            <v>333.6869999999999</v>
          </cell>
          <cell r="BF45">
            <v>352.17599999999993</v>
          </cell>
          <cell r="BG45">
            <v>353.21199999999993</v>
          </cell>
          <cell r="BH45">
            <v>391.80099999999993</v>
          </cell>
          <cell r="BI45">
            <v>432.33099999999996</v>
          </cell>
          <cell r="BJ45">
            <v>445.90699999999998</v>
          </cell>
          <cell r="BK45">
            <v>386.91099999999994</v>
          </cell>
          <cell r="BL45">
            <v>352.63299999999992</v>
          </cell>
          <cell r="BM45">
            <v>405.51599999999991</v>
          </cell>
          <cell r="BN45">
            <v>356.92199999999997</v>
          </cell>
          <cell r="BO45">
            <v>362.21499999999997</v>
          </cell>
          <cell r="BP45">
            <v>379.23099999999999</v>
          </cell>
          <cell r="BQ45">
            <v>339.74099999999999</v>
          </cell>
          <cell r="BR45">
            <v>353.39400000000006</v>
          </cell>
          <cell r="BS45">
            <v>352.13099999999997</v>
          </cell>
          <cell r="BT45">
            <v>387.67799999999988</v>
          </cell>
          <cell r="BU45">
            <v>316.7999999999999</v>
          </cell>
          <cell r="BV45">
            <v>806.72799999999995</v>
          </cell>
          <cell r="BW45">
            <v>731.71</v>
          </cell>
          <cell r="BX45">
            <v>420.26499999999999</v>
          </cell>
          <cell r="BY45">
            <v>411.33699999999999</v>
          </cell>
          <cell r="BZ45">
            <v>380.04555158103085</v>
          </cell>
          <cell r="CA45">
            <v>351.25504834676684</v>
          </cell>
          <cell r="CB45">
            <v>338.38322440869979</v>
          </cell>
          <cell r="CC45">
            <v>342.59011268092502</v>
          </cell>
          <cell r="CD45">
            <v>338.7970111789873</v>
          </cell>
        </row>
        <row r="47">
          <cell r="B47" t="str">
            <v>BS Check</v>
          </cell>
          <cell r="E47">
            <v>365.59999999999997</v>
          </cell>
          <cell r="F47">
            <v>506.46</v>
          </cell>
          <cell r="G47">
            <v>353.03199999999998</v>
          </cell>
          <cell r="H47">
            <v>130.05199999999991</v>
          </cell>
          <cell r="I47">
            <v>210.83399999999989</v>
          </cell>
          <cell r="J47">
            <v>221.55299999999986</v>
          </cell>
          <cell r="K47">
            <v>321.53099999999995</v>
          </cell>
          <cell r="L47">
            <v>352.17599999999993</v>
          </cell>
          <cell r="M47">
            <v>445.90699999999998</v>
          </cell>
          <cell r="N47">
            <v>356.92199999999997</v>
          </cell>
          <cell r="O47">
            <v>353.39400000000006</v>
          </cell>
          <cell r="P47">
            <v>806.72799999999995</v>
          </cell>
          <cell r="Q47">
            <v>380.04555158103085</v>
          </cell>
          <cell r="R47">
            <v>338.78261646628704</v>
          </cell>
          <cell r="S47">
            <v>391.94351970596898</v>
          </cell>
          <cell r="T47">
            <v>417.74603783443143</v>
          </cell>
          <cell r="U47">
            <v>476.02089906165344</v>
          </cell>
          <cell r="V47">
            <v>626.4580650097173</v>
          </cell>
          <cell r="W47">
            <v>887.08700433868717</v>
          </cell>
          <cell r="X47">
            <v>1170.4758084796285</v>
          </cell>
          <cell r="Y47">
            <v>1554.4135289592371</v>
          </cell>
          <cell r="AB47">
            <v>450.45799999999997</v>
          </cell>
          <cell r="AC47">
            <v>364.17399999999998</v>
          </cell>
          <cell r="AD47">
            <v>365.59999999999997</v>
          </cell>
          <cell r="AE47">
            <v>305.64</v>
          </cell>
          <cell r="AF47">
            <v>317.077</v>
          </cell>
          <cell r="AG47">
            <v>305.02599999999995</v>
          </cell>
          <cell r="AH47">
            <v>506.46</v>
          </cell>
          <cell r="AI47">
            <v>487.82799999999997</v>
          </cell>
          <cell r="AJ47">
            <v>437.94599999999997</v>
          </cell>
          <cell r="AK47">
            <v>404.50099999999998</v>
          </cell>
          <cell r="AL47">
            <v>353.03199999999998</v>
          </cell>
          <cell r="AM47">
            <v>330.589</v>
          </cell>
          <cell r="AN47">
            <v>208.33599999999998</v>
          </cell>
          <cell r="AO47">
            <v>172.50099999999995</v>
          </cell>
          <cell r="AP47">
            <v>130.05199999999991</v>
          </cell>
          <cell r="AQ47">
            <v>248.21799999999988</v>
          </cell>
          <cell r="AR47">
            <v>271.88599999999985</v>
          </cell>
          <cell r="AS47">
            <v>213.00999999999991</v>
          </cell>
          <cell r="AT47">
            <v>210.83399999999989</v>
          </cell>
          <cell r="AU47">
            <v>545.84699999999987</v>
          </cell>
          <cell r="AV47">
            <v>130.82599999999991</v>
          </cell>
          <cell r="AW47">
            <v>239.12099999999987</v>
          </cell>
          <cell r="AX47">
            <v>221.55299999999986</v>
          </cell>
          <cell r="AY47">
            <v>300.54699999999985</v>
          </cell>
          <cell r="AZ47">
            <v>211.14099999999991</v>
          </cell>
          <cell r="BA47">
            <v>237.48499999999993</v>
          </cell>
          <cell r="BB47">
            <v>321.53099999999995</v>
          </cell>
          <cell r="BC47">
            <v>318.21799999999996</v>
          </cell>
          <cell r="BD47">
            <v>325.15599999999995</v>
          </cell>
          <cell r="BE47">
            <v>333.6869999999999</v>
          </cell>
          <cell r="BF47">
            <v>352.17599999999993</v>
          </cell>
          <cell r="BG47">
            <v>353.21199999999993</v>
          </cell>
          <cell r="BH47">
            <v>391.80099999999993</v>
          </cell>
          <cell r="BI47">
            <v>432.33099999999996</v>
          </cell>
          <cell r="BJ47">
            <v>445.90699999999998</v>
          </cell>
          <cell r="BK47">
            <v>386.91099999999994</v>
          </cell>
          <cell r="BL47">
            <v>352.63299999999992</v>
          </cell>
          <cell r="BM47">
            <v>405.51599999999991</v>
          </cell>
          <cell r="BN47">
            <v>356.92199999999997</v>
          </cell>
          <cell r="BO47">
            <v>362.21499999999997</v>
          </cell>
          <cell r="BP47">
            <v>379.23099999999999</v>
          </cell>
          <cell r="BQ47">
            <v>339.74099999999999</v>
          </cell>
          <cell r="BR47">
            <v>353.39400000000006</v>
          </cell>
          <cell r="BS47">
            <v>352.13099999999997</v>
          </cell>
          <cell r="BT47">
            <v>387.67799999999988</v>
          </cell>
          <cell r="BU47">
            <v>316.7999999999999</v>
          </cell>
          <cell r="BV47">
            <v>806.72799999999995</v>
          </cell>
          <cell r="BW47">
            <v>731.71</v>
          </cell>
          <cell r="BX47">
            <v>420.26499999999999</v>
          </cell>
          <cell r="BY47">
            <v>411.33699999999999</v>
          </cell>
          <cell r="BZ47">
            <v>380.04555158103085</v>
          </cell>
          <cell r="CA47">
            <v>351.25504834676684</v>
          </cell>
          <cell r="CB47">
            <v>338.4030846722556</v>
          </cell>
          <cell r="CC47">
            <v>342.62586702385107</v>
          </cell>
          <cell r="CD47">
            <v>338.78261646628704</v>
          </cell>
        </row>
        <row r="49">
          <cell r="B49" t="str">
            <v>Check</v>
          </cell>
          <cell r="E49">
            <v>0</v>
          </cell>
          <cell r="F49">
            <v>0</v>
          </cell>
          <cell r="G49">
            <v>0</v>
          </cell>
          <cell r="H49">
            <v>0</v>
          </cell>
          <cell r="I49">
            <v>0</v>
          </cell>
          <cell r="J49">
            <v>0</v>
          </cell>
          <cell r="K49">
            <v>0</v>
          </cell>
          <cell r="L49">
            <v>0</v>
          </cell>
          <cell r="M49">
            <v>0</v>
          </cell>
          <cell r="N49">
            <v>0</v>
          </cell>
          <cell r="O49">
            <v>0</v>
          </cell>
          <cell r="P49">
            <v>0</v>
          </cell>
          <cell r="Q49">
            <v>0</v>
          </cell>
          <cell r="R49">
            <v>-4.12198937817152E-2</v>
          </cell>
          <cell r="S49">
            <v>-1.1560310066084867</v>
          </cell>
          <cell r="T49">
            <v>-0.89986342017527932</v>
          </cell>
          <cell r="U49">
            <v>-1.4327120426482907</v>
          </cell>
          <cell r="V49">
            <v>-1.9774381075558267</v>
          </cell>
          <cell r="W49">
            <v>-2.5162363025947343</v>
          </cell>
          <cell r="X49">
            <v>-2.9205787360947397</v>
          </cell>
          <cell r="Y49">
            <v>-4.0974326751945682</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-1.9860263555813162E-2</v>
          </cell>
          <cell r="CC49">
            <v>-3.5754342926054505E-2</v>
          </cell>
          <cell r="CD49">
            <v>1.4394712700266155E-2</v>
          </cell>
        </row>
        <row r="51">
          <cell r="A51" t="str">
            <v>x</v>
          </cell>
          <cell r="B51" t="str">
            <v>Free Cash Flow</v>
          </cell>
        </row>
        <row r="52">
          <cell r="B52" t="str">
            <v>EBITDA</v>
          </cell>
          <cell r="E52">
            <v>142.41999999999999</v>
          </cell>
          <cell r="F52">
            <v>189.21599999999995</v>
          </cell>
          <cell r="G52">
            <v>232.34399999999999</v>
          </cell>
          <cell r="H52">
            <v>213.48499999999996</v>
          </cell>
          <cell r="I52">
            <v>251.15800000000007</v>
          </cell>
          <cell r="J52">
            <v>286.02300000000002</v>
          </cell>
          <cell r="K52">
            <v>339.00300000000016</v>
          </cell>
          <cell r="L52">
            <v>399.01599999999991</v>
          </cell>
          <cell r="M52">
            <v>436.65799999999984</v>
          </cell>
          <cell r="N52">
            <v>463.5680000000001</v>
          </cell>
          <cell r="O52">
            <v>497.73899999999981</v>
          </cell>
          <cell r="P52">
            <v>540.57899999999984</v>
          </cell>
          <cell r="Q52">
            <v>552.01594821564015</v>
          </cell>
          <cell r="R52">
            <v>590.28517664154265</v>
          </cell>
          <cell r="S52">
            <v>651.86446400890509</v>
          </cell>
          <cell r="T52">
            <v>697.54178814057241</v>
          </cell>
          <cell r="U52">
            <v>731.37868288157279</v>
          </cell>
          <cell r="V52">
            <v>756.72723828189396</v>
          </cell>
          <cell r="W52">
            <v>774.61663095930373</v>
          </cell>
          <cell r="X52">
            <v>793.88270489838385</v>
          </cell>
          <cell r="Y52">
            <v>815.22245718400234</v>
          </cell>
          <cell r="AA52">
            <v>32.942999999999991</v>
          </cell>
          <cell r="AB52">
            <v>36.057999999999986</v>
          </cell>
          <cell r="AC52">
            <v>35.409999999999997</v>
          </cell>
          <cell r="AD52">
            <v>38.008999999999979</v>
          </cell>
          <cell r="AE52">
            <v>38.633000000000017</v>
          </cell>
          <cell r="AF52">
            <v>53.078000000000024</v>
          </cell>
          <cell r="AG52">
            <v>40.072999999999986</v>
          </cell>
          <cell r="AH52">
            <v>57.431999999999988</v>
          </cell>
          <cell r="AI52">
            <v>48.666000000000004</v>
          </cell>
          <cell r="AJ52">
            <v>50.156999999999996</v>
          </cell>
          <cell r="AK52">
            <v>74.635000000000019</v>
          </cell>
          <cell r="AL52">
            <v>58.88600000000001</v>
          </cell>
          <cell r="AM52">
            <v>52.02000000000001</v>
          </cell>
          <cell r="AN52">
            <v>55.22399999999999</v>
          </cell>
          <cell r="AO52">
            <v>51.605999999999995</v>
          </cell>
          <cell r="AP52">
            <v>54.63499999999997</v>
          </cell>
          <cell r="AQ52">
            <v>59.987999999999978</v>
          </cell>
          <cell r="AR52">
            <v>58.146999999999991</v>
          </cell>
          <cell r="AS52">
            <v>62.391000000000005</v>
          </cell>
          <cell r="AT52">
            <v>70.632000000000005</v>
          </cell>
          <cell r="AU52">
            <v>65.007999999999981</v>
          </cell>
          <cell r="AV52">
            <v>69.571000000000012</v>
          </cell>
          <cell r="AW52">
            <v>71.198999999999984</v>
          </cell>
          <cell r="AX52">
            <v>80.244999999999976</v>
          </cell>
          <cell r="AY52">
            <v>76.334000000000003</v>
          </cell>
          <cell r="AZ52">
            <v>82.977000000000032</v>
          </cell>
          <cell r="BA52">
            <v>86.431000000000026</v>
          </cell>
          <cell r="BB52">
            <v>93.260999999999996</v>
          </cell>
          <cell r="BC52">
            <v>93.367999999999981</v>
          </cell>
          <cell r="BD52">
            <v>98.769000000000005</v>
          </cell>
          <cell r="BE52">
            <v>102.62999999999997</v>
          </cell>
          <cell r="BF52">
            <v>104.24900000000001</v>
          </cell>
          <cell r="BG52">
            <v>104.44200000000004</v>
          </cell>
          <cell r="BH52">
            <v>108.92299999999999</v>
          </cell>
          <cell r="BI52">
            <v>109.426</v>
          </cell>
          <cell r="BJ52">
            <v>113.86700000000003</v>
          </cell>
          <cell r="BK52">
            <v>114.23100000000002</v>
          </cell>
          <cell r="BL52">
            <v>114.449</v>
          </cell>
          <cell r="BM52">
            <v>115.53199999999998</v>
          </cell>
          <cell r="BN52">
            <v>119.35600000000001</v>
          </cell>
          <cell r="BO52">
            <v>121.44599999999996</v>
          </cell>
          <cell r="BP52">
            <v>123.18400000000001</v>
          </cell>
          <cell r="BQ52">
            <v>125.05300000000003</v>
          </cell>
          <cell r="BR52">
            <v>128.05600000000007</v>
          </cell>
          <cell r="BS52">
            <v>131.76999999999992</v>
          </cell>
          <cell r="BT52">
            <v>133.98599999999993</v>
          </cell>
          <cell r="BU52">
            <v>136.53800000000001</v>
          </cell>
          <cell r="BV52">
            <v>138.28499999999997</v>
          </cell>
          <cell r="BW52">
            <v>136.02700000000002</v>
          </cell>
          <cell r="BX52">
            <v>137.32799999999992</v>
          </cell>
          <cell r="BY52">
            <v>138.50099999999998</v>
          </cell>
          <cell r="BZ52">
            <v>140.15994821564027</v>
          </cell>
          <cell r="CA52">
            <v>141.05875742731416</v>
          </cell>
          <cell r="CB52">
            <v>144.64133630212518</v>
          </cell>
          <cell r="CC52">
            <v>149.47619652197534</v>
          </cell>
          <cell r="CD52">
            <v>155.10888639012785</v>
          </cell>
        </row>
        <row r="53">
          <cell r="B53" t="str">
            <v>- Capex</v>
          </cell>
          <cell r="E53">
            <v>-425.452</v>
          </cell>
          <cell r="F53">
            <v>-104.831</v>
          </cell>
          <cell r="G53">
            <v>-129.697</v>
          </cell>
          <cell r="H53">
            <v>-167.82900000000001</v>
          </cell>
          <cell r="I53">
            <v>-161.001</v>
          </cell>
          <cell r="J53">
            <v>-192.26900000000001</v>
          </cell>
          <cell r="K53">
            <v>-257.90499999999997</v>
          </cell>
          <cell r="L53">
            <v>275.29700000000003</v>
          </cell>
          <cell r="M53">
            <v>274.90299999999996</v>
          </cell>
          <cell r="N53">
            <v>321.84399999999999</v>
          </cell>
          <cell r="O53">
            <v>342.73099999999999</v>
          </cell>
          <cell r="P53">
            <v>340.87</v>
          </cell>
          <cell r="Q53">
            <v>385.6907011099637</v>
          </cell>
          <cell r="R53">
            <v>428.39431061084821</v>
          </cell>
          <cell r="S53">
            <v>361.14374737335464</v>
          </cell>
          <cell r="T53">
            <v>364.60231016976275</v>
          </cell>
          <cell r="U53">
            <v>359.69443420405219</v>
          </cell>
          <cell r="V53">
            <v>349.10076121552783</v>
          </cell>
          <cell r="W53">
            <v>334.06647157274551</v>
          </cell>
          <cell r="X53">
            <v>318.82839554151957</v>
          </cell>
          <cell r="Y53">
            <v>205.97375912893676</v>
          </cell>
          <cell r="AA53">
            <v>95.608000000000004</v>
          </cell>
          <cell r="AB53">
            <v>147.12700000000001</v>
          </cell>
          <cell r="AC53">
            <v>94.400999999999996</v>
          </cell>
          <cell r="AD53">
            <v>88.316000000000003</v>
          </cell>
          <cell r="AE53">
            <v>36.869999999999997</v>
          </cell>
          <cell r="AF53">
            <v>30.121000000000002</v>
          </cell>
          <cell r="AG53">
            <v>25.105000000000004</v>
          </cell>
          <cell r="AH53">
            <v>12.734999999999999</v>
          </cell>
          <cell r="AI53">
            <v>22.373000000000001</v>
          </cell>
          <cell r="AJ53">
            <v>27.885000000000002</v>
          </cell>
          <cell r="AK53">
            <v>34.529000000000003</v>
          </cell>
          <cell r="AL53">
            <v>44.91</v>
          </cell>
          <cell r="AM53">
            <v>29.05</v>
          </cell>
          <cell r="AN53">
            <v>42.517000000000003</v>
          </cell>
          <cell r="AO53">
            <v>46.88</v>
          </cell>
          <cell r="AP53">
            <v>49.381999999999998</v>
          </cell>
          <cell r="AQ53">
            <v>37.81</v>
          </cell>
          <cell r="AR53">
            <v>42.468000000000004</v>
          </cell>
          <cell r="AS53">
            <v>39.67</v>
          </cell>
          <cell r="AT53">
            <v>41.052999999999997</v>
          </cell>
          <cell r="AU53">
            <v>37.945999999999998</v>
          </cell>
          <cell r="AV53">
            <v>50.378</v>
          </cell>
          <cell r="AW53">
            <v>48.170999999999999</v>
          </cell>
          <cell r="AX53">
            <v>55.774000000000001</v>
          </cell>
          <cell r="AY53">
            <v>55.103999999999999</v>
          </cell>
          <cell r="AZ53">
            <v>78.126999999999995</v>
          </cell>
          <cell r="BA53">
            <v>58.633000000000003</v>
          </cell>
          <cell r="BB53">
            <v>66.040999999999997</v>
          </cell>
          <cell r="BC53">
            <v>59.637</v>
          </cell>
          <cell r="BD53">
            <v>66.844999999999999</v>
          </cell>
          <cell r="BE53">
            <v>75.947000000000003</v>
          </cell>
          <cell r="BF53">
            <v>72.867999999999995</v>
          </cell>
          <cell r="BG53">
            <v>73.424999999999997</v>
          </cell>
          <cell r="BH53">
            <v>69.2</v>
          </cell>
          <cell r="BI53">
            <v>59.930999999999997</v>
          </cell>
          <cell r="BJ53">
            <v>72.346999999999994</v>
          </cell>
          <cell r="BK53">
            <v>80.929000000000002</v>
          </cell>
          <cell r="BL53">
            <v>84.988</v>
          </cell>
          <cell r="BM53">
            <v>77.808999999999997</v>
          </cell>
          <cell r="BN53">
            <v>78.117999999999995</v>
          </cell>
          <cell r="BO53">
            <v>79.275999999999996</v>
          </cell>
          <cell r="BP53">
            <v>90.861000000000004</v>
          </cell>
          <cell r="BQ53">
            <v>85.956999999999994</v>
          </cell>
          <cell r="BR53">
            <v>86.637</v>
          </cell>
          <cell r="BS53">
            <v>79.108999999999995</v>
          </cell>
          <cell r="BT53">
            <v>80.792000000000002</v>
          </cell>
          <cell r="BU53">
            <v>83.9</v>
          </cell>
          <cell r="BV53">
            <v>97.069000000000003</v>
          </cell>
          <cell r="BW53">
            <v>90.852999999999994</v>
          </cell>
          <cell r="BX53">
            <v>100.958</v>
          </cell>
          <cell r="BY53">
            <v>102.03700000000001</v>
          </cell>
          <cell r="BZ53">
            <v>91.842701109963727</v>
          </cell>
          <cell r="CA53">
            <v>109.75753459762197</v>
          </cell>
          <cell r="CB53">
            <v>108.79183604386209</v>
          </cell>
          <cell r="CC53">
            <v>105.86132898156896</v>
          </cell>
          <cell r="CD53">
            <v>103.98361098779522</v>
          </cell>
        </row>
        <row r="54">
          <cell r="B54" t="str">
            <v>- Net Interest Expense</v>
          </cell>
          <cell r="E54">
            <v>-90.563000000000017</v>
          </cell>
          <cell r="F54">
            <v>-99.483000000000004</v>
          </cell>
          <cell r="G54">
            <v>-97.783999999999992</v>
          </cell>
          <cell r="H54">
            <v>-115.90800000000002</v>
          </cell>
          <cell r="I54">
            <v>-121.042</v>
          </cell>
          <cell r="J54">
            <v>-78.183999999999997</v>
          </cell>
          <cell r="K54">
            <v>-73.795999999999992</v>
          </cell>
          <cell r="L54">
            <v>87.027999999999992</v>
          </cell>
          <cell r="M54">
            <v>83.641000000000005</v>
          </cell>
          <cell r="N54">
            <v>80.343999999999994</v>
          </cell>
          <cell r="O54">
            <v>87.173000000000016</v>
          </cell>
          <cell r="P54">
            <v>92.963999999999999</v>
          </cell>
          <cell r="Q54">
            <v>94.281170112104746</v>
          </cell>
          <cell r="R54">
            <v>103.73795934587271</v>
          </cell>
          <cell r="S54">
            <v>103.68878248029404</v>
          </cell>
          <cell r="T54">
            <v>103.66297996216558</v>
          </cell>
          <cell r="U54">
            <v>103.60470510093835</v>
          </cell>
          <cell r="V54">
            <v>103.45426793499028</v>
          </cell>
          <cell r="W54">
            <v>103.19363899566132</v>
          </cell>
          <cell r="X54">
            <v>102.91025019152038</v>
          </cell>
          <cell r="Y54">
            <v>102.52631247104077</v>
          </cell>
          <cell r="AA54">
            <v>22.262</v>
          </cell>
          <cell r="AB54">
            <v>20.419</v>
          </cell>
          <cell r="AC54">
            <v>23.185000000000002</v>
          </cell>
          <cell r="AD54">
            <v>24.697000000000003</v>
          </cell>
          <cell r="AE54">
            <v>24.277999999999999</v>
          </cell>
          <cell r="AF54">
            <v>24.597000000000001</v>
          </cell>
          <cell r="AG54">
            <v>25.243000000000002</v>
          </cell>
          <cell r="AH54">
            <v>25.365000000000002</v>
          </cell>
          <cell r="AI54">
            <v>24.715</v>
          </cell>
          <cell r="AJ54">
            <v>24.574999999999999</v>
          </cell>
          <cell r="AK54">
            <v>24.582000000000001</v>
          </cell>
          <cell r="AL54">
            <v>23.911999999999999</v>
          </cell>
          <cell r="AM54">
            <v>34.503</v>
          </cell>
          <cell r="AN54">
            <v>27.587</v>
          </cell>
          <cell r="AO54">
            <v>27.68</v>
          </cell>
          <cell r="AP54">
            <v>26.138000000000002</v>
          </cell>
          <cell r="AQ54">
            <v>37.075999999999993</v>
          </cell>
          <cell r="AR54">
            <v>26.597999999999999</v>
          </cell>
          <cell r="AS54">
            <v>26.236999999999998</v>
          </cell>
          <cell r="AT54">
            <v>31.130999999999997</v>
          </cell>
          <cell r="AU54">
            <v>24.298999999999999</v>
          </cell>
          <cell r="AV54">
            <v>18.373999999999999</v>
          </cell>
          <cell r="AW54">
            <v>17.005000000000003</v>
          </cell>
          <cell r="AX54">
            <v>18.506</v>
          </cell>
          <cell r="AY54">
            <v>18.923000000000002</v>
          </cell>
          <cell r="AZ54">
            <v>18.161999999999999</v>
          </cell>
          <cell r="BA54">
            <v>18.095000000000002</v>
          </cell>
          <cell r="BB54">
            <v>18.616</v>
          </cell>
          <cell r="BC54">
            <v>21.82</v>
          </cell>
          <cell r="BD54">
            <v>21.228999999999999</v>
          </cell>
          <cell r="BE54">
            <v>21.24</v>
          </cell>
          <cell r="BF54">
            <v>22.739000000000001</v>
          </cell>
          <cell r="BG54">
            <v>21.328000000000003</v>
          </cell>
          <cell r="BH54">
            <v>20.946000000000002</v>
          </cell>
          <cell r="BI54">
            <v>20.616</v>
          </cell>
          <cell r="BJ54">
            <v>20.750999999999998</v>
          </cell>
          <cell r="BK54">
            <v>20.884000000000004</v>
          </cell>
          <cell r="BL54">
            <v>19.576999999999998</v>
          </cell>
          <cell r="BM54">
            <v>19.425000000000001</v>
          </cell>
          <cell r="BN54">
            <v>20.457999999999998</v>
          </cell>
          <cell r="BO54">
            <v>21.829000000000001</v>
          </cell>
          <cell r="BP54">
            <v>21.671000000000003</v>
          </cell>
          <cell r="BQ54">
            <v>21.803999999999998</v>
          </cell>
          <cell r="BR54">
            <v>21.869</v>
          </cell>
          <cell r="BS54">
            <v>21.477</v>
          </cell>
          <cell r="BT54">
            <v>21.766999999999999</v>
          </cell>
          <cell r="BU54">
            <v>21.741</v>
          </cell>
          <cell r="BV54">
            <v>27.978999999999999</v>
          </cell>
          <cell r="BW54">
            <v>28.062999999999999</v>
          </cell>
          <cell r="BX54">
            <v>21.370999999999999</v>
          </cell>
          <cell r="BY54">
            <v>20.172000000000001</v>
          </cell>
          <cell r="BZ54">
            <v>24.675170112104745</v>
          </cell>
          <cell r="CA54">
            <v>25.93236773791331</v>
          </cell>
          <cell r="CB54">
            <v>25.935580728831937</v>
          </cell>
          <cell r="CC54">
            <v>25.934525033244039</v>
          </cell>
          <cell r="CD54">
            <v>25.935485845883431</v>
          </cell>
        </row>
        <row r="55">
          <cell r="B55" t="str">
            <v>FCF</v>
          </cell>
          <cell r="E55">
            <v>-373.59500000000003</v>
          </cell>
          <cell r="F55">
            <v>-15.098000000000056</v>
          </cell>
          <cell r="G55">
            <v>4.8629999999999995</v>
          </cell>
          <cell r="H55">
            <v>-70.252000000000066</v>
          </cell>
          <cell r="I55">
            <v>-30.884999999999934</v>
          </cell>
          <cell r="J55">
            <v>15.570000000000022</v>
          </cell>
          <cell r="K55">
            <v>7.3020000000001914</v>
          </cell>
          <cell r="L55">
            <v>36.69099999999986</v>
          </cell>
          <cell r="M55">
            <v>78.113999999999862</v>
          </cell>
          <cell r="N55">
            <v>61.380000000000109</v>
          </cell>
          <cell r="O55">
            <v>67.834999999999809</v>
          </cell>
          <cell r="P55">
            <v>106.74499999999983</v>
          </cell>
          <cell r="Q55">
            <v>72.044076993571707</v>
          </cell>
          <cell r="R55">
            <v>58.152906684821687</v>
          </cell>
          <cell r="S55">
            <v>187.03193415525641</v>
          </cell>
          <cell r="T55">
            <v>229.27649800864407</v>
          </cell>
          <cell r="U55">
            <v>268.07954357658224</v>
          </cell>
          <cell r="V55">
            <v>304.17220913137584</v>
          </cell>
          <cell r="W55">
            <v>337.35652039089689</v>
          </cell>
          <cell r="X55">
            <v>372.14405916534389</v>
          </cell>
          <cell r="Y55">
            <v>506.72238558402478</v>
          </cell>
          <cell r="AA55">
            <v>-84.927000000000021</v>
          </cell>
          <cell r="AB55">
            <v>-131.48800000000003</v>
          </cell>
          <cell r="AC55">
            <v>-82.176000000000002</v>
          </cell>
          <cell r="AD55">
            <v>-75.004000000000019</v>
          </cell>
          <cell r="AE55">
            <v>-22.514999999999979</v>
          </cell>
          <cell r="AF55">
            <v>-1.6399999999999793</v>
          </cell>
          <cell r="AG55">
            <v>-10.27500000000002</v>
          </cell>
          <cell r="AH55">
            <v>19.331999999999987</v>
          </cell>
          <cell r="AI55">
            <v>1.578000000000003</v>
          </cell>
          <cell r="AJ55">
            <v>-2.3030000000000044</v>
          </cell>
          <cell r="AK55">
            <v>15.524000000000015</v>
          </cell>
          <cell r="AL55">
            <v>-9.9359999999999928</v>
          </cell>
          <cell r="AM55">
            <v>-11.532999999999987</v>
          </cell>
          <cell r="AN55">
            <v>-14.88000000000001</v>
          </cell>
          <cell r="AO55">
            <v>-22.954000000000008</v>
          </cell>
          <cell r="AP55">
            <v>-20.885000000000026</v>
          </cell>
          <cell r="AQ55">
            <v>-14.898000000000017</v>
          </cell>
          <cell r="AR55">
            <v>-10.919000000000011</v>
          </cell>
          <cell r="AS55">
            <v>-3.5159999999999911</v>
          </cell>
          <cell r="AT55">
            <v>-1.5519999999999925</v>
          </cell>
          <cell r="AU55">
            <v>2.7629999999999839</v>
          </cell>
          <cell r="AV55">
            <v>0.81900000000001683</v>
          </cell>
          <cell r="AW55">
            <v>6.0229999999999819</v>
          </cell>
          <cell r="AX55">
            <v>5.964999999999975</v>
          </cell>
          <cell r="AY55">
            <v>2.3070000000000022</v>
          </cell>
          <cell r="AZ55">
            <v>-13.311999999999955</v>
          </cell>
          <cell r="BA55">
            <v>9.7030000000000172</v>
          </cell>
          <cell r="BB55">
            <v>8.6039999999999992</v>
          </cell>
          <cell r="BC55">
            <v>11.910999999999987</v>
          </cell>
          <cell r="BD55">
            <v>10.695000000000007</v>
          </cell>
          <cell r="BE55">
            <v>5.4429999999999694</v>
          </cell>
          <cell r="BF55">
            <v>8.6420000000000101</v>
          </cell>
          <cell r="BG55">
            <v>9.6890000000000356</v>
          </cell>
          <cell r="BH55">
            <v>18.776999999999987</v>
          </cell>
          <cell r="BI55">
            <v>28.879000000000005</v>
          </cell>
          <cell r="BJ55">
            <v>20.769000000000048</v>
          </cell>
          <cell r="BK55">
            <v>12.418000000000021</v>
          </cell>
          <cell r="BL55">
            <v>9.8840000000000003</v>
          </cell>
          <cell r="BM55">
            <v>18.297999999999988</v>
          </cell>
          <cell r="BN55">
            <v>20.780000000000015</v>
          </cell>
          <cell r="BO55">
            <v>20.340999999999966</v>
          </cell>
          <cell r="BP55">
            <v>10.652000000000001</v>
          </cell>
          <cell r="BQ55">
            <v>17.29200000000003</v>
          </cell>
          <cell r="BR55">
            <v>19.550000000000068</v>
          </cell>
          <cell r="BS55">
            <v>31.183999999999926</v>
          </cell>
          <cell r="BT55">
            <v>31.426999999999936</v>
          </cell>
          <cell r="BU55">
            <v>30.897000000000006</v>
          </cell>
          <cell r="BV55">
            <v>13.236999999999966</v>
          </cell>
          <cell r="BW55">
            <v>17.111000000000018</v>
          </cell>
          <cell r="BX55">
            <v>14.998999999999924</v>
          </cell>
          <cell r="BY55">
            <v>16.291999999999973</v>
          </cell>
          <cell r="BZ55">
            <v>23.642076993571806</v>
          </cell>
          <cell r="CA55">
            <v>5.3688550917788689</v>
          </cell>
          <cell r="CB55">
            <v>9.9139195294311548</v>
          </cell>
          <cell r="CC55">
            <v>17.680342507162351</v>
          </cell>
          <cell r="CD55">
            <v>25.189789556449199</v>
          </cell>
        </row>
        <row r="57">
          <cell r="B57" t="str">
            <v>OCF</v>
          </cell>
          <cell r="E57">
            <v>197.23399999999992</v>
          </cell>
          <cell r="F57">
            <v>61.566000000000059</v>
          </cell>
          <cell r="G57">
            <v>123.62099999999998</v>
          </cell>
          <cell r="H57">
            <v>86.540999999999968</v>
          </cell>
          <cell r="I57">
            <v>128.42000000000002</v>
          </cell>
          <cell r="J57">
            <v>174.55799999999999</v>
          </cell>
          <cell r="K57">
            <v>264.20700000000005</v>
          </cell>
          <cell r="L57">
            <v>305.52</v>
          </cell>
          <cell r="M57">
            <v>390.47800000000012</v>
          </cell>
          <cell r="N57">
            <v>385.75200000000001</v>
          </cell>
          <cell r="O57">
            <v>403.58800000000008</v>
          </cell>
          <cell r="P57">
            <v>463.67599999999982</v>
          </cell>
          <cell r="Q57">
            <v>431.01725269099455</v>
          </cell>
          <cell r="R57">
            <v>453.09015560232274</v>
          </cell>
          <cell r="S57">
            <v>469.1486196064281</v>
          </cell>
          <cell r="T57">
            <v>545.50496487804992</v>
          </cell>
          <cell r="U57">
            <v>572.5365833886259</v>
          </cell>
          <cell r="V57">
            <v>603.56048905603586</v>
          </cell>
          <cell r="W57">
            <v>598.17917459912064</v>
          </cell>
          <cell r="X57">
            <v>605.29662094636615</v>
          </cell>
          <cell r="Y57">
            <v>591.81404693335082</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39.457000000000008</v>
          </cell>
          <cell r="AZ57">
            <v>70.534000000000034</v>
          </cell>
          <cell r="BA57">
            <v>58.365000000000016</v>
          </cell>
          <cell r="BB57">
            <v>95.850999999999999</v>
          </cell>
          <cell r="BC57">
            <v>58.873999999999981</v>
          </cell>
          <cell r="BD57">
            <v>71.779000000000011</v>
          </cell>
          <cell r="BE57">
            <v>79.390999999999977</v>
          </cell>
          <cell r="BF57">
            <v>95.476000000000028</v>
          </cell>
          <cell r="BG57">
            <v>63.826000000000029</v>
          </cell>
          <cell r="BH57">
            <v>106.60199999999999</v>
          </cell>
          <cell r="BI57">
            <v>107.77500000000001</v>
          </cell>
          <cell r="BJ57">
            <v>112.27500000000003</v>
          </cell>
          <cell r="BK57">
            <v>97.26100000000001</v>
          </cell>
          <cell r="BL57">
            <v>92.877999999999943</v>
          </cell>
          <cell r="BM57">
            <v>105.43299999999999</v>
          </cell>
          <cell r="BN57">
            <v>90.180000000000064</v>
          </cell>
          <cell r="BO57">
            <v>99.049999999999983</v>
          </cell>
          <cell r="BP57">
            <v>116.80800000000001</v>
          </cell>
          <cell r="BQ57">
            <v>75.925000000000026</v>
          </cell>
          <cell r="BR57">
            <v>111.80500000000006</v>
          </cell>
          <cell r="BS57">
            <v>94.360999999999905</v>
          </cell>
          <cell r="BT57">
            <v>114.23799999999993</v>
          </cell>
          <cell r="BU57">
            <v>111.18500000000002</v>
          </cell>
          <cell r="BV57">
            <v>143.892</v>
          </cell>
          <cell r="BW57">
            <v>81.600000000000037</v>
          </cell>
          <cell r="BX57">
            <v>124.95999999999991</v>
          </cell>
          <cell r="BY57">
            <v>123.90599999999998</v>
          </cell>
          <cell r="BZ57">
            <v>100.55125269099459</v>
          </cell>
          <cell r="CA57">
            <v>97.467031363357947</v>
          </cell>
          <cell r="CB57">
            <v>112.42001210579502</v>
          </cell>
          <cell r="CC57">
            <v>126.5483569902384</v>
          </cell>
          <cell r="CD57">
            <v>116.65475514293144</v>
          </cell>
        </row>
        <row r="58">
          <cell r="B58" t="str">
            <v>- Capex</v>
          </cell>
          <cell r="E58">
            <v>425.452</v>
          </cell>
          <cell r="F58">
            <v>104.831</v>
          </cell>
          <cell r="G58">
            <v>129.697</v>
          </cell>
          <cell r="H58">
            <v>167.82900000000001</v>
          </cell>
          <cell r="I58">
            <v>161.001</v>
          </cell>
          <cell r="J58">
            <v>192.26900000000001</v>
          </cell>
          <cell r="K58">
            <v>257.90499999999997</v>
          </cell>
          <cell r="L58">
            <v>275.29700000000003</v>
          </cell>
          <cell r="M58">
            <v>274.90299999999996</v>
          </cell>
          <cell r="N58">
            <v>321.84399999999999</v>
          </cell>
          <cell r="O58">
            <v>342.73099999999999</v>
          </cell>
          <cell r="P58">
            <v>340.87</v>
          </cell>
          <cell r="Q58">
            <v>385.6907011099637</v>
          </cell>
          <cell r="R58">
            <v>428.39431061084821</v>
          </cell>
          <cell r="S58">
            <v>361.14374737335464</v>
          </cell>
          <cell r="T58">
            <v>364.60231016976275</v>
          </cell>
          <cell r="U58">
            <v>359.69443420405219</v>
          </cell>
          <cell r="V58">
            <v>349.10076121552783</v>
          </cell>
          <cell r="W58">
            <v>334.06647157274551</v>
          </cell>
          <cell r="X58">
            <v>318.82839554151957</v>
          </cell>
          <cell r="Y58">
            <v>205.97375912893676</v>
          </cell>
          <cell r="AA58">
            <v>95.608000000000004</v>
          </cell>
          <cell r="AB58">
            <v>147.12700000000001</v>
          </cell>
          <cell r="AC58">
            <v>94.400999999999996</v>
          </cell>
          <cell r="AD58">
            <v>88.316000000000003</v>
          </cell>
          <cell r="AE58">
            <v>36.869999999999997</v>
          </cell>
          <cell r="AF58">
            <v>30.121000000000002</v>
          </cell>
          <cell r="AG58">
            <v>25.105000000000004</v>
          </cell>
          <cell r="AH58">
            <v>12.734999999999999</v>
          </cell>
          <cell r="AI58">
            <v>22.373000000000001</v>
          </cell>
          <cell r="AJ58">
            <v>27.885000000000002</v>
          </cell>
          <cell r="AK58">
            <v>34.529000000000003</v>
          </cell>
          <cell r="AL58">
            <v>44.91</v>
          </cell>
          <cell r="AM58">
            <v>29.05</v>
          </cell>
          <cell r="AN58">
            <v>42.517000000000003</v>
          </cell>
          <cell r="AO58">
            <v>46.88</v>
          </cell>
          <cell r="AP58">
            <v>49.381999999999998</v>
          </cell>
          <cell r="AQ58">
            <v>37.81</v>
          </cell>
          <cell r="AR58">
            <v>42.468000000000004</v>
          </cell>
          <cell r="AS58">
            <v>39.67</v>
          </cell>
          <cell r="AT58">
            <v>41.052999999999997</v>
          </cell>
          <cell r="AU58">
            <v>37.945999999999998</v>
          </cell>
          <cell r="AV58">
            <v>50.378</v>
          </cell>
          <cell r="AW58">
            <v>48.170999999999999</v>
          </cell>
          <cell r="AX58">
            <v>55.774000000000001</v>
          </cell>
          <cell r="AY58">
            <v>55.103999999999999</v>
          </cell>
          <cell r="AZ58">
            <v>78.126999999999995</v>
          </cell>
          <cell r="BA58">
            <v>58.633000000000003</v>
          </cell>
          <cell r="BB58">
            <v>66.040999999999997</v>
          </cell>
          <cell r="BC58">
            <v>59.637</v>
          </cell>
          <cell r="BD58">
            <v>66.844999999999999</v>
          </cell>
          <cell r="BE58">
            <v>75.947000000000003</v>
          </cell>
          <cell r="BF58">
            <v>72.867999999999995</v>
          </cell>
          <cell r="BG58">
            <v>73.424999999999997</v>
          </cell>
          <cell r="BH58">
            <v>69.2</v>
          </cell>
          <cell r="BI58">
            <v>59.930999999999997</v>
          </cell>
          <cell r="BJ58">
            <v>72.346999999999994</v>
          </cell>
          <cell r="BK58">
            <v>80.929000000000002</v>
          </cell>
          <cell r="BL58">
            <v>84.988</v>
          </cell>
          <cell r="BM58">
            <v>77.808999999999997</v>
          </cell>
          <cell r="BN58">
            <v>78.117999999999995</v>
          </cell>
          <cell r="BO58">
            <v>79.275999999999996</v>
          </cell>
          <cell r="BP58">
            <v>90.326999999999998</v>
          </cell>
          <cell r="BQ58">
            <v>84.491</v>
          </cell>
          <cell r="BR58">
            <v>86.637</v>
          </cell>
          <cell r="BS58">
            <v>76.783000000000001</v>
          </cell>
          <cell r="BT58">
            <v>80.792000000000002</v>
          </cell>
          <cell r="BU58">
            <v>83.474000000000004</v>
          </cell>
          <cell r="BV58">
            <v>97.069000000000003</v>
          </cell>
          <cell r="BW58">
            <v>87.8</v>
          </cell>
          <cell r="BX58">
            <v>99.709000000000003</v>
          </cell>
          <cell r="BY58">
            <v>97.55</v>
          </cell>
          <cell r="BZ58">
            <v>91.842701109963727</v>
          </cell>
          <cell r="CA58">
            <v>109.75753459762197</v>
          </cell>
          <cell r="CB58">
            <v>108.79183604386209</v>
          </cell>
          <cell r="CC58">
            <v>105.86132898156896</v>
          </cell>
          <cell r="CD58">
            <v>103.98361098779522</v>
          </cell>
        </row>
        <row r="59">
          <cell r="B59" t="str">
            <v>FCF</v>
          </cell>
          <cell r="E59">
            <v>-228.21800000000007</v>
          </cell>
          <cell r="F59">
            <v>-43.264999999999944</v>
          </cell>
          <cell r="G59">
            <v>-6.0760000000000218</v>
          </cell>
          <cell r="H59">
            <v>-81.288000000000039</v>
          </cell>
          <cell r="I59">
            <v>-32.580999999999989</v>
          </cell>
          <cell r="J59">
            <v>-17.711000000000013</v>
          </cell>
          <cell r="K59">
            <v>6.3020000000000778</v>
          </cell>
          <cell r="L59">
            <v>30.222999999999956</v>
          </cell>
          <cell r="M59">
            <v>115.57500000000016</v>
          </cell>
          <cell r="N59">
            <v>63.908000000000015</v>
          </cell>
          <cell r="O59">
            <v>60.857000000000085</v>
          </cell>
          <cell r="P59">
            <v>122.80599999999981</v>
          </cell>
          <cell r="Q59">
            <v>45.326551581030856</v>
          </cell>
          <cell r="R59">
            <v>24.69584499147453</v>
          </cell>
          <cell r="S59">
            <v>108.00487223307346</v>
          </cell>
          <cell r="T59">
            <v>180.90265470828717</v>
          </cell>
          <cell r="U59">
            <v>212.84214918457371</v>
          </cell>
          <cell r="V59">
            <v>254.45972784050804</v>
          </cell>
          <cell r="W59">
            <v>264.11270302637513</v>
          </cell>
          <cell r="X59">
            <v>286.46822540484658</v>
          </cell>
          <cell r="Y59">
            <v>385.84028780441406</v>
          </cell>
          <cell r="AA59">
            <v>-95.608000000000004</v>
          </cell>
          <cell r="AB59">
            <v>-147.12700000000001</v>
          </cell>
          <cell r="AC59">
            <v>-94.400999999999996</v>
          </cell>
          <cell r="AD59">
            <v>-88.316000000000003</v>
          </cell>
          <cell r="AE59">
            <v>-36.869999999999997</v>
          </cell>
          <cell r="AF59">
            <v>-30.121000000000002</v>
          </cell>
          <cell r="AG59">
            <v>-25.105000000000004</v>
          </cell>
          <cell r="AH59">
            <v>-12.734999999999999</v>
          </cell>
          <cell r="AI59">
            <v>-22.373000000000001</v>
          </cell>
          <cell r="AJ59">
            <v>-27.885000000000002</v>
          </cell>
          <cell r="AK59">
            <v>-34.529000000000003</v>
          </cell>
          <cell r="AL59">
            <v>-44.91</v>
          </cell>
          <cell r="AM59">
            <v>-29.05</v>
          </cell>
          <cell r="AN59">
            <v>-42.517000000000003</v>
          </cell>
          <cell r="AO59">
            <v>-46.88</v>
          </cell>
          <cell r="AP59">
            <v>-49.381999999999998</v>
          </cell>
          <cell r="AQ59">
            <v>-37.81</v>
          </cell>
          <cell r="AR59">
            <v>-42.468000000000004</v>
          </cell>
          <cell r="AS59">
            <v>-39.67</v>
          </cell>
          <cell r="AT59">
            <v>-41.052999999999997</v>
          </cell>
          <cell r="AU59">
            <v>-37.945999999999998</v>
          </cell>
          <cell r="AV59">
            <v>-50.378</v>
          </cell>
          <cell r="AW59">
            <v>-48.170999999999999</v>
          </cell>
          <cell r="AX59">
            <v>-55.774000000000001</v>
          </cell>
          <cell r="AY59">
            <v>-15.646999999999991</v>
          </cell>
          <cell r="AZ59">
            <v>-7.5929999999999609</v>
          </cell>
          <cell r="BA59">
            <v>-0.26799999999998647</v>
          </cell>
          <cell r="BB59">
            <v>29.810000000000002</v>
          </cell>
          <cell r="BC59">
            <v>-0.76300000000001944</v>
          </cell>
          <cell r="BD59">
            <v>4.9340000000000117</v>
          </cell>
          <cell r="BE59">
            <v>3.4439999999999742</v>
          </cell>
          <cell r="BF59">
            <v>22.608000000000033</v>
          </cell>
          <cell r="BG59">
            <v>-9.5989999999999682</v>
          </cell>
          <cell r="BH59">
            <v>37.401999999999987</v>
          </cell>
          <cell r="BI59">
            <v>47.844000000000008</v>
          </cell>
          <cell r="BJ59">
            <v>39.92800000000004</v>
          </cell>
          <cell r="BK59">
            <v>16.332000000000008</v>
          </cell>
          <cell r="BL59">
            <v>7.8899999999999437</v>
          </cell>
          <cell r="BM59">
            <v>27.623999999999995</v>
          </cell>
          <cell r="BN59">
            <v>12.062000000000069</v>
          </cell>
          <cell r="BO59">
            <v>19.773999999999987</v>
          </cell>
          <cell r="BP59">
            <v>26.481000000000009</v>
          </cell>
          <cell r="BQ59">
            <v>-8.5659999999999741</v>
          </cell>
          <cell r="BR59">
            <v>25.168000000000063</v>
          </cell>
          <cell r="BS59">
            <v>17.577999999999903</v>
          </cell>
          <cell r="BT59">
            <v>33.445999999999927</v>
          </cell>
          <cell r="BU59">
            <v>27.711000000000013</v>
          </cell>
          <cell r="BV59">
            <v>46.822999999999993</v>
          </cell>
          <cell r="BW59">
            <v>-6.1999999999999602</v>
          </cell>
          <cell r="BX59">
            <v>25.250999999999905</v>
          </cell>
          <cell r="BY59">
            <v>26.35599999999998</v>
          </cell>
          <cell r="BZ59">
            <v>8.7085515810308607</v>
          </cell>
          <cell r="CA59">
            <v>-12.290503234264023</v>
          </cell>
          <cell r="CB59">
            <v>3.6281760619329333</v>
          </cell>
          <cell r="CC59">
            <v>20.687028008669444</v>
          </cell>
          <cell r="CD59">
            <v>12.671144155136219</v>
          </cell>
        </row>
        <row r="61">
          <cell r="B61" t="str">
            <v>EBITDA</v>
          </cell>
          <cell r="E61">
            <v>142.41999999999999</v>
          </cell>
          <cell r="F61">
            <v>189.21599999999995</v>
          </cell>
          <cell r="G61">
            <v>232.34399999999999</v>
          </cell>
          <cell r="H61">
            <v>213.48499999999996</v>
          </cell>
          <cell r="I61">
            <v>251.15800000000007</v>
          </cell>
          <cell r="J61">
            <v>286.02300000000002</v>
          </cell>
          <cell r="K61">
            <v>339.00300000000016</v>
          </cell>
          <cell r="L61">
            <v>399.01599999999991</v>
          </cell>
          <cell r="M61">
            <v>436.65799999999984</v>
          </cell>
          <cell r="N61">
            <v>463.5680000000001</v>
          </cell>
          <cell r="O61">
            <v>497.73899999999981</v>
          </cell>
          <cell r="P61">
            <v>540.57899999999984</v>
          </cell>
          <cell r="Q61">
            <v>552.01594821564015</v>
          </cell>
          <cell r="R61">
            <v>590.28517664154265</v>
          </cell>
          <cell r="S61">
            <v>651.86446400890509</v>
          </cell>
          <cell r="T61">
            <v>697.54178814057241</v>
          </cell>
          <cell r="U61">
            <v>731.37868288157279</v>
          </cell>
          <cell r="V61">
            <v>756.72723828189396</v>
          </cell>
          <cell r="W61">
            <v>774.61663095930373</v>
          </cell>
          <cell r="X61">
            <v>793.88270489838385</v>
          </cell>
          <cell r="Y61">
            <v>815.22245718400234</v>
          </cell>
          <cell r="AA61">
            <v>32.942999999999991</v>
          </cell>
          <cell r="AB61">
            <v>36.057999999999986</v>
          </cell>
          <cell r="AC61">
            <v>35.409999999999997</v>
          </cell>
          <cell r="AD61">
            <v>38.008999999999979</v>
          </cell>
          <cell r="AE61">
            <v>38.633000000000017</v>
          </cell>
          <cell r="AF61">
            <v>53.078000000000024</v>
          </cell>
          <cell r="AG61">
            <v>40.072999999999986</v>
          </cell>
          <cell r="AH61">
            <v>57.431999999999988</v>
          </cell>
          <cell r="AI61">
            <v>48.666000000000004</v>
          </cell>
          <cell r="AJ61">
            <v>50.156999999999996</v>
          </cell>
          <cell r="AK61">
            <v>74.635000000000019</v>
          </cell>
          <cell r="AL61">
            <v>58.88600000000001</v>
          </cell>
          <cell r="AM61">
            <v>52.02000000000001</v>
          </cell>
          <cell r="AN61">
            <v>55.22399999999999</v>
          </cell>
          <cell r="AO61">
            <v>51.605999999999995</v>
          </cell>
          <cell r="AP61">
            <v>54.63499999999997</v>
          </cell>
          <cell r="AQ61">
            <v>59.987999999999978</v>
          </cell>
          <cell r="AR61">
            <v>58.146999999999991</v>
          </cell>
          <cell r="AS61">
            <v>62.391000000000005</v>
          </cell>
          <cell r="AT61">
            <v>70.632000000000005</v>
          </cell>
          <cell r="AU61">
            <v>65.007999999999981</v>
          </cell>
          <cell r="AV61">
            <v>69.571000000000012</v>
          </cell>
          <cell r="AW61">
            <v>71.198999999999984</v>
          </cell>
          <cell r="AX61">
            <v>80.244999999999976</v>
          </cell>
          <cell r="AY61">
            <v>76.334000000000003</v>
          </cell>
          <cell r="AZ61">
            <v>82.977000000000032</v>
          </cell>
          <cell r="BA61">
            <v>86.431000000000026</v>
          </cell>
          <cell r="BB61">
            <v>93.260999999999996</v>
          </cell>
          <cell r="BC61">
            <v>93.367999999999981</v>
          </cell>
          <cell r="BD61">
            <v>98.769000000000005</v>
          </cell>
          <cell r="BE61">
            <v>102.62999999999997</v>
          </cell>
          <cell r="BF61">
            <v>104.24900000000001</v>
          </cell>
          <cell r="BG61">
            <v>104.44200000000004</v>
          </cell>
          <cell r="BH61">
            <v>108.92299999999999</v>
          </cell>
          <cell r="BI61">
            <v>109.426</v>
          </cell>
          <cell r="BJ61">
            <v>113.86700000000003</v>
          </cell>
          <cell r="BK61">
            <v>114.23100000000002</v>
          </cell>
          <cell r="BL61">
            <v>114.449</v>
          </cell>
          <cell r="BM61">
            <v>115.53199999999998</v>
          </cell>
          <cell r="BN61">
            <v>119.35600000000001</v>
          </cell>
          <cell r="BO61">
            <v>121.44599999999996</v>
          </cell>
          <cell r="BP61">
            <v>123.18400000000001</v>
          </cell>
          <cell r="BQ61">
            <v>125.05300000000003</v>
          </cell>
          <cell r="BR61">
            <v>128.05600000000007</v>
          </cell>
          <cell r="BS61">
            <v>131.76999999999992</v>
          </cell>
          <cell r="BT61">
            <v>133.98599999999993</v>
          </cell>
          <cell r="BU61">
            <v>136.53800000000001</v>
          </cell>
          <cell r="BV61">
            <v>138.28499999999997</v>
          </cell>
          <cell r="BW61">
            <v>136.02700000000002</v>
          </cell>
          <cell r="BX61">
            <v>137.32799999999992</v>
          </cell>
          <cell r="BY61">
            <v>138.50099999999998</v>
          </cell>
          <cell r="BZ61">
            <v>140.15994821564027</v>
          </cell>
          <cell r="CA61">
            <v>141.05875742731416</v>
          </cell>
          <cell r="CB61">
            <v>144.64133630212518</v>
          </cell>
          <cell r="CC61">
            <v>149.47619652197534</v>
          </cell>
          <cell r="CD61">
            <v>155.10888639012785</v>
          </cell>
        </row>
        <row r="62">
          <cell r="B62" t="str">
            <v xml:space="preserve"> - Net Income from associates </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row>
        <row r="63">
          <cell r="B63" t="str">
            <v xml:space="preserve"> - Change in WC </v>
          </cell>
          <cell r="E63">
            <v>-104.523</v>
          </cell>
          <cell r="F63">
            <v>33.043000000000006</v>
          </cell>
          <cell r="G63">
            <v>15.912999999999997</v>
          </cell>
          <cell r="H63">
            <v>24.418000000000003</v>
          </cell>
          <cell r="I63">
            <v>11.530000000000003</v>
          </cell>
          <cell r="J63">
            <v>36.542000000000002</v>
          </cell>
          <cell r="K63">
            <v>2.3260000000000005</v>
          </cell>
          <cell r="L63">
            <v>23.701000000000004</v>
          </cell>
          <cell r="M63">
            <v>-1.6040000000000023</v>
          </cell>
          <cell r="N63">
            <v>5.2640000000000011</v>
          </cell>
          <cell r="O63">
            <v>22.210999999999995</v>
          </cell>
          <cell r="P63">
            <v>2.6379999999999981</v>
          </cell>
          <cell r="Q63">
            <v>4.3984028909382218</v>
          </cell>
          <cell r="R63">
            <v>8.9904731863568657</v>
          </cell>
          <cell r="S63">
            <v>37.634168585829947</v>
          </cell>
          <cell r="T63">
            <v>-1.3113811206484112</v>
          </cell>
          <cell r="U63">
            <v>5.6805904803194132</v>
          </cell>
          <cell r="V63">
            <v>6.0189641029899761</v>
          </cell>
          <cell r="W63">
            <v>12.583616134412404</v>
          </cell>
          <cell r="X63">
            <v>-2.2178217601354078E-3</v>
          </cell>
          <cell r="Y63">
            <v>6.6909926864783245</v>
          </cell>
          <cell r="AA63">
            <v>-34.457999999999998</v>
          </cell>
          <cell r="AB63">
            <v>-22.62</v>
          </cell>
          <cell r="AC63">
            <v>33.396000000000001</v>
          </cell>
          <cell r="AD63">
            <v>-80.840999999999994</v>
          </cell>
          <cell r="AE63">
            <v>45.439</v>
          </cell>
          <cell r="AF63">
            <v>-10.431000000000001</v>
          </cell>
          <cell r="AG63">
            <v>6.7590000000000003</v>
          </cell>
          <cell r="AH63">
            <v>-8.7240000000000002</v>
          </cell>
          <cell r="AI63">
            <v>14.977</v>
          </cell>
          <cell r="AJ63">
            <v>-25.137</v>
          </cell>
          <cell r="AK63">
            <v>52.444000000000003</v>
          </cell>
          <cell r="AL63">
            <v>-26.371000000000002</v>
          </cell>
          <cell r="AM63">
            <v>34.979999999999997</v>
          </cell>
          <cell r="AN63">
            <v>-17.109000000000002</v>
          </cell>
          <cell r="AO63">
            <v>20.865000000000002</v>
          </cell>
          <cell r="AP63">
            <v>-14.317999999999998</v>
          </cell>
          <cell r="AQ63">
            <v>46.007000000000005</v>
          </cell>
          <cell r="AR63">
            <v>-18.796999999999997</v>
          </cell>
          <cell r="AS63">
            <v>5.4329999999999998</v>
          </cell>
          <cell r="AT63">
            <v>-21.113</v>
          </cell>
          <cell r="AU63">
            <v>31.222000000000001</v>
          </cell>
          <cell r="AV63">
            <v>2.1319999999999997</v>
          </cell>
          <cell r="AW63">
            <v>4.9719999999999995</v>
          </cell>
          <cell r="AX63">
            <v>-1.7839999999999989</v>
          </cell>
          <cell r="AY63">
            <v>18.242000000000001</v>
          </cell>
          <cell r="AZ63">
            <v>-5.2799999999999994</v>
          </cell>
          <cell r="BA63">
            <v>10.376999999999999</v>
          </cell>
          <cell r="BB63">
            <v>-21.012999999999998</v>
          </cell>
          <cell r="BC63">
            <v>16.709</v>
          </cell>
          <cell r="BD63">
            <v>9.8710000000000004</v>
          </cell>
          <cell r="BE63">
            <v>6.7480000000000002</v>
          </cell>
          <cell r="BF63">
            <v>-9.6269999999999989</v>
          </cell>
          <cell r="BG63">
            <v>23.805</v>
          </cell>
          <cell r="BH63">
            <v>-14.752999999999997</v>
          </cell>
          <cell r="BI63">
            <v>-14.469000000000003</v>
          </cell>
          <cell r="BJ63">
            <v>3.8130000000000002</v>
          </cell>
          <cell r="BK63">
            <v>-3.1160000000000001</v>
          </cell>
          <cell r="BL63">
            <v>5.8719999999999999</v>
          </cell>
          <cell r="BM63">
            <v>5.7129999999999992</v>
          </cell>
          <cell r="BN63">
            <v>-3.2049999999999987</v>
          </cell>
          <cell r="BO63">
            <v>2.1110000000000002</v>
          </cell>
          <cell r="BP63">
            <v>3.71</v>
          </cell>
          <cell r="BQ63">
            <v>18.768999999999998</v>
          </cell>
          <cell r="BR63">
            <v>-2.379</v>
          </cell>
          <cell r="BS63">
            <v>-4.5880000000000001</v>
          </cell>
          <cell r="BT63">
            <v>24.455000000000002</v>
          </cell>
          <cell r="BU63">
            <v>7.5229999999999997</v>
          </cell>
          <cell r="BV63">
            <v>-24.752000000000002</v>
          </cell>
          <cell r="BW63">
            <v>19.387999999999998</v>
          </cell>
          <cell r="BX63">
            <v>-4.0340000000000025</v>
          </cell>
          <cell r="BY63">
            <v>-16.831000000000003</v>
          </cell>
          <cell r="BZ63">
            <v>5.8754028909382221</v>
          </cell>
          <cell r="CA63">
            <v>11.161831183264741</v>
          </cell>
          <cell r="CB63">
            <v>0.41266569489276606</v>
          </cell>
          <cell r="CC63">
            <v>-8.8606089755723474</v>
          </cell>
          <cell r="CD63">
            <v>6.2765852837717055</v>
          </cell>
        </row>
        <row r="64">
          <cell r="B64" t="str">
            <v xml:space="preserve"> - Capex (ex spectrum spend)</v>
          </cell>
          <cell r="E64">
            <v>-425.452</v>
          </cell>
          <cell r="F64">
            <v>-104.831</v>
          </cell>
          <cell r="G64">
            <v>-129.697</v>
          </cell>
          <cell r="H64">
            <v>-167.82900000000001</v>
          </cell>
          <cell r="I64">
            <v>-161.001</v>
          </cell>
          <cell r="J64">
            <v>-192.26900000000001</v>
          </cell>
          <cell r="K64">
            <v>-257.90499999999997</v>
          </cell>
          <cell r="L64">
            <v>-274.51900000000001</v>
          </cell>
          <cell r="M64">
            <v>-266.99699999999996</v>
          </cell>
          <cell r="N64">
            <v>-321.84399999999999</v>
          </cell>
          <cell r="O64">
            <v>-340.73099999999999</v>
          </cell>
          <cell r="P64">
            <v>-338.11799999999999</v>
          </cell>
          <cell r="Q64">
            <v>-376.90170110996377</v>
          </cell>
          <cell r="R64">
            <v>-428.39431061084821</v>
          </cell>
          <cell r="S64">
            <v>-361.14374737335464</v>
          </cell>
          <cell r="T64">
            <v>-364.60231016976275</v>
          </cell>
          <cell r="U64">
            <v>-359.69443420405219</v>
          </cell>
          <cell r="V64">
            <v>-349.10076121552783</v>
          </cell>
          <cell r="W64">
            <v>-334.06647157274551</v>
          </cell>
          <cell r="X64">
            <v>-318.82839554151957</v>
          </cell>
          <cell r="Y64">
            <v>-205.97375912893676</v>
          </cell>
          <cell r="AA64">
            <v>-95.608000000000004</v>
          </cell>
          <cell r="AB64">
            <v>-147.12700000000001</v>
          </cell>
          <cell r="AC64">
            <v>-94.400999999999996</v>
          </cell>
          <cell r="AD64">
            <v>-88.316000000000003</v>
          </cell>
          <cell r="AE64">
            <v>-36.869999999999997</v>
          </cell>
          <cell r="AF64">
            <v>-30.121000000000002</v>
          </cell>
          <cell r="AG64">
            <v>-25.105000000000004</v>
          </cell>
          <cell r="AH64">
            <v>-12.734999999999999</v>
          </cell>
          <cell r="AI64">
            <v>-22.373000000000001</v>
          </cell>
          <cell r="AJ64">
            <v>-27.885000000000002</v>
          </cell>
          <cell r="AK64">
            <v>-34.529000000000003</v>
          </cell>
          <cell r="AL64">
            <v>-44.91</v>
          </cell>
          <cell r="AM64">
            <v>-29.05</v>
          </cell>
          <cell r="AN64">
            <v>-42.517000000000003</v>
          </cell>
          <cell r="AO64">
            <v>-46.88</v>
          </cell>
          <cell r="AP64">
            <v>-49.381999999999998</v>
          </cell>
          <cell r="AQ64">
            <v>-37.81</v>
          </cell>
          <cell r="AR64">
            <v>-42.468000000000004</v>
          </cell>
          <cell r="AS64">
            <v>-39.67</v>
          </cell>
          <cell r="AT64">
            <v>-41.052999999999997</v>
          </cell>
          <cell r="AU64">
            <v>-37.945999999999998</v>
          </cell>
          <cell r="AV64">
            <v>-50.378</v>
          </cell>
          <cell r="AW64">
            <v>-48.170999999999999</v>
          </cell>
          <cell r="AX64">
            <v>-55.774000000000001</v>
          </cell>
          <cell r="AY64">
            <v>-55.103999999999999</v>
          </cell>
          <cell r="AZ64">
            <v>-78.126999999999995</v>
          </cell>
          <cell r="BA64">
            <v>-58.633000000000003</v>
          </cell>
          <cell r="BB64">
            <v>-66.040999999999997</v>
          </cell>
          <cell r="BC64">
            <v>-59.637</v>
          </cell>
          <cell r="BD64">
            <v>-66.844999999999999</v>
          </cell>
          <cell r="BE64">
            <v>-75.168999999999997</v>
          </cell>
          <cell r="BF64">
            <v>-72.867999999999995</v>
          </cell>
          <cell r="BG64">
            <v>-66.159000000000006</v>
          </cell>
          <cell r="BH64">
            <v>-68.559999999999988</v>
          </cell>
          <cell r="BI64">
            <v>-59.930999999999997</v>
          </cell>
          <cell r="BJ64">
            <v>-72.346999999999994</v>
          </cell>
          <cell r="BK64">
            <v>-80.929000000000002</v>
          </cell>
          <cell r="BL64">
            <v>-84.988</v>
          </cell>
          <cell r="BM64">
            <v>-77.808999999999997</v>
          </cell>
          <cell r="BN64">
            <v>-78.117999999999995</v>
          </cell>
          <cell r="BO64">
            <v>-79.275999999999996</v>
          </cell>
          <cell r="BP64">
            <v>-90.326999999999998</v>
          </cell>
          <cell r="BQ64">
            <v>-84.491</v>
          </cell>
          <cell r="BR64">
            <v>-86.637</v>
          </cell>
          <cell r="BS64">
            <v>-76.783000000000001</v>
          </cell>
          <cell r="BT64">
            <v>-80.792000000000002</v>
          </cell>
          <cell r="BU64">
            <v>-83.474000000000004</v>
          </cell>
          <cell r="BV64">
            <v>-97.069000000000003</v>
          </cell>
          <cell r="BW64">
            <v>-87.8</v>
          </cell>
          <cell r="BX64">
            <v>-99.709000000000003</v>
          </cell>
          <cell r="BY64">
            <v>-97.55</v>
          </cell>
          <cell r="BZ64">
            <v>-91.842701109963727</v>
          </cell>
          <cell r="CA64">
            <v>-109.75753459762197</v>
          </cell>
          <cell r="CB64">
            <v>-108.79183604386209</v>
          </cell>
          <cell r="CC64">
            <v>-105.86132898156896</v>
          </cell>
          <cell r="CD64">
            <v>-103.98361098779522</v>
          </cell>
        </row>
        <row r="65">
          <cell r="B65" t="str">
            <v xml:space="preserve"> - Normalised Tax  </v>
          </cell>
          <cell r="E65">
            <v>48.256</v>
          </cell>
          <cell r="F65">
            <v>-0.6</v>
          </cell>
          <cell r="G65">
            <v>-1.0209999999999999</v>
          </cell>
          <cell r="H65">
            <v>-0.63600000000000001</v>
          </cell>
          <cell r="I65">
            <v>0</v>
          </cell>
          <cell r="J65">
            <v>-2.8000000000000001E-2</v>
          </cell>
          <cell r="K65">
            <v>-1</v>
          </cell>
          <cell r="L65">
            <v>-11.491</v>
          </cell>
          <cell r="M65">
            <v>-11.920999999999999</v>
          </cell>
          <cell r="N65">
            <v>291.29500000000002</v>
          </cell>
          <cell r="O65">
            <v>-41.478999999999999</v>
          </cell>
          <cell r="P65">
            <v>-57.057999999999993</v>
          </cell>
          <cell r="Q65">
            <v>-30.693697521602708</v>
          </cell>
          <cell r="R65">
            <v>-26.480888506990151</v>
          </cell>
          <cell r="S65">
            <v>-43.407193336353004</v>
          </cell>
          <cell r="T65">
            <v>-51.699524421005457</v>
          </cell>
          <cell r="U65">
            <v>-51.571103911689185</v>
          </cell>
          <cell r="V65">
            <v>-45.707817187877879</v>
          </cell>
          <cell r="W65">
            <v>-62.674501230109342</v>
          </cell>
          <cell r="X65">
            <v>-87.692351582257345</v>
          </cell>
          <cell r="Y65">
            <v>-116.20540509313234</v>
          </cell>
          <cell r="AA65">
            <v>18.192</v>
          </cell>
          <cell r="AB65">
            <v>-3.847</v>
          </cell>
          <cell r="AC65">
            <v>15.295</v>
          </cell>
          <cell r="AD65">
            <v>18.616</v>
          </cell>
          <cell r="AE65">
            <v>-0.15</v>
          </cell>
          <cell r="AF65">
            <v>-0.15</v>
          </cell>
          <cell r="AG65">
            <v>-0.15</v>
          </cell>
          <cell r="AH65">
            <v>-0.15</v>
          </cell>
          <cell r="AI65">
            <v>-0.22500000000000001</v>
          </cell>
          <cell r="AJ65">
            <v>-0.22500000000000001</v>
          </cell>
          <cell r="AK65">
            <v>-0.22500000000000001</v>
          </cell>
          <cell r="AL65">
            <v>-0.34599999999999997</v>
          </cell>
          <cell r="AM65">
            <v>-0.22500000000000001</v>
          </cell>
          <cell r="AN65">
            <v>-0.22500000000000001</v>
          </cell>
          <cell r="AO65">
            <v>-7.4999999999999997E-2</v>
          </cell>
          <cell r="AP65">
            <v>-0.111</v>
          </cell>
          <cell r="AQ65">
            <v>-7.4999999999999997E-2</v>
          </cell>
          <cell r="AR65">
            <v>-7.4999999999999997E-2</v>
          </cell>
          <cell r="AS65">
            <v>0</v>
          </cell>
          <cell r="AT65">
            <v>0.15</v>
          </cell>
          <cell r="AU65">
            <v>0</v>
          </cell>
          <cell r="AV65">
            <v>-7.0000000000000001E-3</v>
          </cell>
          <cell r="AW65">
            <v>0</v>
          </cell>
          <cell r="AX65">
            <v>-2.1000000000000001E-2</v>
          </cell>
          <cell r="AY65">
            <v>-0.28499999999999998</v>
          </cell>
          <cell r="AZ65">
            <v>-0.14499999999999999</v>
          </cell>
          <cell r="BA65">
            <v>-0.17899999999999999</v>
          </cell>
          <cell r="BB65">
            <v>-0.39100000000000001</v>
          </cell>
          <cell r="BC65">
            <v>-0.375</v>
          </cell>
          <cell r="BD65">
            <v>-0.378</v>
          </cell>
          <cell r="BE65">
            <v>-0.89700000000000002</v>
          </cell>
          <cell r="BF65">
            <v>-9.8409999999999993</v>
          </cell>
          <cell r="BG65">
            <v>-0.68100000000000005</v>
          </cell>
          <cell r="BH65">
            <v>-1.0720000000000001</v>
          </cell>
          <cell r="BI65">
            <v>-0.40600000000000003</v>
          </cell>
          <cell r="BJ65">
            <v>-9.7619999999999987</v>
          </cell>
          <cell r="BK65">
            <v>-2.6920000000000002</v>
          </cell>
          <cell r="BL65">
            <v>297.97199999999998</v>
          </cell>
          <cell r="BM65">
            <v>-2.3140000000000001</v>
          </cell>
          <cell r="BN65">
            <v>-1.6709999999999354</v>
          </cell>
          <cell r="BO65">
            <v>-9.8140000000000001</v>
          </cell>
          <cell r="BP65">
            <v>-10.292</v>
          </cell>
          <cell r="BQ65">
            <v>-10.872999999999999</v>
          </cell>
          <cell r="BR65">
            <v>-10.5</v>
          </cell>
          <cell r="BS65">
            <v>-14.439</v>
          </cell>
          <cell r="BT65">
            <v>-15.382</v>
          </cell>
          <cell r="BU65">
            <v>-15.885</v>
          </cell>
          <cell r="BV65">
            <v>-11.352</v>
          </cell>
          <cell r="BW65">
            <v>-10.962999999999999</v>
          </cell>
          <cell r="BX65">
            <v>-14.145</v>
          </cell>
          <cell r="BY65">
            <v>3.976</v>
          </cell>
          <cell r="BZ65">
            <v>-9.56169752160271</v>
          </cell>
          <cell r="CA65">
            <v>-7.001102142778163</v>
          </cell>
          <cell r="CB65">
            <v>-6.3766527726054729</v>
          </cell>
          <cell r="CC65">
            <v>-6.3574984740652383</v>
          </cell>
          <cell r="CD65">
            <v>-6.7456351175412763</v>
          </cell>
        </row>
        <row r="66">
          <cell r="B66" t="str">
            <v xml:space="preserve"> + FCF from operating associates </v>
          </cell>
          <cell r="E66">
            <v>0</v>
          </cell>
          <cell r="F66">
            <v>0</v>
          </cell>
          <cell r="G66">
            <v>0</v>
          </cell>
          <cell r="H66">
            <v>0</v>
          </cell>
          <cell r="I66">
            <v>0</v>
          </cell>
          <cell r="J66">
            <v>0</v>
          </cell>
          <cell r="K66">
            <v>0</v>
          </cell>
          <cell r="L66">
            <v>0</v>
          </cell>
          <cell r="M66">
            <v>0</v>
          </cell>
          <cell r="N66">
            <v>0</v>
          </cell>
          <cell r="O66">
            <v>0</v>
          </cell>
          <cell r="P66">
            <v>0</v>
          </cell>
          <cell r="Q66">
            <v>0</v>
          </cell>
          <cell r="R66">
            <v>0</v>
          </cell>
          <cell r="S66">
            <v>0</v>
          </cell>
          <cell r="T66">
            <v>0</v>
          </cell>
          <cell r="U66">
            <v>0</v>
          </cell>
          <cell r="V66">
            <v>0</v>
          </cell>
          <cell r="W66">
            <v>0</v>
          </cell>
          <cell r="X66">
            <v>0</v>
          </cell>
          <cell r="Y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row>
        <row r="67">
          <cell r="B67" t="str">
            <v xml:space="preserve"> - P&amp;L Net interest</v>
          </cell>
          <cell r="E67">
            <v>-90.563000000000017</v>
          </cell>
          <cell r="F67">
            <v>-99.483000000000004</v>
          </cell>
          <cell r="G67">
            <v>-97.783999999999992</v>
          </cell>
          <cell r="H67">
            <v>-115.90800000000002</v>
          </cell>
          <cell r="I67">
            <v>-121.042</v>
          </cell>
          <cell r="J67">
            <v>-78.183999999999997</v>
          </cell>
          <cell r="K67">
            <v>-73.795999999999992</v>
          </cell>
          <cell r="L67">
            <v>-87.027999999999992</v>
          </cell>
          <cell r="M67">
            <v>-83.641000000000005</v>
          </cell>
          <cell r="N67">
            <v>-80.343999999999994</v>
          </cell>
          <cell r="O67">
            <v>-87.173000000000016</v>
          </cell>
          <cell r="P67">
            <v>-92.963999999999999</v>
          </cell>
          <cell r="Q67">
            <v>-94.281170112104746</v>
          </cell>
          <cell r="R67">
            <v>-103.73795934587271</v>
          </cell>
          <cell r="S67">
            <v>-103.68878248029404</v>
          </cell>
          <cell r="T67">
            <v>-103.66297996216558</v>
          </cell>
          <cell r="U67">
            <v>-103.60470510093835</v>
          </cell>
          <cell r="V67">
            <v>-103.45426793499028</v>
          </cell>
          <cell r="W67">
            <v>-103.19363899566132</v>
          </cell>
          <cell r="X67">
            <v>-102.91025019152038</v>
          </cell>
          <cell r="Y67">
            <v>-102.52631247104077</v>
          </cell>
          <cell r="AA67">
            <v>-22.262</v>
          </cell>
          <cell r="AB67">
            <v>-20.419</v>
          </cell>
          <cell r="AC67">
            <v>-23.185000000000002</v>
          </cell>
          <cell r="AD67">
            <v>-24.697000000000003</v>
          </cell>
          <cell r="AE67">
            <v>-24.277999999999999</v>
          </cell>
          <cell r="AF67">
            <v>-24.597000000000001</v>
          </cell>
          <cell r="AG67">
            <v>-25.243000000000002</v>
          </cell>
          <cell r="AH67">
            <v>-25.365000000000002</v>
          </cell>
          <cell r="AI67">
            <v>-24.715</v>
          </cell>
          <cell r="AJ67">
            <v>-24.574999999999999</v>
          </cell>
          <cell r="AK67">
            <v>-24.582000000000001</v>
          </cell>
          <cell r="AL67">
            <v>-23.911999999999999</v>
          </cell>
          <cell r="AM67">
            <v>-34.503</v>
          </cell>
          <cell r="AN67">
            <v>-27.587</v>
          </cell>
          <cell r="AO67">
            <v>-27.68</v>
          </cell>
          <cell r="AP67">
            <v>-26.138000000000002</v>
          </cell>
          <cell r="AQ67">
            <v>-37.075999999999993</v>
          </cell>
          <cell r="AR67">
            <v>-26.597999999999999</v>
          </cell>
          <cell r="AS67">
            <v>-26.236999999999998</v>
          </cell>
          <cell r="AT67">
            <v>-31.130999999999997</v>
          </cell>
          <cell r="AU67">
            <v>-24.298999999999999</v>
          </cell>
          <cell r="AV67">
            <v>-18.373999999999999</v>
          </cell>
          <cell r="AW67">
            <v>-17.005000000000003</v>
          </cell>
          <cell r="AX67">
            <v>-18.506</v>
          </cell>
          <cell r="AY67">
            <v>-18.923000000000002</v>
          </cell>
          <cell r="AZ67">
            <v>-18.161999999999999</v>
          </cell>
          <cell r="BA67">
            <v>-18.095000000000002</v>
          </cell>
          <cell r="BB67">
            <v>-18.616</v>
          </cell>
          <cell r="BC67">
            <v>-21.82</v>
          </cell>
          <cell r="BD67">
            <v>-21.228999999999999</v>
          </cell>
          <cell r="BE67">
            <v>-21.24</v>
          </cell>
          <cell r="BF67">
            <v>-22.739000000000001</v>
          </cell>
          <cell r="BG67">
            <v>-21.328000000000003</v>
          </cell>
          <cell r="BH67">
            <v>-20.946000000000002</v>
          </cell>
          <cell r="BI67">
            <v>-20.616</v>
          </cell>
          <cell r="BJ67">
            <v>-20.750999999999998</v>
          </cell>
          <cell r="BK67">
            <v>-20.884000000000004</v>
          </cell>
          <cell r="BL67">
            <v>-19.576999999999998</v>
          </cell>
          <cell r="BM67">
            <v>-19.425000000000001</v>
          </cell>
          <cell r="BN67">
            <v>-20.457999999999998</v>
          </cell>
          <cell r="BO67">
            <v>-21.829000000000001</v>
          </cell>
          <cell r="BP67">
            <v>-21.671000000000003</v>
          </cell>
          <cell r="BQ67">
            <v>-21.803999999999998</v>
          </cell>
          <cell r="BR67">
            <v>-21.869</v>
          </cell>
          <cell r="BS67">
            <v>-21.477</v>
          </cell>
          <cell r="BT67">
            <v>-21.766999999999999</v>
          </cell>
          <cell r="BU67">
            <v>-21.741</v>
          </cell>
          <cell r="BV67">
            <v>-27.978999999999999</v>
          </cell>
          <cell r="BW67">
            <v>-28.062999999999999</v>
          </cell>
          <cell r="BX67">
            <v>-21.370999999999999</v>
          </cell>
          <cell r="BY67">
            <v>-20.172000000000001</v>
          </cell>
          <cell r="BZ67">
            <v>-24.675170112104745</v>
          </cell>
          <cell r="CA67">
            <v>-25.93236773791331</v>
          </cell>
          <cell r="CB67">
            <v>-25.935580728831937</v>
          </cell>
          <cell r="CC67">
            <v>-25.934525033244039</v>
          </cell>
          <cell r="CD67">
            <v>-25.935485845883431</v>
          </cell>
        </row>
        <row r="68">
          <cell r="B68" t="str">
            <v xml:space="preserve"> - FCF due to minorities </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row>
        <row r="69">
          <cell r="B69" t="str">
            <v xml:space="preserve">= Free Cash Flow Adjusted For Consensus </v>
          </cell>
          <cell r="E69">
            <v>-429.86199999999997</v>
          </cell>
          <cell r="F69">
            <v>17.344999999999956</v>
          </cell>
          <cell r="G69">
            <v>19.75500000000001</v>
          </cell>
          <cell r="H69">
            <v>-46.470000000000056</v>
          </cell>
          <cell r="I69">
            <v>-19.354999999999905</v>
          </cell>
          <cell r="J69">
            <v>52.08400000000006</v>
          </cell>
          <cell r="K69">
            <v>8.6280000000002133</v>
          </cell>
          <cell r="L69">
            <v>49.678999999999945</v>
          </cell>
          <cell r="M69">
            <v>72.494999999999905</v>
          </cell>
          <cell r="N69">
            <v>357.93900000000014</v>
          </cell>
          <cell r="O69">
            <v>50.566999999999823</v>
          </cell>
          <cell r="P69">
            <v>55.076999999999884</v>
          </cell>
          <cell r="Q69">
            <v>54.537782362907137</v>
          </cell>
          <cell r="R69">
            <v>40.662491364188483</v>
          </cell>
          <cell r="S69">
            <v>181.25890940473329</v>
          </cell>
          <cell r="T69">
            <v>176.2655924669902</v>
          </cell>
          <cell r="U69">
            <v>222.18903014521248</v>
          </cell>
          <cell r="V69">
            <v>264.48335604648798</v>
          </cell>
          <cell r="W69">
            <v>287.26563529519996</v>
          </cell>
          <cell r="X69">
            <v>284.44948976132639</v>
          </cell>
          <cell r="Y69">
            <v>397.20797317737083</v>
          </cell>
          <cell r="AA69">
            <v>-101.19300000000001</v>
          </cell>
          <cell r="AB69">
            <v>-157.95500000000004</v>
          </cell>
          <cell r="AC69">
            <v>-33.484999999999999</v>
          </cell>
          <cell r="AD69">
            <v>-137.22900000000004</v>
          </cell>
          <cell r="AE69">
            <v>22.774000000000022</v>
          </cell>
          <cell r="AF69">
            <v>-12.220999999999984</v>
          </cell>
          <cell r="AG69">
            <v>-3.6660000000000181</v>
          </cell>
          <cell r="AH69">
            <v>10.457999999999984</v>
          </cell>
          <cell r="AI69">
            <v>16.329999999999995</v>
          </cell>
          <cell r="AJ69">
            <v>-27.665000000000006</v>
          </cell>
          <cell r="AK69">
            <v>67.743000000000023</v>
          </cell>
          <cell r="AL69">
            <v>-36.652999999999992</v>
          </cell>
          <cell r="AM69">
            <v>23.222000000000001</v>
          </cell>
          <cell r="AN69">
            <v>-32.214000000000013</v>
          </cell>
          <cell r="AO69">
            <v>-2.1639999999999979</v>
          </cell>
          <cell r="AP69">
            <v>-35.314000000000028</v>
          </cell>
          <cell r="AQ69">
            <v>31.033999999999978</v>
          </cell>
          <cell r="AR69">
            <v>-29.791000000000007</v>
          </cell>
          <cell r="AS69">
            <v>1.9170000000000122</v>
          </cell>
          <cell r="AT69">
            <v>-22.514999999999986</v>
          </cell>
          <cell r="AU69">
            <v>33.984999999999992</v>
          </cell>
          <cell r="AV69">
            <v>2.9440000000000168</v>
          </cell>
          <cell r="AW69">
            <v>10.994999999999976</v>
          </cell>
          <cell r="AX69">
            <v>4.1599999999999824</v>
          </cell>
          <cell r="AY69">
            <v>20.26400000000001</v>
          </cell>
          <cell r="AZ69">
            <v>-18.736999999999963</v>
          </cell>
          <cell r="BA69">
            <v>19.901000000000014</v>
          </cell>
          <cell r="BB69">
            <v>-12.800000000000006</v>
          </cell>
          <cell r="BC69">
            <v>28.244999999999983</v>
          </cell>
          <cell r="BD69">
            <v>20.188000000000002</v>
          </cell>
          <cell r="BE69">
            <v>12.071999999999978</v>
          </cell>
          <cell r="BF69">
            <v>-10.825999999999981</v>
          </cell>
          <cell r="BG69">
            <v>40.079000000000036</v>
          </cell>
          <cell r="BH69">
            <v>3.5919999999999987</v>
          </cell>
          <cell r="BI69">
            <v>14.003999999999998</v>
          </cell>
          <cell r="BJ69">
            <v>14.820000000000043</v>
          </cell>
          <cell r="BK69">
            <v>6.6100000000000172</v>
          </cell>
          <cell r="BL69">
            <v>313.72799999999995</v>
          </cell>
          <cell r="BM69">
            <v>21.696999999999978</v>
          </cell>
          <cell r="BN69">
            <v>15.904000000000082</v>
          </cell>
          <cell r="BO69">
            <v>12.637999999999963</v>
          </cell>
          <cell r="BP69">
            <v>4.6040000000000028</v>
          </cell>
          <cell r="BQ69">
            <v>26.654000000000035</v>
          </cell>
          <cell r="BR69">
            <v>6.6710000000000633</v>
          </cell>
          <cell r="BS69">
            <v>14.482999999999929</v>
          </cell>
          <cell r="BT69">
            <v>40.499999999999943</v>
          </cell>
          <cell r="BU69">
            <v>22.961000000000006</v>
          </cell>
          <cell r="BV69">
            <v>-22.867000000000044</v>
          </cell>
          <cell r="BW69">
            <v>28.589000000000024</v>
          </cell>
          <cell r="BX69">
            <v>-1.9310000000000755</v>
          </cell>
          <cell r="BY69">
            <v>7.9239999999999746</v>
          </cell>
          <cell r="BZ69">
            <v>19.955782362907321</v>
          </cell>
          <cell r="CA69">
            <v>9.5295841322654695</v>
          </cell>
          <cell r="CB69">
            <v>3.9499324517184604</v>
          </cell>
          <cell r="CC69" t="str">
            <v>mstag:freeCashFlowAdjustedForConsensus</v>
          </cell>
          <cell r="CD69">
            <v>6</v>
          </cell>
          <cell r="CE69" t="str">
            <v>ISO4217:USD</v>
          </cell>
          <cell r="CF69" t="b">
            <v>0</v>
          </cell>
          <cell r="CG69" t="str">
            <v>mstag:freeCashFlowAdjustedForConsensus</v>
          </cell>
          <cell r="CH69">
            <v>6</v>
          </cell>
          <cell r="CI69" t="str">
            <v>ISO4217:USD</v>
          </cell>
          <cell r="CJ69" t="b">
            <v>0</v>
          </cell>
        </row>
        <row r="78">
          <cell r="H78" t="str">
            <v>2004-FY</v>
          </cell>
          <cell r="I78" t="str">
            <v>2005-FY</v>
          </cell>
          <cell r="J78" t="str">
            <v>2006-FY</v>
          </cell>
          <cell r="K78" t="str">
            <v>2007-FY</v>
          </cell>
          <cell r="L78" t="str">
            <v>2008-FY</v>
          </cell>
          <cell r="M78" t="str">
            <v>2009-FY</v>
          </cell>
          <cell r="N78" t="str">
            <v>2010-FY</v>
          </cell>
          <cell r="O78" t="str">
            <v>2011-FY</v>
          </cell>
          <cell r="P78" t="str">
            <v>2012-FY</v>
          </cell>
          <cell r="Q78" t="str">
            <v>2013-FY</v>
          </cell>
          <cell r="R78" t="str">
            <v>2014-FY</v>
          </cell>
          <cell r="S78" t="str">
            <v>2015-FY</v>
          </cell>
          <cell r="T78" t="str">
            <v>2016-FY</v>
          </cell>
          <cell r="U78" t="str">
            <v>2017-FY</v>
          </cell>
          <cell r="V78" t="str">
            <v>2018-FY</v>
          </cell>
          <cell r="W78" t="str">
            <v>2019-FY</v>
          </cell>
          <cell r="X78" t="str">
            <v>2020-FY</v>
          </cell>
          <cell r="Y78" t="str">
            <v>2021-FY</v>
          </cell>
          <cell r="AM78" t="str">
            <v>2004-Q1</v>
          </cell>
          <cell r="AN78" t="str">
            <v>2004-Q2</v>
          </cell>
          <cell r="AO78" t="str">
            <v>2004-Q3</v>
          </cell>
          <cell r="AP78" t="str">
            <v>2004-Q4</v>
          </cell>
          <cell r="AQ78" t="str">
            <v>2005-Q1</v>
          </cell>
          <cell r="AR78" t="str">
            <v>2005-Q2</v>
          </cell>
          <cell r="AS78" t="str">
            <v>2005-Q3</v>
          </cell>
          <cell r="AT78" t="str">
            <v>2005-Q4</v>
          </cell>
          <cell r="AU78" t="str">
            <v>2006-Q1</v>
          </cell>
          <cell r="AV78" t="str">
            <v>2006-Q2</v>
          </cell>
          <cell r="AW78" t="str">
            <v>2006-Q3</v>
          </cell>
          <cell r="AX78" t="str">
            <v>2006-Q4</v>
          </cell>
          <cell r="AY78" t="str">
            <v>2007-Q1</v>
          </cell>
          <cell r="AZ78" t="str">
            <v>2007-Q2</v>
          </cell>
          <cell r="BA78" t="str">
            <v>2007-Q3</v>
          </cell>
          <cell r="BB78" t="str">
            <v>2007-Q4</v>
          </cell>
          <cell r="BC78" t="str">
            <v>2008-Q1</v>
          </cell>
          <cell r="BD78" t="str">
            <v>2008-Q2</v>
          </cell>
          <cell r="BE78" t="str">
            <v>2008-Q3</v>
          </cell>
          <cell r="BF78" t="str">
            <v>2008-Q4</v>
          </cell>
          <cell r="BG78" t="str">
            <v>2009-Q1</v>
          </cell>
          <cell r="BH78" t="str">
            <v>2009-Q2</v>
          </cell>
          <cell r="BI78" t="str">
            <v>2009-Q3</v>
          </cell>
          <cell r="BJ78" t="str">
            <v>2009-Q4</v>
          </cell>
          <cell r="BK78" t="str">
            <v>2010-Q1</v>
          </cell>
          <cell r="BL78" t="str">
            <v>2010-Q2</v>
          </cell>
          <cell r="BM78" t="str">
            <v>2010-Q3</v>
          </cell>
          <cell r="BN78" t="str">
            <v>2010-Q4</v>
          </cell>
          <cell r="BO78" t="str">
            <v>2011-Q1</v>
          </cell>
          <cell r="BP78" t="str">
            <v>2011-Q2</v>
          </cell>
          <cell r="BQ78" t="str">
            <v>2011-Q3</v>
          </cell>
          <cell r="BR78" t="str">
            <v>2011-Q4</v>
          </cell>
          <cell r="BS78" t="str">
            <v>2012-Q1</v>
          </cell>
          <cell r="BT78" t="str">
            <v>2012-Q2</v>
          </cell>
          <cell r="BU78" t="str">
            <v>2012-Q3</v>
          </cell>
          <cell r="BV78" t="str">
            <v>2012-Q4</v>
          </cell>
          <cell r="BW78" t="str">
            <v>2013-Q1</v>
          </cell>
          <cell r="BX78" t="str">
            <v>2013-Q2</v>
          </cell>
          <cell r="BY78" t="str">
            <v>2013-Q3</v>
          </cell>
          <cell r="BZ78" t="str">
            <v>2013-Q4</v>
          </cell>
          <cell r="CA78" t="str">
            <v>2014-Q1</v>
          </cell>
          <cell r="CB78" t="str">
            <v>2014-Q2</v>
          </cell>
          <cell r="CC78" t="str">
            <v>2014-Q3</v>
          </cell>
          <cell r="CD78" t="str">
            <v>2014-Q4</v>
          </cell>
        </row>
      </sheetData>
      <sheetData sheetId="7"/>
      <sheetData sheetId="8"/>
      <sheetData sheetId="9"/>
      <sheetData sheetId="10"/>
      <sheetData sheetId="11"/>
      <sheetData sheetId="12"/>
      <sheetData sheetId="13"/>
      <sheetData sheetId="14">
        <row r="2">
          <cell r="B2" t="str">
            <v>($MM, except per share calcs)</v>
          </cell>
          <cell r="D2" t="str">
            <v>Prior Yr 2Q08</v>
          </cell>
          <cell r="E2" t="str">
            <v>Prior Yr 3Q08</v>
          </cell>
          <cell r="F2" t="str">
            <v>Prior Qtr 1Q09</v>
          </cell>
          <cell r="G2" t="str">
            <v>Prior Qtr 2Q09</v>
          </cell>
          <cell r="H2" t="str">
            <v>Cons 3Q09</v>
          </cell>
          <cell r="I2" t="str">
            <v>Estimate 3Q09</v>
          </cell>
          <cell r="J2" t="str">
            <v>Actual 3Q09</v>
          </cell>
          <cell r="K2" t="str">
            <v>Diff 3Q09</v>
          </cell>
          <cell r="L2" t="str">
            <v>Old Estimate 2009</v>
          </cell>
          <cell r="M2" t="str">
            <v>New Estimate 2009</v>
          </cell>
          <cell r="N2" t="str">
            <v>Old Estimate 2010</v>
          </cell>
          <cell r="O2" t="str">
            <v>New Estimate 2010</v>
          </cell>
          <cell r="P2" t="str">
            <v>Guidance 2009 (4Q08)</v>
          </cell>
          <cell r="Q2" t="str">
            <v>Guidance 2009 (as of 1Q09)</v>
          </cell>
          <cell r="R2" t="str">
            <v>Guidance for 2009</v>
          </cell>
        </row>
        <row r="3">
          <cell r="B3" t="str">
            <v>Revenue</v>
          </cell>
          <cell r="D3">
            <v>290.17</v>
          </cell>
          <cell r="E3">
            <v>291.61899999999997</v>
          </cell>
          <cell r="F3">
            <v>297.63100000000003</v>
          </cell>
          <cell r="G3">
            <v>301.05899999999997</v>
          </cell>
          <cell r="H3">
            <v>303.8</v>
          </cell>
          <cell r="I3" t="e">
            <v>#REF!</v>
          </cell>
          <cell r="J3">
            <v>304.76600000000002</v>
          </cell>
          <cell r="K3" t="e">
            <v>#REF!</v>
          </cell>
          <cell r="L3" t="e">
            <v>#REF!</v>
          </cell>
          <cell r="M3">
            <v>1211.3899999999999</v>
          </cell>
          <cell r="N3" t="e">
            <v>#REF!</v>
          </cell>
          <cell r="O3">
            <v>1273.171</v>
          </cell>
          <cell r="P3" t="str">
            <v>$855 - $875</v>
          </cell>
          <cell r="Q3" t="str">
            <v>$855 - $875</v>
          </cell>
        </row>
        <row r="4">
          <cell r="B4" t="str">
            <v>Growth (Y/Y)</v>
          </cell>
          <cell r="D4">
            <v>8.2651165220246417E-2</v>
          </cell>
          <cell r="E4">
            <v>6.1231545199477377E-2</v>
          </cell>
          <cell r="F4">
            <v>5.3247883815078056E-2</v>
          </cell>
          <cell r="G4">
            <v>3.752627769927952E-2</v>
          </cell>
          <cell r="H4">
            <v>4.1770255024535574E-2</v>
          </cell>
          <cell r="I4" t="e">
            <v>#REF!</v>
          </cell>
          <cell r="J4">
            <v>4.5082796388438595E-2</v>
          </cell>
          <cell r="K4" t="e">
            <v>#REF!</v>
          </cell>
          <cell r="L4" t="e">
            <v>#REF!</v>
          </cell>
          <cell r="M4">
            <v>4.5185626810259285E-4</v>
          </cell>
          <cell r="N4" t="e">
            <v>#REF!</v>
          </cell>
          <cell r="O4">
            <v>5.1000090804778078E-4</v>
          </cell>
          <cell r="P4" t="str">
            <v>21.3% - 24.2%</v>
          </cell>
          <cell r="Q4" t="str">
            <v>21.3% - 24.2%</v>
          </cell>
        </row>
        <row r="5">
          <cell r="B5" t="str">
            <v>Growth (Seq.)</v>
          </cell>
          <cell r="D5">
            <v>2.6845115080825543E-2</v>
          </cell>
          <cell r="E5">
            <v>4.9936244270598618E-3</v>
          </cell>
          <cell r="F5">
            <v>1.0130801029031522E-2</v>
          </cell>
          <cell r="G5">
            <v>1.151761745248292E-2</v>
          </cell>
          <cell r="H5">
            <v>9.1045276839425426E-3</v>
          </cell>
          <cell r="I5" t="e">
            <v>#REF!</v>
          </cell>
          <cell r="J5">
            <v>1.2313201066900703E-2</v>
          </cell>
          <cell r="K5" t="e">
            <v>#REF!</v>
          </cell>
        </row>
        <row r="6">
          <cell r="K6">
            <v>0</v>
          </cell>
        </row>
        <row r="7">
          <cell r="B7" t="str">
            <v>Network Svcs</v>
          </cell>
          <cell r="D7">
            <v>98.804000000000002</v>
          </cell>
          <cell r="E7">
            <v>96.152000000000001</v>
          </cell>
          <cell r="F7">
            <v>93.866</v>
          </cell>
          <cell r="G7">
            <v>93.296999999999997</v>
          </cell>
          <cell r="H7">
            <v>93</v>
          </cell>
          <cell r="I7" t="e">
            <v>#REF!</v>
          </cell>
          <cell r="J7">
            <v>93.233000000000004</v>
          </cell>
          <cell r="K7" t="e">
            <v>#REF!</v>
          </cell>
          <cell r="L7" t="e">
            <v>#REF!</v>
          </cell>
          <cell r="M7">
            <v>370.85900000000004</v>
          </cell>
          <cell r="N7" t="e">
            <v>#REF!</v>
          </cell>
          <cell r="O7">
            <v>359.16899999999998</v>
          </cell>
        </row>
        <row r="8">
          <cell r="B8" t="str">
            <v>Growth (Y/Y)</v>
          </cell>
          <cell r="D8">
            <v>1.243979915975002E-2</v>
          </cell>
          <cell r="E8">
            <v>-2.5509531869178703E-2</v>
          </cell>
          <cell r="F8">
            <v>-3.0370018387290032E-2</v>
          </cell>
          <cell r="G8">
            <v>-5.5736609853852093E-2</v>
          </cell>
          <cell r="H8">
            <v>-3.2781429403444529E-2</v>
          </cell>
          <cell r="I8" t="e">
            <v>#REF!</v>
          </cell>
          <cell r="J8">
            <v>-3.0358182877111228E-2</v>
          </cell>
          <cell r="K8" t="e">
            <v>#REF!</v>
          </cell>
          <cell r="L8" t="e">
            <v>#REF!</v>
          </cell>
          <cell r="M8">
            <v>-4.2546709729719856E-2</v>
          </cell>
          <cell r="N8" t="e">
            <v>#REF!</v>
          </cell>
          <cell r="O8">
            <v>-3.1521413798775377E-2</v>
          </cell>
        </row>
        <row r="9">
          <cell r="B9" t="str">
            <v>Growth (Seq.)</v>
          </cell>
          <cell r="D9">
            <v>2.0639216577484909E-2</v>
          </cell>
          <cell r="E9">
            <v>-2.6841018582243636E-2</v>
          </cell>
          <cell r="F9">
            <v>-1.7901796457306607E-2</v>
          </cell>
          <cell r="G9">
            <v>-6.0618328255171994E-3</v>
          </cell>
          <cell r="H9">
            <v>-3.1833821023183884E-3</v>
          </cell>
          <cell r="I9" t="e">
            <v>#REF!</v>
          </cell>
          <cell r="J9">
            <v>-6.8598132844566173E-4</v>
          </cell>
          <cell r="K9" t="e">
            <v>#REF!</v>
          </cell>
        </row>
        <row r="11">
          <cell r="B11" t="str">
            <v>Data &amp; Internet</v>
          </cell>
          <cell r="D11">
            <v>97.317999999999998</v>
          </cell>
          <cell r="E11">
            <v>102.282</v>
          </cell>
          <cell r="F11">
            <v>112.042</v>
          </cell>
          <cell r="G11">
            <v>115.82899999999999</v>
          </cell>
          <cell r="H11">
            <v>120</v>
          </cell>
          <cell r="I11" t="e">
            <v>#REF!</v>
          </cell>
          <cell r="J11">
            <v>119.977</v>
          </cell>
          <cell r="K11" t="e">
            <v>#REF!</v>
          </cell>
          <cell r="L11" t="e">
            <v>#REF!</v>
          </cell>
          <cell r="M11">
            <v>472.64699999999993</v>
          </cell>
          <cell r="N11" t="e">
            <v>#REF!</v>
          </cell>
          <cell r="O11">
            <v>547.21799999999996</v>
          </cell>
        </row>
        <row r="12">
          <cell r="B12" t="str">
            <v>Growth (Y/Y)</v>
          </cell>
          <cell r="D12">
            <v>0.23908836261777425</v>
          </cell>
          <cell r="E12">
            <v>0.24190434560885876</v>
          </cell>
          <cell r="F12">
            <v>0.20747925422998173</v>
          </cell>
          <cell r="G12">
            <v>0.19021147167019459</v>
          </cell>
          <cell r="H12">
            <v>0.1732269607555581</v>
          </cell>
          <cell r="I12" t="e">
            <v>#REF!</v>
          </cell>
          <cell r="J12">
            <v>0.17300209225474683</v>
          </cell>
          <cell r="K12" t="e">
            <v>#REF!</v>
          </cell>
          <cell r="L12" t="e">
            <v>#REF!</v>
          </cell>
          <cell r="M12">
            <v>0.18183022944129923</v>
          </cell>
          <cell r="N12" t="e">
            <v>#REF!</v>
          </cell>
          <cell r="O12">
            <v>0.15777313724619013</v>
          </cell>
        </row>
        <row r="13">
          <cell r="B13" t="str">
            <v>Growth (Seq.)</v>
          </cell>
          <cell r="D13">
            <v>4.8798361892445241E-2</v>
          </cell>
          <cell r="E13">
            <v>5.1008035512443817E-2</v>
          </cell>
          <cell r="F13">
            <v>4.1882869311313353E-2</v>
          </cell>
          <cell r="G13">
            <v>3.379982506560042E-2</v>
          </cell>
          <cell r="H13">
            <v>3.6009980229476213E-2</v>
          </cell>
          <cell r="I13" t="e">
            <v>#REF!</v>
          </cell>
          <cell r="J13">
            <v>3.5811411649932401E-2</v>
          </cell>
          <cell r="K13" t="e">
            <v>#REF!</v>
          </cell>
        </row>
        <row r="15">
          <cell r="B15" t="str">
            <v>Gross Margin</v>
          </cell>
          <cell r="D15">
            <v>0.58482613640279835</v>
          </cell>
          <cell r="E15">
            <v>0.58086750177457569</v>
          </cell>
          <cell r="F15">
            <v>0.58671643746787128</v>
          </cell>
          <cell r="G15">
            <v>0.59329898790602509</v>
          </cell>
          <cell r="H15">
            <v>0.59099999999999997</v>
          </cell>
          <cell r="I15" t="e">
            <v>#REF!</v>
          </cell>
          <cell r="J15">
            <v>0.58599999999999997</v>
          </cell>
          <cell r="K15" t="e">
            <v>#REF!</v>
          </cell>
          <cell r="L15" t="e">
            <v>#REF!</v>
          </cell>
          <cell r="M15">
            <v>0.58699840678889537</v>
          </cell>
          <cell r="N15" t="e">
            <v>#REF!</v>
          </cell>
          <cell r="O15">
            <v>0.5870908149808628</v>
          </cell>
          <cell r="P15">
            <v>0.63</v>
          </cell>
          <cell r="Q15" t="str">
            <v>62 - 63%</v>
          </cell>
        </row>
        <row r="17">
          <cell r="B17" t="str">
            <v>EBITDA</v>
          </cell>
          <cell r="D17">
            <v>98.769000000000005</v>
          </cell>
          <cell r="E17">
            <v>102.62999999999997</v>
          </cell>
          <cell r="F17">
            <v>104.44200000000004</v>
          </cell>
          <cell r="G17">
            <v>108.92299999999999</v>
          </cell>
          <cell r="H17">
            <v>107.9</v>
          </cell>
          <cell r="I17" t="e">
            <v>#REF!</v>
          </cell>
          <cell r="J17">
            <v>109.426</v>
          </cell>
          <cell r="K17" t="e">
            <v>#REF!</v>
          </cell>
          <cell r="L17" t="e">
            <v>#REF!</v>
          </cell>
          <cell r="M17">
            <v>436.65799999999984</v>
          </cell>
          <cell r="N17" t="e">
            <v>#REF!</v>
          </cell>
          <cell r="O17">
            <v>463.5680000000001</v>
          </cell>
          <cell r="P17" t="str">
            <v>$365 - $385</v>
          </cell>
          <cell r="Q17" t="str">
            <v>$370 - $385</v>
          </cell>
        </row>
        <row r="18">
          <cell r="B18" t="str">
            <v>EBITDA Margin</v>
          </cell>
          <cell r="D18">
            <v>0.34038322362752871</v>
          </cell>
          <cell r="E18">
            <v>0.35193180142583297</v>
          </cell>
          <cell r="F18">
            <v>0.35091102741313918</v>
          </cell>
          <cell r="G18">
            <v>0.36179951438090208</v>
          </cell>
          <cell r="H18" t="e">
            <v>#REF!</v>
          </cell>
          <cell r="I18" t="e">
            <v>#REF!</v>
          </cell>
          <cell r="J18">
            <v>0.35904923777586739</v>
          </cell>
          <cell r="K18" t="e">
            <v>#REF!</v>
          </cell>
          <cell r="L18" t="e">
            <v>#REF!</v>
          </cell>
          <cell r="M18">
            <v>0.36046029767457211</v>
          </cell>
          <cell r="N18" t="e">
            <v>#REF!</v>
          </cell>
          <cell r="O18">
            <v>0.36410505737249754</v>
          </cell>
          <cell r="P18" t="str">
            <v>41.7% - 45.0%</v>
          </cell>
          <cell r="Q18" t="str">
            <v>42.3% - 45.0%</v>
          </cell>
        </row>
        <row r="19">
          <cell r="B19" t="str">
            <v>Total Capex</v>
          </cell>
          <cell r="D19">
            <v>66.844999999999999</v>
          </cell>
          <cell r="E19">
            <v>75.947000000000003</v>
          </cell>
          <cell r="F19">
            <v>73.424999999999997</v>
          </cell>
          <cell r="G19">
            <v>69.2</v>
          </cell>
          <cell r="H19">
            <v>68.400000000000006</v>
          </cell>
          <cell r="I19" t="e">
            <v>#REF!</v>
          </cell>
          <cell r="J19">
            <v>59.930999999999997</v>
          </cell>
          <cell r="K19" t="e">
            <v>#REF!</v>
          </cell>
          <cell r="L19" t="e">
            <v>#REF!</v>
          </cell>
          <cell r="M19">
            <v>274.90299999999996</v>
          </cell>
          <cell r="N19" t="e">
            <v>#REF!</v>
          </cell>
          <cell r="O19">
            <v>321.84399999999999</v>
          </cell>
          <cell r="P19" t="str">
            <v>$325 - $375</v>
          </cell>
          <cell r="Q19" t="str">
            <v>$325 - $375</v>
          </cell>
          <cell r="R19">
            <v>275</v>
          </cell>
        </row>
        <row r="20">
          <cell r="B20" t="str">
            <v>Capex % of Rev</v>
          </cell>
          <cell r="D20">
            <v>0.23036495847261948</v>
          </cell>
          <cell r="E20">
            <v>0.26043227636059385</v>
          </cell>
          <cell r="F20">
            <v>0.24669809260460096</v>
          </cell>
          <cell r="G20">
            <v>0.22985527753696122</v>
          </cell>
          <cell r="H20" t="e">
            <v>#REF!</v>
          </cell>
          <cell r="I20" t="e">
            <v>#REF!</v>
          </cell>
          <cell r="J20">
            <v>0.19664595132002913</v>
          </cell>
          <cell r="K20" t="e">
            <v>#REF!</v>
          </cell>
          <cell r="L20" t="e">
            <v>#REF!</v>
          </cell>
          <cell r="M20">
            <v>0.2269318716515738</v>
          </cell>
          <cell r="N20" t="e">
            <v>#REF!</v>
          </cell>
          <cell r="O20">
            <v>0.25278929538922895</v>
          </cell>
          <cell r="P20" t="str">
            <v>37.1% - 43.9%</v>
          </cell>
          <cell r="Q20" t="str">
            <v>37.1% - 43.9%</v>
          </cell>
        </row>
        <row r="21">
          <cell r="K21">
            <v>0</v>
          </cell>
          <cell r="L21" t="e">
            <v>#REF!</v>
          </cell>
          <cell r="N21" t="e">
            <v>#REF!</v>
          </cell>
        </row>
        <row r="22">
          <cell r="B22" t="str">
            <v>FCF (1)</v>
          </cell>
          <cell r="D22">
            <v>10.695000000000007</v>
          </cell>
          <cell r="E22">
            <v>5.4429999999999694</v>
          </cell>
          <cell r="F22">
            <v>9.6890000000000356</v>
          </cell>
          <cell r="G22">
            <v>18.776999999999987</v>
          </cell>
          <cell r="H22" t="str">
            <v>NA</v>
          </cell>
          <cell r="I22" t="e">
            <v>#REF!</v>
          </cell>
          <cell r="J22">
            <v>33.759</v>
          </cell>
          <cell r="K22" t="e">
            <v>#REF!</v>
          </cell>
          <cell r="L22" t="e">
            <v>#REF!</v>
          </cell>
          <cell r="M22">
            <v>78.113999999999862</v>
          </cell>
          <cell r="N22" t="e">
            <v>#REF!</v>
          </cell>
          <cell r="O22">
            <v>61.380000000000109</v>
          </cell>
        </row>
        <row r="23">
          <cell r="B23" t="str">
            <v>FCF (2)</v>
          </cell>
          <cell r="D23">
            <v>4.9340000000000117</v>
          </cell>
          <cell r="E23">
            <v>3.4439999999999742</v>
          </cell>
          <cell r="F23">
            <v>-9.5989999999999682</v>
          </cell>
          <cell r="G23">
            <v>37.401999999999987</v>
          </cell>
          <cell r="H23" t="str">
            <v>NA</v>
          </cell>
          <cell r="I23" t="e">
            <v>#REF!</v>
          </cell>
          <cell r="J23">
            <v>47.844000000000008</v>
          </cell>
          <cell r="K23" t="e">
            <v>#REF!</v>
          </cell>
          <cell r="L23" t="e">
            <v>#REF!</v>
          </cell>
          <cell r="M23">
            <v>115.57500000000016</v>
          </cell>
          <cell r="N23" t="e">
            <v>#REF!</v>
          </cell>
          <cell r="O23">
            <v>63.908000000000015</v>
          </cell>
        </row>
        <row r="24">
          <cell r="B24" t="str">
            <v>Adjusted EPS</v>
          </cell>
          <cell r="D24">
            <v>-2.1501340482573669E-2</v>
          </cell>
          <cell r="E24">
            <v>-1.2490430718403711E-3</v>
          </cell>
          <cell r="F24">
            <v>1.9478806652553766E-2</v>
          </cell>
          <cell r="G24">
            <v>3.9954044738798274E-2</v>
          </cell>
          <cell r="H24">
            <v>0.04</v>
          </cell>
          <cell r="I24" t="e">
            <v>#REF!</v>
          </cell>
          <cell r="J24">
            <v>0.05</v>
          </cell>
          <cell r="K24" t="e">
            <v>#REF!</v>
          </cell>
          <cell r="L24" t="e">
            <v>#REF!</v>
          </cell>
          <cell r="M24">
            <v>0.12403074663666429</v>
          </cell>
          <cell r="N24" t="e">
            <v>#REF!</v>
          </cell>
          <cell r="O24">
            <v>2.2853790662125566</v>
          </cell>
        </row>
        <row r="25">
          <cell r="U25" t="str">
            <v>Guidance 2009 (1Q09)</v>
          </cell>
          <cell r="V25" t="str">
            <v>Guidance 2009 (2Q09)</v>
          </cell>
          <cell r="W25" t="str">
            <v>Guidance 2009 (3Q09)</v>
          </cell>
        </row>
        <row r="26">
          <cell r="R26" t="str">
            <v>($MM)</v>
          </cell>
        </row>
        <row r="28">
          <cell r="R28" t="str">
            <v>Total Capex</v>
          </cell>
          <cell r="U28" t="str">
            <v>$250 - $275</v>
          </cell>
          <cell r="V28">
            <v>275</v>
          </cell>
          <cell r="W28">
            <v>275</v>
          </cell>
        </row>
      </sheetData>
      <sheetData sheetId="15"/>
      <sheetData sheetId="16"/>
      <sheetData sheetId="17"/>
      <sheetData sheetId="18"/>
      <sheetData sheetId="19"/>
      <sheetData sheetId="20"/>
      <sheetData sheetId="21"/>
      <sheetData sheetId="22"/>
      <sheetData sheetId="2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Sheet1 (2)"/>
      <sheetName val="Sheet1"/>
      <sheetName val="Synergies"/>
      <sheetName val="Unemploy"/>
      <sheetName val="Sheet2"/>
    </sheetNames>
    <sheetDataSet>
      <sheetData sheetId="0"/>
      <sheetData sheetId="1"/>
      <sheetData sheetId="2">
        <row r="3">
          <cell r="C3" t="str">
            <v>EMBARQ</v>
          </cell>
          <cell r="H3" t="str">
            <v>CTL</v>
          </cell>
          <cell r="L3" t="str">
            <v>CTL + EQ</v>
          </cell>
          <cell r="R3" t="str">
            <v>Y/Y Change in Unemployment (bps)</v>
          </cell>
          <cell r="X3" t="str">
            <v>Y/Y Change in Business Bankruptcies (%)</v>
          </cell>
        </row>
        <row r="4">
          <cell r="C4" t="str">
            <v>Employees</v>
          </cell>
          <cell r="D4" t="str">
            <v>Retirees</v>
          </cell>
          <cell r="E4" t="str">
            <v>Access lines</v>
          </cell>
          <cell r="F4" t="str">
            <v>DSL enabled</v>
          </cell>
          <cell r="G4" t="str">
            <v>2006 bkdw</v>
          </cell>
          <cell r="H4" t="str">
            <v>Employees</v>
          </cell>
          <cell r="I4" t="str">
            <v>Retirees</v>
          </cell>
          <cell r="J4" t="str">
            <v>Access lines</v>
          </cell>
          <cell r="K4" t="str">
            <v>DSL enabled</v>
          </cell>
          <cell r="Q4" t="str">
            <v>% of 
access lines</v>
          </cell>
          <cell r="R4" t="str">
            <v>4Q07</v>
          </cell>
          <cell r="S4" t="str">
            <v>1Q08</v>
          </cell>
          <cell r="T4" t="str">
            <v>2Q08</v>
          </cell>
          <cell r="U4" t="str">
            <v>3Q08</v>
          </cell>
          <cell r="V4" t="str">
            <v>4Q08</v>
          </cell>
          <cell r="W4" t="str">
            <v>1Q09</v>
          </cell>
          <cell r="X4" t="str">
            <v>4Q07</v>
          </cell>
          <cell r="Y4" t="str">
            <v>1Q08</v>
          </cell>
          <cell r="Z4" t="str">
            <v>2Q08</v>
          </cell>
          <cell r="AA4" t="str">
            <v>3Q08</v>
          </cell>
          <cell r="AB4" t="str">
            <v>4Q08</v>
          </cell>
          <cell r="AC4" t="str">
            <v>1Q09</v>
          </cell>
          <cell r="AD4" t="str">
            <v>2Q09</v>
          </cell>
          <cell r="AN4">
            <v>39747</v>
          </cell>
          <cell r="AO4">
            <v>39813</v>
          </cell>
          <cell r="AP4">
            <v>39903</v>
          </cell>
          <cell r="AQ4">
            <v>39957</v>
          </cell>
          <cell r="AR4">
            <v>39988</v>
          </cell>
        </row>
        <row r="5">
          <cell r="A5">
            <v>1</v>
          </cell>
          <cell r="B5" t="str">
            <v>Florida</v>
          </cell>
          <cell r="C5">
            <v>4451</v>
          </cell>
          <cell r="D5">
            <v>3583</v>
          </cell>
          <cell r="E5">
            <v>1532907.2</v>
          </cell>
          <cell r="F5" t="str">
            <v>na</v>
          </cell>
          <cell r="G5">
            <v>0.27610000000000001</v>
          </cell>
          <cell r="L5">
            <v>1532907.2</v>
          </cell>
          <cell r="M5">
            <v>0.20389840642352119</v>
          </cell>
          <cell r="P5" t="str">
            <v>Florida</v>
          </cell>
          <cell r="Q5">
            <v>0.20389840642352119</v>
          </cell>
          <cell r="W5">
            <v>420.00000000000011</v>
          </cell>
          <cell r="AB5">
            <v>0.68524096385542177</v>
          </cell>
          <cell r="AC5">
            <v>0.42312579415501905</v>
          </cell>
          <cell r="AD5">
            <v>0.65272496831432192</v>
          </cell>
          <cell r="AM5" t="str">
            <v>CTL</v>
          </cell>
          <cell r="AN5">
            <v>29.5</v>
          </cell>
          <cell r="AO5">
            <v>27.330000000000002</v>
          </cell>
          <cell r="AP5">
            <v>28.12</v>
          </cell>
          <cell r="AQ5">
            <v>29.400000000000002</v>
          </cell>
          <cell r="AR5">
            <v>31.51</v>
          </cell>
        </row>
        <row r="6">
          <cell r="A6">
            <v>2</v>
          </cell>
          <cell r="B6" t="str">
            <v>North Carolina</v>
          </cell>
          <cell r="C6">
            <v>2913</v>
          </cell>
          <cell r="D6">
            <v>3826</v>
          </cell>
          <cell r="E6">
            <v>1032672</v>
          </cell>
          <cell r="F6" t="str">
            <v>na</v>
          </cell>
          <cell r="G6">
            <v>0.186</v>
          </cell>
          <cell r="H6">
            <v>35</v>
          </cell>
          <cell r="J6">
            <v>12621</v>
          </cell>
          <cell r="K6">
            <v>0.94640000000000002</v>
          </cell>
          <cell r="L6">
            <v>1045293</v>
          </cell>
          <cell r="M6">
            <v>0.13903879957355653</v>
          </cell>
          <cell r="P6" t="str">
            <v>North Carolina</v>
          </cell>
          <cell r="Q6">
            <v>0.13903879957355653</v>
          </cell>
          <cell r="W6">
            <v>309.99999999999989</v>
          </cell>
          <cell r="AB6">
            <v>0.40677966101694918</v>
          </cell>
          <cell r="AC6">
            <v>0.68306010928961758</v>
          </cell>
          <cell r="AD6">
            <v>0.54672897196261672</v>
          </cell>
          <cell r="AM6" t="str">
            <v>WIN</v>
          </cell>
          <cell r="AN6">
            <v>7.66</v>
          </cell>
          <cell r="AO6">
            <v>9.2000000000000011</v>
          </cell>
          <cell r="AP6">
            <v>8.06</v>
          </cell>
          <cell r="AQ6">
            <v>8.1300000000000008</v>
          </cell>
          <cell r="AR6">
            <v>8.51</v>
          </cell>
        </row>
        <row r="7">
          <cell r="A7">
            <v>3</v>
          </cell>
          <cell r="B7" t="str">
            <v>Nevada</v>
          </cell>
          <cell r="C7">
            <v>1123</v>
          </cell>
          <cell r="D7">
            <v>906</v>
          </cell>
          <cell r="E7">
            <v>577408</v>
          </cell>
          <cell r="F7" t="str">
            <v>na</v>
          </cell>
          <cell r="G7">
            <v>0.104</v>
          </cell>
          <cell r="L7">
            <v>577408</v>
          </cell>
          <cell r="M7">
            <v>7.6803456240659915E-2</v>
          </cell>
          <cell r="P7" t="str">
            <v>Nevada</v>
          </cell>
          <cell r="Q7">
            <v>7.6803456240659915E-2</v>
          </cell>
          <cell r="W7">
            <v>460</v>
          </cell>
          <cell r="AB7">
            <v>0.78651685393258419</v>
          </cell>
          <cell r="AC7">
            <v>1.2735849056603774</v>
          </cell>
          <cell r="AD7">
            <v>1.0849056603773586</v>
          </cell>
          <cell r="AM7" t="str">
            <v>FTR</v>
          </cell>
          <cell r="AN7">
            <v>7.71</v>
          </cell>
          <cell r="AO7">
            <v>8.74</v>
          </cell>
          <cell r="AP7">
            <v>7.18</v>
          </cell>
          <cell r="AQ7">
            <v>7.01</v>
          </cell>
          <cell r="AR7">
            <v>7.01</v>
          </cell>
        </row>
        <row r="8">
          <cell r="A8">
            <v>4</v>
          </cell>
          <cell r="B8" t="str">
            <v>Missouri</v>
          </cell>
          <cell r="C8">
            <v>485</v>
          </cell>
          <cell r="D8">
            <v>780</v>
          </cell>
          <cell r="E8">
            <v>177108.8</v>
          </cell>
          <cell r="F8" t="str">
            <v>na</v>
          </cell>
          <cell r="G8">
            <v>3.1899999999999998E-2</v>
          </cell>
          <cell r="H8">
            <v>794</v>
          </cell>
          <cell r="J8">
            <v>381706</v>
          </cell>
          <cell r="K8">
            <v>0.86760000000000004</v>
          </cell>
          <cell r="L8">
            <v>558814.80000000005</v>
          </cell>
          <cell r="M8">
            <v>7.4330296841112573E-2</v>
          </cell>
          <cell r="P8" t="str">
            <v>Missouri</v>
          </cell>
          <cell r="Q8">
            <v>7.4330296841112573E-2</v>
          </cell>
          <cell r="W8">
            <v>250.00000000000009</v>
          </cell>
          <cell r="AB8">
            <v>0.33333333333333326</v>
          </cell>
          <cell r="AC8">
            <v>0.20408163265306123</v>
          </cell>
          <cell r="AD8">
            <v>0.35294117647058831</v>
          </cell>
          <cell r="AM8" t="str">
            <v>Q</v>
          </cell>
          <cell r="AN8">
            <v>2.29</v>
          </cell>
          <cell r="AO8">
            <v>3.64</v>
          </cell>
          <cell r="AP8">
            <v>3.42</v>
          </cell>
          <cell r="AQ8">
            <v>4.01</v>
          </cell>
          <cell r="AR8">
            <v>3.96</v>
          </cell>
        </row>
        <row r="9">
          <cell r="A9">
            <v>5</v>
          </cell>
          <cell r="B9" t="str">
            <v>Ohio</v>
          </cell>
          <cell r="C9">
            <v>1086</v>
          </cell>
          <cell r="D9">
            <v>1829</v>
          </cell>
          <cell r="E9">
            <v>388084.80000000005</v>
          </cell>
          <cell r="F9" t="str">
            <v>na</v>
          </cell>
          <cell r="G9">
            <v>6.9900000000000004E-2</v>
          </cell>
          <cell r="H9">
            <v>126</v>
          </cell>
          <cell r="J9">
            <v>55476</v>
          </cell>
          <cell r="K9">
            <v>0.99760000000000004</v>
          </cell>
          <cell r="L9">
            <v>443560.80000000005</v>
          </cell>
          <cell r="M9">
            <v>5.8999879622159912E-2</v>
          </cell>
          <cell r="P9" t="str">
            <v>Ohio</v>
          </cell>
          <cell r="Q9">
            <v>5.8999879622159912E-2</v>
          </cell>
          <cell r="W9">
            <v>349.99999999999989</v>
          </cell>
          <cell r="AB9">
            <v>0.3267326732673268</v>
          </cell>
          <cell r="AC9">
            <v>0.39882697947214085</v>
          </cell>
          <cell r="AD9">
            <v>0.42500000000000004</v>
          </cell>
          <cell r="AM9" t="str">
            <v>T</v>
          </cell>
          <cell r="AN9">
            <v>24.68</v>
          </cell>
          <cell r="AO9">
            <v>28.5</v>
          </cell>
          <cell r="AP9">
            <v>25.200000000000003</v>
          </cell>
          <cell r="AQ9">
            <v>23.68</v>
          </cell>
          <cell r="AR9">
            <v>24.650000000000002</v>
          </cell>
        </row>
        <row r="10">
          <cell r="A10">
            <v>6</v>
          </cell>
          <cell r="B10" t="str">
            <v>Virginia</v>
          </cell>
          <cell r="C10">
            <v>472</v>
          </cell>
          <cell r="D10">
            <v>1153</v>
          </cell>
          <cell r="E10">
            <v>277600</v>
          </cell>
          <cell r="G10">
            <v>0.05</v>
          </cell>
          <cell r="H10">
            <v>372</v>
          </cell>
          <cell r="J10">
            <v>144078</v>
          </cell>
          <cell r="K10">
            <v>0.90400000000000003</v>
          </cell>
          <cell r="L10">
            <v>421678</v>
          </cell>
          <cell r="M10">
            <v>5.6089156749904737E-2</v>
          </cell>
          <cell r="P10" t="str">
            <v>Virginia</v>
          </cell>
          <cell r="Q10">
            <v>5.6089156749904737E-2</v>
          </cell>
          <cell r="W10">
            <v>190.00000000000003</v>
          </cell>
          <cell r="AB10">
            <v>0.35532994923857864</v>
          </cell>
          <cell r="AC10">
            <v>0.43497757847533625</v>
          </cell>
          <cell r="AD10">
            <v>0.15481171548117145</v>
          </cell>
          <cell r="AM10" t="str">
            <v>VZ</v>
          </cell>
          <cell r="AN10">
            <v>25.080000000000002</v>
          </cell>
          <cell r="AO10">
            <v>33.9</v>
          </cell>
          <cell r="AP10">
            <v>30.200000000000003</v>
          </cell>
          <cell r="AQ10">
            <v>28.810000000000002</v>
          </cell>
          <cell r="AR10">
            <v>30.8</v>
          </cell>
        </row>
        <row r="11">
          <cell r="A11">
            <v>7</v>
          </cell>
          <cell r="B11" t="str">
            <v>Wisconsin</v>
          </cell>
          <cell r="E11">
            <v>0</v>
          </cell>
          <cell r="H11">
            <v>1255</v>
          </cell>
          <cell r="J11">
            <v>355597</v>
          </cell>
          <cell r="K11">
            <v>0.88959999999999995</v>
          </cell>
          <cell r="L11">
            <v>355597</v>
          </cell>
          <cell r="M11">
            <v>4.7299446195428439E-2</v>
          </cell>
          <cell r="P11" t="str">
            <v>Wisconsin</v>
          </cell>
          <cell r="Q11">
            <v>4.7299446195428439E-2</v>
          </cell>
          <cell r="W11">
            <v>279.99999999999989</v>
          </cell>
          <cell r="AB11">
            <v>0.50387596899224807</v>
          </cell>
          <cell r="AC11">
            <v>0.68503937007874005</v>
          </cell>
          <cell r="AD11">
            <v>0.32515337423312873</v>
          </cell>
          <cell r="AM11" t="str">
            <v>IWA</v>
          </cell>
          <cell r="AN11">
            <v>14.88</v>
          </cell>
          <cell r="AO11">
            <v>14.280000000000001</v>
          </cell>
          <cell r="AP11">
            <v>11.46</v>
          </cell>
          <cell r="AQ11">
            <v>11.43</v>
          </cell>
          <cell r="AR11">
            <v>12.92</v>
          </cell>
        </row>
        <row r="12">
          <cell r="A12">
            <v>8</v>
          </cell>
          <cell r="B12" t="str">
            <v>Texas</v>
          </cell>
          <cell r="C12">
            <v>668</v>
          </cell>
          <cell r="D12">
            <v>803</v>
          </cell>
          <cell r="E12">
            <v>266496</v>
          </cell>
          <cell r="G12">
            <v>4.8000000000000001E-2</v>
          </cell>
          <cell r="H12">
            <v>139</v>
          </cell>
          <cell r="J12">
            <v>30374</v>
          </cell>
          <cell r="K12">
            <v>0.99929999999999997</v>
          </cell>
          <cell r="L12">
            <v>296870</v>
          </cell>
          <cell r="M12">
            <v>3.9487921979197919E-2</v>
          </cell>
          <cell r="P12" t="str">
            <v>Texas</v>
          </cell>
          <cell r="Q12">
            <v>3.9487921979197919E-2</v>
          </cell>
          <cell r="W12">
            <v>270.00000000000011</v>
          </cell>
          <cell r="AB12">
            <v>0.39221556886227549</v>
          </cell>
          <cell r="AC12">
            <v>0.58513931888544901</v>
          </cell>
          <cell r="AD12">
            <v>0.7009602194787381</v>
          </cell>
          <cell r="AM12" t="str">
            <v>EQ</v>
          </cell>
          <cell r="AN12">
            <v>29.740000000000002</v>
          </cell>
          <cell r="AO12">
            <v>35.96</v>
          </cell>
          <cell r="AP12">
            <v>37.85</v>
          </cell>
          <cell r="AQ12">
            <v>39.93</v>
          </cell>
          <cell r="AR12">
            <v>43.02</v>
          </cell>
        </row>
        <row r="13">
          <cell r="A13">
            <v>9</v>
          </cell>
          <cell r="B13" t="str">
            <v>Pennsylvania</v>
          </cell>
          <cell r="C13">
            <v>750</v>
          </cell>
          <cell r="D13">
            <v>1047</v>
          </cell>
          <cell r="E13">
            <v>288704</v>
          </cell>
          <cell r="G13">
            <v>5.1999999999999998E-2</v>
          </cell>
          <cell r="L13">
            <v>288704</v>
          </cell>
          <cell r="M13">
            <v>3.8401728120329957E-2</v>
          </cell>
          <cell r="P13" t="str">
            <v>Pennsylvania</v>
          </cell>
          <cell r="Q13">
            <v>3.8401728120329957E-2</v>
          </cell>
          <cell r="W13">
            <v>250.00000000000009</v>
          </cell>
          <cell r="AB13">
            <v>0.15916955017301038</v>
          </cell>
          <cell r="AC13">
            <v>0.67543859649122817</v>
          </cell>
          <cell r="AD13">
            <v>0.41964285714285721</v>
          </cell>
          <cell r="AM13" t="str">
            <v>CBB</v>
          </cell>
          <cell r="AN13">
            <v>1.94</v>
          </cell>
          <cell r="AO13">
            <v>1.93</v>
          </cell>
          <cell r="AP13">
            <v>2.3000000000000003</v>
          </cell>
          <cell r="AQ13">
            <v>2.5300000000000002</v>
          </cell>
          <cell r="AR13">
            <v>2.95</v>
          </cell>
        </row>
        <row r="14">
          <cell r="A14">
            <v>10</v>
          </cell>
          <cell r="B14" t="str">
            <v>Alabama</v>
          </cell>
          <cell r="E14">
            <v>0</v>
          </cell>
          <cell r="H14">
            <v>539</v>
          </cell>
          <cell r="J14">
            <v>263480</v>
          </cell>
          <cell r="K14">
            <v>0.91349999999999998</v>
          </cell>
          <cell r="L14">
            <v>263480</v>
          </cell>
          <cell r="M14">
            <v>3.5046578243268324E-2</v>
          </cell>
          <cell r="P14" t="str">
            <v>Alabama</v>
          </cell>
          <cell r="Q14">
            <v>3.5046578243268324E-2</v>
          </cell>
          <cell r="W14">
            <v>450</v>
          </cell>
          <cell r="AB14">
            <v>0.71428571428571419</v>
          </cell>
          <cell r="AC14">
            <v>0.67543859649122817</v>
          </cell>
          <cell r="AD14">
            <v>0.61417322834645671</v>
          </cell>
        </row>
        <row r="15">
          <cell r="A15">
            <v>11</v>
          </cell>
          <cell r="B15" t="str">
            <v>Arkansas</v>
          </cell>
          <cell r="E15">
            <v>0</v>
          </cell>
          <cell r="H15">
            <v>430</v>
          </cell>
          <cell r="J15">
            <v>194652</v>
          </cell>
          <cell r="K15">
            <v>0.8901</v>
          </cell>
          <cell r="L15">
            <v>194652</v>
          </cell>
          <cell r="M15">
            <v>2.5891477714470416E-2</v>
          </cell>
          <cell r="P15" t="str">
            <v>Arkansas</v>
          </cell>
          <cell r="Q15">
            <v>2.5891477714470416E-2</v>
          </cell>
          <cell r="W15">
            <v>199.99999999999997</v>
          </cell>
          <cell r="AB15">
            <v>0.375</v>
          </cell>
          <cell r="AC15">
            <v>0.42452830188679247</v>
          </cell>
          <cell r="AD15">
            <v>0.41964285714285721</v>
          </cell>
          <cell r="AN15" t="str">
            <v>Since announcement</v>
          </cell>
          <cell r="AO15" t="str">
            <v>YTD</v>
          </cell>
          <cell r="AP15" t="str">
            <v>QTD</v>
          </cell>
          <cell r="AQ15" t="str">
            <v>MTD</v>
          </cell>
        </row>
        <row r="16">
          <cell r="A16">
            <v>12</v>
          </cell>
          <cell r="B16" t="str">
            <v>Indiana</v>
          </cell>
          <cell r="C16">
            <v>427</v>
          </cell>
          <cell r="D16">
            <v>675</v>
          </cell>
          <cell r="E16">
            <v>185436.79999999999</v>
          </cell>
          <cell r="F16" t="str">
            <v>na</v>
          </cell>
          <cell r="G16">
            <v>3.3399999999999999E-2</v>
          </cell>
          <cell r="H16">
            <v>11</v>
          </cell>
          <cell r="J16">
            <v>4014</v>
          </cell>
          <cell r="K16">
            <v>0.75509999999999999</v>
          </cell>
          <cell r="L16">
            <v>189450.8</v>
          </cell>
          <cell r="M16">
            <v>2.5199644320061401E-2</v>
          </cell>
          <cell r="P16" t="str">
            <v>Indiana</v>
          </cell>
          <cell r="Q16">
            <v>2.5199644320061401E-2</v>
          </cell>
          <cell r="W16">
            <v>210.00000000000006</v>
          </cell>
          <cell r="AB16">
            <v>0.30813953488372103</v>
          </cell>
          <cell r="AC16">
            <v>9.4444444444444553E-2</v>
          </cell>
          <cell r="AD16">
            <v>0.20304568527918776</v>
          </cell>
          <cell r="AM16" t="str">
            <v>CTL</v>
          </cell>
          <cell r="AN16">
            <v>6.813559322033913E-2</v>
          </cell>
          <cell r="AO16">
            <v>0.15294548115623852</v>
          </cell>
          <cell r="AP16">
            <v>0.12055476529160747</v>
          </cell>
          <cell r="AQ16">
            <v>7.1768707482993133E-2</v>
          </cell>
        </row>
        <row r="17">
          <cell r="A17">
            <v>13</v>
          </cell>
          <cell r="B17" t="str">
            <v>Tennessee</v>
          </cell>
          <cell r="C17">
            <v>738</v>
          </cell>
          <cell r="D17">
            <v>878</v>
          </cell>
          <cell r="E17">
            <v>163228.79999999999</v>
          </cell>
          <cell r="G17">
            <v>2.9399999999999999E-2</v>
          </cell>
          <cell r="H17">
            <v>44</v>
          </cell>
          <cell r="J17">
            <v>21128</v>
          </cell>
          <cell r="K17">
            <v>0.90910000000000002</v>
          </cell>
          <cell r="L17">
            <v>184356.8</v>
          </cell>
          <cell r="M17">
            <v>2.4522070046601521E-2</v>
          </cell>
          <cell r="P17" t="str">
            <v>Tennessee</v>
          </cell>
          <cell r="Q17">
            <v>2.4522070046601521E-2</v>
          </cell>
          <cell r="W17">
            <v>330</v>
          </cell>
          <cell r="AB17">
            <v>1.0499999999999998</v>
          </cell>
          <cell r="AC17">
            <v>0.63276836158192085</v>
          </cell>
          <cell r="AD17">
            <v>0.61650485436893199</v>
          </cell>
          <cell r="AM17" t="str">
            <v>WIN</v>
          </cell>
          <cell r="AN17">
            <v>0.11096605744125321</v>
          </cell>
          <cell r="AO17">
            <v>-7.5000000000000178E-2</v>
          </cell>
          <cell r="AP17">
            <v>5.583126550868478E-2</v>
          </cell>
          <cell r="AQ17">
            <v>4.6740467404673858E-2</v>
          </cell>
        </row>
        <row r="18">
          <cell r="A18">
            <v>14</v>
          </cell>
          <cell r="B18" t="str">
            <v>Minnesota</v>
          </cell>
          <cell r="C18">
            <v>149</v>
          </cell>
          <cell r="D18">
            <v>201</v>
          </cell>
          <cell r="E18">
            <v>144352</v>
          </cell>
          <cell r="F18" t="str">
            <v>na</v>
          </cell>
          <cell r="G18">
            <v>2.5999999999999999E-2</v>
          </cell>
          <cell r="H18">
            <v>40</v>
          </cell>
          <cell r="J18">
            <v>24921</v>
          </cell>
          <cell r="K18">
            <v>0.80640000000000001</v>
          </cell>
          <cell r="L18">
            <v>169273</v>
          </cell>
          <cell r="M18">
            <v>2.2515710638275236E-2</v>
          </cell>
          <cell r="P18" t="str">
            <v>Minnesota</v>
          </cell>
          <cell r="Q18">
            <v>2.2515710638275236E-2</v>
          </cell>
          <cell r="W18">
            <v>80.000000000000071</v>
          </cell>
          <cell r="AB18">
            <v>0.79411764705882359</v>
          </cell>
          <cell r="AC18">
            <v>0.10000000000000009</v>
          </cell>
          <cell r="AD18">
            <v>0.17346938775510212</v>
          </cell>
          <cell r="AM18" t="str">
            <v>FTR</v>
          </cell>
          <cell r="AN18">
            <v>-9.079118028534372E-2</v>
          </cell>
          <cell r="AO18">
            <v>-0.19794050343249436</v>
          </cell>
          <cell r="AP18">
            <v>-2.3676880222841201E-2</v>
          </cell>
          <cell r="AQ18">
            <v>0</v>
          </cell>
        </row>
        <row r="19">
          <cell r="A19">
            <v>15</v>
          </cell>
          <cell r="B19" t="str">
            <v>New Jersey</v>
          </cell>
          <cell r="C19">
            <v>216</v>
          </cell>
          <cell r="D19">
            <v>190</v>
          </cell>
          <cell r="E19">
            <v>152680</v>
          </cell>
          <cell r="F19" t="str">
            <v>na</v>
          </cell>
          <cell r="G19">
            <v>2.75E-2</v>
          </cell>
          <cell r="L19">
            <v>152680</v>
          </cell>
          <cell r="M19">
            <v>2.0308606217482192E-2</v>
          </cell>
          <cell r="P19" t="str">
            <v>New Jersey</v>
          </cell>
          <cell r="Q19">
            <v>2.0308606217482192E-2</v>
          </cell>
          <cell r="W19">
            <v>329.99999999999989</v>
          </cell>
          <cell r="AB19">
            <v>0.34347826086956523</v>
          </cell>
          <cell r="AC19">
            <v>0.67226890756302526</v>
          </cell>
          <cell r="AD19">
            <v>0.54393305439330542</v>
          </cell>
          <cell r="AM19" t="str">
            <v>Q</v>
          </cell>
          <cell r="AN19">
            <v>0.72925764192139741</v>
          </cell>
          <cell r="AO19">
            <v>8.7912087912087822E-2</v>
          </cell>
          <cell r="AP19">
            <v>0.15789473684210531</v>
          </cell>
          <cell r="AQ19">
            <v>-1.2468827930174564E-2</v>
          </cell>
        </row>
        <row r="20">
          <cell r="A20">
            <v>16</v>
          </cell>
          <cell r="B20" t="str">
            <v>Oregon</v>
          </cell>
          <cell r="C20">
            <v>419</v>
          </cell>
          <cell r="D20">
            <v>251</v>
          </cell>
          <cell r="E20">
            <v>53854.400000000001</v>
          </cell>
          <cell r="G20">
            <v>9.7000000000000003E-3</v>
          </cell>
          <cell r="H20">
            <v>96</v>
          </cell>
          <cell r="J20">
            <v>61098</v>
          </cell>
          <cell r="K20">
            <v>0.86260000000000003</v>
          </cell>
          <cell r="L20">
            <v>114952.4</v>
          </cell>
          <cell r="M20">
            <v>1.529030013986442E-2</v>
          </cell>
          <cell r="P20" t="str">
            <v>Oregon</v>
          </cell>
          <cell r="Q20">
            <v>1.529030013986442E-2</v>
          </cell>
          <cell r="W20">
            <v>269.99999999999994</v>
          </cell>
          <cell r="AB20">
            <v>1.3134328358208953</v>
          </cell>
          <cell r="AC20">
            <v>1.1129032258064515</v>
          </cell>
          <cell r="AD20">
            <v>0.84782608695652173</v>
          </cell>
          <cell r="AM20" t="str">
            <v>T</v>
          </cell>
          <cell r="AN20">
            <v>-1.2155591572121649E-3</v>
          </cell>
          <cell r="AO20">
            <v>-0.13508771929824559</v>
          </cell>
          <cell r="AP20">
            <v>-2.1825396825396859E-2</v>
          </cell>
          <cell r="AQ20">
            <v>4.096283783783794E-2</v>
          </cell>
        </row>
        <row r="21">
          <cell r="A21">
            <v>17</v>
          </cell>
          <cell r="B21" t="str">
            <v>Michigan</v>
          </cell>
          <cell r="E21">
            <v>0</v>
          </cell>
          <cell r="H21">
            <v>118</v>
          </cell>
          <cell r="J21">
            <v>85065</v>
          </cell>
          <cell r="K21">
            <v>0.83440000000000003</v>
          </cell>
          <cell r="L21">
            <v>85065</v>
          </cell>
          <cell r="M21">
            <v>1.1314851898677774E-2</v>
          </cell>
          <cell r="P21" t="str">
            <v>Michigan</v>
          </cell>
          <cell r="Q21">
            <v>1.1314851898677774E-2</v>
          </cell>
          <cell r="W21">
            <v>440</v>
          </cell>
          <cell r="AB21">
            <v>0.34441087613293053</v>
          </cell>
          <cell r="AC21">
            <v>0.32352941176470584</v>
          </cell>
          <cell r="AD21">
            <v>0.4688279301745637</v>
          </cell>
          <cell r="AM21" t="str">
            <v>VZ</v>
          </cell>
          <cell r="AN21">
            <v>0.22807017543859653</v>
          </cell>
          <cell r="AO21">
            <v>-9.1445427728613526E-2</v>
          </cell>
          <cell r="AP21">
            <v>1.9867549668874052E-2</v>
          </cell>
          <cell r="AQ21">
            <v>6.9073238458868369E-2</v>
          </cell>
        </row>
        <row r="22">
          <cell r="A22">
            <v>18</v>
          </cell>
          <cell r="B22" t="str">
            <v>Colorado</v>
          </cell>
          <cell r="E22">
            <v>0</v>
          </cell>
          <cell r="H22">
            <v>137</v>
          </cell>
          <cell r="J22">
            <v>80611</v>
          </cell>
          <cell r="K22">
            <v>0.76910000000000001</v>
          </cell>
          <cell r="L22">
            <v>80611</v>
          </cell>
          <cell r="M22">
            <v>1.0722406705511245E-2</v>
          </cell>
          <cell r="P22" t="str">
            <v>Colorado</v>
          </cell>
          <cell r="Q22">
            <v>1.0722406705511245E-2</v>
          </cell>
          <cell r="W22">
            <v>170</v>
          </cell>
          <cell r="AB22">
            <v>0.71597633136094685</v>
          </cell>
          <cell r="AC22">
            <v>0.58045977011494254</v>
          </cell>
          <cell r="AD22">
            <v>0.66666666666666674</v>
          </cell>
          <cell r="AM22" t="str">
            <v>IWA</v>
          </cell>
          <cell r="AN22">
            <v>-0.13172043010752699</v>
          </cell>
          <cell r="AO22">
            <v>-9.5238095238095344E-2</v>
          </cell>
          <cell r="AP22">
            <v>0.12739965095986028</v>
          </cell>
          <cell r="AQ22">
            <v>0.13035870516185488</v>
          </cell>
        </row>
        <row r="23">
          <cell r="A23">
            <v>19</v>
          </cell>
          <cell r="B23" t="str">
            <v>Kansas</v>
          </cell>
          <cell r="C23">
            <v>3804</v>
          </cell>
          <cell r="D23">
            <v>677</v>
          </cell>
          <cell r="E23">
            <v>80504</v>
          </cell>
          <cell r="F23" t="str">
            <v>na</v>
          </cell>
          <cell r="G23">
            <v>1.4500000000000001E-2</v>
          </cell>
          <cell r="L23">
            <v>80504</v>
          </cell>
          <cell r="M23">
            <v>1.0708174187399701E-2</v>
          </cell>
          <cell r="P23" t="str">
            <v>Kansas</v>
          </cell>
          <cell r="Q23">
            <v>1.0708174187399701E-2</v>
          </cell>
          <cell r="W23">
            <v>160</v>
          </cell>
          <cell r="AB23">
            <v>9.0909090909090828E-2</v>
          </cell>
          <cell r="AC23">
            <v>0.52542372881355925</v>
          </cell>
          <cell r="AD23">
            <v>0.33823529411764697</v>
          </cell>
          <cell r="AM23" t="str">
            <v>EQ</v>
          </cell>
          <cell r="AN23">
            <v>0.44653665097511763</v>
          </cell>
          <cell r="AO23">
            <v>0.19632925472747509</v>
          </cell>
          <cell r="AP23">
            <v>0.13659180977542928</v>
          </cell>
          <cell r="AQ23">
            <v>7.7385424492862676E-2</v>
          </cell>
        </row>
        <row r="24">
          <cell r="A24">
            <v>20</v>
          </cell>
          <cell r="B24" t="str">
            <v>South Carolina</v>
          </cell>
          <cell r="C24">
            <v>151</v>
          </cell>
          <cell r="D24">
            <v>251</v>
          </cell>
          <cell r="E24">
            <v>79948.800000000003</v>
          </cell>
          <cell r="G24">
            <v>1.44E-2</v>
          </cell>
          <cell r="L24">
            <v>79948.800000000003</v>
          </cell>
          <cell r="M24">
            <v>1.0634324710245221E-2</v>
          </cell>
          <cell r="P24" t="str">
            <v>South Carolina</v>
          </cell>
          <cell r="Q24">
            <v>1.0634324710245221E-2</v>
          </cell>
          <cell r="W24">
            <v>379.99999999999994</v>
          </cell>
          <cell r="AB24">
            <v>1.2051282051282053</v>
          </cell>
          <cell r="AC24">
            <v>1.54</v>
          </cell>
          <cell r="AD24">
            <v>0.47222222222222232</v>
          </cell>
          <cell r="AM24" t="str">
            <v>CBB</v>
          </cell>
          <cell r="AN24">
            <v>0.52061855670103108</v>
          </cell>
          <cell r="AO24">
            <v>0.52849740932642497</v>
          </cell>
          <cell r="AP24">
            <v>0.28260869565217384</v>
          </cell>
          <cell r="AQ24">
            <v>0.16600790513833985</v>
          </cell>
        </row>
        <row r="25">
          <cell r="A25">
            <v>21</v>
          </cell>
          <cell r="B25" t="str">
            <v>Louisiana</v>
          </cell>
          <cell r="E25">
            <v>0</v>
          </cell>
          <cell r="H25">
            <v>1834</v>
          </cell>
          <cell r="J25">
            <v>79006</v>
          </cell>
          <cell r="K25">
            <v>0.88829999999999998</v>
          </cell>
          <cell r="L25">
            <v>79006</v>
          </cell>
          <cell r="M25">
            <v>1.0508918933838079E-2</v>
          </cell>
          <cell r="P25" t="str">
            <v>Louisiana</v>
          </cell>
          <cell r="Q25">
            <v>1.0508918933838079E-2</v>
          </cell>
          <cell r="W25">
            <v>199.99999999999997</v>
          </cell>
          <cell r="AB25">
            <v>-2.515723270440251E-2</v>
          </cell>
          <cell r="AC25">
            <v>0.37037037037037046</v>
          </cell>
          <cell r="AD25">
            <v>0.47972972972972983</v>
          </cell>
        </row>
        <row r="26">
          <cell r="A26">
            <v>22</v>
          </cell>
          <cell r="B26" t="str">
            <v>Washington</v>
          </cell>
          <cell r="C26">
            <v>80</v>
          </cell>
          <cell r="D26">
            <v>162</v>
          </cell>
          <cell r="E26">
            <v>72176</v>
          </cell>
          <cell r="G26">
            <v>1.2999999999999999E-2</v>
          </cell>
          <cell r="L26">
            <v>72176</v>
          </cell>
          <cell r="M26">
            <v>9.6004320300824893E-3</v>
          </cell>
          <cell r="P26" t="str">
            <v>Washington</v>
          </cell>
          <cell r="Q26">
            <v>9.6004320300824893E-3</v>
          </cell>
          <cell r="W26">
            <v>300</v>
          </cell>
          <cell r="AB26">
            <v>0.51677852348993292</v>
          </cell>
          <cell r="AC26">
            <v>0.59459459459459452</v>
          </cell>
          <cell r="AD26">
            <v>1.2550335570469797</v>
          </cell>
          <cell r="AM26" t="str">
            <v>MAX</v>
          </cell>
          <cell r="AN26">
            <v>0.72925764192139741</v>
          </cell>
          <cell r="AO26">
            <v>0.19632925472747509</v>
          </cell>
          <cell r="AP26">
            <v>0.15789473684210531</v>
          </cell>
          <cell r="AQ26">
            <v>0.13035870516185488</v>
          </cell>
        </row>
        <row r="27">
          <cell r="A27">
            <v>23</v>
          </cell>
          <cell r="B27" t="str">
            <v>Nebraska</v>
          </cell>
          <cell r="C27">
            <v>29</v>
          </cell>
          <cell r="D27">
            <v>216</v>
          </cell>
          <cell r="E27">
            <v>71065.600000000006</v>
          </cell>
          <cell r="F27" t="str">
            <v>na</v>
          </cell>
          <cell r="G27">
            <v>1.2800000000000001E-2</v>
          </cell>
          <cell r="L27">
            <v>71065.600000000006</v>
          </cell>
          <cell r="M27">
            <v>9.4527330757735294E-3</v>
          </cell>
          <cell r="P27" t="str">
            <v>Nebraska</v>
          </cell>
          <cell r="Q27">
            <v>9.4527330757735294E-3</v>
          </cell>
          <cell r="W27">
            <v>80</v>
          </cell>
          <cell r="AB27">
            <v>0.2407407407407407</v>
          </cell>
          <cell r="AC27">
            <v>0.11475409836065564</v>
          </cell>
          <cell r="AD27">
            <v>0.7407407407407407</v>
          </cell>
        </row>
        <row r="28">
          <cell r="A28">
            <v>24</v>
          </cell>
          <cell r="B28" t="str">
            <v>Montana</v>
          </cell>
          <cell r="E28">
            <v>0</v>
          </cell>
          <cell r="H28">
            <v>90</v>
          </cell>
          <cell r="J28">
            <v>52107</v>
          </cell>
          <cell r="K28">
            <v>0.93030000000000002</v>
          </cell>
          <cell r="L28">
            <v>52107</v>
          </cell>
          <cell r="M28">
            <v>6.930970291946191E-3</v>
          </cell>
          <cell r="P28" t="str">
            <v>Montana</v>
          </cell>
          <cell r="Q28">
            <v>6.930970291946191E-3</v>
          </cell>
          <cell r="W28">
            <v>170</v>
          </cell>
          <cell r="AB28">
            <v>0.61538461538461542</v>
          </cell>
          <cell r="AC28">
            <v>0.68421052631578938</v>
          </cell>
          <cell r="AD28">
            <v>0.75</v>
          </cell>
          <cell r="AO28">
            <v>-7.22E-2</v>
          </cell>
        </row>
        <row r="29">
          <cell r="A29">
            <v>25</v>
          </cell>
          <cell r="B29" t="str">
            <v>Illinois</v>
          </cell>
          <cell r="E29">
            <v>0</v>
          </cell>
          <cell r="H29">
            <v>138</v>
          </cell>
          <cell r="J29">
            <v>51968</v>
          </cell>
          <cell r="K29">
            <v>0.94750000000000001</v>
          </cell>
          <cell r="L29">
            <v>51968</v>
          </cell>
          <cell r="M29">
            <v>6.9124813198199794E-3</v>
          </cell>
          <cell r="P29" t="str">
            <v>Illinois</v>
          </cell>
          <cell r="Q29">
            <v>6.9124813198199794E-3</v>
          </cell>
          <cell r="W29">
            <v>389.99999999999994</v>
          </cell>
          <cell r="AB29">
            <v>0.73239436619718301</v>
          </cell>
          <cell r="AC29">
            <v>1.2807692307692307</v>
          </cell>
          <cell r="AD29">
            <v>0.55585831062670299</v>
          </cell>
          <cell r="AO29">
            <v>2251.4548115623852</v>
          </cell>
        </row>
        <row r="30">
          <cell r="A30">
            <v>26</v>
          </cell>
          <cell r="B30" t="str">
            <v>Georgia</v>
          </cell>
          <cell r="E30">
            <v>0</v>
          </cell>
          <cell r="H30">
            <v>68</v>
          </cell>
          <cell r="J30">
            <v>29787</v>
          </cell>
          <cell r="K30">
            <v>1</v>
          </cell>
          <cell r="L30">
            <v>29787</v>
          </cell>
          <cell r="M30">
            <v>3.9620936167156272E-3</v>
          </cell>
          <cell r="P30" t="str">
            <v>Georgia</v>
          </cell>
          <cell r="Q30">
            <v>3.9620936167156272E-3</v>
          </cell>
          <cell r="W30">
            <v>280.00000000000011</v>
          </cell>
          <cell r="AB30">
            <v>0.81155778894472363</v>
          </cell>
          <cell r="AC30">
            <v>0.76957494407158844</v>
          </cell>
          <cell r="AD30">
            <v>0.63168724279835398</v>
          </cell>
        </row>
        <row r="31">
          <cell r="A31">
            <v>27</v>
          </cell>
          <cell r="B31" t="str">
            <v>Mississippi</v>
          </cell>
          <cell r="E31">
            <v>0</v>
          </cell>
          <cell r="H31">
            <v>30</v>
          </cell>
          <cell r="J31">
            <v>19998</v>
          </cell>
          <cell r="K31">
            <v>0.97050000000000003</v>
          </cell>
          <cell r="L31">
            <v>19998</v>
          </cell>
          <cell r="M31">
            <v>2.660017730791255E-3</v>
          </cell>
          <cell r="P31" t="str">
            <v>Mississippi</v>
          </cell>
          <cell r="Q31">
            <v>2.660017730791255E-3</v>
          </cell>
          <cell r="W31">
            <v>279.99999999999994</v>
          </cell>
          <cell r="AB31">
            <v>0.37681159420289845</v>
          </cell>
          <cell r="AC31">
            <v>0.29487179487179493</v>
          </cell>
          <cell r="AD31">
            <v>0.45121951219512191</v>
          </cell>
        </row>
        <row r="32">
          <cell r="A32">
            <v>28</v>
          </cell>
          <cell r="B32" t="str">
            <v>Wyoming</v>
          </cell>
          <cell r="C32">
            <v>5</v>
          </cell>
          <cell r="D32">
            <v>13</v>
          </cell>
          <cell r="E32">
            <v>7772.8</v>
          </cell>
          <cell r="G32">
            <v>1.4E-3</v>
          </cell>
          <cell r="H32">
            <v>11</v>
          </cell>
          <cell r="J32">
            <v>6388</v>
          </cell>
          <cell r="K32">
            <v>0.76129999999999998</v>
          </cell>
          <cell r="L32">
            <v>14160.8</v>
          </cell>
          <cell r="M32">
            <v>1.8835873128407244E-3</v>
          </cell>
          <cell r="P32" t="str">
            <v>Wyoming</v>
          </cell>
          <cell r="Q32">
            <v>1.8835873128407244E-3</v>
          </cell>
          <cell r="W32">
            <v>429.99999999999994</v>
          </cell>
          <cell r="AB32">
            <v>1.2000000000000002</v>
          </cell>
          <cell r="AC32">
            <v>3.4000000000000004</v>
          </cell>
          <cell r="AD32">
            <v>0.11764705882352944</v>
          </cell>
        </row>
        <row r="33">
          <cell r="A33">
            <v>29</v>
          </cell>
          <cell r="B33" t="str">
            <v>New Mexico</v>
          </cell>
          <cell r="E33">
            <v>0</v>
          </cell>
          <cell r="H33">
            <v>12</v>
          </cell>
          <cell r="J33">
            <v>5188</v>
          </cell>
          <cell r="K33" t="str">
            <v>na</v>
          </cell>
          <cell r="L33">
            <v>5188</v>
          </cell>
          <cell r="M33">
            <v>6.9007760712796443E-4</v>
          </cell>
          <cell r="P33" t="str">
            <v>New Mexico</v>
          </cell>
          <cell r="Q33">
            <v>6.9007760712796443E-4</v>
          </cell>
          <cell r="W33">
            <v>360.00000000000006</v>
          </cell>
          <cell r="AB33">
            <v>0.11904761904761907</v>
          </cell>
          <cell r="AC33">
            <v>0.95121951219512191</v>
          </cell>
          <cell r="AD33">
            <v>0.58490566037735858</v>
          </cell>
        </row>
        <row r="34">
          <cell r="A34">
            <v>30</v>
          </cell>
          <cell r="B34" t="str">
            <v>Idaho</v>
          </cell>
          <cell r="E34">
            <v>0</v>
          </cell>
          <cell r="H34">
            <v>7</v>
          </cell>
          <cell r="J34">
            <v>5129</v>
          </cell>
          <cell r="K34">
            <v>0.66500000000000004</v>
          </cell>
          <cell r="L34">
            <v>5129</v>
          </cell>
          <cell r="M34">
            <v>6.8222977003842128E-4</v>
          </cell>
          <cell r="P34" t="str">
            <v>Idaho</v>
          </cell>
          <cell r="Q34">
            <v>6.8222977003842128E-4</v>
          </cell>
          <cell r="W34">
            <v>300</v>
          </cell>
          <cell r="AB34">
            <v>0.96666666666666656</v>
          </cell>
          <cell r="AC34">
            <v>0.5</v>
          </cell>
          <cell r="AD34">
            <v>0.68421052631578938</v>
          </cell>
        </row>
        <row r="35">
          <cell r="A35">
            <v>31</v>
          </cell>
          <cell r="B35" t="str">
            <v>Iowa</v>
          </cell>
          <cell r="E35">
            <v>0</v>
          </cell>
          <cell r="H35">
            <v>5</v>
          </cell>
          <cell r="J35">
            <v>1603</v>
          </cell>
          <cell r="K35">
            <v>0.83909999999999996</v>
          </cell>
          <cell r="L35">
            <v>1603</v>
          </cell>
          <cell r="M35">
            <v>2.1322174329724882E-4</v>
          </cell>
          <cell r="P35" t="str">
            <v>Iowa</v>
          </cell>
          <cell r="Q35">
            <v>2.1322174329724882E-4</v>
          </cell>
          <cell r="W35">
            <v>220</v>
          </cell>
          <cell r="AB35">
            <v>0.77192982456140347</v>
          </cell>
          <cell r="AC35">
            <v>0.625</v>
          </cell>
          <cell r="AD35">
            <v>0.39473684210526305</v>
          </cell>
        </row>
        <row r="36">
          <cell r="A36">
            <v>32</v>
          </cell>
          <cell r="B36" t="str">
            <v>California</v>
          </cell>
          <cell r="E36">
            <v>0</v>
          </cell>
          <cell r="L36">
            <v>0</v>
          </cell>
          <cell r="M36">
            <v>0</v>
          </cell>
          <cell r="P36" t="str">
            <v>California</v>
          </cell>
          <cell r="Q36">
            <v>0</v>
          </cell>
          <cell r="W36">
            <v>370.00000000000006</v>
          </cell>
          <cell r="AB36">
            <v>0.77268292682926831</v>
          </cell>
          <cell r="AC36">
            <v>0.71050454921422657</v>
          </cell>
          <cell r="AD36">
            <v>0.46477052359405291</v>
          </cell>
        </row>
        <row r="37">
          <cell r="A37">
            <v>33</v>
          </cell>
          <cell r="B37" t="str">
            <v>Oklahoma</v>
          </cell>
          <cell r="E37">
            <v>0</v>
          </cell>
          <cell r="L37">
            <v>0</v>
          </cell>
          <cell r="M37">
            <v>0</v>
          </cell>
          <cell r="P37" t="str">
            <v>Oklahoma</v>
          </cell>
          <cell r="Q37">
            <v>0</v>
          </cell>
          <cell r="W37">
            <v>200.00000000000003</v>
          </cell>
          <cell r="AB37">
            <v>0.56470588235294117</v>
          </cell>
          <cell r="AC37">
            <v>0.54545454545454541</v>
          </cell>
          <cell r="AD37">
            <v>0.31192660550458706</v>
          </cell>
        </row>
        <row r="38">
          <cell r="E38">
            <v>5552000</v>
          </cell>
          <cell r="G38">
            <v>1.0000000000000002</v>
          </cell>
          <cell r="J38">
            <v>1965995</v>
          </cell>
          <cell r="L38">
            <v>7517994.9999999991</v>
          </cell>
          <cell r="M38">
            <v>1.0000000000000004</v>
          </cell>
          <cell r="P38" t="str">
            <v>US avg</v>
          </cell>
          <cell r="Q38">
            <v>0</v>
          </cell>
          <cell r="W38">
            <v>279.99999999999994</v>
          </cell>
          <cell r="AB38">
            <v>0.61164010931478929</v>
          </cell>
          <cell r="AC38">
            <v>0.72105324841913565</v>
          </cell>
          <cell r="AD38">
            <v>0.6441012822565777</v>
          </cell>
        </row>
        <row r="40">
          <cell r="B40" t="str">
            <v>* Two thirds</v>
          </cell>
          <cell r="E40">
            <v>5551999.9999999991</v>
          </cell>
          <cell r="L40">
            <v>0.73849477154480692</v>
          </cell>
        </row>
        <row r="42">
          <cell r="X42">
            <v>25.76</v>
          </cell>
          <cell r="Y42">
            <v>31.51</v>
          </cell>
        </row>
        <row r="43">
          <cell r="Y43">
            <v>0.22321428571428581</v>
          </cell>
        </row>
        <row r="44">
          <cell r="A44">
            <v>1</v>
          </cell>
          <cell r="B44" t="str">
            <v>Florida</v>
          </cell>
          <cell r="M44">
            <v>0.20389840642352119</v>
          </cell>
        </row>
        <row r="45">
          <cell r="A45">
            <v>2</v>
          </cell>
          <cell r="B45" t="str">
            <v>North Carolina</v>
          </cell>
          <cell r="M45">
            <v>0.13903879957355653</v>
          </cell>
        </row>
        <row r="46">
          <cell r="A46">
            <v>3</v>
          </cell>
          <cell r="B46" t="str">
            <v>Nevada</v>
          </cell>
          <cell r="M46">
            <v>7.6803456240659915E-2</v>
          </cell>
        </row>
        <row r="47">
          <cell r="A47">
            <v>4</v>
          </cell>
          <cell r="B47" t="str">
            <v>Missouri</v>
          </cell>
          <cell r="M47">
            <v>7.4330296841112573E-2</v>
          </cell>
        </row>
        <row r="48">
          <cell r="A48">
            <v>5</v>
          </cell>
          <cell r="B48" t="str">
            <v>Ohio</v>
          </cell>
          <cell r="M48">
            <v>5.8999879622159912E-2</v>
          </cell>
          <cell r="U48">
            <v>0.36619513580416063</v>
          </cell>
          <cell r="V48">
            <v>0.29145305363996654</v>
          </cell>
          <cell r="W48">
            <v>5.3609479655147431E-2</v>
          </cell>
          <cell r="X48">
            <v>0.28852910915742841</v>
          </cell>
        </row>
        <row r="49">
          <cell r="B49" t="str">
            <v>28 Other States</v>
          </cell>
          <cell r="M49">
            <v>0.44692916129898985</v>
          </cell>
          <cell r="P49" t="str">
            <v>FL</v>
          </cell>
          <cell r="Q49" t="str">
            <v>Florida</v>
          </cell>
          <cell r="R49">
            <v>420.00000000000011</v>
          </cell>
          <cell r="S49">
            <v>0.65272496831432192</v>
          </cell>
          <cell r="T49">
            <v>0.20389840642352119</v>
          </cell>
          <cell r="U49">
            <v>0.20389840642352119</v>
          </cell>
        </row>
        <row r="50">
          <cell r="P50" t="str">
            <v>NC</v>
          </cell>
          <cell r="Q50" t="str">
            <v>North Carolina</v>
          </cell>
          <cell r="R50">
            <v>309.99999999999989</v>
          </cell>
          <cell r="S50">
            <v>0.54672897196261672</v>
          </cell>
          <cell r="T50">
            <v>0.13903879957355653</v>
          </cell>
          <cell r="V50">
            <v>0.13903879957355653</v>
          </cell>
        </row>
        <row r="51">
          <cell r="P51" t="str">
            <v>NV</v>
          </cell>
          <cell r="Q51" t="str">
            <v>Nevada</v>
          </cell>
          <cell r="R51">
            <v>460</v>
          </cell>
          <cell r="S51">
            <v>1.0849056603773586</v>
          </cell>
          <cell r="T51">
            <v>7.6803456240659915E-2</v>
          </cell>
          <cell r="U51">
            <v>7.6803456240659915E-2</v>
          </cell>
        </row>
        <row r="52">
          <cell r="P52" t="str">
            <v>MO</v>
          </cell>
          <cell r="Q52" t="str">
            <v>Missouri</v>
          </cell>
          <cell r="R52">
            <v>250.00000000000009</v>
          </cell>
          <cell r="S52">
            <v>0.35294117647058831</v>
          </cell>
          <cell r="T52">
            <v>7.4330296841112573E-2</v>
          </cell>
          <cell r="X52">
            <v>7.4330296841112573E-2</v>
          </cell>
        </row>
        <row r="53">
          <cell r="P53" t="str">
            <v>OH</v>
          </cell>
          <cell r="Q53" t="str">
            <v>Ohio</v>
          </cell>
          <cell r="R53">
            <v>349.99999999999989</v>
          </cell>
          <cell r="S53">
            <v>0.42500000000000004</v>
          </cell>
          <cell r="T53">
            <v>5.8999879622159912E-2</v>
          </cell>
          <cell r="V53">
            <v>5.8999879622159912E-2</v>
          </cell>
        </row>
        <row r="54">
          <cell r="P54" t="str">
            <v>VA</v>
          </cell>
          <cell r="Q54" t="str">
            <v>Virginia</v>
          </cell>
          <cell r="R54">
            <v>190.00000000000003</v>
          </cell>
          <cell r="S54">
            <v>0.15481171548117145</v>
          </cell>
          <cell r="T54">
            <v>5.6089156749904737E-2</v>
          </cell>
          <cell r="X54">
            <v>5.6089156749904737E-2</v>
          </cell>
        </row>
        <row r="55">
          <cell r="P55" t="str">
            <v>WI</v>
          </cell>
          <cell r="Q55" t="str">
            <v>Wisconsin</v>
          </cell>
          <cell r="R55">
            <v>279.99999999999989</v>
          </cell>
          <cell r="S55">
            <v>0.32515337423312873</v>
          </cell>
          <cell r="T55">
            <v>4.7299446195428439E-2</v>
          </cell>
          <cell r="V55">
            <v>4.7299446195428439E-2</v>
          </cell>
        </row>
        <row r="56">
          <cell r="P56" t="str">
            <v>TX</v>
          </cell>
          <cell r="Q56" t="str">
            <v>Texas</v>
          </cell>
          <cell r="R56">
            <v>270.00000000000011</v>
          </cell>
          <cell r="S56">
            <v>0.7009602194787381</v>
          </cell>
          <cell r="T56">
            <v>3.9487921979197919E-2</v>
          </cell>
          <cell r="X56">
            <v>3.9487921979197919E-2</v>
          </cell>
        </row>
        <row r="57">
          <cell r="P57" t="str">
            <v>PA</v>
          </cell>
          <cell r="Q57" t="str">
            <v>Pennsylvania</v>
          </cell>
          <cell r="R57">
            <v>250.00000000000009</v>
          </cell>
          <cell r="S57">
            <v>0.41964285714285721</v>
          </cell>
          <cell r="T57">
            <v>3.8401728120329957E-2</v>
          </cell>
          <cell r="X57">
            <v>3.8401728120329957E-2</v>
          </cell>
        </row>
        <row r="58">
          <cell r="P58" t="str">
            <v>AL</v>
          </cell>
          <cell r="Q58" t="str">
            <v>Alabama</v>
          </cell>
          <cell r="R58">
            <v>450</v>
          </cell>
          <cell r="S58">
            <v>0.61417322834645671</v>
          </cell>
          <cell r="T58">
            <v>3.5046578243268324E-2</v>
          </cell>
          <cell r="U58">
            <v>3.5046578243268324E-2</v>
          </cell>
        </row>
        <row r="59">
          <cell r="P59" t="str">
            <v>AK</v>
          </cell>
          <cell r="Q59" t="str">
            <v>Arkansas</v>
          </cell>
          <cell r="R59">
            <v>199.99999999999997</v>
          </cell>
          <cell r="S59">
            <v>0.41964285714285721</v>
          </cell>
          <cell r="T59">
            <v>2.5891477714470416E-2</v>
          </cell>
          <cell r="X59">
            <v>2.5891477714470416E-2</v>
          </cell>
        </row>
        <row r="60">
          <cell r="P60" t="str">
            <v>IN</v>
          </cell>
          <cell r="Q60" t="str">
            <v>Indiana</v>
          </cell>
          <cell r="R60">
            <v>210.00000000000006</v>
          </cell>
          <cell r="S60">
            <v>0.20304568527918776</v>
          </cell>
          <cell r="T60">
            <v>2.5199644320061401E-2</v>
          </cell>
          <cell r="V60">
            <v>2.5199644320061401E-2</v>
          </cell>
        </row>
        <row r="61">
          <cell r="P61" t="str">
            <v>TN</v>
          </cell>
          <cell r="Q61" t="str">
            <v>Tennessee</v>
          </cell>
          <cell r="R61">
            <v>330</v>
          </cell>
          <cell r="S61">
            <v>0.61650485436893199</v>
          </cell>
          <cell r="T61">
            <v>2.4522070046601521E-2</v>
          </cell>
          <cell r="U61">
            <v>2.4522070046601521E-2</v>
          </cell>
        </row>
        <row r="62">
          <cell r="P62" t="str">
            <v>MN</v>
          </cell>
          <cell r="Q62" t="str">
            <v>Minnesota</v>
          </cell>
          <cell r="R62">
            <v>80.000000000000071</v>
          </cell>
          <cell r="S62">
            <v>0.17346938775510212</v>
          </cell>
          <cell r="T62">
            <v>2.2515710638275236E-2</v>
          </cell>
          <cell r="W62">
            <v>2.2515710638275236E-2</v>
          </cell>
        </row>
        <row r="63">
          <cell r="P63" t="str">
            <v>NJ</v>
          </cell>
          <cell r="Q63" t="str">
            <v>New Jersey</v>
          </cell>
          <cell r="R63">
            <v>329.99999999999989</v>
          </cell>
          <cell r="S63">
            <v>0.54393305439330542</v>
          </cell>
          <cell r="T63">
            <v>2.0308606217482192E-2</v>
          </cell>
          <cell r="X63">
            <v>2.0308606217482192E-2</v>
          </cell>
        </row>
        <row r="64">
          <cell r="P64" t="str">
            <v>OR</v>
          </cell>
          <cell r="Q64" t="str">
            <v>Oregon</v>
          </cell>
          <cell r="R64">
            <v>269.99999999999994</v>
          </cell>
          <cell r="S64">
            <v>0.84782608695652173</v>
          </cell>
          <cell r="T64">
            <v>1.529030013986442E-2</v>
          </cell>
          <cell r="U64">
            <v>1.529030013986442E-2</v>
          </cell>
        </row>
        <row r="65">
          <cell r="P65" t="str">
            <v>MI</v>
          </cell>
          <cell r="Q65" t="str">
            <v>Michigan</v>
          </cell>
          <cell r="R65">
            <v>440</v>
          </cell>
          <cell r="S65">
            <v>0.4688279301745637</v>
          </cell>
          <cell r="T65">
            <v>1.1314851898677774E-2</v>
          </cell>
          <cell r="V65">
            <v>1.1314851898677774E-2</v>
          </cell>
        </row>
        <row r="66">
          <cell r="P66" t="str">
            <v>CO</v>
          </cell>
          <cell r="Q66" t="str">
            <v>Colorado</v>
          </cell>
          <cell r="R66">
            <v>170</v>
          </cell>
          <cell r="S66">
            <v>0.66666666666666674</v>
          </cell>
          <cell r="T66">
            <v>1.0722406705511245E-2</v>
          </cell>
          <cell r="W66">
            <v>1.0722406705511245E-2</v>
          </cell>
        </row>
        <row r="67">
          <cell r="P67" t="str">
            <v>KS</v>
          </cell>
          <cell r="Q67" t="str">
            <v>Kansas</v>
          </cell>
          <cell r="R67">
            <v>160</v>
          </cell>
          <cell r="S67">
            <v>0.33823529411764697</v>
          </cell>
          <cell r="T67">
            <v>1.0708174187399701E-2</v>
          </cell>
          <cell r="X67">
            <v>1.0708174187399701E-2</v>
          </cell>
        </row>
        <row r="68">
          <cell r="P68" t="str">
            <v>SC</v>
          </cell>
          <cell r="Q68" t="str">
            <v>South Carolina</v>
          </cell>
          <cell r="R68">
            <v>379.99999999999994</v>
          </cell>
          <cell r="S68">
            <v>0.47222222222222232</v>
          </cell>
          <cell r="T68">
            <v>1.0634324710245221E-2</v>
          </cell>
          <cell r="U68">
            <v>1.0634324710245221E-2</v>
          </cell>
        </row>
        <row r="69">
          <cell r="P69" t="str">
            <v>LA</v>
          </cell>
          <cell r="Q69" t="str">
            <v>Louisiana</v>
          </cell>
          <cell r="R69">
            <v>199.99999999999997</v>
          </cell>
          <cell r="S69">
            <v>0.47972972972972983</v>
          </cell>
          <cell r="T69">
            <v>1.0508918933838079E-2</v>
          </cell>
          <cell r="X69">
            <v>1.0508918933838079E-2</v>
          </cell>
        </row>
        <row r="70">
          <cell r="P70" t="str">
            <v>WA</v>
          </cell>
          <cell r="Q70" t="str">
            <v>Washington</v>
          </cell>
          <cell r="R70">
            <v>300</v>
          </cell>
          <cell r="S70">
            <v>1.2550335570469797</v>
          </cell>
          <cell r="T70">
            <v>9.6004320300824893E-3</v>
          </cell>
          <cell r="V70">
            <v>9.6004320300824893E-3</v>
          </cell>
        </row>
        <row r="71">
          <cell r="E71" t="str">
            <v>Access lines</v>
          </cell>
          <cell r="F71">
            <v>2041</v>
          </cell>
          <cell r="G71">
            <v>5853</v>
          </cell>
          <cell r="H71">
            <v>7894</v>
          </cell>
          <cell r="P71" t="str">
            <v>NE</v>
          </cell>
          <cell r="Q71" t="str">
            <v>Nebraska</v>
          </cell>
          <cell r="R71">
            <v>80</v>
          </cell>
          <cell r="S71">
            <v>0.7407407407407407</v>
          </cell>
          <cell r="T71">
            <v>9.4527330757735294E-3</v>
          </cell>
          <cell r="X71">
            <v>9.4527330757735294E-3</v>
          </cell>
        </row>
        <row r="72">
          <cell r="E72" t="str">
            <v>Broadband</v>
          </cell>
          <cell r="F72">
            <v>628</v>
          </cell>
          <cell r="G72">
            <v>1388</v>
          </cell>
          <cell r="H72">
            <v>2016</v>
          </cell>
          <cell r="P72" t="str">
            <v>MT</v>
          </cell>
          <cell r="Q72" t="str">
            <v>Montana</v>
          </cell>
          <cell r="R72">
            <v>170</v>
          </cell>
          <cell r="S72">
            <v>0.75</v>
          </cell>
          <cell r="T72">
            <v>6.930970291946191E-3</v>
          </cell>
          <cell r="W72">
            <v>6.930970291946191E-3</v>
          </cell>
        </row>
        <row r="73">
          <cell r="E73" t="str">
            <v>Revenue</v>
          </cell>
          <cell r="F73">
            <v>2613</v>
          </cell>
          <cell r="G73">
            <v>6222</v>
          </cell>
          <cell r="H73">
            <v>8835</v>
          </cell>
          <cell r="P73" t="str">
            <v>IL</v>
          </cell>
          <cell r="Q73" t="str">
            <v>Illinois</v>
          </cell>
          <cell r="R73">
            <v>389.99999999999994</v>
          </cell>
          <cell r="S73">
            <v>0.55585831062670299</v>
          </cell>
          <cell r="T73">
            <v>6.9124813198199794E-3</v>
          </cell>
          <cell r="W73">
            <v>6.9124813198199794E-3</v>
          </cell>
        </row>
        <row r="74">
          <cell r="E74" t="str">
            <v>EBITDA</v>
          </cell>
          <cell r="F74">
            <v>1246</v>
          </cell>
          <cell r="G74">
            <v>2598</v>
          </cell>
          <cell r="H74">
            <v>3844</v>
          </cell>
          <cell r="P74" t="str">
            <v>GA</v>
          </cell>
          <cell r="Q74" t="str">
            <v>Georgia</v>
          </cell>
          <cell r="R74">
            <v>280.00000000000011</v>
          </cell>
          <cell r="S74">
            <v>0.63168724279835398</v>
          </cell>
          <cell r="T74">
            <v>3.9620936167156272E-3</v>
          </cell>
          <cell r="W74">
            <v>3.9620936167156272E-3</v>
          </cell>
        </row>
        <row r="75">
          <cell r="E75" t="str">
            <v>Net Debt</v>
          </cell>
          <cell r="F75">
            <v>3086</v>
          </cell>
          <cell r="G75">
            <v>5757</v>
          </cell>
          <cell r="H75">
            <v>8843</v>
          </cell>
          <cell r="P75" t="str">
            <v>MS</v>
          </cell>
          <cell r="Q75" t="str">
            <v>Mississippi</v>
          </cell>
          <cell r="R75">
            <v>279.99999999999994</v>
          </cell>
          <cell r="S75">
            <v>0.45121951219512191</v>
          </cell>
          <cell r="T75">
            <v>2.660017730791255E-3</v>
          </cell>
          <cell r="X75">
            <v>2.660017730791255E-3</v>
          </cell>
        </row>
        <row r="76">
          <cell r="P76" t="str">
            <v>WY</v>
          </cell>
          <cell r="Q76" t="str">
            <v>Wyoming</v>
          </cell>
          <cell r="R76">
            <v>429.99999999999994</v>
          </cell>
          <cell r="S76">
            <v>0.11764705882352944</v>
          </cell>
          <cell r="T76">
            <v>1.8835873128407244E-3</v>
          </cell>
          <cell r="W76">
            <v>1.8835873128407244E-3</v>
          </cell>
        </row>
        <row r="77">
          <cell r="F77" t="str">
            <v>CenturyTel</v>
          </cell>
          <cell r="G77" t="str">
            <v>Embarq</v>
          </cell>
          <cell r="P77" t="str">
            <v>NM</v>
          </cell>
          <cell r="Q77" t="str">
            <v>New Mexico</v>
          </cell>
          <cell r="R77">
            <v>360.00000000000006</v>
          </cell>
          <cell r="S77">
            <v>0.58490566037735858</v>
          </cell>
          <cell r="T77">
            <v>6.9007760712796443E-4</v>
          </cell>
          <cell r="X77">
            <v>6.9007760712796443E-4</v>
          </cell>
        </row>
        <row r="78">
          <cell r="E78" t="str">
            <v>Access lines</v>
          </cell>
          <cell r="F78">
            <v>0.25855079807448694</v>
          </cell>
          <cell r="G78">
            <v>0.741449201925513</v>
          </cell>
          <cell r="P78" t="str">
            <v>ID</v>
          </cell>
          <cell r="Q78" t="str">
            <v>Idaho</v>
          </cell>
          <cell r="R78">
            <v>300</v>
          </cell>
          <cell r="S78">
            <v>0.68421052631578938</v>
          </cell>
          <cell r="T78">
            <v>6.8222977003842128E-4</v>
          </cell>
          <cell r="W78">
            <v>6.8222977003842128E-4</v>
          </cell>
        </row>
        <row r="79">
          <cell r="E79" t="str">
            <v>Broadband</v>
          </cell>
          <cell r="F79">
            <v>0.31150793650793651</v>
          </cell>
          <cell r="G79">
            <v>0.68849206349206349</v>
          </cell>
          <cell r="P79" t="str">
            <v>IA</v>
          </cell>
          <cell r="Q79" t="str">
            <v>Iowa</v>
          </cell>
          <cell r="R79">
            <v>220</v>
          </cell>
          <cell r="S79">
            <v>0.39473684210526305</v>
          </cell>
          <cell r="T79">
            <v>2.1322174329724882E-4</v>
          </cell>
        </row>
        <row r="80">
          <cell r="E80" t="str">
            <v>Revenue</v>
          </cell>
          <cell r="F80">
            <v>0.29575551782682513</v>
          </cell>
          <cell r="G80">
            <v>0.70424448217317492</v>
          </cell>
          <cell r="P80" t="str">
            <v>CA</v>
          </cell>
          <cell r="Q80" t="str">
            <v>California</v>
          </cell>
          <cell r="R80">
            <v>370.00000000000006</v>
          </cell>
          <cell r="S80">
            <v>0.46477052359405291</v>
          </cell>
          <cell r="T80">
            <v>0</v>
          </cell>
        </row>
        <row r="81">
          <cell r="E81" t="str">
            <v>EBITDA</v>
          </cell>
          <cell r="F81">
            <v>0.32414151925078044</v>
          </cell>
          <cell r="G81">
            <v>0.67585848074921961</v>
          </cell>
          <cell r="P81" t="str">
            <v>OK</v>
          </cell>
          <cell r="Q81" t="str">
            <v>Oklahoma</v>
          </cell>
          <cell r="R81">
            <v>200.00000000000003</v>
          </cell>
          <cell r="S81">
            <v>0.31192660550458706</v>
          </cell>
          <cell r="T81">
            <v>0</v>
          </cell>
        </row>
        <row r="82">
          <cell r="E82" t="str">
            <v>Net Debt</v>
          </cell>
          <cell r="F82">
            <v>0.34897659165441591</v>
          </cell>
          <cell r="G82">
            <v>0.65102340834558403</v>
          </cell>
          <cell r="P82" t="str">
            <v>US AVG</v>
          </cell>
          <cell r="Q82" t="str">
            <v>US avg</v>
          </cell>
          <cell r="R82">
            <v>279.99999999999994</v>
          </cell>
          <cell r="S82">
            <v>0.6441012822565777</v>
          </cell>
          <cell r="T82">
            <v>0</v>
          </cell>
        </row>
      </sheetData>
      <sheetData sheetId="3"/>
      <sheetData sheetId="4"/>
      <sheetData sheetId="5">
        <row r="4">
          <cell r="B4" t="str">
            <v>Access Lines</v>
          </cell>
          <cell r="C4" t="str">
            <v>Broadband</v>
          </cell>
          <cell r="D4" t="str">
            <v>LTM</v>
          </cell>
        </row>
        <row r="5">
          <cell r="B5" t="str">
            <v>Access 
Lines</v>
          </cell>
          <cell r="C5" t="str">
            <v>Broadband</v>
          </cell>
          <cell r="D5" t="str">
            <v>LTM 
Revenue</v>
          </cell>
          <cell r="E5" t="str">
            <v>LTM 
EBITDA</v>
          </cell>
          <cell r="F5" t="str">
            <v>LTM 
FCF</v>
          </cell>
          <cell r="G5" t="str">
            <v>Net 
Debt</v>
          </cell>
          <cell r="H5" t="str">
            <v>LTM Cash Opex</v>
          </cell>
        </row>
        <row r="6">
          <cell r="A6" t="str">
            <v>Embarq</v>
          </cell>
          <cell r="B6">
            <v>5552</v>
          </cell>
          <cell r="C6">
            <v>1452</v>
          </cell>
          <cell r="D6">
            <v>5579</v>
          </cell>
          <cell r="E6">
            <v>2605</v>
          </cell>
          <cell r="F6">
            <v>1186</v>
          </cell>
          <cell r="G6">
            <v>5195</v>
          </cell>
          <cell r="H6">
            <v>2974</v>
          </cell>
          <cell r="J6">
            <v>0.46692955726832763</v>
          </cell>
        </row>
        <row r="7">
          <cell r="A7" t="str">
            <v>CenturyTel</v>
          </cell>
          <cell r="B7">
            <v>1967</v>
          </cell>
          <cell r="C7">
            <v>665</v>
          </cell>
          <cell r="D7">
            <v>2587.4488675051889</v>
          </cell>
          <cell r="E7">
            <v>1247.108867505189</v>
          </cell>
          <cell r="F7">
            <v>0</v>
          </cell>
          <cell r="G7">
            <v>0</v>
          </cell>
          <cell r="H7">
            <v>1340.34</v>
          </cell>
          <cell r="J7">
            <v>0.48198396620206369</v>
          </cell>
        </row>
        <row r="8">
          <cell r="A8" t="str">
            <v>Century Link</v>
          </cell>
          <cell r="B8">
            <v>7519</v>
          </cell>
          <cell r="C8">
            <v>2117</v>
          </cell>
          <cell r="D8">
            <v>8166.4488675051889</v>
          </cell>
          <cell r="E8">
            <v>3852.1088675051888</v>
          </cell>
          <cell r="F8">
            <v>1186</v>
          </cell>
          <cell r="G8">
            <v>5195</v>
          </cell>
          <cell r="H8">
            <v>4314.34</v>
          </cell>
        </row>
        <row r="11">
          <cell r="A11" t="str">
            <v>Embarq</v>
          </cell>
          <cell r="B11">
            <v>0.73839606330629071</v>
          </cell>
          <cell r="C11">
            <v>0.6858762399622107</v>
          </cell>
          <cell r="D11">
            <v>0.68316107656036273</v>
          </cell>
          <cell r="E11">
            <v>0.67625295379751904</v>
          </cell>
          <cell r="F11">
            <v>1</v>
          </cell>
          <cell r="G11">
            <v>1</v>
          </cell>
          <cell r="H11">
            <v>0.68932907466727233</v>
          </cell>
        </row>
        <row r="12">
          <cell r="A12" t="str">
            <v>CenturyTel</v>
          </cell>
          <cell r="B12">
            <v>0.26160393669370929</v>
          </cell>
          <cell r="C12">
            <v>0.3141237600377893</v>
          </cell>
          <cell r="D12">
            <v>0.31683892343963727</v>
          </cell>
          <cell r="E12">
            <v>0.32374704620248096</v>
          </cell>
          <cell r="F12">
            <v>0</v>
          </cell>
          <cell r="G12">
            <v>0</v>
          </cell>
          <cell r="H12">
            <v>0.31067092533272755</v>
          </cell>
        </row>
        <row r="19">
          <cell r="B19" t="str">
            <v>LTM OCF</v>
          </cell>
          <cell r="C19" t="str">
            <v>LTM Capex</v>
          </cell>
          <cell r="D19" t="str">
            <v>LTM FCF</v>
          </cell>
        </row>
        <row r="20">
          <cell r="A20" t="str">
            <v>Embarq</v>
          </cell>
          <cell r="B20">
            <v>1789</v>
          </cell>
          <cell r="C20">
            <v>-603</v>
          </cell>
          <cell r="D20">
            <v>1186</v>
          </cell>
        </row>
        <row r="21">
          <cell r="A21" t="str">
            <v>CenturyTel</v>
          </cell>
          <cell r="B21">
            <v>0</v>
          </cell>
          <cell r="C21">
            <v>0</v>
          </cell>
          <cell r="D21">
            <v>0</v>
          </cell>
        </row>
        <row r="22">
          <cell r="A22" t="str">
            <v>Century Link</v>
          </cell>
          <cell r="B22">
            <v>1789</v>
          </cell>
          <cell r="C22">
            <v>-603</v>
          </cell>
          <cell r="D22">
            <v>1186</v>
          </cell>
        </row>
        <row r="27">
          <cell r="B27" t="str">
            <v>Cash</v>
          </cell>
          <cell r="C27" t="str">
            <v>Debt</v>
          </cell>
          <cell r="D27" t="str">
            <v>Net Debt</v>
          </cell>
        </row>
        <row r="28">
          <cell r="A28" t="str">
            <v>Embarq</v>
          </cell>
          <cell r="B28">
            <v>5195</v>
          </cell>
          <cell r="D28">
            <v>5195</v>
          </cell>
        </row>
        <row r="29">
          <cell r="A29" t="str">
            <v>CenturyTel</v>
          </cell>
          <cell r="D29">
            <v>0</v>
          </cell>
        </row>
        <row r="30">
          <cell r="A30" t="str">
            <v>Century Link</v>
          </cell>
          <cell r="D30">
            <v>5195</v>
          </cell>
        </row>
        <row r="56">
          <cell r="B56" t="str">
            <v>1Q06</v>
          </cell>
          <cell r="C56" t="str">
            <v>2Q06</v>
          </cell>
          <cell r="D56" t="str">
            <v>3Q06</v>
          </cell>
          <cell r="E56" t="str">
            <v>4Q06</v>
          </cell>
          <cell r="F56" t="str">
            <v>1Q07</v>
          </cell>
          <cell r="G56" t="str">
            <v>2Q07</v>
          </cell>
          <cell r="H56" t="str">
            <v>3Q07</v>
          </cell>
          <cell r="I56" t="str">
            <v>4Q07</v>
          </cell>
          <cell r="J56" t="str">
            <v>1Q08</v>
          </cell>
          <cell r="K56" t="str">
            <v>2Q08</v>
          </cell>
          <cell r="L56" t="str">
            <v>3Q08</v>
          </cell>
          <cell r="M56" t="str">
            <v>4Q08</v>
          </cell>
          <cell r="N56" t="str">
            <v>1Q09</v>
          </cell>
          <cell r="O56" t="str">
            <v>2Q09E</v>
          </cell>
        </row>
        <row r="57">
          <cell r="A57" t="str">
            <v>Total capital expenditures</v>
          </cell>
          <cell r="B57">
            <v>264.08800000000002</v>
          </cell>
          <cell r="C57">
            <v>382.36700000000002</v>
          </cell>
          <cell r="D57">
            <v>342.57900000000001</v>
          </cell>
          <cell r="E57">
            <v>315.03699999999998</v>
          </cell>
          <cell r="F57">
            <v>231.88</v>
          </cell>
          <cell r="G57">
            <v>245.976</v>
          </cell>
          <cell r="H57">
            <v>272.44499999999999</v>
          </cell>
          <cell r="I57">
            <v>404.74400000000003</v>
          </cell>
          <cell r="J57">
            <v>231.739</v>
          </cell>
          <cell r="K57">
            <v>238.65899999999999</v>
          </cell>
          <cell r="L57">
            <v>240.60599999999999</v>
          </cell>
          <cell r="M57">
            <v>250.81299999999999</v>
          </cell>
          <cell r="N57">
            <v>150.49600000000001</v>
          </cell>
          <cell r="O57">
            <v>232.30500000000001</v>
          </cell>
        </row>
        <row r="58">
          <cell r="A58" t="str">
            <v xml:space="preserve">   % growth</v>
          </cell>
          <cell r="B58">
            <v>2.525733281711013</v>
          </cell>
          <cell r="C58">
            <v>2.748291850878827</v>
          </cell>
          <cell r="D58">
            <v>2.2612905068352309</v>
          </cell>
          <cell r="E58">
            <v>1.3702318792602735</v>
          </cell>
          <cell r="F58">
            <v>-0.12195934688437193</v>
          </cell>
          <cell r="G58">
            <v>-0.35670180742585011</v>
          </cell>
          <cell r="H58">
            <v>-0.20472358200590235</v>
          </cell>
          <cell r="I58">
            <v>0.28475068007884796</v>
          </cell>
          <cell r="J58">
            <v>-6.0807314127997447E-4</v>
          </cell>
          <cell r="K58">
            <v>-2.974680456629919E-2</v>
          </cell>
          <cell r="L58">
            <v>-0.11686395419258933</v>
          </cell>
          <cell r="M58">
            <v>-0.38031694107880543</v>
          </cell>
          <cell r="N58">
            <v>-0.35057974704300954</v>
          </cell>
          <cell r="O58">
            <v>-2.6623760260455209E-2</v>
          </cell>
        </row>
        <row r="59">
          <cell r="A59" t="str">
            <v xml:space="preserve">   % revenues</v>
          </cell>
          <cell r="B59">
            <v>0.1243740395424749</v>
          </cell>
          <cell r="C59">
            <v>0.18198151376568142</v>
          </cell>
          <cell r="D59">
            <v>0.1630993052857698</v>
          </cell>
          <cell r="E59">
            <v>0.14932822042996738</v>
          </cell>
          <cell r="F59">
            <v>0.1114349630320229</v>
          </cell>
          <cell r="G59">
            <v>0.11596504114331944</v>
          </cell>
          <cell r="H59">
            <v>0.12489994526215029</v>
          </cell>
          <cell r="I59">
            <v>0.1907508839001511</v>
          </cell>
          <cell r="J59">
            <v>0.11010997741153485</v>
          </cell>
          <cell r="K59">
            <v>0.11386006117153361</v>
          </cell>
          <cell r="L59">
            <v>0.11690838954692084</v>
          </cell>
          <cell r="M59">
            <v>0.12363560540596762</v>
          </cell>
          <cell r="N59">
            <v>7.5956024078447246E-2</v>
          </cell>
          <cell r="O59">
            <v>0.11855507793182744</v>
          </cell>
        </row>
        <row r="117">
          <cell r="A117" t="str">
            <v>25% of CTL are unionized</v>
          </cell>
        </row>
        <row r="120">
          <cell r="A120" t="str">
            <v>CTL</v>
          </cell>
        </row>
        <row r="122">
          <cell r="C122">
            <v>2008</v>
          </cell>
          <cell r="E122">
            <v>2007</v>
          </cell>
        </row>
        <row r="123">
          <cell r="B123" t="str">
            <v>USF</v>
          </cell>
          <cell r="C123">
            <v>151.69999999999999</v>
          </cell>
          <cell r="D123">
            <v>5.8000000000000003E-2</v>
          </cell>
          <cell r="E123">
            <v>166.5</v>
          </cell>
          <cell r="F123">
            <v>6.3E-2</v>
          </cell>
        </row>
        <row r="124">
          <cell r="B124" t="str">
            <v>other federal</v>
          </cell>
          <cell r="C124">
            <v>128.5</v>
          </cell>
          <cell r="D124">
            <v>0.05</v>
          </cell>
          <cell r="E124">
            <v>133.9</v>
          </cell>
          <cell r="F124">
            <v>0.05</v>
          </cell>
        </row>
        <row r="125">
          <cell r="C125">
            <v>280.2</v>
          </cell>
          <cell r="D125">
            <v>0.10800000000000001</v>
          </cell>
          <cell r="E125">
            <v>300.39999999999998</v>
          </cell>
          <cell r="F125">
            <v>0.113</v>
          </cell>
        </row>
        <row r="127">
          <cell r="B127" t="str">
            <v>state support</v>
          </cell>
          <cell r="C127">
            <v>39.700000000000003</v>
          </cell>
          <cell r="D127">
            <v>1.4999999999999999E-2</v>
          </cell>
          <cell r="E127">
            <v>35.6</v>
          </cell>
          <cell r="F127">
            <v>1.2999999999999999E-2</v>
          </cell>
        </row>
        <row r="129">
          <cell r="C129">
            <v>319.89999999999998</v>
          </cell>
          <cell r="D129">
            <v>0.12300000000000001</v>
          </cell>
          <cell r="E129">
            <v>336</v>
          </cell>
          <cell r="F129">
            <v>0.126</v>
          </cell>
        </row>
        <row r="132">
          <cell r="A132" t="str">
            <v>CTL</v>
          </cell>
          <cell r="B132" t="str">
            <v>CTL</v>
          </cell>
          <cell r="C132" t="str">
            <v>EQ</v>
          </cell>
        </row>
        <row r="133">
          <cell r="A133" t="str">
            <v>Consumer</v>
          </cell>
          <cell r="B133">
            <v>0.73</v>
          </cell>
          <cell r="C133">
            <v>0.66228386167146969</v>
          </cell>
          <cell r="D133">
            <v>0.67999198589517551</v>
          </cell>
        </row>
        <row r="134">
          <cell r="A134" t="str">
            <v>Business</v>
          </cell>
          <cell r="B134">
            <v>0.27</v>
          </cell>
          <cell r="C134">
            <v>0.33771613832853026</v>
          </cell>
          <cell r="D134">
            <v>0.32000801410482449</v>
          </cell>
        </row>
        <row r="136">
          <cell r="B136">
            <v>1435.17635</v>
          </cell>
          <cell r="C136">
            <v>3677</v>
          </cell>
          <cell r="D136">
            <v>5112.1763499999997</v>
          </cell>
        </row>
        <row r="137">
          <cell r="B137">
            <v>530.81865000000005</v>
          </cell>
          <cell r="C137">
            <v>1875</v>
          </cell>
          <cell r="D137">
            <v>2405.8186500000002</v>
          </cell>
        </row>
        <row r="138">
          <cell r="B138">
            <v>1965.9949999999999</v>
          </cell>
          <cell r="C138">
            <v>5552</v>
          </cell>
          <cell r="D138">
            <v>7517.9949999999999</v>
          </cell>
        </row>
        <row r="145">
          <cell r="D145" t="str">
            <v>2006</v>
          </cell>
          <cell r="E145" t="str">
            <v>2007</v>
          </cell>
          <cell r="F145">
            <v>2008</v>
          </cell>
          <cell r="G145" t="str">
            <v>2009E</v>
          </cell>
          <cell r="H145" t="str">
            <v>2010E</v>
          </cell>
          <cell r="I145" t="str">
            <v>2011E</v>
          </cell>
          <cell r="J145" t="str">
            <v>2012E</v>
          </cell>
          <cell r="K145" t="str">
            <v>2013E</v>
          </cell>
          <cell r="L145" t="str">
            <v>2014E</v>
          </cell>
          <cell r="M145" t="str">
            <v>2015E</v>
          </cell>
        </row>
        <row r="146">
          <cell r="A146" t="str">
            <v>Total access lines</v>
          </cell>
          <cell r="D146">
            <v>9017000</v>
          </cell>
          <cell r="E146">
            <v>8447000</v>
          </cell>
          <cell r="F146">
            <v>7694000</v>
          </cell>
          <cell r="G146">
            <v>6947682</v>
          </cell>
          <cell r="H146">
            <v>6322390.6200000001</v>
          </cell>
          <cell r="I146">
            <v>5784987.4173000008</v>
          </cell>
          <cell r="J146">
            <v>5310618.4490814013</v>
          </cell>
          <cell r="K146">
            <v>4907011.4469512152</v>
          </cell>
          <cell r="L146">
            <v>4553706.6227707276</v>
          </cell>
          <cell r="M146">
            <v>4244054.5724223182</v>
          </cell>
        </row>
        <row r="147">
          <cell r="A147" t="str">
            <v xml:space="preserve">   % Y/Y growth</v>
          </cell>
          <cell r="D147">
            <v>-7.4269945532638992E-2</v>
          </cell>
          <cell r="E147">
            <v>-6.3213929244759881E-2</v>
          </cell>
          <cell r="F147">
            <v>-8.9144074819462515E-2</v>
          </cell>
          <cell r="G147">
            <v>-9.6999999999999975E-2</v>
          </cell>
          <cell r="H147">
            <v>-0.09</v>
          </cell>
          <cell r="I147">
            <v>-8.5000000000000006E-2</v>
          </cell>
          <cell r="J147">
            <v>-8.2000000000000003E-2</v>
          </cell>
          <cell r="K147">
            <v>-7.5999999999999998E-2</v>
          </cell>
          <cell r="L147">
            <v>-7.1999999999999995E-2</v>
          </cell>
          <cell r="M147">
            <v>-6.8000000000000005E-2</v>
          </cell>
        </row>
        <row r="148">
          <cell r="A148" t="str">
            <v>Total DSL subscribers</v>
          </cell>
          <cell r="D148">
            <v>1439710.409679878</v>
          </cell>
          <cell r="E148">
            <v>1832000</v>
          </cell>
          <cell r="F148">
            <v>2053000</v>
          </cell>
          <cell r="G148">
            <v>2201829.7872340423</v>
          </cell>
          <cell r="H148">
            <v>2306010.6382978722</v>
          </cell>
          <cell r="I148">
            <v>2384146.2765957443</v>
          </cell>
          <cell r="J148">
            <v>2443529.3617021274</v>
          </cell>
          <cell r="K148">
            <v>2489254.3372340421</v>
          </cell>
          <cell r="L148">
            <v>2524919.8181489357</v>
          </cell>
          <cell r="M148">
            <v>2553095.5480717015</v>
          </cell>
        </row>
        <row r="149">
          <cell r="A149" t="str">
            <v xml:space="preserve">   % growth</v>
          </cell>
          <cell r="D149">
            <v>0.45826685541503442</v>
          </cell>
          <cell r="E149">
            <v>0.27247812315766207</v>
          </cell>
          <cell r="F149">
            <v>0.12063318777292587</v>
          </cell>
          <cell r="G149">
            <v>7.2493807712636249E-2</v>
          </cell>
          <cell r="H149">
            <v>4.7315578918887713E-2</v>
          </cell>
          <cell r="I149">
            <v>3.3883468272091877E-2</v>
          </cell>
          <cell r="J149">
            <v>2.490748394480824E-2</v>
          </cell>
          <cell r="K149">
            <v>1.8712676937126416E-2</v>
          </cell>
          <cell r="L149">
            <v>1.4327776949672133E-2</v>
          </cell>
          <cell r="M149">
            <v>1.1159059277938477E-2</v>
          </cell>
        </row>
        <row r="151">
          <cell r="A151" t="str">
            <v>RGUs</v>
          </cell>
          <cell r="D151">
            <v>10456710.409679879</v>
          </cell>
          <cell r="E151">
            <v>10279000</v>
          </cell>
          <cell r="F151">
            <v>9747000</v>
          </cell>
          <cell r="G151">
            <v>9149511.7872340418</v>
          </cell>
          <cell r="H151">
            <v>8628401.2582978718</v>
          </cell>
          <cell r="I151">
            <v>8169133.6938957451</v>
          </cell>
          <cell r="J151">
            <v>7754147.8107835287</v>
          </cell>
          <cell r="K151">
            <v>7396265.7841852568</v>
          </cell>
          <cell r="L151">
            <v>7078626.4409196638</v>
          </cell>
          <cell r="M151">
            <v>6797150.1204940192</v>
          </cell>
        </row>
        <row r="152">
          <cell r="E152">
            <v>-1.6994867670368952E-2</v>
          </cell>
          <cell r="F152">
            <v>-5.1756007393715331E-2</v>
          </cell>
          <cell r="G152">
            <v>-6.1299703782287662E-2</v>
          </cell>
          <cell r="H152">
            <v>-5.6955009300414861E-2</v>
          </cell>
          <cell r="I152">
            <v>-5.3227423094220683E-2</v>
          </cell>
          <cell r="J152">
            <v>-5.0799252241679915E-2</v>
          </cell>
          <cell r="K152">
            <v>-4.6153624528613268E-2</v>
          </cell>
          <cell r="L152">
            <v>-4.2945907101495928E-2</v>
          </cell>
          <cell r="M152">
            <v>-3.9764256918334406E-2</v>
          </cell>
        </row>
        <row r="156">
          <cell r="D156" t="str">
            <v>2006</v>
          </cell>
          <cell r="E156" t="str">
            <v>2007</v>
          </cell>
          <cell r="F156" t="str">
            <v>2008</v>
          </cell>
          <cell r="G156" t="str">
            <v>2009E</v>
          </cell>
          <cell r="H156" t="str">
            <v>2010E</v>
          </cell>
          <cell r="I156" t="str">
            <v>2011E</v>
          </cell>
          <cell r="J156" t="str">
            <v>2012E</v>
          </cell>
          <cell r="K156" t="str">
            <v>2013E</v>
          </cell>
          <cell r="L156" t="str">
            <v>2014E</v>
          </cell>
          <cell r="M156" t="str">
            <v>2015E</v>
          </cell>
        </row>
        <row r="157">
          <cell r="A157" t="str">
            <v>Total revenues</v>
          </cell>
          <cell r="D157">
            <v>8434.5950000000012</v>
          </cell>
          <cell r="E157">
            <v>8505.128999999999</v>
          </cell>
          <cell r="F157">
            <v>8287.4069999999992</v>
          </cell>
          <cell r="G157">
            <v>7709.8521178268256</v>
          </cell>
          <cell r="H157">
            <v>7224.3624475156084</v>
          </cell>
          <cell r="I157">
            <v>6796.7692682399575</v>
          </cell>
          <cell r="J157">
            <v>6415.5305821667307</v>
          </cell>
          <cell r="K157">
            <v>6080.9489715872351</v>
          </cell>
          <cell r="L157">
            <v>5782.4025308056016</v>
          </cell>
          <cell r="M157">
            <v>5512.4651581324915</v>
          </cell>
        </row>
        <row r="158">
          <cell r="A158" t="str">
            <v>% growth</v>
          </cell>
          <cell r="D158">
            <v>2.4020724799253972</v>
          </cell>
          <cell r="E158">
            <v>8.3624643506887697E-3</v>
          </cell>
          <cell r="F158">
            <v>-2.5598906259975518E-2</v>
          </cell>
          <cell r="G158">
            <v>-6.9690662250951774E-2</v>
          </cell>
          <cell r="H158">
            <v>-6.2970036635159543E-2</v>
          </cell>
          <cell r="I158">
            <v>-5.9187669829978695E-2</v>
          </cell>
          <cell r="J158">
            <v>-5.609116199584474E-2</v>
          </cell>
          <cell r="K158">
            <v>-5.2151822252945568E-2</v>
          </cell>
          <cell r="L158">
            <v>-4.9095370176031494E-2</v>
          </cell>
          <cell r="M158">
            <v>-4.6682563386935771E-2</v>
          </cell>
        </row>
        <row r="159">
          <cell r="A159" t="str">
            <v>Total operating income</v>
          </cell>
          <cell r="D159">
            <v>2280.3963294460655</v>
          </cell>
          <cell r="E159">
            <v>2096.3149999999996</v>
          </cell>
          <cell r="F159">
            <v>2205.0133333333324</v>
          </cell>
          <cell r="G159">
            <v>2141.7830678348582</v>
          </cell>
          <cell r="H159">
            <v>2002.7831223800977</v>
          </cell>
          <cell r="I159">
            <v>1769.6752691956481</v>
          </cell>
          <cell r="J159">
            <v>1563.5786378908351</v>
          </cell>
          <cell r="K159">
            <v>1383.947512103623</v>
          </cell>
          <cell r="L159">
            <v>1224.9426552574014</v>
          </cell>
          <cell r="M159">
            <v>1082.4680427894791</v>
          </cell>
        </row>
        <row r="160">
          <cell r="A160" t="str">
            <v>% growth</v>
          </cell>
          <cell r="D160">
            <v>2.0722504492332376</v>
          </cell>
          <cell r="E160">
            <v>-8.0723393152795198E-2</v>
          </cell>
          <cell r="F160">
            <v>5.1852099199467983E-2</v>
          </cell>
          <cell r="G160">
            <v>-2.8675683970984744E-2</v>
          </cell>
          <cell r="H160">
            <v>-6.4899170948847007E-2</v>
          </cell>
          <cell r="I160">
            <v>-0.11639196005777463</v>
          </cell>
          <cell r="J160">
            <v>-0.11646014096048696</v>
          </cell>
          <cell r="K160">
            <v>-0.11488461241036307</v>
          </cell>
          <cell r="L160">
            <v>-0.1148922596092764</v>
          </cell>
          <cell r="M160">
            <v>-0.11631125086258309</v>
          </cell>
        </row>
        <row r="161">
          <cell r="A161" t="str">
            <v>% margin</v>
          </cell>
          <cell r="D161">
            <v>0.2703622793324475</v>
          </cell>
          <cell r="E161">
            <v>0.24647656725723971</v>
          </cell>
          <cell r="F161">
            <v>0.2660679430047701</v>
          </cell>
          <cell r="G161">
            <v>0.27779820353267193</v>
          </cell>
          <cell r="H161">
            <v>0.27722627940252864</v>
          </cell>
          <cell r="I161">
            <v>0.26037006691767695</v>
          </cell>
          <cell r="J161">
            <v>0.24371774366365259</v>
          </cell>
          <cell r="K161">
            <v>0.22758742403036286</v>
          </cell>
          <cell r="L161">
            <v>0.21183974113381951</v>
          </cell>
          <cell r="M161">
            <v>0.19636732600341672</v>
          </cell>
        </row>
        <row r="162">
          <cell r="A162" t="str">
            <v>EBITDA</v>
          </cell>
          <cell r="D162">
            <v>3867.9813294460655</v>
          </cell>
          <cell r="E162">
            <v>3852.5699999999997</v>
          </cell>
          <cell r="F162">
            <v>3894.465999999999</v>
          </cell>
          <cell r="G162">
            <v>3796.6270589134128</v>
          </cell>
          <cell r="H162">
            <v>3641.0786735478669</v>
          </cell>
          <cell r="I162">
            <v>3391.5878648517391</v>
          </cell>
          <cell r="J162">
            <v>3169.2721075903655</v>
          </cell>
          <cell r="K162">
            <v>2973.5840471061583</v>
          </cell>
          <cell r="L162">
            <v>2798.6828249099108</v>
          </cell>
          <cell r="M162">
            <v>2640.4708107454635</v>
          </cell>
        </row>
        <row r="163">
          <cell r="A163" t="str">
            <v>% growth</v>
          </cell>
          <cell r="D163">
            <v>2.0356465176980034</v>
          </cell>
          <cell r="E163">
            <v>-3.9843339802968503E-3</v>
          </cell>
          <cell r="F163">
            <v>1.0874818627565341E-2</v>
          </cell>
          <cell r="G163">
            <v>-2.5122556234047577E-2</v>
          </cell>
          <cell r="H163">
            <v>-4.0970151387495934E-2</v>
          </cell>
          <cell r="I163">
            <v>-6.8521125486427303E-2</v>
          </cell>
          <cell r="J163">
            <v>-6.5549166384663904E-2</v>
          </cell>
          <cell r="K163">
            <v>-6.1745427290871291E-2</v>
          </cell>
          <cell r="L163">
            <v>-5.8818321401225671E-2</v>
          </cell>
          <cell r="M163">
            <v>-5.6530884013103577E-2</v>
          </cell>
        </row>
        <row r="164">
          <cell r="D164">
            <v>0.45858530604564474</v>
          </cell>
          <cell r="E164">
            <v>0.45297020186289944</v>
          </cell>
          <cell r="F164">
            <v>0.46992575602960002</v>
          </cell>
          <cell r="G164">
            <v>0.49243837636454785</v>
          </cell>
          <cell r="H164">
            <v>0.504</v>
          </cell>
          <cell r="I164">
            <v>0.49900000000000005</v>
          </cell>
          <cell r="J164">
            <v>0.49400000000000011</v>
          </cell>
          <cell r="K164">
            <v>0.48900000000000005</v>
          </cell>
          <cell r="L164">
            <v>0.48399999999999993</v>
          </cell>
          <cell r="M164">
            <v>0.47900000000000004</v>
          </cell>
        </row>
        <row r="166">
          <cell r="D166" t="str">
            <v>2006</v>
          </cell>
          <cell r="E166" t="str">
            <v>2007</v>
          </cell>
          <cell r="F166" t="str">
            <v>2008</v>
          </cell>
          <cell r="G166" t="str">
            <v>2009E</v>
          </cell>
          <cell r="H166" t="str">
            <v>2010E</v>
          </cell>
          <cell r="I166" t="str">
            <v>2011E</v>
          </cell>
          <cell r="J166" t="str">
            <v>2012E</v>
          </cell>
          <cell r="K166" t="str">
            <v>2013E</v>
          </cell>
          <cell r="L166" t="str">
            <v>2014E</v>
          </cell>
          <cell r="M166" t="str">
            <v>2015E</v>
          </cell>
        </row>
        <row r="167">
          <cell r="A167" t="str">
            <v>Levered Free Cash Flow (OCF - capex)</v>
          </cell>
          <cell r="D167">
            <v>1143.6777069824577</v>
          </cell>
          <cell r="E167">
            <v>1498.9409999999998</v>
          </cell>
          <cell r="F167">
            <v>1639.4830000000002</v>
          </cell>
          <cell r="G167">
            <v>1905.6792362536066</v>
          </cell>
          <cell r="H167">
            <v>1571.8639253336798</v>
          </cell>
          <cell r="I167">
            <v>1454.8976818234999</v>
          </cell>
          <cell r="J167">
            <v>1347.886859811864</v>
          </cell>
          <cell r="K167">
            <v>1279.0980556319537</v>
          </cell>
          <cell r="L167">
            <v>1216.299299845417</v>
          </cell>
          <cell r="M167">
            <v>1158.9421703269045</v>
          </cell>
        </row>
        <row r="168">
          <cell r="D168" t="e">
            <v>#DIV/0!</v>
          </cell>
          <cell r="E168">
            <v>0.31063234934856632</v>
          </cell>
          <cell r="F168">
            <v>9.3760861835122444E-2</v>
          </cell>
          <cell r="G168">
            <v>0.16236596308324414</v>
          </cell>
          <cell r="H168">
            <v>-0.1751686771674007</v>
          </cell>
          <cell r="I168">
            <v>-7.4412448574611822E-2</v>
          </cell>
          <cell r="J168">
            <v>-7.3552129024986534E-2</v>
          </cell>
          <cell r="K168">
            <v>-5.1034553589692111E-2</v>
          </cell>
          <cell r="L168">
            <v>-4.9096123248745238E-2</v>
          </cell>
          <cell r="M168">
            <v>-4.7157085041323432E-2</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
      <sheetName val="GWP"/>
      <sheetName val="Sheet1"/>
      <sheetName val="Scenario"/>
      <sheetName val="ImportantDisclosures"/>
      <sheetName val="IndexInformation"/>
      <sheetName val="Income"/>
      <sheetName val="Euro vs. PM"/>
      <sheetName val="Ruble"/>
      <sheetName val="MS_IRI_Methodology"/>
      <sheetName val="MARKET_SHARE ($)_RAW_DATA"/>
      <sheetName val="NEXXUS_RAW_DATA"/>
      <sheetName val="HAIR_CARE_MARKET SHARE ROLL-UP"/>
      <sheetName val="TOTAL_ACV_DOLLAR_SALES"/>
      <sheetName val="TimeSeries"/>
      <sheetName val="Valuation Analyzer"/>
      <sheetName val="Income Statement"/>
      <sheetName val="Margins"/>
      <sheetName val="Comps"/>
      <sheetName val="Switches"/>
      <sheetName val="SSB Nielsen Sales"/>
      <sheetName val="EBITDA"/>
      <sheetName val="GWP-WLine"/>
      <sheetName val="TS_Stnd_Dev_Band"/>
      <sheetName val="Print "/>
      <sheetName val="Lookup"/>
      <sheetName val="Input"/>
      <sheetName val="99 cons YTD"/>
      <sheetName val="KPN"/>
      <sheetName val="Realizations vs Average"/>
      <sheetName val="summary"/>
      <sheetName val="B"/>
      <sheetName val="Ratios"/>
      <sheetName val="C"/>
      <sheetName val="Oil Consumption – barrels"/>
      <sheetName val="rev change analysis"/>
      <sheetName val="SOP"/>
      <sheetName val="O100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EB_Blank"/>
      <sheetName val="mwareTaxoPres"/>
      <sheetName val="Model_Template"/>
      <sheetName val="mwareValPrintout"/>
      <sheetName val="mwarePreview"/>
      <sheetName val="CENMODEL"/>
      <sheetName val="Metrics"/>
      <sheetName val="Valuation"/>
      <sheetName val="Assumptions"/>
      <sheetName val="Variance"/>
      <sheetName val="New Pension Sheet"/>
      <sheetName val="Acqs"/>
      <sheetName val="HRS"/>
      <sheetName val="Options"/>
      <sheetName val="OPEBs"/>
      <sheetName val="mwareDates"/>
      <sheetName val="mwareSettings"/>
      <sheetName val="NY UPLOAD shadow"/>
      <sheetName val="Input-CB Revenues"/>
      <sheetName val="IS Quarterly"/>
      <sheetName val="Scenario"/>
      <sheetName val="Bakery"/>
      <sheetName val="P&amp;L"/>
      <sheetName val="P"/>
      <sheetName val="NKEBALST"/>
      <sheetName val="Analysis"/>
      <sheetName val="MACRS"/>
      <sheetName val="NKEQTRI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a:noFill/>
        </a:ln>
        <a:effectLst/>
        <a:extLst>
          <a:ext uri="{909E8E84-426E-40DD-AFC4-6F175D3DCCD1}">
            <a14:hiddenFill xmlns:a14="http://schemas.microsoft.com/office/drawing/2010/main">
              <a:solidFill>
                <a:srgbClr xmlns:mc="http://schemas.openxmlformats.org/markup-compatibility/2006" val="400000" mc:Ignorable="a14" a14:legacySpreadsheetColorIndex="64"/>
              </a:solidFill>
            </a14:hiddenFill>
          </a:ext>
          <a:ext uri="{91240B29-F687-4F45-9708-019B960494DF}">
            <a14:hiddenLine xmlns:a14="http://schemas.microsoft.com/office/drawing/2010/main" w="1" cap="flat" cmpd="sng" algn="ctr">
              <a:solidFill>
                <a:srgbClr xmlns:mc="http://schemas.openxmlformats.org/markup-compatibility/2006" val="410000" mc:Ignorable="a14" a14:legacySpreadsheetColorIndex="65"/>
              </a:solidFill>
              <a:prstDash val="solid"/>
              <a:round/>
              <a:headEnd type="none" w="med" len="med"/>
              <a:tailEnd type="non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noFill/>
        <a:ln>
          <a:noFill/>
        </a:ln>
        <a:effectLst/>
        <a:extLst>
          <a:ext uri="{909E8E84-426E-40DD-AFC4-6F175D3DCCD1}">
            <a14:hiddenFill xmlns:a14="http://schemas.microsoft.com/office/drawing/2010/main">
              <a:solidFill>
                <a:srgbClr xmlns:mc="http://schemas.openxmlformats.org/markup-compatibility/2006" val="400000" mc:Ignorable="a14" a14:legacySpreadsheetColorIndex="64"/>
              </a:solidFill>
            </a14:hiddenFill>
          </a:ext>
          <a:ext uri="{91240B29-F687-4F45-9708-019B960494DF}">
            <a14:hiddenLine xmlns:a14="http://schemas.microsoft.com/office/drawing/2010/main" w="1" cap="flat" cmpd="sng" algn="ctr">
              <a:solidFill>
                <a:srgbClr xmlns:mc="http://schemas.openxmlformats.org/markup-compatibility/2006" val="410000" mc:Ignorable="a14" a14:legacySpreadsheetColorIndex="65"/>
              </a:solidFill>
              <a:prstDash val="solid"/>
              <a:round/>
              <a:headEnd type="none" w="med" len="med"/>
              <a:tailEnd type="non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 Id="rId3" Target="../drawings/vmlDrawing1.vml" Type="http://schemas.openxmlformats.org/officeDocument/2006/relationships/vmlDrawing"/>
<Relationship Id="rId4" Target="../activeX/activeX1.xml" Type="http://schemas.openxmlformats.org/officeDocument/2006/relationships/control"/>
<Relationship Id="rId5" Target="../media/image1.emf" Type="http://schemas.openxmlformats.org/officeDocument/2006/relationships/image"/>
<Relationship Id="rId6" Target="../activeX/activeX2.xml" Type="http://schemas.openxmlformats.org/officeDocument/2006/relationships/control"/>
<Relationship Id="rId7" Target="../media/image2.emf" Type="http://schemas.openxmlformats.org/officeDocument/2006/relationships/image"/>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drawing9.xml" Type="http://schemas.openxmlformats.org/officeDocument/2006/relationships/drawing"/>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drawing10.xml" Type="http://schemas.openxmlformats.org/officeDocument/2006/relationships/drawing"/>
<Relationship Id="rId3" Target="../drawings/vmlDrawing2.vml" Type="http://schemas.openxmlformats.org/officeDocument/2006/relationships/vmlDrawing"/>
<Relationship Id="rId4" Target="../activeX/activeX3.xml" Type="http://schemas.openxmlformats.org/officeDocument/2006/relationships/control"/>
<Relationship Id="rId5" Target="../media/image6.emf" Type="http://schemas.openxmlformats.org/officeDocument/2006/relationships/image"/>
<Relationship Id="rId6" Target="../activeX/activeX4.xml" Type="http://schemas.openxmlformats.org/officeDocument/2006/relationships/control"/>
<Relationship Id="rId7" Target="../media/image7.emf" Type="http://schemas.openxmlformats.org/officeDocument/2006/relationships/image"/>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drawings/drawing18.xml" Type="http://schemas.openxmlformats.org/officeDocument/2006/relationships/drawing"/>
<Relationship Id="rId3" Target="../drawings/vmlDrawing3.vml" Type="http://schemas.openxmlformats.org/officeDocument/2006/relationships/vmlDrawing"/>
<Relationship Id="rId4" Target="../comments1.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vmlDrawing4.vml" Type="http://schemas.openxmlformats.org/officeDocument/2006/relationships/vmlDrawing"/>
<Relationship Id="rId3" Target="../comments2.xml" Type="http://schemas.openxmlformats.org/officeDocument/2006/relationships/comments"/>
</Relationships>

</file>

<file path=xl/worksheets/_rels/sheet10.xml.rels><?xml version="1.0" encoding="UTF-8" standalone="yes"?>
<Relationships xmlns="http://schemas.openxmlformats.org/package/2006/relationships">
<Relationship Id="rId1" Target="../printerSettings/printerSettings10.bin" Type="http://schemas.openxmlformats.org/officeDocument/2006/relationships/printerSettings"/>
</Relationships>

</file>

<file path=xl/worksheets/_rels/sheet11.xml.rels><?xml version="1.0" encoding="UTF-8" standalone="yes"?>
<Relationships xmlns="http://schemas.openxmlformats.org/package/2006/relationships">
<Relationship Id="rId1" Target="../printerSettings/printerSettings11.bin" Type="http://schemas.openxmlformats.org/officeDocument/2006/relationships/printerSettings"/>
<Relationship Id="rId2" Target="../drawings/drawing19.xml" Type="http://schemas.openxmlformats.org/officeDocument/2006/relationships/drawing"/>
<Relationship Id="rId3" Target="../drawings/vmlDrawing5.vml" Type="http://schemas.openxmlformats.org/officeDocument/2006/relationships/vmlDrawing"/>
<Relationship Id="rId4" Target="../comments3.xml" Type="http://schemas.openxmlformats.org/officeDocument/2006/relationships/comments"/>
</Relationships>

</file>

<file path=xl/worksheets/_rels/sheet12.xml.rels><?xml version="1.0" encoding="UTF-8" standalone="yes"?>
<Relationships xmlns="http://schemas.openxmlformats.org/package/2006/relationships">
<Relationship Id="rId1" Target="../printerSettings/printerSettings12.bin" Type="http://schemas.openxmlformats.org/officeDocument/2006/relationships/printerSettings"/>
<Relationship Id="rId2" Target="../drawings/drawing20.xml" Type="http://schemas.openxmlformats.org/officeDocument/2006/relationships/drawing"/>
<Relationship Id="rId3" Target="../drawings/vmlDrawing6.vml" Type="http://schemas.openxmlformats.org/officeDocument/2006/relationships/vmlDrawing"/>
<Relationship Id="rId4" Target="../comments4.xml" Type="http://schemas.openxmlformats.org/officeDocument/2006/relationships/comments"/>
</Relationships>

</file>

<file path=xl/worksheets/_rels/sheet13.xml.rels><?xml version="1.0" encoding="UTF-8" standalone="yes"?>
<Relationships xmlns="http://schemas.openxmlformats.org/package/2006/relationships">
<Relationship Id="rId1" Target="../printerSettings/printerSettings13.bin" Type="http://schemas.openxmlformats.org/officeDocument/2006/relationships/printerSettings"/>
</Relationships>

</file>

<file path=xl/worksheets/_rels/sheet14.xml.rels><?xml version="1.0" encoding="UTF-8" standalone="yes"?>
<Relationships xmlns="http://schemas.openxmlformats.org/package/2006/relationships">
<Relationship Id="rId1" Target="../printerSettings/printerSettings14.bin" Type="http://schemas.openxmlformats.org/officeDocument/2006/relationships/printerSettings"/>
<Relationship Id="rId2" Target="../drawings/vmlDrawing7.vml" Type="http://schemas.openxmlformats.org/officeDocument/2006/relationships/vmlDrawing"/>
<Relationship Id="rId3" Target="../comments5.xml" Type="http://schemas.openxmlformats.org/officeDocument/2006/relationships/comments"/>
</Relationships>

</file>

<file path=xl/worksheets/_rels/sheet15.xml.rels><?xml version="1.0" encoding="UTF-8" standalone="yes"?>
<Relationships xmlns="http://schemas.openxmlformats.org/package/2006/relationships">
<Relationship Id="rId1" Target="../printerSettings/printerSettings15.bin" Type="http://schemas.openxmlformats.org/officeDocument/2006/relationships/printerSettings"/>
<Relationship Id="rId2" Target="../drawings/drawing21.xml" Type="http://schemas.openxmlformats.org/officeDocument/2006/relationships/drawing"/>
</Relationships>

</file>

<file path=xl/worksheets/_rels/sheet16.xml.rels><?xml version="1.0" encoding="UTF-8" standalone="yes"?>
<Relationships xmlns="http://schemas.openxmlformats.org/package/2006/relationships">
<Relationship Id="rId1" Target="../printerSettings/printerSettings16.bin" Type="http://schemas.openxmlformats.org/officeDocument/2006/relationships/printerSettings"/>
</Relationships>

</file>

<file path=xl/worksheets/_rels/sheet17.xml.rels><?xml version="1.0" encoding="UTF-8" standalone="yes"?>
<Relationships xmlns="http://schemas.openxmlformats.org/package/2006/relationships">
<Relationship Id="rId1" Target="../printerSettings/printerSettings17.bin" Type="http://schemas.openxmlformats.org/officeDocument/2006/relationships/printerSettings"/>
<Relationship Id="rId2" Target="../drawings/drawing22.xml" Type="http://schemas.openxmlformats.org/officeDocument/2006/relationships/drawing"/>
<Relationship Id="rId3" Target="../drawings/vmlDrawing8.vml" Type="http://schemas.openxmlformats.org/officeDocument/2006/relationships/vmlDrawing"/>
<Relationship Id="rId4" Target="../comments6.xml" Type="http://schemas.openxmlformats.org/officeDocument/2006/relationships/comments"/>
</Relationships>

</file>

<file path=xl/worksheets/_rels/sheet18.xml.rels><?xml version="1.0" encoding="UTF-8" standalone="yes"?>
<Relationships xmlns="http://schemas.openxmlformats.org/package/2006/relationships">
<Relationship Id="rId1" Target="../printerSettings/printerSettings18.bin" Type="http://schemas.openxmlformats.org/officeDocument/2006/relationships/printerSettings"/>
<Relationship Id="rId2" Target="../drawings/drawing23.xml" Type="http://schemas.openxmlformats.org/officeDocument/2006/relationships/drawing"/>
<Relationship Id="rId3" Target="../drawings/vmlDrawing9.vml" Type="http://schemas.openxmlformats.org/officeDocument/2006/relationships/vmlDrawing"/>
<Relationship Id="rId4" Target="../comments7.xml" Type="http://schemas.openxmlformats.org/officeDocument/2006/relationships/comments"/>
</Relationships>

</file>

<file path=xl/worksheets/_rels/sheet19.xml.rels><?xml version="1.0" encoding="UTF-8" standalone="yes"?>
<Relationships xmlns="http://schemas.openxmlformats.org/package/2006/relationships">
<Relationship Id="rId1" Target="../printerSettings/printerSettings19.bin" Type="http://schemas.openxmlformats.org/officeDocument/2006/relationships/printerSettings"/>
<Relationship Id="rId2" Target="../drawings/vmlDrawing10.vml" Type="http://schemas.openxmlformats.org/officeDocument/2006/relationships/vmlDrawing"/>
<Relationship Id="rId3" Target="../comments8.xml" Type="http://schemas.openxmlformats.org/officeDocument/2006/relationships/comments"/>
</Relationships>

</file>

<file path=xl/worksheets/_rels/sheet20.xml.rels><?xml version="1.0" encoding="UTF-8" standalone="yes"?>
<Relationships xmlns="http://schemas.openxmlformats.org/package/2006/relationships">
<Relationship Id="rId1" Target="../printerSettings/printerSettings20.bin" Type="http://schemas.openxmlformats.org/officeDocument/2006/relationships/printerSettings"/>
<Relationship Id="rId2" Target="../drawings/drawing24.xml" Type="http://schemas.openxmlformats.org/officeDocument/2006/relationships/drawing"/>
<Relationship Id="rId3" Target="../drawings/vmlDrawing11.vml" Type="http://schemas.openxmlformats.org/officeDocument/2006/relationships/vmlDrawing"/>
<Relationship Id="rId4" Target="../comments9.xml" Type="http://schemas.openxmlformats.org/officeDocument/2006/relationships/comments"/>
</Relationships>

</file>

<file path=xl/worksheets/_rels/sheet21.xml.rels><?xml version="1.0" encoding="UTF-8" standalone="yes"?>
<Relationships xmlns="http://schemas.openxmlformats.org/package/2006/relationships">
<Relationship Id="rId1" Target="../printerSettings/printerSettings21.bin" Type="http://schemas.openxmlformats.org/officeDocument/2006/relationships/printerSettings"/>
<Relationship Id="rId2" Target="../drawings/vmlDrawing12.vml" Type="http://schemas.openxmlformats.org/officeDocument/2006/relationships/vmlDrawing"/>
<Relationship Id="rId3" Target="../comments10.xml" Type="http://schemas.openxmlformats.org/officeDocument/2006/relationships/comments"/>
</Relationships>

</file>

<file path=xl/worksheets/_rels/sheet22.xml.rels><?xml version="1.0" encoding="UTF-8" standalone="yes"?>
<Relationships xmlns="http://schemas.openxmlformats.org/package/2006/relationships">
<Relationship Id="rId1" Target="../printerSettings/printerSettings22.bin" Type="http://schemas.openxmlformats.org/officeDocument/2006/relationships/printerSettings"/>
</Relationships>

</file>

<file path=xl/worksheets/_rels/sheet23.xml.rels><?xml version="1.0" encoding="UTF-8" standalone="yes"?>
<Relationships xmlns="http://schemas.openxmlformats.org/package/2006/relationships">
<Relationship Id="rId1" Target="../printerSettings/printerSettings23.bin" Type="http://schemas.openxmlformats.org/officeDocument/2006/relationships/printerSettings"/>
<Relationship Id="rId2" Target="../drawings/vmlDrawing13.vml" Type="http://schemas.openxmlformats.org/officeDocument/2006/relationships/vmlDrawing"/>
<Relationship Id="rId3" Target="../comments11.xml" Type="http://schemas.openxmlformats.org/officeDocument/2006/relationships/comments"/>
</Relationships>

</file>

<file path=xl/worksheets/_rels/sheet24.xml.rels><?xml version="1.0" encoding="UTF-8" standalone="yes"?>
<Relationships xmlns="http://schemas.openxmlformats.org/package/2006/relationships">
<Relationship Id="rId1" Target="../printerSettings/printerSettings24.bin" Type="http://schemas.openxmlformats.org/officeDocument/2006/relationships/printerSettings"/>
<Relationship Id="rId2" Target="../drawings/drawing25.xml" Type="http://schemas.openxmlformats.org/officeDocument/2006/relationships/drawing"/>
<Relationship Id="rId3" Target="../drawings/vmlDrawing14.vml" Type="http://schemas.openxmlformats.org/officeDocument/2006/relationships/vmlDrawing"/>
<Relationship Id="rId4" Target="../comments12.xml" Type="http://schemas.openxmlformats.org/officeDocument/2006/relationships/comments"/>
</Relationships>

</file>

<file path=xl/worksheets/_rels/sheet25.xml.rels><?xml version="1.0" encoding="UTF-8" standalone="yes"?>
<Relationships xmlns="http://schemas.openxmlformats.org/package/2006/relationships">
<Relationship Id="rId1" Target="../printerSettings/printerSettings25.bin" Type="http://schemas.openxmlformats.org/officeDocument/2006/relationships/printerSettings"/>
</Relationships>

</file>

<file path=xl/worksheets/_rels/sheet26.xml.rels><?xml version="1.0" encoding="UTF-8" standalone="yes"?>
<Relationships xmlns="http://schemas.openxmlformats.org/package/2006/relationships">
<Relationship Id="rId1" Target="../printerSettings/printerSettings26.bin" Type="http://schemas.openxmlformats.org/officeDocument/2006/relationships/printerSettings"/>
</Relationships>

</file>

<file path=xl/worksheets/_rels/sheet28.xml.rels><?xml version="1.0" encoding="UTF-8" standalone="yes"?>
<Relationships xmlns="http://schemas.openxmlformats.org/package/2006/relationships">
<Relationship Id="rId1" Target="../printerSettings/printerSettings27.bin" Type="http://schemas.openxmlformats.org/officeDocument/2006/relationships/printerSettings"/>
</Relationships>

</file>

<file path=xl/worksheets/_rels/sheet29.xml.rels><?xml version="1.0" encoding="UTF-8" standalone="yes"?>
<Relationships xmlns="http://schemas.openxmlformats.org/package/2006/relationships">
<Relationship Id="rId1" Target="../printerSettings/printerSettings28.bin" Type="http://schemas.openxmlformats.org/officeDocument/2006/relationships/printerSettings"/>
<Relationship Id="rId2" Target="../drawings/drawing26.xml" Type="http://schemas.openxmlformats.org/officeDocument/2006/relationships/drawing"/>
</Relationships>

</file>

<file path=xl/worksheets/_rels/sheet30.xml.rels><?xml version="1.0" encoding="UTF-8" standalone="yes"?>
<Relationships xmlns="http://schemas.openxmlformats.org/package/2006/relationships">
<Relationship Id="rId1" Target="../printerSettings/printerSettings29.bin" Type="http://schemas.openxmlformats.org/officeDocument/2006/relationships/printerSettings"/>
<Relationship Id="rId2" Target="../drawings/vmlDrawing15.vml" Type="http://schemas.openxmlformats.org/officeDocument/2006/relationships/vmlDrawing"/>
<Relationship Id="rId3" Target="../comments13.xml" Type="http://schemas.openxmlformats.org/officeDocument/2006/relationships/comments"/>
</Relationships>

</file>

<file path=xl/worksheets/_rels/sheet31.xml.rels><?xml version="1.0" encoding="UTF-8" standalone="yes"?>
<Relationships xmlns="http://schemas.openxmlformats.org/package/2006/relationships">
<Relationship Id="rId1" Target="../printerSettings/printerSettings30.bin" Type="http://schemas.openxmlformats.org/officeDocument/2006/relationships/printerSettings"/>
</Relationships>

</file>

<file path=xl/worksheets/_rels/sheet32.xml.rels><?xml version="1.0" encoding="UTF-8" standalone="yes"?>
<Relationships xmlns="http://schemas.openxmlformats.org/package/2006/relationships">
<Relationship Id="rId1" Target="../printerSettings/printerSettings31.bin" Type="http://schemas.openxmlformats.org/officeDocument/2006/relationships/printerSettings"/>
<Relationship Id="rId2" Target="../drawings/drawing27.xml" Type="http://schemas.openxmlformats.org/officeDocument/2006/relationships/drawing"/>
</Relationships>

</file>

<file path=xl/worksheets/_rels/sheet33.xml.rels><?xml version="1.0" encoding="UTF-8" standalone="yes"?>
<Relationships xmlns="http://schemas.openxmlformats.org/package/2006/relationships">
<Relationship Id="rId1" Target="../printerSettings/printerSettings32.bin" Type="http://schemas.openxmlformats.org/officeDocument/2006/relationships/printerSettings"/>
<Relationship Id="rId2" Target="../drawings/drawing31.xml" Type="http://schemas.openxmlformats.org/officeDocument/2006/relationships/drawing"/>
</Relationships>

</file>

<file path=xl/worksheets/_rels/sheet34.xml.rels><?xml version="1.0" encoding="UTF-8" standalone="yes"?>
<Relationships xmlns="http://schemas.openxmlformats.org/package/2006/relationships">
<Relationship Id="rId1" Target="../printerSettings/printerSettings33.bin" Type="http://schemas.openxmlformats.org/officeDocument/2006/relationships/printerSettings"/>
</Relationships>

</file>

<file path=xl/worksheets/_rels/sheet35.xml.rels><?xml version="1.0" encoding="UTF-8" standalone="yes"?>
<Relationships xmlns="http://schemas.openxmlformats.org/package/2006/relationships">
<Relationship Id="rId1" Target="../printerSettings/printerSettings34.bin" Type="http://schemas.openxmlformats.org/officeDocument/2006/relationships/printerSettings"/>
<Relationship Id="rId2" Target="../drawings/vmlDrawing16.vml" Type="http://schemas.openxmlformats.org/officeDocument/2006/relationships/vmlDrawing"/>
<Relationship Id="rId3" Target="../comments14.xml" Type="http://schemas.openxmlformats.org/officeDocument/2006/relationships/comments"/>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WROE1">
    <outlinePr summaryBelow="0"/>
    <pageSetUpPr autoPageBreaks="0" fitToPage="1"/>
  </sheetPr>
  <dimension ref="A1:AK383"/>
  <sheetViews>
    <sheetView showGridLines="0" topLeftCell="B189" zoomScale="85" zoomScaleNormal="90" workbookViewId="0">
      <selection activeCell="K189" sqref="K189"/>
    </sheetView>
  </sheetViews>
  <sheetFormatPr defaultColWidth="9.7109375" defaultRowHeight="11.25"/>
  <cols>
    <col min="1" max="1" width="16" style="1395" customWidth="1"/>
    <col min="2" max="2" width="59.7109375" style="1410" customWidth="1"/>
    <col min="3" max="13" width="10.28515625" style="1410" customWidth="1"/>
    <col min="14" max="14" width="8.5703125" style="1410" customWidth="1"/>
    <col min="15" max="17" width="9.7109375" style="1395" customWidth="1"/>
    <col min="18" max="26" width="9.7109375" style="1417" customWidth="1"/>
    <col min="27" max="27" width="9.7109375" style="1418" customWidth="1"/>
    <col min="28" max="16384" width="9.7109375" style="1410"/>
  </cols>
  <sheetData>
    <row r="1" spans="2:37" s="1404" customFormat="1" ht="34.5" customHeight="1">
      <c r="B1" s="1404" t="s">
        <v>832</v>
      </c>
      <c r="C1" s="1436"/>
      <c r="G1" s="1404" t="s">
        <v>838</v>
      </c>
      <c r="J1" s="2397" t="str">
        <f>IF(B377="J",J2,"")</f>
        <v/>
      </c>
      <c r="K1" s="2397"/>
      <c r="O1" s="1435" t="s">
        <v>212</v>
      </c>
      <c r="R1" s="1405"/>
      <c r="S1" s="1405"/>
      <c r="T1" s="1405"/>
      <c r="U1" s="1405"/>
      <c r="V1" s="1406">
        <f>IF(W1,1,2)</f>
        <v>1</v>
      </c>
      <c r="W1" s="1405" t="b">
        <v>1</v>
      </c>
      <c r="X1" s="1405" t="b">
        <v>0</v>
      </c>
      <c r="Y1" s="1405"/>
      <c r="Z1" s="1405"/>
    </row>
    <row r="2" spans="2:37" ht="21.75" hidden="1" customHeight="1">
      <c r="I2" s="1410" t="s">
        <v>212</v>
      </c>
      <c r="J2" s="1410" t="s">
        <v>212</v>
      </c>
      <c r="L2" s="1277" t="s">
        <v>212</v>
      </c>
      <c r="N2" s="1395"/>
      <c r="O2" s="1412"/>
      <c r="P2" s="1412"/>
      <c r="Q2" s="1412"/>
      <c r="R2" s="1281"/>
      <c r="S2" s="1413"/>
      <c r="T2" s="1413"/>
      <c r="U2" s="1413"/>
      <c r="V2" s="1413"/>
      <c r="W2" s="1413"/>
      <c r="X2" s="1413"/>
      <c r="Y2" s="1413"/>
      <c r="Z2" s="1413"/>
      <c r="AA2" s="1412"/>
      <c r="AB2" s="1412"/>
      <c r="AC2" s="1412"/>
      <c r="AD2" s="1412"/>
      <c r="AE2" s="1395"/>
      <c r="AF2" s="1395"/>
      <c r="AG2" s="1395"/>
      <c r="AH2" s="1395"/>
      <c r="AI2" s="1395"/>
      <c r="AJ2" s="1395"/>
      <c r="AK2" s="1395"/>
    </row>
    <row r="3" spans="2:37" ht="44.1" customHeight="1">
      <c r="B3" s="1407" t="s">
        <v>738</v>
      </c>
      <c r="C3" s="1408"/>
      <c r="D3" s="1408"/>
      <c r="E3" s="1408"/>
      <c r="F3" s="1408"/>
      <c r="G3" s="1408"/>
      <c r="H3" s="1408"/>
      <c r="I3" s="1408"/>
      <c r="J3" s="1409" t="s">
        <v>739</v>
      </c>
      <c r="L3" s="1277"/>
      <c r="N3" s="1411"/>
      <c r="O3" s="1412"/>
      <c r="P3" s="1412"/>
      <c r="Q3" s="1412"/>
      <c r="R3" s="1281"/>
      <c r="S3" s="1413"/>
      <c r="T3" s="1413"/>
      <c r="U3" s="1413"/>
      <c r="V3" s="1413"/>
      <c r="W3" s="1413"/>
      <c r="X3" s="1413"/>
      <c r="Y3" s="1413"/>
      <c r="Z3" s="1413"/>
      <c r="AA3" s="1412"/>
      <c r="AB3" s="1412"/>
      <c r="AC3" s="1412"/>
      <c r="AD3" s="1412"/>
      <c r="AE3" s="1395"/>
      <c r="AF3" s="1395"/>
      <c r="AG3" s="1395"/>
      <c r="AH3" s="1395"/>
      <c r="AI3" s="1395"/>
      <c r="AJ3" s="1395"/>
      <c r="AK3" s="1395"/>
    </row>
    <row r="4" spans="2:37" ht="4.5" customHeight="1">
      <c r="L4" s="1277"/>
      <c r="N4" s="1395"/>
      <c r="O4" s="1412"/>
      <c r="P4" s="1412"/>
      <c r="Q4" s="1412"/>
      <c r="R4" s="1281"/>
      <c r="S4" s="1413"/>
      <c r="T4" s="1413"/>
      <c r="U4" s="1413"/>
      <c r="V4" s="1413"/>
      <c r="W4" s="1413"/>
      <c r="X4" s="1413"/>
      <c r="Y4" s="1413"/>
      <c r="Z4" s="1413"/>
      <c r="AA4" s="1412"/>
      <c r="AB4" s="1412"/>
      <c r="AC4" s="1412"/>
      <c r="AD4" s="1412"/>
      <c r="AE4" s="1395"/>
      <c r="AF4" s="1395"/>
      <c r="AG4" s="1395"/>
      <c r="AH4" s="1395"/>
      <c r="AI4" s="1395"/>
      <c r="AJ4" s="1395"/>
      <c r="AK4" s="1395"/>
    </row>
    <row r="5" spans="2:37" ht="21.95" customHeight="1">
      <c r="B5" s="1437" t="s">
        <v>1719</v>
      </c>
      <c r="C5" s="2398" t="str">
        <f>rngTicker</f>
        <v>EQIX.O</v>
      </c>
      <c r="D5" s="2399"/>
      <c r="E5" s="1395"/>
      <c r="F5" s="1395"/>
      <c r="G5" s="1438"/>
      <c r="H5" s="1395"/>
      <c r="I5" s="1395"/>
      <c r="J5" s="1395"/>
      <c r="K5" s="1395"/>
      <c r="L5" s="1285"/>
      <c r="M5" s="1439"/>
      <c r="N5" s="1395" t="s">
        <v>740</v>
      </c>
      <c r="O5" s="1440"/>
      <c r="P5" s="1440"/>
      <c r="Q5" s="1440"/>
      <c r="R5" s="1363"/>
      <c r="S5" s="1414"/>
      <c r="T5" s="1414"/>
      <c r="U5" s="1414"/>
      <c r="V5" s="1414"/>
      <c r="W5" s="1414"/>
      <c r="X5" s="1414"/>
      <c r="Y5" s="1413"/>
      <c r="Z5" s="1413"/>
      <c r="AA5" s="1440"/>
      <c r="AB5" s="1440"/>
      <c r="AC5" s="1412"/>
      <c r="AD5" s="1412"/>
      <c r="AE5" s="1395"/>
      <c r="AF5" s="1395"/>
      <c r="AG5" s="1395"/>
      <c r="AH5" s="1395"/>
      <c r="AI5" s="1395"/>
      <c r="AJ5" s="1395"/>
      <c r="AK5" s="1395"/>
    </row>
    <row r="6" spans="2:37" ht="9.9499999999999993" customHeight="1">
      <c r="F6" s="1439"/>
      <c r="G6" s="1439"/>
      <c r="H6" s="1439"/>
      <c r="I6" s="1439"/>
      <c r="J6" s="1439"/>
      <c r="K6" s="1439"/>
      <c r="L6" s="1282"/>
      <c r="M6" s="1439"/>
      <c r="N6" s="1395"/>
      <c r="O6" s="1440"/>
      <c r="P6" s="1440"/>
      <c r="Q6" s="1440"/>
      <c r="R6" s="1414"/>
      <c r="S6" s="1414"/>
      <c r="T6" s="1414"/>
      <c r="U6" s="1414"/>
      <c r="V6" s="1414"/>
      <c r="W6" s="1414"/>
      <c r="X6" s="1414"/>
      <c r="Y6" s="1413"/>
      <c r="Z6" s="1413"/>
      <c r="AA6" s="1440"/>
      <c r="AB6" s="1440"/>
      <c r="AC6" s="1412"/>
      <c r="AD6" s="1412"/>
      <c r="AE6" s="1395"/>
      <c r="AF6" s="1395"/>
      <c r="AG6" s="1395"/>
      <c r="AH6" s="1395"/>
      <c r="AI6" s="1395"/>
      <c r="AJ6" s="1395"/>
      <c r="AK6" s="1395"/>
    </row>
    <row r="7" spans="2:37" ht="21.95" customHeight="1">
      <c r="F7" s="1439"/>
      <c r="G7" s="1439"/>
      <c r="H7" s="1439"/>
      <c r="I7" s="1439"/>
      <c r="J7" s="1439"/>
      <c r="K7" s="1439"/>
      <c r="L7" s="1441"/>
      <c r="M7" s="1439"/>
      <c r="N7" s="1395"/>
      <c r="O7" s="1442"/>
      <c r="P7" s="1443" t="s">
        <v>1718</v>
      </c>
      <c r="Q7" s="1440"/>
      <c r="R7" s="1413"/>
      <c r="S7" s="1444" t="s">
        <v>833</v>
      </c>
      <c r="T7" s="1413" t="str">
        <f>"ROE Decomposition ("&amp;S7&amp;")"</f>
        <v>ROE Decomposition (2011e)</v>
      </c>
      <c r="U7" s="1413"/>
      <c r="V7" s="1413"/>
      <c r="W7" s="1413"/>
      <c r="X7" s="1414"/>
      <c r="Y7" s="1413"/>
      <c r="Z7" s="1413"/>
      <c r="AA7" s="1440"/>
      <c r="AB7" s="1440" t="s">
        <v>741</v>
      </c>
      <c r="AC7" s="1412"/>
      <c r="AD7" s="1412"/>
      <c r="AE7" s="1440"/>
      <c r="AF7" s="1395"/>
      <c r="AG7" s="1395"/>
      <c r="AH7" s="1395"/>
      <c r="AI7" s="1395"/>
      <c r="AJ7" s="1395"/>
      <c r="AK7" s="1395"/>
    </row>
    <row r="8" spans="2:37" ht="21.95" customHeight="1">
      <c r="F8" s="1439"/>
      <c r="G8" s="1439"/>
      <c r="H8" s="1439"/>
      <c r="I8" s="1439"/>
      <c r="J8" s="1439"/>
      <c r="K8" s="1439"/>
      <c r="L8" s="1439"/>
      <c r="M8" s="1439"/>
      <c r="N8" s="1395"/>
      <c r="O8" s="1442"/>
      <c r="P8" s="1440"/>
      <c r="Q8" s="1440"/>
      <c r="R8" s="1413">
        <v>6</v>
      </c>
      <c r="S8" s="1413">
        <f>IF(ISNUMBER(MATCH(S7,R9:R18,FALSE)),MATCH(S7,R9:R18,FALSE),IF(ISNUMBER(MATCH(VALUE(S7),R9:R18,FALSE)),MATCH(VALUE(S7),R9:R18,FALSE),1))</f>
        <v>6</v>
      </c>
      <c r="T8" s="1413"/>
      <c r="U8" s="1413" t="s">
        <v>742</v>
      </c>
      <c r="V8" s="1413" t="s">
        <v>743</v>
      </c>
      <c r="W8" s="1413"/>
      <c r="X8" s="1414"/>
      <c r="Y8" s="1413"/>
      <c r="Z8" s="1413"/>
      <c r="AA8" s="1440"/>
      <c r="AB8" s="1440" t="s">
        <v>744</v>
      </c>
      <c r="AC8" s="1412"/>
      <c r="AD8" s="1412"/>
      <c r="AE8" s="1440"/>
      <c r="AF8" s="1395"/>
      <c r="AG8" s="1395"/>
      <c r="AH8" s="1395"/>
      <c r="AI8" s="1395"/>
      <c r="AJ8" s="1395"/>
      <c r="AK8" s="1395"/>
    </row>
    <row r="9" spans="2:37" ht="21.95" customHeight="1">
      <c r="F9" s="1439"/>
      <c r="G9" s="1439"/>
      <c r="H9" s="1439"/>
      <c r="I9" s="1439"/>
      <c r="J9" s="1439"/>
      <c r="K9" s="1439"/>
      <c r="L9" s="1285" t="s">
        <v>215</v>
      </c>
      <c r="M9" s="1445"/>
      <c r="N9" s="1395"/>
      <c r="O9" s="1440"/>
      <c r="P9" s="1440"/>
      <c r="Q9" s="1440"/>
      <c r="R9" s="1413">
        <v>2006</v>
      </c>
      <c r="S9" s="1415" t="s">
        <v>745</v>
      </c>
      <c r="T9" s="1413" t="s">
        <v>745</v>
      </c>
      <c r="U9" s="1416">
        <v>0</v>
      </c>
      <c r="V9" s="1288">
        <f ca="1">IF(ISERROR(CHOOSE($V$1,HLOOKUP(OFFSET($R$8,$S$8,0),$C$34:$L$148,5),HLOOKUP(OFFSET($R$8,$S$8,0),$C$34:$L$148,68))),0,CHOOSE($V$1,HLOOKUP(OFFSET($R$8,$S$8,0),$C$34:$L$148,5),HLOOKUP(OFFSET($R$8,$S$8,0),$C$34:$L$148,68)))</f>
        <v>6.7448200245724205E-2</v>
      </c>
      <c r="W9" s="1288">
        <f ca="1">V9</f>
        <v>6.7448200245724205E-2</v>
      </c>
      <c r="X9" s="1414"/>
      <c r="Y9" s="1413"/>
      <c r="Z9" s="1446" t="b">
        <f ca="1">IF(W11&lt;0,-Z10,Z10)</f>
        <v>0</v>
      </c>
      <c r="AA9" s="1440"/>
      <c r="AB9" s="1440" t="str">
        <f>IF(A308="English",AE9,AH9)</f>
        <v>ROE Decomposition (2011e)</v>
      </c>
      <c r="AC9" s="1412"/>
      <c r="AD9" s="1412"/>
      <c r="AE9" s="1440" t="str">
        <f>"ROE Decomposition ("&amp;S7&amp;")"</f>
        <v>ROE Decomposition (2011e)</v>
      </c>
      <c r="AF9" s="1395"/>
      <c r="AG9" s="1395"/>
      <c r="AH9" s="1417" t="str">
        <f>"ROE要因分解 ("&amp;S7&amp;")"</f>
        <v>ROE要因分解 (2011e)</v>
      </c>
      <c r="AI9" s="1395"/>
      <c r="AJ9" s="1395"/>
      <c r="AK9" s="1395"/>
    </row>
    <row r="10" spans="2:37" ht="21.95" customHeight="1">
      <c r="F10" s="1439"/>
      <c r="G10" s="1439"/>
      <c r="H10" s="1439"/>
      <c r="I10" s="1439"/>
      <c r="J10" s="1439"/>
      <c r="K10" s="1439"/>
      <c r="L10" s="1405" t="s">
        <v>213</v>
      </c>
      <c r="M10" s="1439"/>
      <c r="N10" s="1395"/>
      <c r="O10" s="1447"/>
      <c r="P10" s="1440"/>
      <c r="Q10" s="1440"/>
      <c r="R10" s="1413">
        <v>2007</v>
      </c>
      <c r="S10" s="1415" t="s">
        <v>746</v>
      </c>
      <c r="T10" s="1413" t="s">
        <v>746</v>
      </c>
      <c r="U10" s="1288">
        <f ca="1">IF(AND(V10&gt;0,W9&gt;0),W9,IF(AND(V10&lt;0,W9&gt;0),W9+V10,IF(AND(W9&lt;0,V10&gt;0,SUM(V9:V10)&lt;0),SUM(V9:V10),V9)))</f>
        <v>6.7448200245724205E-2</v>
      </c>
      <c r="V10" s="1288">
        <f ca="1">IF(ISERROR(CHOOSE($V$1,HLOOKUP(OFFSET($R$8,$S$8,0),$C$34:$L$148,32),HLOOKUP(OFFSET($R$8,$S$8,0),$C$34:$L$148,90))),0,CHOOSE($V$1,HLOOKUP(OFFSET($R$8,$S$8,0),$C$34:$L$148,32),HLOOKUP(OFFSET($R$8,$S$8,0),$C$34:$L$148,90)))</f>
        <v>0</v>
      </c>
      <c r="W10" s="1288">
        <f ca="1">IF(AND(V9&lt;0,V10&lt;0,V11&lt;0,V12&lt;0),V10,IF(AND(V9&gt;0,V10&lt;0,V12&lt;0),V9,IF(SUM(V9:V10)&lt;0,-V10,IF(AND(U10&lt;0,SUM(V9:V10)&gt;0),SUM(V9:V10),ABS(V10)))))</f>
        <v>0</v>
      </c>
      <c r="X10" s="1414"/>
      <c r="Y10" s="1413"/>
      <c r="Z10" s="1446" t="b">
        <f ca="1">IF(AND(W9&gt;0,W10&gt;0),MAX(W9,W10),IF(AND(W9&lt;0,W10&lt;0),MAX(ABS(W9),ABS(W10)),IF(W9&lt;0,ABS(W9),IF(W10&lt;0,ABS(W10)))))</f>
        <v>0</v>
      </c>
      <c r="AA10" s="1440"/>
      <c r="AB10" s="1440" t="s">
        <v>747</v>
      </c>
      <c r="AC10" s="1412"/>
      <c r="AD10" s="1412"/>
      <c r="AE10" s="1440" t="str">
        <f>"× "&amp;AB10</f>
        <v>× Operating Asset Turnover</v>
      </c>
      <c r="AF10" s="1395"/>
      <c r="AG10" s="1395"/>
      <c r="AH10" s="1395"/>
      <c r="AI10" s="1395"/>
      <c r="AJ10" s="1395"/>
      <c r="AK10" s="1395"/>
    </row>
    <row r="11" spans="2:37" ht="21.95" customHeight="1">
      <c r="F11" s="1439"/>
      <c r="G11" s="1439"/>
      <c r="H11" s="1439"/>
      <c r="I11" s="1439"/>
      <c r="J11" s="1439"/>
      <c r="K11" s="1439"/>
      <c r="L11" s="1439"/>
      <c r="M11" s="1439"/>
      <c r="N11" s="1395"/>
      <c r="O11" s="1440"/>
      <c r="P11" s="1440"/>
      <c r="Q11" s="1440"/>
      <c r="R11" s="1413">
        <v>2008</v>
      </c>
      <c r="S11" s="1415" t="s">
        <v>748</v>
      </c>
      <c r="T11" s="1413" t="s">
        <v>748</v>
      </c>
      <c r="U11" s="1416">
        <v>0</v>
      </c>
      <c r="V11" s="1288">
        <f ca="1">IF(ISERROR(CHOOSE($V$1,HLOOKUP(OFFSET($R$8,$S$8,0),$C$34:$L$148,3),HLOOKUP(OFFSET($R$8,$S$8,0),$C$34:$L$148,66))),0,CHOOSE($V$1,HLOOKUP(OFFSET($R$8,$S$8,0),$C$34:$L$148,3),HLOOKUP(OFFSET($R$8,$S$8,0),$C$34:$L$148,66)))</f>
        <v>5.1396827263929558E-2</v>
      </c>
      <c r="W11" s="1288">
        <f ca="1">V11</f>
        <v>5.1396827263929558E-2</v>
      </c>
      <c r="X11" s="1414"/>
      <c r="Y11" s="1413"/>
      <c r="Z11" s="1413"/>
      <c r="AA11" s="1440"/>
      <c r="AB11" s="1440" t="s">
        <v>749</v>
      </c>
      <c r="AC11" s="1412"/>
      <c r="AD11" s="1412"/>
      <c r="AE11" s="1440"/>
      <c r="AF11" s="1395"/>
      <c r="AG11" s="1395"/>
      <c r="AH11" s="1395"/>
      <c r="AI11" s="1395"/>
      <c r="AJ11" s="1395"/>
      <c r="AK11" s="1395"/>
    </row>
    <row r="12" spans="2:37" ht="21.95" customHeight="1">
      <c r="F12" s="1439"/>
      <c r="G12" s="1439"/>
      <c r="H12" s="1439"/>
      <c r="I12" s="1439"/>
      <c r="J12" s="1439"/>
      <c r="K12" s="1439"/>
      <c r="L12" s="1439"/>
      <c r="M12" s="1439"/>
      <c r="N12" s="1395"/>
      <c r="O12" s="1440"/>
      <c r="P12" s="1440"/>
      <c r="Q12" s="1440"/>
      <c r="R12" s="1413">
        <v>2009</v>
      </c>
      <c r="S12" s="1415" t="e">
        <f>VALUE(F34)</f>
        <v>#VALUE!</v>
      </c>
      <c r="T12" s="1413"/>
      <c r="U12" s="1413"/>
      <c r="V12" s="1416">
        <f ca="1">SUM(V9:V10)</f>
        <v>6.7448200245724205E-2</v>
      </c>
      <c r="W12" s="1413"/>
      <c r="X12" s="1414"/>
      <c r="Y12" s="1413"/>
      <c r="Z12" s="1413"/>
      <c r="AA12" s="1440"/>
      <c r="AB12" s="1440" t="s">
        <v>750</v>
      </c>
      <c r="AC12" s="1412"/>
      <c r="AD12" s="1412"/>
      <c r="AE12" s="1440" t="str">
        <f>"+ "&amp;AB12</f>
        <v>+ Return From Leverage</v>
      </c>
      <c r="AF12" s="1395"/>
      <c r="AG12" s="1395"/>
      <c r="AH12" s="1395"/>
      <c r="AI12" s="1395"/>
      <c r="AJ12" s="1395"/>
      <c r="AK12" s="1395"/>
    </row>
    <row r="13" spans="2:37" ht="21.95" customHeight="1">
      <c r="F13" s="1439"/>
      <c r="G13" s="1439"/>
      <c r="H13" s="1439"/>
      <c r="I13" s="1439"/>
      <c r="J13" s="1439"/>
      <c r="K13" s="1439"/>
      <c r="L13" s="1439"/>
      <c r="M13" s="1439"/>
      <c r="N13" s="1395"/>
      <c r="O13" s="1440"/>
      <c r="P13" s="1440"/>
      <c r="Q13" s="1440"/>
      <c r="R13" s="1413">
        <v>2010</v>
      </c>
      <c r="S13" s="1415" t="e">
        <f>VALUE(G34)</f>
        <v>#VALUE!</v>
      </c>
      <c r="T13" s="1413"/>
      <c r="U13" s="1413"/>
      <c r="V13" s="1413"/>
      <c r="W13" s="1413"/>
      <c r="X13" s="1414"/>
      <c r="Y13" s="1413"/>
      <c r="Z13" s="1413"/>
      <c r="AA13" s="1440"/>
      <c r="AB13" s="1440" t="s">
        <v>751</v>
      </c>
      <c r="AC13" s="1412"/>
      <c r="AD13" s="1412"/>
      <c r="AE13" s="1395"/>
      <c r="AF13" s="1395"/>
      <c r="AG13" s="1395"/>
      <c r="AH13" s="1395"/>
      <c r="AI13" s="1395"/>
      <c r="AJ13" s="1395"/>
      <c r="AK13" s="1395"/>
    </row>
    <row r="14" spans="2:37" ht="21.95" customHeight="1">
      <c r="F14" s="1439"/>
      <c r="G14" s="1439"/>
      <c r="H14" s="1439"/>
      <c r="I14" s="1439"/>
      <c r="J14" s="1439"/>
      <c r="K14" s="1439"/>
      <c r="L14" s="1439"/>
      <c r="M14" s="1439"/>
      <c r="N14" s="1395"/>
      <c r="O14" s="1440"/>
      <c r="P14" s="1440"/>
      <c r="Q14" s="1440"/>
      <c r="R14" s="1413" t="s">
        <v>833</v>
      </c>
      <c r="S14" s="1415" t="str">
        <f>H34</f>
        <v>2Q11</v>
      </c>
      <c r="T14" s="1413"/>
      <c r="U14" s="1413"/>
      <c r="V14" s="1413"/>
      <c r="W14" s="1413"/>
      <c r="X14" s="1414"/>
      <c r="Y14" s="1413"/>
      <c r="Z14" s="1413"/>
      <c r="AA14" s="1440"/>
      <c r="AB14" s="1440"/>
      <c r="AC14" s="1412"/>
      <c r="AD14" s="1412"/>
      <c r="AE14" s="1395"/>
      <c r="AF14" s="1395"/>
      <c r="AG14" s="1395"/>
      <c r="AH14" s="1395"/>
      <c r="AI14" s="1395"/>
      <c r="AJ14" s="1395"/>
      <c r="AK14" s="1395"/>
    </row>
    <row r="15" spans="2:37" ht="21.95" customHeight="1">
      <c r="F15" s="1439"/>
      <c r="G15" s="1439"/>
      <c r="H15" s="1439"/>
      <c r="I15" s="1439"/>
      <c r="J15" s="1439"/>
      <c r="K15" s="1439"/>
      <c r="L15" s="1439"/>
      <c r="M15" s="1439"/>
      <c r="N15" s="1395"/>
      <c r="O15" s="1440"/>
      <c r="P15" s="1440"/>
      <c r="Q15" s="1440"/>
      <c r="R15" s="1413" t="s">
        <v>834</v>
      </c>
      <c r="S15" s="1415" t="str">
        <f>I34</f>
        <v>3Q11</v>
      </c>
      <c r="T15" s="1413"/>
      <c r="U15" s="1413"/>
      <c r="V15" s="1413"/>
      <c r="W15" s="1413"/>
      <c r="X15" s="1414"/>
      <c r="Y15" s="1413"/>
      <c r="Z15" s="1413"/>
      <c r="AA15" s="1440"/>
      <c r="AB15" s="1440"/>
      <c r="AC15" s="1412"/>
      <c r="AD15" s="1412"/>
      <c r="AE15" s="1395"/>
      <c r="AF15" s="1395"/>
      <c r="AG15" s="1395"/>
      <c r="AH15" s="1395"/>
      <c r="AI15" s="1395"/>
      <c r="AJ15" s="1395"/>
      <c r="AK15" s="1395"/>
    </row>
    <row r="16" spans="2:37" ht="21.95" customHeight="1">
      <c r="F16" s="1439"/>
      <c r="G16" s="1439"/>
      <c r="H16" s="1439"/>
      <c r="I16" s="1439"/>
      <c r="J16" s="1439"/>
      <c r="K16" s="1439"/>
      <c r="L16" s="1439"/>
      <c r="M16" s="1439"/>
      <c r="N16" s="1395"/>
      <c r="O16" s="1440"/>
      <c r="P16" s="1440"/>
      <c r="Q16" s="1440"/>
      <c r="R16" s="1413" t="s">
        <v>835</v>
      </c>
      <c r="S16" s="1415" t="str">
        <f>J34</f>
        <v>4Q11E</v>
      </c>
      <c r="T16" s="1413"/>
      <c r="U16" s="1413"/>
      <c r="V16" s="1413"/>
      <c r="W16" s="1413"/>
      <c r="X16" s="1414"/>
      <c r="Y16" s="1413"/>
      <c r="Z16" s="1413"/>
      <c r="AA16" s="1440"/>
      <c r="AB16" s="1440"/>
      <c r="AC16" s="1412"/>
      <c r="AD16" s="1412"/>
      <c r="AE16" s="1395"/>
      <c r="AF16" s="1395"/>
      <c r="AG16" s="1395"/>
      <c r="AH16" s="1395"/>
      <c r="AI16" s="1395"/>
      <c r="AJ16" s="1395"/>
      <c r="AK16" s="1395"/>
    </row>
    <row r="17" spans="3:37" ht="21.95" customHeight="1">
      <c r="F17" s="1439"/>
      <c r="G17" s="1439"/>
      <c r="H17" s="1439"/>
      <c r="I17" s="1439"/>
      <c r="J17" s="1439"/>
      <c r="K17" s="1439"/>
      <c r="L17" s="1439"/>
      <c r="M17" s="1439"/>
      <c r="N17" s="1395"/>
      <c r="O17" s="1440"/>
      <c r="P17" s="1440"/>
      <c r="Q17" s="1440"/>
      <c r="R17" s="1413" t="s">
        <v>836</v>
      </c>
      <c r="S17" s="1413"/>
      <c r="T17" s="1413"/>
      <c r="U17" s="1413"/>
      <c r="V17" s="1413"/>
      <c r="W17" s="1413"/>
      <c r="X17" s="1413"/>
      <c r="Y17" s="1413"/>
      <c r="Z17" s="1413"/>
      <c r="AA17" s="1440"/>
      <c r="AB17" s="1440"/>
      <c r="AC17" s="1412"/>
      <c r="AD17" s="1412"/>
      <c r="AE17" s="1395"/>
      <c r="AF17" s="1395"/>
      <c r="AG17" s="1395"/>
      <c r="AH17" s="1395"/>
      <c r="AI17" s="1395"/>
      <c r="AJ17" s="1395"/>
      <c r="AK17" s="1395"/>
    </row>
    <row r="18" spans="3:37" ht="21.95" customHeight="1">
      <c r="F18" s="1439"/>
      <c r="G18" s="1439"/>
      <c r="H18" s="1439"/>
      <c r="I18" s="1439"/>
      <c r="J18" s="1439"/>
      <c r="K18" s="1439"/>
      <c r="L18" s="1439"/>
      <c r="M18" s="1439"/>
      <c r="N18" s="1395"/>
      <c r="O18" s="1440"/>
      <c r="P18" s="1440"/>
      <c r="Q18" s="1440"/>
      <c r="R18" s="1413" t="s">
        <v>837</v>
      </c>
      <c r="S18" s="1413"/>
      <c r="T18" s="1413"/>
      <c r="U18" s="1413"/>
      <c r="V18" s="1413"/>
      <c r="W18" s="1413"/>
      <c r="X18" s="1413"/>
      <c r="Y18" s="1413"/>
      <c r="Z18" s="1413"/>
      <c r="AA18" s="1448"/>
      <c r="AB18" s="1449"/>
      <c r="AC18" s="1412"/>
      <c r="AD18" s="1412"/>
    </row>
    <row r="19" spans="3:37" s="1395" customFormat="1" ht="21.95" customHeight="1">
      <c r="D19" s="1395" t="s">
        <v>749</v>
      </c>
      <c r="F19" s="1439"/>
      <c r="G19" s="1439"/>
      <c r="H19" s="1439"/>
      <c r="I19" s="1439"/>
      <c r="J19" s="1439"/>
      <c r="K19" s="1439"/>
      <c r="L19" s="1439"/>
      <c r="M19" s="1439"/>
      <c r="O19" s="1440"/>
      <c r="P19" s="1440"/>
      <c r="Q19" s="1440"/>
      <c r="R19" s="1413"/>
      <c r="S19" s="1413"/>
      <c r="T19" s="1413"/>
      <c r="U19" s="1413"/>
      <c r="V19" s="1413"/>
      <c r="W19" s="1413"/>
      <c r="X19" s="1413"/>
      <c r="Y19" s="1413"/>
      <c r="Z19" s="1413"/>
      <c r="AA19" s="1448"/>
      <c r="AB19" s="1449"/>
      <c r="AC19" s="1412"/>
      <c r="AD19" s="1412"/>
    </row>
    <row r="20" spans="3:37" ht="21.95" customHeight="1">
      <c r="F20" s="1439"/>
      <c r="G20" s="1439"/>
      <c r="H20" s="1439"/>
      <c r="I20" s="1439"/>
      <c r="J20" s="1439"/>
      <c r="K20" s="1439"/>
      <c r="L20" s="1439"/>
      <c r="M20" s="1439"/>
      <c r="N20" s="1395"/>
      <c r="O20" s="1393"/>
      <c r="P20" s="1393"/>
      <c r="Q20" s="1393"/>
      <c r="AA20" s="1450"/>
      <c r="AB20" s="1420"/>
      <c r="AC20" s="1418"/>
    </row>
    <row r="21" spans="3:37" ht="21.95" customHeight="1">
      <c r="C21" s="1451"/>
      <c r="D21" s="1451"/>
      <c r="E21" s="1451"/>
      <c r="F21" s="1451"/>
      <c r="G21" s="1451"/>
      <c r="H21" s="1451"/>
      <c r="I21" s="1451"/>
      <c r="J21" s="1451"/>
      <c r="K21" s="1451"/>
      <c r="L21" s="1451"/>
      <c r="M21" s="1439"/>
      <c r="N21" s="1395"/>
      <c r="O21" s="1393"/>
      <c r="P21" s="1393"/>
      <c r="Q21" s="1393"/>
      <c r="AA21" s="1450"/>
      <c r="AB21" s="1420"/>
      <c r="AC21" s="1418"/>
    </row>
    <row r="22" spans="3:37" ht="21.95" customHeight="1">
      <c r="F22" s="1439"/>
      <c r="G22" s="1439"/>
      <c r="H22" s="1439"/>
      <c r="I22" s="1439"/>
      <c r="J22" s="1439"/>
      <c r="K22" s="1439"/>
      <c r="L22" s="1395" t="s">
        <v>750</v>
      </c>
      <c r="M22" s="1395" t="s">
        <v>750</v>
      </c>
      <c r="N22" s="1395"/>
      <c r="AC22" s="1418"/>
    </row>
    <row r="23" spans="3:37" ht="21.95" customHeight="1">
      <c r="F23" s="1439"/>
      <c r="G23" s="1439"/>
      <c r="H23" s="1439"/>
      <c r="I23" s="1439"/>
      <c r="J23" s="1439"/>
      <c r="K23" s="1439"/>
      <c r="L23" s="1395" t="s">
        <v>748</v>
      </c>
      <c r="M23" s="1395" t="s">
        <v>748</v>
      </c>
      <c r="N23" s="1395"/>
      <c r="AC23" s="1418"/>
    </row>
    <row r="24" spans="3:37" ht="21.95" customHeight="1">
      <c r="F24" s="1439"/>
      <c r="G24" s="1439"/>
      <c r="H24" s="1439"/>
      <c r="I24" s="1439"/>
      <c r="J24" s="1439"/>
      <c r="K24" s="1439"/>
      <c r="L24" s="1395"/>
      <c r="M24" s="1439"/>
      <c r="N24" s="1395"/>
      <c r="AC24" s="1418"/>
    </row>
    <row r="25" spans="3:37" ht="21.95" customHeight="1">
      <c r="F25" s="1439"/>
      <c r="G25" s="1439"/>
      <c r="H25" s="1439"/>
      <c r="I25" s="1439"/>
      <c r="J25" s="1439"/>
      <c r="K25" s="1439"/>
      <c r="L25" s="1439"/>
      <c r="M25" s="1439"/>
      <c r="N25" s="1395"/>
      <c r="AC25" s="1418"/>
    </row>
    <row r="26" spans="3:37" ht="21.95" customHeight="1">
      <c r="N26" s="1395"/>
      <c r="AC26" s="1418"/>
    </row>
    <row r="27" spans="3:37" ht="21.95" customHeight="1">
      <c r="N27" s="1395"/>
      <c r="AC27" s="1418"/>
    </row>
    <row r="28" spans="3:37" ht="21.95" customHeight="1">
      <c r="N28" s="1395"/>
      <c r="AC28" s="1418"/>
    </row>
    <row r="29" spans="3:37" ht="21.95" customHeight="1">
      <c r="AC29" s="1418"/>
    </row>
    <row r="30" spans="3:37" ht="21.95" customHeight="1">
      <c r="AC30" s="1418"/>
    </row>
    <row r="31" spans="3:37" ht="4.5" customHeight="1">
      <c r="AC31" s="1418"/>
    </row>
    <row r="32" spans="3:37" ht="4.5" customHeight="1"/>
    <row r="33" spans="1:28" s="1412" customFormat="1" ht="12" customHeight="1" thickBot="1">
      <c r="C33" s="1359" t="str">
        <f t="shared" ref="C33:N33" si="0">C$377&amp;"-FY"</f>
        <v>2006-FY</v>
      </c>
      <c r="D33" s="1359" t="str">
        <f t="shared" si="0"/>
        <v>2007-FY</v>
      </c>
      <c r="E33" s="1359" t="str">
        <f t="shared" si="0"/>
        <v>2008-FY</v>
      </c>
      <c r="F33" s="1359" t="str">
        <f t="shared" si="0"/>
        <v>2009-FY</v>
      </c>
      <c r="G33" s="1359" t="str">
        <f t="shared" si="0"/>
        <v>2010-FY</v>
      </c>
      <c r="H33" s="1359" t="str">
        <f t="shared" si="0"/>
        <v>2011-FY</v>
      </c>
      <c r="I33" s="1359" t="str">
        <f t="shared" si="0"/>
        <v>2012-FY</v>
      </c>
      <c r="J33" s="1359" t="str">
        <f t="shared" si="0"/>
        <v>2013-FY</v>
      </c>
      <c r="K33" s="1359" t="str">
        <f t="shared" si="0"/>
        <v>2014-FY</v>
      </c>
      <c r="L33" s="1359" t="str">
        <f t="shared" si="0"/>
        <v>2015-FY</v>
      </c>
      <c r="M33" s="1359" t="str">
        <f t="shared" si="0"/>
        <v>2016-FY</v>
      </c>
      <c r="N33" s="1359" t="str">
        <f t="shared" si="0"/>
        <v>2017-FY</v>
      </c>
      <c r="R33" s="1413"/>
      <c r="S33" s="1413"/>
      <c r="T33" s="1413"/>
      <c r="U33" s="1413"/>
      <c r="V33" s="1413"/>
      <c r="W33" s="1413"/>
      <c r="X33" s="1413"/>
      <c r="Y33" s="1413"/>
      <c r="Z33" s="1413"/>
      <c r="AA33" s="1452"/>
      <c r="AB33" s="1453"/>
    </row>
    <row r="34" spans="1:28" ht="13.5" customHeight="1" thickBot="1">
      <c r="B34" s="1291"/>
      <c r="C34" s="1293" t="s">
        <v>249</v>
      </c>
      <c r="D34" s="1293" t="s">
        <v>252</v>
      </c>
      <c r="E34" s="1293" t="s">
        <v>1466</v>
      </c>
      <c r="F34" s="1293" t="s">
        <v>1378</v>
      </c>
      <c r="G34" s="1293" t="s">
        <v>1791</v>
      </c>
      <c r="H34" s="1293" t="s">
        <v>1790</v>
      </c>
      <c r="I34" s="1293" t="s">
        <v>1381</v>
      </c>
      <c r="J34" s="1293" t="s">
        <v>640</v>
      </c>
      <c r="K34" s="1293" t="s">
        <v>127</v>
      </c>
      <c r="L34" s="1293" t="s">
        <v>128</v>
      </c>
      <c r="M34" s="1293" t="s">
        <v>129</v>
      </c>
      <c r="N34" s="1293" t="s">
        <v>130</v>
      </c>
      <c r="O34" s="1294"/>
      <c r="P34" s="1294"/>
      <c r="Q34" s="1294"/>
      <c r="R34" s="1294"/>
      <c r="S34" s="1294"/>
    </row>
    <row r="35" spans="1:28" ht="4.5" customHeight="1">
      <c r="B35" s="1294"/>
      <c r="C35" s="1294"/>
      <c r="D35" s="1294"/>
      <c r="E35" s="1294"/>
      <c r="F35" s="1294"/>
      <c r="G35" s="1294"/>
      <c r="H35" s="1294"/>
      <c r="I35" s="1294"/>
      <c r="J35" s="1294"/>
      <c r="K35" s="1294"/>
      <c r="L35" s="1294"/>
      <c r="M35" s="1294"/>
      <c r="N35" s="1294"/>
    </row>
    <row r="36" spans="1:28" ht="12.75" customHeight="1">
      <c r="B36" s="1468" t="s">
        <v>228</v>
      </c>
      <c r="C36" s="1402">
        <f>C38+C68</f>
        <v>4.8031134485654395E-2</v>
      </c>
      <c r="D36" s="1402">
        <f>D38+D68</f>
        <v>-9.4754721525374674E-3</v>
      </c>
      <c r="E36" s="1402">
        <f>E38+E68</f>
        <v>2.4198665228721911E-2</v>
      </c>
      <c r="F36" s="1402">
        <f t="shared" ref="F36:K36" si="1">F38+F68</f>
        <v>2.8815599213805117E-2</v>
      </c>
      <c r="G36" s="1402">
        <f t="shared" si="1"/>
        <v>5.1396827263929558E-2</v>
      </c>
      <c r="H36" s="1402">
        <f t="shared" si="1"/>
        <v>6.2171095367565946E-2</v>
      </c>
      <c r="I36" s="1402">
        <f t="shared" si="1"/>
        <v>3.6280920341681573E-2</v>
      </c>
      <c r="J36" s="1402">
        <f t="shared" si="1"/>
        <v>2.767762692075347E-2</v>
      </c>
      <c r="K36" s="1402">
        <f t="shared" si="1"/>
        <v>6.4234804759478764E-2</v>
      </c>
      <c r="L36" s="1402">
        <f>L38+L68</f>
        <v>6.9250709629010407E-2</v>
      </c>
      <c r="M36" s="1402">
        <f>M38+M68</f>
        <v>4.9632172670513522E-2</v>
      </c>
      <c r="N36" s="1403">
        <f>N38+N68</f>
        <v>5.9767461535950098E-2</v>
      </c>
    </row>
    <row r="37" spans="1:28" ht="20.100000000000001" customHeight="1">
      <c r="B37" s="1454" t="s">
        <v>752</v>
      </c>
      <c r="C37" s="1478"/>
      <c r="D37" s="1294"/>
      <c r="E37" s="1294"/>
      <c r="F37" s="1361"/>
      <c r="G37" s="1294"/>
      <c r="H37" s="1294"/>
      <c r="I37" s="1294"/>
      <c r="J37" s="1294"/>
      <c r="K37" s="1294"/>
      <c r="L37" s="1294"/>
      <c r="M37" s="1294"/>
      <c r="N37" s="1294"/>
    </row>
    <row r="38" spans="1:28" ht="12.75" customHeight="1">
      <c r="B38" s="1468" t="s">
        <v>227</v>
      </c>
      <c r="C38" s="1402">
        <f>C40*C57</f>
        <v>8.5633892932186526E-2</v>
      </c>
      <c r="D38" s="1402">
        <f>D40*D57</f>
        <v>8.357708133389645E-2</v>
      </c>
      <c r="E38" s="1402">
        <f>E40*E57</f>
        <v>6.0043690397342947E-2</v>
      </c>
      <c r="F38" s="1402">
        <f t="shared" ref="F38:K38" si="2">F40*F57</f>
        <v>5.740521078828454E-2</v>
      </c>
      <c r="G38" s="1402">
        <f t="shared" si="2"/>
        <v>6.7448200245724205E-2</v>
      </c>
      <c r="H38" s="1402">
        <f t="shared" si="2"/>
        <v>6.7389376100192563E-2</v>
      </c>
      <c r="I38" s="1402">
        <f t="shared" si="2"/>
        <v>6.456701962080949E-2</v>
      </c>
      <c r="J38" s="1402">
        <f t="shared" si="2"/>
        <v>6.6775504379386355E-2</v>
      </c>
      <c r="K38" s="1402">
        <f t="shared" si="2"/>
        <v>7.4935425189445057E-2</v>
      </c>
      <c r="L38" s="1402">
        <f>L40*L57</f>
        <v>7.6936241782233517E-2</v>
      </c>
      <c r="M38" s="1402">
        <f>M40*M57</f>
        <v>7.372799766108902E-2</v>
      </c>
      <c r="N38" s="1403">
        <f>N40*N57</f>
        <v>7.4539020788104468E-2</v>
      </c>
    </row>
    <row r="39" spans="1:28" ht="12.75" customHeight="1">
      <c r="B39" s="1420"/>
      <c r="C39" s="1294"/>
      <c r="D39" s="1294"/>
      <c r="E39" s="1294"/>
      <c r="F39" s="1294"/>
      <c r="G39" s="1294"/>
      <c r="H39" s="1294"/>
      <c r="I39" s="1294"/>
      <c r="J39" s="1294"/>
      <c r="K39" s="1294"/>
      <c r="L39" s="1294"/>
      <c r="M39" s="1294"/>
      <c r="N39" s="1294"/>
    </row>
    <row r="40" spans="1:28" ht="12.75" customHeight="1" collapsed="1">
      <c r="A40" s="1410"/>
      <c r="B40" s="1421" t="s">
        <v>744</v>
      </c>
      <c r="C40" s="1299">
        <f>IF(AND(ISNUMBER(C53),ABS(C53)&gt;0),C42/C53, 0)</f>
        <v>0.17762991204468953</v>
      </c>
      <c r="D40" s="1299">
        <f>IF(AND(ISNUMBER(D53),ABS(D53)&gt;0),D42/D53, 0)</f>
        <v>0.15231296786050466</v>
      </c>
      <c r="E40" s="1299">
        <f>IF(AND(ISNUMBER(E53),ABS(E53)&gt;0),E42/E53, 0)</f>
        <v>0.14421006614933696</v>
      </c>
      <c r="F40" s="1299">
        <f t="shared" ref="F40:K40" si="3">IF(AND(ISNUMBER(F53),ABS(F53)&gt;0),F42/F53, 0)</f>
        <v>0.13961249903318124</v>
      </c>
      <c r="G40" s="1299">
        <f t="shared" si="3"/>
        <v>0.15893871715981683</v>
      </c>
      <c r="H40" s="1299">
        <f t="shared" si="3"/>
        <v>0.15973020225103826</v>
      </c>
      <c r="I40" s="1299">
        <f t="shared" si="3"/>
        <v>0.156907752910281</v>
      </c>
      <c r="J40" s="1299">
        <f t="shared" si="3"/>
        <v>0.15741075912782268</v>
      </c>
      <c r="K40" s="1299">
        <f t="shared" si="3"/>
        <v>0.17174987300205019</v>
      </c>
      <c r="L40" s="1299">
        <f>IF(AND(ISNUMBER(L53),ABS(L53)&gt;0),L42/L53, 0)</f>
        <v>0.17432836476192573</v>
      </c>
      <c r="M40" s="1299">
        <f>IF(AND(ISNUMBER(M53),ABS(M53)&gt;0),M42/M53, 0)</f>
        <v>0.16020109934307544</v>
      </c>
      <c r="N40" s="1299">
        <f>IF(AND(ISNUMBER(N53),ABS(N53)&gt;0),N42/N53, 0)</f>
        <v>0.17485658786821301</v>
      </c>
    </row>
    <row r="41" spans="1:28" ht="12.75" customHeight="1">
      <c r="B41" s="1422"/>
      <c r="C41" s="1301"/>
      <c r="D41" s="1301"/>
      <c r="E41" s="1301"/>
      <c r="F41" s="1301"/>
      <c r="G41" s="1301"/>
      <c r="H41" s="1301"/>
      <c r="I41" s="1301"/>
      <c r="J41" s="1301"/>
      <c r="K41" s="1301"/>
      <c r="L41" s="1301"/>
      <c r="M41" s="1301"/>
      <c r="N41" s="1301"/>
    </row>
    <row r="42" spans="1:28" ht="12.75" customHeight="1">
      <c r="B42" s="1423" t="s">
        <v>754</v>
      </c>
      <c r="C42" s="1303">
        <f t="shared" ref="C42:N42" si="4">C43-C47</f>
        <v>44.167500000000011</v>
      </c>
      <c r="D42" s="1303">
        <f t="shared" si="4"/>
        <v>44.173349999999971</v>
      </c>
      <c r="E42" s="1303">
        <f t="shared" si="4"/>
        <v>46.348250000000007</v>
      </c>
      <c r="F42" s="1303">
        <f t="shared" si="4"/>
        <v>46.9313</v>
      </c>
      <c r="G42" s="1303">
        <f t="shared" si="4"/>
        <v>56.256200000000007</v>
      </c>
      <c r="H42" s="1303">
        <f t="shared" si="4"/>
        <v>61.577750000000009</v>
      </c>
      <c r="I42" s="1303">
        <f t="shared" si="4"/>
        <v>64.050999999999988</v>
      </c>
      <c r="J42" s="1303">
        <f t="shared" si="4"/>
        <v>66.445599999999999</v>
      </c>
      <c r="K42" s="1303">
        <f t="shared" si="4"/>
        <v>75.733450000000033</v>
      </c>
      <c r="L42" s="1303">
        <f t="shared" si="4"/>
        <v>79.411800000000028</v>
      </c>
      <c r="M42" s="1303">
        <f t="shared" si="4"/>
        <v>77.671099999999981</v>
      </c>
      <c r="N42" s="1303">
        <f t="shared" si="4"/>
        <v>88.487750000000005</v>
      </c>
    </row>
    <row r="43" spans="1:28" ht="12.75" customHeight="1" collapsed="1">
      <c r="B43" s="1424" t="s">
        <v>755</v>
      </c>
      <c r="C43" s="1305">
        <f t="shared" ref="C43:N43" si="5">C44-C45+C46</f>
        <v>67.950000000000017</v>
      </c>
      <c r="D43" s="1305">
        <f t="shared" si="5"/>
        <v>67.958999999999946</v>
      </c>
      <c r="E43" s="1305">
        <f t="shared" si="5"/>
        <v>71.305000000000007</v>
      </c>
      <c r="F43" s="1305">
        <f t="shared" si="5"/>
        <v>72.201999999999998</v>
      </c>
      <c r="G43" s="1305">
        <f t="shared" si="5"/>
        <v>86.548000000000002</v>
      </c>
      <c r="H43" s="1305">
        <f t="shared" si="5"/>
        <v>94.735000000000014</v>
      </c>
      <c r="I43" s="1305">
        <f t="shared" si="5"/>
        <v>98.539999999999964</v>
      </c>
      <c r="J43" s="1305">
        <f t="shared" si="5"/>
        <v>102.22399999999999</v>
      </c>
      <c r="K43" s="1305">
        <f t="shared" si="5"/>
        <v>116.51300000000003</v>
      </c>
      <c r="L43" s="1305">
        <f t="shared" si="5"/>
        <v>122.17200000000003</v>
      </c>
      <c r="M43" s="1305">
        <f t="shared" si="5"/>
        <v>119.49399999999997</v>
      </c>
      <c r="N43" s="1305">
        <f t="shared" si="5"/>
        <v>136.13499999999999</v>
      </c>
    </row>
    <row r="44" spans="1:28" ht="12.75" customHeight="1">
      <c r="B44" s="1425" t="s">
        <v>877</v>
      </c>
      <c r="C44" s="1307">
        <f>(IS!CJ15)</f>
        <v>248.64900000000003</v>
      </c>
      <c r="D44" s="1307">
        <f>(IS!CK15)</f>
        <v>290.01699999999994</v>
      </c>
      <c r="E44" s="1307">
        <f>(IS!CL15)</f>
        <v>321.39400000000001</v>
      </c>
      <c r="F44" s="1307">
        <f>(IS!CM15)</f>
        <v>336.154</v>
      </c>
      <c r="G44" s="1307">
        <f>(IS!CO15)</f>
        <v>353.94900000000001</v>
      </c>
      <c r="H44" s="1307">
        <f>(IS!CP15)</f>
        <v>385.51099999999997</v>
      </c>
      <c r="I44" s="1307">
        <f>(IS!CQ15)</f>
        <v>408.20799999999997</v>
      </c>
      <c r="J44" s="1307">
        <f>(IS!CR15)</f>
        <v>422.11599999999999</v>
      </c>
      <c r="K44" s="1307">
        <f>(IS!CT15)</f>
        <v>440.952</v>
      </c>
      <c r="L44" s="1307">
        <f>(IS!CU15)</f>
        <v>455.53000000000003</v>
      </c>
      <c r="M44" s="1307">
        <f>(IS!CV15)</f>
        <v>484.83499999999998</v>
      </c>
      <c r="N44" s="1307">
        <f>(IS!CW15)</f>
        <v>506.05899999999997</v>
      </c>
    </row>
    <row r="45" spans="1:28" ht="12.75" customHeight="1">
      <c r="B45" s="1425" t="s">
        <v>756</v>
      </c>
      <c r="C45" s="1307">
        <f>(IS!CJ18+IS!CJ24+IS!CJ45)</f>
        <v>180.69900000000001</v>
      </c>
      <c r="D45" s="1307">
        <f>(IS!CK18+IS!CK24+IS!CK45)</f>
        <v>222.05799999999999</v>
      </c>
      <c r="E45" s="1307">
        <f>(IS!CL18+IS!CL24+IS!CL45)</f>
        <v>250.089</v>
      </c>
      <c r="F45" s="1307">
        <f>(IS!CM18+IS!CM24+IS!CM45)</f>
        <v>263.952</v>
      </c>
      <c r="G45" s="1307">
        <f>(IS!CO18+IS!CO24+IS!CO45)</f>
        <v>267.40100000000001</v>
      </c>
      <c r="H45" s="1307">
        <f>(IS!CP18+IS!CP24+IS!CP45)</f>
        <v>290.77599999999995</v>
      </c>
      <c r="I45" s="1307">
        <f>(IS!CQ18+IS!CQ24+IS!CQ45)</f>
        <v>309.66800000000001</v>
      </c>
      <c r="J45" s="1307">
        <f>(IS!CR18+IS!CR24+IS!CR45)</f>
        <v>319.892</v>
      </c>
      <c r="K45" s="1307">
        <f>(IS!CT18+IS!CT24+IS!CT45)</f>
        <v>324.43899999999996</v>
      </c>
      <c r="L45" s="1307">
        <f>(IS!CU18+IS!CU24+IS!CU45)</f>
        <v>333.358</v>
      </c>
      <c r="M45" s="1307">
        <f>(IS!CV18+IS!CV24+IS!CV45)</f>
        <v>365.34100000000001</v>
      </c>
      <c r="N45" s="1307">
        <f>(IS!CW18+IS!CW24+IS!CW45)</f>
        <v>369.92399999999998</v>
      </c>
    </row>
    <row r="46" spans="1:28" ht="12.75" customHeight="1">
      <c r="B46" s="1425" t="s">
        <v>757</v>
      </c>
      <c r="C46" s="1307">
        <f t="shared" ref="C46:N46" si="6">IF(ISNUMBER(0),0,0)</f>
        <v>0</v>
      </c>
      <c r="D46" s="1307">
        <f t="shared" si="6"/>
        <v>0</v>
      </c>
      <c r="E46" s="1307">
        <f t="shared" si="6"/>
        <v>0</v>
      </c>
      <c r="F46" s="1307">
        <f t="shared" si="6"/>
        <v>0</v>
      </c>
      <c r="G46" s="1307">
        <f t="shared" si="6"/>
        <v>0</v>
      </c>
      <c r="H46" s="1307">
        <f t="shared" si="6"/>
        <v>0</v>
      </c>
      <c r="I46" s="1307">
        <f t="shared" si="6"/>
        <v>0</v>
      </c>
      <c r="J46" s="1307">
        <f t="shared" si="6"/>
        <v>0</v>
      </c>
      <c r="K46" s="1307">
        <f t="shared" si="6"/>
        <v>0</v>
      </c>
      <c r="L46" s="1307">
        <f t="shared" si="6"/>
        <v>0</v>
      </c>
      <c r="M46" s="1307">
        <f t="shared" si="6"/>
        <v>0</v>
      </c>
      <c r="N46" s="1307">
        <f t="shared" si="6"/>
        <v>0</v>
      </c>
    </row>
    <row r="47" spans="1:28" ht="12.75" customHeight="1" collapsed="1">
      <c r="B47" s="1424" t="s">
        <v>758</v>
      </c>
      <c r="C47" s="1305">
        <f t="shared" ref="C47:N47" si="7">(C43+C48-C49+C50-C51)*C52</f>
        <v>23.782500000000006</v>
      </c>
      <c r="D47" s="1305">
        <f t="shared" si="7"/>
        <v>23.785649999999979</v>
      </c>
      <c r="E47" s="1305">
        <f t="shared" si="7"/>
        <v>24.95675</v>
      </c>
      <c r="F47" s="1305">
        <f t="shared" si="7"/>
        <v>25.270699999999998</v>
      </c>
      <c r="G47" s="1305">
        <f t="shared" si="7"/>
        <v>30.291799999999999</v>
      </c>
      <c r="H47" s="1305">
        <f t="shared" si="7"/>
        <v>33.157250000000005</v>
      </c>
      <c r="I47" s="1305">
        <f t="shared" si="7"/>
        <v>34.488999999999983</v>
      </c>
      <c r="J47" s="1305">
        <f t="shared" si="7"/>
        <v>35.778399999999991</v>
      </c>
      <c r="K47" s="1305">
        <f t="shared" si="7"/>
        <v>40.779550000000008</v>
      </c>
      <c r="L47" s="1305">
        <f t="shared" si="7"/>
        <v>42.760200000000005</v>
      </c>
      <c r="M47" s="1305">
        <f t="shared" si="7"/>
        <v>41.82289999999999</v>
      </c>
      <c r="N47" s="1305">
        <f t="shared" si="7"/>
        <v>47.647249999999993</v>
      </c>
    </row>
    <row r="48" spans="1:28" ht="12.75" customHeight="1">
      <c r="B48" s="1425" t="s">
        <v>759</v>
      </c>
      <c r="C48" s="1307">
        <f t="shared" ref="C48:N51" si="8">IF(ISNUMBER(0),0,0)</f>
        <v>0</v>
      </c>
      <c r="D48" s="1307">
        <f t="shared" si="8"/>
        <v>0</v>
      </c>
      <c r="E48" s="1307">
        <f t="shared" si="8"/>
        <v>0</v>
      </c>
      <c r="F48" s="1307">
        <f t="shared" si="8"/>
        <v>0</v>
      </c>
      <c r="G48" s="1307">
        <f t="shared" si="8"/>
        <v>0</v>
      </c>
      <c r="H48" s="1307">
        <f t="shared" si="8"/>
        <v>0</v>
      </c>
      <c r="I48" s="1307">
        <f t="shared" si="8"/>
        <v>0</v>
      </c>
      <c r="J48" s="1307">
        <f t="shared" si="8"/>
        <v>0</v>
      </c>
      <c r="K48" s="1307">
        <f t="shared" si="8"/>
        <v>0</v>
      </c>
      <c r="L48" s="1307">
        <f t="shared" si="8"/>
        <v>0</v>
      </c>
      <c r="M48" s="1307">
        <f t="shared" si="8"/>
        <v>0</v>
      </c>
      <c r="N48" s="1307">
        <f t="shared" si="8"/>
        <v>0</v>
      </c>
    </row>
    <row r="49" spans="2:14" ht="12.75" customHeight="1">
      <c r="B49" s="1425" t="s">
        <v>760</v>
      </c>
      <c r="C49" s="1307">
        <f t="shared" si="8"/>
        <v>0</v>
      </c>
      <c r="D49" s="1307">
        <f t="shared" si="8"/>
        <v>0</v>
      </c>
      <c r="E49" s="1307">
        <f t="shared" si="8"/>
        <v>0</v>
      </c>
      <c r="F49" s="1307">
        <f t="shared" si="8"/>
        <v>0</v>
      </c>
      <c r="G49" s="1307">
        <f t="shared" si="8"/>
        <v>0</v>
      </c>
      <c r="H49" s="1307">
        <f t="shared" si="8"/>
        <v>0</v>
      </c>
      <c r="I49" s="1307">
        <f t="shared" si="8"/>
        <v>0</v>
      </c>
      <c r="J49" s="1307">
        <f t="shared" si="8"/>
        <v>0</v>
      </c>
      <c r="K49" s="1307">
        <f t="shared" si="8"/>
        <v>0</v>
      </c>
      <c r="L49" s="1307">
        <f t="shared" si="8"/>
        <v>0</v>
      </c>
      <c r="M49" s="1307">
        <f t="shared" si="8"/>
        <v>0</v>
      </c>
      <c r="N49" s="1307">
        <f t="shared" si="8"/>
        <v>0</v>
      </c>
    </row>
    <row r="50" spans="2:14" ht="12.75" customHeight="1">
      <c r="B50" s="1425" t="s">
        <v>761</v>
      </c>
      <c r="C50" s="1307">
        <f t="shared" si="8"/>
        <v>0</v>
      </c>
      <c r="D50" s="1307">
        <f t="shared" si="8"/>
        <v>0</v>
      </c>
      <c r="E50" s="1307">
        <f t="shared" si="8"/>
        <v>0</v>
      </c>
      <c r="F50" s="1307">
        <f t="shared" si="8"/>
        <v>0</v>
      </c>
      <c r="G50" s="1307">
        <f t="shared" si="8"/>
        <v>0</v>
      </c>
      <c r="H50" s="1307">
        <f t="shared" si="8"/>
        <v>0</v>
      </c>
      <c r="I50" s="1307">
        <f t="shared" si="8"/>
        <v>0</v>
      </c>
      <c r="J50" s="1307">
        <f t="shared" si="8"/>
        <v>0</v>
      </c>
      <c r="K50" s="1307">
        <f t="shared" si="8"/>
        <v>0</v>
      </c>
      <c r="L50" s="1307">
        <f t="shared" si="8"/>
        <v>0</v>
      </c>
      <c r="M50" s="1307">
        <f t="shared" si="8"/>
        <v>0</v>
      </c>
      <c r="N50" s="1307">
        <f t="shared" si="8"/>
        <v>0</v>
      </c>
    </row>
    <row r="51" spans="2:14" ht="12.75" customHeight="1">
      <c r="B51" s="1425" t="s">
        <v>762</v>
      </c>
      <c r="C51" s="1307">
        <f t="shared" si="8"/>
        <v>0</v>
      </c>
      <c r="D51" s="1307">
        <f t="shared" si="8"/>
        <v>0</v>
      </c>
      <c r="E51" s="1307">
        <f t="shared" si="8"/>
        <v>0</v>
      </c>
      <c r="F51" s="1307">
        <f t="shared" si="8"/>
        <v>0</v>
      </c>
      <c r="G51" s="1307">
        <f t="shared" si="8"/>
        <v>0</v>
      </c>
      <c r="H51" s="1307">
        <f t="shared" si="8"/>
        <v>0</v>
      </c>
      <c r="I51" s="1307">
        <f t="shared" si="8"/>
        <v>0</v>
      </c>
      <c r="J51" s="1307">
        <f t="shared" si="8"/>
        <v>0</v>
      </c>
      <c r="K51" s="1307">
        <f t="shared" si="8"/>
        <v>0</v>
      </c>
      <c r="L51" s="1307">
        <f t="shared" si="8"/>
        <v>0</v>
      </c>
      <c r="M51" s="1307">
        <f t="shared" si="8"/>
        <v>0</v>
      </c>
      <c r="N51" s="1307">
        <f t="shared" si="8"/>
        <v>0</v>
      </c>
    </row>
    <row r="52" spans="2:14" ht="12.75" customHeight="1">
      <c r="B52" s="1425" t="s">
        <v>763</v>
      </c>
      <c r="C52" s="1308">
        <f>IS!CJ59</f>
        <v>0.35</v>
      </c>
      <c r="D52" s="1308">
        <f>IS!CK59</f>
        <v>0.35</v>
      </c>
      <c r="E52" s="1308">
        <f>IS!CL59</f>
        <v>0.35</v>
      </c>
      <c r="F52" s="1308">
        <f>IS!CM59</f>
        <v>0.35</v>
      </c>
      <c r="G52" s="1308">
        <f>IS!CO59</f>
        <v>0.35</v>
      </c>
      <c r="H52" s="1308">
        <f>IS!CP59</f>
        <v>0.35</v>
      </c>
      <c r="I52" s="1308">
        <f>IS!CQ59</f>
        <v>0.35</v>
      </c>
      <c r="J52" s="1308">
        <f>IS!CR59</f>
        <v>0.35</v>
      </c>
      <c r="K52" s="1308">
        <f>IS!CT59</f>
        <v>0.35</v>
      </c>
      <c r="L52" s="1308">
        <f>IS!CU59</f>
        <v>0.35</v>
      </c>
      <c r="M52" s="1308">
        <f>IS!CV59</f>
        <v>0.35</v>
      </c>
      <c r="N52" s="1308">
        <f>IS!CW59</f>
        <v>0.35</v>
      </c>
    </row>
    <row r="53" spans="2:14" ht="12.75" customHeight="1">
      <c r="B53" s="1423" t="s">
        <v>877</v>
      </c>
      <c r="C53" s="1309">
        <f>C44</f>
        <v>248.64900000000003</v>
      </c>
      <c r="D53" s="1309">
        <f>D44</f>
        <v>290.01699999999994</v>
      </c>
      <c r="E53" s="1309">
        <f>E44</f>
        <v>321.39400000000001</v>
      </c>
      <c r="F53" s="1309">
        <f t="shared" ref="F53:K53" si="9">F44</f>
        <v>336.154</v>
      </c>
      <c r="G53" s="1309">
        <f t="shared" si="9"/>
        <v>353.94900000000001</v>
      </c>
      <c r="H53" s="1309">
        <f t="shared" si="9"/>
        <v>385.51099999999997</v>
      </c>
      <c r="I53" s="1309">
        <f t="shared" si="9"/>
        <v>408.20799999999997</v>
      </c>
      <c r="J53" s="1309">
        <f t="shared" si="9"/>
        <v>422.11599999999999</v>
      </c>
      <c r="K53" s="1309">
        <f t="shared" si="9"/>
        <v>440.952</v>
      </c>
      <c r="L53" s="1309">
        <f>L44</f>
        <v>455.53000000000003</v>
      </c>
      <c r="M53" s="1309">
        <f>M44</f>
        <v>484.83499999999998</v>
      </c>
      <c r="N53" s="1309">
        <f>N44</f>
        <v>506.05899999999997</v>
      </c>
    </row>
    <row r="54" spans="2:14" ht="12.75" customHeight="1">
      <c r="C54" s="1294"/>
      <c r="D54" s="1294"/>
      <c r="E54" s="1294"/>
      <c r="F54" s="1294"/>
      <c r="G54" s="1294"/>
      <c r="H54" s="1294"/>
      <c r="I54" s="1294"/>
      <c r="J54" s="1294"/>
      <c r="K54" s="1294"/>
      <c r="L54" s="1294"/>
      <c r="M54" s="1294"/>
      <c r="N54" s="1294"/>
    </row>
    <row r="55" spans="2:14" ht="12.75" customHeight="1">
      <c r="B55" s="1423" t="s">
        <v>764</v>
      </c>
      <c r="C55" s="1294"/>
      <c r="D55" s="1294"/>
      <c r="E55" s="1294"/>
      <c r="F55" s="1294"/>
      <c r="G55" s="1478"/>
      <c r="H55" s="1478"/>
      <c r="I55" s="1478"/>
      <c r="J55" s="1478"/>
      <c r="K55" s="1294"/>
      <c r="L55" s="1294"/>
      <c r="M55" s="1294"/>
      <c r="N55" s="1294"/>
    </row>
    <row r="56" spans="2:14" ht="12.75" customHeight="1">
      <c r="B56" s="1423"/>
      <c r="C56" s="1294"/>
      <c r="D56" s="1294"/>
      <c r="E56" s="1294"/>
      <c r="F56" s="1294"/>
      <c r="G56" s="1294"/>
      <c r="H56" s="1294"/>
      <c r="I56" s="1294"/>
      <c r="J56" s="1294"/>
      <c r="K56" s="1294"/>
      <c r="L56" s="1294"/>
      <c r="M56" s="1294"/>
      <c r="N56" s="1294"/>
    </row>
    <row r="57" spans="2:14" ht="12.75" customHeight="1" collapsed="1">
      <c r="B57" s="1421" t="s">
        <v>221</v>
      </c>
      <c r="C57" s="1400">
        <f t="shared" ref="C57:N57" si="10">IF(AND(ISNUMBER(C60),ABS(C60)&gt;0),(C59*4)/C60,0)</f>
        <v>0.48209162492093155</v>
      </c>
      <c r="D57" s="1400">
        <f t="shared" si="10"/>
        <v>0.54871940654744678</v>
      </c>
      <c r="E57" s="1400">
        <f t="shared" si="10"/>
        <v>0.4163626853562678</v>
      </c>
      <c r="F57" s="1400">
        <f t="shared" si="10"/>
        <v>0.41117529723926249</v>
      </c>
      <c r="G57" s="1400">
        <f t="shared" si="10"/>
        <v>0.42436607927257497</v>
      </c>
      <c r="H57" s="1400">
        <f t="shared" si="10"/>
        <v>0.42189501515988048</v>
      </c>
      <c r="I57" s="1400">
        <f t="shared" si="10"/>
        <v>0.41149668147837515</v>
      </c>
      <c r="J57" s="1400">
        <f t="shared" si="10"/>
        <v>0.42421181848924611</v>
      </c>
      <c r="K57" s="1400">
        <f t="shared" si="10"/>
        <v>0.43630556389727604</v>
      </c>
      <c r="L57" s="1400">
        <f t="shared" si="10"/>
        <v>0.44132945253804629</v>
      </c>
      <c r="M57" s="1400">
        <f t="shared" si="10"/>
        <v>0.46022154631534901</v>
      </c>
      <c r="N57" s="1400">
        <f t="shared" si="10"/>
        <v>0.42628660262021978</v>
      </c>
    </row>
    <row r="58" spans="2:14" ht="12.75" customHeight="1">
      <c r="B58" s="1422"/>
      <c r="C58" s="947"/>
      <c r="D58" s="947"/>
      <c r="E58" s="947"/>
      <c r="F58" s="947"/>
      <c r="G58" s="947"/>
      <c r="H58" s="947"/>
      <c r="I58" s="947"/>
      <c r="J58" s="947"/>
      <c r="K58" s="947"/>
      <c r="L58" s="947"/>
      <c r="M58" s="947"/>
      <c r="N58" s="947"/>
    </row>
    <row r="59" spans="2:14" ht="12.75" customHeight="1">
      <c r="B59" s="1423" t="s">
        <v>765</v>
      </c>
      <c r="C59" s="1310">
        <f>C44</f>
        <v>248.64900000000003</v>
      </c>
      <c r="D59" s="1310">
        <f>D44</f>
        <v>290.01699999999994</v>
      </c>
      <c r="E59" s="1310">
        <f>E44</f>
        <v>321.39400000000001</v>
      </c>
      <c r="F59" s="1310">
        <f t="shared" ref="F59:K59" si="11">F44</f>
        <v>336.154</v>
      </c>
      <c r="G59" s="1310">
        <f t="shared" si="11"/>
        <v>353.94900000000001</v>
      </c>
      <c r="H59" s="1310">
        <f t="shared" si="11"/>
        <v>385.51099999999997</v>
      </c>
      <c r="I59" s="1310">
        <f t="shared" si="11"/>
        <v>408.20799999999997</v>
      </c>
      <c r="J59" s="1310">
        <f t="shared" si="11"/>
        <v>422.11599999999999</v>
      </c>
      <c r="K59" s="1310">
        <f t="shared" si="11"/>
        <v>440.952</v>
      </c>
      <c r="L59" s="1310">
        <f>L44</f>
        <v>455.53000000000003</v>
      </c>
      <c r="M59" s="1310">
        <f>M44</f>
        <v>484.83499999999998</v>
      </c>
      <c r="N59" s="1310">
        <f>N44</f>
        <v>506.05899999999997</v>
      </c>
    </row>
    <row r="60" spans="2:14" ht="12.75" customHeight="1">
      <c r="B60" s="1421" t="s">
        <v>766</v>
      </c>
      <c r="C60" s="1311">
        <f t="shared" ref="C60:N60" si="12">C61-C62</f>
        <v>2063.085</v>
      </c>
      <c r="D60" s="1311">
        <f t="shared" si="12"/>
        <v>2114.1370000000006</v>
      </c>
      <c r="E60" s="1311">
        <f t="shared" si="12"/>
        <v>3087.6350000000002</v>
      </c>
      <c r="F60" s="1311">
        <f t="shared" si="12"/>
        <v>3270.1770000000006</v>
      </c>
      <c r="G60" s="1311">
        <f t="shared" si="12"/>
        <v>3336.2609999999995</v>
      </c>
      <c r="H60" s="1311">
        <f t="shared" si="12"/>
        <v>3655.0419999999999</v>
      </c>
      <c r="I60" s="1311">
        <f t="shared" si="12"/>
        <v>3968.0320000000002</v>
      </c>
      <c r="J60" s="1311">
        <f t="shared" si="12"/>
        <v>3980.2379999999998</v>
      </c>
      <c r="K60" s="1311">
        <f t="shared" si="12"/>
        <v>4042.5979999999995</v>
      </c>
      <c r="L60" s="1311">
        <f t="shared" si="12"/>
        <v>4128.7070000000012</v>
      </c>
      <c r="M60" s="1311">
        <f t="shared" si="12"/>
        <v>4213.9270000000006</v>
      </c>
      <c r="N60" s="1311">
        <f t="shared" si="12"/>
        <v>4748.5329999999994</v>
      </c>
    </row>
    <row r="61" spans="2:14" ht="12.75" customHeight="1">
      <c r="B61" s="1424" t="s">
        <v>767</v>
      </c>
      <c r="C61" s="1312">
        <f>(BS!BS11+(+BS!BS14+0+0)+(+BS!BS18--BS!BS19+0)+BS!BS21+BS!BS24+(+BS!BS12+BS!BS25+0)+BS!BS27+(BS!BS91))</f>
        <v>2433.7829999999999</v>
      </c>
      <c r="D61" s="1312">
        <f>(BS!BT11+(+BS!BT14+0+0)+(+BS!BT18--BS!BT19+0)+BS!BT21+BS!BT24+(+BS!BT12+BS!BT25+0)+BS!BT27+(BS!BT91))</f>
        <v>2482.6300000000006</v>
      </c>
      <c r="E61" s="1312">
        <f>(BS!BU11+(+BS!BU14+0+0)+(+BS!BU18--BS!BU19+0)+BS!BU21+BS!BU24+(+BS!BU12+BS!BU25+0)+BS!BU27+(BS!BU91))</f>
        <v>3560.2580000000003</v>
      </c>
      <c r="F61" s="1312">
        <f>(BS!BV11+(+BS!BV14+0+0)+(+BS!BV18--BS!BV19+0)+BS!BV21+BS!BV24+(+BS!BV12+BS!BV25+0)+BS!BV27+(BS!BV91))</f>
        <v>3765.5400000000004</v>
      </c>
      <c r="G61" s="1312">
        <f>(BS!BW11+(+BS!BW14+0+0)+(+BS!BW18--BS!BW19+0)+BS!BW21+BS!BW24+(+BS!BW12+BS!BW25+0)+BS!BW27+(BS!BW91))</f>
        <v>3855.1699999999996</v>
      </c>
      <c r="H61" s="1312">
        <f>(BS!BX11+(+BS!BX14+0+0)+(+BS!BX18--BS!BX19+0)+BS!BX21+BS!BX24+(+BS!BX12+BS!BX25+0)+BS!BX27+(BS!BX91))</f>
        <v>4195.7179999999998</v>
      </c>
      <c r="I61" s="1312">
        <f>(BS!BY11+(+BS!BY14+0+0)+(+BS!BY18--BS!BY19+0)+BS!BY21+BS!BY24+(+BS!BY12+BS!BY25+0)+BS!BY27+(BS!BY91))</f>
        <v>4546.1130000000003</v>
      </c>
      <c r="J61" s="1312">
        <f>(BS!BZ11+(+BS!BZ14+0+0)+(+BS!BZ18--BS!BZ19+0)+BS!BZ21+BS!BZ24+(+BS!BZ12+BS!BZ25+0)+BS!BZ27+(BS!BZ91))</f>
        <v>4560.4989999999998</v>
      </c>
      <c r="K61" s="1312">
        <f>(BS!CA11+(+BS!CA14+0+0)+(+BS!CA18--BS!CA19+0)+BS!CA21+BS!CA24+(+BS!CA12+BS!CA25+0)+BS!CA27+(BS!CA91))</f>
        <v>4708.9789999999994</v>
      </c>
      <c r="L61" s="1312">
        <f>(BS!CB11+(+BS!CB14+0+0)+(+BS!CB18--BS!CB19+0)+BS!CB21+BS!CB24+(+BS!CB12+BS!CB25+0)+BS!CB27+(BS!CB91))</f>
        <v>4801.054000000001</v>
      </c>
      <c r="M61" s="1312">
        <f>(BS!CC11+(+BS!CC14+0+0)+(+BS!CC18--BS!CC19+0)+BS!CC21+BS!CC24+(+BS!CC12+BS!CC25+0)+BS!CC27+(BS!CC91))</f>
        <v>4901.6670000000004</v>
      </c>
      <c r="N61" s="1312">
        <f>(BS!CD11+(+BS!CD14+0+0)+(+BS!CD18--BS!CD19+0)+BS!CD21+BS!CD24+(+BS!CD12+BS!CD25+0)+BS!CD27+(BS!CD91))</f>
        <v>5471.1339999999991</v>
      </c>
    </row>
    <row r="62" spans="2:14" ht="12.75" customHeight="1">
      <c r="B62" s="1424" t="s">
        <v>768</v>
      </c>
      <c r="C62" s="1312">
        <f>((+BS!BS33+0)+(0+0+BS!BS37)+0+(+BS!BS45+BS!BS58+0))</f>
        <v>370.69799999999998</v>
      </c>
      <c r="D62" s="1312">
        <f>((+BS!BT33+0)+(0+0+BS!BT37)+0+(+BS!BT45+BS!BT58+0))</f>
        <v>368.49299999999999</v>
      </c>
      <c r="E62" s="1312">
        <f>((+BS!BU33+0)+(0+0+BS!BU37)+0+(+BS!BU45+BS!BU58+0))</f>
        <v>472.62299999999999</v>
      </c>
      <c r="F62" s="1312">
        <f>((+BS!BV33+0)+(0+0+BS!BV37)+0+(+BS!BV45+BS!BV58+0))</f>
        <v>495.363</v>
      </c>
      <c r="G62" s="1312">
        <f>((+BS!BW33+0)+(0+0+BS!BW37)+0+(+BS!BW45+BS!BW58+0))</f>
        <v>518.90899999999999</v>
      </c>
      <c r="H62" s="1312">
        <f>((+BS!BX33+0)+(0+0+BS!BX37)+0+(+BS!BX45+BS!BX58+0))</f>
        <v>540.67599999999993</v>
      </c>
      <c r="I62" s="1312">
        <f>((+BS!BY33+0)+(0+0+BS!BY37)+0+(+BS!BY45+BS!BY58+0))</f>
        <v>578.08100000000002</v>
      </c>
      <c r="J62" s="1312">
        <f>((+BS!BZ33+0)+(0+0+BS!BZ37)+0+(+BS!BZ45+BS!BZ58+0))</f>
        <v>580.26099999999997</v>
      </c>
      <c r="K62" s="1312">
        <f>((+BS!CA33+0)+(0+0+BS!CA37)+0+(+BS!CA45+BS!CA58+0))</f>
        <v>666.38099999999997</v>
      </c>
      <c r="L62" s="1312">
        <f>((+BS!CB33+0)+(0+0+BS!CB37)+0+(+BS!CB45+BS!CB58+0))</f>
        <v>672.34699999999998</v>
      </c>
      <c r="M62" s="1312">
        <f>((+BS!CC33+0)+(0+0+BS!CC37)+0+(+BS!CC45+BS!CC58+0))</f>
        <v>687.74</v>
      </c>
      <c r="N62" s="1312">
        <f>((+BS!CD33+0)+(0+0+BS!CD37)+0+(+BS!CD45+BS!CD58+0))</f>
        <v>722.601</v>
      </c>
    </row>
    <row r="63" spans="2:14" ht="12.75" customHeight="1">
      <c r="B63" s="1424"/>
      <c r="C63" s="1310"/>
      <c r="D63" s="1310"/>
      <c r="E63" s="1310"/>
      <c r="F63" s="1310"/>
      <c r="G63" s="1310"/>
      <c r="H63" s="1310"/>
      <c r="I63" s="1310"/>
      <c r="J63" s="1310"/>
      <c r="K63" s="1310"/>
      <c r="L63" s="1310"/>
      <c r="M63" s="1310"/>
      <c r="N63" s="1310"/>
    </row>
    <row r="64" spans="2:14" ht="12.75" customHeight="1">
      <c r="B64" s="1421" t="s">
        <v>1597</v>
      </c>
      <c r="C64" s="1310">
        <f>+BS!BS11-BS!BT33</f>
        <v>-48.251000000000005</v>
      </c>
      <c r="D64" s="1310">
        <f>+BS!BT11-BS!BU33</f>
        <v>-69.003</v>
      </c>
      <c r="E64" s="1310">
        <f>+BS!BU11-BS!BV33</f>
        <v>-27.836000000000013</v>
      </c>
      <c r="F64" s="1310">
        <f>+BS!BV11-BS!BW33</f>
        <v>-30.238000000000014</v>
      </c>
      <c r="G64" s="1310">
        <f>+BS!BW11-BS!BX33</f>
        <v>-17.177999999999997</v>
      </c>
      <c r="H64" s="1310">
        <f>+BS!BX11-BS!BY33</f>
        <v>-75.532000000000011</v>
      </c>
      <c r="I64" s="1310">
        <f>+BS!BY11-BS!BZ33</f>
        <v>-40.776999999999987</v>
      </c>
      <c r="J64" s="1310">
        <f>+BS!BZ11-BS!CA33</f>
        <v>-84.858000000000004</v>
      </c>
      <c r="K64" s="1310">
        <f>+BS!CA11-BS!CB33</f>
        <v>-55.459000000000003</v>
      </c>
      <c r="L64" s="1310">
        <f>+BS!CB11-BS!CC33</f>
        <v>-66.427999999999997</v>
      </c>
      <c r="M64" s="1310">
        <f>+BS!CC11-BS!CD33</f>
        <v>-74.899999999999977</v>
      </c>
      <c r="N64" s="1310">
        <f>+BS!CD11-BS!CE33</f>
        <v>-86.88</v>
      </c>
    </row>
    <row r="65" spans="2:14" ht="12.75" customHeight="1">
      <c r="B65" s="1424"/>
      <c r="C65" s="1310"/>
      <c r="D65" s="1310"/>
      <c r="E65" s="1310"/>
      <c r="F65" s="1310"/>
      <c r="G65" s="1310"/>
      <c r="H65" s="1310"/>
      <c r="I65" s="1310"/>
      <c r="J65" s="1310"/>
      <c r="K65" s="1310"/>
      <c r="L65" s="1310"/>
      <c r="M65" s="1310"/>
      <c r="N65" s="1310"/>
    </row>
    <row r="66" spans="2:14" ht="12.75" customHeight="1">
      <c r="B66" s="1423"/>
      <c r="C66" s="1294"/>
      <c r="D66" s="1294"/>
      <c r="E66" s="1294"/>
      <c r="F66" s="1294"/>
      <c r="G66" s="1294"/>
      <c r="H66" s="1294"/>
      <c r="I66" s="1294"/>
      <c r="J66" s="1294"/>
      <c r="K66" s="1294"/>
      <c r="L66" s="1294"/>
      <c r="M66" s="1294"/>
      <c r="N66" s="1294"/>
    </row>
    <row r="67" spans="2:14" ht="12.75" customHeight="1">
      <c r="B67" s="1455" t="s">
        <v>769</v>
      </c>
      <c r="C67" s="1294"/>
      <c r="D67" s="1294"/>
      <c r="E67" s="1294"/>
      <c r="F67" s="1294"/>
      <c r="G67" s="1294"/>
      <c r="H67" s="1294"/>
      <c r="I67" s="1294"/>
      <c r="J67" s="1294"/>
      <c r="K67" s="1294"/>
      <c r="L67" s="1294"/>
      <c r="M67" s="1294"/>
      <c r="N67" s="1294"/>
    </row>
    <row r="68" spans="2:14" ht="12.75" customHeight="1" collapsed="1">
      <c r="B68" s="1468" t="s">
        <v>770</v>
      </c>
      <c r="C68" s="1402">
        <f>C70*C88</f>
        <v>-3.7602758446532131E-2</v>
      </c>
      <c r="D68" s="1402">
        <f>D70*D88</f>
        <v>-9.3052553486433917E-2</v>
      </c>
      <c r="E68" s="1402">
        <f>E70*E88</f>
        <v>-3.5845025168621036E-2</v>
      </c>
      <c r="F68" s="1402">
        <f t="shared" ref="F68:K68" si="13">F70*F88</f>
        <v>-2.8589611574479423E-2</v>
      </c>
      <c r="G68" s="1402">
        <f t="shared" si="13"/>
        <v>-1.6051372981794647E-2</v>
      </c>
      <c r="H68" s="1402">
        <f t="shared" si="13"/>
        <v>-5.2182807326266161E-3</v>
      </c>
      <c r="I68" s="1402">
        <f t="shared" si="13"/>
        <v>-2.8286099279127917E-2</v>
      </c>
      <c r="J68" s="1402">
        <f t="shared" si="13"/>
        <v>-3.9097877458632885E-2</v>
      </c>
      <c r="K68" s="1402">
        <f t="shared" si="13"/>
        <v>-1.0700620429966287E-2</v>
      </c>
      <c r="L68" s="1402">
        <f>L70*L88</f>
        <v>-7.6855321532231105E-3</v>
      </c>
      <c r="M68" s="1402">
        <f>M70*M88</f>
        <v>-2.4095824990575498E-2</v>
      </c>
      <c r="N68" s="1403">
        <f>N70*N88</f>
        <v>-1.4771559252154367E-2</v>
      </c>
    </row>
    <row r="69" spans="2:14" ht="12.75" customHeight="1">
      <c r="B69" s="1419"/>
      <c r="C69" s="1313"/>
      <c r="D69" s="1313"/>
      <c r="E69" s="1313"/>
      <c r="F69" s="1313"/>
      <c r="G69" s="1313"/>
      <c r="H69" s="1313"/>
      <c r="I69" s="1313"/>
      <c r="J69" s="1313"/>
      <c r="K69" s="1313"/>
      <c r="L69" s="1313"/>
      <c r="M69" s="1313"/>
      <c r="N69" s="1313"/>
    </row>
    <row r="70" spans="2:14" ht="12.75" customHeight="1" collapsed="1">
      <c r="B70" s="1421" t="s">
        <v>771</v>
      </c>
      <c r="C70" s="1299">
        <f>IF(AND(ISNUMBER(C84),ABS(C84)&gt;0),C72/C84,0)</f>
        <v>0.74470584355123925</v>
      </c>
      <c r="D70" s="1299">
        <f>IF(AND(ISNUMBER(D84),ABS(D84)&gt;0),D72/D84,0)</f>
        <v>0.78034538483368643</v>
      </c>
      <c r="E70" s="1299">
        <f>IF(AND(ISNUMBER(E84),ABS(E84)&gt;0),E72/E84,0)</f>
        <v>0.76651800911397638</v>
      </c>
      <c r="F70" s="1299">
        <f t="shared" ref="F70:K70" si="14">IF(AND(ISNUMBER(F84),ABS(F84)&gt;0),F72/F84,0)</f>
        <v>0.7696835522499198</v>
      </c>
      <c r="G70" s="1299">
        <f t="shared" si="14"/>
        <v>0.78380108110420221</v>
      </c>
      <c r="H70" s="1299">
        <f t="shared" si="14"/>
        <v>0.85226892664070752</v>
      </c>
      <c r="I70" s="1299">
        <f t="shared" si="14"/>
        <v>0.90538142012412648</v>
      </c>
      <c r="J70" s="1299">
        <f t="shared" si="14"/>
        <v>0.95422444491934177</v>
      </c>
      <c r="K70" s="1299">
        <f t="shared" si="14"/>
        <v>1.0630933344128903</v>
      </c>
      <c r="L70" s="1299">
        <f>IF(AND(ISNUMBER(L84),ABS(L84)&gt;0),L72/L84,0)</f>
        <v>1.001144599604566</v>
      </c>
      <c r="M70" s="1299">
        <f>IF(AND(ISNUMBER(M84),ABS(M84)&gt;0),M72/M84,0)</f>
        <v>1.0334920752703123</v>
      </c>
      <c r="N70" s="1299">
        <f>IF(AND(ISNUMBER(N84),ABS(N84)&gt;0),N72/N84,0)</f>
        <v>1.095860417839986</v>
      </c>
    </row>
    <row r="71" spans="2:14" ht="12.75" customHeight="1">
      <c r="B71" s="1422"/>
      <c r="C71" s="1314"/>
      <c r="D71" s="1314"/>
      <c r="E71" s="1314"/>
      <c r="F71" s="1314"/>
      <c r="G71" s="1314"/>
      <c r="H71" s="1314"/>
      <c r="I71" s="1314"/>
      <c r="J71" s="1314"/>
      <c r="K71" s="1314"/>
      <c r="L71" s="1314"/>
      <c r="M71" s="1314"/>
      <c r="N71" s="1314"/>
    </row>
    <row r="72" spans="2:14" ht="12.75" customHeight="1">
      <c r="B72" s="1421" t="s">
        <v>772</v>
      </c>
      <c r="C72" s="1315">
        <f t="shared" ref="C72:N72" si="15">C83+C73</f>
        <v>880.60199999999998</v>
      </c>
      <c r="D72" s="1315">
        <f t="shared" si="15"/>
        <v>926.64999999999986</v>
      </c>
      <c r="E72" s="1315">
        <f t="shared" si="15"/>
        <v>1339.7700000000002</v>
      </c>
      <c r="F72" s="1315">
        <f t="shared" si="15"/>
        <v>1422.2889999999998</v>
      </c>
      <c r="G72" s="1315">
        <f t="shared" si="15"/>
        <v>1465.951</v>
      </c>
      <c r="H72" s="1315">
        <f t="shared" si="15"/>
        <v>1681.83</v>
      </c>
      <c r="I72" s="1315">
        <f t="shared" si="15"/>
        <v>1852.6819999999998</v>
      </c>
      <c r="J72" s="1315">
        <f t="shared" si="15"/>
        <v>1911.0940000000001</v>
      </c>
      <c r="K72" s="1315">
        <f t="shared" si="15"/>
        <v>2048.2800000000007</v>
      </c>
      <c r="L72" s="1315">
        <f t="shared" si="15"/>
        <v>2030.979</v>
      </c>
      <c r="M72" s="1315">
        <f t="shared" si="15"/>
        <v>2103.1139999999996</v>
      </c>
      <c r="N72" s="1315">
        <f t="shared" si="15"/>
        <v>2441.9770000000003</v>
      </c>
    </row>
    <row r="73" spans="2:14" ht="12.75" customHeight="1" collapsed="1">
      <c r="B73" s="1422" t="s">
        <v>773</v>
      </c>
      <c r="C73" s="1311">
        <f t="shared" ref="C73:N73" si="16">C74-C75-C76-C77+C78+C79+C80+C81+C82</f>
        <v>880.60199999999998</v>
      </c>
      <c r="D73" s="1311">
        <f t="shared" si="16"/>
        <v>926.64999999999986</v>
      </c>
      <c r="E73" s="1311">
        <f t="shared" si="16"/>
        <v>1339.7700000000002</v>
      </c>
      <c r="F73" s="1311">
        <f t="shared" si="16"/>
        <v>1422.2889999999998</v>
      </c>
      <c r="G73" s="1311">
        <f t="shared" si="16"/>
        <v>1465.951</v>
      </c>
      <c r="H73" s="1311">
        <f t="shared" si="16"/>
        <v>1681.83</v>
      </c>
      <c r="I73" s="1311">
        <f t="shared" si="16"/>
        <v>1852.6819999999998</v>
      </c>
      <c r="J73" s="1311">
        <f t="shared" si="16"/>
        <v>1911.0940000000001</v>
      </c>
      <c r="K73" s="1311">
        <f t="shared" si="16"/>
        <v>2048.2800000000007</v>
      </c>
      <c r="L73" s="1311">
        <f t="shared" si="16"/>
        <v>2030.979</v>
      </c>
      <c r="M73" s="1311">
        <f t="shared" si="16"/>
        <v>2103.1139999999996</v>
      </c>
      <c r="N73" s="1311">
        <f t="shared" si="16"/>
        <v>2441.9770000000003</v>
      </c>
    </row>
    <row r="74" spans="2:14" ht="12.75" customHeight="1">
      <c r="B74" s="1425" t="s">
        <v>774</v>
      </c>
      <c r="C74" s="1312">
        <f>((BS!BS42+BS!BS43+BS!BS44)+(BS!BS48+BS!BS49+BS!BS55+BS!BS56))</f>
        <v>1484.9690000000001</v>
      </c>
      <c r="D74" s="1312">
        <f>((BS!BT42+BS!BT43+BS!BT44)+(BS!BT48+BS!BT49+BS!BT55+BS!BT56))</f>
        <v>2111.788</v>
      </c>
      <c r="E74" s="1312">
        <f>((BS!BU42+BS!BU43+BS!BU44)+(BS!BU48+BS!BU49+BS!BU55+BS!BU56))</f>
        <v>2059.3880000000004</v>
      </c>
      <c r="F74" s="1312">
        <f>((BS!BV42+BS!BV43+BS!BV44)+(BS!BV48+BS!BV49+BS!BV55+BS!BV56))</f>
        <v>2131.5549999999998</v>
      </c>
      <c r="G74" s="1312">
        <f>((BS!BW42+BS!BW43+BS!BW44)+(BS!BW48+BS!BW49+BS!BW55+BS!BW56))</f>
        <v>2048.585</v>
      </c>
      <c r="H74" s="1312">
        <f>((BS!BX42+BS!BX43+BS!BX44)+(BS!BX48+BS!BX49+BS!BX55+BS!BX56))</f>
        <v>2124.44</v>
      </c>
      <c r="I74" s="1312">
        <f>((BS!BY42+BS!BY43+BS!BY44)+(BS!BY48+BS!BY49+BS!BY55+BS!BY56))</f>
        <v>2257.8609999999999</v>
      </c>
      <c r="J74" s="1312">
        <f>((BS!BZ42+BS!BZ43+BS!BZ44)+(BS!BZ48+BS!BZ49+BS!BZ55+BS!BZ56))</f>
        <v>3059.547</v>
      </c>
      <c r="K74" s="1312">
        <f>((BS!CA42+BS!CA43+BS!CA44)+(BS!CA48+BS!CA49+BS!CA55+BS!CA56))</f>
        <v>3099.1300000000006</v>
      </c>
      <c r="L74" s="1312">
        <f>((BS!CB42+BS!CB43+BS!CB44)+(BS!CB48+BS!CB49+BS!CB55+BS!CB56))</f>
        <v>3082.4479999999999</v>
      </c>
      <c r="M74" s="1312">
        <f>((BS!CC42+BS!CC43+BS!CC44)+(BS!CC48+BS!CC49+BS!CC55+BS!CC56))</f>
        <v>2893.4729999999995</v>
      </c>
      <c r="N74" s="1312">
        <f>((BS!CD42+BS!CD43+BS!CD44)+(BS!CD48+BS!CD49+BS!CD55+BS!CD56))</f>
        <v>2956.529</v>
      </c>
    </row>
    <row r="75" spans="2:14" ht="12.75" customHeight="1">
      <c r="B75" s="1425" t="s">
        <v>775</v>
      </c>
      <c r="C75" s="1312">
        <f>BS!BS8</f>
        <v>346.05600000000015</v>
      </c>
      <c r="D75" s="1312">
        <f>BS!BT8</f>
        <v>1039.3020000000001</v>
      </c>
      <c r="E75" s="1312">
        <f>BS!BU8</f>
        <v>509.0100000000001</v>
      </c>
      <c r="F75" s="1312">
        <f>BS!BV8</f>
        <v>383.06400000000008</v>
      </c>
      <c r="G75" s="1312">
        <f>BS!BW8</f>
        <v>432.63600000000008</v>
      </c>
      <c r="H75" s="1312">
        <f>BS!BX8</f>
        <v>290.42500000000013</v>
      </c>
      <c r="I75" s="1312">
        <f>BS!BY8</f>
        <v>279.97300000000013</v>
      </c>
      <c r="J75" s="1312">
        <f>BS!BZ8</f>
        <v>348.78800000000007</v>
      </c>
      <c r="K75" s="1312">
        <f>BS!CA8</f>
        <v>253.32800000000006</v>
      </c>
      <c r="L75" s="1312">
        <f>BS!CB8</f>
        <v>601.12200000000007</v>
      </c>
      <c r="M75" s="1312">
        <f>BS!CC8</f>
        <v>621.43399999999997</v>
      </c>
      <c r="N75" s="1312">
        <f>BS!CD8</f>
        <v>234.40299999999996</v>
      </c>
    </row>
    <row r="76" spans="2:14" ht="12.75" customHeight="1">
      <c r="B76" s="1425" t="s">
        <v>776</v>
      </c>
      <c r="C76" s="1312">
        <f>(+BS!BS10+BS!BS17)</f>
        <v>258.31100000000004</v>
      </c>
      <c r="D76" s="1312">
        <f>(+BS!BT10+BS!BT17)</f>
        <v>145.83599999999998</v>
      </c>
      <c r="E76" s="1312">
        <f>(+BS!BU10+BS!BU17)</f>
        <v>210.608</v>
      </c>
      <c r="F76" s="1312">
        <f>(+BS!BV10+BS!BV17)</f>
        <v>326.202</v>
      </c>
      <c r="G76" s="1312">
        <f>(+BS!BW10+BS!BW17)</f>
        <v>149.99800000000002</v>
      </c>
      <c r="H76" s="1312">
        <f>(+BS!BX10+BS!BX17)</f>
        <v>152.185</v>
      </c>
      <c r="I76" s="1312">
        <f>(+BS!BY10+BS!BY17)</f>
        <v>125.20599999999999</v>
      </c>
      <c r="J76" s="1312">
        <f>(+BS!BZ10+BS!BZ17)</f>
        <v>799.66499999999996</v>
      </c>
      <c r="K76" s="1312">
        <f>(+BS!CA10+BS!CA17)</f>
        <v>797.52199999999993</v>
      </c>
      <c r="L76" s="1312">
        <f>(+BS!CB10+BS!CB17)</f>
        <v>450.34700000000004</v>
      </c>
      <c r="M76" s="1312">
        <f>(+BS!CC10+BS!CC17)</f>
        <v>168.92500000000001</v>
      </c>
      <c r="N76" s="1312">
        <f>(+BS!CD10+BS!CD17)</f>
        <v>280.149</v>
      </c>
    </row>
    <row r="77" spans="2:14" ht="12.75" customHeight="1">
      <c r="B77" s="1425" t="s">
        <v>777</v>
      </c>
      <c r="C77" s="1312">
        <f>0</f>
        <v>0</v>
      </c>
      <c r="D77" s="1312">
        <f>0</f>
        <v>0</v>
      </c>
      <c r="E77" s="1312">
        <f>0</f>
        <v>0</v>
      </c>
      <c r="F77" s="1312">
        <f>0</f>
        <v>0</v>
      </c>
      <c r="G77" s="1312">
        <f>0</f>
        <v>0</v>
      </c>
      <c r="H77" s="1312">
        <f>0</f>
        <v>0</v>
      </c>
      <c r="I77" s="1312">
        <f>0</f>
        <v>0</v>
      </c>
      <c r="J77" s="1312">
        <f>0</f>
        <v>0</v>
      </c>
      <c r="K77" s="1312">
        <f>0</f>
        <v>0</v>
      </c>
      <c r="L77" s="1312">
        <f>0</f>
        <v>0</v>
      </c>
      <c r="M77" s="1312">
        <f>0</f>
        <v>0</v>
      </c>
      <c r="N77" s="1312">
        <f>0</f>
        <v>0</v>
      </c>
    </row>
    <row r="78" spans="2:14" ht="12.75" customHeight="1">
      <c r="B78" s="1425" t="s">
        <v>778</v>
      </c>
      <c r="C78" s="1312">
        <f>IF(ISNUMBER(BS!BS64),BS!BS64,0)</f>
        <v>0</v>
      </c>
      <c r="D78" s="1312">
        <f>IF(ISNUMBER(BS!BT64),BS!BT64,0)</f>
        <v>0</v>
      </c>
      <c r="E78" s="1312">
        <f>IF(ISNUMBER(BS!BU64),BS!BU64,0)</f>
        <v>0</v>
      </c>
      <c r="F78" s="1312">
        <f>IF(ISNUMBER(BS!BV64),BS!BV64,0)</f>
        <v>0</v>
      </c>
      <c r="G78" s="1312">
        <f>IF(ISNUMBER(BS!BW64),BS!BW64,0)</f>
        <v>0</v>
      </c>
      <c r="H78" s="1312">
        <f>IF(ISNUMBER(BS!BX64),BS!BX64,0)</f>
        <v>0</v>
      </c>
      <c r="I78" s="1312">
        <f>IF(ISNUMBER(BS!BY64),BS!BY64,0)</f>
        <v>0</v>
      </c>
      <c r="J78" s="1312">
        <f>IF(ISNUMBER(BS!BZ64),BS!BZ64,0)</f>
        <v>0</v>
      </c>
      <c r="K78" s="1312">
        <f>IF(ISNUMBER(BS!CA64),BS!CA64,0)</f>
        <v>0</v>
      </c>
      <c r="L78" s="1312">
        <f>IF(ISNUMBER(BS!CB64),BS!CB64,0)</f>
        <v>0</v>
      </c>
      <c r="M78" s="1312">
        <f>IF(ISNUMBER(BS!CC64),BS!CC64,0)</f>
        <v>0</v>
      </c>
      <c r="N78" s="1312">
        <f>IF(ISNUMBER(BS!CD64),BS!CD64,0)</f>
        <v>0</v>
      </c>
    </row>
    <row r="79" spans="2:14" ht="12.75" customHeight="1">
      <c r="B79" s="1425" t="s">
        <v>779</v>
      </c>
      <c r="C79" s="1312">
        <f>0</f>
        <v>0</v>
      </c>
      <c r="D79" s="1312">
        <f>0</f>
        <v>0</v>
      </c>
      <c r="E79" s="1312">
        <f>0</f>
        <v>0</v>
      </c>
      <c r="F79" s="1312">
        <f>0</f>
        <v>0</v>
      </c>
      <c r="G79" s="1312">
        <f>0</f>
        <v>0</v>
      </c>
      <c r="H79" s="1312">
        <f>0</f>
        <v>0</v>
      </c>
      <c r="I79" s="1312">
        <f>0</f>
        <v>0</v>
      </c>
      <c r="J79" s="1312">
        <f>0</f>
        <v>0</v>
      </c>
      <c r="K79" s="1312">
        <f>0</f>
        <v>0</v>
      </c>
      <c r="L79" s="1312">
        <f>0</f>
        <v>0</v>
      </c>
      <c r="M79" s="1312">
        <f>0</f>
        <v>0</v>
      </c>
      <c r="N79" s="1312">
        <f>0</f>
        <v>0</v>
      </c>
    </row>
    <row r="80" spans="2:14" ht="12.75" customHeight="1">
      <c r="B80" s="1425" t="s">
        <v>780</v>
      </c>
      <c r="C80" s="1312">
        <f t="shared" ref="C80:N81" si="17">IF(ISNUMBER(0),0,0)</f>
        <v>0</v>
      </c>
      <c r="D80" s="1312">
        <f t="shared" si="17"/>
        <v>0</v>
      </c>
      <c r="E80" s="1312">
        <f t="shared" si="17"/>
        <v>0</v>
      </c>
      <c r="F80" s="1312">
        <f t="shared" si="17"/>
        <v>0</v>
      </c>
      <c r="G80" s="1312">
        <f t="shared" si="17"/>
        <v>0</v>
      </c>
      <c r="H80" s="1312">
        <f t="shared" si="17"/>
        <v>0</v>
      </c>
      <c r="I80" s="1312">
        <f t="shared" si="17"/>
        <v>0</v>
      </c>
      <c r="J80" s="1312">
        <f t="shared" si="17"/>
        <v>0</v>
      </c>
      <c r="K80" s="1312">
        <f t="shared" si="17"/>
        <v>0</v>
      </c>
      <c r="L80" s="1312">
        <f t="shared" si="17"/>
        <v>0</v>
      </c>
      <c r="M80" s="1312">
        <f t="shared" si="17"/>
        <v>0</v>
      </c>
      <c r="N80" s="1312">
        <f t="shared" si="17"/>
        <v>0</v>
      </c>
    </row>
    <row r="81" spans="1:27" ht="12.75" customHeight="1">
      <c r="B81" s="1425" t="s">
        <v>781</v>
      </c>
      <c r="C81" s="1312">
        <f t="shared" si="17"/>
        <v>0</v>
      </c>
      <c r="D81" s="1312">
        <f t="shared" si="17"/>
        <v>0</v>
      </c>
      <c r="E81" s="1312">
        <f t="shared" si="17"/>
        <v>0</v>
      </c>
      <c r="F81" s="1312">
        <f t="shared" si="17"/>
        <v>0</v>
      </c>
      <c r="G81" s="1312">
        <f t="shared" si="17"/>
        <v>0</v>
      </c>
      <c r="H81" s="1312">
        <f t="shared" si="17"/>
        <v>0</v>
      </c>
      <c r="I81" s="1312">
        <f t="shared" si="17"/>
        <v>0</v>
      </c>
      <c r="J81" s="1312">
        <f t="shared" si="17"/>
        <v>0</v>
      </c>
      <c r="K81" s="1312">
        <f t="shared" si="17"/>
        <v>0</v>
      </c>
      <c r="L81" s="1312">
        <f t="shared" si="17"/>
        <v>0</v>
      </c>
      <c r="M81" s="1312">
        <f t="shared" si="17"/>
        <v>0</v>
      </c>
      <c r="N81" s="1312">
        <f t="shared" si="17"/>
        <v>0</v>
      </c>
    </row>
    <row r="82" spans="1:27" ht="12.75" customHeight="1">
      <c r="B82" s="1425" t="s">
        <v>782</v>
      </c>
      <c r="C82" s="1312">
        <f>0</f>
        <v>0</v>
      </c>
      <c r="D82" s="1312">
        <f>0</f>
        <v>0</v>
      </c>
      <c r="E82" s="1312">
        <f>0</f>
        <v>0</v>
      </c>
      <c r="F82" s="1312">
        <f>0</f>
        <v>0</v>
      </c>
      <c r="G82" s="1312">
        <f>0</f>
        <v>0</v>
      </c>
      <c r="H82" s="1312">
        <f>0</f>
        <v>0</v>
      </c>
      <c r="I82" s="1312">
        <f>0</f>
        <v>0</v>
      </c>
      <c r="J82" s="1312">
        <f>0</f>
        <v>0</v>
      </c>
      <c r="K82" s="1312">
        <f>0</f>
        <v>0</v>
      </c>
      <c r="L82" s="1312">
        <f>0</f>
        <v>0</v>
      </c>
      <c r="M82" s="1312">
        <f>0</f>
        <v>0</v>
      </c>
      <c r="N82" s="1312">
        <f>0</f>
        <v>0</v>
      </c>
    </row>
    <row r="83" spans="1:27" ht="12.75" customHeight="1">
      <c r="B83" s="1422" t="s">
        <v>783</v>
      </c>
      <c r="C83" s="1310">
        <f>((BS!BS26-0))*-1</f>
        <v>0</v>
      </c>
      <c r="D83" s="1310">
        <f>((BS!BT26-0))*-1</f>
        <v>0</v>
      </c>
      <c r="E83" s="1310">
        <f>((BS!BU26-0))*-1</f>
        <v>0</v>
      </c>
      <c r="F83" s="1310">
        <f>((BS!BV26-0))*-1</f>
        <v>0</v>
      </c>
      <c r="G83" s="1310">
        <f>((BS!BW26-0))*-1</f>
        <v>0</v>
      </c>
      <c r="H83" s="1310">
        <f>((BS!BX26-0))*-1</f>
        <v>0</v>
      </c>
      <c r="I83" s="1310">
        <f>((BS!BY26-0))*-1</f>
        <v>0</v>
      </c>
      <c r="J83" s="1310">
        <f>((BS!BZ26-0))*-1</f>
        <v>0</v>
      </c>
      <c r="K83" s="1310">
        <f>((BS!CA26-0))*-1</f>
        <v>0</v>
      </c>
      <c r="L83" s="1310">
        <f>((BS!CB26-0))*-1</f>
        <v>0</v>
      </c>
      <c r="M83" s="1310">
        <f>((BS!CC26-0))*-1</f>
        <v>0</v>
      </c>
      <c r="N83" s="1310">
        <f>((BS!CD26-0))*-1</f>
        <v>0</v>
      </c>
    </row>
    <row r="84" spans="1:27" ht="12.75" customHeight="1">
      <c r="B84" s="1421" t="s">
        <v>784</v>
      </c>
      <c r="C84" s="1316">
        <f>(((+(+BS!BS65+BS!BS66))+0+BS!BS67+(BS!BS68+BS!BS70)--BS!BS69+0+0)+(BS!BS91))</f>
        <v>1182.4829999999999</v>
      </c>
      <c r="D84" s="1316">
        <f>(((+(+BS!BT65+BS!BT66))+0+BS!BT67+(BS!BT68+BS!BT70)--BS!BT69+0+0)+(BS!BT91))</f>
        <v>1187.4870000000001</v>
      </c>
      <c r="E84" s="1316">
        <f>(((+(+BS!BU65+BS!BU66))+0+BS!BU67+(BS!BU68+BS!BU70)--BS!BU69+0+0)+(BS!BU91))</f>
        <v>1747.8649999999998</v>
      </c>
      <c r="F84" s="1316">
        <f>(((+(+BS!BV65+BS!BV66))+0+BS!BV67+(BS!BV68+BS!BV70)--BS!BV69+0+0)+(BS!BV91))</f>
        <v>1847.8879999999999</v>
      </c>
      <c r="G84" s="1316">
        <f>(((+(+BS!BW65+BS!BW66))+0+BS!BW67+(BS!BW68+BS!BW70)--BS!BW69+0+0)+(BS!BW91))</f>
        <v>1870.3099999999995</v>
      </c>
      <c r="H84" s="1316">
        <f>(((+(+BS!BX65+BS!BX66))+0+BS!BX67+(BS!BX68+BS!BX70)--BS!BX69+0+0)+(BS!BX91))</f>
        <v>1973.356</v>
      </c>
      <c r="I84" s="1316">
        <f>(((+(+BS!BY65+BS!BY66))+0+BS!BY67+(BS!BY68+BS!BY70)--BS!BY69+0+0)+(BS!BY91))</f>
        <v>2046.2999999999997</v>
      </c>
      <c r="J84" s="1316">
        <f>(((+(+BS!BZ65+BS!BZ66))+0+BS!BZ67+(BS!BZ68+BS!BZ70)--BS!BZ69+0+0)+(BS!BZ91))</f>
        <v>2002.7720000000002</v>
      </c>
      <c r="K84" s="1316">
        <f>(((+(+BS!CA65+BS!CA66))+0+BS!CA67+(BS!CA68+BS!CA70)--BS!CA69+0+0)+(BS!CA91))</f>
        <v>1926.7169999999996</v>
      </c>
      <c r="L84" s="1316">
        <f>(((+(+BS!CB65+BS!CB66))+0+BS!CB67+(BS!CB68+BS!CB70)--BS!CB69+0+0)+(BS!CB91))</f>
        <v>2028.6570000000002</v>
      </c>
      <c r="M84" s="1316">
        <f>(((+(+BS!CC65+BS!CC66))+0+BS!CC67+(BS!CC68+BS!CC70)--BS!CC69+0+0)+(BS!CC91))</f>
        <v>2034.9590000000001</v>
      </c>
      <c r="N84" s="1316">
        <f>(((+(+BS!CD65+BS!CD66))+0+BS!CD67+(BS!CD68+BS!CD70)--BS!CD69+0+0)+(BS!CD91))</f>
        <v>2228.3649999999998</v>
      </c>
    </row>
    <row r="85" spans="1:27" s="1457" customFormat="1" ht="12.75" customHeight="1">
      <c r="A85" s="1456"/>
      <c r="C85" s="1374"/>
      <c r="D85" s="1374"/>
      <c r="E85" s="1374"/>
      <c r="F85" s="1374"/>
      <c r="G85" s="1374"/>
      <c r="H85" s="1374"/>
      <c r="I85" s="1374"/>
      <c r="J85" s="1374"/>
      <c r="K85" s="1374"/>
      <c r="L85" s="1374"/>
      <c r="M85" s="1374"/>
      <c r="N85" s="1374"/>
      <c r="O85" s="1456"/>
      <c r="P85" s="1456"/>
      <c r="Q85" s="1456"/>
      <c r="R85" s="1458"/>
      <c r="S85" s="1458"/>
      <c r="T85" s="1458"/>
      <c r="U85" s="1458"/>
      <c r="V85" s="1458"/>
      <c r="W85" s="1458"/>
      <c r="X85" s="1458"/>
      <c r="Y85" s="1458"/>
      <c r="Z85" s="1458"/>
      <c r="AA85" s="1459"/>
    </row>
    <row r="86" spans="1:27" ht="12.75" customHeight="1">
      <c r="B86" s="1423" t="s">
        <v>764</v>
      </c>
      <c r="C86" s="1383"/>
      <c r="D86" s="1294"/>
      <c r="E86" s="1383"/>
      <c r="F86" s="1294"/>
      <c r="G86" s="1294"/>
      <c r="H86" s="1294"/>
      <c r="I86" s="1294"/>
      <c r="J86" s="1294"/>
      <c r="K86" s="1294"/>
      <c r="L86" s="1294"/>
      <c r="M86" s="1294"/>
      <c r="N86" s="1294"/>
    </row>
    <row r="87" spans="1:27" ht="12.75" customHeight="1">
      <c r="B87" s="1423"/>
      <c r="C87" s="1294"/>
      <c r="D87" s="1294"/>
      <c r="E87" s="1294"/>
      <c r="F87" s="1294"/>
      <c r="G87" s="1294"/>
      <c r="H87" s="1294"/>
      <c r="I87" s="1294"/>
      <c r="J87" s="1294"/>
      <c r="K87" s="1294"/>
      <c r="L87" s="1294"/>
      <c r="M87" s="1294"/>
      <c r="N87" s="1294"/>
    </row>
    <row r="88" spans="1:27" ht="12.75" customHeight="1" collapsed="1">
      <c r="B88" s="1421" t="s">
        <v>785</v>
      </c>
      <c r="C88" s="1299">
        <f>C90-C91</f>
        <v>-5.0493438143600231E-2</v>
      </c>
      <c r="D88" s="1299">
        <f>D90-D91</f>
        <v>-0.11924534352986023</v>
      </c>
      <c r="E88" s="1299">
        <f>E90-E91</f>
        <v>-4.6763448141361422E-2</v>
      </c>
      <c r="F88" s="1299">
        <f t="shared" ref="F88:K88" si="18">F90-F91</f>
        <v>-3.714463105117289E-2</v>
      </c>
      <c r="G88" s="1299">
        <f t="shared" si="18"/>
        <v>-2.0478885993856777E-2</v>
      </c>
      <c r="H88" s="1299">
        <f t="shared" si="18"/>
        <v>-6.1228100303913763E-3</v>
      </c>
      <c r="I88" s="1299">
        <f t="shared" si="18"/>
        <v>-3.1242191026241664E-2</v>
      </c>
      <c r="J88" s="1299">
        <f t="shared" si="18"/>
        <v>-4.0973460349716495E-2</v>
      </c>
      <c r="K88" s="1299">
        <f t="shared" si="18"/>
        <v>-1.0065551239558726E-2</v>
      </c>
      <c r="L88" s="1299">
        <f>L90-L91</f>
        <v>-7.6767453535271091E-3</v>
      </c>
      <c r="M88" s="1299">
        <f>M90-M91</f>
        <v>-2.3314958640851868E-2</v>
      </c>
      <c r="N88" s="1299">
        <f>N90-N91</f>
        <v>-1.3479416731986812E-2</v>
      </c>
    </row>
    <row r="89" spans="1:27" ht="12.75" customHeight="1">
      <c r="B89" s="1422"/>
      <c r="C89" s="1314"/>
      <c r="D89" s="1314"/>
      <c r="E89" s="1314"/>
      <c r="F89" s="1314"/>
      <c r="G89" s="1314"/>
      <c r="H89" s="1314"/>
      <c r="I89" s="1314"/>
      <c r="J89" s="1314"/>
      <c r="K89" s="1314"/>
      <c r="L89" s="1314"/>
      <c r="M89" s="1314"/>
      <c r="N89" s="1314"/>
    </row>
    <row r="90" spans="1:27" ht="12.75" customHeight="1">
      <c r="B90" s="1421" t="s">
        <v>786</v>
      </c>
      <c r="C90" s="1314">
        <f>C38</f>
        <v>8.5633892932186526E-2</v>
      </c>
      <c r="D90" s="1314">
        <f>D38</f>
        <v>8.357708133389645E-2</v>
      </c>
      <c r="E90" s="1314">
        <f>E38</f>
        <v>6.0043690397342947E-2</v>
      </c>
      <c r="F90" s="1314">
        <f t="shared" ref="F90:K90" si="19">F38</f>
        <v>5.740521078828454E-2</v>
      </c>
      <c r="G90" s="1314">
        <f t="shared" si="19"/>
        <v>6.7448200245724205E-2</v>
      </c>
      <c r="H90" s="1314">
        <f t="shared" si="19"/>
        <v>6.7389376100192563E-2</v>
      </c>
      <c r="I90" s="1314">
        <f t="shared" si="19"/>
        <v>6.456701962080949E-2</v>
      </c>
      <c r="J90" s="1314">
        <f t="shared" si="19"/>
        <v>6.6775504379386355E-2</v>
      </c>
      <c r="K90" s="1314">
        <f t="shared" si="19"/>
        <v>7.4935425189445057E-2</v>
      </c>
      <c r="L90" s="1314">
        <f>L38</f>
        <v>7.6936241782233517E-2</v>
      </c>
      <c r="M90" s="1314">
        <f>M38</f>
        <v>7.372799766108902E-2</v>
      </c>
      <c r="N90" s="1314">
        <f>N38</f>
        <v>7.4539020788104468E-2</v>
      </c>
    </row>
    <row r="91" spans="1:27" ht="12.75" customHeight="1">
      <c r="B91" s="1421" t="s">
        <v>222</v>
      </c>
      <c r="C91" s="1314">
        <f>IF(AND(ISNUMBER(C95),ABS(C95)&gt;0,ABS(C38)&gt;0),(C92*4)/C95,0)</f>
        <v>0.13612733107578676</v>
      </c>
      <c r="D91" s="1314">
        <f>IF(AND(ISNUMBER(D95),ABS(D95)&gt;0,ABS(D38)&gt;0),(D92*4)/D95,0)</f>
        <v>0.20282242486375668</v>
      </c>
      <c r="E91" s="1314">
        <f>IF(AND(ISNUMBER(E95),ABS(E95)&gt;0,ABS(E38)&gt;0),(E92*4)/E95,0)</f>
        <v>0.10680713853870437</v>
      </c>
      <c r="F91" s="1314">
        <f t="shared" ref="F91:K91" si="20">IF(AND(ISNUMBER(F95),ABS(F95)&gt;0,ABS(F38)&gt;0),(F92*4)/F95,0)</f>
        <v>9.454984183945743E-2</v>
      </c>
      <c r="G91" s="1314">
        <f t="shared" si="20"/>
        <v>8.7927086239580982E-2</v>
      </c>
      <c r="H91" s="1314">
        <f t="shared" si="20"/>
        <v>7.351218613058394E-2</v>
      </c>
      <c r="I91" s="1314">
        <f t="shared" si="20"/>
        <v>9.5809210647051155E-2</v>
      </c>
      <c r="J91" s="1314">
        <f t="shared" si="20"/>
        <v>0.10774896472910285</v>
      </c>
      <c r="K91" s="1314">
        <f t="shared" si="20"/>
        <v>8.5000976429003783E-2</v>
      </c>
      <c r="L91" s="1314">
        <f>IF(AND(ISNUMBER(L95),ABS(L95)&gt;0,ABS(L38)&gt;0),(L92*4)/L95,0)</f>
        <v>8.4612987135760626E-2</v>
      </c>
      <c r="M91" s="1314">
        <f>IF(AND(ISNUMBER(M95),ABS(M95)&gt;0,ABS(M38)&gt;0),(M92*4)/M95,0)</f>
        <v>9.7042956301940889E-2</v>
      </c>
      <c r="N91" s="1314">
        <f>IF(AND(ISNUMBER(N95),ABS(N95)&gt;0,ABS(N38)&gt;0),(N92*4)/N95,0)</f>
        <v>8.8018437520091281E-2</v>
      </c>
    </row>
    <row r="92" spans="1:27" ht="12.75" customHeight="1" collapsed="1">
      <c r="B92" s="1422" t="s">
        <v>788</v>
      </c>
      <c r="C92" s="1315">
        <f>C93+C94</f>
        <v>29.968499999999992</v>
      </c>
      <c r="D92" s="1315">
        <f>D93+D94</f>
        <v>46.986350000000023</v>
      </c>
      <c r="E92" s="1315">
        <f>E93+E94</f>
        <v>35.774249999999995</v>
      </c>
      <c r="F92" s="1315">
        <f t="shared" ref="F92:K92" si="21">F93+F94</f>
        <v>33.61930000000001</v>
      </c>
      <c r="G92" s="1315">
        <f t="shared" si="21"/>
        <v>32.224199999999996</v>
      </c>
      <c r="H92" s="1315">
        <f t="shared" si="21"/>
        <v>30.908749999999998</v>
      </c>
      <c r="I92" s="1315">
        <f t="shared" si="21"/>
        <v>44.376000000000005</v>
      </c>
      <c r="J92" s="1315">
        <f t="shared" si="21"/>
        <v>51.479600000000019</v>
      </c>
      <c r="K92" s="1315">
        <f t="shared" si="21"/>
        <v>43.526449999999983</v>
      </c>
      <c r="L92" s="1315">
        <f>L93+L94</f>
        <v>42.961799999999997</v>
      </c>
      <c r="M92" s="1315">
        <f>M93+M94</f>
        <v>51.023100000000014</v>
      </c>
      <c r="N92" s="1315">
        <f>N93+N94</f>
        <v>53.734749999999991</v>
      </c>
    </row>
    <row r="93" spans="1:27" ht="12.75" customHeight="1">
      <c r="B93" s="1426" t="s">
        <v>789</v>
      </c>
      <c r="C93" s="1318">
        <f>(C186-C187)*-1</f>
        <v>16.359850000000002</v>
      </c>
      <c r="D93" s="1318">
        <f>(D186-D187)*-1</f>
        <v>24.130600000000001</v>
      </c>
      <c r="E93" s="1318">
        <f>(E186-E187)*-1</f>
        <v>24.734449999999999</v>
      </c>
      <c r="F93" s="1318">
        <f t="shared" ref="F93:K93" si="22">(F186-F187)*-1</f>
        <v>25.099100000000004</v>
      </c>
      <c r="G93" s="1318">
        <f t="shared" si="22"/>
        <v>24.144899999999996</v>
      </c>
      <c r="H93" s="1318">
        <f t="shared" si="22"/>
        <v>24.079250000000002</v>
      </c>
      <c r="I93" s="1318">
        <f t="shared" si="22"/>
        <v>32.782749999999993</v>
      </c>
      <c r="J93" s="1318">
        <f t="shared" si="22"/>
        <v>35.358050000000006</v>
      </c>
      <c r="K93" s="1318">
        <f t="shared" si="22"/>
        <v>33.882549999999995</v>
      </c>
      <c r="L93" s="1318">
        <f>(L186-L187)*-1</f>
        <v>29.785599999999999</v>
      </c>
      <c r="M93" s="1318">
        <f>(M186-M187)*-1</f>
        <v>31.949449999999999</v>
      </c>
      <c r="N93" s="1318">
        <f>(N186-N187)*-1</f>
        <v>32.342699999999994</v>
      </c>
    </row>
    <row r="94" spans="1:27" ht="12.75" customHeight="1">
      <c r="B94" s="1426" t="s">
        <v>790</v>
      </c>
      <c r="C94" s="1318">
        <f>(C189-C190)*-1</f>
        <v>13.60864999999999</v>
      </c>
      <c r="D94" s="1318">
        <f>(D189-D190)*-1</f>
        <v>22.855750000000022</v>
      </c>
      <c r="E94" s="1318">
        <f>(E189-E190)*-1</f>
        <v>11.0398</v>
      </c>
      <c r="F94" s="1318">
        <f t="shared" ref="F94:K94" si="23">(F189-F190)*-1</f>
        <v>8.5202000000000027</v>
      </c>
      <c r="G94" s="1318">
        <f t="shared" si="23"/>
        <v>8.0792999999999999</v>
      </c>
      <c r="H94" s="1318">
        <f t="shared" si="23"/>
        <v>6.8294999999999959</v>
      </c>
      <c r="I94" s="1318">
        <f t="shared" si="23"/>
        <v>11.593250000000015</v>
      </c>
      <c r="J94" s="1318">
        <f t="shared" si="23"/>
        <v>16.12155000000001</v>
      </c>
      <c r="K94" s="1318">
        <f t="shared" si="23"/>
        <v>9.6438999999999915</v>
      </c>
      <c r="L94" s="1318">
        <f>(L189-L190)*-1</f>
        <v>13.176199999999994</v>
      </c>
      <c r="M94" s="1318">
        <f>(M189-M190)*-1</f>
        <v>19.073650000000011</v>
      </c>
      <c r="N94" s="1318">
        <f>(N189-N190)*-1</f>
        <v>21.392050000000001</v>
      </c>
    </row>
    <row r="95" spans="1:27" ht="12.75" customHeight="1">
      <c r="B95" s="1422" t="s">
        <v>791</v>
      </c>
      <c r="C95" s="1315">
        <f>C72</f>
        <v>880.60199999999998</v>
      </c>
      <c r="D95" s="1315">
        <f>D72</f>
        <v>926.64999999999986</v>
      </c>
      <c r="E95" s="1315">
        <f>E72</f>
        <v>1339.7700000000002</v>
      </c>
      <c r="F95" s="1315">
        <f t="shared" ref="F95:K95" si="24">F72</f>
        <v>1422.2889999999998</v>
      </c>
      <c r="G95" s="1315">
        <f t="shared" si="24"/>
        <v>1465.951</v>
      </c>
      <c r="H95" s="1315">
        <f t="shared" si="24"/>
        <v>1681.83</v>
      </c>
      <c r="I95" s="1315">
        <f t="shared" si="24"/>
        <v>1852.6819999999998</v>
      </c>
      <c r="J95" s="1315">
        <f t="shared" si="24"/>
        <v>1911.0940000000001</v>
      </c>
      <c r="K95" s="1315">
        <f t="shared" si="24"/>
        <v>2048.2800000000007</v>
      </c>
      <c r="L95" s="1315">
        <f>L72</f>
        <v>2030.979</v>
      </c>
      <c r="M95" s="1315">
        <f>M72</f>
        <v>2103.1139999999996</v>
      </c>
      <c r="N95" s="1315">
        <f>N72</f>
        <v>2441.9770000000003</v>
      </c>
    </row>
    <row r="96" spans="1:27" ht="12.75" customHeight="1">
      <c r="B96" s="1294"/>
      <c r="C96" s="1294"/>
      <c r="D96" s="1294"/>
      <c r="E96" s="1294"/>
      <c r="F96" s="1294"/>
      <c r="G96" s="1294"/>
      <c r="H96" s="1294"/>
      <c r="I96" s="1294"/>
      <c r="J96" s="1294"/>
      <c r="K96" s="1294"/>
      <c r="L96" s="1294"/>
      <c r="M96" s="1294"/>
      <c r="N96" s="1294"/>
    </row>
    <row r="97" spans="2:14" ht="12.75" customHeight="1">
      <c r="B97" s="1460"/>
      <c r="C97" s="1383"/>
      <c r="D97" s="1383"/>
      <c r="E97" s="1383"/>
      <c r="F97" s="1383"/>
      <c r="G97" s="1383"/>
      <c r="H97" s="1383"/>
      <c r="I97" s="1383"/>
      <c r="J97" s="1383"/>
      <c r="K97" s="1383"/>
      <c r="L97" s="1383"/>
      <c r="M97" s="1383"/>
      <c r="N97" s="1383"/>
    </row>
    <row r="98" spans="2:14" ht="12.75" customHeight="1">
      <c r="B98" s="1460"/>
      <c r="C98" s="1278"/>
      <c r="D98" s="1383"/>
      <c r="E98" s="1278"/>
      <c r="F98" s="1383"/>
      <c r="G98" s="1383"/>
      <c r="H98" s="1383"/>
      <c r="I98" s="1383"/>
      <c r="J98" s="1383"/>
      <c r="K98" s="1383"/>
      <c r="L98" s="1383"/>
      <c r="M98" s="1383"/>
      <c r="N98" s="1383"/>
    </row>
    <row r="99" spans="2:14" ht="12.75" customHeight="1">
      <c r="B99" s="1460"/>
      <c r="C99" s="1383"/>
      <c r="D99" s="1383"/>
      <c r="E99" s="1383"/>
      <c r="F99" s="1383"/>
      <c r="G99" s="1383"/>
      <c r="H99" s="1383"/>
      <c r="I99" s="1383"/>
      <c r="J99" s="1383"/>
      <c r="K99" s="1383"/>
      <c r="L99" s="1383"/>
      <c r="M99" s="1383"/>
      <c r="N99" s="1383"/>
    </row>
    <row r="100" spans="2:14" ht="12.75" customHeight="1">
      <c r="B100" s="1427" t="s">
        <v>792</v>
      </c>
      <c r="C100" s="1385"/>
      <c r="D100" s="1385"/>
      <c r="E100" s="1385"/>
      <c r="F100" s="1385"/>
      <c r="G100" s="1385"/>
      <c r="H100" s="1385"/>
      <c r="I100" s="1385"/>
      <c r="J100" s="1385"/>
      <c r="K100" s="1385"/>
      <c r="L100" s="1385"/>
      <c r="M100" s="1385"/>
      <c r="N100" s="1385"/>
    </row>
    <row r="101" spans="2:14" ht="12.75" customHeight="1">
      <c r="B101" s="1461"/>
      <c r="C101" s="1385"/>
      <c r="D101" s="1385"/>
      <c r="E101" s="1385"/>
      <c r="F101" s="1385"/>
      <c r="G101" s="1385"/>
      <c r="H101" s="1385"/>
      <c r="I101" s="1385"/>
      <c r="J101" s="1385"/>
      <c r="K101" s="1385"/>
      <c r="L101" s="1385"/>
      <c r="M101" s="1385"/>
      <c r="N101" s="1385"/>
    </row>
    <row r="102" spans="2:14" ht="12.75" customHeight="1">
      <c r="B102" s="1428" t="s">
        <v>793</v>
      </c>
      <c r="C102" s="1321"/>
      <c r="D102" s="1321"/>
      <c r="E102" s="1321"/>
      <c r="F102" s="1321"/>
      <c r="G102" s="1321"/>
      <c r="H102" s="1321"/>
      <c r="I102" s="1321"/>
      <c r="J102" s="1321"/>
      <c r="K102" s="1321"/>
      <c r="L102" s="1321"/>
      <c r="M102" s="1321"/>
      <c r="N102" s="1321"/>
    </row>
    <row r="103" spans="2:14" ht="12.75" customHeight="1">
      <c r="B103" s="1462"/>
      <c r="C103" s="1294"/>
      <c r="D103" s="1294"/>
      <c r="E103" s="1294"/>
      <c r="F103" s="1294"/>
      <c r="G103" s="1294"/>
      <c r="H103" s="1294"/>
      <c r="I103" s="1294"/>
      <c r="J103" s="1294"/>
      <c r="K103" s="1294"/>
      <c r="L103" s="1294"/>
      <c r="M103" s="1294"/>
      <c r="N103" s="1294"/>
    </row>
    <row r="104" spans="2:14" ht="12.75" customHeight="1">
      <c r="B104" s="1428" t="s">
        <v>753</v>
      </c>
      <c r="C104" s="1322"/>
      <c r="D104" s="1322"/>
      <c r="E104" s="1322"/>
      <c r="F104" s="1322"/>
      <c r="G104" s="1322"/>
      <c r="H104" s="1322"/>
      <c r="I104" s="1322"/>
      <c r="J104" s="1322"/>
      <c r="K104" s="1322"/>
      <c r="L104" s="1322"/>
      <c r="M104" s="1322"/>
      <c r="N104" s="1322"/>
    </row>
    <row r="105" spans="2:14" ht="12.75" customHeight="1">
      <c r="B105" s="1393"/>
      <c r="C105" s="1294"/>
      <c r="D105" s="1294"/>
      <c r="E105" s="1294"/>
      <c r="F105" s="1294"/>
      <c r="G105" s="1294"/>
      <c r="H105" s="1294"/>
      <c r="I105" s="1294"/>
      <c r="J105" s="1294"/>
      <c r="K105" s="1294"/>
      <c r="L105" s="1294"/>
      <c r="M105" s="1294"/>
      <c r="N105" s="1294"/>
    </row>
    <row r="106" spans="2:14" ht="12.75" customHeight="1">
      <c r="B106" s="1429" t="s">
        <v>744</v>
      </c>
      <c r="C106" s="1325"/>
      <c r="D106" s="1325"/>
      <c r="E106" s="1325"/>
      <c r="F106" s="1325"/>
      <c r="G106" s="1325"/>
      <c r="H106" s="1325"/>
      <c r="I106" s="1325"/>
      <c r="J106" s="1325"/>
      <c r="K106" s="1325"/>
      <c r="L106" s="1325"/>
      <c r="M106" s="1325"/>
      <c r="N106" s="1325"/>
    </row>
    <row r="107" spans="2:14" ht="12.75" customHeight="1">
      <c r="B107" s="1430"/>
      <c r="C107" s="1327"/>
      <c r="D107" s="1327"/>
      <c r="E107" s="1327"/>
      <c r="F107" s="1327"/>
      <c r="G107" s="1327"/>
      <c r="H107" s="1327"/>
      <c r="I107" s="1327"/>
      <c r="J107" s="1327"/>
      <c r="K107" s="1327"/>
      <c r="L107" s="1327"/>
      <c r="M107" s="1327"/>
      <c r="N107" s="1327"/>
    </row>
    <row r="108" spans="2:14" ht="12.75" customHeight="1">
      <c r="B108" s="1431" t="s">
        <v>754</v>
      </c>
      <c r="C108" s="1329"/>
      <c r="D108" s="1329"/>
      <c r="E108" s="1329"/>
      <c r="F108" s="1329"/>
      <c r="G108" s="1329"/>
      <c r="H108" s="1329"/>
      <c r="I108" s="1329"/>
      <c r="J108" s="1329"/>
      <c r="K108" s="1329"/>
      <c r="L108" s="1329"/>
      <c r="M108" s="1329"/>
      <c r="N108" s="1329"/>
    </row>
    <row r="109" spans="2:14" ht="12.75" customHeight="1">
      <c r="B109" s="1431" t="s">
        <v>755</v>
      </c>
      <c r="C109" s="1330"/>
      <c r="D109" s="1330"/>
      <c r="E109" s="1330"/>
      <c r="F109" s="1330"/>
      <c r="G109" s="1330"/>
      <c r="H109" s="1330"/>
      <c r="I109" s="1330"/>
      <c r="J109" s="1330"/>
      <c r="K109" s="1330"/>
      <c r="L109" s="1330"/>
      <c r="M109" s="1330"/>
      <c r="N109" s="1330"/>
    </row>
    <row r="110" spans="2:14" ht="12.75" customHeight="1">
      <c r="B110" s="1431" t="s">
        <v>794</v>
      </c>
      <c r="C110" s="1330"/>
      <c r="D110" s="1330"/>
      <c r="E110" s="1330"/>
      <c r="F110" s="1330"/>
      <c r="G110" s="1330"/>
      <c r="H110" s="1330"/>
      <c r="I110" s="1330"/>
      <c r="J110" s="1330"/>
      <c r="K110" s="1330"/>
      <c r="L110" s="1330"/>
      <c r="M110" s="1330"/>
      <c r="N110" s="1330"/>
    </row>
    <row r="111" spans="2:14" ht="12.75" customHeight="1">
      <c r="B111" s="1431" t="s">
        <v>795</v>
      </c>
      <c r="C111" s="1331"/>
      <c r="D111" s="1331"/>
      <c r="E111" s="1331"/>
      <c r="F111" s="1331"/>
      <c r="G111" s="1331"/>
      <c r="H111" s="1331"/>
      <c r="I111" s="1331"/>
      <c r="J111" s="1331"/>
      <c r="K111" s="1331"/>
      <c r="L111" s="1331"/>
      <c r="M111" s="1331"/>
      <c r="N111" s="1331"/>
    </row>
    <row r="112" spans="2:14" ht="12.75" customHeight="1">
      <c r="B112" s="1431" t="s">
        <v>796</v>
      </c>
      <c r="C112" s="1330"/>
      <c r="D112" s="1330"/>
      <c r="E112" s="1330"/>
      <c r="F112" s="1330"/>
      <c r="G112" s="1330"/>
      <c r="H112" s="1330"/>
      <c r="I112" s="1330"/>
      <c r="J112" s="1330"/>
      <c r="K112" s="1330"/>
      <c r="L112" s="1330"/>
      <c r="M112" s="1330"/>
      <c r="N112" s="1330"/>
    </row>
    <row r="113" spans="2:14" ht="12.75" customHeight="1">
      <c r="B113" s="1431" t="s">
        <v>797</v>
      </c>
      <c r="C113" s="1330"/>
      <c r="D113" s="1330"/>
      <c r="E113" s="1330"/>
      <c r="F113" s="1330"/>
      <c r="G113" s="1330"/>
      <c r="H113" s="1330"/>
      <c r="I113" s="1330"/>
      <c r="J113" s="1330"/>
      <c r="K113" s="1330"/>
      <c r="L113" s="1330"/>
      <c r="M113" s="1330"/>
      <c r="N113" s="1330"/>
    </row>
    <row r="114" spans="2:14" ht="12.75" customHeight="1">
      <c r="B114" s="1431" t="s">
        <v>794</v>
      </c>
      <c r="C114" s="1330"/>
      <c r="D114" s="1330"/>
      <c r="E114" s="1330"/>
      <c r="F114" s="1330"/>
      <c r="G114" s="1330"/>
      <c r="H114" s="1330"/>
      <c r="I114" s="1330"/>
      <c r="J114" s="1330"/>
      <c r="K114" s="1330"/>
      <c r="L114" s="1330"/>
      <c r="M114" s="1330"/>
      <c r="N114" s="1330"/>
    </row>
    <row r="115" spans="2:14" ht="12.75" customHeight="1">
      <c r="B115" s="1395"/>
      <c r="C115" s="1294"/>
      <c r="D115" s="1294"/>
      <c r="E115" s="1294"/>
      <c r="F115" s="1294"/>
      <c r="G115" s="1294"/>
      <c r="H115" s="1294"/>
      <c r="I115" s="1294"/>
      <c r="J115" s="1294"/>
      <c r="K115" s="1294"/>
      <c r="L115" s="1294"/>
      <c r="M115" s="1294"/>
      <c r="N115" s="1294"/>
    </row>
    <row r="116" spans="2:14" ht="12.75" customHeight="1">
      <c r="B116" s="1431"/>
      <c r="C116" s="1294"/>
      <c r="D116" s="1294"/>
      <c r="E116" s="1294"/>
      <c r="F116" s="1294"/>
      <c r="G116" s="1294"/>
      <c r="H116" s="1294"/>
      <c r="I116" s="1294"/>
      <c r="J116" s="1294"/>
      <c r="K116" s="1294"/>
      <c r="L116" s="1294"/>
      <c r="M116" s="1294"/>
      <c r="N116" s="1294"/>
    </row>
    <row r="117" spans="2:14" ht="12.75" customHeight="1">
      <c r="B117" s="1431"/>
      <c r="C117" s="1294"/>
      <c r="D117" s="1294"/>
      <c r="E117" s="1294"/>
      <c r="F117" s="1294"/>
      <c r="G117" s="1294"/>
      <c r="H117" s="1294"/>
      <c r="I117" s="1294"/>
      <c r="J117" s="1294"/>
      <c r="K117" s="1294"/>
      <c r="L117" s="1294"/>
      <c r="M117" s="1294"/>
      <c r="N117" s="1294"/>
    </row>
    <row r="118" spans="2:14" ht="12.75" customHeight="1">
      <c r="B118" s="1429" t="s">
        <v>747</v>
      </c>
      <c r="C118" s="1332"/>
      <c r="D118" s="1332"/>
      <c r="E118" s="1332"/>
      <c r="F118" s="1332"/>
      <c r="G118" s="1332"/>
      <c r="H118" s="1332"/>
      <c r="I118" s="1332"/>
      <c r="J118" s="1332"/>
      <c r="K118" s="1332"/>
      <c r="L118" s="1332"/>
      <c r="M118" s="1332"/>
      <c r="N118" s="1332"/>
    </row>
    <row r="119" spans="2:14" ht="12.75" customHeight="1">
      <c r="B119" s="1430"/>
      <c r="C119" s="1333"/>
      <c r="D119" s="1333"/>
      <c r="E119" s="1333"/>
      <c r="F119" s="1333"/>
      <c r="G119" s="1333"/>
      <c r="H119" s="1333"/>
      <c r="I119" s="1333"/>
      <c r="J119" s="1333"/>
      <c r="K119" s="1333"/>
      <c r="L119" s="1333"/>
      <c r="M119" s="1333"/>
      <c r="N119" s="1333"/>
    </row>
    <row r="120" spans="2:14" ht="12.75" customHeight="1">
      <c r="B120" s="1431" t="s">
        <v>798</v>
      </c>
      <c r="C120" s="1330"/>
      <c r="D120" s="1330"/>
      <c r="E120" s="1330"/>
      <c r="F120" s="1330"/>
      <c r="G120" s="1330"/>
      <c r="H120" s="1330"/>
      <c r="I120" s="1330"/>
      <c r="J120" s="1330"/>
      <c r="K120" s="1330"/>
      <c r="L120" s="1330"/>
      <c r="M120" s="1330"/>
      <c r="N120" s="1330"/>
    </row>
    <row r="121" spans="2:14" ht="12.75" customHeight="1">
      <c r="B121" s="1463" t="s">
        <v>766</v>
      </c>
      <c r="C121" s="1329"/>
      <c r="D121" s="1329"/>
      <c r="E121" s="1329"/>
      <c r="F121" s="1329"/>
      <c r="G121" s="1329"/>
      <c r="H121" s="1329"/>
      <c r="I121" s="1329"/>
      <c r="J121" s="1329"/>
      <c r="K121" s="1329"/>
      <c r="L121" s="1329"/>
      <c r="M121" s="1329"/>
      <c r="N121" s="1329"/>
    </row>
    <row r="122" spans="2:14" ht="12.75" customHeight="1">
      <c r="B122" s="1431" t="s">
        <v>807</v>
      </c>
      <c r="C122" s="1330"/>
      <c r="D122" s="1330"/>
      <c r="E122" s="1330"/>
      <c r="F122" s="1330"/>
      <c r="G122" s="1330"/>
      <c r="H122" s="1330"/>
      <c r="I122" s="1330"/>
      <c r="J122" s="1330"/>
      <c r="K122" s="1330"/>
      <c r="L122" s="1330"/>
      <c r="M122" s="1330"/>
      <c r="N122" s="1330"/>
    </row>
    <row r="123" spans="2:14" ht="12.75" customHeight="1">
      <c r="B123" s="1431" t="s">
        <v>808</v>
      </c>
      <c r="C123" s="1330"/>
      <c r="D123" s="1330"/>
      <c r="E123" s="1330"/>
      <c r="F123" s="1330"/>
      <c r="G123" s="1330"/>
      <c r="H123" s="1330"/>
      <c r="I123" s="1330"/>
      <c r="J123" s="1330"/>
      <c r="K123" s="1330"/>
      <c r="L123" s="1330"/>
      <c r="M123" s="1330"/>
      <c r="N123" s="1330"/>
    </row>
    <row r="124" spans="2:14" ht="12.75" customHeight="1">
      <c r="B124" s="1431"/>
      <c r="C124" s="1294"/>
      <c r="D124" s="1294"/>
      <c r="E124" s="1294"/>
      <c r="F124" s="1294"/>
      <c r="G124" s="1294"/>
      <c r="H124" s="1294"/>
      <c r="I124" s="1294"/>
      <c r="J124" s="1294"/>
      <c r="K124" s="1294"/>
      <c r="L124" s="1294"/>
      <c r="M124" s="1294"/>
      <c r="N124" s="1294"/>
    </row>
    <row r="125" spans="2:14" ht="12.75" customHeight="1">
      <c r="B125" s="1464"/>
      <c r="C125" s="1294"/>
      <c r="D125" s="1294"/>
      <c r="E125" s="1294"/>
      <c r="F125" s="1294"/>
      <c r="G125" s="1294"/>
      <c r="H125" s="1294"/>
      <c r="I125" s="1294"/>
      <c r="J125" s="1294"/>
      <c r="K125" s="1294"/>
      <c r="L125" s="1294"/>
      <c r="M125" s="1294"/>
      <c r="N125" s="1294"/>
    </row>
    <row r="126" spans="2:14" ht="12.75" customHeight="1">
      <c r="B126" s="1428" t="s">
        <v>770</v>
      </c>
      <c r="C126" s="1322"/>
      <c r="D126" s="1322"/>
      <c r="E126" s="1322"/>
      <c r="F126" s="1322"/>
      <c r="G126" s="1322"/>
      <c r="H126" s="1322"/>
      <c r="I126" s="1322"/>
      <c r="J126" s="1322"/>
      <c r="K126" s="1322"/>
      <c r="L126" s="1322"/>
      <c r="M126" s="1322"/>
      <c r="N126" s="1322"/>
    </row>
    <row r="127" spans="2:14" ht="12.75" customHeight="1">
      <c r="B127" s="1428"/>
      <c r="C127" s="1334"/>
      <c r="D127" s="1334"/>
      <c r="E127" s="1334"/>
      <c r="F127" s="1334"/>
      <c r="G127" s="1334"/>
      <c r="H127" s="1334"/>
      <c r="I127" s="1334"/>
      <c r="J127" s="1334"/>
      <c r="K127" s="1334"/>
      <c r="L127" s="1334"/>
      <c r="M127" s="1334"/>
      <c r="N127" s="1334"/>
    </row>
    <row r="128" spans="2:14" ht="12.75" customHeight="1">
      <c r="B128" s="1429" t="s">
        <v>771</v>
      </c>
      <c r="C128" s="1335"/>
      <c r="D128" s="1335"/>
      <c r="E128" s="1335"/>
      <c r="F128" s="1335"/>
      <c r="G128" s="1335"/>
      <c r="H128" s="1335"/>
      <c r="I128" s="1335"/>
      <c r="J128" s="1335"/>
      <c r="K128" s="1335"/>
      <c r="L128" s="1335"/>
      <c r="M128" s="1335"/>
      <c r="N128" s="1335"/>
    </row>
    <row r="129" spans="1:27" ht="12.75" customHeight="1">
      <c r="B129" s="1430"/>
      <c r="C129" s="1336"/>
      <c r="D129" s="1336"/>
      <c r="E129" s="1336"/>
      <c r="F129" s="1336"/>
      <c r="G129" s="1336"/>
      <c r="H129" s="1336"/>
      <c r="I129" s="1336"/>
      <c r="J129" s="1336"/>
      <c r="K129" s="1336"/>
      <c r="L129" s="1336"/>
      <c r="M129" s="1336"/>
      <c r="N129" s="1336"/>
    </row>
    <row r="130" spans="1:27" ht="12.75" customHeight="1">
      <c r="B130" s="1463" t="s">
        <v>809</v>
      </c>
      <c r="C130" s="1329"/>
      <c r="D130" s="1329"/>
      <c r="E130" s="1329"/>
      <c r="F130" s="1329"/>
      <c r="G130" s="1329"/>
      <c r="H130" s="1329"/>
      <c r="I130" s="1329"/>
      <c r="J130" s="1329"/>
      <c r="K130" s="1329"/>
      <c r="L130" s="1329"/>
      <c r="M130" s="1329"/>
      <c r="N130" s="1329"/>
    </row>
    <row r="131" spans="1:27" ht="12.75" customHeight="1">
      <c r="B131" s="1463" t="s">
        <v>773</v>
      </c>
      <c r="C131" s="1329"/>
      <c r="D131" s="1329"/>
      <c r="E131" s="1329"/>
      <c r="F131" s="1329"/>
      <c r="G131" s="1329"/>
      <c r="H131" s="1329"/>
      <c r="I131" s="1329"/>
      <c r="J131" s="1329"/>
      <c r="K131" s="1329"/>
      <c r="L131" s="1329"/>
      <c r="M131" s="1329"/>
      <c r="N131" s="1329"/>
    </row>
    <row r="132" spans="1:27" ht="12.75" customHeight="1">
      <c r="B132" s="1431" t="s">
        <v>810</v>
      </c>
      <c r="C132" s="1330"/>
      <c r="D132" s="1330"/>
      <c r="E132" s="1330"/>
      <c r="F132" s="1330"/>
      <c r="G132" s="1330"/>
      <c r="H132" s="1330"/>
      <c r="I132" s="1330"/>
      <c r="J132" s="1330"/>
      <c r="K132" s="1330"/>
      <c r="L132" s="1330"/>
      <c r="M132" s="1330"/>
      <c r="N132" s="1330"/>
    </row>
    <row r="133" spans="1:27" ht="12.75" customHeight="1">
      <c r="B133" s="1431" t="s">
        <v>775</v>
      </c>
      <c r="C133" s="1330"/>
      <c r="D133" s="1330"/>
      <c r="E133" s="1330"/>
      <c r="F133" s="1330"/>
      <c r="G133" s="1330"/>
      <c r="H133" s="1330"/>
      <c r="I133" s="1330"/>
      <c r="J133" s="1330"/>
      <c r="K133" s="1330"/>
      <c r="L133" s="1330"/>
      <c r="M133" s="1330"/>
      <c r="N133" s="1330"/>
    </row>
    <row r="134" spans="1:27" ht="12.75" customHeight="1">
      <c r="B134" s="1431" t="s">
        <v>811</v>
      </c>
      <c r="C134" s="1330"/>
      <c r="D134" s="1330"/>
      <c r="E134" s="1330"/>
      <c r="F134" s="1330"/>
      <c r="G134" s="1330"/>
      <c r="H134" s="1330"/>
      <c r="I134" s="1330"/>
      <c r="J134" s="1330"/>
      <c r="K134" s="1330"/>
      <c r="L134" s="1330"/>
      <c r="M134" s="1330"/>
      <c r="N134" s="1330"/>
    </row>
    <row r="135" spans="1:27" ht="12.75" customHeight="1">
      <c r="B135" s="1431" t="s">
        <v>778</v>
      </c>
      <c r="C135" s="1330"/>
      <c r="D135" s="1330"/>
      <c r="E135" s="1330"/>
      <c r="F135" s="1330"/>
      <c r="G135" s="1330"/>
      <c r="H135" s="1330"/>
      <c r="I135" s="1330"/>
      <c r="J135" s="1330"/>
      <c r="K135" s="1330"/>
      <c r="L135" s="1330"/>
      <c r="M135" s="1330"/>
      <c r="N135" s="1330"/>
    </row>
    <row r="136" spans="1:27" ht="12.75" customHeight="1">
      <c r="B136" s="1463" t="s">
        <v>783</v>
      </c>
      <c r="C136" s="1330"/>
      <c r="D136" s="1330"/>
      <c r="E136" s="1330"/>
      <c r="F136" s="1330"/>
      <c r="G136" s="1330"/>
      <c r="H136" s="1330"/>
      <c r="I136" s="1330"/>
      <c r="J136" s="1330"/>
      <c r="K136" s="1330"/>
      <c r="L136" s="1330"/>
      <c r="M136" s="1330"/>
      <c r="N136" s="1330"/>
    </row>
    <row r="137" spans="1:27" ht="12.75" customHeight="1">
      <c r="B137" s="1463" t="s">
        <v>812</v>
      </c>
      <c r="C137" s="1330"/>
      <c r="D137" s="1330"/>
      <c r="E137" s="1330"/>
      <c r="F137" s="1330"/>
      <c r="G137" s="1330"/>
      <c r="H137" s="1330"/>
      <c r="I137" s="1330"/>
      <c r="J137" s="1330"/>
      <c r="K137" s="1330"/>
      <c r="L137" s="1330"/>
      <c r="M137" s="1330"/>
      <c r="N137" s="1330"/>
    </row>
    <row r="138" spans="1:27" ht="12.75" customHeight="1">
      <c r="B138" s="1465"/>
      <c r="C138" s="1330"/>
      <c r="D138" s="1330"/>
      <c r="E138" s="1330"/>
      <c r="F138" s="1330"/>
      <c r="G138" s="1330"/>
      <c r="H138" s="1330"/>
      <c r="I138" s="1330"/>
      <c r="J138" s="1330"/>
      <c r="K138" s="1330"/>
      <c r="L138" s="1330"/>
      <c r="M138" s="1330"/>
      <c r="N138" s="1330"/>
    </row>
    <row r="139" spans="1:27" ht="12.75" customHeight="1">
      <c r="B139" s="1431"/>
      <c r="C139" s="1294"/>
      <c r="D139" s="1294"/>
      <c r="E139" s="1294"/>
      <c r="F139" s="1294"/>
      <c r="G139" s="1294"/>
      <c r="H139" s="1294"/>
      <c r="I139" s="1294"/>
      <c r="J139" s="1294"/>
      <c r="K139" s="1294"/>
      <c r="L139" s="1294"/>
      <c r="M139" s="1294"/>
      <c r="N139" s="1294"/>
    </row>
    <row r="140" spans="1:27" ht="12.75" customHeight="1">
      <c r="B140" s="1395"/>
      <c r="C140" s="1290"/>
      <c r="D140" s="1290"/>
      <c r="E140" s="1290"/>
      <c r="F140" s="1290"/>
      <c r="G140" s="1290"/>
      <c r="H140" s="1290"/>
      <c r="I140" s="1290"/>
      <c r="J140" s="1290"/>
      <c r="K140" s="1290"/>
      <c r="L140" s="1290"/>
      <c r="M140" s="1290"/>
      <c r="N140" s="1290"/>
    </row>
    <row r="141" spans="1:27" ht="12.75" customHeight="1">
      <c r="B141" s="1429" t="s">
        <v>785</v>
      </c>
      <c r="C141" s="1335"/>
      <c r="D141" s="1335"/>
      <c r="E141" s="1335"/>
      <c r="F141" s="1335"/>
      <c r="G141" s="1335"/>
      <c r="H141" s="1335"/>
      <c r="I141" s="1335"/>
      <c r="J141" s="1335"/>
      <c r="K141" s="1335"/>
      <c r="L141" s="1335"/>
      <c r="M141" s="1335"/>
      <c r="N141" s="1335"/>
    </row>
    <row r="142" spans="1:27" ht="12.75" customHeight="1">
      <c r="B142" s="1430"/>
      <c r="C142" s="1336"/>
      <c r="D142" s="1336"/>
      <c r="E142" s="1336"/>
      <c r="F142" s="1336"/>
      <c r="G142" s="1336"/>
      <c r="H142" s="1336"/>
      <c r="I142" s="1336"/>
      <c r="J142" s="1336"/>
      <c r="K142" s="1336"/>
      <c r="L142" s="1336"/>
      <c r="M142" s="1336"/>
      <c r="N142" s="1336"/>
    </row>
    <row r="143" spans="1:27" s="1457" customFormat="1" ht="12.75" customHeight="1" collapsed="1">
      <c r="A143" s="1456"/>
      <c r="B143" s="1463" t="s">
        <v>786</v>
      </c>
      <c r="C143" s="1336"/>
      <c r="D143" s="1336"/>
      <c r="E143" s="1336"/>
      <c r="F143" s="1336"/>
      <c r="G143" s="1336"/>
      <c r="H143" s="1336"/>
      <c r="I143" s="1336"/>
      <c r="J143" s="1336"/>
      <c r="K143" s="1336"/>
      <c r="L143" s="1336"/>
      <c r="M143" s="1336"/>
      <c r="N143" s="1336"/>
      <c r="O143" s="1456"/>
      <c r="P143" s="1456"/>
      <c r="Q143" s="1456"/>
      <c r="R143" s="1458"/>
      <c r="S143" s="1458"/>
      <c r="T143" s="1458"/>
      <c r="U143" s="1458"/>
      <c r="V143" s="1458"/>
      <c r="W143" s="1458"/>
      <c r="X143" s="1458"/>
      <c r="Y143" s="1458"/>
      <c r="Z143" s="1458"/>
      <c r="AA143" s="1459"/>
    </row>
    <row r="144" spans="1:27" ht="12.75" customHeight="1">
      <c r="B144" s="1463" t="s">
        <v>787</v>
      </c>
      <c r="C144" s="1336"/>
      <c r="D144" s="1336"/>
      <c r="E144" s="1336"/>
      <c r="F144" s="1336"/>
      <c r="G144" s="1336"/>
      <c r="H144" s="1336"/>
      <c r="I144" s="1336"/>
      <c r="J144" s="1336"/>
      <c r="K144" s="1336"/>
      <c r="L144" s="1336"/>
      <c r="M144" s="1336"/>
      <c r="N144" s="1336"/>
    </row>
    <row r="145" spans="2:28" ht="12.75" customHeight="1">
      <c r="B145" s="1463" t="s">
        <v>788</v>
      </c>
      <c r="C145" s="1329"/>
      <c r="D145" s="1329"/>
      <c r="E145" s="1329"/>
      <c r="F145" s="1329"/>
      <c r="G145" s="1329"/>
      <c r="H145" s="1329"/>
      <c r="I145" s="1329"/>
      <c r="J145" s="1329"/>
      <c r="K145" s="1329"/>
      <c r="L145" s="1329"/>
      <c r="M145" s="1329"/>
      <c r="N145" s="1329"/>
    </row>
    <row r="146" spans="2:28" ht="12.75" customHeight="1">
      <c r="B146" s="1463" t="s">
        <v>789</v>
      </c>
      <c r="C146" s="1329"/>
      <c r="D146" s="1329"/>
      <c r="E146" s="1329"/>
      <c r="F146" s="1329"/>
      <c r="G146" s="1329"/>
      <c r="H146" s="1329"/>
      <c r="I146" s="1329"/>
      <c r="J146" s="1329"/>
      <c r="K146" s="1329"/>
      <c r="L146" s="1329"/>
      <c r="M146" s="1329"/>
      <c r="N146" s="1329"/>
    </row>
    <row r="147" spans="2:28" ht="12.75" customHeight="1">
      <c r="B147" s="1463" t="s">
        <v>790</v>
      </c>
      <c r="C147" s="1329"/>
      <c r="D147" s="1329"/>
      <c r="E147" s="1329"/>
      <c r="F147" s="1329"/>
      <c r="G147" s="1329"/>
      <c r="H147" s="1329"/>
      <c r="I147" s="1329"/>
      <c r="J147" s="1329"/>
      <c r="K147" s="1329"/>
      <c r="L147" s="1329"/>
      <c r="M147" s="1329"/>
      <c r="N147" s="1329"/>
    </row>
    <row r="148" spans="2:28" ht="12.75" customHeight="1">
      <c r="B148" s="1463" t="s">
        <v>813</v>
      </c>
      <c r="C148" s="1329"/>
      <c r="D148" s="1329"/>
      <c r="E148" s="1329"/>
      <c r="F148" s="1329"/>
      <c r="G148" s="1329"/>
      <c r="H148" s="1329"/>
      <c r="I148" s="1329"/>
      <c r="J148" s="1329"/>
      <c r="K148" s="1329"/>
      <c r="L148" s="1329"/>
      <c r="M148" s="1329"/>
      <c r="N148" s="1329"/>
    </row>
    <row r="149" spans="2:28" ht="12.75" customHeight="1">
      <c r="B149" s="1395"/>
      <c r="C149" s="1290"/>
      <c r="D149" s="1290"/>
      <c r="E149" s="1290"/>
      <c r="F149" s="1290"/>
      <c r="G149" s="1290"/>
      <c r="H149" s="1290"/>
      <c r="I149" s="1290"/>
      <c r="J149" s="1290"/>
      <c r="K149" s="1290"/>
      <c r="L149" s="1290"/>
      <c r="M149" s="1290"/>
      <c r="N149" s="1290"/>
    </row>
    <row r="150" spans="2:28" ht="12.75" customHeight="1">
      <c r="B150" s="1395"/>
      <c r="C150" s="1290"/>
      <c r="D150" s="1290"/>
      <c r="E150" s="1290"/>
      <c r="F150" s="1290"/>
      <c r="G150" s="1290"/>
      <c r="H150" s="1290"/>
      <c r="I150" s="1290"/>
      <c r="J150" s="1290"/>
      <c r="K150" s="1290"/>
      <c r="L150" s="1290"/>
      <c r="M150" s="1290"/>
      <c r="N150" s="1290"/>
    </row>
    <row r="151" spans="2:28" ht="12.75" customHeight="1">
      <c r="C151" s="1278"/>
      <c r="D151" s="1278"/>
      <c r="E151" s="1278"/>
      <c r="F151" s="1278"/>
      <c r="G151" s="1278"/>
      <c r="H151" s="1278"/>
      <c r="I151" s="1278"/>
      <c r="J151" s="1278"/>
      <c r="K151" s="1278"/>
      <c r="L151" s="1278"/>
      <c r="M151" s="1278"/>
      <c r="N151" s="1278"/>
    </row>
    <row r="152" spans="2:28" ht="12.75" customHeight="1">
      <c r="B152" s="1432" t="s">
        <v>814</v>
      </c>
      <c r="C152" s="1338"/>
      <c r="D152" s="1338"/>
      <c r="E152" s="1338"/>
      <c r="F152" s="1338"/>
      <c r="G152" s="1338"/>
      <c r="H152" s="1338"/>
      <c r="I152" s="1338"/>
      <c r="J152" s="1338"/>
      <c r="K152" s="1338"/>
      <c r="L152" s="1338"/>
      <c r="M152" s="1338"/>
      <c r="N152" s="1338"/>
    </row>
    <row r="153" spans="2:28" ht="12.75" customHeight="1">
      <c r="B153" s="1460"/>
      <c r="C153" s="1338"/>
      <c r="D153" s="1338"/>
      <c r="E153" s="1338"/>
      <c r="F153" s="1338"/>
      <c r="G153" s="1338"/>
      <c r="H153" s="1338"/>
      <c r="I153" s="1338"/>
      <c r="J153" s="1338"/>
      <c r="K153" s="1338"/>
      <c r="L153" s="1338"/>
      <c r="M153" s="1338"/>
      <c r="N153" s="1338"/>
    </row>
    <row r="154" spans="2:28" ht="12.75" customHeight="1">
      <c r="B154" s="1466" t="s">
        <v>815</v>
      </c>
      <c r="C154" s="1295"/>
      <c r="D154" s="1295"/>
      <c r="E154" s="1295"/>
      <c r="F154" s="1295"/>
      <c r="G154" s="1295"/>
      <c r="H154" s="1295"/>
      <c r="I154" s="1295"/>
      <c r="J154" s="1295"/>
      <c r="K154" s="1295"/>
      <c r="L154" s="1295"/>
      <c r="M154" s="1295"/>
      <c r="N154" s="1295"/>
    </row>
    <row r="155" spans="2:28" ht="12.75" customHeight="1">
      <c r="B155" s="1467" t="s">
        <v>816</v>
      </c>
      <c r="C155" s="1392">
        <f>IF(ISNUMBER(ABS(((C42-C93-C94)/C84)-C36)),ABS(((C42-C93-C94)/C84)-C36),0)</f>
        <v>3.6023350864240793E-2</v>
      </c>
      <c r="D155" s="1392">
        <f>IF(ISNUMBER(ABS(((D42-D93-D94)/D84)-D36)),ABS(((D42-D93-D94)/D84)-D36),0)</f>
        <v>7.106604114403111E-3</v>
      </c>
      <c r="E155" s="1392">
        <f>IF(ISNUMBER(ABS(((E42-E93-E94)/E84)-E36)),ABS(((E42-E93-E94)/E84)-E36),0)</f>
        <v>1.8148998921541429E-2</v>
      </c>
      <c r="F155" s="1392">
        <f t="shared" ref="F155:K155" si="25">IF(ISNUMBER(ABS(((F42-F93-F94)/F84)-F36)),ABS(((F42-F93-F94)/F84)-F36),0)</f>
        <v>2.1611699410353829E-2</v>
      </c>
      <c r="G155" s="1392">
        <f t="shared" si="25"/>
        <v>3.854762044794717E-2</v>
      </c>
      <c r="H155" s="1392">
        <f t="shared" si="25"/>
        <v>4.6629550912333333E-2</v>
      </c>
      <c r="I155" s="1392">
        <f t="shared" si="25"/>
        <v>2.6666005617545334E-2</v>
      </c>
      <c r="J155" s="1392">
        <f t="shared" si="25"/>
        <v>2.0204984003836326E-2</v>
      </c>
      <c r="K155" s="1392">
        <f t="shared" si="25"/>
        <v>4.7518805471570863E-2</v>
      </c>
      <c r="L155" s="1392">
        <f>IF(ISNUMBER(ABS(((L42-L93-L94)/L84)-L36)),ABS(((L42-L93-L94)/L84)-L36),0)</f>
        <v>5.1283157696870064E-2</v>
      </c>
      <c r="M155" s="1392">
        <f>IF(ISNUMBER(ABS(((M42-M93-M94)/M84)-M36)),ABS(((M42-M93-M94)/M84)-M36),0)</f>
        <v>3.6537068543108508E-2</v>
      </c>
      <c r="N155" s="1392">
        <f>IF(ISNUMBER(ABS(((N42-N93-N94)/N84)-N36)),ABS(((N42-N93-N94)/N84)-N36),0)</f>
        <v>4.4171722058799802E-2</v>
      </c>
    </row>
    <row r="156" spans="2:28" ht="12.75" customHeight="1">
      <c r="B156" s="1467"/>
      <c r="C156" s="1380"/>
      <c r="D156" s="1380"/>
      <c r="E156" s="1380"/>
      <c r="F156" s="1380"/>
      <c r="G156" s="1380"/>
      <c r="H156" s="1380"/>
      <c r="I156" s="1380"/>
      <c r="J156" s="1380"/>
      <c r="K156" s="1380"/>
      <c r="L156" s="1380"/>
      <c r="M156" s="1380"/>
      <c r="N156" s="1380"/>
    </row>
    <row r="157" spans="2:28" s="1395" customFormat="1">
      <c r="C157" s="1290"/>
      <c r="D157" s="1290"/>
      <c r="E157" s="1290"/>
      <c r="F157" s="1290"/>
      <c r="G157" s="1290"/>
      <c r="H157" s="1290"/>
      <c r="I157" s="1290"/>
      <c r="J157" s="1290"/>
      <c r="K157" s="1290"/>
      <c r="L157" s="1290"/>
      <c r="M157" s="1290"/>
      <c r="N157" s="1290"/>
      <c r="R157" s="1417"/>
      <c r="S157" s="1417"/>
      <c r="T157" s="1417"/>
      <c r="U157" s="1417"/>
      <c r="V157" s="1417"/>
      <c r="W157" s="1417"/>
      <c r="X157" s="1417"/>
      <c r="Y157" s="1417"/>
      <c r="Z157" s="1417"/>
      <c r="AA157" s="1418"/>
      <c r="AB157" s="1410"/>
    </row>
    <row r="158" spans="2:28">
      <c r="B158" s="1460"/>
      <c r="C158" s="1338"/>
      <c r="D158" s="1338"/>
      <c r="E158" s="1338"/>
      <c r="F158" s="1338"/>
      <c r="G158" s="1338"/>
      <c r="H158" s="1338"/>
      <c r="I158" s="1338"/>
      <c r="J158" s="1338"/>
      <c r="K158" s="1338"/>
      <c r="L158" s="1338"/>
      <c r="M158" s="1338"/>
      <c r="N158" s="1338"/>
    </row>
    <row r="159" spans="2:28">
      <c r="B159" s="1460"/>
      <c r="C159" s="1338"/>
      <c r="D159" s="1338"/>
      <c r="E159" s="1338"/>
      <c r="F159" s="1338"/>
      <c r="G159" s="1338"/>
      <c r="H159" s="1338"/>
      <c r="I159" s="1338"/>
      <c r="J159" s="1338"/>
      <c r="K159" s="1338"/>
      <c r="L159" s="1338"/>
      <c r="M159" s="1338"/>
      <c r="N159" s="1338"/>
    </row>
    <row r="160" spans="2:28">
      <c r="C160" s="1278"/>
      <c r="D160" s="1278"/>
      <c r="E160" s="1278"/>
      <c r="F160" s="1278"/>
      <c r="G160" s="1278"/>
      <c r="H160" s="1278"/>
      <c r="I160" s="1278"/>
      <c r="J160" s="1278"/>
      <c r="K160" s="1278"/>
      <c r="L160" s="1278"/>
      <c r="M160" s="1278"/>
      <c r="N160" s="1278"/>
    </row>
    <row r="161" spans="3:14">
      <c r="C161" s="1278"/>
      <c r="D161" s="1278"/>
      <c r="E161" s="1278"/>
      <c r="F161" s="1278"/>
      <c r="G161" s="1278"/>
      <c r="H161" s="1278"/>
      <c r="I161" s="1278"/>
      <c r="J161" s="1278"/>
      <c r="K161" s="1278"/>
      <c r="L161" s="1278"/>
      <c r="M161" s="1278"/>
      <c r="N161" s="1278"/>
    </row>
    <row r="162" spans="3:14">
      <c r="C162" s="1278"/>
      <c r="D162" s="1278"/>
      <c r="E162" s="1278"/>
      <c r="F162" s="1278"/>
      <c r="G162" s="1278"/>
      <c r="H162" s="1278"/>
      <c r="I162" s="1278"/>
      <c r="J162" s="1278"/>
      <c r="K162" s="1278"/>
      <c r="L162" s="1278"/>
      <c r="M162" s="1278"/>
      <c r="N162" s="1278"/>
    </row>
    <row r="163" spans="3:14">
      <c r="C163" s="1278"/>
      <c r="D163" s="1278"/>
      <c r="E163" s="1278"/>
      <c r="F163" s="1278"/>
      <c r="G163" s="1278"/>
      <c r="H163" s="1278"/>
      <c r="I163" s="1278"/>
      <c r="J163" s="1278"/>
      <c r="K163" s="1278"/>
      <c r="L163" s="1278"/>
      <c r="M163" s="1278"/>
      <c r="N163" s="1278"/>
    </row>
    <row r="164" spans="3:14">
      <c r="C164" s="1278"/>
      <c r="D164" s="1278"/>
      <c r="E164" s="1278"/>
      <c r="F164" s="1278"/>
      <c r="G164" s="1278"/>
      <c r="H164" s="1278"/>
      <c r="I164" s="1278"/>
      <c r="J164" s="1278"/>
      <c r="K164" s="1278"/>
      <c r="L164" s="1278"/>
      <c r="M164" s="1278"/>
      <c r="N164" s="1278"/>
    </row>
    <row r="165" spans="3:14">
      <c r="C165" s="1278"/>
      <c r="D165" s="1278"/>
      <c r="E165" s="1278"/>
      <c r="F165" s="1278"/>
      <c r="G165" s="1278"/>
      <c r="H165" s="1278"/>
      <c r="I165" s="1278"/>
      <c r="J165" s="1278"/>
      <c r="K165" s="1278"/>
      <c r="L165" s="1278"/>
      <c r="M165" s="1278"/>
      <c r="N165" s="1278"/>
    </row>
    <row r="166" spans="3:14">
      <c r="C166" s="1278"/>
      <c r="D166" s="1278"/>
      <c r="E166" s="1278"/>
      <c r="F166" s="1278"/>
      <c r="G166" s="1278"/>
      <c r="H166" s="1278"/>
      <c r="I166" s="1278"/>
      <c r="J166" s="1278"/>
      <c r="K166" s="1278"/>
      <c r="L166" s="1278"/>
      <c r="M166" s="1278"/>
      <c r="N166" s="1278"/>
    </row>
    <row r="167" spans="3:14">
      <c r="C167" s="1278"/>
      <c r="D167" s="1278"/>
      <c r="E167" s="1278"/>
      <c r="F167" s="1278"/>
      <c r="G167" s="1278"/>
      <c r="H167" s="1278"/>
      <c r="I167" s="1278"/>
      <c r="J167" s="1278"/>
      <c r="K167" s="1278"/>
      <c r="L167" s="1278"/>
      <c r="M167" s="1278"/>
      <c r="N167" s="1278"/>
    </row>
    <row r="168" spans="3:14">
      <c r="C168" s="1278"/>
      <c r="D168" s="1278"/>
      <c r="E168" s="1278"/>
      <c r="F168" s="1278"/>
      <c r="G168" s="1278"/>
      <c r="H168" s="1278"/>
      <c r="I168" s="1278"/>
      <c r="J168" s="1278"/>
      <c r="K168" s="1278"/>
      <c r="L168" s="1278"/>
      <c r="M168" s="1278"/>
      <c r="N168" s="1278"/>
    </row>
    <row r="169" spans="3:14">
      <c r="C169" s="1278"/>
      <c r="D169" s="1278"/>
      <c r="E169" s="1278"/>
      <c r="F169" s="1278"/>
      <c r="G169" s="1278"/>
      <c r="H169" s="1278"/>
      <c r="I169" s="1278"/>
      <c r="J169" s="1278"/>
      <c r="K169" s="1278"/>
      <c r="L169" s="1278"/>
      <c r="M169" s="1278"/>
      <c r="N169" s="1278"/>
    </row>
    <row r="170" spans="3:14">
      <c r="C170" s="1278"/>
      <c r="D170" s="1278"/>
      <c r="E170" s="1278"/>
      <c r="F170" s="1278"/>
      <c r="G170" s="1278"/>
      <c r="H170" s="1278"/>
      <c r="I170" s="1278"/>
      <c r="J170" s="1278"/>
      <c r="K170" s="1278"/>
      <c r="L170" s="1278"/>
      <c r="M170" s="1278"/>
      <c r="N170" s="1278"/>
    </row>
    <row r="171" spans="3:14">
      <c r="C171" s="1278"/>
      <c r="D171" s="1278"/>
      <c r="E171" s="1278"/>
      <c r="F171" s="1278"/>
      <c r="G171" s="1278"/>
      <c r="H171" s="1278"/>
      <c r="I171" s="1278"/>
      <c r="J171" s="1278"/>
      <c r="K171" s="1278"/>
      <c r="L171" s="1278"/>
      <c r="M171" s="1278"/>
      <c r="N171" s="1278"/>
    </row>
    <row r="172" spans="3:14">
      <c r="C172" s="1278"/>
      <c r="D172" s="1278"/>
      <c r="E172" s="1278"/>
      <c r="F172" s="1278"/>
      <c r="G172" s="1278"/>
      <c r="H172" s="1278"/>
      <c r="I172" s="1278"/>
      <c r="J172" s="1278"/>
      <c r="K172" s="1278"/>
      <c r="L172" s="1278"/>
      <c r="M172" s="1278"/>
      <c r="N172" s="1278"/>
    </row>
    <row r="173" spans="3:14">
      <c r="C173" s="1278"/>
      <c r="D173" s="1278"/>
      <c r="E173" s="1278"/>
      <c r="F173" s="1278"/>
      <c r="G173" s="1278"/>
      <c r="H173" s="1278"/>
      <c r="I173" s="1278"/>
      <c r="J173" s="1278"/>
      <c r="K173" s="1278"/>
      <c r="L173" s="1278"/>
      <c r="M173" s="1278"/>
      <c r="N173" s="1278"/>
    </row>
    <row r="174" spans="3:14">
      <c r="C174" s="1278"/>
      <c r="D174" s="1278"/>
      <c r="E174" s="1278"/>
      <c r="F174" s="1278"/>
      <c r="G174" s="1278"/>
      <c r="H174" s="1278"/>
      <c r="I174" s="1278"/>
      <c r="J174" s="1278"/>
      <c r="K174" s="1278"/>
      <c r="L174" s="1278"/>
      <c r="M174" s="1278"/>
      <c r="N174" s="1278"/>
    </row>
    <row r="175" spans="3:14">
      <c r="C175" s="1278"/>
      <c r="D175" s="1278"/>
      <c r="E175" s="1278"/>
      <c r="F175" s="1278"/>
      <c r="G175" s="1278"/>
      <c r="H175" s="1278"/>
      <c r="I175" s="1278"/>
      <c r="J175" s="1278"/>
      <c r="K175" s="1278"/>
      <c r="L175" s="1278"/>
      <c r="M175" s="1278"/>
      <c r="N175" s="1278"/>
    </row>
    <row r="176" spans="3:14">
      <c r="C176" s="1278"/>
      <c r="D176" s="1278"/>
      <c r="E176" s="1278"/>
      <c r="F176" s="1278"/>
      <c r="G176" s="1278"/>
      <c r="H176" s="1278"/>
      <c r="I176" s="1278"/>
      <c r="J176" s="1278"/>
      <c r="K176" s="1278"/>
      <c r="L176" s="1278"/>
      <c r="M176" s="1278"/>
      <c r="N176" s="1278"/>
    </row>
    <row r="183" spans="2:14" ht="12.75">
      <c r="B183" s="1420"/>
    </row>
    <row r="184" spans="2:14" ht="12.75">
      <c r="B184" s="1420"/>
    </row>
    <row r="186" spans="2:14" ht="12.75">
      <c r="B186" s="1420" t="s">
        <v>817</v>
      </c>
      <c r="C186" s="1433">
        <f>((-(-IS!CJ52+IS!CJ50)))</f>
        <v>-25.169</v>
      </c>
      <c r="D186" s="1433">
        <f>((-(-IS!CK52+IS!CK50)))</f>
        <v>-37.124000000000002</v>
      </c>
      <c r="E186" s="1433">
        <f>((-(-IS!CL52+IS!CL50)))</f>
        <v>-38.052999999999997</v>
      </c>
      <c r="F186" s="1433">
        <f>((-(-IS!CM52+IS!CM50)))</f>
        <v>-38.614000000000004</v>
      </c>
      <c r="G186" s="1433">
        <f>((-(-IS!CO52+IS!CO50)))</f>
        <v>-37.145999999999994</v>
      </c>
      <c r="H186" s="1433">
        <f>((-(-IS!CP52+IS!CP50)))</f>
        <v>-37.045000000000002</v>
      </c>
      <c r="I186" s="1433">
        <f>((-(-IS!CQ52+IS!CQ50)))</f>
        <v>-50.434999999999995</v>
      </c>
      <c r="J186" s="1433">
        <f>((-(-IS!CR52+IS!CR50)))</f>
        <v>-54.397000000000006</v>
      </c>
      <c r="K186" s="1433">
        <f>((-(-IS!CT52+IS!CT50)))</f>
        <v>-52.126999999999995</v>
      </c>
      <c r="L186" s="1433">
        <f>((-(-IS!CU52+IS!CU50)))</f>
        <v>-45.823999999999998</v>
      </c>
      <c r="M186" s="1433">
        <f>((-(-IS!CV52+IS!CV50)))</f>
        <v>-49.152999999999999</v>
      </c>
      <c r="N186" s="1433">
        <f>((-(-IS!CW52+IS!CW50)))</f>
        <v>-49.757999999999996</v>
      </c>
    </row>
    <row r="187" spans="2:14" ht="12.75">
      <c r="B187" s="1420" t="s">
        <v>818</v>
      </c>
      <c r="C187" s="1433">
        <f>((((-(-IS!CJ52+IS!CJ50))))*IS!CJ59)</f>
        <v>-8.8091499999999989</v>
      </c>
      <c r="D187" s="1433">
        <f>((((-(-IS!CK52+IS!CK50))))*IS!CK59)</f>
        <v>-12.993399999999999</v>
      </c>
      <c r="E187" s="1433">
        <f>((((-(-IS!CL52+IS!CL50))))*IS!CL59)</f>
        <v>-13.318549999999998</v>
      </c>
      <c r="F187" s="1433">
        <f>((((-(-IS!CM52+IS!CM50))))*IS!CM59)</f>
        <v>-13.514900000000001</v>
      </c>
      <c r="G187" s="1433">
        <f>((((-(-IS!CO52+IS!CO50))))*IS!CO59)</f>
        <v>-13.001099999999997</v>
      </c>
      <c r="H187" s="1433">
        <f>((((-(-IS!CP52+IS!CP50))))*IS!CP59)</f>
        <v>-12.96575</v>
      </c>
      <c r="I187" s="1433">
        <f>((((-(-IS!CQ52+IS!CQ50))))*IS!CQ59)</f>
        <v>-17.652249999999999</v>
      </c>
      <c r="J187" s="1433">
        <f>((((-(-IS!CR52+IS!CR50))))*IS!CR59)</f>
        <v>-19.03895</v>
      </c>
      <c r="K187" s="1433">
        <f>((((-(-IS!CT52+IS!CT50))))*IS!CT59)</f>
        <v>-18.244449999999997</v>
      </c>
      <c r="L187" s="1433">
        <f>((((-(-IS!CU52+IS!CU50))))*IS!CU59)</f>
        <v>-16.038399999999999</v>
      </c>
      <c r="M187" s="1433">
        <f>((((-(-IS!CV52+IS!CV50))))*IS!CV59)</f>
        <v>-17.20355</v>
      </c>
      <c r="N187" s="1433">
        <f>((((-(-IS!CW52+IS!CW50))))*IS!CW59)</f>
        <v>-17.415299999999998</v>
      </c>
    </row>
    <row r="188" spans="2:14" ht="12.75">
      <c r="B188" s="1420"/>
      <c r="C188" s="1433"/>
      <c r="D188" s="1433"/>
      <c r="E188" s="1433"/>
      <c r="F188" s="1433"/>
      <c r="G188" s="1433"/>
      <c r="H188" s="1433"/>
      <c r="I188" s="1433"/>
      <c r="J188" s="1433"/>
      <c r="K188" s="1433"/>
      <c r="L188" s="1433"/>
      <c r="M188" s="1433"/>
      <c r="N188" s="1433"/>
    </row>
    <row r="189" spans="2:14" ht="12.75">
      <c r="B189" s="1420" t="s">
        <v>820</v>
      </c>
      <c r="C189" s="1433">
        <f>((-IS!CJ26+-IS!CJ27+-IS!CJ28+-IS!CJ29+-IS!CJ30+IS!CJ51+-IS!CJ53))</f>
        <v>-19.904999999999998</v>
      </c>
      <c r="D189" s="1433">
        <f>((-IS!CK26+-IS!CK27+-IS!CK28+-IS!CK29+-IS!CK30+IS!CK51+-IS!CK53))</f>
        <v>-31.206000000000003</v>
      </c>
      <c r="E189" s="1433">
        <f>((-IS!CL26+-IS!CL27+-IS!CL28+-IS!CL29+-IS!CL30+IS!CL51+-IS!CL53))</f>
        <v>-18.041</v>
      </c>
      <c r="F189" s="1433">
        <f>((-IS!CM26+-IS!CM27+-IS!CM28+-IS!CM29+-IS!CM30+IS!CM51+-IS!CM53))</f>
        <v>-23.033000000000001</v>
      </c>
      <c r="G189" s="1433">
        <f>((-IS!CO26+-IS!CO27+-IS!CO28+-IS!CO29+-IS!CO30+IS!CO51+-IS!CO53))</f>
        <v>-14.245000000000001</v>
      </c>
      <c r="H189" s="1433">
        <f>((-IS!CP26+-IS!CP27+-IS!CP28+-IS!CP29+-IS!CP30+IS!CP51+-IS!CP53))</f>
        <v>-18.911999999999999</v>
      </c>
      <c r="I189" s="1433">
        <f>((-IS!CQ26+-IS!CQ27+-IS!CQ28+-IS!CQ29+-IS!CQ30+IS!CQ51+-IS!CQ53))</f>
        <v>-23.082000000000001</v>
      </c>
      <c r="J189" s="1433">
        <f>((-IS!CR26+-IS!CR27+-IS!CR28+-IS!CR29+-IS!CR30+IS!CR51+-IS!CR53))</f>
        <v>-19.092000000000002</v>
      </c>
      <c r="K189" s="1433">
        <f>((-IS!CT26+-IS!CT27+-IS!CT28+-IS!CT29+-IS!CT30+IS!CT51+-IS!CT53))</f>
        <v>-19.71</v>
      </c>
      <c r="L189" s="1433">
        <f>((-IS!CU26+-IS!CU27+-IS!CU28+-IS!CU29+-IS!CU30+IS!CU51+-IS!CU53))</f>
        <v>-23.626999999999999</v>
      </c>
      <c r="M189" s="1433">
        <f>((-IS!CV26+-IS!CV27+-IS!CV28+-IS!CV29+-IS!CV30+IS!CV51+-IS!CV53))</f>
        <v>-31.345000000000002</v>
      </c>
      <c r="N189" s="1433">
        <f>((-IS!CW26+-IS!CW27+-IS!CW28+-IS!CW29+-IS!CW30+IS!CW51+-IS!CW53))</f>
        <v>-34.147999999999996</v>
      </c>
    </row>
    <row r="190" spans="2:14" ht="12.75">
      <c r="B190" s="1420" t="s">
        <v>821</v>
      </c>
      <c r="C190" s="1433">
        <f t="shared" ref="C190:N190" si="26">C191-C192-C193</f>
        <v>-6.2963500000000074</v>
      </c>
      <c r="D190" s="1433">
        <f t="shared" si="26"/>
        <v>-8.3502499999999795</v>
      </c>
      <c r="E190" s="1433">
        <f t="shared" si="26"/>
        <v>-7.0012000000000008</v>
      </c>
      <c r="F190" s="1433">
        <f t="shared" si="26"/>
        <v>-14.512799999999999</v>
      </c>
      <c r="G190" s="1433">
        <f t="shared" si="26"/>
        <v>-6.1657000000000011</v>
      </c>
      <c r="H190" s="1433">
        <f t="shared" si="26"/>
        <v>-12.082500000000003</v>
      </c>
      <c r="I190" s="1433">
        <f t="shared" si="26"/>
        <v>-11.488749999999985</v>
      </c>
      <c r="J190" s="1433">
        <f t="shared" si="26"/>
        <v>-2.9704499999999925</v>
      </c>
      <c r="K190" s="1433">
        <f t="shared" si="26"/>
        <v>-10.066100000000009</v>
      </c>
      <c r="L190" s="1433">
        <f t="shared" si="26"/>
        <v>-10.450800000000005</v>
      </c>
      <c r="M190" s="1433">
        <f t="shared" si="26"/>
        <v>-12.271349999999991</v>
      </c>
      <c r="N190" s="1433">
        <f t="shared" si="26"/>
        <v>-12.755949999999995</v>
      </c>
    </row>
    <row r="191" spans="2:14" ht="12.75">
      <c r="B191" s="1422" t="s">
        <v>822</v>
      </c>
      <c r="C191" s="1433">
        <f>(-IS!CJ57)</f>
        <v>8.6769999999999996</v>
      </c>
      <c r="D191" s="1433">
        <f>(-IS!CK57)</f>
        <v>2.4420000000000002</v>
      </c>
      <c r="E191" s="1433">
        <f>(-IS!CL57)</f>
        <v>4.6369999999999996</v>
      </c>
      <c r="F191" s="1433">
        <f>(-IS!CM57)</f>
        <v>-2.7570000000000001</v>
      </c>
      <c r="G191" s="1433">
        <f>(-IS!CO57)</f>
        <v>11.125</v>
      </c>
      <c r="H191" s="1433">
        <f>(-IS!CP57)</f>
        <v>8.109</v>
      </c>
      <c r="I191" s="1433">
        <f>(-IS!CQ57)</f>
        <v>5.3479999999999999</v>
      </c>
      <c r="J191" s="1433">
        <f>(-IS!CR57)</f>
        <v>13.769</v>
      </c>
      <c r="K191" s="1433">
        <f>(-IS!CT57)</f>
        <v>12.468999999999999</v>
      </c>
      <c r="L191" s="1433">
        <f>(-IS!CU57)</f>
        <v>16.271000000000001</v>
      </c>
      <c r="M191" s="1433">
        <f>(-IS!CV57)</f>
        <v>12.348000000000001</v>
      </c>
      <c r="N191" s="1433">
        <f>(-IS!CW57)</f>
        <v>17.475999999999999</v>
      </c>
    </row>
    <row r="192" spans="2:14" ht="12.75">
      <c r="B192" s="1422" t="s">
        <v>823</v>
      </c>
      <c r="C192" s="1433">
        <f>((((IS!CJ15)-(IS!CJ18+IS!CJ24+IS!CJ45)))*IS!CJ59)</f>
        <v>23.782500000000006</v>
      </c>
      <c r="D192" s="1433">
        <f>((((IS!CK15)-(IS!CK18+IS!CK24+IS!CK45)))*IS!CK59)</f>
        <v>23.785649999999979</v>
      </c>
      <c r="E192" s="1433">
        <f>((((IS!CL15)-(IS!CL18+IS!CL24+IS!CL45)))*IS!CL59)</f>
        <v>24.95675</v>
      </c>
      <c r="F192" s="1433">
        <f>((((IS!CM15)-(IS!CM18+IS!CM24+IS!CM45)))*IS!CM59)</f>
        <v>25.270699999999998</v>
      </c>
      <c r="G192" s="1433">
        <f>((((IS!CO15)-(IS!CO18+IS!CO24+IS!CO45)))*IS!CO59)</f>
        <v>30.291799999999999</v>
      </c>
      <c r="H192" s="1433">
        <f>((((IS!CP15)-(IS!CP18+IS!CP24+IS!CP45)))*IS!CP59)</f>
        <v>33.157250000000005</v>
      </c>
      <c r="I192" s="1433">
        <f>((((IS!CQ15)-(IS!CQ18+IS!CQ24+IS!CQ45)))*IS!CQ59)</f>
        <v>34.488999999999983</v>
      </c>
      <c r="J192" s="1433">
        <f>((((IS!CR15)-(IS!CR18+IS!CR24+IS!CR45)))*IS!CR59)</f>
        <v>35.778399999999991</v>
      </c>
      <c r="K192" s="1433">
        <f>((((IS!CT15)-(IS!CT18+IS!CT24+IS!CT45)))*IS!CT59)</f>
        <v>40.779550000000008</v>
      </c>
      <c r="L192" s="1433">
        <f>((((IS!CU15)-(IS!CU18+IS!CU24+IS!CU45)))*IS!CU59)</f>
        <v>42.760200000000005</v>
      </c>
      <c r="M192" s="1433">
        <f>((((IS!CV15)-(IS!CV18+IS!CV24+IS!CV45)))*IS!CV59)</f>
        <v>41.82289999999999</v>
      </c>
      <c r="N192" s="1433">
        <f>((((IS!CW15)-(IS!CW18+IS!CW24+IS!CW45)))*IS!CW59)</f>
        <v>47.647249999999993</v>
      </c>
    </row>
    <row r="193" spans="1:28" ht="12.75">
      <c r="B193" s="1422" t="s">
        <v>824</v>
      </c>
      <c r="C193" s="1433">
        <f>((((-(-IS!CJ52+IS!CJ50))))*IS!CJ59)</f>
        <v>-8.8091499999999989</v>
      </c>
      <c r="D193" s="1433">
        <f>((((-(-IS!CK52+IS!CK50))))*IS!CK59)</f>
        <v>-12.993399999999999</v>
      </c>
      <c r="E193" s="1433">
        <f>((((-(-IS!CL52+IS!CL50))))*IS!CL59)</f>
        <v>-13.318549999999998</v>
      </c>
      <c r="F193" s="1433">
        <f>((((-(-IS!CM52+IS!CM50))))*IS!CM59)</f>
        <v>-13.514900000000001</v>
      </c>
      <c r="G193" s="1433">
        <f>((((-(-IS!CO52+IS!CO50))))*IS!CO59)</f>
        <v>-13.001099999999997</v>
      </c>
      <c r="H193" s="1433">
        <f>((((-(-IS!CP52+IS!CP50))))*IS!CP59)</f>
        <v>-12.96575</v>
      </c>
      <c r="I193" s="1433">
        <f>((((-(-IS!CQ52+IS!CQ50))))*IS!CQ59)</f>
        <v>-17.652249999999999</v>
      </c>
      <c r="J193" s="1433">
        <f>((((-(-IS!CR52+IS!CR50))))*IS!CR59)</f>
        <v>-19.03895</v>
      </c>
      <c r="K193" s="1433">
        <f>((((-(-IS!CT52+IS!CT50))))*IS!CT59)</f>
        <v>-18.244449999999997</v>
      </c>
      <c r="L193" s="1433">
        <f>((((-(-IS!CU52+IS!CU50))))*IS!CU59)</f>
        <v>-16.038399999999999</v>
      </c>
      <c r="M193" s="1433">
        <f>((((-(-IS!CV52+IS!CV50))))*IS!CV59)</f>
        <v>-17.20355</v>
      </c>
      <c r="N193" s="1433">
        <f>((((-(-IS!CW52+IS!CW50))))*IS!CW59)</f>
        <v>-17.415299999999998</v>
      </c>
    </row>
    <row r="194" spans="1:28">
      <c r="B194" s="1434"/>
    </row>
    <row r="195" spans="1:28" s="1418" customFormat="1">
      <c r="O195" s="1395"/>
      <c r="P195" s="1395"/>
      <c r="Q195" s="1395"/>
      <c r="R195" s="1417"/>
      <c r="S195" s="1417"/>
      <c r="T195" s="1417"/>
      <c r="U195" s="1417"/>
      <c r="V195" s="1417"/>
      <c r="W195" s="1417"/>
      <c r="X195" s="1417"/>
      <c r="Y195" s="1417"/>
      <c r="Z195" s="1417"/>
      <c r="AB195" s="1410"/>
    </row>
    <row r="196" spans="1:28" s="1395" customFormat="1" ht="12.75">
      <c r="B196" s="1393" t="str">
        <f t="shared" ref="B196:G196" si="27">B36</f>
        <v>ROE (Annualized)</v>
      </c>
      <c r="C196" s="1394">
        <f t="shared" si="27"/>
        <v>4.8031134485654395E-2</v>
      </c>
      <c r="D196" s="1394">
        <f t="shared" si="27"/>
        <v>-9.4754721525374674E-3</v>
      </c>
      <c r="E196" s="1394">
        <f t="shared" si="27"/>
        <v>2.4198665228721911E-2</v>
      </c>
      <c r="F196" s="1394">
        <f>F36</f>
        <v>2.8815599213805117E-2</v>
      </c>
      <c r="G196" s="1394">
        <f t="shared" si="27"/>
        <v>5.1396827263929558E-2</v>
      </c>
      <c r="H196" s="1394">
        <f t="shared" ref="H196:N196" si="28">H36</f>
        <v>6.2171095367565946E-2</v>
      </c>
      <c r="I196" s="1394">
        <f t="shared" si="28"/>
        <v>3.6280920341681573E-2</v>
      </c>
      <c r="J196" s="1394">
        <f t="shared" si="28"/>
        <v>2.767762692075347E-2</v>
      </c>
      <c r="K196" s="1394">
        <f t="shared" si="28"/>
        <v>6.4234804759478764E-2</v>
      </c>
      <c r="L196" s="1394">
        <f t="shared" si="28"/>
        <v>6.9250709629010407E-2</v>
      </c>
      <c r="M196" s="1394">
        <f t="shared" si="28"/>
        <v>4.9632172670513522E-2</v>
      </c>
      <c r="N196" s="1394">
        <f t="shared" si="28"/>
        <v>5.9767461535950098E-2</v>
      </c>
      <c r="R196" s="1417"/>
      <c r="S196" s="1417"/>
      <c r="T196" s="1417"/>
      <c r="U196" s="1417"/>
      <c r="V196" s="1417"/>
      <c r="W196" s="1417"/>
      <c r="X196" s="1417"/>
      <c r="Y196" s="1417"/>
      <c r="Z196" s="1417"/>
    </row>
    <row r="197" spans="1:28" s="1395" customFormat="1" ht="12.75">
      <c r="B197" s="1393" t="str">
        <f t="shared" ref="B197:G197" si="29">B38</f>
        <v>RNOA (%) (Annualized)</v>
      </c>
      <c r="C197" s="1394">
        <f t="shared" si="29"/>
        <v>8.5633892932186526E-2</v>
      </c>
      <c r="D197" s="1394">
        <f t="shared" si="29"/>
        <v>8.357708133389645E-2</v>
      </c>
      <c r="E197" s="1394">
        <f t="shared" si="29"/>
        <v>6.0043690397342947E-2</v>
      </c>
      <c r="F197" s="1394">
        <f>F38</f>
        <v>5.740521078828454E-2</v>
      </c>
      <c r="G197" s="1394">
        <f t="shared" si="29"/>
        <v>6.7448200245724205E-2</v>
      </c>
      <c r="H197" s="1394">
        <f t="shared" ref="H197:N197" si="30">H38</f>
        <v>6.7389376100192563E-2</v>
      </c>
      <c r="I197" s="1394">
        <f t="shared" si="30"/>
        <v>6.456701962080949E-2</v>
      </c>
      <c r="J197" s="1394">
        <f t="shared" si="30"/>
        <v>6.6775504379386355E-2</v>
      </c>
      <c r="K197" s="1394">
        <f t="shared" si="30"/>
        <v>7.4935425189445057E-2</v>
      </c>
      <c r="L197" s="1394">
        <f t="shared" si="30"/>
        <v>7.6936241782233517E-2</v>
      </c>
      <c r="M197" s="1394">
        <f t="shared" si="30"/>
        <v>7.372799766108902E-2</v>
      </c>
      <c r="N197" s="1394">
        <f t="shared" si="30"/>
        <v>7.4539020788104468E-2</v>
      </c>
      <c r="R197" s="1417"/>
      <c r="S197" s="1417"/>
      <c r="T197" s="1417"/>
      <c r="U197" s="1417"/>
      <c r="V197" s="1417"/>
      <c r="W197" s="1417"/>
      <c r="X197" s="1417"/>
      <c r="Y197" s="1417"/>
      <c r="Z197" s="1417"/>
    </row>
    <row r="198" spans="1:28" s="1395" customFormat="1" ht="12.75">
      <c r="B198" s="1393" t="str">
        <f t="shared" ref="B198:G198" si="31">B68</f>
        <v>Leverage Effect (%)</v>
      </c>
      <c r="C198" s="1394">
        <f t="shared" si="31"/>
        <v>-3.7602758446532131E-2</v>
      </c>
      <c r="D198" s="1394">
        <f t="shared" si="31"/>
        <v>-9.3052553486433917E-2</v>
      </c>
      <c r="E198" s="1394">
        <f t="shared" si="31"/>
        <v>-3.5845025168621036E-2</v>
      </c>
      <c r="F198" s="1394">
        <f>F68</f>
        <v>-2.8589611574479423E-2</v>
      </c>
      <c r="G198" s="1394">
        <f t="shared" si="31"/>
        <v>-1.6051372981794647E-2</v>
      </c>
      <c r="H198" s="1394">
        <f t="shared" ref="H198:N198" si="32">H68</f>
        <v>-5.2182807326266161E-3</v>
      </c>
      <c r="I198" s="1394">
        <f t="shared" si="32"/>
        <v>-2.8286099279127917E-2</v>
      </c>
      <c r="J198" s="1394">
        <f t="shared" si="32"/>
        <v>-3.9097877458632885E-2</v>
      </c>
      <c r="K198" s="1394">
        <f t="shared" si="32"/>
        <v>-1.0700620429966287E-2</v>
      </c>
      <c r="L198" s="1394">
        <f t="shared" si="32"/>
        <v>-7.6855321532231105E-3</v>
      </c>
      <c r="M198" s="1394">
        <f t="shared" si="32"/>
        <v>-2.4095824990575498E-2</v>
      </c>
      <c r="N198" s="1394">
        <f t="shared" si="32"/>
        <v>-1.4771559252154367E-2</v>
      </c>
      <c r="R198" s="1417"/>
      <c r="S198" s="1417"/>
      <c r="T198" s="1417"/>
      <c r="U198" s="1417"/>
      <c r="V198" s="1417"/>
      <c r="W198" s="1417"/>
      <c r="X198" s="1417"/>
      <c r="Y198" s="1417"/>
      <c r="Z198" s="1417"/>
    </row>
    <row r="199" spans="1:28" s="1395" customFormat="1" ht="12.75">
      <c r="C199" s="1394">
        <f t="shared" ref="C199:N199" si="33">IF(C198&lt;0,C196,C197)</f>
        <v>4.8031134485654395E-2</v>
      </c>
      <c r="D199" s="1394">
        <f t="shared" si="33"/>
        <v>-9.4754721525374674E-3</v>
      </c>
      <c r="E199" s="1394">
        <f t="shared" si="33"/>
        <v>2.4198665228721911E-2</v>
      </c>
      <c r="F199" s="1394">
        <f t="shared" si="33"/>
        <v>2.8815599213805117E-2</v>
      </c>
      <c r="G199" s="1394">
        <f t="shared" si="33"/>
        <v>5.1396827263929558E-2</v>
      </c>
      <c r="H199" s="1394">
        <f t="shared" si="33"/>
        <v>6.2171095367565946E-2</v>
      </c>
      <c r="I199" s="1394">
        <f t="shared" si="33"/>
        <v>3.6280920341681573E-2</v>
      </c>
      <c r="J199" s="1394">
        <f t="shared" si="33"/>
        <v>2.767762692075347E-2</v>
      </c>
      <c r="K199" s="1394">
        <f t="shared" si="33"/>
        <v>6.4234804759478764E-2</v>
      </c>
      <c r="L199" s="1394">
        <f t="shared" si="33"/>
        <v>6.9250709629010407E-2</v>
      </c>
      <c r="M199" s="1394">
        <f t="shared" si="33"/>
        <v>4.9632172670513522E-2</v>
      </c>
      <c r="N199" s="1394">
        <f t="shared" si="33"/>
        <v>5.9767461535950098E-2</v>
      </c>
      <c r="R199" s="1417"/>
      <c r="S199" s="1417"/>
      <c r="T199" s="1417"/>
      <c r="U199" s="1417"/>
      <c r="V199" s="1417"/>
      <c r="W199" s="1417"/>
      <c r="X199" s="1417"/>
      <c r="Y199" s="1417"/>
      <c r="Z199" s="1417"/>
    </row>
    <row r="200" spans="1:28" s="1395" customFormat="1" ht="12.75">
      <c r="C200" s="1394">
        <f t="shared" ref="C200:N200" si="34">ABS(C198)</f>
        <v>3.7602758446532131E-2</v>
      </c>
      <c r="D200" s="1394">
        <f t="shared" si="34"/>
        <v>9.3052553486433917E-2</v>
      </c>
      <c r="E200" s="1394">
        <f t="shared" si="34"/>
        <v>3.5845025168621036E-2</v>
      </c>
      <c r="F200" s="1394">
        <f t="shared" si="34"/>
        <v>2.8589611574479423E-2</v>
      </c>
      <c r="G200" s="1394">
        <f t="shared" si="34"/>
        <v>1.6051372981794647E-2</v>
      </c>
      <c r="H200" s="1394">
        <f t="shared" si="34"/>
        <v>5.2182807326266161E-3</v>
      </c>
      <c r="I200" s="1394">
        <f t="shared" si="34"/>
        <v>2.8286099279127917E-2</v>
      </c>
      <c r="J200" s="1394">
        <f t="shared" si="34"/>
        <v>3.9097877458632885E-2</v>
      </c>
      <c r="K200" s="1394">
        <f t="shared" si="34"/>
        <v>1.0700620429966287E-2</v>
      </c>
      <c r="L200" s="1394">
        <f t="shared" si="34"/>
        <v>7.6855321532231105E-3</v>
      </c>
      <c r="M200" s="1394">
        <f t="shared" si="34"/>
        <v>2.4095824990575498E-2</v>
      </c>
      <c r="N200" s="1394">
        <f t="shared" si="34"/>
        <v>1.4771559252154367E-2</v>
      </c>
      <c r="R200" s="1417"/>
      <c r="S200" s="1417"/>
      <c r="T200" s="1417"/>
      <c r="U200" s="1417"/>
      <c r="V200" s="1417"/>
      <c r="W200" s="1417"/>
      <c r="X200" s="1417"/>
      <c r="Y200" s="1417"/>
      <c r="Z200" s="1417"/>
    </row>
    <row r="201" spans="1:28" s="1418" customFormat="1">
      <c r="O201" s="1395"/>
      <c r="P201" s="1395"/>
      <c r="Q201" s="1395"/>
      <c r="R201" s="1417"/>
      <c r="S201" s="1417"/>
      <c r="T201" s="1417"/>
      <c r="U201" s="1417"/>
      <c r="V201" s="1417"/>
      <c r="W201" s="1417"/>
      <c r="X201" s="1417"/>
      <c r="Y201" s="1417"/>
      <c r="Z201" s="1417"/>
      <c r="AB201" s="1410"/>
    </row>
    <row r="202" spans="1:28" s="1418" customFormat="1">
      <c r="O202" s="1395"/>
      <c r="P202" s="1395"/>
      <c r="Q202" s="1395"/>
      <c r="R202" s="1417"/>
      <c r="S202" s="1417"/>
      <c r="T202" s="1417"/>
      <c r="U202" s="1417"/>
      <c r="V202" s="1417"/>
      <c r="W202" s="1417"/>
      <c r="X202" s="1417"/>
      <c r="Y202" s="1417"/>
      <c r="Z202" s="1417"/>
      <c r="AB202" s="1410"/>
    </row>
    <row r="203" spans="1:28" ht="12.75">
      <c r="A203" s="1469"/>
      <c r="O203" s="1410"/>
      <c r="P203" s="1410"/>
      <c r="Q203" s="1410"/>
      <c r="R203" s="1432"/>
      <c r="S203" s="1432"/>
      <c r="T203" s="1432"/>
      <c r="U203" s="1432"/>
      <c r="V203" s="1432"/>
      <c r="W203" s="1432"/>
      <c r="X203" s="1432"/>
      <c r="Y203" s="1432"/>
      <c r="Z203" s="1432"/>
      <c r="AA203" s="1410"/>
    </row>
    <row r="204" spans="1:28" s="1393" customFormat="1" ht="12.75">
      <c r="B204" s="1428" t="s">
        <v>748</v>
      </c>
      <c r="C204" s="1321">
        <f t="shared" ref="C204:N204" si="35">IF($V$1=1,C36,C102)</f>
        <v>4.8031134485654395E-2</v>
      </c>
      <c r="D204" s="1321">
        <f t="shared" si="35"/>
        <v>-9.4754721525374674E-3</v>
      </c>
      <c r="E204" s="1321">
        <f t="shared" si="35"/>
        <v>2.4198665228721911E-2</v>
      </c>
      <c r="F204" s="1321">
        <f t="shared" si="35"/>
        <v>2.8815599213805117E-2</v>
      </c>
      <c r="G204" s="1321">
        <f t="shared" si="35"/>
        <v>5.1396827263929558E-2</v>
      </c>
      <c r="H204" s="1321">
        <f t="shared" si="35"/>
        <v>6.2171095367565946E-2</v>
      </c>
      <c r="I204" s="1321">
        <f t="shared" si="35"/>
        <v>3.6280920341681573E-2</v>
      </c>
      <c r="J204" s="1321">
        <f t="shared" si="35"/>
        <v>2.767762692075347E-2</v>
      </c>
      <c r="K204" s="1321">
        <f t="shared" si="35"/>
        <v>6.4234804759478764E-2</v>
      </c>
      <c r="L204" s="1321">
        <f t="shared" si="35"/>
        <v>6.9250709629010407E-2</v>
      </c>
      <c r="M204" s="1321">
        <f t="shared" si="35"/>
        <v>4.9632172670513522E-2</v>
      </c>
      <c r="N204" s="1321">
        <f t="shared" si="35"/>
        <v>5.9767461535950098E-2</v>
      </c>
      <c r="R204" s="1417"/>
      <c r="S204" s="1417"/>
      <c r="T204" s="1417"/>
      <c r="U204" s="1417"/>
      <c r="V204" s="1417"/>
      <c r="W204" s="1417"/>
      <c r="X204" s="1417"/>
      <c r="Y204" s="1417"/>
      <c r="Z204" s="1417"/>
    </row>
    <row r="205" spans="1:28" s="1393" customFormat="1" ht="12.75">
      <c r="C205" s="1393">
        <f t="shared" ref="C205:N205" si="36">IF(C204&lt;&gt;0,0.0000000001,"")</f>
        <v>1E-10</v>
      </c>
      <c r="D205" s="1393">
        <f t="shared" si="36"/>
        <v>1E-10</v>
      </c>
      <c r="E205" s="1393">
        <f t="shared" si="36"/>
        <v>1E-10</v>
      </c>
      <c r="F205" s="1393">
        <f t="shared" si="36"/>
        <v>1E-10</v>
      </c>
      <c r="G205" s="1393">
        <f t="shared" si="36"/>
        <v>1E-10</v>
      </c>
      <c r="H205" s="1393">
        <f t="shared" si="36"/>
        <v>1E-10</v>
      </c>
      <c r="I205" s="1393">
        <f t="shared" si="36"/>
        <v>1E-10</v>
      </c>
      <c r="J205" s="1393">
        <f t="shared" si="36"/>
        <v>1E-10</v>
      </c>
      <c r="K205" s="1393">
        <f t="shared" si="36"/>
        <v>1E-10</v>
      </c>
      <c r="L205" s="1393">
        <f t="shared" si="36"/>
        <v>1E-10</v>
      </c>
      <c r="M205" s="1393">
        <f t="shared" si="36"/>
        <v>1E-10</v>
      </c>
      <c r="N205" s="1393">
        <f t="shared" si="36"/>
        <v>1E-10</v>
      </c>
      <c r="R205" s="1417"/>
      <c r="S205" s="1417"/>
      <c r="T205" s="1417"/>
      <c r="U205" s="1417"/>
      <c r="V205" s="1417"/>
      <c r="W205" s="1417"/>
      <c r="X205" s="1417"/>
      <c r="Y205" s="1417"/>
      <c r="Z205" s="1417"/>
    </row>
    <row r="206" spans="1:28" s="1393" customFormat="1" ht="12.75">
      <c r="A206" s="1462"/>
      <c r="C206" s="1393">
        <f t="shared" ref="C206:N206" si="37">C205</f>
        <v>1E-10</v>
      </c>
      <c r="D206" s="1393">
        <f t="shared" si="37"/>
        <v>1E-10</v>
      </c>
      <c r="E206" s="1393">
        <f t="shared" si="37"/>
        <v>1E-10</v>
      </c>
      <c r="F206" s="1393">
        <f t="shared" si="37"/>
        <v>1E-10</v>
      </c>
      <c r="G206" s="1393">
        <f t="shared" si="37"/>
        <v>1E-10</v>
      </c>
      <c r="H206" s="1393">
        <f t="shared" si="37"/>
        <v>1E-10</v>
      </c>
      <c r="I206" s="1393">
        <f t="shared" si="37"/>
        <v>1E-10</v>
      </c>
      <c r="J206" s="1393">
        <f t="shared" si="37"/>
        <v>1E-10</v>
      </c>
      <c r="K206" s="1393">
        <f t="shared" si="37"/>
        <v>1E-10</v>
      </c>
      <c r="L206" s="1393">
        <f t="shared" si="37"/>
        <v>1E-10</v>
      </c>
      <c r="M206" s="1393">
        <f t="shared" si="37"/>
        <v>1E-10</v>
      </c>
      <c r="N206" s="1393">
        <f t="shared" si="37"/>
        <v>1E-10</v>
      </c>
      <c r="R206" s="1417"/>
      <c r="S206" s="1417"/>
      <c r="T206" s="1417"/>
      <c r="U206" s="1417"/>
      <c r="V206" s="1417"/>
      <c r="W206" s="1417"/>
      <c r="X206" s="1417"/>
      <c r="Y206" s="1417"/>
      <c r="Z206" s="1417"/>
    </row>
    <row r="207" spans="1:28" s="1393" customFormat="1" ht="12.75">
      <c r="B207" s="1428" t="s">
        <v>744</v>
      </c>
      <c r="C207" s="1321">
        <f t="shared" ref="C207:N207" si="38">IF($V$1=1,C40,C106)</f>
        <v>0.17762991204468953</v>
      </c>
      <c r="D207" s="1321">
        <f t="shared" si="38"/>
        <v>0.15231296786050466</v>
      </c>
      <c r="E207" s="1321">
        <f t="shared" si="38"/>
        <v>0.14421006614933696</v>
      </c>
      <c r="F207" s="1321">
        <f t="shared" si="38"/>
        <v>0.13961249903318124</v>
      </c>
      <c r="G207" s="1321">
        <f t="shared" si="38"/>
        <v>0.15893871715981683</v>
      </c>
      <c r="H207" s="1321">
        <f t="shared" si="38"/>
        <v>0.15973020225103826</v>
      </c>
      <c r="I207" s="1321">
        <f t="shared" si="38"/>
        <v>0.156907752910281</v>
      </c>
      <c r="J207" s="1321">
        <f t="shared" si="38"/>
        <v>0.15741075912782268</v>
      </c>
      <c r="K207" s="1321">
        <f t="shared" si="38"/>
        <v>0.17174987300205019</v>
      </c>
      <c r="L207" s="1321">
        <f t="shared" si="38"/>
        <v>0.17432836476192573</v>
      </c>
      <c r="M207" s="1321">
        <f t="shared" si="38"/>
        <v>0.16020109934307544</v>
      </c>
      <c r="N207" s="1321">
        <f t="shared" si="38"/>
        <v>0.17485658786821301</v>
      </c>
      <c r="R207" s="1417"/>
      <c r="S207" s="1417"/>
      <c r="T207" s="1417"/>
      <c r="U207" s="1417"/>
      <c r="V207" s="1417"/>
      <c r="W207" s="1417"/>
      <c r="X207" s="1417"/>
      <c r="Y207" s="1417"/>
      <c r="Z207" s="1417"/>
    </row>
    <row r="208" spans="1:28" s="1393" customFormat="1" ht="12.75">
      <c r="C208" s="1393">
        <f t="shared" ref="C208:N208" si="39">IF(C207&lt;&gt;0,0.0000000001,"")</f>
        <v>1E-10</v>
      </c>
      <c r="D208" s="1393">
        <f t="shared" si="39"/>
        <v>1E-10</v>
      </c>
      <c r="E208" s="1393">
        <f t="shared" si="39"/>
        <v>1E-10</v>
      </c>
      <c r="F208" s="1393">
        <f t="shared" si="39"/>
        <v>1E-10</v>
      </c>
      <c r="G208" s="1393">
        <f t="shared" si="39"/>
        <v>1E-10</v>
      </c>
      <c r="H208" s="1393">
        <f t="shared" si="39"/>
        <v>1E-10</v>
      </c>
      <c r="I208" s="1393">
        <f t="shared" si="39"/>
        <v>1E-10</v>
      </c>
      <c r="J208" s="1393">
        <f t="shared" si="39"/>
        <v>1E-10</v>
      </c>
      <c r="K208" s="1393">
        <f t="shared" si="39"/>
        <v>1E-10</v>
      </c>
      <c r="L208" s="1393">
        <f t="shared" si="39"/>
        <v>1E-10</v>
      </c>
      <c r="M208" s="1393">
        <f t="shared" si="39"/>
        <v>1E-10</v>
      </c>
      <c r="N208" s="1393">
        <f t="shared" si="39"/>
        <v>1E-10</v>
      </c>
      <c r="R208" s="1417"/>
      <c r="S208" s="1417"/>
      <c r="T208" s="1417"/>
      <c r="U208" s="1417"/>
      <c r="V208" s="1417"/>
      <c r="W208" s="1417"/>
      <c r="X208" s="1417"/>
      <c r="Y208" s="1417"/>
      <c r="Z208" s="1417"/>
    </row>
    <row r="209" spans="1:26" s="1393" customFormat="1" ht="12.75">
      <c r="A209" s="1462"/>
      <c r="C209" s="1393">
        <f t="shared" ref="C209:N209" si="40">C208</f>
        <v>1E-10</v>
      </c>
      <c r="D209" s="1393">
        <f t="shared" si="40"/>
        <v>1E-10</v>
      </c>
      <c r="E209" s="1393">
        <f t="shared" si="40"/>
        <v>1E-10</v>
      </c>
      <c r="F209" s="1393">
        <f t="shared" si="40"/>
        <v>1E-10</v>
      </c>
      <c r="G209" s="1393">
        <f t="shared" si="40"/>
        <v>1E-10</v>
      </c>
      <c r="H209" s="1393">
        <f t="shared" si="40"/>
        <v>1E-10</v>
      </c>
      <c r="I209" s="1393">
        <f t="shared" si="40"/>
        <v>1E-10</v>
      </c>
      <c r="J209" s="1393">
        <f t="shared" si="40"/>
        <v>1E-10</v>
      </c>
      <c r="K209" s="1393">
        <f t="shared" si="40"/>
        <v>1E-10</v>
      </c>
      <c r="L209" s="1393">
        <f t="shared" si="40"/>
        <v>1E-10</v>
      </c>
      <c r="M209" s="1393">
        <f t="shared" si="40"/>
        <v>1E-10</v>
      </c>
      <c r="N209" s="1393">
        <f t="shared" si="40"/>
        <v>1E-10</v>
      </c>
      <c r="R209" s="1417"/>
      <c r="S209" s="1417"/>
      <c r="T209" s="1417"/>
      <c r="U209" s="1417"/>
      <c r="V209" s="1417"/>
      <c r="W209" s="1417"/>
      <c r="X209" s="1417"/>
      <c r="Y209" s="1417"/>
      <c r="Z209" s="1417"/>
    </row>
    <row r="210" spans="1:26" s="1393" customFormat="1" ht="12.75">
      <c r="B210" s="1428" t="s">
        <v>747</v>
      </c>
      <c r="C210" s="1341">
        <f t="shared" ref="C210:N210" si="41">IF($V$1=1,C57,C118)</f>
        <v>0.48209162492093155</v>
      </c>
      <c r="D210" s="1341">
        <f t="shared" si="41"/>
        <v>0.54871940654744678</v>
      </c>
      <c r="E210" s="1341">
        <f t="shared" si="41"/>
        <v>0.4163626853562678</v>
      </c>
      <c r="F210" s="1341">
        <f t="shared" si="41"/>
        <v>0.41117529723926249</v>
      </c>
      <c r="G210" s="1341">
        <f t="shared" si="41"/>
        <v>0.42436607927257497</v>
      </c>
      <c r="H210" s="1341">
        <f t="shared" si="41"/>
        <v>0.42189501515988048</v>
      </c>
      <c r="I210" s="1341">
        <f t="shared" si="41"/>
        <v>0.41149668147837515</v>
      </c>
      <c r="J210" s="1341">
        <f t="shared" si="41"/>
        <v>0.42421181848924611</v>
      </c>
      <c r="K210" s="1341">
        <f t="shared" si="41"/>
        <v>0.43630556389727604</v>
      </c>
      <c r="L210" s="1341">
        <f t="shared" si="41"/>
        <v>0.44132945253804629</v>
      </c>
      <c r="M210" s="1341">
        <f t="shared" si="41"/>
        <v>0.46022154631534901</v>
      </c>
      <c r="N210" s="1341">
        <f t="shared" si="41"/>
        <v>0.42628660262021978</v>
      </c>
      <c r="R210" s="1417"/>
      <c r="S210" s="1417"/>
      <c r="T210" s="1417"/>
      <c r="U210" s="1417"/>
      <c r="V210" s="1417"/>
      <c r="W210" s="1417"/>
      <c r="X210" s="1417"/>
      <c r="Y210" s="1417"/>
      <c r="Z210" s="1417"/>
    </row>
    <row r="211" spans="1:26" s="1393" customFormat="1" ht="12.75">
      <c r="C211" s="1393">
        <f t="shared" ref="C211:N211" si="42">IF(C210&lt;&gt;0,0.0000000001,"")</f>
        <v>1E-10</v>
      </c>
      <c r="D211" s="1393">
        <f t="shared" si="42"/>
        <v>1E-10</v>
      </c>
      <c r="E211" s="1393">
        <f t="shared" si="42"/>
        <v>1E-10</v>
      </c>
      <c r="F211" s="1393">
        <f t="shared" si="42"/>
        <v>1E-10</v>
      </c>
      <c r="G211" s="1393">
        <f t="shared" si="42"/>
        <v>1E-10</v>
      </c>
      <c r="H211" s="1393">
        <f t="shared" si="42"/>
        <v>1E-10</v>
      </c>
      <c r="I211" s="1393">
        <f t="shared" si="42"/>
        <v>1E-10</v>
      </c>
      <c r="J211" s="1393">
        <f t="shared" si="42"/>
        <v>1E-10</v>
      </c>
      <c r="K211" s="1393">
        <f t="shared" si="42"/>
        <v>1E-10</v>
      </c>
      <c r="L211" s="1393">
        <f t="shared" si="42"/>
        <v>1E-10</v>
      </c>
      <c r="M211" s="1393">
        <f t="shared" si="42"/>
        <v>1E-10</v>
      </c>
      <c r="N211" s="1393">
        <f t="shared" si="42"/>
        <v>1E-10</v>
      </c>
      <c r="R211" s="1417"/>
      <c r="S211" s="1417"/>
      <c r="T211" s="1417"/>
      <c r="U211" s="1417"/>
      <c r="V211" s="1417"/>
      <c r="W211" s="1417"/>
      <c r="X211" s="1417"/>
      <c r="Y211" s="1417"/>
      <c r="Z211" s="1417"/>
    </row>
    <row r="212" spans="1:26" s="1393" customFormat="1" ht="12.75">
      <c r="A212" s="1462"/>
      <c r="C212" s="1393">
        <f t="shared" ref="C212:N212" si="43">C211</f>
        <v>1E-10</v>
      </c>
      <c r="D212" s="1393">
        <f t="shared" si="43"/>
        <v>1E-10</v>
      </c>
      <c r="E212" s="1393">
        <f t="shared" si="43"/>
        <v>1E-10</v>
      </c>
      <c r="F212" s="1393">
        <f t="shared" si="43"/>
        <v>1E-10</v>
      </c>
      <c r="G212" s="1393">
        <f t="shared" si="43"/>
        <v>1E-10</v>
      </c>
      <c r="H212" s="1393">
        <f t="shared" si="43"/>
        <v>1E-10</v>
      </c>
      <c r="I212" s="1393">
        <f t="shared" si="43"/>
        <v>1E-10</v>
      </c>
      <c r="J212" s="1393">
        <f t="shared" si="43"/>
        <v>1E-10</v>
      </c>
      <c r="K212" s="1393">
        <f t="shared" si="43"/>
        <v>1E-10</v>
      </c>
      <c r="L212" s="1393">
        <f t="shared" si="43"/>
        <v>1E-10</v>
      </c>
      <c r="M212" s="1393">
        <f t="shared" si="43"/>
        <v>1E-10</v>
      </c>
      <c r="N212" s="1393">
        <f t="shared" si="43"/>
        <v>1E-10</v>
      </c>
      <c r="R212" s="1417"/>
      <c r="S212" s="1417"/>
      <c r="T212" s="1417"/>
      <c r="U212" s="1417"/>
      <c r="V212" s="1417"/>
      <c r="W212" s="1417"/>
      <c r="X212" s="1417"/>
      <c r="Y212" s="1417"/>
      <c r="Z212" s="1417"/>
    </row>
    <row r="213" spans="1:26" s="1393" customFormat="1" ht="12.75">
      <c r="B213" s="1428" t="s">
        <v>747</v>
      </c>
      <c r="C213" s="1341">
        <f t="shared" ref="C213:N213" si="44">C210</f>
        <v>0.48209162492093155</v>
      </c>
      <c r="D213" s="1341">
        <f t="shared" si="44"/>
        <v>0.54871940654744678</v>
      </c>
      <c r="E213" s="1341">
        <f t="shared" si="44"/>
        <v>0.4163626853562678</v>
      </c>
      <c r="F213" s="1341">
        <f t="shared" si="44"/>
        <v>0.41117529723926249</v>
      </c>
      <c r="G213" s="1341">
        <f t="shared" si="44"/>
        <v>0.42436607927257497</v>
      </c>
      <c r="H213" s="1341">
        <f t="shared" si="44"/>
        <v>0.42189501515988048</v>
      </c>
      <c r="I213" s="1341">
        <f t="shared" si="44"/>
        <v>0.41149668147837515</v>
      </c>
      <c r="J213" s="1341">
        <f t="shared" si="44"/>
        <v>0.42421181848924611</v>
      </c>
      <c r="K213" s="1341">
        <f t="shared" si="44"/>
        <v>0.43630556389727604</v>
      </c>
      <c r="L213" s="1341">
        <f t="shared" si="44"/>
        <v>0.44132945253804629</v>
      </c>
      <c r="M213" s="1341">
        <f t="shared" si="44"/>
        <v>0.46022154631534901</v>
      </c>
      <c r="N213" s="1341">
        <f t="shared" si="44"/>
        <v>0.42628660262021978</v>
      </c>
      <c r="O213" s="1341">
        <f>MIN(C222:L222)</f>
        <v>0.41117529723926249</v>
      </c>
      <c r="R213" s="1417"/>
      <c r="S213" s="1417"/>
      <c r="T213" s="1417"/>
      <c r="U213" s="1417"/>
      <c r="V213" s="1417"/>
      <c r="W213" s="1417"/>
      <c r="X213" s="1417"/>
      <c r="Y213" s="1417"/>
      <c r="Z213" s="1417"/>
    </row>
    <row r="214" spans="1:26" s="1393" customFormat="1" ht="12.75">
      <c r="B214" s="1428" t="s">
        <v>744</v>
      </c>
      <c r="C214" s="1342">
        <f t="shared" ref="C214:N214" si="45">C207</f>
        <v>0.17762991204468953</v>
      </c>
      <c r="D214" s="1342">
        <f t="shared" si="45"/>
        <v>0.15231296786050466</v>
      </c>
      <c r="E214" s="1342">
        <f t="shared" si="45"/>
        <v>0.14421006614933696</v>
      </c>
      <c r="F214" s="1342">
        <f t="shared" si="45"/>
        <v>0.13961249903318124</v>
      </c>
      <c r="G214" s="1342">
        <f t="shared" si="45"/>
        <v>0.15893871715981683</v>
      </c>
      <c r="H214" s="1342">
        <f t="shared" si="45"/>
        <v>0.15973020225103826</v>
      </c>
      <c r="I214" s="1342">
        <f t="shared" si="45"/>
        <v>0.156907752910281</v>
      </c>
      <c r="J214" s="1342">
        <f t="shared" si="45"/>
        <v>0.15741075912782268</v>
      </c>
      <c r="K214" s="1342">
        <f t="shared" si="45"/>
        <v>0.17174987300205019</v>
      </c>
      <c r="L214" s="1342">
        <f t="shared" si="45"/>
        <v>0.17432836476192573</v>
      </c>
      <c r="M214" s="1342">
        <f t="shared" si="45"/>
        <v>0.16020109934307544</v>
      </c>
      <c r="N214" s="1342">
        <f t="shared" si="45"/>
        <v>0.17485658786821301</v>
      </c>
      <c r="O214" s="1342">
        <f>MIN(C223:L223)</f>
        <v>0.13961249903318124</v>
      </c>
      <c r="R214" s="1417"/>
      <c r="S214" s="1417"/>
      <c r="T214" s="1417"/>
      <c r="U214" s="1417"/>
      <c r="V214" s="1417"/>
      <c r="W214" s="1417"/>
      <c r="X214" s="1417"/>
      <c r="Y214" s="1417"/>
      <c r="Z214" s="1417"/>
    </row>
    <row r="215" spans="1:26" s="1393" customFormat="1" ht="12.75">
      <c r="R215" s="1417"/>
      <c r="S215" s="1417"/>
      <c r="T215" s="1417"/>
      <c r="U215" s="1417"/>
      <c r="V215" s="1417"/>
      <c r="W215" s="1417"/>
      <c r="X215" s="1417"/>
      <c r="Y215" s="1417"/>
      <c r="Z215" s="1417"/>
    </row>
    <row r="216" spans="1:26" s="1393" customFormat="1" ht="12.75">
      <c r="A216" s="1462"/>
      <c r="R216" s="1417"/>
      <c r="S216" s="1417"/>
      <c r="T216" s="1417"/>
      <c r="U216" s="1417"/>
      <c r="V216" s="1417"/>
      <c r="W216" s="1417"/>
      <c r="X216" s="1417"/>
      <c r="Y216" s="1417"/>
      <c r="Z216" s="1417"/>
    </row>
    <row r="217" spans="1:26" s="1393" customFormat="1" ht="12.75">
      <c r="B217" s="1428" t="s">
        <v>770</v>
      </c>
      <c r="C217" s="1322">
        <f t="shared" ref="C217:N217" si="46">IF($V$1=1,C68,C126)</f>
        <v>-3.7602758446532131E-2</v>
      </c>
      <c r="D217" s="1322">
        <f t="shared" si="46"/>
        <v>-9.3052553486433917E-2</v>
      </c>
      <c r="E217" s="1322">
        <f t="shared" si="46"/>
        <v>-3.5845025168621036E-2</v>
      </c>
      <c r="F217" s="1322">
        <f t="shared" si="46"/>
        <v>-2.8589611574479423E-2</v>
      </c>
      <c r="G217" s="1322">
        <f t="shared" si="46"/>
        <v>-1.6051372981794647E-2</v>
      </c>
      <c r="H217" s="1322">
        <f t="shared" si="46"/>
        <v>-5.2182807326266161E-3</v>
      </c>
      <c r="I217" s="1322">
        <f t="shared" si="46"/>
        <v>-2.8286099279127917E-2</v>
      </c>
      <c r="J217" s="1322">
        <f t="shared" si="46"/>
        <v>-3.9097877458632885E-2</v>
      </c>
      <c r="K217" s="1322">
        <f t="shared" si="46"/>
        <v>-1.0700620429966287E-2</v>
      </c>
      <c r="L217" s="1322">
        <f t="shared" si="46"/>
        <v>-7.6855321532231105E-3</v>
      </c>
      <c r="M217" s="1322">
        <f t="shared" si="46"/>
        <v>-2.4095824990575498E-2</v>
      </c>
      <c r="N217" s="1322">
        <f t="shared" si="46"/>
        <v>-1.4771559252154367E-2</v>
      </c>
      <c r="R217" s="1417"/>
      <c r="S217" s="1417"/>
      <c r="T217" s="1417"/>
      <c r="U217" s="1417"/>
      <c r="V217" s="1417"/>
      <c r="W217" s="1417"/>
      <c r="X217" s="1417"/>
      <c r="Y217" s="1417"/>
      <c r="Z217" s="1417"/>
    </row>
    <row r="218" spans="1:26" s="1393" customFormat="1" ht="12.75">
      <c r="C218" s="1393">
        <f t="shared" ref="C218:N218" si="47">IF(C217&lt;&gt;0,0.0000000001,"")</f>
        <v>1E-10</v>
      </c>
      <c r="D218" s="1393">
        <f t="shared" si="47"/>
        <v>1E-10</v>
      </c>
      <c r="E218" s="1393">
        <f t="shared" si="47"/>
        <v>1E-10</v>
      </c>
      <c r="F218" s="1393">
        <f t="shared" si="47"/>
        <v>1E-10</v>
      </c>
      <c r="G218" s="1393">
        <f t="shared" si="47"/>
        <v>1E-10</v>
      </c>
      <c r="H218" s="1393">
        <f t="shared" si="47"/>
        <v>1E-10</v>
      </c>
      <c r="I218" s="1393">
        <f t="shared" si="47"/>
        <v>1E-10</v>
      </c>
      <c r="J218" s="1393">
        <f t="shared" si="47"/>
        <v>1E-10</v>
      </c>
      <c r="K218" s="1393">
        <f t="shared" si="47"/>
        <v>1E-10</v>
      </c>
      <c r="L218" s="1393">
        <f t="shared" si="47"/>
        <v>1E-10</v>
      </c>
      <c r="M218" s="1393">
        <f t="shared" si="47"/>
        <v>1E-10</v>
      </c>
      <c r="N218" s="1393">
        <f t="shared" si="47"/>
        <v>1E-10</v>
      </c>
      <c r="R218" s="1417"/>
      <c r="S218" s="1417"/>
      <c r="T218" s="1417"/>
      <c r="U218" s="1417"/>
      <c r="V218" s="1417"/>
      <c r="W218" s="1417"/>
      <c r="X218" s="1417"/>
      <c r="Y218" s="1417"/>
      <c r="Z218" s="1417"/>
    </row>
    <row r="219" spans="1:26" s="1393" customFormat="1" ht="12.75">
      <c r="C219" s="1393">
        <f t="shared" ref="C219:N219" si="48">C218</f>
        <v>1E-10</v>
      </c>
      <c r="D219" s="1393">
        <f t="shared" si="48"/>
        <v>1E-10</v>
      </c>
      <c r="E219" s="1393">
        <f t="shared" si="48"/>
        <v>1E-10</v>
      </c>
      <c r="F219" s="1393">
        <f t="shared" si="48"/>
        <v>1E-10</v>
      </c>
      <c r="G219" s="1393">
        <f t="shared" si="48"/>
        <v>1E-10</v>
      </c>
      <c r="H219" s="1393">
        <f t="shared" si="48"/>
        <v>1E-10</v>
      </c>
      <c r="I219" s="1393">
        <f t="shared" si="48"/>
        <v>1E-10</v>
      </c>
      <c r="J219" s="1393">
        <f t="shared" si="48"/>
        <v>1E-10</v>
      </c>
      <c r="K219" s="1393">
        <f t="shared" si="48"/>
        <v>1E-10</v>
      </c>
      <c r="L219" s="1393">
        <f t="shared" si="48"/>
        <v>1E-10</v>
      </c>
      <c r="M219" s="1393">
        <f t="shared" si="48"/>
        <v>1E-10</v>
      </c>
      <c r="N219" s="1393">
        <f t="shared" si="48"/>
        <v>1E-10</v>
      </c>
      <c r="R219" s="1417"/>
      <c r="S219" s="1417"/>
      <c r="T219" s="1417"/>
      <c r="U219" s="1417"/>
      <c r="V219" s="1417"/>
      <c r="W219" s="1417"/>
      <c r="X219" s="1417"/>
      <c r="Y219" s="1417"/>
      <c r="Z219" s="1417"/>
    </row>
    <row r="220" spans="1:26" s="1393" customFormat="1" ht="12.75">
      <c r="R220" s="1417"/>
      <c r="S220" s="1417"/>
      <c r="T220" s="1417"/>
      <c r="U220" s="1417"/>
      <c r="V220" s="1417"/>
      <c r="W220" s="1417"/>
      <c r="X220" s="1417"/>
      <c r="Y220" s="1417"/>
      <c r="Z220" s="1417"/>
    </row>
    <row r="221" spans="1:26" s="1393" customFormat="1" ht="12.75">
      <c r="R221" s="1417"/>
      <c r="S221" s="1417"/>
      <c r="T221" s="1417"/>
      <c r="U221" s="1417"/>
      <c r="V221" s="1417"/>
      <c r="W221" s="1417"/>
      <c r="X221" s="1417"/>
      <c r="Y221" s="1417"/>
      <c r="Z221" s="1417"/>
    </row>
    <row r="222" spans="1:26" s="1393" customFormat="1" ht="12.75">
      <c r="B222" s="1396" t="str">
        <f>B213</f>
        <v>Operating Asset Turnover</v>
      </c>
      <c r="C222" s="1341">
        <f t="shared" ref="C222:N222" si="49">IF(C213&lt;&gt;0,C213,"")</f>
        <v>0.48209162492093155</v>
      </c>
      <c r="D222" s="1341">
        <f t="shared" si="49"/>
        <v>0.54871940654744678</v>
      </c>
      <c r="E222" s="1341">
        <f t="shared" si="49"/>
        <v>0.4163626853562678</v>
      </c>
      <c r="F222" s="1341">
        <f t="shared" si="49"/>
        <v>0.41117529723926249</v>
      </c>
      <c r="G222" s="1341">
        <f t="shared" si="49"/>
        <v>0.42436607927257497</v>
      </c>
      <c r="H222" s="1341">
        <f t="shared" si="49"/>
        <v>0.42189501515988048</v>
      </c>
      <c r="I222" s="1341">
        <f t="shared" si="49"/>
        <v>0.41149668147837515</v>
      </c>
      <c r="J222" s="1341">
        <f t="shared" si="49"/>
        <v>0.42421181848924611</v>
      </c>
      <c r="K222" s="1341">
        <f t="shared" si="49"/>
        <v>0.43630556389727604</v>
      </c>
      <c r="L222" s="1341">
        <f t="shared" si="49"/>
        <v>0.44132945253804629</v>
      </c>
      <c r="M222" s="1341">
        <f t="shared" si="49"/>
        <v>0.46022154631534901</v>
      </c>
      <c r="N222" s="1341">
        <f t="shared" si="49"/>
        <v>0.42628660262021978</v>
      </c>
      <c r="R222" s="1417"/>
      <c r="S222" s="1417"/>
      <c r="T222" s="1417"/>
      <c r="U222" s="1417"/>
      <c r="V222" s="1417"/>
      <c r="W222" s="1417"/>
      <c r="X222" s="1417"/>
      <c r="Y222" s="1417"/>
      <c r="Z222" s="1417"/>
    </row>
    <row r="223" spans="1:26" s="1393" customFormat="1" ht="12.75">
      <c r="B223" s="1396" t="str">
        <f>B214</f>
        <v>NOPAT Margin (%)</v>
      </c>
      <c r="C223" s="1342">
        <f t="shared" ref="C223:N223" si="50">IF(C214&lt;&gt;0,C214,"")</f>
        <v>0.17762991204468953</v>
      </c>
      <c r="D223" s="1342">
        <f t="shared" si="50"/>
        <v>0.15231296786050466</v>
      </c>
      <c r="E223" s="1342">
        <f t="shared" si="50"/>
        <v>0.14421006614933696</v>
      </c>
      <c r="F223" s="1342">
        <f t="shared" si="50"/>
        <v>0.13961249903318124</v>
      </c>
      <c r="G223" s="1342">
        <f t="shared" si="50"/>
        <v>0.15893871715981683</v>
      </c>
      <c r="H223" s="1342">
        <f t="shared" si="50"/>
        <v>0.15973020225103826</v>
      </c>
      <c r="I223" s="1342">
        <f t="shared" si="50"/>
        <v>0.156907752910281</v>
      </c>
      <c r="J223" s="1342">
        <f t="shared" si="50"/>
        <v>0.15741075912782268</v>
      </c>
      <c r="K223" s="1342">
        <f t="shared" si="50"/>
        <v>0.17174987300205019</v>
      </c>
      <c r="L223" s="1342">
        <f t="shared" si="50"/>
        <v>0.17432836476192573</v>
      </c>
      <c r="M223" s="1342">
        <f t="shared" si="50"/>
        <v>0.16020109934307544</v>
      </c>
      <c r="N223" s="1342">
        <f t="shared" si="50"/>
        <v>0.17485658786821301</v>
      </c>
      <c r="R223" s="1417"/>
      <c r="S223" s="1417"/>
      <c r="T223" s="1417"/>
      <c r="U223" s="1417"/>
      <c r="V223" s="1417"/>
      <c r="W223" s="1417"/>
      <c r="X223" s="1417"/>
      <c r="Y223" s="1417"/>
      <c r="Z223" s="1417"/>
    </row>
    <row r="224" spans="1:26" s="1395" customFormat="1">
      <c r="R224" s="1417"/>
      <c r="S224" s="1417"/>
      <c r="T224" s="1417"/>
      <c r="U224" s="1417"/>
      <c r="V224" s="1417"/>
      <c r="W224" s="1417"/>
      <c r="X224" s="1417"/>
      <c r="Y224" s="1417"/>
      <c r="Z224" s="1417"/>
    </row>
    <row r="225" spans="1:26">
      <c r="A225" s="1418"/>
      <c r="B225" s="1418"/>
      <c r="C225" s="1418"/>
      <c r="D225" s="1418"/>
      <c r="E225" s="1418"/>
      <c r="F225" s="1418"/>
      <c r="G225" s="1418"/>
      <c r="H225" s="1418"/>
      <c r="I225" s="1418"/>
      <c r="J225" s="1418"/>
      <c r="K225" s="1418"/>
      <c r="L225" s="1418"/>
      <c r="M225" s="1418"/>
      <c r="N225" s="1418"/>
      <c r="O225" s="1418"/>
      <c r="P225" s="1418"/>
      <c r="Q225" s="1418"/>
      <c r="R225" s="1470"/>
      <c r="S225" s="1470"/>
      <c r="T225" s="1470"/>
      <c r="U225" s="1470"/>
      <c r="V225" s="1470"/>
      <c r="W225" s="1470"/>
      <c r="X225" s="1470"/>
      <c r="Y225" s="1470"/>
      <c r="Z225" s="1470"/>
    </row>
    <row r="226" spans="1:26">
      <c r="A226" s="1418"/>
      <c r="B226" s="1418"/>
      <c r="C226" s="1418"/>
      <c r="D226" s="1418"/>
      <c r="E226" s="1418"/>
      <c r="F226" s="1418"/>
      <c r="G226" s="1418"/>
      <c r="H226" s="1418"/>
      <c r="I226" s="1418"/>
      <c r="J226" s="1418"/>
      <c r="K226" s="1418"/>
      <c r="L226" s="1418"/>
      <c r="M226" s="1418"/>
      <c r="N226" s="1418"/>
      <c r="O226" s="1418"/>
      <c r="P226" s="1418"/>
      <c r="Q226" s="1418"/>
      <c r="R226" s="1470"/>
      <c r="S226" s="1470"/>
      <c r="T226" s="1470"/>
      <c r="U226" s="1470"/>
      <c r="V226" s="1470"/>
      <c r="W226" s="1470"/>
      <c r="X226" s="1470"/>
      <c r="Y226" s="1470"/>
      <c r="Z226" s="1470"/>
    </row>
    <row r="227" spans="1:26">
      <c r="A227" s="1418"/>
      <c r="B227" s="1418"/>
      <c r="C227" s="1418"/>
      <c r="D227" s="1418"/>
      <c r="E227" s="1418"/>
      <c r="F227" s="1418"/>
      <c r="G227" s="1418"/>
      <c r="H227" s="1418"/>
      <c r="I227" s="1418"/>
      <c r="J227" s="1418"/>
      <c r="K227" s="1418"/>
      <c r="L227" s="1418"/>
      <c r="M227" s="1418"/>
      <c r="N227" s="1418"/>
      <c r="O227" s="1418"/>
      <c r="P227" s="1418"/>
      <c r="Q227" s="1418"/>
      <c r="R227" s="1470"/>
      <c r="S227" s="1470"/>
      <c r="T227" s="1470"/>
      <c r="U227" s="1470"/>
      <c r="V227" s="1470"/>
      <c r="W227" s="1470"/>
      <c r="X227" s="1470"/>
      <c r="Y227" s="1470"/>
      <c r="Z227" s="1470"/>
    </row>
    <row r="228" spans="1:26">
      <c r="A228" s="1418"/>
      <c r="B228" s="1418"/>
      <c r="C228" s="1418"/>
      <c r="D228" s="1418"/>
      <c r="E228" s="1418"/>
      <c r="F228" s="1418"/>
      <c r="G228" s="1418"/>
      <c r="H228" s="1418"/>
      <c r="I228" s="1418"/>
      <c r="J228" s="1418"/>
      <c r="K228" s="1418"/>
      <c r="L228" s="1418"/>
      <c r="M228" s="1418"/>
      <c r="N228" s="1418"/>
      <c r="O228" s="1418"/>
      <c r="P228" s="1418"/>
      <c r="Q228" s="1418"/>
      <c r="R228" s="1470"/>
      <c r="S228" s="1470"/>
      <c r="T228" s="1470"/>
      <c r="U228" s="1470"/>
      <c r="V228" s="1470"/>
      <c r="W228" s="1470"/>
      <c r="X228" s="1470"/>
      <c r="Y228" s="1470"/>
      <c r="Z228" s="1470"/>
    </row>
    <row r="229" spans="1:26">
      <c r="A229" s="1418"/>
      <c r="B229" s="1418"/>
      <c r="C229" s="1418"/>
      <c r="D229" s="1418"/>
      <c r="E229" s="1418"/>
      <c r="F229" s="1418"/>
      <c r="G229" s="1418"/>
      <c r="H229" s="1418"/>
      <c r="I229" s="1418"/>
      <c r="J229" s="1418"/>
      <c r="K229" s="1418"/>
      <c r="L229" s="1418"/>
      <c r="M229" s="1418"/>
      <c r="N229" s="1418"/>
      <c r="O229" s="1418"/>
      <c r="P229" s="1418"/>
      <c r="Q229" s="1418"/>
      <c r="R229" s="1470"/>
      <c r="S229" s="1470"/>
      <c r="T229" s="1470"/>
      <c r="U229" s="1470"/>
      <c r="V229" s="1470"/>
      <c r="W229" s="1470"/>
      <c r="X229" s="1470"/>
      <c r="Y229" s="1470"/>
      <c r="Z229" s="1470"/>
    </row>
    <row r="230" spans="1:26">
      <c r="A230" s="1418"/>
      <c r="B230" s="1418"/>
      <c r="C230" s="1418"/>
      <c r="D230" s="1418"/>
      <c r="E230" s="1418"/>
      <c r="F230" s="1418"/>
      <c r="G230" s="1418"/>
      <c r="H230" s="1418"/>
      <c r="I230" s="1418"/>
      <c r="J230" s="1418"/>
      <c r="K230" s="1418"/>
      <c r="L230" s="1418"/>
      <c r="M230" s="1418"/>
      <c r="N230" s="1418"/>
      <c r="O230" s="1418"/>
      <c r="P230" s="1418"/>
      <c r="Q230" s="1418"/>
      <c r="R230" s="1470"/>
      <c r="S230" s="1470"/>
      <c r="T230" s="1470"/>
      <c r="U230" s="1470"/>
      <c r="V230" s="1470"/>
      <c r="W230" s="1470"/>
      <c r="X230" s="1470"/>
      <c r="Y230" s="1470"/>
      <c r="Z230" s="1470"/>
    </row>
    <row r="231" spans="1:26">
      <c r="A231" s="1418"/>
      <c r="B231" s="1418"/>
      <c r="C231" s="1418"/>
      <c r="D231" s="1418"/>
      <c r="E231" s="1418"/>
      <c r="F231" s="1418"/>
      <c r="G231" s="1418"/>
      <c r="H231" s="1418"/>
      <c r="I231" s="1418"/>
      <c r="J231" s="1418"/>
      <c r="K231" s="1418"/>
      <c r="L231" s="1418"/>
      <c r="M231" s="1418"/>
      <c r="N231" s="1418"/>
      <c r="O231" s="1418"/>
      <c r="P231" s="1418"/>
      <c r="Q231" s="1418"/>
      <c r="R231" s="1470"/>
      <c r="S231" s="1470"/>
      <c r="T231" s="1470"/>
      <c r="U231" s="1470"/>
      <c r="V231" s="1470"/>
      <c r="W231" s="1470"/>
      <c r="X231" s="1470"/>
      <c r="Y231" s="1470"/>
      <c r="Z231" s="1470"/>
    </row>
    <row r="232" spans="1:26">
      <c r="A232" s="1418"/>
      <c r="B232" s="1418"/>
      <c r="C232" s="1418"/>
      <c r="D232" s="1418"/>
      <c r="E232" s="1418"/>
      <c r="F232" s="1418"/>
      <c r="G232" s="1418"/>
      <c r="H232" s="1418"/>
      <c r="I232" s="1418"/>
      <c r="J232" s="1418"/>
      <c r="K232" s="1418"/>
      <c r="L232" s="1418"/>
      <c r="M232" s="1418"/>
      <c r="N232" s="1418"/>
      <c r="O232" s="1418"/>
      <c r="P232" s="1418"/>
      <c r="Q232" s="1418"/>
      <c r="R232" s="1470"/>
      <c r="S232" s="1470"/>
      <c r="T232" s="1470"/>
      <c r="U232" s="1470"/>
      <c r="V232" s="1470"/>
      <c r="W232" s="1470"/>
      <c r="X232" s="1470"/>
      <c r="Y232" s="1470"/>
      <c r="Z232" s="1470"/>
    </row>
    <row r="233" spans="1:26">
      <c r="A233" s="1418"/>
      <c r="B233" s="1418"/>
      <c r="C233" s="1418"/>
      <c r="D233" s="1418"/>
      <c r="E233" s="1418"/>
      <c r="F233" s="1418"/>
      <c r="G233" s="1418"/>
      <c r="H233" s="1418"/>
      <c r="I233" s="1418"/>
      <c r="J233" s="1418"/>
      <c r="K233" s="1418"/>
      <c r="L233" s="1418"/>
      <c r="M233" s="1418"/>
      <c r="N233" s="1418"/>
      <c r="O233" s="1418"/>
      <c r="P233" s="1418"/>
      <c r="Q233" s="1418"/>
      <c r="R233" s="1470"/>
      <c r="S233" s="1470"/>
      <c r="T233" s="1470"/>
      <c r="U233" s="1470"/>
      <c r="V233" s="1470"/>
      <c r="W233" s="1470"/>
      <c r="X233" s="1470"/>
      <c r="Y233" s="1470"/>
      <c r="Z233" s="1470"/>
    </row>
    <row r="234" spans="1:26" s="1395" customFormat="1" ht="12" customHeight="1">
      <c r="B234" s="1393" t="s">
        <v>825</v>
      </c>
      <c r="C234" s="1471">
        <f>IF(ISNUMBER(((-(-IS!CJ52+IS!CJ50)))),((-(-IS!CJ52+IS!CJ50))),0)</f>
        <v>-25.169</v>
      </c>
      <c r="D234" s="1471">
        <f>IF(ISNUMBER(((-(-IS!CK52+IS!CK50)))),((-(-IS!CK52+IS!CK50))),0)</f>
        <v>-37.124000000000002</v>
      </c>
      <c r="E234" s="1471">
        <f>IF(ISNUMBER(((-(-IS!CL52+IS!CL50)))),((-(-IS!CL52+IS!CL50))),0)</f>
        <v>-38.052999999999997</v>
      </c>
      <c r="F234" s="1471">
        <f>IF(ISNUMBER(((-(-IS!CM52+IS!CM50)))),((-(-IS!CM52+IS!CM50))),0)</f>
        <v>-38.614000000000004</v>
      </c>
      <c r="G234" s="1471">
        <f>IF(ISNUMBER(((-(-IS!CO52+IS!CO50)))),((-(-IS!CO52+IS!CO50))),0)</f>
        <v>-37.145999999999994</v>
      </c>
      <c r="H234" s="1471">
        <f>IF(ISNUMBER(((-(-IS!CP52+IS!CP50)))),((-(-IS!CP52+IS!CP50))),0)</f>
        <v>-37.045000000000002</v>
      </c>
      <c r="I234" s="1471">
        <f>IF(ISNUMBER(((-(-IS!CQ52+IS!CQ50)))),((-(-IS!CQ52+IS!CQ50))),0)</f>
        <v>-50.434999999999995</v>
      </c>
      <c r="J234" s="1471">
        <f>IF(ISNUMBER(((-(-IS!CR52+IS!CR50)))),((-(-IS!CR52+IS!CR50))),0)</f>
        <v>-54.397000000000006</v>
      </c>
      <c r="K234" s="1471">
        <f>IF(ISNUMBER(((-(-IS!CT52+IS!CT50)))),((-(-IS!CT52+IS!CT50))),0)</f>
        <v>-52.126999999999995</v>
      </c>
      <c r="L234" s="1471">
        <f>IF(ISNUMBER(((-(-IS!CU52+IS!CU50)))),((-(-IS!CU52+IS!CU50))),0)</f>
        <v>-45.823999999999998</v>
      </c>
      <c r="M234" s="1471">
        <f>IF(ISNUMBER(((-(-IS!CV52+IS!CV50)))),((-(-IS!CV52+IS!CV50))),0)</f>
        <v>-49.152999999999999</v>
      </c>
      <c r="N234" s="1471">
        <f>IF(ISNUMBER(((-(-IS!CW52+IS!CW50)))),((-(-IS!CW52+IS!CW50))),0)</f>
        <v>-49.757999999999996</v>
      </c>
      <c r="R234" s="1417"/>
      <c r="S234" s="1417"/>
      <c r="T234" s="1417"/>
      <c r="U234" s="1417"/>
      <c r="V234" s="1417"/>
      <c r="W234" s="1417"/>
      <c r="X234" s="1417"/>
      <c r="Y234" s="1417"/>
      <c r="Z234" s="1417"/>
    </row>
    <row r="235" spans="1:26" s="1395" customFormat="1" ht="12.75">
      <c r="B235" s="1393" t="s">
        <v>826</v>
      </c>
      <c r="C235" s="1471">
        <f>IF(ISNUMBER(((((-(-IS!CJ52+IS!CJ50))))*IS!CJ59)),((((-(-IS!CJ52+IS!CJ50))))*IS!CJ59),0)</f>
        <v>-8.8091499999999989</v>
      </c>
      <c r="D235" s="1471">
        <f>IF(ISNUMBER(((((-(-IS!CK52+IS!CK50))))*IS!CK59)),((((-(-IS!CK52+IS!CK50))))*IS!CK59),0)</f>
        <v>-12.993399999999999</v>
      </c>
      <c r="E235" s="1471">
        <f>IF(ISNUMBER(((((-(-IS!CL52+IS!CL50))))*IS!CL59)),((((-(-IS!CL52+IS!CL50))))*IS!CL59),0)</f>
        <v>-13.318549999999998</v>
      </c>
      <c r="F235" s="1471">
        <f>IF(ISNUMBER(((((-(-IS!CM52+IS!CM50))))*IS!CM59)),((((-(-IS!CM52+IS!CM50))))*IS!CM59),0)</f>
        <v>-13.514900000000001</v>
      </c>
      <c r="G235" s="1471">
        <f>IF(ISNUMBER(((((-(-IS!CO52+IS!CO50))))*IS!CO59)),((((-(-IS!CO52+IS!CO50))))*IS!CO59),0)</f>
        <v>-13.001099999999997</v>
      </c>
      <c r="H235" s="1471">
        <f>IF(ISNUMBER(((((-(-IS!CP52+IS!CP50))))*IS!CP59)),((((-(-IS!CP52+IS!CP50))))*IS!CP59),0)</f>
        <v>-12.96575</v>
      </c>
      <c r="I235" s="1471">
        <f>IF(ISNUMBER(((((-(-IS!CQ52+IS!CQ50))))*IS!CQ59)),((((-(-IS!CQ52+IS!CQ50))))*IS!CQ59),0)</f>
        <v>-17.652249999999999</v>
      </c>
      <c r="J235" s="1471">
        <f>IF(ISNUMBER(((((-(-IS!CR52+IS!CR50))))*IS!CR59)),((((-(-IS!CR52+IS!CR50))))*IS!CR59),0)</f>
        <v>-19.03895</v>
      </c>
      <c r="K235" s="1471">
        <f>IF(ISNUMBER(((((-(-IS!CT52+IS!CT50))))*IS!CT59)),((((-(-IS!CT52+IS!CT50))))*IS!CT59),0)</f>
        <v>-18.244449999999997</v>
      </c>
      <c r="L235" s="1471">
        <f>IF(ISNUMBER(((((-(-IS!CU52+IS!CU50))))*IS!CU59)),((((-(-IS!CU52+IS!CU50))))*IS!CU59),0)</f>
        <v>-16.038399999999999</v>
      </c>
      <c r="M235" s="1471">
        <f>IF(ISNUMBER(((((-(-IS!CV52+IS!CV50))))*IS!CV59)),((((-(-IS!CV52+IS!CV50))))*IS!CV59),0)</f>
        <v>-17.20355</v>
      </c>
      <c r="N235" s="1471">
        <f>IF(ISNUMBER(((((-(-IS!CW52+IS!CW50))))*IS!CW59)),((((-(-IS!CW52+IS!CW50))))*IS!CW59),0)</f>
        <v>-17.415299999999998</v>
      </c>
      <c r="R235" s="1417"/>
      <c r="S235" s="1417"/>
      <c r="T235" s="1417"/>
      <c r="U235" s="1417"/>
      <c r="V235" s="1417"/>
      <c r="W235" s="1417"/>
      <c r="X235" s="1417"/>
      <c r="Y235" s="1417"/>
      <c r="Z235" s="1417"/>
    </row>
    <row r="236" spans="1:26" s="1395" customFormat="1">
      <c r="R236" s="1417"/>
      <c r="S236" s="1417"/>
      <c r="T236" s="1417"/>
      <c r="U236" s="1417"/>
      <c r="V236" s="1417"/>
      <c r="W236" s="1417"/>
      <c r="X236" s="1417"/>
      <c r="Y236" s="1417"/>
      <c r="Z236" s="1417"/>
    </row>
    <row r="237" spans="1:26" s="1395" customFormat="1" ht="12.75">
      <c r="B237" s="1393" t="s">
        <v>827</v>
      </c>
      <c r="C237" s="1471">
        <f>IF(ISNUMBER(((-IS!CJ26+-IS!CJ27+-IS!CJ28+-IS!CJ29+-IS!CJ30+IS!CJ51+-IS!CJ53)+IS!CJ62)),((-IS!CJ26+-IS!CJ27+-IS!CJ28+-IS!CJ29+-IS!CJ30+IS!CJ51+-IS!CJ53)+IS!CJ62),0)</f>
        <v>-19.904999999999998</v>
      </c>
      <c r="D237" s="1471">
        <f>IF(ISNUMBER(((-IS!CK26+-IS!CK27+-IS!CK28+-IS!CK29+-IS!CK30+IS!CK51+-IS!CK53)+IS!CK62)),((-IS!CK26+-IS!CK27+-IS!CK28+-IS!CK29+-IS!CK30+IS!CK51+-IS!CK53)+IS!CK62),0)</f>
        <v>-30.667000000000002</v>
      </c>
      <c r="E237" s="1471">
        <f>IF(ISNUMBER(((-IS!CL26+-IS!CL27+-IS!CL28+-IS!CL29+-IS!CL30+IS!CL51+-IS!CL53)+IS!CL62)),((-IS!CL26+-IS!CL27+-IS!CL28+-IS!CL29+-IS!CL30+IS!CL51+-IS!CL53)+IS!CL62),0)</f>
        <v>-17.418999999999997</v>
      </c>
      <c r="F237" s="1471">
        <f>IF(ISNUMBER(((-IS!CM26+-IS!CM27+-IS!CM28+-IS!CM29+-IS!CM30+IS!CM51+-IS!CM53)+IS!CM62)),((-IS!CM26+-IS!CM27+-IS!CM28+-IS!CM29+-IS!CM30+IS!CM51+-IS!CM53)+IS!CM62),0)</f>
        <v>-22.585000000000001</v>
      </c>
      <c r="G237" s="1471">
        <f>IF(ISNUMBER(((-IS!CO26+-IS!CO27+-IS!CO28+-IS!CO29+-IS!CO30+IS!CO51+-IS!CO53)+IS!CO62)),((-IS!CO26+-IS!CO27+-IS!CO28+-IS!CO29+-IS!CO30+IS!CO51+-IS!CO53)+IS!CO62),0)</f>
        <v>-13.132000000000001</v>
      </c>
      <c r="H237" s="1471">
        <f>IF(ISNUMBER(((-IS!CP26+-IS!CP27+-IS!CP28+-IS!CP29+-IS!CP30+IS!CP51+-IS!CP53)+IS!CP62)),((-IS!CP26+-IS!CP27+-IS!CP28+-IS!CP29+-IS!CP30+IS!CP51+-IS!CP53)+IS!CP62),0)</f>
        <v>-18.847999999999999</v>
      </c>
      <c r="I237" s="1471">
        <f>IF(ISNUMBER(((-IS!CQ26+-IS!CQ27+-IS!CQ28+-IS!CQ29+-IS!CQ30+IS!CQ51+-IS!CQ53)+IS!CQ62)),((-IS!CQ26+-IS!CQ27+-IS!CQ28+-IS!CQ29+-IS!CQ30+IS!CQ51+-IS!CQ53)+IS!CQ62),0)</f>
        <v>-22.118000000000002</v>
      </c>
      <c r="J237" s="1471">
        <f>IF(ISNUMBER(((-IS!CR26+-IS!CR27+-IS!CR28+-IS!CR29+-IS!CR30+IS!CR51+-IS!CR53)+IS!CR62)),((-IS!CR26+-IS!CR27+-IS!CR28+-IS!CR29+-IS!CR30+IS!CR51+-IS!CR53)+IS!CR62),0)</f>
        <v>-17.965000000000003</v>
      </c>
      <c r="K237" s="1471">
        <f>IF(ISNUMBER(((-IS!CT26+-IS!CT27+-IS!CT28+-IS!CT29+-IS!CT30+IS!CT51+-IS!CT53)+IS!CT62)),((-IS!CT26+-IS!CT27+-IS!CT28+-IS!CT29+-IS!CT30+IS!CT51+-IS!CT53)+IS!CT62),0)</f>
        <v>-19.510999999999999</v>
      </c>
      <c r="L237" s="1471">
        <f>IF(ISNUMBER(((-IS!CU26+-IS!CU27+-IS!CU28+-IS!CU29+-IS!CU30+IS!CU51+-IS!CU53)+IS!CU62)),((-IS!CU26+-IS!CU27+-IS!CU28+-IS!CU29+-IS!CU30+IS!CU51+-IS!CU53)+IS!CU62),0)</f>
        <v>-23.276999999999997</v>
      </c>
      <c r="M237" s="1471">
        <f>IF(ISNUMBER(((-IS!CV26+-IS!CV27+-IS!CV28+-IS!CV29+-IS!CV30+IS!CV51+-IS!CV53)+IS!CV62)),((-IS!CV26+-IS!CV27+-IS!CV28+-IS!CV29+-IS!CV30+IS!CV51+-IS!CV53)+IS!CV62),0)</f>
        <v>-30.666000000000004</v>
      </c>
      <c r="N237" s="1471">
        <f>IF(ISNUMBER(((-IS!CW26+-IS!CW27+-IS!CW28+-IS!CW29+-IS!CW30+IS!CW51+-IS!CW53)+IS!CW62)),((-IS!CW26+-IS!CW27+-IS!CW28+-IS!CW29+-IS!CW30+IS!CW51+-IS!CW53)+IS!CW62),0)</f>
        <v>-22.289999999999996</v>
      </c>
      <c r="R237" s="1417"/>
      <c r="S237" s="1417"/>
      <c r="T237" s="1417"/>
      <c r="U237" s="1417"/>
      <c r="V237" s="1417"/>
      <c r="W237" s="1417"/>
      <c r="X237" s="1417"/>
      <c r="Y237" s="1417"/>
      <c r="Z237" s="1417"/>
    </row>
    <row r="238" spans="1:26" s="1395" customFormat="1" ht="11.25" customHeight="1">
      <c r="B238" s="1393" t="s">
        <v>828</v>
      </c>
      <c r="C238" s="1394">
        <f>IF(ISNUMBER(IS!CJ59),IS!CJ59,0)</f>
        <v>0.35</v>
      </c>
      <c r="D238" s="1394">
        <f>IF(ISNUMBER(IS!CK59),IS!CK59,0)</f>
        <v>0.35</v>
      </c>
      <c r="E238" s="1394">
        <f>IF(ISNUMBER(IS!CL59),IS!CL59,0)</f>
        <v>0.35</v>
      </c>
      <c r="F238" s="1394">
        <f>IF(ISNUMBER(IS!CM59),IS!CM59,0)</f>
        <v>0.35</v>
      </c>
      <c r="G238" s="1394">
        <f>IF(ISNUMBER(IS!CO59),IS!CO59,0)</f>
        <v>0.35</v>
      </c>
      <c r="H238" s="1394">
        <f>IF(ISNUMBER(IS!CP59),IS!CP59,0)</f>
        <v>0.35</v>
      </c>
      <c r="I238" s="1394">
        <f>IF(ISNUMBER(IS!CQ59),IS!CQ59,0)</f>
        <v>0.35</v>
      </c>
      <c r="J238" s="1394">
        <f>IF(ISNUMBER(IS!CR59),IS!CR59,0)</f>
        <v>0.35</v>
      </c>
      <c r="K238" s="1394">
        <f>IF(ISNUMBER(IS!CT59),IS!CT59,0)</f>
        <v>0.35</v>
      </c>
      <c r="L238" s="1394">
        <f>IF(ISNUMBER(IS!CU59),IS!CU59,0)</f>
        <v>0.35</v>
      </c>
      <c r="M238" s="1394">
        <f>IF(ISNUMBER(IS!CV59),IS!CV59,0)</f>
        <v>0.35</v>
      </c>
      <c r="N238" s="1394">
        <f>IF(ISNUMBER(IS!CW59),IS!CW59,0)</f>
        <v>0.35</v>
      </c>
      <c r="R238" s="1417"/>
      <c r="S238" s="1417"/>
      <c r="T238" s="1417"/>
      <c r="U238" s="1417"/>
      <c r="V238" s="1417"/>
      <c r="W238" s="1417"/>
      <c r="X238" s="1417"/>
      <c r="Y238" s="1417"/>
      <c r="Z238" s="1417"/>
    </row>
    <row r="239" spans="1:26" s="1395" customFormat="1" ht="12.75">
      <c r="B239" s="1393"/>
      <c r="R239" s="1417"/>
      <c r="S239" s="1417"/>
      <c r="T239" s="1417"/>
      <c r="U239" s="1417"/>
      <c r="V239" s="1417"/>
      <c r="W239" s="1417"/>
      <c r="X239" s="1417"/>
      <c r="Y239" s="1417"/>
      <c r="Z239" s="1417"/>
    </row>
    <row r="240" spans="1:26" s="1395" customFormat="1" ht="12.75">
      <c r="B240" s="1393" t="s">
        <v>829</v>
      </c>
      <c r="C240" s="1471">
        <f>IF(ISNUMBER((BS!J26+((+BS!J10+BS!J17)-(BS!J10)))),(BS!J26+((+BS!J10+BS!J17)-(BS!J10))),0)</f>
        <v>20.557999999999996</v>
      </c>
      <c r="D240" s="1471">
        <f>IF(ISNUMBER((BS!K26+((+BS!K10+BS!K17)-(BS!K10)))),(BS!K26+((+BS!K10+BS!K17)-(BS!K10))),0)</f>
        <v>28.093000000000004</v>
      </c>
      <c r="E240" s="1471">
        <f>IF(ISNUMBER((BS!L26+((+BS!L10+BS!L17)-(BS!L10)))),(BS!L26+((+BS!L10+BS!L17)-(BS!L10))),0)</f>
        <v>51.298999999999992</v>
      </c>
      <c r="F240" s="1471">
        <f>IF(ISNUMBER((BS!M26+((+BS!M10+BS!M17)-(BS!M10)))),(BS!M26+((+BS!M10+BS!M17)-(BS!M10))),0)</f>
        <v>45.625999999999998</v>
      </c>
      <c r="G240" s="1471">
        <f>IF(ISNUMBER((BS!N26+((+BS!N10+BS!N17)-(BS!N10)))),(BS!N26+((+BS!N10+BS!N17)-(BS!N10))),0)</f>
        <v>9.8030000000000257</v>
      </c>
      <c r="H240" s="1471">
        <f>IF(ISNUMBER((BS!O26+((+BS!O10+BS!O17)-(BS!O10)))),(BS!O26+((+BS!O10+BS!O17)-(BS!O10))),0)</f>
        <v>2.8060000000000116</v>
      </c>
      <c r="I240" s="1471">
        <f>IF(ISNUMBER((BS!P26+((+BS!P10+BS!P17)-(BS!P10)))),(BS!P26+((+BS!P10+BS!P17)-(BS!P10))),0)</f>
        <v>161.80099999999993</v>
      </c>
      <c r="J240" s="1471">
        <f>IF(ISNUMBER((BS!Q26+((+BS!Q10+BS!Q17)-(BS!Q10)))),(BS!Q26+((+BS!Q10+BS!Q17)-(BS!Q10))),0)</f>
        <v>127.81899999999999</v>
      </c>
      <c r="K240" s="1471">
        <f>IF(ISNUMBER((BS!R26+((+BS!R10+BS!R17)-(BS!R10)))),(BS!R26+((+BS!R10+BS!R17)-(BS!R10))),0)</f>
        <v>398.39</v>
      </c>
      <c r="L240" s="1471">
        <f>IF(ISNUMBER((BS!S26+((+BS!S10+BS!S17)-(BS!S10)))),(BS!S26+((+BS!S10+BS!S17)-(BS!S10))),0)</f>
        <v>0.43899999999996453</v>
      </c>
      <c r="M240" s="1471">
        <f>IF(ISNUMBER((BS!T26+((+BS!T10+BS!T17)-(BS!T10)))),(BS!T26+((+BS!T10+BS!T17)-(BS!T10))),0)</f>
        <v>4.5839999999999996</v>
      </c>
      <c r="N240" s="1471">
        <f>IF(ISNUMBER((BS!U26+((+BS!U10+BS!U17)-(BS!U10)))),(BS!U26+((+BS!U10+BS!U17)-(BS!U10))),0)</f>
        <v>10.042000000000002</v>
      </c>
      <c r="R240" s="1417"/>
      <c r="S240" s="1417"/>
      <c r="T240" s="1417"/>
      <c r="U240" s="1417"/>
      <c r="V240" s="1417"/>
      <c r="W240" s="1417"/>
      <c r="X240" s="1417"/>
      <c r="Y240" s="1417"/>
      <c r="Z240" s="1417"/>
    </row>
    <row r="241" spans="2:26" s="1395" customFormat="1" ht="12.75">
      <c r="B241" s="1393" t="s">
        <v>830</v>
      </c>
      <c r="C241" s="1471">
        <f>IF(ISNUMBER(0),0,0)</f>
        <v>0</v>
      </c>
      <c r="D241" s="1471">
        <f>IF(ISNUMBER(0),0,0)</f>
        <v>0</v>
      </c>
      <c r="E241" s="1471">
        <f>IF(ISNUMBER(0),0,0)</f>
        <v>0</v>
      </c>
      <c r="F241" s="1471">
        <f>IF(ISNUMBER(0),0,0)</f>
        <v>0</v>
      </c>
      <c r="G241" s="1471">
        <f>IF(ISNUMBER(0),0,0)</f>
        <v>0</v>
      </c>
      <c r="H241" s="1471">
        <f t="shared" ref="H241:N241" si="51">IF(ISNUMBER(0),0,0)</f>
        <v>0</v>
      </c>
      <c r="I241" s="1471">
        <f t="shared" si="51"/>
        <v>0</v>
      </c>
      <c r="J241" s="1471">
        <f t="shared" si="51"/>
        <v>0</v>
      </c>
      <c r="K241" s="1471">
        <f t="shared" si="51"/>
        <v>0</v>
      </c>
      <c r="L241" s="1471">
        <f t="shared" si="51"/>
        <v>0</v>
      </c>
      <c r="M241" s="1471">
        <f t="shared" si="51"/>
        <v>0</v>
      </c>
      <c r="N241" s="1471">
        <f t="shared" si="51"/>
        <v>0</v>
      </c>
      <c r="R241" s="1417"/>
      <c r="S241" s="1417"/>
      <c r="T241" s="1417"/>
      <c r="U241" s="1417"/>
      <c r="V241" s="1417"/>
      <c r="W241" s="1417"/>
      <c r="X241" s="1417"/>
      <c r="Y241" s="1417"/>
      <c r="Z241" s="1417"/>
    </row>
    <row r="242" spans="2:26" s="1395" customFormat="1" ht="12.75">
      <c r="B242" s="1393" t="s">
        <v>783</v>
      </c>
      <c r="C242" s="1472">
        <f t="shared" ref="C242:N242" si="52">(C240-C241)</f>
        <v>20.557999999999996</v>
      </c>
      <c r="D242" s="1472">
        <f t="shared" si="52"/>
        <v>28.093000000000004</v>
      </c>
      <c r="E242" s="1472">
        <f t="shared" si="52"/>
        <v>51.298999999999992</v>
      </c>
      <c r="F242" s="1472">
        <f t="shared" si="52"/>
        <v>45.625999999999998</v>
      </c>
      <c r="G242" s="1472">
        <f t="shared" si="52"/>
        <v>9.8030000000000257</v>
      </c>
      <c r="H242" s="1472">
        <f t="shared" si="52"/>
        <v>2.8060000000000116</v>
      </c>
      <c r="I242" s="1472">
        <f t="shared" si="52"/>
        <v>161.80099999999993</v>
      </c>
      <c r="J242" s="1472">
        <f t="shared" si="52"/>
        <v>127.81899999999999</v>
      </c>
      <c r="K242" s="1472">
        <f t="shared" si="52"/>
        <v>398.39</v>
      </c>
      <c r="L242" s="1472">
        <f t="shared" si="52"/>
        <v>0.43899999999996453</v>
      </c>
      <c r="M242" s="1472">
        <f t="shared" si="52"/>
        <v>4.5839999999999996</v>
      </c>
      <c r="N242" s="1472">
        <f t="shared" si="52"/>
        <v>10.042000000000002</v>
      </c>
      <c r="R242" s="1417"/>
      <c r="S242" s="1417"/>
      <c r="T242" s="1417"/>
      <c r="U242" s="1417"/>
      <c r="V242" s="1417"/>
      <c r="W242" s="1417"/>
      <c r="X242" s="1417"/>
      <c r="Y242" s="1417"/>
      <c r="Z242" s="1417"/>
    </row>
    <row r="243" spans="2:26" s="1418" customFormat="1">
      <c r="R243" s="1470"/>
      <c r="S243" s="1470"/>
      <c r="T243" s="1470"/>
      <c r="U243" s="1470"/>
      <c r="V243" s="1470"/>
      <c r="W243" s="1470"/>
      <c r="X243" s="1470"/>
      <c r="Y243" s="1470"/>
      <c r="Z243" s="1470"/>
    </row>
    <row r="244" spans="2:26">
      <c r="B244" s="1395"/>
      <c r="C244" s="1395"/>
      <c r="D244" s="1395"/>
      <c r="E244" s="1395"/>
      <c r="F244" s="1395"/>
      <c r="G244" s="1395"/>
      <c r="H244" s="1395"/>
      <c r="I244" s="1395"/>
      <c r="J244" s="1395"/>
      <c r="K244" s="1395"/>
      <c r="L244" s="1395"/>
      <c r="M244" s="1395"/>
      <c r="N244" s="1395"/>
    </row>
    <row r="301" spans="1:17" ht="12.75">
      <c r="A301" s="1420"/>
      <c r="B301" s="1420"/>
      <c r="C301" s="1420"/>
      <c r="D301" s="1420"/>
      <c r="E301" s="1420"/>
      <c r="F301" s="1420"/>
      <c r="G301" s="1420"/>
      <c r="H301" s="1420"/>
      <c r="I301" s="1420"/>
      <c r="J301" s="1420"/>
      <c r="K301" s="1420"/>
      <c r="L301" s="1420"/>
      <c r="M301" s="1420"/>
      <c r="N301" s="1420"/>
      <c r="O301" s="1393"/>
      <c r="P301" s="1393"/>
      <c r="Q301" s="1393"/>
    </row>
    <row r="302" spans="1:17" ht="12.75">
      <c r="A302" s="1420"/>
      <c r="B302" s="1420"/>
      <c r="C302" s="1420"/>
      <c r="D302" s="1420"/>
      <c r="E302" s="1420"/>
      <c r="F302" s="1420"/>
      <c r="G302" s="1420"/>
      <c r="H302" s="1420"/>
      <c r="I302" s="1420"/>
      <c r="J302" s="1420"/>
      <c r="K302" s="1420"/>
      <c r="L302" s="1420"/>
      <c r="M302" s="1420"/>
      <c r="N302" s="1420"/>
      <c r="O302" s="1393"/>
      <c r="P302" s="1393"/>
      <c r="Q302" s="1393"/>
    </row>
    <row r="303" spans="1:17" ht="12.75">
      <c r="A303" s="1420"/>
      <c r="B303" s="1420"/>
      <c r="C303" s="1420"/>
      <c r="D303" s="1420"/>
      <c r="E303" s="1420"/>
      <c r="F303" s="1420"/>
      <c r="G303" s="1420"/>
      <c r="H303" s="1420"/>
      <c r="I303" s="1420"/>
      <c r="J303" s="1420"/>
      <c r="K303" s="1420"/>
      <c r="L303" s="1420"/>
      <c r="M303" s="1420"/>
      <c r="N303" s="1420"/>
      <c r="O303" s="1393"/>
      <c r="P303" s="1393"/>
      <c r="Q303" s="1393"/>
    </row>
    <row r="304" spans="1:17" ht="12.75">
      <c r="A304" s="1420"/>
      <c r="B304" s="1420"/>
      <c r="C304" s="1420"/>
      <c r="D304" s="1420"/>
      <c r="E304" s="1420"/>
      <c r="F304" s="1420"/>
      <c r="G304" s="1420"/>
      <c r="H304" s="1420"/>
      <c r="I304" s="1420"/>
      <c r="J304" s="1420"/>
      <c r="K304" s="1420"/>
      <c r="L304" s="1420"/>
      <c r="M304" s="1420"/>
      <c r="N304" s="1420"/>
      <c r="O304" s="1393"/>
      <c r="P304" s="1393"/>
      <c r="Q304" s="1393"/>
    </row>
    <row r="305" spans="1:17" ht="12.75">
      <c r="A305" s="1420"/>
      <c r="B305" s="1420"/>
      <c r="C305" s="1420"/>
      <c r="D305" s="1420"/>
      <c r="E305" s="1420"/>
      <c r="F305" s="1420"/>
      <c r="G305" s="1420"/>
      <c r="H305" s="1420"/>
      <c r="I305" s="1420"/>
      <c r="J305" s="1420"/>
      <c r="K305" s="1420"/>
      <c r="L305" s="1420"/>
      <c r="M305" s="1420"/>
      <c r="N305" s="1420"/>
      <c r="O305" s="1393"/>
      <c r="P305" s="1393"/>
      <c r="Q305" s="1393"/>
    </row>
    <row r="306" spans="1:17" ht="12.75">
      <c r="A306" s="1420"/>
      <c r="B306" s="1420"/>
      <c r="C306" s="1420"/>
      <c r="D306" s="1420"/>
      <c r="E306" s="1420"/>
      <c r="F306" s="1420"/>
      <c r="G306" s="1420"/>
      <c r="H306" s="1420"/>
      <c r="I306" s="1420"/>
      <c r="J306" s="1420"/>
      <c r="K306" s="1420"/>
      <c r="L306" s="1420"/>
      <c r="M306" s="1420"/>
      <c r="N306" s="1420"/>
      <c r="O306" s="1393"/>
      <c r="P306" s="1393"/>
      <c r="Q306" s="1393"/>
    </row>
    <row r="307" spans="1:17" ht="12.75">
      <c r="A307" s="1420"/>
      <c r="B307" s="1420"/>
      <c r="C307" s="1420"/>
      <c r="D307" s="1420"/>
      <c r="E307" s="1420"/>
      <c r="F307" s="1420"/>
      <c r="G307" s="1420"/>
      <c r="H307" s="1420"/>
      <c r="I307" s="1420"/>
      <c r="J307" s="1420"/>
      <c r="K307" s="1420"/>
      <c r="L307" s="1420"/>
      <c r="M307" s="1420"/>
      <c r="N307" s="1420"/>
      <c r="O307" s="1393"/>
      <c r="P307" s="1393"/>
      <c r="Q307" s="1393"/>
    </row>
    <row r="308" spans="1:17" ht="12.75">
      <c r="A308" s="1420" t="s">
        <v>215</v>
      </c>
      <c r="B308" s="1420"/>
      <c r="C308" s="1420"/>
      <c r="D308" s="1420"/>
      <c r="E308" s="1420"/>
      <c r="F308" s="1420"/>
      <c r="G308" s="1420"/>
      <c r="H308" s="1420"/>
      <c r="I308" s="1420"/>
      <c r="J308" s="1420"/>
      <c r="K308" s="1420"/>
      <c r="L308" s="1420"/>
      <c r="M308" s="1420"/>
      <c r="N308" s="1420"/>
      <c r="O308" s="1393"/>
      <c r="P308" s="1393"/>
      <c r="Q308" s="1393"/>
    </row>
    <row r="309" spans="1:17" ht="12.75">
      <c r="A309" s="1420" t="s">
        <v>814</v>
      </c>
      <c r="B309" s="1420"/>
      <c r="C309" s="1420"/>
      <c r="D309" s="1420"/>
      <c r="E309" s="1420"/>
      <c r="F309" s="1420"/>
      <c r="G309" s="1420"/>
      <c r="H309" s="1420"/>
      <c r="I309" s="1420"/>
      <c r="J309" s="1420"/>
      <c r="K309" s="1420"/>
      <c r="L309" s="1420"/>
      <c r="M309" s="1420"/>
      <c r="N309" s="1420"/>
      <c r="O309" s="1393"/>
      <c r="P309" s="1393"/>
      <c r="Q309" s="1393"/>
    </row>
    <row r="310" spans="1:17" ht="12.75">
      <c r="A310" s="1352" t="s">
        <v>212</v>
      </c>
      <c r="B310" s="1420"/>
      <c r="C310" s="1420">
        <v>12</v>
      </c>
      <c r="D310" s="1420">
        <v>12</v>
      </c>
      <c r="E310" s="1420">
        <v>12</v>
      </c>
      <c r="F310" s="1420">
        <v>12</v>
      </c>
      <c r="G310" s="1420">
        <v>12</v>
      </c>
      <c r="H310" s="1420">
        <v>12</v>
      </c>
      <c r="I310" s="1420">
        <v>12</v>
      </c>
      <c r="J310" s="1420">
        <v>12</v>
      </c>
      <c r="K310" s="1420">
        <v>12</v>
      </c>
      <c r="L310" s="1420">
        <v>12</v>
      </c>
      <c r="M310" s="1420">
        <v>12</v>
      </c>
      <c r="N310" s="1420">
        <v>12</v>
      </c>
      <c r="O310" s="1393"/>
      <c r="P310" s="1393"/>
      <c r="Q310" s="1393"/>
    </row>
    <row r="311" spans="1:17" ht="12.75">
      <c r="A311" s="1420"/>
      <c r="B311" s="1420"/>
      <c r="C311" s="1420"/>
      <c r="D311" s="1420"/>
      <c r="E311" s="1420"/>
      <c r="F311" s="1420"/>
      <c r="G311" s="1420"/>
      <c r="H311" s="1420"/>
      <c r="I311" s="1420"/>
      <c r="J311" s="1420"/>
      <c r="K311" s="1420"/>
      <c r="L311" s="1420"/>
      <c r="M311" s="1420"/>
      <c r="N311" s="1420"/>
      <c r="O311" s="1393"/>
      <c r="P311" s="1393"/>
      <c r="Q311" s="1393"/>
    </row>
    <row r="312" spans="1:17" ht="12.75">
      <c r="A312" s="1420"/>
      <c r="B312" s="1420"/>
      <c r="C312" s="1420"/>
      <c r="D312" s="1420"/>
      <c r="E312" s="1420"/>
      <c r="F312" s="1420"/>
      <c r="G312" s="1420"/>
      <c r="H312" s="1420"/>
      <c r="I312" s="1420"/>
      <c r="J312" s="1420"/>
      <c r="K312" s="1420"/>
      <c r="L312" s="1420"/>
      <c r="M312" s="1420"/>
      <c r="N312" s="1420"/>
      <c r="O312" s="1393"/>
      <c r="P312" s="1393"/>
      <c r="Q312" s="1393"/>
    </row>
    <row r="317" spans="1:17" ht="12.75">
      <c r="A317" s="1420"/>
      <c r="B317" s="1420"/>
      <c r="C317" s="1420"/>
      <c r="D317" s="1420"/>
      <c r="E317" s="1420"/>
      <c r="F317" s="1420"/>
      <c r="G317" s="1420"/>
      <c r="H317" s="1420"/>
      <c r="I317" s="1420"/>
      <c r="J317" s="1420"/>
      <c r="K317" s="1420"/>
      <c r="L317" s="1420"/>
      <c r="M317" s="1420"/>
      <c r="N317" s="1420"/>
      <c r="O317" s="1393"/>
      <c r="P317" s="1393"/>
      <c r="Q317" s="1393"/>
    </row>
    <row r="318" spans="1:17" ht="12.75">
      <c r="A318" s="1420"/>
      <c r="B318" s="1420"/>
      <c r="C318" s="1420"/>
      <c r="D318" s="1420"/>
      <c r="E318" s="1420"/>
      <c r="F318" s="1420"/>
      <c r="G318" s="1420"/>
      <c r="H318" s="1420"/>
      <c r="I318" s="1420"/>
      <c r="J318" s="1420"/>
      <c r="K318" s="1420"/>
      <c r="L318" s="1420"/>
      <c r="M318" s="1420"/>
      <c r="N318" s="1420"/>
      <c r="O318" s="1393"/>
      <c r="P318" s="1393"/>
      <c r="Q318" s="1393"/>
    </row>
    <row r="319" spans="1:17" ht="12.75">
      <c r="A319" s="1420"/>
      <c r="B319" s="1420"/>
      <c r="C319" s="1420"/>
      <c r="D319" s="1420"/>
      <c r="E319" s="1420"/>
      <c r="F319" s="1420"/>
      <c r="G319" s="1420"/>
      <c r="H319" s="1420"/>
      <c r="I319" s="1420"/>
      <c r="J319" s="1420"/>
      <c r="K319" s="1420"/>
      <c r="L319" s="1420"/>
      <c r="M319" s="1420"/>
      <c r="N319" s="1420"/>
      <c r="O319" s="1393"/>
      <c r="P319" s="1393"/>
      <c r="Q319" s="1393"/>
    </row>
    <row r="320" spans="1:17" ht="12.75">
      <c r="A320" s="1420"/>
      <c r="B320" s="1420"/>
      <c r="C320" s="1420"/>
      <c r="D320" s="1420"/>
      <c r="E320" s="1420"/>
      <c r="F320" s="1420"/>
      <c r="G320" s="1420"/>
      <c r="H320" s="1420"/>
      <c r="I320" s="1420"/>
      <c r="J320" s="1420"/>
      <c r="K320" s="1420"/>
      <c r="L320" s="1420"/>
      <c r="M320" s="1420"/>
      <c r="N320" s="1420"/>
      <c r="O320" s="1393"/>
      <c r="P320" s="1393"/>
      <c r="Q320" s="1393"/>
    </row>
    <row r="321" spans="1:17" ht="12.75">
      <c r="A321" s="1420"/>
      <c r="B321" s="1420"/>
      <c r="C321" s="1420"/>
      <c r="D321" s="1420"/>
      <c r="E321" s="1420"/>
      <c r="F321" s="1420"/>
      <c r="G321" s="1420"/>
      <c r="H321" s="1420"/>
      <c r="I321" s="1420"/>
      <c r="J321" s="1420"/>
      <c r="K321" s="1420"/>
      <c r="L321" s="1420"/>
      <c r="M321" s="1420"/>
      <c r="N321" s="1420"/>
      <c r="O321" s="1393"/>
      <c r="P321" s="1393"/>
      <c r="Q321" s="1393"/>
    </row>
    <row r="322" spans="1:17" ht="12.75">
      <c r="A322" s="1420"/>
      <c r="B322" s="1420"/>
      <c r="C322" s="1420"/>
      <c r="D322" s="1420"/>
      <c r="E322" s="1420"/>
      <c r="F322" s="1420"/>
      <c r="G322" s="1420"/>
      <c r="H322" s="1420"/>
      <c r="I322" s="1420"/>
      <c r="J322" s="1420"/>
      <c r="K322" s="1420"/>
      <c r="L322" s="1420"/>
      <c r="M322" s="1420"/>
      <c r="N322" s="1420"/>
      <c r="O322" s="1393"/>
      <c r="P322" s="1393"/>
      <c r="Q322" s="1393"/>
    </row>
    <row r="323" spans="1:17" ht="12.75">
      <c r="A323" s="1420"/>
      <c r="B323" s="1420"/>
      <c r="C323" s="1420"/>
      <c r="D323" s="1420"/>
      <c r="E323" s="1420"/>
      <c r="F323" s="1420"/>
      <c r="G323" s="1420"/>
      <c r="H323" s="1420"/>
      <c r="I323" s="1420"/>
      <c r="J323" s="1420"/>
      <c r="K323" s="1420"/>
      <c r="L323" s="1420"/>
      <c r="M323" s="1420"/>
      <c r="N323" s="1420"/>
      <c r="O323" s="1393"/>
      <c r="P323" s="1393"/>
      <c r="Q323" s="1393"/>
    </row>
    <row r="328" spans="1:17" ht="12.75">
      <c r="A328" s="1420"/>
      <c r="B328" s="1420"/>
      <c r="C328" s="1420"/>
      <c r="D328" s="1420"/>
      <c r="E328" s="1420"/>
      <c r="F328" s="1420"/>
      <c r="G328" s="1420"/>
      <c r="H328" s="1420"/>
      <c r="I328" s="1420"/>
      <c r="J328" s="1420"/>
      <c r="K328" s="1420"/>
      <c r="L328" s="1420"/>
      <c r="M328" s="1420"/>
      <c r="N328" s="1420"/>
      <c r="O328" s="1393"/>
      <c r="P328" s="1393"/>
      <c r="Q328" s="1393"/>
    </row>
    <row r="329" spans="1:17" ht="12.75">
      <c r="A329" s="1420"/>
      <c r="B329" s="1420"/>
      <c r="C329" s="1420"/>
      <c r="D329" s="1420"/>
      <c r="E329" s="1420"/>
      <c r="F329" s="1420"/>
      <c r="G329" s="1420"/>
      <c r="H329" s="1420"/>
      <c r="I329" s="1420"/>
      <c r="J329" s="1420"/>
      <c r="K329" s="1420"/>
      <c r="L329" s="1420"/>
      <c r="M329" s="1420"/>
      <c r="N329" s="1420"/>
      <c r="O329" s="1393"/>
      <c r="P329" s="1393"/>
      <c r="Q329" s="1393"/>
    </row>
    <row r="330" spans="1:17" ht="12.75">
      <c r="A330" s="1420"/>
      <c r="B330" s="1420"/>
      <c r="C330" s="1420"/>
      <c r="D330" s="1420"/>
      <c r="E330" s="1420"/>
      <c r="F330" s="1420"/>
      <c r="G330" s="1420"/>
      <c r="H330" s="1420"/>
      <c r="I330" s="1420"/>
      <c r="J330" s="1420"/>
      <c r="K330" s="1420"/>
      <c r="L330" s="1420"/>
      <c r="M330" s="1420"/>
      <c r="N330" s="1420"/>
      <c r="O330" s="1393"/>
      <c r="P330" s="1393"/>
      <c r="Q330" s="1393"/>
    </row>
    <row r="331" spans="1:17" ht="12.75">
      <c r="A331" s="1420"/>
      <c r="B331" s="1420"/>
      <c r="C331" s="1420"/>
      <c r="D331" s="1420"/>
      <c r="E331" s="1420"/>
      <c r="F331" s="1420"/>
      <c r="G331" s="1420"/>
      <c r="H331" s="1420"/>
      <c r="I331" s="1420"/>
      <c r="J331" s="1420"/>
      <c r="K331" s="1420"/>
      <c r="L331" s="1420"/>
      <c r="M331" s="1420"/>
      <c r="N331" s="1420"/>
      <c r="O331" s="1393"/>
      <c r="P331" s="1393"/>
      <c r="Q331" s="1393"/>
    </row>
    <row r="332" spans="1:17" ht="12.75">
      <c r="A332" s="1420"/>
      <c r="B332" s="1420"/>
      <c r="C332" s="1420"/>
      <c r="D332" s="1420"/>
      <c r="E332" s="1420"/>
      <c r="F332" s="1420"/>
      <c r="G332" s="1420"/>
      <c r="H332" s="1420"/>
      <c r="I332" s="1420"/>
      <c r="J332" s="1420"/>
      <c r="K332" s="1420"/>
      <c r="L332" s="1420"/>
      <c r="M332" s="1420"/>
      <c r="N332" s="1420"/>
      <c r="O332" s="1393"/>
      <c r="P332" s="1393"/>
      <c r="Q332" s="1393"/>
    </row>
    <row r="333" spans="1:17" ht="12.75">
      <c r="A333" s="1420"/>
      <c r="B333" s="1420"/>
      <c r="C333" s="1420"/>
      <c r="D333" s="1420"/>
      <c r="E333" s="1420"/>
      <c r="F333" s="1420"/>
      <c r="G333" s="1420"/>
      <c r="H333" s="1420"/>
      <c r="I333" s="1420"/>
      <c r="J333" s="1420"/>
      <c r="K333" s="1420"/>
      <c r="L333" s="1420"/>
      <c r="M333" s="1420"/>
      <c r="N333" s="1420"/>
      <c r="O333" s="1393"/>
      <c r="P333" s="1393"/>
      <c r="Q333" s="1393"/>
    </row>
    <row r="334" spans="1:17" ht="12.75">
      <c r="A334" s="1420"/>
      <c r="B334" s="1420"/>
      <c r="C334" s="1420"/>
      <c r="D334" s="1420"/>
      <c r="E334" s="1420"/>
      <c r="F334" s="1420"/>
      <c r="G334" s="1420"/>
      <c r="H334" s="1420"/>
      <c r="I334" s="1420"/>
      <c r="J334" s="1420"/>
      <c r="K334" s="1420"/>
      <c r="L334" s="1420"/>
      <c r="M334" s="1420"/>
      <c r="N334" s="1420"/>
      <c r="O334" s="1393"/>
      <c r="P334" s="1393"/>
      <c r="Q334" s="1393"/>
    </row>
    <row r="375" spans="2:14">
      <c r="B375" s="1432"/>
      <c r="C375" s="1432"/>
      <c r="D375" s="1432"/>
      <c r="E375" s="1432"/>
      <c r="F375" s="1432"/>
      <c r="G375" s="1432"/>
      <c r="H375" s="1432"/>
      <c r="I375" s="1432"/>
      <c r="J375" s="1432"/>
      <c r="K375" s="1432"/>
      <c r="L375" s="1432"/>
    </row>
    <row r="376" spans="2:14">
      <c r="B376" s="1432" t="s">
        <v>215</v>
      </c>
      <c r="C376" s="1432"/>
      <c r="D376" s="1432"/>
      <c r="E376" s="1432"/>
      <c r="F376" s="1432"/>
      <c r="G376" s="1432"/>
      <c r="H376" s="1432"/>
      <c r="I376" s="1432"/>
      <c r="J376" s="1432"/>
      <c r="K376" s="1432"/>
      <c r="L376" s="1432"/>
    </row>
    <row r="377" spans="2:14" ht="12.75" customHeight="1">
      <c r="B377" s="1473" t="s">
        <v>831</v>
      </c>
      <c r="C377" s="1474">
        <f>D377-1</f>
        <v>2006</v>
      </c>
      <c r="D377" s="1474">
        <f>E377-1</f>
        <v>2007</v>
      </c>
      <c r="E377" s="1474">
        <f>F377-1</f>
        <v>2008</v>
      </c>
      <c r="F377" s="1474">
        <f>G377-1</f>
        <v>2009</v>
      </c>
      <c r="G377" s="1474">
        <f>H377-1</f>
        <v>2010</v>
      </c>
      <c r="H377" s="1474">
        <v>2011</v>
      </c>
      <c r="I377" s="1474">
        <f t="shared" ref="I377:N377" si="53">H377+1</f>
        <v>2012</v>
      </c>
      <c r="J377" s="1474">
        <f t="shared" si="53"/>
        <v>2013</v>
      </c>
      <c r="K377" s="1474">
        <f t="shared" si="53"/>
        <v>2014</v>
      </c>
      <c r="L377" s="1474">
        <f t="shared" si="53"/>
        <v>2015</v>
      </c>
      <c r="M377" s="1410">
        <f t="shared" si="53"/>
        <v>2016</v>
      </c>
      <c r="N377" s="1410">
        <f t="shared" si="53"/>
        <v>2017</v>
      </c>
    </row>
    <row r="378" spans="2:14">
      <c r="B378" s="1473">
        <v>12</v>
      </c>
      <c r="C378" s="1475" t="str">
        <f t="shared" ref="C378:N378" si="54">"F"&amp;C$380&amp;"/"&amp;MID(C$377,3,2)</f>
        <v>F12/06</v>
      </c>
      <c r="D378" s="1475" t="str">
        <f t="shared" si="54"/>
        <v>F12/07</v>
      </c>
      <c r="E378" s="1475" t="str">
        <f t="shared" si="54"/>
        <v>F12/08</v>
      </c>
      <c r="F378" s="1475" t="str">
        <f t="shared" si="54"/>
        <v>F12/09</v>
      </c>
      <c r="G378" s="1475" t="str">
        <f t="shared" si="54"/>
        <v>F12/10</v>
      </c>
      <c r="H378" s="1475" t="str">
        <f t="shared" si="54"/>
        <v>F12/11</v>
      </c>
      <c r="I378" s="1475" t="str">
        <f t="shared" si="54"/>
        <v>F12/12</v>
      </c>
      <c r="J378" s="1475" t="str">
        <f t="shared" si="54"/>
        <v>F12/13</v>
      </c>
      <c r="K378" s="1475" t="str">
        <f t="shared" si="54"/>
        <v>F12/14</v>
      </c>
      <c r="L378" s="1475" t="str">
        <f t="shared" si="54"/>
        <v>F12/15</v>
      </c>
      <c r="M378" s="1410" t="str">
        <f t="shared" si="54"/>
        <v>F12/16</v>
      </c>
      <c r="N378" s="1410" t="str">
        <f t="shared" si="54"/>
        <v>F12/17</v>
      </c>
    </row>
    <row r="379" spans="2:14">
      <c r="B379" s="1473" t="str">
        <f>A308</f>
        <v>English</v>
      </c>
      <c r="C379" s="1475" t="str">
        <f t="shared" ref="C379:N379" si="55">"F"&amp;MID(C$377,3,2)&amp;"/"&amp;C$380</f>
        <v>F06/12</v>
      </c>
      <c r="D379" s="1475" t="str">
        <f t="shared" si="55"/>
        <v>F07/12</v>
      </c>
      <c r="E379" s="1475" t="str">
        <f t="shared" si="55"/>
        <v>F08/12</v>
      </c>
      <c r="F379" s="1475" t="str">
        <f t="shared" si="55"/>
        <v>F09/12</v>
      </c>
      <c r="G379" s="1475" t="str">
        <f t="shared" si="55"/>
        <v>F10/12</v>
      </c>
      <c r="H379" s="1475" t="str">
        <f t="shared" si="55"/>
        <v>F11/12</v>
      </c>
      <c r="I379" s="1475" t="str">
        <f t="shared" si="55"/>
        <v>F12/12</v>
      </c>
      <c r="J379" s="1475" t="str">
        <f t="shared" si="55"/>
        <v>F13/12</v>
      </c>
      <c r="K379" s="1475" t="str">
        <f t="shared" si="55"/>
        <v>F14/12</v>
      </c>
      <c r="L379" s="1475" t="str">
        <f t="shared" si="55"/>
        <v>F15/12</v>
      </c>
      <c r="M379" s="1410" t="str">
        <f t="shared" si="55"/>
        <v>F16/12</v>
      </c>
      <c r="N379" s="1410" t="str">
        <f t="shared" si="55"/>
        <v>F17/12</v>
      </c>
    </row>
    <row r="380" spans="2:14" ht="12" customHeight="1">
      <c r="B380" s="1432" t="s">
        <v>814</v>
      </c>
      <c r="C380" s="1476">
        <f t="shared" ref="C380:K380" si="56">C310</f>
        <v>12</v>
      </c>
      <c r="D380" s="1476">
        <f t="shared" si="56"/>
        <v>12</v>
      </c>
      <c r="E380" s="1476">
        <f t="shared" si="56"/>
        <v>12</v>
      </c>
      <c r="F380" s="1476">
        <f t="shared" si="56"/>
        <v>12</v>
      </c>
      <c r="G380" s="1476">
        <f t="shared" si="56"/>
        <v>12</v>
      </c>
      <c r="H380" s="1476">
        <f t="shared" si="56"/>
        <v>12</v>
      </c>
      <c r="I380" s="1476">
        <f t="shared" si="56"/>
        <v>12</v>
      </c>
      <c r="J380" s="1476">
        <f t="shared" si="56"/>
        <v>12</v>
      </c>
      <c r="K380" s="1476">
        <f t="shared" si="56"/>
        <v>12</v>
      </c>
      <c r="L380" s="1476">
        <f>L310</f>
        <v>12</v>
      </c>
      <c r="M380" s="1410">
        <f>M310</f>
        <v>12</v>
      </c>
      <c r="N380" s="1410">
        <f>N310</f>
        <v>12</v>
      </c>
    </row>
    <row r="381" spans="2:14" ht="10.5" customHeight="1">
      <c r="B381" s="1432"/>
      <c r="C381" s="1476"/>
      <c r="D381" s="1476"/>
      <c r="E381" s="1476"/>
      <c r="F381" s="1476" t="str">
        <f>IF(C$381&lt;&gt;"",C$381,"")</f>
        <v/>
      </c>
      <c r="G381" s="1476" t="str">
        <f t="shared" ref="G381:N381" si="57">IF(F$381&lt;&gt;"",F$381,"")</f>
        <v/>
      </c>
      <c r="H381" s="1476" t="str">
        <f t="shared" si="57"/>
        <v/>
      </c>
      <c r="I381" s="1476" t="str">
        <f t="shared" si="57"/>
        <v/>
      </c>
      <c r="J381" s="1476" t="str">
        <f t="shared" si="57"/>
        <v/>
      </c>
      <c r="K381" s="1476" t="str">
        <f t="shared" si="57"/>
        <v/>
      </c>
      <c r="L381" s="1476" t="str">
        <f t="shared" si="57"/>
        <v/>
      </c>
      <c r="M381" s="1410" t="str">
        <f t="shared" si="57"/>
        <v/>
      </c>
      <c r="N381" s="1410" t="str">
        <f t="shared" si="57"/>
        <v/>
      </c>
    </row>
    <row r="382" spans="2:14">
      <c r="B382" s="1432"/>
      <c r="C382" s="1432"/>
      <c r="D382" s="1432"/>
      <c r="E382" s="1432"/>
      <c r="F382" s="1432"/>
      <c r="G382" s="1432"/>
      <c r="H382" s="1432"/>
      <c r="I382" s="1432"/>
      <c r="J382" s="1432"/>
      <c r="K382" s="1432"/>
      <c r="L382" s="1432"/>
    </row>
    <row r="383" spans="2:14">
      <c r="B383" s="1477" t="str">
        <f>(C377-1) &amp; "FY"</f>
        <v>2005FY</v>
      </c>
      <c r="C383" s="1477" t="str">
        <f t="shared" ref="C383:L383" si="58">C377 &amp; "FY"</f>
        <v>2006FY</v>
      </c>
      <c r="D383" s="1477" t="str">
        <f t="shared" si="58"/>
        <v>2007FY</v>
      </c>
      <c r="E383" s="1477" t="str">
        <f t="shared" si="58"/>
        <v>2008FY</v>
      </c>
      <c r="F383" s="1477" t="str">
        <f t="shared" si="58"/>
        <v>2009FY</v>
      </c>
      <c r="G383" s="1477" t="str">
        <f t="shared" si="58"/>
        <v>2010FY</v>
      </c>
      <c r="H383" s="1477" t="str">
        <f t="shared" si="58"/>
        <v>2011FY</v>
      </c>
      <c r="I383" s="1477" t="str">
        <f t="shared" si="58"/>
        <v>2012FY</v>
      </c>
      <c r="J383" s="1477" t="str">
        <f t="shared" si="58"/>
        <v>2013FY</v>
      </c>
      <c r="K383" s="1477" t="str">
        <f t="shared" si="58"/>
        <v>2014FY</v>
      </c>
      <c r="L383" s="1477" t="str">
        <f t="shared" si="58"/>
        <v>2015FY</v>
      </c>
    </row>
  </sheetData>
  <protectedRanges>
    <protectedRange sqref="B377:B379" name="Disclaimers"/>
    <protectedRange sqref="C378:L379" name="Disclaimers_1"/>
  </protectedRanges>
  <mergeCells count="2">
    <mergeCell ref="J1:K1"/>
    <mergeCell ref="C5:D5"/>
  </mergeCells>
  <phoneticPr fontId="2" type="noConversion"/>
  <conditionalFormatting sqref="O1">
    <cfRule type="expression" dxfId="7" priority="1" stopIfTrue="1">
      <formula>$B$338="English"</formula>
    </cfRule>
  </conditionalFormatting>
  <conditionalFormatting sqref="V2:V17 U1:U17 W1:AK17 O159:O160">
    <cfRule type="expression" dxfId="6" priority="2" stopIfTrue="1">
      <formula>$A$308&lt;&gt;"English"</formula>
    </cfRule>
  </conditionalFormatting>
  <conditionalFormatting sqref="A1:N1 P3:P32 V1 O3:O158 L3:N32 D17:E23">
    <cfRule type="expression" dxfId="5" priority="3" stopIfTrue="1">
      <formula>$A$308&lt;&gt;"English"</formula>
    </cfRule>
    <cfRule type="expression" dxfId="4" priority="4" stopIfTrue="1">
      <formula>$A$308="English"</formula>
    </cfRule>
  </conditionalFormatting>
  <pageMargins left="0.25" right="0.25" top="0.25" bottom="0.25" header="0" footer="0"/>
  <pageSetup scale="77" orientation="landscape" r:id="rId1"/>
  <headerFooter alignWithMargins="0"/>
  <drawing r:id="rId2"/>
  <legacyDrawing r:id="rId3"/>
  <controls>
    <mc:AlternateContent xmlns:mc="http://schemas.openxmlformats.org/markup-compatibility/2006">
      <mc:Choice Requires="x14">
        <control shapeId="192523" r:id="rId4" name="cmbLanguage">
          <controlPr defaultSize="0" autoLine="0" listFillRange="L9:L10" r:id="rId5">
            <anchor moveWithCells="1">
              <from>
                <xdr:col>15</xdr:col>
                <xdr:colOff>314325</xdr:colOff>
                <xdr:row>0</xdr:row>
                <xdr:rowOff>104775</xdr:rowOff>
              </from>
              <to>
                <xdr:col>17</xdr:col>
                <xdr:colOff>247650</xdr:colOff>
                <xdr:row>0</xdr:row>
                <xdr:rowOff>361950</xdr:rowOff>
              </to>
            </anchor>
          </controlPr>
        </control>
      </mc:Choice>
      <mc:Fallback>
        <control shapeId="192523" r:id="rId4" name="cmbLanguage"/>
      </mc:Fallback>
    </mc:AlternateContent>
    <mc:AlternateContent xmlns:mc="http://schemas.openxmlformats.org/markup-compatibility/2006">
      <mc:Choice Requires="x14">
        <control shapeId="192524" r:id="rId6" name="cmbYear">
          <controlPr defaultSize="0" autoLine="0" linkedCell="S7" listFillRange="R9:R18" r:id="rId7">
            <anchor moveWithCells="1">
              <from>
                <xdr:col>0</xdr:col>
                <xdr:colOff>66675</xdr:colOff>
                <xdr:row>14</xdr:row>
                <xdr:rowOff>85725</xdr:rowOff>
              </from>
              <to>
                <xdr:col>0</xdr:col>
                <xdr:colOff>904875</xdr:colOff>
                <xdr:row>15</xdr:row>
                <xdr:rowOff>57150</xdr:rowOff>
              </to>
            </anchor>
          </controlPr>
        </control>
      </mc:Choice>
      <mc:Fallback>
        <control shapeId="192524" r:id="rId6" name="cmbYear"/>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H60"/>
  <sheetViews>
    <sheetView workbookViewId="0"/>
  </sheetViews>
  <sheetFormatPr defaultRowHeight="12.75"/>
  <cols>
    <col min="2" max="2" width="27.42578125" customWidth="1"/>
    <col min="3" max="3" width="9.140625" style="1081"/>
    <col min="4" max="4" width="12.7109375" style="1081" bestFit="1" customWidth="1"/>
    <col min="5" max="5" width="12.7109375" style="1081" customWidth="1"/>
    <col min="6" max="6" width="9.7109375" bestFit="1" customWidth="1"/>
    <col min="7" max="8" width="14.42578125" bestFit="1" customWidth="1"/>
  </cols>
  <sheetData>
    <row r="1" spans="1:8">
      <c r="A1" s="712"/>
    </row>
    <row r="2" spans="1:8">
      <c r="B2" t="s">
        <v>1398</v>
      </c>
    </row>
    <row r="3" spans="1:8">
      <c r="B3" s="1223"/>
      <c r="C3" s="1224"/>
      <c r="D3" s="1224"/>
      <c r="E3" s="1224"/>
      <c r="F3" s="1223"/>
      <c r="G3" s="1223"/>
      <c r="H3" s="1223"/>
    </row>
    <row r="4" spans="1:8">
      <c r="B4" s="33"/>
      <c r="C4" s="1257" t="s">
        <v>1389</v>
      </c>
      <c r="D4" s="1257"/>
      <c r="E4" s="1257"/>
      <c r="G4" s="1229" t="s">
        <v>1396</v>
      </c>
      <c r="H4" s="1229"/>
    </row>
    <row r="5" spans="1:8">
      <c r="B5" s="33"/>
      <c r="C5" s="1228" t="s">
        <v>1394</v>
      </c>
      <c r="D5" s="1228" t="s">
        <v>465</v>
      </c>
      <c r="E5" s="1228" t="s">
        <v>889</v>
      </c>
      <c r="G5" s="1230" t="s">
        <v>1394</v>
      </c>
      <c r="H5" s="1231">
        <f>+C23+C42+C58</f>
        <v>35520</v>
      </c>
    </row>
    <row r="6" spans="1:8">
      <c r="B6" s="33" t="s">
        <v>1258</v>
      </c>
      <c r="C6" s="253">
        <v>500</v>
      </c>
      <c r="D6" s="1261">
        <v>29000000</v>
      </c>
      <c r="E6" s="1261">
        <f>+D6/C6</f>
        <v>58000</v>
      </c>
      <c r="G6" s="1232" t="s">
        <v>465</v>
      </c>
      <c r="H6" s="1233">
        <f>+D23+D42+D58</f>
        <v>1730500000</v>
      </c>
    </row>
    <row r="7" spans="1:8">
      <c r="B7" s="33" t="s">
        <v>1257</v>
      </c>
      <c r="C7" s="253">
        <v>600</v>
      </c>
      <c r="D7" s="1261">
        <v>10000000</v>
      </c>
      <c r="E7" s="1261">
        <f t="shared" ref="E7:E20" si="0">+D7/C7</f>
        <v>16666.666666666668</v>
      </c>
      <c r="G7" s="42" t="s">
        <v>1395</v>
      </c>
      <c r="H7" s="1233">
        <f>+H6/H5</f>
        <v>48719.031531531531</v>
      </c>
    </row>
    <row r="8" spans="1:8">
      <c r="B8" s="33" t="s">
        <v>1261</v>
      </c>
      <c r="C8" s="253">
        <v>1250</v>
      </c>
      <c r="D8" s="1261">
        <v>80000000</v>
      </c>
      <c r="E8" s="1261">
        <f t="shared" si="0"/>
        <v>64000</v>
      </c>
    </row>
    <row r="9" spans="1:8">
      <c r="B9" s="33" t="s">
        <v>199</v>
      </c>
      <c r="C9" s="253">
        <v>1750</v>
      </c>
      <c r="D9" s="1261">
        <v>80000000</v>
      </c>
      <c r="E9" s="1261">
        <f t="shared" si="0"/>
        <v>45714.285714285717</v>
      </c>
      <c r="G9" t="s">
        <v>1399</v>
      </c>
    </row>
    <row r="10" spans="1:8">
      <c r="B10" s="33" t="s">
        <v>471</v>
      </c>
      <c r="C10" s="253">
        <v>1450</v>
      </c>
      <c r="D10" s="1261">
        <v>35000000</v>
      </c>
      <c r="E10" s="1261">
        <f t="shared" si="0"/>
        <v>24137.931034482757</v>
      </c>
      <c r="G10" s="69" t="s">
        <v>1397</v>
      </c>
      <c r="H10" s="1234"/>
    </row>
    <row r="11" spans="1:8">
      <c r="B11" s="33" t="s">
        <v>1260</v>
      </c>
      <c r="C11" s="253">
        <v>1000</v>
      </c>
      <c r="D11" s="1261">
        <v>100000000</v>
      </c>
      <c r="E11" s="1261">
        <f t="shared" si="0"/>
        <v>100000</v>
      </c>
    </row>
    <row r="12" spans="1:8">
      <c r="B12" s="33" t="s">
        <v>1259</v>
      </c>
      <c r="C12" s="253">
        <v>450</v>
      </c>
      <c r="D12" s="1261">
        <v>25000000</v>
      </c>
      <c r="E12" s="1261">
        <f t="shared" si="0"/>
        <v>55555.555555555555</v>
      </c>
    </row>
    <row r="13" spans="1:8">
      <c r="B13" s="33" t="s">
        <v>1262</v>
      </c>
      <c r="C13" s="253">
        <v>600</v>
      </c>
      <c r="D13" s="1261">
        <v>30000000</v>
      </c>
      <c r="E13" s="1261">
        <f t="shared" si="0"/>
        <v>50000</v>
      </c>
    </row>
    <row r="14" spans="1:8">
      <c r="B14" s="33" t="s">
        <v>991</v>
      </c>
      <c r="C14" s="253">
        <v>2200</v>
      </c>
      <c r="D14" s="1261">
        <v>140000000</v>
      </c>
      <c r="E14" s="1261">
        <f t="shared" si="0"/>
        <v>63636.36363636364</v>
      </c>
      <c r="F14" s="1560">
        <f>+(C14/$G$21)*E14</f>
        <v>8383.2335329341331</v>
      </c>
    </row>
    <row r="15" spans="1:8">
      <c r="B15" s="33" t="s">
        <v>1263</v>
      </c>
      <c r="C15" s="253">
        <v>550</v>
      </c>
      <c r="D15" s="1261">
        <v>26000000</v>
      </c>
      <c r="E15" s="1261">
        <f t="shared" si="0"/>
        <v>47272.727272727272</v>
      </c>
      <c r="F15" s="1560">
        <f t="shared" ref="F15:F21" si="1">+(C15/$G$21)*E15</f>
        <v>1556.8862275449103</v>
      </c>
      <c r="G15">
        <f>+SUMPRODUCT(C14:C21,D14:D21)</f>
        <v>540430000000</v>
      </c>
    </row>
    <row r="16" spans="1:8">
      <c r="B16" s="33" t="s">
        <v>1836</v>
      </c>
      <c r="C16" s="253">
        <v>1050</v>
      </c>
      <c r="D16" s="1261">
        <v>60000000</v>
      </c>
      <c r="E16" s="1261">
        <f t="shared" si="0"/>
        <v>57142.857142857145</v>
      </c>
      <c r="F16" s="1560">
        <f t="shared" si="1"/>
        <v>3592.8143712574847</v>
      </c>
      <c r="G16">
        <f>+SUMPRODUCT(C36:C40,D36:D40)</f>
        <v>528535000000</v>
      </c>
      <c r="H16" s="1227"/>
    </row>
    <row r="17" spans="2:7">
      <c r="B17" s="33" t="s">
        <v>993</v>
      </c>
      <c r="C17" s="253">
        <v>680</v>
      </c>
      <c r="D17" s="1261">
        <v>30000000</v>
      </c>
      <c r="E17" s="1261">
        <f t="shared" si="0"/>
        <v>44117.647058823532</v>
      </c>
      <c r="F17" s="1560">
        <f t="shared" si="1"/>
        <v>1796.4071856287426</v>
      </c>
      <c r="G17">
        <f>+SUMPRODUCT(C54:C56,D54:D56)</f>
        <v>125200000000</v>
      </c>
    </row>
    <row r="18" spans="2:7">
      <c r="B18" s="33" t="s">
        <v>88</v>
      </c>
      <c r="C18" s="253">
        <v>450</v>
      </c>
      <c r="D18" s="1261">
        <v>15000000</v>
      </c>
      <c r="E18" s="1261">
        <f t="shared" si="0"/>
        <v>33333.333333333336</v>
      </c>
      <c r="F18" s="1560">
        <f t="shared" si="1"/>
        <v>898.2035928143714</v>
      </c>
      <c r="G18">
        <f>SUM(G15:G17)</f>
        <v>1194165000000</v>
      </c>
    </row>
    <row r="19" spans="2:7">
      <c r="B19" s="33" t="s">
        <v>90</v>
      </c>
      <c r="C19" s="253">
        <v>450</v>
      </c>
      <c r="D19" s="1261">
        <v>18000000</v>
      </c>
      <c r="E19" s="1261">
        <f t="shared" si="0"/>
        <v>40000</v>
      </c>
      <c r="F19" s="1560">
        <f t="shared" si="1"/>
        <v>1077.8443113772455</v>
      </c>
      <c r="G19" s="1560">
        <f>+G18/SUM(C14:C21,C36:C40,C54:C56)</f>
        <v>71506886.227544904</v>
      </c>
    </row>
    <row r="20" spans="2:7">
      <c r="B20" s="33" t="s">
        <v>91</v>
      </c>
      <c r="C20" s="253">
        <v>1200</v>
      </c>
      <c r="D20" s="1261">
        <v>88000000</v>
      </c>
      <c r="E20" s="1261">
        <f t="shared" si="0"/>
        <v>73333.333333333328</v>
      </c>
      <c r="F20" s="1560">
        <f t="shared" si="1"/>
        <v>5269.4610778443111</v>
      </c>
    </row>
    <row r="21" spans="2:7">
      <c r="B21" s="33" t="s">
        <v>89</v>
      </c>
      <c r="C21" s="253">
        <v>680</v>
      </c>
      <c r="D21" s="1261">
        <v>21000000</v>
      </c>
      <c r="E21" s="1261">
        <f>+D21/C21</f>
        <v>30882.352941176472</v>
      </c>
      <c r="F21" s="1560">
        <f t="shared" si="1"/>
        <v>1257.4850299401198</v>
      </c>
      <c r="G21" s="1081">
        <f>+SUM(C14:C21,C36:C40,C54:C56)</f>
        <v>16700</v>
      </c>
    </row>
    <row r="22" spans="2:7">
      <c r="B22" s="33"/>
      <c r="C22" s="253"/>
      <c r="D22" s="1261"/>
      <c r="E22" s="1261"/>
    </row>
    <row r="23" spans="2:7">
      <c r="B23" s="33" t="s">
        <v>462</v>
      </c>
      <c r="C23" s="1258">
        <f>SUM(C6:C20)</f>
        <v>14180</v>
      </c>
      <c r="D23" s="1259">
        <f>SUM(D6:D20)</f>
        <v>766000000</v>
      </c>
      <c r="E23" s="1260"/>
      <c r="G23" s="1560">
        <f>+SUM(F14:F56)</f>
        <v>52574.850299401201</v>
      </c>
    </row>
    <row r="24" spans="2:7">
      <c r="B24" s="33"/>
      <c r="C24" s="1055"/>
      <c r="D24" s="1260"/>
      <c r="E24" s="1260"/>
    </row>
    <row r="25" spans="2:7">
      <c r="B25" s="1262" t="s">
        <v>1339</v>
      </c>
      <c r="C25" s="1263">
        <f>+D23/C23</f>
        <v>54019.746121297605</v>
      </c>
      <c r="D25" s="253"/>
      <c r="E25" s="253"/>
    </row>
    <row r="27" spans="2:7">
      <c r="B27" s="33"/>
      <c r="C27" s="1257" t="s">
        <v>1390</v>
      </c>
      <c r="D27" s="1257"/>
      <c r="E27" s="1257"/>
    </row>
    <row r="28" spans="2:7">
      <c r="B28" s="33"/>
      <c r="C28" s="1228" t="s">
        <v>1394</v>
      </c>
      <c r="D28" s="1228" t="s">
        <v>465</v>
      </c>
      <c r="E28" s="1228" t="s">
        <v>889</v>
      </c>
    </row>
    <row r="29" spans="2:7">
      <c r="B29" s="33" t="s">
        <v>1264</v>
      </c>
      <c r="C29" s="253">
        <v>1400</v>
      </c>
      <c r="D29" s="1261">
        <v>85000000</v>
      </c>
      <c r="E29" s="1261">
        <f>+D29/C29</f>
        <v>60714.285714285717</v>
      </c>
    </row>
    <row r="30" spans="2:7">
      <c r="B30" s="33" t="s">
        <v>1265</v>
      </c>
      <c r="C30" s="253">
        <v>660</v>
      </c>
      <c r="D30" s="1261">
        <v>18000000</v>
      </c>
      <c r="E30" s="1261">
        <f t="shared" ref="E30:E40" si="2">+D30/C30</f>
        <v>27272.727272727272</v>
      </c>
    </row>
    <row r="31" spans="2:7">
      <c r="B31" s="33" t="s">
        <v>1266</v>
      </c>
      <c r="C31" s="253">
        <v>500</v>
      </c>
      <c r="D31" s="1261">
        <v>13500000</v>
      </c>
      <c r="E31" s="1261">
        <f t="shared" si="2"/>
        <v>27000</v>
      </c>
    </row>
    <row r="32" spans="2:7">
      <c r="B32" s="33" t="s">
        <v>1267</v>
      </c>
      <c r="C32" s="253">
        <v>1000</v>
      </c>
      <c r="D32" s="1261">
        <v>40000000</v>
      </c>
      <c r="E32" s="1261">
        <f t="shared" si="2"/>
        <v>40000</v>
      </c>
    </row>
    <row r="33" spans="2:6">
      <c r="B33" s="33" t="s">
        <v>1327</v>
      </c>
      <c r="C33" s="253">
        <v>1880</v>
      </c>
      <c r="D33" s="1261">
        <v>40000000</v>
      </c>
      <c r="E33" s="1261">
        <f t="shared" si="2"/>
        <v>21276.59574468085</v>
      </c>
    </row>
    <row r="34" spans="2:6">
      <c r="B34" s="33" t="s">
        <v>1328</v>
      </c>
      <c r="C34" s="253">
        <v>1600</v>
      </c>
      <c r="D34" s="1261">
        <v>43000000</v>
      </c>
      <c r="E34" s="1261">
        <f t="shared" si="2"/>
        <v>26875</v>
      </c>
    </row>
    <row r="35" spans="2:6">
      <c r="B35" s="33" t="s">
        <v>1329</v>
      </c>
      <c r="C35" s="253">
        <v>500</v>
      </c>
      <c r="D35" s="1261">
        <v>16000000</v>
      </c>
      <c r="E35" s="1261">
        <f t="shared" si="2"/>
        <v>32000</v>
      </c>
    </row>
    <row r="36" spans="2:6">
      <c r="B36" s="33" t="s">
        <v>1330</v>
      </c>
      <c r="C36" s="253">
        <v>1850</v>
      </c>
      <c r="D36" s="1261">
        <v>70000000</v>
      </c>
      <c r="E36" s="1261">
        <f t="shared" si="2"/>
        <v>37837.83783783784</v>
      </c>
      <c r="F36" s="1560">
        <f>+(C36/$G$21)*E36</f>
        <v>4191.6167664670656</v>
      </c>
    </row>
    <row r="37" spans="2:6">
      <c r="B37" s="33" t="s">
        <v>1331</v>
      </c>
      <c r="C37" s="253">
        <v>1400</v>
      </c>
      <c r="D37" s="1261">
        <v>90000000</v>
      </c>
      <c r="E37" s="1261">
        <f t="shared" si="2"/>
        <v>64285.714285714283</v>
      </c>
      <c r="F37" s="1560">
        <f>+(C37/$G$21)*E37</f>
        <v>5389.2215568862266</v>
      </c>
    </row>
    <row r="38" spans="2:6">
      <c r="B38" s="33" t="s">
        <v>1332</v>
      </c>
      <c r="C38" s="253">
        <v>1675</v>
      </c>
      <c r="D38" s="1261">
        <v>130000000</v>
      </c>
      <c r="E38" s="1261">
        <f t="shared" si="2"/>
        <v>77611.940298507456</v>
      </c>
      <c r="F38" s="1560">
        <f>+(C38/$G$21)*E38</f>
        <v>7784.4311377245504</v>
      </c>
    </row>
    <row r="39" spans="2:6">
      <c r="B39" s="33" t="s">
        <v>1308</v>
      </c>
      <c r="C39" s="253">
        <v>1540</v>
      </c>
      <c r="D39" s="1261">
        <v>29000000</v>
      </c>
      <c r="E39" s="1261">
        <f t="shared" si="2"/>
        <v>18831.16883116883</v>
      </c>
      <c r="F39" s="1560">
        <f>+(C39/$G$21)*E39</f>
        <v>1736.5269461077842</v>
      </c>
    </row>
    <row r="40" spans="2:6">
      <c r="B40" s="33" t="s">
        <v>93</v>
      </c>
      <c r="C40" s="253">
        <v>425</v>
      </c>
      <c r="D40" s="1261">
        <v>25000000</v>
      </c>
      <c r="E40" s="1261">
        <f t="shared" si="2"/>
        <v>58823.529411764706</v>
      </c>
      <c r="F40" s="1560">
        <f>+(C40/$G$21)*E40</f>
        <v>1497.0059880239521</v>
      </c>
    </row>
    <row r="41" spans="2:6">
      <c r="B41" s="33"/>
      <c r="C41" s="253"/>
      <c r="D41" s="1261"/>
      <c r="E41" s="1261"/>
    </row>
    <row r="42" spans="2:6">
      <c r="B42" s="33" t="s">
        <v>462</v>
      </c>
      <c r="C42" s="1258">
        <f>SUM(C29:C40)</f>
        <v>14430</v>
      </c>
      <c r="D42" s="1259">
        <f>SUM(D29:D40)</f>
        <v>599500000</v>
      </c>
      <c r="E42" s="253"/>
    </row>
    <row r="43" spans="2:6">
      <c r="B43" s="33"/>
      <c r="C43" s="1055"/>
      <c r="D43" s="1260"/>
      <c r="E43" s="253"/>
    </row>
    <row r="44" spans="2:6">
      <c r="B44" s="1262" t="s">
        <v>1339</v>
      </c>
      <c r="C44" s="1263">
        <f>+D42/C42</f>
        <v>41545.391545391547</v>
      </c>
      <c r="D44" s="253"/>
      <c r="E44" s="253"/>
    </row>
    <row r="45" spans="2:6">
      <c r="C45" s="1227"/>
    </row>
    <row r="46" spans="2:6">
      <c r="B46" s="33"/>
      <c r="C46" s="1257" t="s">
        <v>464</v>
      </c>
      <c r="D46" s="1257"/>
      <c r="E46" s="1257"/>
    </row>
    <row r="47" spans="2:6">
      <c r="B47" s="33"/>
      <c r="C47" s="1228" t="s">
        <v>1394</v>
      </c>
      <c r="D47" s="1228" t="s">
        <v>465</v>
      </c>
      <c r="E47" s="1228" t="s">
        <v>889</v>
      </c>
    </row>
    <row r="48" spans="2:6">
      <c r="B48" s="33" t="s">
        <v>1333</v>
      </c>
      <c r="C48" s="253">
        <v>500</v>
      </c>
      <c r="D48" s="1261">
        <v>20000000</v>
      </c>
      <c r="E48" s="1261">
        <f t="shared" ref="E48:E54" si="3">+D48/C48</f>
        <v>40000</v>
      </c>
    </row>
    <row r="49" spans="2:6">
      <c r="B49" s="33" t="s">
        <v>1334</v>
      </c>
      <c r="C49" s="253">
        <v>1000</v>
      </c>
      <c r="D49" s="1261">
        <v>30000000</v>
      </c>
      <c r="E49" s="1261">
        <f t="shared" si="3"/>
        <v>30000</v>
      </c>
    </row>
    <row r="50" spans="2:6">
      <c r="B50" s="33" t="s">
        <v>1335</v>
      </c>
      <c r="C50" s="253">
        <v>1000</v>
      </c>
      <c r="D50" s="1261">
        <v>65000000</v>
      </c>
      <c r="E50" s="1261">
        <f t="shared" si="3"/>
        <v>65000</v>
      </c>
    </row>
    <row r="51" spans="2:6">
      <c r="B51" s="33" t="s">
        <v>1336</v>
      </c>
      <c r="C51" s="253">
        <v>1000</v>
      </c>
      <c r="D51" s="1261">
        <v>45000000</v>
      </c>
      <c r="E51" s="1261">
        <f t="shared" si="3"/>
        <v>45000</v>
      </c>
    </row>
    <row r="52" spans="2:6">
      <c r="B52" s="33" t="s">
        <v>1337</v>
      </c>
      <c r="C52" s="253">
        <v>960</v>
      </c>
      <c r="D52" s="1261">
        <v>70000000</v>
      </c>
      <c r="E52" s="1261">
        <f t="shared" si="3"/>
        <v>72916.666666666672</v>
      </c>
    </row>
    <row r="53" spans="2:6">
      <c r="B53" s="33" t="s">
        <v>1338</v>
      </c>
      <c r="C53" s="253">
        <v>1450</v>
      </c>
      <c r="D53" s="1261">
        <v>63000000</v>
      </c>
      <c r="E53" s="1261">
        <f t="shared" si="3"/>
        <v>43448.275862068964</v>
      </c>
    </row>
    <row r="54" spans="2:6">
      <c r="B54" s="33" t="s">
        <v>92</v>
      </c>
      <c r="C54" s="253">
        <v>1000</v>
      </c>
      <c r="D54" s="1261">
        <v>72000000</v>
      </c>
      <c r="E54" s="1261">
        <f t="shared" si="3"/>
        <v>72000</v>
      </c>
      <c r="F54" s="1560">
        <f>+(C54/$G$21)*E54</f>
        <v>4311.377245508982</v>
      </c>
    </row>
    <row r="55" spans="2:6">
      <c r="B55" s="33" t="s">
        <v>1309</v>
      </c>
      <c r="C55" s="253">
        <v>1000</v>
      </c>
      <c r="D55" s="1261">
        <v>40000000</v>
      </c>
      <c r="E55" s="1261">
        <f>+D55/C55</f>
        <v>40000</v>
      </c>
      <c r="F55" s="1560">
        <f>+(C55/$G$21)*E55</f>
        <v>2395.2095808383233</v>
      </c>
    </row>
    <row r="56" spans="2:6">
      <c r="B56" s="33" t="s">
        <v>1310</v>
      </c>
      <c r="C56" s="253">
        <v>550</v>
      </c>
      <c r="D56" s="1261">
        <v>24000000</v>
      </c>
      <c r="E56" s="1261">
        <f>+D56/C56</f>
        <v>43636.36363636364</v>
      </c>
      <c r="F56" s="1560">
        <f>+(C56/$G$21)*E56</f>
        <v>1437.1257485029942</v>
      </c>
    </row>
    <row r="57" spans="2:6">
      <c r="B57" s="33"/>
      <c r="C57" s="253"/>
      <c r="D57" s="1261"/>
      <c r="E57" s="1261"/>
    </row>
    <row r="58" spans="2:6">
      <c r="B58" s="33" t="s">
        <v>462</v>
      </c>
      <c r="C58" s="1258">
        <f>SUM(C48:C54)</f>
        <v>6910</v>
      </c>
      <c r="D58" s="1259">
        <f>SUM(D48:D54)</f>
        <v>365000000</v>
      </c>
      <c r="E58" s="1260"/>
    </row>
    <row r="59" spans="2:6">
      <c r="B59" s="33"/>
      <c r="C59" s="1055"/>
      <c r="D59" s="1260"/>
      <c r="E59" s="1260"/>
    </row>
    <row r="60" spans="2:6">
      <c r="B60" s="1262" t="s">
        <v>1339</v>
      </c>
      <c r="C60" s="1263">
        <f>+D58/C58</f>
        <v>52821.997105643997</v>
      </c>
      <c r="D60" s="253"/>
      <c r="E60" s="253"/>
    </row>
  </sheetData>
  <phoneticPr fontId="2"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F36"/>
  <sheetViews>
    <sheetView workbookViewId="0"/>
  </sheetViews>
  <sheetFormatPr defaultRowHeight="12.75"/>
  <cols>
    <col min="2" max="2" width="46.85546875" bestFit="1" customWidth="1"/>
    <col min="3" max="3" width="14" bestFit="1" customWidth="1"/>
    <col min="4" max="5" width="13.85546875" bestFit="1" customWidth="1"/>
  </cols>
  <sheetData>
    <row r="1" spans="1:6">
      <c r="A1" s="712"/>
    </row>
    <row r="4" spans="1:6">
      <c r="B4" s="1220" t="s">
        <v>1</v>
      </c>
      <c r="C4" s="1220"/>
    </row>
    <row r="5" spans="1:6">
      <c r="B5" s="33" t="s">
        <v>1832</v>
      </c>
      <c r="C5" s="1217">
        <v>1600000000</v>
      </c>
    </row>
    <row r="6" spans="1:6">
      <c r="B6" s="33" t="s">
        <v>2</v>
      </c>
      <c r="C6" s="1217">
        <v>3000000000</v>
      </c>
    </row>
    <row r="7" spans="1:6">
      <c r="B7" s="33" t="s">
        <v>1833</v>
      </c>
      <c r="C7" s="1076">
        <f>+(C6/C5)^(1/4)-1</f>
        <v>0.17017365966035802</v>
      </c>
    </row>
    <row r="8" spans="1:6">
      <c r="B8" s="33" t="s">
        <v>1388</v>
      </c>
      <c r="C8" s="1217">
        <f>+C6*0.95</f>
        <v>2850000000</v>
      </c>
    </row>
    <row r="9" spans="1:6">
      <c r="B9" s="33"/>
      <c r="C9" s="33"/>
    </row>
    <row r="10" spans="1:6">
      <c r="B10" s="33" t="s">
        <v>3</v>
      </c>
      <c r="C10" s="1218">
        <f>+Rev!BZ695</f>
        <v>89000</v>
      </c>
    </row>
    <row r="11" spans="1:6">
      <c r="B11" s="33" t="s">
        <v>1754</v>
      </c>
      <c r="C11" s="1221">
        <v>0.85</v>
      </c>
    </row>
    <row r="12" spans="1:6">
      <c r="B12" s="33" t="s">
        <v>1834</v>
      </c>
      <c r="C12" s="1218">
        <f>+C10*C11</f>
        <v>75650</v>
      </c>
    </row>
    <row r="13" spans="1:6">
      <c r="B13" s="33" t="s">
        <v>1753</v>
      </c>
      <c r="C13" s="1480">
        <f>+Rev!T822</f>
        <v>2016.9108180248079</v>
      </c>
    </row>
    <row r="14" spans="1:6">
      <c r="B14" s="33" t="s">
        <v>1359</v>
      </c>
      <c r="C14" s="1218">
        <f>+C8/(C13*12)</f>
        <v>117754.33890160172</v>
      </c>
    </row>
    <row r="15" spans="1:6">
      <c r="B15" s="33" t="s">
        <v>1755</v>
      </c>
      <c r="C15" s="1218">
        <f>+C14/C11</f>
        <v>138534.51635482555</v>
      </c>
      <c r="D15" s="1217"/>
      <c r="F15" s="1083"/>
    </row>
    <row r="16" spans="1:6">
      <c r="B16" s="33" t="s">
        <v>1358</v>
      </c>
      <c r="C16" s="1219">
        <f>+C15/C10-1</f>
        <v>0.55656759949242196</v>
      </c>
      <c r="D16" s="1217"/>
    </row>
    <row r="17" spans="2:5">
      <c r="B17" s="33" t="s">
        <v>1360</v>
      </c>
      <c r="C17" s="1218">
        <f>+C15-C10</f>
        <v>49534.516354825551</v>
      </c>
      <c r="D17" s="1217"/>
    </row>
    <row r="18" spans="2:5">
      <c r="B18" s="33" t="s">
        <v>1756</v>
      </c>
      <c r="C18" s="1218">
        <f>+C17/4</f>
        <v>12383.629088706388</v>
      </c>
      <c r="D18" s="1217"/>
    </row>
    <row r="19" spans="2:5">
      <c r="B19" s="33"/>
      <c r="C19" s="1218"/>
      <c r="D19" s="1217"/>
    </row>
    <row r="20" spans="2:5">
      <c r="B20" s="33" t="s">
        <v>1342</v>
      </c>
      <c r="C20" s="1222">
        <v>50000</v>
      </c>
      <c r="D20" s="1217"/>
    </row>
    <row r="21" spans="2:5">
      <c r="B21" s="33" t="s">
        <v>1355</v>
      </c>
      <c r="C21" s="1217">
        <f>+C18*C20</f>
        <v>619181454.43531942</v>
      </c>
      <c r="D21" s="1217">
        <f>+C21+140000000</f>
        <v>759181454.43531942</v>
      </c>
      <c r="E21" s="1217">
        <f>+D21*4</f>
        <v>3036725817.7412777</v>
      </c>
    </row>
    <row r="22" spans="2:5">
      <c r="B22" s="33" t="s">
        <v>1777</v>
      </c>
      <c r="C22" s="1222">
        <v>140000000</v>
      </c>
      <c r="D22" s="1217"/>
      <c r="E22" s="1217"/>
    </row>
    <row r="23" spans="2:5">
      <c r="B23" s="33" t="s">
        <v>1776</v>
      </c>
      <c r="C23" s="1217">
        <f>+C21+C22</f>
        <v>759181454.43531942</v>
      </c>
      <c r="D23" s="1217"/>
      <c r="E23" s="1217"/>
    </row>
    <row r="24" spans="2:5">
      <c r="B24" s="564"/>
      <c r="C24" s="564"/>
      <c r="D24" s="1217"/>
      <c r="E24" s="1217">
        <f>+SUM(BS!Q133:T133)*1000000</f>
        <v>2870913999.9999995</v>
      </c>
    </row>
    <row r="25" spans="2:5">
      <c r="B25" s="69"/>
      <c r="C25" s="69"/>
      <c r="D25" s="1217"/>
    </row>
    <row r="26" spans="2:5">
      <c r="C26" s="1216"/>
      <c r="D26" s="1217"/>
    </row>
    <row r="27" spans="2:5">
      <c r="D27" s="1217"/>
    </row>
    <row r="28" spans="2:5">
      <c r="B28" s="1264"/>
      <c r="C28" s="1264"/>
    </row>
    <row r="29" spans="2:5">
      <c r="D29" s="1217"/>
    </row>
    <row r="30" spans="2:5">
      <c r="D30" s="1217"/>
    </row>
    <row r="31" spans="2:5">
      <c r="D31" s="1217"/>
    </row>
    <row r="32" spans="2:5">
      <c r="D32" s="1217"/>
    </row>
    <row r="33" spans="4:4">
      <c r="D33" s="1217"/>
    </row>
    <row r="34" spans="4:4">
      <c r="D34" s="1217"/>
    </row>
    <row r="35" spans="4:4">
      <c r="D35" s="1217"/>
    </row>
    <row r="36" spans="4:4">
      <c r="D36" s="1217"/>
    </row>
  </sheetData>
  <phoneticPr fontId="2"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B4:AO38"/>
  <sheetViews>
    <sheetView topLeftCell="Q12" zoomScale="70" workbookViewId="0">
      <selection activeCell="AO12" sqref="AO12"/>
    </sheetView>
  </sheetViews>
  <sheetFormatPr defaultRowHeight="12.75" outlineLevelCol="1"/>
  <cols>
    <col min="2" max="2" width="4" customWidth="1"/>
    <col min="3" max="3" width="25.7109375" customWidth="1"/>
    <col min="4" max="13" width="9.140625" hidden="1" customWidth="1" outlineLevel="1"/>
    <col min="14" max="14" width="4.7109375" hidden="1" customWidth="1" outlineLevel="1"/>
    <col min="15" max="15" width="9.28515625" bestFit="1" customWidth="1" collapsed="1"/>
    <col min="16" max="17" width="9.28515625" bestFit="1" customWidth="1"/>
    <col min="18" max="26" width="9.7109375" bestFit="1" customWidth="1"/>
    <col min="28" max="28" width="4" customWidth="1"/>
    <col min="29" max="29" width="25.7109375" customWidth="1"/>
  </cols>
  <sheetData>
    <row r="4" spans="2:41">
      <c r="D4" t="str">
        <f>IS!D7</f>
        <v>1999A</v>
      </c>
      <c r="E4" t="str">
        <f>IS!E7</f>
        <v>2000A</v>
      </c>
      <c r="F4" t="str">
        <f>IS!F7</f>
        <v>2001A</v>
      </c>
      <c r="G4" t="str">
        <f>IS!G7</f>
        <v>2002A</v>
      </c>
      <c r="H4" t="str">
        <f>IS!H7</f>
        <v>2003A</v>
      </c>
      <c r="I4" t="str">
        <f>IS!I7</f>
        <v>2004A</v>
      </c>
      <c r="J4" t="str">
        <f>IS!J7</f>
        <v>2005A</v>
      </c>
      <c r="K4" t="str">
        <f>IS!K7</f>
        <v>2006A</v>
      </c>
      <c r="L4" t="str">
        <f>IS!L7</f>
        <v>2007A</v>
      </c>
      <c r="M4" t="str">
        <f>IS!M7</f>
        <v>2008A</v>
      </c>
      <c r="N4" t="str">
        <f>IS!N7</f>
        <v>2009A</v>
      </c>
      <c r="O4" s="1074" t="str">
        <f>IS!O7</f>
        <v>2010A</v>
      </c>
      <c r="P4" s="1074">
        <f>IS!P7</f>
        <v>2011</v>
      </c>
      <c r="Q4" s="1074">
        <f>IS!Q7</f>
        <v>2012</v>
      </c>
      <c r="R4" s="1074">
        <f>IS!R7</f>
        <v>2013</v>
      </c>
      <c r="S4" s="1074">
        <f>IS!S7</f>
        <v>2014</v>
      </c>
      <c r="T4" s="1074">
        <f>IS!T7</f>
        <v>2015</v>
      </c>
      <c r="U4" s="1074">
        <f>IS!U7</f>
        <v>2016</v>
      </c>
      <c r="V4" s="1074">
        <f>IS!V7</f>
        <v>2017</v>
      </c>
      <c r="W4" s="1074" t="str">
        <f>IS!W7</f>
        <v>2018E</v>
      </c>
      <c r="X4" s="1074" t="str">
        <f>IS!X7</f>
        <v>2019E</v>
      </c>
      <c r="Y4" s="1074" t="str">
        <f>IS!Y7</f>
        <v>2020E</v>
      </c>
      <c r="Z4" s="1074" t="str">
        <f>IS!Z7</f>
        <v>2021E</v>
      </c>
      <c r="AD4" s="1074" t="str">
        <f>IS!CJ7</f>
        <v>1Q10</v>
      </c>
      <c r="AE4" s="1074" t="str">
        <f>IS!CK7</f>
        <v>2Q10</v>
      </c>
      <c r="AF4" s="1074" t="str">
        <f>IS!CL7</f>
        <v>3Q10</v>
      </c>
      <c r="AG4" s="1074" t="str">
        <f>IS!CM7</f>
        <v>4Q10</v>
      </c>
      <c r="AH4" s="1074" t="str">
        <f>IS!CO7</f>
        <v>1Q11</v>
      </c>
      <c r="AI4" s="1074" t="str">
        <f>IS!CP7</f>
        <v>2Q11</v>
      </c>
      <c r="AJ4" s="1074" t="str">
        <f>IS!CQ7</f>
        <v>3Q11</v>
      </c>
      <c r="AK4" s="1074" t="str">
        <f>IS!CR7</f>
        <v>4Q11</v>
      </c>
      <c r="AL4" s="1074" t="str">
        <f>IS!CT7</f>
        <v>1Q12</v>
      </c>
      <c r="AM4" s="1074" t="str">
        <f>IS!CU7</f>
        <v>2Q12</v>
      </c>
      <c r="AN4" s="1074" t="str">
        <f>IS!CV7</f>
        <v>3Q12</v>
      </c>
      <c r="AO4" s="1074" t="str">
        <f>IS!CW7</f>
        <v>4Q12</v>
      </c>
    </row>
    <row r="5" spans="2:41" s="15" customFormat="1">
      <c r="B5" t="s">
        <v>975</v>
      </c>
      <c r="C5"/>
      <c r="D5" s="1226">
        <f>+IS!D36</f>
        <v>-19.173999999999999</v>
      </c>
      <c r="E5" s="1226">
        <f>+IS!E36</f>
        <v>-92.293000000000006</v>
      </c>
      <c r="F5" s="1226">
        <f>+IS!F36</f>
        <v>-105.616</v>
      </c>
      <c r="G5" s="1226">
        <f>+IS!G36</f>
        <v>-47.593999999999994</v>
      </c>
      <c r="H5" s="1226">
        <f>+IS!H36</f>
        <v>-1.2069999999999927</v>
      </c>
      <c r="I5" s="1226">
        <f>+IS!I36</f>
        <v>16.461999999999993</v>
      </c>
      <c r="J5" s="1226">
        <f>+IS!J36</f>
        <v>28.048000000000023</v>
      </c>
      <c r="K5" s="1226">
        <f>+IS!K36</f>
        <v>78.246000000000066</v>
      </c>
      <c r="L5" s="1226">
        <f>+IS!L36</f>
        <v>113.59000000000007</v>
      </c>
      <c r="M5" s="1226">
        <f>+IS!M36</f>
        <v>234.24899999999994</v>
      </c>
      <c r="N5" s="1226">
        <f>+IS!N36</f>
        <v>356.45000000000005</v>
      </c>
      <c r="O5" s="1237">
        <f>+IS!O15</f>
        <v>1196.2139999999999</v>
      </c>
      <c r="P5" s="1237">
        <f>+IS!P15</f>
        <v>1569.7840000000001</v>
      </c>
      <c r="Q5" s="1237">
        <f>+IS!Q15</f>
        <v>1887.376</v>
      </c>
      <c r="R5" s="1237">
        <f>+IS!R15</f>
        <v>2152.7660000000001</v>
      </c>
      <c r="S5" s="1237">
        <f>+IS!S15</f>
        <v>2443.7749999999996</v>
      </c>
      <c r="T5" s="1237">
        <f>+IS!T15</f>
        <v>2725.8670000000002</v>
      </c>
      <c r="U5" s="1237">
        <f>+IS!U15</f>
        <v>3611.9889999999996</v>
      </c>
      <c r="V5" s="1237">
        <f>+IS!V15</f>
        <v>4368.4279999999999</v>
      </c>
      <c r="W5" s="1237">
        <f ca="1">+IS!W15</f>
        <v>5039.1585955911905</v>
      </c>
      <c r="X5" s="1237">
        <f ca="1">+IS!X15</f>
        <v>5500.5877719846403</v>
      </c>
      <c r="Y5" s="1237">
        <f ca="1">+IS!Y15</f>
        <v>5937.3329327160309</v>
      </c>
      <c r="Z5" s="1237">
        <f ca="1">+IS!Z15</f>
        <v>6349.2579843878229</v>
      </c>
      <c r="AA5" s="1238"/>
      <c r="AB5" t="s">
        <v>975</v>
      </c>
      <c r="AC5"/>
      <c r="AD5" s="1237">
        <f>IS!CJ15</f>
        <v>248.64900000000003</v>
      </c>
      <c r="AE5" s="1237">
        <f>IS!CK15</f>
        <v>290.01699999999994</v>
      </c>
      <c r="AF5" s="1237">
        <f>IS!CL15</f>
        <v>321.39400000000001</v>
      </c>
      <c r="AG5" s="1237">
        <f>IS!CM15</f>
        <v>336.154</v>
      </c>
      <c r="AH5" s="1237">
        <f>IS!CO15</f>
        <v>353.94900000000001</v>
      </c>
      <c r="AI5" s="1237">
        <f>IS!CP15</f>
        <v>385.51099999999997</v>
      </c>
      <c r="AJ5" s="1237">
        <f>IS!CQ15</f>
        <v>408.20799999999997</v>
      </c>
      <c r="AK5" s="1237">
        <f>IS!CR15</f>
        <v>422.11599999999999</v>
      </c>
      <c r="AL5" s="1237">
        <f>IS!CT15</f>
        <v>440.952</v>
      </c>
      <c r="AM5" s="1237">
        <f>IS!CU15</f>
        <v>455.53000000000003</v>
      </c>
      <c r="AN5" s="1237">
        <f>IS!CV15</f>
        <v>484.83499999999998</v>
      </c>
      <c r="AO5" s="1237">
        <f>IS!CW15</f>
        <v>506.05899999999997</v>
      </c>
    </row>
    <row r="6" spans="2:41">
      <c r="B6" t="s">
        <v>994</v>
      </c>
      <c r="D6" s="1226">
        <f>+IS!D37</f>
        <v>-12.547000000000001</v>
      </c>
      <c r="E6" s="1226">
        <f>+IS!E37</f>
        <v>-62.4</v>
      </c>
      <c r="F6" s="1226">
        <f>+IS!F37</f>
        <v>-38.007000000000005</v>
      </c>
      <c r="G6" s="1226">
        <f>+IS!G37</f>
        <v>-11.830999999999989</v>
      </c>
      <c r="H6" s="1226">
        <f>+IS!H37</f>
        <v>1.6980000000000075</v>
      </c>
      <c r="I6" s="1226">
        <f>+IS!I37</f>
        <v>35.61399999999999</v>
      </c>
      <c r="J6" s="1226">
        <f>+IS!J37</f>
        <v>70.139000000000024</v>
      </c>
      <c r="K6" s="1226">
        <f>+IS!K37</f>
        <v>102.07200000000006</v>
      </c>
      <c r="L6" s="1226">
        <f>+IS!L37</f>
        <v>155.39000000000007</v>
      </c>
      <c r="M6" s="1226">
        <f>+IS!M37</f>
        <v>292.47599999999994</v>
      </c>
      <c r="N6" s="1226">
        <f>+IS!N37</f>
        <v>408.60800000000006</v>
      </c>
      <c r="O6" s="1237">
        <f>+IS!O37</f>
        <v>533.02099999999996</v>
      </c>
      <c r="P6" s="1237">
        <f>+IS!P37</f>
        <v>719.80500000000018</v>
      </c>
      <c r="Q6" s="1237">
        <f>+IS!Q37</f>
        <v>887.85699999999986</v>
      </c>
      <c r="R6" s="1237">
        <f>+IS!R37</f>
        <v>1000.898</v>
      </c>
      <c r="S6" s="1237">
        <f>+IS!S37</f>
        <v>1113.8909999999996</v>
      </c>
      <c r="T6" s="1237">
        <f>+IS!T37</f>
        <v>1271.6270000000004</v>
      </c>
      <c r="U6" s="1237">
        <f>+IS!U37</f>
        <v>1657.4739999999999</v>
      </c>
      <c r="V6" s="1237">
        <f>+IS!V37</f>
        <v>2052.0410000000002</v>
      </c>
      <c r="W6" s="1237">
        <f ca="1">+IS!W37</f>
        <v>2396.2013118891828</v>
      </c>
      <c r="X6" s="1237">
        <f ca="1">+IS!X37</f>
        <v>2626.6195144712165</v>
      </c>
      <c r="Y6" s="1237">
        <f ca="1">+IS!Y37</f>
        <v>2847.0470495173977</v>
      </c>
      <c r="Z6" s="1237">
        <f ca="1">+IS!Z37</f>
        <v>3057.2702817644613</v>
      </c>
      <c r="AA6" s="1237"/>
      <c r="AB6" t="s">
        <v>994</v>
      </c>
      <c r="AD6" s="1237">
        <f>IS!CJ37</f>
        <v>117.27200000000002</v>
      </c>
      <c r="AE6" s="1237">
        <f>IS!CK37</f>
        <v>129.28399999999996</v>
      </c>
      <c r="AF6" s="1237">
        <f>IS!CL37</f>
        <v>142.08600000000001</v>
      </c>
      <c r="AG6" s="1237">
        <f>IS!CM37</f>
        <v>144.37900000000002</v>
      </c>
      <c r="AH6" s="1237">
        <f>IS!CO37</f>
        <v>162.327</v>
      </c>
      <c r="AI6" s="1237">
        <f>IS!CP37</f>
        <v>177.40600000000001</v>
      </c>
      <c r="AJ6" s="1237">
        <f>IS!CQ37</f>
        <v>186.82799999999997</v>
      </c>
      <c r="AK6" s="1237">
        <f>IS!CR37</f>
        <v>193.244</v>
      </c>
      <c r="AL6" s="1237">
        <f>IS!CT37</f>
        <v>206.73500000000001</v>
      </c>
      <c r="AM6" s="1237">
        <f>IS!CU37</f>
        <v>216.42</v>
      </c>
      <c r="AN6" s="1237">
        <f>IS!CV37</f>
        <v>225.01599999999996</v>
      </c>
      <c r="AO6" s="1237">
        <f>IS!CW37</f>
        <v>239.68599999999998</v>
      </c>
    </row>
    <row r="7" spans="2:41">
      <c r="B7" t="s">
        <v>465</v>
      </c>
      <c r="D7" s="1226"/>
      <c r="E7" s="1226"/>
      <c r="F7" s="1226"/>
      <c r="G7" s="1226"/>
      <c r="H7" s="1226"/>
      <c r="I7" s="1226">
        <f>BS!I133</f>
        <v>22.934000000000001</v>
      </c>
      <c r="J7" s="1226">
        <f>BS!J133</f>
        <v>45.412000000000006</v>
      </c>
      <c r="K7" s="1226">
        <f>BS!K133</f>
        <v>162.291</v>
      </c>
      <c r="L7" s="1226">
        <f>BS!L133</f>
        <v>416.81100000000009</v>
      </c>
      <c r="M7" s="1226">
        <f>BS!M133</f>
        <v>471.12800000000004</v>
      </c>
      <c r="N7" s="1226">
        <f>BS!N133</f>
        <v>342.18</v>
      </c>
      <c r="O7" s="1237">
        <f>BS!O133</f>
        <v>579.4</v>
      </c>
      <c r="P7" s="1237">
        <f>BS!P133</f>
        <v>682.7</v>
      </c>
      <c r="Q7" s="1237">
        <f>BS!Q133</f>
        <v>764.49999999999989</v>
      </c>
      <c r="R7" s="1237">
        <f>BS!R133</f>
        <v>572.40599999999995</v>
      </c>
      <c r="S7" s="1237">
        <f>BS!S133</f>
        <v>660.20399999999995</v>
      </c>
      <c r="T7" s="1237">
        <f>BS!T133</f>
        <v>873.80399999999997</v>
      </c>
      <c r="U7" s="1237">
        <f>BS!U133</f>
        <v>1113.365</v>
      </c>
      <c r="V7" s="1237">
        <f>BS!V133</f>
        <v>1378.7249999999999</v>
      </c>
      <c r="W7" s="1237">
        <f ca="1">BS!W133</f>
        <v>1935.5663438236477</v>
      </c>
      <c r="X7" s="1237">
        <f ca="1">BS!X133</f>
        <v>1853.1485108793856</v>
      </c>
      <c r="Y7" s="1237">
        <f ca="1">BS!Y133</f>
        <v>1659.9433173086413</v>
      </c>
      <c r="Z7" s="1237">
        <f ca="1">BS!Z133</f>
        <v>1618.4103193755129</v>
      </c>
      <c r="AA7" s="1237"/>
      <c r="AB7" t="s">
        <v>465</v>
      </c>
      <c r="AD7" s="1237">
        <f>BS!BT133</f>
        <v>143.4</v>
      </c>
      <c r="AE7" s="1237">
        <f>BS!BU133</f>
        <v>148.69999999999999</v>
      </c>
      <c r="AF7" s="1237">
        <f>BS!BV133</f>
        <v>143.9</v>
      </c>
      <c r="AG7" s="1237">
        <f>BS!BW133</f>
        <v>143.4</v>
      </c>
      <c r="AH7" s="1237">
        <f>BS!BX133</f>
        <v>172.5</v>
      </c>
      <c r="AI7" s="1237">
        <f>BS!BY133</f>
        <v>188.9</v>
      </c>
      <c r="AJ7" s="1237">
        <f>BS!BZ133</f>
        <v>131.5</v>
      </c>
      <c r="AK7" s="1237">
        <f>BS!CA133</f>
        <v>189.8</v>
      </c>
      <c r="AL7" s="1237">
        <f>BS!CB133</f>
        <v>145.49</v>
      </c>
      <c r="AM7" s="1237">
        <f>BS!CC133</f>
        <v>196.48400000000001</v>
      </c>
      <c r="AN7" s="1237">
        <f>BS!CD133</f>
        <v>212.11799999999999</v>
      </c>
      <c r="AO7" s="1237">
        <f>BS!CE133</f>
        <v>210.40800000000002</v>
      </c>
    </row>
    <row r="8" spans="2:41">
      <c r="B8" t="s">
        <v>1615</v>
      </c>
      <c r="D8" s="1226">
        <f>+IS!D50-IS!D52</f>
        <v>1.008</v>
      </c>
      <c r="E8" s="1226">
        <f>+IS!E50-IS!E52</f>
        <v>12.681000000000004</v>
      </c>
      <c r="F8" s="1226">
        <f>+IS!F50-IS!F52</f>
        <v>33.154000000000003</v>
      </c>
      <c r="G8" s="1226">
        <f>+IS!G50-IS!G52</f>
        <v>34.1</v>
      </c>
      <c r="H8" s="1226">
        <f>+IS!H50-IS!H52</f>
        <v>20.216000000000001</v>
      </c>
      <c r="I8" s="1226">
        <f>+IS!I50-IS!I52</f>
        <v>10.205</v>
      </c>
      <c r="J8" s="1226">
        <f>+IS!J50-IS!J52</f>
        <v>5.2959999999999994</v>
      </c>
      <c r="K8" s="1226">
        <f>+IS!K50-IS!K52</f>
        <v>8.2479999999999993</v>
      </c>
      <c r="L8" s="1226">
        <f>+IS!L50-IS!L52</f>
        <v>11.927</v>
      </c>
      <c r="M8" s="1226">
        <f>+IS!M50-IS!M52</f>
        <v>54.26400000000001</v>
      </c>
      <c r="N8" s="1226">
        <f>+IS!N50-IS!N52</f>
        <v>71.847999999999999</v>
      </c>
      <c r="O8" s="1237">
        <f>+IS!O50-IS!O52</f>
        <v>138.96000000000004</v>
      </c>
      <c r="P8" s="1237">
        <f>+IS!P50-IS!P52</f>
        <v>179.023</v>
      </c>
      <c r="Q8" s="1237">
        <f>+IS!Q50-IS!Q52</f>
        <v>196.86199999999997</v>
      </c>
      <c r="R8" s="1237">
        <f>+IS!R50-IS!R52</f>
        <v>245.40499999999997</v>
      </c>
      <c r="S8" s="1237">
        <f>+IS!S50-IS!S52</f>
        <v>267.66199999999998</v>
      </c>
      <c r="T8" s="1237">
        <f>+IS!T50-IS!T52</f>
        <v>295.47399999999993</v>
      </c>
      <c r="U8" s="1237">
        <f>+IS!U50-IS!U52</f>
        <v>388.67999999999995</v>
      </c>
      <c r="V8" s="1237">
        <f>+IS!V50-IS!V52</f>
        <v>465.62299999999999</v>
      </c>
      <c r="W8" s="1237">
        <f ca="1">+IS!W50-IS!W52</f>
        <v>469.38150462885869</v>
      </c>
      <c r="X8" s="1237">
        <f ca="1">+IS!X50-IS!X52</f>
        <v>490.92525232695078</v>
      </c>
      <c r="Y8" s="1237">
        <f ca="1">+IS!Y50-IS!Y52</f>
        <v>526.2578607592601</v>
      </c>
      <c r="Z8" s="1237">
        <f ca="1">+IS!Z50-IS!Z52</f>
        <v>560.84919746475498</v>
      </c>
      <c r="AA8" s="1237"/>
      <c r="AB8" t="s">
        <v>1615</v>
      </c>
      <c r="AD8" s="1237">
        <f>+IS!CJ50-IS!CJ52</f>
        <v>25.169</v>
      </c>
      <c r="AE8" s="1237">
        <f>+IS!CK50-IS!CK52</f>
        <v>37.124000000000002</v>
      </c>
      <c r="AF8" s="1237">
        <f>+IS!CL50-IS!CL52</f>
        <v>38.052999999999997</v>
      </c>
      <c r="AG8" s="1237">
        <f>+IS!CM50-IS!CM52</f>
        <v>38.614000000000004</v>
      </c>
      <c r="AH8" s="1237">
        <f>+IS!CO50-IS!CO52</f>
        <v>37.145999999999994</v>
      </c>
      <c r="AI8" s="1237">
        <f>+IS!CP50-IS!CP52</f>
        <v>37.045000000000002</v>
      </c>
      <c r="AJ8" s="1237">
        <f>+IS!CQ50-IS!CQ52</f>
        <v>50.434999999999995</v>
      </c>
      <c r="AK8" s="1237">
        <f>+IS!CR50-IS!CR52</f>
        <v>54.397000000000006</v>
      </c>
      <c r="AL8" s="1237">
        <f>+IS!CT50-IS!CT52</f>
        <v>52.126999999999995</v>
      </c>
      <c r="AM8" s="1237">
        <f>+IS!CU50-IS!CU52</f>
        <v>45.823999999999998</v>
      </c>
      <c r="AN8" s="1237">
        <f>+IS!CV50-IS!CV52</f>
        <v>49.152999999999999</v>
      </c>
      <c r="AO8" s="1237">
        <f>+IS!CW50-IS!CW52</f>
        <v>49.757999999999996</v>
      </c>
    </row>
    <row r="9" spans="2:41">
      <c r="O9" s="1237"/>
      <c r="P9" s="1237"/>
      <c r="Q9" s="1237"/>
      <c r="R9" s="1237"/>
      <c r="S9" s="1237"/>
      <c r="T9" s="1237"/>
      <c r="U9" s="1237"/>
      <c r="V9" s="1237"/>
      <c r="W9" s="1237"/>
      <c r="X9" s="1237"/>
      <c r="Y9" s="1237"/>
      <c r="Z9" s="1237"/>
      <c r="AA9" s="1237"/>
      <c r="AD9" s="1237"/>
      <c r="AE9" s="1237"/>
      <c r="AF9" s="1237"/>
      <c r="AG9" s="1237"/>
      <c r="AH9" s="1237"/>
      <c r="AI9" s="1237"/>
      <c r="AJ9" s="1237"/>
      <c r="AK9" s="1237"/>
      <c r="AL9" s="1237"/>
      <c r="AM9" s="1237"/>
      <c r="AN9" s="1237"/>
      <c r="AO9" s="1237"/>
    </row>
    <row r="10" spans="2:41">
      <c r="B10" t="s">
        <v>1391</v>
      </c>
      <c r="D10" s="1226">
        <f>+D6-D7-D8</f>
        <v>-13.555</v>
      </c>
      <c r="E10" s="1226">
        <f t="shared" ref="E10:AO10" si="0">+E6-E7-E8</f>
        <v>-75.081000000000003</v>
      </c>
      <c r="F10" s="1226">
        <f t="shared" si="0"/>
        <v>-71.161000000000001</v>
      </c>
      <c r="G10" s="1226">
        <f t="shared" si="0"/>
        <v>-45.93099999999999</v>
      </c>
      <c r="H10" s="1226">
        <f t="shared" si="0"/>
        <v>-18.517999999999994</v>
      </c>
      <c r="I10" s="1226">
        <f t="shared" si="0"/>
        <v>2.474999999999989</v>
      </c>
      <c r="J10" s="1226">
        <f t="shared" si="0"/>
        <v>19.431000000000019</v>
      </c>
      <c r="K10" s="1226">
        <f t="shared" si="0"/>
        <v>-68.466999999999942</v>
      </c>
      <c r="L10" s="1226">
        <f t="shared" si="0"/>
        <v>-273.34800000000007</v>
      </c>
      <c r="M10" s="1226">
        <f t="shared" si="0"/>
        <v>-232.91600000000011</v>
      </c>
      <c r="N10" s="1226">
        <f t="shared" si="0"/>
        <v>-5.4199999999999449</v>
      </c>
      <c r="O10" s="1237">
        <f t="shared" si="0"/>
        <v>-185.33900000000006</v>
      </c>
      <c r="P10" s="1237">
        <f t="shared" si="0"/>
        <v>-141.91799999999986</v>
      </c>
      <c r="Q10" s="1237">
        <f t="shared" si="0"/>
        <v>-73.504999999999995</v>
      </c>
      <c r="R10" s="1237">
        <f t="shared" si="0"/>
        <v>183.0870000000001</v>
      </c>
      <c r="S10" s="1237">
        <f t="shared" si="0"/>
        <v>186.02499999999969</v>
      </c>
      <c r="T10" s="1237">
        <f t="shared" si="0"/>
        <v>102.3490000000005</v>
      </c>
      <c r="U10" s="1237">
        <f t="shared" si="0"/>
        <v>155.42899999999997</v>
      </c>
      <c r="V10" s="1237">
        <f t="shared" si="0"/>
        <v>207.69300000000027</v>
      </c>
      <c r="W10" s="1237">
        <f t="shared" ca="1" si="0"/>
        <v>-8.7465365633236161</v>
      </c>
      <c r="X10" s="1237">
        <f t="shared" ca="1" si="0"/>
        <v>282.54575126488004</v>
      </c>
      <c r="Y10" s="1237">
        <f t="shared" ca="1" si="0"/>
        <v>660.84587144949626</v>
      </c>
      <c r="Z10" s="1237">
        <f t="shared" ca="1" si="0"/>
        <v>878.01076492419338</v>
      </c>
      <c r="AA10" s="1237"/>
      <c r="AB10" t="s">
        <v>1391</v>
      </c>
      <c r="AD10" s="1237">
        <f t="shared" si="0"/>
        <v>-51.296999999999983</v>
      </c>
      <c r="AE10" s="1237">
        <f t="shared" si="0"/>
        <v>-56.540000000000028</v>
      </c>
      <c r="AF10" s="1237">
        <f t="shared" si="0"/>
        <v>-39.86699999999999</v>
      </c>
      <c r="AG10" s="1237">
        <f t="shared" si="0"/>
        <v>-37.634999999999991</v>
      </c>
      <c r="AH10" s="1237">
        <f t="shared" si="0"/>
        <v>-47.318999999999996</v>
      </c>
      <c r="AI10" s="1237">
        <f t="shared" si="0"/>
        <v>-48.539000000000001</v>
      </c>
      <c r="AJ10" s="1237">
        <f t="shared" si="0"/>
        <v>4.8929999999999794</v>
      </c>
      <c r="AK10" s="1237">
        <f t="shared" si="0"/>
        <v>-50.953000000000017</v>
      </c>
      <c r="AL10" s="1237">
        <f t="shared" si="0"/>
        <v>9.1180000000000092</v>
      </c>
      <c r="AM10" s="1237">
        <f t="shared" si="0"/>
        <v>-25.888000000000019</v>
      </c>
      <c r="AN10" s="1237">
        <f t="shared" si="0"/>
        <v>-36.255000000000031</v>
      </c>
      <c r="AO10" s="1237">
        <f t="shared" si="0"/>
        <v>-20.480000000000032</v>
      </c>
    </row>
    <row r="12" spans="2:41">
      <c r="C12" t="s">
        <v>1389</v>
      </c>
      <c r="H12" s="1226"/>
      <c r="I12" s="1226"/>
      <c r="J12" s="1226"/>
      <c r="K12" s="1226"/>
      <c r="L12" s="1226"/>
      <c r="M12" s="1226"/>
      <c r="N12" s="1226"/>
      <c r="O12" s="1081">
        <f>+Rev!O249</f>
        <v>34800</v>
      </c>
      <c r="P12" s="1081">
        <f>+Rev!P249</f>
        <v>37500</v>
      </c>
      <c r="Q12" s="1081">
        <f>+Rev!Q249</f>
        <v>40600</v>
      </c>
      <c r="R12" s="1081">
        <f>+Rev!R249</f>
        <v>43400</v>
      </c>
      <c r="S12" s="1081">
        <f>+Rev!S249</f>
        <v>45400</v>
      </c>
      <c r="T12" s="1081">
        <f>+Rev!T249</f>
        <v>50600</v>
      </c>
      <c r="U12" s="1081">
        <f>+Rev!U249</f>
        <v>53500</v>
      </c>
      <c r="V12" s="1081">
        <f>+Rev!V249</f>
        <v>78900</v>
      </c>
      <c r="W12" s="1081">
        <f>+Rev!W249</f>
        <v>84480.675000000003</v>
      </c>
      <c r="X12" s="1081">
        <f>+Rev!X249</f>
        <v>92027.8125</v>
      </c>
      <c r="Y12" s="1081">
        <f>+Rev!Y249</f>
        <v>97200.974999999991</v>
      </c>
      <c r="Z12" s="1081">
        <f>+Rev!Z249</f>
        <v>102199.76249999998</v>
      </c>
      <c r="AC12" t="s">
        <v>1389</v>
      </c>
      <c r="AD12" s="1081"/>
      <c r="AE12" s="1081">
        <f>+Rev!BU249</f>
        <v>33300</v>
      </c>
      <c r="AF12" s="1081">
        <f>+Rev!BV249</f>
        <v>33900</v>
      </c>
      <c r="AG12" s="1081">
        <f>+Rev!BW249</f>
        <v>34800</v>
      </c>
      <c r="AH12" s="1081">
        <f>+Rev!BX249</f>
        <v>36800</v>
      </c>
      <c r="AI12" s="1081">
        <f>+Rev!BY249</f>
        <v>37300</v>
      </c>
      <c r="AJ12" s="1081">
        <f>+Rev!BZ249</f>
        <v>37000</v>
      </c>
      <c r="AK12" s="1081">
        <f>+Rev!CA249</f>
        <v>37500</v>
      </c>
      <c r="AL12" s="1081">
        <f>+Rev!CB249</f>
        <v>38400</v>
      </c>
      <c r="AM12" s="1081">
        <f>+Rev!CC249</f>
        <v>39400</v>
      </c>
      <c r="AN12" s="1081">
        <f>+Rev!CD249</f>
        <v>39200</v>
      </c>
      <c r="AO12" s="1081">
        <f>+Rev!CE249</f>
        <v>40600</v>
      </c>
    </row>
    <row r="13" spans="2:41">
      <c r="C13" t="s">
        <v>248</v>
      </c>
      <c r="H13" s="1226"/>
      <c r="I13" s="1226"/>
      <c r="J13" s="1226"/>
      <c r="K13" s="1226"/>
      <c r="L13" s="1226"/>
      <c r="M13" s="1226"/>
      <c r="N13" s="1226"/>
      <c r="O13" s="1081">
        <f>+Rev!O461</f>
        <v>8300</v>
      </c>
      <c r="P13" s="1081">
        <f>+Rev!P461</f>
        <v>10200</v>
      </c>
      <c r="Q13" s="1081">
        <f>+Rev!Q461</f>
        <v>14700</v>
      </c>
      <c r="R13" s="1081">
        <f>+Rev!R461</f>
        <v>16200</v>
      </c>
      <c r="S13" s="1081">
        <f>+Rev!S461</f>
        <v>18200</v>
      </c>
      <c r="T13" s="1081">
        <f>+Rev!T461</f>
        <v>22600</v>
      </c>
      <c r="U13" s="1081">
        <f>+Rev!U461</f>
        <v>29300</v>
      </c>
      <c r="V13" s="1081">
        <f>+Rev!V461</f>
        <v>33000</v>
      </c>
      <c r="W13" s="1081">
        <f>+Rev!W461</f>
        <v>37353.625</v>
      </c>
      <c r="X13" s="1081">
        <f>+Rev!X461</f>
        <v>41328.875</v>
      </c>
      <c r="Y13" s="1081">
        <f>+Rev!Y461</f>
        <v>46042.262499999997</v>
      </c>
      <c r="Z13" s="1081">
        <f>+Rev!Z461</f>
        <v>50877.749999999993</v>
      </c>
      <c r="AC13" t="s">
        <v>248</v>
      </c>
      <c r="AD13" s="1081"/>
      <c r="AE13" s="1081">
        <f>+Rev!BU461</f>
        <v>7900</v>
      </c>
      <c r="AF13" s="1081">
        <f>+Rev!BV461</f>
        <v>8000</v>
      </c>
      <c r="AG13" s="1081">
        <f>+Rev!BW461</f>
        <v>8300</v>
      </c>
      <c r="AH13" s="1081">
        <f>+Rev!BX461</f>
        <v>8600</v>
      </c>
      <c r="AI13" s="1081">
        <f>+Rev!BY461</f>
        <v>9300</v>
      </c>
      <c r="AJ13" s="1081">
        <f>+Rev!BZ461</f>
        <v>9600</v>
      </c>
      <c r="AK13" s="1081">
        <f>+Rev!CA461</f>
        <v>10200</v>
      </c>
      <c r="AL13" s="1081">
        <f>+Rev!CB461</f>
        <v>10400</v>
      </c>
      <c r="AM13" s="1081">
        <f>+Rev!CC461</f>
        <v>10900</v>
      </c>
      <c r="AN13" s="1081">
        <f>+Rev!CD461</f>
        <v>14500</v>
      </c>
      <c r="AO13" s="1081">
        <f>+Rev!CE461</f>
        <v>14700</v>
      </c>
    </row>
    <row r="14" spans="2:41">
      <c r="C14" t="s">
        <v>1390</v>
      </c>
      <c r="H14" s="1226"/>
      <c r="I14" s="1226"/>
      <c r="J14" s="1226"/>
      <c r="K14" s="1226"/>
      <c r="L14" s="1226"/>
      <c r="M14" s="1226"/>
      <c r="N14" s="1226"/>
      <c r="O14" s="1081">
        <f>+Rev!O624</f>
        <v>20800</v>
      </c>
      <c r="P14" s="1081">
        <f>+Rev!P624</f>
        <v>24700</v>
      </c>
      <c r="Q14" s="1081">
        <f>+Rev!Q624</f>
        <v>26700</v>
      </c>
      <c r="R14" s="1081">
        <f>+Rev!R624</f>
        <v>29500</v>
      </c>
      <c r="S14" s="1081">
        <f>+Rev!S624</f>
        <v>35000</v>
      </c>
      <c r="T14" s="1081">
        <f>+Rev!T624</f>
        <v>40500</v>
      </c>
      <c r="U14" s="1081">
        <f>+Rev!U624</f>
        <v>74600</v>
      </c>
      <c r="V14" s="1081">
        <f>+Rev!V624</f>
        <v>83200</v>
      </c>
      <c r="W14" s="1081">
        <f>+Rev!W624</f>
        <v>90067.274999999994</v>
      </c>
      <c r="X14" s="1081">
        <f>+Rev!X624</f>
        <v>96811.199999999997</v>
      </c>
      <c r="Y14" s="1081">
        <f>+Rev!Y624</f>
        <v>103656.9</v>
      </c>
      <c r="Z14" s="1081">
        <f>+Rev!Z624</f>
        <v>110577.59999999999</v>
      </c>
      <c r="AC14" t="s">
        <v>1390</v>
      </c>
      <c r="AD14" s="1081"/>
      <c r="AE14" s="1081">
        <f>+Rev!BU624</f>
        <v>19800</v>
      </c>
      <c r="AF14" s="1081">
        <f>+Rev!BV624</f>
        <v>19800</v>
      </c>
      <c r="AG14" s="1081">
        <f>+Rev!BW624</f>
        <v>20800</v>
      </c>
      <c r="AH14" s="1081">
        <f>+Rev!BX624</f>
        <v>21700</v>
      </c>
      <c r="AI14" s="1081">
        <f>+Rev!BY624</f>
        <v>22900</v>
      </c>
      <c r="AJ14" s="1081">
        <f>+Rev!BZ624</f>
        <v>24200</v>
      </c>
      <c r="AK14" s="1081">
        <f>+Rev!CA624</f>
        <v>24700</v>
      </c>
      <c r="AL14" s="1081">
        <f>+Rev!CB624</f>
        <v>25200</v>
      </c>
      <c r="AM14" s="1081">
        <f>+Rev!CC624</f>
        <v>24800</v>
      </c>
      <c r="AN14" s="1081">
        <f>+Rev!CD624</f>
        <v>25600</v>
      </c>
      <c r="AO14" s="1081">
        <f>+Rev!CE624</f>
        <v>26700</v>
      </c>
    </row>
    <row r="15" spans="2:41">
      <c r="B15" t="s">
        <v>1340</v>
      </c>
      <c r="H15" s="1226"/>
      <c r="I15" s="1226"/>
      <c r="J15" s="1226"/>
      <c r="K15" s="1226"/>
      <c r="L15" s="1226"/>
      <c r="M15" s="1226"/>
      <c r="N15" s="1226"/>
      <c r="O15" s="1224">
        <f>SUM(O12:O14)</f>
        <v>63900</v>
      </c>
      <c r="P15" s="1224">
        <f t="shared" ref="P15:Z15" si="1">SUM(P12:P14)</f>
        <v>72400</v>
      </c>
      <c r="Q15" s="1224">
        <f t="shared" si="1"/>
        <v>82000</v>
      </c>
      <c r="R15" s="1224">
        <f t="shared" si="1"/>
        <v>89100</v>
      </c>
      <c r="S15" s="1224">
        <f t="shared" si="1"/>
        <v>98600</v>
      </c>
      <c r="T15" s="1224">
        <f t="shared" si="1"/>
        <v>113700</v>
      </c>
      <c r="U15" s="1224">
        <f t="shared" si="1"/>
        <v>157400</v>
      </c>
      <c r="V15" s="1224">
        <f t="shared" si="1"/>
        <v>195100</v>
      </c>
      <c r="W15" s="1224">
        <f t="shared" si="1"/>
        <v>211901.57500000001</v>
      </c>
      <c r="X15" s="1224">
        <f t="shared" si="1"/>
        <v>230167.88750000001</v>
      </c>
      <c r="Y15" s="1224">
        <f t="shared" si="1"/>
        <v>246900.13749999998</v>
      </c>
      <c r="Z15" s="1224">
        <f t="shared" si="1"/>
        <v>263655.11249999999</v>
      </c>
      <c r="AB15" t="s">
        <v>1340</v>
      </c>
      <c r="AD15" s="1224"/>
      <c r="AE15" s="1224">
        <f>SUM(AE12:AE14)</f>
        <v>61000</v>
      </c>
      <c r="AF15" s="1224">
        <f t="shared" ref="AF15:AO15" si="2">SUM(AF12:AF14)</f>
        <v>61700</v>
      </c>
      <c r="AG15" s="1224">
        <f t="shared" si="2"/>
        <v>63900</v>
      </c>
      <c r="AH15" s="1224">
        <f t="shared" si="2"/>
        <v>67100</v>
      </c>
      <c r="AI15" s="1224">
        <f t="shared" si="2"/>
        <v>69500</v>
      </c>
      <c r="AJ15" s="1224">
        <f t="shared" si="2"/>
        <v>70800</v>
      </c>
      <c r="AK15" s="1224">
        <f t="shared" si="2"/>
        <v>72400</v>
      </c>
      <c r="AL15" s="1224">
        <f t="shared" si="2"/>
        <v>74000</v>
      </c>
      <c r="AM15" s="1224">
        <f t="shared" si="2"/>
        <v>75100</v>
      </c>
      <c r="AN15" s="1224">
        <f t="shared" si="2"/>
        <v>79300</v>
      </c>
      <c r="AO15" s="1224">
        <f t="shared" si="2"/>
        <v>82000</v>
      </c>
    </row>
    <row r="16" spans="2:41">
      <c r="C16" s="580" t="s">
        <v>1393</v>
      </c>
      <c r="P16" s="86">
        <f t="shared" ref="P16:Z16" si="3">+P15/O15-1</f>
        <v>0.13302034428794984</v>
      </c>
      <c r="Q16" s="86">
        <f t="shared" si="3"/>
        <v>0.13259668508287303</v>
      </c>
      <c r="R16" s="86">
        <f t="shared" si="3"/>
        <v>8.6585365853658613E-2</v>
      </c>
      <c r="S16" s="86">
        <f t="shared" si="3"/>
        <v>0.10662177328844002</v>
      </c>
      <c r="T16" s="86">
        <f t="shared" si="3"/>
        <v>0.15314401622718044</v>
      </c>
      <c r="U16" s="86">
        <f t="shared" si="3"/>
        <v>0.38434476693051889</v>
      </c>
      <c r="V16" s="86">
        <f t="shared" si="3"/>
        <v>0.23951715374841176</v>
      </c>
      <c r="W16" s="86">
        <f t="shared" si="3"/>
        <v>8.6117760123013865E-2</v>
      </c>
      <c r="X16" s="86">
        <f t="shared" si="3"/>
        <v>8.620187226074183E-2</v>
      </c>
      <c r="Y16" s="86">
        <f t="shared" si="3"/>
        <v>7.2695849024551507E-2</v>
      </c>
      <c r="Z16" s="86">
        <f t="shared" si="3"/>
        <v>6.7861343333597723E-2</v>
      </c>
      <c r="AC16" s="580" t="s">
        <v>1393</v>
      </c>
      <c r="AD16" s="86"/>
      <c r="AE16" s="86"/>
      <c r="AF16" s="86"/>
      <c r="AG16" s="86"/>
      <c r="AH16" s="86"/>
      <c r="AI16" s="86"/>
      <c r="AJ16" s="86"/>
      <c r="AK16" s="86"/>
      <c r="AL16" s="86"/>
      <c r="AM16" s="86"/>
      <c r="AN16" s="86"/>
      <c r="AO16" s="86"/>
    </row>
    <row r="18" spans="2:41">
      <c r="B18" t="s">
        <v>144</v>
      </c>
      <c r="H18" s="1226">
        <f>Rev!H12</f>
        <v>109.95700000000001</v>
      </c>
      <c r="I18" s="1226">
        <f>Rev!I12</f>
        <v>154.44900000000001</v>
      </c>
      <c r="J18" s="1226">
        <f>Rev!J12</f>
        <v>208.00300000000001</v>
      </c>
      <c r="K18" s="1226">
        <f>Rev!K12</f>
        <v>273.16000000000003</v>
      </c>
      <c r="L18" s="1226">
        <f>Rev!L12</f>
        <v>399.65600000000006</v>
      </c>
      <c r="M18" s="1226">
        <f>Rev!M12</f>
        <v>670.08699999999999</v>
      </c>
      <c r="N18" s="1226">
        <f>Rev!N12</f>
        <v>846.39900000000011</v>
      </c>
      <c r="O18" s="1227">
        <f>Rev!O12</f>
        <v>1136.7860000000001</v>
      </c>
      <c r="P18" s="1227">
        <f>Rev!P12</f>
        <v>1492.414</v>
      </c>
      <c r="Q18" s="1227">
        <f>Rev!Q12</f>
        <v>1797.068</v>
      </c>
      <c r="R18" s="1227">
        <f>Rev!R12</f>
        <v>2049.962</v>
      </c>
      <c r="S18" s="1227">
        <f>Rev!S12</f>
        <v>2317.7889999999998</v>
      </c>
      <c r="T18" s="1227">
        <f>Rev!T12</f>
        <v>2569.1410000000001</v>
      </c>
      <c r="U18" s="1227">
        <f>Rev!U12</f>
        <v>3418.3129999999996</v>
      </c>
      <c r="V18" s="1227">
        <f>Rev!V12</f>
        <v>4120.12</v>
      </c>
      <c r="W18" s="1227">
        <f ca="1">Rev!W12</f>
        <v>4724.6705955911902</v>
      </c>
      <c r="X18" s="1227">
        <f ca="1">Rev!X12</f>
        <v>5182.4497719846404</v>
      </c>
      <c r="Y18" s="1227">
        <f ca="1">Rev!Y12</f>
        <v>5615.5449327160304</v>
      </c>
      <c r="Z18" s="1227">
        <f ca="1">Rev!Z12</f>
        <v>6023.8199843878228</v>
      </c>
      <c r="AA18" s="1227"/>
      <c r="AB18" t="s">
        <v>144</v>
      </c>
      <c r="AD18" s="1227"/>
      <c r="AE18" s="1227">
        <f>+Rev!BU12</f>
        <v>276.14899999999994</v>
      </c>
      <c r="AF18" s="1227">
        <f>+Rev!BV12</f>
        <v>305.96800000000002</v>
      </c>
      <c r="AG18" s="1227">
        <f>+Rev!BW12</f>
        <v>317.43299999999999</v>
      </c>
      <c r="AH18" s="1227">
        <f>+Rev!BX12</f>
        <v>335.04700000000003</v>
      </c>
      <c r="AI18" s="1227">
        <f>+Rev!BY12</f>
        <v>367.38799999999998</v>
      </c>
      <c r="AJ18" s="1227">
        <f>+Rev!BZ12</f>
        <v>388.214</v>
      </c>
      <c r="AK18" s="1227">
        <f>+Rev!CA12</f>
        <v>401.76499999999999</v>
      </c>
      <c r="AL18" s="1227">
        <f>+Rev!CB12</f>
        <v>420.14499999999998</v>
      </c>
      <c r="AM18" s="1227">
        <f>+Rev!CC12</f>
        <v>433.61500000000001</v>
      </c>
      <c r="AN18" s="1227">
        <f>+Rev!CD12</f>
        <v>460.48199999999997</v>
      </c>
      <c r="AO18" s="1227">
        <f>+Rev!CE12</f>
        <v>482.82599999999996</v>
      </c>
    </row>
    <row r="19" spans="2:41">
      <c r="C19" s="580" t="s">
        <v>1393</v>
      </c>
      <c r="P19" s="86">
        <f t="shared" ref="P19:Z19" si="4">+P18/O18-1</f>
        <v>0.31283636497986422</v>
      </c>
      <c r="Q19" s="86">
        <f t="shared" si="4"/>
        <v>0.20413504563747065</v>
      </c>
      <c r="R19" s="86">
        <f t="shared" si="4"/>
        <v>0.14072589351098563</v>
      </c>
      <c r="S19" s="86">
        <f t="shared" si="4"/>
        <v>0.13064973887320819</v>
      </c>
      <c r="T19" s="86">
        <f t="shared" si="4"/>
        <v>0.10844472900682511</v>
      </c>
      <c r="U19" s="86">
        <f t="shared" si="4"/>
        <v>0.33052759657800013</v>
      </c>
      <c r="V19" s="86">
        <f t="shared" si="4"/>
        <v>0.2053079984191033</v>
      </c>
      <c r="W19" s="86">
        <f t="shared" ca="1" si="4"/>
        <v>0.14673130772676291</v>
      </c>
      <c r="X19" s="86">
        <f t="shared" ca="1" si="4"/>
        <v>9.689123657014842E-2</v>
      </c>
      <c r="Y19" s="86">
        <f t="shared" ca="1" si="4"/>
        <v>8.3569581913291557E-2</v>
      </c>
      <c r="Z19" s="86">
        <f t="shared" ca="1" si="4"/>
        <v>7.2704440363960288E-2</v>
      </c>
      <c r="AC19" s="580" t="s">
        <v>1393</v>
      </c>
      <c r="AD19" s="86"/>
      <c r="AE19" s="86"/>
      <c r="AF19" s="86">
        <f t="shared" ref="AF19:AO19" si="5">+AF18/AE18-1</f>
        <v>0.10798156067919873</v>
      </c>
      <c r="AG19" s="86">
        <f t="shared" si="5"/>
        <v>3.7471238822360364E-2</v>
      </c>
      <c r="AH19" s="86">
        <f t="shared" si="5"/>
        <v>5.5488874817678058E-2</v>
      </c>
      <c r="AI19" s="86">
        <f t="shared" si="5"/>
        <v>9.6526755947672793E-2</v>
      </c>
      <c r="AJ19" s="86">
        <f t="shared" si="5"/>
        <v>5.6686663690703076E-2</v>
      </c>
      <c r="AK19" s="86">
        <f t="shared" si="5"/>
        <v>3.4906005450601851E-2</v>
      </c>
      <c r="AL19" s="86">
        <f t="shared" si="5"/>
        <v>4.5748136348362944E-2</v>
      </c>
      <c r="AM19" s="86">
        <f t="shared" si="5"/>
        <v>3.2060360113770336E-2</v>
      </c>
      <c r="AN19" s="86">
        <f t="shared" si="5"/>
        <v>6.1960494909078179E-2</v>
      </c>
      <c r="AO19" s="86">
        <f t="shared" si="5"/>
        <v>4.8523069305640654E-2</v>
      </c>
    </row>
    <row r="20" spans="2:41">
      <c r="H20" s="1226"/>
      <c r="I20" s="1226"/>
      <c r="J20" s="1226"/>
      <c r="K20" s="1226"/>
      <c r="L20" s="1226"/>
      <c r="M20" s="1226"/>
      <c r="N20" s="1226"/>
      <c r="O20" s="1226"/>
      <c r="P20" s="1226"/>
      <c r="Q20" s="1226"/>
      <c r="R20" s="1226"/>
      <c r="S20" s="1226"/>
      <c r="T20" s="1226"/>
      <c r="U20" s="1226"/>
      <c r="V20" s="1226"/>
      <c r="W20" s="1226"/>
      <c r="X20" s="1226"/>
      <c r="Y20" s="1226"/>
      <c r="Z20" s="1226"/>
      <c r="AD20" s="1226"/>
      <c r="AE20" s="1226"/>
      <c r="AF20" s="1226"/>
      <c r="AG20" s="1226"/>
      <c r="AH20" s="1226"/>
      <c r="AI20" s="1226"/>
      <c r="AJ20" s="1226"/>
      <c r="AK20" s="1226"/>
      <c r="AL20" s="1226"/>
      <c r="AM20" s="1226"/>
      <c r="AN20" s="1226"/>
      <c r="AO20" s="1226"/>
    </row>
    <row r="21" spans="2:41">
      <c r="B21" t="s">
        <v>1392</v>
      </c>
      <c r="O21" s="1227">
        <f t="shared" ref="O21:Z21" si="6">+O18/12/AVERAGE(N15:O15)*1000000</f>
        <v>1482.5065206051122</v>
      </c>
      <c r="P21" s="1227">
        <f t="shared" si="6"/>
        <v>1824.9131817070188</v>
      </c>
      <c r="Q21" s="1227">
        <f t="shared" si="6"/>
        <v>1939.8402417962002</v>
      </c>
      <c r="R21" s="1227">
        <f t="shared" si="6"/>
        <v>1996.8458990843562</v>
      </c>
      <c r="S21" s="1227">
        <f t="shared" si="6"/>
        <v>2058.0616231575209</v>
      </c>
      <c r="T21" s="1227">
        <f t="shared" si="6"/>
        <v>2016.9108180248079</v>
      </c>
      <c r="U21" s="1227">
        <f t="shared" si="6"/>
        <v>2101.5080536087539</v>
      </c>
      <c r="V21" s="1227">
        <f t="shared" si="6"/>
        <v>1948.0472813238771</v>
      </c>
      <c r="W21" s="1227">
        <f t="shared" ca="1" si="6"/>
        <v>1934.747056605858</v>
      </c>
      <c r="X21" s="1227">
        <f t="shared" ca="1" si="6"/>
        <v>1953.8595219390588</v>
      </c>
      <c r="Y21" s="1227">
        <f t="shared" ca="1" si="6"/>
        <v>1961.8253716598838</v>
      </c>
      <c r="Z21" s="1227">
        <f t="shared" ca="1" si="6"/>
        <v>1966.427722362997</v>
      </c>
      <c r="AB21" t="s">
        <v>1392</v>
      </c>
      <c r="AD21" s="1227"/>
      <c r="AE21" s="1227">
        <f>+AE18/3/AVERAGE(AD15:AE15)*1000000</f>
        <v>1509.0109289617483</v>
      </c>
      <c r="AF21" s="1227">
        <f t="shared" ref="AF21:AO21" si="7">+AF18/3/AVERAGE(AE15:AF15)*1000000</f>
        <v>1662.4178212442271</v>
      </c>
      <c r="AG21" s="1227">
        <f t="shared" si="7"/>
        <v>1684.8885350318469</v>
      </c>
      <c r="AH21" s="1227">
        <f t="shared" si="7"/>
        <v>1705.0737913486007</v>
      </c>
      <c r="AI21" s="1227">
        <f t="shared" si="7"/>
        <v>1793.0112249877989</v>
      </c>
      <c r="AJ21" s="1227">
        <f t="shared" si="7"/>
        <v>1844.6851983844142</v>
      </c>
      <c r="AK21" s="1227">
        <f t="shared" si="7"/>
        <v>1870.4143389199253</v>
      </c>
      <c r="AL21" s="1227">
        <f t="shared" si="7"/>
        <v>1913.2285974499086</v>
      </c>
      <c r="AM21" s="1227">
        <f t="shared" si="7"/>
        <v>1938.810641627543</v>
      </c>
      <c r="AN21" s="1227">
        <f t="shared" si="7"/>
        <v>1988.2642487046633</v>
      </c>
      <c r="AO21" s="1227">
        <f t="shared" si="7"/>
        <v>1995.5610663360194</v>
      </c>
    </row>
    <row r="22" spans="2:41">
      <c r="C22" s="580" t="s">
        <v>1393</v>
      </c>
      <c r="P22" s="86">
        <f t="shared" ref="P22:Z22" si="8">+P21/O21-1</f>
        <v>0.23096469144847132</v>
      </c>
      <c r="Q22" s="86">
        <f t="shared" si="8"/>
        <v>6.2976727463647908E-2</v>
      </c>
      <c r="R22" s="86">
        <f t="shared" si="8"/>
        <v>2.9386779416108677E-2</v>
      </c>
      <c r="S22" s="86">
        <f t="shared" si="8"/>
        <v>3.0656208424112652E-2</v>
      </c>
      <c r="T22" s="86">
        <f t="shared" si="8"/>
        <v>-1.9994933421662364E-2</v>
      </c>
      <c r="U22" s="86">
        <f t="shared" si="8"/>
        <v>4.19439644172237E-2</v>
      </c>
      <c r="V22" s="86">
        <f t="shared" si="8"/>
        <v>-7.3024118095265322E-2</v>
      </c>
      <c r="W22" s="86">
        <f t="shared" ca="1" si="8"/>
        <v>-6.8274650443701512E-3</v>
      </c>
      <c r="X22" s="86">
        <f t="shared" ca="1" si="8"/>
        <v>9.8785343892602295E-3</v>
      </c>
      <c r="Y22" s="86">
        <f t="shared" ca="1" si="8"/>
        <v>4.0769818051809015E-3</v>
      </c>
      <c r="Z22" s="86">
        <f t="shared" ca="1" si="8"/>
        <v>2.3459532992069487E-3</v>
      </c>
      <c r="AC22" s="580" t="s">
        <v>1393</v>
      </c>
      <c r="AD22" s="86"/>
      <c r="AE22" s="86"/>
      <c r="AF22" s="86">
        <f t="shared" ref="AF22:AO22" si="9">+AF21/AE21-1</f>
        <v>0.10166055748054004</v>
      </c>
      <c r="AG22" s="86">
        <f t="shared" si="9"/>
        <v>1.3516886970570186E-2</v>
      </c>
      <c r="AH22" s="86">
        <f t="shared" si="9"/>
        <v>1.1980173107636549E-2</v>
      </c>
      <c r="AI22" s="86">
        <f t="shared" si="9"/>
        <v>5.1573975323170984E-2</v>
      </c>
      <c r="AJ22" s="86">
        <f t="shared" si="9"/>
        <v>2.8819659730221048E-2</v>
      </c>
      <c r="AK22" s="86">
        <f t="shared" si="9"/>
        <v>1.3947713440778386E-2</v>
      </c>
      <c r="AL22" s="86">
        <f t="shared" si="9"/>
        <v>2.2890253586649978E-2</v>
      </c>
      <c r="AM22" s="86">
        <f t="shared" si="9"/>
        <v>1.337113830084502E-2</v>
      </c>
      <c r="AN22" s="86">
        <f t="shared" si="9"/>
        <v>2.5507187765178685E-2</v>
      </c>
      <c r="AO22" s="86">
        <f t="shared" si="9"/>
        <v>3.6699435882880937E-3</v>
      </c>
    </row>
    <row r="24" spans="2:41">
      <c r="B24" t="s">
        <v>1341</v>
      </c>
      <c r="O24" s="1081">
        <f>Rev!O695</f>
        <v>86600</v>
      </c>
      <c r="P24" s="1081">
        <f>Rev!P695</f>
        <v>90400</v>
      </c>
      <c r="Q24" s="1081">
        <f>Rev!Q695</f>
        <v>108100</v>
      </c>
      <c r="R24" s="1081">
        <f>Rev!R695</f>
        <v>117200</v>
      </c>
      <c r="S24" s="1081">
        <f>Rev!S695</f>
        <v>125000</v>
      </c>
      <c r="T24" s="1081">
        <f>Rev!T695</f>
        <v>139900</v>
      </c>
      <c r="U24" s="1081">
        <f>Rev!U695</f>
        <v>197600</v>
      </c>
      <c r="V24" s="1081">
        <f>Rev!V695</f>
        <v>241000</v>
      </c>
      <c r="W24" s="1081">
        <f>Rev!W695</f>
        <v>263605</v>
      </c>
      <c r="X24" s="1081">
        <f>Rev!X695</f>
        <v>285380</v>
      </c>
      <c r="Y24" s="1081">
        <f>Rev!Y695</f>
        <v>305000</v>
      </c>
      <c r="Z24" s="1081">
        <f>Rev!Z695</f>
        <v>324492</v>
      </c>
      <c r="AB24" t="s">
        <v>1341</v>
      </c>
      <c r="AD24" s="1081"/>
      <c r="AE24" s="1081">
        <f>+Rev!BU695</f>
        <v>78700</v>
      </c>
      <c r="AF24" s="1081">
        <f>+Rev!BV695</f>
        <v>81400</v>
      </c>
      <c r="AG24" s="1081">
        <f>+Rev!BW695</f>
        <v>82900</v>
      </c>
      <c r="AH24" s="1081">
        <f>+Rev!BX695</f>
        <v>84600</v>
      </c>
      <c r="AI24" s="1081">
        <f>+Rev!BY695</f>
        <v>91300</v>
      </c>
      <c r="AJ24" s="1081">
        <f>+Rev!BZ695</f>
        <v>89000</v>
      </c>
      <c r="AK24" s="1081">
        <f>+Rev!CA695</f>
        <v>90400</v>
      </c>
      <c r="AL24" s="1081">
        <f>+Rev!CB695</f>
        <v>91200</v>
      </c>
      <c r="AM24" s="1081">
        <f>+Rev!CC695</f>
        <v>92890</v>
      </c>
      <c r="AN24" s="1081">
        <f>+Rev!CD695</f>
        <v>106800</v>
      </c>
      <c r="AO24" s="1081">
        <f>+Rev!CE695</f>
        <v>108100</v>
      </c>
    </row>
    <row r="25" spans="2:41">
      <c r="C25" s="580" t="s">
        <v>1393</v>
      </c>
      <c r="P25" s="86">
        <f>+P24/O24-1</f>
        <v>4.387990762124705E-2</v>
      </c>
      <c r="Q25" s="86">
        <f t="shared" ref="Q25:Z25" si="10">+Q24/P24-1</f>
        <v>0.19579646017699126</v>
      </c>
      <c r="R25" s="86">
        <f t="shared" si="10"/>
        <v>8.418131359851988E-2</v>
      </c>
      <c r="S25" s="86">
        <f t="shared" si="10"/>
        <v>6.6552901023890776E-2</v>
      </c>
      <c r="T25" s="86">
        <f t="shared" si="10"/>
        <v>0.11919999999999997</v>
      </c>
      <c r="U25" s="86">
        <f t="shared" si="10"/>
        <v>0.41243745532523235</v>
      </c>
      <c r="V25" s="86">
        <f t="shared" si="10"/>
        <v>0.21963562753036436</v>
      </c>
      <c r="W25" s="86">
        <f t="shared" si="10"/>
        <v>9.3796680497925333E-2</v>
      </c>
      <c r="X25" s="86">
        <f t="shared" si="10"/>
        <v>8.2604654691678769E-2</v>
      </c>
      <c r="Y25" s="86">
        <f t="shared" si="10"/>
        <v>6.8750438012474602E-2</v>
      </c>
      <c r="Z25" s="86">
        <f t="shared" si="10"/>
        <v>6.3908196721311539E-2</v>
      </c>
      <c r="AC25" s="580" t="s">
        <v>1393</v>
      </c>
      <c r="AD25" s="86"/>
      <c r="AE25" s="86"/>
      <c r="AF25" s="86">
        <f t="shared" ref="AF25:AO25" si="11">+AF24/AE24-1</f>
        <v>3.4307496823379857E-2</v>
      </c>
      <c r="AG25" s="86">
        <f t="shared" si="11"/>
        <v>1.8427518427518441E-2</v>
      </c>
      <c r="AH25" s="86">
        <f t="shared" si="11"/>
        <v>2.0506634499396936E-2</v>
      </c>
      <c r="AI25" s="86">
        <f t="shared" si="11"/>
        <v>7.9196217494089893E-2</v>
      </c>
      <c r="AJ25" s="86">
        <f t="shared" si="11"/>
        <v>-2.5191675794085433E-2</v>
      </c>
      <c r="AK25" s="86">
        <f t="shared" si="11"/>
        <v>1.5730337078651679E-2</v>
      </c>
      <c r="AL25" s="86">
        <f t="shared" si="11"/>
        <v>8.8495575221239076E-3</v>
      </c>
      <c r="AM25" s="86">
        <f t="shared" si="11"/>
        <v>1.853070175438587E-2</v>
      </c>
      <c r="AN25" s="86">
        <f t="shared" si="11"/>
        <v>0.14974701259554313</v>
      </c>
      <c r="AO25" s="86">
        <f t="shared" si="11"/>
        <v>1.2172284644194731E-2</v>
      </c>
    </row>
    <row r="27" spans="2:41">
      <c r="B27" t="s">
        <v>894</v>
      </c>
      <c r="O27" s="1236">
        <f t="shared" ref="O27:Z27" si="12">+O15/O24</f>
        <v>0.73787528868360275</v>
      </c>
      <c r="P27" s="1236">
        <f t="shared" si="12"/>
        <v>0.80088495575221241</v>
      </c>
      <c r="Q27" s="1236">
        <f t="shared" si="12"/>
        <v>0.75855689176688257</v>
      </c>
      <c r="R27" s="1236">
        <f t="shared" si="12"/>
        <v>0.76023890784982939</v>
      </c>
      <c r="S27" s="1236">
        <f t="shared" si="12"/>
        <v>0.78879999999999995</v>
      </c>
      <c r="T27" s="1236">
        <f t="shared" si="12"/>
        <v>0.81272337383845605</v>
      </c>
      <c r="U27" s="1236">
        <f t="shared" si="12"/>
        <v>0.79655870445344135</v>
      </c>
      <c r="V27" s="1236">
        <f t="shared" si="12"/>
        <v>0.8095435684647303</v>
      </c>
      <c r="W27" s="1236">
        <f t="shared" si="12"/>
        <v>0.8038602264752186</v>
      </c>
      <c r="X27" s="1236">
        <f t="shared" si="12"/>
        <v>0.80653124780993768</v>
      </c>
      <c r="Y27" s="1236">
        <f t="shared" si="12"/>
        <v>0.80950864754098351</v>
      </c>
      <c r="Z27" s="1236">
        <f t="shared" si="12"/>
        <v>0.81251652583114531</v>
      </c>
      <c r="AB27" t="s">
        <v>894</v>
      </c>
      <c r="AD27" s="1236"/>
      <c r="AE27" s="1236">
        <f>+AE15/AE24</f>
        <v>0.77509529860228721</v>
      </c>
      <c r="AF27" s="1236">
        <f t="shared" ref="AF27:AO27" si="13">+AF15/AF24</f>
        <v>0.75798525798525795</v>
      </c>
      <c r="AG27" s="1236">
        <f t="shared" si="13"/>
        <v>0.77080820265379979</v>
      </c>
      <c r="AH27" s="1236">
        <f t="shared" si="13"/>
        <v>0.79314420803782504</v>
      </c>
      <c r="AI27" s="1236">
        <f t="shared" si="13"/>
        <v>0.76122672508214673</v>
      </c>
      <c r="AJ27" s="1236">
        <f t="shared" si="13"/>
        <v>0.79550561797752806</v>
      </c>
      <c r="AK27" s="1236">
        <f t="shared" si="13"/>
        <v>0.80088495575221241</v>
      </c>
      <c r="AL27" s="1236">
        <f t="shared" si="13"/>
        <v>0.81140350877192979</v>
      </c>
      <c r="AM27" s="1236">
        <f t="shared" si="13"/>
        <v>0.80848315211540533</v>
      </c>
      <c r="AN27" s="1236">
        <f t="shared" si="13"/>
        <v>0.74250936329588013</v>
      </c>
      <c r="AO27" s="1236">
        <f t="shared" si="13"/>
        <v>0.75855689176688257</v>
      </c>
    </row>
    <row r="29" spans="2:41">
      <c r="B29" t="s">
        <v>890</v>
      </c>
      <c r="C29" s="580"/>
      <c r="O29" s="1235"/>
      <c r="P29" s="1235">
        <f t="shared" ref="P29:Z29" si="14">+P15-O15</f>
        <v>8500</v>
      </c>
      <c r="Q29" s="1235">
        <f t="shared" si="14"/>
        <v>9600</v>
      </c>
      <c r="R29" s="1235">
        <f t="shared" si="14"/>
        <v>7100</v>
      </c>
      <c r="S29" s="1235">
        <f t="shared" si="14"/>
        <v>9500</v>
      </c>
      <c r="T29" s="1235">
        <f t="shared" si="14"/>
        <v>15100</v>
      </c>
      <c r="U29" s="1235">
        <f t="shared" si="14"/>
        <v>43700</v>
      </c>
      <c r="V29" s="1235">
        <f t="shared" si="14"/>
        <v>37700</v>
      </c>
      <c r="W29" s="1235">
        <f t="shared" si="14"/>
        <v>16801.575000000012</v>
      </c>
      <c r="X29" s="1235">
        <f t="shared" si="14"/>
        <v>18266.3125</v>
      </c>
      <c r="Y29" s="1235">
        <f t="shared" si="14"/>
        <v>16732.249999999971</v>
      </c>
      <c r="Z29" s="1235">
        <f t="shared" si="14"/>
        <v>16754.975000000006</v>
      </c>
      <c r="AB29" t="s">
        <v>890</v>
      </c>
      <c r="AC29" s="580"/>
      <c r="AD29" s="1235"/>
      <c r="AE29" s="1235">
        <f>+AE15-AD15</f>
        <v>61000</v>
      </c>
      <c r="AF29" s="1235">
        <f t="shared" ref="AF29:AO29" si="15">+AF15-AE15</f>
        <v>700</v>
      </c>
      <c r="AG29" s="1235">
        <f t="shared" si="15"/>
        <v>2200</v>
      </c>
      <c r="AH29" s="1235">
        <f t="shared" si="15"/>
        <v>3200</v>
      </c>
      <c r="AI29" s="1235">
        <f t="shared" si="15"/>
        <v>2400</v>
      </c>
      <c r="AJ29" s="1235">
        <f t="shared" si="15"/>
        <v>1300</v>
      </c>
      <c r="AK29" s="1235">
        <f t="shared" si="15"/>
        <v>1600</v>
      </c>
      <c r="AL29" s="1235">
        <f t="shared" si="15"/>
        <v>1600</v>
      </c>
      <c r="AM29" s="1235">
        <f t="shared" si="15"/>
        <v>1100</v>
      </c>
      <c r="AN29" s="1235">
        <f t="shared" si="15"/>
        <v>4200</v>
      </c>
      <c r="AO29" s="1235">
        <f t="shared" si="15"/>
        <v>2700</v>
      </c>
    </row>
    <row r="30" spans="2:41">
      <c r="B30" t="s">
        <v>891</v>
      </c>
      <c r="C30" s="580"/>
      <c r="P30" s="1235">
        <f t="shared" ref="P30:Z30" si="16">+P24-O24</f>
        <v>3800</v>
      </c>
      <c r="Q30" s="1235">
        <f t="shared" si="16"/>
        <v>17700</v>
      </c>
      <c r="R30" s="1235">
        <f t="shared" si="16"/>
        <v>9100</v>
      </c>
      <c r="S30" s="1235">
        <f t="shared" si="16"/>
        <v>7800</v>
      </c>
      <c r="T30" s="1235">
        <f t="shared" si="16"/>
        <v>14900</v>
      </c>
      <c r="U30" s="1235">
        <f t="shared" si="16"/>
        <v>57700</v>
      </c>
      <c r="V30" s="1235">
        <f t="shared" si="16"/>
        <v>43400</v>
      </c>
      <c r="W30" s="1235">
        <f t="shared" si="16"/>
        <v>22605</v>
      </c>
      <c r="X30" s="1235">
        <f t="shared" si="16"/>
        <v>21775</v>
      </c>
      <c r="Y30" s="1235">
        <f t="shared" si="16"/>
        <v>19620</v>
      </c>
      <c r="Z30" s="1235">
        <f t="shared" si="16"/>
        <v>19492</v>
      </c>
      <c r="AB30" t="s">
        <v>891</v>
      </c>
      <c r="AC30" s="580"/>
      <c r="AD30" s="1235"/>
      <c r="AE30" s="1235">
        <f>+AE24-AD24</f>
        <v>78700</v>
      </c>
      <c r="AF30" s="1235">
        <f t="shared" ref="AF30:AO30" si="17">+AF24-AE24</f>
        <v>2700</v>
      </c>
      <c r="AG30" s="1235">
        <f t="shared" si="17"/>
        <v>1500</v>
      </c>
      <c r="AH30" s="1235">
        <f t="shared" si="17"/>
        <v>1700</v>
      </c>
      <c r="AI30" s="1235">
        <f t="shared" si="17"/>
        <v>6700</v>
      </c>
      <c r="AJ30" s="1235">
        <f t="shared" si="17"/>
        <v>-2300</v>
      </c>
      <c r="AK30" s="1235">
        <f t="shared" si="17"/>
        <v>1400</v>
      </c>
      <c r="AL30" s="1235">
        <f t="shared" si="17"/>
        <v>800</v>
      </c>
      <c r="AM30" s="1235">
        <f t="shared" si="17"/>
        <v>1690</v>
      </c>
      <c r="AN30" s="1235">
        <f t="shared" si="17"/>
        <v>13910</v>
      </c>
      <c r="AO30" s="1235">
        <f t="shared" si="17"/>
        <v>1300</v>
      </c>
    </row>
    <row r="32" spans="2:41">
      <c r="B32" t="s">
        <v>892</v>
      </c>
      <c r="O32" s="1236">
        <f t="shared" ref="O32:Z32" si="18">+O7/O5</f>
        <v>0.4843614938464188</v>
      </c>
      <c r="P32" s="1236">
        <f t="shared" si="18"/>
        <v>0.43490059778925</v>
      </c>
      <c r="Q32" s="1236">
        <f t="shared" si="18"/>
        <v>0.40505972312883065</v>
      </c>
      <c r="R32" s="1236">
        <f t="shared" si="18"/>
        <v>0.26589327404836377</v>
      </c>
      <c r="S32" s="1236">
        <f t="shared" si="18"/>
        <v>0.27015744084459498</v>
      </c>
      <c r="T32" s="1236">
        <f t="shared" si="18"/>
        <v>0.32056002732341671</v>
      </c>
      <c r="U32" s="1236">
        <f t="shared" si="18"/>
        <v>0.3082415256524868</v>
      </c>
      <c r="V32" s="1236">
        <f t="shared" si="18"/>
        <v>0.31561124505199578</v>
      </c>
      <c r="W32" s="1236">
        <f t="shared" ca="1" si="18"/>
        <v>0.38410506577766645</v>
      </c>
      <c r="X32" s="1236">
        <f t="shared" ca="1" si="18"/>
        <v>0.33690008917188136</v>
      </c>
      <c r="Y32" s="1236">
        <f t="shared" ca="1" si="18"/>
        <v>0.27957726745656841</v>
      </c>
      <c r="Z32" s="1236">
        <f t="shared" ca="1" si="18"/>
        <v>0.25489755233682715</v>
      </c>
      <c r="AB32" t="s">
        <v>892</v>
      </c>
      <c r="AD32" s="1236"/>
      <c r="AE32" s="1236">
        <f>+AE7/AE5</f>
        <v>0.5127285641876167</v>
      </c>
      <c r="AF32" s="1236">
        <f t="shared" ref="AF32:AO32" si="19">+AF7/AF5</f>
        <v>0.44773704549555998</v>
      </c>
      <c r="AG32" s="1236">
        <f t="shared" si="19"/>
        <v>0.42659019378023172</v>
      </c>
      <c r="AH32" s="1236">
        <f t="shared" si="19"/>
        <v>0.48735834823661034</v>
      </c>
      <c r="AI32" s="1236">
        <f t="shared" si="19"/>
        <v>0.48999898835571493</v>
      </c>
      <c r="AJ32" s="1236">
        <f t="shared" si="19"/>
        <v>0.32213969348959354</v>
      </c>
      <c r="AK32" s="1236">
        <f t="shared" si="19"/>
        <v>0.44963943560537867</v>
      </c>
      <c r="AL32" s="1236">
        <f t="shared" si="19"/>
        <v>0.3299452094559045</v>
      </c>
      <c r="AM32" s="1236">
        <f t="shared" si="19"/>
        <v>0.43133053805457378</v>
      </c>
      <c r="AN32" s="1236">
        <f t="shared" si="19"/>
        <v>0.43750554312291812</v>
      </c>
      <c r="AO32" s="1236">
        <f t="shared" si="19"/>
        <v>0.41577760695887245</v>
      </c>
    </row>
    <row r="33" spans="2:41">
      <c r="B33" t="s">
        <v>893</v>
      </c>
      <c r="O33" s="1236">
        <f t="shared" ref="O33:Z33" si="20">+O6/O5</f>
        <v>0.44559000312653085</v>
      </c>
      <c r="P33" s="1236">
        <f t="shared" si="20"/>
        <v>0.45853760772182678</v>
      </c>
      <c r="Q33" s="1236">
        <f t="shared" si="20"/>
        <v>0.47041871889861897</v>
      </c>
      <c r="R33" s="1236">
        <f t="shared" si="20"/>
        <v>0.46493580816493757</v>
      </c>
      <c r="S33" s="1236">
        <f t="shared" si="20"/>
        <v>0.45580751092060429</v>
      </c>
      <c r="T33" s="1236">
        <f t="shared" si="20"/>
        <v>0.46650368488264482</v>
      </c>
      <c r="U33" s="1236">
        <f t="shared" si="20"/>
        <v>0.45888124244010714</v>
      </c>
      <c r="V33" s="1236">
        <f t="shared" si="20"/>
        <v>0.46974357823912866</v>
      </c>
      <c r="W33" s="1236">
        <f t="shared" ca="1" si="20"/>
        <v>0.47551615342800341</v>
      </c>
      <c r="X33" s="1236">
        <f t="shared" ca="1" si="20"/>
        <v>0.4775161534280033</v>
      </c>
      <c r="Y33" s="1236">
        <f t="shared" ca="1" si="20"/>
        <v>0.47951615342800341</v>
      </c>
      <c r="Z33" s="1236">
        <f t="shared" ca="1" si="20"/>
        <v>0.48151615342800319</v>
      </c>
      <c r="AB33" t="s">
        <v>893</v>
      </c>
      <c r="AD33" s="1236"/>
      <c r="AE33" s="1236">
        <f>+AE6/AE5</f>
        <v>0.44578076457586968</v>
      </c>
      <c r="AF33" s="1236">
        <f t="shared" ref="AF33:AO33" si="21">+AF6/AF5</f>
        <v>0.44209288287895859</v>
      </c>
      <c r="AG33" s="1236">
        <f t="shared" si="21"/>
        <v>0.42950254942675092</v>
      </c>
      <c r="AH33" s="1236">
        <f t="shared" si="21"/>
        <v>0.4586169193866913</v>
      </c>
      <c r="AI33" s="1236">
        <f t="shared" si="21"/>
        <v>0.46018401550150323</v>
      </c>
      <c r="AJ33" s="1236">
        <f t="shared" si="21"/>
        <v>0.4576784384431466</v>
      </c>
      <c r="AK33" s="1236">
        <f t="shared" si="21"/>
        <v>0.45779833031678496</v>
      </c>
      <c r="AL33" s="1236">
        <f t="shared" si="21"/>
        <v>0.468837878045683</v>
      </c>
      <c r="AM33" s="1236">
        <f t="shared" si="21"/>
        <v>0.47509494435053667</v>
      </c>
      <c r="AN33" s="1236">
        <f t="shared" si="21"/>
        <v>0.46410840801509784</v>
      </c>
      <c r="AO33" s="1236">
        <f t="shared" si="21"/>
        <v>0.47363252110919873</v>
      </c>
    </row>
    <row r="34" spans="2:41">
      <c r="O34" s="1236"/>
      <c r="P34" s="1236"/>
      <c r="Q34" s="1236"/>
      <c r="R34" s="1236"/>
      <c r="S34" s="1236"/>
      <c r="T34" s="1236"/>
      <c r="U34" s="1236"/>
      <c r="V34" s="1236"/>
      <c r="W34" s="1236"/>
      <c r="X34" s="1236"/>
      <c r="Y34" s="1236"/>
      <c r="Z34" s="1236"/>
      <c r="AD34" s="1236"/>
      <c r="AE34" s="1236"/>
      <c r="AF34" s="1236"/>
      <c r="AG34" s="1236"/>
      <c r="AH34" s="1236"/>
      <c r="AI34" s="1236"/>
      <c r="AJ34" s="1236"/>
      <c r="AK34" s="1236"/>
      <c r="AL34" s="1236"/>
      <c r="AM34" s="1236"/>
      <c r="AN34" s="1236"/>
      <c r="AO34" s="1236"/>
    </row>
    <row r="35" spans="2:41">
      <c r="B35" t="s">
        <v>1757</v>
      </c>
      <c r="O35" s="1482">
        <f>CF!O97</f>
        <v>-185.33600000000013</v>
      </c>
      <c r="P35" s="1482">
        <f>CF!P97</f>
        <v>-141.95099999999977</v>
      </c>
      <c r="Q35" s="1482">
        <f>CF!Q97</f>
        <v>-73.505000000000223</v>
      </c>
      <c r="R35" s="1482">
        <f>CF!R97</f>
        <v>183.0870000000001</v>
      </c>
      <c r="S35" s="1482">
        <f>CF!S97</f>
        <v>186.02599999999967</v>
      </c>
      <c r="T35" s="1482">
        <f>CF!T97</f>
        <v>108.03300000000036</v>
      </c>
      <c r="U35" s="1482">
        <f>CF!U97</f>
        <v>154.69117374999996</v>
      </c>
      <c r="V35" s="1482">
        <f ca="1">CF!V97</f>
        <v>208.35561600161304</v>
      </c>
      <c r="W35" s="1482">
        <f ca="1">CF!W97</f>
        <v>-8.7465365633238434</v>
      </c>
      <c r="X35" s="1482">
        <f ca="1">CF!X97</f>
        <v>282.54575126488004</v>
      </c>
      <c r="Y35" s="1482">
        <f ca="1">CF!Y97</f>
        <v>660.84587144949626</v>
      </c>
      <c r="Z35" s="1482">
        <f ca="1">CF!Z97</f>
        <v>878.01076492419338</v>
      </c>
      <c r="AD35" s="1236"/>
      <c r="AE35" s="1236"/>
      <c r="AF35" s="1236"/>
      <c r="AG35" s="1236"/>
      <c r="AH35" s="1236"/>
      <c r="AI35" s="1236"/>
      <c r="AJ35" s="1236"/>
      <c r="AK35" s="1236"/>
      <c r="AL35" s="1236"/>
      <c r="AM35" s="1236"/>
      <c r="AN35" s="1236"/>
      <c r="AO35" s="1236"/>
    </row>
    <row r="36" spans="2:41">
      <c r="O36" s="1236"/>
      <c r="P36" s="1236"/>
      <c r="Q36" s="1236"/>
      <c r="R36" s="1236"/>
      <c r="S36" s="1236"/>
      <c r="T36" s="1236"/>
      <c r="U36" s="1236"/>
      <c r="V36" s="1236"/>
      <c r="W36" s="1236"/>
      <c r="X36" s="1236"/>
      <c r="Y36" s="1236"/>
      <c r="Z36" s="1236"/>
      <c r="AD36" s="1236"/>
      <c r="AE36" s="1236"/>
      <c r="AF36" s="1236"/>
      <c r="AG36" s="1236"/>
      <c r="AH36" s="1236"/>
      <c r="AI36" s="1236"/>
      <c r="AJ36" s="1236"/>
      <c r="AK36" s="1236"/>
      <c r="AL36" s="1236"/>
      <c r="AM36" s="1236"/>
      <c r="AN36" s="1236"/>
      <c r="AO36" s="1236"/>
    </row>
    <row r="37" spans="2:41">
      <c r="O37" s="1236"/>
      <c r="P37" s="1236"/>
      <c r="Q37" s="1236"/>
      <c r="R37" s="1236"/>
      <c r="S37" s="1236"/>
      <c r="T37" s="1236"/>
      <c r="U37" s="1236"/>
      <c r="V37" s="1236"/>
      <c r="W37" s="1236"/>
      <c r="X37" s="1236"/>
      <c r="Y37" s="1236"/>
      <c r="Z37" s="1236"/>
      <c r="AD37" s="1236"/>
      <c r="AE37" s="1236"/>
      <c r="AF37" s="1236"/>
      <c r="AG37" s="1236"/>
      <c r="AH37" s="1236"/>
      <c r="AI37" s="1236"/>
      <c r="AJ37" s="1236"/>
      <c r="AK37" s="1236"/>
      <c r="AL37" s="1236"/>
      <c r="AM37" s="1236"/>
      <c r="AN37" s="1236"/>
      <c r="AO37" s="1236"/>
    </row>
    <row r="38" spans="2:41">
      <c r="O38" s="1236"/>
      <c r="P38" s="1236"/>
      <c r="Q38" s="1236"/>
      <c r="R38" s="1236"/>
      <c r="S38" s="1236"/>
      <c r="T38" s="1236"/>
      <c r="U38" s="1236"/>
      <c r="V38" s="1236"/>
      <c r="W38" s="1236"/>
      <c r="X38" s="1236"/>
      <c r="Y38" s="1236"/>
      <c r="Z38" s="1236"/>
      <c r="AD38" s="1236"/>
      <c r="AE38" s="1236"/>
      <c r="AF38" s="1236"/>
      <c r="AG38" s="1236"/>
      <c r="AH38" s="1236"/>
      <c r="AI38" s="1236"/>
      <c r="AJ38" s="1236"/>
      <c r="AK38" s="1236"/>
      <c r="AL38" s="1236"/>
      <c r="AM38" s="1236"/>
      <c r="AN38" s="1236"/>
      <c r="AO38" s="1236"/>
    </row>
  </sheetData>
  <phoneticPr fontId="2" type="noConversion"/>
  <pageMargins left="0.75" right="0.75" top="1" bottom="1" header="0.5" footer="0.5"/>
  <pageSetup scale="33" orientation="landscape" r:id="rId1"/>
  <headerFooter alignWithMargins="0"/>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WROE">
    <outlinePr summaryBelow="0"/>
    <pageSetUpPr autoPageBreaks="0" fitToPage="1"/>
  </sheetPr>
  <dimension ref="A1:AK384"/>
  <sheetViews>
    <sheetView showGridLines="0" zoomScale="70" zoomScaleNormal="90" workbookViewId="0"/>
  </sheetViews>
  <sheetFormatPr defaultColWidth="9.7109375" defaultRowHeight="11.25" outlineLevelRow="4"/>
  <cols>
    <col min="1" max="1" width="16" style="1290" customWidth="1"/>
    <col min="2" max="2" width="64" style="1278" customWidth="1"/>
    <col min="3" max="12" width="10.28515625" style="1278" customWidth="1"/>
    <col min="13" max="13" width="1.85546875" style="1278" customWidth="1"/>
    <col min="14" max="14" width="8.5703125" style="1278" customWidth="1"/>
    <col min="15" max="17" width="9.7109375" style="1290" customWidth="1"/>
    <col min="18" max="26" width="9.7109375" style="1289" customWidth="1"/>
    <col min="27" max="27" width="9.7109375" style="1295" customWidth="1"/>
    <col min="28" max="16384" width="9.7109375" style="1278"/>
  </cols>
  <sheetData>
    <row r="1" spans="1:37" s="1265" customFormat="1" ht="34.5" customHeight="1">
      <c r="B1" s="1265" t="s">
        <v>832</v>
      </c>
      <c r="C1" s="1378"/>
      <c r="G1" s="1265" t="s">
        <v>838</v>
      </c>
      <c r="J1" s="2400" t="str">
        <f>IF(B378="J",J2,"")</f>
        <v/>
      </c>
      <c r="K1" s="2400"/>
      <c r="O1" s="1348" t="s">
        <v>212</v>
      </c>
      <c r="R1" s="1266"/>
      <c r="S1" s="1266"/>
      <c r="T1" s="1266"/>
      <c r="U1" s="1266"/>
      <c r="V1" s="1267">
        <f>IF(W1,1,2)</f>
        <v>1</v>
      </c>
      <c r="W1" s="1266" t="b">
        <v>1</v>
      </c>
      <c r="X1" s="1266" t="b">
        <v>0</v>
      </c>
      <c r="Y1" s="1266"/>
      <c r="Z1" s="1266"/>
    </row>
    <row r="2" spans="1:37" s="1268" customFormat="1" ht="21.75" hidden="1" customHeight="1">
      <c r="A2" s="1290"/>
      <c r="I2" s="1268" t="s">
        <v>212</v>
      </c>
      <c r="J2" s="1268" t="s">
        <v>212</v>
      </c>
      <c r="L2" s="1269" t="s">
        <v>212</v>
      </c>
      <c r="M2" s="1278"/>
      <c r="N2" s="1270"/>
      <c r="O2" s="1271"/>
      <c r="P2" s="1271"/>
      <c r="Q2" s="1271"/>
      <c r="R2" s="1272"/>
      <c r="S2" s="1273"/>
      <c r="T2" s="1273"/>
      <c r="U2" s="1273"/>
      <c r="V2" s="1273"/>
      <c r="W2" s="1273"/>
      <c r="X2" s="1273"/>
      <c r="Y2" s="1273"/>
      <c r="Z2" s="1273"/>
      <c r="AA2" s="1271"/>
      <c r="AB2" s="1271"/>
      <c r="AC2" s="1271"/>
      <c r="AD2" s="1271"/>
      <c r="AE2" s="1270"/>
      <c r="AF2" s="1270"/>
      <c r="AG2" s="1270"/>
      <c r="AH2" s="1270"/>
      <c r="AI2" s="1270"/>
      <c r="AJ2" s="1270"/>
      <c r="AK2" s="1270"/>
    </row>
    <row r="3" spans="1:37" s="1268" customFormat="1" ht="44.1" customHeight="1">
      <c r="A3" s="1290"/>
      <c r="B3" s="1274" t="s">
        <v>738</v>
      </c>
      <c r="C3" s="1275"/>
      <c r="D3" s="1275"/>
      <c r="E3" s="1275"/>
      <c r="F3" s="1275"/>
      <c r="G3" s="1275"/>
      <c r="H3" s="1275"/>
      <c r="I3" s="1275"/>
      <c r="J3" s="1276" t="s">
        <v>739</v>
      </c>
      <c r="K3" s="1278"/>
      <c r="L3" s="1277"/>
      <c r="M3" s="1278"/>
      <c r="N3" s="1279"/>
      <c r="O3" s="1280"/>
      <c r="P3" s="1280"/>
      <c r="Q3" s="1280"/>
      <c r="R3" s="1281"/>
      <c r="S3" s="1273"/>
      <c r="T3" s="1273"/>
      <c r="U3" s="1273"/>
      <c r="V3" s="1273"/>
      <c r="W3" s="1273"/>
      <c r="X3" s="1273"/>
      <c r="Y3" s="1273"/>
      <c r="Z3" s="1273"/>
      <c r="AA3" s="1271"/>
      <c r="AB3" s="1271"/>
      <c r="AC3" s="1271"/>
      <c r="AD3" s="1271"/>
      <c r="AE3" s="1270"/>
      <c r="AF3" s="1270"/>
      <c r="AG3" s="1270"/>
      <c r="AH3" s="1270"/>
      <c r="AI3" s="1270"/>
      <c r="AJ3" s="1270"/>
      <c r="AK3" s="1270"/>
    </row>
    <row r="4" spans="1:37" ht="4.5" customHeight="1">
      <c r="L4" s="1277"/>
      <c r="N4" s="1290"/>
      <c r="O4" s="1280"/>
      <c r="P4" s="1280"/>
      <c r="Q4" s="1280"/>
      <c r="R4" s="1281"/>
      <c r="S4" s="1283"/>
      <c r="T4" s="1283"/>
      <c r="U4" s="1283"/>
      <c r="V4" s="1283"/>
      <c r="W4" s="1283"/>
      <c r="X4" s="1283"/>
      <c r="Y4" s="1283"/>
      <c r="Z4" s="1283"/>
      <c r="AA4" s="1280"/>
      <c r="AB4" s="1280"/>
      <c r="AC4" s="1280"/>
      <c r="AD4" s="1280"/>
      <c r="AE4" s="1290"/>
      <c r="AF4" s="1290"/>
      <c r="AG4" s="1290"/>
      <c r="AH4" s="1290"/>
      <c r="AI4" s="1290"/>
      <c r="AJ4" s="1290"/>
      <c r="AK4" s="1290"/>
    </row>
    <row r="5" spans="1:37" ht="21.95" customHeight="1">
      <c r="B5" s="1353" t="s">
        <v>1719</v>
      </c>
      <c r="C5" s="2401" t="str">
        <f>rngTicker</f>
        <v>EQIX.O</v>
      </c>
      <c r="D5" s="2402"/>
      <c r="E5" s="1290"/>
      <c r="F5" s="1290"/>
      <c r="G5" s="1354"/>
      <c r="H5" s="1290"/>
      <c r="I5" s="1290"/>
      <c r="J5" s="1290"/>
      <c r="K5" s="1290"/>
      <c r="L5" s="1285"/>
      <c r="M5" s="1355"/>
      <c r="N5" s="1290" t="s">
        <v>740</v>
      </c>
      <c r="O5" s="1362"/>
      <c r="P5" s="1362"/>
      <c r="Q5" s="1362"/>
      <c r="R5" s="1363"/>
      <c r="S5" s="1284"/>
      <c r="T5" s="1284"/>
      <c r="U5" s="1284"/>
      <c r="V5" s="1284"/>
      <c r="W5" s="1284"/>
      <c r="X5" s="1284"/>
      <c r="Y5" s="1283"/>
      <c r="Z5" s="1283"/>
      <c r="AA5" s="1362"/>
      <c r="AB5" s="1362"/>
      <c r="AC5" s="1280"/>
      <c r="AD5" s="1280"/>
      <c r="AE5" s="1290"/>
      <c r="AF5" s="1290"/>
      <c r="AG5" s="1290"/>
      <c r="AH5" s="1290"/>
      <c r="AI5" s="1290"/>
      <c r="AJ5" s="1290"/>
      <c r="AK5" s="1290"/>
    </row>
    <row r="6" spans="1:37" ht="9.9499999999999993" customHeight="1">
      <c r="F6" s="1355"/>
      <c r="G6" s="1355"/>
      <c r="H6" s="1355"/>
      <c r="I6" s="1355"/>
      <c r="J6" s="1355"/>
      <c r="K6" s="1355"/>
      <c r="L6" s="1282"/>
      <c r="M6" s="1355"/>
      <c r="N6" s="1290"/>
      <c r="O6" s="1362"/>
      <c r="P6" s="1362"/>
      <c r="Q6" s="1362"/>
      <c r="R6" s="1284"/>
      <c r="S6" s="1284"/>
      <c r="T6" s="1284"/>
      <c r="U6" s="1284"/>
      <c r="V6" s="1284"/>
      <c r="W6" s="1284"/>
      <c r="X6" s="1284"/>
      <c r="Y6" s="1283"/>
      <c r="Z6" s="1283"/>
      <c r="AA6" s="1362"/>
      <c r="AB6" s="1362"/>
      <c r="AC6" s="1280"/>
      <c r="AD6" s="1280"/>
      <c r="AE6" s="1290"/>
      <c r="AF6" s="1290"/>
      <c r="AG6" s="1290"/>
      <c r="AH6" s="1290"/>
      <c r="AI6" s="1290"/>
      <c r="AJ6" s="1290"/>
      <c r="AK6" s="1290"/>
    </row>
    <row r="7" spans="1:37" ht="21.95" customHeight="1">
      <c r="F7" s="1355"/>
      <c r="G7" s="1355"/>
      <c r="H7" s="1355"/>
      <c r="I7" s="1355"/>
      <c r="J7" s="1355"/>
      <c r="K7" s="1355"/>
      <c r="L7" s="1356"/>
      <c r="M7" s="1355"/>
      <c r="N7" s="1290"/>
      <c r="O7" s="1364"/>
      <c r="P7" s="1365" t="s">
        <v>1718</v>
      </c>
      <c r="Q7" s="1362"/>
      <c r="R7" s="1283"/>
      <c r="S7" s="1366" t="s">
        <v>833</v>
      </c>
      <c r="T7" s="1283" t="str">
        <f>"ROE Decomposition ("&amp;S7&amp;")"</f>
        <v>ROE Decomposition (2011e)</v>
      </c>
      <c r="U7" s="1283"/>
      <c r="V7" s="1283"/>
      <c r="W7" s="1283"/>
      <c r="X7" s="1284"/>
      <c r="Y7" s="1283"/>
      <c r="Z7" s="1283"/>
      <c r="AA7" s="1362"/>
      <c r="AB7" s="1362" t="s">
        <v>741</v>
      </c>
      <c r="AC7" s="1280"/>
      <c r="AD7" s="1280"/>
      <c r="AE7" s="1362"/>
      <c r="AF7" s="1290"/>
      <c r="AG7" s="1290"/>
      <c r="AH7" s="1290"/>
      <c r="AI7" s="1290"/>
      <c r="AJ7" s="1290"/>
      <c r="AK7" s="1290"/>
    </row>
    <row r="8" spans="1:37" ht="21.95" customHeight="1">
      <c r="F8" s="1355"/>
      <c r="G8" s="1355"/>
      <c r="H8" s="1355"/>
      <c r="I8" s="1355"/>
      <c r="J8" s="1355"/>
      <c r="K8" s="1355"/>
      <c r="L8" s="1355"/>
      <c r="M8" s="1355"/>
      <c r="N8" s="1290"/>
      <c r="O8" s="1364"/>
      <c r="P8" s="1362"/>
      <c r="Q8" s="1362"/>
      <c r="R8" s="1283">
        <v>6</v>
      </c>
      <c r="S8" s="1283">
        <f>IF(ISNUMBER(MATCH(S7,R9:R18,FALSE)),MATCH(S7,R9:R18,FALSE),IF(ISNUMBER(MATCH(VALUE(S7),R9:R18,FALSE)),MATCH(VALUE(S7),R9:R18,FALSE),1))</f>
        <v>6</v>
      </c>
      <c r="T8" s="1283"/>
      <c r="U8" s="1283" t="s">
        <v>742</v>
      </c>
      <c r="V8" s="1283" t="s">
        <v>743</v>
      </c>
      <c r="W8" s="1283"/>
      <c r="X8" s="1284"/>
      <c r="Y8" s="1283"/>
      <c r="Z8" s="1283"/>
      <c r="AA8" s="1362"/>
      <c r="AB8" s="1362" t="s">
        <v>744</v>
      </c>
      <c r="AC8" s="1280"/>
      <c r="AD8" s="1280"/>
      <c r="AE8" s="1362"/>
      <c r="AF8" s="1290"/>
      <c r="AG8" s="1290"/>
      <c r="AH8" s="1290"/>
      <c r="AI8" s="1290"/>
      <c r="AJ8" s="1290"/>
      <c r="AK8" s="1290"/>
    </row>
    <row r="9" spans="1:37" ht="21.95" customHeight="1">
      <c r="F9" s="1355"/>
      <c r="G9" s="1355"/>
      <c r="H9" s="1355"/>
      <c r="I9" s="1355"/>
      <c r="J9" s="1355"/>
      <c r="K9" s="1355"/>
      <c r="L9" s="1285" t="s">
        <v>215</v>
      </c>
      <c r="M9" s="1357"/>
      <c r="N9" s="1290"/>
      <c r="O9" s="1362"/>
      <c r="P9" s="1362"/>
      <c r="Q9" s="1362"/>
      <c r="R9" s="1283">
        <v>2006</v>
      </c>
      <c r="S9" s="1286" t="s">
        <v>745</v>
      </c>
      <c r="T9" s="1283" t="s">
        <v>745</v>
      </c>
      <c r="U9" s="1287">
        <v>0</v>
      </c>
      <c r="V9" s="1288">
        <f ca="1">IF(ISERROR(CHOOSE($V$1,HLOOKUP(OFFSET($R$8,$S$8,0),$C$34:$L$149,5),HLOOKUP(OFFSET($R$8,$S$8,0),$C$34:$L$149,68))),0,CHOOSE($V$1,HLOOKUP(OFFSET($R$8,$S$8,0),$C$34:$L$149,5),HLOOKUP(OFFSET($R$8,$S$8,0),$C$34:$L$149,68)))</f>
        <v>7.4433789802416564E-2</v>
      </c>
      <c r="W9" s="1288">
        <f ca="1">V9</f>
        <v>7.4433789802416564E-2</v>
      </c>
      <c r="X9" s="1284"/>
      <c r="Y9" s="1283"/>
      <c r="Z9" s="1367" t="b">
        <f ca="1">IF(W11&lt;0,-Z10,Z10)</f>
        <v>0</v>
      </c>
      <c r="AA9" s="1362"/>
      <c r="AB9" s="1362" t="str">
        <f>IF(A309="English",AE9,AH9)</f>
        <v>ROE Decomposition (2011e)</v>
      </c>
      <c r="AC9" s="1280"/>
      <c r="AD9" s="1280"/>
      <c r="AE9" s="1362" t="str">
        <f>"ROE Decomposition ("&amp;S7&amp;")"</f>
        <v>ROE Decomposition (2011e)</v>
      </c>
      <c r="AF9" s="1290"/>
      <c r="AG9" s="1290"/>
      <c r="AH9" s="1289" t="str">
        <f>"ROE要因分解 ("&amp;S7&amp;")"</f>
        <v>ROE要因分解 (2011e)</v>
      </c>
      <c r="AI9" s="1290"/>
      <c r="AJ9" s="1290"/>
      <c r="AK9" s="1290"/>
    </row>
    <row r="10" spans="1:37" ht="21.95" customHeight="1">
      <c r="F10" s="1355"/>
      <c r="G10" s="1355"/>
      <c r="H10" s="1355"/>
      <c r="I10" s="1355"/>
      <c r="J10" s="1355"/>
      <c r="K10" s="1355"/>
      <c r="L10" s="1266" t="s">
        <v>213</v>
      </c>
      <c r="M10" s="1355"/>
      <c r="N10" s="1290"/>
      <c r="O10" s="1368"/>
      <c r="P10" s="1362"/>
      <c r="Q10" s="1362"/>
      <c r="R10" s="1283">
        <v>2007</v>
      </c>
      <c r="S10" s="1286" t="s">
        <v>746</v>
      </c>
      <c r="T10" s="1283" t="s">
        <v>746</v>
      </c>
      <c r="U10" s="1288">
        <f ca="1">IF(AND(V10&gt;0,W9&gt;0),W9,IF(AND(V10&lt;0,W9&gt;0),W9+V10,IF(AND(W9&lt;0,V10&gt;0,SUM(V9:V10)&lt;0),SUM(V9:V10),V9)))</f>
        <v>7.4433789802416564E-2</v>
      </c>
      <c r="V10" s="1288">
        <f ca="1">IF(ISERROR(CHOOSE($V$1,HLOOKUP(OFFSET($R$8,$S$8,0),$C$34:$L$149,32),HLOOKUP(OFFSET($R$8,$S$8,0),$C$34:$L$149,90))),0,CHOOSE($V$1,HLOOKUP(OFFSET($R$8,$S$8,0),$C$34:$L$149,32),HLOOKUP(OFFSET($R$8,$S$8,0),$C$34:$L$149,90)))</f>
        <v>0</v>
      </c>
      <c r="W10" s="1288">
        <f ca="1">IF(AND(V9&lt;0,V10&lt;0,V11&lt;0,V12&lt;0),V10,IF(AND(V9&gt;0,V10&lt;0,V12&lt;0),V9,IF(SUM(V9:V10)&lt;0,-V10,IF(AND(U10&lt;0,SUM(V9:V10)&gt;0),SUM(V9:V10),ABS(V10)))))</f>
        <v>0</v>
      </c>
      <c r="X10" s="1284"/>
      <c r="Y10" s="1283"/>
      <c r="Z10" s="1367" t="b">
        <f ca="1">IF(AND(W9&gt;0,W10&gt;0),MAX(W9,W10),IF(AND(W9&lt;0,W10&lt;0),MAX(ABS(W9),ABS(W10)),IF(W9&lt;0,ABS(W9),IF(W10&lt;0,ABS(W10)))))</f>
        <v>0</v>
      </c>
      <c r="AA10" s="1362"/>
      <c r="AB10" s="1362" t="s">
        <v>747</v>
      </c>
      <c r="AC10" s="1280"/>
      <c r="AD10" s="1280"/>
      <c r="AE10" s="1362" t="str">
        <f>"× "&amp;AB10</f>
        <v>× Operating Asset Turnover</v>
      </c>
      <c r="AF10" s="1290"/>
      <c r="AG10" s="1290"/>
      <c r="AH10" s="1290"/>
      <c r="AI10" s="1290"/>
      <c r="AJ10" s="1290"/>
      <c r="AK10" s="1290"/>
    </row>
    <row r="11" spans="1:37" ht="21.95" customHeight="1">
      <c r="F11" s="1355"/>
      <c r="G11" s="1355"/>
      <c r="H11" s="1355"/>
      <c r="I11" s="1355"/>
      <c r="J11" s="1355"/>
      <c r="K11" s="1355"/>
      <c r="L11" s="1355"/>
      <c r="M11" s="1355"/>
      <c r="N11" s="1290"/>
      <c r="O11" s="1362"/>
      <c r="P11" s="1362"/>
      <c r="Q11" s="1362"/>
      <c r="R11" s="1283">
        <v>2008</v>
      </c>
      <c r="S11" s="1286" t="s">
        <v>748</v>
      </c>
      <c r="T11" s="1283" t="s">
        <v>748</v>
      </c>
      <c r="U11" s="1287">
        <v>0</v>
      </c>
      <c r="V11" s="1288">
        <f ca="1">IF(ISERROR(CHOOSE($V$1,HLOOKUP(OFFSET($R$8,$S$8,0),$C$34:$L$149,3),HLOOKUP(OFFSET($R$8,$S$8,0),$C$34:$L$149,66))),0,CHOOSE($V$1,HLOOKUP(OFFSET($R$8,$S$8,0),$C$34:$L$149,3),HLOOKUP(OFFSET($R$8,$S$8,0),$C$34:$L$149,66)))</f>
        <v>4.776855173741254E-2</v>
      </c>
      <c r="W11" s="1288">
        <f ca="1">V11</f>
        <v>4.776855173741254E-2</v>
      </c>
      <c r="X11" s="1284"/>
      <c r="Y11" s="1283"/>
      <c r="Z11" s="1283"/>
      <c r="AA11" s="1362"/>
      <c r="AB11" s="1362" t="s">
        <v>749</v>
      </c>
      <c r="AC11" s="1280"/>
      <c r="AD11" s="1280"/>
      <c r="AE11" s="1362"/>
      <c r="AF11" s="1290"/>
      <c r="AG11" s="1290"/>
      <c r="AH11" s="1290"/>
      <c r="AI11" s="1290"/>
      <c r="AJ11" s="1290"/>
      <c r="AK11" s="1290"/>
    </row>
    <row r="12" spans="1:37" ht="21.95" customHeight="1">
      <c r="F12" s="1355"/>
      <c r="G12" s="1355"/>
      <c r="H12" s="1355"/>
      <c r="I12" s="1355"/>
      <c r="J12" s="1355"/>
      <c r="K12" s="1355"/>
      <c r="L12" s="1355"/>
      <c r="M12" s="1355"/>
      <c r="N12" s="1290"/>
      <c r="O12" s="1362"/>
      <c r="P12" s="1362"/>
      <c r="Q12" s="1362"/>
      <c r="R12" s="1283">
        <v>2009</v>
      </c>
      <c r="S12" s="1286">
        <f>VALUE(F34)</f>
        <v>2009</v>
      </c>
      <c r="T12" s="1283"/>
      <c r="U12" s="1283"/>
      <c r="V12" s="1287">
        <f ca="1">SUM(V9:V10)</f>
        <v>7.4433789802416564E-2</v>
      </c>
      <c r="W12" s="1283"/>
      <c r="X12" s="1284"/>
      <c r="Y12" s="1283"/>
      <c r="Z12" s="1283"/>
      <c r="AA12" s="1362"/>
      <c r="AB12" s="1362" t="s">
        <v>750</v>
      </c>
      <c r="AC12" s="1280"/>
      <c r="AD12" s="1280"/>
      <c r="AE12" s="1362" t="str">
        <f>"+ "&amp;AB12</f>
        <v>+ Return From Leverage</v>
      </c>
      <c r="AF12" s="1290"/>
      <c r="AG12" s="1290"/>
      <c r="AH12" s="1290"/>
      <c r="AI12" s="1290"/>
      <c r="AJ12" s="1290"/>
      <c r="AK12" s="1290"/>
    </row>
    <row r="13" spans="1:37" ht="21.95" customHeight="1">
      <c r="F13" s="1355"/>
      <c r="G13" s="1355"/>
      <c r="H13" s="1355"/>
      <c r="I13" s="1355"/>
      <c r="J13" s="1355"/>
      <c r="K13" s="1355"/>
      <c r="L13" s="1355"/>
      <c r="M13" s="1355"/>
      <c r="N13" s="1290"/>
      <c r="O13" s="1362"/>
      <c r="P13" s="1362"/>
      <c r="Q13" s="1362"/>
      <c r="R13" s="1283">
        <v>2010</v>
      </c>
      <c r="S13" s="1286">
        <f>VALUE(G34)</f>
        <v>2010</v>
      </c>
      <c r="T13" s="1283"/>
      <c r="U13" s="1283"/>
      <c r="V13" s="1283"/>
      <c r="W13" s="1283"/>
      <c r="X13" s="1284"/>
      <c r="Y13" s="1283"/>
      <c r="Z13" s="1283"/>
      <c r="AA13" s="1362"/>
      <c r="AB13" s="1362" t="s">
        <v>751</v>
      </c>
      <c r="AC13" s="1280"/>
      <c r="AD13" s="1280"/>
      <c r="AE13" s="1290"/>
      <c r="AF13" s="1290"/>
      <c r="AG13" s="1290"/>
      <c r="AH13" s="1290"/>
      <c r="AI13" s="1290"/>
      <c r="AJ13" s="1290"/>
      <c r="AK13" s="1290"/>
    </row>
    <row r="14" spans="1:37" ht="21.95" customHeight="1">
      <c r="F14" s="1355"/>
      <c r="G14" s="1355"/>
      <c r="H14" s="1355"/>
      <c r="I14" s="1355"/>
      <c r="J14" s="1355"/>
      <c r="K14" s="1355"/>
      <c r="L14" s="1355"/>
      <c r="M14" s="1355"/>
      <c r="N14" s="1290"/>
      <c r="O14" s="1362"/>
      <c r="P14" s="1362"/>
      <c r="Q14" s="1362"/>
      <c r="R14" s="1283" t="s">
        <v>833</v>
      </c>
      <c r="S14" s="1286" t="str">
        <f>H34</f>
        <v>2011e</v>
      </c>
      <c r="T14" s="1283"/>
      <c r="U14" s="1283"/>
      <c r="V14" s="1283"/>
      <c r="W14" s="1283"/>
      <c r="X14" s="1284"/>
      <c r="Y14" s="1283"/>
      <c r="Z14" s="1283"/>
      <c r="AA14" s="1362"/>
      <c r="AB14" s="1362"/>
      <c r="AC14" s="1280"/>
      <c r="AD14" s="1280"/>
      <c r="AE14" s="1290"/>
      <c r="AF14" s="1290"/>
      <c r="AG14" s="1290"/>
      <c r="AH14" s="1290"/>
      <c r="AI14" s="1290"/>
      <c r="AJ14" s="1290"/>
      <c r="AK14" s="1290"/>
    </row>
    <row r="15" spans="1:37" ht="21.95" customHeight="1">
      <c r="F15" s="1355"/>
      <c r="G15" s="1355"/>
      <c r="H15" s="1355"/>
      <c r="I15" s="1355"/>
      <c r="J15" s="1355"/>
      <c r="K15" s="1355"/>
      <c r="L15" s="1355"/>
      <c r="M15" s="1355"/>
      <c r="N15" s="1290"/>
      <c r="O15" s="1362"/>
      <c r="P15" s="1362"/>
      <c r="Q15" s="1362"/>
      <c r="R15" s="1283" t="s">
        <v>834</v>
      </c>
      <c r="S15" s="1286" t="str">
        <f>I34</f>
        <v>2012e</v>
      </c>
      <c r="T15" s="1283"/>
      <c r="U15" s="1283"/>
      <c r="V15" s="1283"/>
      <c r="W15" s="1283"/>
      <c r="X15" s="1284"/>
      <c r="Y15" s="1283"/>
      <c r="Z15" s="1283"/>
      <c r="AA15" s="1362"/>
      <c r="AB15" s="1362"/>
      <c r="AC15" s="1280"/>
      <c r="AD15" s="1280"/>
      <c r="AE15" s="1290"/>
      <c r="AF15" s="1290"/>
      <c r="AG15" s="1290"/>
      <c r="AH15" s="1290"/>
      <c r="AI15" s="1290"/>
      <c r="AJ15" s="1290"/>
      <c r="AK15" s="1290"/>
    </row>
    <row r="16" spans="1:37" ht="21.95" customHeight="1">
      <c r="F16" s="1355"/>
      <c r="G16" s="1355"/>
      <c r="H16" s="1355"/>
      <c r="I16" s="1355"/>
      <c r="J16" s="1355"/>
      <c r="K16" s="1355"/>
      <c r="L16" s="1355"/>
      <c r="M16" s="1355"/>
      <c r="N16" s="1290"/>
      <c r="O16" s="1362"/>
      <c r="P16" s="1362"/>
      <c r="Q16" s="1362"/>
      <c r="R16" s="1283" t="s">
        <v>835</v>
      </c>
      <c r="S16" s="1286" t="str">
        <f>J34</f>
        <v>2013e</v>
      </c>
      <c r="T16" s="1283"/>
      <c r="U16" s="1283"/>
      <c r="V16" s="1283"/>
      <c r="W16" s="1283"/>
      <c r="X16" s="1284"/>
      <c r="Y16" s="1283"/>
      <c r="Z16" s="1283"/>
      <c r="AA16" s="1362"/>
      <c r="AB16" s="1362"/>
      <c r="AC16" s="1280"/>
      <c r="AD16" s="1280"/>
      <c r="AE16" s="1290"/>
      <c r="AF16" s="1290"/>
      <c r="AG16" s="1290"/>
      <c r="AH16" s="1290"/>
      <c r="AI16" s="1290"/>
      <c r="AJ16" s="1290"/>
      <c r="AK16" s="1290"/>
    </row>
    <row r="17" spans="3:37" ht="21.95" customHeight="1">
      <c r="F17" s="1355"/>
      <c r="G17" s="1355"/>
      <c r="H17" s="1355"/>
      <c r="I17" s="1355"/>
      <c r="J17" s="1355"/>
      <c r="K17" s="1355"/>
      <c r="L17" s="1355"/>
      <c r="M17" s="1355"/>
      <c r="N17" s="1290"/>
      <c r="O17" s="1362"/>
      <c r="P17" s="1362"/>
      <c r="Q17" s="1362"/>
      <c r="R17" s="1283" t="s">
        <v>836</v>
      </c>
      <c r="S17" s="1283"/>
      <c r="T17" s="1283"/>
      <c r="U17" s="1283"/>
      <c r="V17" s="1283"/>
      <c r="W17" s="1283"/>
      <c r="X17" s="1283"/>
      <c r="Y17" s="1283"/>
      <c r="Z17" s="1283"/>
      <c r="AA17" s="1362"/>
      <c r="AB17" s="1362"/>
      <c r="AC17" s="1280"/>
      <c r="AD17" s="1280"/>
      <c r="AE17" s="1290"/>
      <c r="AF17" s="1290"/>
      <c r="AG17" s="1290"/>
      <c r="AH17" s="1290"/>
      <c r="AI17" s="1290"/>
      <c r="AJ17" s="1290"/>
      <c r="AK17" s="1290"/>
    </row>
    <row r="18" spans="3:37" ht="21.95" customHeight="1">
      <c r="F18" s="1355"/>
      <c r="G18" s="1355"/>
      <c r="H18" s="1355"/>
      <c r="I18" s="1355"/>
      <c r="J18" s="1355"/>
      <c r="K18" s="1355"/>
      <c r="L18" s="1355"/>
      <c r="M18" s="1355"/>
      <c r="N18" s="1290"/>
      <c r="O18" s="1362"/>
      <c r="P18" s="1362"/>
      <c r="Q18" s="1362"/>
      <c r="R18" s="1283" t="s">
        <v>837</v>
      </c>
      <c r="S18" s="1283"/>
      <c r="T18" s="1283"/>
      <c r="U18" s="1283"/>
      <c r="V18" s="1283"/>
      <c r="W18" s="1283"/>
      <c r="X18" s="1283"/>
      <c r="Y18" s="1283"/>
      <c r="Z18" s="1283"/>
      <c r="AA18" s="1369"/>
      <c r="AB18" s="1370"/>
      <c r="AC18" s="1280"/>
      <c r="AD18" s="1280"/>
    </row>
    <row r="19" spans="3:37" s="1290" customFormat="1" ht="21.95" customHeight="1">
      <c r="D19" s="1290" t="s">
        <v>749</v>
      </c>
      <c r="F19" s="1355"/>
      <c r="G19" s="1355"/>
      <c r="H19" s="1355"/>
      <c r="I19" s="1355"/>
      <c r="J19" s="1355"/>
      <c r="K19" s="1355"/>
      <c r="L19" s="1355"/>
      <c r="M19" s="1355"/>
      <c r="O19" s="1362"/>
      <c r="P19" s="1362"/>
      <c r="Q19" s="1362"/>
      <c r="R19" s="1283"/>
      <c r="S19" s="1283"/>
      <c r="T19" s="1283"/>
      <c r="U19" s="1283"/>
      <c r="V19" s="1283"/>
      <c r="W19" s="1283"/>
      <c r="X19" s="1283"/>
      <c r="Y19" s="1283"/>
      <c r="Z19" s="1283"/>
      <c r="AA19" s="1369"/>
      <c r="AB19" s="1370"/>
      <c r="AC19" s="1280"/>
      <c r="AD19" s="1280"/>
    </row>
    <row r="20" spans="3:37" ht="21.95" customHeight="1">
      <c r="F20" s="1355"/>
      <c r="G20" s="1355"/>
      <c r="H20" s="1355"/>
      <c r="I20" s="1355"/>
      <c r="J20" s="1355"/>
      <c r="K20" s="1355"/>
      <c r="L20" s="1355"/>
      <c r="M20" s="1355"/>
      <c r="N20" s="1290"/>
      <c r="O20" s="1323"/>
      <c r="P20" s="1323"/>
      <c r="Q20" s="1323"/>
      <c r="AA20" s="1371"/>
      <c r="AB20" s="1297"/>
      <c r="AC20" s="1295"/>
    </row>
    <row r="21" spans="3:37" ht="21.95" customHeight="1">
      <c r="C21" s="1358"/>
      <c r="D21" s="1358"/>
      <c r="E21" s="1358"/>
      <c r="F21" s="1358"/>
      <c r="G21" s="1358"/>
      <c r="H21" s="1358"/>
      <c r="I21" s="1358"/>
      <c r="J21" s="1358"/>
      <c r="K21" s="1358"/>
      <c r="L21" s="1358"/>
      <c r="M21" s="1355"/>
      <c r="N21" s="1290"/>
      <c r="O21" s="1323"/>
      <c r="P21" s="1323"/>
      <c r="Q21" s="1323"/>
      <c r="AA21" s="1371"/>
      <c r="AB21" s="1297"/>
      <c r="AC21" s="1295"/>
    </row>
    <row r="22" spans="3:37" ht="21.95" customHeight="1">
      <c r="F22" s="1355"/>
      <c r="G22" s="1355"/>
      <c r="H22" s="1355"/>
      <c r="I22" s="1355"/>
      <c r="J22" s="1355"/>
      <c r="K22" s="1355"/>
      <c r="L22" s="1290" t="s">
        <v>750</v>
      </c>
      <c r="M22" s="1290" t="s">
        <v>750</v>
      </c>
      <c r="N22" s="1290"/>
      <c r="AC22" s="1295"/>
    </row>
    <row r="23" spans="3:37" ht="21.95" customHeight="1">
      <c r="F23" s="1355"/>
      <c r="G23" s="1355"/>
      <c r="H23" s="1355"/>
      <c r="I23" s="1355"/>
      <c r="J23" s="1355"/>
      <c r="K23" s="1355"/>
      <c r="L23" s="1290" t="s">
        <v>748</v>
      </c>
      <c r="M23" s="1290" t="s">
        <v>748</v>
      </c>
      <c r="N23" s="1290"/>
      <c r="AC23" s="1295"/>
    </row>
    <row r="24" spans="3:37" ht="21.95" customHeight="1">
      <c r="F24" s="1355"/>
      <c r="G24" s="1355"/>
      <c r="H24" s="1355"/>
      <c r="I24" s="1355"/>
      <c r="J24" s="1355"/>
      <c r="K24" s="1355"/>
      <c r="L24" s="1290"/>
      <c r="M24" s="1355"/>
      <c r="N24" s="1290"/>
      <c r="AC24" s="1295"/>
    </row>
    <row r="25" spans="3:37" ht="21.95" customHeight="1">
      <c r="F25" s="1355"/>
      <c r="G25" s="1355"/>
      <c r="H25" s="1355"/>
      <c r="I25" s="1355"/>
      <c r="J25" s="1355"/>
      <c r="K25" s="1355"/>
      <c r="L25" s="1355"/>
      <c r="M25" s="1355"/>
      <c r="N25" s="1290"/>
      <c r="AC25" s="1295"/>
    </row>
    <row r="26" spans="3:37" ht="21.95" customHeight="1">
      <c r="N26" s="1290"/>
      <c r="AC26" s="1295"/>
    </row>
    <row r="27" spans="3:37" ht="21.95" customHeight="1">
      <c r="N27" s="1290"/>
      <c r="AC27" s="1295"/>
    </row>
    <row r="28" spans="3:37" ht="21.95" customHeight="1">
      <c r="N28" s="1290"/>
      <c r="AC28" s="1295"/>
    </row>
    <row r="29" spans="3:37" ht="21.95" customHeight="1">
      <c r="AC29" s="1295"/>
    </row>
    <row r="30" spans="3:37" ht="21.95" customHeight="1">
      <c r="AC30" s="1295"/>
    </row>
    <row r="31" spans="3:37" ht="4.5" customHeight="1">
      <c r="AC31" s="1295"/>
    </row>
    <row r="32" spans="3:37" ht="4.5" customHeight="1"/>
    <row r="33" spans="2:28" s="1280" customFormat="1" ht="12" customHeight="1" thickBot="1">
      <c r="C33" s="1359" t="str">
        <f t="shared" ref="C33:L33" si="0">C$378&amp;"-FY"</f>
        <v>2006-FY</v>
      </c>
      <c r="D33" s="1359" t="str">
        <f t="shared" si="0"/>
        <v>2007-FY</v>
      </c>
      <c r="E33" s="1359" t="str">
        <f t="shared" si="0"/>
        <v>2008-FY</v>
      </c>
      <c r="F33" s="1359" t="str">
        <f t="shared" si="0"/>
        <v>2009-FY</v>
      </c>
      <c r="G33" s="1359" t="str">
        <f t="shared" si="0"/>
        <v>2010-FY</v>
      </c>
      <c r="H33" s="1359" t="str">
        <f t="shared" si="0"/>
        <v>2011-FY</v>
      </c>
      <c r="I33" s="1359" t="str">
        <f t="shared" si="0"/>
        <v>2012-FY</v>
      </c>
      <c r="J33" s="1359" t="str">
        <f t="shared" si="0"/>
        <v>2013-FY</v>
      </c>
      <c r="K33" s="1359" t="str">
        <f t="shared" si="0"/>
        <v>2014-FY</v>
      </c>
      <c r="L33" s="1359" t="str">
        <f t="shared" si="0"/>
        <v>2015-FY</v>
      </c>
      <c r="R33" s="1283"/>
      <c r="S33" s="1283"/>
      <c r="T33" s="1283"/>
      <c r="U33" s="1283"/>
      <c r="V33" s="1283"/>
      <c r="W33" s="1283"/>
      <c r="X33" s="1283"/>
      <c r="Y33" s="1283"/>
      <c r="Z33" s="1283"/>
      <c r="AA33" s="1372"/>
      <c r="AB33" s="1373"/>
    </row>
    <row r="34" spans="2:28" ht="13.5" customHeight="1" thickBot="1">
      <c r="B34" s="1291"/>
      <c r="C34" s="1292">
        <f>IF($B$378="NJ",C$378,IF(AND($B$378="J",$B$380=$L$9),C$379,IF(AND($B$378="J",$B$380=$L$10),C$380)))</f>
        <v>2006</v>
      </c>
      <c r="D34" s="1292">
        <f>IF($B$378="NJ",D$378,IF(AND($B$378="J",$B$380=$L$9),D$379,IF(AND($B$378="J",$B$380=$L$10),D$380)))</f>
        <v>2007</v>
      </c>
      <c r="E34" s="1292">
        <f>IF($B$378="NJ",E$378,IF(AND($B$378="J",$B$380=$L$9),E$379,IF(AND($B$378="J",$B$380=$L$10),E$380)))</f>
        <v>2008</v>
      </c>
      <c r="F34" s="1292">
        <f>IF($B$378="NJ",F$378,IF(AND($B$378="J",$B$380=$L$9),F$379,IF(AND($B$378="J",$B$380=$L$10),F$380)))</f>
        <v>2009</v>
      </c>
      <c r="G34" s="1292">
        <f>IF($B$378="NJ",G$378,IF(AND($B$378="J",$B$380=$L$9),G$379,IF(AND($B$378="J",$B$380=$L$10),G$380)))</f>
        <v>2010</v>
      </c>
      <c r="H34" s="1293" t="str">
        <f>IF($B$378="NJ",H$378&amp;"e",IF(AND($B$378="J",$B$380=$L$9),H$379,IF(AND($B$378="J",$B$380=$L$10),H$380)))</f>
        <v>2011e</v>
      </c>
      <c r="I34" s="1293" t="str">
        <f>IF($B$378="NJ",I$378&amp;"e",IF(AND($B$378="J",$B$380=$L$9),I$379,IF(AND($B$378="J",$B$380=$L$10),I$380)))</f>
        <v>2012e</v>
      </c>
      <c r="J34" s="1293" t="str">
        <f>IF($B$378="NJ",J$378&amp;"e",IF(AND($B$378="J",$B$380=$L$9),J$379,IF(AND($B$378="J",$B$380=$L$10),J$380)))</f>
        <v>2013e</v>
      </c>
      <c r="K34" s="1293" t="str">
        <f>IF($B$378="NJ",K$378&amp;"e",IF(AND($B$378="J",$B$380=$L$9),K$379,IF(AND($B$378="J",$B$380=$L$10),K$380)))</f>
        <v>2014e</v>
      </c>
      <c r="L34" s="1293" t="str">
        <f>IF($B$378="NJ",L$378&amp;"e",IF(AND($B$378="J",$B$380=$L$9),L$379,IF(AND($B$378="J",$B$380=$L$10),L$380)))</f>
        <v>2015e</v>
      </c>
      <c r="M34" s="1291"/>
      <c r="N34" s="1291"/>
      <c r="O34" s="1294"/>
      <c r="P34" s="1294"/>
      <c r="Q34" s="1294"/>
      <c r="R34" s="1294"/>
      <c r="S34" s="1294"/>
    </row>
    <row r="35" spans="2:28" ht="4.5" customHeight="1">
      <c r="B35" s="1294"/>
      <c r="C35" s="1294"/>
      <c r="D35" s="1294"/>
      <c r="E35" s="1294"/>
      <c r="F35" s="1294"/>
      <c r="G35" s="1294"/>
      <c r="H35" s="1294"/>
      <c r="I35" s="1294"/>
      <c r="J35" s="1294"/>
      <c r="K35" s="1294"/>
      <c r="L35" s="1294"/>
    </row>
    <row r="36" spans="2:28" ht="12.75" customHeight="1">
      <c r="B36" s="1401" t="s">
        <v>748</v>
      </c>
      <c r="C36" s="1402">
        <f t="shared" ref="C36:L36" si="1">C38+C69</f>
        <v>-2.3462533731938677E-2</v>
      </c>
      <c r="D36" s="1402">
        <f t="shared" si="1"/>
        <v>-1.4612931937762599E-2</v>
      </c>
      <c r="E36" s="1402">
        <f t="shared" si="1"/>
        <v>0.1325144395112175</v>
      </c>
      <c r="F36" s="1402">
        <f t="shared" si="1"/>
        <v>7.5743377322696384E-2</v>
      </c>
      <c r="G36" s="1402">
        <f t="shared" si="1"/>
        <v>2.9828758637544785E-2</v>
      </c>
      <c r="H36" s="1402">
        <f t="shared" si="1"/>
        <v>4.776855173741254E-2</v>
      </c>
      <c r="I36" s="1402">
        <f t="shared" si="1"/>
        <v>6.7502388778424738E-2</v>
      </c>
      <c r="J36" s="1402">
        <f t="shared" si="1"/>
        <v>4.1549795304915982E-2</v>
      </c>
      <c r="K36" s="1402">
        <f t="shared" si="1"/>
        <v>-0.10602652065989342</v>
      </c>
      <c r="L36" s="1403">
        <f t="shared" si="1"/>
        <v>8.2715050364935094E-2</v>
      </c>
    </row>
    <row r="37" spans="2:28" ht="20.100000000000001" customHeight="1">
      <c r="B37" s="1360" t="s">
        <v>752</v>
      </c>
      <c r="C37" s="1294"/>
      <c r="D37" s="1294"/>
      <c r="E37" s="1294"/>
      <c r="F37" s="1361"/>
      <c r="G37" s="1294"/>
      <c r="H37" s="1294"/>
      <c r="I37" s="1294"/>
      <c r="J37" s="1294"/>
      <c r="K37" s="1294"/>
      <c r="L37" s="1294"/>
    </row>
    <row r="38" spans="2:28" ht="12.75" customHeight="1">
      <c r="B38" s="1401" t="s">
        <v>753</v>
      </c>
      <c r="C38" s="1402">
        <f t="shared" ref="C38:L38" si="2">C40*C57</f>
        <v>4.5317146896787196E-2</v>
      </c>
      <c r="D38" s="1402">
        <f t="shared" si="2"/>
        <v>7.0983895192538324E-2</v>
      </c>
      <c r="E38" s="1402">
        <f t="shared" si="2"/>
        <v>5.6401652959098977E-2</v>
      </c>
      <c r="F38" s="1402">
        <f t="shared" si="2"/>
        <v>8.3647951948956328E-2</v>
      </c>
      <c r="G38" s="1402">
        <f t="shared" si="2"/>
        <v>8.8033406282339285E-2</v>
      </c>
      <c r="H38" s="1402">
        <f t="shared" si="2"/>
        <v>7.4433789802416564E-2</v>
      </c>
      <c r="I38" s="1402">
        <f t="shared" si="2"/>
        <v>7.9479606926041155E-2</v>
      </c>
      <c r="J38" s="1402">
        <f t="shared" si="2"/>
        <v>7.6190978645542182E-2</v>
      </c>
      <c r="K38" s="1402">
        <f t="shared" si="2"/>
        <v>7.1669990352847643E-2</v>
      </c>
      <c r="L38" s="1403">
        <f t="shared" si="2"/>
        <v>8.3107460091940019E-2</v>
      </c>
    </row>
    <row r="39" spans="2:28" ht="7.5" customHeight="1" outlineLevel="1">
      <c r="B39" s="1297"/>
      <c r="C39" s="1294"/>
      <c r="D39" s="1294"/>
      <c r="E39" s="1294"/>
      <c r="F39" s="1294"/>
      <c r="G39" s="1294"/>
      <c r="H39" s="1294"/>
      <c r="I39" s="1294"/>
      <c r="J39" s="1294"/>
      <c r="K39" s="1294"/>
      <c r="L39" s="1294"/>
    </row>
    <row r="40" spans="2:28" ht="12.75" customHeight="1" outlineLevel="1">
      <c r="B40" s="1298" t="s">
        <v>744</v>
      </c>
      <c r="C40" s="1299">
        <f t="shared" ref="C40:L40" si="3">IF(AND(ISNUMBER(C53),ABS(C53)&gt;0),C42/C53, 0)</f>
        <v>5.8074795032177141E-2</v>
      </c>
      <c r="D40" s="1299">
        <f t="shared" si="3"/>
        <v>8.0451528459238711E-2</v>
      </c>
      <c r="E40" s="1299">
        <f t="shared" si="3"/>
        <v>0.12128604472952255</v>
      </c>
      <c r="F40" s="1299">
        <f t="shared" si="3"/>
        <v>0.17178753984378645</v>
      </c>
      <c r="G40" s="1299">
        <f t="shared" si="3"/>
        <v>0.15182935494819486</v>
      </c>
      <c r="H40" s="1299">
        <f t="shared" si="3"/>
        <v>0.15819408912308955</v>
      </c>
      <c r="I40" s="1299">
        <f t="shared" si="3"/>
        <v>0.17023852163003031</v>
      </c>
      <c r="J40" s="1299">
        <f t="shared" si="3"/>
        <v>0.17207095429786615</v>
      </c>
      <c r="K40" s="1299">
        <f t="shared" si="3"/>
        <v>0.16750531452363654</v>
      </c>
      <c r="L40" s="1299">
        <f t="shared" si="3"/>
        <v>0.17710097374523415</v>
      </c>
    </row>
    <row r="41" spans="2:28" ht="7.5" customHeight="1" outlineLevel="2">
      <c r="B41" s="1300"/>
      <c r="C41" s="1301"/>
      <c r="D41" s="1301"/>
      <c r="E41" s="1301"/>
      <c r="F41" s="1301"/>
      <c r="G41" s="1301"/>
      <c r="H41" s="1301"/>
      <c r="I41" s="1301"/>
      <c r="J41" s="1301"/>
      <c r="K41" s="1301"/>
      <c r="L41" s="1301"/>
    </row>
    <row r="42" spans="2:28" ht="12.75" customHeight="1" outlineLevel="2">
      <c r="B42" s="1302" t="s">
        <v>754</v>
      </c>
      <c r="C42" s="1303">
        <f t="shared" ref="C42:L42" si="4">C43-C47</f>
        <v>16.731000000000044</v>
      </c>
      <c r="D42" s="1303">
        <f t="shared" si="4"/>
        <v>33.74475000000001</v>
      </c>
      <c r="E42" s="1303">
        <f t="shared" si="4"/>
        <v>85.467849999999942</v>
      </c>
      <c r="F42" s="1303">
        <f t="shared" si="4"/>
        <v>151.60405000000014</v>
      </c>
      <c r="G42" s="1303">
        <f t="shared" si="4"/>
        <v>181.62039999999996</v>
      </c>
      <c r="H42" s="1303">
        <f t="shared" si="4"/>
        <v>248.33055000000002</v>
      </c>
      <c r="I42" s="1303">
        <f t="shared" si="4"/>
        <v>321.30410000000006</v>
      </c>
      <c r="J42" s="1303">
        <f t="shared" si="4"/>
        <v>370.4285000000001</v>
      </c>
      <c r="K42" s="1303">
        <f t="shared" si="4"/>
        <v>409.34529999999984</v>
      </c>
      <c r="L42" s="1303">
        <f t="shared" si="4"/>
        <v>482.75370000000021</v>
      </c>
    </row>
    <row r="43" spans="2:28" ht="12.75" customHeight="1" outlineLevel="3">
      <c r="B43" s="1304" t="s">
        <v>755</v>
      </c>
      <c r="C43" s="1305">
        <f t="shared" ref="C43:L43" si="5">C44-C45+C46</f>
        <v>25.740000000000066</v>
      </c>
      <c r="D43" s="1305">
        <f t="shared" si="5"/>
        <v>51.91500000000002</v>
      </c>
      <c r="E43" s="1305">
        <f t="shared" si="5"/>
        <v>131.48899999999992</v>
      </c>
      <c r="F43" s="1305">
        <f t="shared" si="5"/>
        <v>233.23700000000019</v>
      </c>
      <c r="G43" s="1305">
        <f t="shared" si="5"/>
        <v>279.41599999999994</v>
      </c>
      <c r="H43" s="1305">
        <f t="shared" si="5"/>
        <v>382.04700000000003</v>
      </c>
      <c r="I43" s="1305">
        <f t="shared" si="5"/>
        <v>494.31400000000008</v>
      </c>
      <c r="J43" s="1305">
        <f t="shared" si="5"/>
        <v>569.8900000000001</v>
      </c>
      <c r="K43" s="1305">
        <f t="shared" si="5"/>
        <v>629.76199999999972</v>
      </c>
      <c r="L43" s="1305">
        <f t="shared" si="5"/>
        <v>742.69800000000032</v>
      </c>
    </row>
    <row r="44" spans="2:28" ht="12.75" customHeight="1" outlineLevel="4">
      <c r="B44" s="1306" t="s">
        <v>877</v>
      </c>
      <c r="C44" s="1307">
        <f>(IS!K15)</f>
        <v>288.09400000000005</v>
      </c>
      <c r="D44" s="1307">
        <f>(IS!L15)</f>
        <v>419.44200000000006</v>
      </c>
      <c r="E44" s="1307">
        <f>(IS!M15)</f>
        <v>704.68</v>
      </c>
      <c r="F44" s="1307">
        <f>(IS!N15)</f>
        <v>882.50900000000013</v>
      </c>
      <c r="G44" s="1307">
        <f>(IS!O15)</f>
        <v>1196.2139999999999</v>
      </c>
      <c r="H44" s="1307">
        <f>(IS!P15)</f>
        <v>1569.7840000000001</v>
      </c>
      <c r="I44" s="1307">
        <f>(IS!Q15)</f>
        <v>1887.376</v>
      </c>
      <c r="J44" s="1307">
        <f>(IS!R15)</f>
        <v>2152.7660000000001</v>
      </c>
      <c r="K44" s="1307">
        <f>(IS!S15)</f>
        <v>2443.7749999999996</v>
      </c>
      <c r="L44" s="1307">
        <f>(IS!T15)</f>
        <v>2725.8670000000002</v>
      </c>
    </row>
    <row r="45" spans="2:28" ht="12.75" customHeight="1" outlineLevel="4">
      <c r="B45" s="1306" t="s">
        <v>756</v>
      </c>
      <c r="C45" s="1307">
        <f>(IS!K18+IS!K24+IS!K45)</f>
        <v>262.35399999999998</v>
      </c>
      <c r="D45" s="1307">
        <f>(IS!L18+IS!L24+IS!L45)</f>
        <v>367.52700000000004</v>
      </c>
      <c r="E45" s="1307">
        <f>(IS!M18+IS!M24+IS!M45)</f>
        <v>573.19100000000003</v>
      </c>
      <c r="F45" s="1307">
        <f>(IS!N18+IS!N24+IS!N45)</f>
        <v>649.27199999999993</v>
      </c>
      <c r="G45" s="1307">
        <f>(IS!O18+IS!O24+IS!O45)</f>
        <v>916.798</v>
      </c>
      <c r="H45" s="1307">
        <f>(IS!P18+IS!P24+IS!P45)</f>
        <v>1187.7370000000001</v>
      </c>
      <c r="I45" s="1307">
        <f>(IS!Q18+IS!Q24+IS!Q45)</f>
        <v>1393.0619999999999</v>
      </c>
      <c r="J45" s="1307">
        <f>(IS!R18+IS!R24+IS!R45)</f>
        <v>1582.876</v>
      </c>
      <c r="K45" s="1307">
        <f>(IS!S18+IS!S24+IS!S45)</f>
        <v>1814.0129999999999</v>
      </c>
      <c r="L45" s="1307">
        <f>(IS!T18+IS!T24+IS!T45)</f>
        <v>1983.1689999999999</v>
      </c>
    </row>
    <row r="46" spans="2:28" ht="12.75" customHeight="1" outlineLevel="4">
      <c r="B46" s="1306" t="s">
        <v>757</v>
      </c>
      <c r="C46" s="1307">
        <f t="shared" ref="C46:L46" si="6">IF(ISNUMBER(0),0,0)</f>
        <v>0</v>
      </c>
      <c r="D46" s="1307">
        <f t="shared" si="6"/>
        <v>0</v>
      </c>
      <c r="E46" s="1307">
        <f t="shared" si="6"/>
        <v>0</v>
      </c>
      <c r="F46" s="1307">
        <f t="shared" si="6"/>
        <v>0</v>
      </c>
      <c r="G46" s="1307">
        <f t="shared" si="6"/>
        <v>0</v>
      </c>
      <c r="H46" s="1307">
        <f t="shared" si="6"/>
        <v>0</v>
      </c>
      <c r="I46" s="1307">
        <f t="shared" si="6"/>
        <v>0</v>
      </c>
      <c r="J46" s="1307">
        <f t="shared" si="6"/>
        <v>0</v>
      </c>
      <c r="K46" s="1307">
        <f t="shared" si="6"/>
        <v>0</v>
      </c>
      <c r="L46" s="1307">
        <f t="shared" si="6"/>
        <v>0</v>
      </c>
    </row>
    <row r="47" spans="2:28" ht="12.75" customHeight="1" outlineLevel="3">
      <c r="B47" s="1304" t="s">
        <v>758</v>
      </c>
      <c r="C47" s="1305">
        <f t="shared" ref="C47:L47" si="7">(C43+C48-C49+C50-C51)*C52</f>
        <v>9.0090000000000217</v>
      </c>
      <c r="D47" s="1305">
        <f t="shared" si="7"/>
        <v>18.170250000000006</v>
      </c>
      <c r="E47" s="1305">
        <f t="shared" si="7"/>
        <v>46.02114999999997</v>
      </c>
      <c r="F47" s="1305">
        <f t="shared" si="7"/>
        <v>81.632950000000065</v>
      </c>
      <c r="G47" s="1305">
        <f t="shared" si="7"/>
        <v>97.795599999999979</v>
      </c>
      <c r="H47" s="1305">
        <f t="shared" si="7"/>
        <v>133.71645000000001</v>
      </c>
      <c r="I47" s="1305">
        <f t="shared" si="7"/>
        <v>173.00990000000002</v>
      </c>
      <c r="J47" s="1305">
        <f t="shared" si="7"/>
        <v>199.46150000000003</v>
      </c>
      <c r="K47" s="1305">
        <f t="shared" si="7"/>
        <v>220.41669999999988</v>
      </c>
      <c r="L47" s="1305">
        <f t="shared" si="7"/>
        <v>259.94430000000011</v>
      </c>
    </row>
    <row r="48" spans="2:28" ht="12.75" customHeight="1" outlineLevel="4">
      <c r="B48" s="1306" t="s">
        <v>759</v>
      </c>
      <c r="C48" s="1307">
        <f t="shared" ref="C48:L51" si="8">IF(ISNUMBER(0),0,0)</f>
        <v>0</v>
      </c>
      <c r="D48" s="1307">
        <f t="shared" si="8"/>
        <v>0</v>
      </c>
      <c r="E48" s="1307">
        <f t="shared" si="8"/>
        <v>0</v>
      </c>
      <c r="F48" s="1307">
        <f t="shared" si="8"/>
        <v>0</v>
      </c>
      <c r="G48" s="1307">
        <f t="shared" si="8"/>
        <v>0</v>
      </c>
      <c r="H48" s="1307">
        <f t="shared" si="8"/>
        <v>0</v>
      </c>
      <c r="I48" s="1307">
        <f t="shared" si="8"/>
        <v>0</v>
      </c>
      <c r="J48" s="1307">
        <f t="shared" si="8"/>
        <v>0</v>
      </c>
      <c r="K48" s="1307">
        <f t="shared" si="8"/>
        <v>0</v>
      </c>
      <c r="L48" s="1307">
        <f t="shared" si="8"/>
        <v>0</v>
      </c>
    </row>
    <row r="49" spans="2:12" ht="12.75" customHeight="1" outlineLevel="4">
      <c r="B49" s="1306" t="s">
        <v>760</v>
      </c>
      <c r="C49" s="1307">
        <f t="shared" si="8"/>
        <v>0</v>
      </c>
      <c r="D49" s="1307">
        <f t="shared" si="8"/>
        <v>0</v>
      </c>
      <c r="E49" s="1307">
        <f t="shared" si="8"/>
        <v>0</v>
      </c>
      <c r="F49" s="1307">
        <f t="shared" si="8"/>
        <v>0</v>
      </c>
      <c r="G49" s="1307">
        <f t="shared" si="8"/>
        <v>0</v>
      </c>
      <c r="H49" s="1307">
        <f t="shared" si="8"/>
        <v>0</v>
      </c>
      <c r="I49" s="1307">
        <f t="shared" si="8"/>
        <v>0</v>
      </c>
      <c r="J49" s="1307">
        <f t="shared" si="8"/>
        <v>0</v>
      </c>
      <c r="K49" s="1307">
        <f t="shared" si="8"/>
        <v>0</v>
      </c>
      <c r="L49" s="1307">
        <f t="shared" si="8"/>
        <v>0</v>
      </c>
    </row>
    <row r="50" spans="2:12" ht="12.75" customHeight="1" outlineLevel="4">
      <c r="B50" s="1306" t="s">
        <v>761</v>
      </c>
      <c r="C50" s="1307">
        <f t="shared" si="8"/>
        <v>0</v>
      </c>
      <c r="D50" s="1307">
        <f t="shared" si="8"/>
        <v>0</v>
      </c>
      <c r="E50" s="1307">
        <f t="shared" si="8"/>
        <v>0</v>
      </c>
      <c r="F50" s="1307">
        <f t="shared" si="8"/>
        <v>0</v>
      </c>
      <c r="G50" s="1307">
        <f t="shared" si="8"/>
        <v>0</v>
      </c>
      <c r="H50" s="1307">
        <f t="shared" si="8"/>
        <v>0</v>
      </c>
      <c r="I50" s="1307">
        <f t="shared" si="8"/>
        <v>0</v>
      </c>
      <c r="J50" s="1307">
        <f t="shared" si="8"/>
        <v>0</v>
      </c>
      <c r="K50" s="1307">
        <f t="shared" si="8"/>
        <v>0</v>
      </c>
      <c r="L50" s="1307">
        <f t="shared" si="8"/>
        <v>0</v>
      </c>
    </row>
    <row r="51" spans="2:12" ht="12.75" customHeight="1" outlineLevel="4">
      <c r="B51" s="1306" t="s">
        <v>762</v>
      </c>
      <c r="C51" s="1307">
        <f t="shared" si="8"/>
        <v>0</v>
      </c>
      <c r="D51" s="1307">
        <f t="shared" si="8"/>
        <v>0</v>
      </c>
      <c r="E51" s="1307">
        <f t="shared" si="8"/>
        <v>0</v>
      </c>
      <c r="F51" s="1307">
        <f t="shared" si="8"/>
        <v>0</v>
      </c>
      <c r="G51" s="1307">
        <f t="shared" si="8"/>
        <v>0</v>
      </c>
      <c r="H51" s="1307">
        <f t="shared" si="8"/>
        <v>0</v>
      </c>
      <c r="I51" s="1307">
        <f t="shared" si="8"/>
        <v>0</v>
      </c>
      <c r="J51" s="1307">
        <f t="shared" si="8"/>
        <v>0</v>
      </c>
      <c r="K51" s="1307">
        <f t="shared" si="8"/>
        <v>0</v>
      </c>
      <c r="L51" s="1307">
        <f t="shared" si="8"/>
        <v>0</v>
      </c>
    </row>
    <row r="52" spans="2:12" ht="12.75" customHeight="1" outlineLevel="4">
      <c r="B52" s="1306" t="s">
        <v>763</v>
      </c>
      <c r="C52" s="1308">
        <f>IS!K59</f>
        <v>0.35</v>
      </c>
      <c r="D52" s="1308">
        <f>IS!L59</f>
        <v>0.35</v>
      </c>
      <c r="E52" s="1308">
        <f>IS!M59</f>
        <v>0.35</v>
      </c>
      <c r="F52" s="1308">
        <f>IS!N59</f>
        <v>0.35</v>
      </c>
      <c r="G52" s="1308">
        <f>IS!O59</f>
        <v>0.35</v>
      </c>
      <c r="H52" s="1308">
        <f>IS!P59</f>
        <v>0.35</v>
      </c>
      <c r="I52" s="1308">
        <f>IS!Q59</f>
        <v>0.35</v>
      </c>
      <c r="J52" s="1308">
        <f>IS!R59</f>
        <v>0.35</v>
      </c>
      <c r="K52" s="1308">
        <f>IS!S59</f>
        <v>0.35</v>
      </c>
      <c r="L52" s="1308">
        <f>IS!T59</f>
        <v>0.35</v>
      </c>
    </row>
    <row r="53" spans="2:12" ht="12.75" customHeight="1" outlineLevel="2">
      <c r="B53" s="1302" t="s">
        <v>877</v>
      </c>
      <c r="C53" s="1309">
        <f t="shared" ref="C53:L53" si="9">C44</f>
        <v>288.09400000000005</v>
      </c>
      <c r="D53" s="1309">
        <f t="shared" si="9"/>
        <v>419.44200000000006</v>
      </c>
      <c r="E53" s="1309">
        <f t="shared" si="9"/>
        <v>704.68</v>
      </c>
      <c r="F53" s="1309">
        <f t="shared" si="9"/>
        <v>882.50900000000013</v>
      </c>
      <c r="G53" s="1309">
        <f t="shared" si="9"/>
        <v>1196.2139999999999</v>
      </c>
      <c r="H53" s="1309">
        <f t="shared" si="9"/>
        <v>1569.7840000000001</v>
      </c>
      <c r="I53" s="1309">
        <f t="shared" si="9"/>
        <v>1887.376</v>
      </c>
      <c r="J53" s="1309">
        <f t="shared" si="9"/>
        <v>2152.7660000000001</v>
      </c>
      <c r="K53" s="1309">
        <f t="shared" si="9"/>
        <v>2443.7749999999996</v>
      </c>
      <c r="L53" s="1309">
        <f t="shared" si="9"/>
        <v>2725.8670000000002</v>
      </c>
    </row>
    <row r="54" spans="2:12" ht="7.5" customHeight="1" outlineLevel="1">
      <c r="C54" s="1294"/>
      <c r="D54" s="1294"/>
      <c r="E54" s="1294"/>
      <c r="F54" s="1294"/>
      <c r="G54" s="1294"/>
      <c r="H54" s="1294"/>
      <c r="I54" s="1294"/>
      <c r="J54" s="1294"/>
      <c r="K54" s="1294"/>
      <c r="L54" s="1294"/>
    </row>
    <row r="55" spans="2:12" ht="12.75" customHeight="1" outlineLevel="1">
      <c r="B55" s="1302" t="s">
        <v>764</v>
      </c>
      <c r="C55" s="1294"/>
      <c r="D55" s="1294"/>
      <c r="E55" s="1294"/>
      <c r="F55" s="1294"/>
      <c r="G55" s="1294"/>
      <c r="H55" s="1294"/>
      <c r="I55" s="1294"/>
      <c r="J55" s="1294"/>
      <c r="K55" s="1294"/>
      <c r="L55" s="1294"/>
    </row>
    <row r="56" spans="2:12" ht="7.5" customHeight="1" outlineLevel="1">
      <c r="B56" s="1302"/>
      <c r="C56" s="1294"/>
      <c r="D56" s="1294"/>
      <c r="E56" s="1294"/>
      <c r="F56" s="1294"/>
      <c r="G56" s="1294"/>
      <c r="H56" s="1294"/>
      <c r="I56" s="1294"/>
      <c r="J56" s="1294"/>
      <c r="K56" s="1294"/>
      <c r="L56" s="1294"/>
    </row>
    <row r="57" spans="2:12" ht="12.75" customHeight="1" outlineLevel="1">
      <c r="B57" s="1298" t="s">
        <v>747</v>
      </c>
      <c r="C57" s="1400">
        <f t="shared" ref="C57:L57" si="10">IF(AND(ISNUMBER(C60),ABS(C60)&gt;0),C59/C60,0)</f>
        <v>0.78032383707387354</v>
      </c>
      <c r="D57" s="1400">
        <f t="shared" si="10"/>
        <v>0.88231878936274999</v>
      </c>
      <c r="E57" s="1400">
        <f t="shared" si="10"/>
        <v>0.46503002950487105</v>
      </c>
      <c r="F57" s="1400">
        <f t="shared" si="10"/>
        <v>0.4869267702711203</v>
      </c>
      <c r="G57" s="1400">
        <f t="shared" si="10"/>
        <v>0.57981808796050571</v>
      </c>
      <c r="H57" s="1400">
        <f t="shared" si="10"/>
        <v>0.47052194057958907</v>
      </c>
      <c r="I57" s="1400">
        <f t="shared" si="10"/>
        <v>0.46687204614458333</v>
      </c>
      <c r="J57" s="1400">
        <f t="shared" si="10"/>
        <v>0.44278814490475005</v>
      </c>
      <c r="K57" s="1400">
        <f t="shared" si="10"/>
        <v>0.42786696384331346</v>
      </c>
      <c r="L57" s="1400">
        <f t="shared" si="10"/>
        <v>0.46926596920631825</v>
      </c>
    </row>
    <row r="58" spans="2:12" ht="7.5" customHeight="1" outlineLevel="2">
      <c r="B58" s="1300"/>
      <c r="C58" s="947"/>
      <c r="D58" s="947"/>
      <c r="E58" s="947"/>
      <c r="F58" s="947"/>
      <c r="G58" s="947"/>
      <c r="H58" s="947"/>
      <c r="I58" s="947"/>
      <c r="J58" s="947"/>
      <c r="K58" s="947"/>
      <c r="L58" s="947"/>
    </row>
    <row r="59" spans="2:12" ht="12.75" customHeight="1" outlineLevel="2">
      <c r="B59" s="1302" t="s">
        <v>765</v>
      </c>
      <c r="C59" s="1310">
        <f t="shared" ref="C59:L59" si="11">C44</f>
        <v>288.09400000000005</v>
      </c>
      <c r="D59" s="1310">
        <f t="shared" si="11"/>
        <v>419.44200000000006</v>
      </c>
      <c r="E59" s="1310">
        <f t="shared" si="11"/>
        <v>704.68</v>
      </c>
      <c r="F59" s="1310">
        <f t="shared" si="11"/>
        <v>882.50900000000013</v>
      </c>
      <c r="G59" s="1310">
        <f t="shared" si="11"/>
        <v>1196.2139999999999</v>
      </c>
      <c r="H59" s="1310">
        <f t="shared" si="11"/>
        <v>1569.7840000000001</v>
      </c>
      <c r="I59" s="1310">
        <f t="shared" si="11"/>
        <v>1887.376</v>
      </c>
      <c r="J59" s="1310">
        <f t="shared" si="11"/>
        <v>2152.7660000000001</v>
      </c>
      <c r="K59" s="1310">
        <f t="shared" si="11"/>
        <v>2443.7749999999996</v>
      </c>
      <c r="L59" s="1310">
        <f t="shared" si="11"/>
        <v>2725.8670000000002</v>
      </c>
    </row>
    <row r="60" spans="2:12" ht="12.75" customHeight="1" outlineLevel="2">
      <c r="B60" s="1298" t="s">
        <v>766</v>
      </c>
      <c r="C60" s="1311">
        <f t="shared" ref="C60:L60" si="12">C61-C62</f>
        <v>369.19800000000009</v>
      </c>
      <c r="D60" s="1311">
        <f t="shared" si="12"/>
        <v>475.3859999999998</v>
      </c>
      <c r="E60" s="1311">
        <f t="shared" si="12"/>
        <v>1515.3430000000003</v>
      </c>
      <c r="F60" s="1311">
        <f t="shared" si="12"/>
        <v>1812.4060000000002</v>
      </c>
      <c r="G60" s="1311">
        <f t="shared" si="12"/>
        <v>2063.085</v>
      </c>
      <c r="H60" s="1311">
        <f t="shared" si="12"/>
        <v>3336.2609999999995</v>
      </c>
      <c r="I60" s="1311">
        <f t="shared" si="12"/>
        <v>4042.5979999999995</v>
      </c>
      <c r="J60" s="1311">
        <f t="shared" si="12"/>
        <v>4861.8420000000006</v>
      </c>
      <c r="K60" s="1311">
        <f t="shared" si="12"/>
        <v>5711.5299999999988</v>
      </c>
      <c r="L60" s="1311">
        <f t="shared" si="12"/>
        <v>5808.7889999999998</v>
      </c>
    </row>
    <row r="61" spans="2:12" ht="12.75" customHeight="1" outlineLevel="3">
      <c r="B61" s="1304" t="s">
        <v>767</v>
      </c>
      <c r="C61" s="1312">
        <f>(BS!J11+(+BS!J14+0+0)+(+BS!J18--BS!J19+0)+BS!J21+0+0+BS!J27+(BS!J91))</f>
        <v>489.06700000000012</v>
      </c>
      <c r="D61" s="1312">
        <f>(BS!K11+(+BS!K14+0+0)+(+BS!K18--BS!K19+0)+BS!K21+0+0+BS!K27+(BS!K91))</f>
        <v>612.3449999999998</v>
      </c>
      <c r="E61" s="1312">
        <f>(BS!L11+(+BS!L14+0+0)+(+BS!L18--BS!L19+0)+BS!L21+BS!L24+0+BS!L27+(BS!L91))</f>
        <v>1776.6350000000002</v>
      </c>
      <c r="F61" s="1312">
        <f>(BS!M11+(+BS!M14+0+0)+(+BS!M18--BS!M19+0)+BS!M21+BS!M24+(+BS!M12+BS!M25+0)+BS!M27+(BS!M91))</f>
        <v>2126.7910000000002</v>
      </c>
      <c r="G61" s="1312">
        <f>(BS!N11+(+BS!N14+0+0)+(+BS!N18--BS!N19+0)+BS!N21+BS!N24+(+BS!N12+BS!N25+0)+BS!N27+(BS!N91))</f>
        <v>2433.7829999999999</v>
      </c>
      <c r="H61" s="1312">
        <f>(BS!O11+(+BS!O14+0+0)+(+BS!O18--BS!O19+0)+BS!O21+BS!O24+(+BS!O12+BS!O25+0)+BS!O27+(BS!O91))</f>
        <v>3855.1699999999996</v>
      </c>
      <c r="I61" s="1312">
        <f>(BS!P11+(+BS!P14+0+0)+(+BS!P18--BS!P19+0)+BS!P21+BS!P24+(+BS!P12+BS!P25+0)+BS!P27+(BS!P91))</f>
        <v>4708.9789999999994</v>
      </c>
      <c r="J61" s="1312">
        <f>(BS!Q11+(+BS!Q14+0+0)+(+BS!Q18--BS!Q19+0)+BS!Q21+BS!Q24+(+BS!Q12+BS!Q25+0)+BS!Q27+(BS!Q91))</f>
        <v>5589.2730000000001</v>
      </c>
      <c r="K61" s="1312">
        <f>(BS!R11+(+BS!R14+0+0)+(+BS!R18--BS!R19+0)+BS!R21+BS!R24+(+BS!R12+BS!R25+0)+BS!R27+(BS!R91))</f>
        <v>6462.2669999999989</v>
      </c>
      <c r="L61" s="1312">
        <f>(BS!S11+(+BS!S14+0+0)+(+BS!S18--BS!S19+0)+BS!S21+BS!S24+(+BS!S12+BS!S25+0)+BS!S27+(BS!S91))</f>
        <v>6676.6819999999998</v>
      </c>
    </row>
    <row r="62" spans="2:12" ht="12.75" customHeight="1" outlineLevel="3">
      <c r="B62" s="1304" t="s">
        <v>768</v>
      </c>
      <c r="C62" s="1312">
        <f>((+BS!J33+0)+(0+0+(BS!J36+BS!J37+BS!J39+BS!J54))+0+(+BS!J45+BS!J58+0))</f>
        <v>119.869</v>
      </c>
      <c r="D62" s="1312">
        <f>((+BS!K33+0)+(0+0+(BS!K36+BS!K37+BS!K39+BS!K54))+0+(+BS!K45+BS!K58+0))</f>
        <v>136.959</v>
      </c>
      <c r="E62" s="1312">
        <f>((+BS!L33+0)+(0+0+(BS!L36+BS!L37+BS!L39+BS!L54))+(0+BS!L57+0)+(+BS!L45+BS!L58+0))</f>
        <v>261.29200000000003</v>
      </c>
      <c r="F62" s="1312">
        <f>((+BS!M33+0)+(0+0+(BS!M36+BS!M37))+0+(+BS!M45+BS!M58+0))</f>
        <v>314.38499999999999</v>
      </c>
      <c r="G62" s="1312">
        <f>((+BS!N33+0)+(0+0+BS!N37)+0+(+BS!N45+BS!N58+0))</f>
        <v>370.69799999999998</v>
      </c>
      <c r="H62" s="1312">
        <f>((+BS!O33+0)+(0+0+BS!O37)+0+(+BS!O45+BS!O58+0))</f>
        <v>518.90899999999999</v>
      </c>
      <c r="I62" s="1312">
        <f>((+BS!P33+0)+(0+0+BS!P37)+0+(+BS!P45+BS!P58+0))</f>
        <v>666.38099999999997</v>
      </c>
      <c r="J62" s="1312">
        <f>((+BS!Q33+0)+(0+0+BS!Q37)+0+(+BS!Q45+BS!Q58+0))</f>
        <v>727.43100000000004</v>
      </c>
      <c r="K62" s="1312">
        <f>((+BS!R33+0)+(0+0+BS!R37)+0+(+BS!R45+BS!R58+0))</f>
        <v>750.73700000000008</v>
      </c>
      <c r="L62" s="1312">
        <f>((+BS!S33+0)+(0+0+BS!S37)+0+(+BS!S45+BS!S58+0))</f>
        <v>867.89300000000003</v>
      </c>
    </row>
    <row r="63" spans="2:12" ht="12.75" customHeight="1" outlineLevel="3">
      <c r="B63" s="1304"/>
      <c r="C63" s="1310"/>
      <c r="D63" s="1310"/>
      <c r="E63" s="1310"/>
      <c r="F63" s="1310"/>
      <c r="G63" s="1310"/>
      <c r="H63" s="1310"/>
      <c r="I63" s="1310"/>
      <c r="J63" s="1310"/>
      <c r="K63" s="1310"/>
      <c r="L63" s="1310"/>
    </row>
    <row r="64" spans="2:12" ht="12.75" customHeight="1" outlineLevel="3">
      <c r="B64" s="1298" t="s">
        <v>1597</v>
      </c>
      <c r="C64" s="1310">
        <f>+BS!J11-BS!J33</f>
        <v>-5.32</v>
      </c>
      <c r="D64" s="1310">
        <f>+BS!K11-BS!K33</f>
        <v>-0.40499999999999758</v>
      </c>
      <c r="E64" s="1310">
        <f>+BS!L11-BS!L33</f>
        <v>-5.007000000000005</v>
      </c>
      <c r="F64" s="1310">
        <f>+BS!M11-BS!M33</f>
        <v>-8.2879999999999967</v>
      </c>
      <c r="G64" s="1310">
        <f>+BS!N11-BS!N33</f>
        <v>-34.286000000000001</v>
      </c>
      <c r="H64" s="1310">
        <f>+BS!O11-BS!O33</f>
        <v>-29.496000000000009</v>
      </c>
      <c r="I64" s="1310">
        <f>+BS!P11-BS!P33</f>
        <v>-89.986000000000018</v>
      </c>
      <c r="J64" s="1310">
        <f>+BS!Q11-BS!Q33</f>
        <v>-105.01300000000001</v>
      </c>
      <c r="K64" s="1310">
        <f>+BS!R11-BS!R33</f>
        <v>-78.38300000000001</v>
      </c>
      <c r="L64" s="1310">
        <f>+BS!S11-BS!S33</f>
        <v>-23.225999999999999</v>
      </c>
    </row>
    <row r="65" spans="2:12" ht="12.75" customHeight="1" outlineLevel="3">
      <c r="B65" s="1304"/>
      <c r="C65" s="1310"/>
      <c r="D65" s="1310"/>
      <c r="E65" s="1310"/>
      <c r="F65" s="1310"/>
      <c r="G65" s="1310"/>
      <c r="H65" s="1310"/>
      <c r="I65" s="1310"/>
      <c r="J65" s="1310"/>
      <c r="K65" s="1310"/>
      <c r="L65" s="1310"/>
    </row>
    <row r="66" spans="2:12" ht="12.75" customHeight="1" outlineLevel="3">
      <c r="B66" s="1304"/>
      <c r="C66" s="1310"/>
      <c r="D66" s="1310"/>
      <c r="E66" s="1310"/>
      <c r="F66" s="1310"/>
      <c r="G66" s="1310"/>
      <c r="H66" s="1310"/>
      <c r="I66" s="1310"/>
      <c r="J66" s="1310"/>
      <c r="K66" s="1310"/>
      <c r="L66" s="1310"/>
    </row>
    <row r="67" spans="2:12" ht="12" customHeight="1" outlineLevel="1">
      <c r="B67" s="1302"/>
      <c r="C67" s="1294"/>
      <c r="D67" s="1294"/>
      <c r="E67" s="1294"/>
      <c r="F67" s="1294"/>
      <c r="G67" s="1294"/>
      <c r="H67" s="1294"/>
      <c r="I67" s="1294"/>
      <c r="J67" s="1294"/>
      <c r="K67" s="1294"/>
      <c r="L67" s="1294"/>
    </row>
    <row r="68" spans="2:12" ht="17.25" customHeight="1">
      <c r="B68" s="1382" t="s">
        <v>769</v>
      </c>
      <c r="C68" s="1294"/>
      <c r="D68" s="1294"/>
      <c r="E68" s="1294"/>
      <c r="F68" s="1294"/>
      <c r="G68" s="1294"/>
      <c r="H68" s="1294"/>
      <c r="I68" s="1294"/>
      <c r="J68" s="1294"/>
      <c r="K68" s="1294"/>
      <c r="L68" s="1294"/>
    </row>
    <row r="69" spans="2:12" ht="12.75" customHeight="1">
      <c r="B69" s="1401" t="s">
        <v>770</v>
      </c>
      <c r="C69" s="1402">
        <f t="shared" ref="C69:L69" si="13">C71*C89</f>
        <v>-6.8779680628725873E-2</v>
      </c>
      <c r="D69" s="1402">
        <f t="shared" si="13"/>
        <v>-8.5596827130300923E-2</v>
      </c>
      <c r="E69" s="1402">
        <f t="shared" si="13"/>
        <v>7.6112786552118505E-2</v>
      </c>
      <c r="F69" s="1402">
        <f t="shared" si="13"/>
        <v>-7.9045746262599494E-3</v>
      </c>
      <c r="G69" s="1402">
        <f t="shared" si="13"/>
        <v>-5.8204647644794501E-2</v>
      </c>
      <c r="H69" s="1402">
        <f t="shared" si="13"/>
        <v>-2.666523806500402E-2</v>
      </c>
      <c r="I69" s="1402">
        <f t="shared" si="13"/>
        <v>-1.197721814761641E-2</v>
      </c>
      <c r="J69" s="1402">
        <f t="shared" si="13"/>
        <v>-3.46411833406262E-2</v>
      </c>
      <c r="K69" s="1402">
        <f t="shared" si="13"/>
        <v>-0.17769651101274106</v>
      </c>
      <c r="L69" s="1403">
        <f t="shared" si="13"/>
        <v>-3.9240972700492016E-4</v>
      </c>
    </row>
    <row r="70" spans="2:12" ht="6.75" customHeight="1" outlineLevel="1">
      <c r="B70" s="1296"/>
      <c r="C70" s="1313"/>
      <c r="D70" s="1313"/>
      <c r="E70" s="1313"/>
      <c r="F70" s="1313"/>
      <c r="G70" s="1313"/>
      <c r="H70" s="1313"/>
      <c r="I70" s="1313"/>
      <c r="J70" s="1313"/>
      <c r="K70" s="1313"/>
      <c r="L70" s="1313"/>
    </row>
    <row r="71" spans="2:12" ht="11.25" customHeight="1" outlineLevel="1">
      <c r="B71" s="1298" t="s">
        <v>771</v>
      </c>
      <c r="C71" s="1299">
        <f t="shared" ref="C71:L71" si="14">IF(AND(ISNUMBER(C85),ABS(C85)&gt;0),C73/C85,0)</f>
        <v>0.27894884523318758</v>
      </c>
      <c r="D71" s="1299">
        <f t="shared" si="14"/>
        <v>0.33900988091080109</v>
      </c>
      <c r="E71" s="1299">
        <f t="shared" si="14"/>
        <v>0.86061328631487921</v>
      </c>
      <c r="F71" s="1299">
        <f t="shared" si="14"/>
        <v>0.97718240440031767</v>
      </c>
      <c r="G71" s="1299">
        <f t="shared" si="14"/>
        <v>0.74470584355123881</v>
      </c>
      <c r="H71" s="1299">
        <f t="shared" si="14"/>
        <v>0.78380108110420199</v>
      </c>
      <c r="I71" s="1299">
        <f t="shared" si="14"/>
        <v>1.0981794420249578</v>
      </c>
      <c r="J71" s="1299">
        <f t="shared" si="14"/>
        <v>1.1015629964196192</v>
      </c>
      <c r="K71" s="1299">
        <f t="shared" si="14"/>
        <v>1.3226439002807573</v>
      </c>
      <c r="L71" s="1299">
        <f t="shared" si="14"/>
        <v>1.5587902195952577</v>
      </c>
    </row>
    <row r="72" spans="2:12" ht="6.75" customHeight="1" outlineLevel="2">
      <c r="B72" s="1300"/>
      <c r="C72" s="1314"/>
      <c r="D72" s="1314"/>
      <c r="E72" s="1314"/>
      <c r="F72" s="1314"/>
      <c r="G72" s="1314"/>
      <c r="H72" s="1314"/>
      <c r="I72" s="1314"/>
      <c r="J72" s="1314"/>
      <c r="K72" s="1314"/>
      <c r="L72" s="1314"/>
    </row>
    <row r="73" spans="2:12" ht="12.75" customHeight="1" outlineLevel="2">
      <c r="B73" s="1298" t="s">
        <v>772</v>
      </c>
      <c r="C73" s="1315">
        <f t="shared" ref="C73:L73" si="15">C84+C74</f>
        <v>80.524999999999963</v>
      </c>
      <c r="D73" s="1315">
        <f t="shared" si="15"/>
        <v>120.35799999999989</v>
      </c>
      <c r="E73" s="1315">
        <f t="shared" si="15"/>
        <v>700.91099999999972</v>
      </c>
      <c r="F73" s="1315">
        <f t="shared" si="15"/>
        <v>895.74499999999966</v>
      </c>
      <c r="G73" s="1315">
        <f t="shared" si="15"/>
        <v>880.60199999999952</v>
      </c>
      <c r="H73" s="1315">
        <f t="shared" si="15"/>
        <v>1465.9509999999996</v>
      </c>
      <c r="I73" s="1315">
        <f t="shared" si="15"/>
        <v>2115.8810000000003</v>
      </c>
      <c r="J73" s="1315">
        <f t="shared" si="15"/>
        <v>2548.4009999999998</v>
      </c>
      <c r="K73" s="1315">
        <f t="shared" si="15"/>
        <v>3252.4660000000003</v>
      </c>
      <c r="L73" s="1315">
        <f t="shared" si="15"/>
        <v>3538.6580000000008</v>
      </c>
    </row>
    <row r="74" spans="2:12" ht="12.75" customHeight="1" outlineLevel="3">
      <c r="B74" s="1300" t="s">
        <v>773</v>
      </c>
      <c r="C74" s="1311">
        <f t="shared" ref="C74:L74" si="16">C75-C76-C77-C78+C79+C80+C81+C82+C83</f>
        <v>83.599999999999966</v>
      </c>
      <c r="D74" s="1311">
        <f t="shared" si="16"/>
        <v>123.36399999999989</v>
      </c>
      <c r="E74" s="1311">
        <f t="shared" si="16"/>
        <v>722.24399999999969</v>
      </c>
      <c r="F74" s="1311">
        <f t="shared" si="16"/>
        <v>895.74499999999966</v>
      </c>
      <c r="G74" s="1311">
        <f t="shared" si="16"/>
        <v>880.60199999999952</v>
      </c>
      <c r="H74" s="1311">
        <f t="shared" si="16"/>
        <v>1465.9509999999996</v>
      </c>
      <c r="I74" s="1311">
        <f t="shared" si="16"/>
        <v>2048.2800000000002</v>
      </c>
      <c r="J74" s="1311">
        <f t="shared" si="16"/>
        <v>2464.223</v>
      </c>
      <c r="K74" s="1311">
        <f t="shared" si="16"/>
        <v>3128.5640000000003</v>
      </c>
      <c r="L74" s="1311">
        <f t="shared" si="16"/>
        <v>3538.6580000000008</v>
      </c>
    </row>
    <row r="75" spans="2:12" ht="12.75" customHeight="1" outlineLevel="4">
      <c r="B75" s="1306" t="s">
        <v>774</v>
      </c>
      <c r="C75" s="1312">
        <f>((BS!J38+BS!J42+BS!J43)+(BS!J48+BS!J55+BS!J56))</f>
        <v>272.45500000000004</v>
      </c>
      <c r="D75" s="1312">
        <f>((BS!K38+BS!K42+BS!K43)+(BS!K48+BS!K55+BS!K56))</f>
        <v>279.84499999999997</v>
      </c>
      <c r="E75" s="1312">
        <f>((BS!L38+BS!L42+BS!L43)+(BS!L48+BS!L55+BS!L56))</f>
        <v>1106.144</v>
      </c>
      <c r="F75" s="1312">
        <f>((BS!M42+BS!M43+BS!M44)+(BS!M48+BS!M55+BS!M56))</f>
        <v>1203.69</v>
      </c>
      <c r="G75" s="1312">
        <f>((BS!N42+BS!N43+BS!N44)+(BS!N48+BS!N55+BS!N56))</f>
        <v>1484.9690000000001</v>
      </c>
      <c r="H75" s="1312">
        <f>((BS!O42+BS!O43+BS!O44)+(BS!O48+BS!O49+BS!O55+BS!O56))</f>
        <v>2048.585</v>
      </c>
      <c r="I75" s="1312">
        <f>((BS!P42+BS!P43+BS!P44)+(BS!P48+BS!P49+BS!P55+BS!P56))</f>
        <v>3099.1300000000006</v>
      </c>
      <c r="J75" s="1312">
        <f>((BS!Q42+BS!Q43+BS!Q44)+(BS!Q48+BS!Q49+BS!Q55+BS!Q56))</f>
        <v>3010.7470000000003</v>
      </c>
      <c r="K75" s="1312">
        <f>((BS!R42+BS!R43+BS!R44)+(BS!R48+BS!R49+BS!R55+BS!R56))</f>
        <v>4158.6559999999999</v>
      </c>
      <c r="L75" s="1312">
        <f>((BS!S42+BS!S43+BS!S44)+(BS!S48+BS!S49+BS!S55+BS!S56))</f>
        <v>4679.4090000000006</v>
      </c>
    </row>
    <row r="76" spans="2:12" ht="12.75" customHeight="1" outlineLevel="4">
      <c r="B76" s="1306" t="s">
        <v>775</v>
      </c>
      <c r="C76" s="1312">
        <f>BS!J8</f>
        <v>119.26700000000008</v>
      </c>
      <c r="D76" s="1312">
        <f>BS!K8</f>
        <v>82.563000000000073</v>
      </c>
      <c r="E76" s="1312">
        <f>BS!L8</f>
        <v>290.63300000000027</v>
      </c>
      <c r="F76" s="1312">
        <f>BS!M8</f>
        <v>220.20700000000039</v>
      </c>
      <c r="G76" s="1312">
        <f>BS!N8</f>
        <v>346.05600000000038</v>
      </c>
      <c r="H76" s="1312">
        <f>BS!O8</f>
        <v>432.63600000000042</v>
      </c>
      <c r="I76" s="1312">
        <f>BS!P8</f>
        <v>253.32800000000026</v>
      </c>
      <c r="J76" s="1312">
        <f>BS!Q8</f>
        <v>252.21299999999999</v>
      </c>
      <c r="K76" s="1312">
        <f>BS!R8</f>
        <v>261.89399999999989</v>
      </c>
      <c r="L76" s="1312">
        <f>BS!S8</f>
        <v>610.91699999999992</v>
      </c>
    </row>
    <row r="77" spans="2:12" ht="12.75" customHeight="1" outlineLevel="4">
      <c r="B77" s="1306" t="s">
        <v>776</v>
      </c>
      <c r="C77" s="1312">
        <f>(+BS!J10+BS!J17)</f>
        <v>69.587999999999994</v>
      </c>
      <c r="D77" s="1312">
        <f>(+BS!K10+BS!K17)</f>
        <v>73.918000000000006</v>
      </c>
      <c r="E77" s="1312">
        <f>(+BS!L10+BS!L17)</f>
        <v>93.266999999999996</v>
      </c>
      <c r="F77" s="1312">
        <f>(+BS!M10+BS!M17)</f>
        <v>87.738</v>
      </c>
      <c r="G77" s="1312">
        <f>(+BS!N10+BS!N17)</f>
        <v>258.31100000000004</v>
      </c>
      <c r="H77" s="1312">
        <f>(+BS!O10+BS!O17)</f>
        <v>149.99800000000002</v>
      </c>
      <c r="I77" s="1312">
        <f>(+BS!P10+BS!P17)</f>
        <v>797.52199999999993</v>
      </c>
      <c r="J77" s="1312">
        <f>(+BS!Q10+BS!Q17)</f>
        <v>294.31099999999998</v>
      </c>
      <c r="K77" s="1312">
        <f>(+BS!R10+BS!R17)</f>
        <v>768.19799999999998</v>
      </c>
      <c r="L77" s="1312">
        <f>(+BS!S10+BS!S17)</f>
        <v>529.83399999999995</v>
      </c>
    </row>
    <row r="78" spans="2:12" ht="12.75" customHeight="1" outlineLevel="4">
      <c r="B78" s="1306" t="s">
        <v>777</v>
      </c>
      <c r="C78" s="1312">
        <f>0</f>
        <v>0</v>
      </c>
      <c r="D78" s="1312">
        <f>0</f>
        <v>0</v>
      </c>
      <c r="E78" s="1312">
        <f>0</f>
        <v>0</v>
      </c>
      <c r="F78" s="1312">
        <f>0</f>
        <v>0</v>
      </c>
      <c r="G78" s="1312">
        <f>0</f>
        <v>0</v>
      </c>
      <c r="H78" s="1312">
        <f>0</f>
        <v>0</v>
      </c>
      <c r="I78" s="1312">
        <f>0</f>
        <v>0</v>
      </c>
      <c r="J78" s="1312">
        <f>0</f>
        <v>0</v>
      </c>
      <c r="K78" s="1312">
        <f>0</f>
        <v>0</v>
      </c>
      <c r="L78" s="1312">
        <f>0</f>
        <v>0</v>
      </c>
    </row>
    <row r="79" spans="2:12" ht="12.75" customHeight="1" outlineLevel="4">
      <c r="B79" s="1306" t="s">
        <v>778</v>
      </c>
      <c r="C79" s="1312">
        <f>IF(ISNUMBER(BS!J64),BS!J64,0)</f>
        <v>0</v>
      </c>
      <c r="D79" s="1312">
        <f>IF(ISNUMBER(BS!K64),BS!K64,0)</f>
        <v>0</v>
      </c>
      <c r="E79" s="1312">
        <f>IF(ISNUMBER(BS!L64),BS!L64,0)</f>
        <v>0</v>
      </c>
      <c r="F79" s="1312">
        <f>IF(ISNUMBER(BS!M64),BS!M64,0)</f>
        <v>0</v>
      </c>
      <c r="G79" s="1312">
        <f>IF(ISNUMBER(BS!N64),BS!N64,0)</f>
        <v>0</v>
      </c>
      <c r="H79" s="1312">
        <f>IF(ISNUMBER(BS!O64),BS!O64,0)</f>
        <v>0</v>
      </c>
      <c r="I79" s="1312">
        <f>IF(ISNUMBER(BS!P64),BS!P64,0)</f>
        <v>0</v>
      </c>
      <c r="J79" s="1312">
        <f>IF(ISNUMBER(BS!Q64),BS!Q64,0)</f>
        <v>0</v>
      </c>
      <c r="K79" s="1312">
        <f>IF(ISNUMBER(BS!R64),BS!R64,0)</f>
        <v>0</v>
      </c>
      <c r="L79" s="1312">
        <f>IF(ISNUMBER(BS!S64),BS!S64,0)</f>
        <v>0</v>
      </c>
    </row>
    <row r="80" spans="2:12" ht="12.75" customHeight="1" outlineLevel="4">
      <c r="B80" s="1306" t="s">
        <v>779</v>
      </c>
      <c r="C80" s="1312">
        <f>0</f>
        <v>0</v>
      </c>
      <c r="D80" s="1312">
        <f>0</f>
        <v>0</v>
      </c>
      <c r="E80" s="1312">
        <f>0</f>
        <v>0</v>
      </c>
      <c r="F80" s="1312">
        <f>0</f>
        <v>0</v>
      </c>
      <c r="G80" s="1312">
        <f>0</f>
        <v>0</v>
      </c>
      <c r="H80" s="1312">
        <f>0</f>
        <v>0</v>
      </c>
      <c r="I80" s="1312">
        <f>0</f>
        <v>0</v>
      </c>
      <c r="J80" s="1312">
        <f>0</f>
        <v>0</v>
      </c>
      <c r="K80" s="1312">
        <f>0</f>
        <v>0</v>
      </c>
      <c r="L80" s="1312">
        <f>0</f>
        <v>0</v>
      </c>
    </row>
    <row r="81" spans="1:27" ht="12.75" customHeight="1" outlineLevel="4">
      <c r="B81" s="1306" t="s">
        <v>780</v>
      </c>
      <c r="C81" s="1312">
        <f t="shared" ref="C81:L82" si="17">IF(ISNUMBER(0),0,0)</f>
        <v>0</v>
      </c>
      <c r="D81" s="1312">
        <f t="shared" si="17"/>
        <v>0</v>
      </c>
      <c r="E81" s="1312">
        <f t="shared" si="17"/>
        <v>0</v>
      </c>
      <c r="F81" s="1312">
        <f t="shared" si="17"/>
        <v>0</v>
      </c>
      <c r="G81" s="1312">
        <f t="shared" si="17"/>
        <v>0</v>
      </c>
      <c r="H81" s="1312">
        <f t="shared" si="17"/>
        <v>0</v>
      </c>
      <c r="I81" s="1312">
        <f t="shared" si="17"/>
        <v>0</v>
      </c>
      <c r="J81" s="1312">
        <f t="shared" si="17"/>
        <v>0</v>
      </c>
      <c r="K81" s="1312">
        <f t="shared" si="17"/>
        <v>0</v>
      </c>
      <c r="L81" s="1312">
        <f t="shared" si="17"/>
        <v>0</v>
      </c>
    </row>
    <row r="82" spans="1:27" ht="12.75" customHeight="1" outlineLevel="4">
      <c r="B82" s="1306" t="s">
        <v>781</v>
      </c>
      <c r="C82" s="1312">
        <f t="shared" si="17"/>
        <v>0</v>
      </c>
      <c r="D82" s="1312">
        <f t="shared" si="17"/>
        <v>0</v>
      </c>
      <c r="E82" s="1312">
        <f t="shared" si="17"/>
        <v>0</v>
      </c>
      <c r="F82" s="1312">
        <f t="shared" si="17"/>
        <v>0</v>
      </c>
      <c r="G82" s="1312">
        <f t="shared" si="17"/>
        <v>0</v>
      </c>
      <c r="H82" s="1312">
        <f t="shared" si="17"/>
        <v>0</v>
      </c>
      <c r="I82" s="1312">
        <f t="shared" si="17"/>
        <v>0</v>
      </c>
      <c r="J82" s="1312">
        <f t="shared" si="17"/>
        <v>0</v>
      </c>
      <c r="K82" s="1312">
        <f t="shared" si="17"/>
        <v>0</v>
      </c>
      <c r="L82" s="1312">
        <f t="shared" si="17"/>
        <v>0</v>
      </c>
    </row>
    <row r="83" spans="1:27" ht="12.75" customHeight="1" outlineLevel="4">
      <c r="B83" s="1306" t="s">
        <v>782</v>
      </c>
      <c r="C83" s="1312">
        <f>0</f>
        <v>0</v>
      </c>
      <c r="D83" s="1312">
        <f>0</f>
        <v>0</v>
      </c>
      <c r="E83" s="1312">
        <f>0</f>
        <v>0</v>
      </c>
      <c r="F83" s="1312">
        <f>0</f>
        <v>0</v>
      </c>
      <c r="G83" s="1312">
        <f>0</f>
        <v>0</v>
      </c>
      <c r="H83" s="1312">
        <f>0</f>
        <v>0</v>
      </c>
      <c r="I83" s="1312">
        <f>0</f>
        <v>0</v>
      </c>
      <c r="J83" s="1312">
        <f>0</f>
        <v>0</v>
      </c>
      <c r="K83" s="1312">
        <f>0</f>
        <v>0</v>
      </c>
      <c r="L83" s="1312">
        <f>0</f>
        <v>0</v>
      </c>
    </row>
    <row r="84" spans="1:27" ht="12.75" customHeight="1" outlineLevel="3">
      <c r="B84" s="1300" t="s">
        <v>783</v>
      </c>
      <c r="C84" s="1310">
        <f>((BS!J26-0))*-1</f>
        <v>-3.0750000000000002</v>
      </c>
      <c r="D84" s="1310">
        <f>((BS!K26-0))*-1</f>
        <v>-3.0059999999999998</v>
      </c>
      <c r="E84" s="1310">
        <f>((BS!L26-0))*-1</f>
        <v>-21.332999999999998</v>
      </c>
      <c r="F84" s="1310">
        <f>((BS!M26-0))*-1</f>
        <v>0</v>
      </c>
      <c r="G84" s="1310">
        <f>((BS!N26-0))*-1</f>
        <v>0</v>
      </c>
      <c r="H84" s="1310">
        <f>((BS!O26-0))*-1</f>
        <v>0</v>
      </c>
      <c r="I84" s="1310">
        <f>((BS!P26-BS!P61))*-1</f>
        <v>67.600999999999999</v>
      </c>
      <c r="J84" s="1310">
        <f>((BS!Q26-BS!Q61))*-1</f>
        <v>84.177999999999997</v>
      </c>
      <c r="K84" s="1310">
        <f>((0-BS!R61))*-1</f>
        <v>123.902</v>
      </c>
      <c r="L84" s="1310">
        <f>((0-BS!S61))*-1</f>
        <v>0</v>
      </c>
    </row>
    <row r="85" spans="1:27" ht="12.75" customHeight="1" outlineLevel="2">
      <c r="B85" s="1298" t="s">
        <v>784</v>
      </c>
      <c r="C85" s="1316">
        <f>(((+(+BS!J65+BS!J66))+0+BS!J67+(BS!J68+BS!J70)--BS!J69+0+0)+(BS!J91))</f>
        <v>288.673</v>
      </c>
      <c r="D85" s="1316">
        <f>(((+(+BS!K65+BS!K66))+0+BS!K67+(BS!K68+BS!K70)--BS!K69+0+0)+(BS!K91))</f>
        <v>355.02800000000002</v>
      </c>
      <c r="E85" s="1316">
        <f>(((+(+BS!L65+BS!L66))+0+BS!L67+(BS!L68+BS!L70)--BS!L69+0+0)+(BS!L91))</f>
        <v>814.43200000000002</v>
      </c>
      <c r="F85" s="1316">
        <f>(((+(+BS!M65+BS!M66))+0+BS!M67+(BS!M68+BS!M70)--BS!M69+0+0)+(BS!M91))</f>
        <v>916.66100000000006</v>
      </c>
      <c r="G85" s="1316">
        <f>(((+(+BS!N65+BS!N66))+0+BS!N67+(BS!N68+BS!N70)--BS!N69+0+0)+(BS!N91))</f>
        <v>1182.4829999999999</v>
      </c>
      <c r="H85" s="1316">
        <f>(((+(+BS!O65+BS!O66))+0+BS!O67+(BS!O68+BS!O70)--BS!O69+0+0)+(BS!O91))</f>
        <v>1870.3099999999995</v>
      </c>
      <c r="I85" s="1316">
        <f>(((+(+BS!P65+BS!P66))+0+BS!P67+(BS!P68+BS!P70)--BS!P69+0+0)+(BS!P91))</f>
        <v>1926.7169999999996</v>
      </c>
      <c r="J85" s="1316">
        <f>(((+(+BS!Q65+BS!Q66))+0+BS!Q67+(BS!Q68+BS!Q70)--BS!Q69+0+0)+(BS!Q91))</f>
        <v>2313.4409999999998</v>
      </c>
      <c r="K85" s="1316">
        <f>(((+(+BS!R65+BS!R66))+0+BS!R67+(BS!R68+BS!R70)--BS!R69+0+0)+(BS!R91))</f>
        <v>2459.0640000000003</v>
      </c>
      <c r="L85" s="1316">
        <f>(((+(+BS!S65+BS!S66))+0+BS!S67+(BS!S68+BS!S70)--BS!S69+0+0)+(BS!S91))</f>
        <v>2270.1309999999994</v>
      </c>
    </row>
    <row r="86" spans="1:27" s="1374" customFormat="1" ht="10.5" customHeight="1" outlineLevel="1">
      <c r="A86" s="1349"/>
      <c r="O86" s="1349"/>
      <c r="P86" s="1349"/>
      <c r="Q86" s="1349"/>
      <c r="R86" s="1375"/>
      <c r="S86" s="1375"/>
      <c r="T86" s="1375"/>
      <c r="U86" s="1375"/>
      <c r="V86" s="1375"/>
      <c r="W86" s="1375"/>
      <c r="X86" s="1375"/>
      <c r="Y86" s="1375"/>
      <c r="Z86" s="1375"/>
      <c r="AA86" s="1376"/>
    </row>
    <row r="87" spans="1:27" ht="12.75" customHeight="1" outlineLevel="1">
      <c r="B87" s="1302" t="s">
        <v>764</v>
      </c>
      <c r="C87" s="1383"/>
      <c r="D87" s="1294"/>
      <c r="E87" s="1294"/>
      <c r="F87" s="1294"/>
      <c r="G87" s="1294"/>
      <c r="H87" s="1294"/>
      <c r="I87" s="1294"/>
      <c r="J87" s="1294"/>
      <c r="K87" s="1294"/>
      <c r="L87" s="1294"/>
    </row>
    <row r="88" spans="1:27" ht="7.5" customHeight="1" outlineLevel="1">
      <c r="B88" s="1302"/>
      <c r="C88" s="1294"/>
      <c r="D88" s="1294"/>
      <c r="E88" s="1294"/>
      <c r="F88" s="1294"/>
      <c r="G88" s="1294"/>
      <c r="H88" s="1294"/>
      <c r="I88" s="1294"/>
      <c r="J88" s="1294"/>
      <c r="K88" s="1294"/>
      <c r="L88" s="1294"/>
    </row>
    <row r="89" spans="1:27" ht="12.75" customHeight="1" outlineLevel="1">
      <c r="B89" s="1298" t="s">
        <v>785</v>
      </c>
      <c r="C89" s="1299">
        <f t="shared" ref="C89:L89" si="18">C91-C92</f>
        <v>-0.24656736102000862</v>
      </c>
      <c r="D89" s="1299">
        <f t="shared" si="18"/>
        <v>-0.25249065573054141</v>
      </c>
      <c r="E89" s="1299">
        <f t="shared" si="18"/>
        <v>8.8440171401526019E-2</v>
      </c>
      <c r="F89" s="1299">
        <f t="shared" si="18"/>
        <v>-8.0891495698910687E-3</v>
      </c>
      <c r="G89" s="1299">
        <f t="shared" si="18"/>
        <v>-7.8157903753295552E-2</v>
      </c>
      <c r="H89" s="1299">
        <f t="shared" si="18"/>
        <v>-3.4020415010704769E-2</v>
      </c>
      <c r="I89" s="1299">
        <f t="shared" si="18"/>
        <v>-1.0906430852075821E-2</v>
      </c>
      <c r="J89" s="1299">
        <f t="shared" si="18"/>
        <v>-3.1447301201310784E-2</v>
      </c>
      <c r="K89" s="1299">
        <f t="shared" si="18"/>
        <v>-0.13434947303278039</v>
      </c>
      <c r="L89" s="1299">
        <f t="shared" si="18"/>
        <v>-2.5173992117220878E-4</v>
      </c>
    </row>
    <row r="90" spans="1:27" ht="7.5" customHeight="1" outlineLevel="2">
      <c r="B90" s="1300"/>
      <c r="C90" s="1314"/>
      <c r="D90" s="1314"/>
      <c r="E90" s="1314"/>
      <c r="F90" s="1314"/>
      <c r="G90" s="1314"/>
      <c r="H90" s="1314"/>
      <c r="I90" s="1314"/>
      <c r="J90" s="1314"/>
      <c r="K90" s="1314"/>
      <c r="L90" s="1314"/>
    </row>
    <row r="91" spans="1:27" ht="12.75" customHeight="1" outlineLevel="2">
      <c r="B91" s="1298" t="s">
        <v>786</v>
      </c>
      <c r="C91" s="1314">
        <f t="shared" ref="C91:L91" si="19">C38</f>
        <v>4.5317146896787196E-2</v>
      </c>
      <c r="D91" s="1314">
        <f t="shared" si="19"/>
        <v>7.0983895192538324E-2</v>
      </c>
      <c r="E91" s="1314">
        <f t="shared" si="19"/>
        <v>5.6401652959098977E-2</v>
      </c>
      <c r="F91" s="1314">
        <f t="shared" si="19"/>
        <v>8.3647951948956328E-2</v>
      </c>
      <c r="G91" s="1314">
        <f t="shared" si="19"/>
        <v>8.8033406282339285E-2</v>
      </c>
      <c r="H91" s="1314">
        <f t="shared" si="19"/>
        <v>7.4433789802416564E-2</v>
      </c>
      <c r="I91" s="1314">
        <f t="shared" si="19"/>
        <v>7.9479606926041155E-2</v>
      </c>
      <c r="J91" s="1314">
        <f t="shared" si="19"/>
        <v>7.6190978645542182E-2</v>
      </c>
      <c r="K91" s="1314">
        <f t="shared" si="19"/>
        <v>7.1669990352847643E-2</v>
      </c>
      <c r="L91" s="1314">
        <f t="shared" si="19"/>
        <v>8.3107460091940019E-2</v>
      </c>
    </row>
    <row r="92" spans="1:27" ht="12.75" customHeight="1" outlineLevel="2">
      <c r="B92" s="1298" t="s">
        <v>787</v>
      </c>
      <c r="C92" s="1314">
        <f t="shared" ref="C92:L92" si="20">IF(AND(ISNUMBER(C96),ABS(C96)&gt;0,ABS(C38)&gt;0),C93/C96,0)</f>
        <v>0.29188450791679582</v>
      </c>
      <c r="D92" s="1314">
        <f t="shared" si="20"/>
        <v>0.32347455092307975</v>
      </c>
      <c r="E92" s="1314">
        <f t="shared" si="20"/>
        <v>-3.2038518442427034E-2</v>
      </c>
      <c r="F92" s="1314">
        <f t="shared" si="20"/>
        <v>9.1737101518847397E-2</v>
      </c>
      <c r="G92" s="1314">
        <f t="shared" si="20"/>
        <v>0.16619131003563484</v>
      </c>
      <c r="H92" s="1314">
        <f t="shared" si="20"/>
        <v>0.10845420481312133</v>
      </c>
      <c r="I92" s="1314">
        <f t="shared" si="20"/>
        <v>9.0386037778116976E-2</v>
      </c>
      <c r="J92" s="1314">
        <f t="shared" si="20"/>
        <v>0.10763827984685297</v>
      </c>
      <c r="K92" s="1314">
        <f t="shared" si="20"/>
        <v>0.20601946338562802</v>
      </c>
      <c r="L92" s="1314">
        <f t="shared" si="20"/>
        <v>8.3359200013112228E-2</v>
      </c>
    </row>
    <row r="93" spans="1:27" ht="12.75" customHeight="1" outlineLevel="3">
      <c r="B93" s="1300" t="s">
        <v>788</v>
      </c>
      <c r="C93" s="1315">
        <f t="shared" ref="C93:L93" si="21">C94+C95</f>
        <v>23.503999999999973</v>
      </c>
      <c r="D93" s="1315">
        <f t="shared" si="21"/>
        <v>38.932749999999999</v>
      </c>
      <c r="E93" s="1315">
        <f t="shared" si="21"/>
        <v>-22.456149999999965</v>
      </c>
      <c r="F93" s="1315">
        <f t="shared" si="21"/>
        <v>82.173049999999932</v>
      </c>
      <c r="G93" s="1315">
        <f t="shared" si="21"/>
        <v>146.34840000000003</v>
      </c>
      <c r="H93" s="1315">
        <f t="shared" si="21"/>
        <v>158.98854999999998</v>
      </c>
      <c r="I93" s="1315">
        <f t="shared" si="21"/>
        <v>191.24609999999996</v>
      </c>
      <c r="J93" s="1315">
        <f t="shared" si="21"/>
        <v>274.30549999999994</v>
      </c>
      <c r="K93" s="1315">
        <f t="shared" si="21"/>
        <v>670.07130000000006</v>
      </c>
      <c r="L93" s="1315">
        <f t="shared" si="21"/>
        <v>294.97969999999975</v>
      </c>
    </row>
    <row r="94" spans="1:27" ht="12.75" customHeight="1" outlineLevel="4">
      <c r="B94" s="1317" t="s">
        <v>789</v>
      </c>
      <c r="C94" s="1318">
        <f t="shared" ref="C94:L94" si="22">(C187-C188)*-1</f>
        <v>5.3612000000000002</v>
      </c>
      <c r="D94" s="1318">
        <f t="shared" si="22"/>
        <v>7.7525500000000003</v>
      </c>
      <c r="E94" s="1318">
        <f t="shared" si="22"/>
        <v>35.271600000000007</v>
      </c>
      <c r="F94" s="1318">
        <f t="shared" si="22"/>
        <v>46.7012</v>
      </c>
      <c r="G94" s="1318">
        <f t="shared" si="22"/>
        <v>90.324000000000026</v>
      </c>
      <c r="H94" s="1318">
        <f t="shared" si="22"/>
        <v>116.36494999999999</v>
      </c>
      <c r="I94" s="1318">
        <f t="shared" si="22"/>
        <v>127.96029999999999</v>
      </c>
      <c r="J94" s="1318">
        <f t="shared" si="22"/>
        <v>159.51324999999997</v>
      </c>
      <c r="K94" s="1318">
        <f t="shared" si="22"/>
        <v>173.9803</v>
      </c>
      <c r="L94" s="1318">
        <f t="shared" si="22"/>
        <v>192.05809999999997</v>
      </c>
    </row>
    <row r="95" spans="1:27" ht="12.75" customHeight="1" outlineLevel="4">
      <c r="B95" s="1317" t="s">
        <v>790</v>
      </c>
      <c r="C95" s="1318">
        <f t="shared" ref="C95:L95" si="23">(C190-C191)*-1</f>
        <v>18.142799999999973</v>
      </c>
      <c r="D95" s="1318">
        <f t="shared" si="23"/>
        <v>31.180199999999996</v>
      </c>
      <c r="E95" s="1318">
        <f t="shared" si="23"/>
        <v>-57.727749999999972</v>
      </c>
      <c r="F95" s="1318">
        <f t="shared" si="23"/>
        <v>35.471849999999939</v>
      </c>
      <c r="G95" s="1318">
        <f t="shared" si="23"/>
        <v>56.024400000000014</v>
      </c>
      <c r="H95" s="1318">
        <f t="shared" si="23"/>
        <v>42.623599999999989</v>
      </c>
      <c r="I95" s="1318">
        <f t="shared" si="23"/>
        <v>63.285799999999952</v>
      </c>
      <c r="J95" s="1318">
        <f t="shared" si="23"/>
        <v>114.79224999999998</v>
      </c>
      <c r="K95" s="1318">
        <f t="shared" si="23"/>
        <v>496.09100000000012</v>
      </c>
      <c r="L95" s="1318">
        <f t="shared" si="23"/>
        <v>102.92159999999981</v>
      </c>
    </row>
    <row r="96" spans="1:27" ht="12.75" customHeight="1" outlineLevel="3">
      <c r="B96" s="1300" t="s">
        <v>791</v>
      </c>
      <c r="C96" s="1315">
        <f t="shared" ref="C96:L96" si="24">C73</f>
        <v>80.524999999999963</v>
      </c>
      <c r="D96" s="1315">
        <f t="shared" si="24"/>
        <v>120.35799999999989</v>
      </c>
      <c r="E96" s="1315">
        <f t="shared" si="24"/>
        <v>700.91099999999972</v>
      </c>
      <c r="F96" s="1315">
        <f t="shared" si="24"/>
        <v>895.74499999999966</v>
      </c>
      <c r="G96" s="1315">
        <f t="shared" si="24"/>
        <v>880.60199999999952</v>
      </c>
      <c r="H96" s="1315">
        <f t="shared" si="24"/>
        <v>1465.9509999999996</v>
      </c>
      <c r="I96" s="1315">
        <f t="shared" si="24"/>
        <v>2115.8810000000003</v>
      </c>
      <c r="J96" s="1315">
        <f t="shared" si="24"/>
        <v>2548.4009999999998</v>
      </c>
      <c r="K96" s="1315">
        <f t="shared" si="24"/>
        <v>3252.4660000000003</v>
      </c>
      <c r="L96" s="1315">
        <f t="shared" si="24"/>
        <v>3538.6580000000008</v>
      </c>
    </row>
    <row r="97" spans="2:12" ht="12.75" customHeight="1">
      <c r="B97" s="1294"/>
      <c r="C97" s="1294"/>
      <c r="D97" s="1294"/>
      <c r="E97" s="1294"/>
      <c r="F97" s="1294"/>
      <c r="G97" s="1294"/>
      <c r="H97" s="1294"/>
      <c r="I97" s="1294"/>
      <c r="J97" s="1294"/>
      <c r="K97" s="1294"/>
      <c r="L97" s="1294"/>
    </row>
    <row r="98" spans="2:12" ht="12.75" hidden="1" customHeight="1">
      <c r="B98" s="1384"/>
      <c r="C98" s="1383"/>
      <c r="D98" s="1383"/>
      <c r="E98" s="1383"/>
      <c r="F98" s="1383"/>
      <c r="G98" s="1383"/>
      <c r="H98" s="1383"/>
      <c r="I98" s="1383"/>
      <c r="J98" s="1383"/>
      <c r="K98" s="1383"/>
      <c r="L98" s="1383"/>
    </row>
    <row r="99" spans="2:12" ht="12.75" hidden="1" customHeight="1">
      <c r="B99" s="1384"/>
      <c r="D99" s="1383"/>
      <c r="E99" s="1383"/>
      <c r="F99" s="1383"/>
      <c r="G99" s="1383"/>
      <c r="H99" s="1383"/>
      <c r="I99" s="1383"/>
      <c r="J99" s="1383"/>
      <c r="K99" s="1383"/>
      <c r="L99" s="1383"/>
    </row>
    <row r="100" spans="2:12" ht="12.75" hidden="1" customHeight="1">
      <c r="B100" s="1384"/>
      <c r="C100" s="1383"/>
      <c r="D100" s="1383"/>
      <c r="E100" s="1383"/>
      <c r="F100" s="1383"/>
      <c r="G100" s="1383"/>
      <c r="H100" s="1383"/>
      <c r="I100" s="1383"/>
      <c r="J100" s="1383"/>
      <c r="K100" s="1383"/>
      <c r="L100" s="1383"/>
    </row>
    <row r="101" spans="2:12" ht="12.75" hidden="1" customHeight="1">
      <c r="B101" s="1319" t="s">
        <v>792</v>
      </c>
      <c r="C101" s="1385"/>
      <c r="D101" s="1385"/>
      <c r="E101" s="1385"/>
      <c r="F101" s="1385"/>
      <c r="G101" s="1385"/>
      <c r="H101" s="1385"/>
      <c r="I101" s="1385"/>
      <c r="J101" s="1385"/>
      <c r="K101" s="1385"/>
      <c r="L101" s="1385"/>
    </row>
    <row r="102" spans="2:12" ht="7.5" hidden="1" customHeight="1">
      <c r="B102" s="1386"/>
      <c r="C102" s="1385"/>
      <c r="D102" s="1385"/>
      <c r="E102" s="1385"/>
      <c r="F102" s="1385"/>
      <c r="G102" s="1385"/>
      <c r="H102" s="1385"/>
      <c r="I102" s="1385"/>
      <c r="J102" s="1385"/>
      <c r="K102" s="1385"/>
      <c r="L102" s="1385"/>
    </row>
    <row r="103" spans="2:12" ht="12.75" hidden="1" customHeight="1">
      <c r="B103" s="1320" t="s">
        <v>793</v>
      </c>
      <c r="C103" s="1321"/>
      <c r="D103" s="1321"/>
      <c r="E103" s="1321"/>
      <c r="F103" s="1321"/>
      <c r="G103" s="1321"/>
      <c r="H103" s="1321"/>
      <c r="I103" s="1321"/>
      <c r="J103" s="1321"/>
      <c r="K103" s="1321"/>
      <c r="L103" s="1321"/>
    </row>
    <row r="104" spans="2:12" ht="12.75" hidden="1" customHeight="1">
      <c r="B104" s="1351"/>
      <c r="C104" s="1294"/>
      <c r="D104" s="1294"/>
      <c r="E104" s="1294"/>
      <c r="F104" s="1294"/>
      <c r="G104" s="1294"/>
      <c r="H104" s="1294"/>
      <c r="I104" s="1294"/>
      <c r="J104" s="1294"/>
      <c r="K104" s="1294"/>
      <c r="L104" s="1294"/>
    </row>
    <row r="105" spans="2:12" ht="12.75" hidden="1" customHeight="1">
      <c r="B105" s="1320" t="s">
        <v>753</v>
      </c>
      <c r="C105" s="1322"/>
      <c r="D105" s="1322"/>
      <c r="E105" s="1322"/>
      <c r="F105" s="1322"/>
      <c r="G105" s="1322"/>
      <c r="H105" s="1322"/>
      <c r="I105" s="1322"/>
      <c r="J105" s="1322"/>
      <c r="K105" s="1322"/>
      <c r="L105" s="1322"/>
    </row>
    <row r="106" spans="2:12" ht="7.5" hidden="1" customHeight="1">
      <c r="B106" s="1323"/>
      <c r="C106" s="1294"/>
      <c r="D106" s="1294"/>
      <c r="E106" s="1294"/>
      <c r="F106" s="1294"/>
      <c r="G106" s="1294"/>
      <c r="H106" s="1294"/>
      <c r="I106" s="1294"/>
      <c r="J106" s="1294"/>
      <c r="K106" s="1294"/>
      <c r="L106" s="1294"/>
    </row>
    <row r="107" spans="2:12" ht="12.75" hidden="1" customHeight="1">
      <c r="B107" s="1324" t="s">
        <v>744</v>
      </c>
      <c r="C107" s="1325"/>
      <c r="D107" s="1325"/>
      <c r="E107" s="1325"/>
      <c r="F107" s="1325"/>
      <c r="G107" s="1325"/>
      <c r="H107" s="1325"/>
      <c r="I107" s="1325"/>
      <c r="J107" s="1325"/>
      <c r="K107" s="1325"/>
      <c r="L107" s="1325"/>
    </row>
    <row r="108" spans="2:12" ht="7.5" hidden="1" customHeight="1">
      <c r="B108" s="1326"/>
      <c r="C108" s="1327"/>
      <c r="D108" s="1327"/>
      <c r="E108" s="1327"/>
      <c r="F108" s="1327"/>
      <c r="G108" s="1327"/>
      <c r="H108" s="1327"/>
      <c r="I108" s="1327"/>
      <c r="J108" s="1327"/>
      <c r="K108" s="1327"/>
      <c r="L108" s="1327"/>
    </row>
    <row r="109" spans="2:12" ht="12.75" hidden="1" customHeight="1">
      <c r="B109" s="1328" t="s">
        <v>754</v>
      </c>
      <c r="C109" s="1329"/>
      <c r="D109" s="1329"/>
      <c r="E109" s="1329"/>
      <c r="F109" s="1329"/>
      <c r="G109" s="1329"/>
      <c r="H109" s="1329"/>
      <c r="I109" s="1329"/>
      <c r="J109" s="1329"/>
      <c r="K109" s="1329"/>
      <c r="L109" s="1329"/>
    </row>
    <row r="110" spans="2:12" ht="12.75" hidden="1" customHeight="1">
      <c r="B110" s="1328" t="s">
        <v>755</v>
      </c>
      <c r="C110" s="1330"/>
      <c r="D110" s="1330"/>
      <c r="E110" s="1330"/>
      <c r="F110" s="1330"/>
      <c r="G110" s="1330"/>
      <c r="H110" s="1330"/>
      <c r="I110" s="1330"/>
      <c r="J110" s="1330"/>
      <c r="K110" s="1330"/>
      <c r="L110" s="1330"/>
    </row>
    <row r="111" spans="2:12" ht="12.75" hidden="1" customHeight="1">
      <c r="B111" s="1328" t="s">
        <v>794</v>
      </c>
      <c r="C111" s="1330"/>
      <c r="D111" s="1330"/>
      <c r="E111" s="1330"/>
      <c r="F111" s="1330"/>
      <c r="G111" s="1330"/>
      <c r="H111" s="1330"/>
      <c r="I111" s="1330"/>
      <c r="J111" s="1330"/>
      <c r="K111" s="1330"/>
      <c r="L111" s="1330"/>
    </row>
    <row r="112" spans="2:12" ht="12.75" hidden="1" customHeight="1">
      <c r="B112" s="1328" t="s">
        <v>795</v>
      </c>
      <c r="C112" s="1331"/>
      <c r="D112" s="1331"/>
      <c r="E112" s="1331"/>
      <c r="F112" s="1331"/>
      <c r="G112" s="1331"/>
      <c r="H112" s="1331"/>
      <c r="I112" s="1331"/>
      <c r="J112" s="1331"/>
      <c r="K112" s="1331"/>
      <c r="L112" s="1331"/>
    </row>
    <row r="113" spans="2:12" ht="12.75" hidden="1" customHeight="1">
      <c r="B113" s="1328" t="s">
        <v>796</v>
      </c>
      <c r="C113" s="1330"/>
      <c r="D113" s="1330"/>
      <c r="E113" s="1330"/>
      <c r="F113" s="1330"/>
      <c r="G113" s="1330"/>
      <c r="H113" s="1330"/>
      <c r="I113" s="1330"/>
      <c r="J113" s="1330"/>
      <c r="K113" s="1330"/>
      <c r="L113" s="1330"/>
    </row>
    <row r="114" spans="2:12" ht="12.75" hidden="1" customHeight="1">
      <c r="B114" s="1328" t="s">
        <v>797</v>
      </c>
      <c r="C114" s="1330"/>
      <c r="D114" s="1330"/>
      <c r="E114" s="1330"/>
      <c r="F114" s="1330"/>
      <c r="G114" s="1330"/>
      <c r="H114" s="1330"/>
      <c r="I114" s="1330"/>
      <c r="J114" s="1330"/>
      <c r="K114" s="1330"/>
      <c r="L114" s="1330"/>
    </row>
    <row r="115" spans="2:12" ht="12.75" hidden="1" customHeight="1">
      <c r="B115" s="1328" t="s">
        <v>794</v>
      </c>
      <c r="C115" s="1330"/>
      <c r="D115" s="1330"/>
      <c r="E115" s="1330"/>
      <c r="F115" s="1330"/>
      <c r="G115" s="1330"/>
      <c r="H115" s="1330"/>
      <c r="I115" s="1330"/>
      <c r="J115" s="1330"/>
      <c r="K115" s="1330"/>
      <c r="L115" s="1330"/>
    </row>
    <row r="116" spans="2:12" ht="7.5" hidden="1" customHeight="1">
      <c r="B116" s="1290"/>
      <c r="C116" s="1294"/>
      <c r="D116" s="1294"/>
      <c r="E116" s="1294"/>
      <c r="F116" s="1294"/>
      <c r="G116" s="1294"/>
      <c r="H116" s="1294"/>
      <c r="I116" s="1294"/>
      <c r="J116" s="1294"/>
      <c r="K116" s="1294"/>
      <c r="L116" s="1294"/>
    </row>
    <row r="117" spans="2:12" ht="12.75" hidden="1" customHeight="1">
      <c r="B117" s="1328"/>
      <c r="C117" s="1294"/>
      <c r="D117" s="1294"/>
      <c r="E117" s="1294"/>
      <c r="F117" s="1294"/>
      <c r="G117" s="1294"/>
      <c r="H117" s="1294"/>
      <c r="I117" s="1294"/>
      <c r="J117" s="1294"/>
      <c r="K117" s="1294"/>
      <c r="L117" s="1294"/>
    </row>
    <row r="118" spans="2:12" ht="7.5" hidden="1" customHeight="1">
      <c r="B118" s="1328"/>
      <c r="C118" s="1294"/>
      <c r="D118" s="1294"/>
      <c r="E118" s="1294"/>
      <c r="F118" s="1294"/>
      <c r="G118" s="1294"/>
      <c r="H118" s="1294"/>
      <c r="I118" s="1294"/>
      <c r="J118" s="1294"/>
      <c r="K118" s="1294"/>
      <c r="L118" s="1294"/>
    </row>
    <row r="119" spans="2:12" ht="12.75" hidden="1" customHeight="1">
      <c r="B119" s="1324" t="s">
        <v>747</v>
      </c>
      <c r="C119" s="1332"/>
      <c r="D119" s="1332"/>
      <c r="E119" s="1332"/>
      <c r="F119" s="1332"/>
      <c r="G119" s="1332"/>
      <c r="H119" s="1332"/>
      <c r="I119" s="1332"/>
      <c r="J119" s="1332"/>
      <c r="K119" s="1332"/>
      <c r="L119" s="1332"/>
    </row>
    <row r="120" spans="2:12" ht="7.5" hidden="1" customHeight="1">
      <c r="B120" s="1326"/>
      <c r="C120" s="1333"/>
      <c r="D120" s="1333"/>
      <c r="E120" s="1333"/>
      <c r="F120" s="1333"/>
      <c r="G120" s="1333"/>
      <c r="H120" s="1333"/>
      <c r="I120" s="1333"/>
      <c r="J120" s="1333"/>
      <c r="K120" s="1333"/>
      <c r="L120" s="1333"/>
    </row>
    <row r="121" spans="2:12" ht="12.75" hidden="1" customHeight="1">
      <c r="B121" s="1328" t="s">
        <v>798</v>
      </c>
      <c r="C121" s="1330"/>
      <c r="D121" s="1330"/>
      <c r="E121" s="1330"/>
      <c r="F121" s="1330"/>
      <c r="G121" s="1330"/>
      <c r="H121" s="1330"/>
      <c r="I121" s="1330"/>
      <c r="J121" s="1330"/>
      <c r="K121" s="1330"/>
      <c r="L121" s="1330"/>
    </row>
    <row r="122" spans="2:12" ht="12.75" hidden="1" customHeight="1">
      <c r="B122" s="1387" t="s">
        <v>766</v>
      </c>
      <c r="C122" s="1329"/>
      <c r="D122" s="1329"/>
      <c r="E122" s="1329"/>
      <c r="F122" s="1329"/>
      <c r="G122" s="1329"/>
      <c r="H122" s="1329"/>
      <c r="I122" s="1329"/>
      <c r="J122" s="1329"/>
      <c r="K122" s="1329"/>
      <c r="L122" s="1329"/>
    </row>
    <row r="123" spans="2:12" ht="12.75" hidden="1" customHeight="1">
      <c r="B123" s="1328" t="s">
        <v>807</v>
      </c>
      <c r="C123" s="1330"/>
      <c r="D123" s="1330"/>
      <c r="E123" s="1330"/>
      <c r="F123" s="1330"/>
      <c r="G123" s="1330"/>
      <c r="H123" s="1330"/>
      <c r="I123" s="1330"/>
      <c r="J123" s="1330"/>
      <c r="K123" s="1330"/>
      <c r="L123" s="1330"/>
    </row>
    <row r="124" spans="2:12" ht="12.75" hidden="1" customHeight="1">
      <c r="B124" s="1328" t="s">
        <v>808</v>
      </c>
      <c r="C124" s="1330"/>
      <c r="D124" s="1330"/>
      <c r="E124" s="1330"/>
      <c r="F124" s="1330"/>
      <c r="G124" s="1330"/>
      <c r="H124" s="1330"/>
      <c r="I124" s="1330"/>
      <c r="J124" s="1330"/>
      <c r="K124" s="1330"/>
      <c r="L124" s="1330"/>
    </row>
    <row r="125" spans="2:12" ht="7.5" hidden="1" customHeight="1">
      <c r="B125" s="1328"/>
      <c r="C125" s="1294"/>
      <c r="D125" s="1294"/>
      <c r="E125" s="1294"/>
      <c r="F125" s="1294"/>
      <c r="G125" s="1294"/>
      <c r="H125" s="1294"/>
      <c r="I125" s="1294"/>
      <c r="J125" s="1294"/>
      <c r="K125" s="1294"/>
      <c r="L125" s="1294"/>
    </row>
    <row r="126" spans="2:12" ht="12.75" hidden="1" customHeight="1">
      <c r="B126" s="1388"/>
      <c r="C126" s="1294"/>
      <c r="D126" s="1294"/>
      <c r="E126" s="1294"/>
      <c r="F126" s="1294"/>
      <c r="G126" s="1294"/>
      <c r="H126" s="1294"/>
      <c r="I126" s="1294"/>
      <c r="J126" s="1294"/>
      <c r="K126" s="1294"/>
      <c r="L126" s="1294"/>
    </row>
    <row r="127" spans="2:12" ht="12.75" hidden="1" customHeight="1">
      <c r="B127" s="1320" t="s">
        <v>770</v>
      </c>
      <c r="C127" s="1322"/>
      <c r="D127" s="1322"/>
      <c r="E127" s="1322"/>
      <c r="F127" s="1322"/>
      <c r="G127" s="1322"/>
      <c r="H127" s="1322"/>
      <c r="I127" s="1322"/>
      <c r="J127" s="1322"/>
      <c r="K127" s="1322"/>
      <c r="L127" s="1322"/>
    </row>
    <row r="128" spans="2:12" ht="7.5" hidden="1" customHeight="1">
      <c r="B128" s="1320"/>
      <c r="C128" s="1334"/>
      <c r="D128" s="1334"/>
      <c r="E128" s="1334"/>
      <c r="F128" s="1334"/>
      <c r="G128" s="1334"/>
      <c r="H128" s="1334"/>
      <c r="I128" s="1334"/>
      <c r="J128" s="1334"/>
      <c r="K128" s="1334"/>
      <c r="L128" s="1334"/>
    </row>
    <row r="129" spans="1:27" ht="12.75" hidden="1" customHeight="1">
      <c r="B129" s="1324" t="s">
        <v>771</v>
      </c>
      <c r="C129" s="1335"/>
      <c r="D129" s="1335"/>
      <c r="E129" s="1335"/>
      <c r="F129" s="1335"/>
      <c r="G129" s="1335"/>
      <c r="H129" s="1335"/>
      <c r="I129" s="1335"/>
      <c r="J129" s="1335"/>
      <c r="K129" s="1335"/>
      <c r="L129" s="1335"/>
    </row>
    <row r="130" spans="1:27" ht="7.5" hidden="1" customHeight="1">
      <c r="B130" s="1326"/>
      <c r="C130" s="1336"/>
      <c r="D130" s="1336"/>
      <c r="E130" s="1336"/>
      <c r="F130" s="1336"/>
      <c r="G130" s="1336"/>
      <c r="H130" s="1336"/>
      <c r="I130" s="1336"/>
      <c r="J130" s="1336"/>
      <c r="K130" s="1336"/>
      <c r="L130" s="1336"/>
    </row>
    <row r="131" spans="1:27" ht="12.75" hidden="1" customHeight="1">
      <c r="B131" s="1387" t="s">
        <v>809</v>
      </c>
      <c r="C131" s="1329"/>
      <c r="D131" s="1329"/>
      <c r="E131" s="1329"/>
      <c r="F131" s="1329"/>
      <c r="G131" s="1329"/>
      <c r="H131" s="1329"/>
      <c r="I131" s="1329"/>
      <c r="J131" s="1329"/>
      <c r="K131" s="1329"/>
      <c r="L131" s="1329"/>
    </row>
    <row r="132" spans="1:27" ht="12.75" hidden="1" customHeight="1">
      <c r="B132" s="1387" t="s">
        <v>773</v>
      </c>
      <c r="C132" s="1329"/>
      <c r="D132" s="1329"/>
      <c r="E132" s="1329"/>
      <c r="F132" s="1329"/>
      <c r="G132" s="1329"/>
      <c r="H132" s="1329"/>
      <c r="I132" s="1329"/>
      <c r="J132" s="1329"/>
      <c r="K132" s="1329"/>
      <c r="L132" s="1329"/>
    </row>
    <row r="133" spans="1:27" ht="12.75" hidden="1" customHeight="1">
      <c r="B133" s="1328" t="s">
        <v>810</v>
      </c>
      <c r="C133" s="1330"/>
      <c r="D133" s="1330"/>
      <c r="E133" s="1330"/>
      <c r="F133" s="1330"/>
      <c r="G133" s="1330"/>
      <c r="H133" s="1330"/>
      <c r="I133" s="1330"/>
      <c r="J133" s="1330"/>
      <c r="K133" s="1330"/>
      <c r="L133" s="1330"/>
    </row>
    <row r="134" spans="1:27" ht="12.75" hidden="1" customHeight="1">
      <c r="B134" s="1328" t="s">
        <v>775</v>
      </c>
      <c r="C134" s="1330"/>
      <c r="D134" s="1330"/>
      <c r="E134" s="1330"/>
      <c r="F134" s="1330"/>
      <c r="G134" s="1330"/>
      <c r="H134" s="1330"/>
      <c r="I134" s="1330"/>
      <c r="J134" s="1330"/>
      <c r="K134" s="1330"/>
      <c r="L134" s="1330"/>
    </row>
    <row r="135" spans="1:27" ht="12.75" hidden="1" customHeight="1">
      <c r="B135" s="1328" t="s">
        <v>811</v>
      </c>
      <c r="C135" s="1330"/>
      <c r="D135" s="1330"/>
      <c r="E135" s="1330"/>
      <c r="F135" s="1330"/>
      <c r="G135" s="1330"/>
      <c r="H135" s="1330"/>
      <c r="I135" s="1330"/>
      <c r="J135" s="1330"/>
      <c r="K135" s="1330"/>
      <c r="L135" s="1330"/>
    </row>
    <row r="136" spans="1:27" ht="12.75" hidden="1" customHeight="1">
      <c r="B136" s="1328" t="s">
        <v>778</v>
      </c>
      <c r="C136" s="1330"/>
      <c r="D136" s="1330"/>
      <c r="E136" s="1330"/>
      <c r="F136" s="1330"/>
      <c r="G136" s="1330"/>
      <c r="H136" s="1330"/>
      <c r="I136" s="1330"/>
      <c r="J136" s="1330"/>
      <c r="K136" s="1330"/>
      <c r="L136" s="1330"/>
    </row>
    <row r="137" spans="1:27" ht="12.75" hidden="1" customHeight="1">
      <c r="B137" s="1387" t="s">
        <v>783</v>
      </c>
      <c r="C137" s="1330"/>
      <c r="D137" s="1330"/>
      <c r="E137" s="1330"/>
      <c r="F137" s="1330"/>
      <c r="G137" s="1330"/>
      <c r="H137" s="1330"/>
      <c r="I137" s="1330"/>
      <c r="J137" s="1330"/>
      <c r="K137" s="1330"/>
      <c r="L137" s="1330"/>
    </row>
    <row r="138" spans="1:27" ht="12.75" hidden="1" customHeight="1">
      <c r="B138" s="1387" t="s">
        <v>812</v>
      </c>
      <c r="C138" s="1330"/>
      <c r="D138" s="1330"/>
      <c r="E138" s="1330"/>
      <c r="F138" s="1330"/>
      <c r="G138" s="1330"/>
      <c r="H138" s="1330"/>
      <c r="I138" s="1330"/>
      <c r="J138" s="1330"/>
      <c r="K138" s="1330"/>
      <c r="L138" s="1330"/>
    </row>
    <row r="139" spans="1:27" ht="12.75" hidden="1" customHeight="1">
      <c r="B139" s="1389"/>
      <c r="C139" s="1330"/>
      <c r="D139" s="1330"/>
      <c r="E139" s="1330"/>
      <c r="F139" s="1330"/>
      <c r="G139" s="1330"/>
      <c r="H139" s="1330"/>
      <c r="I139" s="1330"/>
      <c r="J139" s="1330"/>
      <c r="K139" s="1330"/>
      <c r="L139" s="1330"/>
    </row>
    <row r="140" spans="1:27" ht="12.75" hidden="1" customHeight="1">
      <c r="B140" s="1328"/>
      <c r="C140" s="1294"/>
      <c r="D140" s="1294"/>
      <c r="E140" s="1294"/>
      <c r="F140" s="1294"/>
      <c r="G140" s="1294"/>
      <c r="H140" s="1294"/>
      <c r="I140" s="1294"/>
      <c r="J140" s="1294"/>
      <c r="K140" s="1294"/>
      <c r="L140" s="1294"/>
    </row>
    <row r="141" spans="1:27" ht="12.75" hidden="1" customHeight="1">
      <c r="B141" s="1290"/>
      <c r="C141" s="1290"/>
      <c r="D141" s="1290"/>
      <c r="E141" s="1290"/>
      <c r="F141" s="1290"/>
      <c r="G141" s="1290"/>
      <c r="H141" s="1290"/>
      <c r="I141" s="1290"/>
      <c r="J141" s="1290"/>
      <c r="K141" s="1290"/>
      <c r="L141" s="1290"/>
    </row>
    <row r="142" spans="1:27" ht="12.75" hidden="1" customHeight="1">
      <c r="B142" s="1324" t="s">
        <v>785</v>
      </c>
      <c r="C142" s="1335"/>
      <c r="D142" s="1335"/>
      <c r="E142" s="1335"/>
      <c r="F142" s="1335"/>
      <c r="G142" s="1335"/>
      <c r="H142" s="1335"/>
      <c r="I142" s="1335"/>
      <c r="J142" s="1335"/>
      <c r="K142" s="1335"/>
      <c r="L142" s="1335"/>
    </row>
    <row r="143" spans="1:27" ht="12.75" hidden="1" customHeight="1">
      <c r="B143" s="1326"/>
      <c r="C143" s="1336"/>
      <c r="D143" s="1336"/>
      <c r="E143" s="1336"/>
      <c r="F143" s="1336"/>
      <c r="G143" s="1336"/>
      <c r="H143" s="1336"/>
      <c r="I143" s="1336"/>
      <c r="J143" s="1336"/>
      <c r="K143" s="1336"/>
      <c r="L143" s="1336"/>
    </row>
    <row r="144" spans="1:27" s="1374" customFormat="1" ht="12.75" hidden="1" customHeight="1" collapsed="1">
      <c r="A144" s="1349"/>
      <c r="B144" s="1387" t="s">
        <v>786</v>
      </c>
      <c r="C144" s="1336"/>
      <c r="D144" s="1336"/>
      <c r="E144" s="1336"/>
      <c r="F144" s="1336"/>
      <c r="G144" s="1336"/>
      <c r="H144" s="1336"/>
      <c r="I144" s="1336"/>
      <c r="J144" s="1336"/>
      <c r="K144" s="1336"/>
      <c r="L144" s="1336"/>
      <c r="O144" s="1349"/>
      <c r="P144" s="1349"/>
      <c r="Q144" s="1349"/>
      <c r="R144" s="1375"/>
      <c r="S144" s="1375"/>
      <c r="T144" s="1375"/>
      <c r="U144" s="1375"/>
      <c r="V144" s="1375"/>
      <c r="W144" s="1375"/>
      <c r="X144" s="1375"/>
      <c r="Y144" s="1375"/>
      <c r="Z144" s="1375"/>
      <c r="AA144" s="1376"/>
    </row>
    <row r="145" spans="2:28" ht="12.75" hidden="1" customHeight="1">
      <c r="B145" s="1387" t="s">
        <v>787</v>
      </c>
      <c r="C145" s="1336"/>
      <c r="D145" s="1336"/>
      <c r="E145" s="1336"/>
      <c r="F145" s="1336"/>
      <c r="G145" s="1336"/>
      <c r="H145" s="1336"/>
      <c r="I145" s="1336"/>
      <c r="J145" s="1336"/>
      <c r="K145" s="1336"/>
      <c r="L145" s="1336"/>
    </row>
    <row r="146" spans="2:28" ht="12.75" hidden="1" customHeight="1">
      <c r="B146" s="1387" t="s">
        <v>788</v>
      </c>
      <c r="C146" s="1329"/>
      <c r="D146" s="1329"/>
      <c r="E146" s="1329"/>
      <c r="F146" s="1329"/>
      <c r="G146" s="1329"/>
      <c r="H146" s="1329"/>
      <c r="I146" s="1329"/>
      <c r="J146" s="1329"/>
      <c r="K146" s="1329"/>
      <c r="L146" s="1329"/>
    </row>
    <row r="147" spans="2:28" ht="12.75" hidden="1" customHeight="1">
      <c r="B147" s="1387" t="s">
        <v>789</v>
      </c>
      <c r="C147" s="1329"/>
      <c r="D147" s="1329"/>
      <c r="E147" s="1329"/>
      <c r="F147" s="1329"/>
      <c r="G147" s="1329"/>
      <c r="H147" s="1329"/>
      <c r="I147" s="1329"/>
      <c r="J147" s="1329"/>
      <c r="K147" s="1329"/>
      <c r="L147" s="1329"/>
    </row>
    <row r="148" spans="2:28" ht="12.75" hidden="1" customHeight="1">
      <c r="B148" s="1387" t="s">
        <v>790</v>
      </c>
      <c r="C148" s="1329"/>
      <c r="D148" s="1329"/>
      <c r="E148" s="1329"/>
      <c r="F148" s="1329"/>
      <c r="G148" s="1329"/>
      <c r="H148" s="1329"/>
      <c r="I148" s="1329"/>
      <c r="J148" s="1329"/>
      <c r="K148" s="1329"/>
      <c r="L148" s="1329"/>
    </row>
    <row r="149" spans="2:28" ht="12.75" hidden="1" customHeight="1">
      <c r="B149" s="1387" t="s">
        <v>813</v>
      </c>
      <c r="C149" s="1329"/>
      <c r="D149" s="1329"/>
      <c r="E149" s="1329"/>
      <c r="F149" s="1329"/>
      <c r="G149" s="1329"/>
      <c r="H149" s="1329"/>
      <c r="I149" s="1329"/>
      <c r="J149" s="1329"/>
      <c r="K149" s="1329"/>
      <c r="L149" s="1329"/>
    </row>
    <row r="150" spans="2:28" ht="12.75" hidden="1" customHeight="1">
      <c r="B150" s="1290"/>
      <c r="C150" s="1290"/>
      <c r="D150" s="1290"/>
      <c r="E150" s="1290"/>
      <c r="F150" s="1290"/>
      <c r="G150" s="1290"/>
      <c r="H150" s="1290"/>
      <c r="I150" s="1290"/>
      <c r="J150" s="1290"/>
      <c r="K150" s="1290"/>
      <c r="L150" s="1290"/>
    </row>
    <row r="151" spans="2:28" ht="12.75" hidden="1" customHeight="1">
      <c r="B151" s="1290"/>
      <c r="C151" s="1290"/>
      <c r="D151" s="1290"/>
      <c r="E151" s="1290"/>
      <c r="F151" s="1290"/>
      <c r="G151" s="1290"/>
      <c r="H151" s="1290"/>
      <c r="I151" s="1290"/>
      <c r="J151" s="1290"/>
      <c r="K151" s="1290"/>
      <c r="L151" s="1290"/>
    </row>
    <row r="152" spans="2:28" ht="12.75" hidden="1" customHeight="1"/>
    <row r="153" spans="2:28" ht="12.75" customHeight="1">
      <c r="B153" s="1337" t="s">
        <v>814</v>
      </c>
      <c r="C153" s="1338"/>
      <c r="D153" s="1338"/>
      <c r="E153" s="1338"/>
      <c r="F153" s="1338"/>
      <c r="G153" s="1338"/>
      <c r="H153" s="1338"/>
      <c r="I153" s="1338"/>
      <c r="J153" s="1338"/>
      <c r="K153" s="1338"/>
      <c r="L153" s="1338"/>
      <c r="M153" s="1295"/>
    </row>
    <row r="154" spans="2:28" ht="12.75" customHeight="1">
      <c r="B154" s="1384"/>
      <c r="C154" s="1338"/>
      <c r="D154" s="1338"/>
      <c r="E154" s="1338"/>
      <c r="F154" s="1338"/>
      <c r="G154" s="1338"/>
      <c r="H154" s="1338"/>
      <c r="I154" s="1338"/>
      <c r="J154" s="1338"/>
      <c r="K154" s="1338"/>
      <c r="L154" s="1338"/>
      <c r="M154" s="1295"/>
    </row>
    <row r="155" spans="2:28" ht="12.75">
      <c r="B155" s="1390" t="s">
        <v>815</v>
      </c>
      <c r="C155" s="1295"/>
      <c r="D155" s="1295"/>
      <c r="E155" s="1295"/>
      <c r="F155" s="1295"/>
      <c r="G155" s="1295"/>
      <c r="H155" s="1295"/>
      <c r="I155" s="1295"/>
      <c r="J155" s="1295"/>
      <c r="K155" s="1295"/>
      <c r="L155" s="1295"/>
      <c r="M155" s="1295"/>
    </row>
    <row r="156" spans="2:28" ht="12.75" customHeight="1">
      <c r="B156" s="1391" t="s">
        <v>816</v>
      </c>
      <c r="C156" s="1392">
        <f t="shared" ref="C156:L156" si="25">IF(ISNUMBER(ABS(((C42-C94-C95)/C85)-C36)),ABS(((C42-C94-C95)/C85)-C36),0)</f>
        <v>1.7347234759768071E-17</v>
      </c>
      <c r="D156" s="1392">
        <f t="shared" si="25"/>
        <v>1.214306433183765E-17</v>
      </c>
      <c r="E156" s="1392">
        <f t="shared" si="25"/>
        <v>2.7755575615628914E-17</v>
      </c>
      <c r="F156" s="1392">
        <f t="shared" si="25"/>
        <v>1.3877787807814457E-17</v>
      </c>
      <c r="G156" s="1392">
        <f t="shared" si="25"/>
        <v>4.5102810375396984E-17</v>
      </c>
      <c r="H156" s="1392">
        <f t="shared" si="25"/>
        <v>6.9388939039072284E-18</v>
      </c>
      <c r="I156" s="1392">
        <f t="shared" si="25"/>
        <v>2.7755575615628914E-17</v>
      </c>
      <c r="J156" s="1392">
        <f t="shared" si="25"/>
        <v>6.9388939039072284E-18</v>
      </c>
      <c r="K156" s="1392">
        <f t="shared" si="25"/>
        <v>4.163336342344337E-17</v>
      </c>
      <c r="L156" s="1392">
        <f t="shared" si="25"/>
        <v>0</v>
      </c>
      <c r="M156" s="1379">
        <f>SUM(C156:L156)</f>
        <v>1.9949319973733282E-16</v>
      </c>
    </row>
    <row r="157" spans="2:28" ht="12.75" customHeight="1">
      <c r="B157" s="1391"/>
      <c r="C157" s="1380"/>
      <c r="D157" s="1380"/>
      <c r="E157" s="1380"/>
      <c r="F157" s="1380"/>
      <c r="G157" s="1380"/>
      <c r="H157" s="1380"/>
      <c r="I157" s="1380"/>
      <c r="J157" s="1380"/>
      <c r="K157" s="1380"/>
      <c r="L157" s="1380"/>
      <c r="M157" s="1380"/>
    </row>
    <row r="158" spans="2:28" s="1290" customFormat="1">
      <c r="M158" s="1295"/>
      <c r="N158" s="1295"/>
      <c r="R158" s="1289"/>
      <c r="S158" s="1289"/>
      <c r="T158" s="1289"/>
      <c r="U158" s="1289"/>
      <c r="V158" s="1289"/>
      <c r="W158" s="1289"/>
      <c r="X158" s="1289"/>
      <c r="Y158" s="1289"/>
      <c r="Z158" s="1289"/>
      <c r="AA158" s="1295"/>
      <c r="AB158" s="1278"/>
    </row>
    <row r="159" spans="2:28">
      <c r="B159" s="1384"/>
      <c r="C159" s="1338"/>
      <c r="D159" s="1338"/>
      <c r="E159" s="1338"/>
      <c r="F159" s="1338"/>
      <c r="G159" s="1338"/>
      <c r="H159" s="1338"/>
      <c r="I159" s="1338"/>
      <c r="J159" s="1338"/>
      <c r="K159" s="1338"/>
      <c r="L159" s="1338"/>
      <c r="M159" s="1295"/>
      <c r="N159" s="1295"/>
    </row>
    <row r="160" spans="2:28">
      <c r="B160" s="1384"/>
      <c r="C160" s="1338"/>
      <c r="D160" s="1338"/>
      <c r="E160" s="1338"/>
      <c r="F160" s="1338"/>
      <c r="G160" s="1338"/>
      <c r="H160" s="1338"/>
      <c r="I160" s="1338"/>
      <c r="J160" s="1338"/>
      <c r="K160" s="1338"/>
      <c r="L160" s="1338"/>
      <c r="M160" s="1295"/>
      <c r="N160" s="1295"/>
    </row>
    <row r="161" spans="14:14">
      <c r="N161" s="1295"/>
    </row>
    <row r="162" spans="14:14">
      <c r="N162" s="1295"/>
    </row>
    <row r="163" spans="14:14">
      <c r="N163" s="1295"/>
    </row>
    <row r="164" spans="14:14">
      <c r="N164" s="1295"/>
    </row>
    <row r="165" spans="14:14">
      <c r="N165" s="1295"/>
    </row>
    <row r="184" spans="2:12" ht="12.75">
      <c r="B184" s="1297"/>
    </row>
    <row r="185" spans="2:12" ht="12.75">
      <c r="B185" s="1297"/>
    </row>
    <row r="187" spans="2:12" ht="12.75">
      <c r="B187" s="1297" t="s">
        <v>817</v>
      </c>
      <c r="C187" s="1339">
        <f>((-(-IS!K52+IS!K50)))</f>
        <v>-8.2479999999999993</v>
      </c>
      <c r="D187" s="1339">
        <f>((-(-IS!L52+IS!L50)))</f>
        <v>-11.927</v>
      </c>
      <c r="E187" s="1339">
        <f>((-(-IS!M52+IS!M50)))</f>
        <v>-54.26400000000001</v>
      </c>
      <c r="F187" s="1339">
        <f>((-(-IS!N52+IS!N50)))</f>
        <v>-71.847999999999999</v>
      </c>
      <c r="G187" s="1339">
        <f>((-(-IS!O52+IS!O50)))</f>
        <v>-138.96000000000004</v>
      </c>
      <c r="H187" s="1339">
        <f>((-(-IS!P52+IS!P50)))</f>
        <v>-179.023</v>
      </c>
      <c r="I187" s="1339">
        <f>((-(-IS!Q52+IS!Q50)))</f>
        <v>-196.86199999999997</v>
      </c>
      <c r="J187" s="1339">
        <f>((-(-IS!R52+IS!R50)))</f>
        <v>-245.40499999999997</v>
      </c>
      <c r="K187" s="1339">
        <f>((-(-IS!S52+IS!S50)))</f>
        <v>-267.66199999999998</v>
      </c>
      <c r="L187" s="1339">
        <f>((-(-IS!T52+IS!T50)))</f>
        <v>-295.47399999999993</v>
      </c>
    </row>
    <row r="188" spans="2:12" ht="12.75">
      <c r="B188" s="1297" t="s">
        <v>818</v>
      </c>
      <c r="C188" s="1339">
        <f>((((-(-IS!K52+IS!K50))))*IS!K59)</f>
        <v>-2.8867999999999996</v>
      </c>
      <c r="D188" s="1339">
        <f>((((-(-IS!L52+IS!L50))))*IS!L59)</f>
        <v>-4.1744499999999993</v>
      </c>
      <c r="E188" s="1339">
        <f>((((-(-IS!M52+IS!M50))))*IS!M59)</f>
        <v>-18.992400000000004</v>
      </c>
      <c r="F188" s="1339">
        <f>((((-(-IS!N52+IS!N50))))*IS!N59)</f>
        <v>-25.146799999999999</v>
      </c>
      <c r="G188" s="1339">
        <f>((((-(-IS!O52+IS!O50))))*IS!O59)</f>
        <v>-48.63600000000001</v>
      </c>
      <c r="H188" s="1339">
        <f>((((-(-IS!P52+IS!P50))))*IS!P59)</f>
        <v>-62.658049999999996</v>
      </c>
      <c r="I188" s="1339">
        <f>((((-(-IS!Q52+IS!Q50))))*IS!Q59)</f>
        <v>-68.901699999999977</v>
      </c>
      <c r="J188" s="1339">
        <f>((((-(-IS!R52+IS!R50))))*IS!R59)</f>
        <v>-85.891749999999988</v>
      </c>
      <c r="K188" s="1339">
        <f>((((-(-IS!S52+IS!S50))))*IS!S59)</f>
        <v>-93.681699999999992</v>
      </c>
      <c r="L188" s="1339">
        <f>((((-(-IS!T52+IS!T50))))*IS!T59)</f>
        <v>-103.41589999999997</v>
      </c>
    </row>
    <row r="189" spans="2:12" ht="12.75">
      <c r="B189" s="1297"/>
      <c r="C189" s="1339"/>
      <c r="D189" s="1339"/>
      <c r="E189" s="1339"/>
      <c r="F189" s="1339"/>
      <c r="G189" s="1339"/>
      <c r="H189" s="1339"/>
      <c r="I189" s="1339"/>
      <c r="J189" s="1339"/>
      <c r="K189" s="1339"/>
      <c r="L189" s="1339"/>
    </row>
    <row r="190" spans="2:12" ht="12.75">
      <c r="B190" s="1297" t="s">
        <v>820</v>
      </c>
      <c r="C190" s="1339">
        <f>((-IS!K26+-IS!K27+-IS!K28+-IS!K29+-IS!K30+IS!K51+-IS!K53))</f>
        <v>-23.825999999999997</v>
      </c>
      <c r="D190" s="1339">
        <f>((-IS!L26+-IS!L27+-IS!L28+-IS!L29+-IS!L30+IS!L51+-IS!L53))</f>
        <v>-44.703000000000003</v>
      </c>
      <c r="E190" s="1339">
        <f>((-IS!M26+-IS!M27+-IS!M28+-IS!M29+-IS!M30+IS!M51+-IS!M53))</f>
        <v>-56.92</v>
      </c>
      <c r="F190" s="1339">
        <f>((-IS!N26+-IS!N27+-IS!N28+-IS!N29+-IS!N30+IS!N51+-IS!N53))</f>
        <v>-52.361000000000004</v>
      </c>
      <c r="G190" s="1339">
        <f>((-IS!O26+-IS!O27+-IS!O28+-IS!O29+-IS!O30+IS!O51+-IS!O53))</f>
        <v>-92.184999999999988</v>
      </c>
      <c r="H190" s="1339">
        <f>((-IS!P26+-IS!P27+-IS!P28+-IS!P29+-IS!P30+IS!P51+-IS!P53))</f>
        <v>-75.331000000000003</v>
      </c>
      <c r="I190" s="1339">
        <f>((-IS!Q26+-IS!Q27+-IS!Q28+-IS!Q29+-IS!Q30+IS!Q51+-IS!Q53))</f>
        <v>-108.83</v>
      </c>
      <c r="J190" s="1339">
        <f>((-IS!R26+-IS!R27+-IS!R28+-IS!R29+-IS!R30+IS!R51+-IS!R53))</f>
        <v>-212.20600000000002</v>
      </c>
      <c r="K190" s="1339">
        <f>((-IS!S26+-IS!S27+-IS!S28+-IS!S29+-IS!S30+IS!S51+-IS!S53))</f>
        <v>-277.36700000000002</v>
      </c>
      <c r="L190" s="1339">
        <f>((-IS!T26+-IS!T27+-IS!T28+-IS!T29+-IS!T30+IS!T51+-IS!T53))</f>
        <v>-236.22599999999997</v>
      </c>
    </row>
    <row r="191" spans="2:12" ht="12.75">
      <c r="B191" s="1297" t="s">
        <v>821</v>
      </c>
      <c r="C191" s="1339">
        <f t="shared" ref="C191:L191" si="26">C192-C193-C194</f>
        <v>-5.6832000000000225</v>
      </c>
      <c r="D191" s="1339">
        <f t="shared" si="26"/>
        <v>-13.522800000000007</v>
      </c>
      <c r="E191" s="1339">
        <f t="shared" si="26"/>
        <v>-114.64774999999997</v>
      </c>
      <c r="F191" s="1339">
        <f t="shared" si="26"/>
        <v>-16.889150000000065</v>
      </c>
      <c r="G191" s="1339">
        <f t="shared" si="26"/>
        <v>-36.160599999999974</v>
      </c>
      <c r="H191" s="1339">
        <f t="shared" si="26"/>
        <v>-32.707400000000014</v>
      </c>
      <c r="I191" s="1339">
        <f t="shared" si="26"/>
        <v>-45.544200000000046</v>
      </c>
      <c r="J191" s="1339">
        <f t="shared" si="26"/>
        <v>-97.413750000000036</v>
      </c>
      <c r="K191" s="1339">
        <f t="shared" si="26"/>
        <v>218.7240000000001</v>
      </c>
      <c r="L191" s="1339">
        <f t="shared" si="26"/>
        <v>-133.30440000000016</v>
      </c>
    </row>
    <row r="192" spans="2:12" ht="12.75">
      <c r="B192" s="1300" t="s">
        <v>822</v>
      </c>
      <c r="C192" s="1339">
        <f>(-IS!K57)</f>
        <v>0.439</v>
      </c>
      <c r="D192" s="1339">
        <f>(-IS!L57)</f>
        <v>0.47299999999999992</v>
      </c>
      <c r="E192" s="1339">
        <f>(-IS!M57)</f>
        <v>-87.619</v>
      </c>
      <c r="F192" s="1339">
        <f>(-IS!N57)</f>
        <v>39.597000000000001</v>
      </c>
      <c r="G192" s="1339">
        <f>(-IS!O57)</f>
        <v>12.999000000000001</v>
      </c>
      <c r="H192" s="1339">
        <f>(-IS!P57)</f>
        <v>38.350999999999999</v>
      </c>
      <c r="I192" s="1339">
        <f>(-IS!Q57)</f>
        <v>58.564</v>
      </c>
      <c r="J192" s="1339">
        <f>(-IS!R57)</f>
        <v>16.156000000000002</v>
      </c>
      <c r="K192" s="1339">
        <f>(-IS!S57)</f>
        <v>345.459</v>
      </c>
      <c r="L192" s="1339">
        <f>(-IS!T57)</f>
        <v>23.224</v>
      </c>
    </row>
    <row r="193" spans="1:28" ht="12.75">
      <c r="B193" s="1300" t="s">
        <v>823</v>
      </c>
      <c r="C193" s="1339">
        <f>((((IS!K15)-(IS!K18+IS!K24+IS!K45)))*IS!K59)</f>
        <v>9.0090000000000217</v>
      </c>
      <c r="D193" s="1339">
        <f>((((IS!L15)-(IS!L18+IS!L24+IS!L45)))*IS!L59)</f>
        <v>18.170250000000006</v>
      </c>
      <c r="E193" s="1339">
        <f>((((IS!M15)-(IS!M18+IS!M24+IS!M45)))*IS!M59)</f>
        <v>46.02114999999997</v>
      </c>
      <c r="F193" s="1339">
        <f>((((IS!N15)-(IS!N18+IS!N24+IS!N45)))*IS!N59)</f>
        <v>81.632950000000065</v>
      </c>
      <c r="G193" s="1339">
        <f>((((IS!O15)-(IS!O18+IS!O24+IS!O45)))*IS!O59)</f>
        <v>97.795599999999979</v>
      </c>
      <c r="H193" s="1339">
        <f>((((IS!P15)-(IS!P18+IS!P24+IS!P45)))*IS!P59)</f>
        <v>133.71645000000001</v>
      </c>
      <c r="I193" s="1339">
        <f>((((IS!Q15)-(IS!Q18+IS!Q24+IS!Q45)))*IS!Q59)</f>
        <v>173.00990000000002</v>
      </c>
      <c r="J193" s="1339">
        <f>((((IS!R15)-(IS!R18+IS!R24+IS!R45)))*IS!R59)</f>
        <v>199.46150000000003</v>
      </c>
      <c r="K193" s="1339">
        <f>((((IS!S15)-(IS!S18+IS!S24+IS!S45)))*IS!S59)</f>
        <v>220.41669999999988</v>
      </c>
      <c r="L193" s="1339">
        <f>((((IS!T15)-(IS!T18+IS!T24+IS!T45)))*IS!T59)</f>
        <v>259.94430000000011</v>
      </c>
    </row>
    <row r="194" spans="1:28" ht="12.75">
      <c r="B194" s="1300" t="s">
        <v>824</v>
      </c>
      <c r="C194" s="1339">
        <f>((((-(-IS!K52+IS!K50))))*IS!K59)</f>
        <v>-2.8867999999999996</v>
      </c>
      <c r="D194" s="1339">
        <f>((((-(-IS!L52+IS!L50))))*IS!L59)</f>
        <v>-4.1744499999999993</v>
      </c>
      <c r="E194" s="1339">
        <f>((((-(-IS!M52+IS!M50))))*IS!M59)</f>
        <v>-18.992400000000004</v>
      </c>
      <c r="F194" s="1339">
        <f>((((-(-IS!N52+IS!N50))))*IS!N59)</f>
        <v>-25.146799999999999</v>
      </c>
      <c r="G194" s="1339">
        <f>((((-(-IS!O52+IS!O50))))*IS!O59)</f>
        <v>-48.63600000000001</v>
      </c>
      <c r="H194" s="1339">
        <f>((((-(-IS!P52+IS!P50))))*IS!P59)</f>
        <v>-62.658049999999996</v>
      </c>
      <c r="I194" s="1339">
        <f>((((-(-IS!Q52+IS!Q50))))*IS!Q59)</f>
        <v>-68.901699999999977</v>
      </c>
      <c r="J194" s="1339">
        <f>((((-(-IS!R52+IS!R50))))*IS!R59)</f>
        <v>-85.891749999999988</v>
      </c>
      <c r="K194" s="1339">
        <f>((((-(-IS!S52+IS!S50))))*IS!S59)</f>
        <v>-93.681699999999992</v>
      </c>
      <c r="L194" s="1339">
        <f>((((-(-IS!T52+IS!T50))))*IS!T59)</f>
        <v>-103.41589999999997</v>
      </c>
    </row>
    <row r="195" spans="1:28">
      <c r="B195" s="1340"/>
    </row>
    <row r="196" spans="1:28" s="1295" customFormat="1">
      <c r="O196" s="1290"/>
      <c r="P196" s="1290"/>
      <c r="Q196" s="1290"/>
      <c r="R196" s="1289"/>
      <c r="S196" s="1289"/>
      <c r="T196" s="1289"/>
      <c r="U196" s="1289"/>
      <c r="V196" s="1289"/>
      <c r="W196" s="1289"/>
      <c r="X196" s="1289"/>
      <c r="Y196" s="1289"/>
      <c r="Z196" s="1289"/>
      <c r="AB196" s="1278"/>
    </row>
    <row r="197" spans="1:28" s="1290" customFormat="1" ht="12.75">
      <c r="B197" s="1393" t="str">
        <f t="shared" ref="B197:L197" si="27">B36</f>
        <v>ROE</v>
      </c>
      <c r="C197" s="1394">
        <f t="shared" si="27"/>
        <v>-2.3462533731938677E-2</v>
      </c>
      <c r="D197" s="1394">
        <f t="shared" si="27"/>
        <v>-1.4612931937762599E-2</v>
      </c>
      <c r="E197" s="1394">
        <f t="shared" si="27"/>
        <v>0.1325144395112175</v>
      </c>
      <c r="F197" s="1394">
        <f t="shared" si="27"/>
        <v>7.5743377322696384E-2</v>
      </c>
      <c r="G197" s="1394">
        <f t="shared" si="27"/>
        <v>2.9828758637544785E-2</v>
      </c>
      <c r="H197" s="1394">
        <f t="shared" si="27"/>
        <v>4.776855173741254E-2</v>
      </c>
      <c r="I197" s="1394">
        <f t="shared" si="27"/>
        <v>6.7502388778424738E-2</v>
      </c>
      <c r="J197" s="1394">
        <f t="shared" si="27"/>
        <v>4.1549795304915982E-2</v>
      </c>
      <c r="K197" s="1394">
        <f t="shared" si="27"/>
        <v>-0.10602652065989342</v>
      </c>
      <c r="L197" s="1394">
        <f t="shared" si="27"/>
        <v>8.2715050364935094E-2</v>
      </c>
      <c r="R197" s="1289"/>
      <c r="S197" s="1289"/>
      <c r="T197" s="1289"/>
      <c r="U197" s="1289"/>
      <c r="V197" s="1289"/>
      <c r="W197" s="1289"/>
      <c r="X197" s="1289"/>
      <c r="Y197" s="1289"/>
      <c r="Z197" s="1289"/>
    </row>
    <row r="198" spans="1:28" s="1290" customFormat="1" ht="12.75">
      <c r="B198" s="1393" t="str">
        <f t="shared" ref="B198:L198" si="28">B38</f>
        <v>RNOA (%)</v>
      </c>
      <c r="C198" s="1394">
        <f t="shared" si="28"/>
        <v>4.5317146896787196E-2</v>
      </c>
      <c r="D198" s="1394">
        <f t="shared" si="28"/>
        <v>7.0983895192538324E-2</v>
      </c>
      <c r="E198" s="1394">
        <f t="shared" si="28"/>
        <v>5.6401652959098977E-2</v>
      </c>
      <c r="F198" s="1394">
        <f t="shared" si="28"/>
        <v>8.3647951948956328E-2</v>
      </c>
      <c r="G198" s="1394">
        <f t="shared" si="28"/>
        <v>8.8033406282339285E-2</v>
      </c>
      <c r="H198" s="1394">
        <f t="shared" si="28"/>
        <v>7.4433789802416564E-2</v>
      </c>
      <c r="I198" s="1394">
        <f t="shared" si="28"/>
        <v>7.9479606926041155E-2</v>
      </c>
      <c r="J198" s="1394">
        <f t="shared" si="28"/>
        <v>7.6190978645542182E-2</v>
      </c>
      <c r="K198" s="1394">
        <f t="shared" si="28"/>
        <v>7.1669990352847643E-2</v>
      </c>
      <c r="L198" s="1394">
        <f t="shared" si="28"/>
        <v>8.3107460091940019E-2</v>
      </c>
      <c r="R198" s="1289"/>
      <c r="S198" s="1289"/>
      <c r="T198" s="1289"/>
      <c r="U198" s="1289"/>
      <c r="V198" s="1289"/>
      <c r="W198" s="1289"/>
      <c r="X198" s="1289"/>
      <c r="Y198" s="1289"/>
      <c r="Z198" s="1289"/>
    </row>
    <row r="199" spans="1:28" s="1290" customFormat="1" ht="12.75">
      <c r="B199" s="1393" t="str">
        <f t="shared" ref="B199:L199" si="29">B69</f>
        <v>Leverage Effect (%)</v>
      </c>
      <c r="C199" s="1394">
        <f t="shared" si="29"/>
        <v>-6.8779680628725873E-2</v>
      </c>
      <c r="D199" s="1394">
        <f t="shared" si="29"/>
        <v>-8.5596827130300923E-2</v>
      </c>
      <c r="E199" s="1394">
        <f t="shared" si="29"/>
        <v>7.6112786552118505E-2</v>
      </c>
      <c r="F199" s="1394">
        <f t="shared" si="29"/>
        <v>-7.9045746262599494E-3</v>
      </c>
      <c r="G199" s="1394">
        <f t="shared" si="29"/>
        <v>-5.8204647644794501E-2</v>
      </c>
      <c r="H199" s="1394">
        <f t="shared" si="29"/>
        <v>-2.666523806500402E-2</v>
      </c>
      <c r="I199" s="1394">
        <f t="shared" si="29"/>
        <v>-1.197721814761641E-2</v>
      </c>
      <c r="J199" s="1394">
        <f t="shared" si="29"/>
        <v>-3.46411833406262E-2</v>
      </c>
      <c r="K199" s="1394">
        <f t="shared" si="29"/>
        <v>-0.17769651101274106</v>
      </c>
      <c r="L199" s="1394">
        <f t="shared" si="29"/>
        <v>-3.9240972700492016E-4</v>
      </c>
      <c r="R199" s="1289"/>
      <c r="S199" s="1289"/>
      <c r="T199" s="1289"/>
      <c r="U199" s="1289"/>
      <c r="V199" s="1289"/>
      <c r="W199" s="1289"/>
      <c r="X199" s="1289"/>
      <c r="Y199" s="1289"/>
      <c r="Z199" s="1289"/>
    </row>
    <row r="200" spans="1:28" s="1290" customFormat="1" ht="12.75">
      <c r="B200" s="1395"/>
      <c r="C200" s="1394">
        <f t="shared" ref="C200:L200" si="30">IF(C199&lt;0,C197,C198)</f>
        <v>-2.3462533731938677E-2</v>
      </c>
      <c r="D200" s="1394">
        <f t="shared" si="30"/>
        <v>-1.4612931937762599E-2</v>
      </c>
      <c r="E200" s="1394">
        <f t="shared" si="30"/>
        <v>5.6401652959098977E-2</v>
      </c>
      <c r="F200" s="1394">
        <f t="shared" si="30"/>
        <v>7.5743377322696384E-2</v>
      </c>
      <c r="G200" s="1394">
        <f t="shared" si="30"/>
        <v>2.9828758637544785E-2</v>
      </c>
      <c r="H200" s="1394">
        <f t="shared" si="30"/>
        <v>4.776855173741254E-2</v>
      </c>
      <c r="I200" s="1394">
        <f t="shared" si="30"/>
        <v>6.7502388778424738E-2</v>
      </c>
      <c r="J200" s="1394">
        <f t="shared" si="30"/>
        <v>4.1549795304915982E-2</v>
      </c>
      <c r="K200" s="1394">
        <f t="shared" si="30"/>
        <v>-0.10602652065989342</v>
      </c>
      <c r="L200" s="1394">
        <f t="shared" si="30"/>
        <v>8.2715050364935094E-2</v>
      </c>
      <c r="R200" s="1289"/>
      <c r="S200" s="1289"/>
      <c r="T200" s="1289"/>
      <c r="U200" s="1289"/>
      <c r="V200" s="1289"/>
      <c r="W200" s="1289"/>
      <c r="X200" s="1289"/>
      <c r="Y200" s="1289"/>
      <c r="Z200" s="1289"/>
    </row>
    <row r="201" spans="1:28" s="1290" customFormat="1" ht="12.75">
      <c r="B201" s="1395"/>
      <c r="C201" s="1394">
        <f t="shared" ref="C201:L201" si="31">ABS(C199)</f>
        <v>6.8779680628725873E-2</v>
      </c>
      <c r="D201" s="1394">
        <f t="shared" si="31"/>
        <v>8.5596827130300923E-2</v>
      </c>
      <c r="E201" s="1394">
        <f t="shared" si="31"/>
        <v>7.6112786552118505E-2</v>
      </c>
      <c r="F201" s="1394">
        <f t="shared" si="31"/>
        <v>7.9045746262599494E-3</v>
      </c>
      <c r="G201" s="1394">
        <f t="shared" si="31"/>
        <v>5.8204647644794501E-2</v>
      </c>
      <c r="H201" s="1394">
        <f t="shared" si="31"/>
        <v>2.666523806500402E-2</v>
      </c>
      <c r="I201" s="1394">
        <f t="shared" si="31"/>
        <v>1.197721814761641E-2</v>
      </c>
      <c r="J201" s="1394">
        <f t="shared" si="31"/>
        <v>3.46411833406262E-2</v>
      </c>
      <c r="K201" s="1394">
        <f t="shared" si="31"/>
        <v>0.17769651101274106</v>
      </c>
      <c r="L201" s="1394">
        <f t="shared" si="31"/>
        <v>3.9240972700492016E-4</v>
      </c>
      <c r="R201" s="1289"/>
      <c r="S201" s="1289"/>
      <c r="T201" s="1289"/>
      <c r="U201" s="1289"/>
      <c r="V201" s="1289"/>
      <c r="W201" s="1289"/>
      <c r="X201" s="1289"/>
      <c r="Y201" s="1289"/>
      <c r="Z201" s="1289"/>
    </row>
    <row r="202" spans="1:28" s="1295" customFormat="1">
      <c r="O202" s="1290"/>
      <c r="P202" s="1290"/>
      <c r="Q202" s="1290"/>
      <c r="R202" s="1289"/>
      <c r="S202" s="1289"/>
      <c r="T202" s="1289"/>
      <c r="U202" s="1289"/>
      <c r="V202" s="1289"/>
      <c r="W202" s="1289"/>
      <c r="X202" s="1289"/>
      <c r="Y202" s="1289"/>
      <c r="Z202" s="1289"/>
      <c r="AB202" s="1278"/>
    </row>
    <row r="203" spans="1:28" s="1295" customFormat="1">
      <c r="O203" s="1290"/>
      <c r="P203" s="1290"/>
      <c r="Q203" s="1290"/>
      <c r="R203" s="1289"/>
      <c r="S203" s="1289"/>
      <c r="T203" s="1289"/>
      <c r="U203" s="1289"/>
      <c r="V203" s="1289"/>
      <c r="W203" s="1289"/>
      <c r="X203" s="1289"/>
      <c r="Y203" s="1289"/>
      <c r="Z203" s="1289"/>
      <c r="AB203" s="1278"/>
    </row>
    <row r="204" spans="1:28" ht="12.75">
      <c r="A204" s="1350"/>
      <c r="O204" s="1278"/>
      <c r="P204" s="1278"/>
      <c r="Q204" s="1278"/>
      <c r="R204" s="1337"/>
      <c r="S204" s="1337"/>
      <c r="T204" s="1337"/>
      <c r="U204" s="1337"/>
      <c r="V204" s="1337"/>
      <c r="W204" s="1337"/>
      <c r="X204" s="1337"/>
      <c r="Y204" s="1337"/>
      <c r="Z204" s="1337"/>
      <c r="AA204" s="1278"/>
    </row>
    <row r="205" spans="1:28" s="1323" customFormat="1" ht="12.75">
      <c r="B205" s="1320" t="s">
        <v>748</v>
      </c>
      <c r="C205" s="1321">
        <f t="shared" ref="C205:L205" si="32">IF($V$1=1,C36,C103)</f>
        <v>-2.3462533731938677E-2</v>
      </c>
      <c r="D205" s="1321">
        <f t="shared" si="32"/>
        <v>-1.4612931937762599E-2</v>
      </c>
      <c r="E205" s="1321">
        <f t="shared" si="32"/>
        <v>0.1325144395112175</v>
      </c>
      <c r="F205" s="1321">
        <f t="shared" si="32"/>
        <v>7.5743377322696384E-2</v>
      </c>
      <c r="G205" s="1321">
        <f t="shared" si="32"/>
        <v>2.9828758637544785E-2</v>
      </c>
      <c r="H205" s="1321">
        <f t="shared" si="32"/>
        <v>4.776855173741254E-2</v>
      </c>
      <c r="I205" s="1321">
        <f t="shared" si="32"/>
        <v>6.7502388778424738E-2</v>
      </c>
      <c r="J205" s="1321">
        <f t="shared" si="32"/>
        <v>4.1549795304915982E-2</v>
      </c>
      <c r="K205" s="1321">
        <f t="shared" si="32"/>
        <v>-0.10602652065989342</v>
      </c>
      <c r="L205" s="1321">
        <f t="shared" si="32"/>
        <v>8.2715050364935094E-2</v>
      </c>
      <c r="R205" s="1289"/>
      <c r="S205" s="1289"/>
      <c r="T205" s="1289"/>
      <c r="U205" s="1289"/>
      <c r="V205" s="1289"/>
      <c r="W205" s="1289"/>
      <c r="X205" s="1289"/>
      <c r="Y205" s="1289"/>
      <c r="Z205" s="1289"/>
    </row>
    <row r="206" spans="1:28" s="1323" customFormat="1" ht="12.75">
      <c r="C206" s="1323">
        <f>IF(C205&lt;&gt;0,0.0000000001,"")</f>
        <v>1E-10</v>
      </c>
      <c r="D206" s="1323">
        <f>IF(D205&lt;&gt;0,0.0000000001,"")</f>
        <v>1E-10</v>
      </c>
      <c r="E206" s="1323">
        <f>IF(E205&lt;&gt;0,0.0000000001,"")</f>
        <v>1E-10</v>
      </c>
      <c r="F206" s="1323">
        <f>IF(F205&lt;&gt;0,0.0000000001,"")</f>
        <v>1E-10</v>
      </c>
      <c r="G206" s="1323">
        <f>IF(G205&lt;&gt;0,0.0000000001,"")</f>
        <v>1E-10</v>
      </c>
      <c r="H206" s="1323">
        <f>IF(H205&lt;&gt;0,MAX($C$205:$L$205)*1.1,"")</f>
        <v>0.14576588346233926</v>
      </c>
      <c r="I206" s="1323">
        <f>IF(I205&lt;&gt;0,MAX($C$205:$L$205)*1.1,"")</f>
        <v>0.14576588346233926</v>
      </c>
      <c r="J206" s="1323">
        <f>IF(J205&lt;&gt;0,MAX($C$205:$L$205)*1.1,"")</f>
        <v>0.14576588346233926</v>
      </c>
      <c r="K206" s="1323">
        <f>IF(K205&lt;&gt;0,MAX($C$205:$L$205)*1.1,"")</f>
        <v>0.14576588346233926</v>
      </c>
      <c r="L206" s="1323">
        <f>IF(L205&lt;&gt;0,MAX($C$205:$L$205)*1.1,"")</f>
        <v>0.14576588346233926</v>
      </c>
      <c r="R206" s="1289"/>
      <c r="S206" s="1289"/>
      <c r="T206" s="1289"/>
      <c r="U206" s="1289"/>
      <c r="V206" s="1289"/>
      <c r="W206" s="1289"/>
      <c r="X206" s="1289"/>
      <c r="Y206" s="1289"/>
      <c r="Z206" s="1289"/>
    </row>
    <row r="207" spans="1:28" s="1323" customFormat="1" ht="12.75">
      <c r="A207" s="1351"/>
      <c r="C207" s="1323">
        <f>C206</f>
        <v>1E-10</v>
      </c>
      <c r="D207" s="1323">
        <f>D206</f>
        <v>1E-10</v>
      </c>
      <c r="E207" s="1323">
        <f>E206</f>
        <v>1E-10</v>
      </c>
      <c r="F207" s="1323">
        <f>F206</f>
        <v>1E-10</v>
      </c>
      <c r="G207" s="1323">
        <f>G206</f>
        <v>1E-10</v>
      </c>
      <c r="H207" s="1323">
        <f>IF(AND($N$207=1,H205&lt;&gt;0),MIN($C$205:$L$205)*1.1,"")</f>
        <v>-0.11662917272588277</v>
      </c>
      <c r="I207" s="1323">
        <f>IF(AND($N$207=1,I205&lt;&gt;0),MIN($C$205:$L$205)*1.1,"")</f>
        <v>-0.11662917272588277</v>
      </c>
      <c r="J207" s="1323">
        <f>IF(AND($N$207=1,J205&lt;&gt;0),MIN($C$205:$L$205)*1.1,"")</f>
        <v>-0.11662917272588277</v>
      </c>
      <c r="K207" s="1323">
        <f>IF(AND($N$207=1,K205&lt;&gt;0),MIN($C$205:$L$205)*1.1,"")</f>
        <v>-0.11662917272588277</v>
      </c>
      <c r="L207" s="1323">
        <f>IF(AND($N$207=1,L205&lt;&gt;0),MIN($C$205:$L$205)*1.1,"")</f>
        <v>-0.11662917272588277</v>
      </c>
      <c r="N207" s="1323">
        <f>IF(OR(C205&lt;0,D205&lt;0,E205&lt;0,F205&lt;0,G205&lt;0,H205&lt;0,I205&lt;0,J205&lt;0,K205&lt;0,L205&lt;0),1,0)</f>
        <v>1</v>
      </c>
      <c r="R207" s="1289"/>
      <c r="S207" s="1289"/>
      <c r="T207" s="1289"/>
      <c r="U207" s="1289"/>
      <c r="V207" s="1289"/>
      <c r="W207" s="1289"/>
      <c r="X207" s="1289"/>
      <c r="Y207" s="1289"/>
      <c r="Z207" s="1289"/>
    </row>
    <row r="208" spans="1:28" s="1323" customFormat="1" ht="12.75">
      <c r="B208" s="1320" t="s">
        <v>744</v>
      </c>
      <c r="C208" s="1321">
        <f t="shared" ref="C208:L208" si="33">IF($V$1=1,C40,C107)</f>
        <v>5.8074795032177141E-2</v>
      </c>
      <c r="D208" s="1321">
        <f t="shared" si="33"/>
        <v>8.0451528459238711E-2</v>
      </c>
      <c r="E208" s="1321">
        <f t="shared" si="33"/>
        <v>0.12128604472952255</v>
      </c>
      <c r="F208" s="1321">
        <f t="shared" si="33"/>
        <v>0.17178753984378645</v>
      </c>
      <c r="G208" s="1321">
        <f t="shared" si="33"/>
        <v>0.15182935494819486</v>
      </c>
      <c r="H208" s="1321">
        <f t="shared" si="33"/>
        <v>0.15819408912308955</v>
      </c>
      <c r="I208" s="1321">
        <f t="shared" si="33"/>
        <v>0.17023852163003031</v>
      </c>
      <c r="J208" s="1321">
        <f t="shared" si="33"/>
        <v>0.17207095429786615</v>
      </c>
      <c r="K208" s="1321">
        <f t="shared" si="33"/>
        <v>0.16750531452363654</v>
      </c>
      <c r="L208" s="1321">
        <f t="shared" si="33"/>
        <v>0.17710097374523415</v>
      </c>
      <c r="M208" s="1327"/>
      <c r="R208" s="1289"/>
      <c r="S208" s="1289"/>
      <c r="T208" s="1289"/>
      <c r="U208" s="1289"/>
      <c r="V208" s="1289"/>
      <c r="W208" s="1289"/>
      <c r="X208" s="1289"/>
      <c r="Y208" s="1289"/>
      <c r="Z208" s="1289"/>
    </row>
    <row r="209" spans="1:26" s="1323" customFormat="1" ht="12.75">
      <c r="C209" s="1323">
        <f>IF(C208&lt;&gt;0,0.0000000001,"")</f>
        <v>1E-10</v>
      </c>
      <c r="D209" s="1323">
        <f>IF(D208&lt;&gt;0,0.0000000001,"")</f>
        <v>1E-10</v>
      </c>
      <c r="E209" s="1323">
        <f>IF(E208&lt;&gt;0,0.0000000001,"")</f>
        <v>1E-10</v>
      </c>
      <c r="F209" s="1323">
        <f>IF(F208&lt;&gt;0,0.0000000001,"")</f>
        <v>1E-10</v>
      </c>
      <c r="G209" s="1323">
        <f>IF(G208&lt;&gt;0,0.0000000001,"")</f>
        <v>1E-10</v>
      </c>
      <c r="H209" s="1323">
        <f>IF(H208&lt;&gt;0,MAX($C$208:$L$208)*1.1,"")</f>
        <v>0.19481107111975757</v>
      </c>
      <c r="I209" s="1323">
        <f>IF(I208&lt;&gt;0,MAX($C$208:$L$208)*1.1,"")</f>
        <v>0.19481107111975757</v>
      </c>
      <c r="J209" s="1323">
        <f>IF(J208&lt;&gt;0,MAX($C$208:$L$208)*1.1,"")</f>
        <v>0.19481107111975757</v>
      </c>
      <c r="K209" s="1323">
        <f>IF(K208&lt;&gt;0,MAX($C$208:$L$208)*1.1,"")</f>
        <v>0.19481107111975757</v>
      </c>
      <c r="L209" s="1323">
        <f>IF(L208&lt;&gt;0,MAX($C$208:$L$208)*1.1,"")</f>
        <v>0.19481107111975757</v>
      </c>
      <c r="R209" s="1289"/>
      <c r="S209" s="1289"/>
      <c r="T209" s="1289"/>
      <c r="U209" s="1289"/>
      <c r="V209" s="1289"/>
      <c r="W209" s="1289"/>
      <c r="X209" s="1289"/>
      <c r="Y209" s="1289"/>
      <c r="Z209" s="1289"/>
    </row>
    <row r="210" spans="1:26" s="1323" customFormat="1" ht="12.75">
      <c r="A210" s="1351"/>
      <c r="C210" s="1323">
        <f>C209</f>
        <v>1E-10</v>
      </c>
      <c r="D210" s="1323">
        <f>D209</f>
        <v>1E-10</v>
      </c>
      <c r="E210" s="1323">
        <f>E209</f>
        <v>1E-10</v>
      </c>
      <c r="F210" s="1323">
        <f>F209</f>
        <v>1E-10</v>
      </c>
      <c r="G210" s="1323">
        <f>G209</f>
        <v>1E-10</v>
      </c>
      <c r="H210" s="1323" t="str">
        <f>IF(AND($N$210=1,H208&lt;&gt;0),MIN($C$208:$L$208)*1.1,"")</f>
        <v/>
      </c>
      <c r="I210" s="1323" t="str">
        <f>IF(AND($N$210=1,I208&lt;&gt;0),MIN($C$208:$L$208)*1.1,"")</f>
        <v/>
      </c>
      <c r="J210" s="1323" t="str">
        <f>IF(AND($N$210=1,J208&lt;&gt;0),MIN($C$208:$L$208)*1.1,"")</f>
        <v/>
      </c>
      <c r="K210" s="1323" t="str">
        <f>IF(AND($N$210=1,K208&lt;&gt;0),MIN($C$208:$L$208)*1.1,"")</f>
        <v/>
      </c>
      <c r="L210" s="1323" t="str">
        <f>IF(AND($N$210=1,L208&lt;&gt;0),MIN($C$208:$L$208)*1.1,"")</f>
        <v/>
      </c>
      <c r="N210" s="1323">
        <f>IF(OR(C208&lt;0,D208&lt;0,E208&lt;0,F208&lt;0,G208&lt;0,H208&lt;0,I208&lt;0,J208&lt;0,K208&lt;0,L208&lt;0),1,0)</f>
        <v>0</v>
      </c>
      <c r="R210" s="1289"/>
      <c r="S210" s="1289"/>
      <c r="T210" s="1289"/>
      <c r="U210" s="1289"/>
      <c r="V210" s="1289"/>
      <c r="W210" s="1289"/>
      <c r="X210" s="1289"/>
      <c r="Y210" s="1289"/>
      <c r="Z210" s="1289"/>
    </row>
    <row r="211" spans="1:26" s="1323" customFormat="1" ht="12.75">
      <c r="B211" s="1320" t="s">
        <v>747</v>
      </c>
      <c r="C211" s="1341">
        <f t="shared" ref="C211:L211" si="34">IF($V$1=1,C57,C119)</f>
        <v>0.78032383707387354</v>
      </c>
      <c r="D211" s="1341">
        <f t="shared" si="34"/>
        <v>0.88231878936274999</v>
      </c>
      <c r="E211" s="1341">
        <f t="shared" si="34"/>
        <v>0.46503002950487105</v>
      </c>
      <c r="F211" s="1341">
        <f t="shared" si="34"/>
        <v>0.4869267702711203</v>
      </c>
      <c r="G211" s="1341">
        <f t="shared" si="34"/>
        <v>0.57981808796050571</v>
      </c>
      <c r="H211" s="1341">
        <f t="shared" si="34"/>
        <v>0.47052194057958907</v>
      </c>
      <c r="I211" s="1341">
        <f t="shared" si="34"/>
        <v>0.46687204614458333</v>
      </c>
      <c r="J211" s="1341">
        <f t="shared" si="34"/>
        <v>0.44278814490475005</v>
      </c>
      <c r="K211" s="1341">
        <f t="shared" si="34"/>
        <v>0.42786696384331346</v>
      </c>
      <c r="L211" s="1341">
        <f t="shared" si="34"/>
        <v>0.46926596920631825</v>
      </c>
      <c r="R211" s="1289"/>
      <c r="S211" s="1289"/>
      <c r="T211" s="1289"/>
      <c r="U211" s="1289"/>
      <c r="V211" s="1289"/>
      <c r="W211" s="1289"/>
      <c r="X211" s="1289"/>
      <c r="Y211" s="1289"/>
      <c r="Z211" s="1289"/>
    </row>
    <row r="212" spans="1:26" s="1323" customFormat="1" ht="12.75">
      <c r="C212" s="1323">
        <f>IF(C211&lt;&gt;0,0.0000000001,"")</f>
        <v>1E-10</v>
      </c>
      <c r="D212" s="1323">
        <f>IF(D211&lt;&gt;0,0.0000000001,"")</f>
        <v>1E-10</v>
      </c>
      <c r="E212" s="1323">
        <f>IF(E211&lt;&gt;0,0.0000000001,"")</f>
        <v>1E-10</v>
      </c>
      <c r="F212" s="1323">
        <f>IF(F211&lt;&gt;0,0.0000000001,"")</f>
        <v>1E-10</v>
      </c>
      <c r="G212" s="1323">
        <f>IF(G211&lt;&gt;0,0.0000000001,"")</f>
        <v>1E-10</v>
      </c>
      <c r="H212" s="1323">
        <f>IF(H211&lt;&gt;0,MAX($C$211:$L$211)*1.1,"")</f>
        <v>0.97055066829902503</v>
      </c>
      <c r="I212" s="1323">
        <f>IF(I211&lt;&gt;0,MAX($C$211:$L$211)*1.1,"")</f>
        <v>0.97055066829902503</v>
      </c>
      <c r="J212" s="1323">
        <f>IF(J211&lt;&gt;0,MAX($C$211:$L$211)*1.1,"")</f>
        <v>0.97055066829902503</v>
      </c>
      <c r="K212" s="1323">
        <f>IF(K211&lt;&gt;0,MAX($C$211:$L$211)*1.1,"")</f>
        <v>0.97055066829902503</v>
      </c>
      <c r="L212" s="1323">
        <f>IF(L211&lt;&gt;0,MAX($C$211:$L$211)*1.1,"")</f>
        <v>0.97055066829902503</v>
      </c>
      <c r="R212" s="1289"/>
      <c r="S212" s="1289"/>
      <c r="T212" s="1289"/>
      <c r="U212" s="1289"/>
      <c r="V212" s="1289"/>
      <c r="W212" s="1289"/>
      <c r="X212" s="1289"/>
      <c r="Y212" s="1289"/>
      <c r="Z212" s="1289"/>
    </row>
    <row r="213" spans="1:26" s="1323" customFormat="1" ht="12.75">
      <c r="A213" s="1351"/>
      <c r="C213" s="1323">
        <f>C212</f>
        <v>1E-10</v>
      </c>
      <c r="D213" s="1323">
        <f>D212</f>
        <v>1E-10</v>
      </c>
      <c r="E213" s="1323">
        <f>E212</f>
        <v>1E-10</v>
      </c>
      <c r="F213" s="1323">
        <f>F212</f>
        <v>1E-10</v>
      </c>
      <c r="G213" s="1323">
        <f>G212</f>
        <v>1E-10</v>
      </c>
      <c r="H213" s="1323" t="str">
        <f>IF(AND($N$213=1,H211&lt;&gt;0),MIN($C$211:$L$211)*1.1,"")</f>
        <v/>
      </c>
      <c r="I213" s="1323" t="str">
        <f>IF(AND($N$213=1,I211&lt;&gt;0),MIN($C$211:$L$211)*1.1,"")</f>
        <v/>
      </c>
      <c r="J213" s="1323" t="str">
        <f>IF(AND($N$213=1,J211&lt;&gt;0),MIN($C$211:$L$211)*1.1,"")</f>
        <v/>
      </c>
      <c r="K213" s="1323" t="str">
        <f>IF(AND($N$213=1,K211&lt;&gt;0),MIN($C$211:$L$211)*1.1,"")</f>
        <v/>
      </c>
      <c r="L213" s="1323" t="str">
        <f>IF(AND($N$213=1,L211&lt;&gt;0),MIN($C$211:$L$211)*1.1,"")</f>
        <v/>
      </c>
      <c r="N213" s="1323">
        <f>IF(OR(C211&lt;0,D211&lt;0,E211&lt;0,F211&lt;0,G211&lt;0,H211&lt;0,I211&lt;0,J211&lt;0,K211&lt;0,L211&lt;0),1,0)</f>
        <v>0</v>
      </c>
      <c r="R213" s="1289"/>
      <c r="S213" s="1289"/>
      <c r="T213" s="1289"/>
      <c r="U213" s="1289"/>
      <c r="V213" s="1289"/>
      <c r="W213" s="1289"/>
      <c r="X213" s="1289"/>
      <c r="Y213" s="1289"/>
      <c r="Z213" s="1289"/>
    </row>
    <row r="214" spans="1:26" s="1323" customFormat="1" ht="12.75">
      <c r="B214" s="1320" t="s">
        <v>747</v>
      </c>
      <c r="C214" s="1341">
        <f t="shared" ref="C214:L214" si="35">C211</f>
        <v>0.78032383707387354</v>
      </c>
      <c r="D214" s="1341">
        <f t="shared" si="35"/>
        <v>0.88231878936274999</v>
      </c>
      <c r="E214" s="1341">
        <f t="shared" si="35"/>
        <v>0.46503002950487105</v>
      </c>
      <c r="F214" s="1341">
        <f t="shared" si="35"/>
        <v>0.4869267702711203</v>
      </c>
      <c r="G214" s="1341">
        <f t="shared" si="35"/>
        <v>0.57981808796050571</v>
      </c>
      <c r="H214" s="1341">
        <f t="shared" si="35"/>
        <v>0.47052194057958907</v>
      </c>
      <c r="I214" s="1341">
        <f t="shared" si="35"/>
        <v>0.46687204614458333</v>
      </c>
      <c r="J214" s="1341">
        <f t="shared" si="35"/>
        <v>0.44278814490475005</v>
      </c>
      <c r="K214" s="1341">
        <f t="shared" si="35"/>
        <v>0.42786696384331346</v>
      </c>
      <c r="L214" s="1341">
        <f t="shared" si="35"/>
        <v>0.46926596920631825</v>
      </c>
      <c r="M214" s="1341"/>
      <c r="N214" s="1341">
        <f>MAX(C223:L223)</f>
        <v>0.88231878936274999</v>
      </c>
      <c r="O214" s="1341">
        <f>MIN(C223:L223)</f>
        <v>0.42786696384331346</v>
      </c>
      <c r="R214" s="1289"/>
      <c r="S214" s="1289"/>
      <c r="T214" s="1289"/>
      <c r="U214" s="1289"/>
      <c r="V214" s="1289"/>
      <c r="W214" s="1289"/>
      <c r="X214" s="1289"/>
      <c r="Y214" s="1289"/>
      <c r="Z214" s="1289"/>
    </row>
    <row r="215" spans="1:26" s="1323" customFormat="1" ht="12.75">
      <c r="B215" s="1320" t="s">
        <v>744</v>
      </c>
      <c r="C215" s="1342">
        <f t="shared" ref="C215:L215" si="36">C208</f>
        <v>5.8074795032177141E-2</v>
      </c>
      <c r="D215" s="1342">
        <f t="shared" si="36"/>
        <v>8.0451528459238711E-2</v>
      </c>
      <c r="E215" s="1342">
        <f t="shared" si="36"/>
        <v>0.12128604472952255</v>
      </c>
      <c r="F215" s="1342">
        <f t="shared" si="36"/>
        <v>0.17178753984378645</v>
      </c>
      <c r="G215" s="1342">
        <f t="shared" si="36"/>
        <v>0.15182935494819486</v>
      </c>
      <c r="H215" s="1342">
        <f t="shared" si="36"/>
        <v>0.15819408912308955</v>
      </c>
      <c r="I215" s="1342">
        <f t="shared" si="36"/>
        <v>0.17023852163003031</v>
      </c>
      <c r="J215" s="1342">
        <f t="shared" si="36"/>
        <v>0.17207095429786615</v>
      </c>
      <c r="K215" s="1342">
        <f t="shared" si="36"/>
        <v>0.16750531452363654</v>
      </c>
      <c r="L215" s="1342">
        <f t="shared" si="36"/>
        <v>0.17710097374523415</v>
      </c>
      <c r="N215" s="1342">
        <f>MAX(C224:L224)</f>
        <v>0.17710097374523415</v>
      </c>
      <c r="O215" s="1342">
        <f>MIN(C224:L224)</f>
        <v>5.8074795032177141E-2</v>
      </c>
      <c r="R215" s="1289"/>
      <c r="S215" s="1289"/>
      <c r="T215" s="1289"/>
      <c r="U215" s="1289"/>
      <c r="V215" s="1289"/>
      <c r="W215" s="1289"/>
      <c r="X215" s="1289"/>
      <c r="Y215" s="1289"/>
      <c r="Z215" s="1289"/>
    </row>
    <row r="216" spans="1:26" s="1323" customFormat="1" ht="12.75">
      <c r="R216" s="1289"/>
      <c r="S216" s="1289"/>
      <c r="T216" s="1289"/>
      <c r="U216" s="1289"/>
      <c r="V216" s="1289"/>
      <c r="W216" s="1289"/>
      <c r="X216" s="1289"/>
      <c r="Y216" s="1289"/>
      <c r="Z216" s="1289"/>
    </row>
    <row r="217" spans="1:26" s="1323" customFormat="1" ht="12.75">
      <c r="A217" s="1351"/>
      <c r="R217" s="1289"/>
      <c r="S217" s="1289"/>
      <c r="T217" s="1289"/>
      <c r="U217" s="1289"/>
      <c r="V217" s="1289"/>
      <c r="W217" s="1289"/>
      <c r="X217" s="1289"/>
      <c r="Y217" s="1289"/>
      <c r="Z217" s="1289"/>
    </row>
    <row r="218" spans="1:26" s="1323" customFormat="1" ht="12.75">
      <c r="B218" s="1320" t="s">
        <v>770</v>
      </c>
      <c r="C218" s="1322">
        <f t="shared" ref="C218:L218" si="37">IF($V$1=1,C69,C127)</f>
        <v>-6.8779680628725873E-2</v>
      </c>
      <c r="D218" s="1322">
        <f t="shared" si="37"/>
        <v>-8.5596827130300923E-2</v>
      </c>
      <c r="E218" s="1322">
        <f t="shared" si="37"/>
        <v>7.6112786552118505E-2</v>
      </c>
      <c r="F218" s="1322">
        <f t="shared" si="37"/>
        <v>-7.9045746262599494E-3</v>
      </c>
      <c r="G218" s="1322">
        <f t="shared" si="37"/>
        <v>-5.8204647644794501E-2</v>
      </c>
      <c r="H218" s="1322">
        <f t="shared" si="37"/>
        <v>-2.666523806500402E-2</v>
      </c>
      <c r="I218" s="1322">
        <f t="shared" si="37"/>
        <v>-1.197721814761641E-2</v>
      </c>
      <c r="J218" s="1322">
        <f t="shared" si="37"/>
        <v>-3.46411833406262E-2</v>
      </c>
      <c r="K218" s="1322">
        <f t="shared" si="37"/>
        <v>-0.17769651101274106</v>
      </c>
      <c r="L218" s="1322">
        <f t="shared" si="37"/>
        <v>-3.9240972700492016E-4</v>
      </c>
      <c r="R218" s="1289"/>
      <c r="S218" s="1289"/>
      <c r="T218" s="1289"/>
      <c r="U218" s="1289"/>
      <c r="V218" s="1289"/>
      <c r="W218" s="1289"/>
      <c r="X218" s="1289"/>
      <c r="Y218" s="1289"/>
      <c r="Z218" s="1289"/>
    </row>
    <row r="219" spans="1:26" s="1323" customFormat="1" ht="12.75">
      <c r="C219" s="1323">
        <f>IF(C218&lt;&gt;0,0.0000000001,"")</f>
        <v>1E-10</v>
      </c>
      <c r="D219" s="1323">
        <f>IF(D218&lt;&gt;0,0.0000000001,"")</f>
        <v>1E-10</v>
      </c>
      <c r="E219" s="1323">
        <f>IF(E218&lt;&gt;0,0.0000000001,"")</f>
        <v>1E-10</v>
      </c>
      <c r="F219" s="1323">
        <f>IF(F218&lt;&gt;0,0.0000000001,"")</f>
        <v>1E-10</v>
      </c>
      <c r="G219" s="1323">
        <f>IF(G218&lt;&gt;0,0.0000000001,"")</f>
        <v>1E-10</v>
      </c>
      <c r="H219" s="1323">
        <f>IF(H218&lt;&gt;0,MAX($C$218:$L$218)*1.1,"")</f>
        <v>8.3724065207330362E-2</v>
      </c>
      <c r="I219" s="1323">
        <f>IF(I218&lt;&gt;0,MAX($C$218:$L$218)*1.1,"")</f>
        <v>8.3724065207330362E-2</v>
      </c>
      <c r="J219" s="1323">
        <f>IF(J218&lt;&gt;0,MAX($C$218:$L$218)*1.1,"")</f>
        <v>8.3724065207330362E-2</v>
      </c>
      <c r="K219" s="1323">
        <f>IF(K218&lt;&gt;0,MAX($C$218:$L$218)*1.1,"")</f>
        <v>8.3724065207330362E-2</v>
      </c>
      <c r="L219" s="1323">
        <f>IF(L218&lt;&gt;0,MAX($C$218:$L$218)*1.1,"")</f>
        <v>8.3724065207330362E-2</v>
      </c>
      <c r="R219" s="1289"/>
      <c r="S219" s="1289"/>
      <c r="T219" s="1289"/>
      <c r="U219" s="1289"/>
      <c r="V219" s="1289"/>
      <c r="W219" s="1289"/>
      <c r="X219" s="1289"/>
      <c r="Y219" s="1289"/>
      <c r="Z219" s="1289"/>
    </row>
    <row r="220" spans="1:26" s="1323" customFormat="1" ht="12.75">
      <c r="C220" s="1323">
        <f>C219</f>
        <v>1E-10</v>
      </c>
      <c r="D220" s="1323">
        <f>D219</f>
        <v>1E-10</v>
      </c>
      <c r="E220" s="1323">
        <f>E219</f>
        <v>1E-10</v>
      </c>
      <c r="F220" s="1323">
        <f>F219</f>
        <v>1E-10</v>
      </c>
      <c r="G220" s="1323">
        <f>G219</f>
        <v>1E-10</v>
      </c>
      <c r="H220" s="1323">
        <f>IF(AND($N$220=1,H218&lt;&gt;0),MIN($C$218:$L$218)*1.1,"")</f>
        <v>-0.19546616211401519</v>
      </c>
      <c r="I220" s="1323">
        <f>IF(AND($N$220=1,I218&lt;&gt;0),MIN($C$218:$L$218)*1.1,"")</f>
        <v>-0.19546616211401519</v>
      </c>
      <c r="J220" s="1323">
        <f>IF(AND($N$220=1,J218&lt;&gt;0),MIN($C$218:$L$218)*1.1,"")</f>
        <v>-0.19546616211401519</v>
      </c>
      <c r="K220" s="1323">
        <f>IF(AND($N$220=1,K218&lt;&gt;0),MIN($C$218:$L$218)*1.1,"")</f>
        <v>-0.19546616211401519</v>
      </c>
      <c r="L220" s="1323">
        <f>IF(AND($N$220=1,L218&lt;&gt;0),MIN($C$218:$L$218)*1.1,"")</f>
        <v>-0.19546616211401519</v>
      </c>
      <c r="N220" s="1323">
        <f>IF(OR(C218&lt;0,D218&lt;0,E218&lt;0,F218&lt;0,G218&lt;0,H218&lt;0,I218&lt;0,J218&lt;0,K218&lt;0,L218&lt;0),1,0)</f>
        <v>1</v>
      </c>
      <c r="R220" s="1289"/>
      <c r="S220" s="1289"/>
      <c r="T220" s="1289"/>
      <c r="U220" s="1289"/>
      <c r="V220" s="1289"/>
      <c r="W220" s="1289"/>
      <c r="X220" s="1289"/>
      <c r="Y220" s="1289"/>
      <c r="Z220" s="1289"/>
    </row>
    <row r="221" spans="1:26" s="1323" customFormat="1" ht="12.75">
      <c r="R221" s="1289"/>
      <c r="S221" s="1289"/>
      <c r="T221" s="1289"/>
      <c r="U221" s="1289"/>
      <c r="V221" s="1289"/>
      <c r="W221" s="1289"/>
      <c r="X221" s="1289"/>
      <c r="Y221" s="1289"/>
      <c r="Z221" s="1289"/>
    </row>
    <row r="222" spans="1:26" s="1323" customFormat="1" ht="12.75">
      <c r="R222" s="1289"/>
      <c r="S222" s="1289"/>
      <c r="T222" s="1289"/>
      <c r="U222" s="1289"/>
      <c r="V222" s="1289"/>
      <c r="W222" s="1289"/>
      <c r="X222" s="1289"/>
      <c r="Y222" s="1289"/>
      <c r="Z222" s="1289"/>
    </row>
    <row r="223" spans="1:26" s="1323" customFormat="1" ht="12.75">
      <c r="B223" s="1396" t="str">
        <f>B214</f>
        <v>Operating Asset Turnover</v>
      </c>
      <c r="C223" s="1341">
        <f t="shared" ref="C223:L223" si="38">IF(C214&lt;&gt;0,C214,"")</f>
        <v>0.78032383707387354</v>
      </c>
      <c r="D223" s="1341">
        <f t="shared" si="38"/>
        <v>0.88231878936274999</v>
      </c>
      <c r="E223" s="1341">
        <f t="shared" si="38"/>
        <v>0.46503002950487105</v>
      </c>
      <c r="F223" s="1341">
        <f t="shared" si="38"/>
        <v>0.4869267702711203</v>
      </c>
      <c r="G223" s="1341">
        <f t="shared" si="38"/>
        <v>0.57981808796050571</v>
      </c>
      <c r="H223" s="1341">
        <f t="shared" si="38"/>
        <v>0.47052194057958907</v>
      </c>
      <c r="I223" s="1341">
        <f t="shared" si="38"/>
        <v>0.46687204614458333</v>
      </c>
      <c r="J223" s="1341">
        <f t="shared" si="38"/>
        <v>0.44278814490475005</v>
      </c>
      <c r="K223" s="1341">
        <f t="shared" si="38"/>
        <v>0.42786696384331346</v>
      </c>
      <c r="L223" s="1341">
        <f t="shared" si="38"/>
        <v>0.46926596920631825</v>
      </c>
      <c r="R223" s="1289"/>
      <c r="S223" s="1289"/>
      <c r="T223" s="1289"/>
      <c r="U223" s="1289"/>
      <c r="V223" s="1289"/>
      <c r="W223" s="1289"/>
      <c r="X223" s="1289"/>
      <c r="Y223" s="1289"/>
      <c r="Z223" s="1289"/>
    </row>
    <row r="224" spans="1:26" s="1323" customFormat="1" ht="12.75">
      <c r="B224" s="1396" t="str">
        <f>B215</f>
        <v>NOPAT Margin (%)</v>
      </c>
      <c r="C224" s="1342">
        <f t="shared" ref="C224:L224" si="39">IF(C215&lt;&gt;0,C215,"")</f>
        <v>5.8074795032177141E-2</v>
      </c>
      <c r="D224" s="1342">
        <f t="shared" si="39"/>
        <v>8.0451528459238711E-2</v>
      </c>
      <c r="E224" s="1342">
        <f t="shared" si="39"/>
        <v>0.12128604472952255</v>
      </c>
      <c r="F224" s="1342">
        <f t="shared" si="39"/>
        <v>0.17178753984378645</v>
      </c>
      <c r="G224" s="1342">
        <f t="shared" si="39"/>
        <v>0.15182935494819486</v>
      </c>
      <c r="H224" s="1342">
        <f t="shared" si="39"/>
        <v>0.15819408912308955</v>
      </c>
      <c r="I224" s="1342">
        <f t="shared" si="39"/>
        <v>0.17023852163003031</v>
      </c>
      <c r="J224" s="1342">
        <f t="shared" si="39"/>
        <v>0.17207095429786615</v>
      </c>
      <c r="K224" s="1342">
        <f t="shared" si="39"/>
        <v>0.16750531452363654</v>
      </c>
      <c r="L224" s="1342">
        <f t="shared" si="39"/>
        <v>0.17710097374523415</v>
      </c>
      <c r="R224" s="1289"/>
      <c r="S224" s="1289"/>
      <c r="T224" s="1289"/>
      <c r="U224" s="1289"/>
      <c r="V224" s="1289"/>
      <c r="W224" s="1289"/>
      <c r="X224" s="1289"/>
      <c r="Y224" s="1289"/>
      <c r="Z224" s="1289"/>
    </row>
    <row r="225" spans="1:26" s="1290" customFormat="1">
      <c r="R225" s="1289"/>
      <c r="S225" s="1289"/>
      <c r="T225" s="1289"/>
      <c r="U225" s="1289"/>
      <c r="V225" s="1289"/>
      <c r="W225" s="1289"/>
      <c r="X225" s="1289"/>
      <c r="Y225" s="1289"/>
      <c r="Z225" s="1289"/>
    </row>
    <row r="226" spans="1:26">
      <c r="A226" s="1295"/>
      <c r="B226" s="1295"/>
      <c r="C226" s="1295"/>
      <c r="D226" s="1295"/>
      <c r="E226" s="1295"/>
      <c r="F226" s="1295"/>
      <c r="G226" s="1295"/>
      <c r="H226" s="1295"/>
      <c r="I226" s="1295"/>
      <c r="J226" s="1295"/>
      <c r="K226" s="1295"/>
      <c r="L226" s="1295"/>
      <c r="M226" s="1295"/>
      <c r="N226" s="1295"/>
      <c r="O226" s="1295"/>
      <c r="P226" s="1295"/>
      <c r="Q226" s="1295"/>
      <c r="R226" s="1377"/>
      <c r="S226" s="1377"/>
      <c r="T226" s="1377"/>
      <c r="U226" s="1377"/>
      <c r="V226" s="1377"/>
      <c r="W226" s="1377"/>
      <c r="X226" s="1377"/>
      <c r="Y226" s="1377"/>
      <c r="Z226" s="1377"/>
    </row>
    <row r="227" spans="1:26">
      <c r="A227" s="1295"/>
      <c r="B227" s="1295"/>
      <c r="C227" s="1295"/>
      <c r="D227" s="1295"/>
      <c r="E227" s="1295"/>
      <c r="F227" s="1295"/>
      <c r="G227" s="1295"/>
      <c r="H227" s="1295"/>
      <c r="I227" s="1295"/>
      <c r="J227" s="1295"/>
      <c r="K227" s="1295"/>
      <c r="L227" s="1295"/>
      <c r="M227" s="1295"/>
      <c r="N227" s="1295"/>
      <c r="O227" s="1295"/>
      <c r="P227" s="1295"/>
      <c r="Q227" s="1295"/>
      <c r="R227" s="1377"/>
      <c r="S227" s="1377"/>
      <c r="T227" s="1377"/>
      <c r="U227" s="1377"/>
      <c r="V227" s="1377"/>
      <c r="W227" s="1377"/>
      <c r="X227" s="1377"/>
      <c r="Y227" s="1377"/>
      <c r="Z227" s="1377"/>
    </row>
    <row r="228" spans="1:26">
      <c r="A228" s="1295"/>
      <c r="B228" s="1295"/>
      <c r="C228" s="1295"/>
      <c r="D228" s="1295"/>
      <c r="E228" s="1295"/>
      <c r="F228" s="1295"/>
      <c r="G228" s="1295"/>
      <c r="H228" s="1295"/>
      <c r="I228" s="1295"/>
      <c r="J228" s="1295"/>
      <c r="K228" s="1295"/>
      <c r="L228" s="1295"/>
      <c r="M228" s="1295"/>
      <c r="N228" s="1295"/>
      <c r="O228" s="1295"/>
      <c r="P228" s="1295"/>
      <c r="Q228" s="1295"/>
      <c r="R228" s="1377"/>
      <c r="S228" s="1377"/>
      <c r="T228" s="1377"/>
      <c r="U228" s="1377"/>
      <c r="V228" s="1377"/>
      <c r="W228" s="1377"/>
      <c r="X228" s="1377"/>
      <c r="Y228" s="1377"/>
      <c r="Z228" s="1377"/>
    </row>
    <row r="229" spans="1:26">
      <c r="A229" s="1295"/>
      <c r="B229" s="1295"/>
      <c r="C229" s="1295"/>
      <c r="D229" s="1295"/>
      <c r="E229" s="1295"/>
      <c r="F229" s="1295"/>
      <c r="G229" s="1295"/>
      <c r="H229" s="1295"/>
      <c r="I229" s="1295"/>
      <c r="J229" s="1295"/>
      <c r="K229" s="1295"/>
      <c r="L229" s="1295"/>
      <c r="M229" s="1295"/>
      <c r="N229" s="1295"/>
      <c r="O229" s="1295"/>
      <c r="P229" s="1295"/>
      <c r="Q229" s="1295"/>
      <c r="R229" s="1377"/>
      <c r="S229" s="1377"/>
      <c r="T229" s="1377"/>
      <c r="U229" s="1377"/>
      <c r="V229" s="1377"/>
      <c r="W229" s="1377"/>
      <c r="X229" s="1377"/>
      <c r="Y229" s="1377"/>
      <c r="Z229" s="1377"/>
    </row>
    <row r="230" spans="1:26">
      <c r="A230" s="1295"/>
      <c r="B230" s="1295"/>
      <c r="C230" s="1295"/>
      <c r="D230" s="1295"/>
      <c r="E230" s="1295"/>
      <c r="F230" s="1295"/>
      <c r="G230" s="1295"/>
      <c r="H230" s="1295"/>
      <c r="I230" s="1295"/>
      <c r="J230" s="1295"/>
      <c r="K230" s="1295"/>
      <c r="L230" s="1295"/>
      <c r="M230" s="1295"/>
      <c r="N230" s="1295"/>
      <c r="O230" s="1295"/>
      <c r="P230" s="1295"/>
      <c r="Q230" s="1295"/>
      <c r="R230" s="1377"/>
      <c r="S230" s="1377"/>
      <c r="T230" s="1377"/>
      <c r="U230" s="1377"/>
      <c r="V230" s="1377"/>
      <c r="W230" s="1377"/>
      <c r="X230" s="1377"/>
      <c r="Y230" s="1377"/>
      <c r="Z230" s="1377"/>
    </row>
    <row r="231" spans="1:26">
      <c r="A231" s="1295"/>
      <c r="B231" s="1295"/>
      <c r="C231" s="1295"/>
      <c r="D231" s="1295"/>
      <c r="E231" s="1295"/>
      <c r="F231" s="1295"/>
      <c r="G231" s="1295"/>
      <c r="H231" s="1295"/>
      <c r="I231" s="1295"/>
      <c r="J231" s="1295"/>
      <c r="K231" s="1295"/>
      <c r="L231" s="1295"/>
      <c r="M231" s="1295"/>
      <c r="N231" s="1295"/>
      <c r="O231" s="1295"/>
      <c r="P231" s="1295"/>
      <c r="Q231" s="1295"/>
      <c r="R231" s="1377"/>
      <c r="S231" s="1377"/>
      <c r="T231" s="1377"/>
      <c r="U231" s="1377"/>
      <c r="V231" s="1377"/>
      <c r="W231" s="1377"/>
      <c r="X231" s="1377"/>
      <c r="Y231" s="1377"/>
      <c r="Z231" s="1377"/>
    </row>
    <row r="232" spans="1:26">
      <c r="A232" s="1295"/>
      <c r="B232" s="1295"/>
      <c r="C232" s="1295"/>
      <c r="D232" s="1295"/>
      <c r="E232" s="1295"/>
      <c r="F232" s="1295"/>
      <c r="G232" s="1295"/>
      <c r="H232" s="1295"/>
      <c r="I232" s="1295"/>
      <c r="J232" s="1295"/>
      <c r="K232" s="1295"/>
      <c r="L232" s="1295"/>
      <c r="M232" s="1295"/>
      <c r="N232" s="1295"/>
      <c r="O232" s="1295"/>
      <c r="P232" s="1295"/>
      <c r="Q232" s="1295"/>
      <c r="R232" s="1377"/>
      <c r="S232" s="1377"/>
      <c r="T232" s="1377"/>
      <c r="U232" s="1377"/>
      <c r="V232" s="1377"/>
      <c r="W232" s="1377"/>
      <c r="X232" s="1377"/>
      <c r="Y232" s="1377"/>
      <c r="Z232" s="1377"/>
    </row>
    <row r="233" spans="1:26">
      <c r="A233" s="1295"/>
      <c r="B233" s="1295"/>
      <c r="C233" s="1295"/>
      <c r="D233" s="1295"/>
      <c r="E233" s="1295"/>
      <c r="F233" s="1295"/>
      <c r="G233" s="1295"/>
      <c r="H233" s="1295"/>
      <c r="I233" s="1295"/>
      <c r="J233" s="1295"/>
      <c r="K233" s="1295"/>
      <c r="L233" s="1295"/>
      <c r="M233" s="1295"/>
      <c r="N233" s="1295"/>
      <c r="O233" s="1295"/>
      <c r="P233" s="1295"/>
      <c r="Q233" s="1295"/>
      <c r="R233" s="1377"/>
      <c r="S233" s="1377"/>
      <c r="T233" s="1377"/>
      <c r="U233" s="1377"/>
      <c r="V233" s="1377"/>
      <c r="W233" s="1377"/>
      <c r="X233" s="1377"/>
      <c r="Y233" s="1377"/>
      <c r="Z233" s="1377"/>
    </row>
    <row r="234" spans="1:26">
      <c r="A234" s="1295"/>
      <c r="B234" s="1295"/>
      <c r="C234" s="1295"/>
      <c r="D234" s="1295"/>
      <c r="E234" s="1295"/>
      <c r="F234" s="1295"/>
      <c r="G234" s="1295"/>
      <c r="H234" s="1295"/>
      <c r="I234" s="1295"/>
      <c r="J234" s="1295"/>
      <c r="K234" s="1295"/>
      <c r="L234" s="1295"/>
      <c r="M234" s="1295"/>
      <c r="N234" s="1295"/>
      <c r="O234" s="1295"/>
      <c r="P234" s="1295"/>
      <c r="Q234" s="1295"/>
      <c r="R234" s="1377"/>
      <c r="S234" s="1377"/>
      <c r="T234" s="1377"/>
      <c r="U234" s="1377"/>
      <c r="V234" s="1377"/>
      <c r="W234" s="1377"/>
      <c r="X234" s="1377"/>
      <c r="Y234" s="1377"/>
      <c r="Z234" s="1377"/>
    </row>
    <row r="235" spans="1:26" s="1290" customFormat="1" ht="12" customHeight="1">
      <c r="B235" s="1323" t="s">
        <v>825</v>
      </c>
      <c r="C235" s="1381">
        <f>IF(ISNUMBER(((-(-IS!K52+IS!K50)))),((-(-IS!K52+IS!K50))),0)</f>
        <v>-8.2479999999999993</v>
      </c>
      <c r="D235" s="1381">
        <f>IF(ISNUMBER(((-(-IS!L52+IS!L50)))),((-(-IS!L52+IS!L50))),0)</f>
        <v>-11.927</v>
      </c>
      <c r="E235" s="1381">
        <f>IF(ISNUMBER(((-(-IS!M52+IS!M50)))),((-(-IS!M52+IS!M50))),0)</f>
        <v>-54.26400000000001</v>
      </c>
      <c r="F235" s="1381">
        <f>IF(ISNUMBER(((-(-IS!N52+IS!N50)))),((-(-IS!N52+IS!N50))),0)</f>
        <v>-71.847999999999999</v>
      </c>
      <c r="G235" s="1381">
        <f>IF(ISNUMBER(((-(-IS!O52+IS!O50)))),((-(-IS!O52+IS!O50))),0)</f>
        <v>-138.96000000000004</v>
      </c>
      <c r="H235" s="1381">
        <f>IF(ISNUMBER(((-(-IS!P52+IS!P50)))),((-(-IS!P52+IS!P50))),0)</f>
        <v>-179.023</v>
      </c>
      <c r="I235" s="1381">
        <f>IF(ISNUMBER(((-(-IS!Q52+IS!Q50)))),((-(-IS!Q52+IS!Q50))),0)</f>
        <v>-196.86199999999997</v>
      </c>
      <c r="J235" s="1381">
        <f>IF(ISNUMBER(((-(-IS!R52+IS!R50)))),((-(-IS!R52+IS!R50))),0)</f>
        <v>-245.40499999999997</v>
      </c>
      <c r="K235" s="1381">
        <f>IF(ISNUMBER(((-(-IS!S52+IS!S50)))),((-(-IS!S52+IS!S50))),0)</f>
        <v>-267.66199999999998</v>
      </c>
      <c r="L235" s="1381">
        <f>IF(ISNUMBER(((-(-IS!T52+IS!T50)))),((-(-IS!T52+IS!T50))),0)</f>
        <v>-295.47399999999993</v>
      </c>
      <c r="R235" s="1289"/>
      <c r="S235" s="1289"/>
      <c r="T235" s="1289"/>
      <c r="U235" s="1289"/>
      <c r="V235" s="1289"/>
      <c r="W235" s="1289"/>
      <c r="X235" s="1289"/>
      <c r="Y235" s="1289"/>
      <c r="Z235" s="1289"/>
    </row>
    <row r="236" spans="1:26" s="1290" customFormat="1" ht="12.75">
      <c r="B236" s="1323" t="s">
        <v>826</v>
      </c>
      <c r="C236" s="1381">
        <f>IF(ISNUMBER(((((-(-IS!K52+IS!K50))))*IS!K59)),((((-(-IS!K52+IS!K50))))*IS!K59),0)</f>
        <v>-2.8867999999999996</v>
      </c>
      <c r="D236" s="1381">
        <f>IF(ISNUMBER(((((-(-IS!L52+IS!L50))))*IS!L59)),((((-(-IS!L52+IS!L50))))*IS!L59),0)</f>
        <v>-4.1744499999999993</v>
      </c>
      <c r="E236" s="1381">
        <f>IF(ISNUMBER(((((-(-IS!M52+IS!M50))))*IS!M59)),((((-(-IS!M52+IS!M50))))*IS!M59),0)</f>
        <v>-18.992400000000004</v>
      </c>
      <c r="F236" s="1381">
        <f>IF(ISNUMBER(((((-(-IS!N52+IS!N50))))*IS!N59)),((((-(-IS!N52+IS!N50))))*IS!N59),0)</f>
        <v>-25.146799999999999</v>
      </c>
      <c r="G236" s="1381">
        <f>IF(ISNUMBER(((((-(-IS!O52+IS!O50))))*IS!O59)),((((-(-IS!O52+IS!O50))))*IS!O59),0)</f>
        <v>-48.63600000000001</v>
      </c>
      <c r="H236" s="1381">
        <f>IF(ISNUMBER(((((-(-IS!P52+IS!P50))))*IS!P59)),((((-(-IS!P52+IS!P50))))*IS!P59),0)</f>
        <v>-62.658049999999996</v>
      </c>
      <c r="I236" s="1381">
        <f>IF(ISNUMBER(((((-(-IS!Q52+IS!Q50))))*IS!Q59)),((((-(-IS!Q52+IS!Q50))))*IS!Q59),0)</f>
        <v>-68.901699999999977</v>
      </c>
      <c r="J236" s="1381">
        <f>IF(ISNUMBER(((((-(-IS!R52+IS!R50))))*IS!R59)),((((-(-IS!R52+IS!R50))))*IS!R59),0)</f>
        <v>-85.891749999999988</v>
      </c>
      <c r="K236" s="1381">
        <f>IF(ISNUMBER(((((-(-IS!S52+IS!S50))))*IS!S59)),((((-(-IS!S52+IS!S50))))*IS!S59),0)</f>
        <v>-93.681699999999992</v>
      </c>
      <c r="L236" s="1381">
        <f>IF(ISNUMBER(((((-(-IS!T52+IS!T50))))*IS!T59)),((((-(-IS!T52+IS!T50))))*IS!T59),0)</f>
        <v>-103.41589999999997</v>
      </c>
      <c r="R236" s="1289"/>
      <c r="S236" s="1289"/>
      <c r="T236" s="1289"/>
      <c r="U236" s="1289"/>
      <c r="V236" s="1289"/>
      <c r="W236" s="1289"/>
      <c r="X236" s="1289"/>
      <c r="Y236" s="1289"/>
      <c r="Z236" s="1289"/>
    </row>
    <row r="237" spans="1:26" s="1290" customFormat="1">
      <c r="R237" s="1289"/>
      <c r="S237" s="1289"/>
      <c r="T237" s="1289"/>
      <c r="U237" s="1289"/>
      <c r="V237" s="1289"/>
      <c r="W237" s="1289"/>
      <c r="X237" s="1289"/>
      <c r="Y237" s="1289"/>
      <c r="Z237" s="1289"/>
    </row>
    <row r="238" spans="1:26" s="1290" customFormat="1" ht="12.75">
      <c r="B238" s="1323" t="s">
        <v>827</v>
      </c>
      <c r="C238" s="1381">
        <f>IF(ISNUMBER(((-IS!K26+-IS!K27+-IS!K28+-IS!K29+-IS!K30+IS!K51+-IS!K53)+IS!K62)),((-IS!K26+-IS!K27+-IS!K28+-IS!K29+-IS!K30+IS!K51+-IS!K53)+IS!K62),0)</f>
        <v>-23.449999999999996</v>
      </c>
      <c r="D238" s="1381">
        <f>IF(ISNUMBER(((-IS!L26+-IS!L27+-IS!L28+-IS!L29+-IS!L30+IS!L51+-IS!L53)+IS!L62)),((-IS!L26+-IS!L27+-IS!L28+-IS!L29+-IS!L30+IS!L51+-IS!L53)+IS!L62),0)</f>
        <v>-44.703000000000003</v>
      </c>
      <c r="E238" s="1381">
        <f>IF(ISNUMBER(((-IS!M26+-IS!M27+-IS!M28+-IS!M29+-IS!M30+IS!M51+-IS!M53)+IS!M62)),((-IS!M26+-IS!M27+-IS!M28+-IS!M29+-IS!M30+IS!M51+-IS!M53)+IS!M62),0)</f>
        <v>-56.92</v>
      </c>
      <c r="F238" s="1381">
        <f>IF(ISNUMBER(((-IS!N26+-IS!N27+-IS!N28+-IS!N29+-IS!N30+IS!N51+-IS!N53)+IS!N62)),((-IS!N26+-IS!N27+-IS!N28+-IS!N29+-IS!N30+IS!N51+-IS!N53)+IS!N62),0)</f>
        <v>-52.361000000000004</v>
      </c>
      <c r="G238" s="1381">
        <f>IF(ISNUMBER(((-IS!O26+-IS!O27+-IS!O28+-IS!O29+-IS!O30+IS!O51+-IS!O53)+IS!O62)),((-IS!O26+-IS!O27+-IS!O28+-IS!O29+-IS!O30+IS!O51+-IS!O53)+IS!O62),0)</f>
        <v>-90.575999999999993</v>
      </c>
      <c r="H238" s="1381">
        <f>IF(ISNUMBER(((-IS!P26+-IS!P27+-IS!P28+-IS!P29+-IS!P30+IS!P51+-IS!P53)+IS!P62)),((-IS!P26+-IS!P27+-IS!P28+-IS!P29+-IS!P30+IS!P51+-IS!P53)+IS!P62),0)</f>
        <v>-72.063000000000002</v>
      </c>
      <c r="I238" s="1381">
        <f>IF(ISNUMBER(((-IS!Q26+-IS!Q27+-IS!Q28+-IS!Q29+-IS!Q30+IS!Q51+-IS!Q53)+IS!Q62)),((-IS!Q26+-IS!Q27+-IS!Q28+-IS!Q29+-IS!Q30+IS!Q51+-IS!Q53)+IS!Q62),0)</f>
        <v>-95.744</v>
      </c>
      <c r="J238" s="1381">
        <f>IF(ISNUMBER(((-IS!R26+-IS!R27+-IS!R28+-IS!R29+-IS!R30+IS!R51+-IS!R53)+IS!R62)),((-IS!R26+-IS!R27+-IS!R28+-IS!R29+-IS!R30+IS!R51+-IS!R53)+IS!R62),0)</f>
        <v>-212.20600000000002</v>
      </c>
      <c r="K238" s="1381">
        <f>IF(ISNUMBER(((-IS!S26+-IS!S27+-IS!S28+-IS!S29+-IS!S30+IS!S51+-IS!S53)+IS!S62)),((-IS!S26+-IS!S27+-IS!S28+-IS!S29+-IS!S30+IS!S51+-IS!S53)+IS!S62),0)</f>
        <v>-277.36700000000002</v>
      </c>
      <c r="L238" s="1381">
        <f>IF(ISNUMBER(((-IS!T26+-IS!T27+-IS!T28+-IS!T29+-IS!T30+IS!T51+-IS!T53)+IS!T62)),((-IS!T26+-IS!T27+-IS!T28+-IS!T29+-IS!T30+IS!T51+-IS!T53)+IS!T62),0)</f>
        <v>-236.22599999999997</v>
      </c>
      <c r="R238" s="1289"/>
      <c r="S238" s="1289"/>
      <c r="T238" s="1289"/>
      <c r="U238" s="1289"/>
      <c r="V238" s="1289"/>
      <c r="W238" s="1289"/>
      <c r="X238" s="1289"/>
      <c r="Y238" s="1289"/>
      <c r="Z238" s="1289"/>
    </row>
    <row r="239" spans="1:26" s="1290" customFormat="1" ht="11.25" customHeight="1">
      <c r="B239" s="1323" t="s">
        <v>828</v>
      </c>
      <c r="C239" s="1397">
        <f>IF(ISNUMBER(IS!K59),IS!K59,0)</f>
        <v>0.35</v>
      </c>
      <c r="D239" s="1397">
        <f>IF(ISNUMBER(IS!L59),IS!L59,0)</f>
        <v>0.35</v>
      </c>
      <c r="E239" s="1397">
        <f>IF(ISNUMBER(IS!M59),IS!M59,0)</f>
        <v>0.35</v>
      </c>
      <c r="F239" s="1397">
        <f>IF(ISNUMBER(IS!N59),IS!N59,0)</f>
        <v>0.35</v>
      </c>
      <c r="G239" s="1397">
        <f>IF(ISNUMBER(IS!O59),IS!O59,0)</f>
        <v>0.35</v>
      </c>
      <c r="H239" s="1397">
        <f>IF(ISNUMBER(IS!P59),IS!P59,0)</f>
        <v>0.35</v>
      </c>
      <c r="I239" s="1397">
        <f>IF(ISNUMBER(IS!Q59),IS!Q59,0)</f>
        <v>0.35</v>
      </c>
      <c r="J239" s="1397">
        <f>IF(ISNUMBER(IS!R59),IS!R59,0)</f>
        <v>0.35</v>
      </c>
      <c r="K239" s="1397">
        <f>IF(ISNUMBER(IS!S59),IS!S59,0)</f>
        <v>0.35</v>
      </c>
      <c r="L239" s="1397">
        <f>IF(ISNUMBER(IS!T59),IS!T59,0)</f>
        <v>0.35</v>
      </c>
      <c r="R239" s="1289"/>
      <c r="S239" s="1289"/>
      <c r="T239" s="1289"/>
      <c r="U239" s="1289"/>
      <c r="V239" s="1289"/>
      <c r="W239" s="1289"/>
      <c r="X239" s="1289"/>
      <c r="Y239" s="1289"/>
      <c r="Z239" s="1289"/>
    </row>
    <row r="240" spans="1:26" s="1290" customFormat="1" ht="12.75">
      <c r="B240" s="1323"/>
      <c r="R240" s="1289"/>
      <c r="S240" s="1289"/>
      <c r="T240" s="1289"/>
      <c r="U240" s="1289"/>
      <c r="V240" s="1289"/>
      <c r="W240" s="1289"/>
      <c r="X240" s="1289"/>
      <c r="Y240" s="1289"/>
      <c r="Z240" s="1289"/>
    </row>
    <row r="241" spans="2:26" s="1290" customFormat="1" ht="12.75">
      <c r="B241" s="1323" t="s">
        <v>829</v>
      </c>
      <c r="C241" s="1381">
        <f>IF(ISNUMBER((BS!J26+((+BS!J10+BS!J17)-(BS!J10)))),(BS!J26+((+BS!J10+BS!J17)-(BS!J10))),0)</f>
        <v>20.557999999999996</v>
      </c>
      <c r="D241" s="1381">
        <f>IF(ISNUMBER((BS!K26+((+BS!K10+BS!K17)-(BS!K10)))),(BS!K26+((+BS!K10+BS!K17)-(BS!K10))),0)</f>
        <v>28.093000000000004</v>
      </c>
      <c r="E241" s="1381">
        <f>IF(ISNUMBER((BS!L26+((+BS!L10+BS!L17)-(BS!L10)))),(BS!L26+((+BS!L10+BS!L17)-(BS!L10))),0)</f>
        <v>51.298999999999992</v>
      </c>
      <c r="F241" s="1381">
        <f>IF(ISNUMBER((BS!M26+((+BS!M10+BS!M17)-(BS!M10)))),(BS!M26+((+BS!M10+BS!M17)-(BS!M10))),0)</f>
        <v>45.625999999999998</v>
      </c>
      <c r="G241" s="1381">
        <f>IF(ISNUMBER((BS!N26+((+BS!N10+BS!N17)-(BS!N10)))),(BS!N26+((+BS!N10+BS!N17)-(BS!N10))),0)</f>
        <v>9.8030000000000257</v>
      </c>
      <c r="H241" s="1381">
        <f>IF(ISNUMBER((BS!O26+((+BS!O10+BS!O17)-(BS!O10)))),(BS!O26+((+BS!O10+BS!O17)-(BS!O10))),0)</f>
        <v>2.8060000000000116</v>
      </c>
      <c r="I241" s="1381">
        <f>IF(ISNUMBER((BS!P26+((+BS!P10+BS!P17)-(BS!P10)))),(BS!P26+((+BS!P10+BS!P17)-(BS!P10))),0)</f>
        <v>161.80099999999993</v>
      </c>
      <c r="J241" s="1381">
        <f>IF(ISNUMBER((BS!Q26+((+BS!Q10+BS!Q17)-(BS!Q10)))),(BS!Q26+((+BS!Q10+BS!Q17)-(BS!Q10))),0)</f>
        <v>127.81899999999999</v>
      </c>
      <c r="K241" s="1381">
        <f>IF(ISNUMBER((0+((+BS!R10+BS!R17)-(BS!R10)))),(0+((+BS!R10+BS!R17)-(BS!R10))),0)</f>
        <v>398.39</v>
      </c>
      <c r="L241" s="1381">
        <f>IF(ISNUMBER((0+((+BS!S10+BS!S17)-(BS!S10)))),(0+((+BS!S10+BS!S17)-(BS!S10))),0)</f>
        <v>0.43899999999996453</v>
      </c>
      <c r="R241" s="1289"/>
      <c r="S241" s="1289"/>
      <c r="T241" s="1289"/>
      <c r="U241" s="1289"/>
      <c r="V241" s="1289"/>
      <c r="W241" s="1289"/>
      <c r="X241" s="1289"/>
      <c r="Y241" s="1289"/>
      <c r="Z241" s="1289"/>
    </row>
    <row r="242" spans="2:26" s="1290" customFormat="1" ht="12.75">
      <c r="B242" s="1323" t="s">
        <v>830</v>
      </c>
      <c r="C242" s="1381">
        <f t="shared" ref="C242:L242" si="40">IF(ISNUMBER(0),0,0)</f>
        <v>0</v>
      </c>
      <c r="D242" s="1381">
        <f t="shared" si="40"/>
        <v>0</v>
      </c>
      <c r="E242" s="1381">
        <f t="shared" si="40"/>
        <v>0</v>
      </c>
      <c r="F242" s="1381">
        <f t="shared" si="40"/>
        <v>0</v>
      </c>
      <c r="G242" s="1381">
        <f t="shared" si="40"/>
        <v>0</v>
      </c>
      <c r="H242" s="1381">
        <f t="shared" si="40"/>
        <v>0</v>
      </c>
      <c r="I242" s="1381">
        <f t="shared" si="40"/>
        <v>0</v>
      </c>
      <c r="J242" s="1381">
        <f t="shared" si="40"/>
        <v>0</v>
      </c>
      <c r="K242" s="1381">
        <f t="shared" si="40"/>
        <v>0</v>
      </c>
      <c r="L242" s="1381">
        <f t="shared" si="40"/>
        <v>0</v>
      </c>
      <c r="M242" s="1381"/>
      <c r="R242" s="1289"/>
      <c r="S242" s="1289"/>
      <c r="T242" s="1289"/>
      <c r="U242" s="1289"/>
      <c r="V242" s="1289"/>
      <c r="W242" s="1289"/>
      <c r="X242" s="1289"/>
      <c r="Y242" s="1289"/>
      <c r="Z242" s="1289"/>
    </row>
    <row r="243" spans="2:26" s="1290" customFormat="1" ht="12.75">
      <c r="B243" s="1323" t="s">
        <v>783</v>
      </c>
      <c r="C243" s="1398">
        <f t="shared" ref="C243:L243" si="41">(C241-C242)</f>
        <v>20.557999999999996</v>
      </c>
      <c r="D243" s="1398">
        <f t="shared" si="41"/>
        <v>28.093000000000004</v>
      </c>
      <c r="E243" s="1398">
        <f t="shared" si="41"/>
        <v>51.298999999999992</v>
      </c>
      <c r="F243" s="1398">
        <f t="shared" si="41"/>
        <v>45.625999999999998</v>
      </c>
      <c r="G243" s="1398">
        <f t="shared" si="41"/>
        <v>9.8030000000000257</v>
      </c>
      <c r="H243" s="1398">
        <f t="shared" si="41"/>
        <v>2.8060000000000116</v>
      </c>
      <c r="I243" s="1398">
        <f t="shared" si="41"/>
        <v>161.80099999999993</v>
      </c>
      <c r="J243" s="1398">
        <f t="shared" si="41"/>
        <v>127.81899999999999</v>
      </c>
      <c r="K243" s="1398">
        <f t="shared" si="41"/>
        <v>398.39</v>
      </c>
      <c r="L243" s="1398">
        <f t="shared" si="41"/>
        <v>0.43899999999996453</v>
      </c>
      <c r="R243" s="1289"/>
      <c r="S243" s="1289"/>
      <c r="T243" s="1289"/>
      <c r="U243" s="1289"/>
      <c r="V243" s="1289"/>
      <c r="W243" s="1289"/>
      <c r="X243" s="1289"/>
      <c r="Y243" s="1289"/>
      <c r="Z243" s="1289"/>
    </row>
    <row r="244" spans="2:26" s="1295" customFormat="1">
      <c r="R244" s="1377"/>
      <c r="S244" s="1377"/>
      <c r="T244" s="1377"/>
      <c r="U244" s="1377"/>
      <c r="V244" s="1377"/>
      <c r="W244" s="1377"/>
      <c r="X244" s="1377"/>
      <c r="Y244" s="1377"/>
      <c r="Z244" s="1377"/>
    </row>
    <row r="245" spans="2:26">
      <c r="B245" s="1290"/>
      <c r="C245" s="1290"/>
      <c r="D245" s="1290"/>
      <c r="E245" s="1290"/>
      <c r="F245" s="1290"/>
      <c r="G245" s="1290"/>
      <c r="H245" s="1290"/>
      <c r="I245" s="1290"/>
      <c r="J245" s="1290"/>
      <c r="K245" s="1290"/>
      <c r="L245" s="1290"/>
      <c r="M245" s="1290"/>
      <c r="N245" s="1290"/>
    </row>
    <row r="302" spans="1:17" ht="12.75">
      <c r="A302" s="1297"/>
      <c r="B302" s="1297"/>
      <c r="C302" s="1297"/>
      <c r="D302" s="1297"/>
      <c r="E302" s="1297"/>
      <c r="F302" s="1297"/>
      <c r="G302" s="1297"/>
      <c r="H302" s="1297"/>
      <c r="I302" s="1297"/>
      <c r="J302" s="1297"/>
      <c r="K302" s="1297"/>
      <c r="L302" s="1297"/>
      <c r="M302" s="1297"/>
      <c r="N302" s="1297"/>
      <c r="O302" s="1323"/>
      <c r="P302" s="1323"/>
      <c r="Q302" s="1323"/>
    </row>
    <row r="303" spans="1:17" ht="12.75">
      <c r="A303" s="1297"/>
      <c r="B303" s="1297"/>
      <c r="C303" s="1297"/>
      <c r="D303" s="1297"/>
      <c r="E303" s="1297"/>
      <c r="F303" s="1297"/>
      <c r="G303" s="1297"/>
      <c r="H303" s="1297"/>
      <c r="I303" s="1297"/>
      <c r="J303" s="1297"/>
      <c r="K303" s="1297"/>
      <c r="L303" s="1297"/>
      <c r="M303" s="1297"/>
      <c r="N303" s="1297"/>
      <c r="O303" s="1323"/>
      <c r="P303" s="1323"/>
      <c r="Q303" s="1323"/>
    </row>
    <row r="304" spans="1:17" ht="12.75">
      <c r="A304" s="1297"/>
      <c r="B304" s="1297"/>
      <c r="C304" s="1297"/>
      <c r="D304" s="1297"/>
      <c r="E304" s="1297"/>
      <c r="F304" s="1297"/>
      <c r="G304" s="1297"/>
      <c r="H304" s="1297"/>
      <c r="I304" s="1297"/>
      <c r="J304" s="1297"/>
      <c r="K304" s="1297"/>
      <c r="L304" s="1297"/>
      <c r="M304" s="1297"/>
      <c r="N304" s="1297"/>
      <c r="O304" s="1323"/>
      <c r="P304" s="1323"/>
      <c r="Q304" s="1323"/>
    </row>
    <row r="305" spans="1:17" ht="12.75">
      <c r="A305" s="1297"/>
      <c r="B305" s="1297"/>
      <c r="C305" s="1297"/>
      <c r="D305" s="1297"/>
      <c r="E305" s="1297"/>
      <c r="F305" s="1297"/>
      <c r="G305" s="1297"/>
      <c r="H305" s="1297"/>
      <c r="I305" s="1297"/>
      <c r="J305" s="1297"/>
      <c r="K305" s="1297"/>
      <c r="L305" s="1297"/>
      <c r="M305" s="1297"/>
      <c r="N305" s="1297"/>
      <c r="O305" s="1323"/>
      <c r="P305" s="1323"/>
      <c r="Q305" s="1323"/>
    </row>
    <row r="306" spans="1:17" ht="12.75">
      <c r="A306" s="1297"/>
      <c r="B306" s="1297"/>
      <c r="C306" s="1297"/>
      <c r="D306" s="1297"/>
      <c r="E306" s="1297"/>
      <c r="F306" s="1297"/>
      <c r="G306" s="1297"/>
      <c r="H306" s="1297"/>
      <c r="I306" s="1297"/>
      <c r="J306" s="1297"/>
      <c r="K306" s="1297"/>
      <c r="L306" s="1297"/>
      <c r="M306" s="1297"/>
      <c r="N306" s="1297"/>
      <c r="O306" s="1323"/>
      <c r="P306" s="1323"/>
      <c r="Q306" s="1323"/>
    </row>
    <row r="307" spans="1:17" ht="12.75">
      <c r="A307" s="1297"/>
      <c r="B307" s="1297"/>
      <c r="C307" s="1297"/>
      <c r="D307" s="1297"/>
      <c r="E307" s="1297"/>
      <c r="F307" s="1297"/>
      <c r="G307" s="1297"/>
      <c r="H307" s="1297"/>
      <c r="I307" s="1297"/>
      <c r="J307" s="1297"/>
      <c r="K307" s="1297"/>
      <c r="L307" s="1297"/>
      <c r="M307" s="1297"/>
      <c r="N307" s="1297"/>
      <c r="O307" s="1323"/>
      <c r="P307" s="1323"/>
      <c r="Q307" s="1323"/>
    </row>
    <row r="308" spans="1:17" ht="12.75">
      <c r="A308" s="1297"/>
      <c r="B308" s="1297"/>
      <c r="C308" s="1297"/>
      <c r="D308" s="1297"/>
      <c r="E308" s="1297"/>
      <c r="F308" s="1297"/>
      <c r="G308" s="1297"/>
      <c r="H308" s="1297"/>
      <c r="I308" s="1297"/>
      <c r="J308" s="1297"/>
      <c r="K308" s="1297"/>
      <c r="L308" s="1297"/>
      <c r="M308" s="1297"/>
      <c r="N308" s="1297"/>
      <c r="O308" s="1323"/>
      <c r="P308" s="1323"/>
      <c r="Q308" s="1323"/>
    </row>
    <row r="309" spans="1:17" ht="12.75">
      <c r="A309" s="1297" t="s">
        <v>215</v>
      </c>
      <c r="B309" s="1297"/>
      <c r="C309" s="1297"/>
      <c r="D309" s="1297"/>
      <c r="E309" s="1297"/>
      <c r="F309" s="1297"/>
      <c r="G309" s="1297"/>
      <c r="H309" s="1297"/>
      <c r="I309" s="1297"/>
      <c r="J309" s="1297"/>
      <c r="K309" s="1297"/>
      <c r="L309" s="1297"/>
      <c r="M309" s="1297"/>
      <c r="N309" s="1297"/>
      <c r="O309" s="1323"/>
      <c r="P309" s="1323"/>
      <c r="Q309" s="1323"/>
    </row>
    <row r="310" spans="1:17" ht="12.75">
      <c r="A310" s="1297" t="s">
        <v>814</v>
      </c>
      <c r="B310" s="1297"/>
      <c r="C310" s="1297"/>
      <c r="D310" s="1297"/>
      <c r="E310" s="1297"/>
      <c r="F310" s="1297"/>
      <c r="G310" s="1297"/>
      <c r="H310" s="1297"/>
      <c r="I310" s="1297"/>
      <c r="J310" s="1297"/>
      <c r="K310" s="1297"/>
      <c r="L310" s="1297"/>
      <c r="M310" s="1297"/>
      <c r="N310" s="1297"/>
      <c r="O310" s="1323"/>
      <c r="P310" s="1323"/>
      <c r="Q310" s="1323"/>
    </row>
    <row r="311" spans="1:17" ht="12.75">
      <c r="A311" s="1352" t="s">
        <v>212</v>
      </c>
      <c r="B311" s="1297"/>
      <c r="C311" s="1297">
        <v>12</v>
      </c>
      <c r="D311" s="1297">
        <v>12</v>
      </c>
      <c r="E311" s="1297">
        <v>12</v>
      </c>
      <c r="F311" s="1297">
        <v>12</v>
      </c>
      <c r="G311" s="1297">
        <v>12</v>
      </c>
      <c r="H311" s="1297">
        <v>12</v>
      </c>
      <c r="I311" s="1297">
        <v>12</v>
      </c>
      <c r="J311" s="1297">
        <v>12</v>
      </c>
      <c r="K311" s="1297">
        <v>12</v>
      </c>
      <c r="L311" s="1297">
        <v>12</v>
      </c>
      <c r="M311" s="1297"/>
      <c r="N311" s="1297"/>
      <c r="O311" s="1323"/>
      <c r="P311" s="1323"/>
      <c r="Q311" s="1323"/>
    </row>
    <row r="312" spans="1:17" ht="12.75">
      <c r="A312" s="1297"/>
      <c r="B312" s="1297"/>
      <c r="C312" s="1297"/>
      <c r="D312" s="1297"/>
      <c r="E312" s="1297"/>
      <c r="F312" s="1297"/>
      <c r="G312" s="1297"/>
      <c r="H312" s="1297"/>
      <c r="I312" s="1297"/>
      <c r="J312" s="1297"/>
      <c r="K312" s="1297"/>
      <c r="L312" s="1297"/>
      <c r="M312" s="1297"/>
      <c r="N312" s="1297"/>
      <c r="O312" s="1323"/>
      <c r="P312" s="1323"/>
      <c r="Q312" s="1323"/>
    </row>
    <row r="313" spans="1:17" ht="12.75">
      <c r="A313" s="1297"/>
      <c r="B313" s="1297"/>
      <c r="C313" s="1297"/>
      <c r="D313" s="1297"/>
      <c r="E313" s="1297"/>
      <c r="F313" s="1297"/>
      <c r="G313" s="1297"/>
      <c r="H313" s="1297"/>
      <c r="I313" s="1297"/>
      <c r="J313" s="1297"/>
      <c r="K313" s="1297"/>
      <c r="L313" s="1297"/>
      <c r="M313" s="1297"/>
      <c r="N313" s="1297"/>
      <c r="O313" s="1323"/>
      <c r="P313" s="1323"/>
      <c r="Q313" s="1323"/>
    </row>
    <row r="318" spans="1:17" ht="12.75">
      <c r="A318" s="1297"/>
      <c r="B318" s="1297"/>
      <c r="C318" s="1297"/>
      <c r="D318" s="1297"/>
      <c r="E318" s="1297"/>
      <c r="F318" s="1297"/>
      <c r="G318" s="1297"/>
      <c r="H318" s="1297"/>
      <c r="I318" s="1297"/>
      <c r="J318" s="1297"/>
      <c r="K318" s="1297"/>
      <c r="L318" s="1297"/>
      <c r="M318" s="1297"/>
      <c r="N318" s="1297"/>
      <c r="O318" s="1323"/>
      <c r="P318" s="1323"/>
      <c r="Q318" s="1323"/>
    </row>
    <row r="319" spans="1:17" ht="12.75">
      <c r="A319" s="1297"/>
      <c r="B319" s="1297"/>
      <c r="C319" s="1297"/>
      <c r="D319" s="1297"/>
      <c r="E319" s="1297"/>
      <c r="F319" s="1297"/>
      <c r="G319" s="1297"/>
      <c r="H319" s="1297"/>
      <c r="I319" s="1297"/>
      <c r="J319" s="1297"/>
      <c r="K319" s="1297"/>
      <c r="L319" s="1297"/>
      <c r="M319" s="1297"/>
      <c r="N319" s="1297"/>
      <c r="O319" s="1323"/>
      <c r="P319" s="1323"/>
      <c r="Q319" s="1323"/>
    </row>
    <row r="320" spans="1:17" ht="12.75">
      <c r="A320" s="1297"/>
      <c r="B320" s="1297"/>
      <c r="C320" s="1297"/>
      <c r="D320" s="1297"/>
      <c r="E320" s="1297"/>
      <c r="F320" s="1297"/>
      <c r="G320" s="1297"/>
      <c r="H320" s="1297"/>
      <c r="I320" s="1297"/>
      <c r="J320" s="1297"/>
      <c r="K320" s="1297"/>
      <c r="L320" s="1297"/>
      <c r="M320" s="1297"/>
      <c r="N320" s="1297"/>
      <c r="O320" s="1323"/>
      <c r="P320" s="1323"/>
      <c r="Q320" s="1323"/>
    </row>
    <row r="321" spans="1:17" ht="12.75">
      <c r="A321" s="1297"/>
      <c r="B321" s="1297"/>
      <c r="C321" s="1297"/>
      <c r="D321" s="1297"/>
      <c r="E321" s="1297"/>
      <c r="F321" s="1297"/>
      <c r="G321" s="1297"/>
      <c r="H321" s="1297"/>
      <c r="I321" s="1297"/>
      <c r="J321" s="1297"/>
      <c r="K321" s="1297"/>
      <c r="L321" s="1297"/>
      <c r="M321" s="1297"/>
      <c r="N321" s="1297"/>
      <c r="O321" s="1323"/>
      <c r="P321" s="1323"/>
      <c r="Q321" s="1323"/>
    </row>
    <row r="322" spans="1:17" ht="12.75">
      <c r="A322" s="1297"/>
      <c r="B322" s="1297"/>
      <c r="C322" s="1297"/>
      <c r="D322" s="1297"/>
      <c r="E322" s="1297"/>
      <c r="F322" s="1297"/>
      <c r="G322" s="1297"/>
      <c r="H322" s="1297"/>
      <c r="I322" s="1297"/>
      <c r="J322" s="1297"/>
      <c r="K322" s="1297"/>
      <c r="L322" s="1297"/>
      <c r="M322" s="1297"/>
      <c r="N322" s="1297"/>
      <c r="O322" s="1323"/>
      <c r="P322" s="1323"/>
      <c r="Q322" s="1323"/>
    </row>
    <row r="323" spans="1:17" ht="12.75">
      <c r="A323" s="1297"/>
      <c r="B323" s="1297"/>
      <c r="C323" s="1297"/>
      <c r="D323" s="1297"/>
      <c r="E323" s="1297"/>
      <c r="F323" s="1297"/>
      <c r="G323" s="1297"/>
      <c r="H323" s="1297"/>
      <c r="I323" s="1297"/>
      <c r="J323" s="1297"/>
      <c r="K323" s="1297"/>
      <c r="L323" s="1297"/>
      <c r="M323" s="1297"/>
      <c r="N323" s="1297"/>
      <c r="O323" s="1323"/>
      <c r="P323" s="1323"/>
      <c r="Q323" s="1323"/>
    </row>
    <row r="324" spans="1:17" ht="12.75">
      <c r="A324" s="1297"/>
      <c r="B324" s="1297"/>
      <c r="C324" s="1297"/>
      <c r="D324" s="1297"/>
      <c r="E324" s="1297"/>
      <c r="F324" s="1297"/>
      <c r="G324" s="1297"/>
      <c r="H324" s="1297"/>
      <c r="I324" s="1297"/>
      <c r="J324" s="1297"/>
      <c r="K324" s="1297"/>
      <c r="L324" s="1297"/>
      <c r="M324" s="1297"/>
      <c r="N324" s="1297"/>
      <c r="O324" s="1323"/>
      <c r="P324" s="1323"/>
      <c r="Q324" s="1323"/>
    </row>
    <row r="329" spans="1:17" ht="12.75">
      <c r="A329" s="1297"/>
      <c r="B329" s="1297"/>
      <c r="C329" s="1297"/>
      <c r="D329" s="1297"/>
      <c r="E329" s="1297"/>
      <c r="F329" s="1297"/>
      <c r="G329" s="1297"/>
      <c r="H329" s="1297"/>
      <c r="I329" s="1297"/>
      <c r="J329" s="1297"/>
      <c r="K329" s="1297"/>
      <c r="L329" s="1297"/>
      <c r="M329" s="1297"/>
      <c r="N329" s="1297"/>
      <c r="O329" s="1323"/>
      <c r="P329" s="1323"/>
      <c r="Q329" s="1323"/>
    </row>
    <row r="330" spans="1:17" ht="12.75">
      <c r="A330" s="1297"/>
      <c r="B330" s="1297"/>
      <c r="C330" s="1297"/>
      <c r="D330" s="1297"/>
      <c r="E330" s="1297"/>
      <c r="F330" s="1297"/>
      <c r="G330" s="1297"/>
      <c r="H330" s="1297"/>
      <c r="I330" s="1297"/>
      <c r="J330" s="1297"/>
      <c r="K330" s="1297"/>
      <c r="L330" s="1297"/>
      <c r="M330" s="1297"/>
      <c r="N330" s="1297"/>
      <c r="O330" s="1323"/>
      <c r="P330" s="1323"/>
      <c r="Q330" s="1323"/>
    </row>
    <row r="331" spans="1:17" ht="12.75">
      <c r="A331" s="1297"/>
      <c r="B331" s="1297"/>
      <c r="C331" s="1297"/>
      <c r="D331" s="1297"/>
      <c r="E331" s="1297"/>
      <c r="F331" s="1297"/>
      <c r="G331" s="1297"/>
      <c r="H331" s="1297"/>
      <c r="I331" s="1297"/>
      <c r="J331" s="1297"/>
      <c r="K331" s="1297"/>
      <c r="L331" s="1297"/>
      <c r="M331" s="1297"/>
      <c r="N331" s="1297"/>
      <c r="O331" s="1323"/>
      <c r="P331" s="1323"/>
      <c r="Q331" s="1323"/>
    </row>
    <row r="332" spans="1:17" ht="12.75">
      <c r="A332" s="1297"/>
      <c r="B332" s="1297"/>
      <c r="C332" s="1297"/>
      <c r="D332" s="1297"/>
      <c r="E332" s="1297"/>
      <c r="F332" s="1297"/>
      <c r="G332" s="1297"/>
      <c r="H332" s="1297"/>
      <c r="I332" s="1297"/>
      <c r="J332" s="1297"/>
      <c r="K332" s="1297"/>
      <c r="L332" s="1297"/>
      <c r="M332" s="1297"/>
      <c r="N332" s="1297"/>
      <c r="O332" s="1323"/>
      <c r="P332" s="1323"/>
      <c r="Q332" s="1323"/>
    </row>
    <row r="333" spans="1:17" ht="12.75">
      <c r="A333" s="1297"/>
      <c r="B333" s="1297"/>
      <c r="C333" s="1297"/>
      <c r="D333" s="1297"/>
      <c r="E333" s="1297"/>
      <c r="F333" s="1297"/>
      <c r="G333" s="1297"/>
      <c r="H333" s="1297"/>
      <c r="I333" s="1297"/>
      <c r="J333" s="1297"/>
      <c r="K333" s="1297"/>
      <c r="L333" s="1297"/>
      <c r="M333" s="1297"/>
      <c r="N333" s="1297"/>
      <c r="O333" s="1323"/>
      <c r="P333" s="1323"/>
      <c r="Q333" s="1323"/>
    </row>
    <row r="334" spans="1:17" ht="12.75">
      <c r="A334" s="1297"/>
      <c r="B334" s="1297"/>
      <c r="C334" s="1297"/>
      <c r="D334" s="1297"/>
      <c r="E334" s="1297"/>
      <c r="F334" s="1297"/>
      <c r="G334" s="1297"/>
      <c r="H334" s="1297"/>
      <c r="I334" s="1297"/>
      <c r="J334" s="1297"/>
      <c r="K334" s="1297"/>
      <c r="L334" s="1297"/>
      <c r="M334" s="1297"/>
      <c r="N334" s="1297"/>
      <c r="O334" s="1323"/>
      <c r="P334" s="1323"/>
      <c r="Q334" s="1323"/>
    </row>
    <row r="335" spans="1:17" ht="12.75">
      <c r="A335" s="1297"/>
      <c r="B335" s="1297"/>
      <c r="C335" s="1297"/>
      <c r="D335" s="1297"/>
      <c r="E335" s="1297"/>
      <c r="F335" s="1297"/>
      <c r="G335" s="1297"/>
      <c r="H335" s="1297"/>
      <c r="I335" s="1297"/>
      <c r="J335" s="1297"/>
      <c r="K335" s="1297"/>
      <c r="L335" s="1297"/>
      <c r="M335" s="1297"/>
      <c r="N335" s="1297"/>
      <c r="O335" s="1323"/>
      <c r="P335" s="1323"/>
      <c r="Q335" s="1323"/>
    </row>
    <row r="376" spans="2:12">
      <c r="B376" s="1337"/>
      <c r="C376" s="1337"/>
      <c r="D376" s="1337"/>
      <c r="E376" s="1337"/>
      <c r="F376" s="1337"/>
      <c r="G376" s="1337"/>
      <c r="H376" s="1337"/>
      <c r="I376" s="1337"/>
      <c r="J376" s="1337"/>
      <c r="K376" s="1337"/>
      <c r="L376" s="1337"/>
    </row>
    <row r="377" spans="2:12">
      <c r="B377" s="1337" t="s">
        <v>215</v>
      </c>
      <c r="C377" s="1337"/>
      <c r="D377" s="1337"/>
      <c r="E377" s="1337"/>
      <c r="F377" s="1337"/>
      <c r="G377" s="1337"/>
      <c r="H377" s="1337"/>
      <c r="I377" s="1337"/>
      <c r="J377" s="1337"/>
      <c r="K377" s="1337"/>
      <c r="L377" s="1337"/>
    </row>
    <row r="378" spans="2:12" ht="12.75" customHeight="1">
      <c r="B378" s="1344" t="s">
        <v>831</v>
      </c>
      <c r="C378" s="1345">
        <f>D378-1</f>
        <v>2006</v>
      </c>
      <c r="D378" s="1345">
        <f>E378-1</f>
        <v>2007</v>
      </c>
      <c r="E378" s="1345">
        <f>F378-1</f>
        <v>2008</v>
      </c>
      <c r="F378" s="1345">
        <f>G378-1</f>
        <v>2009</v>
      </c>
      <c r="G378" s="1345">
        <f>H378-1</f>
        <v>2010</v>
      </c>
      <c r="H378" s="1345">
        <v>2011</v>
      </c>
      <c r="I378" s="1345">
        <f>H378+1</f>
        <v>2012</v>
      </c>
      <c r="J378" s="1345">
        <f>I378+1</f>
        <v>2013</v>
      </c>
      <c r="K378" s="1345">
        <f>J378+1</f>
        <v>2014</v>
      </c>
      <c r="L378" s="1345">
        <f>K378+1</f>
        <v>2015</v>
      </c>
    </row>
    <row r="379" spans="2:12">
      <c r="B379" s="1344">
        <v>12</v>
      </c>
      <c r="C379" s="1346" t="str">
        <f t="shared" ref="C379:L379" si="42">"F"&amp;C$381&amp;"/"&amp;MID(C$378,3,2)</f>
        <v>F12/06</v>
      </c>
      <c r="D379" s="1346" t="str">
        <f t="shared" si="42"/>
        <v>F12/07</v>
      </c>
      <c r="E379" s="1346" t="str">
        <f t="shared" si="42"/>
        <v>F12/08</v>
      </c>
      <c r="F379" s="1346" t="str">
        <f t="shared" si="42"/>
        <v>F12/09</v>
      </c>
      <c r="G379" s="1346" t="str">
        <f t="shared" si="42"/>
        <v>F12/10</v>
      </c>
      <c r="H379" s="1346" t="str">
        <f t="shared" si="42"/>
        <v>F12/11</v>
      </c>
      <c r="I379" s="1346" t="str">
        <f t="shared" si="42"/>
        <v>F12/12</v>
      </c>
      <c r="J379" s="1346" t="str">
        <f t="shared" si="42"/>
        <v>F12/13</v>
      </c>
      <c r="K379" s="1346" t="str">
        <f t="shared" si="42"/>
        <v>F12/14</v>
      </c>
      <c r="L379" s="1346" t="str">
        <f t="shared" si="42"/>
        <v>F12/15</v>
      </c>
    </row>
    <row r="380" spans="2:12">
      <c r="B380" s="1344" t="str">
        <f>A309</f>
        <v>English</v>
      </c>
      <c r="C380" s="1346" t="str">
        <f t="shared" ref="C380:L380" si="43">"F"&amp;MID(C$378,3,2)&amp;"/"&amp;C$381</f>
        <v>F06/12</v>
      </c>
      <c r="D380" s="1346" t="str">
        <f t="shared" si="43"/>
        <v>F07/12</v>
      </c>
      <c r="E380" s="1346" t="str">
        <f t="shared" si="43"/>
        <v>F08/12</v>
      </c>
      <c r="F380" s="1346" t="str">
        <f t="shared" si="43"/>
        <v>F09/12</v>
      </c>
      <c r="G380" s="1346" t="str">
        <f t="shared" si="43"/>
        <v>F10/12</v>
      </c>
      <c r="H380" s="1346" t="str">
        <f t="shared" si="43"/>
        <v>F11/12</v>
      </c>
      <c r="I380" s="1346" t="str">
        <f t="shared" si="43"/>
        <v>F12/12</v>
      </c>
      <c r="J380" s="1346" t="str">
        <f t="shared" si="43"/>
        <v>F13/12</v>
      </c>
      <c r="K380" s="1346" t="str">
        <f t="shared" si="43"/>
        <v>F14/12</v>
      </c>
      <c r="L380" s="1346" t="str">
        <f t="shared" si="43"/>
        <v>F15/12</v>
      </c>
    </row>
    <row r="381" spans="2:12" ht="12" customHeight="1">
      <c r="B381" s="1343" t="s">
        <v>814</v>
      </c>
      <c r="C381" s="1347">
        <f t="shared" ref="C381:L381" si="44">C311</f>
        <v>12</v>
      </c>
      <c r="D381" s="1347">
        <f t="shared" si="44"/>
        <v>12</v>
      </c>
      <c r="E381" s="1347">
        <f t="shared" si="44"/>
        <v>12</v>
      </c>
      <c r="F381" s="1347">
        <f t="shared" si="44"/>
        <v>12</v>
      </c>
      <c r="G381" s="1347">
        <f t="shared" si="44"/>
        <v>12</v>
      </c>
      <c r="H381" s="1347">
        <f t="shared" si="44"/>
        <v>12</v>
      </c>
      <c r="I381" s="1347">
        <f t="shared" si="44"/>
        <v>12</v>
      </c>
      <c r="J381" s="1347">
        <f t="shared" si="44"/>
        <v>12</v>
      </c>
      <c r="K381" s="1347">
        <f t="shared" si="44"/>
        <v>12</v>
      </c>
      <c r="L381" s="1347">
        <f t="shared" si="44"/>
        <v>12</v>
      </c>
    </row>
    <row r="382" spans="2:12" ht="10.5" customHeight="1">
      <c r="B382" s="1343"/>
      <c r="C382" s="1347"/>
      <c r="D382" s="1347"/>
      <c r="E382" s="1347"/>
      <c r="F382" s="1347" t="str">
        <f>IF(C$382&lt;&gt;"",C$382,"")</f>
        <v/>
      </c>
      <c r="G382" s="1347" t="str">
        <f t="shared" ref="G382:L382" si="45">IF(F$382&lt;&gt;"",F$382,"")</f>
        <v/>
      </c>
      <c r="H382" s="1347" t="str">
        <f t="shared" si="45"/>
        <v/>
      </c>
      <c r="I382" s="1347" t="str">
        <f t="shared" si="45"/>
        <v/>
      </c>
      <c r="J382" s="1347" t="str">
        <f t="shared" si="45"/>
        <v/>
      </c>
      <c r="K382" s="1347" t="str">
        <f t="shared" si="45"/>
        <v/>
      </c>
      <c r="L382" s="1347" t="str">
        <f t="shared" si="45"/>
        <v/>
      </c>
    </row>
    <row r="383" spans="2:12">
      <c r="B383" s="1343"/>
      <c r="C383" s="1343"/>
      <c r="D383" s="1343"/>
      <c r="E383" s="1343"/>
      <c r="F383" s="1343"/>
      <c r="G383" s="1343"/>
      <c r="H383" s="1343"/>
      <c r="I383" s="1343"/>
      <c r="J383" s="1343"/>
      <c r="K383" s="1343"/>
      <c r="L383" s="1343"/>
    </row>
    <row r="384" spans="2:12">
      <c r="B384" s="1399" t="str">
        <f>(C378-1) &amp; "FY"</f>
        <v>2005FY</v>
      </c>
      <c r="C384" s="1399" t="str">
        <f t="shared" ref="C384:L384" si="46">C378 &amp; "FY"</f>
        <v>2006FY</v>
      </c>
      <c r="D384" s="1399" t="str">
        <f t="shared" si="46"/>
        <v>2007FY</v>
      </c>
      <c r="E384" s="1399" t="str">
        <f t="shared" si="46"/>
        <v>2008FY</v>
      </c>
      <c r="F384" s="1399" t="str">
        <f t="shared" si="46"/>
        <v>2009FY</v>
      </c>
      <c r="G384" s="1399" t="str">
        <f t="shared" si="46"/>
        <v>2010FY</v>
      </c>
      <c r="H384" s="1399" t="str">
        <f t="shared" si="46"/>
        <v>2011FY</v>
      </c>
      <c r="I384" s="1399" t="str">
        <f t="shared" si="46"/>
        <v>2012FY</v>
      </c>
      <c r="J384" s="1399" t="str">
        <f t="shared" si="46"/>
        <v>2013FY</v>
      </c>
      <c r="K384" s="1399" t="str">
        <f t="shared" si="46"/>
        <v>2014FY</v>
      </c>
      <c r="L384" s="1399" t="str">
        <f t="shared" si="46"/>
        <v>2015FY</v>
      </c>
    </row>
  </sheetData>
  <protectedRanges>
    <protectedRange sqref="B378:B380" name="Disclaimers"/>
    <protectedRange sqref="C379:L380" name="Disclaimers_1"/>
  </protectedRanges>
  <mergeCells count="2">
    <mergeCell ref="J1:K1"/>
    <mergeCell ref="C5:D5"/>
  </mergeCells>
  <phoneticPr fontId="2" type="noConversion"/>
  <conditionalFormatting sqref="O1">
    <cfRule type="expression" dxfId="3" priority="1" stopIfTrue="1">
      <formula>$B$339="English"</formula>
    </cfRule>
  </conditionalFormatting>
  <conditionalFormatting sqref="M160:O161 U1:U17 W1:AK17 V2:V17">
    <cfRule type="expression" dxfId="2" priority="2" stopIfTrue="1">
      <formula>$A$309&lt;&gt;"English"</formula>
    </cfRule>
  </conditionalFormatting>
  <conditionalFormatting sqref="A1:N1 L3:L32 P3:P32 M3:O159 V1 D17:E23">
    <cfRule type="expression" dxfId="1" priority="3" stopIfTrue="1">
      <formula>$A$309&lt;&gt;"English"</formula>
    </cfRule>
    <cfRule type="expression" dxfId="0" priority="4" stopIfTrue="1">
      <formula>$A$309="English"</formula>
    </cfRule>
  </conditionalFormatting>
  <pageMargins left="0.25" right="0.25" top="0.25" bottom="0.25" header="0" footer="0"/>
  <pageSetup scale="77" orientation="landscape" r:id="rId1"/>
  <headerFooter alignWithMargins="0"/>
  <drawing r:id="rId2"/>
  <legacyDrawing r:id="rId3"/>
  <controls>
    <mc:AlternateContent xmlns:mc="http://schemas.openxmlformats.org/markup-compatibility/2006">
      <mc:Choice Requires="x14">
        <control shapeId="150539" r:id="rId4" name="cmbLanguage">
          <controlPr defaultSize="0" autoLine="0" listFillRange="L9:L10" r:id="rId5">
            <anchor moveWithCells="1">
              <from>
                <xdr:col>15</xdr:col>
                <xdr:colOff>314325</xdr:colOff>
                <xdr:row>0</xdr:row>
                <xdr:rowOff>104775</xdr:rowOff>
              </from>
              <to>
                <xdr:col>17</xdr:col>
                <xdr:colOff>247650</xdr:colOff>
                <xdr:row>0</xdr:row>
                <xdr:rowOff>361950</xdr:rowOff>
              </to>
            </anchor>
          </controlPr>
        </control>
      </mc:Choice>
      <mc:Fallback>
        <control shapeId="150539" r:id="rId4" name="cmbLanguage"/>
      </mc:Fallback>
    </mc:AlternateContent>
    <mc:AlternateContent xmlns:mc="http://schemas.openxmlformats.org/markup-compatibility/2006">
      <mc:Choice Requires="x14">
        <control shapeId="150540" r:id="rId6" name="cmbYear">
          <controlPr defaultSize="0" autoLine="0" linkedCell="S7" listFillRange="R9:R18" r:id="rId7">
            <anchor moveWithCells="1">
              <from>
                <xdr:col>0</xdr:col>
                <xdr:colOff>66675</xdr:colOff>
                <xdr:row>14</xdr:row>
                <xdr:rowOff>85725</xdr:rowOff>
              </from>
              <to>
                <xdr:col>0</xdr:col>
                <xdr:colOff>904875</xdr:colOff>
                <xdr:row>15</xdr:row>
                <xdr:rowOff>57150</xdr:rowOff>
              </to>
            </anchor>
          </controlPr>
        </control>
      </mc:Choice>
      <mc:Fallback>
        <control shapeId="150540" r:id="rId6" name="cmbYear"/>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B3:CQ97"/>
  <sheetViews>
    <sheetView zoomScale="85" workbookViewId="0"/>
  </sheetViews>
  <sheetFormatPr defaultRowHeight="12.75" outlineLevelRow="1" outlineLevelCol="1"/>
  <cols>
    <col min="16" max="51" width="0" hidden="1" customWidth="1" outlineLevel="1"/>
    <col min="52" max="52" width="9.140625" collapsed="1"/>
  </cols>
  <sheetData>
    <row r="3" spans="2:95">
      <c r="B3" s="773" t="s">
        <v>1122</v>
      </c>
      <c r="C3" s="23"/>
      <c r="D3" s="15"/>
      <c r="E3" s="774"/>
      <c r="F3" s="121"/>
      <c r="G3" s="121"/>
      <c r="H3" s="121"/>
      <c r="I3" s="775" t="s">
        <v>1052</v>
      </c>
      <c r="J3" s="775"/>
      <c r="K3" s="775"/>
      <c r="L3" s="776"/>
      <c r="M3" s="776"/>
      <c r="N3" s="775"/>
      <c r="O3" s="775"/>
      <c r="P3" s="775"/>
      <c r="Q3" s="775"/>
      <c r="R3" s="775"/>
      <c r="S3" s="775"/>
      <c r="T3" s="775"/>
      <c r="U3" s="775"/>
      <c r="V3" s="775"/>
      <c r="W3" s="775"/>
      <c r="X3" s="775"/>
      <c r="Y3" s="775"/>
      <c r="Z3" s="777"/>
      <c r="AA3" s="778"/>
      <c r="AB3" s="776" t="s">
        <v>1242</v>
      </c>
      <c r="AC3" s="775"/>
      <c r="AD3" s="775"/>
      <c r="AE3" s="779"/>
      <c r="AF3" s="776" t="s">
        <v>1241</v>
      </c>
      <c r="AG3" s="775"/>
      <c r="AH3" s="775"/>
      <c r="AI3" s="779"/>
      <c r="AJ3" s="776" t="s">
        <v>1240</v>
      </c>
      <c r="AK3" s="775"/>
      <c r="AL3" s="775"/>
      <c r="AM3" s="779"/>
      <c r="AN3" s="776" t="s">
        <v>1239</v>
      </c>
      <c r="AO3" s="775"/>
      <c r="AP3" s="775"/>
      <c r="AQ3" s="779"/>
      <c r="AR3" s="776" t="s">
        <v>1238</v>
      </c>
      <c r="AS3" s="775"/>
      <c r="AT3" s="775"/>
      <c r="AU3" s="779"/>
      <c r="AV3" s="776" t="s">
        <v>1059</v>
      </c>
      <c r="AW3" s="775"/>
      <c r="AX3" s="775"/>
      <c r="AY3" s="779"/>
      <c r="AZ3" s="776" t="s">
        <v>1058</v>
      </c>
      <c r="BA3" s="775"/>
      <c r="BB3" s="775"/>
      <c r="BC3" s="779"/>
      <c r="BD3" s="776" t="s">
        <v>1057</v>
      </c>
      <c r="BE3" s="775"/>
      <c r="BF3" s="775"/>
      <c r="BG3" s="779"/>
      <c r="BH3" s="776" t="s">
        <v>1234</v>
      </c>
      <c r="BI3" s="775"/>
      <c r="BJ3" s="775"/>
      <c r="BK3" s="779"/>
      <c r="BL3" s="776" t="s">
        <v>843</v>
      </c>
      <c r="BM3" s="775"/>
      <c r="BN3" s="775"/>
      <c r="BO3" s="779"/>
      <c r="BP3" s="776" t="s">
        <v>634</v>
      </c>
      <c r="BQ3" s="775"/>
      <c r="BR3" s="775"/>
      <c r="BS3" s="779"/>
      <c r="BT3" s="776" t="s">
        <v>985</v>
      </c>
      <c r="BU3" s="775"/>
      <c r="BV3" s="775"/>
      <c r="BW3" s="779"/>
      <c r="BX3" s="779" t="s">
        <v>986</v>
      </c>
      <c r="BY3" s="779"/>
      <c r="BZ3" s="779"/>
      <c r="CA3" s="779"/>
    </row>
    <row r="4" spans="2:95">
      <c r="B4" s="773" t="s">
        <v>468</v>
      </c>
      <c r="C4" s="23"/>
      <c r="D4" s="15"/>
      <c r="E4" s="780" t="s">
        <v>1242</v>
      </c>
      <c r="F4" s="781" t="s">
        <v>1241</v>
      </c>
      <c r="G4" s="781" t="s">
        <v>1240</v>
      </c>
      <c r="H4" s="781" t="s">
        <v>1239</v>
      </c>
      <c r="I4" s="781" t="s">
        <v>1238</v>
      </c>
      <c r="J4" s="781" t="s">
        <v>1059</v>
      </c>
      <c r="K4" s="781" t="s">
        <v>1058</v>
      </c>
      <c r="L4" s="781" t="s">
        <v>1057</v>
      </c>
      <c r="M4" s="780" t="s">
        <v>1234</v>
      </c>
      <c r="N4" s="781" t="s">
        <v>843</v>
      </c>
      <c r="O4" s="781" t="s">
        <v>634</v>
      </c>
      <c r="P4" s="781" t="s">
        <v>985</v>
      </c>
      <c r="Q4" s="781" t="s">
        <v>986</v>
      </c>
      <c r="R4" s="781" t="s">
        <v>1043</v>
      </c>
      <c r="S4" s="781" t="s">
        <v>1049</v>
      </c>
      <c r="T4" s="781" t="s">
        <v>191</v>
      </c>
      <c r="U4" s="781" t="s">
        <v>192</v>
      </c>
      <c r="V4" s="781" t="s">
        <v>193</v>
      </c>
      <c r="W4" s="781" t="s">
        <v>194</v>
      </c>
      <c r="X4" s="781" t="s">
        <v>276</v>
      </c>
      <c r="Y4" s="781" t="s">
        <v>277</v>
      </c>
      <c r="Z4" s="781" t="s">
        <v>880</v>
      </c>
      <c r="AA4" s="778"/>
      <c r="AB4" s="780" t="s">
        <v>131</v>
      </c>
      <c r="AC4" s="781" t="s">
        <v>132</v>
      </c>
      <c r="AD4" s="781" t="s">
        <v>133</v>
      </c>
      <c r="AE4" s="782" t="s">
        <v>134</v>
      </c>
      <c r="AF4" s="780" t="s">
        <v>102</v>
      </c>
      <c r="AG4" s="781" t="s">
        <v>103</v>
      </c>
      <c r="AH4" s="781" t="s">
        <v>104</v>
      </c>
      <c r="AI4" s="782" t="s">
        <v>105</v>
      </c>
      <c r="AJ4" s="780" t="s">
        <v>106</v>
      </c>
      <c r="AK4" s="781" t="s">
        <v>107</v>
      </c>
      <c r="AL4" s="781" t="s">
        <v>108</v>
      </c>
      <c r="AM4" s="782" t="s">
        <v>109</v>
      </c>
      <c r="AN4" s="780" t="s">
        <v>110</v>
      </c>
      <c r="AO4" s="781" t="s">
        <v>111</v>
      </c>
      <c r="AP4" s="781" t="s">
        <v>112</v>
      </c>
      <c r="AQ4" s="782" t="s">
        <v>113</v>
      </c>
      <c r="AR4" s="780" t="s">
        <v>114</v>
      </c>
      <c r="AS4" s="781" t="s">
        <v>115</v>
      </c>
      <c r="AT4" s="781" t="s">
        <v>116</v>
      </c>
      <c r="AU4" s="782" t="s">
        <v>117</v>
      </c>
      <c r="AV4" s="780" t="s">
        <v>118</v>
      </c>
      <c r="AW4" s="781" t="s">
        <v>119</v>
      </c>
      <c r="AX4" s="781" t="s">
        <v>120</v>
      </c>
      <c r="AY4" s="782" t="s">
        <v>121</v>
      </c>
      <c r="AZ4" s="780" t="s">
        <v>122</v>
      </c>
      <c r="BA4" s="781" t="s">
        <v>123</v>
      </c>
      <c r="BB4" s="781" t="s">
        <v>124</v>
      </c>
      <c r="BC4" s="782" t="s">
        <v>125</v>
      </c>
      <c r="BD4" s="780" t="s">
        <v>126</v>
      </c>
      <c r="BE4" s="781" t="s">
        <v>49</v>
      </c>
      <c r="BF4" s="781" t="s">
        <v>48</v>
      </c>
      <c r="BG4" s="782" t="s">
        <v>1513</v>
      </c>
      <c r="BH4" s="780" t="s">
        <v>1487</v>
      </c>
      <c r="BI4" s="781" t="s">
        <v>1488</v>
      </c>
      <c r="BJ4" s="781" t="s">
        <v>1492</v>
      </c>
      <c r="BK4" s="782" t="s">
        <v>1493</v>
      </c>
      <c r="BL4" s="780" t="s">
        <v>147</v>
      </c>
      <c r="BM4" s="781" t="s">
        <v>197</v>
      </c>
      <c r="BN4" s="781" t="s">
        <v>250</v>
      </c>
      <c r="BO4" s="781" t="s">
        <v>251</v>
      </c>
      <c r="BP4" s="780" t="s">
        <v>249</v>
      </c>
      <c r="BQ4" s="781" t="s">
        <v>252</v>
      </c>
      <c r="BR4" s="781" t="s">
        <v>1466</v>
      </c>
      <c r="BS4" s="781" t="s">
        <v>1378</v>
      </c>
      <c r="BT4" s="780" t="s">
        <v>1791</v>
      </c>
      <c r="BU4" s="781" t="s">
        <v>1790</v>
      </c>
      <c r="BV4" s="781" t="s">
        <v>1381</v>
      </c>
      <c r="BW4" s="782" t="s">
        <v>881</v>
      </c>
      <c r="BX4" s="780" t="s">
        <v>127</v>
      </c>
      <c r="BY4" s="781" t="s">
        <v>128</v>
      </c>
      <c r="BZ4" s="781" t="s">
        <v>129</v>
      </c>
      <c r="CA4" s="782" t="s">
        <v>130</v>
      </c>
    </row>
    <row r="6" spans="2:95">
      <c r="B6" s="857" t="s">
        <v>1550</v>
      </c>
      <c r="C6" s="15"/>
      <c r="D6" s="15"/>
      <c r="E6" s="15"/>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5"/>
      <c r="AZ6" s="15"/>
      <c r="BA6" s="15"/>
      <c r="BB6" s="15"/>
      <c r="BC6" s="15"/>
      <c r="BD6" s="15"/>
      <c r="BE6" s="15"/>
      <c r="BF6" s="15"/>
      <c r="BG6" s="15"/>
      <c r="BH6" s="15"/>
      <c r="BI6" s="15"/>
      <c r="BJ6" s="15"/>
      <c r="BK6" s="15"/>
      <c r="BL6" s="15"/>
      <c r="BM6" s="15"/>
      <c r="BN6" s="15"/>
      <c r="BO6" s="15"/>
      <c r="BP6" s="26"/>
      <c r="BQ6" s="26"/>
      <c r="BR6" s="15"/>
      <c r="BS6" s="15"/>
      <c r="BT6" s="15"/>
      <c r="BU6" s="15"/>
      <c r="BV6" s="15"/>
      <c r="BW6" s="15"/>
      <c r="BX6" s="15"/>
      <c r="BY6" s="15"/>
      <c r="BZ6" s="15"/>
      <c r="CA6" s="15"/>
    </row>
    <row r="7" spans="2:95">
      <c r="B7" s="17" t="s">
        <v>1050</v>
      </c>
      <c r="C7" s="15"/>
      <c r="D7" s="15"/>
      <c r="E7" s="15"/>
      <c r="F7" s="15"/>
      <c r="G7" s="15"/>
      <c r="H7" s="15"/>
      <c r="I7" s="15"/>
      <c r="J7" s="15"/>
      <c r="K7" s="26">
        <f>SUM(AZ7:BC7)</f>
        <v>65.028999999999996</v>
      </c>
      <c r="L7" s="26">
        <f>SUM(BD7:BG7)</f>
        <v>84.736999999999995</v>
      </c>
      <c r="M7" s="26">
        <f>SUM(BH7:BK7)</f>
        <v>108.502</v>
      </c>
      <c r="N7" s="26">
        <f>SUM(BL7:BO7)</f>
        <v>129.815</v>
      </c>
      <c r="O7" s="15"/>
      <c r="P7" s="15"/>
      <c r="Q7" s="15"/>
      <c r="R7" s="15"/>
      <c r="S7" s="15"/>
      <c r="T7" s="15"/>
      <c r="U7" s="15"/>
      <c r="V7" s="15"/>
      <c r="W7" s="15"/>
      <c r="X7" s="15"/>
      <c r="Y7" s="15"/>
      <c r="Z7" s="15"/>
      <c r="AA7" s="15"/>
      <c r="AB7" s="15"/>
      <c r="AC7" s="15"/>
      <c r="AD7" s="15"/>
      <c r="AE7" s="15"/>
      <c r="AF7" s="15"/>
      <c r="AG7" s="15"/>
      <c r="AH7" s="15"/>
      <c r="AI7" s="15"/>
      <c r="AJ7" s="15"/>
      <c r="AK7" s="15"/>
      <c r="AL7" s="15"/>
      <c r="AM7" s="15"/>
      <c r="AN7" s="15"/>
      <c r="AO7" s="15"/>
      <c r="AP7" s="15"/>
      <c r="AQ7" s="15"/>
      <c r="AR7" s="15"/>
      <c r="AS7" s="15"/>
      <c r="AT7" s="15"/>
      <c r="AU7" s="15"/>
      <c r="AV7" s="15"/>
      <c r="AW7" s="15"/>
      <c r="AX7" s="15"/>
      <c r="AY7" s="15"/>
      <c r="AZ7" s="858">
        <v>15.441000000000001</v>
      </c>
      <c r="BA7" s="858">
        <v>15.792</v>
      </c>
      <c r="BB7" s="858">
        <v>16.553000000000001</v>
      </c>
      <c r="BC7" s="858">
        <v>17.242999999999999</v>
      </c>
      <c r="BD7" s="858">
        <v>18.917000000000002</v>
      </c>
      <c r="BE7" s="858">
        <v>20.344000000000001</v>
      </c>
      <c r="BF7" s="858">
        <v>22.021000000000001</v>
      </c>
      <c r="BG7" s="858">
        <v>23.454999999999998</v>
      </c>
      <c r="BH7" s="858">
        <v>25.297000000000001</v>
      </c>
      <c r="BI7" s="858">
        <v>26.244</v>
      </c>
      <c r="BJ7" s="858">
        <v>27.94</v>
      </c>
      <c r="BK7" s="858">
        <v>29.021000000000001</v>
      </c>
      <c r="BL7" s="858">
        <v>30.228000000000002</v>
      </c>
      <c r="BM7" s="858">
        <v>31.734000000000002</v>
      </c>
      <c r="BN7" s="858">
        <v>33.295999999999999</v>
      </c>
      <c r="BO7" s="858">
        <v>34.557000000000002</v>
      </c>
      <c r="BP7" s="858">
        <v>37.143000000000001</v>
      </c>
      <c r="BQ7" s="26"/>
      <c r="BR7" s="15"/>
      <c r="BS7" s="15"/>
      <c r="BT7" s="15"/>
      <c r="BU7" s="14"/>
      <c r="BV7" s="14"/>
      <c r="BW7" s="14"/>
      <c r="BX7" s="14"/>
      <c r="BY7" s="15"/>
      <c r="BZ7" s="15"/>
      <c r="CA7" s="15"/>
    </row>
    <row r="8" spans="2:95">
      <c r="B8" s="17" t="s">
        <v>1124</v>
      </c>
      <c r="C8" s="15"/>
      <c r="D8" s="15"/>
      <c r="E8" s="15"/>
      <c r="F8" s="15"/>
      <c r="G8" s="15"/>
      <c r="H8" s="15"/>
      <c r="I8" s="15"/>
      <c r="J8" s="15"/>
      <c r="K8" s="26">
        <f>SUM(AZ8:BC8)</f>
        <v>41.25800000000001</v>
      </c>
      <c r="L8" s="26">
        <f>SUM(BD8:BG8)</f>
        <v>45.434000000000005</v>
      </c>
      <c r="M8" s="26">
        <f>SUM(BH8:BK8)</f>
        <v>53.192999999999998</v>
      </c>
      <c r="N8" s="26">
        <f>SUM(BL8:BO8)</f>
        <v>61.445</v>
      </c>
      <c r="O8" s="15"/>
      <c r="P8" s="15"/>
      <c r="Q8" s="15"/>
      <c r="R8" s="15"/>
      <c r="S8" s="15"/>
      <c r="T8" s="15"/>
      <c r="U8" s="15"/>
      <c r="V8" s="15"/>
      <c r="W8" s="15"/>
      <c r="X8" s="15"/>
      <c r="Y8" s="15"/>
      <c r="Z8" s="15"/>
      <c r="AA8" s="15"/>
      <c r="AB8" s="15"/>
      <c r="AC8" s="15"/>
      <c r="AD8" s="15"/>
      <c r="AE8" s="15"/>
      <c r="AF8" s="15"/>
      <c r="AG8" s="15"/>
      <c r="AH8" s="15"/>
      <c r="AI8" s="15"/>
      <c r="AJ8" s="15"/>
      <c r="AK8" s="15"/>
      <c r="AL8" s="15"/>
      <c r="AM8" s="15"/>
      <c r="AN8" s="15"/>
      <c r="AO8" s="15"/>
      <c r="AP8" s="15"/>
      <c r="AQ8" s="15"/>
      <c r="AR8" s="15"/>
      <c r="AS8" s="15"/>
      <c r="AT8" s="15"/>
      <c r="AU8" s="15"/>
      <c r="AV8" s="15"/>
      <c r="AW8" s="15"/>
      <c r="AX8" s="15"/>
      <c r="AY8" s="15"/>
      <c r="AZ8" s="858">
        <v>10.117000000000001</v>
      </c>
      <c r="BA8" s="858">
        <v>10.412000000000001</v>
      </c>
      <c r="BB8" s="858">
        <v>10.316000000000001</v>
      </c>
      <c r="BC8" s="858">
        <v>10.413</v>
      </c>
      <c r="BD8" s="858">
        <v>10.916</v>
      </c>
      <c r="BE8" s="858">
        <v>11.179</v>
      </c>
      <c r="BF8" s="858">
        <v>11.483000000000001</v>
      </c>
      <c r="BG8" s="858">
        <v>11.856</v>
      </c>
      <c r="BH8" s="858">
        <v>12.326000000000001</v>
      </c>
      <c r="BI8" s="858">
        <v>13.29</v>
      </c>
      <c r="BJ8" s="858">
        <v>13.659000000000001</v>
      </c>
      <c r="BK8" s="858">
        <v>13.917999999999999</v>
      </c>
      <c r="BL8" s="858">
        <v>14.629</v>
      </c>
      <c r="BM8" s="858">
        <v>15.247</v>
      </c>
      <c r="BN8" s="858">
        <v>15.52</v>
      </c>
      <c r="BO8" s="858">
        <v>16.048999999999999</v>
      </c>
      <c r="BP8" s="858">
        <v>16.648</v>
      </c>
      <c r="BQ8" s="26"/>
      <c r="BR8" s="15"/>
      <c r="BS8" s="15"/>
      <c r="BT8" s="15"/>
      <c r="BU8" s="15"/>
      <c r="BV8" s="15"/>
      <c r="BW8" s="15"/>
      <c r="BX8" s="15"/>
      <c r="BY8" s="15"/>
      <c r="BZ8" s="15"/>
      <c r="CA8" s="15"/>
    </row>
    <row r="9" spans="2:95">
      <c r="B9" s="23" t="s">
        <v>1219</v>
      </c>
      <c r="C9" s="15"/>
      <c r="D9" s="15"/>
      <c r="E9" s="15"/>
      <c r="F9" s="15"/>
      <c r="G9" s="15"/>
      <c r="H9" s="15"/>
      <c r="I9" s="15"/>
      <c r="J9" s="15"/>
      <c r="K9" s="26">
        <f>SUM(K7:K8)</f>
        <v>106.28700000000001</v>
      </c>
      <c r="L9" s="26">
        <f>SUM(L7:L8)</f>
        <v>130.17099999999999</v>
      </c>
      <c r="M9" s="26">
        <f>SUM(M7:M8)</f>
        <v>161.69499999999999</v>
      </c>
      <c r="N9" s="26">
        <f>SUM(N7:N8)</f>
        <v>191.26</v>
      </c>
      <c r="O9" s="15"/>
      <c r="P9" s="15"/>
      <c r="Q9" s="15"/>
      <c r="R9" s="15"/>
      <c r="S9" s="15"/>
      <c r="T9" s="15"/>
      <c r="U9" s="15"/>
      <c r="V9" s="15"/>
      <c r="W9" s="15"/>
      <c r="X9" s="15"/>
      <c r="Y9" s="15"/>
      <c r="Z9" s="15"/>
      <c r="AA9" s="15"/>
      <c r="AB9" s="15"/>
      <c r="AC9" s="15"/>
      <c r="AD9" s="15"/>
      <c r="AE9" s="15"/>
      <c r="AF9" s="15"/>
      <c r="AG9" s="15"/>
      <c r="AH9" s="15"/>
      <c r="AI9" s="15"/>
      <c r="AJ9" s="15"/>
      <c r="AK9" s="15"/>
      <c r="AL9" s="15"/>
      <c r="AM9" s="15"/>
      <c r="AN9" s="15"/>
      <c r="AO9" s="15"/>
      <c r="AP9" s="15"/>
      <c r="AQ9" s="15"/>
      <c r="AR9" s="15"/>
      <c r="AS9" s="15"/>
      <c r="AT9" s="15"/>
      <c r="AU9" s="15"/>
      <c r="AV9" s="15"/>
      <c r="AW9" s="15"/>
      <c r="AX9" s="15"/>
      <c r="AY9" s="15"/>
      <c r="AZ9" s="859">
        <f t="shared" ref="AZ9:BP9" si="0">SUM(AZ7:AZ8)</f>
        <v>25.558</v>
      </c>
      <c r="BA9" s="859">
        <f t="shared" si="0"/>
        <v>26.204000000000001</v>
      </c>
      <c r="BB9" s="859">
        <f t="shared" si="0"/>
        <v>26.869</v>
      </c>
      <c r="BC9" s="859">
        <f t="shared" si="0"/>
        <v>27.655999999999999</v>
      </c>
      <c r="BD9" s="859">
        <f t="shared" si="0"/>
        <v>29.833000000000002</v>
      </c>
      <c r="BE9" s="859">
        <f t="shared" si="0"/>
        <v>31.523000000000003</v>
      </c>
      <c r="BF9" s="859">
        <f t="shared" si="0"/>
        <v>33.504000000000005</v>
      </c>
      <c r="BG9" s="859">
        <f t="shared" si="0"/>
        <v>35.311</v>
      </c>
      <c r="BH9" s="859">
        <f t="shared" si="0"/>
        <v>37.623000000000005</v>
      </c>
      <c r="BI9" s="859">
        <f t="shared" si="0"/>
        <v>39.533999999999999</v>
      </c>
      <c r="BJ9" s="859">
        <f t="shared" si="0"/>
        <v>41.599000000000004</v>
      </c>
      <c r="BK9" s="859">
        <f t="shared" si="0"/>
        <v>42.939</v>
      </c>
      <c r="BL9" s="859">
        <f t="shared" si="0"/>
        <v>44.856999999999999</v>
      </c>
      <c r="BM9" s="859">
        <f t="shared" si="0"/>
        <v>46.981000000000002</v>
      </c>
      <c r="BN9" s="859">
        <f t="shared" si="0"/>
        <v>48.816000000000003</v>
      </c>
      <c r="BO9" s="859">
        <f t="shared" si="0"/>
        <v>50.606000000000002</v>
      </c>
      <c r="BP9" s="859">
        <f t="shared" si="0"/>
        <v>53.790999999999997</v>
      </c>
      <c r="BQ9" s="859"/>
      <c r="BR9" s="15"/>
      <c r="BS9" s="15"/>
      <c r="BT9" s="15"/>
      <c r="BU9" s="15"/>
      <c r="BV9" s="15"/>
      <c r="BW9" s="15"/>
      <c r="BX9" s="15"/>
      <c r="BY9" s="15"/>
      <c r="BZ9" s="15"/>
      <c r="CA9" s="15"/>
    </row>
    <row r="10" spans="2:95">
      <c r="B10" s="860" t="s">
        <v>281</v>
      </c>
      <c r="C10" s="15"/>
      <c r="D10" s="15"/>
      <c r="E10" s="15"/>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5"/>
      <c r="AZ10" s="858"/>
      <c r="BA10" s="861">
        <f t="shared" ref="BA10:BP10" si="1">BA9/AZ9-1</f>
        <v>2.5275843180217583E-2</v>
      </c>
      <c r="BB10" s="861">
        <f t="shared" si="1"/>
        <v>2.5377804915279967E-2</v>
      </c>
      <c r="BC10" s="861">
        <f t="shared" si="1"/>
        <v>2.9290260151103364E-2</v>
      </c>
      <c r="BD10" s="861">
        <f t="shared" si="1"/>
        <v>7.8717095747758314E-2</v>
      </c>
      <c r="BE10" s="861">
        <f t="shared" si="1"/>
        <v>5.6648677638856393E-2</v>
      </c>
      <c r="BF10" s="861">
        <f t="shared" si="1"/>
        <v>6.2843003521238616E-2</v>
      </c>
      <c r="BG10" s="861">
        <f t="shared" si="1"/>
        <v>5.3933858643743893E-2</v>
      </c>
      <c r="BH10" s="861">
        <f t="shared" si="1"/>
        <v>6.5475347625385982E-2</v>
      </c>
      <c r="BI10" s="861">
        <f t="shared" si="1"/>
        <v>5.0793397655689132E-2</v>
      </c>
      <c r="BJ10" s="861">
        <f t="shared" si="1"/>
        <v>5.2233520513988108E-2</v>
      </c>
      <c r="BK10" s="861">
        <f t="shared" si="1"/>
        <v>3.221231279598058E-2</v>
      </c>
      <c r="BL10" s="861">
        <f t="shared" si="1"/>
        <v>4.4668017420061101E-2</v>
      </c>
      <c r="BM10" s="861">
        <f t="shared" si="1"/>
        <v>4.7350469269010542E-2</v>
      </c>
      <c r="BN10" s="861">
        <f t="shared" si="1"/>
        <v>3.9058342734296758E-2</v>
      </c>
      <c r="BO10" s="861">
        <f t="shared" si="1"/>
        <v>3.6668305473615215E-2</v>
      </c>
      <c r="BP10" s="861">
        <f t="shared" si="1"/>
        <v>6.2937201122396536E-2</v>
      </c>
      <c r="BQ10" s="769"/>
      <c r="BR10" s="15"/>
      <c r="BS10" s="15"/>
      <c r="BT10" s="15"/>
      <c r="BU10" s="15"/>
      <c r="BV10" s="15"/>
      <c r="BW10" s="15"/>
      <c r="BX10" s="15"/>
      <c r="BY10" s="15"/>
      <c r="BZ10" s="15"/>
      <c r="CA10" s="15"/>
    </row>
    <row r="11" spans="2:95">
      <c r="B11" s="860" t="s">
        <v>290</v>
      </c>
      <c r="C11" s="15"/>
      <c r="D11" s="15"/>
      <c r="E11" s="15"/>
      <c r="F11" s="15"/>
      <c r="G11" s="15"/>
      <c r="H11" s="15"/>
      <c r="I11" s="15"/>
      <c r="J11" s="15"/>
      <c r="K11" s="15"/>
      <c r="L11" s="38">
        <f>L9/K9-1</f>
        <v>0.22471233546906011</v>
      </c>
      <c r="M11" s="38">
        <f>M9/L9-1</f>
        <v>0.24217375605933733</v>
      </c>
      <c r="N11" s="38">
        <f>N9/M9-1</f>
        <v>0.182844243792325</v>
      </c>
      <c r="O11" s="15"/>
      <c r="P11" s="15"/>
      <c r="Q11" s="15"/>
      <c r="R11" s="15"/>
      <c r="S11" s="15"/>
      <c r="T11" s="15"/>
      <c r="U11" s="15"/>
      <c r="V11" s="15"/>
      <c r="W11" s="15"/>
      <c r="X11" s="15"/>
      <c r="Y11" s="15"/>
      <c r="Z11" s="15"/>
      <c r="AA11" s="15"/>
      <c r="AB11" s="15"/>
      <c r="AC11" s="15"/>
      <c r="AD11" s="15"/>
      <c r="AE11" s="15"/>
      <c r="AF11" s="15"/>
      <c r="AG11" s="15"/>
      <c r="AH11" s="15"/>
      <c r="AI11" s="15"/>
      <c r="AJ11" s="15"/>
      <c r="AK11" s="15"/>
      <c r="AL11" s="15"/>
      <c r="AM11" s="15"/>
      <c r="AN11" s="15"/>
      <c r="AO11" s="15"/>
      <c r="AP11" s="15"/>
      <c r="AQ11" s="15"/>
      <c r="AR11" s="15"/>
      <c r="AS11" s="15"/>
      <c r="AT11" s="15"/>
      <c r="AU11" s="15"/>
      <c r="AV11" s="15"/>
      <c r="AW11" s="15"/>
      <c r="AX11" s="15"/>
      <c r="AY11" s="15"/>
      <c r="AZ11" s="15"/>
      <c r="BA11" s="15"/>
      <c r="BB11" s="15"/>
      <c r="BC11" s="15"/>
      <c r="BD11" s="861">
        <f t="shared" ref="BD11:BP11" si="2">BD9/AZ9-1</f>
        <v>0.16726660928085146</v>
      </c>
      <c r="BE11" s="861">
        <f t="shared" si="2"/>
        <v>0.20298427720958645</v>
      </c>
      <c r="BF11" s="861">
        <f t="shared" si="2"/>
        <v>0.24693885146451322</v>
      </c>
      <c r="BG11" s="861">
        <f t="shared" si="2"/>
        <v>0.27679346253977433</v>
      </c>
      <c r="BH11" s="861">
        <f t="shared" si="2"/>
        <v>0.26112023598029044</v>
      </c>
      <c r="BI11" s="861">
        <f t="shared" si="2"/>
        <v>0.25413190368936944</v>
      </c>
      <c r="BJ11" s="861">
        <f t="shared" si="2"/>
        <v>0.24161294173829972</v>
      </c>
      <c r="BK11" s="861">
        <f t="shared" si="2"/>
        <v>0.21602333550451691</v>
      </c>
      <c r="BL11" s="861">
        <f t="shared" si="2"/>
        <v>0.19227600138213319</v>
      </c>
      <c r="BM11" s="861">
        <f t="shared" si="2"/>
        <v>0.18836950473010572</v>
      </c>
      <c r="BN11" s="861">
        <f t="shared" si="2"/>
        <v>0.17348974734969591</v>
      </c>
      <c r="BO11" s="861">
        <f t="shared" si="2"/>
        <v>0.17855562542211056</v>
      </c>
      <c r="BP11" s="861">
        <f t="shared" si="2"/>
        <v>0.19916623938292788</v>
      </c>
      <c r="BQ11" s="769"/>
      <c r="BR11" s="15"/>
      <c r="BS11" s="15"/>
      <c r="BT11" s="15"/>
      <c r="BU11" s="15"/>
      <c r="BV11" s="15"/>
      <c r="BW11" s="15"/>
      <c r="BX11" s="15"/>
      <c r="BY11" s="15"/>
      <c r="BZ11" s="15"/>
      <c r="CA11" s="15"/>
    </row>
    <row r="12" spans="2:95">
      <c r="B12" s="862" t="s">
        <v>1220</v>
      </c>
      <c r="C12" s="15"/>
      <c r="D12" s="15"/>
      <c r="E12" s="15"/>
      <c r="F12" s="15"/>
      <c r="G12" s="15"/>
      <c r="H12" s="15"/>
      <c r="I12" s="15"/>
      <c r="J12" s="15"/>
      <c r="K12" s="26">
        <f>SUM(AZ12:BC12)</f>
        <v>4.915</v>
      </c>
      <c r="L12" s="26">
        <f>SUM(BD12:BG12)</f>
        <v>7.5049999999999999</v>
      </c>
      <c r="M12" s="26">
        <f>SUM(BH12:BK12)</f>
        <v>9.8300000000000018</v>
      </c>
      <c r="N12" s="26">
        <f>SUM(BL12:BO12)</f>
        <v>14.177999999999997</v>
      </c>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858">
        <v>1.0429999999999999</v>
      </c>
      <c r="BA12" s="858">
        <v>1.1279999999999999</v>
      </c>
      <c r="BB12" s="858">
        <v>1.3240000000000001</v>
      </c>
      <c r="BC12" s="858">
        <v>1.42</v>
      </c>
      <c r="BD12" s="858">
        <v>1.637</v>
      </c>
      <c r="BE12" s="858">
        <v>1.754</v>
      </c>
      <c r="BF12" s="858">
        <v>1.9279999999999999</v>
      </c>
      <c r="BG12" s="858">
        <v>2.1859999999999999</v>
      </c>
      <c r="BH12" s="858">
        <v>2.1539999999999999</v>
      </c>
      <c r="BI12" s="858">
        <v>2.3610000000000002</v>
      </c>
      <c r="BJ12" s="858">
        <v>2.48</v>
      </c>
      <c r="BK12" s="858">
        <v>2.835</v>
      </c>
      <c r="BL12" s="858">
        <v>2.2759999999999998</v>
      </c>
      <c r="BM12" s="858">
        <v>2.379</v>
      </c>
      <c r="BN12" s="858">
        <v>4.7039999999999997</v>
      </c>
      <c r="BO12" s="858">
        <v>4.819</v>
      </c>
      <c r="BP12" s="858">
        <v>2.9039999999999999</v>
      </c>
      <c r="BQ12" s="769"/>
      <c r="BR12" s="15"/>
      <c r="BS12" s="15"/>
      <c r="BT12" s="15"/>
      <c r="BU12" s="15"/>
      <c r="BV12" s="15"/>
      <c r="BW12" s="15"/>
      <c r="BX12" s="15"/>
      <c r="BY12" s="15"/>
      <c r="BZ12" s="15"/>
      <c r="CA12" s="15"/>
    </row>
    <row r="13" spans="2:95" ht="10.5" customHeight="1">
      <c r="B13" s="863" t="s">
        <v>975</v>
      </c>
      <c r="C13" s="15"/>
      <c r="D13" s="15"/>
      <c r="E13" s="15"/>
      <c r="F13" s="15"/>
      <c r="G13" s="15"/>
      <c r="H13" s="15"/>
      <c r="I13" s="15"/>
      <c r="J13" s="15"/>
      <c r="K13" s="195">
        <f>K12+K9</f>
        <v>111.20200000000001</v>
      </c>
      <c r="L13" s="195">
        <f>L12+L9</f>
        <v>137.67599999999999</v>
      </c>
      <c r="M13" s="195">
        <f>M12+M9</f>
        <v>171.52500000000001</v>
      </c>
      <c r="N13" s="195">
        <f>N12+N9</f>
        <v>205.43799999999999</v>
      </c>
      <c r="O13" s="195">
        <f>SUM(BP13:BS13)</f>
        <v>228.60760000000002</v>
      </c>
      <c r="P13" s="15"/>
      <c r="Q13" s="15"/>
      <c r="R13" s="15"/>
      <c r="S13" s="15"/>
      <c r="T13" s="15"/>
      <c r="U13" s="15"/>
      <c r="V13" s="15"/>
      <c r="W13" s="15"/>
      <c r="X13" s="15"/>
      <c r="Y13" s="15"/>
      <c r="Z13" s="15"/>
      <c r="AA13" s="15"/>
      <c r="AB13" s="15"/>
      <c r="AC13" s="15"/>
      <c r="AD13" s="15"/>
      <c r="AE13" s="15"/>
      <c r="AF13" s="15"/>
      <c r="AG13" s="15"/>
      <c r="AH13" s="15"/>
      <c r="AI13" s="15"/>
      <c r="AJ13" s="15"/>
      <c r="AK13" s="15"/>
      <c r="AL13" s="15"/>
      <c r="AM13" s="15"/>
      <c r="AN13" s="15"/>
      <c r="AO13" s="15"/>
      <c r="AP13" s="15"/>
      <c r="AQ13" s="15"/>
      <c r="AR13" s="15"/>
      <c r="AS13" s="15"/>
      <c r="AT13" s="15"/>
      <c r="AU13" s="15"/>
      <c r="AV13" s="15"/>
      <c r="AW13" s="15"/>
      <c r="AX13" s="15"/>
      <c r="AY13" s="15"/>
      <c r="AZ13" s="90">
        <f t="shared" ref="AZ13:BP13" si="3">AZ12+AZ9</f>
        <v>26.600999999999999</v>
      </c>
      <c r="BA13" s="90">
        <f t="shared" si="3"/>
        <v>27.332000000000001</v>
      </c>
      <c r="BB13" s="90">
        <f t="shared" si="3"/>
        <v>28.193000000000001</v>
      </c>
      <c r="BC13" s="90">
        <f t="shared" si="3"/>
        <v>29.076000000000001</v>
      </c>
      <c r="BD13" s="90">
        <f t="shared" si="3"/>
        <v>31.470000000000002</v>
      </c>
      <c r="BE13" s="90">
        <f t="shared" si="3"/>
        <v>33.277000000000001</v>
      </c>
      <c r="BF13" s="90">
        <f t="shared" si="3"/>
        <v>35.432000000000002</v>
      </c>
      <c r="BG13" s="90">
        <f t="shared" si="3"/>
        <v>37.497</v>
      </c>
      <c r="BH13" s="90">
        <f t="shared" si="3"/>
        <v>39.777000000000001</v>
      </c>
      <c r="BI13" s="90">
        <f t="shared" si="3"/>
        <v>41.894999999999996</v>
      </c>
      <c r="BJ13" s="90">
        <f t="shared" si="3"/>
        <v>44.079000000000001</v>
      </c>
      <c r="BK13" s="90">
        <f t="shared" si="3"/>
        <v>45.774000000000001</v>
      </c>
      <c r="BL13" s="90">
        <f t="shared" si="3"/>
        <v>47.132999999999996</v>
      </c>
      <c r="BM13" s="90">
        <f t="shared" si="3"/>
        <v>49.36</v>
      </c>
      <c r="BN13" s="90">
        <f t="shared" si="3"/>
        <v>53.52</v>
      </c>
      <c r="BO13" s="90">
        <f t="shared" si="3"/>
        <v>55.425000000000004</v>
      </c>
      <c r="BP13" s="90">
        <f t="shared" si="3"/>
        <v>56.694999999999993</v>
      </c>
      <c r="BQ13" s="864">
        <f>37.6+37.6/2</f>
        <v>56.400000000000006</v>
      </c>
      <c r="BR13" s="90">
        <f>BQ13*(1+BR14)</f>
        <v>57.612600000000008</v>
      </c>
      <c r="BS13" s="90">
        <v>57.9</v>
      </c>
      <c r="BT13" s="90">
        <v>60.3</v>
      </c>
      <c r="BU13" s="15"/>
      <c r="BV13" s="15"/>
      <c r="BW13" s="15"/>
      <c r="BX13" s="15"/>
      <c r="BY13" s="15"/>
      <c r="BZ13" s="15"/>
      <c r="CA13" s="15"/>
    </row>
    <row r="14" spans="2:95" s="15" customFormat="1">
      <c r="B14" s="860" t="s">
        <v>281</v>
      </c>
      <c r="BA14" s="861">
        <f t="shared" ref="BA14:BQ14" si="4">BA13/AZ13-1</f>
        <v>2.7480169918424169E-2</v>
      </c>
      <c r="BB14" s="861">
        <f t="shared" si="4"/>
        <v>3.1501536660324847E-2</v>
      </c>
      <c r="BC14" s="861">
        <f t="shared" si="4"/>
        <v>3.1319831163763912E-2</v>
      </c>
      <c r="BD14" s="861">
        <f t="shared" si="4"/>
        <v>8.2335947172926138E-2</v>
      </c>
      <c r="BE14" s="861">
        <f t="shared" si="4"/>
        <v>5.7419764855417776E-2</v>
      </c>
      <c r="BF14" s="861">
        <f t="shared" si="4"/>
        <v>6.4759443459446508E-2</v>
      </c>
      <c r="BG14" s="861">
        <f t="shared" si="4"/>
        <v>5.8280650259652234E-2</v>
      </c>
      <c r="BH14" s="861">
        <f t="shared" si="4"/>
        <v>6.0804864389151225E-2</v>
      </c>
      <c r="BI14" s="861">
        <f t="shared" si="4"/>
        <v>5.324685119541428E-2</v>
      </c>
      <c r="BJ14" s="861">
        <f t="shared" si="4"/>
        <v>5.2130325814536471E-2</v>
      </c>
      <c r="BK14" s="861">
        <f t="shared" si="4"/>
        <v>3.8453685428435413E-2</v>
      </c>
      <c r="BL14" s="861">
        <f t="shared" si="4"/>
        <v>2.9689343295320469E-2</v>
      </c>
      <c r="BM14" s="861">
        <f t="shared" si="4"/>
        <v>4.724927333290907E-2</v>
      </c>
      <c r="BN14" s="861">
        <f t="shared" si="4"/>
        <v>8.4278768233387424E-2</v>
      </c>
      <c r="BO14" s="861">
        <f t="shared" si="4"/>
        <v>3.5594170403587366E-2</v>
      </c>
      <c r="BP14" s="861">
        <f t="shared" si="4"/>
        <v>2.2913847541722765E-2</v>
      </c>
      <c r="BQ14" s="861">
        <f t="shared" si="4"/>
        <v>-5.2032807125846903E-3</v>
      </c>
      <c r="BR14" s="865">
        <v>2.1499999999999998E-2</v>
      </c>
      <c r="BS14" s="865">
        <v>2.2499999999999999E-2</v>
      </c>
      <c r="CB14"/>
      <c r="CC14"/>
      <c r="CD14"/>
      <c r="CE14"/>
      <c r="CF14"/>
      <c r="CG14"/>
      <c r="CH14"/>
      <c r="CI14"/>
      <c r="CJ14"/>
      <c r="CK14"/>
      <c r="CL14"/>
      <c r="CM14"/>
      <c r="CN14"/>
      <c r="CO14"/>
      <c r="CP14"/>
      <c r="CQ14"/>
    </row>
    <row r="15" spans="2:95" s="15" customFormat="1">
      <c r="B15" s="860" t="s">
        <v>290</v>
      </c>
      <c r="L15" s="38">
        <f>L13/K13-1</f>
        <v>0.23807125771119209</v>
      </c>
      <c r="M15" s="38">
        <f>M13/L13-1</f>
        <v>0.2458598448531335</v>
      </c>
      <c r="N15" s="38">
        <f>N13/M13-1</f>
        <v>0.19771461886022434</v>
      </c>
      <c r="O15" s="38">
        <f>O13/N13-1</f>
        <v>0.11278147178224107</v>
      </c>
      <c r="BD15" s="861">
        <f t="shared" ref="BD15:BS15" si="5">BD13/AZ13-1</f>
        <v>0.1830382316454271</v>
      </c>
      <c r="BE15" s="861">
        <f t="shared" si="5"/>
        <v>0.21751061027367191</v>
      </c>
      <c r="BF15" s="861">
        <f t="shared" si="5"/>
        <v>0.25676586386691724</v>
      </c>
      <c r="BG15" s="861">
        <f t="shared" si="5"/>
        <v>0.28962030540652073</v>
      </c>
      <c r="BH15" s="861">
        <f t="shared" si="5"/>
        <v>0.26396568160152523</v>
      </c>
      <c r="BI15" s="861">
        <f t="shared" si="5"/>
        <v>0.25897767226612967</v>
      </c>
      <c r="BJ15" s="861">
        <f t="shared" si="5"/>
        <v>0.24404493113569647</v>
      </c>
      <c r="BK15" s="861">
        <f t="shared" si="5"/>
        <v>0.22073765901272102</v>
      </c>
      <c r="BL15" s="861">
        <f t="shared" si="5"/>
        <v>0.18493099027075943</v>
      </c>
      <c r="BM15" s="861">
        <f t="shared" si="5"/>
        <v>0.17818355412340381</v>
      </c>
      <c r="BN15" s="861">
        <f t="shared" si="5"/>
        <v>0.21418362485537346</v>
      </c>
      <c r="BO15" s="861">
        <f t="shared" si="5"/>
        <v>0.21084021496919658</v>
      </c>
      <c r="BP15" s="861">
        <f t="shared" si="5"/>
        <v>0.20287272187214889</v>
      </c>
      <c r="BQ15" s="861">
        <f t="shared" si="5"/>
        <v>0.14262560777957867</v>
      </c>
      <c r="BR15" s="861">
        <f t="shared" si="5"/>
        <v>7.6468609865470993E-2</v>
      </c>
      <c r="BS15" s="861">
        <f t="shared" si="5"/>
        <v>4.4654939106901104E-2</v>
      </c>
      <c r="CB15"/>
      <c r="CC15"/>
      <c r="CD15"/>
      <c r="CE15"/>
      <c r="CF15"/>
      <c r="CG15"/>
      <c r="CH15"/>
      <c r="CI15"/>
      <c r="CJ15"/>
      <c r="CK15"/>
      <c r="CL15"/>
      <c r="CM15"/>
      <c r="CN15"/>
      <c r="CO15"/>
      <c r="CP15"/>
      <c r="CQ15"/>
    </row>
    <row r="16" spans="2:95" s="15" customFormat="1" ht="3.75" customHeight="1">
      <c r="B16" s="866"/>
      <c r="BL16" s="858"/>
      <c r="BM16" s="858"/>
      <c r="BN16" s="858"/>
      <c r="BO16" s="858"/>
      <c r="BP16" s="858"/>
      <c r="CB16"/>
      <c r="CC16"/>
      <c r="CD16"/>
      <c r="CE16"/>
      <c r="CF16"/>
      <c r="CG16"/>
      <c r="CH16"/>
      <c r="CI16"/>
      <c r="CJ16"/>
      <c r="CK16"/>
      <c r="CL16"/>
      <c r="CM16"/>
      <c r="CN16"/>
      <c r="CO16"/>
      <c r="CP16"/>
      <c r="CQ16"/>
    </row>
    <row r="17" spans="2:95" s="15" customFormat="1">
      <c r="B17" s="866" t="s">
        <v>278</v>
      </c>
      <c r="K17" s="26">
        <f>SUM(AZ17:BC17)</f>
        <v>59.957000000000008</v>
      </c>
      <c r="L17" s="26">
        <f>SUM(BD17:BG17)</f>
        <v>71.034999999999997</v>
      </c>
      <c r="M17" s="26">
        <f>SUM(BH17:BK17)</f>
        <v>90.119</v>
      </c>
      <c r="N17" s="26">
        <f>SUM(BL17:BO17)</f>
        <v>103.133</v>
      </c>
      <c r="AZ17" s="858">
        <v>14.48</v>
      </c>
      <c r="BA17" s="858">
        <v>14.702</v>
      </c>
      <c r="BB17" s="858">
        <v>15.804</v>
      </c>
      <c r="BC17" s="858">
        <v>14.971</v>
      </c>
      <c r="BD17" s="858">
        <v>16.495999999999999</v>
      </c>
      <c r="BE17" s="858">
        <v>17.349</v>
      </c>
      <c r="BF17" s="858">
        <v>18.709</v>
      </c>
      <c r="BG17" s="858">
        <v>18.481000000000002</v>
      </c>
      <c r="BH17" s="858">
        <v>20.359000000000002</v>
      </c>
      <c r="BI17" s="858">
        <v>21.640999999999998</v>
      </c>
      <c r="BJ17" s="858">
        <v>23.742000000000001</v>
      </c>
      <c r="BK17" s="858">
        <v>24.376999999999999</v>
      </c>
      <c r="BL17" s="858">
        <v>24.292999999999999</v>
      </c>
      <c r="BM17" s="858">
        <v>24.466000000000001</v>
      </c>
      <c r="BN17" s="858">
        <v>25.928000000000001</v>
      </c>
      <c r="BO17" s="858">
        <v>28.446000000000002</v>
      </c>
      <c r="BP17" s="858">
        <v>27.298999999999999</v>
      </c>
      <c r="BQ17" s="769"/>
      <c r="CB17"/>
      <c r="CC17"/>
      <c r="CD17"/>
      <c r="CE17"/>
      <c r="CF17"/>
      <c r="CG17"/>
      <c r="CH17"/>
      <c r="CI17"/>
      <c r="CJ17"/>
      <c r="CK17"/>
      <c r="CL17"/>
      <c r="CM17"/>
      <c r="CN17"/>
      <c r="CO17"/>
      <c r="CP17"/>
      <c r="CQ17"/>
    </row>
    <row r="18" spans="2:95" s="15" customFormat="1">
      <c r="B18" s="866"/>
      <c r="K18" s="26"/>
      <c r="L18" s="26"/>
      <c r="M18" s="26"/>
      <c r="N18" s="26"/>
      <c r="AZ18" s="858"/>
      <c r="BA18" s="858"/>
      <c r="BB18" s="858"/>
      <c r="BC18" s="858"/>
      <c r="BD18" s="858"/>
      <c r="BE18" s="858"/>
      <c r="BF18" s="858"/>
      <c r="BG18" s="858"/>
      <c r="BH18" s="858"/>
      <c r="BI18" s="858"/>
      <c r="BJ18" s="858"/>
      <c r="BK18" s="858"/>
      <c r="BL18" s="861">
        <f>(BL13-BL17)/BL13</f>
        <v>0.48458617104788576</v>
      </c>
      <c r="BM18" s="861">
        <f>(BM13-BM17)/BM13</f>
        <v>0.50433549432739055</v>
      </c>
      <c r="BN18" s="861">
        <f>(BN13-BN17)/BN13</f>
        <v>0.5155455904334828</v>
      </c>
      <c r="BO18" s="861">
        <f>(BO13-BO17)/BO13</f>
        <v>0.48676589986468199</v>
      </c>
      <c r="BP18" s="861">
        <f>(BP13-BP17)/BP13</f>
        <v>0.51849369432930592</v>
      </c>
      <c r="BQ18" s="861">
        <f>BP18</f>
        <v>0.51849369432930592</v>
      </c>
      <c r="CB18"/>
      <c r="CC18"/>
      <c r="CD18"/>
      <c r="CE18"/>
      <c r="CF18"/>
      <c r="CG18"/>
      <c r="CH18"/>
      <c r="CI18"/>
      <c r="CJ18"/>
      <c r="CK18"/>
      <c r="CL18"/>
      <c r="CM18"/>
      <c r="CN18"/>
      <c r="CO18"/>
      <c r="CP18"/>
      <c r="CQ18"/>
    </row>
    <row r="19" spans="2:95" s="15" customFormat="1" ht="11.25" customHeight="1">
      <c r="B19" s="866" t="s">
        <v>1223</v>
      </c>
      <c r="K19" s="26">
        <f t="shared" ref="K19:K26" si="6">SUM(AZ19:BC19)</f>
        <v>12.326999999999998</v>
      </c>
      <c r="L19" s="26">
        <f t="shared" ref="L19:L26" si="7">SUM(BD19:BG19)</f>
        <v>16.312000000000001</v>
      </c>
      <c r="M19" s="26">
        <f t="shared" ref="M19:M26" si="8">SUM(BH19:BK19)</f>
        <v>19.670999999999999</v>
      </c>
      <c r="N19" s="26">
        <f t="shared" ref="N19:N26" si="9">SUM(BL19:BO19)</f>
        <v>20.733000000000001</v>
      </c>
      <c r="AZ19" s="858">
        <v>3.145</v>
      </c>
      <c r="BA19" s="858">
        <v>2.9750000000000001</v>
      </c>
      <c r="BB19" s="858">
        <v>3.1059999999999999</v>
      </c>
      <c r="BC19" s="858">
        <v>3.101</v>
      </c>
      <c r="BD19" s="858">
        <v>3.8170000000000002</v>
      </c>
      <c r="BE19" s="858">
        <v>4.0439999999999996</v>
      </c>
      <c r="BF19" s="858">
        <v>3.8410000000000002</v>
      </c>
      <c r="BG19" s="858">
        <v>4.6100000000000003</v>
      </c>
      <c r="BH19" s="858">
        <v>5.194</v>
      </c>
      <c r="BI19" s="858">
        <v>4.8710000000000004</v>
      </c>
      <c r="BJ19" s="858">
        <v>4.6130000000000004</v>
      </c>
      <c r="BK19" s="858">
        <v>4.9930000000000003</v>
      </c>
      <c r="BL19" s="858">
        <v>5.2240000000000002</v>
      </c>
      <c r="BM19" s="858">
        <v>5.16</v>
      </c>
      <c r="BN19" s="858">
        <v>4.7460000000000004</v>
      </c>
      <c r="BO19" s="858">
        <v>5.6029999999999998</v>
      </c>
      <c r="BP19" s="858">
        <v>5.9240000000000004</v>
      </c>
      <c r="BQ19" s="26">
        <f>BP19</f>
        <v>5.9240000000000004</v>
      </c>
      <c r="CB19"/>
    </row>
    <row r="20" spans="2:95" s="15" customFormat="1" ht="12.75" customHeight="1">
      <c r="B20" s="866" t="s">
        <v>1224</v>
      </c>
      <c r="K20" s="26">
        <f t="shared" si="6"/>
        <v>10.108000000000001</v>
      </c>
      <c r="L20" s="26">
        <f t="shared" si="7"/>
        <v>10.954000000000001</v>
      </c>
      <c r="M20" s="26">
        <f t="shared" si="8"/>
        <v>11.349000000000002</v>
      </c>
      <c r="N20" s="26">
        <f t="shared" si="9"/>
        <v>12.666999999999998</v>
      </c>
      <c r="AZ20" s="858">
        <v>2.2370000000000001</v>
      </c>
      <c r="BA20" s="858">
        <v>2.7079999999999997</v>
      </c>
      <c r="BB20" s="858">
        <v>2.76</v>
      </c>
      <c r="BC20" s="858">
        <v>2.403</v>
      </c>
      <c r="BD20" s="858">
        <v>2.9710000000000001</v>
      </c>
      <c r="BE20" s="858">
        <v>2.7430000000000003</v>
      </c>
      <c r="BF20" s="858">
        <v>2.645</v>
      </c>
      <c r="BG20" s="858">
        <v>2.5950000000000002</v>
      </c>
      <c r="BH20" s="858">
        <v>2.8160000000000007</v>
      </c>
      <c r="BI20" s="858">
        <v>2.6659999999999999</v>
      </c>
      <c r="BJ20" s="858">
        <v>2.9090000000000003</v>
      </c>
      <c r="BK20" s="858">
        <v>2.9580000000000002</v>
      </c>
      <c r="BL20" s="858">
        <v>3.3170000000000002</v>
      </c>
      <c r="BM20" s="858">
        <v>2.8389999999999995</v>
      </c>
      <c r="BN20" s="858">
        <v>3.3810000000000002</v>
      </c>
      <c r="BO20" s="858">
        <v>3.13</v>
      </c>
      <c r="BP20" s="858">
        <v>3.1259999999999994</v>
      </c>
      <c r="BQ20" s="26">
        <f>BP20</f>
        <v>3.1259999999999994</v>
      </c>
      <c r="CB20"/>
    </row>
    <row r="21" spans="2:95" s="15" customFormat="1" ht="12" customHeight="1" outlineLevel="1">
      <c r="B21" s="867" t="s">
        <v>1551</v>
      </c>
      <c r="K21" s="26">
        <f t="shared" si="6"/>
        <v>1.7349999999999999</v>
      </c>
      <c r="L21" s="26">
        <f t="shared" si="7"/>
        <v>2.4510000000000001</v>
      </c>
      <c r="M21" s="26">
        <f t="shared" si="8"/>
        <v>6.0939999999999994</v>
      </c>
      <c r="N21" s="26">
        <f t="shared" si="9"/>
        <v>7.2889999999999997</v>
      </c>
      <c r="AZ21" s="858">
        <v>0.63</v>
      </c>
      <c r="BA21" s="858">
        <v>0.51200000000000001</v>
      </c>
      <c r="BB21" s="858">
        <v>0.32700000000000001</v>
      </c>
      <c r="BC21" s="858">
        <v>0.26600000000000001</v>
      </c>
      <c r="BD21" s="858">
        <v>0.38800000000000001</v>
      </c>
      <c r="BE21" s="858">
        <v>0.45300000000000001</v>
      </c>
      <c r="BF21" s="858">
        <v>0.79400000000000004</v>
      </c>
      <c r="BG21" s="858">
        <v>0.81599999999999995</v>
      </c>
      <c r="BH21" s="858">
        <v>1.133</v>
      </c>
      <c r="BI21" s="858">
        <v>1.425</v>
      </c>
      <c r="BJ21" s="858">
        <v>1.151</v>
      </c>
      <c r="BK21" s="858">
        <v>2.3849999999999998</v>
      </c>
      <c r="BL21" s="858">
        <v>2.27</v>
      </c>
      <c r="BM21" s="858">
        <v>1.7989999999999999</v>
      </c>
      <c r="BN21" s="858">
        <v>1.657</v>
      </c>
      <c r="BO21" s="858">
        <v>1.5629999999999999</v>
      </c>
      <c r="BP21" s="858">
        <v>1.4590000000000001</v>
      </c>
      <c r="CB21"/>
    </row>
    <row r="22" spans="2:95" s="15" customFormat="1" outlineLevel="1">
      <c r="B22" s="867" t="s">
        <v>1552</v>
      </c>
      <c r="K22" s="26">
        <f t="shared" si="6"/>
        <v>0.13699999999999998</v>
      </c>
      <c r="L22" s="26">
        <f t="shared" si="7"/>
        <v>3.4000000000000002E-2</v>
      </c>
      <c r="M22" s="26">
        <f t="shared" si="8"/>
        <v>4.0000000000000001E-3</v>
      </c>
      <c r="N22" s="26">
        <f t="shared" si="9"/>
        <v>9.9999999999998701E-4</v>
      </c>
      <c r="AZ22" s="858">
        <v>0</v>
      </c>
      <c r="BA22" s="858">
        <v>0</v>
      </c>
      <c r="BB22" s="858">
        <v>0.17799999999999999</v>
      </c>
      <c r="BC22" s="858">
        <v>-4.1000000000000002E-2</v>
      </c>
      <c r="BD22" s="858">
        <v>2.4E-2</v>
      </c>
      <c r="BE22" s="858">
        <v>1.4E-2</v>
      </c>
      <c r="BF22" s="858">
        <v>2E-3</v>
      </c>
      <c r="BG22" s="858">
        <v>-6.0000000000000001E-3</v>
      </c>
      <c r="BH22" s="858">
        <v>6.0000000000000001E-3</v>
      </c>
      <c r="BI22" s="858">
        <v>0</v>
      </c>
      <c r="BJ22" s="858">
        <v>0</v>
      </c>
      <c r="BK22" s="858">
        <v>-2E-3</v>
      </c>
      <c r="BL22" s="858">
        <v>-5.0000000000000001E-3</v>
      </c>
      <c r="BM22" s="858">
        <v>0</v>
      </c>
      <c r="BN22" s="858">
        <v>-8.4000000000000005E-2</v>
      </c>
      <c r="BO22" s="858">
        <v>0.09</v>
      </c>
      <c r="BP22" s="858">
        <v>1.4E-2</v>
      </c>
      <c r="CB22"/>
    </row>
    <row r="23" spans="2:95" s="15" customFormat="1" outlineLevel="1">
      <c r="B23" s="862" t="s">
        <v>292</v>
      </c>
      <c r="K23" s="26">
        <f t="shared" si="6"/>
        <v>0.26600000000000001</v>
      </c>
      <c r="L23" s="26">
        <f t="shared" si="7"/>
        <v>4.085</v>
      </c>
      <c r="M23" s="26">
        <f t="shared" si="8"/>
        <v>6.3119999999999994</v>
      </c>
      <c r="N23" s="26">
        <f t="shared" si="9"/>
        <v>6.2890000000000006</v>
      </c>
      <c r="AZ23" s="858">
        <v>6.8000000000000005E-2</v>
      </c>
      <c r="BA23" s="858">
        <v>5.8999999999999997E-2</v>
      </c>
      <c r="BB23" s="858">
        <v>7.4999999999999997E-2</v>
      </c>
      <c r="BC23" s="858">
        <v>6.4000000000000001E-2</v>
      </c>
      <c r="BD23" s="858">
        <v>0.91300000000000003</v>
      </c>
      <c r="BE23" s="858">
        <v>1.0549999999999999</v>
      </c>
      <c r="BF23" s="858">
        <v>1.07</v>
      </c>
      <c r="BG23" s="858">
        <v>1.0469999999999999</v>
      </c>
      <c r="BH23" s="858">
        <v>1.5149999999999999</v>
      </c>
      <c r="BI23" s="858">
        <v>1.6659999999999999</v>
      </c>
      <c r="BJ23" s="858">
        <v>1.5249999999999999</v>
      </c>
      <c r="BK23" s="858">
        <v>1.6060000000000001</v>
      </c>
      <c r="BL23" s="858">
        <v>1.365</v>
      </c>
      <c r="BM23" s="858">
        <v>1.5720000000000001</v>
      </c>
      <c r="BN23" s="858">
        <v>1.6839999999999999</v>
      </c>
      <c r="BO23" s="858">
        <v>1.6679999999999999</v>
      </c>
      <c r="BP23" s="858">
        <v>1.8779999999999999</v>
      </c>
      <c r="CB23"/>
    </row>
    <row r="24" spans="2:95" s="15" customFormat="1" outlineLevel="1">
      <c r="B24" s="862" t="s">
        <v>1558</v>
      </c>
      <c r="K24" s="26">
        <f t="shared" si="6"/>
        <v>0.77299999999999991</v>
      </c>
      <c r="L24" s="26">
        <f t="shared" si="7"/>
        <v>0.65600000000000003</v>
      </c>
      <c r="M24" s="26">
        <f t="shared" si="8"/>
        <v>6.4000000000000001E-2</v>
      </c>
      <c r="N24" s="26">
        <f t="shared" si="9"/>
        <v>6.5000000000000002E-2</v>
      </c>
      <c r="AZ24" s="858">
        <v>0.16500000000000001</v>
      </c>
      <c r="BA24" s="858">
        <v>0.30499999999999999</v>
      </c>
      <c r="BB24" s="858">
        <v>0.19400000000000001</v>
      </c>
      <c r="BC24" s="858">
        <v>0.109</v>
      </c>
      <c r="BD24" s="858">
        <v>0.32800000000000001</v>
      </c>
      <c r="BE24" s="858">
        <v>0.17100000000000001</v>
      </c>
      <c r="BF24" s="858">
        <v>0.11799999999999999</v>
      </c>
      <c r="BG24" s="858">
        <v>3.9E-2</v>
      </c>
      <c r="BH24" s="858">
        <v>4.5999999999999999E-2</v>
      </c>
      <c r="BI24" s="858">
        <v>8.0000000000000002E-3</v>
      </c>
      <c r="BJ24" s="858">
        <v>0.01</v>
      </c>
      <c r="BK24" s="858">
        <v>0</v>
      </c>
      <c r="BL24" s="858">
        <v>2.5999999999999999E-2</v>
      </c>
      <c r="BM24" s="858">
        <v>3.9E-2</v>
      </c>
      <c r="BN24" s="858">
        <v>0</v>
      </c>
      <c r="BO24" s="858">
        <v>0</v>
      </c>
      <c r="BP24" s="858">
        <v>0</v>
      </c>
      <c r="CB24"/>
    </row>
    <row r="25" spans="2:95" s="15" customFormat="1" ht="12.75" customHeight="1" outlineLevel="1">
      <c r="B25" s="862" t="s">
        <v>1559</v>
      </c>
      <c r="K25" s="26">
        <f t="shared" si="6"/>
        <v>1.841</v>
      </c>
      <c r="L25" s="26">
        <f t="shared" si="7"/>
        <v>0</v>
      </c>
      <c r="M25" s="26">
        <f t="shared" si="8"/>
        <v>0</v>
      </c>
      <c r="N25" s="26">
        <f t="shared" si="9"/>
        <v>0</v>
      </c>
      <c r="AZ25" s="858">
        <v>5.1999999999999998E-2</v>
      </c>
      <c r="BA25" s="858">
        <v>1.7889999999999999</v>
      </c>
      <c r="BB25" s="858">
        <v>0</v>
      </c>
      <c r="BC25" s="858">
        <v>0</v>
      </c>
      <c r="BD25" s="858">
        <v>0</v>
      </c>
      <c r="BE25" s="858">
        <v>0</v>
      </c>
      <c r="BF25" s="858">
        <v>0</v>
      </c>
      <c r="BG25" s="858">
        <v>0</v>
      </c>
      <c r="BH25" s="858">
        <v>0</v>
      </c>
      <c r="BI25" s="858">
        <v>0</v>
      </c>
      <c r="BJ25" s="858">
        <v>0</v>
      </c>
      <c r="BK25" s="858">
        <v>0</v>
      </c>
      <c r="BL25" s="858">
        <v>0</v>
      </c>
      <c r="BM25" s="858">
        <v>0</v>
      </c>
      <c r="BN25" s="858">
        <v>0</v>
      </c>
      <c r="BO25" s="858">
        <v>0</v>
      </c>
      <c r="BP25" s="858">
        <v>0</v>
      </c>
      <c r="CB25"/>
    </row>
    <row r="26" spans="2:95" s="15" customFormat="1" ht="11.25" customHeight="1" outlineLevel="1">
      <c r="B26" s="862" t="s">
        <v>1560</v>
      </c>
      <c r="K26" s="26">
        <f t="shared" si="6"/>
        <v>0</v>
      </c>
      <c r="L26" s="26">
        <f t="shared" si="7"/>
        <v>2.6</v>
      </c>
      <c r="M26" s="26">
        <f t="shared" si="8"/>
        <v>0</v>
      </c>
      <c r="N26" s="26">
        <f t="shared" si="9"/>
        <v>0.7</v>
      </c>
      <c r="AZ26" s="858">
        <v>0</v>
      </c>
      <c r="BA26" s="858">
        <v>0</v>
      </c>
      <c r="BB26" s="858">
        <v>0</v>
      </c>
      <c r="BC26" s="858">
        <v>0</v>
      </c>
      <c r="BD26" s="858">
        <v>2.6</v>
      </c>
      <c r="BE26" s="858">
        <v>0</v>
      </c>
      <c r="BF26" s="858">
        <v>0</v>
      </c>
      <c r="BG26" s="858">
        <v>0</v>
      </c>
      <c r="BH26" s="858">
        <v>0</v>
      </c>
      <c r="BI26" s="858">
        <v>0</v>
      </c>
      <c r="BJ26" s="858">
        <v>0</v>
      </c>
      <c r="BK26" s="858">
        <v>0</v>
      </c>
      <c r="BL26" s="858">
        <v>0</v>
      </c>
      <c r="BM26" s="858">
        <v>0.7</v>
      </c>
      <c r="BN26" s="858">
        <v>0</v>
      </c>
      <c r="BO26" s="858">
        <v>0</v>
      </c>
      <c r="BP26" s="858">
        <v>0</v>
      </c>
      <c r="CB26"/>
    </row>
    <row r="27" spans="2:95" ht="12" customHeight="1">
      <c r="B27" s="863" t="s">
        <v>1561</v>
      </c>
      <c r="C27" s="15"/>
      <c r="D27" s="15"/>
      <c r="E27" s="15"/>
      <c r="F27" s="15"/>
      <c r="G27" s="15"/>
      <c r="H27" s="15"/>
      <c r="I27" s="15"/>
      <c r="J27" s="15"/>
      <c r="K27" s="90">
        <f>K13-K17-K19-K20+K21+K22+K23+K24</f>
        <v>31.721000000000007</v>
      </c>
      <c r="L27" s="90">
        <f>L13-L17-L19-L20+L21+L22+L23+L24</f>
        <v>46.600999999999992</v>
      </c>
      <c r="M27" s="90">
        <f>M13-M17-M19-M20+M21+M22+M23+M24</f>
        <v>62.86</v>
      </c>
      <c r="N27" s="90">
        <f>N13-N17-N19-N20+N22+N24+N21</f>
        <v>76.259999999999991</v>
      </c>
      <c r="O27" s="195"/>
      <c r="P27" s="15"/>
      <c r="Q27" s="15"/>
      <c r="R27" s="15"/>
      <c r="S27" s="15"/>
      <c r="T27" s="15"/>
      <c r="U27" s="15"/>
      <c r="V27" s="15"/>
      <c r="W27" s="15"/>
      <c r="X27" s="15"/>
      <c r="Y27" s="15"/>
      <c r="Z27" s="15"/>
      <c r="AA27" s="15"/>
      <c r="AB27" s="15"/>
      <c r="AC27" s="15"/>
      <c r="AD27" s="15"/>
      <c r="AE27" s="15"/>
      <c r="AF27" s="15"/>
      <c r="AG27" s="15"/>
      <c r="AH27" s="15"/>
      <c r="AI27" s="15"/>
      <c r="AJ27" s="15"/>
      <c r="AK27" s="15"/>
      <c r="AL27" s="15"/>
      <c r="AM27" s="15"/>
      <c r="AN27" s="15"/>
      <c r="AO27" s="15"/>
      <c r="AP27" s="15"/>
      <c r="AQ27" s="15"/>
      <c r="AR27" s="15"/>
      <c r="AS27" s="15"/>
      <c r="AT27" s="15"/>
      <c r="AU27" s="15"/>
      <c r="AV27" s="15"/>
      <c r="AW27" s="15"/>
      <c r="AX27" s="15"/>
      <c r="AY27" s="15"/>
      <c r="AZ27" s="90">
        <f t="shared" ref="AZ27:BG27" si="10">AZ13-AZ17-AZ19-AZ20+AZ21+AZ22+AZ23+AZ24</f>
        <v>7.6019999999999985</v>
      </c>
      <c r="BA27" s="90">
        <f t="shared" si="10"/>
        <v>7.8230000000000013</v>
      </c>
      <c r="BB27" s="90">
        <f t="shared" si="10"/>
        <v>7.2970000000000015</v>
      </c>
      <c r="BC27" s="90">
        <f t="shared" si="10"/>
        <v>8.9990000000000006</v>
      </c>
      <c r="BD27" s="90">
        <f t="shared" si="10"/>
        <v>9.8390000000000022</v>
      </c>
      <c r="BE27" s="90">
        <f t="shared" si="10"/>
        <v>10.833999999999998</v>
      </c>
      <c r="BF27" s="90">
        <f t="shared" si="10"/>
        <v>12.221000000000004</v>
      </c>
      <c r="BG27" s="90">
        <f t="shared" si="10"/>
        <v>13.706999999999999</v>
      </c>
      <c r="BH27" s="90">
        <f t="shared" ref="BH27:BP27" si="11">BH13-BH17-BH19-BH20+BH22+BH24+BH21</f>
        <v>12.593</v>
      </c>
      <c r="BI27" s="90">
        <f t="shared" si="11"/>
        <v>14.149999999999997</v>
      </c>
      <c r="BJ27" s="90">
        <f t="shared" si="11"/>
        <v>13.975999999999999</v>
      </c>
      <c r="BK27" s="90">
        <f t="shared" si="11"/>
        <v>15.829000000000002</v>
      </c>
      <c r="BL27" s="90">
        <f t="shared" si="11"/>
        <v>16.589999999999996</v>
      </c>
      <c r="BM27" s="90">
        <f t="shared" si="11"/>
        <v>18.733000000000001</v>
      </c>
      <c r="BN27" s="90">
        <f t="shared" si="11"/>
        <v>21.038000000000004</v>
      </c>
      <c r="BO27" s="90">
        <f t="shared" si="11"/>
        <v>19.899000000000004</v>
      </c>
      <c r="BP27" s="90">
        <f t="shared" si="11"/>
        <v>21.818999999999996</v>
      </c>
      <c r="BQ27" s="15"/>
      <c r="BR27" s="15"/>
      <c r="BS27" s="15"/>
      <c r="BT27" s="15"/>
      <c r="BU27" s="15"/>
      <c r="BV27" s="15"/>
      <c r="BW27" s="15"/>
      <c r="BX27" s="15"/>
      <c r="BY27" s="15"/>
      <c r="BZ27" s="15"/>
      <c r="CA27" s="15"/>
    </row>
    <row r="28" spans="2:95" ht="11.25" customHeight="1">
      <c r="B28" s="18" t="s">
        <v>995</v>
      </c>
      <c r="C28" s="15"/>
      <c r="D28" s="15"/>
      <c r="E28" s="15"/>
      <c r="F28" s="15"/>
      <c r="G28" s="15"/>
      <c r="H28" s="15"/>
      <c r="I28" s="15"/>
      <c r="J28" s="15"/>
      <c r="K28" s="38">
        <f>K27/K13</f>
        <v>0.28525566086940884</v>
      </c>
      <c r="L28" s="38">
        <f>L27/L13</f>
        <v>0.33848310526162873</v>
      </c>
      <c r="M28" s="38">
        <f>M27/M13</f>
        <v>0.36647718991400668</v>
      </c>
      <c r="N28" s="38">
        <f>N27/N13</f>
        <v>0.37120688480222741</v>
      </c>
      <c r="O28" s="15"/>
      <c r="P28" s="15"/>
      <c r="Q28" s="15"/>
      <c r="R28" s="15"/>
      <c r="S28" s="15"/>
      <c r="T28" s="15"/>
      <c r="U28" s="15"/>
      <c r="V28" s="15"/>
      <c r="W28" s="15"/>
      <c r="X28" s="15"/>
      <c r="Y28" s="15"/>
      <c r="Z28" s="15"/>
      <c r="AA28" s="15"/>
      <c r="AB28" s="15"/>
      <c r="AC28" s="15"/>
      <c r="AD28" s="15"/>
      <c r="AE28" s="15"/>
      <c r="AF28" s="15"/>
      <c r="AG28" s="15"/>
      <c r="AH28" s="15"/>
      <c r="AI28" s="15"/>
      <c r="AJ28" s="15"/>
      <c r="AK28" s="15"/>
      <c r="AL28" s="15"/>
      <c r="AM28" s="15"/>
      <c r="AN28" s="15"/>
      <c r="AO28" s="15"/>
      <c r="AP28" s="15"/>
      <c r="AQ28" s="15"/>
      <c r="AR28" s="15"/>
      <c r="AS28" s="15"/>
      <c r="AT28" s="15"/>
      <c r="AU28" s="15"/>
      <c r="AV28" s="15"/>
      <c r="AW28" s="15"/>
      <c r="AX28" s="15"/>
      <c r="AY28" s="15"/>
      <c r="AZ28" s="861">
        <f t="shared" ref="AZ28:BP28" si="12">AZ27/AZ13</f>
        <v>0.28577873012292765</v>
      </c>
      <c r="BA28" s="861">
        <f t="shared" si="12"/>
        <v>0.28622127908678474</v>
      </c>
      <c r="BB28" s="861">
        <f t="shared" si="12"/>
        <v>0.25882311212002984</v>
      </c>
      <c r="BC28" s="861">
        <f t="shared" si="12"/>
        <v>0.30949924336222318</v>
      </c>
      <c r="BD28" s="861">
        <f t="shared" si="12"/>
        <v>0.31264696536383862</v>
      </c>
      <c r="BE28" s="861">
        <f t="shared" si="12"/>
        <v>0.32557021366108718</v>
      </c>
      <c r="BF28" s="861">
        <f t="shared" si="12"/>
        <v>0.34491420185143379</v>
      </c>
      <c r="BG28" s="861">
        <f t="shared" si="12"/>
        <v>0.36554924393951516</v>
      </c>
      <c r="BH28" s="861">
        <f t="shared" si="12"/>
        <v>0.31658998918973275</v>
      </c>
      <c r="BI28" s="861">
        <f t="shared" si="12"/>
        <v>0.33774913474161589</v>
      </c>
      <c r="BJ28" s="861">
        <f t="shared" si="12"/>
        <v>0.31706708409900403</v>
      </c>
      <c r="BK28" s="861">
        <f t="shared" si="12"/>
        <v>0.34580766373924066</v>
      </c>
      <c r="BL28" s="861">
        <f t="shared" si="12"/>
        <v>0.35198268728916043</v>
      </c>
      <c r="BM28" s="861">
        <f t="shared" si="12"/>
        <v>0.37951782820097246</v>
      </c>
      <c r="BN28" s="861">
        <f t="shared" si="12"/>
        <v>0.39308669656203293</v>
      </c>
      <c r="BO28" s="861">
        <f t="shared" si="12"/>
        <v>0.35902571041948583</v>
      </c>
      <c r="BP28" s="861">
        <f t="shared" si="12"/>
        <v>0.38484875209454095</v>
      </c>
      <c r="BQ28" s="15"/>
      <c r="BR28" s="15"/>
      <c r="BS28" s="15"/>
      <c r="BT28" s="15"/>
      <c r="BU28" s="15"/>
      <c r="BV28" s="15"/>
      <c r="BW28" s="15"/>
      <c r="BX28" s="15"/>
      <c r="BY28" s="15"/>
      <c r="BZ28" s="15"/>
      <c r="CA28" s="15"/>
    </row>
    <row r="29" spans="2:95" ht="13.5" customHeight="1">
      <c r="B29" s="14" t="s">
        <v>1562</v>
      </c>
      <c r="C29" s="15"/>
      <c r="D29" s="15"/>
      <c r="E29" s="15"/>
      <c r="F29" s="15"/>
      <c r="G29" s="15"/>
      <c r="H29" s="15"/>
      <c r="I29" s="15"/>
      <c r="J29" s="15"/>
      <c r="K29" s="90">
        <f>K27-K21-K22</f>
        <v>29.849000000000007</v>
      </c>
      <c r="L29" s="90">
        <f>L27-L21-L22</f>
        <v>44.115999999999993</v>
      </c>
      <c r="M29" s="90">
        <f>M27-M21-M22</f>
        <v>56.762</v>
      </c>
      <c r="N29" s="90">
        <f>N27-N21-N22</f>
        <v>68.969999999999985</v>
      </c>
      <c r="O29" s="195">
        <f>SUM(BP29:BS29)</f>
        <v>82.039866471470148</v>
      </c>
      <c r="P29" s="15"/>
      <c r="Q29" s="15"/>
      <c r="R29" s="15"/>
      <c r="S29" s="15"/>
      <c r="T29" s="15"/>
      <c r="U29" s="15"/>
      <c r="V29" s="15"/>
      <c r="W29" s="15"/>
      <c r="X29" s="15"/>
      <c r="Y29" s="15"/>
      <c r="Z29" s="15"/>
      <c r="AA29" s="15"/>
      <c r="AB29" s="15"/>
      <c r="AC29" s="15"/>
      <c r="AD29" s="15"/>
      <c r="AE29" s="15"/>
      <c r="AF29" s="15"/>
      <c r="AG29" s="15"/>
      <c r="AH29" s="15"/>
      <c r="AI29" s="15"/>
      <c r="AJ29" s="15"/>
      <c r="AK29" s="15"/>
      <c r="AL29" s="15"/>
      <c r="AM29" s="15"/>
      <c r="AN29" s="15"/>
      <c r="AO29" s="15"/>
      <c r="AP29" s="15"/>
      <c r="AQ29" s="15"/>
      <c r="AR29" s="15"/>
      <c r="AS29" s="15"/>
      <c r="AT29" s="15"/>
      <c r="AU29" s="15"/>
      <c r="AV29" s="15"/>
      <c r="AW29" s="15"/>
      <c r="AX29" s="15"/>
      <c r="AY29" s="15"/>
      <c r="AZ29" s="90">
        <f t="shared" ref="AZ29:BP29" si="13">AZ27-AZ21-AZ22</f>
        <v>6.9719999999999986</v>
      </c>
      <c r="BA29" s="90">
        <f t="shared" si="13"/>
        <v>7.3110000000000017</v>
      </c>
      <c r="BB29" s="90">
        <f t="shared" si="13"/>
        <v>6.7920000000000016</v>
      </c>
      <c r="BC29" s="90">
        <f t="shared" si="13"/>
        <v>8.7740000000000009</v>
      </c>
      <c r="BD29" s="90">
        <f t="shared" si="13"/>
        <v>9.4270000000000032</v>
      </c>
      <c r="BE29" s="90">
        <f t="shared" si="13"/>
        <v>10.366999999999999</v>
      </c>
      <c r="BF29" s="90">
        <f t="shared" si="13"/>
        <v>11.425000000000002</v>
      </c>
      <c r="BG29" s="90">
        <f t="shared" si="13"/>
        <v>12.896999999999998</v>
      </c>
      <c r="BH29" s="90">
        <f t="shared" si="13"/>
        <v>11.454000000000001</v>
      </c>
      <c r="BI29" s="90">
        <f t="shared" si="13"/>
        <v>12.724999999999996</v>
      </c>
      <c r="BJ29" s="90">
        <f t="shared" si="13"/>
        <v>12.824999999999999</v>
      </c>
      <c r="BK29" s="90">
        <f t="shared" si="13"/>
        <v>13.446000000000003</v>
      </c>
      <c r="BL29" s="90">
        <f t="shared" si="13"/>
        <v>14.324999999999998</v>
      </c>
      <c r="BM29" s="90">
        <f t="shared" si="13"/>
        <v>16.934000000000001</v>
      </c>
      <c r="BN29" s="90">
        <f t="shared" si="13"/>
        <v>19.465000000000003</v>
      </c>
      <c r="BO29" s="90">
        <f t="shared" si="13"/>
        <v>18.246000000000006</v>
      </c>
      <c r="BP29" s="90">
        <f t="shared" si="13"/>
        <v>20.345999999999997</v>
      </c>
      <c r="BQ29" s="90">
        <f>BQ30*BQ13</f>
        <v>20.240134050621748</v>
      </c>
      <c r="BR29" s="90">
        <f>BR30*BR13</f>
        <v>20.675296932710118</v>
      </c>
      <c r="BS29" s="90">
        <f>BS30*BS13</f>
        <v>20.778435488138282</v>
      </c>
      <c r="BT29" s="15"/>
      <c r="BU29" s="15"/>
      <c r="BV29" s="15"/>
      <c r="BW29" s="15"/>
      <c r="BX29" s="15"/>
      <c r="BY29" s="15"/>
      <c r="BZ29" s="15"/>
      <c r="CA29" s="15"/>
    </row>
    <row r="30" spans="2:95" ht="12" customHeight="1">
      <c r="B30" s="18" t="s">
        <v>995</v>
      </c>
      <c r="C30" s="15"/>
      <c r="D30" s="15"/>
      <c r="E30" s="15"/>
      <c r="F30" s="15"/>
      <c r="G30" s="15"/>
      <c r="H30" s="15"/>
      <c r="I30" s="15"/>
      <c r="J30" s="15"/>
      <c r="K30" s="38">
        <f>K29/K13</f>
        <v>0.2684214312692218</v>
      </c>
      <c r="L30" s="38">
        <f>L29/L13</f>
        <v>0.32043348150730699</v>
      </c>
      <c r="M30" s="38">
        <f>M29/M13</f>
        <v>0.33092552106106982</v>
      </c>
      <c r="N30" s="38">
        <f>N29/N13</f>
        <v>0.33572172626291136</v>
      </c>
      <c r="O30" s="38">
        <f>O29/O13</f>
        <v>0.35886762501102387</v>
      </c>
      <c r="P30" s="15"/>
      <c r="Q30" s="15"/>
      <c r="R30" s="15"/>
      <c r="S30" s="15"/>
      <c r="T30" s="15"/>
      <c r="U30" s="15"/>
      <c r="V30" s="15"/>
      <c r="W30" s="15"/>
      <c r="X30" s="15"/>
      <c r="Y30" s="15"/>
      <c r="Z30" s="15"/>
      <c r="AA30" s="15"/>
      <c r="AB30" s="15"/>
      <c r="AC30" s="15"/>
      <c r="AD30" s="15"/>
      <c r="AE30" s="15"/>
      <c r="AF30" s="15"/>
      <c r="AG30" s="15"/>
      <c r="AH30" s="15"/>
      <c r="AI30" s="15"/>
      <c r="AJ30" s="15"/>
      <c r="AK30" s="15"/>
      <c r="AL30" s="15"/>
      <c r="AM30" s="15"/>
      <c r="AN30" s="15"/>
      <c r="AO30" s="15"/>
      <c r="AP30" s="15"/>
      <c r="AQ30" s="15"/>
      <c r="AR30" s="15"/>
      <c r="AS30" s="15"/>
      <c r="AT30" s="15"/>
      <c r="AU30" s="15"/>
      <c r="AV30" s="15"/>
      <c r="AW30" s="15"/>
      <c r="AX30" s="15"/>
      <c r="AY30" s="15"/>
      <c r="AZ30" s="861">
        <f t="shared" ref="AZ30:BP30" si="14">AZ29/AZ13</f>
        <v>0.26209540994699443</v>
      </c>
      <c r="BA30" s="861">
        <f t="shared" si="14"/>
        <v>0.26748865798331634</v>
      </c>
      <c r="BB30" s="861">
        <f t="shared" si="14"/>
        <v>0.24091086439896434</v>
      </c>
      <c r="BC30" s="861">
        <f t="shared" si="14"/>
        <v>0.30176090246251208</v>
      </c>
      <c r="BD30" s="861">
        <f t="shared" si="14"/>
        <v>0.29955513187162386</v>
      </c>
      <c r="BE30" s="861">
        <f t="shared" si="14"/>
        <v>0.31153649667938815</v>
      </c>
      <c r="BF30" s="861">
        <f t="shared" si="14"/>
        <v>0.32244863400316104</v>
      </c>
      <c r="BG30" s="861">
        <f t="shared" si="14"/>
        <v>0.34394751580126404</v>
      </c>
      <c r="BH30" s="861">
        <f t="shared" si="14"/>
        <v>0.28795535108228376</v>
      </c>
      <c r="BI30" s="861">
        <f t="shared" si="14"/>
        <v>0.30373552929943903</v>
      </c>
      <c r="BJ30" s="861">
        <f t="shared" si="14"/>
        <v>0.29095487647178925</v>
      </c>
      <c r="BK30" s="861">
        <f t="shared" si="14"/>
        <v>0.29374754227290606</v>
      </c>
      <c r="BL30" s="861">
        <f t="shared" si="14"/>
        <v>0.30392718477499836</v>
      </c>
      <c r="BM30" s="861">
        <f t="shared" si="14"/>
        <v>0.34307131280388981</v>
      </c>
      <c r="BN30" s="861">
        <f t="shared" si="14"/>
        <v>0.36369581464872947</v>
      </c>
      <c r="BO30" s="861">
        <f t="shared" si="14"/>
        <v>0.32920162381596763</v>
      </c>
      <c r="BP30" s="861">
        <f t="shared" si="14"/>
        <v>0.35886762501102387</v>
      </c>
      <c r="BQ30" s="865">
        <f>BP30</f>
        <v>0.35886762501102387</v>
      </c>
      <c r="BR30" s="865">
        <f>BQ30</f>
        <v>0.35886762501102387</v>
      </c>
      <c r="BS30" s="865">
        <f>BR30</f>
        <v>0.35886762501102387</v>
      </c>
      <c r="BT30" s="15"/>
      <c r="BU30" s="15"/>
      <c r="BV30" s="15"/>
      <c r="BW30" s="15"/>
      <c r="BX30" s="15"/>
      <c r="BY30" s="15"/>
      <c r="BZ30" s="15"/>
      <c r="CA30" s="15"/>
    </row>
    <row r="31" spans="2:95" ht="12" customHeight="1">
      <c r="B31" s="18" t="s">
        <v>281</v>
      </c>
      <c r="C31" s="15"/>
      <c r="D31" s="15"/>
      <c r="E31" s="15"/>
      <c r="F31" s="15"/>
      <c r="G31" s="15"/>
      <c r="H31" s="15"/>
      <c r="I31" s="15"/>
      <c r="J31" s="15"/>
      <c r="K31" s="15"/>
      <c r="L31" s="15"/>
      <c r="M31" s="15"/>
      <c r="N31" s="15"/>
      <c r="O31" s="15"/>
      <c r="P31" s="15"/>
      <c r="Q31" s="15"/>
      <c r="R31" s="15"/>
      <c r="S31" s="15"/>
      <c r="T31" s="15"/>
      <c r="U31" s="15"/>
      <c r="V31" s="15"/>
      <c r="W31" s="15"/>
      <c r="X31" s="15"/>
      <c r="Y31" s="15"/>
      <c r="Z31" s="15"/>
      <c r="AA31" s="15"/>
      <c r="AB31" s="15"/>
      <c r="AC31" s="15"/>
      <c r="AD31" s="15"/>
      <c r="AE31" s="15"/>
      <c r="AF31" s="15"/>
      <c r="AG31" s="15"/>
      <c r="AH31" s="15"/>
      <c r="AI31" s="15"/>
      <c r="AJ31" s="15"/>
      <c r="AK31" s="15"/>
      <c r="AL31" s="15"/>
      <c r="AM31" s="15"/>
      <c r="AN31" s="15"/>
      <c r="AO31" s="15"/>
      <c r="AP31" s="15"/>
      <c r="AQ31" s="15"/>
      <c r="AR31" s="15"/>
      <c r="AS31" s="15"/>
      <c r="AT31" s="15"/>
      <c r="AU31" s="15"/>
      <c r="AV31" s="15"/>
      <c r="AW31" s="15"/>
      <c r="AX31" s="15"/>
      <c r="AY31" s="15"/>
      <c r="AZ31" s="15"/>
      <c r="BA31" s="861">
        <f t="shared" ref="BA31:BS31" si="15">BA29/AZ29-1</f>
        <v>4.8623063683305157E-2</v>
      </c>
      <c r="BB31" s="861">
        <f t="shared" si="15"/>
        <v>-7.0988920804267552E-2</v>
      </c>
      <c r="BC31" s="861">
        <f t="shared" si="15"/>
        <v>0.29181389870435792</v>
      </c>
      <c r="BD31" s="861">
        <f t="shared" si="15"/>
        <v>7.4424435833143621E-2</v>
      </c>
      <c r="BE31" s="861">
        <f t="shared" si="15"/>
        <v>9.971358862840729E-2</v>
      </c>
      <c r="BF31" s="861">
        <f t="shared" si="15"/>
        <v>0.10205459631523128</v>
      </c>
      <c r="BG31" s="861">
        <f t="shared" si="15"/>
        <v>0.12884026258205661</v>
      </c>
      <c r="BH31" s="861">
        <f t="shared" si="15"/>
        <v>-0.11188648522912292</v>
      </c>
      <c r="BI31" s="861">
        <f t="shared" si="15"/>
        <v>0.11096560153658075</v>
      </c>
      <c r="BJ31" s="861">
        <f t="shared" si="15"/>
        <v>7.8585461689590907E-3</v>
      </c>
      <c r="BK31" s="861">
        <f t="shared" si="15"/>
        <v>4.8421052631579364E-2</v>
      </c>
      <c r="BL31" s="861">
        <f t="shared" si="15"/>
        <v>6.5372601517179385E-2</v>
      </c>
      <c r="BM31" s="861">
        <f t="shared" si="15"/>
        <v>0.18212914485165821</v>
      </c>
      <c r="BN31" s="861">
        <f t="shared" si="15"/>
        <v>0.14946261958190643</v>
      </c>
      <c r="BO31" s="861">
        <f t="shared" si="15"/>
        <v>-6.2625224762393961E-2</v>
      </c>
      <c r="BP31" s="861">
        <f t="shared" si="15"/>
        <v>0.1150937191713246</v>
      </c>
      <c r="BQ31" s="861">
        <f t="shared" si="15"/>
        <v>-5.2032807125846903E-3</v>
      </c>
      <c r="BR31" s="861">
        <f t="shared" si="15"/>
        <v>2.1500000000000075E-2</v>
      </c>
      <c r="BS31" s="861">
        <f t="shared" si="15"/>
        <v>4.9884921006859706E-3</v>
      </c>
      <c r="BT31" s="15"/>
      <c r="BU31" s="15"/>
      <c r="BV31" s="15"/>
      <c r="BW31" s="15"/>
      <c r="BX31" s="15"/>
      <c r="BY31" s="15"/>
      <c r="BZ31" s="15"/>
      <c r="CA31" s="15"/>
    </row>
    <row r="32" spans="2:95" ht="12" customHeight="1">
      <c r="B32" s="18" t="s">
        <v>290</v>
      </c>
      <c r="C32" s="15"/>
      <c r="D32" s="15"/>
      <c r="E32" s="15"/>
      <c r="F32" s="15"/>
      <c r="G32" s="15"/>
      <c r="H32" s="15"/>
      <c r="I32" s="15"/>
      <c r="J32" s="15"/>
      <c r="K32" s="15"/>
      <c r="L32" s="15"/>
      <c r="M32" s="15"/>
      <c r="N32" s="15"/>
      <c r="O32" s="15"/>
      <c r="P32" s="15"/>
      <c r="Q32" s="15"/>
      <c r="R32" s="15"/>
      <c r="S32" s="15"/>
      <c r="T32" s="15"/>
      <c r="U32" s="15"/>
      <c r="V32" s="15"/>
      <c r="W32" s="15"/>
      <c r="X32" s="15"/>
      <c r="Y32" s="15"/>
      <c r="Z32" s="15"/>
      <c r="AA32" s="15"/>
      <c r="AB32" s="15"/>
      <c r="AC32" s="15"/>
      <c r="AD32" s="15"/>
      <c r="AE32" s="15"/>
      <c r="AF32" s="15"/>
      <c r="AG32" s="15"/>
      <c r="AH32" s="15"/>
      <c r="AI32" s="15"/>
      <c r="AJ32" s="15"/>
      <c r="AK32" s="15"/>
      <c r="AL32" s="15"/>
      <c r="AM32" s="15"/>
      <c r="AN32" s="15"/>
      <c r="AO32" s="15"/>
      <c r="AP32" s="15"/>
      <c r="AQ32" s="15"/>
      <c r="AR32" s="15"/>
      <c r="AS32" s="15"/>
      <c r="AT32" s="15"/>
      <c r="AU32" s="15"/>
      <c r="AV32" s="15"/>
      <c r="AW32" s="15"/>
      <c r="AX32" s="15"/>
      <c r="AY32" s="15"/>
      <c r="AZ32" s="15"/>
      <c r="BA32" s="15"/>
      <c r="BB32" s="15"/>
      <c r="BC32" s="15"/>
      <c r="BD32" s="861">
        <f t="shared" ref="BD32:BS32" si="16">BD29/AZ29-1</f>
        <v>0.35212277682157267</v>
      </c>
      <c r="BE32" s="861">
        <f t="shared" si="16"/>
        <v>0.41800027356038805</v>
      </c>
      <c r="BF32" s="861">
        <f t="shared" si="16"/>
        <v>0.6821260306242638</v>
      </c>
      <c r="BG32" s="861">
        <f t="shared" si="16"/>
        <v>0.46991110098016842</v>
      </c>
      <c r="BH32" s="861">
        <f t="shared" si="16"/>
        <v>0.21502068526572571</v>
      </c>
      <c r="BI32" s="861">
        <f t="shared" si="16"/>
        <v>0.22745249348895502</v>
      </c>
      <c r="BJ32" s="861">
        <f t="shared" si="16"/>
        <v>0.1225382932166299</v>
      </c>
      <c r="BK32" s="861">
        <f t="shared" si="16"/>
        <v>4.2568039078855868E-2</v>
      </c>
      <c r="BL32" s="861">
        <f t="shared" si="16"/>
        <v>0.25065479308538463</v>
      </c>
      <c r="BM32" s="861">
        <f t="shared" si="16"/>
        <v>0.33076620825147396</v>
      </c>
      <c r="BN32" s="861">
        <f t="shared" si="16"/>
        <v>0.51773879142300228</v>
      </c>
      <c r="BO32" s="861">
        <f t="shared" si="16"/>
        <v>0.35698348951361014</v>
      </c>
      <c r="BP32" s="861">
        <f t="shared" si="16"/>
        <v>0.42031413612565438</v>
      </c>
      <c r="BQ32" s="861">
        <f t="shared" si="16"/>
        <v>0.19523645037331683</v>
      </c>
      <c r="BR32" s="861">
        <f t="shared" si="16"/>
        <v>6.2178111107634937E-2</v>
      </c>
      <c r="BS32" s="861">
        <f t="shared" si="16"/>
        <v>0.1387940089958497</v>
      </c>
      <c r="BT32" s="15"/>
      <c r="BU32" s="15"/>
      <c r="BV32" s="15"/>
      <c r="BW32" s="15"/>
      <c r="BX32" s="15"/>
      <c r="BY32" s="15"/>
      <c r="BZ32" s="15"/>
      <c r="CA32" s="15"/>
    </row>
    <row r="33" spans="2:79" ht="6" customHeight="1">
      <c r="B33" s="14"/>
      <c r="C33" s="15"/>
      <c r="D33" s="15"/>
      <c r="E33" s="15"/>
      <c r="F33" s="15"/>
      <c r="G33" s="15"/>
      <c r="H33" s="15"/>
      <c r="I33" s="15"/>
      <c r="J33" s="15"/>
      <c r="K33" s="15"/>
      <c r="L33" s="15"/>
      <c r="M33" s="15"/>
      <c r="N33" s="15"/>
      <c r="O33" s="15"/>
      <c r="P33" s="15"/>
      <c r="Q33" s="15"/>
      <c r="R33" s="15"/>
      <c r="S33" s="15"/>
      <c r="T33" s="15"/>
      <c r="U33" s="15"/>
      <c r="V33" s="15"/>
      <c r="W33" s="15"/>
      <c r="X33" s="15"/>
      <c r="Y33" s="15"/>
      <c r="Z33" s="15"/>
      <c r="AA33" s="15"/>
      <c r="AB33" s="15"/>
      <c r="AC33" s="15"/>
      <c r="AD33" s="15"/>
      <c r="AE33" s="15"/>
      <c r="AF33" s="15"/>
      <c r="AG33" s="15"/>
      <c r="AH33" s="15"/>
      <c r="AI33" s="15"/>
      <c r="AJ33" s="15"/>
      <c r="AK33" s="15"/>
      <c r="AL33" s="15"/>
      <c r="AM33" s="15"/>
      <c r="AN33" s="15"/>
      <c r="AO33" s="15"/>
      <c r="AP33" s="15"/>
      <c r="AQ33" s="15"/>
      <c r="AR33" s="15"/>
      <c r="AS33" s="15"/>
      <c r="AT33" s="15"/>
      <c r="AU33" s="15"/>
      <c r="AV33" s="15"/>
      <c r="AW33" s="15"/>
      <c r="AX33" s="15"/>
      <c r="AY33" s="15"/>
      <c r="AZ33" s="15"/>
      <c r="BA33" s="15"/>
      <c r="BB33" s="15"/>
      <c r="BC33" s="15"/>
      <c r="BD33" s="15"/>
      <c r="BE33" s="15"/>
      <c r="BF33" s="15"/>
      <c r="BG33" s="15"/>
      <c r="BH33" s="15"/>
      <c r="BI33" s="15"/>
      <c r="BJ33" s="15"/>
      <c r="BK33" s="15"/>
      <c r="BL33" s="858"/>
      <c r="BM33" s="858"/>
      <c r="BN33" s="858"/>
      <c r="BO33" s="858"/>
      <c r="BP33" s="15"/>
      <c r="BQ33" s="15"/>
      <c r="BR33" s="15"/>
      <c r="BS33" s="15"/>
      <c r="BT33" s="15"/>
      <c r="BU33" s="15"/>
      <c r="BV33" s="15"/>
      <c r="BW33" s="15"/>
      <c r="BX33" s="15"/>
      <c r="BY33" s="15"/>
      <c r="BZ33" s="15"/>
      <c r="CA33" s="15"/>
    </row>
    <row r="34" spans="2:79" ht="11.25" customHeight="1">
      <c r="B34" s="23" t="s">
        <v>1040</v>
      </c>
      <c r="C34" s="15"/>
      <c r="D34" s="15"/>
      <c r="E34" s="15"/>
      <c r="F34" s="15"/>
      <c r="G34" s="15"/>
      <c r="H34" s="15"/>
      <c r="I34" s="15"/>
      <c r="J34" s="15"/>
      <c r="K34" s="26">
        <f>SUM(AZ34:BC34)</f>
        <v>23.459</v>
      </c>
      <c r="L34" s="26">
        <f>SUM(BD34:BG34)</f>
        <v>25.584</v>
      </c>
      <c r="M34" s="26">
        <f>SUM(BH34:BK34)</f>
        <v>30.716000000000001</v>
      </c>
      <c r="N34" s="26">
        <f>SUM(BL34:BO34)</f>
        <v>41.471999999999994</v>
      </c>
      <c r="O34" s="15"/>
      <c r="P34" s="15"/>
      <c r="Q34" s="15"/>
      <c r="R34" s="15"/>
      <c r="S34" s="15"/>
      <c r="T34" s="15"/>
      <c r="U34" s="15"/>
      <c r="V34" s="15"/>
      <c r="W34" s="15"/>
      <c r="X34" s="15"/>
      <c r="Y34" s="15"/>
      <c r="Z34" s="15"/>
      <c r="AA34" s="15"/>
      <c r="AB34" s="15"/>
      <c r="AC34" s="15"/>
      <c r="AD34" s="15"/>
      <c r="AE34" s="15"/>
      <c r="AF34" s="15"/>
      <c r="AG34" s="15"/>
      <c r="AH34" s="15"/>
      <c r="AI34" s="15"/>
      <c r="AJ34" s="15"/>
      <c r="AK34" s="15"/>
      <c r="AL34" s="15"/>
      <c r="AM34" s="15"/>
      <c r="AN34" s="15"/>
      <c r="AO34" s="15"/>
      <c r="AP34" s="15"/>
      <c r="AQ34" s="15"/>
      <c r="AR34" s="15"/>
      <c r="AS34" s="15"/>
      <c r="AT34" s="15"/>
      <c r="AU34" s="15"/>
      <c r="AV34" s="15"/>
      <c r="AW34" s="15"/>
      <c r="AX34" s="15"/>
      <c r="AY34" s="15"/>
      <c r="AZ34" s="858">
        <v>5.7960000000000003</v>
      </c>
      <c r="BA34" s="858">
        <v>5.7089999999999996</v>
      </c>
      <c r="BB34" s="858">
        <v>5.8609999999999998</v>
      </c>
      <c r="BC34" s="858">
        <v>6.093</v>
      </c>
      <c r="BD34" s="858">
        <v>6.1630000000000003</v>
      </c>
      <c r="BE34" s="858">
        <v>6.0490000000000004</v>
      </c>
      <c r="BF34" s="858">
        <v>6.4119999999999999</v>
      </c>
      <c r="BG34" s="858">
        <v>6.96</v>
      </c>
      <c r="BH34" s="858">
        <v>6.524</v>
      </c>
      <c r="BI34" s="858">
        <v>6.7279999999999998</v>
      </c>
      <c r="BJ34" s="858">
        <v>7.51</v>
      </c>
      <c r="BK34" s="858">
        <v>9.9540000000000006</v>
      </c>
      <c r="BL34" s="858">
        <v>10.045999999999999</v>
      </c>
      <c r="BM34" s="858">
        <v>9.75</v>
      </c>
      <c r="BN34" s="858">
        <v>10.44</v>
      </c>
      <c r="BO34" s="858">
        <v>11.236000000000001</v>
      </c>
      <c r="BP34" s="858">
        <v>11.117000000000001</v>
      </c>
      <c r="BQ34" s="15"/>
      <c r="BR34" s="15"/>
      <c r="BS34" s="15"/>
      <c r="BT34" s="15"/>
      <c r="BU34" s="15"/>
      <c r="BV34" s="15"/>
      <c r="BW34" s="15"/>
      <c r="BX34" s="15"/>
      <c r="BY34" s="15"/>
      <c r="BZ34" s="15"/>
      <c r="CA34" s="15"/>
    </row>
    <row r="35" spans="2:79" ht="11.25" customHeight="1">
      <c r="B35" s="863" t="s">
        <v>1113</v>
      </c>
      <c r="C35" s="15"/>
      <c r="D35" s="15"/>
      <c r="E35" s="15"/>
      <c r="F35" s="15"/>
      <c r="G35" s="15"/>
      <c r="H35" s="15"/>
      <c r="I35" s="15"/>
      <c r="J35" s="15"/>
      <c r="K35" s="195">
        <f>K27-K34-K25-K26-K24-K23-K22-K21</f>
        <v>3.5100000000000082</v>
      </c>
      <c r="L35" s="195">
        <f>L27-L34-L25-L26-L24-L23-L22-L21</f>
        <v>11.19099999999999</v>
      </c>
      <c r="M35" s="195">
        <f>M27-M34-M25-M26-M24-M23-M22-M21</f>
        <v>19.670000000000002</v>
      </c>
      <c r="N35" s="195">
        <f>N27-N34-N25-N26-N24-N23-N22-N21</f>
        <v>20.443999999999996</v>
      </c>
      <c r="O35" s="15"/>
      <c r="P35" s="15"/>
      <c r="Q35" s="15"/>
      <c r="R35" s="15"/>
      <c r="S35" s="15"/>
      <c r="T35" s="15"/>
      <c r="U35" s="15"/>
      <c r="V35" s="15"/>
      <c r="W35" s="15"/>
      <c r="X35" s="15"/>
      <c r="Y35" s="15"/>
      <c r="Z35" s="15"/>
      <c r="AA35" s="15"/>
      <c r="AB35" s="15"/>
      <c r="AC35" s="15"/>
      <c r="AD35" s="15"/>
      <c r="AE35" s="15"/>
      <c r="AF35" s="15"/>
      <c r="AG35" s="15"/>
      <c r="AH35" s="15"/>
      <c r="AI35" s="15"/>
      <c r="AJ35" s="15"/>
      <c r="AK35" s="15"/>
      <c r="AL35" s="15"/>
      <c r="AM35" s="15"/>
      <c r="AN35" s="15"/>
      <c r="AO35" s="15"/>
      <c r="AP35" s="15"/>
      <c r="AQ35" s="15"/>
      <c r="AR35" s="15"/>
      <c r="AS35" s="15"/>
      <c r="AT35" s="15"/>
      <c r="AU35" s="15"/>
      <c r="AV35" s="15"/>
      <c r="AW35" s="15"/>
      <c r="AX35" s="15"/>
      <c r="AY35" s="15"/>
      <c r="AZ35" s="195">
        <f t="shared" ref="AZ35:BP35" si="17">AZ27-AZ34-AZ25-AZ26-AZ24-AZ23-AZ22-AZ21</f>
        <v>0.89099999999999813</v>
      </c>
      <c r="BA35" s="195">
        <f t="shared" si="17"/>
        <v>-0.55099999999999827</v>
      </c>
      <c r="BB35" s="195">
        <f t="shared" si="17"/>
        <v>0.66200000000000192</v>
      </c>
      <c r="BC35" s="195">
        <f t="shared" si="17"/>
        <v>2.5080000000000005</v>
      </c>
      <c r="BD35" s="195">
        <f t="shared" si="17"/>
        <v>-0.57699999999999829</v>
      </c>
      <c r="BE35" s="195">
        <f t="shared" si="17"/>
        <v>3.0919999999999979</v>
      </c>
      <c r="BF35" s="195">
        <f t="shared" si="17"/>
        <v>3.8250000000000033</v>
      </c>
      <c r="BG35" s="195">
        <f t="shared" si="17"/>
        <v>4.851</v>
      </c>
      <c r="BH35" s="195">
        <f t="shared" si="17"/>
        <v>3.3689999999999998</v>
      </c>
      <c r="BI35" s="195">
        <f t="shared" si="17"/>
        <v>4.3229999999999977</v>
      </c>
      <c r="BJ35" s="195">
        <f t="shared" si="17"/>
        <v>3.7799999999999994</v>
      </c>
      <c r="BK35" s="195">
        <f t="shared" si="17"/>
        <v>1.8860000000000019</v>
      </c>
      <c r="BL35" s="195">
        <f t="shared" si="17"/>
        <v>2.8879999999999968</v>
      </c>
      <c r="BM35" s="195">
        <f t="shared" si="17"/>
        <v>4.8730000000000011</v>
      </c>
      <c r="BN35" s="195">
        <f t="shared" si="17"/>
        <v>7.3410000000000046</v>
      </c>
      <c r="BO35" s="195">
        <f t="shared" si="17"/>
        <v>5.3420000000000041</v>
      </c>
      <c r="BP35" s="195">
        <f t="shared" si="17"/>
        <v>7.3509999999999955</v>
      </c>
      <c r="BQ35" s="15"/>
      <c r="BR35" s="15"/>
      <c r="BS35" s="15"/>
      <c r="BT35" s="15"/>
      <c r="BU35" s="15"/>
      <c r="BV35" s="15"/>
      <c r="BW35" s="15"/>
      <c r="BX35" s="15"/>
      <c r="BY35" s="15"/>
      <c r="BZ35" s="15"/>
      <c r="CA35" s="15"/>
    </row>
    <row r="36" spans="2:79" ht="11.25" customHeight="1">
      <c r="B36" s="18" t="s">
        <v>1570</v>
      </c>
      <c r="C36" s="15"/>
      <c r="D36" s="15"/>
      <c r="E36" s="15"/>
      <c r="F36" s="15"/>
      <c r="G36" s="15"/>
      <c r="H36" s="15"/>
      <c r="I36" s="15"/>
      <c r="J36" s="15"/>
      <c r="K36" s="38">
        <f>K35/K13</f>
        <v>3.1564180500350786E-2</v>
      </c>
      <c r="L36" s="38">
        <f>L35/L13</f>
        <v>8.128504605014665E-2</v>
      </c>
      <c r="M36" s="38">
        <f>M35/M13</f>
        <v>0.11467716076373707</v>
      </c>
      <c r="N36" s="38">
        <f>N35/N13</f>
        <v>9.9514208666361612E-2</v>
      </c>
      <c r="O36" s="15"/>
      <c r="P36" s="15"/>
      <c r="Q36" s="15"/>
      <c r="R36" s="15"/>
      <c r="S36" s="15"/>
      <c r="T36" s="15"/>
      <c r="U36" s="15"/>
      <c r="V36" s="15"/>
      <c r="W36" s="15"/>
      <c r="X36" s="15"/>
      <c r="Y36" s="15"/>
      <c r="Z36" s="15"/>
      <c r="AA36" s="15"/>
      <c r="AB36" s="15"/>
      <c r="AC36" s="15"/>
      <c r="AD36" s="15"/>
      <c r="AE36" s="15"/>
      <c r="AF36" s="15"/>
      <c r="AG36" s="15"/>
      <c r="AH36" s="15"/>
      <c r="AI36" s="15"/>
      <c r="AJ36" s="15"/>
      <c r="AK36" s="15"/>
      <c r="AL36" s="15"/>
      <c r="AM36" s="15"/>
      <c r="AN36" s="15"/>
      <c r="AO36" s="15"/>
      <c r="AP36" s="15"/>
      <c r="AQ36" s="15"/>
      <c r="AR36" s="15"/>
      <c r="AS36" s="15"/>
      <c r="AT36" s="15"/>
      <c r="AU36" s="15"/>
      <c r="AV36" s="15"/>
      <c r="AW36" s="15"/>
      <c r="AX36" s="15"/>
      <c r="AY36" s="15"/>
      <c r="AZ36" s="38">
        <f t="shared" ref="AZ36:BP36" si="18">AZ35/AZ13</f>
        <v>3.3494981391676934E-2</v>
      </c>
      <c r="BA36" s="38">
        <f t="shared" si="18"/>
        <v>-2.0159519976584158E-2</v>
      </c>
      <c r="BB36" s="38">
        <f t="shared" si="18"/>
        <v>2.3481005923456245E-2</v>
      </c>
      <c r="BC36" s="38">
        <f t="shared" si="18"/>
        <v>8.6256706562113095E-2</v>
      </c>
      <c r="BD36" s="38">
        <f t="shared" si="18"/>
        <v>-1.8334922148077477E-2</v>
      </c>
      <c r="BE36" s="38">
        <f t="shared" si="18"/>
        <v>9.2917029780328689E-2</v>
      </c>
      <c r="BF36" s="38">
        <f t="shared" si="18"/>
        <v>0.10795326258749162</v>
      </c>
      <c r="BG36" s="38">
        <f t="shared" si="18"/>
        <v>0.12937034962797023</v>
      </c>
      <c r="BH36" s="38">
        <f t="shared" si="18"/>
        <v>8.4697186816501985E-2</v>
      </c>
      <c r="BI36" s="38">
        <f t="shared" si="18"/>
        <v>0.10318653777300389</v>
      </c>
      <c r="BJ36" s="38">
        <f t="shared" si="18"/>
        <v>8.5755121486422087E-2</v>
      </c>
      <c r="BK36" s="38">
        <f t="shared" si="18"/>
        <v>4.1202429326692047E-2</v>
      </c>
      <c r="BL36" s="38">
        <f t="shared" si="18"/>
        <v>6.127341777523173E-2</v>
      </c>
      <c r="BM36" s="38">
        <f t="shared" si="18"/>
        <v>9.8723662884927094E-2</v>
      </c>
      <c r="BN36" s="38">
        <f t="shared" si="18"/>
        <v>0.13716367713004493</v>
      </c>
      <c r="BO36" s="38">
        <f t="shared" si="18"/>
        <v>9.6382498872350092E-2</v>
      </c>
      <c r="BP36" s="38">
        <f t="shared" si="18"/>
        <v>0.12965870006173377</v>
      </c>
      <c r="BQ36" s="15"/>
      <c r="BR36" s="15"/>
      <c r="BS36" s="15"/>
      <c r="BT36" s="15"/>
      <c r="BU36" s="15"/>
      <c r="BV36" s="15"/>
      <c r="BW36" s="15"/>
      <c r="BX36" s="15"/>
      <c r="BY36" s="15"/>
      <c r="BZ36" s="15"/>
      <c r="CA36" s="15"/>
    </row>
    <row r="37" spans="2:79" ht="4.5" customHeight="1">
      <c r="B37" s="863"/>
      <c r="C37" s="15"/>
      <c r="D37" s="15"/>
      <c r="E37" s="15"/>
      <c r="F37" s="15"/>
      <c r="G37" s="15"/>
      <c r="H37" s="15"/>
      <c r="I37" s="15"/>
      <c r="J37" s="15"/>
      <c r="K37" s="15"/>
      <c r="L37" s="15"/>
      <c r="M37" s="15"/>
      <c r="N37" s="15"/>
      <c r="O37" s="15"/>
      <c r="P37" s="15"/>
      <c r="Q37" s="15"/>
      <c r="R37" s="15"/>
      <c r="S37" s="15"/>
      <c r="T37" s="15"/>
      <c r="U37" s="15"/>
      <c r="V37" s="15"/>
      <c r="W37" s="15"/>
      <c r="X37" s="15"/>
      <c r="Y37" s="15"/>
      <c r="Z37" s="15"/>
      <c r="AA37" s="15"/>
      <c r="AB37" s="15"/>
      <c r="AC37" s="15"/>
      <c r="AD37" s="15"/>
      <c r="AE37" s="15"/>
      <c r="AF37" s="15"/>
      <c r="AG37" s="15"/>
      <c r="AH37" s="15"/>
      <c r="AI37" s="15"/>
      <c r="AJ37" s="15"/>
      <c r="AK37" s="15"/>
      <c r="AL37" s="15"/>
      <c r="AM37" s="15"/>
      <c r="AN37" s="15"/>
      <c r="AO37" s="15"/>
      <c r="AP37" s="15"/>
      <c r="AQ37" s="15"/>
      <c r="AR37" s="15"/>
      <c r="AS37" s="15"/>
      <c r="AT37" s="15"/>
      <c r="AU37" s="15"/>
      <c r="AV37" s="15"/>
      <c r="AW37" s="15"/>
      <c r="AX37" s="15"/>
      <c r="AY37" s="15"/>
      <c r="AZ37" s="15"/>
      <c r="BA37" s="15"/>
      <c r="BB37" s="15"/>
      <c r="BC37" s="15"/>
      <c r="BD37" s="15"/>
      <c r="BE37" s="15"/>
      <c r="BF37" s="15"/>
      <c r="BG37" s="15"/>
      <c r="BH37" s="15"/>
      <c r="BI37" s="15"/>
      <c r="BJ37" s="15"/>
      <c r="BK37" s="15"/>
      <c r="BL37" s="858"/>
      <c r="BM37" s="858"/>
      <c r="BN37" s="858"/>
      <c r="BO37" s="858"/>
      <c r="BP37" s="15"/>
      <c r="BQ37" s="15"/>
      <c r="BR37" s="15"/>
      <c r="BS37" s="15"/>
      <c r="BT37" s="15"/>
      <c r="BU37" s="15"/>
      <c r="BV37" s="15"/>
      <c r="BW37" s="15"/>
      <c r="BX37" s="15"/>
      <c r="BY37" s="15"/>
      <c r="BZ37" s="15"/>
      <c r="CA37" s="15"/>
    </row>
    <row r="38" spans="2:79" ht="12" customHeight="1">
      <c r="B38" s="866" t="s">
        <v>1563</v>
      </c>
      <c r="C38" s="15"/>
      <c r="D38" s="15"/>
      <c r="E38" s="15"/>
      <c r="F38" s="15"/>
      <c r="G38" s="15"/>
      <c r="H38" s="15"/>
      <c r="I38" s="15"/>
      <c r="J38" s="15"/>
      <c r="K38" s="26">
        <f>SUM(AZ38:BC38)</f>
        <v>-14.811999999999999</v>
      </c>
      <c r="L38" s="26">
        <f>SUM(BD38:BG38)</f>
        <v>-6.6219999999999999</v>
      </c>
      <c r="M38" s="26">
        <f>SUM(BH38:BK38)</f>
        <v>-19.196000000000002</v>
      </c>
      <c r="N38" s="26">
        <f>SUM(BL38:BO38)</f>
        <v>-15.774999999999999</v>
      </c>
      <c r="O38" s="15"/>
      <c r="P38" s="15"/>
      <c r="Q38" s="15"/>
      <c r="R38" s="15"/>
      <c r="S38" s="15"/>
      <c r="T38" s="15"/>
      <c r="U38" s="15"/>
      <c r="V38" s="15"/>
      <c r="W38" s="15"/>
      <c r="X38" s="15"/>
      <c r="Y38" s="15"/>
      <c r="Z38" s="15"/>
      <c r="AA38" s="15"/>
      <c r="AB38" s="15"/>
      <c r="AC38" s="15"/>
      <c r="AD38" s="15"/>
      <c r="AE38" s="15"/>
      <c r="AF38" s="15"/>
      <c r="AG38" s="15"/>
      <c r="AH38" s="15"/>
      <c r="AI38" s="15"/>
      <c r="AJ38" s="15"/>
      <c r="AK38" s="15"/>
      <c r="AL38" s="15"/>
      <c r="AM38" s="15"/>
      <c r="AN38" s="15"/>
      <c r="AO38" s="15"/>
      <c r="AP38" s="15"/>
      <c r="AQ38" s="15"/>
      <c r="AR38" s="15"/>
      <c r="AS38" s="15"/>
      <c r="AT38" s="15"/>
      <c r="AU38" s="15"/>
      <c r="AV38" s="15"/>
      <c r="AW38" s="15"/>
      <c r="AX38" s="15"/>
      <c r="AY38" s="15"/>
      <c r="AZ38" s="858">
        <v>-2.7690000000000001</v>
      </c>
      <c r="BA38" s="858">
        <v>-3.0659999999999998</v>
      </c>
      <c r="BB38" s="858">
        <v>-4.9290000000000003</v>
      </c>
      <c r="BC38" s="858">
        <v>-4.048</v>
      </c>
      <c r="BD38" s="858">
        <v>-2.6080000000000001</v>
      </c>
      <c r="BE38" s="858">
        <v>-0.57499999999999996</v>
      </c>
      <c r="BF38" s="858">
        <v>-1.702</v>
      </c>
      <c r="BG38" s="858">
        <v>-1.7370000000000001</v>
      </c>
      <c r="BH38" s="858">
        <v>-2.5019999999999998</v>
      </c>
      <c r="BI38" s="858">
        <v>-2.6520000000000001</v>
      </c>
      <c r="BJ38" s="858">
        <v>-3.7130000000000001</v>
      </c>
      <c r="BK38" s="858">
        <v>-10.329000000000001</v>
      </c>
      <c r="BL38" s="858">
        <v>-4.3579999999999997</v>
      </c>
      <c r="BM38" s="858">
        <v>-2.4300000000000002</v>
      </c>
      <c r="BN38" s="858">
        <v>-4.4409999999999998</v>
      </c>
      <c r="BO38" s="858">
        <v>-4.5460000000000003</v>
      </c>
      <c r="BP38" s="858">
        <v>-5.0039999999999996</v>
      </c>
      <c r="BQ38" s="15"/>
      <c r="BR38" s="15"/>
      <c r="BS38" s="15"/>
      <c r="BT38" s="15"/>
      <c r="BU38" s="15"/>
      <c r="BV38" s="15"/>
      <c r="BW38" s="15"/>
      <c r="BX38" s="15"/>
      <c r="BY38" s="15"/>
      <c r="BZ38" s="15"/>
      <c r="CA38" s="15"/>
    </row>
    <row r="39" spans="2:79">
      <c r="B39" s="866" t="s">
        <v>1564</v>
      </c>
      <c r="C39" s="15"/>
      <c r="D39" s="15"/>
      <c r="E39" s="15"/>
      <c r="F39" s="15"/>
      <c r="G39" s="15"/>
      <c r="H39" s="15"/>
      <c r="I39" s="15"/>
      <c r="J39" s="15"/>
      <c r="K39" s="26">
        <f>SUM(AZ39:BC39)</f>
        <v>0.125</v>
      </c>
      <c r="L39" s="26">
        <f>SUM(BD39:BG39)</f>
        <v>-0.30500000000000005</v>
      </c>
      <c r="M39" s="26">
        <f>SUM(BH39:BK39)</f>
        <v>-0.76400000000000001</v>
      </c>
      <c r="N39" s="26">
        <f>SUM(BL39:BO39)</f>
        <v>-3.0632999999999999</v>
      </c>
      <c r="O39" s="15"/>
      <c r="P39" s="15"/>
      <c r="Q39" s="15"/>
      <c r="R39" s="15"/>
      <c r="S39" s="15"/>
      <c r="T39" s="15"/>
      <c r="U39" s="15"/>
      <c r="V39" s="15"/>
      <c r="W39" s="15"/>
      <c r="X39" s="15"/>
      <c r="Y39" s="15"/>
      <c r="Z39" s="15"/>
      <c r="AA39" s="15"/>
      <c r="AB39" s="15"/>
      <c r="AC39" s="15"/>
      <c r="AD39" s="15"/>
      <c r="AE39" s="15"/>
      <c r="AF39" s="15"/>
      <c r="AG39" s="15"/>
      <c r="AH39" s="15"/>
      <c r="AI39" s="15"/>
      <c r="AJ39" s="15"/>
      <c r="AK39" s="15"/>
      <c r="AL39" s="15"/>
      <c r="AM39" s="15"/>
      <c r="AN39" s="15"/>
      <c r="AO39" s="15"/>
      <c r="AP39" s="15"/>
      <c r="AQ39" s="15"/>
      <c r="AR39" s="15"/>
      <c r="AS39" s="15"/>
      <c r="AT39" s="15"/>
      <c r="AU39" s="15"/>
      <c r="AV39" s="15"/>
      <c r="AW39" s="15"/>
      <c r="AX39" s="15"/>
      <c r="AY39" s="15"/>
      <c r="AZ39" s="858">
        <v>3.0000000000000001E-3</v>
      </c>
      <c r="BA39" s="858">
        <v>0.14099999999999999</v>
      </c>
      <c r="BB39" s="858">
        <v>1.0999999999999999E-2</v>
      </c>
      <c r="BC39" s="858">
        <v>-0.03</v>
      </c>
      <c r="BD39" s="858">
        <v>-0.104</v>
      </c>
      <c r="BE39" s="858">
        <v>-8.9999999999999993E-3</v>
      </c>
      <c r="BF39" s="858">
        <v>-0.16300000000000001</v>
      </c>
      <c r="BG39" s="858">
        <v>-2.9000000000000001E-2</v>
      </c>
      <c r="BH39" s="858">
        <v>-0.161</v>
      </c>
      <c r="BI39" s="858">
        <v>-0.183</v>
      </c>
      <c r="BJ39" s="858">
        <v>-0.307</v>
      </c>
      <c r="BK39" s="858">
        <v>-0.113</v>
      </c>
      <c r="BL39" s="858">
        <v>-0.23799999999999999</v>
      </c>
      <c r="BM39" s="858">
        <v>-7.0000000000000007E-2</v>
      </c>
      <c r="BN39" s="858">
        <v>-0.17799999999999999</v>
      </c>
      <c r="BO39" s="858">
        <v>-2.5773000000000001</v>
      </c>
      <c r="BP39" s="858">
        <v>-2.57</v>
      </c>
      <c r="BQ39" s="15"/>
      <c r="BR39" s="15"/>
      <c r="BS39" s="15"/>
      <c r="BT39" s="15"/>
      <c r="BU39" s="15"/>
      <c r="BV39" s="15"/>
      <c r="BW39" s="15"/>
      <c r="BX39" s="15"/>
      <c r="BY39" s="15"/>
      <c r="BZ39" s="15"/>
      <c r="CA39" s="15"/>
    </row>
    <row r="40" spans="2:79">
      <c r="B40" s="866" t="s">
        <v>1230</v>
      </c>
      <c r="C40" s="15"/>
      <c r="D40" s="15"/>
      <c r="E40" s="15"/>
      <c r="F40" s="15"/>
      <c r="G40" s="15"/>
      <c r="H40" s="15"/>
      <c r="I40" s="15"/>
      <c r="J40" s="15"/>
      <c r="K40" s="26">
        <f>SUM(AZ40:BC40)</f>
        <v>7.8000000000000014E-2</v>
      </c>
      <c r="L40" s="26">
        <f>SUM(BD40:BG40)</f>
        <v>1.8080000000000001</v>
      </c>
      <c r="M40" s="26">
        <f>SUM(BH40:BK40)</f>
        <v>1.587</v>
      </c>
      <c r="N40" s="26">
        <f>SUM(BL40:BO40)</f>
        <v>5.5999999999999994E-2</v>
      </c>
      <c r="O40" s="15"/>
      <c r="P40" s="15"/>
      <c r="Q40" s="15"/>
      <c r="R40" s="15"/>
      <c r="S40" s="15"/>
      <c r="T40" s="15"/>
      <c r="U40" s="15"/>
      <c r="V40" s="15"/>
      <c r="W40" s="15"/>
      <c r="X40" s="15"/>
      <c r="Y40" s="15"/>
      <c r="Z40" s="15"/>
      <c r="AA40" s="15"/>
      <c r="AB40" s="15"/>
      <c r="AC40" s="15"/>
      <c r="AD40" s="15"/>
      <c r="AE40" s="15"/>
      <c r="AF40" s="15"/>
      <c r="AG40" s="15"/>
      <c r="AH40" s="15"/>
      <c r="AI40" s="15"/>
      <c r="AJ40" s="15"/>
      <c r="AK40" s="15"/>
      <c r="AL40" s="15"/>
      <c r="AM40" s="15"/>
      <c r="AN40" s="15"/>
      <c r="AO40" s="15"/>
      <c r="AP40" s="15"/>
      <c r="AQ40" s="15"/>
      <c r="AR40" s="15"/>
      <c r="AS40" s="15"/>
      <c r="AT40" s="15"/>
      <c r="AU40" s="15"/>
      <c r="AV40" s="15"/>
      <c r="AW40" s="15"/>
      <c r="AX40" s="15"/>
      <c r="AY40" s="15"/>
      <c r="AZ40" s="858">
        <v>2.3E-2</v>
      </c>
      <c r="BA40" s="858">
        <v>2.8000000000000001E-2</v>
      </c>
      <c r="BB40" s="858">
        <v>2.1000000000000001E-2</v>
      </c>
      <c r="BC40" s="858">
        <v>6.0000000000000001E-3</v>
      </c>
      <c r="BD40" s="858">
        <v>0.222</v>
      </c>
      <c r="BE40" s="858">
        <v>0.47299999999999998</v>
      </c>
      <c r="BF40" s="858">
        <v>0.53400000000000003</v>
      </c>
      <c r="BG40" s="858">
        <v>0.57899999999999996</v>
      </c>
      <c r="BH40" s="858">
        <v>0.372</v>
      </c>
      <c r="BI40" s="858">
        <v>0.69899999999999995</v>
      </c>
      <c r="BJ40" s="858">
        <v>0.442</v>
      </c>
      <c r="BK40" s="858">
        <v>7.3999999999999996E-2</v>
      </c>
      <c r="BL40" s="858">
        <v>3.0000000000000001E-3</v>
      </c>
      <c r="BM40" s="858">
        <v>2.5999999999999999E-2</v>
      </c>
      <c r="BN40" s="858">
        <v>1.6E-2</v>
      </c>
      <c r="BO40" s="858">
        <v>1.0999999999999999E-2</v>
      </c>
      <c r="BP40" s="858">
        <v>1.2E-2</v>
      </c>
      <c r="BQ40" s="15"/>
      <c r="BR40" s="15"/>
      <c r="BS40" s="15"/>
      <c r="BT40" s="15"/>
      <c r="BU40" s="15"/>
      <c r="BV40" s="15"/>
      <c r="BW40" s="15"/>
      <c r="BX40" s="15"/>
      <c r="BY40" s="15"/>
      <c r="BZ40" s="15"/>
      <c r="CA40" s="15"/>
    </row>
    <row r="41" spans="2:79">
      <c r="B41" s="866" t="s">
        <v>1565</v>
      </c>
      <c r="C41" s="15"/>
      <c r="D41" s="15"/>
      <c r="E41" s="15"/>
      <c r="F41" s="15"/>
      <c r="G41" s="15"/>
      <c r="H41" s="15"/>
      <c r="I41" s="15"/>
      <c r="J41" s="15"/>
      <c r="K41" s="26">
        <f>SUM(AZ41:BC41)</f>
        <v>0</v>
      </c>
      <c r="L41" s="26">
        <f>SUM(BD41:BG41)</f>
        <v>-2.8090000000000002</v>
      </c>
      <c r="M41" s="26">
        <f>SUM(BH41:BK41)</f>
        <v>-0.69499999999999995</v>
      </c>
      <c r="N41" s="26">
        <f>SUM(BL41:BO41)</f>
        <v>0</v>
      </c>
      <c r="O41" s="15"/>
      <c r="P41" s="15"/>
      <c r="Q41" s="15"/>
      <c r="R41" s="15"/>
      <c r="S41" s="15"/>
      <c r="T41" s="15"/>
      <c r="U41" s="15"/>
      <c r="V41" s="15"/>
      <c r="W41" s="15"/>
      <c r="X41" s="15"/>
      <c r="Y41" s="15"/>
      <c r="Z41" s="15"/>
      <c r="AA41" s="15"/>
      <c r="AB41" s="15"/>
      <c r="AC41" s="15"/>
      <c r="AD41" s="15"/>
      <c r="AE41" s="15"/>
      <c r="AF41" s="15"/>
      <c r="AG41" s="15"/>
      <c r="AH41" s="15"/>
      <c r="AI41" s="15"/>
      <c r="AJ41" s="15"/>
      <c r="AK41" s="15"/>
      <c r="AL41" s="15"/>
      <c r="AM41" s="15"/>
      <c r="AN41" s="15"/>
      <c r="AO41" s="15"/>
      <c r="AP41" s="15"/>
      <c r="AQ41" s="15"/>
      <c r="AR41" s="15"/>
      <c r="AS41" s="15"/>
      <c r="AT41" s="15"/>
      <c r="AU41" s="15"/>
      <c r="AV41" s="15"/>
      <c r="AW41" s="15"/>
      <c r="AX41" s="15"/>
      <c r="AY41" s="15"/>
      <c r="AZ41" s="858">
        <v>0</v>
      </c>
      <c r="BA41" s="858">
        <v>0</v>
      </c>
      <c r="BB41" s="858">
        <v>0</v>
      </c>
      <c r="BC41" s="858">
        <v>0</v>
      </c>
      <c r="BD41" s="858">
        <v>-2.8090000000000002</v>
      </c>
      <c r="BE41" s="858">
        <v>0</v>
      </c>
      <c r="BF41" s="858">
        <v>0</v>
      </c>
      <c r="BG41" s="858">
        <v>0</v>
      </c>
      <c r="BH41" s="858">
        <v>-0.69499999999999995</v>
      </c>
      <c r="BI41" s="858">
        <v>0</v>
      </c>
      <c r="BJ41" s="858">
        <v>0</v>
      </c>
      <c r="BK41" s="858">
        <v>0</v>
      </c>
      <c r="BL41" s="858">
        <v>0</v>
      </c>
      <c r="BM41" s="858">
        <v>0</v>
      </c>
      <c r="BN41" s="858">
        <v>0</v>
      </c>
      <c r="BO41" s="858">
        <v>0</v>
      </c>
      <c r="BP41" s="858">
        <v>0</v>
      </c>
      <c r="BQ41" s="15"/>
      <c r="BR41" s="15"/>
      <c r="BS41" s="15"/>
      <c r="BT41" s="15"/>
      <c r="BU41" s="15"/>
      <c r="BV41" s="15"/>
      <c r="BW41" s="15"/>
      <c r="BX41" s="15"/>
      <c r="BY41" s="15"/>
      <c r="BZ41" s="15"/>
      <c r="CA41" s="15"/>
    </row>
    <row r="42" spans="2:79">
      <c r="B42" s="863" t="s">
        <v>1566</v>
      </c>
      <c r="C42" s="15"/>
      <c r="D42" s="15"/>
      <c r="E42" s="15"/>
      <c r="F42" s="15"/>
      <c r="G42" s="15"/>
      <c r="H42" s="15"/>
      <c r="I42" s="15"/>
      <c r="J42" s="15"/>
      <c r="K42" s="90">
        <f>K35+SUM(K38:K41)</f>
        <v>-11.098999999999991</v>
      </c>
      <c r="L42" s="90">
        <f>L35+SUM(L38:L41)</f>
        <v>3.2629999999999901</v>
      </c>
      <c r="M42" s="90">
        <f>M35+SUM(M38:M41)</f>
        <v>0.60200000000000031</v>
      </c>
      <c r="N42" s="90">
        <f>N35+SUM(N38:N41)</f>
        <v>1.6616999999999997</v>
      </c>
      <c r="O42" s="15"/>
      <c r="P42" s="15"/>
      <c r="Q42" s="15"/>
      <c r="R42" s="15"/>
      <c r="S42" s="15"/>
      <c r="T42" s="15"/>
      <c r="U42" s="15"/>
      <c r="V42" s="15"/>
      <c r="W42" s="15"/>
      <c r="X42" s="15"/>
      <c r="Y42" s="15"/>
      <c r="Z42" s="15"/>
      <c r="AA42" s="15"/>
      <c r="AB42" s="15"/>
      <c r="AC42" s="15"/>
      <c r="AD42" s="15"/>
      <c r="AE42" s="15"/>
      <c r="AF42" s="15"/>
      <c r="AG42" s="15"/>
      <c r="AH42" s="15"/>
      <c r="AI42" s="15"/>
      <c r="AJ42" s="15"/>
      <c r="AK42" s="15"/>
      <c r="AL42" s="15"/>
      <c r="AM42" s="15"/>
      <c r="AN42" s="15"/>
      <c r="AO42" s="15"/>
      <c r="AP42" s="15"/>
      <c r="AQ42" s="15"/>
      <c r="AR42" s="15"/>
      <c r="AS42" s="15"/>
      <c r="AT42" s="15"/>
      <c r="AU42" s="15"/>
      <c r="AV42" s="15"/>
      <c r="AW42" s="15"/>
      <c r="AX42" s="15"/>
      <c r="AY42" s="15"/>
      <c r="AZ42" s="90">
        <f t="shared" ref="AZ42:BP42" si="19">AZ35+SUM(AZ38:AZ41)</f>
        <v>-1.8520000000000016</v>
      </c>
      <c r="BA42" s="90">
        <f t="shared" si="19"/>
        <v>-3.4479999999999982</v>
      </c>
      <c r="BB42" s="90">
        <f t="shared" si="19"/>
        <v>-4.2349999999999985</v>
      </c>
      <c r="BC42" s="90">
        <f t="shared" si="19"/>
        <v>-1.5639999999999996</v>
      </c>
      <c r="BD42" s="90">
        <f t="shared" si="19"/>
        <v>-5.8759999999999986</v>
      </c>
      <c r="BE42" s="90">
        <f t="shared" si="19"/>
        <v>2.9809999999999981</v>
      </c>
      <c r="BF42" s="90">
        <f t="shared" si="19"/>
        <v>2.4940000000000033</v>
      </c>
      <c r="BG42" s="90">
        <f t="shared" si="19"/>
        <v>3.6639999999999997</v>
      </c>
      <c r="BH42" s="90">
        <f t="shared" si="19"/>
        <v>0.38300000000000001</v>
      </c>
      <c r="BI42" s="90">
        <f t="shared" si="19"/>
        <v>2.1869999999999976</v>
      </c>
      <c r="BJ42" s="90">
        <f t="shared" si="19"/>
        <v>0.20199999999999907</v>
      </c>
      <c r="BK42" s="90">
        <f t="shared" si="19"/>
        <v>-8.4819999999999993</v>
      </c>
      <c r="BL42" s="90">
        <f t="shared" si="19"/>
        <v>-1.7050000000000032</v>
      </c>
      <c r="BM42" s="90">
        <f t="shared" si="19"/>
        <v>2.3990000000000009</v>
      </c>
      <c r="BN42" s="90">
        <f t="shared" si="19"/>
        <v>2.7380000000000049</v>
      </c>
      <c r="BO42" s="90">
        <f t="shared" si="19"/>
        <v>-1.7702999999999962</v>
      </c>
      <c r="BP42" s="90">
        <f t="shared" si="19"/>
        <v>-0.21100000000000474</v>
      </c>
      <c r="BQ42" s="15"/>
      <c r="BR42" s="15"/>
      <c r="BS42" s="15"/>
      <c r="BT42" s="15"/>
      <c r="BU42" s="15"/>
      <c r="BV42" s="15"/>
      <c r="BW42" s="15"/>
      <c r="BX42" s="15"/>
      <c r="BY42" s="15"/>
      <c r="BZ42" s="15"/>
      <c r="CA42" s="15"/>
    </row>
    <row r="43" spans="2:79" ht="3.75" customHeight="1">
      <c r="B43" s="866"/>
      <c r="C43" s="15"/>
      <c r="D43" s="15"/>
      <c r="E43" s="15"/>
      <c r="F43" s="15"/>
      <c r="G43" s="15"/>
      <c r="H43" s="15"/>
      <c r="I43" s="15"/>
      <c r="J43" s="15"/>
      <c r="K43" s="15"/>
      <c r="L43" s="15"/>
      <c r="M43" s="15"/>
      <c r="N43" s="15"/>
      <c r="O43" s="15"/>
      <c r="P43" s="15"/>
      <c r="Q43" s="15"/>
      <c r="R43" s="15"/>
      <c r="S43" s="15"/>
      <c r="T43" s="15"/>
      <c r="U43" s="15"/>
      <c r="V43" s="15"/>
      <c r="W43" s="15"/>
      <c r="X43" s="15"/>
      <c r="Y43" s="15"/>
      <c r="Z43" s="15"/>
      <c r="AA43" s="15"/>
      <c r="AB43" s="15"/>
      <c r="AC43" s="15"/>
      <c r="AD43" s="15"/>
      <c r="AE43" s="15"/>
      <c r="AF43" s="15"/>
      <c r="AG43" s="15"/>
      <c r="AH43" s="15"/>
      <c r="AI43" s="15"/>
      <c r="AJ43" s="15"/>
      <c r="AK43" s="15"/>
      <c r="AL43" s="15"/>
      <c r="AM43" s="15"/>
      <c r="AN43" s="15"/>
      <c r="AO43" s="15"/>
      <c r="AP43" s="15"/>
      <c r="AQ43" s="15"/>
      <c r="AR43" s="15"/>
      <c r="AS43" s="15"/>
      <c r="AT43" s="15"/>
      <c r="AU43" s="15"/>
      <c r="AV43" s="15"/>
      <c r="AW43" s="15"/>
      <c r="AX43" s="15"/>
      <c r="AY43" s="15"/>
      <c r="AZ43" s="15"/>
      <c r="BA43" s="15"/>
      <c r="BB43" s="15"/>
      <c r="BC43" s="15"/>
      <c r="BD43" s="15"/>
      <c r="BE43" s="15"/>
      <c r="BF43" s="15"/>
      <c r="BG43" s="15"/>
      <c r="BH43" s="15"/>
      <c r="BI43" s="15"/>
      <c r="BJ43" s="15"/>
      <c r="BK43" s="15"/>
      <c r="BL43" s="858"/>
      <c r="BM43" s="858"/>
      <c r="BN43" s="858"/>
      <c r="BO43" s="858"/>
      <c r="BP43" s="15"/>
      <c r="BQ43" s="15"/>
      <c r="BR43" s="15"/>
      <c r="BS43" s="15"/>
      <c r="BT43" s="15"/>
      <c r="BU43" s="15"/>
      <c r="BV43" s="15"/>
      <c r="BW43" s="15"/>
      <c r="BX43" s="15"/>
      <c r="BY43" s="15"/>
      <c r="BZ43" s="15"/>
      <c r="CA43" s="15"/>
    </row>
    <row r="44" spans="2:79">
      <c r="B44" s="866" t="s">
        <v>1567</v>
      </c>
      <c r="C44" s="15"/>
      <c r="D44" s="15"/>
      <c r="E44" s="15"/>
      <c r="F44" s="15"/>
      <c r="G44" s="15"/>
      <c r="H44" s="15"/>
      <c r="I44" s="15"/>
      <c r="J44" s="15"/>
      <c r="K44" s="26">
        <f>SUM(AZ44:BC44)</f>
        <v>5.5000000000000007E-2</v>
      </c>
      <c r="L44" s="26">
        <f>SUM(BD44:BG44)</f>
        <v>-0.26400000000000001</v>
      </c>
      <c r="M44" s="26">
        <f>SUM(BH44:BK44)</f>
        <v>-1.325</v>
      </c>
      <c r="N44" s="26">
        <f>SUM(BL44:BO44)</f>
        <v>-1.254</v>
      </c>
      <c r="O44" s="15"/>
      <c r="P44" s="15"/>
      <c r="Q44" s="15"/>
      <c r="R44" s="15"/>
      <c r="S44" s="15"/>
      <c r="T44" s="15"/>
      <c r="U44" s="15"/>
      <c r="V44" s="15"/>
      <c r="W44" s="15"/>
      <c r="X44" s="15"/>
      <c r="Y44" s="15"/>
      <c r="Z44" s="15"/>
      <c r="AA44" s="15"/>
      <c r="AB44" s="15"/>
      <c r="AC44" s="15"/>
      <c r="AD44" s="15"/>
      <c r="AE44" s="15"/>
      <c r="AF44" s="15"/>
      <c r="AG44" s="15"/>
      <c r="AH44" s="15"/>
      <c r="AI44" s="15"/>
      <c r="AJ44" s="15"/>
      <c r="AK44" s="15"/>
      <c r="AL44" s="15"/>
      <c r="AM44" s="15"/>
      <c r="AN44" s="15"/>
      <c r="AO44" s="15"/>
      <c r="AP44" s="15"/>
      <c r="AQ44" s="15"/>
      <c r="AR44" s="15"/>
      <c r="AS44" s="15"/>
      <c r="AT44" s="15"/>
      <c r="AU44" s="15"/>
      <c r="AV44" s="15"/>
      <c r="AW44" s="15"/>
      <c r="AX44" s="15"/>
      <c r="AY44" s="15"/>
      <c r="AZ44" s="858">
        <v>-3.3000000000000002E-2</v>
      </c>
      <c r="BA44" s="858">
        <v>-2.7E-2</v>
      </c>
      <c r="BB44" s="858">
        <v>0.115</v>
      </c>
      <c r="BC44" s="858">
        <v>0</v>
      </c>
      <c r="BD44" s="858">
        <v>-1.2E-2</v>
      </c>
      <c r="BE44" s="858">
        <v>0</v>
      </c>
      <c r="BF44" s="858">
        <v>-0.106</v>
      </c>
      <c r="BG44" s="858">
        <v>-0.14599999999999999</v>
      </c>
      <c r="BH44" s="858">
        <v>-4.3999999999999997E-2</v>
      </c>
      <c r="BI44" s="858">
        <v>-1.0469999999999999</v>
      </c>
      <c r="BJ44" s="858">
        <v>-0.23400000000000001</v>
      </c>
      <c r="BK44" s="858">
        <v>0</v>
      </c>
      <c r="BL44" s="858">
        <v>-0.27500000000000002</v>
      </c>
      <c r="BM44" s="858">
        <v>-0.52500000000000002</v>
      </c>
      <c r="BN44" s="858">
        <v>-0.15</v>
      </c>
      <c r="BO44" s="858">
        <v>-0.30399999999999999</v>
      </c>
      <c r="BP44" s="858">
        <v>-0.29799999999999999</v>
      </c>
      <c r="BQ44" s="15"/>
      <c r="BR44" s="15"/>
      <c r="BS44" s="15"/>
      <c r="BT44" s="15"/>
      <c r="BU44" s="15"/>
      <c r="BV44" s="15"/>
      <c r="BW44" s="15"/>
      <c r="BX44" s="15"/>
      <c r="BY44" s="15"/>
      <c r="BZ44" s="15"/>
      <c r="CA44" s="15"/>
    </row>
    <row r="45" spans="2:79">
      <c r="B45" s="863" t="s">
        <v>1115</v>
      </c>
      <c r="C45" s="15"/>
      <c r="D45" s="15"/>
      <c r="E45" s="15"/>
      <c r="F45" s="15"/>
      <c r="G45" s="15"/>
      <c r="H45" s="15"/>
      <c r="I45" s="15"/>
      <c r="J45" s="15"/>
      <c r="K45" s="90">
        <f>K44+K42</f>
        <v>-11.043999999999992</v>
      </c>
      <c r="L45" s="90">
        <f>L44+L42</f>
        <v>2.9989999999999899</v>
      </c>
      <c r="M45" s="90">
        <f>M44+M42</f>
        <v>-0.72299999999999964</v>
      </c>
      <c r="N45" s="90">
        <f>N44+N42</f>
        <v>0.40769999999999973</v>
      </c>
      <c r="O45" s="15"/>
      <c r="P45" s="15"/>
      <c r="Q45" s="15"/>
      <c r="R45" s="15"/>
      <c r="S45" s="15"/>
      <c r="T45" s="15"/>
      <c r="U45" s="15"/>
      <c r="V45" s="15"/>
      <c r="W45" s="15"/>
      <c r="X45" s="15"/>
      <c r="Y45" s="15"/>
      <c r="Z45" s="15"/>
      <c r="AA45" s="15"/>
      <c r="AB45" s="15"/>
      <c r="AC45" s="15"/>
      <c r="AD45" s="15"/>
      <c r="AE45" s="15"/>
      <c r="AF45" s="15"/>
      <c r="AG45" s="15"/>
      <c r="AH45" s="15"/>
      <c r="AI45" s="15"/>
      <c r="AJ45" s="15"/>
      <c r="AK45" s="15"/>
      <c r="AL45" s="15"/>
      <c r="AM45" s="15"/>
      <c r="AN45" s="15"/>
      <c r="AO45" s="15"/>
      <c r="AP45" s="15"/>
      <c r="AQ45" s="15"/>
      <c r="AR45" s="15"/>
      <c r="AS45" s="15"/>
      <c r="AT45" s="15"/>
      <c r="AU45" s="15"/>
      <c r="AV45" s="15"/>
      <c r="AW45" s="15"/>
      <c r="AX45" s="15"/>
      <c r="AY45" s="15"/>
      <c r="AZ45" s="90">
        <f t="shared" ref="AZ45:BP45" si="20">AZ44+AZ42</f>
        <v>-1.8850000000000016</v>
      </c>
      <c r="BA45" s="90">
        <f t="shared" si="20"/>
        <v>-3.4749999999999983</v>
      </c>
      <c r="BB45" s="90">
        <f t="shared" si="20"/>
        <v>-4.1199999999999983</v>
      </c>
      <c r="BC45" s="90">
        <f t="shared" si="20"/>
        <v>-1.5639999999999996</v>
      </c>
      <c r="BD45" s="90">
        <f t="shared" si="20"/>
        <v>-5.8879999999999981</v>
      </c>
      <c r="BE45" s="90">
        <f t="shared" si="20"/>
        <v>2.9809999999999981</v>
      </c>
      <c r="BF45" s="90">
        <f t="shared" si="20"/>
        <v>2.3880000000000035</v>
      </c>
      <c r="BG45" s="90">
        <f t="shared" si="20"/>
        <v>3.5179999999999998</v>
      </c>
      <c r="BH45" s="90">
        <f t="shared" si="20"/>
        <v>0.33900000000000002</v>
      </c>
      <c r="BI45" s="90">
        <f t="shared" si="20"/>
        <v>1.1399999999999977</v>
      </c>
      <c r="BJ45" s="90">
        <f t="shared" si="20"/>
        <v>-3.2000000000000944E-2</v>
      </c>
      <c r="BK45" s="90">
        <f t="shared" si="20"/>
        <v>-8.4819999999999993</v>
      </c>
      <c r="BL45" s="90">
        <f t="shared" si="20"/>
        <v>-1.9800000000000031</v>
      </c>
      <c r="BM45" s="90">
        <f t="shared" si="20"/>
        <v>1.874000000000001</v>
      </c>
      <c r="BN45" s="90">
        <f t="shared" si="20"/>
        <v>2.588000000000005</v>
      </c>
      <c r="BO45" s="90">
        <f t="shared" si="20"/>
        <v>-2.074299999999996</v>
      </c>
      <c r="BP45" s="90">
        <f t="shared" si="20"/>
        <v>-0.50900000000000478</v>
      </c>
      <c r="BQ45" s="15"/>
      <c r="BR45" s="15"/>
      <c r="BS45" s="15"/>
      <c r="BT45" s="15"/>
      <c r="BU45" s="15"/>
      <c r="BV45" s="15"/>
      <c r="BW45" s="15"/>
      <c r="BX45" s="15"/>
      <c r="BY45" s="15"/>
      <c r="BZ45" s="15"/>
      <c r="CA45" s="15"/>
    </row>
    <row r="46" spans="2:79" ht="3" customHeight="1">
      <c r="B46" s="863"/>
      <c r="C46" s="15"/>
      <c r="D46" s="15"/>
      <c r="E46" s="15"/>
      <c r="F46" s="15"/>
      <c r="G46" s="15"/>
      <c r="H46" s="15"/>
      <c r="I46" s="15"/>
      <c r="J46" s="15"/>
      <c r="K46" s="15"/>
      <c r="L46" s="15"/>
      <c r="M46" s="15"/>
      <c r="N46" s="15"/>
      <c r="O46" s="15"/>
      <c r="P46" s="15"/>
      <c r="Q46" s="15"/>
      <c r="R46" s="15"/>
      <c r="S46" s="15"/>
      <c r="T46" s="15"/>
      <c r="U46" s="15"/>
      <c r="V46" s="15"/>
      <c r="W46" s="15"/>
      <c r="X46" s="15"/>
      <c r="Y46" s="15"/>
      <c r="Z46" s="15"/>
      <c r="AA46" s="15"/>
      <c r="AB46" s="15"/>
      <c r="AC46" s="15"/>
      <c r="AD46" s="15"/>
      <c r="AE46" s="15"/>
      <c r="AF46" s="15"/>
      <c r="AG46" s="15"/>
      <c r="AH46" s="15"/>
      <c r="AI46" s="15"/>
      <c r="AJ46" s="15"/>
      <c r="AK46" s="15"/>
      <c r="AL46" s="15"/>
      <c r="AM46" s="15"/>
      <c r="AN46" s="15"/>
      <c r="AO46" s="15"/>
      <c r="AP46" s="15"/>
      <c r="AQ46" s="15"/>
      <c r="AR46" s="15"/>
      <c r="AS46" s="15"/>
      <c r="AT46" s="15"/>
      <c r="AU46" s="15"/>
      <c r="AV46" s="15"/>
      <c r="AW46" s="15"/>
      <c r="AX46" s="15"/>
      <c r="AY46" s="15"/>
      <c r="AZ46" s="15"/>
      <c r="BA46" s="15"/>
      <c r="BB46" s="15"/>
      <c r="BC46" s="15"/>
      <c r="BD46" s="15"/>
      <c r="BE46" s="15"/>
      <c r="BF46" s="15"/>
      <c r="BG46" s="15"/>
      <c r="BH46" s="15"/>
      <c r="BI46" s="15"/>
      <c r="BJ46" s="15"/>
      <c r="BK46" s="15"/>
      <c r="BL46" s="858"/>
      <c r="BM46" s="858"/>
      <c r="BN46" s="858"/>
      <c r="BO46" s="858"/>
      <c r="BP46" s="15"/>
      <c r="BQ46" s="15"/>
      <c r="BR46" s="15"/>
      <c r="BS46" s="15"/>
      <c r="BT46" s="15"/>
      <c r="BU46" s="15"/>
      <c r="BV46" s="15"/>
      <c r="BW46" s="15"/>
      <c r="BX46" s="15"/>
      <c r="BY46" s="15"/>
      <c r="BZ46" s="15"/>
      <c r="CA46" s="15"/>
    </row>
    <row r="47" spans="2:79">
      <c r="B47" s="866" t="s">
        <v>1568</v>
      </c>
      <c r="C47" s="15"/>
      <c r="D47" s="15"/>
      <c r="E47" s="15"/>
      <c r="F47" s="15"/>
      <c r="G47" s="15"/>
      <c r="H47" s="15"/>
      <c r="I47" s="15"/>
      <c r="J47" s="15"/>
      <c r="K47" s="26">
        <f>AVERAGE(AZ47:BC47)</f>
        <v>107.54575</v>
      </c>
      <c r="L47" s="26">
        <f>AVERAGE(BD47:BG47)</f>
        <v>41.731250000000003</v>
      </c>
      <c r="M47" s="26">
        <f>AVERAGE(BH47:BK47)</f>
        <v>34.469499999999996</v>
      </c>
      <c r="N47" s="26">
        <f>AVERAGE(BL47:BO47)</f>
        <v>34.576499999999996</v>
      </c>
      <c r="O47" s="15"/>
      <c r="P47" s="15"/>
      <c r="Q47" s="15"/>
      <c r="R47" s="15"/>
      <c r="S47" s="15"/>
      <c r="T47" s="15"/>
      <c r="U47" s="15"/>
      <c r="V47" s="15"/>
      <c r="W47" s="15"/>
      <c r="X47" s="15"/>
      <c r="Y47" s="15"/>
      <c r="Z47" s="15"/>
      <c r="AA47" s="15"/>
      <c r="AB47" s="15"/>
      <c r="AC47" s="15"/>
      <c r="AD47" s="15"/>
      <c r="AE47" s="15"/>
      <c r="AF47" s="15"/>
      <c r="AG47" s="15"/>
      <c r="AH47" s="15"/>
      <c r="AI47" s="15"/>
      <c r="AJ47" s="15"/>
      <c r="AK47" s="15"/>
      <c r="AL47" s="15"/>
      <c r="AM47" s="15"/>
      <c r="AN47" s="15"/>
      <c r="AO47" s="15"/>
      <c r="AP47" s="15"/>
      <c r="AQ47" s="15"/>
      <c r="AR47" s="15"/>
      <c r="AS47" s="15"/>
      <c r="AT47" s="15"/>
      <c r="AU47" s="15"/>
      <c r="AV47" s="15"/>
      <c r="AW47" s="15"/>
      <c r="AX47" s="15"/>
      <c r="AY47" s="15"/>
      <c r="AZ47" s="858">
        <v>107.63800000000001</v>
      </c>
      <c r="BA47" s="858">
        <v>107.512</v>
      </c>
      <c r="BB47" s="858">
        <v>107.51300000000001</v>
      </c>
      <c r="BC47" s="858">
        <v>107.52</v>
      </c>
      <c r="BD47" s="858">
        <v>64.936999999999998</v>
      </c>
      <c r="BE47" s="858">
        <v>33.848999999999997</v>
      </c>
      <c r="BF47" s="858">
        <v>33.893000000000001</v>
      </c>
      <c r="BG47" s="858">
        <v>34.246000000000002</v>
      </c>
      <c r="BH47" s="858">
        <v>34.311</v>
      </c>
      <c r="BI47" s="858">
        <v>34.481999999999999</v>
      </c>
      <c r="BJ47" s="858">
        <v>34.521999999999998</v>
      </c>
      <c r="BK47" s="858">
        <v>34.563000000000002</v>
      </c>
      <c r="BL47" s="858">
        <v>34.563000000000002</v>
      </c>
      <c r="BM47" s="858">
        <v>34.564999999999998</v>
      </c>
      <c r="BN47" s="858">
        <v>34.573999999999998</v>
      </c>
      <c r="BO47" s="858">
        <v>34.603999999999999</v>
      </c>
      <c r="BP47" s="858">
        <v>34.771000000000001</v>
      </c>
      <c r="BQ47" s="15"/>
      <c r="BR47" s="15"/>
      <c r="BS47" s="15"/>
      <c r="BT47" s="15"/>
      <c r="BU47" s="15"/>
      <c r="BV47" s="15"/>
      <c r="BW47" s="15"/>
      <c r="BX47" s="15"/>
      <c r="BY47" s="15"/>
      <c r="BZ47" s="15"/>
      <c r="CA47" s="15"/>
    </row>
    <row r="48" spans="2:79">
      <c r="B48" s="866" t="s">
        <v>1569</v>
      </c>
      <c r="C48" s="15"/>
      <c r="D48" s="15"/>
      <c r="E48" s="15"/>
      <c r="F48" s="15"/>
      <c r="G48" s="15"/>
      <c r="H48" s="15"/>
      <c r="I48" s="15"/>
      <c r="J48" s="15"/>
      <c r="K48" s="26">
        <f>AVERAGE(AZ48:BC48)</f>
        <v>107.54575</v>
      </c>
      <c r="L48" s="26">
        <f>AVERAGE(BD48:BG48)</f>
        <v>42.16825</v>
      </c>
      <c r="M48" s="26">
        <f>AVERAGE(BH48:BK48)</f>
        <v>34.777500000000003</v>
      </c>
      <c r="N48" s="26">
        <f>AVERAGE(BL48:BO48)</f>
        <v>34.755750000000006</v>
      </c>
      <c r="O48" s="15"/>
      <c r="P48" s="15"/>
      <c r="Q48" s="15"/>
      <c r="R48" s="15"/>
      <c r="S48" s="15"/>
      <c r="T48" s="15"/>
      <c r="U48" s="15"/>
      <c r="V48" s="15"/>
      <c r="W48" s="15"/>
      <c r="X48" s="15"/>
      <c r="Y48" s="15"/>
      <c r="Z48" s="15"/>
      <c r="AA48" s="15"/>
      <c r="AB48" s="15"/>
      <c r="AC48" s="15"/>
      <c r="AD48" s="15"/>
      <c r="AE48" s="15"/>
      <c r="AF48" s="15"/>
      <c r="AG48" s="15"/>
      <c r="AH48" s="15"/>
      <c r="AI48" s="15"/>
      <c r="AJ48" s="15"/>
      <c r="AK48" s="15"/>
      <c r="AL48" s="15"/>
      <c r="AM48" s="15"/>
      <c r="AN48" s="15"/>
      <c r="AO48" s="15"/>
      <c r="AP48" s="15"/>
      <c r="AQ48" s="15"/>
      <c r="AR48" s="15"/>
      <c r="AS48" s="15"/>
      <c r="AT48" s="15"/>
      <c r="AU48" s="15"/>
      <c r="AV48" s="15"/>
      <c r="AW48" s="15"/>
      <c r="AX48" s="15"/>
      <c r="AY48" s="15"/>
      <c r="AZ48" s="858">
        <v>107.63800000000001</v>
      </c>
      <c r="BA48" s="858">
        <v>107.512</v>
      </c>
      <c r="BB48" s="858">
        <v>107.51300000000001</v>
      </c>
      <c r="BC48" s="858">
        <v>107.52</v>
      </c>
      <c r="BD48" s="858">
        <v>64.936999999999998</v>
      </c>
      <c r="BE48" s="858">
        <v>34.075000000000003</v>
      </c>
      <c r="BF48" s="858">
        <v>34.796999999999997</v>
      </c>
      <c r="BG48" s="858">
        <v>34.863999999999997</v>
      </c>
      <c r="BH48" s="858">
        <v>34.896000000000001</v>
      </c>
      <c r="BI48" s="858">
        <v>35.128999999999998</v>
      </c>
      <c r="BJ48" s="858">
        <v>34.521999999999998</v>
      </c>
      <c r="BK48" s="858">
        <v>34.563000000000002</v>
      </c>
      <c r="BL48" s="858">
        <v>34.563000000000002</v>
      </c>
      <c r="BM48" s="858">
        <v>34.884</v>
      </c>
      <c r="BN48" s="858">
        <v>34.972000000000001</v>
      </c>
      <c r="BO48" s="858">
        <v>34.603999999999999</v>
      </c>
      <c r="BP48" s="858">
        <v>34.771000000000001</v>
      </c>
      <c r="BQ48" s="15"/>
      <c r="BR48" s="15"/>
      <c r="BS48" s="15"/>
      <c r="BT48" s="15"/>
      <c r="BU48" s="15"/>
      <c r="BV48" s="15"/>
      <c r="BW48" s="15"/>
      <c r="BX48" s="15"/>
      <c r="BY48" s="15"/>
      <c r="BZ48" s="15"/>
      <c r="CA48" s="15"/>
    </row>
    <row r="49" spans="2:79">
      <c r="B49" s="866"/>
      <c r="C49" s="15"/>
      <c r="D49" s="15"/>
      <c r="E49" s="15"/>
      <c r="F49" s="15"/>
      <c r="G49" s="15"/>
      <c r="H49" s="15"/>
      <c r="I49" s="15"/>
      <c r="J49" s="15"/>
      <c r="K49" s="15"/>
      <c r="L49" s="15"/>
      <c r="M49" s="15"/>
      <c r="N49" s="15"/>
      <c r="O49" s="15"/>
      <c r="P49" s="15"/>
      <c r="Q49" s="15"/>
      <c r="R49" s="15"/>
      <c r="S49" s="15"/>
      <c r="T49" s="15"/>
      <c r="U49" s="15"/>
      <c r="V49" s="15"/>
      <c r="W49" s="15"/>
      <c r="X49" s="15"/>
      <c r="Y49" s="15"/>
      <c r="Z49" s="15"/>
      <c r="AA49" s="15"/>
      <c r="AB49" s="15"/>
      <c r="AC49" s="15"/>
      <c r="AD49" s="15"/>
      <c r="AE49" s="15"/>
      <c r="AF49" s="15"/>
      <c r="AG49" s="15"/>
      <c r="AH49" s="15"/>
      <c r="AI49" s="15"/>
      <c r="AJ49" s="15"/>
      <c r="AK49" s="15"/>
      <c r="AL49" s="15"/>
      <c r="AM49" s="15"/>
      <c r="AN49" s="15"/>
      <c r="AO49" s="15"/>
      <c r="AP49" s="15"/>
      <c r="AQ49" s="15"/>
      <c r="AR49" s="15"/>
      <c r="AS49" s="15"/>
      <c r="AT49" s="15"/>
      <c r="AU49" s="15"/>
      <c r="AV49" s="15"/>
      <c r="AW49" s="15"/>
      <c r="AX49" s="15"/>
      <c r="AY49" s="15"/>
      <c r="AZ49" s="15"/>
      <c r="BA49" s="15"/>
      <c r="BB49" s="15"/>
      <c r="BC49" s="15"/>
      <c r="BD49" s="15"/>
      <c r="BE49" s="15"/>
      <c r="BF49" s="15"/>
      <c r="BG49" s="15"/>
      <c r="BH49" s="15"/>
      <c r="BI49" s="15"/>
      <c r="BJ49" s="15"/>
      <c r="BK49" s="15"/>
      <c r="BL49" s="858"/>
      <c r="BM49" s="858"/>
      <c r="BN49" s="858"/>
      <c r="BO49" s="858"/>
      <c r="BP49" s="858"/>
      <c r="BQ49" s="15"/>
      <c r="BR49" s="15"/>
      <c r="BS49" s="15"/>
      <c r="BT49" s="15"/>
      <c r="BU49" s="15"/>
      <c r="BV49" s="15"/>
      <c r="BW49" s="15"/>
      <c r="BX49" s="15"/>
      <c r="BY49" s="15"/>
      <c r="BZ49" s="15"/>
      <c r="CA49" s="15"/>
    </row>
    <row r="50" spans="2:79">
      <c r="B50" s="863" t="s">
        <v>1465</v>
      </c>
      <c r="C50" s="15"/>
      <c r="D50" s="15"/>
      <c r="E50" s="15"/>
      <c r="F50" s="15"/>
      <c r="G50" s="15"/>
      <c r="H50" s="15"/>
      <c r="I50" s="15"/>
      <c r="J50" s="15"/>
      <c r="K50" s="772">
        <f>K45/K48</f>
        <v>-0.1026911802651429</v>
      </c>
      <c r="L50" s="772">
        <f>L45/L48</f>
        <v>7.1119859135723912E-2</v>
      </c>
      <c r="M50" s="772">
        <f>M45/M48</f>
        <v>-2.0789303428941114E-2</v>
      </c>
      <c r="N50" s="772">
        <f>N45/N48</f>
        <v>1.1730433093804612E-2</v>
      </c>
      <c r="O50" s="15"/>
      <c r="P50" s="15"/>
      <c r="Q50" s="15"/>
      <c r="R50" s="15"/>
      <c r="S50" s="15"/>
      <c r="T50" s="15"/>
      <c r="U50" s="15"/>
      <c r="V50" s="15"/>
      <c r="W50" s="15"/>
      <c r="X50" s="15"/>
      <c r="Y50" s="15"/>
      <c r="Z50" s="15"/>
      <c r="AA50" s="15"/>
      <c r="AB50" s="15"/>
      <c r="AC50" s="15"/>
      <c r="AD50" s="15"/>
      <c r="AE50" s="15"/>
      <c r="AF50" s="15"/>
      <c r="AG50" s="15"/>
      <c r="AH50" s="15"/>
      <c r="AI50" s="15"/>
      <c r="AJ50" s="15"/>
      <c r="AK50" s="15"/>
      <c r="AL50" s="15"/>
      <c r="AM50" s="15"/>
      <c r="AN50" s="15"/>
      <c r="AO50" s="15"/>
      <c r="AP50" s="15"/>
      <c r="AQ50" s="15"/>
      <c r="AR50" s="15"/>
      <c r="AS50" s="15"/>
      <c r="AT50" s="15"/>
      <c r="AU50" s="15"/>
      <c r="AV50" s="15"/>
      <c r="AW50" s="15"/>
      <c r="AX50" s="15"/>
      <c r="AY50" s="15"/>
      <c r="AZ50" s="772">
        <f t="shared" ref="AZ50:BP50" si="21">AZ45/AZ48</f>
        <v>-1.7512402683067332E-2</v>
      </c>
      <c r="BA50" s="772">
        <f t="shared" si="21"/>
        <v>-3.2321973361113164E-2</v>
      </c>
      <c r="BB50" s="772">
        <f t="shared" si="21"/>
        <v>-3.832094723428793E-2</v>
      </c>
      <c r="BC50" s="772">
        <f t="shared" si="21"/>
        <v>-1.4546130952380949E-2</v>
      </c>
      <c r="BD50" s="772">
        <f t="shared" si="21"/>
        <v>-9.0672497959560783E-2</v>
      </c>
      <c r="BE50" s="772">
        <f t="shared" si="21"/>
        <v>8.7483492296404924E-2</v>
      </c>
      <c r="BF50" s="772">
        <f t="shared" si="21"/>
        <v>6.8626605741874402E-2</v>
      </c>
      <c r="BG50" s="772">
        <f t="shared" si="21"/>
        <v>0.10090637907296926</v>
      </c>
      <c r="BH50" s="772">
        <f t="shared" si="21"/>
        <v>9.714580467675378E-3</v>
      </c>
      <c r="BI50" s="772">
        <f t="shared" si="21"/>
        <v>3.2451820433260205E-2</v>
      </c>
      <c r="BJ50" s="772">
        <f t="shared" si="21"/>
        <v>-9.2694513643476462E-4</v>
      </c>
      <c r="BK50" s="772">
        <f t="shared" si="21"/>
        <v>-0.24540693805514563</v>
      </c>
      <c r="BL50" s="772">
        <f t="shared" si="21"/>
        <v>-5.7286693863379999E-2</v>
      </c>
      <c r="BM50" s="772">
        <f t="shared" si="21"/>
        <v>5.372090356610483E-2</v>
      </c>
      <c r="BN50" s="772">
        <f t="shared" si="21"/>
        <v>7.4002058789889191E-2</v>
      </c>
      <c r="BO50" s="772">
        <f t="shared" si="21"/>
        <v>-5.9943937117096176E-2</v>
      </c>
      <c r="BP50" s="772">
        <f t="shared" si="21"/>
        <v>-1.4638635644646538E-2</v>
      </c>
      <c r="BQ50" s="15"/>
      <c r="BR50" s="15"/>
      <c r="BS50" s="15"/>
      <c r="BT50" s="15"/>
      <c r="BU50" s="15"/>
      <c r="BV50" s="15"/>
      <c r="BW50" s="15"/>
      <c r="BX50" s="15"/>
      <c r="BY50" s="15"/>
      <c r="BZ50" s="15"/>
      <c r="CA50" s="15"/>
    </row>
    <row r="51" spans="2:79">
      <c r="B51" s="866"/>
      <c r="C51" s="15"/>
      <c r="D51" s="15"/>
      <c r="E51" s="15"/>
      <c r="F51" s="15"/>
      <c r="G51" s="15"/>
      <c r="H51" s="15"/>
      <c r="I51" s="15"/>
      <c r="J51" s="15"/>
      <c r="K51" s="15"/>
      <c r="L51" s="15"/>
      <c r="M51" s="15"/>
      <c r="N51" s="15"/>
      <c r="O51" s="15"/>
      <c r="P51" s="15"/>
      <c r="Q51" s="15"/>
      <c r="R51" s="15"/>
      <c r="S51" s="15"/>
      <c r="T51" s="15"/>
      <c r="U51" s="15"/>
      <c r="V51" s="15"/>
      <c r="W51" s="15"/>
      <c r="X51" s="15"/>
      <c r="Y51" s="15"/>
      <c r="Z51" s="15"/>
      <c r="AA51" s="15"/>
      <c r="AB51" s="15"/>
      <c r="AC51" s="15"/>
      <c r="AD51" s="15"/>
      <c r="AE51" s="15"/>
      <c r="AF51" s="15"/>
      <c r="AG51" s="15"/>
      <c r="AH51" s="15"/>
      <c r="AI51" s="15"/>
      <c r="AJ51" s="15"/>
      <c r="AK51" s="15"/>
      <c r="AL51" s="15"/>
      <c r="AM51" s="15"/>
      <c r="AN51" s="15"/>
      <c r="AO51" s="15"/>
      <c r="AP51" s="15"/>
      <c r="AQ51" s="15"/>
      <c r="AR51" s="15"/>
      <c r="AS51" s="15"/>
      <c r="AT51" s="15"/>
      <c r="AU51" s="15"/>
      <c r="AV51" s="15"/>
      <c r="AW51" s="15"/>
      <c r="AX51" s="15"/>
      <c r="AY51" s="15"/>
      <c r="AZ51" s="15"/>
      <c r="BA51" s="15"/>
      <c r="BB51" s="15"/>
      <c r="BC51" s="15"/>
      <c r="BD51" s="15"/>
      <c r="BE51" s="15"/>
      <c r="BF51" s="15"/>
      <c r="BG51" s="15"/>
      <c r="BH51" s="15"/>
      <c r="BI51" s="15"/>
      <c r="BJ51" s="15"/>
      <c r="BK51" s="15"/>
      <c r="BL51" s="15"/>
      <c r="BM51" s="15"/>
      <c r="BN51" s="15"/>
      <c r="BO51" s="15"/>
      <c r="BP51" s="15"/>
      <c r="BQ51" s="15"/>
      <c r="BR51" s="15"/>
      <c r="BS51" s="15"/>
      <c r="BT51" s="15"/>
      <c r="BU51" s="15"/>
      <c r="BV51" s="15"/>
      <c r="BW51" s="15"/>
      <c r="BX51" s="15"/>
      <c r="BY51" s="15"/>
      <c r="BZ51" s="15"/>
      <c r="CA51" s="15"/>
    </row>
    <row r="52" spans="2:79">
      <c r="B52" s="862" t="s">
        <v>1571</v>
      </c>
      <c r="C52" s="15"/>
      <c r="D52" s="15"/>
      <c r="E52" s="15"/>
      <c r="F52" s="15"/>
      <c r="G52" s="15"/>
      <c r="H52" s="15"/>
      <c r="I52" s="15"/>
      <c r="J52" s="15"/>
      <c r="K52" s="15"/>
      <c r="L52" s="15"/>
      <c r="M52" s="15"/>
      <c r="N52" s="15"/>
      <c r="O52" s="15"/>
      <c r="P52" s="15"/>
      <c r="Q52" s="15"/>
      <c r="R52" s="15"/>
      <c r="S52" s="15"/>
      <c r="T52" s="15"/>
      <c r="U52" s="15"/>
      <c r="V52" s="15"/>
      <c r="W52" s="15"/>
      <c r="X52" s="15"/>
      <c r="Y52" s="15"/>
      <c r="Z52" s="15"/>
      <c r="AA52" s="15"/>
      <c r="AB52" s="15"/>
      <c r="AC52" s="15"/>
      <c r="AD52" s="15"/>
      <c r="AE52" s="15"/>
      <c r="AF52" s="15"/>
      <c r="AG52" s="15"/>
      <c r="AH52" s="15"/>
      <c r="AI52" s="15"/>
      <c r="AJ52" s="15"/>
      <c r="AK52" s="15"/>
      <c r="AL52" s="15"/>
      <c r="AM52" s="15"/>
      <c r="AN52" s="15"/>
      <c r="AO52" s="15"/>
      <c r="AP52" s="15"/>
      <c r="AQ52" s="15"/>
      <c r="AR52" s="15"/>
      <c r="AS52" s="15"/>
      <c r="AT52" s="15"/>
      <c r="AU52" s="15"/>
      <c r="AV52" s="15"/>
      <c r="AW52" s="15"/>
      <c r="AX52" s="15"/>
      <c r="AY52" s="15"/>
      <c r="AZ52" s="868"/>
      <c r="BA52" s="868"/>
      <c r="BB52" s="868">
        <v>5526</v>
      </c>
      <c r="BC52" s="868">
        <v>5843</v>
      </c>
      <c r="BD52" s="868">
        <v>5987</v>
      </c>
      <c r="BE52" s="868">
        <v>6184</v>
      </c>
      <c r="BF52" s="868">
        <v>6636</v>
      </c>
      <c r="BG52" s="868">
        <v>6883</v>
      </c>
      <c r="BH52" s="868">
        <v>7034</v>
      </c>
      <c r="BI52" s="868">
        <v>7117</v>
      </c>
      <c r="BJ52" s="868">
        <v>7347</v>
      </c>
      <c r="BK52" s="868">
        <v>7596</v>
      </c>
      <c r="BL52" s="868">
        <v>7864</v>
      </c>
      <c r="BM52" s="868">
        <v>7982</v>
      </c>
      <c r="BN52" s="868">
        <v>8110</v>
      </c>
      <c r="BO52" s="868">
        <v>8588</v>
      </c>
      <c r="BP52" s="868">
        <v>8920</v>
      </c>
      <c r="BQ52" s="15"/>
      <c r="BR52" s="15"/>
      <c r="BS52" s="15"/>
      <c r="BT52" s="15"/>
      <c r="BU52" s="15"/>
      <c r="BV52" s="15"/>
      <c r="BW52" s="15"/>
      <c r="BX52" s="15"/>
      <c r="BY52" s="15"/>
      <c r="BZ52" s="15"/>
      <c r="CA52" s="15"/>
    </row>
    <row r="53" spans="2:79">
      <c r="B53" s="869" t="s">
        <v>1573</v>
      </c>
      <c r="C53" s="15"/>
      <c r="D53" s="15"/>
      <c r="E53" s="15"/>
      <c r="F53" s="15"/>
      <c r="G53" s="15"/>
      <c r="H53" s="15"/>
      <c r="I53" s="15"/>
      <c r="J53" s="15"/>
      <c r="K53" s="15"/>
      <c r="L53" s="15"/>
      <c r="M53" s="15"/>
      <c r="N53" s="15"/>
      <c r="O53" s="15"/>
      <c r="P53" s="15"/>
      <c r="Q53" s="15"/>
      <c r="R53" s="15"/>
      <c r="S53" s="15"/>
      <c r="T53" s="15"/>
      <c r="U53" s="15"/>
      <c r="V53" s="15"/>
      <c r="W53" s="15"/>
      <c r="X53" s="15"/>
      <c r="Y53" s="15"/>
      <c r="Z53" s="15"/>
      <c r="AA53" s="15"/>
      <c r="AB53" s="15"/>
      <c r="AC53" s="15"/>
      <c r="AD53" s="15"/>
      <c r="AE53" s="15"/>
      <c r="AF53" s="15"/>
      <c r="AG53" s="15"/>
      <c r="AH53" s="15"/>
      <c r="AI53" s="15"/>
      <c r="AJ53" s="15"/>
      <c r="AK53" s="15"/>
      <c r="AL53" s="15"/>
      <c r="AM53" s="15"/>
      <c r="AN53" s="15"/>
      <c r="AO53" s="15"/>
      <c r="AP53" s="15"/>
      <c r="AQ53" s="15"/>
      <c r="AR53" s="15"/>
      <c r="AS53" s="15"/>
      <c r="AT53" s="15"/>
      <c r="AU53" s="15"/>
      <c r="AV53" s="15"/>
      <c r="AW53" s="15"/>
      <c r="AX53" s="15"/>
      <c r="AY53" s="15"/>
      <c r="AZ53" s="823"/>
      <c r="BA53" s="823"/>
      <c r="BB53" s="823">
        <f t="shared" ref="BB53:BP53" si="22">BB52-BA52</f>
        <v>5526</v>
      </c>
      <c r="BC53" s="823">
        <f t="shared" si="22"/>
        <v>317</v>
      </c>
      <c r="BD53" s="823">
        <f t="shared" si="22"/>
        <v>144</v>
      </c>
      <c r="BE53" s="823">
        <f t="shared" si="22"/>
        <v>197</v>
      </c>
      <c r="BF53" s="823">
        <f t="shared" si="22"/>
        <v>452</v>
      </c>
      <c r="BG53" s="823">
        <f t="shared" si="22"/>
        <v>247</v>
      </c>
      <c r="BH53" s="823">
        <f t="shared" si="22"/>
        <v>151</v>
      </c>
      <c r="BI53" s="823">
        <f t="shared" si="22"/>
        <v>83</v>
      </c>
      <c r="BJ53" s="823">
        <f t="shared" si="22"/>
        <v>230</v>
      </c>
      <c r="BK53" s="823">
        <f t="shared" si="22"/>
        <v>249</v>
      </c>
      <c r="BL53" s="823">
        <f t="shared" si="22"/>
        <v>268</v>
      </c>
      <c r="BM53" s="823">
        <f t="shared" si="22"/>
        <v>118</v>
      </c>
      <c r="BN53" s="823">
        <f t="shared" si="22"/>
        <v>128</v>
      </c>
      <c r="BO53" s="823">
        <f t="shared" si="22"/>
        <v>478</v>
      </c>
      <c r="BP53" s="823">
        <f t="shared" si="22"/>
        <v>332</v>
      </c>
      <c r="BQ53" s="15"/>
      <c r="BR53" s="15"/>
      <c r="BS53" s="15"/>
      <c r="BT53" s="15"/>
      <c r="BU53" s="15"/>
      <c r="BV53" s="15"/>
      <c r="BW53" s="15"/>
      <c r="BX53" s="15"/>
      <c r="BY53" s="15"/>
      <c r="BZ53" s="15"/>
      <c r="CA53" s="15"/>
    </row>
    <row r="54" spans="2:79">
      <c r="B54" s="862" t="s">
        <v>1372</v>
      </c>
      <c r="C54" s="15"/>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5"/>
      <c r="AD54" s="15"/>
      <c r="AE54" s="15"/>
      <c r="AF54" s="15"/>
      <c r="AG54" s="15"/>
      <c r="AH54" s="15"/>
      <c r="AI54" s="15"/>
      <c r="AJ54" s="15"/>
      <c r="AK54" s="15"/>
      <c r="AL54" s="15"/>
      <c r="AM54" s="15"/>
      <c r="AN54" s="15"/>
      <c r="AO54" s="15"/>
      <c r="AP54" s="15"/>
      <c r="AQ54" s="15"/>
      <c r="AR54" s="15"/>
      <c r="AS54" s="15"/>
      <c r="AT54" s="15"/>
      <c r="AU54" s="15"/>
      <c r="AV54" s="15"/>
      <c r="AW54" s="15"/>
      <c r="AX54" s="15"/>
      <c r="AY54" s="15"/>
      <c r="AZ54" s="870"/>
      <c r="BA54" s="870"/>
      <c r="BB54" s="870">
        <f t="shared" ref="BB54:BP54" si="23">BB52/BB56</f>
        <v>8634.375</v>
      </c>
      <c r="BC54" s="870">
        <f t="shared" si="23"/>
        <v>8812.9713423831072</v>
      </c>
      <c r="BD54" s="870">
        <f t="shared" si="23"/>
        <v>8989.4894894894896</v>
      </c>
      <c r="BE54" s="870">
        <f t="shared" si="23"/>
        <v>8910.662824207493</v>
      </c>
      <c r="BF54" s="870">
        <f t="shared" si="23"/>
        <v>9480</v>
      </c>
      <c r="BG54" s="870">
        <f t="shared" si="23"/>
        <v>9749.291784702551</v>
      </c>
      <c r="BH54" s="870">
        <f t="shared" si="23"/>
        <v>10005.689900426743</v>
      </c>
      <c r="BI54" s="870">
        <f t="shared" si="23"/>
        <v>10949.23076923077</v>
      </c>
      <c r="BJ54" s="870">
        <f t="shared" si="23"/>
        <v>11680.445151033386</v>
      </c>
      <c r="BK54" s="870">
        <f t="shared" si="23"/>
        <v>13006.849315068494</v>
      </c>
      <c r="BL54" s="870">
        <f t="shared" si="23"/>
        <v>13019.867549668874</v>
      </c>
      <c r="BM54" s="870">
        <f t="shared" si="23"/>
        <v>13042.48366013072</v>
      </c>
      <c r="BN54" s="870">
        <f t="shared" si="23"/>
        <v>14055.459272097054</v>
      </c>
      <c r="BO54" s="870">
        <f t="shared" si="23"/>
        <v>14009.78792822186</v>
      </c>
      <c r="BP54" s="870">
        <f t="shared" si="23"/>
        <v>14003.139717425431</v>
      </c>
      <c r="BQ54" s="15"/>
      <c r="BR54" s="15"/>
      <c r="BS54" s="15"/>
      <c r="BT54" s="15"/>
      <c r="BU54" s="15"/>
      <c r="BV54" s="15"/>
      <c r="BW54" s="15"/>
      <c r="BX54" s="15"/>
      <c r="BY54" s="15"/>
      <c r="BZ54" s="15"/>
      <c r="CA54" s="15"/>
    </row>
    <row r="55" spans="2:79">
      <c r="B55" s="869" t="s">
        <v>1573</v>
      </c>
      <c r="C55" s="15"/>
      <c r="D55" s="15"/>
      <c r="E55" s="15"/>
      <c r="F55" s="15"/>
      <c r="G55" s="15"/>
      <c r="H55" s="15"/>
      <c r="I55" s="15"/>
      <c r="J55" s="15"/>
      <c r="K55" s="15"/>
      <c r="L55" s="15"/>
      <c r="M55" s="15"/>
      <c r="N55" s="15"/>
      <c r="O55" s="15"/>
      <c r="P55" s="15"/>
      <c r="Q55" s="15"/>
      <c r="R55" s="15"/>
      <c r="S55" s="15"/>
      <c r="T55" s="15"/>
      <c r="U55" s="15"/>
      <c r="V55" s="15"/>
      <c r="W55" s="15"/>
      <c r="X55" s="15"/>
      <c r="Y55" s="15"/>
      <c r="Z55" s="15"/>
      <c r="AA55" s="15"/>
      <c r="AB55" s="15"/>
      <c r="AC55" s="15"/>
      <c r="AD55" s="15"/>
      <c r="AE55" s="15"/>
      <c r="AF55" s="15"/>
      <c r="AG55" s="15"/>
      <c r="AH55" s="15"/>
      <c r="AI55" s="15"/>
      <c r="AJ55" s="15"/>
      <c r="AK55" s="15"/>
      <c r="AL55" s="15"/>
      <c r="AM55" s="15"/>
      <c r="AN55" s="15"/>
      <c r="AO55" s="15"/>
      <c r="AP55" s="15"/>
      <c r="AQ55" s="15"/>
      <c r="AR55" s="15"/>
      <c r="AS55" s="15"/>
      <c r="AT55" s="15"/>
      <c r="AU55" s="15"/>
      <c r="AV55" s="15"/>
      <c r="AW55" s="15"/>
      <c r="AX55" s="15"/>
      <c r="AY55" s="15"/>
      <c r="AZ55" s="823"/>
      <c r="BA55" s="823"/>
      <c r="BB55" s="823"/>
      <c r="BC55" s="823"/>
      <c r="BD55" s="823">
        <f t="shared" ref="BD55:BP55" si="24">BD54-BC54</f>
        <v>176.51814710638246</v>
      </c>
      <c r="BE55" s="823">
        <f t="shared" si="24"/>
        <v>-78.826665281996611</v>
      </c>
      <c r="BF55" s="823">
        <f t="shared" si="24"/>
        <v>569.33717579250697</v>
      </c>
      <c r="BG55" s="823">
        <f t="shared" si="24"/>
        <v>269.29178470255101</v>
      </c>
      <c r="BH55" s="823">
        <f t="shared" si="24"/>
        <v>256.39811572419239</v>
      </c>
      <c r="BI55" s="823">
        <f t="shared" si="24"/>
        <v>943.5408688040261</v>
      </c>
      <c r="BJ55" s="823">
        <f t="shared" si="24"/>
        <v>731.21438180261612</v>
      </c>
      <c r="BK55" s="823">
        <f t="shared" si="24"/>
        <v>1326.4041640351079</v>
      </c>
      <c r="BL55" s="823">
        <f t="shared" si="24"/>
        <v>13.01823460038031</v>
      </c>
      <c r="BM55" s="823">
        <f t="shared" si="24"/>
        <v>22.616110461845892</v>
      </c>
      <c r="BN55" s="823">
        <f t="shared" si="24"/>
        <v>1012.9756119663343</v>
      </c>
      <c r="BO55" s="823">
        <f t="shared" si="24"/>
        <v>-45.671343875193998</v>
      </c>
      <c r="BP55" s="823">
        <f t="shared" si="24"/>
        <v>-6.6482107964293391</v>
      </c>
      <c r="BQ55" s="15"/>
      <c r="BR55" s="15"/>
      <c r="BS55" s="15"/>
      <c r="BT55" s="15"/>
      <c r="BU55" s="15"/>
      <c r="BV55" s="15"/>
      <c r="BW55" s="15"/>
      <c r="BX55" s="15"/>
      <c r="BY55" s="15"/>
      <c r="BZ55" s="15"/>
      <c r="CA55" s="15"/>
    </row>
    <row r="56" spans="2:79">
      <c r="B56" s="773" t="s">
        <v>1572</v>
      </c>
      <c r="C56" s="15"/>
      <c r="D56" s="15"/>
      <c r="E56" s="15"/>
      <c r="F56" s="15"/>
      <c r="G56" s="15"/>
      <c r="H56" s="15"/>
      <c r="I56" s="15"/>
      <c r="J56" s="15"/>
      <c r="K56" s="15"/>
      <c r="L56" s="15"/>
      <c r="M56" s="15"/>
      <c r="N56" s="15"/>
      <c r="O56" s="15"/>
      <c r="P56" s="15"/>
      <c r="Q56" s="15"/>
      <c r="R56" s="15"/>
      <c r="S56" s="15"/>
      <c r="T56" s="15"/>
      <c r="U56" s="15"/>
      <c r="V56" s="15"/>
      <c r="W56" s="15"/>
      <c r="X56" s="15"/>
      <c r="Y56" s="15"/>
      <c r="Z56" s="15"/>
      <c r="AA56" s="15"/>
      <c r="AB56" s="15"/>
      <c r="AC56" s="15"/>
      <c r="AD56" s="15"/>
      <c r="AE56" s="15"/>
      <c r="AF56" s="15"/>
      <c r="AG56" s="15"/>
      <c r="AH56" s="15"/>
      <c r="AI56" s="15"/>
      <c r="AJ56" s="15"/>
      <c r="AK56" s="15"/>
      <c r="AL56" s="15"/>
      <c r="AM56" s="15"/>
      <c r="AN56" s="15"/>
      <c r="AO56" s="15"/>
      <c r="AP56" s="15"/>
      <c r="AQ56" s="15"/>
      <c r="AR56" s="15"/>
      <c r="AS56" s="15"/>
      <c r="AT56" s="15"/>
      <c r="AU56" s="15"/>
      <c r="AV56" s="15"/>
      <c r="AW56" s="15"/>
      <c r="AX56" s="15"/>
      <c r="AY56" s="15"/>
      <c r="AZ56" s="871"/>
      <c r="BA56" s="871"/>
      <c r="BB56" s="872">
        <v>0.64</v>
      </c>
      <c r="BC56" s="871">
        <v>0.66300000000000003</v>
      </c>
      <c r="BD56" s="871">
        <v>0.66600000000000004</v>
      </c>
      <c r="BE56" s="871">
        <v>0.69399999999999995</v>
      </c>
      <c r="BF56" s="871">
        <v>0.7</v>
      </c>
      <c r="BG56" s="871">
        <v>0.70599999999999996</v>
      </c>
      <c r="BH56" s="871">
        <v>0.70299999999999996</v>
      </c>
      <c r="BI56" s="871">
        <v>0.65</v>
      </c>
      <c r="BJ56" s="871">
        <v>0.629</v>
      </c>
      <c r="BK56" s="871">
        <v>0.58399999999999996</v>
      </c>
      <c r="BL56" s="871">
        <v>0.60399999999999998</v>
      </c>
      <c r="BM56" s="871">
        <v>0.61199999999999999</v>
      </c>
      <c r="BN56" s="871">
        <v>0.57699999999999996</v>
      </c>
      <c r="BO56" s="871">
        <v>0.61299999999999999</v>
      </c>
      <c r="BP56" s="871">
        <v>0.63700000000000001</v>
      </c>
      <c r="BQ56" s="15"/>
      <c r="BR56" s="15"/>
      <c r="BS56" s="15"/>
      <c r="BT56" s="15"/>
      <c r="BU56" s="15"/>
      <c r="BV56" s="15"/>
      <c r="BW56" s="15"/>
      <c r="BX56" s="15"/>
      <c r="BY56" s="15"/>
      <c r="BZ56" s="15"/>
      <c r="CA56" s="15"/>
    </row>
    <row r="57" spans="2:79" ht="3.75" customHeight="1">
      <c r="B57" s="15"/>
      <c r="C57" s="15"/>
      <c r="D57" s="15"/>
      <c r="E57" s="15"/>
      <c r="F57" s="15"/>
      <c r="G57" s="15"/>
      <c r="H57" s="15"/>
      <c r="I57" s="15"/>
      <c r="J57" s="15"/>
      <c r="K57" s="15"/>
      <c r="L57" s="15"/>
      <c r="M57" s="15"/>
      <c r="N57" s="15"/>
      <c r="O57" s="15"/>
      <c r="P57" s="15"/>
      <c r="Q57" s="15"/>
      <c r="R57" s="15"/>
      <c r="S57" s="15"/>
      <c r="T57" s="15"/>
      <c r="U57" s="15"/>
      <c r="V57" s="15"/>
      <c r="W57" s="15"/>
      <c r="X57" s="15"/>
      <c r="Y57" s="15"/>
      <c r="Z57" s="15"/>
      <c r="AA57" s="15"/>
      <c r="AB57" s="15"/>
      <c r="AC57" s="15"/>
      <c r="AD57" s="15"/>
      <c r="AE57" s="15"/>
      <c r="AF57" s="15"/>
      <c r="AG57" s="15"/>
      <c r="AH57" s="15"/>
      <c r="AI57" s="15"/>
      <c r="AJ57" s="15"/>
      <c r="AK57" s="15"/>
      <c r="AL57" s="15"/>
      <c r="AM57" s="15"/>
      <c r="AN57" s="15"/>
      <c r="AO57" s="15"/>
      <c r="AP57" s="15"/>
      <c r="AQ57" s="15"/>
      <c r="AR57" s="15"/>
      <c r="AS57" s="15"/>
      <c r="AT57" s="15"/>
      <c r="AU57" s="15"/>
      <c r="AV57" s="15"/>
      <c r="AW57" s="15"/>
      <c r="AX57" s="15"/>
      <c r="AY57" s="15"/>
      <c r="AZ57" s="15"/>
      <c r="BA57" s="15"/>
      <c r="BB57" s="15"/>
      <c r="BC57" s="15"/>
      <c r="BD57" s="15"/>
      <c r="BE57" s="15"/>
      <c r="BF57" s="15"/>
      <c r="BG57" s="15"/>
      <c r="BH57" s="15"/>
      <c r="BI57" s="15"/>
      <c r="BJ57" s="15"/>
      <c r="BK57" s="15"/>
      <c r="BL57" s="15"/>
      <c r="BM57" s="15"/>
      <c r="BN57" s="15"/>
      <c r="BO57" s="15"/>
      <c r="BP57" s="15"/>
      <c r="BQ57" s="15"/>
      <c r="BR57" s="15"/>
      <c r="BS57" s="15"/>
      <c r="BT57" s="15"/>
      <c r="BU57" s="15"/>
      <c r="BV57" s="15"/>
      <c r="BW57" s="15"/>
      <c r="BX57" s="15"/>
      <c r="BY57" s="15"/>
      <c r="BZ57" s="15"/>
      <c r="CA57" s="15"/>
    </row>
    <row r="58" spans="2:79" ht="12" customHeight="1">
      <c r="B58" s="15" t="s">
        <v>1422</v>
      </c>
      <c r="C58" s="15"/>
      <c r="D58" s="15"/>
      <c r="E58" s="15"/>
      <c r="F58" s="15"/>
      <c r="G58" s="15"/>
      <c r="H58" s="15"/>
      <c r="I58" s="15"/>
      <c r="J58" s="15"/>
      <c r="K58" s="15"/>
      <c r="L58" s="15"/>
      <c r="M58" s="15"/>
      <c r="N58" s="15"/>
      <c r="O58" s="15"/>
      <c r="P58" s="15"/>
      <c r="Q58" s="15"/>
      <c r="R58" s="15"/>
      <c r="S58" s="15"/>
      <c r="T58" s="15"/>
      <c r="U58" s="15"/>
      <c r="V58" s="15"/>
      <c r="W58" s="15"/>
      <c r="X58" s="15"/>
      <c r="Y58" s="15"/>
      <c r="Z58" s="15"/>
      <c r="AA58" s="15"/>
      <c r="AB58" s="15"/>
      <c r="AC58" s="15"/>
      <c r="AD58" s="15"/>
      <c r="AE58" s="15"/>
      <c r="AF58" s="15"/>
      <c r="AG58" s="15"/>
      <c r="AH58" s="15"/>
      <c r="AI58" s="15"/>
      <c r="AJ58" s="15"/>
      <c r="AK58" s="15"/>
      <c r="AL58" s="15"/>
      <c r="AM58" s="15"/>
      <c r="AN58" s="15"/>
      <c r="AO58" s="15"/>
      <c r="AP58" s="15"/>
      <c r="AQ58" s="15"/>
      <c r="AR58" s="15"/>
      <c r="AS58" s="15"/>
      <c r="AT58" s="15"/>
      <c r="AU58" s="15"/>
      <c r="AV58" s="15"/>
      <c r="AW58" s="15"/>
      <c r="AX58" s="15"/>
      <c r="AY58" s="15"/>
      <c r="AZ58" s="15"/>
      <c r="BA58" s="15"/>
      <c r="BB58" s="868">
        <v>17417</v>
      </c>
      <c r="BC58" s="868">
        <v>17755</v>
      </c>
      <c r="BD58" s="868">
        <v>18194</v>
      </c>
      <c r="BE58" s="868">
        <v>18775</v>
      </c>
      <c r="BF58" s="868">
        <v>19124</v>
      </c>
      <c r="BG58" s="868">
        <v>19577</v>
      </c>
      <c r="BH58" s="868">
        <v>19797</v>
      </c>
      <c r="BI58" s="868">
        <v>20419</v>
      </c>
      <c r="BJ58" s="868">
        <v>20879</v>
      </c>
      <c r="BK58" s="868">
        <v>21149</v>
      </c>
      <c r="BL58" s="868">
        <v>21504</v>
      </c>
      <c r="BM58" s="868">
        <v>21705</v>
      </c>
      <c r="BN58" s="868">
        <v>22085</v>
      </c>
      <c r="BO58" s="868">
        <v>22277</v>
      </c>
      <c r="BP58" s="868">
        <v>22386</v>
      </c>
      <c r="BQ58" s="15"/>
      <c r="BR58" s="15"/>
      <c r="BS58" s="15"/>
      <c r="BT58" s="15"/>
      <c r="BU58" s="15"/>
      <c r="BV58" s="15"/>
      <c r="BW58" s="15"/>
      <c r="BX58" s="15"/>
      <c r="BY58" s="15"/>
      <c r="BZ58" s="15"/>
      <c r="CA58" s="15"/>
    </row>
    <row r="59" spans="2:79" ht="12" customHeight="1">
      <c r="B59" s="18" t="s">
        <v>281</v>
      </c>
      <c r="C59" s="15"/>
      <c r="D59" s="15"/>
      <c r="E59" s="15"/>
      <c r="F59" s="15"/>
      <c r="G59" s="15"/>
      <c r="H59" s="15"/>
      <c r="I59" s="15"/>
      <c r="J59" s="15"/>
      <c r="K59" s="15"/>
      <c r="L59" s="15"/>
      <c r="M59" s="15"/>
      <c r="N59" s="15"/>
      <c r="O59" s="15"/>
      <c r="P59" s="15"/>
      <c r="Q59" s="15"/>
      <c r="R59" s="15"/>
      <c r="S59" s="15"/>
      <c r="T59" s="15"/>
      <c r="U59" s="15"/>
      <c r="V59" s="15"/>
      <c r="W59" s="15"/>
      <c r="X59" s="15"/>
      <c r="Y59" s="15"/>
      <c r="Z59" s="15"/>
      <c r="AA59" s="15"/>
      <c r="AB59" s="15"/>
      <c r="AC59" s="15"/>
      <c r="AD59" s="15"/>
      <c r="AE59" s="15"/>
      <c r="AF59" s="15"/>
      <c r="AG59" s="15"/>
      <c r="AH59" s="15"/>
      <c r="AI59" s="15"/>
      <c r="AJ59" s="15"/>
      <c r="AK59" s="15"/>
      <c r="AL59" s="15"/>
      <c r="AM59" s="15"/>
      <c r="AN59" s="15"/>
      <c r="AO59" s="15"/>
      <c r="AP59" s="15"/>
      <c r="AQ59" s="15"/>
      <c r="AR59" s="15"/>
      <c r="AS59" s="15"/>
      <c r="AT59" s="15"/>
      <c r="AU59" s="15"/>
      <c r="AV59" s="15"/>
      <c r="AW59" s="15"/>
      <c r="AX59" s="15"/>
      <c r="AY59" s="15"/>
      <c r="AZ59" s="15"/>
      <c r="BA59" s="15"/>
      <c r="BB59" s="15"/>
      <c r="BC59" s="873">
        <f t="shared" ref="BC59:BP59" si="25">BC58/BB58-1</f>
        <v>1.9406327151633374E-2</v>
      </c>
      <c r="BD59" s="873">
        <f t="shared" si="25"/>
        <v>2.4725429456491144E-2</v>
      </c>
      <c r="BE59" s="873">
        <f t="shared" si="25"/>
        <v>3.1933604484995159E-2</v>
      </c>
      <c r="BF59" s="873">
        <f t="shared" si="25"/>
        <v>1.8588548601864208E-2</v>
      </c>
      <c r="BG59" s="873">
        <f t="shared" si="25"/>
        <v>2.3687513072578881E-2</v>
      </c>
      <c r="BH59" s="873">
        <f t="shared" si="25"/>
        <v>1.1237676865709867E-2</v>
      </c>
      <c r="BI59" s="873">
        <f t="shared" si="25"/>
        <v>3.1418901853816239E-2</v>
      </c>
      <c r="BJ59" s="873">
        <f t="shared" si="25"/>
        <v>2.252803761202804E-2</v>
      </c>
      <c r="BK59" s="873">
        <f t="shared" si="25"/>
        <v>1.2931653814837851E-2</v>
      </c>
      <c r="BL59" s="873">
        <f t="shared" si="25"/>
        <v>1.6785663624757641E-2</v>
      </c>
      <c r="BM59" s="873">
        <f t="shared" si="25"/>
        <v>9.3470982142858094E-3</v>
      </c>
      <c r="BN59" s="873">
        <f t="shared" si="25"/>
        <v>1.7507486754203994E-2</v>
      </c>
      <c r="BO59" s="873">
        <f t="shared" si="25"/>
        <v>8.6936834955853026E-3</v>
      </c>
      <c r="BP59" s="873">
        <f t="shared" si="25"/>
        <v>4.8929389055976102E-3</v>
      </c>
      <c r="BQ59" s="15"/>
      <c r="BR59" s="15"/>
      <c r="BS59" s="15"/>
      <c r="BT59" s="15"/>
      <c r="BU59" s="15"/>
      <c r="BV59" s="15"/>
      <c r="BW59" s="15"/>
      <c r="BX59" s="15"/>
      <c r="BY59" s="15"/>
      <c r="BZ59" s="15"/>
      <c r="CA59" s="15"/>
    </row>
    <row r="60" spans="2:79" ht="12" customHeight="1">
      <c r="B60" s="18" t="s">
        <v>290</v>
      </c>
      <c r="C60" s="15"/>
      <c r="D60" s="15"/>
      <c r="E60" s="15"/>
      <c r="F60" s="15"/>
      <c r="G60" s="15"/>
      <c r="H60" s="15"/>
      <c r="I60" s="15"/>
      <c r="J60" s="15"/>
      <c r="K60" s="15"/>
      <c r="L60" s="15"/>
      <c r="M60" s="15"/>
      <c r="N60" s="15"/>
      <c r="O60" s="15"/>
      <c r="P60" s="15"/>
      <c r="Q60" s="15"/>
      <c r="R60" s="15"/>
      <c r="S60" s="15"/>
      <c r="T60" s="15"/>
      <c r="U60" s="15"/>
      <c r="V60" s="15"/>
      <c r="W60" s="15"/>
      <c r="X60" s="15"/>
      <c r="Y60" s="15"/>
      <c r="Z60" s="15"/>
      <c r="AA60" s="15"/>
      <c r="AB60" s="15"/>
      <c r="AC60" s="15"/>
      <c r="AD60" s="15"/>
      <c r="AE60" s="15"/>
      <c r="AF60" s="15"/>
      <c r="AG60" s="15"/>
      <c r="AH60" s="15"/>
      <c r="AI60" s="15"/>
      <c r="AJ60" s="15"/>
      <c r="AK60" s="15"/>
      <c r="AL60" s="15"/>
      <c r="AM60" s="15"/>
      <c r="AN60" s="15"/>
      <c r="AO60" s="15"/>
      <c r="AP60" s="15"/>
      <c r="AQ60" s="15"/>
      <c r="AR60" s="15"/>
      <c r="AS60" s="15"/>
      <c r="AT60" s="15"/>
      <c r="AU60" s="15"/>
      <c r="AV60" s="15"/>
      <c r="AW60" s="15"/>
      <c r="AX60" s="15"/>
      <c r="AY60" s="15"/>
      <c r="AZ60" s="15"/>
      <c r="BA60" s="15"/>
      <c r="BB60" s="15"/>
      <c r="BC60" s="15"/>
      <c r="BD60" s="15"/>
      <c r="BE60" s="873"/>
      <c r="BF60" s="873">
        <f t="shared" ref="BF60:BP60" si="26">BF58/BB58-1</f>
        <v>9.8007693632657711E-2</v>
      </c>
      <c r="BG60" s="873">
        <f t="shared" si="26"/>
        <v>0.10261898056885377</v>
      </c>
      <c r="BH60" s="873">
        <f t="shared" si="26"/>
        <v>8.8105969000769502E-2</v>
      </c>
      <c r="BI60" s="873">
        <f t="shared" si="26"/>
        <v>8.7563249001331611E-2</v>
      </c>
      <c r="BJ60" s="873">
        <f t="shared" si="26"/>
        <v>9.1769504287805947E-2</v>
      </c>
      <c r="BK60" s="873">
        <f t="shared" si="26"/>
        <v>8.0298309240435239E-2</v>
      </c>
      <c r="BL60" s="873">
        <f t="shared" si="26"/>
        <v>8.6225185634186907E-2</v>
      </c>
      <c r="BM60" s="873">
        <f t="shared" si="26"/>
        <v>6.2980557324060937E-2</v>
      </c>
      <c r="BN60" s="873">
        <f t="shared" si="26"/>
        <v>5.7761387039609202E-2</v>
      </c>
      <c r="BO60" s="873">
        <f t="shared" si="26"/>
        <v>5.3335855123173737E-2</v>
      </c>
      <c r="BP60" s="873">
        <f t="shared" si="26"/>
        <v>4.1015625E-2</v>
      </c>
      <c r="BQ60" s="15"/>
      <c r="BR60" s="15"/>
      <c r="BS60" s="15"/>
      <c r="BT60" s="15"/>
      <c r="BU60" s="15"/>
      <c r="BV60" s="15"/>
      <c r="BW60" s="15"/>
      <c r="BX60" s="15"/>
      <c r="BY60" s="15"/>
      <c r="BZ60" s="15"/>
      <c r="CA60" s="15"/>
    </row>
    <row r="61" spans="2:79" ht="3" customHeight="1">
      <c r="B61" s="18"/>
      <c r="C61" s="15"/>
      <c r="D61" s="15"/>
      <c r="E61" s="15"/>
      <c r="F61" s="15"/>
      <c r="G61" s="15"/>
      <c r="H61" s="15"/>
      <c r="I61" s="15"/>
      <c r="J61" s="15"/>
      <c r="K61" s="15"/>
      <c r="L61" s="15"/>
      <c r="M61" s="15"/>
      <c r="N61" s="15"/>
      <c r="O61" s="15"/>
      <c r="P61" s="15"/>
      <c r="Q61" s="15"/>
      <c r="R61" s="15"/>
      <c r="S61" s="15"/>
      <c r="T61" s="15"/>
      <c r="U61" s="15"/>
      <c r="V61" s="15"/>
      <c r="W61" s="15"/>
      <c r="X61" s="15"/>
      <c r="Y61" s="15"/>
      <c r="Z61" s="15"/>
      <c r="AA61" s="15"/>
      <c r="AB61" s="15"/>
      <c r="AC61" s="15"/>
      <c r="AD61" s="15"/>
      <c r="AE61" s="15"/>
      <c r="AF61" s="15"/>
      <c r="AG61" s="15"/>
      <c r="AH61" s="15"/>
      <c r="AI61" s="15"/>
      <c r="AJ61" s="15"/>
      <c r="AK61" s="15"/>
      <c r="AL61" s="15"/>
      <c r="AM61" s="15"/>
      <c r="AN61" s="15"/>
      <c r="AO61" s="15"/>
      <c r="AP61" s="15"/>
      <c r="AQ61" s="15"/>
      <c r="AR61" s="15"/>
      <c r="AS61" s="15"/>
      <c r="AT61" s="15"/>
      <c r="AU61" s="15"/>
      <c r="AV61" s="15"/>
      <c r="AW61" s="15"/>
      <c r="AX61" s="15"/>
      <c r="AY61" s="15"/>
      <c r="AZ61" s="15"/>
      <c r="BA61" s="15"/>
      <c r="BB61" s="15"/>
      <c r="BC61" s="15"/>
      <c r="BD61" s="15"/>
      <c r="BE61" s="15"/>
      <c r="BF61" s="15"/>
      <c r="BG61" s="15"/>
      <c r="BH61" s="15"/>
      <c r="BI61" s="15"/>
      <c r="BJ61" s="15"/>
      <c r="BK61" s="15"/>
      <c r="BL61" s="868"/>
      <c r="BM61" s="868"/>
      <c r="BN61" s="868"/>
      <c r="BO61" s="868"/>
      <c r="BP61" s="868"/>
      <c r="BQ61" s="15"/>
      <c r="BR61" s="15"/>
      <c r="BS61" s="15"/>
      <c r="BT61" s="15"/>
      <c r="BU61" s="15"/>
      <c r="BV61" s="15"/>
      <c r="BW61" s="15"/>
      <c r="BX61" s="15"/>
      <c r="BY61" s="15"/>
      <c r="BZ61" s="15"/>
      <c r="CA61" s="15"/>
    </row>
    <row r="62" spans="2:79" ht="12" customHeight="1">
      <c r="B62" s="15" t="s">
        <v>1579</v>
      </c>
      <c r="C62" s="15"/>
      <c r="D62" s="15"/>
      <c r="E62" s="15"/>
      <c r="F62" s="15"/>
      <c r="G62" s="15"/>
      <c r="H62" s="15"/>
      <c r="I62" s="15"/>
      <c r="J62" s="15"/>
      <c r="K62" s="15"/>
      <c r="L62" s="15"/>
      <c r="M62" s="15"/>
      <c r="N62" s="15"/>
      <c r="O62" s="15"/>
      <c r="P62" s="15"/>
      <c r="Q62" s="15"/>
      <c r="R62" s="15"/>
      <c r="S62" s="15"/>
      <c r="T62" s="15"/>
      <c r="U62" s="15"/>
      <c r="V62" s="15"/>
      <c r="W62" s="15"/>
      <c r="X62" s="15"/>
      <c r="Y62" s="15"/>
      <c r="Z62" s="15"/>
      <c r="AA62" s="15"/>
      <c r="AB62" s="15"/>
      <c r="AC62" s="15"/>
      <c r="AD62" s="15"/>
      <c r="AE62" s="15"/>
      <c r="AF62" s="15"/>
      <c r="AG62" s="15"/>
      <c r="AH62" s="15"/>
      <c r="AI62" s="15"/>
      <c r="AJ62" s="15"/>
      <c r="AK62" s="15"/>
      <c r="AL62" s="15"/>
      <c r="AM62" s="15"/>
      <c r="AN62" s="15"/>
      <c r="AO62" s="15"/>
      <c r="AP62" s="15"/>
      <c r="AQ62" s="15"/>
      <c r="AR62" s="15"/>
      <c r="AS62" s="15"/>
      <c r="AT62" s="15"/>
      <c r="AU62" s="15"/>
      <c r="AV62" s="15"/>
      <c r="AW62" s="15"/>
      <c r="AX62" s="15"/>
      <c r="AY62" s="15"/>
      <c r="AZ62" s="15"/>
      <c r="BA62" s="15"/>
      <c r="BB62" s="874">
        <f t="shared" ref="BB62:BP62" si="27">(BB8/3)/(AVERAGE(BA58:BB58))*1000000</f>
        <v>197.43162810281143</v>
      </c>
      <c r="BC62" s="874">
        <f t="shared" si="27"/>
        <v>197.37291026953258</v>
      </c>
      <c r="BD62" s="874">
        <f t="shared" si="27"/>
        <v>202.43493096701812</v>
      </c>
      <c r="BE62" s="874">
        <f t="shared" si="27"/>
        <v>201.59232510121092</v>
      </c>
      <c r="BF62" s="874">
        <f t="shared" si="27"/>
        <v>201.99301652638152</v>
      </c>
      <c r="BG62" s="874">
        <f t="shared" si="27"/>
        <v>204.23244877393347</v>
      </c>
      <c r="BH62" s="874">
        <f t="shared" si="27"/>
        <v>208.69948019843892</v>
      </c>
      <c r="BI62" s="874">
        <f t="shared" si="27"/>
        <v>220.31032424905507</v>
      </c>
      <c r="BJ62" s="874">
        <f t="shared" si="27"/>
        <v>220.49493922223837</v>
      </c>
      <c r="BK62" s="874">
        <f t="shared" si="27"/>
        <v>220.773452618889</v>
      </c>
      <c r="BL62" s="874">
        <f t="shared" si="27"/>
        <v>228.65136489031642</v>
      </c>
      <c r="BM62" s="874">
        <f t="shared" si="27"/>
        <v>235.2442006680707</v>
      </c>
      <c r="BN62" s="874">
        <f t="shared" si="27"/>
        <v>236.2792113876836</v>
      </c>
      <c r="BO62" s="874">
        <f t="shared" si="27"/>
        <v>241.18239333964505</v>
      </c>
      <c r="BP62" s="874">
        <f t="shared" si="27"/>
        <v>248.49801103075626</v>
      </c>
      <c r="BQ62" s="15"/>
      <c r="BR62" s="15"/>
      <c r="BS62" s="15"/>
      <c r="BT62" s="15"/>
      <c r="BU62" s="15"/>
      <c r="BV62" s="15"/>
      <c r="BW62" s="15"/>
      <c r="BX62" s="15"/>
      <c r="BY62" s="15"/>
      <c r="BZ62" s="15"/>
      <c r="CA62" s="15"/>
    </row>
    <row r="63" spans="2:79" ht="12" customHeight="1">
      <c r="B63" s="18" t="s">
        <v>281</v>
      </c>
      <c r="C63" s="15"/>
      <c r="D63" s="15"/>
      <c r="E63" s="15"/>
      <c r="F63" s="15"/>
      <c r="G63" s="15"/>
      <c r="H63" s="15"/>
      <c r="I63" s="15"/>
      <c r="J63" s="15"/>
      <c r="K63" s="15"/>
      <c r="L63" s="15"/>
      <c r="M63" s="15"/>
      <c r="N63" s="15"/>
      <c r="O63" s="15"/>
      <c r="P63" s="15"/>
      <c r="Q63" s="15"/>
      <c r="R63" s="15"/>
      <c r="S63" s="15"/>
      <c r="T63" s="15"/>
      <c r="U63" s="15"/>
      <c r="V63" s="15"/>
      <c r="W63" s="15"/>
      <c r="X63" s="15"/>
      <c r="Y63" s="15"/>
      <c r="Z63" s="15"/>
      <c r="AA63" s="15"/>
      <c r="AB63" s="15"/>
      <c r="AC63" s="15"/>
      <c r="AD63" s="15"/>
      <c r="AE63" s="15"/>
      <c r="AF63" s="15"/>
      <c r="AG63" s="15"/>
      <c r="AH63" s="15"/>
      <c r="AI63" s="15"/>
      <c r="AJ63" s="15"/>
      <c r="AK63" s="15"/>
      <c r="AL63" s="15"/>
      <c r="AM63" s="15"/>
      <c r="AN63" s="15"/>
      <c r="AO63" s="15"/>
      <c r="AP63" s="15"/>
      <c r="AQ63" s="15"/>
      <c r="AR63" s="15"/>
      <c r="AS63" s="15"/>
      <c r="AT63" s="15"/>
      <c r="AU63" s="15"/>
      <c r="AV63" s="15"/>
      <c r="AW63" s="15"/>
      <c r="AX63" s="15"/>
      <c r="AY63" s="15"/>
      <c r="AZ63" s="15"/>
      <c r="BA63" s="15"/>
      <c r="BB63" s="15"/>
      <c r="BC63" s="38">
        <f t="shared" ref="BC63:BP63" si="28">BC62/BB62-1</f>
        <v>-2.9740844383996379E-4</v>
      </c>
      <c r="BD63" s="38">
        <f t="shared" si="28"/>
        <v>2.5646988183803066E-2</v>
      </c>
      <c r="BE63" s="38">
        <f t="shared" si="28"/>
        <v>-4.1623541045121559E-3</v>
      </c>
      <c r="BF63" s="38">
        <f t="shared" si="28"/>
        <v>1.9876323415062291E-3</v>
      </c>
      <c r="BG63" s="38">
        <f t="shared" si="28"/>
        <v>1.1086681540098953E-2</v>
      </c>
      <c r="BH63" s="38">
        <f t="shared" si="28"/>
        <v>2.1872290379527426E-2</v>
      </c>
      <c r="BI63" s="38">
        <f t="shared" si="28"/>
        <v>5.5634273930994738E-2</v>
      </c>
      <c r="BJ63" s="38">
        <f t="shared" si="28"/>
        <v>8.3797694825493707E-4</v>
      </c>
      <c r="BK63" s="38">
        <f t="shared" si="28"/>
        <v>1.2631282950668066E-3</v>
      </c>
      <c r="BL63" s="38">
        <f t="shared" si="28"/>
        <v>3.5683240797192761E-2</v>
      </c>
      <c r="BM63" s="38">
        <f t="shared" si="28"/>
        <v>2.8833572810365027E-2</v>
      </c>
      <c r="BN63" s="38">
        <f t="shared" si="28"/>
        <v>4.3997289483590496E-3</v>
      </c>
      <c r="BO63" s="38">
        <f t="shared" si="28"/>
        <v>2.0751643460991565E-2</v>
      </c>
      <c r="BP63" s="38">
        <f t="shared" si="28"/>
        <v>3.0332304070011418E-2</v>
      </c>
      <c r="BQ63" s="15"/>
      <c r="BR63" s="15"/>
      <c r="BS63" s="15"/>
      <c r="BT63" s="15"/>
      <c r="BU63" s="15"/>
      <c r="BV63" s="15"/>
      <c r="BW63" s="15"/>
      <c r="BX63" s="15"/>
      <c r="BY63" s="15"/>
      <c r="BZ63" s="15"/>
      <c r="CA63" s="15"/>
    </row>
    <row r="64" spans="2:79" ht="12" customHeight="1">
      <c r="B64" s="18" t="s">
        <v>290</v>
      </c>
      <c r="C64" s="15"/>
      <c r="D64" s="15"/>
      <c r="E64" s="15"/>
      <c r="F64" s="15"/>
      <c r="G64" s="15"/>
      <c r="H64" s="15"/>
      <c r="I64" s="15"/>
      <c r="J64" s="15"/>
      <c r="K64" s="15"/>
      <c r="L64" s="15"/>
      <c r="M64" s="15"/>
      <c r="N64" s="15"/>
      <c r="O64" s="15"/>
      <c r="P64" s="15"/>
      <c r="Q64" s="15"/>
      <c r="R64" s="15"/>
      <c r="S64" s="15"/>
      <c r="T64" s="15"/>
      <c r="U64" s="15"/>
      <c r="V64" s="15"/>
      <c r="W64" s="15"/>
      <c r="X64" s="15"/>
      <c r="Y64" s="15"/>
      <c r="Z64" s="15"/>
      <c r="AA64" s="15"/>
      <c r="AB64" s="15"/>
      <c r="AC64" s="15"/>
      <c r="AD64" s="15"/>
      <c r="AE64" s="15"/>
      <c r="AF64" s="15"/>
      <c r="AG64" s="15"/>
      <c r="AH64" s="15"/>
      <c r="AI64" s="15"/>
      <c r="AJ64" s="15"/>
      <c r="AK64" s="15"/>
      <c r="AL64" s="15"/>
      <c r="AM64" s="15"/>
      <c r="AN64" s="15"/>
      <c r="AO64" s="15"/>
      <c r="AP64" s="15"/>
      <c r="AQ64" s="15"/>
      <c r="AR64" s="15"/>
      <c r="AS64" s="15"/>
      <c r="AT64" s="15"/>
      <c r="AU64" s="15"/>
      <c r="AV64" s="15"/>
      <c r="AW64" s="15"/>
      <c r="AX64" s="15"/>
      <c r="AY64" s="15"/>
      <c r="AZ64" s="15"/>
      <c r="BA64" s="15"/>
      <c r="BB64" s="15"/>
      <c r="BC64" s="15"/>
      <c r="BD64" s="15"/>
      <c r="BE64" s="15"/>
      <c r="BF64" s="38">
        <f t="shared" ref="BF64:BP64" si="29">BF62/BB62-1</f>
        <v>2.3103635761919428E-2</v>
      </c>
      <c r="BG64" s="38">
        <f t="shared" si="29"/>
        <v>3.4754204591873838E-2</v>
      </c>
      <c r="BH64" s="38">
        <f t="shared" si="29"/>
        <v>3.0945989417416664E-2</v>
      </c>
      <c r="BI64" s="38">
        <f t="shared" si="29"/>
        <v>9.2850752817333904E-2</v>
      </c>
      <c r="BJ64" s="38">
        <f t="shared" si="29"/>
        <v>9.1596843366317016E-2</v>
      </c>
      <c r="BK64" s="38">
        <f t="shared" si="29"/>
        <v>8.0991066523737887E-2</v>
      </c>
      <c r="BL64" s="38">
        <f t="shared" si="29"/>
        <v>9.5601027242169234E-2</v>
      </c>
      <c r="BM64" s="38">
        <f t="shared" si="29"/>
        <v>6.7785640413897674E-2</v>
      </c>
      <c r="BN64" s="38">
        <f t="shared" si="29"/>
        <v>7.158564373913423E-2</v>
      </c>
      <c r="BO64" s="38">
        <f t="shared" si="29"/>
        <v>9.2442911403786576E-2</v>
      </c>
      <c r="BP64" s="38">
        <f t="shared" si="29"/>
        <v>8.6798721494447451E-2</v>
      </c>
      <c r="BQ64" s="15"/>
      <c r="BR64" s="15"/>
      <c r="BS64" s="15"/>
      <c r="BT64" s="15"/>
      <c r="BU64" s="15"/>
      <c r="BV64" s="15"/>
      <c r="BW64" s="15"/>
      <c r="BX64" s="15"/>
      <c r="BY64" s="15"/>
      <c r="BZ64" s="15"/>
      <c r="CA64" s="15"/>
    </row>
    <row r="65" spans="2:79" ht="2.25" customHeight="1">
      <c r="B65" s="18"/>
      <c r="C65" s="15"/>
      <c r="D65" s="15"/>
      <c r="E65" s="15"/>
      <c r="F65" s="15"/>
      <c r="G65" s="15"/>
      <c r="H65" s="15"/>
      <c r="I65" s="15"/>
      <c r="J65" s="15"/>
      <c r="K65" s="15"/>
      <c r="L65" s="15"/>
      <c r="M65" s="15"/>
      <c r="N65" s="15"/>
      <c r="O65" s="15"/>
      <c r="P65" s="15"/>
      <c r="Q65" s="15"/>
      <c r="R65" s="15"/>
      <c r="S65" s="15"/>
      <c r="T65" s="15"/>
      <c r="U65" s="15"/>
      <c r="V65" s="15"/>
      <c r="W65" s="15"/>
      <c r="X65" s="15"/>
      <c r="Y65" s="15"/>
      <c r="Z65" s="15"/>
      <c r="AA65" s="15"/>
      <c r="AB65" s="15"/>
      <c r="AC65" s="15"/>
      <c r="AD65" s="15"/>
      <c r="AE65" s="15"/>
      <c r="AF65" s="15"/>
      <c r="AG65" s="15"/>
      <c r="AH65" s="15"/>
      <c r="AI65" s="15"/>
      <c r="AJ65" s="15"/>
      <c r="AK65" s="15"/>
      <c r="AL65" s="15"/>
      <c r="AM65" s="15"/>
      <c r="AN65" s="15"/>
      <c r="AO65" s="15"/>
      <c r="AP65" s="15"/>
      <c r="AQ65" s="15"/>
      <c r="AR65" s="15"/>
      <c r="AS65" s="15"/>
      <c r="AT65" s="15"/>
      <c r="AU65" s="15"/>
      <c r="AV65" s="15"/>
      <c r="AW65" s="15"/>
      <c r="AX65" s="15"/>
      <c r="AY65" s="15"/>
      <c r="AZ65" s="15"/>
      <c r="BA65" s="15"/>
      <c r="BB65" s="15"/>
      <c r="BC65" s="15"/>
      <c r="BD65" s="15"/>
      <c r="BE65" s="15"/>
      <c r="BF65" s="38"/>
      <c r="BG65" s="38"/>
      <c r="BH65" s="38"/>
      <c r="BI65" s="38"/>
      <c r="BJ65" s="38"/>
      <c r="BK65" s="38"/>
      <c r="BL65" s="38"/>
      <c r="BM65" s="38"/>
      <c r="BN65" s="38"/>
      <c r="BO65" s="38"/>
      <c r="BP65" s="38"/>
      <c r="BQ65" s="15"/>
      <c r="BR65" s="15"/>
      <c r="BS65" s="15"/>
      <c r="BT65" s="15"/>
      <c r="BU65" s="15"/>
      <c r="BV65" s="15"/>
      <c r="BW65" s="15"/>
      <c r="BX65" s="15"/>
      <c r="BY65" s="15"/>
      <c r="BZ65" s="15"/>
      <c r="CA65" s="15"/>
    </row>
    <row r="66" spans="2:79" ht="12" customHeight="1">
      <c r="B66" s="15" t="s">
        <v>1581</v>
      </c>
      <c r="C66" s="15"/>
      <c r="D66" s="15"/>
      <c r="E66" s="15"/>
      <c r="F66" s="15"/>
      <c r="G66" s="15"/>
      <c r="H66" s="15"/>
      <c r="I66" s="15"/>
      <c r="J66" s="15"/>
      <c r="K66" s="15"/>
      <c r="L66" s="15"/>
      <c r="M66" s="15"/>
      <c r="N66" s="15"/>
      <c r="O66" s="15"/>
      <c r="P66" s="15"/>
      <c r="Q66" s="15"/>
      <c r="R66" s="15"/>
      <c r="S66" s="15"/>
      <c r="T66" s="15"/>
      <c r="U66" s="15"/>
      <c r="V66" s="15"/>
      <c r="W66" s="15"/>
      <c r="X66" s="15"/>
      <c r="Y66" s="15"/>
      <c r="Z66" s="15"/>
      <c r="AA66" s="15"/>
      <c r="AB66" s="15"/>
      <c r="AC66" s="15"/>
      <c r="AD66" s="15"/>
      <c r="AE66" s="15"/>
      <c r="AF66" s="15"/>
      <c r="AG66" s="15"/>
      <c r="AH66" s="15"/>
      <c r="AI66" s="15"/>
      <c r="AJ66" s="15"/>
      <c r="AK66" s="15"/>
      <c r="AL66" s="15"/>
      <c r="AM66" s="15"/>
      <c r="AN66" s="15"/>
      <c r="AO66" s="15"/>
      <c r="AP66" s="15"/>
      <c r="AQ66" s="15"/>
      <c r="AR66" s="15"/>
      <c r="AS66" s="15"/>
      <c r="AT66" s="15"/>
      <c r="AU66" s="15"/>
      <c r="AV66" s="15"/>
      <c r="AW66" s="15"/>
      <c r="AX66" s="15"/>
      <c r="AY66" s="15"/>
      <c r="AZ66" s="15"/>
      <c r="BA66" s="15"/>
      <c r="BB66" s="821">
        <f t="shared" ref="BB66:BP66" si="30">BB70-BB62</f>
        <v>1423.3308281645309</v>
      </c>
      <c r="BC66" s="821">
        <f t="shared" si="30"/>
        <v>1424.3469712797094</v>
      </c>
      <c r="BD66" s="821">
        <f t="shared" si="30"/>
        <v>1478.771042546648</v>
      </c>
      <c r="BE66" s="821">
        <f t="shared" si="30"/>
        <v>1525.0803668167362</v>
      </c>
      <c r="BF66" s="821">
        <f t="shared" si="30"/>
        <v>1540.2846745812628</v>
      </c>
      <c r="BG66" s="821">
        <f t="shared" si="30"/>
        <v>1537.0699157993831</v>
      </c>
      <c r="BH66" s="821">
        <f t="shared" si="30"/>
        <v>1593.5567531851927</v>
      </c>
      <c r="BI66" s="821">
        <f t="shared" si="30"/>
        <v>1642.1728924847444</v>
      </c>
      <c r="BJ66" s="821">
        <f t="shared" si="30"/>
        <v>1696.8630991258444</v>
      </c>
      <c r="BK66" s="821">
        <f t="shared" si="30"/>
        <v>1694.9061297942812</v>
      </c>
      <c r="BL66" s="821">
        <f t="shared" si="30"/>
        <v>1705.6737752562985</v>
      </c>
      <c r="BM66" s="821">
        <f t="shared" si="30"/>
        <v>1741.3219148605592</v>
      </c>
      <c r="BN66" s="821">
        <f t="shared" si="30"/>
        <v>1786.0921532655605</v>
      </c>
      <c r="BO66" s="821">
        <f t="shared" si="30"/>
        <v>1779.2591765090392</v>
      </c>
      <c r="BP66" s="821">
        <f t="shared" si="30"/>
        <v>1799.7466009561447</v>
      </c>
      <c r="BQ66" s="15"/>
      <c r="BR66" s="15"/>
      <c r="BS66" s="15"/>
      <c r="BT66" s="15"/>
      <c r="BU66" s="15"/>
      <c r="BV66" s="15"/>
      <c r="BW66" s="15"/>
      <c r="BX66" s="15"/>
      <c r="BY66" s="15"/>
      <c r="BZ66" s="15"/>
      <c r="CA66" s="15"/>
    </row>
    <row r="67" spans="2:79" ht="12" customHeight="1">
      <c r="B67" s="18" t="s">
        <v>281</v>
      </c>
      <c r="C67" s="15"/>
      <c r="D67" s="15"/>
      <c r="E67" s="15"/>
      <c r="F67" s="15"/>
      <c r="G67" s="15"/>
      <c r="H67" s="15"/>
      <c r="I67" s="15"/>
      <c r="J67" s="15"/>
      <c r="K67" s="15"/>
      <c r="L67" s="15"/>
      <c r="M67" s="15"/>
      <c r="N67" s="15"/>
      <c r="O67" s="15"/>
      <c r="P67" s="15"/>
      <c r="Q67" s="15"/>
      <c r="R67" s="15"/>
      <c r="S67" s="15"/>
      <c r="T67" s="15"/>
      <c r="U67" s="15"/>
      <c r="V67" s="15"/>
      <c r="W67" s="15"/>
      <c r="X67" s="15"/>
      <c r="Y67" s="15"/>
      <c r="Z67" s="15"/>
      <c r="AA67" s="15"/>
      <c r="AB67" s="15"/>
      <c r="AC67" s="15"/>
      <c r="AD67" s="15"/>
      <c r="AE67" s="15"/>
      <c r="AF67" s="15"/>
      <c r="AG67" s="15"/>
      <c r="AH67" s="15"/>
      <c r="AI67" s="15"/>
      <c r="AJ67" s="15"/>
      <c r="AK67" s="15"/>
      <c r="AL67" s="15"/>
      <c r="AM67" s="15"/>
      <c r="AN67" s="15"/>
      <c r="AO67" s="15"/>
      <c r="AP67" s="15"/>
      <c r="AQ67" s="15"/>
      <c r="AR67" s="15"/>
      <c r="AS67" s="15"/>
      <c r="AT67" s="15"/>
      <c r="AU67" s="15"/>
      <c r="AV67" s="15"/>
      <c r="AW67" s="15"/>
      <c r="AX67" s="15"/>
      <c r="AY67" s="15"/>
      <c r="AZ67" s="15"/>
      <c r="BA67" s="15"/>
      <c r="BB67" s="15"/>
      <c r="BC67" s="38">
        <f t="shared" ref="BC67:BP67" si="31">BC66/BB66-1</f>
        <v>7.1391913606544399E-4</v>
      </c>
      <c r="BD67" s="38">
        <f t="shared" si="31"/>
        <v>3.8209840975784948E-2</v>
      </c>
      <c r="BE67" s="38">
        <f t="shared" si="31"/>
        <v>3.1316088114855978E-2</v>
      </c>
      <c r="BF67" s="38">
        <f t="shared" si="31"/>
        <v>9.9695124895367027E-3</v>
      </c>
      <c r="BG67" s="38">
        <f t="shared" si="31"/>
        <v>-2.0871198908433142E-3</v>
      </c>
      <c r="BH67" s="38">
        <f t="shared" si="31"/>
        <v>3.674968640345333E-2</v>
      </c>
      <c r="BI67" s="38">
        <f t="shared" si="31"/>
        <v>3.0507943443104812E-2</v>
      </c>
      <c r="BJ67" s="38">
        <f t="shared" si="31"/>
        <v>3.3303561940027704E-2</v>
      </c>
      <c r="BK67" s="38">
        <f t="shared" si="31"/>
        <v>-1.1532865159077366E-3</v>
      </c>
      <c r="BL67" s="38">
        <f t="shared" si="31"/>
        <v>6.3529450231702977E-3</v>
      </c>
      <c r="BM67" s="38">
        <f t="shared" si="31"/>
        <v>2.0899740689807045E-2</v>
      </c>
      <c r="BN67" s="38">
        <f t="shared" si="31"/>
        <v>2.5710489268485626E-2</v>
      </c>
      <c r="BO67" s="38">
        <f t="shared" si="31"/>
        <v>-3.8256574522363973E-3</v>
      </c>
      <c r="BP67" s="38">
        <f t="shared" si="31"/>
        <v>1.1514581303046834E-2</v>
      </c>
      <c r="BQ67" s="15"/>
      <c r="BR67" s="15"/>
      <c r="BS67" s="15"/>
      <c r="BT67" s="15"/>
      <c r="BU67" s="15"/>
      <c r="BV67" s="15"/>
      <c r="BW67" s="15"/>
      <c r="BX67" s="15"/>
      <c r="BY67" s="15"/>
      <c r="BZ67" s="15"/>
      <c r="CA67" s="15"/>
    </row>
    <row r="68" spans="2:79" ht="12" customHeight="1">
      <c r="B68" s="18" t="s">
        <v>290</v>
      </c>
      <c r="C68" s="15"/>
      <c r="D68" s="15"/>
      <c r="E68" s="15"/>
      <c r="F68" s="15"/>
      <c r="G68" s="15"/>
      <c r="H68" s="15"/>
      <c r="I68" s="15"/>
      <c r="J68" s="15"/>
      <c r="K68" s="15"/>
      <c r="L68" s="15"/>
      <c r="M68" s="15"/>
      <c r="N68" s="15"/>
      <c r="O68" s="15"/>
      <c r="P68" s="15"/>
      <c r="Q68" s="15"/>
      <c r="R68" s="15"/>
      <c r="S68" s="15"/>
      <c r="T68" s="15"/>
      <c r="U68" s="15"/>
      <c r="V68" s="15"/>
      <c r="W68" s="15"/>
      <c r="X68" s="15"/>
      <c r="Y68" s="15"/>
      <c r="Z68" s="15"/>
      <c r="AA68" s="15"/>
      <c r="AB68" s="15"/>
      <c r="AC68" s="15"/>
      <c r="AD68" s="15"/>
      <c r="AE68" s="15"/>
      <c r="AF68" s="15"/>
      <c r="AG68" s="15"/>
      <c r="AH68" s="15"/>
      <c r="AI68" s="15"/>
      <c r="AJ68" s="15"/>
      <c r="AK68" s="15"/>
      <c r="AL68" s="15"/>
      <c r="AM68" s="15"/>
      <c r="AN68" s="15"/>
      <c r="AO68" s="15"/>
      <c r="AP68" s="15"/>
      <c r="AQ68" s="15"/>
      <c r="AR68" s="15"/>
      <c r="AS68" s="15"/>
      <c r="AT68" s="15"/>
      <c r="AU68" s="15"/>
      <c r="AV68" s="15"/>
      <c r="AW68" s="15"/>
      <c r="AX68" s="15"/>
      <c r="AY68" s="15"/>
      <c r="AZ68" s="15"/>
      <c r="BA68" s="15"/>
      <c r="BB68" s="15"/>
      <c r="BC68" s="15"/>
      <c r="BD68" s="15"/>
      <c r="BE68" s="15"/>
      <c r="BF68" s="38">
        <f t="shared" ref="BF68:BP68" si="32">BF66/BB66-1</f>
        <v>8.2169123370671837E-2</v>
      </c>
      <c r="BG68" s="38">
        <f t="shared" si="32"/>
        <v>7.9140087908775136E-2</v>
      </c>
      <c r="BH68" s="38">
        <f t="shared" si="32"/>
        <v>7.7622368396440766E-2</v>
      </c>
      <c r="BI68" s="38">
        <f t="shared" si="32"/>
        <v>7.6777937881668867E-2</v>
      </c>
      <c r="BJ68" s="38">
        <f t="shared" si="32"/>
        <v>0.10165551026283404</v>
      </c>
      <c r="BK68" s="38">
        <f t="shared" si="32"/>
        <v>0.10268642458779254</v>
      </c>
      <c r="BL68" s="38">
        <f t="shared" si="32"/>
        <v>7.0356466342982094E-2</v>
      </c>
      <c r="BM68" s="38">
        <f t="shared" si="32"/>
        <v>6.0376725757416594E-2</v>
      </c>
      <c r="BN68" s="38">
        <f t="shared" si="32"/>
        <v>5.2584710095754383E-2</v>
      </c>
      <c r="BO68" s="38">
        <f t="shared" si="32"/>
        <v>4.9768565486866478E-2</v>
      </c>
      <c r="BP68" s="38">
        <f t="shared" si="32"/>
        <v>5.5152882728533692E-2</v>
      </c>
      <c r="BQ68" s="15"/>
      <c r="BR68" s="15"/>
      <c r="BS68" s="15"/>
      <c r="BT68" s="15"/>
      <c r="BU68" s="15"/>
      <c r="BV68" s="15"/>
      <c r="BW68" s="15"/>
      <c r="BX68" s="15"/>
      <c r="BY68" s="15"/>
      <c r="BZ68" s="15"/>
      <c r="CA68" s="15"/>
    </row>
    <row r="69" spans="2:79" ht="3.75" customHeight="1">
      <c r="B69" s="15"/>
      <c r="C69" s="15"/>
      <c r="D69" s="15"/>
      <c r="E69" s="15"/>
      <c r="F69" s="15"/>
      <c r="G69" s="15"/>
      <c r="H69" s="15"/>
      <c r="I69" s="15"/>
      <c r="J69" s="15"/>
      <c r="K69" s="15"/>
      <c r="L69" s="15"/>
      <c r="M69" s="15"/>
      <c r="N69" s="15"/>
      <c r="O69" s="15"/>
      <c r="P69" s="15"/>
      <c r="Q69" s="15"/>
      <c r="R69" s="15"/>
      <c r="S69" s="15"/>
      <c r="T69" s="15"/>
      <c r="U69" s="15"/>
      <c r="V69" s="15"/>
      <c r="W69" s="15"/>
      <c r="X69" s="15"/>
      <c r="Y69" s="15"/>
      <c r="Z69" s="15"/>
      <c r="AA69" s="15"/>
      <c r="AB69" s="15"/>
      <c r="AC69" s="15"/>
      <c r="AD69" s="15"/>
      <c r="AE69" s="15"/>
      <c r="AF69" s="15"/>
      <c r="AG69" s="15"/>
      <c r="AH69" s="15"/>
      <c r="AI69" s="15"/>
      <c r="AJ69" s="15"/>
      <c r="AK69" s="15"/>
      <c r="AL69" s="15"/>
      <c r="AM69" s="15"/>
      <c r="AN69" s="15"/>
      <c r="AO69" s="15"/>
      <c r="AP69" s="15"/>
      <c r="AQ69" s="15"/>
      <c r="AR69" s="15"/>
      <c r="AS69" s="15"/>
      <c r="AT69" s="15"/>
      <c r="AU69" s="15"/>
      <c r="AV69" s="15"/>
      <c r="AW69" s="15"/>
      <c r="AX69" s="15"/>
      <c r="AY69" s="15"/>
      <c r="AZ69" s="15"/>
      <c r="BA69" s="15"/>
      <c r="BB69" s="15"/>
      <c r="BC69" s="15"/>
      <c r="BD69" s="15"/>
      <c r="BE69" s="15"/>
      <c r="BF69" s="15"/>
      <c r="BG69" s="15"/>
      <c r="BH69" s="15"/>
      <c r="BI69" s="15"/>
      <c r="BJ69" s="15"/>
      <c r="BK69" s="15"/>
      <c r="BL69" s="15"/>
      <c r="BM69" s="15"/>
      <c r="BN69" s="15"/>
      <c r="BO69" s="15"/>
      <c r="BP69" s="15"/>
      <c r="BQ69" s="15"/>
      <c r="BR69" s="15"/>
      <c r="BS69" s="15"/>
      <c r="BT69" s="15"/>
      <c r="BU69" s="15"/>
      <c r="BV69" s="15"/>
      <c r="BW69" s="15"/>
      <c r="BX69" s="15"/>
      <c r="BY69" s="15"/>
      <c r="BZ69" s="15"/>
      <c r="CA69" s="15"/>
    </row>
    <row r="70" spans="2:79">
      <c r="B70" s="15" t="s">
        <v>1580</v>
      </c>
      <c r="C70" s="15"/>
      <c r="D70" s="15"/>
      <c r="E70" s="15"/>
      <c r="F70" s="15"/>
      <c r="G70" s="15"/>
      <c r="H70" s="15"/>
      <c r="I70" s="15"/>
      <c r="J70" s="15"/>
      <c r="K70" s="15"/>
      <c r="L70" s="15"/>
      <c r="M70" s="15"/>
      <c r="N70" s="15"/>
      <c r="O70" s="15"/>
      <c r="P70" s="15"/>
      <c r="Q70" s="15"/>
      <c r="R70" s="15"/>
      <c r="S70" s="15"/>
      <c r="T70" s="15"/>
      <c r="U70" s="15"/>
      <c r="V70" s="15"/>
      <c r="W70" s="15"/>
      <c r="X70" s="15"/>
      <c r="Y70" s="15"/>
      <c r="Z70" s="15"/>
      <c r="AA70" s="15"/>
      <c r="AB70" s="15"/>
      <c r="AC70" s="15"/>
      <c r="AD70" s="15"/>
      <c r="AE70" s="15"/>
      <c r="AF70" s="15"/>
      <c r="AG70" s="15"/>
      <c r="AH70" s="15"/>
      <c r="AI70" s="15"/>
      <c r="AJ70" s="15"/>
      <c r="AK70" s="15"/>
      <c r="AL70" s="15"/>
      <c r="AM70" s="15"/>
      <c r="AN70" s="15"/>
      <c r="AO70" s="15"/>
      <c r="AP70" s="15"/>
      <c r="AQ70" s="15"/>
      <c r="AR70" s="15"/>
      <c r="AS70" s="15"/>
      <c r="AT70" s="15"/>
      <c r="AU70" s="15"/>
      <c r="AV70" s="15"/>
      <c r="AW70" s="15"/>
      <c r="AX70" s="15"/>
      <c r="AY70" s="15"/>
      <c r="AZ70" s="15"/>
      <c r="BA70" s="15"/>
      <c r="BB70" s="821">
        <f t="shared" ref="BB70:BP70" si="33">(BB9/3)/(AVERAGE(BA52:BB52))*1000000</f>
        <v>1620.7624562673423</v>
      </c>
      <c r="BC70" s="821">
        <f t="shared" si="33"/>
        <v>1621.719881549242</v>
      </c>
      <c r="BD70" s="821">
        <f t="shared" si="33"/>
        <v>1681.2059735136661</v>
      </c>
      <c r="BE70" s="821">
        <f t="shared" si="33"/>
        <v>1726.6726919179471</v>
      </c>
      <c r="BF70" s="821">
        <f t="shared" si="33"/>
        <v>1742.2776911076444</v>
      </c>
      <c r="BG70" s="821">
        <f t="shared" si="33"/>
        <v>1741.3023645733165</v>
      </c>
      <c r="BH70" s="821">
        <f t="shared" si="33"/>
        <v>1802.2562333836318</v>
      </c>
      <c r="BI70" s="821">
        <f t="shared" si="33"/>
        <v>1862.4832167337995</v>
      </c>
      <c r="BJ70" s="821">
        <f t="shared" si="33"/>
        <v>1917.3580383480828</v>
      </c>
      <c r="BK70" s="821">
        <f t="shared" si="33"/>
        <v>1915.6795824131702</v>
      </c>
      <c r="BL70" s="821">
        <f t="shared" si="33"/>
        <v>1934.325140146615</v>
      </c>
      <c r="BM70" s="821">
        <f t="shared" si="33"/>
        <v>1976.56611552863</v>
      </c>
      <c r="BN70" s="821">
        <f t="shared" si="33"/>
        <v>2022.371364653244</v>
      </c>
      <c r="BO70" s="821">
        <f t="shared" si="33"/>
        <v>2020.4415698486844</v>
      </c>
      <c r="BP70" s="821">
        <f t="shared" si="33"/>
        <v>2048.244611986901</v>
      </c>
      <c r="BQ70" s="15"/>
      <c r="BR70" s="15"/>
      <c r="BS70" s="15"/>
      <c r="BT70" s="15"/>
      <c r="BU70" s="15"/>
      <c r="BV70" s="15"/>
      <c r="BW70" s="15"/>
      <c r="BX70" s="15"/>
      <c r="BY70" s="15"/>
      <c r="BZ70" s="15"/>
      <c r="CA70" s="15"/>
    </row>
    <row r="71" spans="2:79">
      <c r="B71" s="18" t="s">
        <v>281</v>
      </c>
      <c r="C71" s="15"/>
      <c r="D71" s="15"/>
      <c r="E71" s="15"/>
      <c r="F71" s="15"/>
      <c r="G71" s="15"/>
      <c r="H71" s="15"/>
      <c r="I71" s="15"/>
      <c r="J71" s="15"/>
      <c r="K71" s="15"/>
      <c r="L71" s="15"/>
      <c r="M71" s="15"/>
      <c r="N71" s="15"/>
      <c r="O71" s="15"/>
      <c r="P71" s="15"/>
      <c r="Q71" s="15"/>
      <c r="R71" s="15"/>
      <c r="S71" s="15"/>
      <c r="T71" s="15"/>
      <c r="U71" s="15"/>
      <c r="V71" s="15"/>
      <c r="W71" s="15"/>
      <c r="X71" s="15"/>
      <c r="Y71" s="15"/>
      <c r="Z71" s="15"/>
      <c r="AA71" s="15"/>
      <c r="AB71" s="15"/>
      <c r="AC71" s="15"/>
      <c r="AD71" s="15"/>
      <c r="AE71" s="15"/>
      <c r="AF71" s="15"/>
      <c r="AG71" s="15"/>
      <c r="AH71" s="15"/>
      <c r="AI71" s="15"/>
      <c r="AJ71" s="15"/>
      <c r="AK71" s="15"/>
      <c r="AL71" s="15"/>
      <c r="AM71" s="15"/>
      <c r="AN71" s="15"/>
      <c r="AO71" s="15"/>
      <c r="AP71" s="15"/>
      <c r="AQ71" s="15"/>
      <c r="AR71" s="15"/>
      <c r="AS71" s="15"/>
      <c r="AT71" s="15"/>
      <c r="AU71" s="15"/>
      <c r="AV71" s="15"/>
      <c r="AW71" s="15"/>
      <c r="AX71" s="15"/>
      <c r="AY71" s="15"/>
      <c r="AZ71" s="15"/>
      <c r="BA71" s="15"/>
      <c r="BB71" s="15"/>
      <c r="BC71" s="38">
        <f t="shared" ref="BC71:BP71" si="34">BC70/BB70-1</f>
        <v>5.9072523440906188E-4</v>
      </c>
      <c r="BD71" s="38">
        <f t="shared" si="34"/>
        <v>3.6680867418112051E-2</v>
      </c>
      <c r="BE71" s="38">
        <f t="shared" si="34"/>
        <v>2.7044109478898015E-2</v>
      </c>
      <c r="BF71" s="38">
        <f t="shared" si="34"/>
        <v>9.0376127813567297E-3</v>
      </c>
      <c r="BG71" s="38">
        <f t="shared" si="34"/>
        <v>-5.5979970317354688E-4</v>
      </c>
      <c r="BH71" s="38">
        <f t="shared" si="34"/>
        <v>3.5004758536149483E-2</v>
      </c>
      <c r="BI71" s="38">
        <f t="shared" si="34"/>
        <v>3.3417547535455006E-2</v>
      </c>
      <c r="BJ71" s="38">
        <f t="shared" si="34"/>
        <v>2.9463256968573548E-2</v>
      </c>
      <c r="BK71" s="38">
        <f t="shared" si="34"/>
        <v>-8.7540036933253518E-4</v>
      </c>
      <c r="BL71" s="38">
        <f t="shared" si="34"/>
        <v>9.7331296447586979E-3</v>
      </c>
      <c r="BM71" s="38">
        <f t="shared" si="34"/>
        <v>2.1837577615732906E-2</v>
      </c>
      <c r="BN71" s="38">
        <f t="shared" si="34"/>
        <v>2.3174154795405633E-2</v>
      </c>
      <c r="BO71" s="38">
        <f t="shared" si="34"/>
        <v>-9.5422375844922414E-4</v>
      </c>
      <c r="BP71" s="38">
        <f t="shared" si="34"/>
        <v>1.3760874134211676E-2</v>
      </c>
      <c r="BQ71" s="15"/>
      <c r="BR71" s="15"/>
      <c r="BS71" s="15"/>
      <c r="BT71" s="15"/>
      <c r="BU71" s="15"/>
      <c r="BV71" s="15"/>
      <c r="BW71" s="15"/>
      <c r="BX71" s="15"/>
      <c r="BY71" s="15"/>
      <c r="BZ71" s="15"/>
      <c r="CA71" s="15"/>
    </row>
    <row r="72" spans="2:79">
      <c r="B72" s="18" t="s">
        <v>290</v>
      </c>
      <c r="C72" s="15"/>
      <c r="D72" s="15"/>
      <c r="E72" s="15"/>
      <c r="F72" s="15"/>
      <c r="G72" s="15"/>
      <c r="H72" s="15"/>
      <c r="I72" s="15"/>
      <c r="J72" s="15"/>
      <c r="K72" s="15"/>
      <c r="L72" s="15"/>
      <c r="M72" s="15"/>
      <c r="N72" s="15"/>
      <c r="O72" s="15"/>
      <c r="P72" s="15"/>
      <c r="Q72" s="15"/>
      <c r="R72" s="15"/>
      <c r="S72" s="15"/>
      <c r="T72" s="15"/>
      <c r="U72" s="15"/>
      <c r="V72" s="15"/>
      <c r="W72" s="15"/>
      <c r="X72" s="15"/>
      <c r="Y72" s="15"/>
      <c r="Z72" s="15"/>
      <c r="AA72" s="15"/>
      <c r="AB72" s="15"/>
      <c r="AC72" s="15"/>
      <c r="AD72" s="15"/>
      <c r="AE72" s="15"/>
      <c r="AF72" s="15"/>
      <c r="AG72" s="15"/>
      <c r="AH72" s="15"/>
      <c r="AI72" s="15"/>
      <c r="AJ72" s="15"/>
      <c r="AK72" s="15"/>
      <c r="AL72" s="15"/>
      <c r="AM72" s="15"/>
      <c r="AN72" s="15"/>
      <c r="AO72" s="15"/>
      <c r="AP72" s="15"/>
      <c r="AQ72" s="15"/>
      <c r="AR72" s="15"/>
      <c r="AS72" s="15"/>
      <c r="AT72" s="15"/>
      <c r="AU72" s="15"/>
      <c r="AV72" s="15"/>
      <c r="AW72" s="15"/>
      <c r="AX72" s="15"/>
      <c r="AY72" s="15"/>
      <c r="AZ72" s="15"/>
      <c r="BA72" s="15"/>
      <c r="BB72" s="15"/>
      <c r="BC72" s="15"/>
      <c r="BD72" s="15"/>
      <c r="BE72" s="15"/>
      <c r="BF72" s="38">
        <f t="shared" ref="BF72:BP72" si="35">BF70/BB70-1</f>
        <v>7.4974117502792481E-2</v>
      </c>
      <c r="BG72" s="38">
        <f t="shared" si="35"/>
        <v>7.3738063141851828E-2</v>
      </c>
      <c r="BH72" s="38">
        <f t="shared" si="35"/>
        <v>7.2002040069471418E-2</v>
      </c>
      <c r="BI72" s="38">
        <f t="shared" si="35"/>
        <v>7.8654469634889201E-2</v>
      </c>
      <c r="BJ72" s="38">
        <f t="shared" si="35"/>
        <v>0.10048934686704958</v>
      </c>
      <c r="BK72" s="38">
        <f t="shared" si="35"/>
        <v>0.10014183716024672</v>
      </c>
      <c r="BL72" s="38">
        <f t="shared" si="35"/>
        <v>7.3279761399427379E-2</v>
      </c>
      <c r="BM72" s="38">
        <f t="shared" si="35"/>
        <v>6.1253115072304132E-2</v>
      </c>
      <c r="BN72" s="38">
        <f t="shared" si="35"/>
        <v>5.4769805224086587E-2</v>
      </c>
      <c r="BO72" s="38">
        <f t="shared" si="35"/>
        <v>5.4686591848280841E-2</v>
      </c>
      <c r="BP72" s="38">
        <f t="shared" si="35"/>
        <v>5.8893652093903626E-2</v>
      </c>
      <c r="BQ72" s="15"/>
      <c r="BR72" s="15"/>
      <c r="BS72" s="15"/>
      <c r="BT72" s="15"/>
      <c r="BU72" s="15"/>
      <c r="BV72" s="15"/>
      <c r="BW72" s="15"/>
      <c r="BX72" s="15"/>
      <c r="BY72" s="15"/>
      <c r="BZ72" s="15"/>
      <c r="CA72" s="15"/>
    </row>
    <row r="73" spans="2:79" ht="3.75" customHeight="1">
      <c r="B73" s="15"/>
      <c r="C73" s="15"/>
      <c r="D73" s="15"/>
      <c r="E73" s="15"/>
      <c r="F73" s="15"/>
      <c r="G73" s="15"/>
      <c r="H73" s="15"/>
      <c r="I73" s="15"/>
      <c r="J73" s="15"/>
      <c r="K73" s="15"/>
      <c r="L73" s="15"/>
      <c r="M73" s="15"/>
      <c r="N73" s="15"/>
      <c r="O73" s="15"/>
      <c r="P73" s="15"/>
      <c r="Q73" s="15"/>
      <c r="R73" s="15"/>
      <c r="S73" s="15"/>
      <c r="T73" s="15"/>
      <c r="U73" s="15"/>
      <c r="V73" s="15"/>
      <c r="W73" s="15"/>
      <c r="X73" s="15"/>
      <c r="Y73" s="15"/>
      <c r="Z73" s="15"/>
      <c r="AA73" s="15"/>
      <c r="AB73" s="15"/>
      <c r="AC73" s="15"/>
      <c r="AD73" s="15"/>
      <c r="AE73" s="15"/>
      <c r="AF73" s="15"/>
      <c r="AG73" s="15"/>
      <c r="AH73" s="15"/>
      <c r="AI73" s="15"/>
      <c r="AJ73" s="15"/>
      <c r="AK73" s="15"/>
      <c r="AL73" s="15"/>
      <c r="AM73" s="15"/>
      <c r="AN73" s="15"/>
      <c r="AO73" s="15"/>
      <c r="AP73" s="15"/>
      <c r="AQ73" s="15"/>
      <c r="AR73" s="15"/>
      <c r="AS73" s="15"/>
      <c r="AT73" s="15"/>
      <c r="AU73" s="15"/>
      <c r="AV73" s="15"/>
      <c r="AW73" s="15"/>
      <c r="AX73" s="15"/>
      <c r="AY73" s="15"/>
      <c r="AZ73" s="15"/>
      <c r="BA73" s="15"/>
      <c r="BB73" s="15"/>
      <c r="BC73" s="15"/>
      <c r="BD73" s="15"/>
      <c r="BE73" s="15"/>
      <c r="BF73" s="15"/>
      <c r="BG73" s="15"/>
      <c r="BH73" s="15"/>
      <c r="BI73" s="15"/>
      <c r="BJ73" s="15"/>
      <c r="BK73" s="15"/>
      <c r="BL73" s="15"/>
      <c r="BM73" s="15"/>
      <c r="BN73" s="15"/>
      <c r="BO73" s="15"/>
      <c r="BP73" s="15"/>
      <c r="BQ73" s="15"/>
      <c r="BR73" s="15"/>
      <c r="BS73" s="15"/>
      <c r="BT73" s="15"/>
      <c r="BU73" s="15"/>
      <c r="BV73" s="15"/>
      <c r="BW73" s="15"/>
      <c r="BX73" s="15"/>
      <c r="BY73" s="15"/>
      <c r="BZ73" s="15"/>
      <c r="CA73" s="15"/>
    </row>
    <row r="74" spans="2:79" ht="12.75" customHeight="1">
      <c r="B74" s="15" t="s">
        <v>1787</v>
      </c>
      <c r="C74" s="15"/>
      <c r="D74" s="15"/>
      <c r="E74" s="15"/>
      <c r="F74" s="15"/>
      <c r="G74" s="15"/>
      <c r="H74" s="15"/>
      <c r="I74" s="15"/>
      <c r="J74" s="15"/>
      <c r="K74" s="15"/>
      <c r="L74" s="15"/>
      <c r="M74" s="15"/>
      <c r="N74" s="15"/>
      <c r="O74" s="15"/>
      <c r="P74" s="15"/>
      <c r="Q74" s="15"/>
      <c r="R74" s="15"/>
      <c r="S74" s="15"/>
      <c r="T74" s="15"/>
      <c r="U74" s="15"/>
      <c r="V74" s="15"/>
      <c r="W74" s="15"/>
      <c r="X74" s="15"/>
      <c r="Y74" s="15"/>
      <c r="Z74" s="15"/>
      <c r="AA74" s="15"/>
      <c r="AB74" s="15"/>
      <c r="AC74" s="15"/>
      <c r="AD74" s="15"/>
      <c r="AE74" s="15"/>
      <c r="AF74" s="15"/>
      <c r="AG74" s="15"/>
      <c r="AH74" s="15"/>
      <c r="AI74" s="15"/>
      <c r="AJ74" s="15"/>
      <c r="AK74" s="15"/>
      <c r="AL74" s="15"/>
      <c r="AM74" s="15"/>
      <c r="AN74" s="15"/>
      <c r="AO74" s="15"/>
      <c r="AP74" s="15"/>
      <c r="AQ74" s="15"/>
      <c r="AR74" s="15"/>
      <c r="AS74" s="15"/>
      <c r="AT74" s="15"/>
      <c r="AU74" s="15"/>
      <c r="AV74" s="15"/>
      <c r="AW74" s="15"/>
      <c r="AX74" s="15"/>
      <c r="AY74" s="15"/>
      <c r="AZ74" s="15"/>
      <c r="BA74" s="15"/>
      <c r="BB74" s="26">
        <f t="shared" ref="BB74:BP74" si="36">BB76+BB77</f>
        <v>1.1104679999999991</v>
      </c>
      <c r="BC74" s="26">
        <f t="shared" si="36"/>
        <v>1.0288209999999991</v>
      </c>
      <c r="BD74" s="26">
        <f t="shared" si="36"/>
        <v>2.4535600000000031</v>
      </c>
      <c r="BE74" s="26">
        <f t="shared" si="36"/>
        <v>1.9286640000000013</v>
      </c>
      <c r="BF74" s="26">
        <f t="shared" si="36"/>
        <v>2.2647070000000018</v>
      </c>
      <c r="BG74" s="26">
        <f t="shared" si="36"/>
        <v>2.2090479999999952</v>
      </c>
      <c r="BH74" s="26">
        <f t="shared" si="36"/>
        <v>2.7004210000000048</v>
      </c>
      <c r="BI74" s="26">
        <f t="shared" si="36"/>
        <v>2.4753449999999946</v>
      </c>
      <c r="BJ74" s="26">
        <f t="shared" si="36"/>
        <v>2.4998740000000046</v>
      </c>
      <c r="BK74" s="26">
        <f t="shared" si="36"/>
        <v>1.9639849999999963</v>
      </c>
      <c r="BL74" s="26">
        <f t="shared" si="36"/>
        <v>2.4762069999999992</v>
      </c>
      <c r="BM74" s="26">
        <f t="shared" si="36"/>
        <v>2.7071410000000022</v>
      </c>
      <c r="BN74" s="26">
        <f t="shared" si="36"/>
        <v>2.3517910000000009</v>
      </c>
      <c r="BO74" s="26">
        <f t="shared" si="36"/>
        <v>2.4734239999999992</v>
      </c>
      <c r="BP74" s="26">
        <f t="shared" si="36"/>
        <v>3.7922719999999952</v>
      </c>
      <c r="BQ74" s="15"/>
      <c r="BR74" s="15"/>
      <c r="BS74" s="15"/>
      <c r="BT74" s="15"/>
      <c r="BU74" s="15"/>
      <c r="BV74" s="15"/>
      <c r="BW74" s="15"/>
      <c r="BX74" s="15"/>
      <c r="BY74" s="15"/>
      <c r="BZ74" s="15"/>
      <c r="CA74" s="15"/>
    </row>
    <row r="75" spans="2:79">
      <c r="B75" s="15" t="s">
        <v>1578</v>
      </c>
      <c r="C75" s="15"/>
      <c r="D75" s="15"/>
      <c r="E75" s="15"/>
      <c r="F75" s="15"/>
      <c r="G75" s="15"/>
      <c r="H75" s="15"/>
      <c r="I75" s="15"/>
      <c r="J75" s="15"/>
      <c r="K75" s="15"/>
      <c r="L75" s="15"/>
      <c r="M75" s="15"/>
      <c r="N75" s="15"/>
      <c r="O75" s="15"/>
      <c r="P75" s="15"/>
      <c r="Q75" s="15"/>
      <c r="R75" s="15"/>
      <c r="S75" s="15"/>
      <c r="T75" s="15"/>
      <c r="U75" s="15"/>
      <c r="V75" s="15"/>
      <c r="W75" s="15"/>
      <c r="X75" s="15"/>
      <c r="Y75" s="15"/>
      <c r="Z75" s="15"/>
      <c r="AA75" s="15"/>
      <c r="AB75" s="15"/>
      <c r="AC75" s="15"/>
      <c r="AD75" s="15"/>
      <c r="AE75" s="15"/>
      <c r="AF75" s="15"/>
      <c r="AG75" s="15"/>
      <c r="AH75" s="15"/>
      <c r="AI75" s="15"/>
      <c r="AJ75" s="15"/>
      <c r="AK75" s="15"/>
      <c r="AL75" s="15"/>
      <c r="AM75" s="15"/>
      <c r="AN75" s="15"/>
      <c r="AO75" s="15"/>
      <c r="AP75" s="15"/>
      <c r="AQ75" s="15"/>
      <c r="AR75" s="15"/>
      <c r="AS75" s="15"/>
      <c r="AT75" s="15"/>
      <c r="AU75" s="15"/>
      <c r="AV75" s="15"/>
      <c r="AW75" s="15"/>
      <c r="AX75" s="15"/>
      <c r="AY75" s="15"/>
      <c r="AZ75" s="15"/>
      <c r="BA75" s="15"/>
      <c r="BB75" s="871">
        <v>1.7000000000000001E-2</v>
      </c>
      <c r="BC75" s="871">
        <v>8.9999999999999993E-3</v>
      </c>
      <c r="BD75" s="871">
        <v>0.01</v>
      </c>
      <c r="BE75" s="871">
        <v>8.0000000000000002E-3</v>
      </c>
      <c r="BF75" s="871">
        <v>8.9999999999999993E-3</v>
      </c>
      <c r="BG75" s="871">
        <v>1.2E-2</v>
      </c>
      <c r="BH75" s="871">
        <v>1.0999999999999999E-2</v>
      </c>
      <c r="BI75" s="871">
        <v>1.4999999999999999E-2</v>
      </c>
      <c r="BJ75" s="871">
        <v>1.0999999999999999E-2</v>
      </c>
      <c r="BK75" s="871">
        <v>1.4999999999999999E-2</v>
      </c>
      <c r="BL75" s="871">
        <v>1.2999999999999999E-2</v>
      </c>
      <c r="BM75" s="871">
        <v>1.2999999999999999E-2</v>
      </c>
      <c r="BN75" s="871">
        <v>1.0999999999999999E-2</v>
      </c>
      <c r="BO75" s="871">
        <v>1.4E-2</v>
      </c>
      <c r="BP75" s="871">
        <v>1.2E-2</v>
      </c>
      <c r="BQ75" s="15"/>
      <c r="BR75" s="15"/>
      <c r="BS75" s="15"/>
      <c r="BT75" s="15"/>
      <c r="BU75" s="15"/>
      <c r="BV75" s="15"/>
      <c r="BW75" s="15"/>
      <c r="BX75" s="15"/>
      <c r="BY75" s="15"/>
      <c r="BZ75" s="15"/>
      <c r="CA75" s="15"/>
    </row>
    <row r="76" spans="2:79">
      <c r="B76" s="15" t="s">
        <v>1582</v>
      </c>
      <c r="C76" s="15"/>
      <c r="D76" s="15"/>
      <c r="E76" s="15"/>
      <c r="F76" s="15"/>
      <c r="G76" s="15"/>
      <c r="H76" s="15"/>
      <c r="I76" s="15"/>
      <c r="J76" s="15"/>
      <c r="K76" s="15"/>
      <c r="L76" s="15"/>
      <c r="M76" s="15"/>
      <c r="N76" s="15"/>
      <c r="O76" s="15"/>
      <c r="P76" s="15"/>
      <c r="Q76" s="15"/>
      <c r="R76" s="15"/>
      <c r="S76" s="15"/>
      <c r="T76" s="15"/>
      <c r="U76" s="15"/>
      <c r="V76" s="15"/>
      <c r="W76" s="15"/>
      <c r="X76" s="15"/>
      <c r="Y76" s="15"/>
      <c r="Z76" s="15"/>
      <c r="AA76" s="15"/>
      <c r="AB76" s="15"/>
      <c r="AC76" s="15"/>
      <c r="AD76" s="15"/>
      <c r="AE76" s="15"/>
      <c r="AF76" s="15"/>
      <c r="AG76" s="15"/>
      <c r="AH76" s="15"/>
      <c r="AI76" s="15"/>
      <c r="AJ76" s="15"/>
      <c r="AK76" s="15"/>
      <c r="AL76" s="15"/>
      <c r="AM76" s="15"/>
      <c r="AN76" s="15"/>
      <c r="AO76" s="15"/>
      <c r="AP76" s="15"/>
      <c r="AQ76" s="15"/>
      <c r="AR76" s="15"/>
      <c r="AS76" s="15"/>
      <c r="AT76" s="15"/>
      <c r="AU76" s="15"/>
      <c r="AV76" s="15"/>
      <c r="AW76" s="15"/>
      <c r="AX76" s="15"/>
      <c r="AY76" s="15"/>
      <c r="AZ76" s="15"/>
      <c r="BA76" s="15"/>
      <c r="BB76" s="54">
        <f t="shared" ref="BB76:BP76" si="37">BB75*BA9</f>
        <v>0.44546800000000003</v>
      </c>
      <c r="BC76" s="54">
        <f t="shared" si="37"/>
        <v>0.24182099999999998</v>
      </c>
      <c r="BD76" s="54">
        <f t="shared" si="37"/>
        <v>0.27655999999999997</v>
      </c>
      <c r="BE76" s="54">
        <f t="shared" si="37"/>
        <v>0.23866400000000002</v>
      </c>
      <c r="BF76" s="54">
        <f t="shared" si="37"/>
        <v>0.28370699999999999</v>
      </c>
      <c r="BG76" s="54">
        <f t="shared" si="37"/>
        <v>0.40204800000000007</v>
      </c>
      <c r="BH76" s="54">
        <f t="shared" si="37"/>
        <v>0.38842099999999996</v>
      </c>
      <c r="BI76" s="54">
        <f t="shared" si="37"/>
        <v>0.5643450000000001</v>
      </c>
      <c r="BJ76" s="54">
        <f t="shared" si="37"/>
        <v>0.43487399999999998</v>
      </c>
      <c r="BK76" s="54">
        <f t="shared" si="37"/>
        <v>0.62398500000000001</v>
      </c>
      <c r="BL76" s="54">
        <f t="shared" si="37"/>
        <v>0.55820700000000001</v>
      </c>
      <c r="BM76" s="54">
        <f t="shared" si="37"/>
        <v>0.58314099999999991</v>
      </c>
      <c r="BN76" s="54">
        <f t="shared" si="37"/>
        <v>0.516791</v>
      </c>
      <c r="BO76" s="54">
        <f t="shared" si="37"/>
        <v>0.68342400000000003</v>
      </c>
      <c r="BP76" s="54">
        <f t="shared" si="37"/>
        <v>0.60727200000000003</v>
      </c>
      <c r="BQ76" s="15"/>
      <c r="BR76" s="15"/>
      <c r="BS76" s="15"/>
      <c r="BT76" s="15"/>
      <c r="BU76" s="15"/>
      <c r="BV76" s="15"/>
      <c r="BW76" s="15"/>
      <c r="BX76" s="15"/>
      <c r="BY76" s="15"/>
      <c r="BZ76" s="15"/>
      <c r="CA76" s="15"/>
    </row>
    <row r="77" spans="2:79">
      <c r="B77" s="15" t="s">
        <v>1583</v>
      </c>
      <c r="C77" s="15"/>
      <c r="D77" s="15"/>
      <c r="E77" s="15"/>
      <c r="F77" s="15"/>
      <c r="G77" s="15"/>
      <c r="H77" s="15"/>
      <c r="I77" s="15"/>
      <c r="J77" s="15"/>
      <c r="K77" s="15"/>
      <c r="L77" s="15"/>
      <c r="M77" s="15"/>
      <c r="N77" s="15"/>
      <c r="O77" s="15"/>
      <c r="P77" s="15"/>
      <c r="Q77" s="15"/>
      <c r="R77" s="15"/>
      <c r="S77" s="15"/>
      <c r="T77" s="15"/>
      <c r="U77" s="15"/>
      <c r="V77" s="15"/>
      <c r="W77" s="15"/>
      <c r="X77" s="15"/>
      <c r="Y77" s="15"/>
      <c r="Z77" s="15"/>
      <c r="AA77" s="15"/>
      <c r="AB77" s="15"/>
      <c r="AC77" s="15"/>
      <c r="AD77" s="15"/>
      <c r="AE77" s="15"/>
      <c r="AF77" s="15"/>
      <c r="AG77" s="15"/>
      <c r="AH77" s="15"/>
      <c r="AI77" s="15"/>
      <c r="AJ77" s="15"/>
      <c r="AK77" s="15"/>
      <c r="AL77" s="15"/>
      <c r="AM77" s="15"/>
      <c r="AN77" s="15"/>
      <c r="AO77" s="15"/>
      <c r="AP77" s="15"/>
      <c r="AQ77" s="15"/>
      <c r="AR77" s="15"/>
      <c r="AS77" s="15"/>
      <c r="AT77" s="15"/>
      <c r="AU77" s="15"/>
      <c r="AV77" s="15"/>
      <c r="AW77" s="15"/>
      <c r="AX77" s="15"/>
      <c r="AY77" s="15"/>
      <c r="AZ77" s="15"/>
      <c r="BA77" s="15"/>
      <c r="BB77" s="54">
        <f t="shared" ref="BB77:BP77" si="38">BB9-BA9</f>
        <v>0.66499999999999915</v>
      </c>
      <c r="BC77" s="54">
        <f t="shared" si="38"/>
        <v>0.78699999999999903</v>
      </c>
      <c r="BD77" s="54">
        <f t="shared" si="38"/>
        <v>2.1770000000000032</v>
      </c>
      <c r="BE77" s="54">
        <f t="shared" si="38"/>
        <v>1.6900000000000013</v>
      </c>
      <c r="BF77" s="54">
        <f t="shared" si="38"/>
        <v>1.9810000000000016</v>
      </c>
      <c r="BG77" s="54">
        <f t="shared" si="38"/>
        <v>1.8069999999999951</v>
      </c>
      <c r="BH77" s="54">
        <f t="shared" si="38"/>
        <v>2.3120000000000047</v>
      </c>
      <c r="BI77" s="54">
        <f t="shared" si="38"/>
        <v>1.9109999999999943</v>
      </c>
      <c r="BJ77" s="54">
        <f t="shared" si="38"/>
        <v>2.0650000000000048</v>
      </c>
      <c r="BK77" s="54">
        <f t="shared" si="38"/>
        <v>1.3399999999999963</v>
      </c>
      <c r="BL77" s="54">
        <f t="shared" si="38"/>
        <v>1.9179999999999993</v>
      </c>
      <c r="BM77" s="54">
        <f t="shared" si="38"/>
        <v>2.1240000000000023</v>
      </c>
      <c r="BN77" s="54">
        <f t="shared" si="38"/>
        <v>1.8350000000000009</v>
      </c>
      <c r="BO77" s="54">
        <f t="shared" si="38"/>
        <v>1.7899999999999991</v>
      </c>
      <c r="BP77" s="54">
        <f t="shared" si="38"/>
        <v>3.1849999999999952</v>
      </c>
      <c r="BQ77" s="15"/>
      <c r="BR77" s="15"/>
      <c r="BS77" s="15"/>
      <c r="BT77" s="15"/>
      <c r="BU77" s="15"/>
      <c r="BV77" s="15"/>
      <c r="BW77" s="15"/>
      <c r="BX77" s="15"/>
      <c r="BY77" s="15"/>
      <c r="BZ77" s="15"/>
      <c r="CA77" s="15"/>
    </row>
    <row r="78" spans="2:79" ht="3.75" customHeight="1">
      <c r="B78" s="15"/>
      <c r="C78" s="15"/>
      <c r="D78" s="15"/>
      <c r="E78" s="15"/>
      <c r="F78" s="15"/>
      <c r="G78" s="15"/>
      <c r="H78" s="15"/>
      <c r="I78" s="15"/>
      <c r="J78" s="15"/>
      <c r="K78" s="15"/>
      <c r="L78" s="15"/>
      <c r="M78" s="15"/>
      <c r="N78" s="15"/>
      <c r="O78" s="15"/>
      <c r="P78" s="15"/>
      <c r="Q78" s="15"/>
      <c r="R78" s="15"/>
      <c r="S78" s="15"/>
      <c r="T78" s="15"/>
      <c r="U78" s="15"/>
      <c r="V78" s="15"/>
      <c r="W78" s="15"/>
      <c r="X78" s="15"/>
      <c r="Y78" s="15"/>
      <c r="Z78" s="15"/>
      <c r="AA78" s="15"/>
      <c r="AB78" s="15"/>
      <c r="AC78" s="15"/>
      <c r="AD78" s="15"/>
      <c r="AE78" s="15"/>
      <c r="AF78" s="15"/>
      <c r="AG78" s="15"/>
      <c r="AH78" s="15"/>
      <c r="AI78" s="15"/>
      <c r="AJ78" s="15"/>
      <c r="AK78" s="15"/>
      <c r="AL78" s="15"/>
      <c r="AM78" s="15"/>
      <c r="AN78" s="15"/>
      <c r="AO78" s="15"/>
      <c r="AP78" s="15"/>
      <c r="AQ78" s="15"/>
      <c r="AR78" s="15"/>
      <c r="AS78" s="15"/>
      <c r="AT78" s="15"/>
      <c r="AU78" s="15"/>
      <c r="AV78" s="15"/>
      <c r="AW78" s="15"/>
      <c r="AX78" s="15"/>
      <c r="AY78" s="15"/>
      <c r="AZ78" s="15"/>
      <c r="BA78" s="15"/>
      <c r="BB78" s="15"/>
      <c r="BC78" s="15"/>
      <c r="BD78" s="15"/>
      <c r="BE78" s="15"/>
      <c r="BF78" s="15"/>
      <c r="BG78" s="15"/>
      <c r="BH78" s="15"/>
      <c r="BI78" s="15"/>
      <c r="BJ78" s="15"/>
      <c r="BK78" s="15"/>
      <c r="BL78" s="15"/>
      <c r="BM78" s="15"/>
      <c r="BN78" s="15"/>
      <c r="BO78" s="15"/>
      <c r="BP78" s="15"/>
      <c r="BQ78" s="15"/>
      <c r="BR78" s="15"/>
      <c r="BS78" s="15"/>
      <c r="BT78" s="15"/>
      <c r="BU78" s="15"/>
      <c r="BV78" s="15"/>
      <c r="BW78" s="15"/>
      <c r="BX78" s="15"/>
      <c r="BY78" s="15"/>
      <c r="BZ78" s="15"/>
      <c r="CA78" s="15"/>
    </row>
    <row r="79" spans="2:79">
      <c r="B79" s="875" t="s">
        <v>1574</v>
      </c>
      <c r="C79" s="15"/>
      <c r="D79" s="15"/>
      <c r="E79" s="15"/>
      <c r="F79" s="15"/>
      <c r="G79" s="15"/>
      <c r="H79" s="15"/>
      <c r="I79" s="15"/>
      <c r="J79" s="15"/>
      <c r="K79" s="15"/>
      <c r="L79" s="15"/>
      <c r="M79" s="15"/>
      <c r="N79" s="15"/>
      <c r="O79" s="15"/>
      <c r="P79" s="15"/>
      <c r="Q79" s="15"/>
      <c r="R79" s="15"/>
      <c r="S79" s="15"/>
      <c r="T79" s="15"/>
      <c r="U79" s="15"/>
      <c r="V79" s="15"/>
      <c r="W79" s="15"/>
      <c r="X79" s="15"/>
      <c r="Y79" s="15"/>
      <c r="Z79" s="15"/>
      <c r="AA79" s="15"/>
      <c r="AB79" s="15"/>
      <c r="AC79" s="15"/>
      <c r="AD79" s="15"/>
      <c r="AE79" s="15"/>
      <c r="AF79" s="15"/>
      <c r="AG79" s="15"/>
      <c r="AH79" s="15"/>
      <c r="AI79" s="15"/>
      <c r="AJ79" s="15"/>
      <c r="AK79" s="15"/>
      <c r="AL79" s="15"/>
      <c r="AM79" s="15"/>
      <c r="AN79" s="15"/>
      <c r="AO79" s="15"/>
      <c r="AP79" s="15"/>
      <c r="AQ79" s="15"/>
      <c r="AR79" s="15"/>
      <c r="AS79" s="15"/>
      <c r="AT79" s="15"/>
      <c r="AU79" s="15"/>
      <c r="AV79" s="15"/>
      <c r="AW79" s="15"/>
      <c r="AX79" s="15"/>
      <c r="AY79" s="15"/>
      <c r="AZ79" s="15"/>
      <c r="BA79" s="15"/>
      <c r="BB79" s="15"/>
      <c r="BC79" s="15"/>
      <c r="BD79" s="15"/>
      <c r="BE79" s="15"/>
      <c r="BF79" s="15"/>
      <c r="BG79" s="15"/>
      <c r="BH79" s="772"/>
      <c r="BI79" s="772"/>
      <c r="BJ79" s="772"/>
      <c r="BK79" s="772"/>
      <c r="BL79" s="15"/>
      <c r="BM79" s="15"/>
      <c r="BN79" s="15"/>
      <c r="BO79" s="15"/>
      <c r="BP79" s="15"/>
      <c r="BQ79" s="15"/>
      <c r="BR79" s="15"/>
      <c r="BS79" s="15"/>
      <c r="BT79" s="15"/>
      <c r="BU79" s="15"/>
      <c r="BV79" s="15"/>
      <c r="BW79" s="15"/>
      <c r="BX79" s="15"/>
      <c r="BY79" s="15"/>
      <c r="BZ79" s="15"/>
      <c r="CA79" s="15"/>
    </row>
    <row r="80" spans="2:79">
      <c r="B80" s="876" t="s">
        <v>1407</v>
      </c>
      <c r="C80" s="15"/>
      <c r="D80" s="15"/>
      <c r="E80" s="15"/>
      <c r="F80" s="15"/>
      <c r="G80" s="15"/>
      <c r="H80" s="15"/>
      <c r="I80" s="15"/>
      <c r="J80" s="15"/>
      <c r="K80" s="15"/>
      <c r="L80" s="15"/>
      <c r="M80" s="15"/>
      <c r="N80" s="15"/>
      <c r="O80" s="15"/>
      <c r="P80" s="15"/>
      <c r="Q80" s="15"/>
      <c r="R80" s="15"/>
      <c r="S80" s="15"/>
      <c r="T80" s="15"/>
      <c r="U80" s="15"/>
      <c r="V80" s="15"/>
      <c r="W80" s="15"/>
      <c r="X80" s="15"/>
      <c r="Y80" s="15"/>
      <c r="Z80" s="15"/>
      <c r="AA80" s="15"/>
      <c r="AB80" s="15"/>
      <c r="AC80" s="15"/>
      <c r="AD80" s="15"/>
      <c r="AE80" s="15"/>
      <c r="AF80" s="15"/>
      <c r="AG80" s="15"/>
      <c r="AH80" s="15"/>
      <c r="AI80" s="15"/>
      <c r="AJ80" s="15"/>
      <c r="AK80" s="15"/>
      <c r="AL80" s="15"/>
      <c r="AM80" s="15"/>
      <c r="AN80" s="15"/>
      <c r="AO80" s="15"/>
      <c r="AP80" s="15"/>
      <c r="AQ80" s="15"/>
      <c r="AR80" s="15"/>
      <c r="AS80" s="15"/>
      <c r="AT80" s="15"/>
      <c r="AU80" s="15"/>
      <c r="AV80" s="15"/>
      <c r="AW80" s="15"/>
      <c r="AX80" s="15"/>
      <c r="AY80" s="15"/>
      <c r="AZ80" s="15"/>
      <c r="BA80" s="15"/>
      <c r="BB80" s="398">
        <v>0.82799999999999996</v>
      </c>
      <c r="BC80" s="398">
        <v>0.84699999999999998</v>
      </c>
      <c r="BD80" s="398">
        <v>0.89600000000000002</v>
      </c>
      <c r="BE80" s="398">
        <v>0.97499999999999998</v>
      </c>
      <c r="BF80" s="398">
        <v>0.77900000000000003</v>
      </c>
      <c r="BG80" s="398">
        <v>0.878</v>
      </c>
      <c r="BH80" s="398">
        <v>1.333</v>
      </c>
      <c r="BI80" s="398">
        <v>1.4870000000000001</v>
      </c>
      <c r="BJ80" s="398">
        <v>1.488</v>
      </c>
      <c r="BK80" s="398">
        <v>1.3049999999999999</v>
      </c>
      <c r="BL80" s="398">
        <v>1.2969999999999999</v>
      </c>
      <c r="BM80" s="398">
        <v>1.3819999999999999</v>
      </c>
      <c r="BN80" s="398">
        <v>1.2689999999999999</v>
      </c>
      <c r="BO80" s="398">
        <v>1.64</v>
      </c>
      <c r="BP80" s="398">
        <v>1.488</v>
      </c>
      <c r="BQ80" s="15"/>
      <c r="BR80" s="15"/>
      <c r="BS80" s="15"/>
      <c r="BT80" s="15"/>
      <c r="BU80" s="15"/>
      <c r="BV80" s="15"/>
      <c r="BW80" s="15"/>
      <c r="BX80" s="15"/>
      <c r="BY80" s="15"/>
      <c r="BZ80" s="15"/>
      <c r="CA80" s="15"/>
    </row>
    <row r="81" spans="2:80">
      <c r="B81" s="876" t="s">
        <v>1408</v>
      </c>
      <c r="C81" s="15"/>
      <c r="D81" s="15"/>
      <c r="E81" s="15"/>
      <c r="F81" s="15"/>
      <c r="G81" s="15"/>
      <c r="H81" s="15"/>
      <c r="I81" s="15"/>
      <c r="J81" s="15"/>
      <c r="K81" s="15"/>
      <c r="L81" s="15"/>
      <c r="M81" s="15"/>
      <c r="N81" s="15"/>
      <c r="O81" s="15"/>
      <c r="P81" s="15"/>
      <c r="Q81" s="15"/>
      <c r="R81" s="15"/>
      <c r="S81" s="15"/>
      <c r="T81" s="15"/>
      <c r="U81" s="15"/>
      <c r="V81" s="15"/>
      <c r="W81" s="15"/>
      <c r="X81" s="15"/>
      <c r="Y81" s="15"/>
      <c r="Z81" s="15"/>
      <c r="AA81" s="15"/>
      <c r="AB81" s="15"/>
      <c r="AC81" s="15"/>
      <c r="AD81" s="15"/>
      <c r="AE81" s="15"/>
      <c r="AF81" s="15"/>
      <c r="AG81" s="15"/>
      <c r="AH81" s="15"/>
      <c r="AI81" s="15"/>
      <c r="AJ81" s="15"/>
      <c r="AK81" s="15"/>
      <c r="AL81" s="15"/>
      <c r="AM81" s="15"/>
      <c r="AN81" s="15"/>
      <c r="AO81" s="15"/>
      <c r="AP81" s="15"/>
      <c r="AQ81" s="15"/>
      <c r="AR81" s="15"/>
      <c r="AS81" s="15"/>
      <c r="AT81" s="15"/>
      <c r="AU81" s="15"/>
      <c r="AV81" s="15"/>
      <c r="AW81" s="15"/>
      <c r="AX81" s="15"/>
      <c r="AY81" s="15"/>
      <c r="AZ81" s="15"/>
      <c r="BA81" s="15"/>
      <c r="BB81" s="398">
        <v>1.0680000000000001</v>
      </c>
      <c r="BC81" s="398">
        <v>1.4610000000000001</v>
      </c>
      <c r="BD81" s="398">
        <v>1.617</v>
      </c>
      <c r="BE81" s="398">
        <v>2.9670000000000001</v>
      </c>
      <c r="BF81" s="398">
        <v>1.4390000000000001</v>
      </c>
      <c r="BG81" s="398">
        <v>1.7410000000000001</v>
      </c>
      <c r="BH81" s="398">
        <v>1.83</v>
      </c>
      <c r="BI81" s="398">
        <v>2.4180000000000001</v>
      </c>
      <c r="BJ81" s="398">
        <v>2.1800000000000002</v>
      </c>
      <c r="BK81" s="398">
        <v>1.7170000000000001</v>
      </c>
      <c r="BL81" s="398">
        <v>1.825</v>
      </c>
      <c r="BM81" s="398">
        <v>3.3210000000000002</v>
      </c>
      <c r="BN81" s="398">
        <v>4.165</v>
      </c>
      <c r="BO81" s="398">
        <v>2.339</v>
      </c>
      <c r="BP81" s="398">
        <v>2.9689999999999999</v>
      </c>
      <c r="BQ81" s="15"/>
      <c r="BR81" s="15"/>
      <c r="BS81" s="15"/>
      <c r="BT81" s="15"/>
      <c r="BU81" s="15"/>
      <c r="BV81" s="15"/>
      <c r="BW81" s="15"/>
      <c r="BX81" s="15"/>
      <c r="BY81" s="15"/>
      <c r="BZ81" s="15"/>
      <c r="CA81" s="15"/>
    </row>
    <row r="82" spans="2:80">
      <c r="B82" s="15" t="s">
        <v>1575</v>
      </c>
      <c r="C82" s="15"/>
      <c r="D82" s="15"/>
      <c r="E82" s="15"/>
      <c r="F82" s="15"/>
      <c r="G82" s="15"/>
      <c r="H82" s="15"/>
      <c r="I82" s="15"/>
      <c r="J82" s="15"/>
      <c r="K82" s="15"/>
      <c r="L82" s="15"/>
      <c r="M82" s="15"/>
      <c r="N82" s="15"/>
      <c r="O82" s="15"/>
      <c r="P82" s="15"/>
      <c r="Q82" s="15"/>
      <c r="R82" s="15"/>
      <c r="S82" s="15"/>
      <c r="T82" s="15"/>
      <c r="U82" s="15"/>
      <c r="V82" s="15"/>
      <c r="W82" s="15"/>
      <c r="X82" s="15"/>
      <c r="Y82" s="15"/>
      <c r="Z82" s="15"/>
      <c r="AA82" s="15"/>
      <c r="AB82" s="15"/>
      <c r="AC82" s="15"/>
      <c r="AD82" s="15"/>
      <c r="AE82" s="15"/>
      <c r="AF82" s="15"/>
      <c r="AG82" s="15"/>
      <c r="AH82" s="15"/>
      <c r="AI82" s="15"/>
      <c r="AJ82" s="15"/>
      <c r="AK82" s="15"/>
      <c r="AL82" s="15"/>
      <c r="AM82" s="15"/>
      <c r="AN82" s="15"/>
      <c r="AO82" s="15"/>
      <c r="AP82" s="15"/>
      <c r="AQ82" s="15"/>
      <c r="AR82" s="15"/>
      <c r="AS82" s="15"/>
      <c r="AT82" s="15"/>
      <c r="AU82" s="15"/>
      <c r="AV82" s="15"/>
      <c r="AW82" s="15"/>
      <c r="AX82" s="15"/>
      <c r="AY82" s="15"/>
      <c r="AZ82" s="15"/>
      <c r="BA82" s="15"/>
      <c r="BB82" s="26">
        <f t="shared" ref="BB82:BP82" si="39">SUM(BB80:BB81)</f>
        <v>1.8959999999999999</v>
      </c>
      <c r="BC82" s="26">
        <f t="shared" si="39"/>
        <v>2.3079999999999998</v>
      </c>
      <c r="BD82" s="26">
        <f t="shared" si="39"/>
        <v>2.5129999999999999</v>
      </c>
      <c r="BE82" s="26">
        <f t="shared" si="39"/>
        <v>3.9420000000000002</v>
      </c>
      <c r="BF82" s="26">
        <f t="shared" si="39"/>
        <v>2.218</v>
      </c>
      <c r="BG82" s="26">
        <f t="shared" si="39"/>
        <v>2.6190000000000002</v>
      </c>
      <c r="BH82" s="26">
        <f t="shared" si="39"/>
        <v>3.1630000000000003</v>
      </c>
      <c r="BI82" s="26">
        <f t="shared" si="39"/>
        <v>3.9050000000000002</v>
      </c>
      <c r="BJ82" s="26">
        <f t="shared" si="39"/>
        <v>3.6680000000000001</v>
      </c>
      <c r="BK82" s="26">
        <f t="shared" si="39"/>
        <v>3.0220000000000002</v>
      </c>
      <c r="BL82" s="26">
        <f t="shared" si="39"/>
        <v>3.1219999999999999</v>
      </c>
      <c r="BM82" s="26">
        <f t="shared" si="39"/>
        <v>4.7030000000000003</v>
      </c>
      <c r="BN82" s="26">
        <f t="shared" si="39"/>
        <v>5.4340000000000002</v>
      </c>
      <c r="BO82" s="26">
        <f t="shared" si="39"/>
        <v>3.9790000000000001</v>
      </c>
      <c r="BP82" s="26">
        <f t="shared" si="39"/>
        <v>4.4569999999999999</v>
      </c>
      <c r="BQ82" s="15"/>
      <c r="BR82" s="15"/>
      <c r="BS82" s="15"/>
      <c r="BT82" s="15"/>
      <c r="BU82" s="15"/>
      <c r="BV82" s="15"/>
      <c r="BW82" s="15"/>
      <c r="BX82" s="15"/>
      <c r="BY82" s="15"/>
      <c r="BZ82" s="15"/>
      <c r="CA82" s="15"/>
    </row>
    <row r="83" spans="2:80">
      <c r="B83" s="18" t="s">
        <v>1576</v>
      </c>
      <c r="C83" s="15"/>
      <c r="D83" s="15"/>
      <c r="E83" s="15"/>
      <c r="F83" s="15"/>
      <c r="G83" s="15"/>
      <c r="H83" s="15"/>
      <c r="I83" s="15"/>
      <c r="J83" s="15"/>
      <c r="K83" s="15"/>
      <c r="L83" s="15"/>
      <c r="M83" s="15"/>
      <c r="N83" s="15"/>
      <c r="O83" s="15"/>
      <c r="P83" s="15"/>
      <c r="Q83" s="15"/>
      <c r="R83" s="15"/>
      <c r="S83" s="15"/>
      <c r="T83" s="15"/>
      <c r="U83" s="15"/>
      <c r="V83" s="15"/>
      <c r="W83" s="15"/>
      <c r="X83" s="15"/>
      <c r="Y83" s="15"/>
      <c r="Z83" s="15"/>
      <c r="AA83" s="15"/>
      <c r="AB83" s="15"/>
      <c r="AC83" s="15"/>
      <c r="AD83" s="15"/>
      <c r="AE83" s="15"/>
      <c r="AF83" s="15"/>
      <c r="AG83" s="15"/>
      <c r="AH83" s="15"/>
      <c r="AI83" s="15"/>
      <c r="AJ83" s="15"/>
      <c r="AK83" s="15"/>
      <c r="AL83" s="15"/>
      <c r="AM83" s="15"/>
      <c r="AN83" s="15"/>
      <c r="AO83" s="15"/>
      <c r="AP83" s="15"/>
      <c r="AQ83" s="15"/>
      <c r="AR83" s="15"/>
      <c r="AS83" s="15"/>
      <c r="AT83" s="15"/>
      <c r="AU83" s="15"/>
      <c r="AV83" s="15"/>
      <c r="AW83" s="15"/>
      <c r="AX83" s="15"/>
      <c r="AY83" s="15"/>
      <c r="AZ83" s="15"/>
      <c r="BA83" s="15"/>
      <c r="BB83" s="827">
        <f t="shared" ref="BB83:BP83" si="40">1-BB84</f>
        <v>0.26</v>
      </c>
      <c r="BC83" s="827">
        <f t="shared" si="40"/>
        <v>0.20999999999999996</v>
      </c>
      <c r="BD83" s="827">
        <f t="shared" si="40"/>
        <v>0.12</v>
      </c>
      <c r="BE83" s="827">
        <f t="shared" si="40"/>
        <v>0.10999999999999999</v>
      </c>
      <c r="BF83" s="827">
        <f t="shared" si="40"/>
        <v>0.13</v>
      </c>
      <c r="BG83" s="827">
        <f t="shared" si="40"/>
        <v>0.18999999999999995</v>
      </c>
      <c r="BH83" s="827">
        <f t="shared" si="40"/>
        <v>0.10999999999999999</v>
      </c>
      <c r="BI83" s="827">
        <f t="shared" si="40"/>
        <v>0.25</v>
      </c>
      <c r="BJ83" s="827">
        <f t="shared" si="40"/>
        <v>0.25</v>
      </c>
      <c r="BK83" s="827">
        <f t="shared" si="40"/>
        <v>0.16000000000000003</v>
      </c>
      <c r="BL83" s="827">
        <f t="shared" si="40"/>
        <v>0.21999999999999997</v>
      </c>
      <c r="BM83" s="827">
        <f t="shared" si="40"/>
        <v>0.16000000000000003</v>
      </c>
      <c r="BN83" s="827">
        <f t="shared" si="40"/>
        <v>0.27</v>
      </c>
      <c r="BO83" s="827">
        <f t="shared" si="40"/>
        <v>7.999999999999996E-2</v>
      </c>
      <c r="BP83" s="827">
        <f t="shared" si="40"/>
        <v>0.15000000000000002</v>
      </c>
      <c r="BQ83" s="15"/>
      <c r="BR83" s="15"/>
      <c r="BS83" s="15"/>
      <c r="BT83" s="15"/>
      <c r="BU83" s="15"/>
      <c r="BV83" s="15"/>
      <c r="BW83" s="15"/>
      <c r="BX83" s="15"/>
      <c r="BY83" s="15"/>
      <c r="BZ83" s="15"/>
      <c r="CA83" s="15"/>
    </row>
    <row r="84" spans="2:80">
      <c r="B84" s="18" t="s">
        <v>1577</v>
      </c>
      <c r="C84" s="15"/>
      <c r="D84" s="15"/>
      <c r="E84" s="15"/>
      <c r="F84" s="15"/>
      <c r="G84" s="15"/>
      <c r="H84" s="15"/>
      <c r="I84" s="15"/>
      <c r="J84" s="15"/>
      <c r="K84" s="15"/>
      <c r="L84" s="15"/>
      <c r="M84" s="15"/>
      <c r="N84" s="15"/>
      <c r="O84" s="15"/>
      <c r="P84" s="15"/>
      <c r="Q84" s="15"/>
      <c r="R84" s="15"/>
      <c r="S84" s="15"/>
      <c r="T84" s="15"/>
      <c r="U84" s="15"/>
      <c r="V84" s="15"/>
      <c r="W84" s="15"/>
      <c r="X84" s="15"/>
      <c r="Y84" s="15"/>
      <c r="Z84" s="15"/>
      <c r="AA84" s="15"/>
      <c r="AB84" s="15"/>
      <c r="AC84" s="15"/>
      <c r="AD84" s="15"/>
      <c r="AE84" s="15"/>
      <c r="AF84" s="15"/>
      <c r="AG84" s="15"/>
      <c r="AH84" s="15"/>
      <c r="AI84" s="15"/>
      <c r="AJ84" s="15"/>
      <c r="AK84" s="15"/>
      <c r="AL84" s="15"/>
      <c r="AM84" s="15"/>
      <c r="AN84" s="15"/>
      <c r="AO84" s="15"/>
      <c r="AP84" s="15"/>
      <c r="AQ84" s="15"/>
      <c r="AR84" s="15"/>
      <c r="AS84" s="15"/>
      <c r="AT84" s="15"/>
      <c r="AU84" s="15"/>
      <c r="AV84" s="15"/>
      <c r="AW84" s="15"/>
      <c r="AX84" s="15"/>
      <c r="AY84" s="15"/>
      <c r="AZ84" s="15"/>
      <c r="BA84" s="15"/>
      <c r="BB84" s="877">
        <v>0.74</v>
      </c>
      <c r="BC84" s="877">
        <v>0.79</v>
      </c>
      <c r="BD84" s="877">
        <v>0.88</v>
      </c>
      <c r="BE84" s="877">
        <v>0.89</v>
      </c>
      <c r="BF84" s="877">
        <v>0.87</v>
      </c>
      <c r="BG84" s="877">
        <v>0.81</v>
      </c>
      <c r="BH84" s="877">
        <v>0.89</v>
      </c>
      <c r="BI84" s="877">
        <v>0.75</v>
      </c>
      <c r="BJ84" s="877">
        <v>0.75</v>
      </c>
      <c r="BK84" s="877">
        <v>0.84</v>
      </c>
      <c r="BL84" s="877">
        <v>0.78</v>
      </c>
      <c r="BM84" s="877">
        <v>0.84</v>
      </c>
      <c r="BN84" s="877">
        <v>0.73</v>
      </c>
      <c r="BO84" s="877">
        <v>0.92</v>
      </c>
      <c r="BP84" s="877">
        <v>0.85</v>
      </c>
      <c r="BQ84" s="15"/>
      <c r="BR84" s="15"/>
      <c r="BS84" s="15"/>
      <c r="BT84" s="15"/>
      <c r="BU84" s="15"/>
      <c r="BV84" s="15"/>
      <c r="BW84" s="15"/>
      <c r="BX84" s="15"/>
      <c r="BY84" s="15"/>
      <c r="BZ84" s="15"/>
      <c r="CA84" s="15"/>
    </row>
    <row r="85" spans="2:80">
      <c r="B85" s="15"/>
      <c r="C85" s="15"/>
      <c r="D85" s="15"/>
      <c r="E85" s="15"/>
      <c r="F85" s="15"/>
      <c r="G85" s="15"/>
      <c r="H85" s="15"/>
      <c r="I85" s="15"/>
      <c r="J85" s="15"/>
      <c r="K85" s="15"/>
      <c r="L85" s="15"/>
      <c r="M85" s="15"/>
      <c r="N85" s="15"/>
      <c r="O85" s="15"/>
      <c r="P85" s="15"/>
      <c r="Q85" s="15"/>
      <c r="R85" s="15"/>
      <c r="S85" s="15"/>
      <c r="T85" s="15"/>
      <c r="U85" s="15"/>
      <c r="V85" s="15"/>
      <c r="W85" s="15"/>
      <c r="X85" s="15"/>
      <c r="Y85" s="15"/>
      <c r="Z85" s="15"/>
      <c r="AA85" s="15"/>
      <c r="AB85" s="15"/>
      <c r="AC85" s="15"/>
      <c r="AD85" s="15"/>
      <c r="AE85" s="15"/>
      <c r="AF85" s="15"/>
      <c r="AG85" s="15"/>
      <c r="AH85" s="15"/>
      <c r="AI85" s="15"/>
      <c r="AJ85" s="15"/>
      <c r="AK85" s="15"/>
      <c r="AL85" s="15"/>
      <c r="AM85" s="15"/>
      <c r="AN85" s="15"/>
      <c r="AO85" s="15"/>
      <c r="AP85" s="15"/>
      <c r="AQ85" s="15"/>
      <c r="AR85" s="15"/>
      <c r="AS85" s="15"/>
      <c r="AT85" s="15"/>
      <c r="AU85" s="15"/>
      <c r="AV85" s="15"/>
      <c r="AW85" s="15"/>
      <c r="AX85" s="15"/>
      <c r="AY85" s="15"/>
      <c r="AZ85" s="15"/>
      <c r="BA85" s="15"/>
      <c r="BB85" s="15"/>
      <c r="BC85" s="15"/>
      <c r="BD85" s="15"/>
      <c r="BE85" s="15"/>
      <c r="BF85" s="15"/>
      <c r="BG85" s="15"/>
      <c r="BH85" s="15"/>
      <c r="BI85" s="15"/>
      <c r="BJ85" s="15"/>
      <c r="BK85" s="772"/>
      <c r="BL85" s="15"/>
      <c r="BM85" s="15"/>
      <c r="BN85" s="15"/>
      <c r="BO85" s="15"/>
      <c r="BP85" s="772"/>
      <c r="BQ85" s="878"/>
      <c r="BR85" s="772"/>
      <c r="BS85" s="772"/>
      <c r="BT85" s="15"/>
      <c r="BU85" s="15"/>
      <c r="BV85" s="15"/>
      <c r="BW85" s="15"/>
      <c r="BX85" s="15"/>
      <c r="BY85" s="15"/>
      <c r="BZ85" s="15"/>
      <c r="CA85" s="15"/>
    </row>
    <row r="86" spans="2:80">
      <c r="B86" s="773" t="s">
        <v>1008</v>
      </c>
      <c r="C86" s="15"/>
      <c r="D86" s="15"/>
      <c r="E86" s="15"/>
      <c r="F86" s="15"/>
      <c r="G86" s="15"/>
      <c r="H86" s="15"/>
      <c r="I86" s="15"/>
      <c r="J86" s="15"/>
      <c r="K86" s="15"/>
      <c r="L86" s="15"/>
      <c r="M86" s="15"/>
      <c r="N86" s="15"/>
      <c r="O86" s="15"/>
      <c r="P86" s="15"/>
      <c r="Q86" s="15"/>
      <c r="R86" s="15"/>
      <c r="S86" s="15"/>
      <c r="T86" s="15"/>
      <c r="U86" s="15"/>
      <c r="V86" s="15"/>
      <c r="W86" s="15"/>
      <c r="X86" s="15"/>
      <c r="Y86" s="15"/>
      <c r="Z86" s="15"/>
      <c r="AA86" s="15"/>
      <c r="AB86" s="15"/>
      <c r="AC86" s="15"/>
      <c r="AD86" s="15"/>
      <c r="AE86" s="15"/>
      <c r="AF86" s="15"/>
      <c r="AG86" s="15"/>
      <c r="AH86" s="15"/>
      <c r="AI86" s="15"/>
      <c r="AJ86" s="15"/>
      <c r="AK86" s="15"/>
      <c r="AL86" s="15"/>
      <c r="AM86" s="15"/>
      <c r="AN86" s="15"/>
      <c r="AO86" s="15"/>
      <c r="AP86" s="15"/>
      <c r="AQ86" s="15"/>
      <c r="AR86" s="15"/>
      <c r="AS86" s="15"/>
      <c r="AT86" s="15"/>
      <c r="AU86" s="15"/>
      <c r="AV86" s="15"/>
      <c r="AW86" s="15"/>
      <c r="AX86" s="15"/>
      <c r="AY86" s="15"/>
      <c r="AZ86" s="15"/>
      <c r="BA86" s="15"/>
      <c r="BB86" s="15"/>
      <c r="BC86" s="15"/>
      <c r="BD86" s="15"/>
      <c r="BE86" s="15"/>
      <c r="BF86" s="15"/>
      <c r="BG86" s="15"/>
      <c r="BH86" s="15"/>
      <c r="BI86" s="15"/>
      <c r="BJ86" s="15"/>
      <c r="BK86" s="15"/>
      <c r="BL86" s="827">
        <f t="shared" ref="BL86:BP87" si="41">BL7/BL$13</f>
        <v>0.64133409712939993</v>
      </c>
      <c r="BM86" s="827">
        <f t="shared" si="41"/>
        <v>0.64290923824959489</v>
      </c>
      <c r="BN86" s="827">
        <f t="shared" si="41"/>
        <v>0.62212257100149471</v>
      </c>
      <c r="BO86" s="827">
        <f t="shared" si="41"/>
        <v>0.62349120433017591</v>
      </c>
      <c r="BP86" s="827">
        <f t="shared" si="41"/>
        <v>0.65513713731369616</v>
      </c>
      <c r="BQ86" s="879">
        <f>BP86</f>
        <v>0.65513713731369616</v>
      </c>
      <c r="BR86" s="15"/>
      <c r="BS86" s="15"/>
      <c r="BT86" s="15"/>
      <c r="BU86" s="15"/>
      <c r="BV86" s="15"/>
      <c r="BW86" s="15"/>
      <c r="BX86" s="15"/>
      <c r="BY86" s="15"/>
      <c r="BZ86" s="15"/>
      <c r="CA86" s="15"/>
    </row>
    <row r="87" spans="2:80">
      <c r="B87" s="773" t="s">
        <v>1009</v>
      </c>
      <c r="C87" s="15"/>
      <c r="D87" s="15"/>
      <c r="E87" s="15"/>
      <c r="F87" s="15"/>
      <c r="G87" s="15"/>
      <c r="H87" s="15"/>
      <c r="I87" s="15"/>
      <c r="J87" s="15"/>
      <c r="K87" s="15"/>
      <c r="L87" s="15"/>
      <c r="M87" s="15"/>
      <c r="N87" s="15"/>
      <c r="O87" s="15"/>
      <c r="P87" s="15"/>
      <c r="Q87" s="15"/>
      <c r="R87" s="15"/>
      <c r="S87" s="15"/>
      <c r="T87" s="15"/>
      <c r="U87" s="15"/>
      <c r="V87" s="15"/>
      <c r="W87" s="15"/>
      <c r="X87" s="15"/>
      <c r="Y87" s="15"/>
      <c r="Z87" s="15"/>
      <c r="AA87" s="15"/>
      <c r="AB87" s="15"/>
      <c r="AC87" s="15"/>
      <c r="AD87" s="15"/>
      <c r="AE87" s="15"/>
      <c r="AF87" s="15"/>
      <c r="AG87" s="15"/>
      <c r="AH87" s="15"/>
      <c r="AI87" s="15"/>
      <c r="AJ87" s="15"/>
      <c r="AK87" s="15"/>
      <c r="AL87" s="15"/>
      <c r="AM87" s="15"/>
      <c r="AN87" s="15"/>
      <c r="AO87" s="15"/>
      <c r="AP87" s="15"/>
      <c r="AQ87" s="15"/>
      <c r="AR87" s="15"/>
      <c r="AS87" s="15"/>
      <c r="AT87" s="15"/>
      <c r="AU87" s="15"/>
      <c r="AV87" s="15"/>
      <c r="AW87" s="15"/>
      <c r="AX87" s="15"/>
      <c r="AY87" s="15"/>
      <c r="AZ87" s="15"/>
      <c r="BA87" s="15"/>
      <c r="BB87" s="26"/>
      <c r="BC87" s="26"/>
      <c r="BD87" s="15"/>
      <c r="BE87" s="15"/>
      <c r="BF87" s="15"/>
      <c r="BG87" s="15"/>
      <c r="BH87" s="15"/>
      <c r="BI87" s="15"/>
      <c r="BJ87" s="15"/>
      <c r="BK87" s="15"/>
      <c r="BL87" s="827">
        <f t="shared" si="41"/>
        <v>0.31037701822502284</v>
      </c>
      <c r="BM87" s="827">
        <f t="shared" si="41"/>
        <v>0.3088938411669368</v>
      </c>
      <c r="BN87" s="827">
        <f t="shared" si="41"/>
        <v>0.28998505231689087</v>
      </c>
      <c r="BO87" s="827">
        <f t="shared" si="41"/>
        <v>0.28956247180875055</v>
      </c>
      <c r="BP87" s="827">
        <f t="shared" si="41"/>
        <v>0.29364141458682425</v>
      </c>
      <c r="BQ87" s="880">
        <f>BP87</f>
        <v>0.29364141458682425</v>
      </c>
      <c r="BR87" s="15"/>
      <c r="BS87" s="15"/>
      <c r="BT87" s="15"/>
      <c r="BU87" s="15"/>
      <c r="BV87" s="15"/>
      <c r="BW87" s="15"/>
      <c r="BX87" s="15"/>
      <c r="BY87" s="15"/>
      <c r="BZ87" s="15"/>
      <c r="CA87" s="15"/>
    </row>
    <row r="88" spans="2:80">
      <c r="B88" s="773" t="s">
        <v>1010</v>
      </c>
      <c r="C88" s="15"/>
      <c r="D88" s="15"/>
      <c r="E88" s="15"/>
      <c r="F88" s="15"/>
      <c r="G88" s="15"/>
      <c r="H88" s="15"/>
      <c r="I88" s="15"/>
      <c r="J88" s="15"/>
      <c r="K88" s="15"/>
      <c r="L88" s="15"/>
      <c r="M88" s="15"/>
      <c r="N88" s="15"/>
      <c r="O88" s="15"/>
      <c r="P88" s="15"/>
      <c r="Q88" s="15"/>
      <c r="R88" s="15"/>
      <c r="S88" s="15"/>
      <c r="T88" s="15"/>
      <c r="U88" s="15"/>
      <c r="V88" s="15"/>
      <c r="W88" s="15"/>
      <c r="X88" s="15"/>
      <c r="Y88" s="15"/>
      <c r="Z88" s="15"/>
      <c r="AA88" s="15"/>
      <c r="AB88" s="15"/>
      <c r="AC88" s="15"/>
      <c r="AD88" s="15"/>
      <c r="AE88" s="15"/>
      <c r="AF88" s="15"/>
      <c r="AG88" s="15"/>
      <c r="AH88" s="15"/>
      <c r="AI88" s="15"/>
      <c r="AJ88" s="15"/>
      <c r="AK88" s="15"/>
      <c r="AL88" s="15"/>
      <c r="AM88" s="15"/>
      <c r="AN88" s="15"/>
      <c r="AO88" s="15"/>
      <c r="AP88" s="15"/>
      <c r="AQ88" s="15"/>
      <c r="AR88" s="15"/>
      <c r="AS88" s="15"/>
      <c r="AT88" s="15"/>
      <c r="AU88" s="15"/>
      <c r="AV88" s="15"/>
      <c r="AW88" s="15"/>
      <c r="AX88" s="15"/>
      <c r="AY88" s="15"/>
      <c r="AZ88" s="15"/>
      <c r="BA88" s="15"/>
      <c r="BB88" s="26"/>
      <c r="BC88" s="26"/>
      <c r="BD88" s="15"/>
      <c r="BE88" s="15"/>
      <c r="BF88" s="15"/>
      <c r="BG88" s="15"/>
      <c r="BH88" s="15"/>
      <c r="BI88" s="15"/>
      <c r="BJ88" s="15"/>
      <c r="BK88" s="15"/>
      <c r="BL88" s="827">
        <f>BL12/BL$13</f>
        <v>4.8288884645577408E-2</v>
      </c>
      <c r="BM88" s="827">
        <f>BM12/BM$13</f>
        <v>4.8196920583468396E-2</v>
      </c>
      <c r="BN88" s="827">
        <f>BN12/BN$13</f>
        <v>8.7892376681614343E-2</v>
      </c>
      <c r="BO88" s="827">
        <f>BO12/BO$13</f>
        <v>8.694632386107351E-2</v>
      </c>
      <c r="BP88" s="827">
        <f>BP12/BP$13</f>
        <v>5.1221448099479677E-2</v>
      </c>
      <c r="BQ88" s="881">
        <f>BP88</f>
        <v>5.1221448099479677E-2</v>
      </c>
      <c r="BR88" s="15"/>
      <c r="BS88" s="15"/>
      <c r="BT88" s="15"/>
      <c r="BU88" s="15"/>
      <c r="BV88" s="15"/>
      <c r="BW88" s="15"/>
      <c r="BX88" s="15"/>
      <c r="BY88" s="15"/>
      <c r="BZ88" s="15"/>
      <c r="CA88" s="15"/>
    </row>
    <row r="89" spans="2:80">
      <c r="B89" s="15"/>
      <c r="C89" s="15"/>
      <c r="D89" s="15"/>
      <c r="E89" s="15"/>
      <c r="F89" s="15"/>
      <c r="G89" s="15"/>
      <c r="H89" s="15"/>
      <c r="I89" s="15"/>
      <c r="J89" s="15"/>
      <c r="K89" s="15"/>
      <c r="L89" s="15"/>
      <c r="M89" s="15"/>
      <c r="N89" s="15"/>
      <c r="O89" s="15"/>
      <c r="P89" s="15"/>
      <c r="Q89" s="15"/>
      <c r="R89" s="15"/>
      <c r="S89" s="15"/>
      <c r="T89" s="15"/>
      <c r="U89" s="15"/>
      <c r="V89" s="15"/>
      <c r="W89" s="15"/>
      <c r="X89" s="15"/>
      <c r="Y89" s="15"/>
      <c r="Z89" s="15"/>
      <c r="AA89" s="15"/>
      <c r="AB89" s="15"/>
      <c r="AC89" s="15"/>
      <c r="AD89" s="15"/>
      <c r="AE89" s="15"/>
      <c r="AF89" s="15"/>
      <c r="AG89" s="15"/>
      <c r="AH89" s="15"/>
      <c r="AI89" s="15"/>
      <c r="AJ89" s="15"/>
      <c r="AK89" s="15"/>
      <c r="AL89" s="15"/>
      <c r="AM89" s="15"/>
      <c r="AN89" s="15"/>
      <c r="AO89" s="15"/>
      <c r="AP89" s="15"/>
      <c r="AQ89" s="15"/>
      <c r="AR89" s="15"/>
      <c r="AS89" s="15"/>
      <c r="AT89" s="15"/>
      <c r="AU89" s="15"/>
      <c r="AV89" s="15"/>
      <c r="AW89" s="15"/>
      <c r="AX89" s="15"/>
      <c r="AY89" s="15"/>
      <c r="AZ89" s="15"/>
      <c r="BA89" s="15"/>
      <c r="BB89" s="15"/>
      <c r="BC89" s="15"/>
      <c r="BD89" s="15"/>
      <c r="BE89" s="15"/>
      <c r="BF89" s="15"/>
      <c r="BG89" s="15"/>
      <c r="BH89" s="15"/>
      <c r="BI89" s="15"/>
      <c r="BJ89" s="15"/>
      <c r="BK89" s="15"/>
      <c r="BL89" s="771"/>
      <c r="BM89" s="771"/>
      <c r="BN89" s="771"/>
      <c r="BO89" s="771"/>
      <c r="BP89" s="771"/>
      <c r="BQ89" s="15"/>
      <c r="BR89" s="15"/>
      <c r="BS89" s="15"/>
      <c r="BT89" s="15"/>
      <c r="BU89" s="15"/>
      <c r="BV89" s="15"/>
      <c r="BW89" s="15"/>
      <c r="BX89" s="15"/>
      <c r="BY89" s="15"/>
      <c r="BZ89" s="15"/>
      <c r="CA89" s="15"/>
    </row>
    <row r="90" spans="2:80">
      <c r="B90" s="15"/>
      <c r="C90" s="15"/>
      <c r="D90" s="15"/>
      <c r="E90" s="15"/>
      <c r="F90" s="15"/>
      <c r="G90" s="15"/>
      <c r="H90" s="15"/>
      <c r="I90" s="15"/>
      <c r="J90" s="15"/>
      <c r="K90" s="15"/>
      <c r="L90" s="15"/>
      <c r="M90" s="15"/>
      <c r="N90" s="15"/>
      <c r="O90" s="15"/>
      <c r="P90" s="15"/>
      <c r="Q90" s="15"/>
      <c r="R90" s="15"/>
      <c r="S90" s="15"/>
      <c r="T90" s="15"/>
      <c r="U90" s="15"/>
      <c r="V90" s="15"/>
      <c r="W90" s="15"/>
      <c r="X90" s="15"/>
      <c r="Y90" s="15"/>
      <c r="Z90" s="15"/>
      <c r="AA90" s="15"/>
      <c r="AB90" s="15"/>
      <c r="AC90" s="15"/>
      <c r="AD90" s="15"/>
      <c r="AE90" s="15"/>
      <c r="AF90" s="15"/>
      <c r="AG90" s="15"/>
      <c r="AH90" s="15"/>
      <c r="AI90" s="15"/>
      <c r="AJ90" s="15"/>
      <c r="AK90" s="15"/>
      <c r="AL90" s="15"/>
      <c r="AM90" s="15"/>
      <c r="AN90" s="15"/>
      <c r="AO90" s="15"/>
      <c r="AP90" s="15"/>
      <c r="AQ90" s="15"/>
      <c r="AR90" s="15"/>
      <c r="AS90" s="15"/>
      <c r="AT90" s="15"/>
      <c r="AU90" s="15"/>
      <c r="AV90" s="15"/>
      <c r="AW90" s="15"/>
      <c r="AX90" s="15"/>
      <c r="AY90" s="15"/>
      <c r="AZ90" s="15"/>
      <c r="BA90" s="15"/>
      <c r="BB90" s="15"/>
      <c r="BC90" s="15"/>
      <c r="BD90" s="15"/>
      <c r="BE90" s="15"/>
      <c r="BF90" s="15"/>
      <c r="BG90" s="15"/>
      <c r="BH90" s="15"/>
      <c r="BI90" s="15"/>
      <c r="BJ90" s="15"/>
      <c r="BK90" s="15"/>
      <c r="BL90" s="15"/>
      <c r="BM90" s="15"/>
      <c r="BN90" s="15"/>
      <c r="BO90" s="15"/>
      <c r="BP90" s="15"/>
      <c r="BQ90" s="15"/>
      <c r="BR90" s="15"/>
      <c r="BS90" s="15"/>
      <c r="BT90" s="15"/>
      <c r="BU90" s="15"/>
      <c r="BV90" s="15"/>
      <c r="BW90" s="15"/>
      <c r="BX90" s="15"/>
      <c r="BY90" s="15"/>
      <c r="BZ90" s="15"/>
      <c r="CA90" s="15"/>
    </row>
    <row r="91" spans="2:80" s="15" customFormat="1">
      <c r="CB91"/>
    </row>
    <row r="92" spans="2:80" s="15" customFormat="1">
      <c r="CB92"/>
    </row>
    <row r="93" spans="2:80" s="15" customFormat="1">
      <c r="CB93"/>
    </row>
    <row r="94" spans="2:80" s="15" customFormat="1">
      <c r="CB94"/>
    </row>
    <row r="95" spans="2:80" s="15" customFormat="1">
      <c r="CB95"/>
    </row>
    <row r="96" spans="2:80" s="15" customFormat="1">
      <c r="CB96"/>
    </row>
    <row r="97" spans="80:80" s="15" customFormat="1">
      <c r="CB97"/>
    </row>
  </sheetData>
  <phoneticPr fontId="2"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C2:H19"/>
  <sheetViews>
    <sheetView workbookViewId="0"/>
  </sheetViews>
  <sheetFormatPr defaultRowHeight="12.75" outlineLevelCol="1"/>
  <cols>
    <col min="3" max="3" width="41" customWidth="1"/>
    <col min="4" max="5" width="0" hidden="1" customWidth="1" outlineLevel="1"/>
    <col min="6" max="6" width="9.140625" collapsed="1"/>
  </cols>
  <sheetData>
    <row r="2" spans="3:8">
      <c r="C2" s="1919" t="s">
        <v>1502</v>
      </c>
      <c r="D2" s="1919"/>
      <c r="E2" s="1919"/>
      <c r="F2" s="1919"/>
      <c r="G2" s="1919"/>
      <c r="H2" s="1919"/>
    </row>
    <row r="3" spans="3:8">
      <c r="C3" s="1223"/>
      <c r="D3" s="1223" t="s">
        <v>1500</v>
      </c>
      <c r="E3" s="1223" t="s">
        <v>1344</v>
      </c>
      <c r="F3" s="1920" t="s">
        <v>269</v>
      </c>
      <c r="G3" s="1920" t="s">
        <v>414</v>
      </c>
      <c r="H3" s="1920" t="s">
        <v>611</v>
      </c>
    </row>
    <row r="4" spans="3:8">
      <c r="C4" t="s">
        <v>1503</v>
      </c>
      <c r="D4" s="1227">
        <f>Rev!CD274</f>
        <v>2232</v>
      </c>
      <c r="E4" s="1227">
        <f>Rev!CE274</f>
        <v>2248</v>
      </c>
      <c r="F4" s="1227">
        <f>Rev!CF274</f>
        <v>2223</v>
      </c>
      <c r="G4" s="1227">
        <f>Rev!CG274</f>
        <v>2225</v>
      </c>
      <c r="H4" s="1227">
        <f>Rev!CH274</f>
        <v>2262</v>
      </c>
    </row>
    <row r="5" spans="3:8">
      <c r="C5" s="246" t="s">
        <v>95</v>
      </c>
      <c r="D5" s="1661"/>
      <c r="E5" s="1661">
        <f>+E4/D4-1</f>
        <v>7.1684587813620748E-3</v>
      </c>
      <c r="F5" s="1661">
        <f>+F4/E4-1</f>
        <v>-1.1120996441281172E-2</v>
      </c>
      <c r="G5" s="1661">
        <f>+G4/F4-1</f>
        <v>8.9968511021143449E-4</v>
      </c>
      <c r="H5" s="1661">
        <f>+H4/G4-1</f>
        <v>1.6629213483146055E-2</v>
      </c>
    </row>
    <row r="6" spans="3:8">
      <c r="C6" t="s">
        <v>1504</v>
      </c>
      <c r="D6" s="1081">
        <f>Rev!CD167</f>
        <v>49200</v>
      </c>
      <c r="E6" s="1081">
        <f>Rev!CE167</f>
        <v>49900</v>
      </c>
      <c r="F6" s="1081">
        <f>Rev!CF167</f>
        <v>51800</v>
      </c>
      <c r="G6" s="1081">
        <f>Rev!CG167</f>
        <v>51900</v>
      </c>
      <c r="H6" s="1081">
        <f>Rev!CH167</f>
        <v>52800</v>
      </c>
    </row>
    <row r="7" spans="3:8">
      <c r="C7" t="s">
        <v>95</v>
      </c>
      <c r="E7" s="1612">
        <f>+E6/D6-1</f>
        <v>1.4227642276422703E-2</v>
      </c>
      <c r="F7" s="1612">
        <f>+F6/E6-1</f>
        <v>3.8076152304609145E-2</v>
      </c>
      <c r="G7" s="1612">
        <f>+G6/F6-1</f>
        <v>1.9305019305020377E-3</v>
      </c>
      <c r="H7" s="1612">
        <f>+H6/G6-1</f>
        <v>1.7341040462427681E-2</v>
      </c>
    </row>
    <row r="8" spans="3:8">
      <c r="C8" t="s">
        <v>1505</v>
      </c>
      <c r="D8" s="1081">
        <f>Rev!CD249</f>
        <v>39200</v>
      </c>
      <c r="E8" s="1081">
        <f>Rev!CE249</f>
        <v>40600</v>
      </c>
      <c r="F8" s="1081">
        <f>Rev!CF249</f>
        <v>41900</v>
      </c>
      <c r="G8" s="1081">
        <f>Rev!CG249</f>
        <v>41800</v>
      </c>
      <c r="H8" s="1081">
        <f>Rev!CH249</f>
        <v>42600</v>
      </c>
    </row>
    <row r="9" spans="3:8">
      <c r="C9" s="246" t="s">
        <v>95</v>
      </c>
      <c r="D9" s="1661"/>
      <c r="E9" s="1661">
        <f>+E8/D8-1</f>
        <v>3.5714285714285809E-2</v>
      </c>
      <c r="F9" s="1661">
        <f>+F8/E8-1</f>
        <v>3.2019704433497553E-2</v>
      </c>
      <c r="G9" s="1661">
        <f>+G8/F8-1</f>
        <v>-2.3866348448687846E-3</v>
      </c>
      <c r="H9" s="1661">
        <f>+H8/G8-1</f>
        <v>1.9138755980861344E-2</v>
      </c>
    </row>
    <row r="10" spans="3:8">
      <c r="C10" t="s">
        <v>9</v>
      </c>
      <c r="E10" s="194">
        <f>+E8-D8</f>
        <v>1400</v>
      </c>
      <c r="F10" s="1081">
        <f>+F8-E8</f>
        <v>1300</v>
      </c>
      <c r="G10" s="1081">
        <f>+G8-F8</f>
        <v>-100</v>
      </c>
      <c r="H10" s="1081">
        <f>+H8-G8</f>
        <v>800</v>
      </c>
    </row>
    <row r="11" spans="3:8">
      <c r="C11" s="69" t="s">
        <v>1572</v>
      </c>
      <c r="D11" s="1612">
        <f>+D8/D6</f>
        <v>0.7967479674796748</v>
      </c>
      <c r="E11" s="1612">
        <f>+E8/E6</f>
        <v>0.81362725450901807</v>
      </c>
      <c r="F11" s="1612">
        <f>+F8/F6</f>
        <v>0.80888030888030893</v>
      </c>
      <c r="G11" s="1612">
        <f>+G8/G6</f>
        <v>0.80539499036608864</v>
      </c>
      <c r="H11" s="1612">
        <f>+H8/H6</f>
        <v>0.80681818181818177</v>
      </c>
    </row>
    <row r="13" spans="3:8">
      <c r="C13" t="s">
        <v>1501</v>
      </c>
      <c r="E13" s="1081">
        <f>+AVERAGE(D8:E8)</f>
        <v>39900</v>
      </c>
      <c r="F13" s="1081">
        <f>+AVERAGE(E8:F8)</f>
        <v>41250</v>
      </c>
      <c r="G13" s="1081">
        <f>+AVERAGE(F8:G8)</f>
        <v>41850</v>
      </c>
      <c r="H13" s="1081">
        <f>+AVERAGE(G8:H8)</f>
        <v>42200</v>
      </c>
    </row>
    <row r="14" spans="3:8">
      <c r="C14" t="s">
        <v>161</v>
      </c>
      <c r="D14" s="1227">
        <f>D4</f>
        <v>2232</v>
      </c>
      <c r="E14" s="1227">
        <f>E4</f>
        <v>2248</v>
      </c>
      <c r="F14" s="1227">
        <f>F4</f>
        <v>2223</v>
      </c>
      <c r="G14" s="1227">
        <f>G4</f>
        <v>2225</v>
      </c>
      <c r="H14" s="1227">
        <f>H4</f>
        <v>2262</v>
      </c>
    </row>
    <row r="15" spans="3:8">
      <c r="C15" t="s">
        <v>1509</v>
      </c>
      <c r="F15" s="1237">
        <f>+Rev!CF293-Rev!CF281</f>
        <v>274.09799999999996</v>
      </c>
      <c r="G15" s="1237">
        <f>+G14*G13*3/1000000</f>
        <v>279.34875</v>
      </c>
      <c r="H15" s="1237">
        <f>+H14*H13*3/1000000</f>
        <v>286.36919999999998</v>
      </c>
    </row>
    <row r="16" spans="3:8">
      <c r="C16" s="246" t="s">
        <v>95</v>
      </c>
      <c r="D16" s="1661"/>
      <c r="E16" s="1661"/>
      <c r="F16" s="1661"/>
      <c r="G16" s="1661">
        <f>+G15/F15-1</f>
        <v>1.9156469583871516E-2</v>
      </c>
      <c r="H16" s="1661">
        <f>+H15/G15-1</f>
        <v>2.5131488864725382E-2</v>
      </c>
    </row>
    <row r="17" spans="3:8" ht="25.5" customHeight="1">
      <c r="C17" s="2404" t="s">
        <v>1506</v>
      </c>
      <c r="D17" s="2404"/>
      <c r="E17" s="2404"/>
      <c r="F17" s="2404"/>
      <c r="G17" s="2404"/>
      <c r="H17" s="2405"/>
    </row>
    <row r="18" spans="3:8" ht="24" customHeight="1">
      <c r="C18" s="2403" t="s">
        <v>1508</v>
      </c>
      <c r="D18" s="2403"/>
      <c r="E18" s="2403"/>
      <c r="F18" s="2403"/>
      <c r="G18" s="2403"/>
    </row>
    <row r="19" spans="3:8">
      <c r="C19" s="2403" t="s">
        <v>1507</v>
      </c>
      <c r="D19" s="2403"/>
      <c r="E19" s="2403"/>
      <c r="F19" s="2403"/>
      <c r="G19" s="2403"/>
    </row>
  </sheetData>
  <mergeCells count="3">
    <mergeCell ref="C19:G19"/>
    <mergeCell ref="C18:G18"/>
    <mergeCell ref="C17:H17"/>
  </mergeCells>
  <phoneticPr fontId="2" type="noConversion"/>
  <pageMargins left="0.75" right="0.75" top="1" bottom="1" header="0.5" footer="0.5"/>
  <pageSetup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AT563"/>
  <sheetViews>
    <sheetView showGridLines="0" zoomScale="70" zoomScaleNormal="70" workbookViewId="0">
      <pane xSplit="2" ySplit="3" topLeftCell="O4" activePane="bottomRight" state="frozen"/>
      <selection pane="topRight" activeCell="C1" sqref="C1"/>
      <selection pane="bottomLeft" activeCell="A4" sqref="A4"/>
      <selection pane="bottomRight" activeCell="O4" sqref="O4"/>
    </sheetView>
  </sheetViews>
  <sheetFormatPr defaultRowHeight="12.75" outlineLevelCol="1"/>
  <cols>
    <col min="1" max="1" width="2.42578125" bestFit="1" customWidth="1"/>
    <col min="2" max="2" width="72.7109375" customWidth="1"/>
    <col min="3" max="3" width="9.28515625" hidden="1" customWidth="1" outlineLevel="1"/>
    <col min="4" max="14" width="0" hidden="1" customWidth="1" outlineLevel="1"/>
    <col min="15" max="15" width="9.140625" collapsed="1"/>
  </cols>
  <sheetData>
    <row r="1" spans="1:46">
      <c r="A1" s="712"/>
    </row>
    <row r="3" spans="1:46">
      <c r="C3" t="str">
        <f>IS!BU7</f>
        <v>1Q07</v>
      </c>
      <c r="D3" t="str">
        <f>IS!BV7</f>
        <v>2Q07</v>
      </c>
      <c r="E3" t="str">
        <f>IS!BW7</f>
        <v>3Q07</v>
      </c>
      <c r="F3" t="str">
        <f>IS!BX7</f>
        <v>4Q07</v>
      </c>
      <c r="G3" t="str">
        <f>IS!BZ7</f>
        <v>1Q08</v>
      </c>
      <c r="H3" t="str">
        <f>IS!CA7</f>
        <v>2Q08</v>
      </c>
      <c r="I3" t="str">
        <f>IS!CB7</f>
        <v>3Q08</v>
      </c>
      <c r="J3" t="str">
        <f>IS!CC7</f>
        <v>4Q08</v>
      </c>
      <c r="K3" t="str">
        <f>IS!CE7</f>
        <v>1Q09</v>
      </c>
      <c r="L3" t="str">
        <f>IS!CF7</f>
        <v>2Q09</v>
      </c>
      <c r="M3" t="str">
        <f>IS!CG7</f>
        <v>3Q09</v>
      </c>
      <c r="N3" t="str">
        <f>IS!CH7</f>
        <v>4Q09</v>
      </c>
      <c r="O3" t="str">
        <f>IS!CJ7</f>
        <v>1Q10</v>
      </c>
      <c r="P3" t="str">
        <f>IS!CK7</f>
        <v>2Q10</v>
      </c>
      <c r="Q3" t="str">
        <f>IS!CL7</f>
        <v>3Q10</v>
      </c>
      <c r="R3" t="str">
        <f>IS!CM7</f>
        <v>4Q10</v>
      </c>
      <c r="S3" t="str">
        <f>IS!CO7</f>
        <v>1Q11</v>
      </c>
      <c r="T3" t="str">
        <f>IS!CP7</f>
        <v>2Q11</v>
      </c>
      <c r="U3" t="str">
        <f>IS!CQ7</f>
        <v>3Q11</v>
      </c>
      <c r="V3" t="str">
        <f>IS!CR7</f>
        <v>4Q11</v>
      </c>
      <c r="W3" t="str">
        <f>IS!CT7</f>
        <v>1Q12</v>
      </c>
      <c r="X3" t="str">
        <f>IS!CU7</f>
        <v>2Q12</v>
      </c>
      <c r="Y3" t="str">
        <f>IS!CV7</f>
        <v>3Q12</v>
      </c>
      <c r="Z3" t="str">
        <f>IS!CW7</f>
        <v>4Q12</v>
      </c>
      <c r="AA3" t="str">
        <f>IS!CX7</f>
        <v>1Q13</v>
      </c>
      <c r="AB3" t="str">
        <f>IS!CY7</f>
        <v>2Q13</v>
      </c>
      <c r="AC3" t="str">
        <f>IS!CZ7</f>
        <v>3Q13</v>
      </c>
      <c r="AD3" t="str">
        <f>IS!DA7</f>
        <v>4Q13</v>
      </c>
      <c r="AE3" t="str">
        <f>IS!DB7</f>
        <v>1Q14</v>
      </c>
      <c r="AF3" t="str">
        <f>IS!DC7</f>
        <v>2Q14</v>
      </c>
      <c r="AG3" t="str">
        <f>IS!DD7</f>
        <v>3Q14</v>
      </c>
      <c r="AH3" t="str">
        <f>IS!DE7</f>
        <v>4Q14</v>
      </c>
      <c r="AI3" t="str">
        <f>IS!DF7</f>
        <v>1Q15</v>
      </c>
      <c r="AJ3" t="str">
        <f>IS!DG7</f>
        <v>2Q15</v>
      </c>
      <c r="AK3" t="str">
        <f>IS!DH7</f>
        <v>3Q15</v>
      </c>
      <c r="AL3" t="str">
        <f>IS!DI7</f>
        <v>4Q15</v>
      </c>
      <c r="AM3" t="str">
        <f>IS!DJ7</f>
        <v>1Q16</v>
      </c>
      <c r="AN3" t="str">
        <f>IS!DK7</f>
        <v>2Q16</v>
      </c>
      <c r="AO3" t="str">
        <f>IS!DL7</f>
        <v>3Q16</v>
      </c>
      <c r="AP3" t="str">
        <f>IS!DM7</f>
        <v>4Q16</v>
      </c>
      <c r="AQ3" t="str">
        <f>IS!DN7</f>
        <v>1Q17</v>
      </c>
      <c r="AR3" t="str">
        <f>IS!DO7</f>
        <v>2Q17</v>
      </c>
      <c r="AS3" t="str">
        <f>IS!DP7</f>
        <v>3Q17</v>
      </c>
      <c r="AT3" t="str">
        <f>IS!DQ7</f>
        <v>4Q17</v>
      </c>
    </row>
    <row r="4" spans="1:46">
      <c r="A4" s="1225" t="s">
        <v>604</v>
      </c>
      <c r="B4" s="42" t="s">
        <v>975</v>
      </c>
      <c r="C4" s="1623">
        <f>+IS!BU15</f>
        <v>85.109000000000009</v>
      </c>
      <c r="D4" s="1623">
        <f>+IS!BV15</f>
        <v>91.837000000000018</v>
      </c>
      <c r="E4" s="1623">
        <f>+IS!BW15</f>
        <v>103.782</v>
      </c>
      <c r="F4" s="1623">
        <f>+IS!BX15</f>
        <v>138.714</v>
      </c>
      <c r="G4" s="1623">
        <f>+IS!BZ15</f>
        <v>158.21800000000002</v>
      </c>
      <c r="H4" s="1623">
        <f>+IS!CA15</f>
        <v>172.04399999999998</v>
      </c>
      <c r="I4" s="1623">
        <f>+IS!CB15</f>
        <v>183.73499999999996</v>
      </c>
      <c r="J4" s="1623">
        <f>+IS!CC15</f>
        <v>190.68299999999999</v>
      </c>
      <c r="K4" s="1623">
        <f>+IS!CE15</f>
        <v>199.23100000000002</v>
      </c>
      <c r="L4" s="1623">
        <f>+IS!CF15</f>
        <v>213.16799999999998</v>
      </c>
      <c r="M4" s="1623">
        <f>+IS!CG15</f>
        <v>227.55799999999999</v>
      </c>
      <c r="N4" s="1623">
        <f>+IS!CH15</f>
        <v>242.55199999999999</v>
      </c>
      <c r="O4" s="1623">
        <f>+IS!CJ15</f>
        <v>248.64900000000003</v>
      </c>
      <c r="P4" s="1623">
        <f>+IS!CK15</f>
        <v>290.01699999999994</v>
      </c>
      <c r="Q4" s="1623">
        <f>+IS!CL15</f>
        <v>321.39400000000001</v>
      </c>
      <c r="R4" s="1623">
        <f>+IS!CM15</f>
        <v>336.154</v>
      </c>
      <c r="S4" s="1623">
        <f>+IS!CO15</f>
        <v>353.94900000000001</v>
      </c>
      <c r="T4" s="1623">
        <f>+IS!CP15</f>
        <v>385.51099999999997</v>
      </c>
      <c r="U4" s="1623">
        <f>+IS!CQ15</f>
        <v>408.20799999999997</v>
      </c>
      <c r="V4" s="1623">
        <f>+IS!CR15</f>
        <v>422.11599999999999</v>
      </c>
      <c r="W4" s="1623">
        <f>+IS!CT15</f>
        <v>440.952</v>
      </c>
      <c r="X4" s="1623">
        <f>+IS!CU15</f>
        <v>455.53000000000003</v>
      </c>
      <c r="Y4" s="1623">
        <f>+IS!CV15</f>
        <v>484.83499999999998</v>
      </c>
      <c r="Z4" s="1623">
        <f>+IS!CW15</f>
        <v>506.05899999999997</v>
      </c>
      <c r="AA4" s="1623">
        <f>+IS!CX15</f>
        <v>516.1339999999999</v>
      </c>
      <c r="AB4" s="1623">
        <f>+IS!CY15</f>
        <v>528.87099999999998</v>
      </c>
      <c r="AC4" s="1623">
        <f>+IS!CZ15</f>
        <v>543.08400000000006</v>
      </c>
      <c r="AD4" s="1623">
        <f>+IS!DA15</f>
        <v>564.67700000000002</v>
      </c>
      <c r="AE4" s="1623">
        <f>+IS!DB15</f>
        <v>580.053</v>
      </c>
      <c r="AF4" s="1623">
        <f>+IS!DC15</f>
        <v>605.16100000000006</v>
      </c>
      <c r="AG4" s="1623">
        <f>+IS!DD15</f>
        <v>620.43999999999994</v>
      </c>
      <c r="AH4" s="1623">
        <f>+IS!DE15</f>
        <v>638.12099999999998</v>
      </c>
      <c r="AI4" s="1623">
        <f>+IS!DF15</f>
        <v>643.17399999999998</v>
      </c>
      <c r="AJ4" s="1623">
        <f>+IS!DG15</f>
        <v>665.58199999999988</v>
      </c>
      <c r="AK4" s="1623">
        <f>+IS!DH15</f>
        <v>686.649</v>
      </c>
      <c r="AL4" s="1623">
        <f>+IS!DI15</f>
        <v>730.46199999999988</v>
      </c>
      <c r="AM4" s="1623">
        <f>+IS!DJ15</f>
        <v>844.15600000000006</v>
      </c>
      <c r="AN4" s="1623">
        <f>+IS!DK15</f>
        <v>900.51</v>
      </c>
      <c r="AO4" s="1623">
        <f>+IS!DL15</f>
        <v>924.67599999999993</v>
      </c>
      <c r="AP4" s="1623">
        <f>+IS!DM15</f>
        <v>942.64700000000005</v>
      </c>
      <c r="AQ4" s="1623">
        <f>+IS!DN15</f>
        <v>949.5250000000002</v>
      </c>
      <c r="AR4" s="1623">
        <f>+IS!DO15</f>
        <v>1066.421</v>
      </c>
      <c r="AS4" s="1623">
        <f>+IS!DP15</f>
        <v>1152.261</v>
      </c>
      <c r="AT4" s="1623">
        <f>+IS!DQ15</f>
        <v>1200.221</v>
      </c>
    </row>
    <row r="5" spans="1:46">
      <c r="A5" s="1225"/>
      <c r="B5" s="42" t="s">
        <v>95</v>
      </c>
      <c r="C5" s="1623"/>
      <c r="D5" s="1624">
        <f>+D4/C4-1</f>
        <v>7.9051569164248381E-2</v>
      </c>
      <c r="E5" s="1624">
        <f t="shared" ref="E5:Z5" si="0">+E4/D4-1</f>
        <v>0.130067402027505</v>
      </c>
      <c r="F5" s="1624">
        <f t="shared" si="0"/>
        <v>0.33659016014337739</v>
      </c>
      <c r="G5" s="1624">
        <f t="shared" si="0"/>
        <v>0.14060585088743771</v>
      </c>
      <c r="H5" s="1624">
        <f t="shared" si="0"/>
        <v>8.7385758889632958E-2</v>
      </c>
      <c r="I5" s="1624">
        <f t="shared" si="0"/>
        <v>6.7953546767105966E-2</v>
      </c>
      <c r="J5" s="1624">
        <f t="shared" si="0"/>
        <v>3.7815331863825907E-2</v>
      </c>
      <c r="K5" s="1624">
        <f t="shared" si="0"/>
        <v>4.4828327643261501E-2</v>
      </c>
      <c r="L5" s="1624">
        <f t="shared" si="0"/>
        <v>6.9953973026285921E-2</v>
      </c>
      <c r="M5" s="1624">
        <f t="shared" si="0"/>
        <v>6.7505441717331083E-2</v>
      </c>
      <c r="N5" s="1624">
        <f t="shared" si="0"/>
        <v>6.589089375016477E-2</v>
      </c>
      <c r="O5" s="1624">
        <f t="shared" si="0"/>
        <v>2.5136877865365115E-2</v>
      </c>
      <c r="P5" s="1624">
        <f t="shared" si="0"/>
        <v>0.16637106925827139</v>
      </c>
      <c r="Q5" s="1624">
        <f t="shared" si="0"/>
        <v>0.10819020953944114</v>
      </c>
      <c r="R5" s="1624">
        <f t="shared" si="0"/>
        <v>4.5924939482379745E-2</v>
      </c>
      <c r="S5" s="1624">
        <f t="shared" si="0"/>
        <v>5.2937046710733737E-2</v>
      </c>
      <c r="T5" s="1624">
        <f t="shared" si="0"/>
        <v>8.9171038765471833E-2</v>
      </c>
      <c r="U5" s="1624">
        <f t="shared" si="0"/>
        <v>5.8875103434143261E-2</v>
      </c>
      <c r="V5" s="1624">
        <f t="shared" si="0"/>
        <v>3.4070865833104813E-2</v>
      </c>
      <c r="W5" s="1624">
        <f t="shared" si="0"/>
        <v>4.4622805105705599E-2</v>
      </c>
      <c r="X5" s="1624">
        <f t="shared" si="0"/>
        <v>3.3060287741069505E-2</v>
      </c>
      <c r="Y5" s="1624">
        <f t="shared" si="0"/>
        <v>6.4331657629574268E-2</v>
      </c>
      <c r="Z5" s="1624">
        <f t="shared" si="0"/>
        <v>4.3775717512143375E-2</v>
      </c>
      <c r="AA5" s="1624">
        <f t="shared" ref="AA5:AI5" si="1">+AA4/Z4-1</f>
        <v>1.9908745818175255E-2</v>
      </c>
      <c r="AB5" s="1624">
        <f t="shared" si="1"/>
        <v>2.4677699977137868E-2</v>
      </c>
      <c r="AC5" s="1624">
        <f t="shared" si="1"/>
        <v>2.6874228308982895E-2</v>
      </c>
      <c r="AD5" s="1624">
        <f t="shared" si="1"/>
        <v>3.9759963467898007E-2</v>
      </c>
      <c r="AE5" s="1624">
        <f t="shared" si="1"/>
        <v>2.7229726020362E-2</v>
      </c>
      <c r="AF5" s="1624">
        <f t="shared" si="1"/>
        <v>4.3285699755022389E-2</v>
      </c>
      <c r="AG5" s="1624">
        <f t="shared" si="1"/>
        <v>2.5247826611430435E-2</v>
      </c>
      <c r="AH5" s="1624">
        <f t="shared" si="1"/>
        <v>2.8497517890529345E-2</v>
      </c>
      <c r="AI5" s="1624">
        <f t="shared" si="1"/>
        <v>7.9185608998919577E-3</v>
      </c>
      <c r="AJ5" s="1624">
        <f t="shared" ref="AJ5:AP5" si="2">+AJ4/AI4-1</f>
        <v>3.4839716779595964E-2</v>
      </c>
      <c r="AK5" s="1624">
        <f t="shared" si="2"/>
        <v>3.1651997800421494E-2</v>
      </c>
      <c r="AL5" s="1624">
        <f t="shared" si="2"/>
        <v>6.380698144175545E-2</v>
      </c>
      <c r="AM5" s="1624">
        <f t="shared" si="2"/>
        <v>0.15564670030747685</v>
      </c>
      <c r="AN5" s="1624">
        <f t="shared" si="2"/>
        <v>6.6757803060097709E-2</v>
      </c>
      <c r="AO5" s="1624">
        <f t="shared" si="2"/>
        <v>2.6835904098788443E-2</v>
      </c>
      <c r="AP5" s="1624">
        <f t="shared" si="2"/>
        <v>1.9434915581241663E-2</v>
      </c>
      <c r="AQ5" s="1624">
        <f>+AQ4/AP4-1</f>
        <v>7.2964747142887365E-3</v>
      </c>
      <c r="AR5" s="1624">
        <f>+AR4/AQ4-1</f>
        <v>0.12310997604065177</v>
      </c>
      <c r="AS5" s="1624">
        <f>+AS4/AR4-1</f>
        <v>8.0493538668124476E-2</v>
      </c>
      <c r="AT5" s="1624">
        <f>+AT4/AS4-1</f>
        <v>4.1622514343538475E-2</v>
      </c>
    </row>
    <row r="6" spans="1:46">
      <c r="A6" s="1225"/>
      <c r="B6" s="42" t="s">
        <v>1322</v>
      </c>
      <c r="C6" s="1623"/>
      <c r="D6" s="1624"/>
      <c r="E6" s="1624"/>
      <c r="F6" s="1624"/>
      <c r="G6" s="1624"/>
      <c r="H6" s="1624">
        <f>+H4/D4-1</f>
        <v>0.87336258806363398</v>
      </c>
      <c r="I6" s="1624">
        <f t="shared" ref="I6:AI6" si="3">+I4/E4-1</f>
        <v>0.77039370989188849</v>
      </c>
      <c r="J6" s="1624">
        <f t="shared" si="3"/>
        <v>0.37464855746355807</v>
      </c>
      <c r="K6" s="1624">
        <f t="shared" si="3"/>
        <v>0.25921829374660277</v>
      </c>
      <c r="L6" s="1624">
        <f t="shared" si="3"/>
        <v>0.23903187556671557</v>
      </c>
      <c r="M6" s="1624">
        <f t="shared" si="3"/>
        <v>0.23851198737311918</v>
      </c>
      <c r="N6" s="1624">
        <f t="shared" si="3"/>
        <v>0.27201690764252717</v>
      </c>
      <c r="O6" s="1624">
        <f t="shared" si="3"/>
        <v>0.2480437281346779</v>
      </c>
      <c r="P6" s="1624">
        <f t="shared" si="3"/>
        <v>0.36050908203857968</v>
      </c>
      <c r="Q6" s="1624">
        <f t="shared" si="3"/>
        <v>0.41236080471791814</v>
      </c>
      <c r="R6" s="1624">
        <f t="shared" si="3"/>
        <v>0.38590487812922603</v>
      </c>
      <c r="S6" s="1624">
        <f t="shared" si="3"/>
        <v>0.42348853202707426</v>
      </c>
      <c r="T6" s="1624">
        <f t="shared" si="3"/>
        <v>0.32927035311723118</v>
      </c>
      <c r="U6" s="1624">
        <f t="shared" si="3"/>
        <v>0.27011705258965613</v>
      </c>
      <c r="V6" s="1624">
        <f t="shared" si="3"/>
        <v>0.25572207976106176</v>
      </c>
      <c r="W6" s="1624">
        <f t="shared" si="3"/>
        <v>0.24580659925582493</v>
      </c>
      <c r="X6" s="1624">
        <f t="shared" si="3"/>
        <v>0.18162646461449894</v>
      </c>
      <c r="Y6" s="1624">
        <f t="shared" si="3"/>
        <v>0.18771557637282954</v>
      </c>
      <c r="Z6" s="1624">
        <f t="shared" si="3"/>
        <v>0.198862398013816</v>
      </c>
      <c r="AA6" s="1624">
        <f t="shared" si="3"/>
        <v>0.17049928336871112</v>
      </c>
      <c r="AB6" s="1624">
        <f t="shared" si="3"/>
        <v>0.16100147081421623</v>
      </c>
      <c r="AC6" s="1624">
        <f t="shared" si="3"/>
        <v>0.12014190394670377</v>
      </c>
      <c r="AD6" s="1624">
        <f t="shared" si="3"/>
        <v>0.11583234365953388</v>
      </c>
      <c r="AE6" s="1624">
        <f t="shared" si="3"/>
        <v>0.12384187052199636</v>
      </c>
      <c r="AF6" s="1624">
        <f t="shared" si="3"/>
        <v>0.14425067738635722</v>
      </c>
      <c r="AG6" s="1624">
        <f t="shared" si="3"/>
        <v>0.14243837049148911</v>
      </c>
      <c r="AH6" s="1624">
        <f t="shared" si="3"/>
        <v>0.13006373555147444</v>
      </c>
      <c r="AI6" s="1624">
        <f t="shared" si="3"/>
        <v>0.10881936650616408</v>
      </c>
      <c r="AJ6" s="1624">
        <f t="shared" ref="AJ6:AP6" si="4">+AJ4/AF4-1</f>
        <v>9.984285173697538E-2</v>
      </c>
      <c r="AK6" s="1624">
        <f t="shared" si="4"/>
        <v>0.10671297788666112</v>
      </c>
      <c r="AL6" s="1624">
        <f t="shared" si="4"/>
        <v>0.14470766516068245</v>
      </c>
      <c r="AM6" s="1624">
        <f t="shared" si="4"/>
        <v>0.31248464645648011</v>
      </c>
      <c r="AN6" s="1624">
        <f t="shared" si="4"/>
        <v>0.35296627613126574</v>
      </c>
      <c r="AO6" s="1624">
        <f t="shared" si="4"/>
        <v>0.3466501808056226</v>
      </c>
      <c r="AP6" s="1624">
        <f t="shared" si="4"/>
        <v>0.2904805451892094</v>
      </c>
      <c r="AQ6" s="1624">
        <f>+AQ4/AM4-1</f>
        <v>0.12482171541752951</v>
      </c>
      <c r="AR6" s="1624">
        <f>+AR4/AN4-1</f>
        <v>0.18424115223595527</v>
      </c>
      <c r="AS6" s="1624">
        <f>+AS4/AO4-1</f>
        <v>0.24612404777457186</v>
      </c>
      <c r="AT6" s="1624">
        <f>+AT4/AP4-1</f>
        <v>0.27324544606835843</v>
      </c>
    </row>
    <row r="7" spans="1:46">
      <c r="B7" s="42" t="s">
        <v>994</v>
      </c>
      <c r="C7" s="1623">
        <f>+IS!BU37</f>
        <v>32.378000000000014</v>
      </c>
      <c r="D7" s="1623">
        <f>+IS!BV37</f>
        <v>35.311000000000014</v>
      </c>
      <c r="E7" s="1623">
        <f>+IS!BW37</f>
        <v>40.638999999999996</v>
      </c>
      <c r="F7" s="1623">
        <f>+IS!BX37</f>
        <v>47.061999999999998</v>
      </c>
      <c r="G7" s="1623">
        <f>+IS!BZ37</f>
        <v>62.269000000000005</v>
      </c>
      <c r="H7" s="1623">
        <f>+IS!CA37</f>
        <v>69.133999999999986</v>
      </c>
      <c r="I7" s="1623">
        <f>+IS!CB37</f>
        <v>76.972999999999956</v>
      </c>
      <c r="J7" s="1623">
        <f>+IS!CC37</f>
        <v>84.1</v>
      </c>
      <c r="K7" s="1623">
        <f>+IS!CE37</f>
        <v>91.378000000000029</v>
      </c>
      <c r="L7" s="1623">
        <f>+IS!CF37</f>
        <v>99.533999999999992</v>
      </c>
      <c r="M7" s="1623">
        <f>+IS!CG37</f>
        <v>106.036</v>
      </c>
      <c r="N7" s="1623">
        <f>+IS!CH37</f>
        <v>111.66</v>
      </c>
      <c r="O7" s="1623">
        <f>+IS!CJ37</f>
        <v>117.27200000000002</v>
      </c>
      <c r="P7" s="1623">
        <f>+IS!CK37</f>
        <v>129.28399999999996</v>
      </c>
      <c r="Q7" s="1623">
        <f>+IS!CL37</f>
        <v>142.08600000000001</v>
      </c>
      <c r="R7" s="1623">
        <f>+IS!CM37</f>
        <v>144.37900000000002</v>
      </c>
      <c r="S7" s="1623">
        <f>+IS!CO37</f>
        <v>162.327</v>
      </c>
      <c r="T7" s="1623">
        <f>+IS!CP37</f>
        <v>177.40600000000001</v>
      </c>
      <c r="U7" s="1623">
        <f>+IS!CQ37</f>
        <v>186.82799999999997</v>
      </c>
      <c r="V7" s="1623">
        <f>+IS!CR37</f>
        <v>193.244</v>
      </c>
      <c r="W7" s="1623">
        <f>+IS!CT37</f>
        <v>206.73500000000001</v>
      </c>
      <c r="X7" s="1623">
        <f>+IS!CU37</f>
        <v>216.42</v>
      </c>
      <c r="Y7" s="1623">
        <f>+IS!CV37</f>
        <v>225.01599999999996</v>
      </c>
      <c r="Z7" s="1623">
        <f>+IS!CW37</f>
        <v>239.68599999999998</v>
      </c>
      <c r="AA7" s="1623">
        <f>+IS!CX37</f>
        <v>240.88799999999992</v>
      </c>
      <c r="AB7" s="1623">
        <f>+IS!CY37</f>
        <v>248.035</v>
      </c>
      <c r="AC7" s="1623">
        <f>+IS!CZ37</f>
        <v>248.44500000000008</v>
      </c>
      <c r="AD7" s="1623">
        <f>+IS!DA37</f>
        <v>263.53000000000003</v>
      </c>
      <c r="AE7" s="1623">
        <f>+IS!DB37</f>
        <v>260.38800000000003</v>
      </c>
      <c r="AF7" s="1623">
        <f>+IS!DC37</f>
        <v>275.27700000000004</v>
      </c>
      <c r="AG7" s="1623">
        <f>+IS!DD37</f>
        <v>283.86099999999999</v>
      </c>
      <c r="AH7" s="1623">
        <f>+IS!DE37</f>
        <v>294.36500000000001</v>
      </c>
      <c r="AI7" s="1623">
        <f>+IS!DF37</f>
        <v>305.74799999999999</v>
      </c>
      <c r="AJ7" s="1623">
        <f>+IS!DG37</f>
        <v>311.26199999999989</v>
      </c>
      <c r="AK7" s="1623">
        <f>+IS!DH37</f>
        <v>321.47200000000004</v>
      </c>
      <c r="AL7" s="1623">
        <f>+IS!DI37</f>
        <v>333.14499999999987</v>
      </c>
      <c r="AM7" s="1623">
        <f>+IS!DJ37</f>
        <v>380.65000000000003</v>
      </c>
      <c r="AN7" s="1623">
        <f>+IS!DK37</f>
        <v>420.291</v>
      </c>
      <c r="AO7" s="1623">
        <f>+IS!DL37</f>
        <v>420.04199999999992</v>
      </c>
      <c r="AP7" s="1623">
        <f>+IS!DM37</f>
        <v>436.49099999999999</v>
      </c>
      <c r="AQ7" s="1623">
        <f>+IS!DN37</f>
        <v>427.57400000000013</v>
      </c>
      <c r="AR7" s="1623">
        <f>+IS!DO37</f>
        <v>509.30799999999999</v>
      </c>
      <c r="AS7" s="1623">
        <f>+IS!DP37</f>
        <v>550.31899999999996</v>
      </c>
      <c r="AT7" s="1623">
        <f>+IS!DQ37</f>
        <v>564.84</v>
      </c>
    </row>
    <row r="8" spans="1:46">
      <c r="B8" s="42" t="s">
        <v>243</v>
      </c>
      <c r="C8" s="1624">
        <f>+C7/C4</f>
        <v>0.38042980178359526</v>
      </c>
      <c r="D8" s="1624">
        <f t="shared" ref="D8:Z8" si="5">+D7/D4</f>
        <v>0.38449644478804845</v>
      </c>
      <c r="E8" s="1624">
        <f t="shared" si="5"/>
        <v>0.39158042820527644</v>
      </c>
      <c r="F8" s="1624">
        <f t="shared" si="5"/>
        <v>0.33927361333391004</v>
      </c>
      <c r="G8" s="1624">
        <f t="shared" si="5"/>
        <v>0.39356457545917656</v>
      </c>
      <c r="H8" s="1624">
        <f t="shared" si="5"/>
        <v>0.40183906442537953</v>
      </c>
      <c r="I8" s="1624">
        <f t="shared" si="5"/>
        <v>0.41893487903774446</v>
      </c>
      <c r="J8" s="1624">
        <f t="shared" si="5"/>
        <v>0.44104613415983596</v>
      </c>
      <c r="K8" s="1624">
        <f t="shared" si="5"/>
        <v>0.45865352279514743</v>
      </c>
      <c r="L8" s="1624">
        <f t="shared" si="5"/>
        <v>0.46692749380770099</v>
      </c>
      <c r="M8" s="1624">
        <f t="shared" si="5"/>
        <v>0.465973510050185</v>
      </c>
      <c r="N8" s="1624">
        <f t="shared" si="5"/>
        <v>0.46035489297140408</v>
      </c>
      <c r="O8" s="1624">
        <f t="shared" si="5"/>
        <v>0.47163672486114966</v>
      </c>
      <c r="P8" s="1624">
        <f t="shared" si="5"/>
        <v>0.44578076457586968</v>
      </c>
      <c r="Q8" s="1624">
        <f t="shared" si="5"/>
        <v>0.44209288287895859</v>
      </c>
      <c r="R8" s="1624">
        <f t="shared" si="5"/>
        <v>0.42950254942675092</v>
      </c>
      <c r="S8" s="1624">
        <f t="shared" si="5"/>
        <v>0.4586169193866913</v>
      </c>
      <c r="T8" s="1624">
        <f t="shared" si="5"/>
        <v>0.46018401550150323</v>
      </c>
      <c r="U8" s="1624">
        <f t="shared" si="5"/>
        <v>0.4576784384431466</v>
      </c>
      <c r="V8" s="1624">
        <f t="shared" si="5"/>
        <v>0.45779833031678496</v>
      </c>
      <c r="W8" s="1624">
        <f t="shared" si="5"/>
        <v>0.468837878045683</v>
      </c>
      <c r="X8" s="1624">
        <f t="shared" si="5"/>
        <v>0.47509494435053667</v>
      </c>
      <c r="Y8" s="1624">
        <f t="shared" si="5"/>
        <v>0.46410840801509784</v>
      </c>
      <c r="Z8" s="1624">
        <f t="shared" si="5"/>
        <v>0.47363252110919873</v>
      </c>
      <c r="AA8" s="1624">
        <f t="shared" ref="AA8:AH8" si="6">+AA7/AA4</f>
        <v>0.46671600785842432</v>
      </c>
      <c r="AB8" s="1624">
        <f t="shared" si="6"/>
        <v>0.46898960237940823</v>
      </c>
      <c r="AC8" s="1624">
        <f t="shared" si="6"/>
        <v>0.45747066752104654</v>
      </c>
      <c r="AD8" s="1624">
        <f t="shared" si="6"/>
        <v>0.46669157766298258</v>
      </c>
      <c r="AE8" s="1624">
        <f t="shared" si="6"/>
        <v>0.4489038070659061</v>
      </c>
      <c r="AF8" s="1624">
        <f t="shared" si="6"/>
        <v>0.45488225447442915</v>
      </c>
      <c r="AG8" s="1624">
        <f t="shared" si="6"/>
        <v>0.45751563406614665</v>
      </c>
      <c r="AH8" s="1624">
        <f t="shared" si="6"/>
        <v>0.46129965946897222</v>
      </c>
      <c r="AI8" s="1624">
        <f t="shared" ref="AI8:AP8" si="7">+AI7/AI4</f>
        <v>0.47537369358836024</v>
      </c>
      <c r="AJ8" s="1624">
        <f t="shared" si="7"/>
        <v>0.46765387285112869</v>
      </c>
      <c r="AK8" s="1624">
        <f t="shared" si="7"/>
        <v>0.4681751520791555</v>
      </c>
      <c r="AL8" s="1624">
        <f t="shared" si="7"/>
        <v>0.45607437484769903</v>
      </c>
      <c r="AM8" s="1624">
        <f t="shared" si="7"/>
        <v>0.45092376290638225</v>
      </c>
      <c r="AN8" s="1624">
        <f t="shared" si="7"/>
        <v>0.46672552220408436</v>
      </c>
      <c r="AO8" s="1624">
        <f t="shared" si="7"/>
        <v>0.45425857273250303</v>
      </c>
      <c r="AP8" s="1624">
        <f t="shared" si="7"/>
        <v>0.46304820362235277</v>
      </c>
      <c r="AQ8" s="1624">
        <f>+AQ7/AQ4</f>
        <v>0.45030304625997214</v>
      </c>
      <c r="AR8" s="1624">
        <f>+AR7/AR4</f>
        <v>0.47758624408184008</v>
      </c>
      <c r="AS8" s="1624">
        <f>+AS7/AS4</f>
        <v>0.47759925919561624</v>
      </c>
      <c r="AT8" s="1624">
        <f>+AT7/AT4</f>
        <v>0.47061332871196226</v>
      </c>
    </row>
    <row r="9" spans="1:46">
      <c r="B9" s="42" t="s">
        <v>465</v>
      </c>
      <c r="C9" s="1623">
        <f>Link!AY24</f>
        <v>67.055999999999997</v>
      </c>
      <c r="D9" s="1623">
        <f>Link!AZ24</f>
        <v>139.83199999999999</v>
      </c>
      <c r="E9" s="1623">
        <f>Link!BA24</f>
        <v>88.921000000000035</v>
      </c>
      <c r="F9" s="1623">
        <f>Link!BB24</f>
        <v>121.002</v>
      </c>
      <c r="G9" s="1623">
        <f>Link!BC24</f>
        <v>125.643</v>
      </c>
      <c r="H9" s="1623">
        <f>Link!BD24</f>
        <v>84.457999999999998</v>
      </c>
      <c r="I9" s="1623">
        <f>Link!BE24</f>
        <v>95.445000000000007</v>
      </c>
      <c r="J9" s="1623">
        <f>Link!BF24</f>
        <v>165.58199999999999</v>
      </c>
      <c r="K9" s="1623">
        <f>Link!BG24</f>
        <v>74.968999999999994</v>
      </c>
      <c r="L9" s="1623">
        <f>Link!BH24</f>
        <v>76.816000000000003</v>
      </c>
      <c r="M9" s="1623">
        <f>Link!BI24</f>
        <v>88.655000000000001</v>
      </c>
      <c r="N9" s="1623">
        <f>Link!BJ24</f>
        <v>101.74</v>
      </c>
      <c r="O9" s="1623">
        <f>Link!BK24</f>
        <v>143.4</v>
      </c>
      <c r="P9" s="1623">
        <f>Link!BL24</f>
        <v>148.69999999999999</v>
      </c>
      <c r="Q9" s="1623">
        <f>Link!BM24</f>
        <v>143.9</v>
      </c>
      <c r="R9" s="1623">
        <f>Link!BN24</f>
        <v>143.4</v>
      </c>
      <c r="S9" s="1623">
        <f>Link!BO24</f>
        <v>172.5</v>
      </c>
      <c r="T9" s="1623">
        <f>Link!BP24</f>
        <v>188.9</v>
      </c>
      <c r="U9" s="1623">
        <f>Link!BQ24</f>
        <v>131.5</v>
      </c>
      <c r="V9" s="1623">
        <f>Link!BR24</f>
        <v>189.8</v>
      </c>
      <c r="W9" s="1623">
        <f>Link!BS24</f>
        <v>145.49</v>
      </c>
      <c r="X9" s="1623">
        <f>Link!BT24</f>
        <v>196.48400000000001</v>
      </c>
      <c r="Y9" s="1623">
        <f>Link!BU24</f>
        <v>212.11799999999999</v>
      </c>
      <c r="Z9" s="1623">
        <f>Link!BV24</f>
        <v>210.40800000000002</v>
      </c>
      <c r="AA9" s="1623">
        <f>Link!BW24</f>
        <v>75.667000000000002</v>
      </c>
      <c r="AB9" s="1623">
        <f>Link!BX24</f>
        <v>122.863</v>
      </c>
      <c r="AC9" s="1623">
        <f>Link!BY24</f>
        <v>171.035</v>
      </c>
      <c r="AD9" s="1623">
        <f>Link!BZ24</f>
        <v>202.84100000000001</v>
      </c>
      <c r="AE9" s="1623">
        <f>BS!CJ133</f>
        <v>105.908</v>
      </c>
      <c r="AF9" s="1623">
        <f>BS!CK133</f>
        <v>159.816</v>
      </c>
      <c r="AG9" s="1623">
        <f>BS!CL133</f>
        <v>156.00400000000002</v>
      </c>
      <c r="AH9" s="1623">
        <f>BS!CM133</f>
        <v>238.476</v>
      </c>
      <c r="AI9" s="1623">
        <f>BS!CN133</f>
        <v>150.12</v>
      </c>
      <c r="AJ9" s="1623">
        <f>BS!CO133</f>
        <v>221.34199999999998</v>
      </c>
      <c r="AK9" s="1623">
        <f>BS!CP133</f>
        <v>221.34199999999998</v>
      </c>
      <c r="AL9" s="1623">
        <f>BS!CQ133</f>
        <v>281</v>
      </c>
      <c r="AM9" s="1623">
        <f>BS!CR133</f>
        <v>197.7</v>
      </c>
      <c r="AN9" s="1623">
        <f>BS!CS133</f>
        <v>249.86699999999999</v>
      </c>
      <c r="AO9" s="1623">
        <f>BS!CT133</f>
        <v>279.47699999999998</v>
      </c>
      <c r="AP9" s="1623">
        <f>BS!CU133</f>
        <v>386.32100000000003</v>
      </c>
      <c r="AQ9" s="1623">
        <f>BS!CV133</f>
        <v>277.24200000000002</v>
      </c>
      <c r="AR9" s="1623">
        <f>BS!CW133</f>
        <v>348.572</v>
      </c>
      <c r="AS9" s="1623">
        <f>BS!CX133</f>
        <v>320.23399999999998</v>
      </c>
      <c r="AT9" s="1623">
        <f>BS!CY133</f>
        <v>432.67700000000002</v>
      </c>
    </row>
    <row r="10" spans="1:46">
      <c r="B10" s="1739" t="s">
        <v>1436</v>
      </c>
      <c r="C10" s="1624">
        <f>+C9/C4</f>
        <v>0.78788377257399322</v>
      </c>
      <c r="D10" s="1624">
        <f t="shared" ref="D10:Z10" si="8">+D9/D4</f>
        <v>1.5226107124579413</v>
      </c>
      <c r="E10" s="1624">
        <f t="shared" si="8"/>
        <v>0.8568056117631192</v>
      </c>
      <c r="F10" s="1624">
        <f t="shared" si="8"/>
        <v>0.87231281629828272</v>
      </c>
      <c r="G10" s="1624">
        <f t="shared" si="8"/>
        <v>0.79411318560467192</v>
      </c>
      <c r="H10" s="1624">
        <f t="shared" si="8"/>
        <v>0.49090930227151197</v>
      </c>
      <c r="I10" s="1624">
        <f t="shared" si="8"/>
        <v>0.51947097722263058</v>
      </c>
      <c r="J10" s="1624">
        <f t="shared" si="8"/>
        <v>0.86836267522537403</v>
      </c>
      <c r="K10" s="1624">
        <f t="shared" si="8"/>
        <v>0.37629184213300132</v>
      </c>
      <c r="L10" s="1624">
        <f t="shared" si="8"/>
        <v>0.36035427456278618</v>
      </c>
      <c r="M10" s="1624">
        <f t="shared" si="8"/>
        <v>0.38959298288787914</v>
      </c>
      <c r="N10" s="1624">
        <f t="shared" si="8"/>
        <v>0.4194564464527194</v>
      </c>
      <c r="O10" s="1624">
        <f t="shared" si="8"/>
        <v>0.57671657637875073</v>
      </c>
      <c r="P10" s="1624">
        <f t="shared" si="8"/>
        <v>0.5127285641876167</v>
      </c>
      <c r="Q10" s="1624">
        <f t="shared" si="8"/>
        <v>0.44773704549555998</v>
      </c>
      <c r="R10" s="1624">
        <f t="shared" si="8"/>
        <v>0.42659019378023172</v>
      </c>
      <c r="S10" s="1624">
        <f t="shared" si="8"/>
        <v>0.48735834823661034</v>
      </c>
      <c r="T10" s="1624">
        <f t="shared" si="8"/>
        <v>0.48999898835571493</v>
      </c>
      <c r="U10" s="1624">
        <f t="shared" si="8"/>
        <v>0.32213969348959354</v>
      </c>
      <c r="V10" s="1624">
        <f t="shared" si="8"/>
        <v>0.44963943560537867</v>
      </c>
      <c r="W10" s="1624">
        <f t="shared" si="8"/>
        <v>0.3299452094559045</v>
      </c>
      <c r="X10" s="1624">
        <f t="shared" si="8"/>
        <v>0.43133053805457378</v>
      </c>
      <c r="Y10" s="1624">
        <f t="shared" si="8"/>
        <v>0.43750554312291812</v>
      </c>
      <c r="Z10" s="1624">
        <f t="shared" si="8"/>
        <v>0.41577760695887245</v>
      </c>
      <c r="AA10" s="1624">
        <f t="shared" ref="AA10:AH10" si="9">+AA9/AA4</f>
        <v>0.14660340144226114</v>
      </c>
      <c r="AB10" s="1624">
        <f t="shared" si="9"/>
        <v>0.23231184920330289</v>
      </c>
      <c r="AC10" s="1624">
        <f t="shared" si="9"/>
        <v>0.31493286489751121</v>
      </c>
      <c r="AD10" s="1624">
        <f t="shared" si="9"/>
        <v>0.35921597656713483</v>
      </c>
      <c r="AE10" s="1624">
        <f t="shared" si="9"/>
        <v>0.1825833156625343</v>
      </c>
      <c r="AF10" s="1624">
        <f t="shared" si="9"/>
        <v>0.26408839961596997</v>
      </c>
      <c r="AG10" s="1624">
        <f t="shared" si="9"/>
        <v>0.25144091290052228</v>
      </c>
      <c r="AH10" s="1624">
        <f t="shared" si="9"/>
        <v>0.37371595669159924</v>
      </c>
      <c r="AI10" s="1624">
        <f t="shared" ref="AI10:AP10" si="10">+AI9/AI4</f>
        <v>0.23340495728994021</v>
      </c>
      <c r="AJ10" s="1624">
        <f t="shared" si="10"/>
        <v>0.33255406546451077</v>
      </c>
      <c r="AK10" s="1624">
        <f t="shared" si="10"/>
        <v>0.32235101194351112</v>
      </c>
      <c r="AL10" s="1624">
        <f t="shared" si="10"/>
        <v>0.38468804674302026</v>
      </c>
      <c r="AM10" s="1624">
        <f t="shared" si="10"/>
        <v>0.23419841830183044</v>
      </c>
      <c r="AN10" s="1624">
        <f t="shared" si="10"/>
        <v>0.27747276543292132</v>
      </c>
      <c r="AO10" s="1624">
        <f t="shared" si="10"/>
        <v>0.30224316409207114</v>
      </c>
      <c r="AP10" s="1624">
        <f t="shared" si="10"/>
        <v>0.40982573540254202</v>
      </c>
      <c r="AQ10" s="1624">
        <f>+AQ9/AQ4</f>
        <v>0.29197967404755004</v>
      </c>
      <c r="AR10" s="1624">
        <f>+AR9/AR4</f>
        <v>0.32686153029619636</v>
      </c>
      <c r="AS10" s="1624">
        <f>+AS9/AS4</f>
        <v>0.27791793699517731</v>
      </c>
      <c r="AT10" s="1624">
        <f>+AT9/AT4</f>
        <v>0.36049777499310548</v>
      </c>
    </row>
    <row r="11" spans="1:46" s="15" customFormat="1">
      <c r="C11" s="768"/>
      <c r="D11" s="768"/>
      <c r="E11" s="768"/>
      <c r="F11" s="768"/>
      <c r="G11" s="768"/>
      <c r="H11" s="768"/>
      <c r="I11" s="768"/>
      <c r="J11" s="768"/>
      <c r="K11" s="768"/>
      <c r="L11" s="768"/>
      <c r="M11" s="768"/>
      <c r="N11" s="768"/>
      <c r="O11" s="768"/>
      <c r="P11" s="768"/>
      <c r="Q11" s="768"/>
      <c r="R11" s="768"/>
      <c r="S11" s="768"/>
      <c r="T11" s="768"/>
      <c r="U11" s="768"/>
      <c r="V11" s="768"/>
      <c r="W11" s="768"/>
      <c r="X11" s="768"/>
      <c r="Y11" s="768"/>
      <c r="Z11" s="768"/>
      <c r="AA11" s="768"/>
      <c r="AB11" s="768"/>
      <c r="AC11" s="768"/>
      <c r="AD11" s="768"/>
      <c r="AE11" s="768"/>
      <c r="AF11" s="768"/>
      <c r="AG11" s="768"/>
      <c r="AH11" s="768"/>
      <c r="AI11" s="768"/>
      <c r="AJ11" s="768"/>
      <c r="AK11" s="768"/>
      <c r="AL11" s="768"/>
      <c r="AM11" s="768"/>
      <c r="AN11" s="768"/>
      <c r="AO11" s="768"/>
      <c r="AP11" s="768"/>
      <c r="AQ11" s="768"/>
      <c r="AR11" s="768"/>
      <c r="AS11" s="768"/>
      <c r="AT11" s="768"/>
    </row>
    <row r="12" spans="1:46" s="15" customFormat="1">
      <c r="C12" s="768"/>
      <c r="D12" s="768"/>
      <c r="E12" s="768"/>
      <c r="F12" s="768"/>
      <c r="G12" s="768"/>
      <c r="H12" s="768"/>
      <c r="I12" s="768"/>
      <c r="J12" s="768"/>
      <c r="K12" s="768"/>
      <c r="L12" s="768"/>
      <c r="M12" s="768"/>
      <c r="N12" s="768"/>
      <c r="O12" s="768"/>
      <c r="P12" s="768"/>
      <c r="Q12" s="768"/>
      <c r="R12" s="768"/>
      <c r="S12" s="768"/>
      <c r="T12" s="768"/>
      <c r="U12" s="768"/>
      <c r="V12" s="768"/>
      <c r="W12" s="768"/>
      <c r="X12" s="768"/>
      <c r="Y12" s="768"/>
      <c r="Z12" s="768"/>
      <c r="AA12" s="768"/>
      <c r="AB12" s="768"/>
      <c r="AC12" s="768"/>
      <c r="AD12" s="768"/>
      <c r="AE12" s="768"/>
      <c r="AF12" s="768"/>
      <c r="AG12" s="768"/>
      <c r="AH12" s="768"/>
      <c r="AI12" s="768"/>
      <c r="AJ12" s="768"/>
      <c r="AK12" s="768"/>
      <c r="AL12" s="768"/>
      <c r="AM12" s="768"/>
      <c r="AN12" s="768"/>
      <c r="AO12" s="768"/>
      <c r="AP12" s="768"/>
      <c r="AQ12" s="768"/>
      <c r="AR12" s="768"/>
      <c r="AS12" s="768"/>
      <c r="AT12" s="768"/>
    </row>
    <row r="13" spans="1:46" s="15" customFormat="1">
      <c r="C13" s="768"/>
      <c r="D13" s="768"/>
      <c r="E13" s="768"/>
      <c r="F13" s="768"/>
      <c r="G13" s="768"/>
      <c r="H13" s="768"/>
      <c r="I13" s="768"/>
      <c r="J13" s="768"/>
      <c r="K13" s="768"/>
      <c r="L13" s="768"/>
      <c r="M13" s="768"/>
      <c r="N13" s="768"/>
      <c r="O13" s="768"/>
      <c r="P13" s="768"/>
      <c r="Q13" s="768"/>
      <c r="R13" s="768"/>
      <c r="S13" s="768"/>
      <c r="T13" s="768"/>
      <c r="U13" s="768"/>
      <c r="V13" s="768"/>
      <c r="W13" s="768"/>
      <c r="X13" s="768"/>
      <c r="Y13" s="768"/>
      <c r="Z13" s="768"/>
      <c r="AA13" s="768"/>
      <c r="AB13" s="768"/>
      <c r="AC13" s="768"/>
      <c r="AD13" s="768"/>
      <c r="AE13" s="768"/>
      <c r="AF13" s="768"/>
      <c r="AG13" s="768"/>
      <c r="AH13" s="768"/>
      <c r="AI13" s="768"/>
      <c r="AJ13" s="768"/>
      <c r="AK13" s="768"/>
      <c r="AL13" s="768"/>
      <c r="AM13" s="768"/>
      <c r="AN13" s="768"/>
      <c r="AO13" s="768"/>
      <c r="AP13" s="768"/>
      <c r="AQ13" s="768"/>
      <c r="AR13" s="768"/>
      <c r="AS13" s="768"/>
      <c r="AT13" s="768"/>
    </row>
    <row r="14" spans="1:46" s="15" customFormat="1">
      <c r="C14" s="768"/>
      <c r="D14" s="768"/>
      <c r="E14" s="768"/>
      <c r="F14" s="768"/>
      <c r="G14" s="768"/>
      <c r="H14" s="768"/>
      <c r="I14" s="768"/>
      <c r="J14" s="768"/>
      <c r="K14" s="768"/>
      <c r="L14" s="768"/>
      <c r="M14" s="768"/>
      <c r="N14" s="768"/>
      <c r="O14" s="768"/>
      <c r="P14" s="768"/>
      <c r="Q14" s="768"/>
      <c r="R14" s="768"/>
      <c r="S14" s="768"/>
      <c r="T14" s="768"/>
      <c r="U14" s="768"/>
      <c r="V14" s="768"/>
      <c r="W14" s="768"/>
      <c r="X14" s="768"/>
      <c r="Y14" s="768"/>
      <c r="Z14" s="768"/>
      <c r="AA14" s="768"/>
      <c r="AB14" s="768"/>
      <c r="AC14" s="768"/>
      <c r="AD14" s="768"/>
      <c r="AE14" s="768"/>
      <c r="AF14" s="768"/>
      <c r="AG14" s="768"/>
      <c r="AH14" s="768"/>
      <c r="AI14" s="768"/>
      <c r="AJ14" s="768"/>
      <c r="AK14" s="768"/>
      <c r="AL14" s="768"/>
      <c r="AM14" s="768"/>
      <c r="AN14" s="768"/>
      <c r="AO14" s="768"/>
      <c r="AP14" s="768"/>
      <c r="AQ14" s="768"/>
      <c r="AR14" s="768"/>
      <c r="AS14" s="768"/>
      <c r="AT14" s="768"/>
    </row>
    <row r="15" spans="1:46" s="15" customFormat="1">
      <c r="C15" s="768"/>
      <c r="D15" s="768"/>
      <c r="E15" s="768"/>
      <c r="F15" s="768"/>
      <c r="G15" s="768"/>
      <c r="H15" s="768"/>
      <c r="I15" s="768"/>
      <c r="J15" s="768"/>
      <c r="K15" s="768"/>
      <c r="L15" s="768"/>
      <c r="M15" s="768"/>
      <c r="N15" s="768"/>
      <c r="O15" s="768"/>
      <c r="P15" s="768"/>
      <c r="Q15" s="768"/>
      <c r="R15" s="768"/>
      <c r="S15" s="768"/>
      <c r="T15" s="768"/>
      <c r="U15" s="768"/>
      <c r="V15" s="768"/>
      <c r="W15" s="768"/>
      <c r="X15" s="768"/>
      <c r="Y15" s="768"/>
      <c r="Z15" s="768"/>
      <c r="AA15" s="768"/>
      <c r="AB15" s="768"/>
      <c r="AC15" s="768"/>
      <c r="AD15" s="768"/>
      <c r="AE15" s="768"/>
      <c r="AF15" s="768"/>
      <c r="AG15" s="768"/>
      <c r="AH15" s="768"/>
      <c r="AI15" s="768"/>
      <c r="AJ15" s="768"/>
      <c r="AK15" s="768"/>
      <c r="AL15" s="768"/>
      <c r="AM15" s="768"/>
      <c r="AN15" s="768"/>
      <c r="AO15" s="768"/>
      <c r="AP15" s="768"/>
      <c r="AQ15" s="768"/>
      <c r="AR15" s="768"/>
      <c r="AS15" s="768"/>
      <c r="AT15" s="768"/>
    </row>
    <row r="16" spans="1:46" s="15" customFormat="1">
      <c r="C16" s="768"/>
      <c r="D16" s="768"/>
      <c r="E16" s="768"/>
      <c r="F16" s="768"/>
      <c r="G16" s="768"/>
      <c r="H16" s="768"/>
      <c r="I16" s="768"/>
      <c r="J16" s="768"/>
      <c r="K16" s="768"/>
      <c r="L16" s="768"/>
      <c r="M16" s="768"/>
      <c r="N16" s="768"/>
      <c r="O16" s="768"/>
      <c r="P16" s="768"/>
      <c r="Q16" s="768"/>
      <c r="R16" s="768"/>
      <c r="S16" s="768"/>
      <c r="T16" s="768"/>
      <c r="U16" s="768"/>
      <c r="V16" s="768"/>
      <c r="W16" s="768"/>
      <c r="X16" s="768"/>
      <c r="Y16" s="768"/>
      <c r="Z16" s="768"/>
      <c r="AA16" s="768"/>
      <c r="AB16" s="768"/>
      <c r="AC16" s="768"/>
      <c r="AD16" s="768"/>
      <c r="AE16" s="768"/>
      <c r="AF16" s="768"/>
      <c r="AG16" s="768"/>
      <c r="AH16" s="768"/>
      <c r="AI16" s="768"/>
      <c r="AJ16" s="768"/>
      <c r="AK16" s="768"/>
      <c r="AL16" s="768"/>
      <c r="AM16" s="768"/>
      <c r="AN16" s="768"/>
      <c r="AO16" s="768"/>
      <c r="AP16" s="768"/>
      <c r="AQ16" s="768"/>
      <c r="AR16" s="768"/>
      <c r="AS16" s="768"/>
      <c r="AT16" s="768"/>
    </row>
    <row r="17" spans="3:46" s="15" customFormat="1">
      <c r="C17" s="768"/>
      <c r="D17" s="768"/>
      <c r="E17" s="768"/>
      <c r="F17" s="768"/>
      <c r="G17" s="768"/>
      <c r="H17" s="768"/>
      <c r="I17" s="768"/>
      <c r="J17" s="768"/>
      <c r="K17" s="768"/>
      <c r="L17" s="768"/>
      <c r="M17" s="768"/>
      <c r="N17" s="768"/>
      <c r="O17" s="768"/>
      <c r="P17" s="768"/>
      <c r="Q17" s="768"/>
      <c r="R17" s="768"/>
      <c r="S17" s="768"/>
      <c r="T17" s="768"/>
      <c r="U17" s="768"/>
      <c r="V17" s="768"/>
      <c r="W17" s="768"/>
      <c r="X17" s="768"/>
      <c r="Y17" s="768"/>
      <c r="Z17" s="768"/>
      <c r="AA17" s="768"/>
      <c r="AB17" s="768"/>
      <c r="AC17" s="768"/>
      <c r="AD17" s="768"/>
      <c r="AE17" s="768"/>
      <c r="AF17" s="768"/>
      <c r="AG17" s="768"/>
      <c r="AH17" s="768"/>
      <c r="AI17" s="768"/>
      <c r="AJ17" s="768"/>
      <c r="AK17" s="768"/>
      <c r="AL17" s="768"/>
      <c r="AM17" s="768"/>
      <c r="AN17" s="768"/>
      <c r="AO17" s="768"/>
      <c r="AP17" s="768"/>
      <c r="AQ17" s="768"/>
      <c r="AR17" s="768"/>
      <c r="AS17" s="768"/>
      <c r="AT17" s="768"/>
    </row>
    <row r="18" spans="3:46" s="15" customFormat="1">
      <c r="C18" s="768"/>
      <c r="D18" s="768"/>
      <c r="E18" s="768"/>
      <c r="F18" s="768"/>
      <c r="G18" s="768"/>
      <c r="H18" s="768"/>
      <c r="I18" s="768"/>
      <c r="J18" s="768"/>
      <c r="K18" s="768"/>
      <c r="L18" s="768"/>
      <c r="M18" s="768"/>
      <c r="N18" s="768"/>
      <c r="O18" s="768"/>
      <c r="P18" s="768"/>
      <c r="Q18" s="768"/>
      <c r="R18" s="768"/>
      <c r="S18" s="768"/>
      <c r="T18" s="768"/>
      <c r="U18" s="768"/>
      <c r="V18" s="768"/>
      <c r="W18" s="768"/>
      <c r="X18" s="768"/>
      <c r="Y18" s="768"/>
      <c r="Z18" s="768"/>
      <c r="AA18" s="768"/>
      <c r="AB18" s="768"/>
      <c r="AC18" s="768"/>
      <c r="AD18" s="768"/>
      <c r="AE18" s="768"/>
      <c r="AF18" s="768"/>
      <c r="AG18" s="768"/>
      <c r="AH18" s="768"/>
      <c r="AI18" s="768"/>
      <c r="AJ18" s="768"/>
      <c r="AK18" s="768"/>
      <c r="AL18" s="768"/>
      <c r="AM18" s="768"/>
      <c r="AN18" s="768"/>
      <c r="AO18" s="768"/>
      <c r="AP18" s="768"/>
      <c r="AQ18" s="768"/>
      <c r="AR18" s="768"/>
      <c r="AS18" s="768"/>
      <c r="AT18" s="768"/>
    </row>
    <row r="19" spans="3:46" s="15" customFormat="1">
      <c r="C19" s="768"/>
      <c r="D19" s="768"/>
      <c r="E19" s="768"/>
      <c r="F19" s="768"/>
      <c r="G19" s="768"/>
      <c r="H19" s="768"/>
      <c r="I19" s="768"/>
      <c r="J19" s="768"/>
      <c r="K19" s="768"/>
      <c r="L19" s="768"/>
      <c r="M19" s="768"/>
      <c r="N19" s="768"/>
      <c r="O19" s="768"/>
      <c r="P19" s="768"/>
      <c r="Q19" s="768"/>
      <c r="R19" s="768"/>
      <c r="S19" s="768"/>
      <c r="T19" s="768"/>
      <c r="U19" s="768"/>
      <c r="V19" s="768"/>
      <c r="W19" s="768"/>
      <c r="X19" s="768"/>
      <c r="Y19" s="768"/>
      <c r="Z19" s="768"/>
      <c r="AA19" s="768"/>
      <c r="AB19" s="768"/>
      <c r="AC19" s="768"/>
      <c r="AD19" s="768"/>
      <c r="AE19" s="768"/>
      <c r="AF19" s="768"/>
      <c r="AG19" s="768"/>
      <c r="AH19" s="768"/>
      <c r="AI19" s="768"/>
      <c r="AJ19" s="768"/>
      <c r="AK19" s="768"/>
      <c r="AL19" s="768"/>
      <c r="AM19" s="768"/>
      <c r="AN19" s="768"/>
      <c r="AO19" s="768"/>
      <c r="AP19" s="768"/>
      <c r="AQ19" s="768"/>
      <c r="AR19" s="768"/>
      <c r="AS19" s="768"/>
      <c r="AT19" s="768"/>
    </row>
    <row r="20" spans="3:46" s="15" customFormat="1">
      <c r="C20" s="768"/>
      <c r="D20" s="768"/>
      <c r="E20" s="768"/>
      <c r="F20" s="768"/>
      <c r="G20" s="768"/>
      <c r="H20" s="768"/>
      <c r="I20" s="768"/>
      <c r="J20" s="768"/>
      <c r="K20" s="768"/>
      <c r="L20" s="768"/>
      <c r="M20" s="768"/>
      <c r="N20" s="768"/>
      <c r="O20" s="768"/>
      <c r="P20" s="768"/>
      <c r="Q20" s="768"/>
      <c r="R20" s="768"/>
      <c r="S20" s="768"/>
      <c r="T20" s="768"/>
      <c r="U20" s="768"/>
      <c r="V20" s="768"/>
      <c r="W20" s="768"/>
      <c r="X20" s="768"/>
      <c r="Y20" s="768"/>
      <c r="Z20" s="768"/>
      <c r="AA20" s="768"/>
      <c r="AB20" s="768"/>
      <c r="AC20" s="768"/>
      <c r="AD20" s="768"/>
      <c r="AE20" s="768"/>
      <c r="AF20" s="768"/>
      <c r="AG20" s="768"/>
      <c r="AH20" s="768"/>
      <c r="AI20" s="768"/>
      <c r="AJ20" s="768"/>
      <c r="AK20" s="768"/>
      <c r="AL20" s="768"/>
      <c r="AM20" s="768"/>
      <c r="AN20" s="768"/>
      <c r="AO20" s="768"/>
      <c r="AP20" s="768"/>
      <c r="AQ20" s="768"/>
      <c r="AR20" s="768"/>
      <c r="AS20" s="768"/>
      <c r="AT20" s="768"/>
    </row>
    <row r="21" spans="3:46" s="15" customFormat="1">
      <c r="C21" s="768"/>
      <c r="D21" s="768"/>
      <c r="E21" s="768"/>
      <c r="F21" s="768"/>
      <c r="G21" s="768"/>
      <c r="H21" s="768"/>
      <c r="I21" s="768"/>
      <c r="J21" s="768"/>
      <c r="K21" s="768"/>
      <c r="L21" s="768"/>
      <c r="M21" s="768"/>
      <c r="N21" s="768"/>
      <c r="O21" s="768"/>
      <c r="P21" s="768"/>
      <c r="Q21" s="768"/>
      <c r="R21" s="768"/>
      <c r="S21" s="768"/>
      <c r="T21" s="768"/>
      <c r="U21" s="768"/>
      <c r="V21" s="768"/>
      <c r="W21" s="768"/>
      <c r="X21" s="768"/>
      <c r="Y21" s="768"/>
      <c r="Z21" s="768"/>
      <c r="AA21" s="768"/>
      <c r="AB21" s="768"/>
      <c r="AC21" s="768"/>
      <c r="AD21" s="768"/>
      <c r="AE21" s="768"/>
      <c r="AF21" s="768"/>
      <c r="AG21" s="768"/>
      <c r="AH21" s="768"/>
      <c r="AI21" s="768"/>
      <c r="AJ21" s="768"/>
      <c r="AK21" s="768"/>
      <c r="AL21" s="768"/>
      <c r="AM21" s="768"/>
      <c r="AN21" s="768"/>
      <c r="AO21" s="768"/>
      <c r="AP21" s="768"/>
      <c r="AQ21" s="768"/>
      <c r="AR21" s="768"/>
      <c r="AS21" s="768"/>
      <c r="AT21" s="768"/>
    </row>
    <row r="22" spans="3:46" s="15" customFormat="1">
      <c r="C22" s="768"/>
      <c r="D22" s="768"/>
      <c r="E22" s="768"/>
      <c r="F22" s="768"/>
      <c r="G22" s="768"/>
      <c r="H22" s="768"/>
      <c r="I22" s="768"/>
      <c r="J22" s="768"/>
      <c r="K22" s="768"/>
      <c r="L22" s="768"/>
      <c r="M22" s="768"/>
      <c r="N22" s="768"/>
      <c r="O22" s="768"/>
      <c r="P22" s="768"/>
      <c r="Q22" s="768"/>
      <c r="R22" s="768"/>
      <c r="S22" s="768"/>
      <c r="T22" s="768"/>
      <c r="U22" s="768"/>
      <c r="V22" s="768"/>
      <c r="W22" s="768"/>
      <c r="X22" s="768"/>
      <c r="Y22" s="768"/>
      <c r="Z22" s="768"/>
      <c r="AA22" s="768"/>
      <c r="AB22" s="768"/>
      <c r="AC22" s="768"/>
      <c r="AD22" s="768"/>
      <c r="AE22" s="768"/>
      <c r="AF22" s="768"/>
      <c r="AG22" s="768"/>
      <c r="AH22" s="768"/>
      <c r="AI22" s="768"/>
      <c r="AJ22" s="768"/>
      <c r="AK22" s="768"/>
      <c r="AL22" s="768"/>
      <c r="AM22" s="768"/>
      <c r="AN22" s="768"/>
      <c r="AO22" s="768"/>
      <c r="AP22" s="768"/>
      <c r="AQ22" s="768"/>
      <c r="AR22" s="768"/>
      <c r="AS22" s="768"/>
      <c r="AT22" s="768"/>
    </row>
    <row r="23" spans="3:46" s="15" customFormat="1">
      <c r="C23" s="768"/>
      <c r="D23" s="768"/>
      <c r="E23" s="768"/>
      <c r="F23" s="768"/>
      <c r="G23" s="768"/>
      <c r="H23" s="768"/>
      <c r="I23" s="768"/>
      <c r="J23" s="768"/>
      <c r="K23" s="768"/>
      <c r="L23" s="768"/>
      <c r="M23" s="768"/>
      <c r="N23" s="768"/>
      <c r="O23" s="768"/>
      <c r="P23" s="768"/>
      <c r="Q23" s="768"/>
      <c r="R23" s="768"/>
      <c r="S23" s="768"/>
      <c r="T23" s="768"/>
      <c r="U23" s="768"/>
      <c r="V23" s="768"/>
      <c r="W23" s="768"/>
      <c r="X23" s="768"/>
      <c r="Y23" s="768"/>
      <c r="Z23" s="768"/>
      <c r="AA23" s="768"/>
      <c r="AB23" s="768"/>
      <c r="AC23" s="768"/>
      <c r="AD23" s="768"/>
      <c r="AE23" s="768"/>
      <c r="AF23" s="768"/>
      <c r="AG23" s="768"/>
      <c r="AH23" s="768"/>
      <c r="AI23" s="768"/>
      <c r="AJ23" s="768"/>
      <c r="AK23" s="768"/>
      <c r="AL23" s="768"/>
      <c r="AM23" s="768"/>
      <c r="AN23" s="768"/>
      <c r="AO23" s="768"/>
      <c r="AP23" s="768"/>
      <c r="AQ23" s="768"/>
      <c r="AR23" s="768"/>
      <c r="AS23" s="768"/>
      <c r="AT23" s="768"/>
    </row>
    <row r="24" spans="3:46" s="15" customFormat="1">
      <c r="C24" s="768"/>
      <c r="D24" s="768"/>
      <c r="E24" s="768"/>
      <c r="F24" s="768"/>
      <c r="G24" s="768"/>
      <c r="H24" s="768"/>
      <c r="I24" s="768"/>
      <c r="J24" s="768"/>
      <c r="K24" s="768"/>
      <c r="L24" s="768"/>
      <c r="M24" s="768"/>
      <c r="N24" s="768"/>
      <c r="O24" s="768"/>
      <c r="P24" s="768"/>
      <c r="Q24" s="768"/>
      <c r="R24" s="768"/>
      <c r="S24" s="768"/>
      <c r="T24" s="768"/>
      <c r="U24" s="768"/>
      <c r="V24" s="768"/>
      <c r="W24" s="768"/>
      <c r="X24" s="768"/>
      <c r="Y24" s="768"/>
      <c r="Z24" s="768"/>
      <c r="AA24" s="768"/>
      <c r="AB24" s="768"/>
      <c r="AC24" s="768"/>
      <c r="AD24" s="768"/>
      <c r="AE24" s="768"/>
      <c r="AF24" s="768"/>
      <c r="AG24" s="768"/>
      <c r="AH24" s="768"/>
      <c r="AI24" s="768"/>
      <c r="AJ24" s="768"/>
      <c r="AK24" s="768"/>
      <c r="AL24" s="768"/>
      <c r="AM24" s="768"/>
      <c r="AN24" s="768"/>
      <c r="AO24" s="768"/>
      <c r="AP24" s="768"/>
      <c r="AQ24" s="768"/>
      <c r="AR24" s="768"/>
      <c r="AS24" s="768"/>
      <c r="AT24" s="768"/>
    </row>
    <row r="25" spans="3:46" s="15" customFormat="1">
      <c r="C25" s="768"/>
      <c r="D25" s="768"/>
      <c r="E25" s="768"/>
      <c r="F25" s="768"/>
      <c r="G25" s="768"/>
      <c r="H25" s="768"/>
      <c r="I25" s="768"/>
      <c r="J25" s="768"/>
      <c r="K25" s="768"/>
      <c r="L25" s="768"/>
      <c r="M25" s="768"/>
      <c r="N25" s="768"/>
      <c r="O25" s="768"/>
      <c r="P25" s="768"/>
      <c r="Q25" s="768"/>
      <c r="R25" s="768"/>
      <c r="S25" s="768"/>
      <c r="T25" s="768"/>
      <c r="U25" s="768"/>
      <c r="V25" s="768"/>
      <c r="W25" s="768"/>
      <c r="X25" s="768"/>
      <c r="Y25" s="768"/>
      <c r="Z25" s="768"/>
      <c r="AA25" s="768"/>
      <c r="AB25" s="768"/>
      <c r="AC25" s="768"/>
      <c r="AD25" s="768"/>
      <c r="AE25" s="768"/>
      <c r="AF25" s="768"/>
      <c r="AG25" s="768"/>
      <c r="AH25" s="768"/>
      <c r="AI25" s="768"/>
      <c r="AJ25" s="768"/>
      <c r="AK25" s="768"/>
      <c r="AL25" s="768"/>
      <c r="AM25" s="768"/>
      <c r="AN25" s="768"/>
      <c r="AO25" s="768"/>
      <c r="AP25" s="768"/>
      <c r="AQ25" s="768"/>
      <c r="AR25" s="768"/>
      <c r="AS25" s="768"/>
      <c r="AT25" s="768"/>
    </row>
    <row r="26" spans="3:46" s="15" customFormat="1">
      <c r="C26" s="768"/>
      <c r="D26" s="768"/>
      <c r="E26" s="768"/>
      <c r="F26" s="768"/>
      <c r="G26" s="768"/>
      <c r="H26" s="768"/>
      <c r="I26" s="768"/>
      <c r="J26" s="768"/>
      <c r="K26" s="768"/>
      <c r="L26" s="768"/>
      <c r="M26" s="768"/>
      <c r="N26" s="768"/>
      <c r="O26" s="768"/>
      <c r="P26" s="768"/>
      <c r="Q26" s="768"/>
      <c r="R26" s="768"/>
      <c r="S26" s="768"/>
      <c r="T26" s="768"/>
      <c r="U26" s="768"/>
      <c r="V26" s="768"/>
      <c r="W26" s="768"/>
      <c r="X26" s="768"/>
      <c r="Y26" s="768"/>
      <c r="Z26" s="768"/>
      <c r="AA26" s="768"/>
      <c r="AB26" s="768"/>
      <c r="AC26" s="768"/>
      <c r="AD26" s="768"/>
      <c r="AE26" s="768"/>
      <c r="AF26" s="768"/>
      <c r="AG26" s="768"/>
      <c r="AH26" s="768"/>
      <c r="AI26" s="768"/>
      <c r="AJ26" s="768"/>
      <c r="AK26" s="768"/>
      <c r="AL26" s="768"/>
      <c r="AM26" s="768"/>
      <c r="AN26" s="768"/>
      <c r="AO26" s="768"/>
      <c r="AP26" s="768"/>
      <c r="AQ26" s="768"/>
      <c r="AR26" s="768"/>
      <c r="AS26" s="768"/>
      <c r="AT26" s="768"/>
    </row>
    <row r="27" spans="3:46" s="15" customFormat="1">
      <c r="C27" s="768"/>
      <c r="D27" s="768"/>
      <c r="E27" s="768"/>
      <c r="F27" s="768"/>
      <c r="G27" s="768"/>
      <c r="H27" s="768"/>
      <c r="I27" s="768"/>
      <c r="J27" s="768"/>
      <c r="K27" s="768"/>
      <c r="L27" s="768"/>
      <c r="M27" s="768"/>
      <c r="N27" s="768"/>
      <c r="O27" s="768"/>
      <c r="P27" s="768"/>
      <c r="Q27" s="768"/>
      <c r="R27" s="768"/>
      <c r="S27" s="768"/>
      <c r="T27" s="768"/>
      <c r="U27" s="768"/>
      <c r="V27" s="768"/>
      <c r="W27" s="768"/>
      <c r="X27" s="768"/>
      <c r="Y27" s="768"/>
      <c r="Z27" s="768"/>
      <c r="AA27" s="768"/>
      <c r="AB27" s="768"/>
      <c r="AC27" s="768"/>
      <c r="AD27" s="768"/>
      <c r="AE27" s="768"/>
      <c r="AF27" s="768"/>
      <c r="AG27" s="768"/>
      <c r="AH27" s="768"/>
      <c r="AI27" s="768"/>
      <c r="AJ27" s="768"/>
      <c r="AK27" s="768"/>
      <c r="AL27" s="768"/>
      <c r="AM27" s="768"/>
      <c r="AN27" s="768"/>
      <c r="AO27" s="768"/>
      <c r="AP27" s="768"/>
      <c r="AQ27" s="768"/>
      <c r="AR27" s="768"/>
      <c r="AS27" s="768"/>
      <c r="AT27" s="768"/>
    </row>
    <row r="28" spans="3:46" s="15" customFormat="1">
      <c r="C28" s="768"/>
      <c r="D28" s="768"/>
      <c r="E28" s="768"/>
      <c r="F28" s="768"/>
      <c r="G28" s="768"/>
      <c r="H28" s="768"/>
      <c r="I28" s="768"/>
      <c r="J28" s="768"/>
      <c r="K28" s="768"/>
      <c r="L28" s="768"/>
      <c r="M28" s="768"/>
      <c r="N28" s="768"/>
      <c r="O28" s="768"/>
      <c r="P28" s="768"/>
      <c r="Q28" s="768"/>
      <c r="R28" s="768"/>
      <c r="S28" s="768"/>
      <c r="T28" s="768"/>
      <c r="U28" s="768"/>
      <c r="V28" s="768"/>
      <c r="W28" s="768"/>
      <c r="X28" s="768"/>
      <c r="Y28" s="768"/>
      <c r="Z28" s="768"/>
      <c r="AA28" s="768"/>
      <c r="AB28" s="768"/>
      <c r="AC28" s="768"/>
      <c r="AD28" s="768"/>
      <c r="AE28" s="768"/>
      <c r="AF28" s="768"/>
      <c r="AG28" s="768"/>
      <c r="AH28" s="768"/>
      <c r="AI28" s="768"/>
      <c r="AJ28" s="768"/>
      <c r="AK28" s="768"/>
      <c r="AL28" s="768"/>
      <c r="AM28" s="768"/>
      <c r="AN28" s="768"/>
      <c r="AO28" s="768"/>
      <c r="AP28" s="768"/>
      <c r="AQ28" s="768"/>
      <c r="AR28" s="768"/>
      <c r="AS28" s="768"/>
      <c r="AT28" s="768"/>
    </row>
    <row r="29" spans="3:46" s="15" customFormat="1">
      <c r="C29" s="768"/>
      <c r="D29" s="768"/>
      <c r="E29" s="768"/>
      <c r="F29" s="768"/>
      <c r="G29" s="768"/>
      <c r="H29" s="768"/>
      <c r="I29" s="768"/>
      <c r="J29" s="768"/>
      <c r="K29" s="768"/>
      <c r="L29" s="768"/>
      <c r="M29" s="768"/>
      <c r="N29" s="768"/>
      <c r="O29" s="768"/>
      <c r="P29" s="768"/>
      <c r="Q29" s="768"/>
      <c r="R29" s="768"/>
      <c r="S29" s="768"/>
      <c r="T29" s="768"/>
      <c r="U29" s="768"/>
      <c r="V29" s="768"/>
      <c r="W29" s="768"/>
      <c r="X29" s="768"/>
      <c r="Y29" s="768"/>
      <c r="Z29" s="768"/>
      <c r="AA29" s="768"/>
      <c r="AB29" s="768"/>
      <c r="AC29" s="768"/>
      <c r="AD29" s="768"/>
      <c r="AE29" s="768"/>
      <c r="AF29" s="768"/>
      <c r="AG29" s="768"/>
      <c r="AH29" s="768"/>
      <c r="AI29" s="768"/>
      <c r="AJ29" s="768"/>
      <c r="AK29" s="768"/>
      <c r="AL29" s="768"/>
      <c r="AM29" s="768"/>
      <c r="AN29" s="768"/>
      <c r="AO29" s="768"/>
      <c r="AP29" s="768"/>
      <c r="AQ29" s="768"/>
      <c r="AR29" s="768"/>
      <c r="AS29" s="768"/>
      <c r="AT29" s="768"/>
    </row>
    <row r="30" spans="3:46" s="15" customFormat="1">
      <c r="C30" s="768"/>
      <c r="D30" s="768"/>
      <c r="E30" s="768"/>
      <c r="F30" s="768"/>
      <c r="G30" s="768"/>
      <c r="H30" s="768"/>
      <c r="I30" s="768"/>
      <c r="J30" s="768"/>
      <c r="K30" s="768"/>
      <c r="L30" s="768"/>
      <c r="M30" s="768"/>
      <c r="N30" s="768"/>
      <c r="O30" s="768"/>
      <c r="P30" s="768"/>
      <c r="Q30" s="768"/>
      <c r="R30" s="768"/>
      <c r="S30" s="768"/>
      <c r="T30" s="768"/>
      <c r="U30" s="768"/>
      <c r="V30" s="768"/>
      <c r="W30" s="768"/>
      <c r="X30" s="768"/>
      <c r="Y30" s="768"/>
      <c r="Z30" s="768"/>
      <c r="AA30" s="768"/>
      <c r="AB30" s="768"/>
      <c r="AC30" s="768"/>
      <c r="AD30" s="768"/>
      <c r="AE30" s="768"/>
      <c r="AF30" s="768"/>
      <c r="AG30" s="768"/>
      <c r="AH30" s="768"/>
      <c r="AI30" s="768"/>
      <c r="AJ30" s="768"/>
      <c r="AK30" s="768"/>
      <c r="AL30" s="768"/>
      <c r="AM30" s="768"/>
      <c r="AN30" s="768"/>
      <c r="AO30" s="768"/>
      <c r="AP30" s="768"/>
      <c r="AQ30" s="768"/>
      <c r="AR30" s="768"/>
      <c r="AS30" s="768"/>
      <c r="AT30" s="768"/>
    </row>
    <row r="31" spans="3:46" s="15" customFormat="1">
      <c r="C31" s="768"/>
      <c r="D31" s="768"/>
      <c r="E31" s="768"/>
      <c r="F31" s="768"/>
      <c r="G31" s="768"/>
      <c r="H31" s="768"/>
      <c r="I31" s="768"/>
      <c r="J31" s="768"/>
      <c r="K31" s="768"/>
      <c r="L31" s="768"/>
      <c r="M31" s="768"/>
      <c r="N31" s="768"/>
      <c r="O31" s="768"/>
      <c r="P31" s="768"/>
      <c r="Q31" s="768"/>
      <c r="R31" s="768"/>
      <c r="S31" s="768"/>
      <c r="T31" s="768"/>
      <c r="U31" s="768"/>
      <c r="V31" s="768"/>
      <c r="W31" s="768"/>
      <c r="X31" s="768"/>
      <c r="Y31" s="768"/>
      <c r="Z31" s="768"/>
      <c r="AA31" s="768"/>
      <c r="AB31" s="768"/>
      <c r="AC31" s="768"/>
      <c r="AD31" s="768"/>
      <c r="AE31" s="768"/>
      <c r="AF31" s="768"/>
      <c r="AG31" s="768"/>
      <c r="AH31" s="768"/>
      <c r="AI31" s="768"/>
      <c r="AJ31" s="768"/>
      <c r="AK31" s="768"/>
      <c r="AL31" s="768"/>
      <c r="AM31" s="768"/>
      <c r="AN31" s="768"/>
      <c r="AO31" s="768"/>
      <c r="AP31" s="768"/>
      <c r="AQ31" s="768"/>
      <c r="AR31" s="768"/>
      <c r="AS31" s="768"/>
      <c r="AT31" s="768"/>
    </row>
    <row r="32" spans="3:46" s="15" customFormat="1">
      <c r="C32" s="768"/>
      <c r="D32" s="768"/>
      <c r="E32" s="768"/>
      <c r="F32" s="768"/>
      <c r="G32" s="768"/>
      <c r="H32" s="768"/>
      <c r="I32" s="768"/>
      <c r="J32" s="768"/>
      <c r="K32" s="768"/>
      <c r="L32" s="768"/>
      <c r="M32" s="768"/>
      <c r="N32" s="768"/>
      <c r="O32" s="768"/>
      <c r="P32" s="768"/>
      <c r="Q32" s="768"/>
      <c r="R32" s="768"/>
      <c r="S32" s="768"/>
      <c r="T32" s="768"/>
      <c r="U32" s="768"/>
      <c r="V32" s="768"/>
      <c r="W32" s="768"/>
      <c r="X32" s="768"/>
      <c r="Y32" s="768"/>
      <c r="Z32" s="768"/>
      <c r="AA32" s="768"/>
      <c r="AB32" s="768"/>
      <c r="AC32" s="768"/>
      <c r="AD32" s="768"/>
      <c r="AE32" s="768"/>
      <c r="AF32" s="768"/>
      <c r="AG32" s="768"/>
      <c r="AH32" s="768"/>
      <c r="AI32" s="768"/>
      <c r="AJ32" s="768"/>
      <c r="AK32" s="768"/>
      <c r="AL32" s="768"/>
      <c r="AM32" s="768"/>
      <c r="AN32" s="768"/>
      <c r="AO32" s="768"/>
      <c r="AP32" s="768"/>
      <c r="AQ32" s="768"/>
      <c r="AR32" s="768"/>
      <c r="AS32" s="768"/>
      <c r="AT32" s="768"/>
    </row>
    <row r="33" spans="3:46" s="15" customFormat="1">
      <c r="C33" s="768"/>
      <c r="D33" s="768"/>
      <c r="E33" s="768"/>
      <c r="F33" s="768"/>
      <c r="G33" s="768"/>
      <c r="H33" s="768"/>
      <c r="I33" s="768"/>
      <c r="J33" s="768"/>
      <c r="K33" s="768"/>
      <c r="L33" s="768"/>
      <c r="M33" s="768"/>
      <c r="N33" s="768"/>
      <c r="O33" s="768"/>
      <c r="P33" s="768"/>
      <c r="Q33" s="768"/>
      <c r="R33" s="768"/>
      <c r="S33" s="768"/>
      <c r="T33" s="768"/>
      <c r="U33" s="768"/>
      <c r="V33" s="768"/>
      <c r="W33" s="768"/>
      <c r="X33" s="768"/>
      <c r="Y33" s="768"/>
      <c r="Z33" s="768"/>
      <c r="AA33" s="768"/>
      <c r="AB33" s="768"/>
      <c r="AC33" s="768"/>
      <c r="AD33" s="768"/>
      <c r="AE33" s="768"/>
      <c r="AF33" s="768"/>
      <c r="AG33" s="768"/>
      <c r="AH33" s="768"/>
      <c r="AI33" s="768"/>
      <c r="AJ33" s="768"/>
      <c r="AK33" s="768"/>
      <c r="AL33" s="768"/>
      <c r="AM33" s="768"/>
      <c r="AN33" s="768"/>
      <c r="AO33" s="768"/>
      <c r="AP33" s="768"/>
      <c r="AQ33" s="768"/>
      <c r="AR33" s="768"/>
      <c r="AS33" s="768"/>
      <c r="AT33" s="768"/>
    </row>
    <row r="34" spans="3:46" s="15" customFormat="1">
      <c r="C34" s="768"/>
      <c r="D34" s="768"/>
      <c r="E34" s="768"/>
      <c r="F34" s="768"/>
      <c r="G34" s="768"/>
      <c r="H34" s="768"/>
      <c r="I34" s="768"/>
      <c r="J34" s="768"/>
      <c r="K34" s="768"/>
      <c r="L34" s="768"/>
      <c r="M34" s="768"/>
      <c r="N34" s="768"/>
      <c r="O34" s="768"/>
      <c r="P34" s="768"/>
      <c r="Q34" s="768"/>
      <c r="R34" s="768"/>
      <c r="S34" s="768"/>
      <c r="T34" s="768"/>
      <c r="U34" s="768"/>
      <c r="V34" s="768"/>
      <c r="W34" s="768"/>
      <c r="X34" s="768"/>
      <c r="Y34" s="768"/>
      <c r="Z34" s="768"/>
      <c r="AA34" s="768"/>
      <c r="AB34" s="768"/>
      <c r="AC34" s="768"/>
      <c r="AD34" s="768"/>
      <c r="AE34" s="768"/>
      <c r="AF34" s="768"/>
      <c r="AG34" s="768"/>
      <c r="AH34" s="768"/>
      <c r="AI34" s="768"/>
      <c r="AJ34" s="768"/>
      <c r="AK34" s="768"/>
      <c r="AL34" s="768"/>
      <c r="AM34" s="768"/>
      <c r="AN34" s="768"/>
      <c r="AO34" s="768"/>
      <c r="AP34" s="768"/>
      <c r="AQ34" s="768"/>
      <c r="AR34" s="768"/>
      <c r="AS34" s="768"/>
      <c r="AT34" s="768"/>
    </row>
    <row r="35" spans="3:46" s="15" customFormat="1">
      <c r="C35" s="768"/>
      <c r="D35" s="768"/>
      <c r="E35" s="768"/>
      <c r="F35" s="768"/>
      <c r="G35" s="768"/>
      <c r="H35" s="768"/>
      <c r="I35" s="768"/>
      <c r="J35" s="768"/>
      <c r="K35" s="768"/>
      <c r="L35" s="768"/>
      <c r="M35" s="768"/>
      <c r="N35" s="768"/>
      <c r="O35" s="768"/>
      <c r="P35" s="768"/>
      <c r="Q35" s="768"/>
      <c r="R35" s="768"/>
      <c r="S35" s="768"/>
      <c r="T35" s="768"/>
      <c r="U35" s="768"/>
      <c r="V35" s="768"/>
      <c r="W35" s="768"/>
      <c r="X35" s="768"/>
      <c r="Y35" s="768"/>
      <c r="Z35" s="768"/>
      <c r="AA35" s="768"/>
      <c r="AB35" s="768"/>
      <c r="AC35" s="768"/>
      <c r="AD35" s="768"/>
      <c r="AE35" s="768"/>
      <c r="AF35" s="768"/>
      <c r="AG35" s="768"/>
      <c r="AH35" s="768"/>
      <c r="AI35" s="768"/>
      <c r="AJ35" s="768"/>
      <c r="AK35" s="768"/>
      <c r="AL35" s="768"/>
      <c r="AM35" s="768"/>
      <c r="AN35" s="768"/>
      <c r="AO35" s="768"/>
      <c r="AP35" s="768"/>
      <c r="AQ35" s="768"/>
      <c r="AR35" s="768"/>
      <c r="AS35" s="768"/>
      <c r="AT35" s="768"/>
    </row>
    <row r="36" spans="3:46" s="15" customFormat="1">
      <c r="C36" s="768"/>
      <c r="D36" s="768"/>
      <c r="E36" s="768"/>
      <c r="F36" s="768"/>
      <c r="G36" s="768"/>
      <c r="H36" s="768"/>
      <c r="I36" s="768"/>
      <c r="J36" s="768"/>
      <c r="K36" s="768"/>
      <c r="L36" s="768"/>
      <c r="M36" s="768"/>
      <c r="N36" s="768"/>
      <c r="O36" s="768"/>
      <c r="P36" s="768"/>
      <c r="Q36" s="768"/>
      <c r="R36" s="768"/>
      <c r="S36" s="768"/>
      <c r="T36" s="768"/>
      <c r="U36" s="768"/>
      <c r="V36" s="768"/>
      <c r="W36" s="768"/>
      <c r="X36" s="768"/>
      <c r="Y36" s="768"/>
      <c r="Z36" s="768"/>
      <c r="AA36" s="768"/>
      <c r="AB36" s="768"/>
      <c r="AC36" s="768"/>
      <c r="AD36" s="768"/>
      <c r="AE36" s="768"/>
      <c r="AF36" s="768"/>
      <c r="AG36" s="768"/>
      <c r="AH36" s="768"/>
      <c r="AI36" s="768"/>
      <c r="AJ36" s="768"/>
      <c r="AK36" s="768"/>
      <c r="AL36" s="768"/>
      <c r="AM36" s="768"/>
      <c r="AN36" s="768"/>
      <c r="AO36" s="768"/>
      <c r="AP36" s="768"/>
      <c r="AQ36" s="768"/>
      <c r="AR36" s="768"/>
      <c r="AS36" s="768"/>
      <c r="AT36" s="768"/>
    </row>
    <row r="37" spans="3:46" s="15" customFormat="1">
      <c r="C37" s="768"/>
      <c r="D37" s="768"/>
      <c r="E37" s="768"/>
      <c r="F37" s="768"/>
      <c r="G37" s="768"/>
      <c r="H37" s="768"/>
      <c r="I37" s="768"/>
      <c r="J37" s="768"/>
      <c r="K37" s="768"/>
      <c r="L37" s="768"/>
      <c r="M37" s="768"/>
      <c r="N37" s="768"/>
      <c r="O37" s="768"/>
      <c r="P37" s="768"/>
      <c r="Q37" s="768"/>
      <c r="R37" s="768"/>
      <c r="S37" s="768"/>
      <c r="T37" s="768"/>
      <c r="U37" s="768"/>
      <c r="V37" s="768"/>
      <c r="W37" s="768"/>
      <c r="X37" s="768"/>
      <c r="Y37" s="768"/>
      <c r="Z37" s="768"/>
      <c r="AA37" s="768"/>
      <c r="AB37" s="768"/>
      <c r="AC37" s="768"/>
      <c r="AD37" s="768"/>
      <c r="AE37" s="768"/>
      <c r="AF37" s="768"/>
      <c r="AG37" s="768"/>
      <c r="AH37" s="768"/>
      <c r="AI37" s="768"/>
      <c r="AJ37" s="768"/>
      <c r="AK37" s="768"/>
      <c r="AL37" s="768"/>
      <c r="AM37" s="768"/>
      <c r="AN37" s="768"/>
      <c r="AO37" s="768"/>
      <c r="AP37" s="768"/>
      <c r="AQ37" s="768"/>
      <c r="AR37" s="768"/>
      <c r="AS37" s="768"/>
      <c r="AT37" s="768"/>
    </row>
    <row r="38" spans="3:46" s="15" customFormat="1">
      <c r="C38" s="768"/>
      <c r="D38" s="768"/>
      <c r="E38" s="768"/>
      <c r="F38" s="768"/>
      <c r="G38" s="768"/>
      <c r="H38" s="768"/>
      <c r="I38" s="768"/>
      <c r="J38" s="768"/>
      <c r="K38" s="768"/>
      <c r="L38" s="768"/>
      <c r="M38" s="768"/>
      <c r="N38" s="768"/>
      <c r="O38" s="768"/>
      <c r="P38" s="768"/>
      <c r="Q38" s="768"/>
      <c r="R38" s="768"/>
      <c r="S38" s="768"/>
      <c r="T38" s="768"/>
      <c r="U38" s="768"/>
      <c r="V38" s="768"/>
      <c r="W38" s="768"/>
      <c r="X38" s="768"/>
      <c r="Y38" s="768"/>
      <c r="Z38" s="768"/>
      <c r="AA38" s="768"/>
      <c r="AB38" s="768"/>
      <c r="AC38" s="768"/>
      <c r="AD38" s="768"/>
      <c r="AE38" s="768"/>
      <c r="AF38" s="768"/>
      <c r="AG38" s="768"/>
      <c r="AH38" s="768"/>
      <c r="AI38" s="768"/>
      <c r="AJ38" s="768"/>
      <c r="AK38" s="768"/>
      <c r="AL38" s="768"/>
      <c r="AM38" s="768"/>
      <c r="AN38" s="768"/>
      <c r="AO38" s="768"/>
      <c r="AP38" s="768"/>
      <c r="AQ38" s="768"/>
      <c r="AR38" s="768"/>
      <c r="AS38" s="768"/>
      <c r="AT38" s="768"/>
    </row>
    <row r="39" spans="3:46" s="15" customFormat="1">
      <c r="C39" s="768"/>
      <c r="D39" s="768"/>
      <c r="E39" s="768"/>
      <c r="F39" s="768"/>
      <c r="G39" s="768"/>
      <c r="H39" s="768"/>
      <c r="I39" s="768"/>
      <c r="J39" s="768"/>
      <c r="K39" s="768"/>
      <c r="L39" s="768"/>
      <c r="M39" s="768"/>
      <c r="N39" s="768"/>
      <c r="O39" s="768"/>
      <c r="P39" s="768"/>
      <c r="Q39" s="768"/>
      <c r="R39" s="768"/>
      <c r="S39" s="768"/>
      <c r="T39" s="768"/>
      <c r="U39" s="768"/>
      <c r="V39" s="768"/>
      <c r="W39" s="768"/>
      <c r="X39" s="768"/>
      <c r="Y39" s="768"/>
      <c r="Z39" s="768"/>
      <c r="AA39" s="768"/>
      <c r="AB39" s="768"/>
      <c r="AC39" s="768"/>
      <c r="AD39" s="768"/>
      <c r="AE39" s="768"/>
      <c r="AF39" s="768"/>
      <c r="AG39" s="768"/>
      <c r="AH39" s="768"/>
      <c r="AI39" s="768"/>
      <c r="AJ39" s="768"/>
      <c r="AK39" s="768"/>
      <c r="AL39" s="768"/>
      <c r="AM39" s="768"/>
      <c r="AN39" s="768"/>
      <c r="AO39" s="768"/>
      <c r="AP39" s="768"/>
      <c r="AQ39" s="768"/>
      <c r="AR39" s="768"/>
      <c r="AS39" s="768"/>
      <c r="AT39" s="768"/>
    </row>
    <row r="40" spans="3:46" s="15" customFormat="1">
      <c r="C40" s="768"/>
      <c r="D40" s="768"/>
      <c r="E40" s="768"/>
      <c r="F40" s="768"/>
      <c r="G40" s="768"/>
      <c r="H40" s="768"/>
      <c r="I40" s="768"/>
      <c r="J40" s="768"/>
      <c r="K40" s="768"/>
      <c r="L40" s="768"/>
      <c r="M40" s="768"/>
      <c r="N40" s="768"/>
      <c r="O40" s="768"/>
      <c r="P40" s="768"/>
      <c r="Q40" s="768"/>
      <c r="R40" s="768"/>
      <c r="S40" s="768"/>
      <c r="T40" s="768"/>
      <c r="U40" s="768"/>
      <c r="V40" s="768"/>
      <c r="W40" s="768"/>
      <c r="X40" s="768"/>
      <c r="Y40" s="768"/>
      <c r="Z40" s="768"/>
      <c r="AA40" s="768"/>
      <c r="AB40" s="768"/>
      <c r="AC40" s="768"/>
      <c r="AD40" s="768"/>
      <c r="AE40" s="768"/>
      <c r="AF40" s="768"/>
      <c r="AG40" s="768"/>
      <c r="AH40" s="768"/>
      <c r="AI40" s="768"/>
      <c r="AJ40" s="768"/>
      <c r="AK40" s="768"/>
      <c r="AL40" s="768"/>
      <c r="AM40" s="768"/>
      <c r="AN40" s="768"/>
      <c r="AO40" s="768"/>
      <c r="AP40" s="768"/>
      <c r="AQ40" s="768"/>
      <c r="AR40" s="768"/>
      <c r="AS40" s="768"/>
      <c r="AT40" s="768"/>
    </row>
    <row r="41" spans="3:46" s="15" customFormat="1">
      <c r="C41" s="768"/>
      <c r="D41" s="768"/>
      <c r="E41" s="768"/>
      <c r="F41" s="768"/>
      <c r="G41" s="768"/>
      <c r="H41" s="768"/>
      <c r="I41" s="768"/>
      <c r="J41" s="768"/>
      <c r="K41" s="768"/>
      <c r="L41" s="768"/>
      <c r="M41" s="768"/>
      <c r="N41" s="768"/>
      <c r="O41" s="768"/>
      <c r="P41" s="768"/>
      <c r="Q41" s="768"/>
      <c r="R41" s="768"/>
      <c r="S41" s="768"/>
      <c r="T41" s="768"/>
      <c r="U41" s="768"/>
      <c r="V41" s="768"/>
      <c r="W41" s="768"/>
      <c r="X41" s="768"/>
      <c r="Y41" s="768"/>
      <c r="Z41" s="768"/>
      <c r="AA41" s="768"/>
      <c r="AB41" s="768"/>
      <c r="AC41" s="768"/>
      <c r="AD41" s="768"/>
      <c r="AE41" s="768"/>
      <c r="AF41" s="768"/>
      <c r="AG41" s="768"/>
      <c r="AH41" s="768"/>
      <c r="AI41" s="768"/>
      <c r="AJ41" s="768"/>
      <c r="AK41" s="768"/>
      <c r="AL41" s="768"/>
      <c r="AM41" s="768"/>
      <c r="AN41" s="768"/>
      <c r="AO41" s="768"/>
      <c r="AP41" s="768"/>
      <c r="AQ41" s="768"/>
      <c r="AR41" s="768"/>
      <c r="AS41" s="768"/>
      <c r="AT41" s="768"/>
    </row>
    <row r="42" spans="3:46" s="15" customFormat="1">
      <c r="C42" s="768"/>
      <c r="D42" s="768"/>
      <c r="E42" s="768"/>
      <c r="F42" s="768"/>
      <c r="G42" s="768"/>
      <c r="H42" s="768"/>
      <c r="I42" s="768"/>
      <c r="J42" s="768"/>
      <c r="K42" s="768"/>
      <c r="L42" s="768"/>
      <c r="M42" s="768"/>
      <c r="N42" s="768"/>
      <c r="O42" s="768"/>
      <c r="P42" s="768"/>
      <c r="Q42" s="768"/>
      <c r="R42" s="768"/>
      <c r="S42" s="768"/>
      <c r="T42" s="768"/>
      <c r="U42" s="768"/>
      <c r="V42" s="768"/>
      <c r="W42" s="768"/>
      <c r="X42" s="768"/>
      <c r="Y42" s="768"/>
      <c r="Z42" s="768"/>
      <c r="AA42" s="768"/>
      <c r="AB42" s="768"/>
      <c r="AC42" s="768"/>
      <c r="AD42" s="768"/>
      <c r="AE42" s="768"/>
      <c r="AF42" s="768"/>
      <c r="AG42" s="768"/>
      <c r="AH42" s="768"/>
      <c r="AI42" s="768"/>
      <c r="AJ42" s="768"/>
      <c r="AK42" s="768"/>
      <c r="AL42" s="768"/>
      <c r="AM42" s="768"/>
      <c r="AN42" s="768"/>
      <c r="AO42" s="768"/>
      <c r="AP42" s="768"/>
      <c r="AQ42" s="768"/>
      <c r="AR42" s="768"/>
      <c r="AS42" s="768"/>
      <c r="AT42" s="768"/>
    </row>
    <row r="43" spans="3:46" s="15" customFormat="1">
      <c r="C43" s="768"/>
      <c r="D43" s="768"/>
      <c r="E43" s="768"/>
      <c r="F43" s="768"/>
      <c r="G43" s="768"/>
      <c r="H43" s="768"/>
      <c r="I43" s="768"/>
      <c r="J43" s="768"/>
      <c r="K43" s="768"/>
      <c r="L43" s="768"/>
      <c r="M43" s="768"/>
      <c r="N43" s="768"/>
      <c r="O43" s="768"/>
      <c r="P43" s="768"/>
      <c r="Q43" s="768"/>
      <c r="R43" s="768"/>
      <c r="S43" s="768"/>
      <c r="T43" s="768"/>
      <c r="U43" s="768"/>
      <c r="V43" s="768"/>
      <c r="W43" s="768"/>
      <c r="X43" s="768"/>
      <c r="Y43" s="768"/>
      <c r="Z43" s="768"/>
      <c r="AA43" s="768"/>
      <c r="AB43" s="768"/>
      <c r="AC43" s="768"/>
      <c r="AD43" s="768"/>
      <c r="AE43" s="768"/>
      <c r="AF43" s="768"/>
      <c r="AG43" s="768"/>
      <c r="AH43" s="768"/>
      <c r="AI43" s="768"/>
      <c r="AJ43" s="768"/>
      <c r="AK43" s="768"/>
      <c r="AL43" s="768"/>
      <c r="AM43" s="768"/>
      <c r="AN43" s="768"/>
      <c r="AO43" s="768"/>
      <c r="AP43" s="768"/>
      <c r="AQ43" s="768"/>
      <c r="AR43" s="768"/>
      <c r="AS43" s="768"/>
      <c r="AT43" s="768"/>
    </row>
    <row r="44" spans="3:46" s="15" customFormat="1">
      <c r="C44" s="768"/>
      <c r="D44" s="768"/>
      <c r="E44" s="768"/>
      <c r="F44" s="768"/>
      <c r="G44" s="768"/>
      <c r="H44" s="768"/>
      <c r="I44" s="768"/>
      <c r="J44" s="768"/>
      <c r="K44" s="768"/>
      <c r="L44" s="768"/>
      <c r="M44" s="768"/>
      <c r="N44" s="768"/>
      <c r="O44" s="768"/>
      <c r="P44" s="768"/>
      <c r="Q44" s="768"/>
      <c r="R44" s="768"/>
      <c r="S44" s="768"/>
      <c r="T44" s="768"/>
      <c r="U44" s="768"/>
      <c r="V44" s="768"/>
      <c r="W44" s="768"/>
      <c r="X44" s="768"/>
      <c r="Y44" s="768"/>
      <c r="Z44" s="768"/>
      <c r="AA44" s="768"/>
      <c r="AB44" s="768"/>
      <c r="AC44" s="768"/>
      <c r="AD44" s="768"/>
      <c r="AE44" s="768"/>
      <c r="AF44" s="768"/>
      <c r="AG44" s="768"/>
      <c r="AH44" s="768"/>
      <c r="AI44" s="768"/>
      <c r="AJ44" s="768"/>
      <c r="AK44" s="768"/>
      <c r="AL44" s="768"/>
      <c r="AM44" s="768"/>
      <c r="AN44" s="768"/>
      <c r="AO44" s="768"/>
      <c r="AP44" s="768"/>
      <c r="AQ44" s="768"/>
      <c r="AR44" s="768"/>
      <c r="AS44" s="768"/>
      <c r="AT44" s="768"/>
    </row>
    <row r="77" spans="1:46">
      <c r="A77" s="1225" t="s">
        <v>604</v>
      </c>
      <c r="B77" s="1192" t="s">
        <v>1572</v>
      </c>
      <c r="C77" s="42"/>
      <c r="D77" s="42"/>
      <c r="E77" s="42"/>
      <c r="F77" s="42"/>
      <c r="G77" s="42"/>
      <c r="H77" s="42"/>
      <c r="I77" s="42"/>
      <c r="J77" s="42"/>
      <c r="K77" s="42"/>
      <c r="L77" s="42"/>
      <c r="M77" s="42"/>
      <c r="N77" s="42"/>
      <c r="O77" s="42"/>
      <c r="P77" s="42"/>
      <c r="Q77" s="42"/>
      <c r="R77" s="42"/>
      <c r="S77" s="42"/>
      <c r="T77" s="42"/>
      <c r="U77" s="42"/>
      <c r="V77" s="42"/>
      <c r="W77" s="42"/>
      <c r="X77" s="42"/>
      <c r="Y77" s="42"/>
      <c r="Z77" s="42"/>
      <c r="AA77" s="42"/>
      <c r="AB77" s="42"/>
      <c r="AC77" s="42"/>
      <c r="AD77" s="42"/>
      <c r="AE77" s="42"/>
      <c r="AF77" s="42"/>
      <c r="AG77" s="42"/>
      <c r="AH77" s="42"/>
      <c r="AI77" s="42"/>
      <c r="AJ77" s="42"/>
      <c r="AK77" s="42"/>
      <c r="AL77" s="42"/>
      <c r="AM77" s="42"/>
      <c r="AN77" s="42"/>
      <c r="AO77" s="42"/>
      <c r="AP77" s="42"/>
      <c r="AQ77" s="42"/>
      <c r="AR77" s="42"/>
      <c r="AS77" s="42"/>
      <c r="AT77" s="42"/>
    </row>
    <row r="78" spans="1:46">
      <c r="B78" s="42" t="s">
        <v>148</v>
      </c>
      <c r="C78" s="1122"/>
      <c r="D78" s="1122"/>
      <c r="E78" s="1122"/>
      <c r="F78" s="1122"/>
      <c r="G78" s="1122"/>
      <c r="H78" s="1122"/>
      <c r="I78" s="1122"/>
      <c r="J78" s="1122"/>
      <c r="K78" s="1122"/>
      <c r="L78" s="1122"/>
      <c r="M78" s="1122"/>
      <c r="N78" s="1122"/>
      <c r="O78" s="1122"/>
      <c r="P78" s="1193">
        <v>0.81</v>
      </c>
      <c r="Q78" s="1193">
        <v>0.79</v>
      </c>
      <c r="R78" s="1193">
        <v>0.79</v>
      </c>
      <c r="S78" s="1193">
        <v>0.74</v>
      </c>
      <c r="T78" s="1194">
        <v>0.81</v>
      </c>
      <c r="U78" s="1626">
        <f>Rev!BZ252</f>
        <v>0.84668192219679639</v>
      </c>
      <c r="V78" s="1626">
        <f>Rev!CA252</f>
        <v>0.83148558758314861</v>
      </c>
      <c r="W78" s="1626">
        <f>Rev!CB252</f>
        <v>0.83660130718954251</v>
      </c>
      <c r="X78" s="1626">
        <f>Rev!CC252</f>
        <v>0.84549356223175964</v>
      </c>
      <c r="Y78" s="1626">
        <f>Rev!CD252</f>
        <v>0.7967479674796748</v>
      </c>
      <c r="Z78" s="1626">
        <f>Rev!CE252</f>
        <v>0.81362725450901807</v>
      </c>
      <c r="AA78" s="1626">
        <f>Rev!CF252</f>
        <v>0.80888030888030893</v>
      </c>
      <c r="AB78" s="1626">
        <f>Rev!CG252</f>
        <v>0.80539499036608864</v>
      </c>
      <c r="AC78" s="1626">
        <f>Rev!CH252</f>
        <v>0.80681818181818177</v>
      </c>
      <c r="AD78" s="1626">
        <f>Rev!CI252</f>
        <v>0.81578947368421051</v>
      </c>
      <c r="AE78" s="1626">
        <f>Rev!CJ252</f>
        <v>0.76827094474153301</v>
      </c>
      <c r="AF78" s="1626">
        <f>Rev!CK252</f>
        <v>0.76325088339222613</v>
      </c>
      <c r="AG78" s="1626">
        <f>Rev!CL252</f>
        <v>0.78086956521739126</v>
      </c>
      <c r="AH78" s="1626">
        <f>Rev!CM252</f>
        <v>0.78956521739130436</v>
      </c>
      <c r="AI78" s="1626">
        <f>Rev!CN252</f>
        <v>0.78983050847457625</v>
      </c>
      <c r="AJ78" s="1626">
        <f>Rev!CO252</f>
        <v>0.7976588628762542</v>
      </c>
      <c r="AK78" s="1626">
        <f>Rev!CP252</f>
        <v>0.80655737704918029</v>
      </c>
      <c r="AL78" s="1626">
        <f>Rev!CQ252</f>
        <v>0.80830670926517567</v>
      </c>
      <c r="AM78" s="1626">
        <f>Rev!CR252</f>
        <v>0.805379746835443</v>
      </c>
      <c r="AN78" s="1626">
        <f>Rev!CS252</f>
        <v>0.82018927444794953</v>
      </c>
      <c r="AO78" s="1626">
        <f>Rev!CT252</f>
        <v>0.83280757097791802</v>
      </c>
      <c r="AP78" s="1626">
        <f>Rev!CU252</f>
        <v>0.82181259600614442</v>
      </c>
      <c r="AQ78" s="1626">
        <f>Rev!CV252</f>
        <v>0.79910044977511241</v>
      </c>
      <c r="AR78" s="1626">
        <f>Rev!CW252</f>
        <v>0.79791976225854389</v>
      </c>
      <c r="AS78" s="1626">
        <f>Rev!CX252</f>
        <v>0.78591954022988508</v>
      </c>
      <c r="AT78" s="1626">
        <f>Rev!CY252</f>
        <v>0.81931464174454827</v>
      </c>
    </row>
    <row r="79" spans="1:46">
      <c r="B79" s="42" t="s">
        <v>1225</v>
      </c>
      <c r="C79" s="1122"/>
      <c r="D79" s="1122"/>
      <c r="E79" s="1122"/>
      <c r="F79" s="1122"/>
      <c r="G79" s="1122"/>
      <c r="H79" s="1122"/>
      <c r="I79" s="1122"/>
      <c r="J79" s="1122"/>
      <c r="K79" s="1122"/>
      <c r="L79" s="1122"/>
      <c r="M79" s="1122"/>
      <c r="N79" s="1122"/>
      <c r="O79" s="1625">
        <f>Rev!BT627</f>
        <v>0.69444444444444442</v>
      </c>
      <c r="P79" s="1625">
        <f>Rev!BU627</f>
        <v>0.70462633451957291</v>
      </c>
      <c r="Q79" s="1625">
        <f>Rev!BV627</f>
        <v>0.70462633451957291</v>
      </c>
      <c r="R79" s="1625">
        <f>Rev!BW627</f>
        <v>0.74021352313167255</v>
      </c>
      <c r="S79" s="1625">
        <f>Rev!BX627</f>
        <v>0.77224199288256223</v>
      </c>
      <c r="T79" s="1625">
        <f>Rev!BY627</f>
        <v>0.71339563862928346</v>
      </c>
      <c r="U79" s="1625">
        <f>Rev!BZ627</f>
        <v>0.76582278481012656</v>
      </c>
      <c r="V79" s="1625">
        <f>Rev!CA627</f>
        <v>0.78164556962025311</v>
      </c>
      <c r="W79" s="1625">
        <f>Rev!CB627</f>
        <v>0.79746835443037978</v>
      </c>
      <c r="X79" s="1625">
        <f>Rev!CC627</f>
        <v>0.77524226320725231</v>
      </c>
      <c r="Y79" s="1625">
        <f>Rev!CD627</f>
        <v>0.68085106382978722</v>
      </c>
      <c r="Z79" s="1625">
        <f>Rev!CE627</f>
        <v>0.71010638297872342</v>
      </c>
      <c r="AA79" s="1625">
        <f>Rev!CF627</f>
        <v>0.71391076115485563</v>
      </c>
      <c r="AB79" s="1625">
        <f>Rev!CG627</f>
        <v>0.70959595959595956</v>
      </c>
      <c r="AC79" s="1625">
        <f>Rev!CH627</f>
        <v>0.72979797979797978</v>
      </c>
      <c r="AD79" s="1625">
        <f>Rev!CI627</f>
        <v>0.7142857142857143</v>
      </c>
      <c r="AE79" s="1625">
        <f>Rev!CJ627</f>
        <v>0.7769784172661871</v>
      </c>
      <c r="AF79" s="1625">
        <f>Rev!CK627</f>
        <v>0.79856115107913672</v>
      </c>
      <c r="AG79" s="1625">
        <f>Rev!CL627</f>
        <v>0.82254196642685851</v>
      </c>
      <c r="AH79" s="1625">
        <f>Rev!CM627</f>
        <v>0.80275229357798161</v>
      </c>
      <c r="AI79" s="1625">
        <f>Rev!CN627</f>
        <v>0.79955456570155903</v>
      </c>
      <c r="AJ79" s="1625">
        <f>Rev!CO627</f>
        <v>0.79405520169851385</v>
      </c>
      <c r="AK79" s="1625">
        <f>Rev!CP627</f>
        <v>0.81496881496881501</v>
      </c>
      <c r="AL79" s="1625">
        <f>Rev!CQ627</f>
        <v>0.81818181818181823</v>
      </c>
      <c r="AM79" s="1625">
        <f>Rev!CR627</f>
        <v>0.82071713147410363</v>
      </c>
      <c r="AN79" s="1625">
        <f>Rev!CS627</f>
        <v>0.84368737474949895</v>
      </c>
      <c r="AO79" s="1625">
        <f>Rev!CT627</f>
        <v>0.8</v>
      </c>
      <c r="AP79" s="1625">
        <f>Rev!CU627</f>
        <v>0.80474649406688237</v>
      </c>
      <c r="AQ79" s="1625">
        <f>Rev!CV627</f>
        <v>0.81477516059957178</v>
      </c>
      <c r="AR79" s="1625">
        <f>Rev!CW627</f>
        <v>0.81827731092436973</v>
      </c>
      <c r="AS79" s="1625">
        <f>Rev!CX627</f>
        <v>0.8005982053838484</v>
      </c>
      <c r="AT79" s="1625">
        <f>Rev!CY627</f>
        <v>0.82951146560319045</v>
      </c>
    </row>
    <row r="80" spans="1:46">
      <c r="B80" s="42" t="s">
        <v>997</v>
      </c>
      <c r="C80" s="1122"/>
      <c r="D80" s="1122"/>
      <c r="E80" s="1122"/>
      <c r="F80" s="1122"/>
      <c r="G80" s="1122"/>
      <c r="H80" s="1122"/>
      <c r="I80" s="1122"/>
      <c r="J80" s="1122"/>
      <c r="K80" s="1122"/>
      <c r="L80" s="1122"/>
      <c r="M80" s="1122"/>
      <c r="N80" s="1122"/>
      <c r="O80" s="1625">
        <f>Rev!BT464</f>
        <v>0.84444444444444444</v>
      </c>
      <c r="P80" s="1625">
        <f>Rev!BU464</f>
        <v>0.83157894736842108</v>
      </c>
      <c r="Q80" s="1625">
        <f>Rev!BV464</f>
        <v>0.76190476190476186</v>
      </c>
      <c r="R80" s="1625">
        <f>Rev!BW464</f>
        <v>0.79047619047619044</v>
      </c>
      <c r="S80" s="1625">
        <f>Rev!BX464</f>
        <v>0.81132075471698117</v>
      </c>
      <c r="T80" s="1625">
        <f>Rev!BY464</f>
        <v>0.6992481203007519</v>
      </c>
      <c r="U80" s="1625">
        <f>Rev!BZ464</f>
        <v>0.7007299270072993</v>
      </c>
      <c r="V80" s="1625">
        <f>Rev!CA464</f>
        <v>0.74452554744525545</v>
      </c>
      <c r="W80" s="1625">
        <f>Rev!CB464</f>
        <v>0.75912408759124084</v>
      </c>
      <c r="X80" s="1625">
        <f>Rev!CC464</f>
        <v>0.76223776223776218</v>
      </c>
      <c r="Y80" s="1625">
        <f>Rev!CD464</f>
        <v>0.72499999999999998</v>
      </c>
      <c r="Z80" s="1625">
        <f>Rev!CE464</f>
        <v>0.71359223300970875</v>
      </c>
      <c r="AA80" s="1625">
        <f>Rev!CF464</f>
        <v>0.68421052631578949</v>
      </c>
      <c r="AB80" s="1625">
        <f>Rev!CG464</f>
        <v>0.70813397129186606</v>
      </c>
      <c r="AC80" s="1625">
        <f>Rev!CH464</f>
        <v>0.7289719626168224</v>
      </c>
      <c r="AD80" s="1625">
        <f>Rev!CI464</f>
        <v>0.71365638766519823</v>
      </c>
      <c r="AE80" s="1625">
        <f>Rev!CJ464</f>
        <v>0.72222222222222221</v>
      </c>
      <c r="AF80" s="1625">
        <f>Rev!CK464</f>
        <v>0.7432432432432432</v>
      </c>
      <c r="AG80" s="1625">
        <f>Rev!CL464</f>
        <v>0.7847533632286996</v>
      </c>
      <c r="AH80" s="1625">
        <f>Rev!CM464</f>
        <v>0.7615062761506276</v>
      </c>
      <c r="AI80" s="1625">
        <f>Rev!CN464</f>
        <v>0.75494071146245056</v>
      </c>
      <c r="AJ80" s="1625">
        <f>Rev!CO464</f>
        <v>0.77186311787072248</v>
      </c>
      <c r="AK80" s="1625">
        <f>Rev!CP464</f>
        <v>0.78909090909090907</v>
      </c>
      <c r="AL80" s="1625">
        <f>Rev!CQ464</f>
        <v>0.81294964028776984</v>
      </c>
      <c r="AM80" s="1625">
        <f>Rev!CR464</f>
        <v>0.75737704918032789</v>
      </c>
      <c r="AN80" s="1625">
        <f>Rev!CS464</f>
        <v>0.76489028213166144</v>
      </c>
      <c r="AO80" s="1625">
        <f>Rev!CT464</f>
        <v>0.76969696969696966</v>
      </c>
      <c r="AP80" s="1625">
        <f>Rev!CU464</f>
        <v>0.73618090452261309</v>
      </c>
      <c r="AQ80" s="1625">
        <f>Rev!CV464</f>
        <v>0.72992700729927007</v>
      </c>
      <c r="AR80" s="1625">
        <f>Rev!CW464</f>
        <v>0.71896955503512883</v>
      </c>
      <c r="AS80" s="1625">
        <f>Rev!CX464</f>
        <v>0.74473067915690871</v>
      </c>
      <c r="AT80" s="1625">
        <f>Rev!CY464</f>
        <v>0.7432432432432432</v>
      </c>
    </row>
    <row r="99" spans="1:46">
      <c r="A99" s="1225" t="s">
        <v>604</v>
      </c>
      <c r="B99" s="1195" t="s">
        <v>160</v>
      </c>
      <c r="C99" s="42"/>
      <c r="D99" s="42"/>
      <c r="E99" s="42"/>
      <c r="F99" s="42"/>
      <c r="G99" s="42"/>
      <c r="H99" s="42"/>
      <c r="I99" s="42"/>
      <c r="J99" s="42"/>
      <c r="K99" s="42"/>
      <c r="L99" s="42"/>
      <c r="M99" s="42"/>
      <c r="N99" s="42"/>
      <c r="O99" s="42"/>
      <c r="P99" s="42"/>
      <c r="Q99" s="42"/>
      <c r="R99" s="42"/>
      <c r="S99" s="42"/>
      <c r="T99" s="42"/>
      <c r="U99" s="42"/>
      <c r="V99" s="42"/>
      <c r="W99" s="42"/>
      <c r="X99" s="42"/>
      <c r="Y99" s="42"/>
      <c r="Z99" s="42"/>
      <c r="AA99" s="42"/>
      <c r="AB99" s="42"/>
      <c r="AC99" s="42"/>
      <c r="AD99" s="42"/>
      <c r="AE99" s="42"/>
      <c r="AF99" s="42"/>
      <c r="AG99" s="42"/>
      <c r="AH99" s="42"/>
      <c r="AI99" s="42"/>
      <c r="AJ99" s="42"/>
      <c r="AK99" s="42"/>
      <c r="AL99" s="42"/>
      <c r="AM99" s="42"/>
      <c r="AN99" s="42"/>
      <c r="AO99" s="42"/>
      <c r="AP99" s="42"/>
      <c r="AQ99" s="42"/>
      <c r="AR99" s="42"/>
      <c r="AS99" s="42"/>
      <c r="AT99" s="42"/>
    </row>
    <row r="100" spans="1:46">
      <c r="A100" s="1225"/>
      <c r="B100" s="1102" t="s">
        <v>1715</v>
      </c>
      <c r="C100" s="42"/>
      <c r="D100" s="42"/>
      <c r="E100" s="42"/>
      <c r="F100" s="42"/>
      <c r="G100" s="42"/>
      <c r="H100" s="42"/>
      <c r="I100" s="42"/>
      <c r="J100" s="42"/>
      <c r="K100" s="42"/>
      <c r="L100" s="42"/>
      <c r="M100" s="42"/>
      <c r="N100" s="42"/>
      <c r="O100" s="42"/>
      <c r="P100" s="42"/>
      <c r="Q100" s="42"/>
      <c r="R100" s="42"/>
      <c r="S100" s="42"/>
      <c r="T100" s="42"/>
      <c r="U100" s="42"/>
      <c r="V100" s="42"/>
      <c r="W100" s="1627">
        <f>Rev!CB250</f>
        <v>900</v>
      </c>
      <c r="X100" s="1627">
        <f>Rev!CC250</f>
        <v>1000</v>
      </c>
      <c r="Y100" s="1627">
        <f>Rev!CD250</f>
        <v>-200</v>
      </c>
      <c r="Z100" s="1627">
        <f>Rev!CE250</f>
        <v>1400</v>
      </c>
      <c r="AA100" s="1627">
        <f>Rev!CF250</f>
        <v>1300</v>
      </c>
      <c r="AB100" s="1627">
        <f>Rev!CG250</f>
        <v>-100</v>
      </c>
      <c r="AC100" s="1627">
        <f>Rev!CH250</f>
        <v>800</v>
      </c>
      <c r="AD100" s="1627">
        <f>Rev!CI250</f>
        <v>800</v>
      </c>
      <c r="AE100" s="1627">
        <f>Rev!CJ250</f>
        <v>-300</v>
      </c>
      <c r="AF100" s="1627">
        <f>Rev!CK250</f>
        <v>100</v>
      </c>
      <c r="AG100" s="1627">
        <f>Rev!CL250</f>
        <v>1700</v>
      </c>
      <c r="AH100" s="1627">
        <f>Rev!CM250</f>
        <v>500</v>
      </c>
      <c r="AI100" s="1627">
        <f>Rev!CN250</f>
        <v>1200</v>
      </c>
      <c r="AJ100" s="1627">
        <f>Rev!CO250</f>
        <v>1100</v>
      </c>
      <c r="AK100" s="1627">
        <f>Rev!CP250</f>
        <v>1500</v>
      </c>
      <c r="AL100" s="1627">
        <f>Rev!CQ250</f>
        <v>1400</v>
      </c>
      <c r="AM100" s="1627">
        <f>Rev!CR250</f>
        <v>300</v>
      </c>
      <c r="AN100" s="1627">
        <f>Rev!CS250</f>
        <v>1100</v>
      </c>
      <c r="AO100" s="1627">
        <f>Rev!CT250</f>
        <v>800</v>
      </c>
      <c r="AP100" s="1627">
        <f>Rev!CU250</f>
        <v>700</v>
      </c>
      <c r="AQ100" s="1627">
        <f>Rev!CV250</f>
        <v>-200</v>
      </c>
      <c r="AR100" s="1627">
        <f>Rev!CW250</f>
        <v>400</v>
      </c>
      <c r="AS100" s="1627">
        <f>Rev!CX250</f>
        <v>1000</v>
      </c>
      <c r="AT100" s="1627">
        <f>Rev!CY250</f>
        <v>24200</v>
      </c>
    </row>
    <row r="101" spans="1:46">
      <c r="B101" s="42" t="s">
        <v>174</v>
      </c>
      <c r="C101" s="42"/>
      <c r="D101" s="42"/>
      <c r="E101" s="42"/>
      <c r="F101" s="42"/>
      <c r="G101" s="42"/>
      <c r="H101" s="42"/>
      <c r="I101" s="42"/>
      <c r="J101" s="42"/>
      <c r="K101" s="42"/>
      <c r="L101" s="42"/>
      <c r="M101" s="42"/>
      <c r="N101" s="42"/>
      <c r="O101" s="42"/>
      <c r="P101" s="1623">
        <f>Rev!BU274</f>
        <v>2051</v>
      </c>
      <c r="Q101" s="1623">
        <f>Rev!BV274</f>
        <v>2059</v>
      </c>
      <c r="R101" s="1623">
        <f>Rev!BW274</f>
        <v>2056</v>
      </c>
      <c r="S101" s="1623">
        <f>Rev!BX274</f>
        <v>2080</v>
      </c>
      <c r="T101" s="1623">
        <f>Rev!BY274</f>
        <v>2100</v>
      </c>
      <c r="U101" s="1623">
        <f>Rev!BZ274</f>
        <v>2141</v>
      </c>
      <c r="V101" s="1623">
        <f>Rev!CA274</f>
        <v>2166</v>
      </c>
      <c r="W101" s="1623">
        <f>Rev!CB274</f>
        <v>2207</v>
      </c>
      <c r="X101" s="1623">
        <f>Rev!CC274</f>
        <v>2212</v>
      </c>
      <c r="Y101" s="1623">
        <f>Rev!CD274</f>
        <v>2232</v>
      </c>
      <c r="Z101" s="1623">
        <f>Rev!CE274</f>
        <v>2248</v>
      </c>
      <c r="AA101" s="1623">
        <f>Rev!CF274</f>
        <v>2223</v>
      </c>
      <c r="AB101" s="1623">
        <f>Rev!CG274</f>
        <v>2225</v>
      </c>
      <c r="AC101" s="1623">
        <f>Rev!CH274</f>
        <v>2262</v>
      </c>
      <c r="AD101" s="1623">
        <f>Rev!CI274</f>
        <v>2262</v>
      </c>
      <c r="AE101" s="1623">
        <f>Rev!CJ274</f>
        <v>2354</v>
      </c>
      <c r="AF101" s="1623">
        <f>Rev!CK274</f>
        <v>2378</v>
      </c>
      <c r="AG101" s="1623">
        <f>Rev!CL274</f>
        <v>2403</v>
      </c>
      <c r="AH101" s="1623">
        <f>Rev!CM274</f>
        <v>2438</v>
      </c>
      <c r="AI101" s="1623">
        <f>Rev!CN274</f>
        <v>2450</v>
      </c>
      <c r="AJ101" s="1623">
        <f>Rev!CO274</f>
        <v>2450</v>
      </c>
      <c r="AK101" s="1623">
        <f>Rev!CP274</f>
        <v>2454</v>
      </c>
      <c r="AL101" s="1623">
        <f>Rev!CQ274</f>
        <v>2460</v>
      </c>
      <c r="AM101" s="1623">
        <f>Rev!CR274</f>
        <v>2482</v>
      </c>
      <c r="AN101" s="1623">
        <f>Rev!CS274</f>
        <v>2518</v>
      </c>
      <c r="AO101" s="1623">
        <f>Rev!CT274</f>
        <v>2524</v>
      </c>
      <c r="AP101" s="1623">
        <f>Rev!CU274</f>
        <v>2546</v>
      </c>
      <c r="AQ101" s="1623">
        <f>Rev!CV274</f>
        <v>2567</v>
      </c>
      <c r="AR101" s="1623">
        <f>Rev!CW274</f>
        <v>2578</v>
      </c>
      <c r="AS101" s="1623">
        <f>Rev!CX274</f>
        <v>2580</v>
      </c>
      <c r="AT101" s="1623">
        <f>Rev!CY274</f>
        <v>2371</v>
      </c>
    </row>
    <row r="102" spans="1:46">
      <c r="B102" s="1630" t="s">
        <v>95</v>
      </c>
      <c r="C102" s="42"/>
      <c r="D102" s="42"/>
      <c r="E102" s="42"/>
      <c r="F102" s="42"/>
      <c r="G102" s="42"/>
      <c r="H102" s="42"/>
      <c r="I102" s="42"/>
      <c r="J102" s="42"/>
      <c r="K102" s="42"/>
      <c r="L102" s="42"/>
      <c r="M102" s="42"/>
      <c r="N102" s="42"/>
      <c r="O102" s="42"/>
      <c r="P102" s="1623"/>
      <c r="Q102" s="1631">
        <f t="shared" ref="Q102:Z102" si="11">+Q101/P101-1</f>
        <v>3.9005363237445412E-3</v>
      </c>
      <c r="R102" s="1631">
        <f t="shared" si="11"/>
        <v>-1.4570179698882857E-3</v>
      </c>
      <c r="S102" s="1631">
        <f t="shared" si="11"/>
        <v>1.1673151750972721E-2</v>
      </c>
      <c r="T102" s="1631">
        <f t="shared" si="11"/>
        <v>9.6153846153845812E-3</v>
      </c>
      <c r="U102" s="1631">
        <f t="shared" si="11"/>
        <v>1.9523809523809499E-2</v>
      </c>
      <c r="V102" s="1631">
        <f t="shared" si="11"/>
        <v>1.1676786548341811E-2</v>
      </c>
      <c r="W102" s="1631">
        <f t="shared" si="11"/>
        <v>1.8928901200369275E-2</v>
      </c>
      <c r="X102" s="1631">
        <f t="shared" si="11"/>
        <v>2.2655188038060992E-3</v>
      </c>
      <c r="Y102" s="1631">
        <f t="shared" si="11"/>
        <v>9.0415913200723175E-3</v>
      </c>
      <c r="Z102" s="1631">
        <f t="shared" si="11"/>
        <v>7.1684587813620748E-3</v>
      </c>
      <c r="AA102" s="1631">
        <f t="shared" ref="AA102:AI102" si="12">+AA101/Z101-1</f>
        <v>-1.1120996441281172E-2</v>
      </c>
      <c r="AB102" s="1631">
        <f t="shared" si="12"/>
        <v>8.9968511021143449E-4</v>
      </c>
      <c r="AC102" s="1631">
        <f t="shared" si="12"/>
        <v>1.6629213483146055E-2</v>
      </c>
      <c r="AD102" s="1631">
        <f t="shared" si="12"/>
        <v>0</v>
      </c>
      <c r="AE102" s="1631">
        <f t="shared" si="12"/>
        <v>4.0671971706454535E-2</v>
      </c>
      <c r="AF102" s="1631">
        <f t="shared" si="12"/>
        <v>1.0195412064570863E-2</v>
      </c>
      <c r="AG102" s="1631">
        <f t="shared" si="12"/>
        <v>1.0513036164844447E-2</v>
      </c>
      <c r="AH102" s="1631">
        <f t="shared" si="12"/>
        <v>1.4565126924677596E-2</v>
      </c>
      <c r="AI102" s="1631">
        <f t="shared" si="12"/>
        <v>4.9220672682526168E-3</v>
      </c>
      <c r="AJ102" s="1631">
        <f t="shared" ref="AJ102:AP102" si="13">+AJ101/AI101-1</f>
        <v>0</v>
      </c>
      <c r="AK102" s="1631">
        <f t="shared" si="13"/>
        <v>1.6326530612245094E-3</v>
      </c>
      <c r="AL102" s="1631">
        <f t="shared" si="13"/>
        <v>2.4449877750611915E-3</v>
      </c>
      <c r="AM102" s="1631">
        <f t="shared" si="13"/>
        <v>8.9430894308943909E-3</v>
      </c>
      <c r="AN102" s="1631">
        <f t="shared" si="13"/>
        <v>1.4504431909750259E-2</v>
      </c>
      <c r="AO102" s="1631">
        <f t="shared" si="13"/>
        <v>2.3828435266084469E-3</v>
      </c>
      <c r="AP102" s="1631">
        <f t="shared" si="13"/>
        <v>8.7163232963549664E-3</v>
      </c>
      <c r="AQ102" s="1631">
        <f>+AQ101/AP101-1</f>
        <v>8.2482325216024499E-3</v>
      </c>
      <c r="AR102" s="1631">
        <f>+AR101/AQ101-1</f>
        <v>4.2851577717180067E-3</v>
      </c>
      <c r="AS102" s="1631">
        <f>+AS101/AR101-1</f>
        <v>7.7579519006976128E-4</v>
      </c>
      <c r="AT102" s="1631">
        <f>+AT101/AS101-1</f>
        <v>-8.1007751937984485E-2</v>
      </c>
    </row>
    <row r="103" spans="1:46">
      <c r="B103" s="42" t="s">
        <v>645</v>
      </c>
      <c r="C103" s="42"/>
      <c r="D103" s="42"/>
      <c r="E103" s="42"/>
      <c r="F103" s="42"/>
      <c r="G103" s="42"/>
      <c r="H103" s="42"/>
      <c r="I103" s="42"/>
      <c r="J103" s="42"/>
      <c r="K103" s="42"/>
      <c r="L103" s="42"/>
      <c r="M103" s="42"/>
      <c r="N103" s="42"/>
      <c r="O103" s="42"/>
      <c r="P103" s="1627">
        <f>Rev!BU376</f>
        <v>50764</v>
      </c>
      <c r="Q103" s="1627">
        <f>Rev!BV376</f>
        <v>52723</v>
      </c>
      <c r="R103" s="1627">
        <f>Rev!BW376</f>
        <v>54800</v>
      </c>
      <c r="S103" s="1627">
        <f>Rev!BX376</f>
        <v>56327</v>
      </c>
      <c r="T103" s="1627">
        <f>Rev!BY376</f>
        <v>58424</v>
      </c>
      <c r="U103" s="1627">
        <f>Rev!BZ376</f>
        <v>57200</v>
      </c>
      <c r="V103" s="1627">
        <f>Rev!CA376</f>
        <v>58800</v>
      </c>
      <c r="W103" s="1627">
        <f>Rev!CB376</f>
        <v>60400</v>
      </c>
      <c r="X103" s="1627">
        <f>Rev!CC376</f>
        <v>62200</v>
      </c>
      <c r="Y103" s="1627">
        <f>Rev!CD376</f>
        <v>63700</v>
      </c>
      <c r="Z103" s="1627">
        <f>Rev!CE376</f>
        <v>64500</v>
      </c>
      <c r="AA103" s="1627">
        <f>Rev!CF376</f>
        <v>65800</v>
      </c>
      <c r="AB103" s="1627">
        <f>Rev!CG376</f>
        <v>67400</v>
      </c>
      <c r="AC103" s="1627">
        <f>Rev!CH376</f>
        <v>68800</v>
      </c>
      <c r="AD103" s="1627">
        <f>Rev!CI376</f>
        <v>70300</v>
      </c>
      <c r="AE103" s="1627">
        <f>Rev!CJ376</f>
        <v>74000</v>
      </c>
      <c r="AF103" s="1627">
        <f>Rev!CK376</f>
        <v>75600</v>
      </c>
      <c r="AG103" s="1627">
        <f>Rev!CL376</f>
        <v>78300</v>
      </c>
      <c r="AH103" s="1627">
        <f>Rev!CM376</f>
        <v>81900</v>
      </c>
      <c r="AI103" s="1627">
        <f>Rev!CN376</f>
        <v>83700</v>
      </c>
      <c r="AJ103" s="1627">
        <f>Rev!CO376</f>
        <v>86300</v>
      </c>
      <c r="AK103" s="1627">
        <f>Rev!CP376</f>
        <v>89800</v>
      </c>
      <c r="AL103" s="1627">
        <f>Rev!CQ376</f>
        <v>93800</v>
      </c>
      <c r="AM103" s="1627">
        <f>Rev!CR376</f>
        <v>97700</v>
      </c>
      <c r="AN103" s="1627">
        <f>Rev!CS376</f>
        <v>101200</v>
      </c>
      <c r="AO103" s="1627">
        <f>Rev!CT376</f>
        <v>104200</v>
      </c>
      <c r="AP103" s="1627">
        <f>Rev!CU376</f>
        <v>106300</v>
      </c>
      <c r="AQ103" s="1627">
        <f>Rev!CV376</f>
        <v>109700</v>
      </c>
      <c r="AR103" s="1627">
        <f>Rev!CW376</f>
        <v>111400</v>
      </c>
      <c r="AS103" s="1627">
        <f>Rev!CX376</f>
        <v>113300</v>
      </c>
      <c r="AT103" s="1627">
        <f>Rev!CY376</f>
        <v>138900</v>
      </c>
    </row>
    <row r="104" spans="1:46">
      <c r="B104" s="1630" t="s">
        <v>95</v>
      </c>
      <c r="C104" s="42"/>
      <c r="D104" s="42"/>
      <c r="E104" s="42"/>
      <c r="F104" s="42"/>
      <c r="G104" s="42"/>
      <c r="H104" s="42"/>
      <c r="I104" s="42"/>
      <c r="J104" s="42"/>
      <c r="K104" s="42"/>
      <c r="L104" s="42"/>
      <c r="M104" s="42"/>
      <c r="N104" s="42"/>
      <c r="O104" s="42"/>
      <c r="P104" s="1623"/>
      <c r="Q104" s="1631">
        <f t="shared" ref="Q104:Z104" si="14">+Q103/P103-1</f>
        <v>3.859033961074787E-2</v>
      </c>
      <c r="R104" s="1631">
        <f t="shared" si="14"/>
        <v>3.9394571629080222E-2</v>
      </c>
      <c r="S104" s="1631">
        <f t="shared" si="14"/>
        <v>2.7864963503649642E-2</v>
      </c>
      <c r="T104" s="1631">
        <f t="shared" si="14"/>
        <v>3.7229037584107116E-2</v>
      </c>
      <c r="U104" s="1631">
        <f t="shared" si="14"/>
        <v>-2.0950294399561864E-2</v>
      </c>
      <c r="V104" s="1631">
        <f t="shared" si="14"/>
        <v>2.7972027972027913E-2</v>
      </c>
      <c r="W104" s="1631">
        <f t="shared" si="14"/>
        <v>2.7210884353741527E-2</v>
      </c>
      <c r="X104" s="1631">
        <f t="shared" si="14"/>
        <v>2.9801324503311299E-2</v>
      </c>
      <c r="Y104" s="1631">
        <f t="shared" si="14"/>
        <v>2.4115755627009738E-2</v>
      </c>
      <c r="Z104" s="1631">
        <f t="shared" si="14"/>
        <v>1.2558869701726927E-2</v>
      </c>
      <c r="AA104" s="1631">
        <f t="shared" ref="AA104:AI104" si="15">+AA103/Z103-1</f>
        <v>2.0155038759689825E-2</v>
      </c>
      <c r="AB104" s="1631">
        <f t="shared" si="15"/>
        <v>2.4316109422492405E-2</v>
      </c>
      <c r="AC104" s="1631">
        <f t="shared" si="15"/>
        <v>2.0771513353115667E-2</v>
      </c>
      <c r="AD104" s="1631">
        <f t="shared" si="15"/>
        <v>2.1802325581395277E-2</v>
      </c>
      <c r="AE104" s="1631">
        <f t="shared" si="15"/>
        <v>5.2631578947368363E-2</v>
      </c>
      <c r="AF104" s="1631">
        <f t="shared" si="15"/>
        <v>2.1621621621621623E-2</v>
      </c>
      <c r="AG104" s="1631">
        <f t="shared" si="15"/>
        <v>3.5714285714285809E-2</v>
      </c>
      <c r="AH104" s="1631">
        <f t="shared" si="15"/>
        <v>4.5977011494252817E-2</v>
      </c>
      <c r="AI104" s="1631">
        <f t="shared" si="15"/>
        <v>2.19780219780219E-2</v>
      </c>
      <c r="AJ104" s="1631">
        <f t="shared" ref="AJ104:AP104" si="16">+AJ103/AI103-1</f>
        <v>3.1063321385901954E-2</v>
      </c>
      <c r="AK104" s="1631">
        <f t="shared" si="16"/>
        <v>4.0556199304750962E-2</v>
      </c>
      <c r="AL104" s="1631">
        <f t="shared" si="16"/>
        <v>4.4543429844098092E-2</v>
      </c>
      <c r="AM104" s="1631">
        <f t="shared" si="16"/>
        <v>4.1577825159914816E-2</v>
      </c>
      <c r="AN104" s="1631">
        <f t="shared" si="16"/>
        <v>3.5823950870010224E-2</v>
      </c>
      <c r="AO104" s="1631">
        <f t="shared" si="16"/>
        <v>2.9644268774703608E-2</v>
      </c>
      <c r="AP104" s="1631">
        <f t="shared" si="16"/>
        <v>2.0153550863723613E-2</v>
      </c>
      <c r="AQ104" s="1631">
        <f>+AQ103/AP103-1</f>
        <v>3.1984948259642598E-2</v>
      </c>
      <c r="AR104" s="1631">
        <f>+AR103/AQ103-1</f>
        <v>1.5496809480401108E-2</v>
      </c>
      <c r="AS104" s="1631">
        <f>+AS103/AR103-1</f>
        <v>1.7055655296229766E-2</v>
      </c>
      <c r="AT104" s="1631">
        <f>+AT103/AS103-1</f>
        <v>0.2259488084730803</v>
      </c>
    </row>
    <row r="105" spans="1:46">
      <c r="B105" s="42" t="s">
        <v>644</v>
      </c>
      <c r="C105" s="42"/>
      <c r="D105" s="42"/>
      <c r="E105" s="42"/>
      <c r="F105" s="42"/>
      <c r="G105" s="42"/>
      <c r="H105" s="42"/>
      <c r="I105" s="42"/>
      <c r="J105" s="42"/>
      <c r="K105" s="42"/>
      <c r="L105" s="42"/>
      <c r="M105" s="42"/>
      <c r="N105" s="42"/>
      <c r="O105" s="42"/>
      <c r="P105" s="1628">
        <f>Rev!BU383</f>
        <v>1.5244444444444445</v>
      </c>
      <c r="Q105" s="1628">
        <f>Rev!BV383</f>
        <v>1.539985119047619</v>
      </c>
      <c r="R105" s="1628">
        <f>Rev!BW383</f>
        <v>1.5651091703056768</v>
      </c>
      <c r="S105" s="1628">
        <f>Rev!BX383</f>
        <v>1.5520530726256982</v>
      </c>
      <c r="T105" s="1628">
        <f>Rev!BY383</f>
        <v>1.5485964912280701</v>
      </c>
      <c r="U105" s="1628">
        <f>Rev!BZ383</f>
        <v>1.556177658142665</v>
      </c>
      <c r="V105" s="1628">
        <f>Rev!CA383</f>
        <v>1.5570469798657718</v>
      </c>
      <c r="W105" s="1628">
        <f>Rev!CB383</f>
        <v>1.5704874835309617</v>
      </c>
      <c r="X105" s="1628">
        <f>Rev!CC383</f>
        <v>1.5758354755784061</v>
      </c>
      <c r="Y105" s="1628">
        <f>Rev!CD383</f>
        <v>1.6017811704834606</v>
      </c>
      <c r="Z105" s="1628">
        <f>Rev!CE383</f>
        <v>1.6065162907268171</v>
      </c>
      <c r="AA105" s="1628">
        <f>Rev!CF383</f>
        <v>1.5793939393939394</v>
      </c>
      <c r="AB105" s="1628">
        <f>Rev!CG383</f>
        <v>1.5913978494623655</v>
      </c>
      <c r="AC105" s="1628">
        <f>Rev!CH383</f>
        <v>1.613744075829384</v>
      </c>
      <c r="AD105" s="1628">
        <f>Rev!CI383</f>
        <v>1.6174418604651162</v>
      </c>
      <c r="AE105" s="1628">
        <f>Rev!CJ383</f>
        <v>1.6682080924855491</v>
      </c>
      <c r="AF105" s="1628">
        <f>Rev!CK383</f>
        <v>1.7334878331402086</v>
      </c>
      <c r="AG105" s="1628">
        <f>Rev!CL383</f>
        <v>1.7468785471055619</v>
      </c>
      <c r="AH105" s="1628">
        <f>Rev!CM383</f>
        <v>1.7740863787375416</v>
      </c>
      <c r="AI105" s="1628">
        <f>Rev!CN383</f>
        <v>1.8</v>
      </c>
      <c r="AJ105" s="1628">
        <f>Rev!CO383</f>
        <v>1.8027571580063626</v>
      </c>
      <c r="AK105" s="1628">
        <f>Rev!CP383</f>
        <v>1.8173374613003095</v>
      </c>
      <c r="AL105" s="1628">
        <f>Rev!CQ383</f>
        <v>1.8396793587174349</v>
      </c>
      <c r="AM105" s="1628">
        <f>Rev!CR383</f>
        <v>1.8866995073891626</v>
      </c>
      <c r="AN105" s="1628">
        <f>Rev!CS383</f>
        <v>1.9329446064139941</v>
      </c>
      <c r="AO105" s="1628">
        <f>Rev!CT383</f>
        <v>1.9599236641221374</v>
      </c>
      <c r="AP105" s="1628">
        <f>Rev!CU383</f>
        <v>1.9802445907808091</v>
      </c>
      <c r="AQ105" s="1628">
        <f>Rev!CV383</f>
        <v>2.0224719101123596</v>
      </c>
      <c r="AR105" s="1628">
        <f>Rev!CW383</f>
        <v>2.066355140186916</v>
      </c>
      <c r="AS105" s="1628">
        <f>Rev!CX383</f>
        <v>2.072878228782288</v>
      </c>
      <c r="AT105" s="1628">
        <f>Rev!CY383</f>
        <v>1.8877245508982037</v>
      </c>
    </row>
    <row r="106" spans="1:46">
      <c r="B106" s="1630" t="s">
        <v>95</v>
      </c>
      <c r="C106" s="42"/>
      <c r="D106" s="42"/>
      <c r="E106" s="42"/>
      <c r="F106" s="42"/>
      <c r="G106" s="42"/>
      <c r="H106" s="42"/>
      <c r="I106" s="42"/>
      <c r="J106" s="42"/>
      <c r="K106" s="42"/>
      <c r="L106" s="42"/>
      <c r="M106" s="42"/>
      <c r="N106" s="42"/>
      <c r="O106" s="42"/>
      <c r="P106" s="1623"/>
      <c r="Q106" s="1631">
        <f t="shared" ref="Q106:Z106" si="17">+Q105/P105-1</f>
        <v>1.0194320074968788E-2</v>
      </c>
      <c r="R106" s="1631">
        <f t="shared" si="17"/>
        <v>1.6314476644810227E-2</v>
      </c>
      <c r="S106" s="1631">
        <f t="shared" si="17"/>
        <v>-8.3419725139227685E-3</v>
      </c>
      <c r="T106" s="1631">
        <f t="shared" si="17"/>
        <v>-2.2271025769631247E-3</v>
      </c>
      <c r="U106" s="1631">
        <f t="shared" si="17"/>
        <v>4.8955082602459843E-3</v>
      </c>
      <c r="V106" s="1631">
        <f t="shared" si="17"/>
        <v>5.5862627159442013E-4</v>
      </c>
      <c r="W106" s="1631">
        <f t="shared" si="17"/>
        <v>8.6320476125572032E-3</v>
      </c>
      <c r="X106" s="1631">
        <f t="shared" si="17"/>
        <v>3.4053070167872068E-3</v>
      </c>
      <c r="Y106" s="1631">
        <f t="shared" si="17"/>
        <v>1.6464723194235198E-2</v>
      </c>
      <c r="Z106" s="1631">
        <f t="shared" si="17"/>
        <v>2.9561592623337241E-3</v>
      </c>
      <c r="AA106" s="1631">
        <f t="shared" ref="AA106:AI106" si="18">+AA105/Z105-1</f>
        <v>-1.6882711672103312E-2</v>
      </c>
      <c r="AB106" s="1631">
        <f t="shared" si="18"/>
        <v>7.6003267892952309E-3</v>
      </c>
      <c r="AC106" s="1631">
        <f t="shared" si="18"/>
        <v>1.4041885487383166E-2</v>
      </c>
      <c r="AD106" s="1631">
        <f t="shared" si="18"/>
        <v>2.2914318888092033E-3</v>
      </c>
      <c r="AE106" s="1631">
        <f t="shared" si="18"/>
        <v>3.1386743017665308E-2</v>
      </c>
      <c r="AF106" s="1631">
        <f t="shared" si="18"/>
        <v>3.9131653268385636E-2</v>
      </c>
      <c r="AG106" s="1631">
        <f t="shared" si="18"/>
        <v>7.7247233637032231E-3</v>
      </c>
      <c r="AH106" s="1631">
        <f t="shared" si="18"/>
        <v>1.5575113494330273E-2</v>
      </c>
      <c r="AI106" s="1631">
        <f t="shared" si="18"/>
        <v>1.4606741573033766E-2</v>
      </c>
      <c r="AJ106" s="1631">
        <f t="shared" ref="AJ106:AP106" si="19">+AJ105/AI105-1</f>
        <v>1.5317544479791501E-3</v>
      </c>
      <c r="AK106" s="1631">
        <f t="shared" si="19"/>
        <v>8.0877800036422975E-3</v>
      </c>
      <c r="AL106" s="1631">
        <f t="shared" si="19"/>
        <v>1.2293752752523979E-2</v>
      </c>
      <c r="AM106" s="1631">
        <f t="shared" si="19"/>
        <v>2.5558882556854234E-2</v>
      </c>
      <c r="AN106" s="1631">
        <f t="shared" si="19"/>
        <v>2.4511109926999453E-2</v>
      </c>
      <c r="AO106" s="1631">
        <f t="shared" si="19"/>
        <v>1.3957491393503885E-2</v>
      </c>
      <c r="AP106" s="1631">
        <f t="shared" si="19"/>
        <v>1.0368223533733234E-2</v>
      </c>
      <c r="AQ106" s="1631">
        <f>+AQ105/AP105-1</f>
        <v>2.1324294750326933E-2</v>
      </c>
      <c r="AR106" s="1631">
        <f>+AR105/AQ105-1</f>
        <v>2.1697819314641764E-2</v>
      </c>
      <c r="AS106" s="1631">
        <f>+AS105/AR105-1</f>
        <v>3.1568090443454544E-3</v>
      </c>
      <c r="AT106" s="1631">
        <f>+AT105/AS105-1</f>
        <v>-8.9322023509722959E-2</v>
      </c>
    </row>
    <row r="107" spans="1:46">
      <c r="B107" s="42" t="s">
        <v>51</v>
      </c>
      <c r="C107" s="42"/>
      <c r="D107" s="42"/>
      <c r="E107" s="42"/>
      <c r="F107" s="42"/>
      <c r="G107" s="42"/>
      <c r="H107" s="42"/>
      <c r="I107" s="42"/>
      <c r="J107" s="42"/>
      <c r="K107" s="42"/>
      <c r="L107" s="42"/>
      <c r="M107" s="42"/>
      <c r="N107" s="42"/>
      <c r="O107" s="42"/>
      <c r="P107" s="1623">
        <f>Rev!BU290</f>
        <v>35.072000000000003</v>
      </c>
      <c r="Q107" s="1623">
        <f>Rev!BV290</f>
        <v>42.101999999999997</v>
      </c>
      <c r="R107" s="1623">
        <f>Rev!BW290</f>
        <v>44.442999999999998</v>
      </c>
      <c r="S107" s="1623">
        <f>Rev!BX290</f>
        <v>45.921999999999997</v>
      </c>
      <c r="T107" s="1623">
        <f>Rev!BY290</f>
        <v>49.886000000000003</v>
      </c>
      <c r="U107" s="1623">
        <f>Rev!BZ290</f>
        <v>49.432000000000002</v>
      </c>
      <c r="V107" s="1623">
        <f>Rev!CA290</f>
        <v>52.383000000000003</v>
      </c>
      <c r="W107" s="1623">
        <f>Rev!CB290</f>
        <v>51.738999999999997</v>
      </c>
      <c r="X107" s="1623">
        <f>Rev!CC290</f>
        <v>53.048000000000002</v>
      </c>
      <c r="Y107" s="1623">
        <f>Rev!CD290</f>
        <v>54.942999999999998</v>
      </c>
      <c r="Z107" s="1623">
        <f>Rev!CE290</f>
        <v>56.426000000000002</v>
      </c>
      <c r="AA107" s="1623">
        <f>Rev!CF290</f>
        <v>58.206000000000003</v>
      </c>
      <c r="AB107" s="1623">
        <f>Rev!CG290</f>
        <v>59.8</v>
      </c>
      <c r="AC107" s="1623">
        <f>Rev!CH290</f>
        <v>61.984000000000002</v>
      </c>
      <c r="AD107" s="1623">
        <f>Rev!CI290</f>
        <v>62.305999999999997</v>
      </c>
      <c r="AE107" s="1623">
        <f>Rev!CJ290</f>
        <v>64.302000000000007</v>
      </c>
      <c r="AF107" s="1623">
        <f>Rev!CK290</f>
        <v>66.450999999999993</v>
      </c>
      <c r="AG107" s="1623">
        <f>Rev!CL290</f>
        <v>69.512</v>
      </c>
      <c r="AH107" s="1623">
        <f>Rev!CM290</f>
        <v>71.992000000000004</v>
      </c>
      <c r="AI107" s="1623">
        <f>Rev!CN290</f>
        <v>75.085999999999999</v>
      </c>
      <c r="AJ107" s="1623">
        <f>Rev!CO290</f>
        <v>77.102000000000004</v>
      </c>
      <c r="AK107" s="1623">
        <f>Rev!CP290</f>
        <v>79.902000000000001</v>
      </c>
      <c r="AL107" s="1623">
        <f>Rev!CQ290</f>
        <v>83.168000000000006</v>
      </c>
      <c r="AM107" s="1623">
        <f>Rev!CR290</f>
        <v>85.936000000000007</v>
      </c>
      <c r="AN107" s="1623">
        <f>Rev!CS290</f>
        <v>89.86</v>
      </c>
      <c r="AO107" s="1623">
        <f>Rev!CT290</f>
        <v>92.802999999999997</v>
      </c>
      <c r="AP107" s="1623">
        <f>Rev!CU290</f>
        <v>100.459</v>
      </c>
      <c r="AQ107" s="1623">
        <f>Rev!CV290</f>
        <v>100.85</v>
      </c>
      <c r="AR107" s="1623">
        <f>Rev!CW290</f>
        <v>116.248</v>
      </c>
      <c r="AS107" s="1623">
        <f>Rev!CX290</f>
        <v>124.377</v>
      </c>
      <c r="AT107" s="1623">
        <f>Rev!CY290</f>
        <v>127.79300000000001</v>
      </c>
    </row>
    <row r="108" spans="1:46">
      <c r="B108" s="42" t="s">
        <v>1319</v>
      </c>
      <c r="C108" s="42"/>
      <c r="D108" s="42"/>
      <c r="E108" s="42"/>
      <c r="F108" s="42"/>
      <c r="G108" s="42"/>
      <c r="H108" s="42"/>
      <c r="I108" s="42"/>
      <c r="J108" s="42"/>
      <c r="K108" s="42"/>
      <c r="L108" s="42"/>
      <c r="M108" s="42"/>
      <c r="N108" s="42"/>
      <c r="O108" s="42"/>
      <c r="P108" s="1623">
        <f>Rev!BU387</f>
        <v>230.29443437606704</v>
      </c>
      <c r="Q108" s="1623">
        <f>Rev!BV387</f>
        <v>271.22247238783615</v>
      </c>
      <c r="R108" s="1623">
        <f>Rev!BW387</f>
        <v>275.55654759136803</v>
      </c>
      <c r="S108" s="1623">
        <f>Rev!BX387</f>
        <v>275.49260455754825</v>
      </c>
      <c r="T108" s="1623">
        <f>Rev!BY387</f>
        <v>289.82172994861338</v>
      </c>
      <c r="U108" s="1623">
        <f>Rev!BZ387</f>
        <v>285.01579833483243</v>
      </c>
      <c r="V108" s="1623">
        <f>Rev!CA387</f>
        <v>301.0517241379311</v>
      </c>
      <c r="W108" s="1623">
        <f>Rev!CB387</f>
        <v>289.36800894854588</v>
      </c>
      <c r="X108" s="1623">
        <f>Rev!CC387</f>
        <v>288.46112017400765</v>
      </c>
      <c r="Y108" s="1623">
        <f>Rev!CD387</f>
        <v>290.93460418321422</v>
      </c>
      <c r="Z108" s="1623">
        <f>Rev!CE387</f>
        <v>293.4269370774831</v>
      </c>
      <c r="AA108" s="1623">
        <f>Rev!CF387</f>
        <v>297.80506523407524</v>
      </c>
      <c r="AB108" s="1623">
        <f>Rev!CG387</f>
        <v>299.29929929929932</v>
      </c>
      <c r="AC108" s="1623">
        <f>Rev!CH387</f>
        <v>303.39696524718556</v>
      </c>
      <c r="AD108" s="1623">
        <f>Rev!CI387</f>
        <v>298.6149053438773</v>
      </c>
      <c r="AE108" s="1623">
        <f>Rev!CJ387</f>
        <v>297.07553707553711</v>
      </c>
      <c r="AF108" s="1623">
        <f>Rev!CK387</f>
        <v>296.12745098039215</v>
      </c>
      <c r="AG108" s="1623">
        <f>Rev!CL387</f>
        <v>301.11327701970976</v>
      </c>
      <c r="AH108" s="1623">
        <f>Rev!CM387</f>
        <v>299.59217644610902</v>
      </c>
      <c r="AI108" s="1623">
        <f>Rev!CN387</f>
        <v>302.27858293075684</v>
      </c>
      <c r="AJ108" s="1623">
        <f>Rev!CO387</f>
        <v>302.3607843137255</v>
      </c>
      <c r="AK108" s="1623">
        <f>Rev!CP387</f>
        <v>302.48722316865417</v>
      </c>
      <c r="AL108" s="1623">
        <f>Rev!CQ387</f>
        <v>301.98983297022517</v>
      </c>
      <c r="AM108" s="1623">
        <f>Rev!CR387</f>
        <v>299.1679721496954</v>
      </c>
      <c r="AN108" s="1623">
        <f>Rev!CS387</f>
        <v>301.18987766046587</v>
      </c>
      <c r="AO108" s="1623">
        <f>Rev!CT387</f>
        <v>301.21064589419018</v>
      </c>
      <c r="AP108" s="1623">
        <f>Rev!CU387</f>
        <v>318.15993665874902</v>
      </c>
      <c r="AQ108" s="1623">
        <f>Rev!CV387</f>
        <v>311.26543209876542</v>
      </c>
      <c r="AR108" s="1623">
        <f>Rev!CW387</f>
        <v>350.51409618573797</v>
      </c>
      <c r="AS108" s="1623">
        <f>Rev!CX387</f>
        <v>369.01646639964395</v>
      </c>
      <c r="AT108" s="1623">
        <f>Rev!CY387</f>
        <v>337.80861749933916</v>
      </c>
    </row>
    <row r="109" spans="1:46">
      <c r="B109" s="1630" t="s">
        <v>95</v>
      </c>
      <c r="C109" s="42"/>
      <c r="D109" s="42"/>
      <c r="E109" s="42"/>
      <c r="F109" s="42"/>
      <c r="G109" s="42"/>
      <c r="H109" s="42"/>
      <c r="I109" s="42"/>
      <c r="J109" s="42"/>
      <c r="K109" s="42"/>
      <c r="L109" s="42"/>
      <c r="M109" s="42"/>
      <c r="N109" s="42"/>
      <c r="O109" s="42"/>
      <c r="P109" s="1623"/>
      <c r="Q109" s="1631">
        <f>+Q108/P108-1</f>
        <v>0.17772048257551143</v>
      </c>
      <c r="R109" s="1631">
        <f t="shared" ref="R109:Z109" si="20">+R108/Q108-1</f>
        <v>1.5979779128826532E-2</v>
      </c>
      <c r="S109" s="1631">
        <f t="shared" si="20"/>
        <v>-2.3205049699859259E-4</v>
      </c>
      <c r="T109" s="1631">
        <f t="shared" si="20"/>
        <v>5.2012740647169986E-2</v>
      </c>
      <c r="U109" s="1631">
        <f t="shared" si="20"/>
        <v>-1.6582371565558862E-2</v>
      </c>
      <c r="V109" s="1631">
        <f t="shared" si="20"/>
        <v>5.6263287497698267E-2</v>
      </c>
      <c r="W109" s="1631">
        <f t="shared" si="20"/>
        <v>-3.8809660442376881E-2</v>
      </c>
      <c r="X109" s="1631">
        <f t="shared" si="20"/>
        <v>-3.1340326037889721E-3</v>
      </c>
      <c r="Y109" s="1631">
        <f>+Y108/X108-1</f>
        <v>8.5747569991911909E-3</v>
      </c>
      <c r="Z109" s="1631">
        <f t="shared" si="20"/>
        <v>8.5666430133535254E-3</v>
      </c>
      <c r="AA109" s="1631">
        <f t="shared" ref="AA109:AI109" si="21">+AA108/Z108-1</f>
        <v>1.4920675655064386E-2</v>
      </c>
      <c r="AB109" s="1631">
        <f t="shared" si="21"/>
        <v>5.0174904313653457E-3</v>
      </c>
      <c r="AC109" s="1631">
        <f t="shared" si="21"/>
        <v>1.3690863819191712E-2</v>
      </c>
      <c r="AD109" s="1631">
        <f t="shared" si="21"/>
        <v>-1.5761726223636363E-2</v>
      </c>
      <c r="AE109" s="1631">
        <f t="shared" si="21"/>
        <v>-5.1550282346672915E-3</v>
      </c>
      <c r="AF109" s="1631">
        <f t="shared" si="21"/>
        <v>-3.1913973950129515E-3</v>
      </c>
      <c r="AG109" s="1631">
        <f t="shared" si="21"/>
        <v>1.6836757358397403E-2</v>
      </c>
      <c r="AH109" s="1631">
        <f t="shared" si="21"/>
        <v>-5.0515891848275096E-3</v>
      </c>
      <c r="AI109" s="1631">
        <f t="shared" si="21"/>
        <v>8.9668779622857908E-3</v>
      </c>
      <c r="AJ109" s="1631">
        <f t="shared" ref="AJ109:AP109" si="22">+AJ108/AI108-1</f>
        <v>2.7193915682577341E-4</v>
      </c>
      <c r="AK109" s="1631">
        <f t="shared" si="22"/>
        <v>4.1817213570083389E-4</v>
      </c>
      <c r="AL109" s="1631">
        <f t="shared" si="22"/>
        <v>-1.6443345712875423E-3</v>
      </c>
      <c r="AM109" s="1631">
        <f t="shared" si="22"/>
        <v>-9.3442245812559444E-3</v>
      </c>
      <c r="AN109" s="1631">
        <f t="shared" si="22"/>
        <v>6.75842903985302E-3</v>
      </c>
      <c r="AO109" s="1631">
        <f t="shared" si="22"/>
        <v>6.8953956506190295E-5</v>
      </c>
      <c r="AP109" s="1631">
        <f t="shared" si="22"/>
        <v>5.6270556819936646E-2</v>
      </c>
      <c r="AQ109" s="1631">
        <f>+AQ108/AP108-1</f>
        <v>-2.1669933154966903E-2</v>
      </c>
      <c r="AR109" s="1631">
        <f>+AR108/AQ108-1</f>
        <v>0.12609387371521175</v>
      </c>
      <c r="AS109" s="1631">
        <f>+AS108/AR108-1</f>
        <v>5.278637982108858E-2</v>
      </c>
      <c r="AT109" s="1631">
        <f>+AT108/AS108-1</f>
        <v>-8.4570342361109607E-2</v>
      </c>
    </row>
    <row r="110" spans="1:46">
      <c r="B110" s="42" t="s">
        <v>1536</v>
      </c>
      <c r="C110" s="42"/>
      <c r="D110" s="42"/>
      <c r="E110" s="42"/>
      <c r="F110" s="42"/>
      <c r="G110" s="42"/>
      <c r="H110" s="42"/>
      <c r="I110" s="42"/>
      <c r="J110" s="42"/>
      <c r="K110" s="42"/>
      <c r="L110" s="42"/>
      <c r="M110" s="42"/>
      <c r="N110" s="42"/>
      <c r="O110" s="42"/>
      <c r="P110" s="1233">
        <f>P107/AVERAGE(O103:P103)*1000000/3*P105</f>
        <v>351.07107107107106</v>
      </c>
      <c r="Q110" s="1233">
        <f t="shared" ref="Q110:Z110" si="23">Q107/AVERAGE(P103:Q103)*1000000/3*Q105</f>
        <v>417.67857142857144</v>
      </c>
      <c r="R110" s="1233">
        <f t="shared" si="23"/>
        <v>431.27607957302274</v>
      </c>
      <c r="S110" s="1233">
        <f t="shared" si="23"/>
        <v>427.5791433891992</v>
      </c>
      <c r="T110" s="1233">
        <f t="shared" si="23"/>
        <v>448.81691408007197</v>
      </c>
      <c r="U110" s="1233">
        <f t="shared" si="23"/>
        <v>443.53521758636168</v>
      </c>
      <c r="V110" s="1233">
        <f t="shared" si="23"/>
        <v>468.75167785234908</v>
      </c>
      <c r="W110" s="1233">
        <f t="shared" si="23"/>
        <v>454.44883618796661</v>
      </c>
      <c r="X110" s="1233">
        <f t="shared" si="23"/>
        <v>454.56726649528707</v>
      </c>
      <c r="Y110" s="1233">
        <f t="shared" si="23"/>
        <v>466.01357082273108</v>
      </c>
      <c r="Z110" s="1233">
        <f t="shared" si="23"/>
        <v>471.39515455304939</v>
      </c>
      <c r="AA110" s="1233">
        <f t="shared" ref="AA110:AI110" si="24">AA107/AVERAGE(Z103:AA103)*1000000/3*AA105</f>
        <v>470.35151515151517</v>
      </c>
      <c r="AB110" s="1233">
        <f t="shared" si="24"/>
        <v>476.3042612504978</v>
      </c>
      <c r="AC110" s="1233">
        <f t="shared" si="24"/>
        <v>489.60505529225907</v>
      </c>
      <c r="AD110" s="1233">
        <f t="shared" si="24"/>
        <v>482.99224806201545</v>
      </c>
      <c r="AE110" s="1233">
        <f t="shared" si="24"/>
        <v>495.58381502890171</v>
      </c>
      <c r="AF110" s="1233">
        <f t="shared" si="24"/>
        <v>513.33333333333326</v>
      </c>
      <c r="AG110" s="1233">
        <f t="shared" si="24"/>
        <v>526.00832387438516</v>
      </c>
      <c r="AH110" s="1233">
        <f t="shared" si="24"/>
        <v>531.50239940937627</v>
      </c>
      <c r="AI110" s="1233">
        <f t="shared" si="24"/>
        <v>544.10144927536237</v>
      </c>
      <c r="AJ110" s="1233">
        <f t="shared" ref="AJ110:AP110" si="25">AJ107/AVERAGE(AI103:AJ103)*1000000/3*AJ105</f>
        <v>545.08306822198654</v>
      </c>
      <c r="AK110" s="1233">
        <f t="shared" si="25"/>
        <v>549.72136222910217</v>
      </c>
      <c r="AL110" s="1233">
        <f t="shared" si="25"/>
        <v>555.56446225784907</v>
      </c>
      <c r="AM110" s="1233">
        <f t="shared" si="25"/>
        <v>564.44006568144505</v>
      </c>
      <c r="AN110" s="1233">
        <f t="shared" si="25"/>
        <v>582.1833495302883</v>
      </c>
      <c r="AO110" s="1233">
        <f t="shared" si="25"/>
        <v>590.34987277353696</v>
      </c>
      <c r="AP110" s="1233">
        <f t="shared" si="25"/>
        <v>630.03449357165255</v>
      </c>
      <c r="AQ110" s="1233">
        <f>AQ107/AVERAGE(AP103:AQ103)*1000000/3*AQ105</f>
        <v>629.52559300873907</v>
      </c>
      <c r="AR110" s="1233">
        <f>AR107/AVERAGE(AQ103:AR103)*1000000/3*AR105</f>
        <v>724.28660436137091</v>
      </c>
      <c r="AS110" s="1233">
        <f>AS107/AVERAGE(AR103:AS103)*1000000/3*AS105</f>
        <v>764.92619926199279</v>
      </c>
      <c r="AT110" s="1233">
        <f>AT107/AVERAGE(AS103:AT103)*1000000/3*AT105</f>
        <v>637.6896207584831</v>
      </c>
    </row>
    <row r="111" spans="1:46">
      <c r="B111" s="1630" t="s">
        <v>95</v>
      </c>
      <c r="C111" s="42"/>
      <c r="D111" s="42"/>
      <c r="E111" s="42"/>
      <c r="F111" s="42"/>
      <c r="G111" s="42"/>
      <c r="H111" s="42"/>
      <c r="I111" s="42"/>
      <c r="J111" s="42"/>
      <c r="K111" s="42"/>
      <c r="L111" s="42"/>
      <c r="M111" s="42"/>
      <c r="N111" s="42"/>
      <c r="O111" s="42"/>
      <c r="P111" s="1623"/>
      <c r="Q111" s="1631">
        <f t="shared" ref="Q111:Z111" si="26">+Q110/P110-1</f>
        <v>0.18972654213373308</v>
      </c>
      <c r="R111" s="1631">
        <f t="shared" si="26"/>
        <v>3.2554957507023197E-2</v>
      </c>
      <c r="S111" s="1631">
        <f t="shared" si="26"/>
        <v>-8.5720872520534952E-3</v>
      </c>
      <c r="T111" s="1631">
        <f t="shared" si="26"/>
        <v>4.9669800361476835E-2</v>
      </c>
      <c r="U111" s="1631">
        <f t="shared" si="26"/>
        <v>-1.1768042442286353E-2</v>
      </c>
      <c r="V111" s="1631">
        <f t="shared" si="26"/>
        <v>5.6853343919814892E-2</v>
      </c>
      <c r="W111" s="1631">
        <f t="shared" si="26"/>
        <v>-3.0512619666585361E-2</v>
      </c>
      <c r="X111" s="1631">
        <f t="shared" si="26"/>
        <v>2.6060206978173461E-4</v>
      </c>
      <c r="Y111" s="1631">
        <f t="shared" si="26"/>
        <v>2.5180661193875631E-2</v>
      </c>
      <c r="Z111" s="1631">
        <f t="shared" si="26"/>
        <v>1.1548126636778733E-2</v>
      </c>
      <c r="AA111" s="1631">
        <f t="shared" ref="AA111:AI111" si="27">+AA110/Z110-1</f>
        <v>-2.2139374820764335E-3</v>
      </c>
      <c r="AB111" s="1631">
        <f t="shared" si="27"/>
        <v>1.2655951787601039E-2</v>
      </c>
      <c r="AC111" s="1631">
        <f t="shared" si="27"/>
        <v>2.792499484854738E-2</v>
      </c>
      <c r="AD111" s="1631">
        <f t="shared" si="27"/>
        <v>-1.3506411256918538E-2</v>
      </c>
      <c r="AE111" s="1631">
        <f t="shared" si="27"/>
        <v>2.6069915236547558E-2</v>
      </c>
      <c r="AF111" s="1631">
        <f t="shared" si="27"/>
        <v>3.5815371217069458E-2</v>
      </c>
      <c r="AG111" s="1631">
        <f t="shared" si="27"/>
        <v>2.4691540015036262E-2</v>
      </c>
      <c r="AH111" s="1631">
        <f t="shared" si="27"/>
        <v>1.0444845234622413E-2</v>
      </c>
      <c r="AI111" s="1631">
        <f t="shared" si="27"/>
        <v>2.3704596404431344E-2</v>
      </c>
      <c r="AJ111" s="1631">
        <f t="shared" ref="AJ111:AP111" si="28">+AJ110/AI110-1</f>
        <v>1.8041101488177613E-3</v>
      </c>
      <c r="AK111" s="1631">
        <f t="shared" si="28"/>
        <v>8.509334223580467E-3</v>
      </c>
      <c r="AL111" s="1631">
        <f t="shared" si="28"/>
        <v>1.0629203138574184E-2</v>
      </c>
      <c r="AM111" s="1631">
        <f t="shared" si="28"/>
        <v>1.597583003694103E-2</v>
      </c>
      <c r="AN111" s="1631">
        <f t="shared" si="28"/>
        <v>3.1435195563982221E-2</v>
      </c>
      <c r="AO111" s="1631">
        <f t="shared" si="28"/>
        <v>1.4027407774264811E-2</v>
      </c>
      <c r="AP111" s="1631">
        <f t="shared" si="28"/>
        <v>6.7222206065146173E-2</v>
      </c>
      <c r="AQ111" s="1631">
        <f>+AQ110/AP110-1</f>
        <v>-8.0773444645632075E-4</v>
      </c>
      <c r="AR111" s="1631">
        <f>+AR110/AQ110-1</f>
        <v>0.15052765511840982</v>
      </c>
      <c r="AS111" s="1631">
        <f>+AS110/AR110-1</f>
        <v>5.6109825386671641E-2</v>
      </c>
      <c r="AT111" s="1631">
        <f>+AT110/AS110-1</f>
        <v>-0.16633837176222832</v>
      </c>
    </row>
    <row r="112" spans="1:46">
      <c r="B112" s="42" t="s">
        <v>1535</v>
      </c>
      <c r="C112" s="42"/>
      <c r="D112" s="42"/>
      <c r="E112" s="42"/>
      <c r="F112" s="42"/>
      <c r="G112" s="42"/>
      <c r="H112" s="42"/>
      <c r="I112" s="42"/>
      <c r="J112" s="42"/>
      <c r="K112" s="42"/>
      <c r="L112" s="42"/>
      <c r="M112" s="42"/>
      <c r="N112" s="42"/>
      <c r="O112" s="42"/>
      <c r="P112" s="1233">
        <f t="shared" ref="P112:U112" si="29">+P101-P110</f>
        <v>1699.9289289289291</v>
      </c>
      <c r="Q112" s="1233">
        <f t="shared" si="29"/>
        <v>1641.3214285714284</v>
      </c>
      <c r="R112" s="1233">
        <f t="shared" si="29"/>
        <v>1624.7239204269772</v>
      </c>
      <c r="S112" s="1233">
        <f t="shared" si="29"/>
        <v>1652.4208566108009</v>
      </c>
      <c r="T112" s="1233">
        <f t="shared" si="29"/>
        <v>1651.1830859199281</v>
      </c>
      <c r="U112" s="1233">
        <f t="shared" si="29"/>
        <v>1697.4647824136382</v>
      </c>
      <c r="V112" s="1233">
        <f t="shared" ref="V112:AD112" si="30">+V101-V110</f>
        <v>1697.2483221476509</v>
      </c>
      <c r="W112" s="1233">
        <f t="shared" si="30"/>
        <v>1752.5511638120333</v>
      </c>
      <c r="X112" s="1233">
        <f t="shared" si="30"/>
        <v>1757.4327335047128</v>
      </c>
      <c r="Y112" s="1233">
        <f t="shared" si="30"/>
        <v>1765.986429177269</v>
      </c>
      <c r="Z112" s="1233">
        <f t="shared" si="30"/>
        <v>1776.6048454469505</v>
      </c>
      <c r="AA112" s="1233">
        <f t="shared" si="30"/>
        <v>1752.6484848484847</v>
      </c>
      <c r="AB112" s="1233">
        <f t="shared" si="30"/>
        <v>1748.6957387495022</v>
      </c>
      <c r="AC112" s="1233">
        <f t="shared" si="30"/>
        <v>1772.3949447077409</v>
      </c>
      <c r="AD112" s="1233">
        <f t="shared" si="30"/>
        <v>1779.0077519379845</v>
      </c>
      <c r="AE112" s="1233">
        <f t="shared" ref="AE112:AL112" si="31">+AE101-AE110</f>
        <v>1858.4161849710983</v>
      </c>
      <c r="AF112" s="1233">
        <f t="shared" si="31"/>
        <v>1864.6666666666667</v>
      </c>
      <c r="AG112" s="1233">
        <f t="shared" si="31"/>
        <v>1876.991676125615</v>
      </c>
      <c r="AH112" s="1233">
        <f t="shared" si="31"/>
        <v>1906.4976005906237</v>
      </c>
      <c r="AI112" s="1233">
        <f t="shared" si="31"/>
        <v>1905.8985507246375</v>
      </c>
      <c r="AJ112" s="1233">
        <f t="shared" si="31"/>
        <v>1904.9169317780133</v>
      </c>
      <c r="AK112" s="1233">
        <f t="shared" si="31"/>
        <v>1904.2786377708978</v>
      </c>
      <c r="AL112" s="1233">
        <f t="shared" si="31"/>
        <v>1904.4355377421509</v>
      </c>
      <c r="AM112" s="1233">
        <f t="shared" ref="AM112:AT112" si="32">+AM101-AM110</f>
        <v>1917.559934318555</v>
      </c>
      <c r="AN112" s="1233">
        <f t="shared" si="32"/>
        <v>1935.8166504697117</v>
      </c>
      <c r="AO112" s="1233">
        <f t="shared" si="32"/>
        <v>1933.6501272264632</v>
      </c>
      <c r="AP112" s="1233">
        <f t="shared" si="32"/>
        <v>1915.9655064283475</v>
      </c>
      <c r="AQ112" s="1233">
        <f t="shared" si="32"/>
        <v>1937.4744069912608</v>
      </c>
      <c r="AR112" s="1233">
        <f t="shared" si="32"/>
        <v>1853.7133956386292</v>
      </c>
      <c r="AS112" s="1233">
        <f t="shared" si="32"/>
        <v>1815.0738007380073</v>
      </c>
      <c r="AT112" s="1233">
        <f t="shared" si="32"/>
        <v>1733.3103792415168</v>
      </c>
    </row>
    <row r="113" spans="2:46">
      <c r="B113" s="1630" t="s">
        <v>95</v>
      </c>
      <c r="C113" s="42"/>
      <c r="D113" s="42"/>
      <c r="E113" s="42"/>
      <c r="F113" s="42"/>
      <c r="G113" s="42"/>
      <c r="H113" s="42"/>
      <c r="I113" s="42"/>
      <c r="J113" s="42"/>
      <c r="K113" s="42"/>
      <c r="L113" s="42"/>
      <c r="M113" s="42"/>
      <c r="N113" s="42"/>
      <c r="O113" s="42"/>
      <c r="P113" s="1623"/>
      <c r="Q113" s="1631">
        <f t="shared" ref="Q113:Z113" si="33">+Q112/P112-1</f>
        <v>-3.4476441550075454E-2</v>
      </c>
      <c r="R113" s="1631">
        <f t="shared" si="33"/>
        <v>-1.0112283831508417E-2</v>
      </c>
      <c r="S113" s="1631">
        <f t="shared" si="33"/>
        <v>1.7047164650930258E-2</v>
      </c>
      <c r="T113" s="1631">
        <f t="shared" si="33"/>
        <v>-7.4906503746963171E-4</v>
      </c>
      <c r="U113" s="1631">
        <f t="shared" si="33"/>
        <v>2.8029415325511842E-2</v>
      </c>
      <c r="V113" s="1631">
        <f t="shared" si="33"/>
        <v>-1.275197389836169E-4</v>
      </c>
      <c r="W113" s="1631">
        <f t="shared" si="33"/>
        <v>3.2583824619371926E-2</v>
      </c>
      <c r="X113" s="1631">
        <f t="shared" si="33"/>
        <v>2.7854078063327403E-3</v>
      </c>
      <c r="Y113" s="1631">
        <f t="shared" si="33"/>
        <v>4.867153951035208E-3</v>
      </c>
      <c r="Z113" s="1631">
        <f t="shared" si="33"/>
        <v>6.0127394493221242E-3</v>
      </c>
      <c r="AA113" s="1631">
        <f t="shared" ref="AA113:AI113" si="34">+AA112/Z112-1</f>
        <v>-1.3484349465701762E-2</v>
      </c>
      <c r="AB113" s="1631">
        <f t="shared" si="34"/>
        <v>-2.2552988423826248E-3</v>
      </c>
      <c r="AC113" s="1631">
        <f t="shared" si="34"/>
        <v>1.355250397944352E-2</v>
      </c>
      <c r="AD113" s="1631">
        <f t="shared" si="34"/>
        <v>3.7310009543802813E-3</v>
      </c>
      <c r="AE113" s="1631">
        <f t="shared" si="34"/>
        <v>4.4636361447334405E-2</v>
      </c>
      <c r="AF113" s="1631">
        <f t="shared" si="34"/>
        <v>3.3633379574047328E-3</v>
      </c>
      <c r="AG113" s="1631">
        <f t="shared" si="34"/>
        <v>6.6097655303618552E-3</v>
      </c>
      <c r="AH113" s="1631">
        <f t="shared" si="34"/>
        <v>1.5719795053067642E-2</v>
      </c>
      <c r="AI113" s="1631">
        <f t="shared" si="34"/>
        <v>-3.1421485440141783E-4</v>
      </c>
      <c r="AJ113" s="1631">
        <f t="shared" ref="AJ113:AP113" si="35">+AJ112/AI112-1</f>
        <v>-5.1504260090384779E-4</v>
      </c>
      <c r="AK113" s="1631">
        <f t="shared" si="35"/>
        <v>-3.3507708208557752E-4</v>
      </c>
      <c r="AL113" s="1631">
        <f t="shared" si="35"/>
        <v>8.2393389360779778E-5</v>
      </c>
      <c r="AM113" s="1631">
        <f t="shared" si="35"/>
        <v>6.8914890088451752E-3</v>
      </c>
      <c r="AN113" s="1631">
        <f t="shared" si="35"/>
        <v>9.5208060120659521E-3</v>
      </c>
      <c r="AO113" s="1631">
        <f t="shared" si="35"/>
        <v>-1.1191779152859294E-3</v>
      </c>
      <c r="AP113" s="1631">
        <f t="shared" si="35"/>
        <v>-9.1457190466414096E-3</v>
      </c>
      <c r="AQ113" s="1631">
        <f>+AQ112/AP112-1</f>
        <v>1.1226141854197236E-2</v>
      </c>
      <c r="AR113" s="1631">
        <f>+AR112/AQ112-1</f>
        <v>-4.3232060795427851E-2</v>
      </c>
      <c r="AS113" s="1631">
        <f>+AS112/AR112-1</f>
        <v>-2.0844427726277481E-2</v>
      </c>
      <c r="AT113" s="1631">
        <f>+AT112/AS112-1</f>
        <v>-4.5046885401158643E-2</v>
      </c>
    </row>
    <row r="203" spans="1:46">
      <c r="A203" s="1225" t="s">
        <v>604</v>
      </c>
      <c r="B203" s="1195" t="s">
        <v>1320</v>
      </c>
      <c r="C203" s="42"/>
      <c r="D203" s="42"/>
      <c r="E203" s="42"/>
      <c r="F203" s="42"/>
      <c r="G203" s="42"/>
      <c r="H203" s="42"/>
      <c r="I203" s="42"/>
      <c r="J203" s="42"/>
      <c r="K203" s="42"/>
      <c r="L203" s="42"/>
      <c r="M203" s="42"/>
      <c r="N203" s="42"/>
      <c r="O203" s="42"/>
      <c r="P203" s="42"/>
      <c r="Q203" s="42"/>
      <c r="R203" s="42"/>
      <c r="S203" s="42"/>
      <c r="T203" s="42"/>
      <c r="U203" s="42"/>
      <c r="V203" s="42"/>
      <c r="W203" s="42"/>
      <c r="X203" s="42"/>
      <c r="Y203" s="42"/>
      <c r="Z203" s="42"/>
      <c r="AA203" s="42"/>
      <c r="AB203" s="42"/>
      <c r="AC203" s="42"/>
      <c r="AD203" s="42"/>
      <c r="AE203" s="42"/>
      <c r="AF203" s="42"/>
      <c r="AG203" s="42"/>
      <c r="AH203" s="42"/>
      <c r="AI203" s="42"/>
      <c r="AJ203" s="42"/>
      <c r="AK203" s="42"/>
      <c r="AL203" s="42"/>
      <c r="AM203" s="42"/>
      <c r="AN203" s="42"/>
      <c r="AO203" s="42"/>
      <c r="AP203" s="42"/>
      <c r="AQ203" s="42"/>
      <c r="AR203" s="42"/>
      <c r="AS203" s="42"/>
      <c r="AT203" s="42"/>
    </row>
    <row r="204" spans="1:46">
      <c r="B204" s="42" t="s">
        <v>321</v>
      </c>
      <c r="C204" s="42"/>
      <c r="D204" s="42"/>
      <c r="E204" s="42"/>
      <c r="F204" s="42"/>
      <c r="G204" s="42"/>
      <c r="H204" s="42"/>
      <c r="I204" s="42"/>
      <c r="J204" s="42"/>
      <c r="K204" s="42"/>
      <c r="L204" s="42"/>
      <c r="M204" s="42"/>
      <c r="N204" s="42"/>
      <c r="O204" s="42"/>
      <c r="P204" s="1623">
        <f>Rev!BU471</f>
        <v>1580</v>
      </c>
      <c r="Q204" s="1623">
        <f>Rev!BV471</f>
        <v>1688</v>
      </c>
      <c r="R204" s="1623">
        <f>Rev!BW471</f>
        <v>1787</v>
      </c>
      <c r="S204" s="1623">
        <f>Rev!BX471</f>
        <v>1819</v>
      </c>
      <c r="T204" s="1623">
        <f>Rev!BY471</f>
        <v>1850</v>
      </c>
      <c r="U204" s="1623">
        <f>Rev!BZ471</f>
        <v>1868</v>
      </c>
      <c r="V204" s="1623">
        <f>Rev!CA471</f>
        <v>1863</v>
      </c>
      <c r="W204" s="1623">
        <f>Rev!CB471</f>
        <v>1928</v>
      </c>
      <c r="X204" s="1623">
        <f>Rev!CC471</f>
        <v>1959</v>
      </c>
      <c r="Y204" s="1623">
        <f>Rev!CD471</f>
        <v>1846</v>
      </c>
      <c r="Z204" s="1623">
        <f>Rev!CE471</f>
        <v>1944</v>
      </c>
      <c r="AA204" s="1623">
        <f>Rev!CF471</f>
        <v>1976</v>
      </c>
      <c r="AB204" s="1623">
        <f>Rev!CG471</f>
        <v>1903</v>
      </c>
      <c r="AC204" s="1623">
        <f>Rev!CH471</f>
        <v>1859</v>
      </c>
      <c r="AD204" s="1623">
        <f>Rev!CI471</f>
        <v>1872</v>
      </c>
      <c r="AE204" s="1623">
        <f>Rev!CJ471</f>
        <v>2042</v>
      </c>
      <c r="AF204" s="1623">
        <f>Rev!CK471</f>
        <v>2082</v>
      </c>
      <c r="AG204" s="1623">
        <f>Rev!CL471</f>
        <v>2057</v>
      </c>
      <c r="AH204" s="1623">
        <f>Rev!CM471</f>
        <v>2045</v>
      </c>
      <c r="AI204" s="1623">
        <f>Rev!CN471</f>
        <v>1950</v>
      </c>
      <c r="AJ204" s="1623">
        <f>Rev!CO471</f>
        <v>1910</v>
      </c>
      <c r="AK204" s="1623">
        <f>Rev!CP471</f>
        <v>1904</v>
      </c>
      <c r="AL204" s="1623">
        <f>Rev!CQ471</f>
        <v>1866</v>
      </c>
      <c r="AM204" s="1623">
        <f>Rev!CR471</f>
        <v>1903</v>
      </c>
      <c r="AN204" s="1623">
        <f>Rev!CS471</f>
        <v>1979</v>
      </c>
      <c r="AO204" s="1623">
        <f>Rev!CT471</f>
        <v>1995</v>
      </c>
      <c r="AP204" s="1623">
        <f>Rev!CU471</f>
        <v>1933</v>
      </c>
      <c r="AQ204" s="1623">
        <f>Rev!CV471</f>
        <v>1955</v>
      </c>
      <c r="AR204" s="1623">
        <f>Rev!CW471</f>
        <v>1980</v>
      </c>
      <c r="AS204" s="1623">
        <f>Rev!CX471</f>
        <v>1996</v>
      </c>
      <c r="AT204" s="1623">
        <f>Rev!CY471</f>
        <v>2007</v>
      </c>
    </row>
    <row r="205" spans="1:46">
      <c r="B205" s="1630" t="s">
        <v>95</v>
      </c>
      <c r="C205" s="42"/>
      <c r="D205" s="42"/>
      <c r="E205" s="42"/>
      <c r="F205" s="42"/>
      <c r="G205" s="42"/>
      <c r="H205" s="42"/>
      <c r="I205" s="42"/>
      <c r="J205" s="42"/>
      <c r="K205" s="42"/>
      <c r="L205" s="42"/>
      <c r="M205" s="42"/>
      <c r="N205" s="42"/>
      <c r="O205" s="42"/>
      <c r="P205" s="1623"/>
      <c r="Q205" s="1631">
        <f t="shared" ref="Q205:Z205" si="36">+Q204/P204-1</f>
        <v>6.8354430379746756E-2</v>
      </c>
      <c r="R205" s="1631">
        <f t="shared" si="36"/>
        <v>5.8649289099526047E-2</v>
      </c>
      <c r="S205" s="1631">
        <f t="shared" si="36"/>
        <v>1.790710688304431E-2</v>
      </c>
      <c r="T205" s="1631">
        <f t="shared" si="36"/>
        <v>1.7042330951072104E-2</v>
      </c>
      <c r="U205" s="1631">
        <f t="shared" si="36"/>
        <v>9.7297297297296303E-3</v>
      </c>
      <c r="V205" s="1631">
        <f t="shared" si="36"/>
        <v>-2.6766595289079431E-3</v>
      </c>
      <c r="W205" s="1631">
        <f t="shared" si="36"/>
        <v>3.4889962426194243E-2</v>
      </c>
      <c r="X205" s="1631">
        <f t="shared" si="36"/>
        <v>1.6078838174273802E-2</v>
      </c>
      <c r="Y205" s="1631">
        <f t="shared" si="36"/>
        <v>-5.7682491066870845E-2</v>
      </c>
      <c r="Z205" s="1631">
        <f t="shared" si="36"/>
        <v>5.308775731310944E-2</v>
      </c>
      <c r="AA205" s="1631">
        <f t="shared" ref="AA205:AI205" si="37">+AA204/Z204-1</f>
        <v>1.6460905349794164E-2</v>
      </c>
      <c r="AB205" s="1631">
        <f t="shared" si="37"/>
        <v>-3.6943319838056654E-2</v>
      </c>
      <c r="AC205" s="1631">
        <f t="shared" si="37"/>
        <v>-2.3121387283236983E-2</v>
      </c>
      <c r="AD205" s="1631">
        <f t="shared" si="37"/>
        <v>6.9930069930070893E-3</v>
      </c>
      <c r="AE205" s="1631">
        <f t="shared" si="37"/>
        <v>9.0811965811965711E-2</v>
      </c>
      <c r="AF205" s="1631">
        <f t="shared" si="37"/>
        <v>1.9588638589618013E-2</v>
      </c>
      <c r="AG205" s="1631">
        <f t="shared" si="37"/>
        <v>-1.2007684918347694E-2</v>
      </c>
      <c r="AH205" s="1631">
        <f t="shared" si="37"/>
        <v>-5.8337384540593229E-3</v>
      </c>
      <c r="AI205" s="1631">
        <f t="shared" si="37"/>
        <v>-4.6454767726161417E-2</v>
      </c>
      <c r="AJ205" s="1631">
        <f t="shared" ref="AJ205:AP205" si="38">+AJ204/AI204-1</f>
        <v>-2.0512820512820551E-2</v>
      </c>
      <c r="AK205" s="1631">
        <f t="shared" si="38"/>
        <v>-3.141361256544517E-3</v>
      </c>
      <c r="AL205" s="1631">
        <f t="shared" si="38"/>
        <v>-1.9957983193277351E-2</v>
      </c>
      <c r="AM205" s="1631">
        <f t="shared" si="38"/>
        <v>1.9828510182207992E-2</v>
      </c>
      <c r="AN205" s="1631">
        <f t="shared" si="38"/>
        <v>3.9936941671045778E-2</v>
      </c>
      <c r="AO205" s="1631">
        <f t="shared" si="38"/>
        <v>8.0848913592723726E-3</v>
      </c>
      <c r="AP205" s="1631">
        <f t="shared" si="38"/>
        <v>-3.1077694235588926E-2</v>
      </c>
      <c r="AQ205" s="1631">
        <f>+AQ204/AP204-1</f>
        <v>1.1381272633212536E-2</v>
      </c>
      <c r="AR205" s="1631">
        <f>+AR204/AQ204-1</f>
        <v>1.2787723785166349E-2</v>
      </c>
      <c r="AS205" s="1631">
        <f>+AS204/AR204-1</f>
        <v>8.0808080808081328E-3</v>
      </c>
      <c r="AT205" s="1631">
        <f>+AT204/AS204-1</f>
        <v>5.5110220440881541E-3</v>
      </c>
    </row>
    <row r="206" spans="1:46">
      <c r="B206" s="42" t="s">
        <v>162</v>
      </c>
      <c r="C206" s="42"/>
      <c r="D206" s="42"/>
      <c r="E206" s="42"/>
      <c r="F206" s="42"/>
      <c r="G206" s="42"/>
      <c r="H206" s="42"/>
      <c r="I206" s="42"/>
      <c r="J206" s="42"/>
      <c r="K206" s="42"/>
      <c r="L206" s="42"/>
      <c r="M206" s="42"/>
      <c r="N206" s="42"/>
      <c r="O206" s="42"/>
      <c r="P206" s="1627">
        <f>Rev!BU508</f>
        <v>13709</v>
      </c>
      <c r="Q206" s="1627">
        <f>Rev!BV508</f>
        <v>14586</v>
      </c>
      <c r="R206" s="1627">
        <f>Rev!BW508</f>
        <v>15311</v>
      </c>
      <c r="S206" s="1627">
        <f>Rev!BX508</f>
        <v>16134</v>
      </c>
      <c r="T206" s="1627">
        <f>Rev!BY508</f>
        <v>16804</v>
      </c>
      <c r="U206" s="1627">
        <f>Rev!BZ508</f>
        <v>17707</v>
      </c>
      <c r="V206" s="1627">
        <f>Rev!CA508</f>
        <v>18378</v>
      </c>
      <c r="W206" s="1627">
        <f>Rev!CB508</f>
        <v>19113</v>
      </c>
      <c r="X206" s="1627">
        <f>Rev!CC508</f>
        <v>19914</v>
      </c>
      <c r="Y206" s="1627">
        <f>Rev!CD508</f>
        <v>21800</v>
      </c>
      <c r="Z206" s="1627">
        <f>Rev!CE508</f>
        <v>22400</v>
      </c>
      <c r="AA206" s="1627">
        <f>Rev!CF508</f>
        <v>23000</v>
      </c>
      <c r="AB206" s="1627">
        <f>Rev!CG508</f>
        <v>23800</v>
      </c>
      <c r="AC206" s="1627">
        <f>Rev!CH508</f>
        <v>24600</v>
      </c>
      <c r="AD206" s="1627">
        <f>Rev!CI508</f>
        <v>25900</v>
      </c>
      <c r="AE206" s="1627">
        <f>Rev!CJ508</f>
        <v>27400</v>
      </c>
      <c r="AF206" s="1627">
        <f>Rev!CK508</f>
        <v>28400</v>
      </c>
      <c r="AG206" s="1627">
        <f>Rev!CL508</f>
        <v>30400</v>
      </c>
      <c r="AH206" s="1627">
        <f>Rev!CM508</f>
        <v>26300</v>
      </c>
      <c r="AI206" s="1627">
        <f>Rev!CN508</f>
        <v>28500</v>
      </c>
      <c r="AJ206" s="1627">
        <f>Rev!CO508</f>
        <v>30700</v>
      </c>
      <c r="AK206" s="1627">
        <f>Rev!CP508</f>
        <v>32400</v>
      </c>
      <c r="AL206" s="1627">
        <f>Rev!CQ508</f>
        <v>33500</v>
      </c>
      <c r="AM206" s="1627">
        <f>Rev!CR508</f>
        <v>34600</v>
      </c>
      <c r="AN206" s="1627">
        <f>Rev!CS508</f>
        <v>36200</v>
      </c>
      <c r="AO206" s="1627">
        <f>Rev!CT508</f>
        <v>37900</v>
      </c>
      <c r="AP206" s="1627">
        <f>Rev!CU508</f>
        <v>41000</v>
      </c>
      <c r="AQ206" s="1627">
        <f>Rev!CV508</f>
        <v>42700</v>
      </c>
      <c r="AR206" s="1627">
        <f>Rev!CW508</f>
        <v>43600</v>
      </c>
      <c r="AS206" s="1627">
        <f>Rev!CX508</f>
        <v>45200</v>
      </c>
      <c r="AT206" s="1627">
        <f>Rev!CY508</f>
        <v>46700</v>
      </c>
    </row>
    <row r="207" spans="1:46">
      <c r="B207" s="1630" t="s">
        <v>95</v>
      </c>
      <c r="C207" s="42"/>
      <c r="D207" s="42"/>
      <c r="E207" s="42"/>
      <c r="F207" s="42"/>
      <c r="G207" s="42"/>
      <c r="H207" s="42"/>
      <c r="I207" s="42"/>
      <c r="J207" s="42"/>
      <c r="K207" s="42"/>
      <c r="L207" s="42"/>
      <c r="M207" s="42"/>
      <c r="N207" s="42"/>
      <c r="O207" s="42"/>
      <c r="P207" s="1623"/>
      <c r="Q207" s="1631">
        <f t="shared" ref="Q207:Z207" si="39">+Q206/P206-1</f>
        <v>6.3972572762418745E-2</v>
      </c>
      <c r="R207" s="1631">
        <f t="shared" si="39"/>
        <v>4.9705196764020299E-2</v>
      </c>
      <c r="S207" s="1631">
        <f t="shared" si="39"/>
        <v>5.3752204297563777E-2</v>
      </c>
      <c r="T207" s="1631">
        <f t="shared" si="39"/>
        <v>4.1527209619437233E-2</v>
      </c>
      <c r="U207" s="1631">
        <f t="shared" si="39"/>
        <v>5.3737205427279111E-2</v>
      </c>
      <c r="V207" s="1631">
        <f t="shared" si="39"/>
        <v>3.7894617947704212E-2</v>
      </c>
      <c r="W207" s="1631">
        <f t="shared" si="39"/>
        <v>3.9993470453803415E-2</v>
      </c>
      <c r="X207" s="1631">
        <f t="shared" si="39"/>
        <v>4.1908648563804718E-2</v>
      </c>
      <c r="Y207" s="1631">
        <f t="shared" si="39"/>
        <v>9.4707241136888554E-2</v>
      </c>
      <c r="Z207" s="1631">
        <f t="shared" si="39"/>
        <v>2.7522935779816571E-2</v>
      </c>
      <c r="AA207" s="1631">
        <f t="shared" ref="AA207:AI207" si="40">+AA206/Z206-1</f>
        <v>2.6785714285714191E-2</v>
      </c>
      <c r="AB207" s="1631">
        <f t="shared" si="40"/>
        <v>3.4782608695652195E-2</v>
      </c>
      <c r="AC207" s="1631">
        <f t="shared" si="40"/>
        <v>3.3613445378151363E-2</v>
      </c>
      <c r="AD207" s="1631">
        <f t="shared" si="40"/>
        <v>5.2845528455284452E-2</v>
      </c>
      <c r="AE207" s="1631">
        <f t="shared" si="40"/>
        <v>5.7915057915058021E-2</v>
      </c>
      <c r="AF207" s="1631">
        <f t="shared" si="40"/>
        <v>3.649635036496357E-2</v>
      </c>
      <c r="AG207" s="1631">
        <f t="shared" si="40"/>
        <v>7.0422535211267512E-2</v>
      </c>
      <c r="AH207" s="1631">
        <f t="shared" si="40"/>
        <v>-0.13486842105263153</v>
      </c>
      <c r="AI207" s="1631">
        <f t="shared" si="40"/>
        <v>8.365019011406849E-2</v>
      </c>
      <c r="AJ207" s="1631">
        <f t="shared" ref="AJ207:AP207" si="41">+AJ206/AI206-1</f>
        <v>7.7192982456140369E-2</v>
      </c>
      <c r="AK207" s="1631">
        <f t="shared" si="41"/>
        <v>5.5374592833876246E-2</v>
      </c>
      <c r="AL207" s="1631">
        <f t="shared" si="41"/>
        <v>3.3950617283950546E-2</v>
      </c>
      <c r="AM207" s="1631">
        <f t="shared" si="41"/>
        <v>3.2835820895522394E-2</v>
      </c>
      <c r="AN207" s="1631">
        <f t="shared" si="41"/>
        <v>4.6242774566473965E-2</v>
      </c>
      <c r="AO207" s="1631">
        <f t="shared" si="41"/>
        <v>4.6961325966850875E-2</v>
      </c>
      <c r="AP207" s="1631">
        <f t="shared" si="41"/>
        <v>8.1794195250659563E-2</v>
      </c>
      <c r="AQ207" s="1631">
        <f>+AQ206/AP206-1</f>
        <v>4.1463414634146378E-2</v>
      </c>
      <c r="AR207" s="1631">
        <f>+AR206/AQ206-1</f>
        <v>2.1077283372365363E-2</v>
      </c>
      <c r="AS207" s="1631">
        <f>+AS206/AR206-1</f>
        <v>3.669724770642202E-2</v>
      </c>
      <c r="AT207" s="1631">
        <f>+AT206/AS206-1</f>
        <v>3.3185840707964598E-2</v>
      </c>
    </row>
    <row r="208" spans="1:46">
      <c r="B208" s="42" t="s">
        <v>644</v>
      </c>
      <c r="C208" s="42"/>
      <c r="D208" s="42"/>
      <c r="E208" s="42"/>
      <c r="F208" s="42"/>
      <c r="G208" s="42"/>
      <c r="H208" s="42"/>
      <c r="I208" s="42"/>
      <c r="J208" s="42"/>
      <c r="K208" s="42"/>
      <c r="L208" s="42"/>
      <c r="M208" s="42"/>
      <c r="N208" s="42"/>
      <c r="O208" s="42"/>
      <c r="P208" s="1628">
        <f>Rev!BU515</f>
        <v>1.7183766233766233</v>
      </c>
      <c r="Q208" s="1628">
        <f>Rev!BV515</f>
        <v>1.7684375000000001</v>
      </c>
      <c r="R208" s="1628">
        <f>Rev!BW515</f>
        <v>1.8010240963855422</v>
      </c>
      <c r="S208" s="1628">
        <f>Rev!BX515</f>
        <v>1.8606508875739645</v>
      </c>
      <c r="T208" s="1628">
        <f>Rev!BY515</f>
        <v>1.8401117318435753</v>
      </c>
      <c r="U208" s="1628">
        <f>Rev!BZ515</f>
        <v>1.825978835978836</v>
      </c>
      <c r="V208" s="1628">
        <f>Rev!CA515</f>
        <v>1.8224747474747476</v>
      </c>
      <c r="W208" s="1628">
        <f>Rev!CB515</f>
        <v>1.8199514563106796</v>
      </c>
      <c r="X208" s="1628">
        <f>Rev!CC515</f>
        <v>1.8322535211267605</v>
      </c>
      <c r="Y208" s="1628">
        <f>Rev!CD515</f>
        <v>1.6422834645669291</v>
      </c>
      <c r="Z208" s="1628">
        <f>Rev!CE515</f>
        <v>1.5136986301369864</v>
      </c>
      <c r="AA208" s="1628">
        <f>Rev!CF515</f>
        <v>1.5655172413793104</v>
      </c>
      <c r="AB208" s="1628">
        <f>Rev!CG515</f>
        <v>1.6082474226804124</v>
      </c>
      <c r="AC208" s="1628">
        <f>Rev!CH515</f>
        <v>1.5921052631578947</v>
      </c>
      <c r="AD208" s="1628">
        <f>Rev!CI515</f>
        <v>1.5880503144654088</v>
      </c>
      <c r="AE208" s="1628">
        <f>Rev!CJ515</f>
        <v>1.6761006289308176</v>
      </c>
      <c r="AF208" s="1628">
        <f>Rev!CK515</f>
        <v>1.7383177570093458</v>
      </c>
      <c r="AG208" s="1628">
        <f>Rev!CL515</f>
        <v>1.7294117647058824</v>
      </c>
      <c r="AH208" s="1628">
        <f>Rev!CM515</f>
        <v>1.588235294117647</v>
      </c>
      <c r="AI208" s="1628">
        <f>Rev!CN515</f>
        <v>1.4691689008042896</v>
      </c>
      <c r="AJ208" s="1628">
        <f>Rev!CO515</f>
        <v>1.5025380710659899</v>
      </c>
      <c r="AK208" s="1628">
        <f>Rev!CP515</f>
        <v>1.5023809523809524</v>
      </c>
      <c r="AL208" s="1628">
        <f>Rev!CQ515</f>
        <v>1.4875846501128669</v>
      </c>
      <c r="AM208" s="1628">
        <f>Rev!CR515</f>
        <v>1.4901531728665207</v>
      </c>
      <c r="AN208" s="1628">
        <f>Rev!CS515</f>
        <v>1.4905263157894737</v>
      </c>
      <c r="AO208" s="1628">
        <f>Rev!CT515</f>
        <v>1.4879518072289157</v>
      </c>
      <c r="AP208" s="1628">
        <f>Rev!CU515</f>
        <v>1.4424131627056673</v>
      </c>
      <c r="AQ208" s="1628">
        <f>Rev!CV515</f>
        <v>1.4114671163575043</v>
      </c>
      <c r="AR208" s="1628">
        <f>Rev!CW515</f>
        <v>1.4217462932454694</v>
      </c>
      <c r="AS208" s="1628">
        <f>Rev!CX515</f>
        <v>1.4208000000000001</v>
      </c>
      <c r="AT208" s="1628">
        <f>Rev!CY515</f>
        <v>1.4182098765432098</v>
      </c>
    </row>
    <row r="209" spans="2:46">
      <c r="B209" s="1630" t="s">
        <v>95</v>
      </c>
      <c r="C209" s="42"/>
      <c r="D209" s="42"/>
      <c r="E209" s="42"/>
      <c r="F209" s="42"/>
      <c r="G209" s="42"/>
      <c r="H209" s="42"/>
      <c r="I209" s="42"/>
      <c r="J209" s="42"/>
      <c r="K209" s="42"/>
      <c r="L209" s="42"/>
      <c r="M209" s="42"/>
      <c r="N209" s="42"/>
      <c r="O209" s="42"/>
      <c r="P209" s="1623"/>
      <c r="Q209" s="1631">
        <f t="shared" ref="Q209:Z209" si="42">+Q208/P208-1</f>
        <v>2.9132656917205235E-2</v>
      </c>
      <c r="R209" s="1631">
        <f t="shared" si="42"/>
        <v>1.8426773004724284E-2</v>
      </c>
      <c r="S209" s="1631">
        <f t="shared" si="42"/>
        <v>3.3107159036953826E-2</v>
      </c>
      <c r="T209" s="1631">
        <f t="shared" si="42"/>
        <v>-1.103869396863022E-2</v>
      </c>
      <c r="U209" s="1631">
        <f t="shared" si="42"/>
        <v>-7.6804552789736524E-3</v>
      </c>
      <c r="V209" s="1631">
        <f t="shared" si="42"/>
        <v>-1.9190192323396138E-3</v>
      </c>
      <c r="W209" s="1631">
        <f t="shared" si="42"/>
        <v>-1.3845410848980499E-3</v>
      </c>
      <c r="X209" s="1631">
        <f t="shared" si="42"/>
        <v>6.7595565658762347E-3</v>
      </c>
      <c r="Y209" s="1631">
        <f t="shared" si="42"/>
        <v>-0.10368109782264612</v>
      </c>
      <c r="Z209" s="1631">
        <f t="shared" si="42"/>
        <v>-7.8296370391728098E-2</v>
      </c>
      <c r="AA209" s="1631">
        <f t="shared" ref="AA209:AI209" si="43">+AA208/Z208-1</f>
        <v>3.4233109689499219E-2</v>
      </c>
      <c r="AB209" s="1631">
        <f t="shared" si="43"/>
        <v>2.7294609201144571E-2</v>
      </c>
      <c r="AC209" s="1631">
        <f t="shared" si="43"/>
        <v>-1.0037112010796267E-2</v>
      </c>
      <c r="AD209" s="1631">
        <f t="shared" si="43"/>
        <v>-2.5469099225531311E-3</v>
      </c>
      <c r="AE209" s="1631">
        <f t="shared" si="43"/>
        <v>5.5445544554455495E-2</v>
      </c>
      <c r="AF209" s="1631">
        <f t="shared" si="43"/>
        <v>3.7120162718521588E-2</v>
      </c>
      <c r="AG209" s="1631">
        <f t="shared" si="43"/>
        <v>-5.123339658443915E-3</v>
      </c>
      <c r="AH209" s="1631">
        <f t="shared" si="43"/>
        <v>-8.163265306122458E-2</v>
      </c>
      <c r="AI209" s="1631">
        <f t="shared" si="43"/>
        <v>-7.4967729123225024E-2</v>
      </c>
      <c r="AJ209" s="1631">
        <f t="shared" ref="AJ209:AP209" si="44">+AJ208/AI208-1</f>
        <v>2.2712957130682776E-2</v>
      </c>
      <c r="AK209" s="1631">
        <f t="shared" si="44"/>
        <v>-1.045688545688872E-4</v>
      </c>
      <c r="AL209" s="1631">
        <f t="shared" si="44"/>
        <v>-9.8485688630679524E-3</v>
      </c>
      <c r="AM209" s="1631">
        <f t="shared" si="44"/>
        <v>1.7266397266595401E-3</v>
      </c>
      <c r="AN209" s="1631">
        <f t="shared" si="44"/>
        <v>2.504057500580803E-4</v>
      </c>
      <c r="AO209" s="1631">
        <f t="shared" si="44"/>
        <v>-1.7272479749506076E-3</v>
      </c>
      <c r="AP209" s="1631">
        <f t="shared" si="44"/>
        <v>-3.0604918991332886E-2</v>
      </c>
      <c r="AQ209" s="1631">
        <f>+AQ208/AP208-1</f>
        <v>-2.1454356593720081E-2</v>
      </c>
      <c r="AR209" s="1631">
        <f>+AR208/AQ208-1</f>
        <v>7.2826187509715812E-3</v>
      </c>
      <c r="AS209" s="1631">
        <f>+AS208/AR208-1</f>
        <v>-6.6558516801840106E-4</v>
      </c>
      <c r="AT209" s="1631">
        <f>+AT208/AS208-1</f>
        <v>-1.8230035591146887E-3</v>
      </c>
    </row>
    <row r="210" spans="2:46">
      <c r="B210" s="42" t="s">
        <v>51</v>
      </c>
      <c r="C210" s="42"/>
      <c r="D210" s="42"/>
      <c r="E210" s="42"/>
      <c r="F210" s="42"/>
      <c r="G210" s="42"/>
      <c r="H210" s="42"/>
      <c r="I210" s="42"/>
      <c r="J210" s="42"/>
      <c r="K210" s="42"/>
      <c r="L210" s="42"/>
      <c r="M210" s="42"/>
      <c r="N210" s="42"/>
      <c r="O210" s="42"/>
      <c r="P210" s="1623">
        <f>Rev!BU491</f>
        <v>3.86</v>
      </c>
      <c r="Q210" s="1623">
        <f>Rev!BV491</f>
        <v>4.43</v>
      </c>
      <c r="R210" s="1623">
        <f>Rev!BW491</f>
        <v>4.9480000000000004</v>
      </c>
      <c r="S210" s="1623">
        <f>Rev!BX491</f>
        <v>5.3410000000000002</v>
      </c>
      <c r="T210" s="1623">
        <f>Rev!BY491</f>
        <v>5.8179999999999996</v>
      </c>
      <c r="U210" s="1623">
        <f>Rev!BZ491</f>
        <v>6.3780000000000001</v>
      </c>
      <c r="V210" s="1623">
        <f>Rev!CA491</f>
        <v>6.7889999999999997</v>
      </c>
      <c r="W210" s="1623">
        <f>Rev!CB491</f>
        <v>7.32</v>
      </c>
      <c r="X210" s="1623">
        <f>Rev!CC491</f>
        <v>7.7939999999999996</v>
      </c>
      <c r="Y210" s="1623">
        <f>Rev!CD491</f>
        <v>8.5500000000000007</v>
      </c>
      <c r="Z210" s="1623">
        <f>Rev!CE491</f>
        <v>9.09</v>
      </c>
      <c r="AA210" s="1623">
        <f>Rev!CF491</f>
        <v>9.4039999999999999</v>
      </c>
      <c r="AB210" s="1623">
        <f>Rev!CG491</f>
        <v>9.6989999999999998</v>
      </c>
      <c r="AC210" s="1623">
        <f>Rev!CH491</f>
        <v>10.433</v>
      </c>
      <c r="AD210" s="1623">
        <f>Rev!CI491</f>
        <v>11.09</v>
      </c>
      <c r="AE210" s="1623">
        <f>Rev!CJ491</f>
        <v>11.358000000000001</v>
      </c>
      <c r="AF210" s="1623">
        <f>Rev!CK491</f>
        <v>12.189</v>
      </c>
      <c r="AG210" s="1623">
        <f>Rev!CL491</f>
        <v>12.973000000000001</v>
      </c>
      <c r="AH210" s="1623">
        <f>Rev!CM491</f>
        <v>13.231</v>
      </c>
      <c r="AI210" s="1623">
        <f>Rev!CN491</f>
        <v>13.523999999999999</v>
      </c>
      <c r="AJ210" s="1623">
        <f>Rev!CO491</f>
        <v>14.119</v>
      </c>
      <c r="AK210" s="1623">
        <f>Rev!CP491</f>
        <v>15.439</v>
      </c>
      <c r="AL210" s="1623">
        <f>Rev!CQ491</f>
        <v>18.978999999999999</v>
      </c>
      <c r="AM210" s="1623">
        <f>Rev!CR491</f>
        <v>21.568999999999999</v>
      </c>
      <c r="AN210" s="1623">
        <f>Rev!CS491</f>
        <v>23.436</v>
      </c>
      <c r="AO210" s="1623">
        <f>Rev!CT491</f>
        <v>21.172000000000001</v>
      </c>
      <c r="AP210" s="1623">
        <f>Rev!CU491</f>
        <v>23.158999999999999</v>
      </c>
      <c r="AQ210" s="1623">
        <f>Rev!CV491</f>
        <v>24.859000000000002</v>
      </c>
      <c r="AR210" s="1623">
        <f>Rev!CW491</f>
        <v>25.780999999999999</v>
      </c>
      <c r="AS210" s="1623">
        <f>Rev!CX491</f>
        <v>27.593</v>
      </c>
      <c r="AT210" s="1623">
        <f>Rev!CY491</f>
        <v>28.780999999999999</v>
      </c>
    </row>
    <row r="211" spans="2:46">
      <c r="B211" s="42" t="s">
        <v>1319</v>
      </c>
      <c r="C211" s="42"/>
      <c r="D211" s="42"/>
      <c r="E211" s="42"/>
      <c r="F211" s="42"/>
      <c r="G211" s="42"/>
      <c r="H211" s="42"/>
      <c r="I211" s="42"/>
      <c r="J211" s="42"/>
      <c r="K211" s="42"/>
      <c r="L211" s="42"/>
      <c r="M211" s="42"/>
      <c r="N211" s="42"/>
      <c r="O211" s="42"/>
      <c r="P211" s="1623">
        <f>Rev!BU519</f>
        <v>97.242691052916641</v>
      </c>
      <c r="Q211" s="1623">
        <f>Rev!BV519</f>
        <v>104.37650939506391</v>
      </c>
      <c r="R211" s="1623">
        <f>Rev!BW519</f>
        <v>110.33437022666713</v>
      </c>
      <c r="S211" s="1623">
        <f>Rev!BX519</f>
        <v>113.23474850267664</v>
      </c>
      <c r="T211" s="1623">
        <f>Rev!BY519</f>
        <v>117.7565931952962</v>
      </c>
      <c r="U211" s="1623">
        <f>Rev!BZ519</f>
        <v>123.20709339051317</v>
      </c>
      <c r="V211" s="1623">
        <f>Rev!CA519</f>
        <v>125.42607731744492</v>
      </c>
      <c r="W211" s="1623">
        <f>Rev!CB519</f>
        <v>130.16457283081272</v>
      </c>
      <c r="X211" s="1623">
        <f>Rev!CC519</f>
        <v>133.13859635636865</v>
      </c>
      <c r="Y211" s="1623">
        <f>Rev!CD519</f>
        <v>136.64477153953109</v>
      </c>
      <c r="Z211" s="1623">
        <f>Rev!CE519</f>
        <v>137.10407239819006</v>
      </c>
      <c r="AA211" s="1623">
        <f>Rev!CF519</f>
        <v>138.09104258443463</v>
      </c>
      <c r="AB211" s="1623">
        <f>Rev!CG519</f>
        <v>138.16239316239316</v>
      </c>
      <c r="AC211" s="1623">
        <f>Rev!CH519</f>
        <v>143.70523415977962</v>
      </c>
      <c r="AD211" s="1623">
        <f>Rev!CI519</f>
        <v>146.40264026402642</v>
      </c>
      <c r="AE211" s="1623">
        <f>Rev!CJ519</f>
        <v>142.06378986866793</v>
      </c>
      <c r="AF211" s="1623">
        <f>Rev!CK519</f>
        <v>145.62724014336916</v>
      </c>
      <c r="AG211" s="1623">
        <f>Rev!CL519</f>
        <v>147.08616780045352</v>
      </c>
      <c r="AH211" s="1623">
        <f>Rev!CM519</f>
        <v>155.56731334509112</v>
      </c>
      <c r="AI211" s="1623">
        <f>Rev!CN519</f>
        <v>164.52554744525548</v>
      </c>
      <c r="AJ211" s="1623">
        <f>Rev!CO519</f>
        <v>158.99774774774775</v>
      </c>
      <c r="AK211" s="1623">
        <f>Rev!CP519</f>
        <v>163.1167459059694</v>
      </c>
      <c r="AL211" s="1623">
        <f>Rev!CQ519</f>
        <v>191.99797673242287</v>
      </c>
      <c r="AM211" s="1623">
        <f>Rev!CR519</f>
        <v>211.15026921194323</v>
      </c>
      <c r="AN211" s="1623">
        <f>Rev!CS519</f>
        <v>220.67796610169492</v>
      </c>
      <c r="AO211" s="1623">
        <f>Rev!CT519</f>
        <v>190.48133153396313</v>
      </c>
      <c r="AP211" s="1623">
        <f>Rev!CU519</f>
        <v>195.68229826784957</v>
      </c>
      <c r="AQ211" s="1623">
        <f>Rev!CV519</f>
        <v>198.00079649542013</v>
      </c>
      <c r="AR211" s="1623">
        <f>Rev!CW519</f>
        <v>199.1579760525299</v>
      </c>
      <c r="AS211" s="1623">
        <f>Rev!CX519</f>
        <v>207.15465465465465</v>
      </c>
      <c r="AT211" s="1623">
        <f>Rev!CY519</f>
        <v>208.78491113529196</v>
      </c>
    </row>
    <row r="212" spans="2:46">
      <c r="B212" s="1630" t="s">
        <v>95</v>
      </c>
      <c r="C212" s="42"/>
      <c r="D212" s="42"/>
      <c r="E212" s="42"/>
      <c r="F212" s="42"/>
      <c r="G212" s="42"/>
      <c r="H212" s="42"/>
      <c r="I212" s="42"/>
      <c r="J212" s="42"/>
      <c r="K212" s="42"/>
      <c r="L212" s="42"/>
      <c r="M212" s="42"/>
      <c r="N212" s="42"/>
      <c r="O212" s="42"/>
      <c r="P212" s="1623"/>
      <c r="Q212" s="1631">
        <f t="shared" ref="Q212:Z212" si="45">+Q211/P211-1</f>
        <v>7.3360972067970209E-2</v>
      </c>
      <c r="R212" s="1631">
        <f t="shared" si="45"/>
        <v>5.7080475924451424E-2</v>
      </c>
      <c r="S212" s="1631">
        <f t="shared" si="45"/>
        <v>2.6287169356666196E-2</v>
      </c>
      <c r="T212" s="1631">
        <f t="shared" si="45"/>
        <v>3.9933366324496067E-2</v>
      </c>
      <c r="U212" s="1631">
        <f t="shared" si="45"/>
        <v>4.6286157295476915E-2</v>
      </c>
      <c r="V212" s="1631">
        <f t="shared" si="45"/>
        <v>1.8010196214097274E-2</v>
      </c>
      <c r="W212" s="1631">
        <f t="shared" si="45"/>
        <v>3.777918926201429E-2</v>
      </c>
      <c r="X212" s="1631">
        <f t="shared" si="45"/>
        <v>2.2848179507503508E-2</v>
      </c>
      <c r="Y212" s="1631">
        <f t="shared" si="45"/>
        <v>2.6334776534503668E-2</v>
      </c>
      <c r="Z212" s="1631">
        <f t="shared" si="45"/>
        <v>3.3612764944035423E-3</v>
      </c>
      <c r="AA212" s="1631">
        <f t="shared" ref="AA212:AI212" si="46">+AA211/Z211-1</f>
        <v>7.1986934376253586E-3</v>
      </c>
      <c r="AB212" s="1631">
        <f t="shared" si="46"/>
        <v>5.1669229678608097E-4</v>
      </c>
      <c r="AC212" s="1631">
        <f t="shared" si="46"/>
        <v>4.0118304775392355E-2</v>
      </c>
      <c r="AD212" s="1631">
        <f t="shared" si="46"/>
        <v>1.87704095819341E-2</v>
      </c>
      <c r="AE212" s="1631">
        <f t="shared" si="46"/>
        <v>-2.9636421771722765E-2</v>
      </c>
      <c r="AF212" s="1631">
        <f t="shared" si="46"/>
        <v>2.508345214495189E-2</v>
      </c>
      <c r="AG212" s="1631">
        <f t="shared" si="46"/>
        <v>1.0018233234716512E-2</v>
      </c>
      <c r="AH212" s="1631">
        <f t="shared" si="46"/>
        <v>5.7661068144379657E-2</v>
      </c>
      <c r="AI212" s="1631">
        <f t="shared" si="46"/>
        <v>5.758429523233155E-2</v>
      </c>
      <c r="AJ212" s="1631">
        <f t="shared" ref="AJ212:AP212" si="47">+AJ211/AI211-1</f>
        <v>-3.3598427620166738E-2</v>
      </c>
      <c r="AK212" s="1631">
        <f t="shared" si="47"/>
        <v>2.5906015755370992E-2</v>
      </c>
      <c r="AL212" s="1631">
        <f t="shared" si="47"/>
        <v>0.17705865002421284</v>
      </c>
      <c r="AM212" s="1631">
        <f t="shared" si="47"/>
        <v>9.9752574508698455E-2</v>
      </c>
      <c r="AN212" s="1631">
        <f t="shared" si="47"/>
        <v>4.5122826152725448E-2</v>
      </c>
      <c r="AO212" s="1631">
        <f t="shared" si="47"/>
        <v>-0.13683574804118093</v>
      </c>
      <c r="AP212" s="1631">
        <f t="shared" si="47"/>
        <v>2.7304338393702832E-2</v>
      </c>
      <c r="AQ212" s="1631">
        <f>+AQ211/AP211-1</f>
        <v>1.1848277785438732E-2</v>
      </c>
      <c r="AR212" s="1631">
        <f>+AR211/AQ211-1</f>
        <v>5.8443176875631053E-3</v>
      </c>
      <c r="AS212" s="1631">
        <f>+AS211/AR211-1</f>
        <v>4.0152439589040245E-2</v>
      </c>
      <c r="AT212" s="1631">
        <f>+AT211/AS211-1</f>
        <v>7.869755489468E-3</v>
      </c>
    </row>
    <row r="213" spans="2:46">
      <c r="B213" s="42" t="s">
        <v>1536</v>
      </c>
      <c r="C213" s="42"/>
      <c r="D213" s="42"/>
      <c r="E213" s="42"/>
      <c r="F213" s="42"/>
      <c r="G213" s="42"/>
      <c r="H213" s="42"/>
      <c r="I213" s="42"/>
      <c r="J213" s="42"/>
      <c r="K213" s="42"/>
      <c r="L213" s="42"/>
      <c r="M213" s="42"/>
      <c r="N213" s="42"/>
      <c r="O213" s="42"/>
      <c r="P213" s="1233">
        <f>P210/AVERAGE(O206:P206)*1000000/3*P208</f>
        <v>161.27929988167784</v>
      </c>
      <c r="Q213" s="1233">
        <f t="shared" ref="Q213:Z213" si="48">Q210/AVERAGE(P206:Q206)*1000000/3*Q208</f>
        <v>184.58333333333334</v>
      </c>
      <c r="R213" s="1233">
        <f t="shared" si="48"/>
        <v>198.71485943775104</v>
      </c>
      <c r="S213" s="1233">
        <f t="shared" si="48"/>
        <v>210.69033530571991</v>
      </c>
      <c r="T213" s="1233">
        <f t="shared" si="48"/>
        <v>216.68528864059587</v>
      </c>
      <c r="U213" s="1233">
        <f t="shared" si="48"/>
        <v>224.97354497354499</v>
      </c>
      <c r="V213" s="1233">
        <f t="shared" si="48"/>
        <v>228.5858585858586</v>
      </c>
      <c r="W213" s="1233">
        <f t="shared" si="48"/>
        <v>236.89320388349512</v>
      </c>
      <c r="X213" s="1233">
        <f t="shared" si="48"/>
        <v>243.94366197183095</v>
      </c>
      <c r="Y213" s="1233">
        <f t="shared" si="48"/>
        <v>224.40944881889763</v>
      </c>
      <c r="Z213" s="1233">
        <f t="shared" si="48"/>
        <v>207.53424657534245</v>
      </c>
      <c r="AA213" s="1233">
        <f t="shared" ref="AA213:AI213" si="49">AA210/AVERAGE(Z206:AA206)*1000000/3*AA208</f>
        <v>216.18390804597703</v>
      </c>
      <c r="AB213" s="1233">
        <f t="shared" si="49"/>
        <v>222.19931271477662</v>
      </c>
      <c r="AC213" s="1233">
        <f t="shared" si="49"/>
        <v>228.79385964912282</v>
      </c>
      <c r="AD213" s="1233">
        <f t="shared" si="49"/>
        <v>232.49475890985323</v>
      </c>
      <c r="AE213" s="1233">
        <f t="shared" si="49"/>
        <v>238.11320754716982</v>
      </c>
      <c r="AF213" s="1233">
        <f t="shared" si="49"/>
        <v>253.14641744548285</v>
      </c>
      <c r="AG213" s="1233">
        <f t="shared" si="49"/>
        <v>254.37254901960787</v>
      </c>
      <c r="AH213" s="1233">
        <f t="shared" si="49"/>
        <v>247.07749766573295</v>
      </c>
      <c r="AI213" s="1233">
        <f t="shared" si="49"/>
        <v>241.71581769436995</v>
      </c>
      <c r="AJ213" s="1233">
        <f t="shared" ref="AJ213:AP213" si="50">AJ210/AVERAGE(AI206:AJ206)*1000000/3*AJ208</f>
        <v>238.90016920473775</v>
      </c>
      <c r="AK213" s="1233">
        <f t="shared" si="50"/>
        <v>245.06349206349208</v>
      </c>
      <c r="AL213" s="1233">
        <f t="shared" si="50"/>
        <v>285.61324303987965</v>
      </c>
      <c r="AM213" s="1233">
        <f t="shared" si="50"/>
        <v>314.64624361779715</v>
      </c>
      <c r="AN213" s="1233">
        <f t="shared" si="50"/>
        <v>328.92631578947368</v>
      </c>
      <c r="AO213" s="1233">
        <f t="shared" si="50"/>
        <v>283.4270414993307</v>
      </c>
      <c r="AP213" s="1233">
        <f t="shared" si="50"/>
        <v>282.25472273004266</v>
      </c>
      <c r="AQ213" s="1233">
        <f>AQ210/AVERAGE(AP206:AQ206)*1000000/3*AQ208</f>
        <v>279.47161326587968</v>
      </c>
      <c r="AR213" s="1233">
        <f>AR210/AVERAGE(AQ206:AR206)*1000000/3*AR208</f>
        <v>283.15211422295442</v>
      </c>
      <c r="AS213" s="1233">
        <f>AS210/AVERAGE(AR206:AS206)*1000000/3*AS208</f>
        <v>294.32533333333333</v>
      </c>
      <c r="AT213" s="1233">
        <f>AT210/AVERAGE(AS206:AT206)*1000000/3*AT208</f>
        <v>296.10082304526748</v>
      </c>
    </row>
    <row r="214" spans="2:46">
      <c r="B214" s="1630" t="s">
        <v>95</v>
      </c>
      <c r="C214" s="42"/>
      <c r="D214" s="42"/>
      <c r="E214" s="42"/>
      <c r="F214" s="42"/>
      <c r="G214" s="42"/>
      <c r="H214" s="42"/>
      <c r="I214" s="42"/>
      <c r="J214" s="42"/>
      <c r="K214" s="42"/>
      <c r="L214" s="42"/>
      <c r="M214" s="42"/>
      <c r="N214" s="42"/>
      <c r="O214" s="42"/>
      <c r="P214" s="1623"/>
      <c r="Q214" s="1631">
        <f t="shared" ref="Q214:Z214" si="51">+Q213/P213-1</f>
        <v>0.14449488228652063</v>
      </c>
      <c r="R214" s="1631">
        <f t="shared" si="51"/>
        <v>7.6559057902037209E-2</v>
      </c>
      <c r="S214" s="1631">
        <f t="shared" si="51"/>
        <v>6.0264621890142367E-2</v>
      </c>
      <c r="T214" s="1631">
        <f t="shared" si="51"/>
        <v>2.8453860145872589E-2</v>
      </c>
      <c r="U214" s="1631">
        <f t="shared" si="51"/>
        <v>3.8250203255359994E-2</v>
      </c>
      <c r="V214" s="1631">
        <f t="shared" si="51"/>
        <v>1.6056615068844593E-2</v>
      </c>
      <c r="W214" s="1631">
        <f t="shared" si="51"/>
        <v>3.6342341337428863E-2</v>
      </c>
      <c r="X214" s="1631">
        <f t="shared" si="51"/>
        <v>2.9762179635188124E-2</v>
      </c>
      <c r="Y214" s="1631">
        <f t="shared" si="51"/>
        <v>-8.0076739830153953E-2</v>
      </c>
      <c r="Z214" s="1631">
        <f t="shared" si="51"/>
        <v>-7.5198269646719607E-2</v>
      </c>
      <c r="AA214" s="1631">
        <f t="shared" ref="AA214:AI214" si="52">+AA213/Z213-1</f>
        <v>4.1678236789196355E-2</v>
      </c>
      <c r="AB214" s="1631">
        <f t="shared" si="52"/>
        <v>2.7825404412248123E-2</v>
      </c>
      <c r="AC214" s="1631">
        <f t="shared" si="52"/>
        <v>2.9678520845882295E-2</v>
      </c>
      <c r="AD214" s="1631">
        <f t="shared" si="52"/>
        <v>1.6175693116966094E-2</v>
      </c>
      <c r="AE214" s="1631">
        <f t="shared" si="52"/>
        <v>2.4165915238954172E-2</v>
      </c>
      <c r="AF214" s="1631">
        <f t="shared" si="52"/>
        <v>6.3134716688636239E-2</v>
      </c>
      <c r="AG214" s="1631">
        <f t="shared" si="52"/>
        <v>4.8435667646336E-3</v>
      </c>
      <c r="AH214" s="1631">
        <f t="shared" si="52"/>
        <v>-2.8678610887814759E-2</v>
      </c>
      <c r="AI214" s="1631">
        <f t="shared" si="52"/>
        <v>-2.170039773762289E-2</v>
      </c>
      <c r="AJ214" s="1631">
        <f t="shared" ref="AJ214:AP214" si="53">+AJ213/AI213-1</f>
        <v>-1.1648590135678871E-2</v>
      </c>
      <c r="AK214" s="1631">
        <f t="shared" si="53"/>
        <v>2.5798737938407923E-2</v>
      </c>
      <c r="AL214" s="1631">
        <f t="shared" si="53"/>
        <v>0.16546630685357977</v>
      </c>
      <c r="AM214" s="1631">
        <f t="shared" si="53"/>
        <v>0.10165145099334105</v>
      </c>
      <c r="AN214" s="1631">
        <f t="shared" si="53"/>
        <v>4.5384530917911059E-2</v>
      </c>
      <c r="AO214" s="1631">
        <f t="shared" si="53"/>
        <v>-0.13832664674742645</v>
      </c>
      <c r="AP214" s="1631">
        <f t="shared" si="53"/>
        <v>-4.1362276622811667E-3</v>
      </c>
      <c r="AQ214" s="1631">
        <f>+AQ213/AP213-1</f>
        <v>-9.8602759849117927E-3</v>
      </c>
      <c r="AR214" s="1631">
        <f>+AR213/AQ213-1</f>
        <v>1.3169498376113253E-2</v>
      </c>
      <c r="AS214" s="1631">
        <f>+AS213/AR213-1</f>
        <v>3.946012955277145E-2</v>
      </c>
      <c r="AT214" s="1631">
        <f>+AT213/AS213-1</f>
        <v>6.0324053380866882E-3</v>
      </c>
    </row>
    <row r="215" spans="2:46">
      <c r="B215" s="42" t="s">
        <v>1535</v>
      </c>
      <c r="C215" s="42"/>
      <c r="D215" s="42"/>
      <c r="E215" s="42"/>
      <c r="F215" s="42"/>
      <c r="G215" s="42"/>
      <c r="H215" s="42"/>
      <c r="I215" s="42"/>
      <c r="J215" s="42"/>
      <c r="K215" s="42"/>
      <c r="L215" s="42"/>
      <c r="M215" s="42"/>
      <c r="N215" s="42"/>
      <c r="O215" s="42"/>
      <c r="P215" s="1233">
        <f t="shared" ref="P215:Z215" si="54">+P204-P213</f>
        <v>1418.7207001183222</v>
      </c>
      <c r="Q215" s="1233">
        <f t="shared" si="54"/>
        <v>1503.4166666666667</v>
      </c>
      <c r="R215" s="1233">
        <f t="shared" si="54"/>
        <v>1588.2851405622489</v>
      </c>
      <c r="S215" s="1233">
        <f t="shared" si="54"/>
        <v>1608.3096646942802</v>
      </c>
      <c r="T215" s="1233">
        <f t="shared" si="54"/>
        <v>1633.3147113594041</v>
      </c>
      <c r="U215" s="1233">
        <f t="shared" si="54"/>
        <v>1643.0264550264551</v>
      </c>
      <c r="V215" s="1233">
        <f t="shared" si="54"/>
        <v>1634.4141414141413</v>
      </c>
      <c r="W215" s="1233">
        <f t="shared" si="54"/>
        <v>1691.1067961165049</v>
      </c>
      <c r="X215" s="1233">
        <f t="shared" si="54"/>
        <v>1715.056338028169</v>
      </c>
      <c r="Y215" s="1233">
        <f t="shared" si="54"/>
        <v>1621.5905511811025</v>
      </c>
      <c r="Z215" s="1233">
        <f t="shared" si="54"/>
        <v>1736.4657534246576</v>
      </c>
      <c r="AA215" s="1233">
        <f t="shared" ref="AA215:AH215" si="55">+AA204-AA213</f>
        <v>1759.816091954023</v>
      </c>
      <c r="AB215" s="1233">
        <f t="shared" si="55"/>
        <v>1680.8006872852234</v>
      </c>
      <c r="AC215" s="1233">
        <f t="shared" si="55"/>
        <v>1630.2061403508771</v>
      </c>
      <c r="AD215" s="1233">
        <f t="shared" si="55"/>
        <v>1639.5052410901467</v>
      </c>
      <c r="AE215" s="1233">
        <f t="shared" si="55"/>
        <v>1803.8867924528302</v>
      </c>
      <c r="AF215" s="1233">
        <f t="shared" si="55"/>
        <v>1828.8535825545171</v>
      </c>
      <c r="AG215" s="1233">
        <f t="shared" si="55"/>
        <v>1802.627450980392</v>
      </c>
      <c r="AH215" s="1233">
        <f t="shared" si="55"/>
        <v>1797.9225023342669</v>
      </c>
      <c r="AI215" s="1233">
        <f t="shared" ref="AI215:AP215" si="56">+AI204-AI213</f>
        <v>1708.2841823056301</v>
      </c>
      <c r="AJ215" s="1233">
        <f t="shared" si="56"/>
        <v>1671.0998307952623</v>
      </c>
      <c r="AK215" s="1233">
        <f t="shared" si="56"/>
        <v>1658.936507936508</v>
      </c>
      <c r="AL215" s="1233">
        <f t="shared" si="56"/>
        <v>1580.3867569601202</v>
      </c>
      <c r="AM215" s="1233">
        <f t="shared" si="56"/>
        <v>1588.3537563822028</v>
      </c>
      <c r="AN215" s="1233">
        <f t="shared" si="56"/>
        <v>1650.0736842105264</v>
      </c>
      <c r="AO215" s="1233">
        <f t="shared" si="56"/>
        <v>1711.5729585006693</v>
      </c>
      <c r="AP215" s="1233">
        <f t="shared" si="56"/>
        <v>1650.7452772699573</v>
      </c>
      <c r="AQ215" s="1233">
        <f>+AQ204-AQ213</f>
        <v>1675.5283867341204</v>
      </c>
      <c r="AR215" s="1233">
        <f>+AR204-AR213</f>
        <v>1696.8478857770456</v>
      </c>
      <c r="AS215" s="1233">
        <f>+AS204-AS213</f>
        <v>1701.6746666666668</v>
      </c>
      <c r="AT215" s="1233">
        <f>+AT204-AT213</f>
        <v>1710.8991769547324</v>
      </c>
    </row>
    <row r="216" spans="2:46">
      <c r="B216" s="1630" t="s">
        <v>95</v>
      </c>
      <c r="C216" s="42"/>
      <c r="D216" s="42"/>
      <c r="E216" s="42"/>
      <c r="F216" s="42"/>
      <c r="G216" s="42"/>
      <c r="H216" s="42"/>
      <c r="I216" s="42"/>
      <c r="J216" s="42"/>
      <c r="K216" s="42"/>
      <c r="L216" s="42"/>
      <c r="M216" s="42"/>
      <c r="N216" s="42"/>
      <c r="O216" s="42"/>
      <c r="P216" s="1623"/>
      <c r="Q216" s="1631">
        <f t="shared" ref="Q216:Z216" si="57">+Q215/P215-1</f>
        <v>5.9698830461331065E-2</v>
      </c>
      <c r="R216" s="1631">
        <f t="shared" si="57"/>
        <v>5.6450401127819072E-2</v>
      </c>
      <c r="S216" s="1631">
        <f t="shared" si="57"/>
        <v>1.2607638024582091E-2</v>
      </c>
      <c r="T216" s="1631">
        <f t="shared" si="57"/>
        <v>1.5547408073231406E-2</v>
      </c>
      <c r="U216" s="1631">
        <f t="shared" si="57"/>
        <v>5.9460333024050627E-3</v>
      </c>
      <c r="V216" s="1631">
        <f t="shared" si="57"/>
        <v>-5.2417376396870496E-3</v>
      </c>
      <c r="W216" s="1631">
        <f t="shared" si="57"/>
        <v>3.4686835646999148E-2</v>
      </c>
      <c r="X216" s="1631">
        <f t="shared" si="57"/>
        <v>1.4162051720602253E-2</v>
      </c>
      <c r="Y216" s="1631">
        <f t="shared" si="57"/>
        <v>-5.4497210834791421E-2</v>
      </c>
      <c r="Z216" s="1631">
        <f t="shared" si="57"/>
        <v>7.084106537244228E-2</v>
      </c>
      <c r="AA216" s="1631">
        <f t="shared" ref="AA216:AI216" si="58">+AA215/Z215-1</f>
        <v>1.3447048110977189E-2</v>
      </c>
      <c r="AB216" s="1631">
        <f t="shared" si="58"/>
        <v>-4.4899808014066012E-2</v>
      </c>
      <c r="AC216" s="1631">
        <f t="shared" si="58"/>
        <v>-3.0101455405795341E-2</v>
      </c>
      <c r="AD216" s="1631">
        <f t="shared" si="58"/>
        <v>5.7042483825193724E-3</v>
      </c>
      <c r="AE216" s="1631">
        <f t="shared" si="58"/>
        <v>0.10026290080865019</v>
      </c>
      <c r="AF216" s="1631">
        <f t="shared" si="58"/>
        <v>1.3840552636752879E-2</v>
      </c>
      <c r="AG216" s="1631">
        <f t="shared" si="58"/>
        <v>-1.4340202968841642E-2</v>
      </c>
      <c r="AH216" s="1631">
        <f t="shared" si="58"/>
        <v>-2.6100504813494352E-3</v>
      </c>
      <c r="AI216" s="1631">
        <f t="shared" si="58"/>
        <v>-4.9856609454666856E-2</v>
      </c>
      <c r="AJ216" s="1631">
        <f t="shared" ref="AJ216:AP216" si="59">+AJ215/AI215-1</f>
        <v>-2.1767075932401903E-2</v>
      </c>
      <c r="AK216" s="1631">
        <f t="shared" si="59"/>
        <v>-7.2786332896496164E-3</v>
      </c>
      <c r="AL216" s="1631">
        <f t="shared" si="59"/>
        <v>-4.7349461899595546E-2</v>
      </c>
      <c r="AM216" s="1631">
        <f t="shared" si="59"/>
        <v>5.0411707052058219E-3</v>
      </c>
      <c r="AN216" s="1631">
        <f t="shared" si="59"/>
        <v>3.8857796999141492E-2</v>
      </c>
      <c r="AO216" s="1631">
        <f t="shared" si="59"/>
        <v>3.727062305073181E-2</v>
      </c>
      <c r="AP216" s="1631">
        <f t="shared" si="59"/>
        <v>-3.5539052500570434E-2</v>
      </c>
      <c r="AQ216" s="1631">
        <f>+AQ215/AP215-1</f>
        <v>1.5013285093354867E-2</v>
      </c>
      <c r="AR216" s="1631">
        <f>+AR215/AQ215-1</f>
        <v>1.2724045269373319E-2</v>
      </c>
      <c r="AS216" s="1631">
        <f>+AS215/AR215-1</f>
        <v>2.8445572110966655E-3</v>
      </c>
      <c r="AT216" s="1631">
        <f>+AT215/AS215-1</f>
        <v>5.4208424611121853E-3</v>
      </c>
    </row>
    <row r="269" spans="1:46">
      <c r="A269" s="1225" t="s">
        <v>604</v>
      </c>
      <c r="B269" s="1195" t="s">
        <v>2504</v>
      </c>
      <c r="C269" s="42"/>
      <c r="D269" s="42"/>
      <c r="E269" s="42"/>
      <c r="F269" s="42"/>
      <c r="G269" s="42"/>
      <c r="H269" s="42"/>
      <c r="I269" s="42"/>
      <c r="J269" s="42"/>
      <c r="K269" s="42"/>
      <c r="L269" s="42"/>
      <c r="M269" s="42"/>
      <c r="N269" s="42"/>
      <c r="O269" s="42"/>
      <c r="P269" s="42"/>
      <c r="Q269" s="42"/>
      <c r="R269" s="42"/>
      <c r="S269" s="42"/>
      <c r="T269" s="42"/>
      <c r="U269" s="42"/>
      <c r="V269" s="42"/>
      <c r="W269" s="42"/>
      <c r="X269" s="42"/>
      <c r="Y269" s="42"/>
      <c r="Z269" s="42"/>
      <c r="AA269" s="42"/>
      <c r="AB269" s="42"/>
      <c r="AC269" s="42"/>
      <c r="AD269" s="42"/>
      <c r="AE269" s="42"/>
      <c r="AF269" s="42"/>
      <c r="AG269" s="42"/>
      <c r="AH269" s="42"/>
      <c r="AI269" s="42"/>
      <c r="AJ269" s="42"/>
      <c r="AK269" s="42"/>
      <c r="AL269" s="42"/>
      <c r="AM269" s="42"/>
      <c r="AN269" s="42"/>
      <c r="AO269" s="42"/>
      <c r="AP269" s="42"/>
      <c r="AQ269" s="42"/>
      <c r="AR269" s="42"/>
      <c r="AS269" s="42"/>
      <c r="AT269" s="42"/>
    </row>
    <row r="270" spans="1:46">
      <c r="A270" s="1225"/>
      <c r="B270" s="1102" t="s">
        <v>1715</v>
      </c>
      <c r="C270" s="42"/>
      <c r="D270" s="42"/>
      <c r="E270" s="42"/>
      <c r="F270" s="42"/>
      <c r="G270" s="42"/>
      <c r="H270" s="42"/>
      <c r="I270" s="42"/>
      <c r="J270" s="42"/>
      <c r="K270" s="42"/>
      <c r="L270" s="42"/>
      <c r="M270" s="42"/>
      <c r="N270" s="42"/>
      <c r="O270" s="42"/>
      <c r="P270" s="42"/>
      <c r="Q270" s="42"/>
      <c r="R270" s="42"/>
      <c r="S270" s="1627">
        <f>Rev!BX625</f>
        <v>900</v>
      </c>
      <c r="T270" s="1627">
        <f>Rev!BY625</f>
        <v>1200</v>
      </c>
      <c r="U270" s="1627">
        <f>Rev!BZ625</f>
        <v>1300</v>
      </c>
      <c r="V270" s="1627">
        <f>Rev!CA625</f>
        <v>500</v>
      </c>
      <c r="W270" s="1627">
        <f>Rev!CB625</f>
        <v>500</v>
      </c>
      <c r="X270" s="1627">
        <f>Rev!CC625</f>
        <v>-400</v>
      </c>
      <c r="Y270" s="1627">
        <f>Rev!CD625</f>
        <v>800</v>
      </c>
      <c r="Z270" s="1627">
        <f>Rev!CE625</f>
        <v>1100</v>
      </c>
      <c r="AA270" s="1627">
        <f>Rev!CF625</f>
        <v>500</v>
      </c>
      <c r="AB270" s="1627">
        <f>Rev!CG625</f>
        <v>900</v>
      </c>
      <c r="AC270" s="1627">
        <f>Rev!CH625</f>
        <v>800</v>
      </c>
      <c r="AD270" s="1627">
        <f>Rev!CI625</f>
        <v>600</v>
      </c>
      <c r="AE270" s="1627">
        <f>Rev!CJ625</f>
        <v>2900</v>
      </c>
      <c r="AF270" s="1627">
        <f>Rev!CK625</f>
        <v>900</v>
      </c>
      <c r="AG270" s="1627">
        <f>Rev!CL625</f>
        <v>1000</v>
      </c>
      <c r="AH270" s="1627">
        <f>Rev!CM625</f>
        <v>700</v>
      </c>
      <c r="AI270" s="1627">
        <f>Rev!CN625</f>
        <v>900</v>
      </c>
      <c r="AJ270" s="1627">
        <f>Rev!CO625</f>
        <v>1500</v>
      </c>
      <c r="AK270" s="1627">
        <f>Rev!CP625</f>
        <v>1800</v>
      </c>
      <c r="AL270" s="1627">
        <f>Rev!CQ625</f>
        <v>1300</v>
      </c>
      <c r="AM270" s="1627">
        <f>Rev!CR625</f>
        <v>700</v>
      </c>
      <c r="AN270" s="1627">
        <f>Rev!CS625</f>
        <v>900</v>
      </c>
      <c r="AO270" s="1627">
        <f>Rev!CT625</f>
        <v>1100</v>
      </c>
      <c r="AP270" s="1627">
        <f>Rev!CU625</f>
        <v>31400</v>
      </c>
      <c r="AQ270" s="1627">
        <f>Rev!CV625</f>
        <v>1500</v>
      </c>
      <c r="AR270" s="1627">
        <f>Rev!CW625</f>
        <v>1800</v>
      </c>
      <c r="AS270" s="1627">
        <f>Rev!CX625</f>
        <v>2400</v>
      </c>
      <c r="AT270" s="1627">
        <f>Rev!CY625</f>
        <v>2900</v>
      </c>
    </row>
    <row r="271" spans="1:46">
      <c r="B271" s="1102" t="s">
        <v>2505</v>
      </c>
      <c r="C271" s="42"/>
      <c r="D271" s="42"/>
      <c r="E271" s="42"/>
      <c r="F271" s="42"/>
      <c r="G271" s="42"/>
      <c r="H271" s="42"/>
      <c r="I271" s="42"/>
      <c r="J271" s="42"/>
      <c r="K271" s="42"/>
      <c r="L271" s="42"/>
      <c r="M271" s="42"/>
      <c r="N271" s="42"/>
      <c r="O271" s="42"/>
      <c r="P271" s="1623">
        <f>Rev!BU634</f>
        <v>1084</v>
      </c>
      <c r="Q271" s="1623">
        <f>Rev!BV634</f>
        <v>1116</v>
      </c>
      <c r="R271" s="1623">
        <f>Rev!BW634</f>
        <v>1151</v>
      </c>
      <c r="S271" s="1623">
        <f>Rev!BX634</f>
        <v>1164</v>
      </c>
      <c r="T271" s="1623">
        <f>Rev!BY634</f>
        <v>1205</v>
      </c>
      <c r="U271" s="1623">
        <f>Rev!BZ634</f>
        <v>1204</v>
      </c>
      <c r="V271" s="1623">
        <f>Rev!CA634</f>
        <v>1193</v>
      </c>
      <c r="W271" s="1623">
        <f>Rev!CB634</f>
        <v>1223</v>
      </c>
      <c r="X271" s="1623">
        <f>Rev!CC634</f>
        <v>1276</v>
      </c>
      <c r="Y271" s="1623">
        <f>Rev!CD634</f>
        <v>1358</v>
      </c>
      <c r="Z271" s="1623">
        <f>Rev!CE634</f>
        <v>1385</v>
      </c>
      <c r="AA271" s="1623">
        <f>Rev!CF634</f>
        <v>1401</v>
      </c>
      <c r="AB271" s="1623">
        <f>Rev!CG634</f>
        <v>1432</v>
      </c>
      <c r="AC271" s="1623">
        <f>Rev!CH634</f>
        <v>1465</v>
      </c>
      <c r="AD271" s="1623">
        <f>Rev!CI634</f>
        <v>1551</v>
      </c>
      <c r="AE271" s="1623">
        <f>Rev!CJ634</f>
        <v>1480</v>
      </c>
      <c r="AF271" s="1623">
        <f>Rev!CK634</f>
        <v>1506</v>
      </c>
      <c r="AG271" s="1623">
        <f>Rev!CL634</f>
        <v>1505</v>
      </c>
      <c r="AH271" s="1623">
        <f>Rev!CM634</f>
        <v>1495</v>
      </c>
      <c r="AI271" s="1623">
        <f>Rev!CN634</f>
        <v>1444</v>
      </c>
      <c r="AJ271" s="1623">
        <f>Rev!CO634</f>
        <v>1456</v>
      </c>
      <c r="AK271" s="1623">
        <f>Rev!CP634</f>
        <v>1445</v>
      </c>
      <c r="AL271" s="1623">
        <f>Rev!CQ634</f>
        <v>1439</v>
      </c>
      <c r="AM271" s="1623">
        <f>Rev!CR634</f>
        <v>1401</v>
      </c>
      <c r="AN271" s="1623">
        <f>Rev!CS634</f>
        <v>1436</v>
      </c>
      <c r="AO271" s="1623">
        <f>Rev!CT634</f>
        <v>1433</v>
      </c>
      <c r="AP271" s="1623">
        <f>Rev!CU634</f>
        <v>1295</v>
      </c>
      <c r="AQ271" s="1623">
        <f>Rev!CV634</f>
        <v>1312</v>
      </c>
      <c r="AR271" s="1623">
        <f>Rev!CW634</f>
        <v>1321</v>
      </c>
      <c r="AS271" s="1623">
        <f>Rev!CX634</f>
        <v>1345</v>
      </c>
      <c r="AT271" s="1623">
        <f>Rev!CY634</f>
        <v>1342</v>
      </c>
    </row>
    <row r="272" spans="1:46">
      <c r="B272" s="1630" t="s">
        <v>95</v>
      </c>
      <c r="C272" s="42"/>
      <c r="D272" s="42"/>
      <c r="E272" s="42"/>
      <c r="F272" s="42"/>
      <c r="G272" s="42"/>
      <c r="H272" s="42"/>
      <c r="I272" s="42"/>
      <c r="J272" s="42"/>
      <c r="K272" s="42"/>
      <c r="L272" s="42"/>
      <c r="M272" s="42"/>
      <c r="N272" s="42"/>
      <c r="O272" s="42"/>
      <c r="P272" s="1623"/>
      <c r="Q272" s="1631">
        <f t="shared" ref="Q272:Z272" si="60">+Q271/P271-1</f>
        <v>2.9520295202952074E-2</v>
      </c>
      <c r="R272" s="1631">
        <f t="shared" si="60"/>
        <v>3.1362007168458828E-2</v>
      </c>
      <c r="S272" s="1631">
        <f t="shared" si="60"/>
        <v>1.1294526498696777E-2</v>
      </c>
      <c r="T272" s="1631">
        <f t="shared" si="60"/>
        <v>3.5223367697594599E-2</v>
      </c>
      <c r="U272" s="1631">
        <f t="shared" si="60"/>
        <v>-8.2987551867219622E-4</v>
      </c>
      <c r="V272" s="1631">
        <f t="shared" si="60"/>
        <v>-9.1362126245847497E-3</v>
      </c>
      <c r="W272" s="1631">
        <f t="shared" si="60"/>
        <v>2.5146689019279078E-2</v>
      </c>
      <c r="X272" s="1631">
        <f t="shared" si="60"/>
        <v>4.333605887162717E-2</v>
      </c>
      <c r="Y272" s="1631">
        <f t="shared" si="60"/>
        <v>6.4263322884012597E-2</v>
      </c>
      <c r="Z272" s="1631">
        <f t="shared" si="60"/>
        <v>1.9882179675994038E-2</v>
      </c>
      <c r="AA272" s="1631">
        <f t="shared" ref="AA272:AI272" si="61">+AA271/Z271-1</f>
        <v>1.1552346570397054E-2</v>
      </c>
      <c r="AB272" s="1631">
        <f t="shared" si="61"/>
        <v>2.2127052105638922E-2</v>
      </c>
      <c r="AC272" s="1631">
        <f t="shared" si="61"/>
        <v>2.304469273743015E-2</v>
      </c>
      <c r="AD272" s="1631">
        <f t="shared" si="61"/>
        <v>5.870307167235489E-2</v>
      </c>
      <c r="AE272" s="1631">
        <f t="shared" si="61"/>
        <v>-4.5776918117343635E-2</v>
      </c>
      <c r="AF272" s="1631">
        <f t="shared" si="61"/>
        <v>1.7567567567567499E-2</v>
      </c>
      <c r="AG272" s="1631">
        <f t="shared" si="61"/>
        <v>-6.6401062416998613E-4</v>
      </c>
      <c r="AH272" s="1631">
        <f t="shared" si="61"/>
        <v>-6.6445182724252927E-3</v>
      </c>
      <c r="AI272" s="1631">
        <f t="shared" si="61"/>
        <v>-3.4113712374581939E-2</v>
      </c>
      <c r="AJ272" s="1631">
        <f t="shared" ref="AJ272:AP272" si="62">+AJ271/AI271-1</f>
        <v>8.310249307479145E-3</v>
      </c>
      <c r="AK272" s="1631">
        <f t="shared" si="62"/>
        <v>-7.5549450549450281E-3</v>
      </c>
      <c r="AL272" s="1631">
        <f t="shared" si="62"/>
        <v>-4.1522491349480495E-3</v>
      </c>
      <c r="AM272" s="1631">
        <f t="shared" si="62"/>
        <v>-2.6407227241139641E-2</v>
      </c>
      <c r="AN272" s="1631">
        <f t="shared" si="62"/>
        <v>2.4982155603140654E-2</v>
      </c>
      <c r="AO272" s="1631">
        <f t="shared" si="62"/>
        <v>-2.0891364902506648E-3</v>
      </c>
      <c r="AP272" s="1631">
        <f t="shared" si="62"/>
        <v>-9.6301465457083069E-2</v>
      </c>
      <c r="AQ272" s="1631">
        <f>+AQ271/AP271-1</f>
        <v>1.3127413127413057E-2</v>
      </c>
      <c r="AR272" s="1631">
        <f>+AR271/AQ271-1</f>
        <v>6.8597560975609539E-3</v>
      </c>
      <c r="AS272" s="1631">
        <f>+AS271/AR271-1</f>
        <v>1.8168054504163589E-2</v>
      </c>
      <c r="AT272" s="1631">
        <f>+AT271/AS271-1</f>
        <v>-2.2304832713754275E-3</v>
      </c>
    </row>
    <row r="273" spans="2:46">
      <c r="B273" s="42" t="s">
        <v>162</v>
      </c>
      <c r="C273" s="42"/>
      <c r="D273" s="42"/>
      <c r="E273" s="42"/>
      <c r="F273" s="42"/>
      <c r="G273" s="42"/>
      <c r="H273" s="42"/>
      <c r="I273" s="42"/>
      <c r="J273" s="42"/>
      <c r="K273" s="42"/>
      <c r="L273" s="42"/>
      <c r="M273" s="42"/>
      <c r="N273" s="42"/>
      <c r="O273" s="42"/>
      <c r="P273" s="1627">
        <f>Rev!BU678</f>
        <v>11163</v>
      </c>
      <c r="Q273" s="1627">
        <f>Rev!BV678</f>
        <v>12128</v>
      </c>
      <c r="R273" s="1627">
        <f>Rev!BW678</f>
        <v>13378</v>
      </c>
      <c r="S273" s="1627">
        <f>Rev!BX678</f>
        <v>13718</v>
      </c>
      <c r="T273" s="1627">
        <f>Rev!BY678</f>
        <v>14711</v>
      </c>
      <c r="U273" s="1627">
        <f>Rev!BZ678</f>
        <v>15800</v>
      </c>
      <c r="V273" s="1627">
        <f>Rev!CA678</f>
        <v>17400</v>
      </c>
      <c r="W273" s="1627">
        <f>Rev!CB678</f>
        <v>18400</v>
      </c>
      <c r="X273" s="1627">
        <f>Rev!CC678</f>
        <v>19100</v>
      </c>
      <c r="Y273" s="1627">
        <f>Rev!CD678</f>
        <v>26500</v>
      </c>
      <c r="Z273" s="1627">
        <f>Rev!CE678</f>
        <v>27200</v>
      </c>
      <c r="AA273" s="1627">
        <f>Rev!CF678</f>
        <v>28100</v>
      </c>
      <c r="AB273" s="1627">
        <f>Rev!CG678</f>
        <v>29300</v>
      </c>
      <c r="AC273" s="1627">
        <f>Rev!CH678</f>
        <v>30700</v>
      </c>
      <c r="AD273" s="1627">
        <f>Rev!CI678</f>
        <v>32100</v>
      </c>
      <c r="AE273" s="1627">
        <f>Rev!CJ678</f>
        <v>33400</v>
      </c>
      <c r="AF273" s="1627">
        <f>Rev!CK678</f>
        <v>34600</v>
      </c>
      <c r="AG273" s="1627">
        <f>Rev!CL678</f>
        <v>35700</v>
      </c>
      <c r="AH273" s="1627">
        <f>Rev!CM678</f>
        <v>36900</v>
      </c>
      <c r="AI273" s="1627">
        <f>Rev!CN678</f>
        <v>38400</v>
      </c>
      <c r="AJ273" s="1627">
        <f>Rev!CO678</f>
        <v>39700</v>
      </c>
      <c r="AK273" s="1627">
        <f>Rev!CP678</f>
        <v>41500</v>
      </c>
      <c r="AL273" s="1627">
        <f>Rev!CQ678</f>
        <v>43900</v>
      </c>
      <c r="AM273" s="1627">
        <f>Rev!CR678</f>
        <v>44500</v>
      </c>
      <c r="AN273" s="1627">
        <f>Rev!CS678</f>
        <v>45500</v>
      </c>
      <c r="AO273" s="1627">
        <f>Rev!CT678</f>
        <v>46300</v>
      </c>
      <c r="AP273" s="1627">
        <f>Rev!CU678</f>
        <v>82900</v>
      </c>
      <c r="AQ273" s="1627">
        <f>Rev!CV678</f>
        <v>84900</v>
      </c>
      <c r="AR273" s="1627">
        <f>Rev!CW678</f>
        <v>87400</v>
      </c>
      <c r="AS273" s="1627">
        <f>Rev!CX678</f>
        <v>89600</v>
      </c>
      <c r="AT273" s="1627">
        <f>Rev!CY678</f>
        <v>92200</v>
      </c>
    </row>
    <row r="274" spans="2:46">
      <c r="B274" s="1630" t="s">
        <v>95</v>
      </c>
      <c r="C274" s="42"/>
      <c r="D274" s="42"/>
      <c r="E274" s="42"/>
      <c r="F274" s="42"/>
      <c r="G274" s="42"/>
      <c r="H274" s="42"/>
      <c r="I274" s="42"/>
      <c r="J274" s="42"/>
      <c r="K274" s="42"/>
      <c r="L274" s="42"/>
      <c r="M274" s="42"/>
      <c r="N274" s="42"/>
      <c r="O274" s="42"/>
      <c r="P274" s="1623"/>
      <c r="Q274" s="1631">
        <f t="shared" ref="Q274:Z274" si="63">+Q273/P273-1</f>
        <v>8.6446295798620509E-2</v>
      </c>
      <c r="R274" s="1631">
        <f t="shared" si="63"/>
        <v>0.10306728232189966</v>
      </c>
      <c r="S274" s="1631">
        <f t="shared" si="63"/>
        <v>2.5414860218268887E-2</v>
      </c>
      <c r="T274" s="1631">
        <f t="shared" si="63"/>
        <v>7.2386645283569084E-2</v>
      </c>
      <c r="U274" s="1631">
        <f t="shared" si="63"/>
        <v>7.4026238868873717E-2</v>
      </c>
      <c r="V274" s="1631">
        <f t="shared" si="63"/>
        <v>0.10126582278481022</v>
      </c>
      <c r="W274" s="1631">
        <f t="shared" si="63"/>
        <v>5.7471264367816133E-2</v>
      </c>
      <c r="X274" s="1631">
        <f t="shared" si="63"/>
        <v>3.8043478260869623E-2</v>
      </c>
      <c r="Y274" s="1631">
        <f t="shared" si="63"/>
        <v>0.38743455497382207</v>
      </c>
      <c r="Z274" s="1631">
        <f t="shared" si="63"/>
        <v>2.6415094339622636E-2</v>
      </c>
      <c r="AA274" s="1631">
        <f t="shared" ref="AA274:AI274" si="64">+AA273/Z273-1</f>
        <v>3.3088235294117752E-2</v>
      </c>
      <c r="AB274" s="1631">
        <f t="shared" si="64"/>
        <v>4.2704626334519658E-2</v>
      </c>
      <c r="AC274" s="1631">
        <f t="shared" si="64"/>
        <v>4.7781569965870352E-2</v>
      </c>
      <c r="AD274" s="1631">
        <f t="shared" si="64"/>
        <v>4.5602605863192203E-2</v>
      </c>
      <c r="AE274" s="1631">
        <f t="shared" si="64"/>
        <v>4.049844236760114E-2</v>
      </c>
      <c r="AF274" s="1631">
        <f t="shared" si="64"/>
        <v>3.5928143712574911E-2</v>
      </c>
      <c r="AG274" s="1631">
        <f t="shared" si="64"/>
        <v>3.1791907514450823E-2</v>
      </c>
      <c r="AH274" s="1631">
        <f t="shared" si="64"/>
        <v>3.3613445378151363E-2</v>
      </c>
      <c r="AI274" s="1631">
        <f t="shared" si="64"/>
        <v>4.0650406504065151E-2</v>
      </c>
      <c r="AJ274" s="1631">
        <f t="shared" ref="AJ274:AP274" si="65">+AJ273/AI273-1</f>
        <v>3.3854166666666741E-2</v>
      </c>
      <c r="AK274" s="1631">
        <f t="shared" si="65"/>
        <v>4.534005037783384E-2</v>
      </c>
      <c r="AL274" s="1631">
        <f t="shared" si="65"/>
        <v>5.7831325301204828E-2</v>
      </c>
      <c r="AM274" s="1631">
        <f t="shared" si="65"/>
        <v>1.3667425968109326E-2</v>
      </c>
      <c r="AN274" s="1631">
        <f t="shared" si="65"/>
        <v>2.2471910112359605E-2</v>
      </c>
      <c r="AO274" s="1631">
        <f t="shared" si="65"/>
        <v>1.758241758241752E-2</v>
      </c>
      <c r="AP274" s="1631">
        <f t="shared" si="65"/>
        <v>0.79049676025917925</v>
      </c>
      <c r="AQ274" s="1631">
        <f>+AQ273/AP273-1</f>
        <v>2.4125452352231624E-2</v>
      </c>
      <c r="AR274" s="1631">
        <f>+AR273/AQ273-1</f>
        <v>2.9446407538280317E-2</v>
      </c>
      <c r="AS274" s="1631">
        <f>+AS273/AR273-1</f>
        <v>2.517162471395884E-2</v>
      </c>
      <c r="AT274" s="1631">
        <f>+AT273/AS273-1</f>
        <v>2.9017857142857206E-2</v>
      </c>
    </row>
    <row r="275" spans="2:46">
      <c r="B275" s="42" t="s">
        <v>644</v>
      </c>
      <c r="C275" s="42"/>
      <c r="D275" s="42"/>
      <c r="E275" s="42"/>
      <c r="F275" s="42"/>
      <c r="G275" s="42"/>
      <c r="H275" s="42"/>
      <c r="I275" s="42"/>
      <c r="J275" s="42"/>
      <c r="K275" s="42"/>
      <c r="L275" s="42"/>
      <c r="M275" s="42"/>
      <c r="N275" s="42"/>
      <c r="O275" s="42"/>
      <c r="P275" s="1628">
        <f>Rev!BU685</f>
        <v>0.56215425531914898</v>
      </c>
      <c r="Q275" s="1628">
        <f>Rev!BV685</f>
        <v>0.58815656565656571</v>
      </c>
      <c r="R275" s="1628">
        <f>Rev!BW685</f>
        <v>0.62822660098522165</v>
      </c>
      <c r="S275" s="1628">
        <f>Rev!BX685</f>
        <v>0.63755294117647054</v>
      </c>
      <c r="T275" s="1628">
        <f>Rev!BY685</f>
        <v>0.63742152466367707</v>
      </c>
      <c r="U275" s="1628">
        <f>Rev!BZ685</f>
        <v>0.64779193205944796</v>
      </c>
      <c r="V275" s="1628">
        <f>Rev!CA685</f>
        <v>0.67893660531697342</v>
      </c>
      <c r="W275" s="1628">
        <f>Rev!CB685</f>
        <v>0.71743486973947901</v>
      </c>
      <c r="X275" s="1628">
        <f>Rev!CC685</f>
        <v>0.75</v>
      </c>
      <c r="Y275" s="1628">
        <f>Rev!CD685</f>
        <v>0.90476190476190477</v>
      </c>
      <c r="Z275" s="1628">
        <f>Rev!CE685</f>
        <v>1.0267686424474187</v>
      </c>
      <c r="AA275" s="1628">
        <f>Rev!CF685</f>
        <v>1.025974025974026</v>
      </c>
      <c r="AB275" s="1628">
        <f>Rev!CG685</f>
        <v>1.0379746835443038</v>
      </c>
      <c r="AC275" s="1628">
        <f>Rev!CH685</f>
        <v>1.0526315789473684</v>
      </c>
      <c r="AD275" s="1628">
        <f>Rev!CI685</f>
        <v>1.0753424657534247</v>
      </c>
      <c r="AE275" s="1628">
        <f>Rev!CJ685</f>
        <v>1.0581583198707594</v>
      </c>
      <c r="AF275" s="1628">
        <f>Rev!CK685</f>
        <v>1.035007610350076</v>
      </c>
      <c r="AG275" s="1628">
        <f>Rev!CL685</f>
        <v>1.0399408284023668</v>
      </c>
      <c r="AH275" s="1628">
        <f>Rev!CM685</f>
        <v>1.0476190476190477</v>
      </c>
      <c r="AI275" s="1628">
        <f>Rev!CN685</f>
        <v>1.0620592383638927</v>
      </c>
      <c r="AJ275" s="1628">
        <f>Rev!CO685</f>
        <v>1.0654843110504775</v>
      </c>
      <c r="AK275" s="1628">
        <f>Rev!CP685</f>
        <v>1.0600522193211488</v>
      </c>
      <c r="AL275" s="1628">
        <f>Rev!CQ685</f>
        <v>1.0715181932245923</v>
      </c>
      <c r="AM275" s="1628">
        <f>Rev!CR685</f>
        <v>1.0820073439412485</v>
      </c>
      <c r="AN275" s="1628">
        <f>Rev!CS685</f>
        <v>1.0804321728691477</v>
      </c>
      <c r="AO275" s="1628">
        <f>Rev!CT685</f>
        <v>1.0762016412661195</v>
      </c>
      <c r="AP275" s="1628">
        <f>Rev!CU685</f>
        <v>1.096774193548387</v>
      </c>
      <c r="AQ275" s="1628">
        <f>Rev!CV685</f>
        <v>1.1134704711347048</v>
      </c>
      <c r="AR275" s="1628">
        <f>Rev!CW685</f>
        <v>1.1188311688311687</v>
      </c>
      <c r="AS275" s="1628">
        <f>Rev!CX685</f>
        <v>1.1188369152970923</v>
      </c>
      <c r="AT275" s="1628">
        <f>Rev!CY685</f>
        <v>1.1119266055045871</v>
      </c>
    </row>
    <row r="276" spans="2:46">
      <c r="B276" s="1630" t="s">
        <v>95</v>
      </c>
      <c r="C276" s="42"/>
      <c r="D276" s="42"/>
      <c r="E276" s="42"/>
      <c r="F276" s="42"/>
      <c r="G276" s="42"/>
      <c r="H276" s="42"/>
      <c r="I276" s="42"/>
      <c r="J276" s="42"/>
      <c r="K276" s="42"/>
      <c r="L276" s="42"/>
      <c r="M276" s="42"/>
      <c r="N276" s="42"/>
      <c r="O276" s="42"/>
      <c r="P276" s="1623"/>
      <c r="Q276" s="1631">
        <f t="shared" ref="Q276:Z276" si="66">+Q275/P275-1</f>
        <v>4.625476031068132E-2</v>
      </c>
      <c r="R276" s="1631">
        <f t="shared" si="66"/>
        <v>6.8128178223982427E-2</v>
      </c>
      <c r="S276" s="1631">
        <f t="shared" si="66"/>
        <v>1.4845503480150013E-2</v>
      </c>
      <c r="T276" s="1631">
        <f t="shared" si="66"/>
        <v>-2.0612643171402656E-4</v>
      </c>
      <c r="U276" s="1631">
        <f t="shared" si="66"/>
        <v>1.6269308447408592E-2</v>
      </c>
      <c r="V276" s="1631">
        <f t="shared" si="66"/>
        <v>4.807820492378001E-2</v>
      </c>
      <c r="W276" s="1631">
        <f t="shared" si="66"/>
        <v>5.6703768983750624E-2</v>
      </c>
      <c r="X276" s="1631">
        <f t="shared" si="66"/>
        <v>4.5391061452513926E-2</v>
      </c>
      <c r="Y276" s="1631">
        <f t="shared" si="66"/>
        <v>0.20634920634920628</v>
      </c>
      <c r="Z276" s="1631">
        <f t="shared" si="66"/>
        <v>0.13484955217872585</v>
      </c>
      <c r="AA276" s="1631">
        <f t="shared" ref="AA276:AI276" si="67">+AA275/Z275-1</f>
        <v>-7.7390021524093022E-4</v>
      </c>
      <c r="AB276" s="1631">
        <f t="shared" si="67"/>
        <v>1.1696843454574557E-2</v>
      </c>
      <c r="AC276" s="1631">
        <f t="shared" si="67"/>
        <v>1.4120667522464769E-2</v>
      </c>
      <c r="AD276" s="1631">
        <f t="shared" si="67"/>
        <v>2.1575342465753655E-2</v>
      </c>
      <c r="AE276" s="1631">
        <f t="shared" si="67"/>
        <v>-1.5980161139293902E-2</v>
      </c>
      <c r="AF276" s="1631">
        <f t="shared" si="67"/>
        <v>-2.1878304111912938E-2</v>
      </c>
      <c r="AG276" s="1631">
        <f t="shared" si="67"/>
        <v>4.7663592064044469E-3</v>
      </c>
      <c r="AH276" s="1631">
        <f t="shared" si="67"/>
        <v>7.3833231727968851E-3</v>
      </c>
      <c r="AI276" s="1631">
        <f t="shared" si="67"/>
        <v>1.3783818438261264E-2</v>
      </c>
      <c r="AJ276" s="1631">
        <f t="shared" ref="AJ276:AP276" si="68">+AJ275/AI275-1</f>
        <v>3.2249356371694127E-3</v>
      </c>
      <c r="AK276" s="1631">
        <f t="shared" si="68"/>
        <v>-5.098237180023002E-3</v>
      </c>
      <c r="AL276" s="1631">
        <f t="shared" si="68"/>
        <v>1.0816423657681984E-2</v>
      </c>
      <c r="AM276" s="1631">
        <f t="shared" si="68"/>
        <v>9.7890551770198897E-3</v>
      </c>
      <c r="AN276" s="1631">
        <f t="shared" si="68"/>
        <v>-1.4557859342831936E-3</v>
      </c>
      <c r="AO276" s="1631">
        <f t="shared" si="68"/>
        <v>-3.9155920281360723E-3</v>
      </c>
      <c r="AP276" s="1631">
        <f t="shared" si="68"/>
        <v>1.9115890083631903E-2</v>
      </c>
      <c r="AQ276" s="1631">
        <f>+AQ275/AP275-1</f>
        <v>1.5223076622819187E-2</v>
      </c>
      <c r="AR276" s="1631">
        <f>+AR275/AQ275-1</f>
        <v>4.8144049037968095E-3</v>
      </c>
      <c r="AS276" s="1631">
        <f>+AS275/AR275-1</f>
        <v>5.1361332107369151E-6</v>
      </c>
      <c r="AT276" s="1631">
        <f>+AT275/AS275-1</f>
        <v>-6.1763333851656554E-3</v>
      </c>
    </row>
    <row r="277" spans="2:46">
      <c r="B277" s="42" t="s">
        <v>51</v>
      </c>
      <c r="C277" s="42"/>
      <c r="D277" s="42"/>
      <c r="E277" s="42"/>
      <c r="F277" s="42"/>
      <c r="G277" s="42"/>
      <c r="H277" s="42"/>
      <c r="I277" s="42"/>
      <c r="J277" s="42"/>
      <c r="K277" s="42"/>
      <c r="L277" s="42"/>
      <c r="M277" s="42"/>
      <c r="N277" s="42"/>
      <c r="O277" s="42"/>
      <c r="P277" s="1623">
        <f>Rev!BU661</f>
        <v>2.0099999999999998</v>
      </c>
      <c r="Q277" s="1623">
        <f>Rev!BV661</f>
        <v>2.3050000000000002</v>
      </c>
      <c r="R277" s="1623">
        <f>Rev!BW661</f>
        <v>2.6070000000000002</v>
      </c>
      <c r="S277" s="1623">
        <f>Rev!BX661</f>
        <v>2.8119999999999998</v>
      </c>
      <c r="T277" s="1623">
        <f>Rev!BY661</f>
        <v>3.2029999999999998</v>
      </c>
      <c r="U277" s="1623">
        <f>Rev!BZ661</f>
        <v>3.4460000000000002</v>
      </c>
      <c r="V277" s="1623">
        <f>Rev!CA661</f>
        <v>3.6</v>
      </c>
      <c r="W277" s="1623">
        <f>Rev!CB661</f>
        <v>3.8239999999999998</v>
      </c>
      <c r="X277" s="1623">
        <f>Rev!CC661</f>
        <v>4.1920000000000002</v>
      </c>
      <c r="Y277" s="1623">
        <f>Rev!CD661</f>
        <v>7.1879999999999997</v>
      </c>
      <c r="Z277" s="1623">
        <f>Rev!CE661</f>
        <v>7.9889999999999999</v>
      </c>
      <c r="AA277" s="1623">
        <f>Rev!CF661</f>
        <v>8.3810000000000002</v>
      </c>
      <c r="AB277" s="1623">
        <f>Rev!CG661</f>
        <v>8.8539999999999992</v>
      </c>
      <c r="AC277" s="1623">
        <f>Rev!CH661</f>
        <v>9.2330000000000005</v>
      </c>
      <c r="AD277" s="1623">
        <f>Rev!CI661</f>
        <v>10.473000000000001</v>
      </c>
      <c r="AE277" s="1623">
        <f>Rev!CJ661</f>
        <v>11.366</v>
      </c>
      <c r="AF277" s="1623">
        <f>Rev!CK661</f>
        <v>12.329000000000001</v>
      </c>
      <c r="AG277" s="1623">
        <f>Rev!CL661</f>
        <v>13.163</v>
      </c>
      <c r="AH277" s="1623">
        <f>Rev!CM661</f>
        <v>13.484</v>
      </c>
      <c r="AI277" s="1623">
        <f>Rev!CN661</f>
        <v>13.048</v>
      </c>
      <c r="AJ277" s="1623">
        <f>Rev!CO661</f>
        <v>13.44</v>
      </c>
      <c r="AK277" s="1623">
        <f>Rev!CP661</f>
        <v>15.227</v>
      </c>
      <c r="AL277" s="1623">
        <f>Rev!CQ661</f>
        <v>16.774999999999999</v>
      </c>
      <c r="AM277" s="1623">
        <f>Rev!CR661</f>
        <v>19.7</v>
      </c>
      <c r="AN277" s="1623">
        <f>Rev!CS661</f>
        <v>22.425000000000001</v>
      </c>
      <c r="AO277" s="1623">
        <f>Rev!CT661</f>
        <v>21.463999999999999</v>
      </c>
      <c r="AP277" s="1623">
        <f>Rev!CU661</f>
        <v>22.28</v>
      </c>
      <c r="AQ277" s="1623">
        <f>Rev!CV661</f>
        <v>22.350999999999999</v>
      </c>
      <c r="AR277" s="1623">
        <f>Rev!CW661</f>
        <v>23.655000000000001</v>
      </c>
      <c r="AS277" s="1623">
        <f>Rev!CX661</f>
        <v>27.574000000000002</v>
      </c>
      <c r="AT277" s="1623">
        <f>Rev!CY661</f>
        <v>31.311</v>
      </c>
    </row>
    <row r="278" spans="2:46">
      <c r="B278" s="42" t="s">
        <v>1319</v>
      </c>
      <c r="C278" s="42"/>
      <c r="D278" s="42"/>
      <c r="E278" s="42"/>
      <c r="F278" s="42"/>
      <c r="G278" s="42"/>
      <c r="H278" s="42"/>
      <c r="I278" s="42"/>
      <c r="J278" s="42"/>
      <c r="K278" s="42"/>
      <c r="L278" s="42"/>
      <c r="M278" s="42"/>
      <c r="N278" s="42"/>
      <c r="O278" s="42"/>
      <c r="P278" s="1623">
        <f>Rev!BU689</f>
        <v>63.395940767374739</v>
      </c>
      <c r="Q278" s="1623">
        <f>Rev!BV689</f>
        <v>65.976843702145331</v>
      </c>
      <c r="R278" s="1623">
        <f>Rev!BW689</f>
        <v>68.140829608719528</v>
      </c>
      <c r="S278" s="1623">
        <f>Rev!BX689</f>
        <v>69.186103729947831</v>
      </c>
      <c r="T278" s="1623">
        <f>Rev!BY689</f>
        <v>75.111095477622598</v>
      </c>
      <c r="U278" s="1623">
        <f>Rev!BZ689</f>
        <v>75.295248708116205</v>
      </c>
      <c r="V278" s="1623">
        <f>Rev!CA689</f>
        <v>72.289156626506028</v>
      </c>
      <c r="W278" s="1623">
        <f>Rev!CB689</f>
        <v>71.21042830540037</v>
      </c>
      <c r="X278" s="1623">
        <f>Rev!CC689</f>
        <v>74.524444444444441</v>
      </c>
      <c r="Y278" s="1623">
        <f>Rev!CD689</f>
        <v>105.0877192982456</v>
      </c>
      <c r="Z278" s="1623">
        <f>Rev!CE689</f>
        <v>99.180633147113596</v>
      </c>
      <c r="AA278" s="1623">
        <f>Rev!CF689</f>
        <v>101.03676913803496</v>
      </c>
      <c r="AB278" s="1623">
        <f>Rev!CG689</f>
        <v>102.83391405342623</v>
      </c>
      <c r="AC278" s="1623">
        <f>Rev!CH689</f>
        <v>102.5888888888889</v>
      </c>
      <c r="AD278" s="1623">
        <f>Rev!CI689</f>
        <v>111.17834394904459</v>
      </c>
      <c r="AE278" s="1623">
        <f>Rev!CJ689</f>
        <v>115.68447837150127</v>
      </c>
      <c r="AF278" s="1623">
        <f>Rev!CK689</f>
        <v>120.87254901960785</v>
      </c>
      <c r="AG278" s="1623">
        <f>Rev!CL689</f>
        <v>124.82693219535327</v>
      </c>
      <c r="AH278" s="1623">
        <f>Rev!CM689</f>
        <v>123.82001836547289</v>
      </c>
      <c r="AI278" s="1623">
        <f>Rev!CN689</f>
        <v>115.52014165559982</v>
      </c>
      <c r="AJ278" s="1623">
        <f>Rev!CO689</f>
        <v>114.72471190781049</v>
      </c>
      <c r="AK278" s="1623">
        <f>Rev!CP689</f>
        <v>125.01642036124794</v>
      </c>
      <c r="AL278" s="1623">
        <f>Rev!CQ689</f>
        <v>130.95238095238093</v>
      </c>
      <c r="AM278" s="1623">
        <f>Rev!CR689</f>
        <v>148.56711915535445</v>
      </c>
      <c r="AN278" s="1623">
        <f>Rev!CS689</f>
        <v>166.11111111111111</v>
      </c>
      <c r="AO278" s="1623">
        <f>Rev!CT689</f>
        <v>155.87509077705155</v>
      </c>
      <c r="AP278" s="1623">
        <f>Rev!CU689</f>
        <v>114.96388028895768</v>
      </c>
      <c r="AQ278" s="1623">
        <f>Rev!CV689</f>
        <v>88.800158919348434</v>
      </c>
      <c r="AR278" s="1623">
        <f>Rev!CW689</f>
        <v>91.526407428903084</v>
      </c>
      <c r="AS278" s="1623">
        <f>Rev!CX689</f>
        <v>103.85687382297553</v>
      </c>
      <c r="AT278" s="1623">
        <f>Rev!CY689</f>
        <v>114.81848184818482</v>
      </c>
    </row>
    <row r="279" spans="2:46">
      <c r="B279" s="1630" t="s">
        <v>95</v>
      </c>
      <c r="C279" s="42"/>
      <c r="D279" s="42"/>
      <c r="E279" s="42"/>
      <c r="F279" s="42"/>
      <c r="G279" s="42"/>
      <c r="H279" s="42"/>
      <c r="I279" s="42"/>
      <c r="J279" s="42"/>
      <c r="K279" s="42"/>
      <c r="L279" s="42"/>
      <c r="M279" s="42"/>
      <c r="N279" s="42"/>
      <c r="O279" s="42"/>
      <c r="P279" s="1623"/>
      <c r="Q279" s="1631">
        <f t="shared" ref="Q279:Z279" si="69">+Q278/P278-1</f>
        <v>4.07108547255568E-2</v>
      </c>
      <c r="R279" s="1631">
        <f t="shared" si="69"/>
        <v>3.2799172939275145E-2</v>
      </c>
      <c r="S279" s="1631">
        <f t="shared" si="69"/>
        <v>1.5339908939038693E-2</v>
      </c>
      <c r="T279" s="1631">
        <f t="shared" si="69"/>
        <v>8.56384653600617E-2</v>
      </c>
      <c r="U279" s="1631">
        <f t="shared" si="69"/>
        <v>2.451744703263925E-3</v>
      </c>
      <c r="V279" s="1631">
        <f t="shared" si="69"/>
        <v>-3.9924060723451005E-2</v>
      </c>
      <c r="W279" s="1631">
        <f t="shared" si="69"/>
        <v>-1.4922408441961577E-2</v>
      </c>
      <c r="X279" s="1631">
        <f t="shared" si="69"/>
        <v>4.6538354253835346E-2</v>
      </c>
      <c r="Y279" s="1631">
        <f t="shared" si="69"/>
        <v>0.41011073724387304</v>
      </c>
      <c r="Z279" s="1631">
        <f t="shared" si="69"/>
        <v>-5.6211003441489882E-2</v>
      </c>
      <c r="AA279" s="1631">
        <f t="shared" ref="AA279:AI279" si="70">+AA278/Z278-1</f>
        <v>1.8714701973803427E-2</v>
      </c>
      <c r="AB279" s="1631">
        <f t="shared" si="70"/>
        <v>1.7787038626859042E-2</v>
      </c>
      <c r="AC279" s="1631">
        <f t="shared" si="70"/>
        <v>-2.382727204276458E-3</v>
      </c>
      <c r="AD279" s="1631">
        <f t="shared" si="70"/>
        <v>8.3726952822918976E-2</v>
      </c>
      <c r="AE279" s="1631">
        <f t="shared" si="70"/>
        <v>4.0530684865408118E-2</v>
      </c>
      <c r="AF279" s="1631">
        <f t="shared" si="70"/>
        <v>4.4846730703543169E-2</v>
      </c>
      <c r="AG279" s="1631">
        <f t="shared" si="70"/>
        <v>3.2715312184770307E-2</v>
      </c>
      <c r="AH279" s="1631">
        <f t="shared" si="70"/>
        <v>-8.0664790215669857E-3</v>
      </c>
      <c r="AI279" s="1631">
        <f t="shared" si="70"/>
        <v>-6.7031783870155626E-2</v>
      </c>
      <c r="AJ279" s="1631">
        <f t="shared" ref="AJ279:AP279" si="71">+AJ278/AI278-1</f>
        <v>-6.8856368801964996E-3</v>
      </c>
      <c r="AK279" s="1631">
        <f t="shared" si="71"/>
        <v>8.9707860514895543E-2</v>
      </c>
      <c r="AL279" s="1631">
        <f t="shared" si="71"/>
        <v>4.748144742890914E-2</v>
      </c>
      <c r="AM279" s="1631">
        <f t="shared" si="71"/>
        <v>0.13451254627725229</v>
      </c>
      <c r="AN279" s="1631">
        <f t="shared" si="71"/>
        <v>0.11808798646362106</v>
      </c>
      <c r="AO279" s="1631">
        <f t="shared" si="71"/>
        <v>-6.1621527094672945E-2</v>
      </c>
      <c r="AP279" s="1631">
        <f t="shared" si="71"/>
        <v>-0.26246150224611098</v>
      </c>
      <c r="AQ279" s="1631">
        <f>+AQ278/AP278-1</f>
        <v>-0.22758210060279505</v>
      </c>
      <c r="AR279" s="1631">
        <f>+AR278/AQ278-1</f>
        <v>3.0700941785821945E-2</v>
      </c>
      <c r="AS279" s="1631">
        <f>+AS278/AR278-1</f>
        <v>0.13472031450213584</v>
      </c>
      <c r="AT279" s="1631">
        <f>+AT278/AS278-1</f>
        <v>0.10554533004616906</v>
      </c>
    </row>
    <row r="280" spans="2:46">
      <c r="B280" s="42" t="s">
        <v>1536</v>
      </c>
      <c r="C280" s="42"/>
      <c r="D280" s="42"/>
      <c r="E280" s="42"/>
      <c r="F280" s="42"/>
      <c r="G280" s="42"/>
      <c r="H280" s="42"/>
      <c r="I280" s="42"/>
      <c r="J280" s="42"/>
      <c r="K280" s="42"/>
      <c r="L280" s="42"/>
      <c r="M280" s="42"/>
      <c r="N280" s="42"/>
      <c r="O280" s="42"/>
      <c r="P280" s="1233">
        <f>P277/AVERAGE(O273:P273)*1000000/3*P275</f>
        <v>33.740334234867845</v>
      </c>
      <c r="Q280" s="1233">
        <f t="shared" ref="Q280:Z280" si="72">Q277/AVERAGE(P273:Q273)*1000000/3*Q275</f>
        <v>38.804713804713813</v>
      </c>
      <c r="R280" s="1233">
        <f t="shared" si="72"/>
        <v>42.807881773399018</v>
      </c>
      <c r="S280" s="1233">
        <f t="shared" si="72"/>
        <v>44.10980392156862</v>
      </c>
      <c r="T280" s="1233">
        <f t="shared" si="72"/>
        <v>47.877428998505223</v>
      </c>
      <c r="U280" s="1233">
        <f t="shared" si="72"/>
        <v>48.775654635527246</v>
      </c>
      <c r="V280" s="1233">
        <f t="shared" si="72"/>
        <v>49.079754601226995</v>
      </c>
      <c r="W280" s="1233">
        <f t="shared" si="72"/>
        <v>51.088844355377425</v>
      </c>
      <c r="X280" s="1233">
        <f t="shared" si="72"/>
        <v>55.893333333333345</v>
      </c>
      <c r="Y280" s="1233">
        <f t="shared" si="72"/>
        <v>95.079365079365076</v>
      </c>
      <c r="Z280" s="1233">
        <f t="shared" si="72"/>
        <v>101.83556405353728</v>
      </c>
      <c r="AA280" s="1233">
        <f t="shared" ref="AA280:AI280" si="73">AA277/AVERAGE(Z273:AA273)*1000000/3*AA275</f>
        <v>103.66110080395795</v>
      </c>
      <c r="AB280" s="1233">
        <f t="shared" si="73"/>
        <v>106.73899939722725</v>
      </c>
      <c r="AC280" s="1233">
        <f t="shared" si="73"/>
        <v>107.98830409356727</v>
      </c>
      <c r="AD280" s="1233">
        <f t="shared" si="73"/>
        <v>119.55479452054796</v>
      </c>
      <c r="AE280" s="1233">
        <f t="shared" si="73"/>
        <v>122.41249326871296</v>
      </c>
      <c r="AF280" s="1233">
        <f t="shared" si="73"/>
        <v>125.10400811770674</v>
      </c>
      <c r="AG280" s="1233">
        <f t="shared" si="73"/>
        <v>129.81262327416172</v>
      </c>
      <c r="AH280" s="1233">
        <f t="shared" si="73"/>
        <v>129.7162097162097</v>
      </c>
      <c r="AI280" s="1233">
        <f t="shared" si="73"/>
        <v>122.68923366243536</v>
      </c>
      <c r="AJ280" s="1233">
        <f t="shared" ref="AJ280:AP280" si="74">AJ277/AVERAGE(AI273:AJ273)*1000000/3*AJ275</f>
        <v>122.23738062755798</v>
      </c>
      <c r="AK280" s="1233">
        <f t="shared" si="74"/>
        <v>132.52393385552654</v>
      </c>
      <c r="AL280" s="1233">
        <f t="shared" si="74"/>
        <v>140.31785863655372</v>
      </c>
      <c r="AM280" s="1233">
        <f t="shared" si="74"/>
        <v>160.75071399428805</v>
      </c>
      <c r="AN280" s="1233">
        <f t="shared" si="74"/>
        <v>179.47178871548621</v>
      </c>
      <c r="AO280" s="1233">
        <f t="shared" si="74"/>
        <v>167.75302852676825</v>
      </c>
      <c r="AP280" s="1233">
        <f t="shared" si="74"/>
        <v>126.08941709111488</v>
      </c>
      <c r="AQ280" s="1233">
        <f>AQ277/AVERAGE(AP273:AQ273)*1000000/3*AQ275</f>
        <v>98.876354788763535</v>
      </c>
      <c r="AR280" s="1233">
        <f>AR277/AVERAGE(AQ273:AR273)*1000000/3*AR275</f>
        <v>102.40259740259741</v>
      </c>
      <c r="AS280" s="1233">
        <f>AS277/AVERAGE(AR273:AS273)*1000000/3*AS275</f>
        <v>116.19890434049725</v>
      </c>
      <c r="AT280" s="1233">
        <f>AT277/AVERAGE(AS273:AT273)*1000000/3*AT275</f>
        <v>127.66972477064219</v>
      </c>
    </row>
    <row r="281" spans="2:46">
      <c r="B281" s="1630" t="s">
        <v>95</v>
      </c>
      <c r="C281" s="42"/>
      <c r="D281" s="42"/>
      <c r="E281" s="42"/>
      <c r="F281" s="42"/>
      <c r="G281" s="42"/>
      <c r="H281" s="42"/>
      <c r="I281" s="42"/>
      <c r="J281" s="42"/>
      <c r="K281" s="42"/>
      <c r="L281" s="42"/>
      <c r="M281" s="42"/>
      <c r="N281" s="42"/>
      <c r="O281" s="42"/>
      <c r="P281" s="1623"/>
      <c r="Q281" s="1631">
        <f t="shared" ref="Q281:Z281" si="75">+Q280/P280-1</f>
        <v>0.15009867817528466</v>
      </c>
      <c r="R281" s="1631">
        <f t="shared" si="75"/>
        <v>0.10316189906286377</v>
      </c>
      <c r="S281" s="1631">
        <f t="shared" si="75"/>
        <v>3.0413141090728235E-2</v>
      </c>
      <c r="T281" s="1631">
        <f t="shared" si="75"/>
        <v>8.5414686577065524E-2</v>
      </c>
      <c r="U281" s="1631">
        <f t="shared" si="75"/>
        <v>1.8760941341483983E-2</v>
      </c>
      <c r="V281" s="1631">
        <f t="shared" si="75"/>
        <v>6.2346670274773253E-3</v>
      </c>
      <c r="W281" s="1631">
        <f t="shared" si="75"/>
        <v>4.0935203740815052E-2</v>
      </c>
      <c r="X281" s="1631">
        <f t="shared" si="75"/>
        <v>9.4041841004184334E-2</v>
      </c>
      <c r="Y281" s="1631">
        <f t="shared" si="75"/>
        <v>0.70108596873864015</v>
      </c>
      <c r="Z281" s="1631">
        <f t="shared" si="75"/>
        <v>7.1058520095634181E-2</v>
      </c>
      <c r="AA281" s="1631">
        <f t="shared" ref="AA281:AI281" si="76">+AA280/Z280-1</f>
        <v>1.7926318446676914E-2</v>
      </c>
      <c r="AB281" s="1631">
        <f t="shared" si="76"/>
        <v>2.9691934287772614E-2</v>
      </c>
      <c r="AC281" s="1631">
        <f t="shared" si="76"/>
        <v>1.1704294619539812E-2</v>
      </c>
      <c r="AD281" s="1631">
        <f t="shared" si="76"/>
        <v>0.10710873296944112</v>
      </c>
      <c r="AE281" s="1631">
        <f t="shared" si="76"/>
        <v>2.3902836850878906E-2</v>
      </c>
      <c r="AF281" s="1631">
        <f t="shared" si="76"/>
        <v>2.1987256178873205E-2</v>
      </c>
      <c r="AG281" s="1631">
        <f t="shared" si="76"/>
        <v>3.7637604320596818E-2</v>
      </c>
      <c r="AH281" s="1631">
        <f t="shared" si="76"/>
        <v>-7.4271327025254852E-4</v>
      </c>
      <c r="AI281" s="1631">
        <f t="shared" si="76"/>
        <v>-5.4171919370353261E-2</v>
      </c>
      <c r="AJ281" s="1631">
        <f t="shared" ref="AJ281:AP281" si="77">+AJ280/AI280-1</f>
        <v>-3.6829069787867041E-3</v>
      </c>
      <c r="AK281" s="1631">
        <f t="shared" si="77"/>
        <v>8.4152271385055322E-2</v>
      </c>
      <c r="AL281" s="1631">
        <f t="shared" si="77"/>
        <v>5.8811450537861854E-2</v>
      </c>
      <c r="AM281" s="1631">
        <f t="shared" si="77"/>
        <v>0.14561835219178176</v>
      </c>
      <c r="AN281" s="1631">
        <f t="shared" si="77"/>
        <v>0.11646028969963629</v>
      </c>
      <c r="AO281" s="1631">
        <f t="shared" si="77"/>
        <v>-6.5295834362555594E-2</v>
      </c>
      <c r="AP281" s="1631">
        <f t="shared" si="77"/>
        <v>-0.24836279739060052</v>
      </c>
      <c r="AQ281" s="1631">
        <f>+AQ280/AP280-1</f>
        <v>-0.21582352373543456</v>
      </c>
      <c r="AR281" s="1631">
        <f>+AR280/AQ280-1</f>
        <v>3.5663153454303931E-2</v>
      </c>
      <c r="AS281" s="1631">
        <f>+AS280/AR280-1</f>
        <v>0.1347261425768278</v>
      </c>
      <c r="AT281" s="1631">
        <f>+AT280/AS280-1</f>
        <v>9.8717113515391031E-2</v>
      </c>
    </row>
    <row r="282" spans="2:46">
      <c r="B282" s="42" t="s">
        <v>1535</v>
      </c>
      <c r="C282" s="42"/>
      <c r="D282" s="42"/>
      <c r="E282" s="42"/>
      <c r="F282" s="42"/>
      <c r="G282" s="42"/>
      <c r="H282" s="42"/>
      <c r="I282" s="42"/>
      <c r="J282" s="42"/>
      <c r="K282" s="42"/>
      <c r="L282" s="42"/>
      <c r="M282" s="42"/>
      <c r="N282" s="42"/>
      <c r="O282" s="42"/>
      <c r="P282" s="1233">
        <f t="shared" ref="P282:Z282" si="78">+P271-P280</f>
        <v>1050.2596657651322</v>
      </c>
      <c r="Q282" s="1233">
        <f t="shared" si="78"/>
        <v>1077.1952861952861</v>
      </c>
      <c r="R282" s="1233">
        <f t="shared" si="78"/>
        <v>1108.192118226601</v>
      </c>
      <c r="S282" s="1233">
        <f t="shared" si="78"/>
        <v>1119.8901960784315</v>
      </c>
      <c r="T282" s="1233">
        <f t="shared" si="78"/>
        <v>1157.1225710014949</v>
      </c>
      <c r="U282" s="1233">
        <f t="shared" si="78"/>
        <v>1155.2243453644728</v>
      </c>
      <c r="V282" s="1233">
        <f t="shared" si="78"/>
        <v>1143.920245398773</v>
      </c>
      <c r="W282" s="1233">
        <f t="shared" si="78"/>
        <v>1171.9111556446226</v>
      </c>
      <c r="X282" s="1233">
        <f t="shared" si="78"/>
        <v>1220.1066666666666</v>
      </c>
      <c r="Y282" s="1233">
        <f t="shared" si="78"/>
        <v>1262.9206349206349</v>
      </c>
      <c r="Z282" s="1233">
        <f t="shared" si="78"/>
        <v>1283.1644359464626</v>
      </c>
      <c r="AA282" s="1233">
        <f t="shared" ref="AA282:AH282" si="79">+AA271-AA280</f>
        <v>1297.3388991960421</v>
      </c>
      <c r="AB282" s="1233">
        <f t="shared" si="79"/>
        <v>1325.2610006027728</v>
      </c>
      <c r="AC282" s="1233">
        <f t="shared" si="79"/>
        <v>1357.0116959064328</v>
      </c>
      <c r="AD282" s="1233">
        <f t="shared" si="79"/>
        <v>1431.4452054794519</v>
      </c>
      <c r="AE282" s="1233">
        <f t="shared" si="79"/>
        <v>1357.587506731287</v>
      </c>
      <c r="AF282" s="1233">
        <f t="shared" si="79"/>
        <v>1380.8959918822932</v>
      </c>
      <c r="AG282" s="1233">
        <f t="shared" si="79"/>
        <v>1375.1873767258382</v>
      </c>
      <c r="AH282" s="1233">
        <f t="shared" si="79"/>
        <v>1365.2837902837903</v>
      </c>
      <c r="AI282" s="1233">
        <f t="shared" ref="AI282:AP282" si="80">+AI271-AI280</f>
        <v>1321.3107663375647</v>
      </c>
      <c r="AJ282" s="1233">
        <f t="shared" si="80"/>
        <v>1333.762619372442</v>
      </c>
      <c r="AK282" s="1233">
        <f t="shared" si="80"/>
        <v>1312.4760661444734</v>
      </c>
      <c r="AL282" s="1233">
        <f t="shared" si="80"/>
        <v>1298.6821413634464</v>
      </c>
      <c r="AM282" s="1233">
        <f t="shared" si="80"/>
        <v>1240.2492860057118</v>
      </c>
      <c r="AN282" s="1233">
        <f t="shared" si="80"/>
        <v>1256.5282112845139</v>
      </c>
      <c r="AO282" s="1233">
        <f t="shared" si="80"/>
        <v>1265.2469714732317</v>
      </c>
      <c r="AP282" s="1233">
        <f t="shared" si="80"/>
        <v>1168.9105829088851</v>
      </c>
      <c r="AQ282" s="1233">
        <f>+AQ271-AQ280</f>
        <v>1213.1236452112364</v>
      </c>
      <c r="AR282" s="1233">
        <f>+AR271-AR280</f>
        <v>1218.5974025974026</v>
      </c>
      <c r="AS282" s="1233">
        <f>+AS271-AS280</f>
        <v>1228.8010956595028</v>
      </c>
      <c r="AT282" s="1233">
        <f>+AT271-AT280</f>
        <v>1214.3302752293578</v>
      </c>
    </row>
    <row r="283" spans="2:46">
      <c r="B283" s="1630" t="s">
        <v>95</v>
      </c>
      <c r="C283" s="42"/>
      <c r="D283" s="42"/>
      <c r="E283" s="42"/>
      <c r="F283" s="42"/>
      <c r="G283" s="42"/>
      <c r="H283" s="42"/>
      <c r="I283" s="42"/>
      <c r="J283" s="42"/>
      <c r="K283" s="42"/>
      <c r="L283" s="42"/>
      <c r="M283" s="42"/>
      <c r="N283" s="42"/>
      <c r="O283" s="42"/>
      <c r="P283" s="1623"/>
      <c r="Q283" s="1631">
        <f t="shared" ref="Q283:Z283" si="81">+Q282/P282-1</f>
        <v>2.5646629408100585E-2</v>
      </c>
      <c r="R283" s="1631">
        <f t="shared" si="81"/>
        <v>2.8775499139805261E-2</v>
      </c>
      <c r="S283" s="1631">
        <f t="shared" si="81"/>
        <v>1.0556001671037318E-2</v>
      </c>
      <c r="T283" s="1631">
        <f t="shared" si="81"/>
        <v>3.3246451351607087E-2</v>
      </c>
      <c r="U283" s="1631">
        <f t="shared" si="81"/>
        <v>-1.64047066801154E-3</v>
      </c>
      <c r="V283" s="1631">
        <f t="shared" si="81"/>
        <v>-9.7851988759234398E-3</v>
      </c>
      <c r="W283" s="1631">
        <f t="shared" si="81"/>
        <v>2.4469284776135636E-2</v>
      </c>
      <c r="X283" s="1631">
        <f t="shared" si="81"/>
        <v>4.1125567232554783E-2</v>
      </c>
      <c r="Y283" s="1631">
        <f t="shared" si="81"/>
        <v>3.5090348592993204E-2</v>
      </c>
      <c r="Z283" s="1631">
        <f t="shared" si="81"/>
        <v>1.6029353283232961E-2</v>
      </c>
      <c r="AA283" s="1631">
        <f t="shared" ref="AA283:AI283" si="82">+AA282/Z282-1</f>
        <v>1.1046490108747697E-2</v>
      </c>
      <c r="AB283" s="1631">
        <f t="shared" si="82"/>
        <v>2.1522596311599029E-2</v>
      </c>
      <c r="AC283" s="1631">
        <f t="shared" si="82"/>
        <v>2.3958069609849364E-2</v>
      </c>
      <c r="AD283" s="1631">
        <f t="shared" si="82"/>
        <v>5.4851044981819586E-2</v>
      </c>
      <c r="AE283" s="1631">
        <f t="shared" si="82"/>
        <v>-5.15965951511409E-2</v>
      </c>
      <c r="AF283" s="1631">
        <f t="shared" si="82"/>
        <v>1.7169048061680181E-2</v>
      </c>
      <c r="AG283" s="1631">
        <f t="shared" si="82"/>
        <v>-4.1339935737474409E-3</v>
      </c>
      <c r="AH283" s="1631">
        <f t="shared" si="82"/>
        <v>-7.201626927108129E-3</v>
      </c>
      <c r="AI283" s="1631">
        <f t="shared" si="82"/>
        <v>-3.2207973359945408E-2</v>
      </c>
      <c r="AJ283" s="1631">
        <f t="shared" ref="AJ283:AP283" si="83">+AJ282/AI282-1</f>
        <v>9.4238640538679697E-3</v>
      </c>
      <c r="AK283" s="1631">
        <f t="shared" si="83"/>
        <v>-1.5959776439066986E-2</v>
      </c>
      <c r="AL283" s="1631">
        <f t="shared" si="83"/>
        <v>-1.0509848626457652E-2</v>
      </c>
      <c r="AM283" s="1631">
        <f t="shared" si="83"/>
        <v>-4.4993962338149673E-2</v>
      </c>
      <c r="AN283" s="1631">
        <f t="shared" si="83"/>
        <v>1.3125526829553147E-2</v>
      </c>
      <c r="AO283" s="1631">
        <f t="shared" si="83"/>
        <v>6.9387699459648733E-3</v>
      </c>
      <c r="AP283" s="1631">
        <f t="shared" si="83"/>
        <v>-7.6140382657604144E-2</v>
      </c>
      <c r="AQ283" s="1631">
        <f>+AQ282/AP282-1</f>
        <v>3.7824161188039884E-2</v>
      </c>
      <c r="AR283" s="1631">
        <f>+AR282/AQ282-1</f>
        <v>4.5121182888270273E-3</v>
      </c>
      <c r="AS283" s="1631">
        <f>+AS282/AR282-1</f>
        <v>8.3733093804003733E-3</v>
      </c>
      <c r="AT283" s="1631">
        <f>+AT282/AS282-1</f>
        <v>-1.1776373313191479E-2</v>
      </c>
    </row>
    <row r="302" s="69" customFormat="1"/>
    <row r="303" s="69" customFormat="1"/>
    <row r="304" s="69" customFormat="1"/>
    <row r="305" s="69" customFormat="1"/>
    <row r="306" s="69" customFormat="1"/>
    <row r="307" s="69" customFormat="1"/>
    <row r="308" s="69" customFormat="1"/>
    <row r="309" s="69" customFormat="1"/>
    <row r="310" s="69" customFormat="1"/>
    <row r="311" s="69" customFormat="1"/>
    <row r="312" s="69" customFormat="1"/>
    <row r="313" s="69" customFormat="1"/>
    <row r="314" s="69" customFormat="1"/>
    <row r="315" s="69" customFormat="1"/>
    <row r="316" s="69" customFormat="1"/>
    <row r="317" s="69" customFormat="1"/>
    <row r="318" s="69" customFormat="1"/>
    <row r="353" spans="1:46">
      <c r="A353" s="1225" t="s">
        <v>604</v>
      </c>
      <c r="B353" s="1195" t="s">
        <v>1316</v>
      </c>
      <c r="C353" s="42"/>
      <c r="D353" s="42"/>
      <c r="E353" s="42"/>
      <c r="F353" s="42"/>
      <c r="G353" s="42"/>
      <c r="H353" s="42"/>
      <c r="I353" s="42"/>
      <c r="J353" s="42"/>
      <c r="K353" s="42"/>
      <c r="L353" s="42"/>
      <c r="M353" s="42"/>
      <c r="N353" s="42"/>
      <c r="O353" s="42"/>
      <c r="P353" s="42"/>
      <c r="Q353" s="42"/>
      <c r="R353" s="42"/>
      <c r="S353" s="42"/>
      <c r="T353" s="42"/>
      <c r="U353" s="42"/>
      <c r="V353" s="42"/>
      <c r="W353" s="42"/>
      <c r="X353" s="42"/>
      <c r="Y353" s="42"/>
      <c r="Z353" s="42"/>
      <c r="AA353" s="42"/>
      <c r="AB353" s="42"/>
      <c r="AC353" s="42"/>
      <c r="AD353" s="42"/>
      <c r="AE353" s="42"/>
      <c r="AF353" s="42"/>
      <c r="AG353" s="42"/>
      <c r="AH353" s="42"/>
      <c r="AI353" s="42"/>
      <c r="AJ353" s="42"/>
      <c r="AK353" s="42"/>
      <c r="AL353" s="42"/>
      <c r="AM353" s="42"/>
      <c r="AN353" s="42"/>
      <c r="AO353" s="42"/>
      <c r="AP353" s="42"/>
      <c r="AQ353" s="42"/>
      <c r="AR353" s="42"/>
      <c r="AS353" s="42"/>
      <c r="AT353" s="42"/>
    </row>
    <row r="354" spans="1:46">
      <c r="B354" s="42" t="s">
        <v>1392</v>
      </c>
      <c r="C354" s="42"/>
      <c r="D354" s="42"/>
      <c r="E354" s="42"/>
      <c r="F354" s="42"/>
      <c r="G354" s="42"/>
      <c r="H354" s="42"/>
      <c r="I354" s="42"/>
      <c r="J354" s="42"/>
      <c r="K354" s="42"/>
      <c r="L354" s="42"/>
      <c r="M354" s="42"/>
      <c r="N354" s="42"/>
      <c r="O354" s="42"/>
      <c r="P354" s="1623">
        <f>Rev!BU822</f>
        <v>1555.9443317556904</v>
      </c>
      <c r="Q354" s="1623">
        <f>Rev!BV822</f>
        <v>1662.4178212442271</v>
      </c>
      <c r="R354" s="1623">
        <f>Rev!BW822</f>
        <v>1684.8885350318469</v>
      </c>
      <c r="S354" s="1623">
        <f>Rev!BX822</f>
        <v>1705.0737913486007</v>
      </c>
      <c r="T354" s="1623">
        <f>Rev!BY822</f>
        <v>1793.0112249877989</v>
      </c>
      <c r="U354" s="1623">
        <f>Rev!BZ822</f>
        <v>1844.6851983844142</v>
      </c>
      <c r="V354" s="1623">
        <f>Rev!CA822</f>
        <v>1870.4143389199253</v>
      </c>
      <c r="W354" s="1623">
        <f>Rev!CB822</f>
        <v>1913.2285974499086</v>
      </c>
      <c r="X354" s="1623">
        <f>Rev!CC822</f>
        <v>1938.810641627543</v>
      </c>
      <c r="Y354" s="1623">
        <f>Rev!CD822</f>
        <v>1988.2642487046633</v>
      </c>
      <c r="Z354" s="1623">
        <f>Rev!CE822</f>
        <v>1995.5610663360194</v>
      </c>
      <c r="AA354" s="1623">
        <f>Rev!CF822</f>
        <v>1993.2365981459084</v>
      </c>
      <c r="AB354" s="1623">
        <f>Rev!CG822</f>
        <v>1990.1407892127702</v>
      </c>
      <c r="AC354" s="1623">
        <f>Rev!CH822</f>
        <v>2000.6441598758247</v>
      </c>
      <c r="AD354" s="1623">
        <f>Rev!CI822</f>
        <v>2035.7926598562242</v>
      </c>
      <c r="AE354" s="1623">
        <f>Rev!CJ822</f>
        <v>2033.6773954864962</v>
      </c>
      <c r="AF354" s="1623">
        <f>Rev!CK822</f>
        <v>2079.1526344378058</v>
      </c>
      <c r="AG354" s="1623">
        <f>Rev!CL822</f>
        <v>2067.9529081005094</v>
      </c>
      <c r="AH354" s="1623">
        <f>Rev!CM822</f>
        <v>2066.8783068783064</v>
      </c>
      <c r="AI354" s="1623">
        <f>Rev!CN822</f>
        <v>2030.1598401598403</v>
      </c>
      <c r="AJ354" s="1623">
        <f>Rev!CO822</f>
        <v>2018.3285024154584</v>
      </c>
      <c r="AK354" s="1623">
        <f>Rev!CP822</f>
        <v>2000.6836813611753</v>
      </c>
      <c r="AL354" s="1623">
        <f>Rev!CQ822</f>
        <v>2043.7056896038127</v>
      </c>
      <c r="AM354" s="1623">
        <f>Rev!CR822</f>
        <v>1976.1001893111984</v>
      </c>
      <c r="AN354" s="1623">
        <f>Rev!CS822</f>
        <v>2017.6037655113389</v>
      </c>
      <c r="AO354" s="1623">
        <f>Rev!CT822</f>
        <v>2028.6397109906904</v>
      </c>
      <c r="AP354" s="1623">
        <f>Rev!CU822</f>
        <v>1889.9661160525202</v>
      </c>
      <c r="AQ354" s="1623">
        <f>Rev!CV822</f>
        <v>1890.6565656565663</v>
      </c>
      <c r="AR354" s="1623">
        <f>Rev!CW822</f>
        <v>1913.4763236970264</v>
      </c>
      <c r="AS354" s="1623">
        <f>Rev!CX822</f>
        <v>1928.5586954319861</v>
      </c>
      <c r="AT354" s="1623">
        <f>Rev!CY822</f>
        <v>1819.2852537533388</v>
      </c>
    </row>
    <row r="355" spans="1:46">
      <c r="B355" s="1630" t="s">
        <v>95</v>
      </c>
      <c r="C355" s="42"/>
      <c r="D355" s="42"/>
      <c r="E355" s="42"/>
      <c r="F355" s="42"/>
      <c r="G355" s="42"/>
      <c r="H355" s="42"/>
      <c r="I355" s="42"/>
      <c r="J355" s="42"/>
      <c r="K355" s="42"/>
      <c r="L355" s="42"/>
      <c r="M355" s="42"/>
      <c r="N355" s="42"/>
      <c r="O355" s="42"/>
      <c r="P355" s="1623"/>
      <c r="Q355" s="1631">
        <f t="shared" ref="Q355:Z355" si="84">+Q354/P354-1</f>
        <v>6.8430140664733408E-2</v>
      </c>
      <c r="R355" s="1631">
        <f t="shared" si="84"/>
        <v>1.3516886970570186E-2</v>
      </c>
      <c r="S355" s="1631">
        <f t="shared" si="84"/>
        <v>1.1980173107636549E-2</v>
      </c>
      <c r="T355" s="1631">
        <f t="shared" si="84"/>
        <v>5.1573975323170984E-2</v>
      </c>
      <c r="U355" s="1631">
        <f t="shared" si="84"/>
        <v>2.8819659730221048E-2</v>
      </c>
      <c r="V355" s="1631">
        <f t="shared" si="84"/>
        <v>1.3947713440778386E-2</v>
      </c>
      <c r="W355" s="1631">
        <f t="shared" si="84"/>
        <v>2.2890253586649978E-2</v>
      </c>
      <c r="X355" s="1631">
        <f t="shared" si="84"/>
        <v>1.337113830084502E-2</v>
      </c>
      <c r="Y355" s="1631">
        <f t="shared" si="84"/>
        <v>2.5507187765178685E-2</v>
      </c>
      <c r="Z355" s="1631">
        <f t="shared" si="84"/>
        <v>3.6699435882880937E-3</v>
      </c>
      <c r="AA355" s="1631">
        <f t="shared" ref="AA355:AI355" si="85">+AA354/Z354-1</f>
        <v>-1.1648193730191547E-3</v>
      </c>
      <c r="AB355" s="1631">
        <f t="shared" si="85"/>
        <v>-1.5531567782860467E-3</v>
      </c>
      <c r="AC355" s="1631">
        <f t="shared" si="85"/>
        <v>5.2777023213566032E-3</v>
      </c>
      <c r="AD355" s="1631">
        <f t="shared" si="85"/>
        <v>1.7568591499340425E-2</v>
      </c>
      <c r="AE355" s="1631">
        <f t="shared" si="85"/>
        <v>-1.0390372317569119E-3</v>
      </c>
      <c r="AF355" s="1631">
        <f t="shared" si="85"/>
        <v>2.2361087875705676E-2</v>
      </c>
      <c r="AG355" s="1631">
        <f t="shared" si="85"/>
        <v>-5.3866782802719504E-3</v>
      </c>
      <c r="AH355" s="1631">
        <f t="shared" si="85"/>
        <v>-5.1964491937583901E-4</v>
      </c>
      <c r="AI355" s="1631">
        <f t="shared" si="85"/>
        <v>-1.7765180754121701E-2</v>
      </c>
      <c r="AJ355" s="1631">
        <f t="shared" ref="AJ355:AP355" si="86">+AJ354/AI354-1</f>
        <v>-5.8277863202389479E-3</v>
      </c>
      <c r="AK355" s="1631">
        <f t="shared" si="86"/>
        <v>-8.7422939492587393E-3</v>
      </c>
      <c r="AL355" s="1631">
        <f t="shared" si="86"/>
        <v>2.1503653297840319E-2</v>
      </c>
      <c r="AM355" s="1631">
        <f t="shared" si="86"/>
        <v>-3.3079861076141581E-2</v>
      </c>
      <c r="AN355" s="1631">
        <f t="shared" si="86"/>
        <v>2.100276920402866E-2</v>
      </c>
      <c r="AO355" s="1631">
        <f t="shared" si="86"/>
        <v>5.4698279553193618E-3</v>
      </c>
      <c r="AP355" s="1631">
        <f t="shared" si="86"/>
        <v>-6.8357921905437213E-2</v>
      </c>
      <c r="AQ355" s="1631">
        <f>+AQ354/AP354-1</f>
        <v>3.6532380034848266E-4</v>
      </c>
      <c r="AR355" s="1631">
        <f>+AR354/AQ354-1</f>
        <v>1.2069753150824258E-2</v>
      </c>
      <c r="AS355" s="1631">
        <f>+AS354/AR354-1</f>
        <v>7.8821836195073214E-3</v>
      </c>
      <c r="AT355" s="1631">
        <f>+AT354/AS354-1</f>
        <v>-5.6660677187307829E-2</v>
      </c>
    </row>
    <row r="356" spans="1:46">
      <c r="B356" s="42" t="s">
        <v>162</v>
      </c>
      <c r="C356" s="42"/>
      <c r="D356" s="42"/>
      <c r="E356" s="42"/>
      <c r="F356" s="42"/>
      <c r="G356" s="42"/>
      <c r="H356" s="42"/>
      <c r="I356" s="42"/>
      <c r="J356" s="42"/>
      <c r="K356" s="42"/>
      <c r="L356" s="42"/>
      <c r="M356" s="42"/>
      <c r="N356" s="42"/>
      <c r="O356" s="42"/>
      <c r="P356" s="1917">
        <f>Rev!BU825</f>
        <v>75636</v>
      </c>
      <c r="Q356" s="1917">
        <f>Rev!BV825</f>
        <v>79437</v>
      </c>
      <c r="R356" s="1917">
        <f>Rev!BW825</f>
        <v>83489</v>
      </c>
      <c r="S356" s="1917">
        <f>Rev!BX825</f>
        <v>86179</v>
      </c>
      <c r="T356" s="1917">
        <f>Rev!BY825</f>
        <v>89939</v>
      </c>
      <c r="U356" s="1917">
        <f>Rev!BZ825</f>
        <v>90707</v>
      </c>
      <c r="V356" s="1917">
        <f>Rev!CA825</f>
        <v>94578</v>
      </c>
      <c r="W356" s="1917">
        <f>Rev!CB825</f>
        <v>97913</v>
      </c>
      <c r="X356" s="1917">
        <f>Rev!CC825</f>
        <v>101214</v>
      </c>
      <c r="Y356" s="1917">
        <f>Rev!CD825</f>
        <v>112000</v>
      </c>
      <c r="Z356" s="1917">
        <f>Rev!CE825</f>
        <v>114100</v>
      </c>
      <c r="AA356" s="1917">
        <f>Rev!CF825</f>
        <v>116900</v>
      </c>
      <c r="AB356" s="1917">
        <f>Rev!CG825</f>
        <v>120500</v>
      </c>
      <c r="AC356" s="1917">
        <f>Rev!CH825</f>
        <v>124100</v>
      </c>
      <c r="AD356" s="1917">
        <f>Rev!CI825</f>
        <v>128300</v>
      </c>
      <c r="AE356" s="1917">
        <f>Rev!CJ825</f>
        <v>134800</v>
      </c>
      <c r="AF356" s="1917">
        <f>Rev!CK825</f>
        <v>138600</v>
      </c>
      <c r="AG356" s="1917">
        <f>Rev!CL825</f>
        <v>144400</v>
      </c>
      <c r="AH356" s="1917">
        <f>Rev!CM825</f>
        <v>145100</v>
      </c>
      <c r="AI356" s="1917">
        <f>Rev!CN825</f>
        <v>150600</v>
      </c>
      <c r="AJ356" s="1917">
        <f>Rev!CO825</f>
        <v>156700</v>
      </c>
      <c r="AK356" s="1917">
        <f>Rev!CP825</f>
        <v>163700</v>
      </c>
      <c r="AL356" s="1917">
        <f>Rev!CQ825</f>
        <v>171200</v>
      </c>
      <c r="AM356" s="1917">
        <f>Rev!CR825</f>
        <v>176800</v>
      </c>
      <c r="AN356" s="1917">
        <f>Rev!CS825</f>
        <v>182900</v>
      </c>
      <c r="AO356" s="1917">
        <f>Rev!CT825</f>
        <v>188400</v>
      </c>
      <c r="AP356" s="1917">
        <f>Rev!CU825</f>
        <v>230200</v>
      </c>
      <c r="AQ356" s="1917">
        <f>Rev!CV825</f>
        <v>237300</v>
      </c>
      <c r="AR356" s="1917">
        <f>Rev!CW825</f>
        <v>242400</v>
      </c>
      <c r="AS356" s="1917">
        <f>Rev!CX825</f>
        <v>248100</v>
      </c>
      <c r="AT356" s="1917">
        <f>Rev!CY825</f>
        <v>277800</v>
      </c>
    </row>
    <row r="357" spans="1:46">
      <c r="B357" s="1630" t="s">
        <v>95</v>
      </c>
      <c r="C357" s="42"/>
      <c r="D357" s="42"/>
      <c r="E357" s="42"/>
      <c r="F357" s="42"/>
      <c r="G357" s="42"/>
      <c r="H357" s="42"/>
      <c r="I357" s="42"/>
      <c r="J357" s="42"/>
      <c r="K357" s="42"/>
      <c r="L357" s="42"/>
      <c r="M357" s="42"/>
      <c r="N357" s="42"/>
      <c r="O357" s="42"/>
      <c r="P357" s="1623"/>
      <c r="Q357" s="1631">
        <f t="shared" ref="Q357:Z357" si="87">+Q356/P356-1</f>
        <v>5.0253847374266192E-2</v>
      </c>
      <c r="R357" s="1631">
        <f t="shared" si="87"/>
        <v>5.1008975666251288E-2</v>
      </c>
      <c r="S357" s="1631">
        <f t="shared" si="87"/>
        <v>3.2219813388590035E-2</v>
      </c>
      <c r="T357" s="1631">
        <f t="shared" si="87"/>
        <v>4.3630118706413423E-2</v>
      </c>
      <c r="U357" s="1631">
        <f t="shared" si="87"/>
        <v>8.5391209597616147E-3</v>
      </c>
      <c r="V357" s="1631">
        <f t="shared" si="87"/>
        <v>4.2675868455576804E-2</v>
      </c>
      <c r="W357" s="1631">
        <f t="shared" si="87"/>
        <v>3.5261900230497689E-2</v>
      </c>
      <c r="X357" s="1631">
        <f t="shared" si="87"/>
        <v>3.3713602892363692E-2</v>
      </c>
      <c r="Y357" s="1631">
        <f t="shared" si="87"/>
        <v>0.10656628529650058</v>
      </c>
      <c r="Z357" s="1631">
        <f t="shared" si="87"/>
        <v>1.8750000000000044E-2</v>
      </c>
      <c r="AA357" s="1631">
        <f t="shared" ref="AA357:AI357" si="88">+AA356/Z356-1</f>
        <v>2.4539877300613577E-2</v>
      </c>
      <c r="AB357" s="1631">
        <f t="shared" si="88"/>
        <v>3.0795551753635575E-2</v>
      </c>
      <c r="AC357" s="1631">
        <f t="shared" si="88"/>
        <v>2.9875518672199064E-2</v>
      </c>
      <c r="AD357" s="1631">
        <f t="shared" si="88"/>
        <v>3.3843674456083717E-2</v>
      </c>
      <c r="AE357" s="1631">
        <f t="shared" si="88"/>
        <v>5.0662509742790407E-2</v>
      </c>
      <c r="AF357" s="1631">
        <f t="shared" si="88"/>
        <v>2.8189910979228516E-2</v>
      </c>
      <c r="AG357" s="1631">
        <f t="shared" si="88"/>
        <v>4.1847041847041799E-2</v>
      </c>
      <c r="AH357" s="1631">
        <f t="shared" si="88"/>
        <v>4.8476454293628901E-3</v>
      </c>
      <c r="AI357" s="1631">
        <f t="shared" si="88"/>
        <v>3.7904893177119314E-2</v>
      </c>
      <c r="AJ357" s="1631">
        <f t="shared" ref="AJ357:AP357" si="89">+AJ356/AI356-1</f>
        <v>4.0504648074369154E-2</v>
      </c>
      <c r="AK357" s="1631">
        <f t="shared" si="89"/>
        <v>4.4671346522016542E-2</v>
      </c>
      <c r="AL357" s="1631">
        <f t="shared" si="89"/>
        <v>4.5815516188149052E-2</v>
      </c>
      <c r="AM357" s="1631">
        <f t="shared" si="89"/>
        <v>3.2710280373831724E-2</v>
      </c>
      <c r="AN357" s="1631">
        <f t="shared" si="89"/>
        <v>3.4502262443439013E-2</v>
      </c>
      <c r="AO357" s="1631">
        <f t="shared" si="89"/>
        <v>3.0071077091306631E-2</v>
      </c>
      <c r="AP357" s="1631">
        <f t="shared" si="89"/>
        <v>0.22186836518046715</v>
      </c>
      <c r="AQ357" s="1631">
        <f>+AQ356/AP356-1</f>
        <v>3.0842745438748986E-2</v>
      </c>
      <c r="AR357" s="1631">
        <f>+AR356/AQ356-1</f>
        <v>2.1491782553729522E-2</v>
      </c>
      <c r="AS357" s="1631">
        <f>+AS356/AR356-1</f>
        <v>2.3514851485148425E-2</v>
      </c>
      <c r="AT357" s="1631">
        <f>+AT356/AS356-1</f>
        <v>0.11970979443772678</v>
      </c>
    </row>
    <row r="358" spans="1:46">
      <c r="B358" s="42" t="s">
        <v>644</v>
      </c>
      <c r="C358" s="42"/>
      <c r="D358" s="42"/>
      <c r="E358" s="42"/>
      <c r="F358" s="42"/>
      <c r="G358" s="42"/>
      <c r="H358" s="42"/>
      <c r="I358" s="42"/>
      <c r="J358" s="42"/>
      <c r="K358" s="42"/>
      <c r="L358" s="42"/>
      <c r="M358" s="42"/>
      <c r="N358" s="42"/>
      <c r="O358" s="42"/>
      <c r="P358" s="1628">
        <f>Rev!BU826</f>
        <v>1.278498985801217</v>
      </c>
      <c r="Q358" s="1628">
        <f>Rev!BV826</f>
        <v>1.2638386308068459</v>
      </c>
      <c r="R358" s="1628">
        <f>Rev!BW826</f>
        <v>1.2971815286624204</v>
      </c>
      <c r="S358" s="1628">
        <f>Rev!BX826</f>
        <v>1.2951755725190839</v>
      </c>
      <c r="T358" s="1628">
        <f>Rev!BY826</f>
        <v>1.2892972181551976</v>
      </c>
      <c r="U358" s="1628">
        <f>Rev!BZ826</f>
        <v>1.2875694939415538</v>
      </c>
      <c r="V358" s="1628">
        <f>Rev!CA826</f>
        <v>1.2938896648044693</v>
      </c>
      <c r="W358" s="1628">
        <f>Rev!CB826</f>
        <v>1.3148292349726776</v>
      </c>
      <c r="X358" s="1628">
        <f>Rev!CC826</f>
        <v>1.3355264922870558</v>
      </c>
      <c r="Y358" s="1628">
        <f>Rev!CD826</f>
        <v>1.3809196891191711</v>
      </c>
      <c r="Z358" s="1628">
        <f>Rev!CE826</f>
        <v>1.4017358958462491</v>
      </c>
      <c r="AA358" s="1628">
        <f>Rev!CF826</f>
        <v>1.396614268440145</v>
      </c>
      <c r="AB358" s="1628">
        <f>Rev!CG826</f>
        <v>1.4122546103509817</v>
      </c>
      <c r="AC358" s="1628">
        <f>Rev!CH826</f>
        <v>1.4237485448195577</v>
      </c>
      <c r="AD358" s="1628">
        <f>Rev!CI826</f>
        <v>1.4324631101021565</v>
      </c>
      <c r="AE358" s="1628">
        <f>Rev!CJ826</f>
        <v>1.4600443951165372</v>
      </c>
      <c r="AF358" s="1628">
        <f>Rev!CK826</f>
        <v>1.4850624660510592</v>
      </c>
      <c r="AG358" s="1628">
        <f>Rev!CL826</f>
        <v>1.4918292040063257</v>
      </c>
      <c r="AH358" s="1628">
        <f>Rev!CM826</f>
        <v>1.4823348694316436</v>
      </c>
      <c r="AI358" s="1628">
        <f>Rev!CN826</f>
        <v>1.477022977022977</v>
      </c>
      <c r="AJ358" s="1628">
        <f>Rev!CO826</f>
        <v>1.4845410628019324</v>
      </c>
      <c r="AK358" s="1628">
        <f>Rev!CP826</f>
        <v>1.4867749419953595</v>
      </c>
      <c r="AL358" s="1628">
        <f>Rev!CQ826</f>
        <v>1.496425379803396</v>
      </c>
      <c r="AM358" s="1628">
        <f>Rev!CR826</f>
        <v>1.5203145478374835</v>
      </c>
      <c r="AN358" s="1628">
        <f>Rev!CS826</f>
        <v>1.5391527599486521</v>
      </c>
      <c r="AO358" s="1628">
        <f>Rev!CT826</f>
        <v>1.5477282200917049</v>
      </c>
      <c r="AP358" s="1628">
        <f>Rev!CU826</f>
        <v>1.5014347202295553</v>
      </c>
      <c r="AQ358" s="1628">
        <f>Rev!CV826</f>
        <v>1.4756944444444444</v>
      </c>
      <c r="AR358" s="1628">
        <f>Rev!CW826</f>
        <v>1.4911408144233758</v>
      </c>
      <c r="AS358" s="1628">
        <f>Rev!CX826</f>
        <v>1.4904284412032818</v>
      </c>
      <c r="AT358" s="1628">
        <f>Rev!CY826</f>
        <v>1.4531638574191765</v>
      </c>
    </row>
    <row r="359" spans="1:46">
      <c r="B359" s="1630" t="s">
        <v>95</v>
      </c>
      <c r="C359" s="42"/>
      <c r="D359" s="42"/>
      <c r="E359" s="42"/>
      <c r="F359" s="42"/>
      <c r="G359" s="42"/>
      <c r="H359" s="42"/>
      <c r="I359" s="42"/>
      <c r="J359" s="42"/>
      <c r="K359" s="42"/>
      <c r="L359" s="42"/>
      <c r="M359" s="42"/>
      <c r="N359" s="42"/>
      <c r="O359" s="42"/>
      <c r="P359" s="1623"/>
      <c r="Q359" s="1631">
        <f t="shared" ref="Q359:Z359" si="90">+Q358/P358-1</f>
        <v>-1.1466849138862423E-2</v>
      </c>
      <c r="R359" s="1631">
        <f t="shared" si="90"/>
        <v>2.6382242988005622E-2</v>
      </c>
      <c r="S359" s="1631">
        <f t="shared" si="90"/>
        <v>-1.5463958582612181E-3</v>
      </c>
      <c r="T359" s="1631">
        <f t="shared" si="90"/>
        <v>-4.5386544408438922E-3</v>
      </c>
      <c r="U359" s="1631">
        <f t="shared" si="90"/>
        <v>-1.3400511451625574E-3</v>
      </c>
      <c r="V359" s="1631">
        <f t="shared" si="90"/>
        <v>4.9086056268450307E-3</v>
      </c>
      <c r="W359" s="1631">
        <f t="shared" si="90"/>
        <v>1.6183427952005891E-2</v>
      </c>
      <c r="X359" s="1631">
        <f t="shared" si="90"/>
        <v>1.574140334262375E-2</v>
      </c>
      <c r="Y359" s="1631">
        <f t="shared" si="90"/>
        <v>3.3988990180479739E-2</v>
      </c>
      <c r="Z359" s="1631">
        <f t="shared" si="90"/>
        <v>1.5074161727939295E-2</v>
      </c>
      <c r="AA359" s="1631">
        <f t="shared" ref="AA359:AI359" si="91">+AA358/Z358-1</f>
        <v>-3.6537748810464565E-3</v>
      </c>
      <c r="AB359" s="1631">
        <f t="shared" si="91"/>
        <v>1.1198755636590452E-2</v>
      </c>
      <c r="AC359" s="1631">
        <f t="shared" si="91"/>
        <v>8.1387126544549826E-3</v>
      </c>
      <c r="AD359" s="1631">
        <f t="shared" si="91"/>
        <v>6.1208598346298437E-3</v>
      </c>
      <c r="AE359" s="1631">
        <f t="shared" si="91"/>
        <v>1.9254446987059692E-2</v>
      </c>
      <c r="AF359" s="1631">
        <f t="shared" si="91"/>
        <v>1.7135143984799983E-2</v>
      </c>
      <c r="AG359" s="1631">
        <f t="shared" si="91"/>
        <v>4.5565342266442599E-3</v>
      </c>
      <c r="AH359" s="1631">
        <f t="shared" si="91"/>
        <v>-6.3642235647251022E-3</v>
      </c>
      <c r="AI359" s="1631">
        <f t="shared" si="91"/>
        <v>-3.5834631689554142E-3</v>
      </c>
      <c r="AJ359" s="1631">
        <f t="shared" ref="AJ359:AP359" si="92">+AJ358/AI358-1</f>
        <v>5.0900262865973822E-3</v>
      </c>
      <c r="AK359" s="1631">
        <f t="shared" si="92"/>
        <v>1.5047607973948107E-3</v>
      </c>
      <c r="AL359" s="1631">
        <f t="shared" si="92"/>
        <v>6.4908531449183737E-3</v>
      </c>
      <c r="AM359" s="1631">
        <f t="shared" si="92"/>
        <v>1.596415588542488E-2</v>
      </c>
      <c r="AN359" s="1631">
        <f t="shared" si="92"/>
        <v>1.2390996414501476E-2</v>
      </c>
      <c r="AO359" s="1631">
        <f t="shared" si="92"/>
        <v>5.5715458310576782E-3</v>
      </c>
      <c r="AP359" s="1631">
        <f t="shared" si="92"/>
        <v>-2.9910613027012367E-2</v>
      </c>
      <c r="AQ359" s="1631">
        <f>+AQ358/AP358-1</f>
        <v>-1.7143786165525365E-2</v>
      </c>
      <c r="AR359" s="1631">
        <f>+AR358/AQ358-1</f>
        <v>1.0467187185722926E-2</v>
      </c>
      <c r="AS359" s="1631">
        <f>+AS358/AR358-1</f>
        <v>-4.7773705420939283E-4</v>
      </c>
      <c r="AT359" s="1631">
        <f>+AT358/AS358-1</f>
        <v>-2.5002598416613675E-2</v>
      </c>
    </row>
    <row r="360" spans="1:46">
      <c r="B360" s="42" t="s">
        <v>51</v>
      </c>
      <c r="C360" s="42"/>
      <c r="D360" s="42"/>
      <c r="E360" s="42"/>
      <c r="F360" s="42"/>
      <c r="G360" s="42"/>
      <c r="H360" s="42"/>
      <c r="I360" s="42"/>
      <c r="J360" s="42"/>
      <c r="K360" s="42"/>
      <c r="L360" s="42"/>
      <c r="M360" s="42"/>
      <c r="N360" s="42"/>
      <c r="O360" s="42"/>
      <c r="P360" s="1623">
        <f>Rev!BU9</f>
        <v>39.809335000054112</v>
      </c>
      <c r="Q360" s="1623">
        <f>Rev!BV9</f>
        <v>47.06487839266493</v>
      </c>
      <c r="R360" s="1623">
        <f>Rev!BW9</f>
        <v>50.134182296400596</v>
      </c>
      <c r="S360" s="1623">
        <f>Rev!BX9</f>
        <v>52.253241703933497</v>
      </c>
      <c r="T360" s="1623">
        <f>Rev!BY9</f>
        <v>57.047457179678545</v>
      </c>
      <c r="U360" s="1623">
        <f>Rev!BZ9</f>
        <v>57.513920722041156</v>
      </c>
      <c r="V360" s="1623">
        <f>Rev!CA9</f>
        <v>61.019987682818595</v>
      </c>
      <c r="W360" s="1623">
        <f>Rev!CB9</f>
        <v>62.882999999999996</v>
      </c>
      <c r="X360" s="1623">
        <f>Rev!CC9</f>
        <v>65.033999999999992</v>
      </c>
      <c r="Y360" s="1623">
        <f>Rev!CD9</f>
        <v>70.680999999999997</v>
      </c>
      <c r="Z360" s="1623">
        <f>Rev!CE9</f>
        <v>73.50500000000001</v>
      </c>
      <c r="AA360" s="1623">
        <f>Rev!CF9</f>
        <v>75.991</v>
      </c>
      <c r="AB360" s="1623">
        <f>Rev!CG9</f>
        <v>78.352999999999994</v>
      </c>
      <c r="AC360" s="1623">
        <f>Rev!CH9</f>
        <v>81.650000000000006</v>
      </c>
      <c r="AD360" s="1623">
        <f>Rev!CI9</f>
        <v>83.869</v>
      </c>
      <c r="AE360" s="1623">
        <f>Rev!CJ9</f>
        <v>87.02600000000001</v>
      </c>
      <c r="AF360" s="1623">
        <f>Rev!CK9</f>
        <v>90.968999999999994</v>
      </c>
      <c r="AG360" s="1623">
        <f>Rev!CL9</f>
        <v>95.647999999999996</v>
      </c>
      <c r="AH360" s="1623">
        <f>Rev!CM9</f>
        <v>98.706999999999994</v>
      </c>
      <c r="AI360" s="1623">
        <f>Rev!CN9</f>
        <v>101.658</v>
      </c>
      <c r="AJ360" s="1623">
        <f>Rev!CO9</f>
        <v>104.661</v>
      </c>
      <c r="AK360" s="1623">
        <f>Rev!CP9</f>
        <v>110.56800000000001</v>
      </c>
      <c r="AL360" s="1623">
        <f>Rev!CQ9</f>
        <v>118.922</v>
      </c>
      <c r="AM360" s="1623">
        <f>Rev!CR9</f>
        <v>127.20500000000001</v>
      </c>
      <c r="AN360" s="1623">
        <f>Rev!CS9</f>
        <v>135.721</v>
      </c>
      <c r="AO360" s="1623">
        <f>Rev!CT9</f>
        <v>135.43899999999999</v>
      </c>
      <c r="AP360" s="1623">
        <f>Rev!CU9</f>
        <v>145.898</v>
      </c>
      <c r="AQ360" s="1623">
        <f>Rev!CV9</f>
        <v>148.06</v>
      </c>
      <c r="AR360" s="1623">
        <f>Rev!CW9</f>
        <v>165.684</v>
      </c>
      <c r="AS360" s="1623">
        <f>Rev!CX9</f>
        <v>179.54400000000001</v>
      </c>
      <c r="AT360" s="1623">
        <f>Rev!CY9</f>
        <v>187.88500000000002</v>
      </c>
    </row>
    <row r="361" spans="1:46">
      <c r="B361" s="42" t="s">
        <v>1319</v>
      </c>
      <c r="C361" s="42"/>
      <c r="D361" s="42"/>
      <c r="E361" s="42"/>
      <c r="F361" s="42"/>
      <c r="G361" s="42"/>
      <c r="H361" s="42"/>
      <c r="I361" s="42"/>
      <c r="J361" s="42"/>
      <c r="K361" s="42"/>
      <c r="L361" s="42"/>
      <c r="M361" s="42"/>
      <c r="N361" s="42"/>
      <c r="O361" s="42"/>
      <c r="P361" s="1623">
        <f>+P360/3/P356*1000000</f>
        <v>175.44262432375285</v>
      </c>
      <c r="Q361" s="1623">
        <f t="shared" ref="Q361:Z361" si="93">+Q360/3/Q356*1000000</f>
        <v>197.49352062080615</v>
      </c>
      <c r="R361" s="1623">
        <f t="shared" si="93"/>
        <v>200.16282502844925</v>
      </c>
      <c r="S361" s="1623">
        <f t="shared" si="93"/>
        <v>202.11127112921358</v>
      </c>
      <c r="T361" s="1623">
        <f t="shared" si="93"/>
        <v>211.4301811215696</v>
      </c>
      <c r="U361" s="1623">
        <f t="shared" si="93"/>
        <v>211.35421640388341</v>
      </c>
      <c r="V361" s="1623">
        <f t="shared" si="93"/>
        <v>215.06054150302251</v>
      </c>
      <c r="W361" s="1623">
        <f t="shared" si="93"/>
        <v>214.07780376456648</v>
      </c>
      <c r="X361" s="1623">
        <f t="shared" si="93"/>
        <v>214.17985654158514</v>
      </c>
      <c r="Y361" s="1623">
        <f t="shared" si="93"/>
        <v>210.36011904761907</v>
      </c>
      <c r="Z361" s="1623">
        <f t="shared" si="93"/>
        <v>214.73853345018992</v>
      </c>
      <c r="AA361" s="1623">
        <f t="shared" ref="AA361:AH361" si="94">+AA360/3/AA356*1000000</f>
        <v>216.68377530652978</v>
      </c>
      <c r="AB361" s="1623">
        <f t="shared" si="94"/>
        <v>216.74412171507606</v>
      </c>
      <c r="AC361" s="1623">
        <f t="shared" si="94"/>
        <v>219.31238248724151</v>
      </c>
      <c r="AD361" s="1623">
        <f t="shared" si="94"/>
        <v>217.89815536502988</v>
      </c>
      <c r="AE361" s="1623">
        <f t="shared" si="94"/>
        <v>215.19782393669635</v>
      </c>
      <c r="AF361" s="1623">
        <f t="shared" si="94"/>
        <v>218.78066378066376</v>
      </c>
      <c r="AG361" s="1623">
        <f t="shared" si="94"/>
        <v>220.79409048938132</v>
      </c>
      <c r="AH361" s="1623">
        <f t="shared" si="94"/>
        <v>226.75626005053985</v>
      </c>
      <c r="AI361" s="1623">
        <f t="shared" ref="AI361:AP361" si="95">+AI360/3/AI356*1000000</f>
        <v>225.00664010624172</v>
      </c>
      <c r="AJ361" s="1623">
        <f t="shared" si="95"/>
        <v>222.635609444799</v>
      </c>
      <c r="AK361" s="1623">
        <f t="shared" si="95"/>
        <v>225.14355528405619</v>
      </c>
      <c r="AL361" s="1623">
        <f t="shared" si="95"/>
        <v>231.54595015576325</v>
      </c>
      <c r="AM361" s="1623">
        <f t="shared" si="95"/>
        <v>239.82843137254903</v>
      </c>
      <c r="AN361" s="1623">
        <f t="shared" si="95"/>
        <v>247.35010023692365</v>
      </c>
      <c r="AO361" s="1623">
        <f t="shared" si="95"/>
        <v>239.63021939136587</v>
      </c>
      <c r="AP361" s="1623">
        <f t="shared" si="95"/>
        <v>211.26267014190557</v>
      </c>
      <c r="AQ361" s="1623">
        <f>+AQ360/3/AQ356*1000000</f>
        <v>207.9786486866133</v>
      </c>
      <c r="AR361" s="1623">
        <f>+AR360/3/AR356*1000000</f>
        <v>227.83828382838286</v>
      </c>
      <c r="AS361" s="1623">
        <f>+AS360/3/AS356*1000000</f>
        <v>241.22531237404274</v>
      </c>
      <c r="AT361" s="1623">
        <f>+AT360/3/AT356*1000000</f>
        <v>225.44396448284138</v>
      </c>
    </row>
    <row r="362" spans="1:46">
      <c r="B362" s="1630" t="s">
        <v>95</v>
      </c>
      <c r="C362" s="42"/>
      <c r="D362" s="42"/>
      <c r="E362" s="42"/>
      <c r="F362" s="42"/>
      <c r="G362" s="42"/>
      <c r="H362" s="42"/>
      <c r="I362" s="42"/>
      <c r="J362" s="42"/>
      <c r="K362" s="42"/>
      <c r="L362" s="42"/>
      <c r="M362" s="42"/>
      <c r="N362" s="42"/>
      <c r="O362" s="42"/>
      <c r="P362" s="1623"/>
      <c r="Q362" s="1631">
        <f t="shared" ref="Q362:Z362" si="96">+Q361/P361-1</f>
        <v>0.1256872232848143</v>
      </c>
      <c r="R362" s="1631">
        <f t="shared" si="96"/>
        <v>1.3515908771347673E-2</v>
      </c>
      <c r="S362" s="1631">
        <f t="shared" si="96"/>
        <v>9.7343055609222517E-3</v>
      </c>
      <c r="T362" s="1631">
        <f t="shared" si="96"/>
        <v>4.6107819421898011E-2</v>
      </c>
      <c r="U362" s="1631">
        <f t="shared" si="96"/>
        <v>-3.5928984822897192E-4</v>
      </c>
      <c r="V362" s="1631">
        <f t="shared" si="96"/>
        <v>1.7536083084600307E-2</v>
      </c>
      <c r="W362" s="1631">
        <f t="shared" si="96"/>
        <v>-4.569586459644448E-3</v>
      </c>
      <c r="X362" s="1631">
        <f t="shared" si="96"/>
        <v>4.7670881905581552E-4</v>
      </c>
      <c r="Y362" s="1631">
        <f t="shared" si="96"/>
        <v>-1.7834251808943713E-2</v>
      </c>
      <c r="Z362" s="1631">
        <f t="shared" si="96"/>
        <v>2.0813899623149279E-2</v>
      </c>
      <c r="AA362" s="1631">
        <f t="shared" ref="AA362:AI362" si="97">+AA361/Z361-1</f>
        <v>9.0586529817717754E-3</v>
      </c>
      <c r="AB362" s="1631">
        <f t="shared" si="97"/>
        <v>2.7849989442407797E-4</v>
      </c>
      <c r="AC362" s="1631">
        <f t="shared" si="97"/>
        <v>1.1849275319870456E-2</v>
      </c>
      <c r="AD362" s="1631">
        <f t="shared" si="97"/>
        <v>-6.4484599828461553E-3</v>
      </c>
      <c r="AE362" s="1631">
        <f t="shared" si="97"/>
        <v>-1.2392630969316087E-2</v>
      </c>
      <c r="AF362" s="1631">
        <f t="shared" si="97"/>
        <v>1.6649052385498742E-2</v>
      </c>
      <c r="AG362" s="1631">
        <f t="shared" si="97"/>
        <v>9.2029463386951171E-3</v>
      </c>
      <c r="AH362" s="1631">
        <f t="shared" si="97"/>
        <v>2.7003302252988748E-2</v>
      </c>
      <c r="AI362" s="1631">
        <f t="shared" si="97"/>
        <v>-7.7158617094327253E-3</v>
      </c>
      <c r="AJ362" s="1631">
        <f t="shared" ref="AJ362:AP362" si="98">+AJ361/AI361-1</f>
        <v>-1.0537603069505797E-2</v>
      </c>
      <c r="AK362" s="1631">
        <f t="shared" si="98"/>
        <v>1.1264801015037129E-2</v>
      </c>
      <c r="AL362" s="1631">
        <f t="shared" si="98"/>
        <v>2.8436944880031678E-2</v>
      </c>
      <c r="AM362" s="1631">
        <f t="shared" si="98"/>
        <v>3.5770356645037804E-2</v>
      </c>
      <c r="AN362" s="1631">
        <f t="shared" si="98"/>
        <v>3.1362707170821125E-2</v>
      </c>
      <c r="AO362" s="1631">
        <f t="shared" si="98"/>
        <v>-3.1210340477579424E-2</v>
      </c>
      <c r="AP362" s="1631">
        <f t="shared" si="98"/>
        <v>-0.11838051695445895</v>
      </c>
      <c r="AQ362" s="1631">
        <f>+AQ361/AP361-1</f>
        <v>-1.5544731367289844E-2</v>
      </c>
      <c r="AR362" s="1631">
        <f>+AR361/AQ361-1</f>
        <v>9.5488817083788646E-2</v>
      </c>
      <c r="AS362" s="1631">
        <f>+AS361/AR361-1</f>
        <v>5.8756712527485266E-2</v>
      </c>
      <c r="AT362" s="1631">
        <f>+AT361/AS361-1</f>
        <v>-6.5421608271071019E-2</v>
      </c>
    </row>
    <row r="363" spans="1:46">
      <c r="B363" s="42" t="s">
        <v>1536</v>
      </c>
      <c r="C363" s="42"/>
      <c r="D363" s="42"/>
      <c r="E363" s="42"/>
      <c r="F363" s="42"/>
      <c r="G363" s="42"/>
      <c r="H363" s="42"/>
      <c r="I363" s="42"/>
      <c r="J363" s="42"/>
      <c r="K363" s="42"/>
      <c r="L363" s="42"/>
      <c r="M363" s="42"/>
      <c r="N363" s="42"/>
      <c r="O363" s="42"/>
      <c r="P363" s="1233">
        <f>P360/AVERAGE(O356:P356)*1000000/3*P358</f>
        <v>224.30321726422196</v>
      </c>
      <c r="Q363" s="1233">
        <f t="shared" ref="Q363:Z363" si="99">Q360/AVERAGE(P356:Q356)*1000000/3*Q358</f>
        <v>255.71789401067605</v>
      </c>
      <c r="R363" s="1233">
        <f t="shared" si="99"/>
        <v>266.10500157325157</v>
      </c>
      <c r="S363" s="1233">
        <f t="shared" si="99"/>
        <v>265.91980510907632</v>
      </c>
      <c r="T363" s="1233">
        <f t="shared" si="99"/>
        <v>278.4160916528968</v>
      </c>
      <c r="U363" s="1233">
        <f t="shared" si="99"/>
        <v>273.29019112397793</v>
      </c>
      <c r="V363" s="1233">
        <f t="shared" si="99"/>
        <v>284.07815494794505</v>
      </c>
      <c r="W363" s="1233">
        <f t="shared" si="99"/>
        <v>286.35245901639342</v>
      </c>
      <c r="X363" s="1233">
        <f t="shared" si="99"/>
        <v>290.78470824949699</v>
      </c>
      <c r="Y363" s="1233">
        <f t="shared" si="99"/>
        <v>305.18566493955097</v>
      </c>
      <c r="Z363" s="1233">
        <f t="shared" si="99"/>
        <v>303.80243852035551</v>
      </c>
      <c r="AA363" s="1233">
        <f t="shared" ref="AA363:AI363" si="100">AA360/AVERAGE(Z356:AA356)*1000000/3*AA358</f>
        <v>306.29181781539694</v>
      </c>
      <c r="AB363" s="1233">
        <f t="shared" si="100"/>
        <v>310.7396391037081</v>
      </c>
      <c r="AC363" s="1233">
        <f t="shared" si="100"/>
        <v>316.8412883197517</v>
      </c>
      <c r="AD363" s="1233">
        <f t="shared" si="100"/>
        <v>317.32500945894816</v>
      </c>
      <c r="AE363" s="1233">
        <f t="shared" si="100"/>
        <v>321.96078431372553</v>
      </c>
      <c r="AF363" s="1233">
        <f t="shared" si="100"/>
        <v>329.41879413362307</v>
      </c>
      <c r="AG363" s="1233">
        <f t="shared" si="100"/>
        <v>336.13776137761374</v>
      </c>
      <c r="AH363" s="1233">
        <f t="shared" si="100"/>
        <v>336.94145758661887</v>
      </c>
      <c r="AI363" s="1233">
        <f t="shared" si="100"/>
        <v>338.52147852147851</v>
      </c>
      <c r="AJ363" s="1233">
        <f t="shared" ref="AJ363:AP363" si="101">AJ360/AVERAGE(AI356:AJ356)*1000000/3*AJ358</f>
        <v>337.07246376811594</v>
      </c>
      <c r="AK363" s="1233">
        <f t="shared" si="101"/>
        <v>342.05104408352668</v>
      </c>
      <c r="AL363" s="1233">
        <f t="shared" si="101"/>
        <v>354.25081918379504</v>
      </c>
      <c r="AM363" s="1233">
        <f t="shared" si="101"/>
        <v>370.48201543614391</v>
      </c>
      <c r="AN363" s="1233">
        <f t="shared" si="101"/>
        <v>387.1658821851376</v>
      </c>
      <c r="AO363" s="1233">
        <f t="shared" si="101"/>
        <v>376.37626788939832</v>
      </c>
      <c r="AP363" s="1233">
        <f t="shared" si="101"/>
        <v>348.87135341941655</v>
      </c>
      <c r="AQ363" s="1233">
        <f>AQ360/AVERAGE(AP356:AQ356)*1000000/3*AQ358</f>
        <v>311.57407407407408</v>
      </c>
      <c r="AR363" s="1233">
        <f>AR360/AVERAGE(AQ356:AR356)*1000000/3*AR358</f>
        <v>343.35094808828097</v>
      </c>
      <c r="AS363" s="1233">
        <f>AS360/AVERAGE(AR356:AS356)*1000000/3*AS358</f>
        <v>363.70707991491952</v>
      </c>
      <c r="AT363" s="1233">
        <f>AT360/AVERAGE(AS356:AT356)*1000000/3*AT358</f>
        <v>346.10850142765042</v>
      </c>
    </row>
    <row r="364" spans="1:46">
      <c r="B364" s="1630" t="s">
        <v>95</v>
      </c>
      <c r="C364" s="42"/>
      <c r="D364" s="42"/>
      <c r="E364" s="42"/>
      <c r="F364" s="42"/>
      <c r="G364" s="42"/>
      <c r="H364" s="42"/>
      <c r="I364" s="42"/>
      <c r="J364" s="42"/>
      <c r="K364" s="42"/>
      <c r="L364" s="42"/>
      <c r="M364" s="42"/>
      <c r="N364" s="42"/>
      <c r="O364" s="42"/>
      <c r="P364" s="1233"/>
      <c r="Q364" s="1631">
        <f>+Q363/P363-1</f>
        <v>0.14005450804322894</v>
      </c>
      <c r="R364" s="1631">
        <f t="shared" ref="R364:Z364" si="102">+R363/Q363-1</f>
        <v>4.0619400541996642E-2</v>
      </c>
      <c r="S364" s="1631">
        <f t="shared" si="102"/>
        <v>-6.9595258668697646E-4</v>
      </c>
      <c r="T364" s="1631">
        <f t="shared" si="102"/>
        <v>4.6992688411059413E-2</v>
      </c>
      <c r="U364" s="1631">
        <f t="shared" si="102"/>
        <v>-1.8410934865465189E-2</v>
      </c>
      <c r="V364" s="1631">
        <f t="shared" si="102"/>
        <v>3.9474390864885356E-2</v>
      </c>
      <c r="W364" s="1631">
        <f t="shared" si="102"/>
        <v>8.0059097429194814E-3</v>
      </c>
      <c r="X364" s="1631">
        <f t="shared" si="102"/>
        <v>1.547829988374505E-2</v>
      </c>
      <c r="Y364" s="1631">
        <f t="shared" si="102"/>
        <v>4.9524463568757504E-2</v>
      </c>
      <c r="Z364" s="1631">
        <f t="shared" si="102"/>
        <v>-4.5324095398433517E-3</v>
      </c>
      <c r="AA364" s="1631">
        <f t="shared" ref="AA364:AI364" si="103">+AA363/Z363-1</f>
        <v>8.1940727900859933E-3</v>
      </c>
      <c r="AB364" s="1631">
        <f t="shared" si="103"/>
        <v>1.4521515200879076E-2</v>
      </c>
      <c r="AC364" s="1631">
        <f t="shared" si="103"/>
        <v>1.9635889497854553E-2</v>
      </c>
      <c r="AD364" s="1631">
        <f t="shared" si="103"/>
        <v>1.5266985617994333E-3</v>
      </c>
      <c r="AE364" s="1631">
        <f t="shared" si="103"/>
        <v>1.4608917408311273E-2</v>
      </c>
      <c r="AF364" s="1631">
        <f t="shared" si="103"/>
        <v>2.3164342315150632E-2</v>
      </c>
      <c r="AG364" s="1631">
        <f t="shared" si="103"/>
        <v>2.0396429601600818E-2</v>
      </c>
      <c r="AH364" s="1631">
        <f t="shared" si="103"/>
        <v>2.3909726943835974E-3</v>
      </c>
      <c r="AI364" s="1631">
        <f t="shared" si="103"/>
        <v>4.6893040297764088E-3</v>
      </c>
      <c r="AJ364" s="1631">
        <f t="shared" ref="AJ364:AP364" si="104">+AJ363/AI363-1</f>
        <v>-4.2804219090950557E-3</v>
      </c>
      <c r="AK364" s="1631">
        <f t="shared" si="104"/>
        <v>1.4770059410239122E-2</v>
      </c>
      <c r="AL364" s="1631">
        <f t="shared" si="104"/>
        <v>3.5666533727314764E-2</v>
      </c>
      <c r="AM364" s="1631">
        <f t="shared" si="104"/>
        <v>4.5818373235511523E-2</v>
      </c>
      <c r="AN364" s="1631">
        <f t="shared" si="104"/>
        <v>4.5032865439778247E-2</v>
      </c>
      <c r="AO364" s="1631">
        <f t="shared" si="104"/>
        <v>-2.7868194983616479E-2</v>
      </c>
      <c r="AP364" s="1631">
        <f t="shared" si="104"/>
        <v>-7.307823796707702E-2</v>
      </c>
      <c r="AQ364" s="1631">
        <f>+AQ363/AP363-1</f>
        <v>-0.10690840328326789</v>
      </c>
      <c r="AR364" s="1631">
        <f>+AR363/AQ363-1</f>
        <v>0.10198818405748433</v>
      </c>
      <c r="AS364" s="1631">
        <f>+AS363/AR363-1</f>
        <v>5.9286662640595456E-2</v>
      </c>
      <c r="AT364" s="1631">
        <f>+AT363/AS363-1</f>
        <v>-4.838668109343891E-2</v>
      </c>
    </row>
    <row r="365" spans="1:46">
      <c r="B365" s="1630" t="s">
        <v>1318</v>
      </c>
      <c r="C365" s="42"/>
      <c r="D365" s="42"/>
      <c r="E365" s="42"/>
      <c r="F365" s="42"/>
      <c r="G365" s="42"/>
      <c r="H365" s="42"/>
      <c r="I365" s="42"/>
      <c r="J365" s="42"/>
      <c r="K365" s="42"/>
      <c r="L365" s="42"/>
      <c r="M365" s="42"/>
      <c r="N365" s="42"/>
      <c r="O365" s="42"/>
      <c r="P365" s="1233"/>
      <c r="Q365" s="1631">
        <f>+Q363/Q354</f>
        <v>0.15382287818551263</v>
      </c>
      <c r="R365" s="1631">
        <f t="shared" ref="R365:Z365" si="105">+R363/R354</f>
        <v>0.15793626464923496</v>
      </c>
      <c r="S365" s="1631">
        <f t="shared" si="105"/>
        <v>0.1559579453149364</v>
      </c>
      <c r="T365" s="1631">
        <f t="shared" si="105"/>
        <v>0.15527849897024007</v>
      </c>
      <c r="U365" s="1631">
        <f t="shared" si="105"/>
        <v>0.14815004281669689</v>
      </c>
      <c r="V365" s="1631">
        <f t="shared" si="105"/>
        <v>0.15187979959134967</v>
      </c>
      <c r="W365" s="1631">
        <f t="shared" si="105"/>
        <v>0.14966975686965214</v>
      </c>
      <c r="X365" s="1631">
        <f t="shared" si="105"/>
        <v>0.14998097390542303</v>
      </c>
      <c r="Y365" s="1631">
        <f t="shared" si="105"/>
        <v>0.15349351331865307</v>
      </c>
      <c r="Z365" s="1631">
        <f t="shared" si="105"/>
        <v>0.15223910891294179</v>
      </c>
      <c r="AA365" s="1631">
        <f t="shared" ref="AA365:AH365" si="106">+AA363/AA354</f>
        <v>0.15366555987397931</v>
      </c>
      <c r="AB365" s="1631">
        <f t="shared" si="106"/>
        <v>0.15613952580039617</v>
      </c>
      <c r="AC365" s="1631">
        <f t="shared" si="106"/>
        <v>0.15836963647719207</v>
      </c>
      <c r="AD365" s="1631">
        <f t="shared" si="106"/>
        <v>0.15587295097201054</v>
      </c>
      <c r="AE365" s="1631">
        <f t="shared" si="106"/>
        <v>0.15831458078271363</v>
      </c>
      <c r="AF365" s="1631">
        <f t="shared" si="106"/>
        <v>0.15843896627757517</v>
      </c>
      <c r="AG365" s="1631">
        <f t="shared" si="106"/>
        <v>0.16254613925728542</v>
      </c>
      <c r="AH365" s="1631">
        <f t="shared" si="106"/>
        <v>0.16301949489010592</v>
      </c>
      <c r="AI365" s="1631">
        <f t="shared" ref="AI365:AP365" si="107">+AI363/AI354</f>
        <v>0.16674621959560867</v>
      </c>
      <c r="AJ365" s="1631">
        <f t="shared" si="107"/>
        <v>0.16700574924484318</v>
      </c>
      <c r="AK365" s="1631">
        <f t="shared" si="107"/>
        <v>0.1709670785392774</v>
      </c>
      <c r="AL365" s="1631">
        <f t="shared" si="107"/>
        <v>0.17333749227486328</v>
      </c>
      <c r="AM365" s="1631">
        <f t="shared" si="107"/>
        <v>0.18748139261364141</v>
      </c>
      <c r="AN365" s="1631">
        <f t="shared" si="107"/>
        <v>0.19189391336559822</v>
      </c>
      <c r="AO365" s="1631">
        <f t="shared" si="107"/>
        <v>0.1855313517971085</v>
      </c>
      <c r="AP365" s="1631">
        <f t="shared" si="107"/>
        <v>0.18459132703822601</v>
      </c>
      <c r="AQ365" s="1631">
        <f>+AQ363/AQ354</f>
        <v>0.16479675882641018</v>
      </c>
      <c r="AR365" s="1631">
        <f>+AR363/AR354</f>
        <v>0.17943830495111265</v>
      </c>
      <c r="AS365" s="1631">
        <f>+AS363/AS354</f>
        <v>0.18859010139354418</v>
      </c>
      <c r="AT365" s="1631">
        <f>+AT363/AT354</f>
        <v>0.1902442185542918</v>
      </c>
    </row>
    <row r="366" spans="1:46">
      <c r="B366" s="42" t="s">
        <v>1535</v>
      </c>
      <c r="C366" s="42"/>
      <c r="D366" s="42"/>
      <c r="E366" s="42"/>
      <c r="F366" s="42"/>
      <c r="G366" s="42"/>
      <c r="H366" s="42"/>
      <c r="I366" s="42"/>
      <c r="J366" s="42"/>
      <c r="K366" s="42"/>
      <c r="L366" s="42"/>
      <c r="M366" s="42"/>
      <c r="N366" s="42"/>
      <c r="O366" s="42"/>
      <c r="P366" s="1233">
        <f t="shared" ref="P366:Z366" si="108">+P354-P363</f>
        <v>1331.6411144914684</v>
      </c>
      <c r="Q366" s="1233">
        <f t="shared" si="108"/>
        <v>1406.6999272335511</v>
      </c>
      <c r="R366" s="1233">
        <f t="shared" si="108"/>
        <v>1418.7835334585952</v>
      </c>
      <c r="S366" s="1233">
        <f t="shared" si="108"/>
        <v>1439.1539862395243</v>
      </c>
      <c r="T366" s="1233">
        <f t="shared" si="108"/>
        <v>1514.5951333349021</v>
      </c>
      <c r="U366" s="1233">
        <f t="shared" si="108"/>
        <v>1571.3950072604362</v>
      </c>
      <c r="V366" s="1233">
        <f t="shared" si="108"/>
        <v>1586.3361839719803</v>
      </c>
      <c r="W366" s="1233">
        <f t="shared" si="108"/>
        <v>1626.8761384335153</v>
      </c>
      <c r="X366" s="1233">
        <f t="shared" si="108"/>
        <v>1648.0259333780459</v>
      </c>
      <c r="Y366" s="1233">
        <f t="shared" si="108"/>
        <v>1683.0785837651124</v>
      </c>
      <c r="Z366" s="1233">
        <f t="shared" si="108"/>
        <v>1691.7586278156639</v>
      </c>
      <c r="AA366" s="1233">
        <f t="shared" ref="AA366:AH366" si="109">+AA354-AA363</f>
        <v>1686.9447803305115</v>
      </c>
      <c r="AB366" s="1233">
        <f t="shared" si="109"/>
        <v>1679.4011501090622</v>
      </c>
      <c r="AC366" s="1233">
        <f t="shared" si="109"/>
        <v>1683.8028715560731</v>
      </c>
      <c r="AD366" s="1233">
        <f t="shared" si="109"/>
        <v>1718.467650397276</v>
      </c>
      <c r="AE366" s="1233">
        <f t="shared" si="109"/>
        <v>1711.7166111727706</v>
      </c>
      <c r="AF366" s="1233">
        <f t="shared" si="109"/>
        <v>1749.7338403041826</v>
      </c>
      <c r="AG366" s="1233">
        <f t="shared" si="109"/>
        <v>1731.8151467228956</v>
      </c>
      <c r="AH366" s="1233">
        <f t="shared" si="109"/>
        <v>1729.9368492916874</v>
      </c>
      <c r="AI366" s="1233">
        <f t="shared" ref="AI366:AP366" si="110">+AI354-AI363</f>
        <v>1691.6383616383619</v>
      </c>
      <c r="AJ366" s="1233">
        <f t="shared" si="110"/>
        <v>1681.2560386473424</v>
      </c>
      <c r="AK366" s="1233">
        <f t="shared" si="110"/>
        <v>1658.6326372776487</v>
      </c>
      <c r="AL366" s="1233">
        <f t="shared" si="110"/>
        <v>1689.4548704200176</v>
      </c>
      <c r="AM366" s="1233">
        <f t="shared" si="110"/>
        <v>1605.6181738750545</v>
      </c>
      <c r="AN366" s="1233">
        <f t="shared" si="110"/>
        <v>1630.4378833262012</v>
      </c>
      <c r="AO366" s="1233">
        <f t="shared" si="110"/>
        <v>1652.2634431012921</v>
      </c>
      <c r="AP366" s="1233">
        <f t="shared" si="110"/>
        <v>1541.0947626331035</v>
      </c>
      <c r="AQ366" s="1233">
        <f>+AQ354-AQ363</f>
        <v>1579.0824915824921</v>
      </c>
      <c r="AR366" s="1233">
        <f>+AR354-AR363</f>
        <v>1570.1253756087453</v>
      </c>
      <c r="AS366" s="1233">
        <f>+AS354-AS363</f>
        <v>1564.8516155170664</v>
      </c>
      <c r="AT366" s="1233">
        <f>+AT354-AT363</f>
        <v>1473.1767523256883</v>
      </c>
    </row>
    <row r="367" spans="1:46">
      <c r="B367" s="1630" t="s">
        <v>95</v>
      </c>
      <c r="C367" s="42"/>
      <c r="D367" s="42"/>
      <c r="E367" s="42"/>
      <c r="F367" s="42"/>
      <c r="G367" s="42"/>
      <c r="H367" s="42"/>
      <c r="I367" s="42"/>
      <c r="J367" s="42"/>
      <c r="K367" s="42"/>
      <c r="L367" s="42"/>
      <c r="M367" s="42"/>
      <c r="N367" s="42"/>
      <c r="O367" s="42"/>
      <c r="P367" s="1233"/>
      <c r="Q367" s="1631">
        <f t="shared" ref="Q367:Z367" si="111">+Q366/P366-1</f>
        <v>5.636564681374101E-2</v>
      </c>
      <c r="R367" s="1631">
        <f t="shared" si="111"/>
        <v>8.5900382811621157E-3</v>
      </c>
      <c r="S367" s="1631">
        <f t="shared" si="111"/>
        <v>1.4357689034684373E-2</v>
      </c>
      <c r="T367" s="1631">
        <f t="shared" si="111"/>
        <v>5.2420483017598274E-2</v>
      </c>
      <c r="U367" s="1631">
        <f t="shared" si="111"/>
        <v>3.7501687860616251E-2</v>
      </c>
      <c r="V367" s="1631">
        <f t="shared" si="111"/>
        <v>9.5082246300326467E-3</v>
      </c>
      <c r="W367" s="1631">
        <f t="shared" si="111"/>
        <v>2.5555714400984142E-2</v>
      </c>
      <c r="X367" s="1631">
        <f t="shared" si="111"/>
        <v>1.3000249032415701E-2</v>
      </c>
      <c r="Y367" s="1631">
        <f t="shared" si="111"/>
        <v>2.1269477425769123E-2</v>
      </c>
      <c r="Z367" s="1631">
        <f t="shared" si="111"/>
        <v>5.1572422905732385E-3</v>
      </c>
      <c r="AA367" s="1631">
        <f t="shared" ref="AA367:AI367" si="112">+AA366/Z366-1</f>
        <v>-2.8454694458203145E-3</v>
      </c>
      <c r="AB367" s="1631">
        <f t="shared" si="112"/>
        <v>-4.471770688292076E-3</v>
      </c>
      <c r="AC367" s="1631">
        <f t="shared" si="112"/>
        <v>2.6210065693506035E-3</v>
      </c>
      <c r="AD367" s="1631">
        <f t="shared" si="112"/>
        <v>2.0587195464970121E-2</v>
      </c>
      <c r="AE367" s="1631">
        <f t="shared" si="112"/>
        <v>-3.9285227295053904E-3</v>
      </c>
      <c r="AF367" s="1631">
        <f t="shared" si="112"/>
        <v>2.2210001867870366E-2</v>
      </c>
      <c r="AG367" s="1631">
        <f t="shared" si="112"/>
        <v>-1.0240811012817819E-2</v>
      </c>
      <c r="AH367" s="1631">
        <f t="shared" si="112"/>
        <v>-1.084583094657976E-3</v>
      </c>
      <c r="AI367" s="1631">
        <f t="shared" si="112"/>
        <v>-2.2138662269091891E-2</v>
      </c>
      <c r="AJ367" s="1631">
        <f t="shared" ref="AJ367:AP367" si="113">+AJ366/AI366-1</f>
        <v>-6.1374364796055181E-3</v>
      </c>
      <c r="AK367" s="1631">
        <f t="shared" si="113"/>
        <v>-1.3456249880830384E-2</v>
      </c>
      <c r="AL367" s="1631">
        <f t="shared" si="113"/>
        <v>1.8582917307691682E-2</v>
      </c>
      <c r="AM367" s="1631">
        <f t="shared" si="113"/>
        <v>-4.9623519404291883E-2</v>
      </c>
      <c r="AN367" s="1631">
        <f t="shared" si="113"/>
        <v>1.5458039685267044E-2</v>
      </c>
      <c r="AO367" s="1631">
        <f t="shared" si="113"/>
        <v>1.3386317870978992E-2</v>
      </c>
      <c r="AP367" s="1631">
        <f t="shared" si="113"/>
        <v>-6.7282660602552169E-2</v>
      </c>
      <c r="AQ367" s="1631">
        <f>+AQ366/AP366-1</f>
        <v>2.4649833268191035E-2</v>
      </c>
      <c r="AR367" s="1631">
        <f>+AR366/AQ366-1</f>
        <v>-5.6723546879240416E-3</v>
      </c>
      <c r="AS367" s="1631">
        <f>+AS366/AR366-1</f>
        <v>-3.358814635827545E-3</v>
      </c>
      <c r="AT367" s="1631">
        <f>+AT366/AS366-1</f>
        <v>-5.8583741923087351E-2</v>
      </c>
    </row>
    <row r="368" spans="1:46">
      <c r="B368" s="42" t="s">
        <v>1372</v>
      </c>
      <c r="C368" s="42"/>
      <c r="D368" s="42"/>
      <c r="E368" s="42"/>
      <c r="F368" s="42"/>
      <c r="G368" s="42"/>
      <c r="H368" s="42"/>
      <c r="I368" s="42"/>
      <c r="J368" s="42"/>
      <c r="K368" s="42"/>
      <c r="L368" s="42"/>
      <c r="M368" s="42"/>
      <c r="N368" s="42"/>
      <c r="O368" s="42"/>
      <c r="P368" s="1917">
        <f>Rev!BU695</f>
        <v>78700</v>
      </c>
      <c r="Q368" s="1917">
        <f>Rev!BV695</f>
        <v>81400</v>
      </c>
      <c r="R368" s="1917">
        <f>Rev!BW695</f>
        <v>82900</v>
      </c>
      <c r="S368" s="1917">
        <f>Rev!BX695</f>
        <v>84600</v>
      </c>
      <c r="T368" s="1917">
        <f>Rev!BY695</f>
        <v>91300</v>
      </c>
      <c r="U368" s="1917">
        <f>Rev!BZ695</f>
        <v>89000</v>
      </c>
      <c r="V368" s="1917">
        <f>Rev!CA695</f>
        <v>90400</v>
      </c>
      <c r="W368" s="1917">
        <f>Rev!CB695</f>
        <v>91200</v>
      </c>
      <c r="X368" s="1917">
        <f>Rev!CC695</f>
        <v>92890</v>
      </c>
      <c r="Y368" s="1917">
        <f>Rev!CD695</f>
        <v>106800</v>
      </c>
      <c r="Z368" s="1917">
        <f>Rev!CE695</f>
        <v>108100</v>
      </c>
      <c r="AA368" s="1917">
        <f>Rev!CF695</f>
        <v>110800</v>
      </c>
      <c r="AB368" s="1917">
        <f>Rev!CG695</f>
        <v>112400</v>
      </c>
      <c r="AC368" s="1917">
        <f>Rev!CH695</f>
        <v>113800</v>
      </c>
      <c r="AD368" s="1917">
        <f>Rev!CI695</f>
        <v>117200</v>
      </c>
      <c r="AE368" s="1917">
        <f>Rev!CJ695</f>
        <v>119400</v>
      </c>
      <c r="AF368" s="1917">
        <f>Rev!CK695</f>
        <v>120500</v>
      </c>
      <c r="AG368" s="1917">
        <f>Rev!CL695</f>
        <v>121500</v>
      </c>
      <c r="AH368" s="1917">
        <f>Rev!CM695</f>
        <v>125000</v>
      </c>
      <c r="AI368" s="1917">
        <f>Rev!CN695</f>
        <v>129200</v>
      </c>
      <c r="AJ368" s="1917">
        <f>Rev!CO695</f>
        <v>133200</v>
      </c>
      <c r="AK368" s="1917">
        <f>Rev!CP695</f>
        <v>136600</v>
      </c>
      <c r="AL368" s="1917">
        <f>Rev!CQ695</f>
        <v>139900</v>
      </c>
      <c r="AM368" s="1917">
        <f>Rev!CR695</f>
        <v>143900</v>
      </c>
      <c r="AN368" s="1917">
        <f>Rev!CS695</f>
        <v>145200</v>
      </c>
      <c r="AO368" s="1917">
        <f>Rev!CT695</f>
        <v>150400</v>
      </c>
      <c r="AP368" s="1917">
        <f>Rev!CU695</f>
        <v>197600</v>
      </c>
      <c r="AQ368" s="1917">
        <f>Rev!CV695</f>
        <v>201200</v>
      </c>
      <c r="AR368" s="1917">
        <f>Rev!CW695</f>
        <v>205200</v>
      </c>
      <c r="AS368" s="1917">
        <f>Rev!CX695</f>
        <v>212600</v>
      </c>
      <c r="AT368" s="1917">
        <f>Rev!CY695</f>
        <v>241000</v>
      </c>
    </row>
    <row r="369" spans="2:46">
      <c r="B369" s="1630" t="s">
        <v>95</v>
      </c>
      <c r="C369" s="42"/>
      <c r="D369" s="42"/>
      <c r="E369" s="42"/>
      <c r="F369" s="42"/>
      <c r="G369" s="42"/>
      <c r="H369" s="42"/>
      <c r="I369" s="42"/>
      <c r="J369" s="42"/>
      <c r="K369" s="42"/>
      <c r="L369" s="42"/>
      <c r="M369" s="42"/>
      <c r="N369" s="42"/>
      <c r="O369" s="42"/>
      <c r="P369" s="1233"/>
      <c r="Q369" s="1631">
        <f t="shared" ref="Q369:AI369" si="114">+Q368/P368-1</f>
        <v>3.4307496823379857E-2</v>
      </c>
      <c r="R369" s="1631">
        <f t="shared" si="114"/>
        <v>1.8427518427518441E-2</v>
      </c>
      <c r="S369" s="1631">
        <f t="shared" si="114"/>
        <v>2.0506634499396936E-2</v>
      </c>
      <c r="T369" s="1631">
        <f t="shared" si="114"/>
        <v>7.9196217494089893E-2</v>
      </c>
      <c r="U369" s="1631">
        <f t="shared" si="114"/>
        <v>-2.5191675794085433E-2</v>
      </c>
      <c r="V369" s="1631">
        <f t="shared" si="114"/>
        <v>1.5730337078651679E-2</v>
      </c>
      <c r="W369" s="1631">
        <f t="shared" si="114"/>
        <v>8.8495575221239076E-3</v>
      </c>
      <c r="X369" s="1631">
        <f t="shared" si="114"/>
        <v>1.853070175438587E-2</v>
      </c>
      <c r="Y369" s="1631">
        <f t="shared" si="114"/>
        <v>0.14974701259554313</v>
      </c>
      <c r="Z369" s="1631">
        <f t="shared" si="114"/>
        <v>1.2172284644194731E-2</v>
      </c>
      <c r="AA369" s="1631">
        <f t="shared" si="114"/>
        <v>2.4976873265494914E-2</v>
      </c>
      <c r="AB369" s="1631">
        <f t="shared" si="114"/>
        <v>1.4440433212996373E-2</v>
      </c>
      <c r="AC369" s="1631">
        <f t="shared" si="114"/>
        <v>1.245551601423478E-2</v>
      </c>
      <c r="AD369" s="1631">
        <f t="shared" si="114"/>
        <v>2.987697715289972E-2</v>
      </c>
      <c r="AE369" s="1631">
        <f t="shared" si="114"/>
        <v>1.8771331058020424E-2</v>
      </c>
      <c r="AF369" s="1631">
        <f t="shared" si="114"/>
        <v>9.2127303182578668E-3</v>
      </c>
      <c r="AG369" s="1631">
        <f t="shared" si="114"/>
        <v>8.2987551867219622E-3</v>
      </c>
      <c r="AH369" s="1631">
        <f t="shared" si="114"/>
        <v>2.8806584362139898E-2</v>
      </c>
      <c r="AI369" s="1631">
        <f t="shared" si="114"/>
        <v>3.3600000000000074E-2</v>
      </c>
      <c r="AJ369" s="1631">
        <f t="shared" ref="AJ369:AP369" si="115">+AJ368/AI368-1</f>
        <v>3.0959752321981338E-2</v>
      </c>
      <c r="AK369" s="1631">
        <f t="shared" si="115"/>
        <v>2.5525525525525561E-2</v>
      </c>
      <c r="AL369" s="1631">
        <f t="shared" si="115"/>
        <v>2.4158125915080486E-2</v>
      </c>
      <c r="AM369" s="1631">
        <f t="shared" si="115"/>
        <v>2.8591851322373074E-2</v>
      </c>
      <c r="AN369" s="1631">
        <f t="shared" si="115"/>
        <v>9.0340514246003423E-3</v>
      </c>
      <c r="AO369" s="1631">
        <f t="shared" si="115"/>
        <v>3.5812672176308569E-2</v>
      </c>
      <c r="AP369" s="1631">
        <f t="shared" si="115"/>
        <v>0.31382978723404253</v>
      </c>
      <c r="AQ369" s="1631">
        <f>+AQ368/AP368-1</f>
        <v>1.8218623481781382E-2</v>
      </c>
      <c r="AR369" s="1631">
        <f>+AR368/AQ368-1</f>
        <v>1.9880715705765439E-2</v>
      </c>
      <c r="AS369" s="1631">
        <f>+AS368/AR368-1</f>
        <v>3.606237816764124E-2</v>
      </c>
      <c r="AT369" s="1631">
        <f>+AT368/AS368-1</f>
        <v>0.13358419567262469</v>
      </c>
    </row>
    <row r="370" spans="2:46">
      <c r="B370" s="42" t="s">
        <v>1356</v>
      </c>
      <c r="C370" s="42"/>
      <c r="D370" s="42"/>
      <c r="E370" s="42"/>
      <c r="F370" s="42"/>
      <c r="G370" s="42"/>
      <c r="H370" s="42"/>
      <c r="I370" s="42"/>
      <c r="J370" s="42"/>
      <c r="K370" s="42"/>
      <c r="L370" s="42"/>
      <c r="M370" s="42"/>
      <c r="N370" s="42"/>
      <c r="O370" s="42"/>
      <c r="P370" s="1917">
        <f>Rev!BU697</f>
        <v>61000</v>
      </c>
      <c r="Q370" s="1917">
        <f>Rev!BV697</f>
        <v>61700</v>
      </c>
      <c r="R370" s="1917">
        <f>Rev!BW697</f>
        <v>63900</v>
      </c>
      <c r="S370" s="1917">
        <f>Rev!BX697</f>
        <v>67100</v>
      </c>
      <c r="T370" s="1917">
        <f>Rev!BY697</f>
        <v>69500</v>
      </c>
      <c r="U370" s="1917">
        <f>Rev!BZ697</f>
        <v>70800</v>
      </c>
      <c r="V370" s="1917">
        <f>Rev!CA697</f>
        <v>72400</v>
      </c>
      <c r="W370" s="1917">
        <f>Rev!CB697</f>
        <v>74000</v>
      </c>
      <c r="X370" s="1917">
        <f>Rev!CC697</f>
        <v>75100</v>
      </c>
      <c r="Y370" s="1917">
        <f>Rev!CD697</f>
        <v>79300</v>
      </c>
      <c r="Z370" s="1917">
        <f>Rev!CE697</f>
        <v>82000</v>
      </c>
      <c r="AA370" s="1917">
        <f>Rev!CF697</f>
        <v>83400</v>
      </c>
      <c r="AB370" s="1917">
        <f>Rev!CG697</f>
        <v>84700</v>
      </c>
      <c r="AC370" s="1917">
        <f>Rev!CH697</f>
        <v>87100</v>
      </c>
      <c r="AD370" s="1917">
        <f>Rev!CI697</f>
        <v>89100</v>
      </c>
      <c r="AE370" s="1917">
        <f>Rev!CJ697</f>
        <v>91100</v>
      </c>
      <c r="AF370" s="1917">
        <f>Rev!CK697</f>
        <v>93000</v>
      </c>
      <c r="AG370" s="1917">
        <f>Rev!CL697</f>
        <v>96700</v>
      </c>
      <c r="AH370" s="1917">
        <f>Rev!CM697</f>
        <v>98600</v>
      </c>
      <c r="AI370" s="1917">
        <f>Rev!CN697</f>
        <v>101600</v>
      </c>
      <c r="AJ370" s="1917">
        <f>Rev!CO697</f>
        <v>105400</v>
      </c>
      <c r="AK370" s="1917">
        <f>Rev!CP697</f>
        <v>110100</v>
      </c>
      <c r="AL370" s="1917">
        <f>Rev!CQ697</f>
        <v>113700</v>
      </c>
      <c r="AM370" s="1917">
        <f>Rev!CR697</f>
        <v>115200</v>
      </c>
      <c r="AN370" s="1917">
        <f>Rev!CS697</f>
        <v>118500</v>
      </c>
      <c r="AO370" s="1917">
        <f>Rev!CT697</f>
        <v>121400</v>
      </c>
      <c r="AP370" s="1917">
        <f>Rev!CU697</f>
        <v>157400</v>
      </c>
      <c r="AQ370" s="1917">
        <f>Rev!CV697</f>
        <v>159400</v>
      </c>
      <c r="AR370" s="1917">
        <f>Rev!CW697</f>
        <v>162300</v>
      </c>
      <c r="AS370" s="1917">
        <f>Rev!CX697</f>
        <v>166800</v>
      </c>
      <c r="AT370" s="1917">
        <f>Rev!CY697</f>
        <v>195100</v>
      </c>
    </row>
    <row r="371" spans="2:46">
      <c r="B371" s="1630" t="s">
        <v>95</v>
      </c>
      <c r="C371" s="42"/>
      <c r="D371" s="42"/>
      <c r="E371" s="42"/>
      <c r="F371" s="42"/>
      <c r="G371" s="42"/>
      <c r="H371" s="42"/>
      <c r="I371" s="42"/>
      <c r="J371" s="42"/>
      <c r="K371" s="42"/>
      <c r="L371" s="42"/>
      <c r="M371" s="42"/>
      <c r="N371" s="42"/>
      <c r="O371" s="42"/>
      <c r="P371" s="1233"/>
      <c r="Q371" s="1631">
        <f t="shared" ref="Q371:AI371" si="116">+Q370/P370-1</f>
        <v>1.1475409836065653E-2</v>
      </c>
      <c r="R371" s="1631">
        <f t="shared" si="116"/>
        <v>3.5656401944894611E-2</v>
      </c>
      <c r="S371" s="1631">
        <f t="shared" si="116"/>
        <v>5.007824726134591E-2</v>
      </c>
      <c r="T371" s="1631">
        <f t="shared" si="116"/>
        <v>3.5767511177347222E-2</v>
      </c>
      <c r="U371" s="1631">
        <f t="shared" si="116"/>
        <v>1.8705035971223083E-2</v>
      </c>
      <c r="V371" s="1631">
        <f t="shared" si="116"/>
        <v>2.2598870056497189E-2</v>
      </c>
      <c r="W371" s="1631">
        <f t="shared" si="116"/>
        <v>2.2099447513812098E-2</v>
      </c>
      <c r="X371" s="1631">
        <f t="shared" si="116"/>
        <v>1.4864864864864824E-2</v>
      </c>
      <c r="Y371" s="1631">
        <f t="shared" si="116"/>
        <v>5.5925432756325E-2</v>
      </c>
      <c r="Z371" s="1631">
        <f t="shared" si="116"/>
        <v>3.4047919293821005E-2</v>
      </c>
      <c r="AA371" s="1631">
        <f t="shared" si="116"/>
        <v>1.7073170731707332E-2</v>
      </c>
      <c r="AB371" s="1631">
        <f t="shared" si="116"/>
        <v>1.5587529976019088E-2</v>
      </c>
      <c r="AC371" s="1631">
        <f t="shared" si="116"/>
        <v>2.8335301062573759E-2</v>
      </c>
      <c r="AD371" s="1631">
        <f t="shared" si="116"/>
        <v>2.2962112514351318E-2</v>
      </c>
      <c r="AE371" s="1631">
        <f t="shared" si="116"/>
        <v>2.2446689113355678E-2</v>
      </c>
      <c r="AF371" s="1631">
        <f t="shared" si="116"/>
        <v>2.0856201975850697E-2</v>
      </c>
      <c r="AG371" s="1631">
        <f t="shared" si="116"/>
        <v>3.9784946236559149E-2</v>
      </c>
      <c r="AH371" s="1631">
        <f t="shared" si="116"/>
        <v>1.9648397104446769E-2</v>
      </c>
      <c r="AI371" s="1631">
        <f t="shared" si="116"/>
        <v>3.0425963488843744E-2</v>
      </c>
      <c r="AJ371" s="1631">
        <f t="shared" ref="AJ371:AP371" si="117">+AJ370/AI370-1</f>
        <v>3.740157480314954E-2</v>
      </c>
      <c r="AK371" s="1631">
        <f t="shared" si="117"/>
        <v>4.4592030360531387E-2</v>
      </c>
      <c r="AL371" s="1631">
        <f t="shared" si="117"/>
        <v>3.2697547683923744E-2</v>
      </c>
      <c r="AM371" s="1631">
        <f t="shared" si="117"/>
        <v>1.3192612137203241E-2</v>
      </c>
      <c r="AN371" s="1631">
        <f t="shared" si="117"/>
        <v>2.8645833333333259E-2</v>
      </c>
      <c r="AO371" s="1631">
        <f t="shared" si="117"/>
        <v>2.4472573839662504E-2</v>
      </c>
      <c r="AP371" s="1631">
        <f t="shared" si="117"/>
        <v>0.29654036243822079</v>
      </c>
      <c r="AQ371" s="1631">
        <f>+AQ370/AP370-1</f>
        <v>1.270648030495547E-2</v>
      </c>
      <c r="AR371" s="1631">
        <f>+AR370/AQ370-1</f>
        <v>1.8193224592220725E-2</v>
      </c>
      <c r="AS371" s="1631">
        <f>+AS370/AR370-1</f>
        <v>2.7726432532347411E-2</v>
      </c>
      <c r="AT371" s="1631">
        <f>+AT370/AS370-1</f>
        <v>0.16966426858513195</v>
      </c>
    </row>
    <row r="372" spans="2:46">
      <c r="AF372" s="1722"/>
    </row>
    <row r="463" spans="1:46">
      <c r="A463" s="1225" t="s">
        <v>604</v>
      </c>
      <c r="B463" s="42" t="s">
        <v>735</v>
      </c>
      <c r="C463" s="42"/>
      <c r="D463" s="42"/>
      <c r="E463" s="42"/>
      <c r="F463" s="42"/>
      <c r="G463" s="42"/>
      <c r="H463" s="42"/>
      <c r="I463" s="42"/>
      <c r="J463" s="42"/>
      <c r="K463" s="42"/>
      <c r="L463" s="42"/>
      <c r="M463" s="42"/>
      <c r="N463" s="42"/>
      <c r="O463" s="1629">
        <f>Rev!BT813</f>
        <v>2.1999999999999999E-2</v>
      </c>
      <c r="P463" s="1629">
        <f>Rev!BU813</f>
        <v>2.4E-2</v>
      </c>
      <c r="Q463" s="1629">
        <f>Rev!BV813</f>
        <v>2.7E-2</v>
      </c>
      <c r="R463" s="1629">
        <f>Rev!BW813</f>
        <v>2.5000000000000001E-2</v>
      </c>
      <c r="S463" s="1629">
        <f>Rev!BX813</f>
        <v>2.4E-2</v>
      </c>
      <c r="T463" s="1629">
        <f>Rev!BY813</f>
        <v>1.6E-2</v>
      </c>
      <c r="U463" s="1629">
        <f>Rev!BZ813</f>
        <v>0.02</v>
      </c>
      <c r="V463" s="1629">
        <f>Rev!CA813</f>
        <v>2.1999999999999999E-2</v>
      </c>
      <c r="W463" s="1629">
        <f>Rev!CB813</f>
        <v>2.4E-2</v>
      </c>
      <c r="X463" s="1629">
        <f>Rev!CC813</f>
        <v>3.2000000000000001E-2</v>
      </c>
      <c r="Y463" s="1629">
        <f>Rev!CD813</f>
        <v>2.9000000000000001E-2</v>
      </c>
      <c r="Z463" s="1629">
        <f>Rev!CE813</f>
        <v>0.03</v>
      </c>
      <c r="AA463" s="1629">
        <f>Rev!CF813</f>
        <v>3.6999999999999998E-2</v>
      </c>
      <c r="AB463" s="1629">
        <f>Rev!CG813</f>
        <v>2.4E-2</v>
      </c>
      <c r="AC463" s="1629">
        <f>Rev!CH813</f>
        <v>2.5000000000000001E-2</v>
      </c>
      <c r="AD463" s="1629">
        <f>Rev!CI813</f>
        <v>2.3E-2</v>
      </c>
      <c r="AE463" s="1629">
        <f>Rev!CJ813</f>
        <v>2.3E-2</v>
      </c>
      <c r="AF463" s="1629">
        <f>Rev!CK813</f>
        <v>2.8000000000000001E-2</v>
      </c>
      <c r="AG463" s="1629">
        <f>Rev!CL813</f>
        <v>0.02</v>
      </c>
      <c r="AH463" s="1629">
        <f>Rev!CM813</f>
        <v>0.02</v>
      </c>
      <c r="AI463" s="1629">
        <f>Rev!CN813</f>
        <v>0.02</v>
      </c>
      <c r="AJ463" s="1629">
        <f>Rev!CO813</f>
        <v>1.7999999999999999E-2</v>
      </c>
      <c r="AK463" s="1629">
        <f>Rev!CP813</f>
        <v>0.02</v>
      </c>
      <c r="AL463" s="1629">
        <f>Rev!CQ813</f>
        <v>2.3E-2</v>
      </c>
      <c r="AM463" s="1629">
        <f>Rev!CR813</f>
        <v>2.1999999999999999E-2</v>
      </c>
      <c r="AN463" s="1629">
        <f>Rev!CS813</f>
        <v>1.7999999999999999E-2</v>
      </c>
      <c r="AO463" s="1629">
        <f>Rev!CT813</f>
        <v>0.02</v>
      </c>
      <c r="AP463" s="1629">
        <f>Rev!CU813</f>
        <v>2.4E-2</v>
      </c>
      <c r="AQ463" s="1629">
        <f>Rev!CV813</f>
        <v>2.8000000000000001E-2</v>
      </c>
      <c r="AR463" s="1629">
        <f>Rev!CW813</f>
        <v>2.4E-2</v>
      </c>
      <c r="AS463" s="1629">
        <f>Rev!CX813</f>
        <v>2.3E-2</v>
      </c>
      <c r="AT463" s="1629">
        <f>Rev!CY813</f>
        <v>2.1999999999999999E-2</v>
      </c>
    </row>
    <row r="482" spans="1:46">
      <c r="A482" s="1225" t="s">
        <v>604</v>
      </c>
      <c r="B482" s="42" t="s">
        <v>1145</v>
      </c>
      <c r="C482" s="42"/>
      <c r="D482" s="42"/>
      <c r="E482" s="42"/>
      <c r="F482" s="42"/>
      <c r="G482" s="42"/>
      <c r="H482" s="42"/>
      <c r="I482" s="42"/>
      <c r="J482" s="42"/>
      <c r="K482" s="42"/>
      <c r="L482" s="42"/>
      <c r="M482" s="42"/>
      <c r="N482" s="42"/>
      <c r="O482" s="1623"/>
      <c r="P482" s="1623"/>
      <c r="Q482" s="1623"/>
      <c r="R482" s="1623"/>
      <c r="S482" s="1623"/>
      <c r="T482" s="1623"/>
      <c r="U482" s="1623"/>
      <c r="V482" s="1623"/>
      <c r="W482" s="1623"/>
      <c r="X482" s="1623"/>
      <c r="Y482" s="1623"/>
      <c r="Z482" s="1623"/>
      <c r="AA482" s="1623"/>
      <c r="AB482" s="1623"/>
      <c r="AC482" s="1623"/>
      <c r="AD482" s="1623"/>
      <c r="AE482" s="1623"/>
      <c r="AF482" s="1623"/>
      <c r="AG482" s="1623"/>
      <c r="AH482" s="1623"/>
      <c r="AI482" s="1623"/>
      <c r="AJ482" s="1623"/>
      <c r="AK482" s="1623"/>
      <c r="AL482" s="1623"/>
      <c r="AM482" s="1623"/>
      <c r="AN482" s="1623"/>
      <c r="AO482" s="1623"/>
      <c r="AP482" s="1623"/>
      <c r="AQ482" s="1623"/>
      <c r="AR482" s="1623"/>
      <c r="AS482" s="1623"/>
      <c r="AT482" s="1623"/>
    </row>
    <row r="483" spans="1:46">
      <c r="A483" s="1225"/>
      <c r="B483" s="42" t="s">
        <v>148</v>
      </c>
      <c r="C483" s="42"/>
      <c r="D483" s="42"/>
      <c r="E483" s="42"/>
      <c r="F483" s="42"/>
      <c r="G483" s="42"/>
      <c r="H483" s="42"/>
      <c r="I483" s="42"/>
      <c r="J483" s="42"/>
      <c r="K483" s="42"/>
      <c r="L483" s="42"/>
      <c r="M483" s="42"/>
      <c r="N483" s="42"/>
      <c r="O483" s="1623"/>
      <c r="P483" s="1623"/>
      <c r="Q483" s="1623"/>
      <c r="R483" s="1623"/>
      <c r="S483" s="1623">
        <f>+Rev!BX295</f>
        <v>232.52699999999999</v>
      </c>
      <c r="T483" s="1623">
        <f>+Rev!BY295</f>
        <v>253.88900000000001</v>
      </c>
      <c r="U483" s="1623">
        <f>+Rev!BZ295</f>
        <v>268.85400000000004</v>
      </c>
      <c r="V483" s="1623">
        <f>+Rev!CA295</f>
        <v>277.50300000000004</v>
      </c>
      <c r="W483" s="1623">
        <f>+Rev!CB295</f>
        <v>277.00700000000006</v>
      </c>
      <c r="X483" s="1623">
        <f>+Rev!CC295</f>
        <v>286.02800000000002</v>
      </c>
      <c r="Y483" s="1623">
        <f>+Rev!CD295</f>
        <v>291.83599999999996</v>
      </c>
      <c r="Z483" s="1623">
        <f>+Rev!CE295</f>
        <v>294.97200000000004</v>
      </c>
      <c r="AA483" s="1623">
        <f>+Rev!CF295</f>
        <v>305.79199999999997</v>
      </c>
      <c r="AB483" s="1623">
        <f>+Rev!CG295</f>
        <v>313.46799999999996</v>
      </c>
      <c r="AC483" s="1623">
        <f>+Rev!CH295</f>
        <v>319.41299999999995</v>
      </c>
      <c r="AD483" s="1623">
        <f>+Rev!CI295</f>
        <v>326.101</v>
      </c>
      <c r="AE483" s="1623">
        <f>+Rev!CJ295</f>
        <v>330.03300000000002</v>
      </c>
      <c r="AF483" s="1623">
        <f>+Rev!CK295</f>
        <v>342.25599999999991</v>
      </c>
      <c r="AG483" s="1623">
        <f>+Rev!CL295</f>
        <v>347.41199999999998</v>
      </c>
      <c r="AH483" s="1623">
        <f>+Rev!CM295</f>
        <v>356.40200000000004</v>
      </c>
      <c r="AI483" s="1623">
        <f>+Rev!CN295</f>
        <v>363.96900000000005</v>
      </c>
      <c r="AJ483" s="1623">
        <f>+Rev!CO295</f>
        <v>371.44700000000006</v>
      </c>
      <c r="AK483" s="1623">
        <f>+Rev!CP295</f>
        <v>382.63</v>
      </c>
      <c r="AL483" s="1623">
        <f>+Rev!CQ295</f>
        <v>394.48899999999998</v>
      </c>
      <c r="AM483" s="1623">
        <f>+Rev!CR295</f>
        <v>404.39400000000006</v>
      </c>
      <c r="AN483" s="1623">
        <f>+Rev!CS295</f>
        <v>413.471</v>
      </c>
      <c r="AO483" s="1623">
        <f>+Rev!CT295</f>
        <v>425.142</v>
      </c>
      <c r="AP483" s="1623">
        <f>+Rev!CU295</f>
        <v>436.54199999999997</v>
      </c>
      <c r="AQ483" s="1623">
        <f>+Rev!CV295</f>
        <v>436.447</v>
      </c>
      <c r="AR483" s="1623">
        <f>+Rev!CW295</f>
        <v>533.60800000000006</v>
      </c>
      <c r="AS483" s="1623">
        <f>+Rev!CX295</f>
        <v>596.53800000000001</v>
      </c>
      <c r="AT483" s="1623">
        <f>+Rev!CY295</f>
        <v>606.16700000000003</v>
      </c>
    </row>
    <row r="484" spans="1:46">
      <c r="A484" s="1225"/>
      <c r="B484" s="1637" t="s">
        <v>1149</v>
      </c>
      <c r="C484" s="42"/>
      <c r="D484" s="42"/>
      <c r="E484" s="42"/>
      <c r="F484" s="42"/>
      <c r="G484" s="42"/>
      <c r="H484" s="42"/>
      <c r="I484" s="42"/>
      <c r="J484" s="42"/>
      <c r="K484" s="42"/>
      <c r="L484" s="42"/>
      <c r="M484" s="42"/>
      <c r="N484" s="42"/>
      <c r="O484" s="1623"/>
      <c r="P484" s="1623"/>
      <c r="Q484" s="1623"/>
      <c r="R484" s="1623"/>
      <c r="S484" s="1623">
        <f>Rev!BX289</f>
        <v>176.196</v>
      </c>
      <c r="T484" s="1623">
        <f>Rev!BY289</f>
        <v>187.84</v>
      </c>
      <c r="U484" s="1623">
        <f>Rev!BZ289</f>
        <v>193.31700000000001</v>
      </c>
      <c r="V484" s="1623">
        <f>Rev!CA289</f>
        <v>202.84</v>
      </c>
      <c r="W484" s="1623">
        <f>Rev!CB289</f>
        <v>203.702</v>
      </c>
      <c r="X484" s="1623">
        <f>Rev!CC289</f>
        <v>209.536</v>
      </c>
      <c r="Y484" s="1623">
        <f>Rev!CD289</f>
        <v>212.80500000000001</v>
      </c>
      <c r="Z484" s="1623">
        <f>Rev!CE289</f>
        <v>216.05199999999999</v>
      </c>
      <c r="AA484" s="1623">
        <f>Rev!CF289</f>
        <v>223.285</v>
      </c>
      <c r="AB484" s="1623">
        <f>Rev!CG289</f>
        <v>226.29</v>
      </c>
      <c r="AC484" s="1623">
        <f>Rev!CH289</f>
        <v>230.583</v>
      </c>
      <c r="AD484" s="1623">
        <f>Rev!CI289</f>
        <v>236.93100000000001</v>
      </c>
      <c r="AE484" s="1623">
        <f>Rev!CJ289</f>
        <v>236.614</v>
      </c>
      <c r="AF484" s="1623">
        <f>Rev!CK289</f>
        <v>242.87299999999999</v>
      </c>
      <c r="AG484" s="1623">
        <f>Rev!CL289</f>
        <v>244.97900000000001</v>
      </c>
      <c r="AH484" s="1623">
        <f>Rev!CM289</f>
        <v>254.03700000000001</v>
      </c>
      <c r="AI484" s="1623">
        <f>Rev!CN289</f>
        <v>257.93200000000002</v>
      </c>
      <c r="AJ484" s="1623">
        <f>Rev!CO289</f>
        <v>262.93400000000003</v>
      </c>
      <c r="AK484" s="1623">
        <f>Rev!CP289</f>
        <v>268.15600000000001</v>
      </c>
      <c r="AL484" s="1623">
        <f>Rev!CQ289</f>
        <v>275.779</v>
      </c>
      <c r="AM484" s="1623">
        <f>Rev!CR289</f>
        <v>282.32100000000003</v>
      </c>
      <c r="AN484" s="1623">
        <f>Rev!CS289</f>
        <v>289.57799999999997</v>
      </c>
      <c r="AO484" s="1623">
        <f>Rev!CT289</f>
        <v>295.92700000000002</v>
      </c>
      <c r="AP484" s="1623">
        <f>Rev!CU289</f>
        <v>299.2</v>
      </c>
      <c r="AQ484" s="1623">
        <f>Rev!CV289</f>
        <v>299.27300000000002</v>
      </c>
      <c r="AR484" s="1623">
        <f>Rev!CW289</f>
        <v>374.76400000000001</v>
      </c>
      <c r="AS484" s="1623">
        <f>Rev!CX289</f>
        <v>422.24400000000003</v>
      </c>
      <c r="AT484" s="1623">
        <f>Rev!CY289</f>
        <v>422.64800000000002</v>
      </c>
    </row>
    <row r="485" spans="1:46">
      <c r="A485" s="1225"/>
      <c r="B485" s="1637" t="s">
        <v>1151</v>
      </c>
      <c r="C485" s="42"/>
      <c r="D485" s="42"/>
      <c r="E485" s="42"/>
      <c r="F485" s="42"/>
      <c r="G485" s="42"/>
      <c r="H485" s="42"/>
      <c r="I485" s="42"/>
      <c r="J485" s="42"/>
      <c r="K485" s="42"/>
      <c r="L485" s="42"/>
      <c r="M485" s="42"/>
      <c r="N485" s="42"/>
      <c r="O485" s="1623"/>
      <c r="P485" s="1623"/>
      <c r="Q485" s="1623"/>
      <c r="R485" s="1623"/>
      <c r="S485" s="1623">
        <f>+Rev!BX291+Rev!BX292+Rev!BX294</f>
        <v>10.408999999999999</v>
      </c>
      <c r="T485" s="1623">
        <f>+Rev!BY291+Rev!BY292+Rev!BY294</f>
        <v>16.163</v>
      </c>
      <c r="U485" s="1623">
        <f>+Rev!BZ291+Rev!BZ292+Rev!BZ294</f>
        <v>26.104999999999997</v>
      </c>
      <c r="V485" s="1623">
        <f>+Rev!CA291+Rev!CA292+Rev!CA294</f>
        <v>22.28</v>
      </c>
      <c r="W485" s="1623">
        <f>+Rev!CB291+Rev!CB292+Rev!CB294</f>
        <v>21.566000000000003</v>
      </c>
      <c r="X485" s="1623">
        <f>+Rev!CC291+Rev!CC292+Rev!CC294</f>
        <v>23.444000000000003</v>
      </c>
      <c r="Y485" s="1623">
        <f>+Rev!CD291+Rev!CD292+Rev!CD294</f>
        <v>24.088000000000001</v>
      </c>
      <c r="Z485" s="1623">
        <f>+Rev!CE291+Rev!CE292+Rev!CE294</f>
        <v>22.494</v>
      </c>
      <c r="AA485" s="1623">
        <f>+Rev!CF291+Rev!CF292+Rev!CF294</f>
        <v>24.301000000000002</v>
      </c>
      <c r="AB485" s="1623">
        <f>+Rev!CG291+Rev!CG292+Rev!CG294</f>
        <v>27.378</v>
      </c>
      <c r="AC485" s="1623">
        <f>+Rev!CH291+Rev!CH292+Rev!CH294</f>
        <v>26.845999999999997</v>
      </c>
      <c r="AD485" s="1623">
        <f>+Rev!CI291+Rev!CI292+Rev!CI294</f>
        <v>26.863999999999997</v>
      </c>
      <c r="AE485" s="1623">
        <f>+Rev!CJ291+Rev!CJ292+Rev!CJ294</f>
        <v>29.117000000000001</v>
      </c>
      <c r="AF485" s="1623">
        <f>+Rev!CK291+Rev!CK292+Rev!CK294</f>
        <v>32.932000000000002</v>
      </c>
      <c r="AG485" s="1623">
        <f>+Rev!CL291+Rev!CL292+Rev!CL294</f>
        <v>32.920999999999999</v>
      </c>
      <c r="AH485" s="1623">
        <f>+Rev!CM291+Rev!CM292+Rev!CM294</f>
        <v>30.372999999999998</v>
      </c>
      <c r="AI485" s="1623">
        <f>+Rev!CN291+Rev!CN292+Rev!CN294</f>
        <v>30.951000000000001</v>
      </c>
      <c r="AJ485" s="1623">
        <f>+Rev!CO291+Rev!CO292+Rev!CO294</f>
        <v>31.410999999999998</v>
      </c>
      <c r="AK485" s="1623">
        <f>+Rev!CP291+Rev!CP292+Rev!CP294</f>
        <v>34.572000000000003</v>
      </c>
      <c r="AL485" s="1623">
        <f>+Rev!CQ291+Rev!CQ292+Rev!CQ294</f>
        <v>35.542000000000002</v>
      </c>
      <c r="AM485" s="1623">
        <f>+Rev!CR291+Rev!CR292+Rev!CR294</f>
        <v>36.137</v>
      </c>
      <c r="AN485" s="1623">
        <f>+Rev!CS291+Rev!CS292+Rev!CS294</f>
        <v>34.033000000000001</v>
      </c>
      <c r="AO485" s="1623">
        <f>+Rev!CT291+Rev!CT292+Rev!CT294</f>
        <v>36.411999999999999</v>
      </c>
      <c r="AP485" s="1623">
        <f>+Rev!CU291+Rev!CU292+Rev!CU294</f>
        <v>36.882999999999996</v>
      </c>
      <c r="AQ485" s="1623">
        <f>+Rev!CV291+Rev!CV292+Rev!CV294</f>
        <v>36.323999999999998</v>
      </c>
      <c r="AR485" s="1623">
        <f>+Rev!CW291+Rev!CW292+Rev!CW294</f>
        <v>42.595999999999997</v>
      </c>
      <c r="AS485" s="1623">
        <f>+Rev!CX291+Rev!CX292+Rev!CX294</f>
        <v>49.917000000000002</v>
      </c>
      <c r="AT485" s="1623">
        <f>+Rev!CY291+Rev!CY292+Rev!CY294</f>
        <v>55.725999999999999</v>
      </c>
    </row>
    <row r="486" spans="1:46">
      <c r="A486" s="1225"/>
      <c r="B486" s="1637" t="s">
        <v>1150</v>
      </c>
      <c r="C486" s="42"/>
      <c r="D486" s="42"/>
      <c r="E486" s="42"/>
      <c r="F486" s="42"/>
      <c r="G486" s="42"/>
      <c r="H486" s="42"/>
      <c r="I486" s="42"/>
      <c r="J486" s="42"/>
      <c r="K486" s="42"/>
      <c r="L486" s="42"/>
      <c r="M486" s="42"/>
      <c r="N486" s="42"/>
      <c r="O486" s="1623"/>
      <c r="P486" s="1623"/>
      <c r="Q486" s="1623"/>
      <c r="R486" s="1623"/>
      <c r="S486" s="1623">
        <f>Rev!BX290</f>
        <v>45.921999999999997</v>
      </c>
      <c r="T486" s="1623">
        <f>Rev!BY290</f>
        <v>49.886000000000003</v>
      </c>
      <c r="U486" s="1623">
        <f>Rev!BZ290</f>
        <v>49.432000000000002</v>
      </c>
      <c r="V486" s="1623">
        <f>Rev!CA290</f>
        <v>52.383000000000003</v>
      </c>
      <c r="W486" s="1623">
        <f>Rev!CB290</f>
        <v>51.738999999999997</v>
      </c>
      <c r="X486" s="1623">
        <f>Rev!CC290</f>
        <v>53.048000000000002</v>
      </c>
      <c r="Y486" s="1623">
        <f>Rev!CD290</f>
        <v>54.942999999999998</v>
      </c>
      <c r="Z486" s="1623">
        <f>Rev!CE290</f>
        <v>56.426000000000002</v>
      </c>
      <c r="AA486" s="1623">
        <f>Rev!CF290</f>
        <v>58.206000000000003</v>
      </c>
      <c r="AB486" s="1623">
        <f>Rev!CG290</f>
        <v>59.8</v>
      </c>
      <c r="AC486" s="1623">
        <f>Rev!CH290</f>
        <v>61.984000000000002</v>
      </c>
      <c r="AD486" s="1623">
        <f>Rev!CI290</f>
        <v>62.305999999999997</v>
      </c>
      <c r="AE486" s="1623">
        <f>Rev!CJ290</f>
        <v>64.302000000000007</v>
      </c>
      <c r="AF486" s="1623">
        <f>Rev!CK290</f>
        <v>66.450999999999993</v>
      </c>
      <c r="AG486" s="1623">
        <f>Rev!CL290</f>
        <v>69.512</v>
      </c>
      <c r="AH486" s="1623">
        <f>Rev!CM290</f>
        <v>71.992000000000004</v>
      </c>
      <c r="AI486" s="1623">
        <f>Rev!CN290</f>
        <v>75.085999999999999</v>
      </c>
      <c r="AJ486" s="1623">
        <f>Rev!CO290</f>
        <v>77.102000000000004</v>
      </c>
      <c r="AK486" s="1623">
        <f>Rev!CP290</f>
        <v>79.902000000000001</v>
      </c>
      <c r="AL486" s="1623">
        <f>Rev!CQ290</f>
        <v>83.168000000000006</v>
      </c>
      <c r="AM486" s="1623">
        <f>Rev!CR290</f>
        <v>85.936000000000007</v>
      </c>
      <c r="AN486" s="1623">
        <f>Rev!CS290</f>
        <v>89.86</v>
      </c>
      <c r="AO486" s="1623">
        <f>Rev!CT290</f>
        <v>92.802999999999997</v>
      </c>
      <c r="AP486" s="1623">
        <f>Rev!CU290</f>
        <v>100.459</v>
      </c>
      <c r="AQ486" s="1623">
        <f>Rev!CV290</f>
        <v>100.85</v>
      </c>
      <c r="AR486" s="1623">
        <f>Rev!CW290</f>
        <v>116.248</v>
      </c>
      <c r="AS486" s="1623">
        <f>Rev!CX290</f>
        <v>124.377</v>
      </c>
      <c r="AT486" s="1623">
        <f>Rev!CY290</f>
        <v>127.79300000000001</v>
      </c>
    </row>
    <row r="487" spans="1:46">
      <c r="A487" s="1225"/>
      <c r="B487" s="1637" t="s">
        <v>805</v>
      </c>
      <c r="C487" s="42"/>
      <c r="D487" s="42"/>
      <c r="E487" s="42"/>
      <c r="F487" s="42"/>
      <c r="G487" s="42"/>
      <c r="H487" s="42"/>
      <c r="I487" s="42"/>
      <c r="J487" s="42"/>
      <c r="K487" s="42"/>
      <c r="L487" s="42"/>
      <c r="M487" s="42"/>
      <c r="N487" s="42"/>
      <c r="O487" s="1623"/>
      <c r="P487" s="1623"/>
      <c r="Q487" s="1623"/>
      <c r="R487" s="1623"/>
      <c r="S487" s="1633"/>
      <c r="T487" s="1633"/>
      <c r="U487" s="1633"/>
      <c r="V487" s="1633"/>
      <c r="W487" s="1633"/>
      <c r="X487" s="1633">
        <f>+Rev!CC491+Rev!CC661</f>
        <v>11.986000000000001</v>
      </c>
      <c r="Y487" s="1633">
        <f>+Rev!CD491+Rev!CD661</f>
        <v>15.738</v>
      </c>
      <c r="Z487" s="1633">
        <f>+Rev!CE491+Rev!CE661</f>
        <v>17.079000000000001</v>
      </c>
      <c r="AA487" s="1633">
        <f>+Rev!CF491+Rev!CF661</f>
        <v>17.785</v>
      </c>
      <c r="AB487" s="1633">
        <f>+Rev!CG491+Rev!CG661</f>
        <v>18.552999999999997</v>
      </c>
      <c r="AC487" s="1633">
        <f>+Rev!CH491+Rev!CH661</f>
        <v>19.666</v>
      </c>
      <c r="AD487" s="1633">
        <f>+Rev!CI491+Rev!CI661</f>
        <v>21.563000000000002</v>
      </c>
      <c r="AE487" s="1633">
        <f>+Rev!CJ491+Rev!CJ661</f>
        <v>22.724</v>
      </c>
      <c r="AF487" s="1633">
        <f>+Rev!CK491+Rev!CK661</f>
        <v>24.518000000000001</v>
      </c>
      <c r="AG487" s="1633">
        <f>+Rev!CL491+Rev!CL661</f>
        <v>26.136000000000003</v>
      </c>
      <c r="AH487" s="1633">
        <f>+Rev!CM491+Rev!CM661</f>
        <v>26.715</v>
      </c>
      <c r="AI487" s="1633">
        <f>+Rev!CN491+Rev!CN661</f>
        <v>26.571999999999999</v>
      </c>
      <c r="AJ487" s="1633">
        <f>+Rev!CO491+Rev!CO661</f>
        <v>27.558999999999997</v>
      </c>
      <c r="AK487" s="1633">
        <f>+Rev!CP491+Rev!CP661</f>
        <v>30.666</v>
      </c>
      <c r="AL487" s="1633">
        <f>+Rev!CQ491+Rev!CQ661</f>
        <v>35.753999999999998</v>
      </c>
      <c r="AM487" s="1633">
        <f>+Rev!CR491+Rev!CR661</f>
        <v>41.268999999999998</v>
      </c>
      <c r="AN487" s="1633">
        <f>+Rev!CS491+Rev!CS661</f>
        <v>45.861000000000004</v>
      </c>
      <c r="AO487" s="1633">
        <f>+Rev!CT491+Rev!CT661</f>
        <v>42.635999999999996</v>
      </c>
      <c r="AP487" s="1633">
        <f>+Rev!CU491+Rev!CU661</f>
        <v>45.439</v>
      </c>
      <c r="AQ487" s="1633">
        <f>+Rev!CV491+Rev!CV661</f>
        <v>47.21</v>
      </c>
      <c r="AR487" s="1633">
        <f>+Rev!CW491+Rev!CW661</f>
        <v>49.436</v>
      </c>
      <c r="AS487" s="1633">
        <f>+Rev!CX491+Rev!CX661</f>
        <v>55.167000000000002</v>
      </c>
      <c r="AT487" s="1633">
        <f>+Rev!CY491+Rev!CY661</f>
        <v>60.091999999999999</v>
      </c>
    </row>
    <row r="488" spans="1:46">
      <c r="A488" s="1225"/>
      <c r="B488" s="42" t="s">
        <v>806</v>
      </c>
      <c r="C488" s="42"/>
      <c r="D488" s="42"/>
      <c r="E488" s="42"/>
      <c r="F488" s="42"/>
      <c r="G488" s="42"/>
      <c r="H488" s="42"/>
      <c r="I488" s="42"/>
      <c r="J488" s="42"/>
      <c r="K488" s="42"/>
      <c r="L488" s="42"/>
      <c r="M488" s="42"/>
      <c r="N488" s="42"/>
      <c r="O488" s="1623"/>
      <c r="P488" s="1623"/>
      <c r="Q488" s="1623"/>
      <c r="R488" s="1623"/>
      <c r="S488" s="1633">
        <f>+SUM(S490:S491)</f>
        <v>130.50199999999998</v>
      </c>
      <c r="T488" s="1633">
        <f t="shared" ref="T488:Z488" si="118">+SUM(T490:T491)</f>
        <v>141.011</v>
      </c>
      <c r="U488" s="1633">
        <f t="shared" si="118"/>
        <v>148.74700000000001</v>
      </c>
      <c r="V488" s="1633">
        <f t="shared" si="118"/>
        <v>153.809</v>
      </c>
      <c r="W488" s="1633">
        <f t="shared" si="118"/>
        <v>175.19499999999999</v>
      </c>
      <c r="X488" s="1633">
        <f>+X489-X487</f>
        <v>157.51600000000002</v>
      </c>
      <c r="Y488" s="1633">
        <f t="shared" si="118"/>
        <v>204.249</v>
      </c>
      <c r="Z488" s="1633">
        <f t="shared" si="118"/>
        <v>222.33700000000002</v>
      </c>
      <c r="AA488" s="1633">
        <f t="shared" ref="AA488:AH488" si="119">+SUM(AA490:AA491)</f>
        <v>221.59199999999998</v>
      </c>
      <c r="AB488" s="1633">
        <f t="shared" si="119"/>
        <v>226.65299999999999</v>
      </c>
      <c r="AC488" s="1633">
        <f t="shared" si="119"/>
        <v>234.92100000000005</v>
      </c>
      <c r="AD488" s="1633">
        <f t="shared" si="119"/>
        <v>249.82599999999996</v>
      </c>
      <c r="AE488" s="1633">
        <f t="shared" si="119"/>
        <v>261.27</v>
      </c>
      <c r="AF488" s="1633">
        <f t="shared" si="119"/>
        <v>274.15499999999997</v>
      </c>
      <c r="AG488" s="1633">
        <f t="shared" si="119"/>
        <v>284.27800000000002</v>
      </c>
      <c r="AH488" s="1633">
        <f t="shared" si="119"/>
        <v>292.96899999999999</v>
      </c>
      <c r="AI488" s="1633">
        <f t="shared" ref="AI488:AP488" si="120">+SUM(AI490:AI491)</f>
        <v>290.45500000000004</v>
      </c>
      <c r="AJ488" s="1633">
        <f t="shared" si="120"/>
        <v>305.38499999999999</v>
      </c>
      <c r="AK488" s="1633">
        <f t="shared" si="120"/>
        <v>315.26900000000001</v>
      </c>
      <c r="AL488" s="1633">
        <f t="shared" si="120"/>
        <v>347.22300000000001</v>
      </c>
      <c r="AM488" s="1633">
        <f t="shared" si="120"/>
        <v>451.01199999999994</v>
      </c>
      <c r="AN488" s="1633">
        <f t="shared" si="120"/>
        <v>498.28899999999999</v>
      </c>
      <c r="AO488" s="1633">
        <f t="shared" si="120"/>
        <v>510.78399999999999</v>
      </c>
      <c r="AP488" s="1633">
        <f t="shared" si="120"/>
        <v>517.35500000000002</v>
      </c>
      <c r="AQ488" s="1633">
        <f>+SUM(AQ490:AQ491)</f>
        <v>524.32800000000009</v>
      </c>
      <c r="AR488" s="1633">
        <f>+SUM(AR490:AR491)</f>
        <v>544.06299999999999</v>
      </c>
      <c r="AS488" s="1633">
        <f>+SUM(AS490:AS491)</f>
        <v>566.97299999999996</v>
      </c>
      <c r="AT488" s="1633">
        <f>+SUM(AT490:AT491)</f>
        <v>605.30400000000009</v>
      </c>
    </row>
    <row r="489" spans="1:46">
      <c r="A489" s="1225"/>
      <c r="B489" s="42" t="s">
        <v>1147</v>
      </c>
      <c r="C489" s="42"/>
      <c r="D489" s="42"/>
      <c r="E489" s="42"/>
      <c r="F489" s="42"/>
      <c r="G489" s="42"/>
      <c r="H489" s="42"/>
      <c r="I489" s="42"/>
      <c r="J489" s="42"/>
      <c r="K489" s="42"/>
      <c r="L489" s="42"/>
      <c r="M489" s="42"/>
      <c r="N489" s="42"/>
      <c r="O489" s="1623"/>
      <c r="P489" s="1623"/>
      <c r="Q489" s="1623"/>
      <c r="R489" s="1623"/>
      <c r="S489" s="1633">
        <f>+S490+S491-S492</f>
        <v>130.50199999999998</v>
      </c>
      <c r="T489" s="1633">
        <f t="shared" ref="T489:Z489" si="121">+T490+T491-T492</f>
        <v>141.011</v>
      </c>
      <c r="U489" s="1633">
        <f t="shared" si="121"/>
        <v>148.74700000000001</v>
      </c>
      <c r="V489" s="1633">
        <f t="shared" si="121"/>
        <v>153.809</v>
      </c>
      <c r="W489" s="1633">
        <f t="shared" si="121"/>
        <v>163.94499999999999</v>
      </c>
      <c r="X489" s="1633">
        <f t="shared" si="121"/>
        <v>169.50200000000001</v>
      </c>
      <c r="Y489" s="1633">
        <f t="shared" si="121"/>
        <v>192.999</v>
      </c>
      <c r="Z489" s="1633">
        <f t="shared" si="121"/>
        <v>211.08700000000002</v>
      </c>
      <c r="AA489" s="1633">
        <f t="shared" ref="AA489:AH489" si="122">+AA490+AA491-AA492</f>
        <v>210.34199999999998</v>
      </c>
      <c r="AB489" s="1633">
        <f t="shared" si="122"/>
        <v>215.40299999999999</v>
      </c>
      <c r="AC489" s="1633">
        <f t="shared" si="122"/>
        <v>223.67100000000005</v>
      </c>
      <c r="AD489" s="1633">
        <f t="shared" si="122"/>
        <v>238.57599999999996</v>
      </c>
      <c r="AE489" s="1633">
        <f t="shared" si="122"/>
        <v>250.01999999999998</v>
      </c>
      <c r="AF489" s="1633">
        <f t="shared" si="122"/>
        <v>262.90499999999997</v>
      </c>
      <c r="AG489" s="1633">
        <f t="shared" si="122"/>
        <v>273.02800000000002</v>
      </c>
      <c r="AH489" s="1633">
        <f t="shared" si="122"/>
        <v>281.71899999999999</v>
      </c>
      <c r="AI489" s="1633">
        <f t="shared" ref="AI489:AP489" si="123">+AI490+AI491-AI492</f>
        <v>279.20500000000004</v>
      </c>
      <c r="AJ489" s="1633">
        <f t="shared" si="123"/>
        <v>294.13499999999999</v>
      </c>
      <c r="AK489" s="1633">
        <f t="shared" si="123"/>
        <v>304.01900000000001</v>
      </c>
      <c r="AL489" s="1633">
        <f t="shared" si="123"/>
        <v>335.97300000000001</v>
      </c>
      <c r="AM489" s="1633">
        <f t="shared" si="123"/>
        <v>439.76199999999994</v>
      </c>
      <c r="AN489" s="1633">
        <f t="shared" si="123"/>
        <v>487.03899999999999</v>
      </c>
      <c r="AO489" s="1633">
        <f t="shared" si="123"/>
        <v>499.53399999999999</v>
      </c>
      <c r="AP489" s="1633">
        <f t="shared" si="123"/>
        <v>506.10500000000002</v>
      </c>
      <c r="AQ489" s="1633">
        <f>+AQ490+AQ491-AQ492</f>
        <v>513.07800000000009</v>
      </c>
      <c r="AR489" s="1633">
        <f>+AR490+AR491-AR492</f>
        <v>532.81299999999999</v>
      </c>
      <c r="AS489" s="1633">
        <f>+AS490+AS491-AS492</f>
        <v>555.72299999999996</v>
      </c>
      <c r="AT489" s="1633">
        <f>+AT490+AT491-AT492</f>
        <v>594.05400000000009</v>
      </c>
    </row>
    <row r="490" spans="1:46">
      <c r="A490" s="1225"/>
      <c r="B490" s="1637" t="s">
        <v>1390</v>
      </c>
      <c r="C490" s="42"/>
      <c r="D490" s="42"/>
      <c r="E490" s="42"/>
      <c r="F490" s="42"/>
      <c r="G490" s="42"/>
      <c r="H490" s="42"/>
      <c r="I490" s="42"/>
      <c r="J490" s="42"/>
      <c r="K490" s="42"/>
      <c r="L490" s="42"/>
      <c r="M490" s="42"/>
      <c r="N490" s="42"/>
      <c r="O490" s="1623"/>
      <c r="P490" s="1623"/>
      <c r="Q490" s="1623"/>
      <c r="R490" s="1623"/>
      <c r="S490" s="1623">
        <f>+Rev!BX667</f>
        <v>82.038999999999987</v>
      </c>
      <c r="T490" s="1623">
        <f>+Rev!BY667</f>
        <v>88.611000000000004</v>
      </c>
      <c r="U490" s="1623">
        <f>+Rev!BZ667</f>
        <v>92.323999999999998</v>
      </c>
      <c r="V490" s="1623">
        <f>+Rev!CA667</f>
        <v>95.24799999999999</v>
      </c>
      <c r="W490" s="1623">
        <f>+Rev!CB667</f>
        <v>101.20399999999998</v>
      </c>
      <c r="X490" s="1623">
        <f>+Rev!CC667</f>
        <v>102.565</v>
      </c>
      <c r="Y490" s="1623">
        <f>+Rev!CD667</f>
        <v>111.82499999999999</v>
      </c>
      <c r="Z490" s="1623">
        <f>+Rev!CE667</f>
        <v>117.32600000000001</v>
      </c>
      <c r="AA490" s="1623">
        <f>+Rev!CF667</f>
        <v>119.96899999999999</v>
      </c>
      <c r="AB490" s="1623">
        <f>+Rev!CG667</f>
        <v>127.009</v>
      </c>
      <c r="AC490" s="1623">
        <f>+Rev!CH667</f>
        <v>133.25400000000002</v>
      </c>
      <c r="AD490" s="1623">
        <f>+Rev!CI667</f>
        <v>144.78599999999997</v>
      </c>
      <c r="AE490" s="1623">
        <f>+Rev!CJ667</f>
        <v>151.43</v>
      </c>
      <c r="AF490" s="1623">
        <f>+Rev!CK667</f>
        <v>157.16200000000001</v>
      </c>
      <c r="AG490" s="1623">
        <f>+Rev!CL667</f>
        <v>161.57999999999998</v>
      </c>
      <c r="AH490" s="1623">
        <f>+Rev!CM667</f>
        <v>167.09300000000002</v>
      </c>
      <c r="AI490" s="1623">
        <f>+Rev!CN667</f>
        <v>164.62300000000002</v>
      </c>
      <c r="AJ490" s="1623">
        <f>+Rev!CO667</f>
        <v>173.96700000000001</v>
      </c>
      <c r="AK490" s="1623">
        <f>+Rev!CP667</f>
        <v>177.56300000000002</v>
      </c>
      <c r="AL490" s="1623">
        <f>+Rev!CQ667</f>
        <v>182.654</v>
      </c>
      <c r="AM490" s="1623">
        <f>+Rev!CR667</f>
        <v>267.85599999999999</v>
      </c>
      <c r="AN490" s="1623">
        <f>+Rev!CS667</f>
        <v>300.60899999999998</v>
      </c>
      <c r="AO490" s="1623">
        <f>+Rev!CT667</f>
        <v>301.25</v>
      </c>
      <c r="AP490" s="1623">
        <f>+Rev!CU667</f>
        <v>301.62400000000002</v>
      </c>
      <c r="AQ490" s="1623">
        <f>+Rev!CV667</f>
        <v>314.84700000000004</v>
      </c>
      <c r="AR490" s="1623">
        <f>+Rev!CW667</f>
        <v>322.94400000000002</v>
      </c>
      <c r="AS490" s="1623">
        <f>+Rev!CX667</f>
        <v>338.83300000000003</v>
      </c>
      <c r="AT490" s="1623">
        <f>+Rev!CY667</f>
        <v>369.63200000000001</v>
      </c>
    </row>
    <row r="491" spans="1:46">
      <c r="A491" s="1225"/>
      <c r="B491" s="1637" t="s">
        <v>1146</v>
      </c>
      <c r="C491" s="42"/>
      <c r="D491" s="42"/>
      <c r="E491" s="42"/>
      <c r="F491" s="42"/>
      <c r="G491" s="42"/>
      <c r="H491" s="42"/>
      <c r="I491" s="42"/>
      <c r="J491" s="42"/>
      <c r="K491" s="42"/>
      <c r="L491" s="42"/>
      <c r="M491" s="42"/>
      <c r="N491" s="42"/>
      <c r="O491" s="1623"/>
      <c r="P491" s="1623"/>
      <c r="Q491" s="1623"/>
      <c r="R491" s="1623"/>
      <c r="S491" s="1633">
        <f>+Rev!BX497+S492</f>
        <v>48.463000000000001</v>
      </c>
      <c r="T491" s="1633">
        <f>+Rev!BY497+T492</f>
        <v>52.399999999999991</v>
      </c>
      <c r="U491" s="1633">
        <f>+Rev!BZ497+U492</f>
        <v>56.423000000000002</v>
      </c>
      <c r="V491" s="1633">
        <f>+Rev!CA497+V492</f>
        <v>58.561</v>
      </c>
      <c r="W491" s="1633">
        <f>+Rev!CB497+W492</f>
        <v>73.991</v>
      </c>
      <c r="X491" s="1633">
        <f>+Rev!CC497+X492</f>
        <v>78.186999999999998</v>
      </c>
      <c r="Y491" s="1633">
        <f>+Rev!CD497+Y492</f>
        <v>92.424000000000007</v>
      </c>
      <c r="Z491" s="1633">
        <f>+Rev!CE497+Z492</f>
        <v>105.01100000000001</v>
      </c>
      <c r="AA491" s="1633">
        <f>+Rev!CF497+AA492</f>
        <v>101.62299999999999</v>
      </c>
      <c r="AB491" s="1633">
        <f>+Rev!CG497+AB492</f>
        <v>99.643999999999991</v>
      </c>
      <c r="AC491" s="1633">
        <f>+Rev!CH497+AC492</f>
        <v>101.66700000000002</v>
      </c>
      <c r="AD491" s="1633">
        <f>+Rev!CI497+AD492</f>
        <v>105.03999999999999</v>
      </c>
      <c r="AE491" s="1633">
        <f>+Rev!CJ497+AE492</f>
        <v>109.84</v>
      </c>
      <c r="AF491" s="1633">
        <f>+Rev!CK497+AF492</f>
        <v>116.99299999999999</v>
      </c>
      <c r="AG491" s="1633">
        <f>+Rev!CL497+AG492</f>
        <v>122.69800000000001</v>
      </c>
      <c r="AH491" s="1633">
        <f>+Rev!CM497+AH492</f>
        <v>125.87599999999999</v>
      </c>
      <c r="AI491" s="1633">
        <f>+Rev!CN497+AI492</f>
        <v>125.83200000000001</v>
      </c>
      <c r="AJ491" s="1633">
        <f>+Rev!CO497+AJ492</f>
        <v>131.41800000000001</v>
      </c>
      <c r="AK491" s="1633">
        <f>+Rev!CP497+AK492</f>
        <v>137.70600000000002</v>
      </c>
      <c r="AL491" s="1633">
        <f>+Rev!CQ497+AL492</f>
        <v>164.56900000000002</v>
      </c>
      <c r="AM491" s="1633">
        <f>+Rev!CR497+AM492</f>
        <v>183.15599999999998</v>
      </c>
      <c r="AN491" s="1633">
        <f>+Rev!CS497+AN492</f>
        <v>197.68</v>
      </c>
      <c r="AO491" s="1633">
        <f>+Rev!CT497+AO492</f>
        <v>209.53399999999999</v>
      </c>
      <c r="AP491" s="1633">
        <f>+Rev!CU497+AP492</f>
        <v>215.73099999999999</v>
      </c>
      <c r="AQ491" s="1633">
        <f>+Rev!CV497+AQ492</f>
        <v>209.48100000000002</v>
      </c>
      <c r="AR491" s="1633">
        <f>+Rev!CW497+AR492</f>
        <v>221.119</v>
      </c>
      <c r="AS491" s="1633">
        <f>+Rev!CX497+AS492</f>
        <v>228.14</v>
      </c>
      <c r="AT491" s="1633">
        <f>+Rev!CY497+AT492</f>
        <v>235.67200000000003</v>
      </c>
    </row>
    <row r="492" spans="1:46">
      <c r="A492" s="1225"/>
      <c r="B492" s="1637" t="s">
        <v>1148</v>
      </c>
      <c r="C492" s="42"/>
      <c r="D492" s="42"/>
      <c r="E492" s="42"/>
      <c r="F492" s="42"/>
      <c r="G492" s="42"/>
      <c r="H492" s="42"/>
      <c r="I492" s="42"/>
      <c r="J492" s="42"/>
      <c r="K492" s="42"/>
      <c r="L492" s="42"/>
      <c r="M492" s="42"/>
      <c r="N492" s="42"/>
      <c r="O492" s="1623"/>
      <c r="P492" s="1623"/>
      <c r="Q492" s="1623"/>
      <c r="R492" s="1623"/>
      <c r="S492" s="1623"/>
      <c r="T492" s="1623"/>
      <c r="U492" s="1623"/>
      <c r="V492" s="1623"/>
      <c r="W492" s="1638">
        <f t="shared" ref="W492:AT492" si="124">(30/4)*(1+0.5)</f>
        <v>11.25</v>
      </c>
      <c r="X492" s="1638">
        <f t="shared" si="124"/>
        <v>11.25</v>
      </c>
      <c r="Y492" s="1638">
        <f t="shared" si="124"/>
        <v>11.25</v>
      </c>
      <c r="Z492" s="1638">
        <f t="shared" si="124"/>
        <v>11.25</v>
      </c>
      <c r="AA492" s="1638">
        <f t="shared" si="124"/>
        <v>11.25</v>
      </c>
      <c r="AB492" s="1638">
        <f t="shared" si="124"/>
        <v>11.25</v>
      </c>
      <c r="AC492" s="1638">
        <f t="shared" si="124"/>
        <v>11.25</v>
      </c>
      <c r="AD492" s="1638">
        <f t="shared" si="124"/>
        <v>11.25</v>
      </c>
      <c r="AE492" s="1638">
        <f t="shared" si="124"/>
        <v>11.25</v>
      </c>
      <c r="AF492" s="1638">
        <f t="shared" si="124"/>
        <v>11.25</v>
      </c>
      <c r="AG492" s="1638">
        <f t="shared" si="124"/>
        <v>11.25</v>
      </c>
      <c r="AH492" s="1638">
        <f t="shared" si="124"/>
        <v>11.25</v>
      </c>
      <c r="AI492" s="1638">
        <f t="shared" si="124"/>
        <v>11.25</v>
      </c>
      <c r="AJ492" s="1638">
        <f t="shared" si="124"/>
        <v>11.25</v>
      </c>
      <c r="AK492" s="1638">
        <f t="shared" si="124"/>
        <v>11.25</v>
      </c>
      <c r="AL492" s="1638">
        <f t="shared" si="124"/>
        <v>11.25</v>
      </c>
      <c r="AM492" s="1638">
        <f t="shared" si="124"/>
        <v>11.25</v>
      </c>
      <c r="AN492" s="1638">
        <f t="shared" si="124"/>
        <v>11.25</v>
      </c>
      <c r="AO492" s="1638">
        <f t="shared" si="124"/>
        <v>11.25</v>
      </c>
      <c r="AP492" s="1638">
        <f t="shared" si="124"/>
        <v>11.25</v>
      </c>
      <c r="AQ492" s="1638">
        <f t="shared" si="124"/>
        <v>11.25</v>
      </c>
      <c r="AR492" s="1638">
        <f t="shared" si="124"/>
        <v>11.25</v>
      </c>
      <c r="AS492" s="1638">
        <f t="shared" si="124"/>
        <v>11.25</v>
      </c>
      <c r="AT492" s="1638">
        <f t="shared" si="124"/>
        <v>11.25</v>
      </c>
    </row>
    <row r="493" spans="1:46">
      <c r="B493" s="876" t="s">
        <v>1152</v>
      </c>
    </row>
    <row r="527" spans="1:46">
      <c r="A527" s="1225" t="s">
        <v>604</v>
      </c>
      <c r="B527" s="42" t="s">
        <v>1437</v>
      </c>
      <c r="C527" s="42"/>
      <c r="D527" s="42"/>
      <c r="E527" s="42"/>
      <c r="F527" s="42"/>
      <c r="G527" s="42"/>
      <c r="H527" s="42"/>
      <c r="I527" s="42"/>
      <c r="J527" s="42"/>
      <c r="K527" s="42"/>
      <c r="L527" s="42"/>
      <c r="M527" s="42"/>
      <c r="N527" s="42"/>
      <c r="O527" s="1623"/>
      <c r="P527" s="1623"/>
      <c r="Q527" s="1623"/>
      <c r="R527" s="1623"/>
      <c r="S527" s="1623"/>
      <c r="T527" s="1623"/>
      <c r="U527" s="1623"/>
      <c r="V527" s="1623"/>
      <c r="W527" s="1623"/>
      <c r="X527" s="1623"/>
      <c r="Y527" s="1623"/>
      <c r="Z527" s="1623"/>
      <c r="AA527" s="1623"/>
      <c r="AB527" s="1623"/>
      <c r="AC527" s="1623"/>
      <c r="AD527" s="1623"/>
      <c r="AE527" s="1623"/>
      <c r="AF527" s="1623"/>
      <c r="AG527" s="1623"/>
      <c r="AH527" s="1623"/>
      <c r="AI527" s="1623"/>
      <c r="AJ527" s="1623"/>
      <c r="AK527" s="1623"/>
      <c r="AL527" s="1623"/>
      <c r="AM527" s="1623"/>
      <c r="AN527" s="1623"/>
      <c r="AO527" s="1623"/>
      <c r="AP527" s="1623"/>
      <c r="AQ527" s="1623"/>
      <c r="AR527" s="1623"/>
      <c r="AS527" s="1623"/>
      <c r="AT527" s="1623"/>
    </row>
    <row r="528" spans="1:46">
      <c r="A528" s="1225"/>
      <c r="B528" s="42" t="s">
        <v>1440</v>
      </c>
      <c r="C528" s="42"/>
      <c r="D528" s="42"/>
      <c r="E528" s="42"/>
      <c r="F528" s="42"/>
      <c r="G528" s="42"/>
      <c r="H528" s="42"/>
      <c r="I528" s="42"/>
      <c r="J528" s="42"/>
      <c r="K528" s="42"/>
      <c r="L528" s="42"/>
      <c r="M528" s="42"/>
      <c r="N528" s="42"/>
      <c r="O528" s="1623"/>
      <c r="P528" s="1623"/>
      <c r="Q528" s="1623"/>
      <c r="R528" s="1623"/>
      <c r="S528" s="1741"/>
      <c r="T528" s="1741"/>
      <c r="U528" s="1741"/>
      <c r="V528" s="1741"/>
      <c r="W528" s="1741"/>
      <c r="X528" s="1741"/>
      <c r="Y528" s="1742">
        <v>0.25</v>
      </c>
      <c r="Z528" s="1742">
        <v>0.23</v>
      </c>
      <c r="AA528" s="1742"/>
      <c r="AB528" s="1742"/>
      <c r="AC528" s="1742"/>
      <c r="AD528" s="1742"/>
      <c r="AE528" s="1742"/>
      <c r="AF528" s="1742"/>
      <c r="AG528" s="1742"/>
      <c r="AH528" s="1742"/>
      <c r="AI528" s="1742"/>
      <c r="AJ528" s="1742"/>
      <c r="AK528" s="1742"/>
      <c r="AL528" s="1742"/>
      <c r="AM528" s="1742"/>
      <c r="AN528" s="1742"/>
      <c r="AO528" s="1742"/>
      <c r="AP528" s="1742"/>
      <c r="AQ528" s="1742"/>
      <c r="AR528" s="1742"/>
      <c r="AS528" s="1742"/>
      <c r="AT528" s="1742"/>
    </row>
    <row r="529" spans="1:46">
      <c r="A529" s="1225"/>
      <c r="B529" s="42" t="s">
        <v>1441</v>
      </c>
      <c r="C529" s="42"/>
      <c r="D529" s="42"/>
      <c r="E529" s="42"/>
      <c r="F529" s="42"/>
      <c r="G529" s="42"/>
      <c r="H529" s="42"/>
      <c r="I529" s="42"/>
      <c r="J529" s="42"/>
      <c r="K529" s="42"/>
      <c r="L529" s="42"/>
      <c r="M529" s="42"/>
      <c r="N529" s="42"/>
      <c r="O529" s="1623"/>
      <c r="P529" s="1623"/>
      <c r="Q529" s="1623"/>
      <c r="R529" s="1623"/>
      <c r="S529" s="1741"/>
      <c r="T529" s="1741"/>
      <c r="U529" s="1741"/>
      <c r="V529" s="1741"/>
      <c r="W529" s="1741"/>
      <c r="X529" s="1741"/>
      <c r="Y529" s="1742">
        <v>0.25</v>
      </c>
      <c r="Z529" s="1742">
        <v>0.2</v>
      </c>
      <c r="AA529" s="1742"/>
      <c r="AB529" s="1742"/>
      <c r="AC529" s="1742"/>
      <c r="AD529" s="1742"/>
      <c r="AE529" s="1742"/>
      <c r="AF529" s="1742"/>
      <c r="AG529" s="1742"/>
      <c r="AH529" s="1742"/>
      <c r="AI529" s="1742"/>
      <c r="AJ529" s="1742"/>
      <c r="AK529" s="1742"/>
      <c r="AL529" s="1742"/>
      <c r="AM529" s="1742"/>
      <c r="AN529" s="1742"/>
      <c r="AO529" s="1742"/>
      <c r="AP529" s="1742"/>
      <c r="AQ529" s="1742"/>
      <c r="AR529" s="1742"/>
      <c r="AS529" s="1742"/>
      <c r="AT529" s="1742"/>
    </row>
    <row r="530" spans="1:46">
      <c r="A530" s="1225"/>
      <c r="B530" s="42" t="s">
        <v>1442</v>
      </c>
      <c r="C530" s="42"/>
      <c r="D530" s="42"/>
      <c r="E530" s="42"/>
      <c r="F530" s="42"/>
      <c r="G530" s="42"/>
      <c r="H530" s="42"/>
      <c r="I530" s="42"/>
      <c r="J530" s="42"/>
      <c r="K530" s="42"/>
      <c r="L530" s="42"/>
      <c r="M530" s="42"/>
      <c r="N530" s="42"/>
      <c r="O530" s="1623"/>
      <c r="P530" s="1623"/>
      <c r="Q530" s="1623"/>
      <c r="R530" s="1623"/>
      <c r="S530" s="1741"/>
      <c r="T530" s="1741"/>
      <c r="U530" s="1741"/>
      <c r="V530" s="1741"/>
      <c r="W530" s="1741"/>
      <c r="X530" s="1741"/>
      <c r="Y530" s="1742">
        <v>0.22</v>
      </c>
      <c r="Z530" s="1742">
        <v>0.23</v>
      </c>
      <c r="AA530" s="1742"/>
      <c r="AB530" s="1742"/>
      <c r="AC530" s="1742"/>
      <c r="AD530" s="1742"/>
      <c r="AE530" s="1742"/>
      <c r="AF530" s="1742"/>
      <c r="AG530" s="1742"/>
      <c r="AH530" s="1742"/>
      <c r="AI530" s="1742"/>
      <c r="AJ530" s="1742"/>
      <c r="AK530" s="1742"/>
      <c r="AL530" s="1742"/>
      <c r="AM530" s="1742"/>
      <c r="AN530" s="1742"/>
      <c r="AO530" s="1742"/>
      <c r="AP530" s="1742"/>
      <c r="AQ530" s="1742"/>
      <c r="AR530" s="1742"/>
      <c r="AS530" s="1742"/>
      <c r="AT530" s="1742"/>
    </row>
    <row r="531" spans="1:46">
      <c r="A531" s="1225"/>
      <c r="B531" s="42" t="s">
        <v>1438</v>
      </c>
      <c r="C531" s="42"/>
      <c r="D531" s="42"/>
      <c r="E531" s="42"/>
      <c r="F531" s="42"/>
      <c r="G531" s="42"/>
      <c r="H531" s="42"/>
      <c r="I531" s="42"/>
      <c r="J531" s="42"/>
      <c r="K531" s="42"/>
      <c r="L531" s="42"/>
      <c r="M531" s="42"/>
      <c r="N531" s="42"/>
      <c r="O531" s="1623"/>
      <c r="P531" s="1623"/>
      <c r="Q531" s="1623"/>
      <c r="R531" s="1623"/>
      <c r="S531" s="1741"/>
      <c r="T531" s="1741"/>
      <c r="U531" s="1741"/>
      <c r="V531" s="1741"/>
      <c r="W531" s="1741"/>
      <c r="X531" s="1741"/>
      <c r="Y531" s="1742">
        <v>0.18</v>
      </c>
      <c r="Z531" s="1742">
        <v>0.21</v>
      </c>
      <c r="AA531" s="1742"/>
      <c r="AB531" s="1742"/>
      <c r="AC531" s="1742"/>
      <c r="AD531" s="1742"/>
      <c r="AE531" s="1742"/>
      <c r="AF531" s="1742"/>
      <c r="AG531" s="1742"/>
      <c r="AH531" s="1742"/>
      <c r="AI531" s="1742"/>
      <c r="AJ531" s="1742"/>
      <c r="AK531" s="1742"/>
      <c r="AL531" s="1742"/>
      <c r="AM531" s="1742"/>
      <c r="AN531" s="1742"/>
      <c r="AO531" s="1742"/>
      <c r="AP531" s="1742"/>
      <c r="AQ531" s="1742"/>
      <c r="AR531" s="1742"/>
      <c r="AS531" s="1742"/>
      <c r="AT531" s="1742"/>
    </row>
    <row r="532" spans="1:46">
      <c r="A532" s="1225"/>
      <c r="B532" s="42" t="s">
        <v>1439</v>
      </c>
      <c r="C532" s="42"/>
      <c r="D532" s="42"/>
      <c r="E532" s="42"/>
      <c r="F532" s="42"/>
      <c r="G532" s="42"/>
      <c r="H532" s="42"/>
      <c r="I532" s="42"/>
      <c r="J532" s="42"/>
      <c r="K532" s="42"/>
      <c r="L532" s="42"/>
      <c r="M532" s="42"/>
      <c r="N532" s="42"/>
      <c r="O532" s="1623"/>
      <c r="P532" s="1623"/>
      <c r="Q532" s="1623"/>
      <c r="R532" s="1623"/>
      <c r="S532" s="1631"/>
      <c r="T532" s="1631"/>
      <c r="U532" s="1631"/>
      <c r="V532" s="1631"/>
      <c r="W532" s="1631"/>
      <c r="X532" s="1631"/>
      <c r="Y532" s="1742">
        <v>0.09</v>
      </c>
      <c r="Z532" s="1742">
        <v>0.13</v>
      </c>
      <c r="AA532" s="1742"/>
      <c r="AB532" s="1742"/>
      <c r="AC532" s="1742"/>
      <c r="AD532" s="1742"/>
      <c r="AE532" s="1742"/>
      <c r="AF532" s="1742"/>
      <c r="AG532" s="1742"/>
      <c r="AH532" s="1742"/>
      <c r="AI532" s="1742"/>
      <c r="AJ532" s="1742"/>
      <c r="AK532" s="1742"/>
      <c r="AL532" s="1742"/>
      <c r="AM532" s="1742"/>
      <c r="AN532" s="1742"/>
      <c r="AO532" s="1742"/>
      <c r="AP532" s="1742"/>
      <c r="AQ532" s="1742"/>
      <c r="AR532" s="1742"/>
      <c r="AS532" s="1742"/>
      <c r="AT532" s="1742"/>
    </row>
    <row r="550" spans="1:46">
      <c r="A550" s="1225" t="s">
        <v>604</v>
      </c>
      <c r="B550" s="1195" t="s">
        <v>1499</v>
      </c>
      <c r="C550" s="42"/>
      <c r="D550" s="42"/>
      <c r="E550" s="42"/>
      <c r="F550" s="42"/>
      <c r="G550" s="42"/>
      <c r="H550" s="42"/>
      <c r="I550" s="42"/>
      <c r="J550" s="42"/>
      <c r="K550" s="42"/>
      <c r="L550" s="42"/>
      <c r="M550" s="42"/>
      <c r="N550" s="42"/>
      <c r="O550" s="42"/>
      <c r="P550" s="42"/>
      <c r="Q550" s="42"/>
      <c r="R550" s="42"/>
      <c r="S550" s="42"/>
      <c r="T550" s="42"/>
      <c r="U550" s="42"/>
      <c r="V550" s="42"/>
      <c r="W550" s="42"/>
      <c r="X550" s="42"/>
      <c r="Y550" s="42"/>
      <c r="Z550" s="42"/>
      <c r="AA550" s="42"/>
      <c r="AB550" s="42"/>
      <c r="AC550" s="42"/>
      <c r="AD550" s="42"/>
      <c r="AE550" s="42"/>
      <c r="AF550" s="42"/>
      <c r="AG550" s="42"/>
      <c r="AH550" s="42"/>
      <c r="AI550" s="42"/>
      <c r="AJ550" s="42"/>
      <c r="AK550" s="42"/>
      <c r="AL550" s="42"/>
      <c r="AM550" s="42"/>
      <c r="AN550" s="42"/>
      <c r="AO550" s="42"/>
      <c r="AP550" s="42"/>
      <c r="AQ550" s="42"/>
      <c r="AR550" s="42"/>
      <c r="AS550" s="42"/>
      <c r="AT550" s="42"/>
    </row>
    <row r="551" spans="1:46" s="1081" customFormat="1">
      <c r="B551" s="1916" t="s">
        <v>148</v>
      </c>
      <c r="C551" s="1916"/>
      <c r="D551" s="1916"/>
      <c r="E551" s="1916"/>
      <c r="F551" s="1916"/>
      <c r="G551" s="1916"/>
      <c r="H551" s="1916"/>
      <c r="I551" s="1916"/>
      <c r="J551" s="1916"/>
      <c r="K551" s="1916"/>
      <c r="L551" s="1916"/>
      <c r="M551" s="1916"/>
      <c r="N551" s="1916"/>
      <c r="O551" s="1916"/>
      <c r="P551" s="1917"/>
      <c r="Q551" s="1917"/>
      <c r="R551" s="1917"/>
      <c r="S551" s="1917"/>
      <c r="T551" s="1917"/>
      <c r="U551" s="1917"/>
      <c r="V551" s="1917"/>
      <c r="W551" s="1917"/>
      <c r="X551" s="1917"/>
      <c r="Y551" s="1917"/>
      <c r="Z551" s="1917"/>
      <c r="AA551" s="1917">
        <f>Rev!CF250</f>
        <v>1300</v>
      </c>
      <c r="AB551" s="1917">
        <f>Rev!CG250</f>
        <v>-100</v>
      </c>
      <c r="AC551" s="1917">
        <f>Rev!CH250</f>
        <v>800</v>
      </c>
      <c r="AD551" s="1917">
        <f>Rev!CI250</f>
        <v>800</v>
      </c>
      <c r="AE551" s="1917">
        <f>Rev!CJ250</f>
        <v>-300</v>
      </c>
      <c r="AF551" s="1917">
        <f>Rev!CK250</f>
        <v>100</v>
      </c>
      <c r="AG551" s="1917">
        <f>Rev!CL250</f>
        <v>1700</v>
      </c>
      <c r="AH551" s="1917">
        <f>Rev!CM250</f>
        <v>500</v>
      </c>
      <c r="AI551" s="1917">
        <f>Rev!CN250</f>
        <v>1200</v>
      </c>
      <c r="AJ551" s="1917">
        <f>Rev!CO250</f>
        <v>1100</v>
      </c>
      <c r="AK551" s="1917">
        <f>Rev!CP250</f>
        <v>1500</v>
      </c>
      <c r="AL551" s="1917">
        <f>Rev!CQ250</f>
        <v>1400</v>
      </c>
      <c r="AM551" s="1917">
        <f>Rev!CR250</f>
        <v>300</v>
      </c>
      <c r="AN551" s="1917">
        <f>Rev!CS250</f>
        <v>1100</v>
      </c>
      <c r="AO551" s="1917">
        <f>Rev!CT250</f>
        <v>800</v>
      </c>
      <c r="AP551" s="1917">
        <f>Rev!CU250</f>
        <v>700</v>
      </c>
      <c r="AQ551" s="1917">
        <f>Rev!CV250</f>
        <v>-200</v>
      </c>
      <c r="AR551" s="1917">
        <f>Rev!CW250</f>
        <v>400</v>
      </c>
      <c r="AS551" s="1917">
        <f>Rev!CX250</f>
        <v>1000</v>
      </c>
      <c r="AT551" s="1917">
        <f>Rev!CY250</f>
        <v>24200</v>
      </c>
    </row>
    <row r="552" spans="1:46" s="1081" customFormat="1">
      <c r="B552" s="1916" t="s">
        <v>997</v>
      </c>
      <c r="C552" s="1916"/>
      <c r="D552" s="1916"/>
      <c r="E552" s="1916"/>
      <c r="F552" s="1916"/>
      <c r="G552" s="1916"/>
      <c r="H552" s="1916"/>
      <c r="I552" s="1916"/>
      <c r="J552" s="1916"/>
      <c r="K552" s="1916"/>
      <c r="L552" s="1916"/>
      <c r="M552" s="1916"/>
      <c r="N552" s="1916"/>
      <c r="O552" s="1916"/>
      <c r="P552" s="1917"/>
      <c r="Q552" s="1918"/>
      <c r="R552" s="1918"/>
      <c r="S552" s="1918"/>
      <c r="T552" s="1918"/>
      <c r="U552" s="1918"/>
      <c r="V552" s="1918"/>
      <c r="W552" s="1918"/>
      <c r="X552" s="1918"/>
      <c r="Y552" s="1918"/>
      <c r="Z552" s="1918"/>
      <c r="AA552" s="1918"/>
      <c r="AB552" s="1918"/>
      <c r="AC552" s="1918"/>
      <c r="AD552" s="1918"/>
      <c r="AE552" s="1918"/>
      <c r="AF552" s="1918"/>
      <c r="AG552" s="1918"/>
      <c r="AH552" s="1918"/>
      <c r="AI552" s="1918"/>
      <c r="AJ552" s="1918"/>
      <c r="AK552" s="1918"/>
      <c r="AL552" s="1918"/>
      <c r="AM552" s="1918"/>
      <c r="AN552" s="1918"/>
      <c r="AO552" s="1918"/>
      <c r="AP552" s="1918"/>
      <c r="AQ552" s="1918"/>
      <c r="AR552" s="1918"/>
      <c r="AS552" s="1918"/>
      <c r="AT552" s="1918"/>
    </row>
    <row r="553" spans="1:46" s="1081" customFormat="1">
      <c r="B553" s="1916" t="s">
        <v>1390</v>
      </c>
      <c r="C553" s="1916"/>
      <c r="D553" s="1916"/>
      <c r="E553" s="1916"/>
      <c r="F553" s="1916"/>
      <c r="G553" s="1916"/>
      <c r="H553" s="1916"/>
      <c r="I553" s="1916"/>
      <c r="J553" s="1916"/>
      <c r="K553" s="1916"/>
      <c r="L553" s="1916"/>
      <c r="M553" s="1916"/>
      <c r="N553" s="1916"/>
      <c r="O553" s="1916"/>
      <c r="P553" s="1917"/>
      <c r="Q553" s="1917"/>
      <c r="R553" s="1917"/>
      <c r="S553" s="1917"/>
      <c r="T553" s="1917"/>
      <c r="U553" s="1917"/>
      <c r="V553" s="1917"/>
      <c r="W553" s="1917"/>
      <c r="X553" s="1917"/>
      <c r="Y553" s="1917"/>
      <c r="Z553" s="1917"/>
      <c r="AA553" s="1917"/>
      <c r="AB553" s="1917"/>
      <c r="AC553" s="1917"/>
      <c r="AD553" s="1917"/>
      <c r="AE553" s="1917"/>
      <c r="AF553" s="1917"/>
      <c r="AG553" s="1917"/>
      <c r="AH553" s="1917"/>
      <c r="AI553" s="1917"/>
      <c r="AJ553" s="1917"/>
      <c r="AK553" s="1917"/>
      <c r="AL553" s="1917"/>
      <c r="AM553" s="1917"/>
      <c r="AN553" s="1917"/>
      <c r="AO553" s="1917"/>
      <c r="AP553" s="1917"/>
      <c r="AQ553" s="1917"/>
      <c r="AR553" s="1917"/>
      <c r="AS553" s="1917"/>
      <c r="AT553" s="1917"/>
    </row>
    <row r="554" spans="1:46">
      <c r="B554" s="1630"/>
      <c r="C554" s="42"/>
      <c r="D554" s="42"/>
      <c r="E554" s="42"/>
      <c r="F554" s="42"/>
      <c r="G554" s="42"/>
      <c r="H554" s="42"/>
      <c r="I554" s="42"/>
      <c r="J554" s="42"/>
      <c r="K554" s="42"/>
      <c r="L554" s="42"/>
      <c r="M554" s="42"/>
      <c r="N554" s="42"/>
      <c r="O554" s="42"/>
      <c r="P554" s="1623"/>
      <c r="Q554" s="1631"/>
      <c r="R554" s="1631"/>
      <c r="S554" s="1631"/>
      <c r="T554" s="1631"/>
      <c r="U554" s="1631"/>
      <c r="V554" s="1631"/>
      <c r="W554" s="1631"/>
      <c r="X554" s="1631"/>
      <c r="Y554" s="1631"/>
      <c r="Z554" s="1631"/>
      <c r="AA554" s="1631"/>
      <c r="AB554" s="1631"/>
      <c r="AC554" s="1631"/>
      <c r="AD554" s="1631"/>
      <c r="AE554" s="1631"/>
      <c r="AF554" s="1631"/>
      <c r="AG554" s="1631"/>
      <c r="AH554" s="1631"/>
      <c r="AI554" s="1631"/>
      <c r="AJ554" s="1631"/>
      <c r="AK554" s="1631"/>
      <c r="AL554" s="1631"/>
      <c r="AM554" s="1631"/>
      <c r="AN554" s="1631"/>
      <c r="AO554" s="1631"/>
      <c r="AP554" s="1631"/>
      <c r="AQ554" s="1631"/>
      <c r="AR554" s="1631"/>
      <c r="AS554" s="1631"/>
      <c r="AT554" s="1631"/>
    </row>
    <row r="555" spans="1:46">
      <c r="B555" s="42"/>
      <c r="C555" s="42"/>
      <c r="D555" s="42"/>
      <c r="E555" s="42"/>
      <c r="F555" s="42"/>
      <c r="G555" s="42"/>
      <c r="H555" s="42"/>
      <c r="I555" s="42"/>
      <c r="J555" s="42"/>
      <c r="K555" s="42"/>
      <c r="L555" s="42"/>
      <c r="M555" s="42"/>
      <c r="N555" s="42"/>
      <c r="O555" s="42"/>
      <c r="P555" s="1628"/>
      <c r="Q555" s="1628"/>
      <c r="R555" s="1628"/>
      <c r="S555" s="1628"/>
      <c r="T555" s="1628"/>
      <c r="U555" s="1628"/>
      <c r="V555" s="1628"/>
      <c r="W555" s="1628"/>
      <c r="X555" s="1628"/>
      <c r="Y555" s="1628"/>
      <c r="Z555" s="1628"/>
      <c r="AA555" s="1628"/>
      <c r="AB555" s="1628"/>
      <c r="AC555" s="1628"/>
      <c r="AD555" s="1628"/>
      <c r="AE555" s="1628"/>
      <c r="AF555" s="1628"/>
      <c r="AG555" s="1628"/>
      <c r="AH555" s="1628"/>
      <c r="AI555" s="1628"/>
      <c r="AJ555" s="1628"/>
      <c r="AK555" s="1628"/>
      <c r="AL555" s="1628"/>
      <c r="AM555" s="1628"/>
      <c r="AN555" s="1628"/>
      <c r="AO555" s="1628"/>
      <c r="AP555" s="1628"/>
      <c r="AQ555" s="1628"/>
      <c r="AR555" s="1628"/>
      <c r="AS555" s="1628"/>
      <c r="AT555" s="1628"/>
    </row>
    <row r="556" spans="1:46">
      <c r="B556" s="1630"/>
      <c r="C556" s="42"/>
      <c r="D556" s="42"/>
      <c r="E556" s="42"/>
      <c r="F556" s="42"/>
      <c r="G556" s="42"/>
      <c r="H556" s="42"/>
      <c r="I556" s="42"/>
      <c r="J556" s="42"/>
      <c r="K556" s="42"/>
      <c r="L556" s="42"/>
      <c r="M556" s="42"/>
      <c r="N556" s="42"/>
      <c r="O556" s="42"/>
      <c r="P556" s="1623"/>
      <c r="Q556" s="1631"/>
      <c r="R556" s="1631"/>
      <c r="S556" s="1631"/>
      <c r="T556" s="1631"/>
      <c r="U556" s="1631"/>
      <c r="V556" s="1631"/>
      <c r="W556" s="1631"/>
      <c r="X556" s="1631"/>
      <c r="Y556" s="1631"/>
      <c r="Z556" s="1631"/>
      <c r="AA556" s="1631"/>
      <c r="AB556" s="1631"/>
      <c r="AC556" s="1631"/>
      <c r="AD556" s="1631"/>
      <c r="AE556" s="1631"/>
      <c r="AF556" s="1631"/>
      <c r="AG556" s="1631"/>
      <c r="AH556" s="1631"/>
      <c r="AI556" s="1631"/>
      <c r="AJ556" s="1631"/>
      <c r="AK556" s="1631"/>
      <c r="AL556" s="1631"/>
      <c r="AM556" s="1631"/>
      <c r="AN556" s="1631"/>
      <c r="AO556" s="1631"/>
      <c r="AP556" s="1631"/>
      <c r="AQ556" s="1631"/>
      <c r="AR556" s="1631"/>
      <c r="AS556" s="1631"/>
      <c r="AT556" s="1631"/>
    </row>
    <row r="557" spans="1:46">
      <c r="B557" s="42"/>
      <c r="C557" s="42"/>
      <c r="D557" s="42"/>
      <c r="E557" s="42"/>
      <c r="F557" s="42"/>
      <c r="G557" s="42"/>
      <c r="H557" s="42"/>
      <c r="I557" s="42"/>
      <c r="J557" s="42"/>
      <c r="K557" s="42"/>
      <c r="L557" s="42"/>
      <c r="M557" s="42"/>
      <c r="N557" s="42"/>
      <c r="O557" s="42"/>
      <c r="P557" s="1623"/>
      <c r="Q557" s="1623"/>
      <c r="R557" s="1623"/>
      <c r="S557" s="1623"/>
      <c r="T557" s="1623"/>
      <c r="U557" s="1623"/>
      <c r="V557" s="1623"/>
      <c r="W557" s="1623"/>
      <c r="X557" s="1623"/>
      <c r="Y557" s="1623"/>
      <c r="Z557" s="1623"/>
      <c r="AA557" s="1623"/>
      <c r="AB557" s="1623"/>
      <c r="AC557" s="1623"/>
      <c r="AD557" s="1623"/>
      <c r="AE557" s="1623"/>
      <c r="AF557" s="1623"/>
      <c r="AG557" s="1623"/>
      <c r="AH557" s="1623"/>
      <c r="AI557" s="1623"/>
      <c r="AJ557" s="1623"/>
      <c r="AK557" s="1623"/>
      <c r="AL557" s="1623"/>
      <c r="AM557" s="1623"/>
      <c r="AN557" s="1623"/>
      <c r="AO557" s="1623"/>
      <c r="AP557" s="1623"/>
      <c r="AQ557" s="1623"/>
      <c r="AR557" s="1623"/>
      <c r="AS557" s="1623"/>
      <c r="AT557" s="1623"/>
    </row>
    <row r="558" spans="1:46">
      <c r="B558" s="42"/>
      <c r="C558" s="42"/>
      <c r="D558" s="42"/>
      <c r="E558" s="42"/>
      <c r="F558" s="42"/>
      <c r="G558" s="42"/>
      <c r="H558" s="42"/>
      <c r="I558" s="42"/>
      <c r="J558" s="42"/>
      <c r="K558" s="42"/>
      <c r="L558" s="42"/>
      <c r="M558" s="42"/>
      <c r="N558" s="42"/>
      <c r="O558" s="42"/>
      <c r="P558" s="1623"/>
      <c r="Q558" s="1623"/>
      <c r="R558" s="1623"/>
      <c r="S558" s="1623"/>
      <c r="T558" s="1623"/>
      <c r="U558" s="1623"/>
      <c r="V558" s="1623"/>
      <c r="W558" s="1623"/>
      <c r="X558" s="1623"/>
      <c r="Y558" s="1623"/>
      <c r="Z558" s="1623"/>
      <c r="AA558" s="1623"/>
      <c r="AB558" s="1623"/>
      <c r="AC558" s="1623"/>
      <c r="AD558" s="1623"/>
      <c r="AE558" s="1623"/>
      <c r="AF558" s="1623"/>
      <c r="AG558" s="1623"/>
      <c r="AH558" s="1623"/>
      <c r="AI558" s="1623"/>
      <c r="AJ558" s="1623"/>
      <c r="AK558" s="1623"/>
      <c r="AL558" s="1623"/>
      <c r="AM558" s="1623"/>
      <c r="AN558" s="1623"/>
      <c r="AO558" s="1623"/>
      <c r="AP558" s="1623"/>
      <c r="AQ558" s="1623"/>
      <c r="AR558" s="1623"/>
      <c r="AS558" s="1623"/>
      <c r="AT558" s="1623"/>
    </row>
    <row r="559" spans="1:46">
      <c r="B559" s="1630"/>
      <c r="C559" s="42"/>
      <c r="D559" s="42"/>
      <c r="E559" s="42"/>
      <c r="F559" s="42"/>
      <c r="G559" s="42"/>
      <c r="H559" s="42"/>
      <c r="I559" s="42"/>
      <c r="J559" s="42"/>
      <c r="K559" s="42"/>
      <c r="L559" s="42"/>
      <c r="M559" s="42"/>
      <c r="N559" s="42"/>
      <c r="O559" s="42"/>
      <c r="P559" s="1623"/>
      <c r="Q559" s="1631"/>
      <c r="R559" s="1631"/>
      <c r="S559" s="1631"/>
      <c r="T559" s="1631"/>
      <c r="U559" s="1631"/>
      <c r="V559" s="1631"/>
      <c r="W559" s="1631"/>
      <c r="X559" s="1631"/>
      <c r="Y559" s="1631"/>
      <c r="Z559" s="1631"/>
      <c r="AA559" s="1631"/>
      <c r="AB559" s="1631"/>
      <c r="AC559" s="1631"/>
      <c r="AD559" s="1631"/>
      <c r="AE559" s="1631"/>
      <c r="AF559" s="1631"/>
      <c r="AG559" s="1631"/>
      <c r="AH559" s="1631"/>
      <c r="AI559" s="1631"/>
      <c r="AJ559" s="1631"/>
      <c r="AK559" s="1631"/>
      <c r="AL559" s="1631"/>
      <c r="AM559" s="1631"/>
      <c r="AN559" s="1631"/>
      <c r="AO559" s="1631"/>
      <c r="AP559" s="1631"/>
      <c r="AQ559" s="1631"/>
      <c r="AR559" s="1631"/>
      <c r="AS559" s="1631"/>
      <c r="AT559" s="1631"/>
    </row>
    <row r="560" spans="1:46">
      <c r="B560" s="42"/>
      <c r="C560" s="42"/>
      <c r="D560" s="42"/>
      <c r="E560" s="42"/>
      <c r="F560" s="42"/>
      <c r="G560" s="42"/>
      <c r="H560" s="42"/>
      <c r="I560" s="42"/>
      <c r="J560" s="42"/>
      <c r="K560" s="42"/>
      <c r="L560" s="42"/>
      <c r="M560" s="42"/>
      <c r="N560" s="42"/>
      <c r="O560" s="42"/>
      <c r="P560" s="1233"/>
      <c r="Q560" s="1233"/>
      <c r="R560" s="1233"/>
      <c r="S560" s="1233"/>
      <c r="T560" s="1233"/>
      <c r="U560" s="1233"/>
      <c r="V560" s="1233"/>
      <c r="W560" s="1233"/>
      <c r="X560" s="1233"/>
      <c r="Y560" s="1233"/>
      <c r="Z560" s="1233"/>
      <c r="AA560" s="1233"/>
      <c r="AB560" s="1233"/>
      <c r="AC560" s="1233"/>
      <c r="AD560" s="1233"/>
      <c r="AE560" s="1233"/>
      <c r="AF560" s="1233"/>
      <c r="AG560" s="1233"/>
      <c r="AH560" s="1233"/>
      <c r="AI560" s="1233"/>
      <c r="AJ560" s="1233"/>
      <c r="AK560" s="1233"/>
      <c r="AL560" s="1233"/>
      <c r="AM560" s="1233"/>
      <c r="AN560" s="1233"/>
      <c r="AO560" s="1233"/>
      <c r="AP560" s="1233"/>
      <c r="AQ560" s="1233"/>
      <c r="AR560" s="1233"/>
      <c r="AS560" s="1233"/>
      <c r="AT560" s="1233"/>
    </row>
    <row r="561" spans="2:46">
      <c r="B561" s="1630"/>
      <c r="C561" s="42"/>
      <c r="D561" s="42"/>
      <c r="E561" s="42"/>
      <c r="F561" s="42"/>
      <c r="G561" s="42"/>
      <c r="H561" s="42"/>
      <c r="I561" s="42"/>
      <c r="J561" s="42"/>
      <c r="K561" s="42"/>
      <c r="L561" s="42"/>
      <c r="M561" s="42"/>
      <c r="N561" s="42"/>
      <c r="O561" s="42"/>
      <c r="P561" s="1623"/>
      <c r="Q561" s="1631"/>
      <c r="R561" s="1631"/>
      <c r="S561" s="1631"/>
      <c r="T561" s="1631"/>
      <c r="U561" s="1631"/>
      <c r="V561" s="1631"/>
      <c r="W561" s="1631"/>
      <c r="X561" s="1631"/>
      <c r="Y561" s="1631"/>
      <c r="Z561" s="1631"/>
      <c r="AA561" s="1631"/>
      <c r="AB561" s="1631"/>
      <c r="AC561" s="1631"/>
      <c r="AD561" s="1631"/>
      <c r="AE561" s="1631"/>
      <c r="AF561" s="1631"/>
      <c r="AG561" s="1631"/>
      <c r="AH561" s="1631"/>
      <c r="AI561" s="1631"/>
      <c r="AJ561" s="1631"/>
      <c r="AK561" s="1631"/>
      <c r="AL561" s="1631"/>
      <c r="AM561" s="1631"/>
      <c r="AN561" s="1631"/>
      <c r="AO561" s="1631"/>
      <c r="AP561" s="1631"/>
      <c r="AQ561" s="1631"/>
      <c r="AR561" s="1631"/>
      <c r="AS561" s="1631"/>
      <c r="AT561" s="1631"/>
    </row>
    <row r="562" spans="2:46">
      <c r="B562" s="42"/>
      <c r="C562" s="42"/>
      <c r="D562" s="42"/>
      <c r="E562" s="42"/>
      <c r="F562" s="42"/>
      <c r="G562" s="42"/>
      <c r="H562" s="42"/>
      <c r="I562" s="42"/>
      <c r="J562" s="42"/>
      <c r="K562" s="42"/>
      <c r="L562" s="42"/>
      <c r="M562" s="42"/>
      <c r="N562" s="42"/>
      <c r="O562" s="42"/>
      <c r="P562" s="1233"/>
      <c r="Q562" s="1233"/>
      <c r="R562" s="1233"/>
      <c r="S562" s="1233"/>
      <c r="T562" s="1233"/>
      <c r="U562" s="1233"/>
      <c r="V562" s="1233"/>
      <c r="W562" s="1233"/>
      <c r="X562" s="1233"/>
      <c r="Y562" s="1233"/>
      <c r="Z562" s="1233"/>
      <c r="AA562" s="1233"/>
      <c r="AB562" s="1233"/>
      <c r="AC562" s="1233"/>
      <c r="AD562" s="1233"/>
      <c r="AE562" s="1233"/>
      <c r="AF562" s="1233"/>
      <c r="AG562" s="1233"/>
      <c r="AH562" s="1233"/>
      <c r="AI562" s="1233"/>
      <c r="AJ562" s="1233"/>
      <c r="AK562" s="1233"/>
      <c r="AL562" s="1233"/>
      <c r="AM562" s="1233"/>
      <c r="AN562" s="1233"/>
      <c r="AO562" s="1233"/>
      <c r="AP562" s="1233"/>
      <c r="AQ562" s="1233"/>
      <c r="AR562" s="1233"/>
      <c r="AS562" s="1233"/>
      <c r="AT562" s="1233"/>
    </row>
    <row r="563" spans="2:46">
      <c r="B563" s="1630"/>
      <c r="C563" s="42"/>
      <c r="D563" s="42"/>
      <c r="E563" s="42"/>
      <c r="F563" s="42"/>
      <c r="G563" s="42"/>
      <c r="H563" s="42"/>
      <c r="I563" s="42"/>
      <c r="J563" s="42"/>
      <c r="K563" s="42"/>
      <c r="L563" s="42"/>
      <c r="M563" s="42"/>
      <c r="N563" s="42"/>
      <c r="O563" s="42"/>
      <c r="P563" s="1623"/>
      <c r="Q563" s="1631"/>
      <c r="R563" s="1631"/>
      <c r="S563" s="1631"/>
      <c r="T563" s="1631"/>
      <c r="U563" s="1631"/>
      <c r="V563" s="1631"/>
      <c r="W563" s="1631"/>
      <c r="X563" s="1631"/>
      <c r="Y563" s="1631"/>
      <c r="Z563" s="1631"/>
      <c r="AA563" s="1631"/>
      <c r="AB563" s="1631"/>
      <c r="AC563" s="1631"/>
      <c r="AD563" s="1631"/>
      <c r="AE563" s="1631"/>
      <c r="AF563" s="1631"/>
      <c r="AG563" s="1631"/>
      <c r="AH563" s="1631"/>
      <c r="AI563" s="1631"/>
      <c r="AJ563" s="1631"/>
      <c r="AK563" s="1631"/>
      <c r="AL563" s="1631"/>
      <c r="AM563" s="1631"/>
      <c r="AN563" s="1631"/>
      <c r="AO563" s="1631"/>
      <c r="AP563" s="1631"/>
      <c r="AQ563" s="1631"/>
      <c r="AR563" s="1631"/>
      <c r="AS563" s="1631"/>
      <c r="AT563" s="1631"/>
    </row>
  </sheetData>
  <phoneticPr fontId="2" type="noConversion"/>
  <pageMargins left="0.75" right="0.75" top="1" bottom="1" header="0.5" footer="0.5"/>
  <pageSetup orientation="landscape"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tabColor indexed="24"/>
  </sheetPr>
  <dimension ref="B2:AW85"/>
  <sheetViews>
    <sheetView zoomScale="70" workbookViewId="0">
      <selection activeCell="C6" sqref="C6:D28"/>
    </sheetView>
  </sheetViews>
  <sheetFormatPr defaultRowHeight="12.75" outlineLevelRow="1" outlineLevelCol="1"/>
  <cols>
    <col min="2" max="2" width="12.42578125" bestFit="1" customWidth="1"/>
    <col min="3" max="3" width="1.7109375" customWidth="1"/>
    <col min="4" max="4" width="18.28515625" customWidth="1"/>
    <col min="5" max="5" width="8.7109375" customWidth="1" outlineLevel="1"/>
    <col min="6" max="6" width="8.7109375" customWidth="1"/>
    <col min="7" max="7" width="14.42578125" customWidth="1" outlineLevel="1"/>
    <col min="8" max="8" width="8.7109375" customWidth="1"/>
    <col min="9" max="9" width="10.140625" hidden="1" customWidth="1" outlineLevel="1"/>
    <col min="10" max="10" width="8.7109375" customWidth="1" collapsed="1"/>
    <col min="11" max="11" width="8.7109375" customWidth="1"/>
    <col min="12" max="12" width="10.85546875" customWidth="1" outlineLevel="1"/>
    <col min="13" max="13" width="9.5703125" customWidth="1" outlineLevel="1"/>
    <col min="14" max="14" width="10.140625" customWidth="1"/>
    <col min="15" max="15" width="10.140625" bestFit="1" customWidth="1"/>
    <col min="16" max="18" width="8.140625" style="15" customWidth="1"/>
    <col min="19" max="19" width="4.28515625" style="15" customWidth="1"/>
    <col min="20" max="20" width="19" style="15" customWidth="1"/>
    <col min="21" max="21" width="15.7109375" style="15" customWidth="1"/>
    <col min="22" max="22" width="15.85546875" style="15" customWidth="1"/>
    <col min="23" max="25" width="13.42578125" style="15" bestFit="1" customWidth="1"/>
    <col min="26" max="26" width="13.42578125" style="124" bestFit="1" customWidth="1"/>
    <col min="27" max="27" width="13.42578125" style="124" customWidth="1"/>
    <col min="28" max="28" width="30.28515625" style="1595" bestFit="1" customWidth="1"/>
    <col min="29" max="29" width="8.140625" style="15" hidden="1" customWidth="1" outlineLevel="1"/>
    <col min="30" max="30" width="8.140625" style="15" customWidth="1" collapsed="1"/>
    <col min="31" max="33" width="8.140625" style="15" customWidth="1"/>
    <col min="34" max="34" width="8.7109375" style="15" bestFit="1" customWidth="1"/>
    <col min="35" max="39" width="8.140625" style="15" customWidth="1"/>
    <col min="40" max="40" width="1.7109375" customWidth="1"/>
    <col min="41" max="41" width="18.28515625" customWidth="1"/>
    <col min="42" max="44" width="8.7109375" customWidth="1"/>
    <col min="45" max="45" width="1.5703125" customWidth="1"/>
    <col min="46" max="46" width="8.42578125" customWidth="1"/>
    <col min="47" max="47" width="8.140625" customWidth="1"/>
    <col min="48" max="48" width="9.85546875" bestFit="1" customWidth="1"/>
  </cols>
  <sheetData>
    <row r="2" spans="2:39">
      <c r="E2" t="s">
        <v>8</v>
      </c>
      <c r="F2" t="s">
        <v>8</v>
      </c>
      <c r="G2" t="s">
        <v>8</v>
      </c>
      <c r="H2" t="s">
        <v>8</v>
      </c>
      <c r="I2" t="s">
        <v>8</v>
      </c>
      <c r="J2" t="s">
        <v>8</v>
      </c>
      <c r="K2" t="s">
        <v>8</v>
      </c>
      <c r="L2" t="s">
        <v>8</v>
      </c>
      <c r="M2" t="s">
        <v>8</v>
      </c>
    </row>
    <row r="3" spans="2:39">
      <c r="B3" s="712"/>
      <c r="F3" t="s">
        <v>604</v>
      </c>
      <c r="H3" t="s">
        <v>604</v>
      </c>
      <c r="I3" t="s">
        <v>604</v>
      </c>
      <c r="J3" t="s">
        <v>604</v>
      </c>
      <c r="K3" t="s">
        <v>604</v>
      </c>
      <c r="N3" t="s">
        <v>604</v>
      </c>
      <c r="O3" t="s">
        <v>604</v>
      </c>
    </row>
    <row r="4" spans="2:39">
      <c r="C4" s="1184" t="s">
        <v>468</v>
      </c>
      <c r="D4" s="33"/>
      <c r="E4" s="1073" t="s">
        <v>439</v>
      </c>
      <c r="F4" s="1073" t="s">
        <v>440</v>
      </c>
      <c r="G4" s="1073" t="s">
        <v>157</v>
      </c>
      <c r="H4" s="1073" t="s">
        <v>469</v>
      </c>
      <c r="I4" s="1073" t="s">
        <v>1468</v>
      </c>
      <c r="J4" s="1073" t="s">
        <v>439</v>
      </c>
      <c r="K4" s="1073" t="s">
        <v>439</v>
      </c>
      <c r="L4" s="1167"/>
      <c r="M4" s="1167"/>
      <c r="N4" s="1073"/>
      <c r="O4" s="1073"/>
      <c r="P4" s="1064"/>
      <c r="Q4" s="1073" t="s">
        <v>440</v>
      </c>
      <c r="R4" s="1064"/>
      <c r="S4" s="1064"/>
      <c r="T4" s="1064"/>
      <c r="U4" s="1064"/>
      <c r="V4" s="1064"/>
      <c r="W4" s="1064"/>
      <c r="X4" s="1064"/>
      <c r="Y4" s="1064"/>
      <c r="Z4" s="1064"/>
      <c r="AA4" s="1064"/>
      <c r="AB4" s="1596"/>
      <c r="AC4" s="1064"/>
      <c r="AD4" s="1064"/>
      <c r="AE4" s="1064"/>
      <c r="AF4" s="1064"/>
      <c r="AG4" s="1064"/>
      <c r="AH4" s="1064"/>
      <c r="AI4" s="1064"/>
      <c r="AJ4" s="1064"/>
      <c r="AK4" s="1064"/>
      <c r="AL4" s="1064"/>
      <c r="AM4" s="1064"/>
    </row>
    <row r="5" spans="2:39">
      <c r="C5" s="1184" t="s">
        <v>177</v>
      </c>
      <c r="D5" s="33"/>
      <c r="E5" s="1074" t="s">
        <v>799</v>
      </c>
      <c r="F5" s="1074" t="str">
        <f>+E5</f>
        <v>3Q12</v>
      </c>
      <c r="G5" s="1074" t="s">
        <v>156</v>
      </c>
      <c r="H5" s="1074" t="str">
        <f>+F5</f>
        <v>3Q12</v>
      </c>
      <c r="I5" s="1074" t="s">
        <v>442</v>
      </c>
      <c r="J5" s="1074" t="s">
        <v>1622</v>
      </c>
      <c r="K5" s="1074" t="s">
        <v>1381</v>
      </c>
      <c r="L5" s="1074" t="s">
        <v>159</v>
      </c>
      <c r="M5" s="1074" t="s">
        <v>155</v>
      </c>
      <c r="N5" s="1073" t="s">
        <v>158</v>
      </c>
      <c r="O5" s="1073" t="s">
        <v>444</v>
      </c>
      <c r="P5" s="819"/>
      <c r="Q5" s="1074" t="s">
        <v>683</v>
      </c>
      <c r="R5" s="819"/>
      <c r="S5" s="819"/>
      <c r="T5" s="819"/>
      <c r="U5" s="819"/>
      <c r="V5" s="819"/>
      <c r="W5" s="819"/>
      <c r="X5" s="819"/>
      <c r="Y5" s="819"/>
      <c r="Z5" s="1718">
        <f>0.98*Z7</f>
        <v>503.55340000000001</v>
      </c>
      <c r="AA5" s="897"/>
      <c r="AB5" s="142"/>
      <c r="AC5" s="819"/>
      <c r="AD5" s="819"/>
      <c r="AE5" s="819"/>
      <c r="AF5" s="819"/>
      <c r="AG5" s="819"/>
      <c r="AH5" s="819"/>
      <c r="AI5" s="819"/>
      <c r="AJ5" s="819"/>
      <c r="AK5" s="819"/>
      <c r="AL5" s="819"/>
      <c r="AM5" s="819"/>
    </row>
    <row r="6" spans="2:39">
      <c r="C6" s="1054" t="s">
        <v>445</v>
      </c>
      <c r="D6" s="210"/>
      <c r="E6" s="123"/>
      <c r="F6" s="210"/>
      <c r="G6" s="210"/>
      <c r="H6" s="210"/>
      <c r="I6" s="210"/>
      <c r="J6" s="210"/>
      <c r="K6" s="210"/>
      <c r="L6" s="210"/>
      <c r="M6" s="210"/>
      <c r="N6" s="210"/>
      <c r="O6" s="210"/>
      <c r="P6" s="23"/>
      <c r="Q6" s="210"/>
      <c r="R6" s="23"/>
      <c r="S6" s="23"/>
      <c r="T6" s="23"/>
      <c r="U6" s="819" t="s">
        <v>1292</v>
      </c>
      <c r="V6" s="819" t="s">
        <v>1293</v>
      </c>
      <c r="W6" s="819" t="s">
        <v>799</v>
      </c>
      <c r="X6" s="819" t="s">
        <v>1295</v>
      </c>
      <c r="Y6" s="1715" t="s">
        <v>1294</v>
      </c>
      <c r="Z6" s="1136" t="s">
        <v>637</v>
      </c>
      <c r="AA6" s="1136" t="s">
        <v>240</v>
      </c>
      <c r="AB6" s="1597"/>
      <c r="AC6" s="23"/>
      <c r="AD6" s="23"/>
      <c r="AE6" s="23"/>
      <c r="AF6" s="23"/>
      <c r="AG6" s="23"/>
      <c r="AH6" s="23"/>
      <c r="AI6" s="23"/>
      <c r="AJ6" s="23"/>
      <c r="AK6" s="23"/>
      <c r="AL6" s="23"/>
      <c r="AM6" s="23"/>
    </row>
    <row r="7" spans="2:39">
      <c r="C7" s="210"/>
      <c r="D7" s="210" t="s">
        <v>1050</v>
      </c>
      <c r="E7" s="1208">
        <v>367.72699999999998</v>
      </c>
      <c r="F7" s="758">
        <v>370.20388294255315</v>
      </c>
      <c r="G7" s="1055">
        <f t="shared" ref="G7:G13" si="0">+E7-F7</f>
        <v>-2.4768829425531749</v>
      </c>
      <c r="H7" s="758"/>
      <c r="I7" s="758"/>
      <c r="J7" s="758">
        <f>+IS!CU$9</f>
        <v>347.495</v>
      </c>
      <c r="K7" s="758">
        <f>+IS!CQ$9</f>
        <v>306.08713505872367</v>
      </c>
      <c r="L7" s="718">
        <f t="shared" ref="L7:L13" si="1">+IF(OR(E7&lt;0,J7&lt;0),"NM",(E7/J7-1))</f>
        <v>5.8222420466481406E-2</v>
      </c>
      <c r="M7" s="718">
        <f t="shared" ref="M7:M13" si="2">+IF(OR(E7&lt;0,K7&lt;0),"NM",(E7/K7-1))</f>
        <v>0.20138012311249387</v>
      </c>
      <c r="N7" s="718">
        <f t="shared" ref="N7:N13" si="3">+IF(OR(F7&lt;0,J7&lt;0),"NM",(F7/J7-1))</f>
        <v>6.5350243723084178E-2</v>
      </c>
      <c r="O7" s="718">
        <f t="shared" ref="O7:O13" si="4">+IF(OR(F7&lt;0,K7&lt;0),"NM",(F7/K7-1))</f>
        <v>0.20947220755138396</v>
      </c>
      <c r="P7" s="1065"/>
      <c r="Q7" s="758">
        <v>330.96795218324996</v>
      </c>
      <c r="R7" s="1065"/>
      <c r="S7" s="1705" t="s">
        <v>1495</v>
      </c>
      <c r="T7" s="1705"/>
      <c r="U7" s="1709" t="s">
        <v>1278</v>
      </c>
      <c r="V7" s="1709">
        <v>1892.5</v>
      </c>
      <c r="W7" s="1709">
        <f>+E13</f>
        <v>488.72999999999996</v>
      </c>
      <c r="X7" s="1709">
        <f>+SUM(IS!CT15:CU15)</f>
        <v>896.48199999999997</v>
      </c>
      <c r="Y7" s="1716">
        <f>+V7-SUM(W7:X7)</f>
        <v>507.28800000000001</v>
      </c>
      <c r="Z7" s="1716">
        <v>513.83000000000004</v>
      </c>
      <c r="AA7" s="1716">
        <f>+IS!CW15</f>
        <v>506.05899999999997</v>
      </c>
      <c r="AB7" s="1598"/>
      <c r="AC7" s="1065"/>
      <c r="AD7" s="1065"/>
      <c r="AE7" s="1065"/>
      <c r="AF7" s="1065"/>
      <c r="AG7" s="1065"/>
      <c r="AH7" s="1065"/>
      <c r="AI7" s="1065"/>
      <c r="AJ7" s="1065"/>
      <c r="AK7" s="1065"/>
      <c r="AL7" s="1065"/>
      <c r="AM7" s="1065"/>
    </row>
    <row r="8" spans="2:39">
      <c r="C8" s="210"/>
      <c r="D8" s="210" t="s">
        <v>1124</v>
      </c>
      <c r="E8" s="1208">
        <v>70.680999999999997</v>
      </c>
      <c r="F8" s="758">
        <v>68.658162745356535</v>
      </c>
      <c r="G8" s="1055">
        <f t="shared" si="0"/>
        <v>2.0228372546434628</v>
      </c>
      <c r="H8" s="758"/>
      <c r="I8" s="758"/>
      <c r="J8" s="758">
        <f>+IS!CU$10</f>
        <v>65.033999999999992</v>
      </c>
      <c r="K8" s="758">
        <f>+IS!CQ$10</f>
        <v>57.513920722041156</v>
      </c>
      <c r="L8" s="718">
        <f t="shared" si="1"/>
        <v>8.6831503521235254E-2</v>
      </c>
      <c r="M8" s="718">
        <f t="shared" si="2"/>
        <v>0.22893725749621519</v>
      </c>
      <c r="N8" s="718">
        <f t="shared" si="3"/>
        <v>5.5727200316089132E-2</v>
      </c>
      <c r="O8" s="718">
        <f t="shared" si="4"/>
        <v>0.19376599410035622</v>
      </c>
      <c r="P8" s="1065"/>
      <c r="Q8" s="758">
        <v>66.189148399500013</v>
      </c>
      <c r="R8" s="1065"/>
      <c r="S8" s="1705"/>
      <c r="T8" s="1705" t="s">
        <v>447</v>
      </c>
      <c r="U8" s="1709" t="s">
        <v>1280</v>
      </c>
      <c r="V8" s="1709">
        <v>596</v>
      </c>
      <c r="W8" s="1709">
        <f>+E16</f>
        <v>158.03800000000001</v>
      </c>
      <c r="X8" s="1709">
        <f>+SUM(IS!CT18:CU18)</f>
        <v>279.28100000000001</v>
      </c>
      <c r="Y8" s="1716">
        <f>+V8-SUM(W8:X8)</f>
        <v>158.68099999999998</v>
      </c>
      <c r="Z8" s="1716">
        <f>+(1-0.6631)*Z7</f>
        <v>173.10932700000001</v>
      </c>
      <c r="AA8" s="1716">
        <f>+IS!CW18</f>
        <v>158.08600000000001</v>
      </c>
      <c r="AB8" s="1598"/>
      <c r="AC8" s="1065"/>
      <c r="AD8" s="1065"/>
      <c r="AE8" s="1065"/>
      <c r="AF8" s="1065"/>
      <c r="AG8" s="1065"/>
      <c r="AH8" s="1065"/>
      <c r="AI8" s="1065"/>
      <c r="AJ8" s="1065"/>
      <c r="AK8" s="1065"/>
      <c r="AL8" s="1065"/>
      <c r="AM8" s="1065"/>
    </row>
    <row r="9" spans="2:39" outlineLevel="1">
      <c r="C9" s="210"/>
      <c r="D9" s="210" t="s">
        <v>1457</v>
      </c>
      <c r="E9" s="1208">
        <v>23.638000000000002</v>
      </c>
      <c r="F9" s="758">
        <v>20.259052096657449</v>
      </c>
      <c r="G9" s="1055">
        <f t="shared" si="0"/>
        <v>3.3789479033425529</v>
      </c>
      <c r="H9" s="758"/>
      <c r="I9" s="758"/>
      <c r="J9" s="758">
        <f>+IS!CU$11</f>
        <v>20.305</v>
      </c>
      <c r="K9" s="758">
        <f>+IS!CQ$11</f>
        <v>23.820327282895878</v>
      </c>
      <c r="L9" s="718">
        <f t="shared" si="1"/>
        <v>0.16414676188131017</v>
      </c>
      <c r="M9" s="718">
        <f t="shared" si="2"/>
        <v>-7.6542727868729177E-3</v>
      </c>
      <c r="N9" s="718">
        <f t="shared" si="3"/>
        <v>-2.2628861532898448E-3</v>
      </c>
      <c r="O9" s="718">
        <f t="shared" si="4"/>
        <v>-0.14950572021718578</v>
      </c>
      <c r="P9" s="1065"/>
      <c r="Q9" s="758">
        <v>24.703916599999999</v>
      </c>
      <c r="R9" s="1065"/>
      <c r="S9" s="1705"/>
      <c r="T9" s="1705" t="s">
        <v>1539</v>
      </c>
      <c r="U9" s="1709" t="s">
        <v>1279</v>
      </c>
      <c r="V9" s="1709">
        <v>412.5</v>
      </c>
      <c r="W9" s="1709">
        <f>+E18</f>
        <v>102.39400000000001</v>
      </c>
      <c r="X9" s="1709">
        <f>+SUM(IS!CT24:CU24)</f>
        <v>194.04599999999999</v>
      </c>
      <c r="Y9" s="1716">
        <f>+V9-SUM(W9:X9)</f>
        <v>116.06</v>
      </c>
      <c r="Z9" s="1716">
        <f>+Z7-Z10-Z8</f>
        <v>109.630673</v>
      </c>
      <c r="AA9" s="1716">
        <f>+IS!CW24</f>
        <v>108.28699999999999</v>
      </c>
      <c r="AB9" s="1598"/>
      <c r="AC9" s="1065"/>
      <c r="AD9" s="1065"/>
      <c r="AE9" s="1065"/>
      <c r="AF9" s="1065"/>
      <c r="AG9" s="1065"/>
      <c r="AH9" s="1065"/>
      <c r="AI9" s="1065"/>
      <c r="AJ9" s="1065"/>
      <c r="AK9" s="1065"/>
      <c r="AL9" s="1065"/>
      <c r="AM9" s="1065"/>
    </row>
    <row r="10" spans="2:39" outlineLevel="1">
      <c r="C10" s="210"/>
      <c r="D10" s="210" t="s">
        <v>1222</v>
      </c>
      <c r="E10" s="1208">
        <v>0.78300000000000003</v>
      </c>
      <c r="F10" s="758">
        <v>0.8171530390579157</v>
      </c>
      <c r="G10" s="1055">
        <f t="shared" si="0"/>
        <v>-3.4153039057915668E-2</v>
      </c>
      <c r="H10" s="758"/>
      <c r="I10" s="758"/>
      <c r="J10" s="758">
        <f>+IS!CU$12</f>
        <v>0.78100000000000003</v>
      </c>
      <c r="K10" s="758">
        <f>+IS!CQ$12</f>
        <v>0.79261693633926678</v>
      </c>
      <c r="L10" s="718">
        <f t="shared" si="1"/>
        <v>2.5608194622279701E-3</v>
      </c>
      <c r="M10" s="718">
        <f t="shared" si="2"/>
        <v>-1.2133145152919633E-2</v>
      </c>
      <c r="N10" s="718">
        <f t="shared" si="3"/>
        <v>4.6290703019098212E-2</v>
      </c>
      <c r="O10" s="718">
        <f t="shared" si="4"/>
        <v>3.0955814333175846E-2</v>
      </c>
      <c r="P10" s="1065"/>
      <c r="Q10" s="758">
        <v>0.91200000000000014</v>
      </c>
      <c r="R10" s="1065"/>
      <c r="S10" s="1705" t="s">
        <v>422</v>
      </c>
      <c r="T10" s="1705"/>
      <c r="U10" s="1709" t="s">
        <v>1277</v>
      </c>
      <c r="V10" s="1709">
        <v>882.5</v>
      </c>
      <c r="W10" s="1709">
        <f>+E20</f>
        <v>228.29799999999994</v>
      </c>
      <c r="X10" s="1709">
        <f>+SUM(IS!CT37:CU37)</f>
        <v>423.15499999999997</v>
      </c>
      <c r="Y10" s="1716">
        <f>+V10-SUM(W10:X10)</f>
        <v>231.04700000000003</v>
      </c>
      <c r="Z10" s="1716">
        <v>231.09</v>
      </c>
      <c r="AA10" s="1716">
        <f>+AA7-AA8-AA9</f>
        <v>239.68599999999998</v>
      </c>
      <c r="AB10" s="1598"/>
      <c r="AC10" s="1065"/>
      <c r="AD10" s="1065"/>
      <c r="AE10" s="1065"/>
      <c r="AF10" s="1065"/>
      <c r="AG10" s="1065"/>
      <c r="AH10" s="1065"/>
      <c r="AI10" s="1065"/>
      <c r="AJ10" s="1065"/>
      <c r="AK10" s="1065"/>
      <c r="AL10" s="1065"/>
      <c r="AM10" s="1065"/>
    </row>
    <row r="11" spans="2:39">
      <c r="C11" s="210" t="s">
        <v>1469</v>
      </c>
      <c r="D11" s="210"/>
      <c r="E11" s="1209">
        <f>SUM(E7:E10)</f>
        <v>462.82899999999995</v>
      </c>
      <c r="F11" s="1168">
        <v>459.93825082362508</v>
      </c>
      <c r="G11" s="1168">
        <f t="shared" si="0"/>
        <v>2.8907491763748681</v>
      </c>
      <c r="H11" s="717"/>
      <c r="I11" s="717"/>
      <c r="J11" s="1168">
        <f>SUM(J7:J10)</f>
        <v>433.61500000000001</v>
      </c>
      <c r="K11" s="1168">
        <f>SUM(K7:K10)</f>
        <v>388.214</v>
      </c>
      <c r="L11" s="718">
        <f t="shared" si="1"/>
        <v>6.7373130542070614E-2</v>
      </c>
      <c r="M11" s="718">
        <f t="shared" si="2"/>
        <v>0.19220069343197288</v>
      </c>
      <c r="N11" s="718">
        <f t="shared" si="3"/>
        <v>6.070650421139745E-2</v>
      </c>
      <c r="O11" s="718">
        <f t="shared" si="4"/>
        <v>0.18475441592427133</v>
      </c>
      <c r="P11" s="1066"/>
      <c r="Q11" s="1168">
        <v>422.77301718274998</v>
      </c>
      <c r="R11" s="1066"/>
      <c r="S11" s="1706"/>
      <c r="T11" s="1706" t="s">
        <v>423</v>
      </c>
      <c r="U11" s="1066">
        <f>882.5/1892.5</f>
        <v>0.46631439894319682</v>
      </c>
      <c r="V11" s="1066">
        <f t="shared" ref="V11:AA11" si="5">+V10/V7</f>
        <v>0.46631439894319682</v>
      </c>
      <c r="W11" s="1066">
        <f t="shared" si="5"/>
        <v>0.46712499744235053</v>
      </c>
      <c r="X11" s="1066">
        <f t="shared" si="5"/>
        <v>0.4720172853442679</v>
      </c>
      <c r="Y11" s="1717">
        <f t="shared" si="5"/>
        <v>0.4554552837835707</v>
      </c>
      <c r="Z11" s="1717">
        <f t="shared" si="5"/>
        <v>0.44974018644298697</v>
      </c>
      <c r="AA11" s="1717">
        <f t="shared" si="5"/>
        <v>0.47363252110919873</v>
      </c>
      <c r="AB11" s="1599"/>
      <c r="AC11" s="1066"/>
      <c r="AD11" s="1066"/>
      <c r="AE11" s="1066"/>
      <c r="AF11" s="1066"/>
      <c r="AG11" s="1066"/>
      <c r="AH11" s="1066"/>
      <c r="AI11" s="1066"/>
      <c r="AJ11" s="1066"/>
      <c r="AK11" s="1066"/>
      <c r="AL11" s="1066"/>
      <c r="AM11" s="1066"/>
    </row>
    <row r="12" spans="2:39">
      <c r="C12" s="210"/>
      <c r="D12" s="210" t="s">
        <v>1458</v>
      </c>
      <c r="E12" s="1208">
        <v>25.901</v>
      </c>
      <c r="F12" s="758">
        <v>23.861875000000001</v>
      </c>
      <c r="G12" s="1055">
        <f t="shared" si="0"/>
        <v>2.0391249999999985</v>
      </c>
      <c r="H12" s="758"/>
      <c r="I12" s="758"/>
      <c r="J12" s="758">
        <f>+IS!CU$14</f>
        <v>21.914999999999999</v>
      </c>
      <c r="K12" s="758">
        <f>+IS!CQ$14</f>
        <v>19.994</v>
      </c>
      <c r="L12" s="718">
        <f t="shared" si="1"/>
        <v>0.18188455395847591</v>
      </c>
      <c r="M12" s="718">
        <f t="shared" si="2"/>
        <v>0.29543863158947681</v>
      </c>
      <c r="N12" s="718">
        <f t="shared" si="3"/>
        <v>8.8837554186630197E-2</v>
      </c>
      <c r="O12" s="718">
        <f t="shared" si="4"/>
        <v>0.19345178553566078</v>
      </c>
      <c r="P12" s="1065"/>
      <c r="Q12" s="758">
        <v>21.05</v>
      </c>
      <c r="R12" s="1065"/>
      <c r="S12" s="1705" t="s">
        <v>431</v>
      </c>
      <c r="T12" s="1705"/>
      <c r="U12" s="1710" t="s">
        <v>1281</v>
      </c>
      <c r="V12" s="1710">
        <v>780</v>
      </c>
      <c r="W12" s="1710">
        <f>+E26</f>
        <v>212.11799999999999</v>
      </c>
      <c r="X12" s="1710">
        <f>+SUM(BS!CB133:CC133)</f>
        <v>341.97400000000005</v>
      </c>
      <c r="Y12" s="1716">
        <f>+V12-SUM(W12:X12)</f>
        <v>225.9079999999999</v>
      </c>
      <c r="Z12" s="1716">
        <v>180.46</v>
      </c>
      <c r="AA12" s="1716">
        <f>+BS!CE133</f>
        <v>210.40800000000002</v>
      </c>
      <c r="AB12" s="1598"/>
      <c r="AC12" s="1065"/>
      <c r="AD12" s="1065"/>
      <c r="AE12" s="1065"/>
      <c r="AF12" s="1065"/>
      <c r="AG12" s="1065"/>
      <c r="AH12" s="1065"/>
      <c r="AI12" s="1065"/>
      <c r="AJ12" s="1065"/>
      <c r="AK12" s="1065"/>
      <c r="AL12" s="1065"/>
      <c r="AM12" s="1065"/>
    </row>
    <row r="13" spans="2:39">
      <c r="C13" s="1054" t="s">
        <v>446</v>
      </c>
      <c r="D13" s="210"/>
      <c r="E13" s="923">
        <f>+E11+E12</f>
        <v>488.72999999999996</v>
      </c>
      <c r="F13" s="717">
        <v>483.80012582362508</v>
      </c>
      <c r="G13" s="1063">
        <f t="shared" si="0"/>
        <v>4.9298741763748808</v>
      </c>
      <c r="H13" s="1169">
        <v>493.59</v>
      </c>
      <c r="I13" s="1170">
        <f>+F13-H13</f>
        <v>-9.7898741763748944</v>
      </c>
      <c r="J13" s="717">
        <f>+J11+J12</f>
        <v>455.53000000000003</v>
      </c>
      <c r="K13" s="717">
        <f>+K11+K12</f>
        <v>408.20799999999997</v>
      </c>
      <c r="L13" s="718">
        <f t="shared" si="1"/>
        <v>7.2882137290628313E-2</v>
      </c>
      <c r="M13" s="718">
        <f t="shared" si="2"/>
        <v>0.19725728060204606</v>
      </c>
      <c r="N13" s="1171">
        <f t="shared" si="3"/>
        <v>6.2059855165686129E-2</v>
      </c>
      <c r="O13" s="1171">
        <f t="shared" si="4"/>
        <v>0.1851804124946721</v>
      </c>
      <c r="P13" s="1065"/>
      <c r="Q13" s="717">
        <v>443.82301718274999</v>
      </c>
      <c r="R13" s="1065"/>
      <c r="S13" s="1705"/>
      <c r="T13" s="1705" t="s">
        <v>424</v>
      </c>
      <c r="U13" s="1710" t="s">
        <v>1282</v>
      </c>
      <c r="V13" s="1710">
        <v>635</v>
      </c>
      <c r="W13" s="1709"/>
      <c r="X13" s="1710"/>
      <c r="Y13" s="1710"/>
      <c r="Z13" s="1711"/>
      <c r="AA13" s="1711"/>
      <c r="AB13" s="1598"/>
      <c r="AC13" s="1065"/>
      <c r="AD13" s="1065"/>
      <c r="AE13" s="1065"/>
      <c r="AF13" s="1065"/>
      <c r="AG13" s="1065"/>
      <c r="AH13" s="1065"/>
      <c r="AI13" s="1065"/>
      <c r="AJ13" s="1065"/>
      <c r="AK13" s="1065"/>
      <c r="AL13" s="1065"/>
      <c r="AM13" s="1065"/>
    </row>
    <row r="14" spans="2:39">
      <c r="C14" s="1054"/>
      <c r="D14" s="210"/>
      <c r="E14" s="123"/>
      <c r="F14" s="1055"/>
      <c r="G14" s="1055"/>
      <c r="H14" s="1055"/>
      <c r="I14" s="1055"/>
      <c r="J14" s="1055"/>
      <c r="K14" s="1055"/>
      <c r="L14" s="759"/>
      <c r="M14" s="759"/>
      <c r="N14" s="759"/>
      <c r="O14" s="759"/>
      <c r="P14" s="1067"/>
      <c r="Q14" s="1055"/>
      <c r="R14" s="1067"/>
      <c r="S14" s="1707"/>
      <c r="T14" s="1707" t="s">
        <v>425</v>
      </c>
      <c r="U14" s="1583">
        <v>145</v>
      </c>
      <c r="V14" s="1583">
        <v>145</v>
      </c>
      <c r="W14" s="1583"/>
      <c r="X14" s="1583"/>
      <c r="Y14" s="1583">
        <f>1890-SUM(W7:X7)</f>
        <v>504.78800000000001</v>
      </c>
      <c r="Z14" s="1712">
        <f>1895-SUM(W7:X7)</f>
        <v>509.78800000000001</v>
      </c>
      <c r="AA14" s="1712"/>
      <c r="AB14" s="1600"/>
      <c r="AC14" s="1067"/>
      <c r="AD14" s="1067"/>
      <c r="AE14" s="1067"/>
      <c r="AF14" s="1067"/>
      <c r="AG14" s="1067"/>
      <c r="AH14" s="1067"/>
      <c r="AI14" s="1067"/>
      <c r="AJ14" s="1067"/>
      <c r="AK14" s="1067"/>
      <c r="AL14" s="1067"/>
      <c r="AM14" s="1067"/>
    </row>
    <row r="15" spans="2:39">
      <c r="C15" s="1054" t="s">
        <v>172</v>
      </c>
      <c r="D15" s="210"/>
      <c r="E15" s="123"/>
      <c r="F15" s="1055"/>
      <c r="G15" s="1055"/>
      <c r="H15" s="1055"/>
      <c r="I15" s="1055"/>
      <c r="J15" s="1055"/>
      <c r="K15" s="1055"/>
      <c r="L15" s="759"/>
      <c r="M15" s="759"/>
      <c r="N15" s="759"/>
      <c r="O15" s="759"/>
      <c r="P15" s="1068"/>
      <c r="Q15" s="1055"/>
      <c r="R15" s="1068"/>
      <c r="S15" s="1708"/>
      <c r="T15" s="1708" t="s">
        <v>800</v>
      </c>
      <c r="U15" s="1068">
        <f>780/1892.5</f>
        <v>0.41215323645970936</v>
      </c>
      <c r="V15" s="1068">
        <f>+V12/V7</f>
        <v>0.41215323645970936</v>
      </c>
      <c r="W15" s="1068"/>
      <c r="X15" s="1068"/>
      <c r="Y15" s="1583">
        <f>880-SUM(W10:X10)</f>
        <v>228.54700000000003</v>
      </c>
      <c r="Z15" s="1712">
        <f>885-SUM(W10:X10)</f>
        <v>233.54700000000003</v>
      </c>
      <c r="AA15" s="1068"/>
      <c r="AB15" s="1601"/>
      <c r="AC15" s="1068"/>
      <c r="AD15" s="1068"/>
      <c r="AE15" s="1068"/>
      <c r="AF15" s="1068"/>
      <c r="AG15" s="1068"/>
      <c r="AH15" s="1068"/>
      <c r="AI15" s="1068"/>
      <c r="AJ15" s="1068"/>
      <c r="AK15" s="1068"/>
      <c r="AL15" s="1068"/>
      <c r="AM15" s="1068"/>
    </row>
    <row r="16" spans="2:39">
      <c r="C16" s="210" t="s">
        <v>447</v>
      </c>
      <c r="D16" s="210"/>
      <c r="E16" s="1208">
        <f>251.487-91.723-1.726</f>
        <v>158.03800000000001</v>
      </c>
      <c r="F16" s="758">
        <v>158.686441270149</v>
      </c>
      <c r="G16" s="1055">
        <f>+F16-E16</f>
        <v>0.648441270148993</v>
      </c>
      <c r="H16" s="758"/>
      <c r="I16" s="758"/>
      <c r="J16" s="758">
        <f>+IS!CU$18</f>
        <v>141.352</v>
      </c>
      <c r="K16" s="758">
        <f>+IS!CQ$18</f>
        <v>139.96700000000001</v>
      </c>
      <c r="L16" s="718">
        <f>+IF(OR(E16&lt;0,J16&lt;0),"NM",(E16/J16-1))</f>
        <v>0.11804572980927053</v>
      </c>
      <c r="M16" s="718">
        <f>+IF(OR(E16&lt;0,K16&lt;0),"NM",(E16/K16-1))</f>
        <v>0.12910900426529115</v>
      </c>
      <c r="N16" s="718">
        <f>+IF(OR(F16&lt;0,J16&lt;0),"NM",(F16/J16-1))</f>
        <v>0.1226331517781778</v>
      </c>
      <c r="O16" s="718">
        <f>+IF(OR(F16&lt;0,K16&lt;0),"NM",(F16/K16-1))</f>
        <v>0.13374181964426612</v>
      </c>
      <c r="P16" s="1065"/>
      <c r="Q16" s="758">
        <v>152.67511791086594</v>
      </c>
      <c r="R16" s="1065"/>
      <c r="S16" s="1705"/>
      <c r="T16" s="1705"/>
      <c r="U16" s="1065"/>
      <c r="V16" s="1065"/>
      <c r="W16" s="1065"/>
      <c r="X16" s="1065"/>
      <c r="Y16" s="1065"/>
      <c r="Z16" s="1066"/>
      <c r="AA16" s="1066"/>
      <c r="AB16" s="1598"/>
      <c r="AC16" s="1065"/>
      <c r="AD16" s="1065"/>
      <c r="AE16" s="1065"/>
      <c r="AF16" s="1065"/>
      <c r="AG16" s="1065"/>
      <c r="AH16" s="1065"/>
      <c r="AI16" s="1065"/>
      <c r="AJ16" s="1065"/>
      <c r="AK16" s="1065"/>
      <c r="AL16" s="1065"/>
      <c r="AM16" s="1065"/>
    </row>
    <row r="17" spans="3:39" ht="12.75" customHeight="1">
      <c r="C17" s="210"/>
      <c r="D17" s="1086" t="s">
        <v>989</v>
      </c>
      <c r="E17" s="1210">
        <f>1-E16/E13</f>
        <v>0.67663536103779176</v>
      </c>
      <c r="F17" s="1084">
        <v>0.67200000000000004</v>
      </c>
      <c r="G17" s="1087">
        <f>+IF(OR(E17&lt;0,F17&lt;0),"NM",(E17-F17)*10000)</f>
        <v>46.353610377917185</v>
      </c>
      <c r="H17" s="1084"/>
      <c r="I17" s="1084"/>
      <c r="J17" s="1084">
        <f>1-J16/J13</f>
        <v>0.68969771474985175</v>
      </c>
      <c r="K17" s="1084">
        <f>1-K16/K13</f>
        <v>0.65711842982009161</v>
      </c>
      <c r="L17" s="1087">
        <f>+IF(OR(E17&lt;0,J17&lt;0),"NM",(E17-J17)*10000)</f>
        <v>-130.62353712059993</v>
      </c>
      <c r="M17" s="1087">
        <f>+IF(OR(E17&lt;0,K17&lt;0),"NM",(E17-K17)*10000)</f>
        <v>195.1693121770015</v>
      </c>
      <c r="N17" s="1087">
        <f>+IF(OR(F17&lt;0,J17&lt;0),"NM",(F17-J17)*10000)</f>
        <v>-176.97714749851713</v>
      </c>
      <c r="O17" s="1087">
        <f>+IF(OR(F17&lt;0,K17&lt;0),"NM",(F17-K17)*10000)</f>
        <v>148.81570179908431</v>
      </c>
      <c r="P17" s="1069"/>
      <c r="Q17" s="1084">
        <v>0.65600000000000014</v>
      </c>
      <c r="R17" s="1069"/>
      <c r="S17" s="1069"/>
      <c r="T17" s="1069"/>
      <c r="U17" s="1069"/>
      <c r="V17" s="1069"/>
      <c r="W17" s="1069"/>
      <c r="X17" s="1069"/>
      <c r="Y17" s="1583">
        <v>20700</v>
      </c>
      <c r="Z17" s="1719">
        <f>+Y17/Y18-1</f>
        <v>4.020100502512558E-2</v>
      </c>
      <c r="AA17" s="1713">
        <f>+(Z17-Z18)*10000</f>
        <v>7107.3080634962889</v>
      </c>
      <c r="AB17" s="1602"/>
      <c r="AC17" s="1069"/>
      <c r="AD17" s="1069"/>
      <c r="AE17" s="1069"/>
      <c r="AF17" s="1069"/>
      <c r="AG17" s="1069"/>
      <c r="AH17" s="1069"/>
      <c r="AI17" s="1069"/>
      <c r="AJ17" s="1069"/>
      <c r="AK17" s="1069"/>
      <c r="AL17" s="1069"/>
      <c r="AM17" s="1069"/>
    </row>
    <row r="18" spans="3:39">
      <c r="C18" s="210" t="s">
        <v>1539</v>
      </c>
      <c r="D18" s="210"/>
      <c r="E18" s="1208">
        <f>(53.211-6.296-4.795)+(83.621-7.431-15.916)</f>
        <v>102.39400000000001</v>
      </c>
      <c r="F18" s="758">
        <v>110.06452862487471</v>
      </c>
      <c r="G18" s="1055">
        <f>+F18-E18</f>
        <v>7.6705286248747058</v>
      </c>
      <c r="H18" s="758"/>
      <c r="I18" s="758"/>
      <c r="J18" s="758">
        <f>+IS!CU$24</f>
        <v>97.75800000000001</v>
      </c>
      <c r="K18" s="758">
        <f>+IS!CQ$24</f>
        <v>81.412999999999997</v>
      </c>
      <c r="L18" s="718">
        <f>+IF(OR(E18&lt;0,J18&lt;0),"NM",(E18/J18-1))</f>
        <v>4.7423228789459593E-2</v>
      </c>
      <c r="M18" s="718">
        <f>+IF(OR(E18&lt;0,K18&lt;0),"NM",(E18/K18-1))</f>
        <v>0.25771068502573313</v>
      </c>
      <c r="N18" s="718">
        <f>+IF(OR(F18&lt;0,J18&lt;0),"NM",(F18/J18-1))</f>
        <v>0.12588768821860818</v>
      </c>
      <c r="O18" s="718">
        <f>+IF(OR(F18&lt;0,K18&lt;0),"NM",(F18/K18-1))</f>
        <v>0.35192817639535101</v>
      </c>
      <c r="P18" s="1065"/>
      <c r="Q18" s="758">
        <v>87.433134385001736</v>
      </c>
      <c r="R18" s="1065"/>
      <c r="S18" s="1065"/>
      <c r="T18" s="1065"/>
      <c r="U18" s="1065"/>
      <c r="V18" s="1065"/>
      <c r="W18" s="1065"/>
      <c r="X18" s="1065"/>
      <c r="Y18" s="1583">
        <v>19900</v>
      </c>
      <c r="Z18" s="1719">
        <f>+Y18/Y19-1</f>
        <v>-0.67052980132450335</v>
      </c>
      <c r="AA18" s="1713">
        <f>+(Z18-Z19)*10000</f>
        <v>-6977.4068567824488</v>
      </c>
      <c r="AB18" s="1598"/>
      <c r="AC18" s="1065"/>
      <c r="AD18" s="1065"/>
      <c r="AE18" s="1065"/>
      <c r="AF18" s="1065"/>
      <c r="AG18" s="1065"/>
      <c r="AH18" s="1065"/>
      <c r="AI18" s="1065"/>
      <c r="AJ18" s="1065"/>
      <c r="AK18" s="1065"/>
      <c r="AL18" s="1065"/>
      <c r="AM18" s="1065"/>
    </row>
    <row r="19" spans="3:39">
      <c r="C19" s="210"/>
      <c r="D19" s="740" t="s">
        <v>173</v>
      </c>
      <c r="E19" s="799">
        <f>+E18/E13</f>
        <v>0.20951036359544128</v>
      </c>
      <c r="F19" s="191">
        <v>0.22750000000000001</v>
      </c>
      <c r="G19" s="1173">
        <f>+IF(OR(F19&lt;0,E19&lt;0),"NM",(F19-E19)*10000)</f>
        <v>179.89636404558723</v>
      </c>
      <c r="H19" s="191"/>
      <c r="I19" s="191"/>
      <c r="J19" s="191">
        <f>+J18/J13</f>
        <v>0.21460277039931508</v>
      </c>
      <c r="K19" s="191">
        <f>+K18/K13</f>
        <v>0.1994399913769451</v>
      </c>
      <c r="L19" s="1174">
        <f>+IF(OR(E19&lt;0,J19&lt;0),"NM",(E19/J19-1))</f>
        <v>-2.3729455096960117E-2</v>
      </c>
      <c r="M19" s="1174">
        <f>+IF(OR(E19&lt;0,K19&lt;0),"NM",(E19/K19-1))</f>
        <v>5.0493244353701394E-2</v>
      </c>
      <c r="N19" s="1174">
        <f>+IF(OR(F19&lt;0,J19&lt;0),"NM",(F19/J19-1))</f>
        <v>6.0098150534994677E-2</v>
      </c>
      <c r="O19" s="1174">
        <f>+IF(OR(F19&lt;0,K19&lt;0),"NM",(F19/K19-1))</f>
        <v>0.1406939923599424</v>
      </c>
      <c r="P19" s="925"/>
      <c r="Q19" s="191">
        <v>0.19699999999999998</v>
      </c>
      <c r="R19" s="925"/>
      <c r="S19" s="925"/>
      <c r="T19" s="925"/>
      <c r="U19" s="925"/>
      <c r="V19" s="925"/>
      <c r="W19" s="925"/>
      <c r="X19" s="925"/>
      <c r="Y19" s="1583">
        <v>60400</v>
      </c>
      <c r="Z19" s="1719">
        <f>+Y19/Y20-1</f>
        <v>2.7210884353741527E-2</v>
      </c>
      <c r="AA19" s="1713">
        <f>+(Z19-Z20)*10000</f>
        <v>-7.6114361828638621</v>
      </c>
      <c r="AB19" s="1603"/>
      <c r="AC19" s="925"/>
      <c r="AD19" s="925"/>
      <c r="AE19" s="925"/>
      <c r="AF19" s="925"/>
      <c r="AG19" s="925"/>
      <c r="AH19" s="925"/>
      <c r="AI19" s="925"/>
      <c r="AJ19" s="925"/>
      <c r="AK19" s="925"/>
      <c r="AL19" s="925"/>
      <c r="AM19" s="925"/>
    </row>
    <row r="20" spans="3:39">
      <c r="C20" s="1054" t="s">
        <v>188</v>
      </c>
      <c r="D20" s="210"/>
      <c r="E20" s="923">
        <f>+E13-E16-E18</f>
        <v>228.29799999999994</v>
      </c>
      <c r="F20" s="1085">
        <v>215.04915592860141</v>
      </c>
      <c r="G20" s="1063">
        <f>+E20-F20</f>
        <v>13.248844071398537</v>
      </c>
      <c r="H20" s="1169">
        <v>222.01</v>
      </c>
      <c r="I20" s="1170">
        <f>+F20-H20</f>
        <v>-6.9608440713985829</v>
      </c>
      <c r="J20" s="1085">
        <f>+IS!CU$37</f>
        <v>216.42</v>
      </c>
      <c r="K20" s="1085">
        <f>+IS!CQ$37</f>
        <v>186.82799999999997</v>
      </c>
      <c r="L20" s="1056">
        <f>+IF(OR(E20&lt;0,J20&lt;0),"NM",(E20/J20-1))</f>
        <v>5.4884021809444405E-2</v>
      </c>
      <c r="M20" s="1056">
        <f>+IF(OR(E20&lt;0,K20&lt;0),"NM",(E20/K20-1))</f>
        <v>0.22196886976256214</v>
      </c>
      <c r="N20" s="1056">
        <f>+IF(OR(F20&lt;0,J20&lt;0),"NM",(F20/J20-1))</f>
        <v>-6.3341838619285218E-3</v>
      </c>
      <c r="O20" s="1056">
        <f>+IF(OR(F20&lt;0,K20&lt;0),"NM",(F20/K20-1))</f>
        <v>0.15105420990751628</v>
      </c>
      <c r="P20" s="1070"/>
      <c r="Q20" s="1085">
        <v>203.71476488688234</v>
      </c>
      <c r="R20" s="1070"/>
      <c r="S20" s="1070"/>
      <c r="T20" s="1070"/>
      <c r="U20" s="1070"/>
      <c r="V20" s="1070"/>
      <c r="W20" s="1070"/>
      <c r="X20" s="1070"/>
      <c r="Y20" s="1583">
        <v>58800</v>
      </c>
      <c r="Z20" s="1719">
        <f>+Y20/Y21-1</f>
        <v>2.7972027972027913E-2</v>
      </c>
      <c r="AA20" s="1713">
        <f>+(Z20-Z21)*10000</f>
        <v>279.72027972027911</v>
      </c>
      <c r="AB20" s="1604"/>
      <c r="AC20" s="1070"/>
      <c r="AD20" s="1070"/>
      <c r="AE20" s="1070"/>
      <c r="AF20" s="1070"/>
      <c r="AG20" s="1070"/>
      <c r="AH20" s="1070"/>
      <c r="AI20" s="1070"/>
      <c r="AJ20" s="1070"/>
      <c r="AK20" s="1070"/>
      <c r="AL20" s="1070"/>
      <c r="AM20" s="1070"/>
    </row>
    <row r="21" spans="3:39">
      <c r="C21" s="1086"/>
      <c r="D21" s="1086" t="s">
        <v>995</v>
      </c>
      <c r="E21" s="1210">
        <f>+E20/E13</f>
        <v>0.46712499744235053</v>
      </c>
      <c r="F21" s="1084">
        <v>0.44450000000000012</v>
      </c>
      <c r="G21" s="1087">
        <f>+IF(OR(E21&lt;0,F21&lt;0),"NM",(E21-F21)*10000)</f>
        <v>226.24997442350414</v>
      </c>
      <c r="H21" s="1084">
        <f>+H20/H13</f>
        <v>0.44978625985129361</v>
      </c>
      <c r="I21" s="1087">
        <f>+(F21-H21)*10000</f>
        <v>-52.862598512934952</v>
      </c>
      <c r="J21" s="1084">
        <f>+J20/J13</f>
        <v>0.47509494435053667</v>
      </c>
      <c r="K21" s="1084">
        <f>+K20/K13</f>
        <v>0.4576784384431466</v>
      </c>
      <c r="L21" s="1172">
        <f>+IF(OR(E21&lt;0,J21&lt;0),"NM",(E21-J21)*10000)</f>
        <v>-79.699469081861423</v>
      </c>
      <c r="M21" s="1087">
        <f>+IF(OR(E21&lt;0,K21&lt;0),"NM",(E21-K21)*10000)</f>
        <v>94.465589992039355</v>
      </c>
      <c r="N21" s="1087">
        <f>+IF(OR(F21&lt;0,J21&lt;0),"NM",(F21-J21)*10000)</f>
        <v>-305.94944350536559</v>
      </c>
      <c r="O21" s="1087">
        <f>+IF(OR(F21&lt;0,K21&lt;0),"NM",(F21-K21)*10000)</f>
        <v>-131.78438443146479</v>
      </c>
      <c r="P21" s="1071"/>
      <c r="Q21" s="1084">
        <v>0.45900000000000019</v>
      </c>
      <c r="R21" s="1071"/>
      <c r="S21" s="1071"/>
      <c r="T21" s="1071"/>
      <c r="U21" s="1071"/>
      <c r="V21" s="1071"/>
      <c r="W21" s="1071"/>
      <c r="X21" s="1071"/>
      <c r="Y21" s="1583">
        <v>57200</v>
      </c>
      <c r="Z21" s="1714"/>
      <c r="AA21" s="1714"/>
      <c r="AB21" s="1605"/>
      <c r="AC21" s="1071"/>
      <c r="AD21" s="1071"/>
      <c r="AE21" s="1071"/>
      <c r="AF21" s="1071"/>
      <c r="AG21" s="1071"/>
      <c r="AH21" s="1071"/>
      <c r="AI21" s="1071"/>
      <c r="AJ21" s="1071"/>
      <c r="AK21" s="1071"/>
      <c r="AL21" s="1071"/>
      <c r="AM21" s="1071"/>
    </row>
    <row r="22" spans="3:39" ht="5.0999999999999996" customHeight="1">
      <c r="C22" s="1086"/>
      <c r="D22" s="210"/>
      <c r="E22" s="1210"/>
      <c r="F22" s="1084"/>
      <c r="G22" s="1087"/>
      <c r="H22" s="1084"/>
      <c r="I22" s="1172"/>
      <c r="J22" s="1084"/>
      <c r="K22" s="1084"/>
      <c r="L22" s="1172"/>
      <c r="M22" s="1087"/>
      <c r="N22" s="1172"/>
      <c r="O22" s="1172"/>
      <c r="P22" s="1071"/>
      <c r="Q22" s="1084"/>
      <c r="R22" s="1071"/>
      <c r="S22" s="1071"/>
      <c r="T22" s="1071"/>
      <c r="U22" s="1071"/>
      <c r="V22" s="1071"/>
      <c r="W22" s="1071"/>
      <c r="X22" s="1071"/>
      <c r="Y22" s="1071"/>
      <c r="Z22" s="1714"/>
      <c r="AA22" s="1714"/>
      <c r="AB22" s="1605"/>
      <c r="AC22" s="1071"/>
      <c r="AD22" s="1071"/>
      <c r="AE22" s="1071"/>
      <c r="AF22" s="1071"/>
      <c r="AG22" s="1071"/>
      <c r="AH22" s="1071"/>
      <c r="AI22" s="1071"/>
      <c r="AJ22" s="1071"/>
      <c r="AK22" s="1071"/>
      <c r="AL22" s="1071"/>
      <c r="AM22" s="1071"/>
    </row>
    <row r="23" spans="3:39">
      <c r="C23" s="1054" t="s">
        <v>1465</v>
      </c>
      <c r="D23" s="1054"/>
      <c r="E23" s="1704">
        <v>0.57999999999999996</v>
      </c>
      <c r="F23" s="1175">
        <v>0.72825904436779931</v>
      </c>
      <c r="G23" s="1176">
        <f>+E23-F23</f>
        <v>-0.14825904436779935</v>
      </c>
      <c r="H23" s="1177">
        <v>0.59</v>
      </c>
      <c r="I23" s="1176">
        <f>+F23-H23</f>
        <v>0.13825904436779934</v>
      </c>
      <c r="J23" s="1175">
        <f>+IS!CU$100</f>
        <v>0.69626177150388691</v>
      </c>
      <c r="K23" s="1175">
        <f>+IS!CQ$100</f>
        <v>0.41038316333979857</v>
      </c>
      <c r="L23" s="1171">
        <f>+IF(OR(E23&lt;0,J23&lt;0),"NM",(E23/J23-1))</f>
        <v>-0.1669799725651574</v>
      </c>
      <c r="M23" s="1171">
        <f>+IF(OR(E23&lt;0,K23&lt;0),"NM",(E23/K23-1))</f>
        <v>0.41331334180432266</v>
      </c>
      <c r="N23" s="1171">
        <f>+IF(OR(F23&lt;0,J23&lt;0),"NM",(F23/J23-1))</f>
        <v>4.5955808825752564E-2</v>
      </c>
      <c r="O23" s="1171">
        <f>+IF(OR(F23&lt;0,K23&lt;0),"NM",(F23/K23-1))</f>
        <v>0.77458314430116748</v>
      </c>
      <c r="P23" s="1072"/>
      <c r="Q23" s="1175">
        <v>0.55504413367839689</v>
      </c>
      <c r="R23" s="1072"/>
      <c r="S23" s="1072"/>
      <c r="T23" s="1072"/>
      <c r="U23" s="1072"/>
      <c r="V23" s="1072"/>
      <c r="W23" s="1072"/>
      <c r="X23" s="1072"/>
      <c r="Y23" s="1072"/>
      <c r="Z23" s="918"/>
      <c r="AA23" s="918"/>
      <c r="AB23" s="1606"/>
      <c r="AC23" s="1072"/>
      <c r="AD23" s="1072"/>
      <c r="AE23" s="1072"/>
      <c r="AF23" s="1072"/>
      <c r="AG23" s="1072"/>
      <c r="AH23" s="1072"/>
      <c r="AI23" s="1072"/>
      <c r="AJ23" s="1072"/>
      <c r="AK23" s="1072"/>
      <c r="AL23" s="1072"/>
      <c r="AM23" s="1072"/>
    </row>
    <row r="24" spans="3:39" ht="5.0999999999999996" customHeight="1">
      <c r="C24" s="210"/>
      <c r="D24" s="210"/>
      <c r="E24" s="1211"/>
      <c r="F24" s="1178"/>
      <c r="G24" s="1179"/>
      <c r="H24" s="1180"/>
      <c r="I24" s="1179"/>
      <c r="J24" s="1178"/>
      <c r="K24" s="1178"/>
      <c r="L24" s="1171"/>
      <c r="M24" s="1171"/>
      <c r="N24" s="1171"/>
      <c r="O24" s="1171"/>
      <c r="P24" s="1072"/>
      <c r="Q24" s="1178"/>
      <c r="R24" s="1072"/>
      <c r="S24" s="1072"/>
      <c r="T24" s="1072"/>
      <c r="U24" s="1072"/>
      <c r="V24" s="1072"/>
      <c r="W24" s="1072"/>
      <c r="X24" s="1072"/>
      <c r="Y24" s="1072"/>
      <c r="Z24" s="918"/>
      <c r="AA24" s="918"/>
      <c r="AB24" s="1606"/>
      <c r="AC24" s="1072"/>
      <c r="AD24" s="1072"/>
      <c r="AE24" s="1072"/>
      <c r="AF24" s="1072"/>
      <c r="AG24" s="1072"/>
      <c r="AH24" s="1072"/>
      <c r="AI24" s="1072"/>
      <c r="AJ24" s="1072"/>
      <c r="AK24" s="1072"/>
      <c r="AL24" s="1072"/>
      <c r="AM24" s="1072"/>
    </row>
    <row r="25" spans="3:39">
      <c r="C25" s="210" t="s">
        <v>994</v>
      </c>
      <c r="D25" s="210"/>
      <c r="E25" s="1209">
        <f>+E20</f>
        <v>228.29799999999994</v>
      </c>
      <c r="F25" s="1055">
        <v>215.04915592860141</v>
      </c>
      <c r="G25" s="1055">
        <f>+E25-F25</f>
        <v>13.248844071398537</v>
      </c>
      <c r="H25" s="1180"/>
      <c r="I25" s="1179"/>
      <c r="J25" s="1055">
        <f>+J20</f>
        <v>216.42</v>
      </c>
      <c r="K25" s="1055">
        <f>+K20</f>
        <v>186.82799999999997</v>
      </c>
      <c r="L25" s="1171"/>
      <c r="M25" s="1171"/>
      <c r="N25" s="718">
        <f>+N20</f>
        <v>-6.3341838619285218E-3</v>
      </c>
      <c r="O25" s="718">
        <f>+O20</f>
        <v>0.15105420990751628</v>
      </c>
      <c r="P25" s="1072"/>
      <c r="Q25" s="1055">
        <v>203.71476488688234</v>
      </c>
      <c r="R25" s="1072"/>
      <c r="S25" s="1072"/>
      <c r="T25" s="1072"/>
      <c r="U25" s="1072"/>
      <c r="V25" s="1072"/>
      <c r="W25" s="1072"/>
      <c r="X25" s="1072"/>
      <c r="Y25" s="1072"/>
      <c r="Z25" s="918"/>
      <c r="AA25" s="918"/>
      <c r="AB25" s="1606"/>
      <c r="AC25" s="1072"/>
      <c r="AD25" s="1072"/>
      <c r="AE25" s="1072"/>
      <c r="AF25" s="1072"/>
      <c r="AG25" s="1072"/>
      <c r="AH25" s="1072"/>
      <c r="AI25" s="1072"/>
      <c r="AJ25" s="1072"/>
      <c r="AK25" s="1072"/>
      <c r="AL25" s="1072"/>
      <c r="AM25" s="1072"/>
    </row>
    <row r="26" spans="3:39">
      <c r="C26" s="210" t="s">
        <v>195</v>
      </c>
      <c r="D26" s="210"/>
      <c r="E26" s="1208">
        <v>212.11799999999999</v>
      </c>
      <c r="F26" s="758">
        <v>250.31600880765376</v>
      </c>
      <c r="G26" s="1055">
        <f>+F26-E26</f>
        <v>38.198008807653764</v>
      </c>
      <c r="H26" s="1181">
        <v>248.4</v>
      </c>
      <c r="I26" s="1182">
        <f>+F26-H26</f>
        <v>1.9160088076537534</v>
      </c>
      <c r="J26" s="758">
        <f>+BS!CC$133</f>
        <v>196.48400000000001</v>
      </c>
      <c r="K26" s="758">
        <f>+BS!BZ$133</f>
        <v>131.5</v>
      </c>
      <c r="L26" s="759">
        <f>+IF(OR(E26&lt;0,J26&lt;0),"NM",(E26/J26-1))</f>
        <v>7.9568819853016004E-2</v>
      </c>
      <c r="M26" s="759">
        <f>+IF(OR(E26&lt;0,K26&lt;0),"NM",(E26/K26-1))</f>
        <v>0.61306463878326989</v>
      </c>
      <c r="N26" s="759">
        <f>+IF(OR(F26&lt;0,J26&lt;0),"NM",(F26/J26-1))</f>
        <v>0.27397655181925118</v>
      </c>
      <c r="O26" s="759">
        <f>+IF(OR(F26&lt;0,K26&lt;0),"NM",(F26/K26-1))</f>
        <v>0.90354379321409706</v>
      </c>
      <c r="P26" s="1068"/>
      <c r="Q26" s="758">
        <v>216.01761120279249</v>
      </c>
      <c r="R26" s="1068"/>
      <c r="S26" s="1068"/>
      <c r="T26" s="1068"/>
      <c r="U26" s="1068"/>
      <c r="V26" s="1068"/>
      <c r="W26" s="1068"/>
      <c r="X26" s="1068"/>
      <c r="Y26" s="1068"/>
      <c r="Z26" s="1068"/>
      <c r="AA26" s="1068"/>
      <c r="AB26" s="1601"/>
      <c r="AC26" s="1068"/>
      <c r="AD26" s="1068"/>
      <c r="AE26" s="1068"/>
      <c r="AF26" s="1068"/>
      <c r="AG26" s="1068"/>
      <c r="AH26" s="1068"/>
      <c r="AI26" s="1068"/>
      <c r="AJ26" s="1068"/>
      <c r="AK26" s="1068"/>
      <c r="AL26" s="1068"/>
      <c r="AM26" s="1068"/>
    </row>
    <row r="27" spans="3:39">
      <c r="C27" s="1183" t="s">
        <v>175</v>
      </c>
      <c r="D27" s="210"/>
      <c r="E27" s="1208">
        <f>50.207-1.054</f>
        <v>49.152999999999999</v>
      </c>
      <c r="F27" s="758">
        <v>49.406935026620545</v>
      </c>
      <c r="G27" s="1055">
        <f>+F27-E27</f>
        <v>0.25393502662054601</v>
      </c>
      <c r="H27" s="1055"/>
      <c r="I27" s="1055"/>
      <c r="J27" s="758">
        <f>+IS!CU$50-IS!CU$52</f>
        <v>45.823999999999998</v>
      </c>
      <c r="K27" s="758">
        <f>+IS!CQ$50-IS!CQ$52</f>
        <v>50.434999999999995</v>
      </c>
      <c r="L27" s="759">
        <f>+IF(OR(E27&lt;0,J27&lt;0),"NM",(E27/J27-1))</f>
        <v>7.2647520949720601E-2</v>
      </c>
      <c r="M27" s="759">
        <f>+IF(OR(E27&lt;0,K27&lt;0),"NM",(E27/K27-1))</f>
        <v>-2.5418855953207031E-2</v>
      </c>
      <c r="N27" s="759">
        <f>+IF(OR(F27&lt;0,J27&lt;0),"NM",(F27/J27-1))</f>
        <v>7.8189049987354764E-2</v>
      </c>
      <c r="O27" s="759">
        <f>+IF(OR(F27&lt;0,K27&lt;0),"NM",(F27/K27-1))</f>
        <v>-2.0383959024079523E-2</v>
      </c>
      <c r="P27" s="1067"/>
      <c r="Q27" s="758">
        <v>46.675715740724783</v>
      </c>
      <c r="R27" s="1067"/>
      <c r="S27" s="1067"/>
      <c r="T27" s="1067"/>
      <c r="U27" s="1067"/>
      <c r="V27" s="1067"/>
      <c r="W27" s="1067"/>
      <c r="X27" s="1067"/>
      <c r="Y27" s="1067"/>
      <c r="Z27" s="1068"/>
      <c r="AA27" s="1068"/>
      <c r="AB27" s="1600"/>
      <c r="AC27" s="1067"/>
      <c r="AD27" s="1067"/>
      <c r="AE27" s="1067"/>
      <c r="AF27" s="1067"/>
      <c r="AG27" s="1067"/>
      <c r="AH27" s="1067"/>
      <c r="AI27" s="1067"/>
      <c r="AJ27" s="1067"/>
      <c r="AK27" s="1067"/>
      <c r="AL27" s="1067"/>
      <c r="AM27" s="1067"/>
    </row>
    <row r="28" spans="3:39">
      <c r="C28" s="1054" t="s">
        <v>176</v>
      </c>
      <c r="D28" s="210"/>
      <c r="E28" s="923">
        <f>+E20-E26-E27</f>
        <v>-32.973000000000049</v>
      </c>
      <c r="F28" s="717">
        <v>-84.673787905672896</v>
      </c>
      <c r="G28" s="1063">
        <f>+E28-F28</f>
        <v>51.700787905672847</v>
      </c>
      <c r="H28" s="1169"/>
      <c r="I28" s="1170"/>
      <c r="J28" s="717">
        <f>+J20-J26-J27</f>
        <v>-25.888000000000019</v>
      </c>
      <c r="K28" s="717">
        <f>+K20-K26-K27</f>
        <v>4.8929999999999794</v>
      </c>
      <c r="L28" s="1056" t="str">
        <f>+IF(OR(E28&lt;0,J28&lt;0),"NM",(E28/J28-1))</f>
        <v>NM</v>
      </c>
      <c r="M28" s="1056" t="str">
        <f>+IF(OR(E28&lt;0,K28&lt;0),"NM",(E28/K28-1))</f>
        <v>NM</v>
      </c>
      <c r="N28" s="1056" t="str">
        <f>+IF(OR(F28&lt;0,J28&lt;0),"NM",(F28/J28-1))</f>
        <v>NM</v>
      </c>
      <c r="O28" s="1056" t="str">
        <f>+IF(OR(F28&lt;0,K28&lt;0),"NM",(F28/K28-1))</f>
        <v>NM</v>
      </c>
      <c r="P28" s="1070"/>
      <c r="Q28" s="733">
        <v>-58.978562056634942</v>
      </c>
      <c r="R28" s="1070"/>
      <c r="S28" s="1070"/>
      <c r="T28" s="1070"/>
      <c r="U28" s="1070"/>
      <c r="V28" s="1070"/>
      <c r="W28" s="1070"/>
      <c r="X28" s="1070"/>
      <c r="Y28" s="1070"/>
      <c r="Z28" s="1070"/>
      <c r="AA28" s="1070"/>
      <c r="AB28" s="1604"/>
      <c r="AC28" s="1070"/>
      <c r="AD28" s="1070"/>
      <c r="AE28" s="1070"/>
      <c r="AF28" s="1070"/>
      <c r="AG28" s="1070"/>
      <c r="AH28" s="1070"/>
      <c r="AI28" s="1070"/>
      <c r="AJ28" s="1070"/>
      <c r="AK28" s="1070"/>
      <c r="AL28" s="1070"/>
      <c r="AM28" s="1070"/>
    </row>
    <row r="29" spans="3:39">
      <c r="C29" s="1642"/>
      <c r="D29" s="225"/>
      <c r="E29" s="1640"/>
      <c r="F29" s="1640"/>
      <c r="G29" s="1640"/>
      <c r="H29" s="1640"/>
      <c r="I29" s="1640"/>
      <c r="J29" s="1640"/>
      <c r="K29" s="1640"/>
      <c r="L29" s="1577"/>
      <c r="M29" s="1577"/>
      <c r="N29" s="1577"/>
      <c r="O29" s="1577"/>
      <c r="P29" s="1070"/>
      <c r="Q29" s="1070"/>
      <c r="R29" s="1070"/>
      <c r="S29" s="1070"/>
      <c r="T29" s="1070"/>
      <c r="U29" s="1070"/>
      <c r="V29" s="1070"/>
      <c r="W29" s="1070"/>
      <c r="X29" s="1070"/>
      <c r="Y29" s="1070"/>
      <c r="Z29" s="1070"/>
      <c r="AA29" s="1070"/>
      <c r="AB29" s="1604"/>
      <c r="AC29" s="1070"/>
      <c r="AD29" s="1070"/>
      <c r="AE29" s="1070"/>
      <c r="AF29" s="1070"/>
      <c r="AG29" s="1070"/>
      <c r="AH29" s="1070"/>
      <c r="AI29" s="1070"/>
      <c r="AJ29" s="1070"/>
      <c r="AK29" s="1070"/>
      <c r="AL29" s="1070"/>
      <c r="AM29" s="1070"/>
    </row>
    <row r="30" spans="3:39">
      <c r="C30" s="1075"/>
      <c r="D30" s="33"/>
      <c r="E30" s="717">
        <f>+SUM(E26,BS!BX133:BZ133)</f>
        <v>705.01800000000003</v>
      </c>
      <c r="F30" s="717"/>
      <c r="G30" s="717"/>
      <c r="H30" s="717"/>
      <c r="I30" s="717"/>
      <c r="J30" s="717"/>
      <c r="K30" s="717"/>
      <c r="L30" s="1056"/>
      <c r="M30" s="1056"/>
      <c r="N30" s="1056"/>
      <c r="O30" s="1056"/>
      <c r="P30" s="1070"/>
      <c r="Q30" s="1070"/>
      <c r="R30" s="1070"/>
      <c r="S30" s="1070"/>
      <c r="T30" s="1070"/>
      <c r="U30" s="1070"/>
      <c r="V30" s="1070"/>
      <c r="W30" s="1070"/>
      <c r="X30" s="1070"/>
      <c r="Y30" s="1070"/>
      <c r="Z30" s="1070"/>
      <c r="AA30" s="1070"/>
      <c r="AB30" s="1610"/>
      <c r="AC30" s="1610"/>
      <c r="AD30" s="1610"/>
      <c r="AE30" s="1610"/>
      <c r="AF30" s="1610"/>
      <c r="AG30" s="1070"/>
      <c r="AH30" s="1070"/>
      <c r="AI30" s="1070"/>
      <c r="AJ30" s="1070"/>
      <c r="AK30" s="1070"/>
      <c r="AL30" s="1070"/>
      <c r="AM30" s="1070"/>
    </row>
    <row r="31" spans="3:39">
      <c r="C31" s="1075"/>
      <c r="D31" s="33" t="s">
        <v>1389</v>
      </c>
      <c r="E31" s="717"/>
      <c r="F31" s="1641">
        <f>+Rev!CC295</f>
        <v>286.02800000000002</v>
      </c>
      <c r="G31" s="717"/>
      <c r="H31" s="717"/>
      <c r="I31" s="717"/>
      <c r="J31" s="1641">
        <f>+Rev!CB295</f>
        <v>277.00700000000006</v>
      </c>
      <c r="K31" s="1641">
        <f>+Rev!BY295</f>
        <v>253.88900000000001</v>
      </c>
      <c r="L31" s="1056"/>
      <c r="M31" s="1056"/>
      <c r="N31" s="718">
        <f>+IF(OR(F31&lt;0,J31&lt;0),"NM",(F31/J31-1))</f>
        <v>3.2565964037009731E-2</v>
      </c>
      <c r="O31" s="718">
        <f>+IF(OR(F31&lt;0,K31&lt;0),"NM",(F31/K31-1))</f>
        <v>0.12658681549811135</v>
      </c>
      <c r="P31" s="1070"/>
      <c r="Q31" s="1070"/>
      <c r="R31" s="1070"/>
      <c r="S31" s="1070"/>
      <c r="T31" s="1070"/>
      <c r="U31" s="1070"/>
      <c r="V31" s="1070"/>
      <c r="W31" s="1070"/>
      <c r="X31" s="1070"/>
      <c r="Y31" s="1070"/>
      <c r="Z31" s="1070"/>
      <c r="AA31" s="1070"/>
      <c r="AB31" s="1610"/>
      <c r="AC31" s="1610"/>
      <c r="AD31" s="1610"/>
      <c r="AE31" s="1610"/>
      <c r="AF31" s="1610"/>
      <c r="AG31" s="1070"/>
      <c r="AH31" s="1070"/>
      <c r="AI31" s="1070"/>
      <c r="AJ31" s="1070"/>
      <c r="AK31" s="1070"/>
      <c r="AL31" s="1070"/>
      <c r="AM31" s="1070"/>
    </row>
    <row r="32" spans="3:39">
      <c r="C32" s="1075"/>
      <c r="D32" s="33" t="s">
        <v>1390</v>
      </c>
      <c r="E32" s="717"/>
      <c r="F32" s="1641">
        <f>+Rev!CC667</f>
        <v>102.565</v>
      </c>
      <c r="G32" s="717"/>
      <c r="H32" s="717"/>
      <c r="I32" s="717"/>
      <c r="J32" s="1641">
        <f>+Rev!CB667</f>
        <v>101.20399999999998</v>
      </c>
      <c r="K32" s="1641">
        <f>+Rev!BY667</f>
        <v>88.611000000000004</v>
      </c>
      <c r="L32" s="1056"/>
      <c r="M32" s="1056"/>
      <c r="N32" s="718">
        <f>+IF(OR(F32&lt;0,J32&lt;0),"NM",(F32/J32-1))</f>
        <v>1.3448085055926873E-2</v>
      </c>
      <c r="O32" s="718">
        <f>+IF(OR(F32&lt;0,K32&lt;0),"NM",(F32/K32-1))</f>
        <v>0.15747480561104155</v>
      </c>
      <c r="P32" s="1070"/>
      <c r="Q32" s="1070"/>
      <c r="R32" s="1070"/>
      <c r="S32" s="1070"/>
      <c r="T32" s="1070"/>
      <c r="U32" s="1070"/>
      <c r="V32" s="1070"/>
      <c r="W32" s="1070"/>
      <c r="X32" s="1070"/>
      <c r="Y32" s="1070"/>
      <c r="Z32" s="1070"/>
      <c r="AA32" s="1070"/>
      <c r="AB32" s="1610"/>
      <c r="AC32" s="1610"/>
      <c r="AD32" s="1610"/>
      <c r="AE32" s="1610"/>
      <c r="AF32" s="1610"/>
      <c r="AG32" s="1070"/>
      <c r="AH32" s="1070"/>
      <c r="AI32" s="1070"/>
      <c r="AJ32" s="1070"/>
      <c r="AK32" s="1070"/>
      <c r="AL32" s="1070"/>
      <c r="AM32" s="1070"/>
    </row>
    <row r="33" spans="3:39">
      <c r="C33" s="1075"/>
      <c r="D33" s="33" t="s">
        <v>1796</v>
      </c>
      <c r="E33" s="717"/>
      <c r="F33" s="1641">
        <f>+Rev!CC497</f>
        <v>66.936999999999998</v>
      </c>
      <c r="G33" s="717"/>
      <c r="H33" s="717"/>
      <c r="I33" s="717"/>
      <c r="J33" s="1641">
        <f>+Rev!CB497</f>
        <v>62.741</v>
      </c>
      <c r="K33" s="1641">
        <f>+Rev!BY497</f>
        <v>52.399999999999991</v>
      </c>
      <c r="L33" s="1056"/>
      <c r="M33" s="1056"/>
      <c r="N33" s="718">
        <f>+IF(OR(F33&lt;0,J33&lt;0),"NM",(F33/J33-1))</f>
        <v>6.687811797708032E-2</v>
      </c>
      <c r="O33" s="718">
        <f>+IF(OR(F33&lt;0,K33&lt;0),"NM",(F33/K33-1))</f>
        <v>0.27742366412213748</v>
      </c>
      <c r="P33" s="1070"/>
      <c r="Q33" s="1070"/>
      <c r="R33" s="1070"/>
      <c r="S33" s="1070"/>
      <c r="T33" s="1070"/>
      <c r="U33" s="1070"/>
      <c r="V33" s="1070"/>
      <c r="W33" s="1070"/>
      <c r="X33" s="1070"/>
      <c r="Y33" s="1070"/>
      <c r="Z33" s="1070"/>
      <c r="AA33" s="1070"/>
      <c r="AB33" s="1610"/>
      <c r="AC33" s="1610"/>
      <c r="AD33" s="1610"/>
      <c r="AE33" s="1610"/>
      <c r="AF33" s="1610"/>
      <c r="AG33" s="1070"/>
      <c r="AH33" s="1070"/>
      <c r="AI33" s="1070"/>
      <c r="AJ33" s="1070"/>
      <c r="AK33" s="1070"/>
      <c r="AL33" s="1070"/>
      <c r="AM33" s="1070"/>
    </row>
    <row r="34" spans="3:39">
      <c r="C34" s="1075"/>
      <c r="D34" s="33"/>
      <c r="E34" s="717"/>
      <c r="F34" s="1640">
        <f>SUM(F31:F33)</f>
        <v>455.53000000000003</v>
      </c>
      <c r="G34" s="717"/>
      <c r="H34" s="717"/>
      <c r="I34" s="717"/>
      <c r="J34" s="1640">
        <f>SUM(J31:J33)</f>
        <v>440.952</v>
      </c>
      <c r="K34" s="1640">
        <f>SUM(K31:K33)</f>
        <v>394.9</v>
      </c>
      <c r="L34" s="1056"/>
      <c r="M34" s="1056"/>
      <c r="N34" s="1056"/>
      <c r="O34" s="1056"/>
      <c r="P34" s="1070"/>
      <c r="Q34" s="1070"/>
      <c r="R34" s="1070"/>
      <c r="S34" s="1070"/>
      <c r="T34" s="1070"/>
      <c r="U34" s="1070"/>
      <c r="V34" s="1070"/>
      <c r="W34" s="1070"/>
      <c r="X34" s="1070"/>
      <c r="Y34" s="1070"/>
      <c r="Z34" s="1070"/>
      <c r="AA34" s="1070"/>
      <c r="AB34" s="1610"/>
      <c r="AC34" s="1610"/>
      <c r="AD34" s="1610"/>
      <c r="AE34" s="1610"/>
      <c r="AF34" s="1610"/>
      <c r="AG34" s="1070"/>
      <c r="AH34" s="1070"/>
      <c r="AI34" s="1070"/>
      <c r="AJ34" s="1070"/>
      <c r="AK34" s="1070"/>
      <c r="AL34" s="1070"/>
      <c r="AM34" s="1070"/>
    </row>
    <row r="35" spans="3:39">
      <c r="C35" s="1075"/>
      <c r="D35" s="33"/>
      <c r="E35" s="717"/>
      <c r="F35" s="717"/>
      <c r="G35" s="717"/>
      <c r="H35" s="717"/>
      <c r="I35" s="717"/>
      <c r="J35" s="717"/>
      <c r="K35" s="717"/>
      <c r="L35" s="1056"/>
      <c r="M35" s="1056"/>
      <c r="N35" s="1056"/>
      <c r="O35" s="1056"/>
      <c r="P35" s="1070"/>
      <c r="Q35" s="1070"/>
      <c r="R35" s="1070"/>
      <c r="S35" s="1070"/>
      <c r="T35" s="1070"/>
      <c r="U35" s="1070"/>
      <c r="V35" s="1070"/>
      <c r="W35" s="1070"/>
      <c r="X35" s="1070"/>
      <c r="Y35" s="1070"/>
      <c r="Z35" s="1070"/>
      <c r="AA35" s="1070"/>
      <c r="AB35" s="1610"/>
      <c r="AC35" s="1610"/>
      <c r="AD35" s="1610"/>
      <c r="AE35" s="1610"/>
      <c r="AF35" s="1610"/>
      <c r="AG35" s="1070"/>
      <c r="AH35" s="1070"/>
      <c r="AI35" s="1070"/>
      <c r="AJ35" s="1070"/>
      <c r="AK35" s="1070"/>
      <c r="AL35" s="1070"/>
      <c r="AM35" s="1070"/>
    </row>
    <row r="36" spans="3:39">
      <c r="C36" s="1075"/>
      <c r="D36" s="33" t="s">
        <v>900</v>
      </c>
      <c r="E36" s="717"/>
      <c r="F36" s="1611">
        <f>+SUM(F32:F33)/SUM(F31:F33)</f>
        <v>0.37209843479024435</v>
      </c>
      <c r="G36" s="717"/>
      <c r="H36" s="717"/>
      <c r="I36" s="717"/>
      <c r="J36" s="1611">
        <f>+SUM(J32:J33)/SUM(J31:J33)</f>
        <v>0.37179783740633898</v>
      </c>
      <c r="K36" s="1611">
        <f>+SUM(K32:K33)/SUM(K31:K33)</f>
        <v>0.35708027348695875</v>
      </c>
      <c r="L36" s="1056"/>
      <c r="M36" s="1056"/>
      <c r="N36" s="1056"/>
      <c r="O36" s="1056"/>
      <c r="P36" s="1070"/>
      <c r="Q36" s="1070"/>
      <c r="R36" s="1070"/>
      <c r="S36" s="1070"/>
      <c r="T36" s="1070"/>
      <c r="U36" s="1070"/>
      <c r="V36" s="1070"/>
      <c r="W36" s="1070"/>
      <c r="X36" s="1070"/>
      <c r="Y36" s="1070"/>
      <c r="Z36" s="1070"/>
      <c r="AA36" s="1070"/>
      <c r="AB36" s="1610"/>
      <c r="AC36" s="1610"/>
      <c r="AD36" s="1610"/>
      <c r="AE36" s="1610"/>
      <c r="AF36" s="1610"/>
      <c r="AG36" s="1070"/>
      <c r="AH36" s="1070"/>
      <c r="AI36" s="1070"/>
      <c r="AJ36" s="1070"/>
      <c r="AK36" s="1070"/>
      <c r="AL36" s="1070"/>
      <c r="AM36" s="1070"/>
    </row>
    <row r="37" spans="3:39">
      <c r="C37" s="1075"/>
      <c r="D37" s="33"/>
      <c r="E37" s="717"/>
      <c r="F37" s="717"/>
      <c r="G37" s="717"/>
      <c r="H37" s="717"/>
      <c r="I37" s="717"/>
      <c r="J37" s="717"/>
      <c r="K37" s="717"/>
      <c r="L37" s="1056"/>
      <c r="M37" s="1056"/>
      <c r="N37" s="1056"/>
      <c r="O37" s="1056"/>
      <c r="P37" s="1070"/>
      <c r="Q37" s="1070"/>
      <c r="R37" s="1070"/>
      <c r="S37" s="1070"/>
      <c r="T37" s="1070"/>
      <c r="U37" s="1070"/>
      <c r="V37" s="1070"/>
      <c r="W37" s="1070"/>
      <c r="X37" s="1070"/>
      <c r="Y37" s="1070"/>
      <c r="Z37" s="1070"/>
      <c r="AA37" s="1070"/>
      <c r="AB37" s="1610"/>
      <c r="AC37" s="1610"/>
      <c r="AD37" s="1610"/>
      <c r="AE37" s="1610"/>
      <c r="AF37" s="1610"/>
      <c r="AG37" s="1070"/>
      <c r="AH37" s="1070"/>
      <c r="AI37" s="1070"/>
      <c r="AJ37" s="1070"/>
      <c r="AK37" s="1070"/>
      <c r="AL37" s="1070"/>
      <c r="AM37" s="1070"/>
    </row>
    <row r="38" spans="3:39">
      <c r="C38" s="1075"/>
      <c r="D38" s="33"/>
      <c r="E38" s="717"/>
      <c r="F38" s="717"/>
      <c r="G38" s="717"/>
      <c r="H38" s="717"/>
      <c r="I38" s="717"/>
      <c r="J38" s="717"/>
      <c r="K38" s="717"/>
      <c r="L38" s="1056"/>
      <c r="M38" s="1056"/>
      <c r="N38" s="1056"/>
      <c r="O38" s="1056"/>
      <c r="P38" s="1070"/>
      <c r="Q38" s="1070"/>
      <c r="R38" s="1070"/>
      <c r="S38" s="1070"/>
      <c r="T38" s="1070"/>
      <c r="U38" s="1070"/>
      <c r="V38" s="1070"/>
      <c r="W38" s="1070"/>
      <c r="X38" s="1070"/>
      <c r="Y38" s="1070"/>
      <c r="Z38" s="1070"/>
      <c r="AA38" s="1070"/>
      <c r="AB38" s="1610"/>
      <c r="AC38" s="1610"/>
      <c r="AD38" s="1610"/>
      <c r="AE38" s="1610"/>
      <c r="AF38" s="1610"/>
      <c r="AG38" s="1070"/>
      <c r="AH38" s="1070"/>
      <c r="AI38" s="1070"/>
      <c r="AJ38" s="1070"/>
      <c r="AK38" s="1070"/>
      <c r="AL38" s="1070"/>
      <c r="AM38" s="1070"/>
    </row>
    <row r="39" spans="3:39">
      <c r="C39" s="1075"/>
      <c r="D39" s="33"/>
      <c r="E39" s="717"/>
      <c r="F39" s="717"/>
      <c r="G39" s="717"/>
      <c r="H39" s="717"/>
      <c r="I39" s="717"/>
      <c r="J39" s="717"/>
      <c r="K39" s="717"/>
      <c r="L39" s="1056"/>
      <c r="M39" s="1056"/>
      <c r="N39" s="1056"/>
      <c r="O39" s="1056"/>
      <c r="P39" s="1070"/>
      <c r="Q39" s="1070"/>
      <c r="R39" s="1070"/>
      <c r="S39" s="1070"/>
      <c r="T39" s="1070"/>
      <c r="U39" s="1070"/>
      <c r="V39" s="1070"/>
      <c r="W39" s="1070"/>
      <c r="X39" s="1070"/>
      <c r="Y39" s="1070"/>
      <c r="Z39" s="1070"/>
      <c r="AA39" s="1070"/>
      <c r="AB39" s="1610"/>
      <c r="AC39" s="1610"/>
      <c r="AD39" s="1610"/>
      <c r="AE39" s="1610"/>
      <c r="AF39" s="1610"/>
      <c r="AG39" s="1070"/>
      <c r="AH39" s="1070"/>
      <c r="AI39" s="1070"/>
      <c r="AJ39" s="1070"/>
      <c r="AK39" s="1070"/>
      <c r="AL39" s="1070"/>
      <c r="AM39" s="1070"/>
    </row>
    <row r="40" spans="3:39">
      <c r="C40" s="1075"/>
      <c r="D40" s="33"/>
      <c r="E40" s="717"/>
      <c r="F40" s="717"/>
      <c r="G40" s="717"/>
      <c r="H40" s="717"/>
      <c r="I40" s="717"/>
      <c r="J40" s="717"/>
      <c r="K40" s="717"/>
      <c r="L40" s="1056"/>
      <c r="M40" s="1056"/>
      <c r="N40" s="1056"/>
      <c r="O40" s="1056"/>
      <c r="P40" s="1070"/>
      <c r="Q40" s="1070"/>
      <c r="R40" s="1070"/>
      <c r="S40" s="1070"/>
      <c r="T40" s="1070"/>
      <c r="U40" s="1070"/>
      <c r="V40" s="1070"/>
      <c r="W40" s="1070"/>
      <c r="X40" s="1070"/>
      <c r="Y40" s="1070"/>
      <c r="Z40" s="1070"/>
      <c r="AA40" s="1070"/>
      <c r="AB40" s="1610"/>
      <c r="AC40" s="1610"/>
      <c r="AD40" s="1610"/>
      <c r="AE40" s="1610"/>
      <c r="AF40" s="1610"/>
      <c r="AG40" s="1070"/>
      <c r="AH40" s="1070"/>
      <c r="AI40" s="1070"/>
      <c r="AJ40" s="1070"/>
      <c r="AK40" s="1070"/>
      <c r="AL40" s="1070"/>
      <c r="AM40" s="1070"/>
    </row>
    <row r="41" spans="3:39">
      <c r="C41" s="1075"/>
      <c r="D41" s="253">
        <f>+E11-16.1+8.8</f>
        <v>455.52899999999994</v>
      </c>
      <c r="E41" s="717"/>
      <c r="F41" s="717"/>
      <c r="G41" s="717"/>
      <c r="H41" s="717"/>
      <c r="I41" s="717"/>
      <c r="J41" s="717"/>
      <c r="K41" s="717"/>
      <c r="L41" s="1056"/>
      <c r="M41" s="1056"/>
      <c r="N41" s="1056"/>
      <c r="O41" s="1056"/>
      <c r="P41" s="1070"/>
      <c r="Q41" s="1070"/>
      <c r="R41" s="1070"/>
      <c r="S41" s="1070"/>
      <c r="T41" s="1070"/>
      <c r="U41" s="1070"/>
      <c r="V41" s="1070"/>
      <c r="W41" s="1070"/>
      <c r="X41" s="1070"/>
      <c r="Y41" s="1070"/>
      <c r="Z41" s="1070"/>
      <c r="AA41" s="1070"/>
      <c r="AB41" s="1073"/>
      <c r="AC41" s="1073" t="str">
        <f>+Link!BP5</f>
        <v>2Q11</v>
      </c>
      <c r="AD41" s="1073" t="str">
        <f>+Link!BQ5</f>
        <v>3Q11</v>
      </c>
      <c r="AE41" s="1073" t="str">
        <f>+Link!BR5</f>
        <v>4Q11</v>
      </c>
      <c r="AF41" s="1073" t="str">
        <f>+Link!BS5</f>
        <v>1Q12</v>
      </c>
      <c r="AG41" s="1073" t="str">
        <f>+Link!BT5</f>
        <v>2Q12</v>
      </c>
      <c r="AH41" s="1073" t="str">
        <f>+Link!BU5</f>
        <v>3Q12</v>
      </c>
      <c r="AI41" s="1070"/>
      <c r="AJ41" s="1070"/>
      <c r="AK41" s="1070"/>
      <c r="AL41" s="1070"/>
      <c r="AM41" s="1070"/>
    </row>
    <row r="42" spans="3:39">
      <c r="C42" s="1075"/>
      <c r="D42" s="33">
        <f>+D41/J11-1</f>
        <v>5.0537919583039992E-2</v>
      </c>
      <c r="E42" s="1611">
        <f>1.0168776371308-1</f>
        <v>1.6877637130799927E-2</v>
      </c>
      <c r="F42" s="717"/>
      <c r="G42" s="717"/>
      <c r="H42" s="717"/>
      <c r="I42" s="717"/>
      <c r="J42" s="717"/>
      <c r="K42" s="717"/>
      <c r="L42" s="1056"/>
      <c r="M42" s="1056"/>
      <c r="N42" s="1056"/>
      <c r="O42" s="1056"/>
      <c r="P42" s="1070"/>
      <c r="Q42" s="1070"/>
      <c r="R42" s="1070"/>
      <c r="S42" s="1070"/>
      <c r="T42" s="1070"/>
      <c r="U42" s="1070"/>
      <c r="V42" s="1070"/>
      <c r="W42" s="1070"/>
      <c r="X42" s="1070"/>
      <c r="Y42" s="1070"/>
      <c r="Z42" s="1070"/>
      <c r="AA42" s="1070"/>
      <c r="AB42" s="1599" t="s">
        <v>660</v>
      </c>
      <c r="AC42" s="1701">
        <f>+Link!BP50</f>
        <v>2100</v>
      </c>
      <c r="AD42" s="1701">
        <f>+Link!BQ50</f>
        <v>2141</v>
      </c>
      <c r="AE42" s="1701">
        <f>+Link!BR50</f>
        <v>2166</v>
      </c>
      <c r="AF42" s="1701">
        <f>+Link!BS50</f>
        <v>2207</v>
      </c>
      <c r="AG42" s="1701">
        <f>+Link!BT50</f>
        <v>2212</v>
      </c>
      <c r="AH42" s="1701">
        <f>+Link!BU50</f>
        <v>2232</v>
      </c>
      <c r="AI42" s="1070"/>
      <c r="AJ42" s="1070"/>
      <c r="AK42" s="1070"/>
      <c r="AL42" s="1070"/>
      <c r="AM42" s="1070"/>
    </row>
    <row r="43" spans="3:39">
      <c r="C43" s="1075"/>
      <c r="D43" s="33"/>
      <c r="E43" s="1611">
        <f>+E42-Rev!CA276</f>
        <v>5.2008505824581164E-3</v>
      </c>
      <c r="F43" s="717"/>
      <c r="G43" s="717"/>
      <c r="H43" s="717"/>
      <c r="I43" s="717"/>
      <c r="J43" s="717"/>
      <c r="K43" s="717"/>
      <c r="L43" s="1056"/>
      <c r="M43" s="1056"/>
      <c r="N43" s="1056"/>
      <c r="O43" s="1056"/>
      <c r="P43" s="1070"/>
      <c r="Q43" s="1070"/>
      <c r="R43" s="1070"/>
      <c r="S43" s="1070"/>
      <c r="T43" s="1070"/>
      <c r="U43" s="1070"/>
      <c r="V43" s="1070"/>
      <c r="W43" s="1070"/>
      <c r="X43" s="1070"/>
      <c r="Y43" s="1070"/>
      <c r="Z43" s="1070"/>
      <c r="AA43" s="1070"/>
      <c r="AB43" s="1702" t="s">
        <v>658</v>
      </c>
      <c r="AC43" s="1066">
        <f>+Link!BP51</f>
        <v>9.6153846153845812E-3</v>
      </c>
      <c r="AD43" s="1066">
        <f>+Link!BQ51</f>
        <v>1.9523809523809499E-2</v>
      </c>
      <c r="AE43" s="1066">
        <f>+Link!BR51</f>
        <v>1.1676786548341811E-2</v>
      </c>
      <c r="AF43" s="1066">
        <f>+Link!BS51</f>
        <v>1.8928901200369275E-2</v>
      </c>
      <c r="AG43" s="1066">
        <f>+Link!BT51</f>
        <v>2.2655188038060992E-3</v>
      </c>
      <c r="AH43" s="1066">
        <f>+Link!BU51</f>
        <v>9.0415913200723175E-3</v>
      </c>
      <c r="AI43" s="1070"/>
      <c r="AJ43" s="1070"/>
      <c r="AK43" s="1070"/>
      <c r="AL43" s="1070"/>
      <c r="AM43" s="1070"/>
    </row>
    <row r="44" spans="3:39">
      <c r="C44" s="1075"/>
      <c r="D44" s="33"/>
      <c r="E44" s="717"/>
      <c r="F44" s="717"/>
      <c r="G44" s="717"/>
      <c r="H44" s="717"/>
      <c r="I44" s="717"/>
      <c r="J44" s="717"/>
      <c r="K44" s="717"/>
      <c r="L44" s="1056"/>
      <c r="M44" s="1056"/>
      <c r="N44" s="1056"/>
      <c r="O44" s="1056"/>
      <c r="P44" s="1070"/>
      <c r="Q44" s="1070"/>
      <c r="R44" s="1070"/>
      <c r="S44" s="1070"/>
      <c r="T44" s="1070"/>
      <c r="U44" s="1070"/>
      <c r="V44" s="1070"/>
      <c r="W44" s="1070"/>
      <c r="X44" s="1070"/>
      <c r="Y44" s="1070"/>
      <c r="Z44" s="1070"/>
      <c r="AA44" s="1070"/>
      <c r="AB44" s="1599" t="s">
        <v>661</v>
      </c>
      <c r="AC44" s="1703">
        <f>+Link!BP47</f>
        <v>69500</v>
      </c>
      <c r="AD44" s="1703">
        <f>+Link!BQ47</f>
        <v>70800</v>
      </c>
      <c r="AE44" s="1703">
        <f>+Link!BR47</f>
        <v>72400</v>
      </c>
      <c r="AF44" s="1703">
        <f>+Link!BS47</f>
        <v>74000</v>
      </c>
      <c r="AG44" s="1703">
        <f>+Link!BT47</f>
        <v>75100</v>
      </c>
      <c r="AH44" s="1703">
        <f>+Link!BU47</f>
        <v>79300</v>
      </c>
      <c r="AI44" s="1070"/>
      <c r="AJ44" s="1070"/>
      <c r="AK44" s="1070"/>
      <c r="AL44" s="1070"/>
      <c r="AM44" s="1070"/>
    </row>
    <row r="45" spans="3:39">
      <c r="C45" s="1075"/>
      <c r="D45" s="33"/>
      <c r="K45" s="717"/>
      <c r="L45" s="1056"/>
      <c r="M45" s="1056"/>
      <c r="N45" s="1056"/>
      <c r="O45" s="1056"/>
      <c r="P45" s="1070"/>
      <c r="Q45" s="1070"/>
      <c r="R45" s="1070"/>
      <c r="S45" s="1070"/>
      <c r="T45" s="1070"/>
      <c r="U45" s="1070"/>
      <c r="V45" s="1070"/>
      <c r="W45" s="1070"/>
      <c r="X45" s="1070"/>
      <c r="Y45" s="1070"/>
      <c r="Z45" s="1070"/>
      <c r="AA45" s="1070"/>
      <c r="AB45" s="1702" t="s">
        <v>658</v>
      </c>
      <c r="AC45" s="1066">
        <f>+Link!BP48</f>
        <v>3.5767511177347222E-2</v>
      </c>
      <c r="AD45" s="1066">
        <f>+Link!BQ48</f>
        <v>1.8705035971223083E-2</v>
      </c>
      <c r="AE45" s="1066">
        <f>+Link!BR48</f>
        <v>2.2598870056497189E-2</v>
      </c>
      <c r="AF45" s="1066">
        <f>+Link!BS48</f>
        <v>2.2099447513812098E-2</v>
      </c>
      <c r="AG45" s="1066">
        <f>+Link!BT48</f>
        <v>1.4864864864864824E-2</v>
      </c>
      <c r="AH45" s="1066">
        <f>+Link!BU48</f>
        <v>5.5925432756325E-2</v>
      </c>
      <c r="AI45" s="1070"/>
      <c r="AJ45" s="1070"/>
      <c r="AK45" s="1070"/>
      <c r="AL45" s="1070"/>
      <c r="AM45" s="1070"/>
    </row>
    <row r="46" spans="3:39">
      <c r="C46" s="1075"/>
      <c r="D46" s="33"/>
      <c r="K46" s="717"/>
      <c r="L46" s="1056"/>
      <c r="M46" s="1056"/>
      <c r="N46" s="1056"/>
      <c r="O46" s="1056"/>
      <c r="P46" s="1070"/>
      <c r="Q46" s="1070"/>
      <c r="R46" s="1070"/>
      <c r="S46" s="1070"/>
      <c r="T46" s="1070"/>
      <c r="U46" s="1070"/>
      <c r="V46" s="1070"/>
      <c r="W46" s="1070"/>
      <c r="X46" s="1070"/>
      <c r="Y46" s="1070"/>
      <c r="Z46" s="1070"/>
      <c r="AA46" s="1070"/>
      <c r="AB46" s="1599" t="s">
        <v>94</v>
      </c>
      <c r="AC46" s="1703">
        <f>+Link!BP42</f>
        <v>91300</v>
      </c>
      <c r="AD46" s="1703">
        <f>+Link!BQ42</f>
        <v>89000</v>
      </c>
      <c r="AE46" s="1703">
        <f>+Link!BR42</f>
        <v>90400</v>
      </c>
      <c r="AF46" s="1703">
        <f>+Link!BS42</f>
        <v>91200</v>
      </c>
      <c r="AG46" s="1703">
        <f>+Link!BT42</f>
        <v>92890</v>
      </c>
      <c r="AH46" s="1703">
        <f>+Link!BU42</f>
        <v>106800</v>
      </c>
      <c r="AI46" s="1070"/>
      <c r="AJ46" s="1070"/>
      <c r="AK46" s="1070"/>
      <c r="AL46" s="1070"/>
      <c r="AM46" s="1070"/>
    </row>
    <row r="47" spans="3:39">
      <c r="C47" s="1075"/>
      <c r="D47" s="33"/>
      <c r="K47" s="717"/>
      <c r="L47" s="1056"/>
      <c r="M47" s="1056"/>
      <c r="N47" s="1056"/>
      <c r="O47" s="1056"/>
      <c r="P47" s="1070"/>
      <c r="Q47" s="1070"/>
      <c r="R47" s="1070"/>
      <c r="S47" s="1070"/>
      <c r="T47" s="1070"/>
      <c r="U47" s="1070"/>
      <c r="V47" s="1070"/>
      <c r="W47" s="1070"/>
      <c r="X47" s="1070"/>
      <c r="Y47" s="1070"/>
      <c r="Z47" s="1070"/>
      <c r="AA47" s="1070"/>
      <c r="AB47" s="1702" t="s">
        <v>658</v>
      </c>
      <c r="AC47" s="1066">
        <f>+Link!BP43</f>
        <v>7.9196217494089893E-2</v>
      </c>
      <c r="AD47" s="1066">
        <f>+Link!BQ43</f>
        <v>-2.5191675794085433E-2</v>
      </c>
      <c r="AE47" s="1066">
        <f>+Link!BR43</f>
        <v>1.5730337078651679E-2</v>
      </c>
      <c r="AF47" s="1066">
        <f>+Link!BS43</f>
        <v>8.8495575221239076E-3</v>
      </c>
      <c r="AG47" s="1066">
        <f>+Link!BT43</f>
        <v>1.853070175438587E-2</v>
      </c>
      <c r="AH47" s="1066">
        <f>+Link!BU43</f>
        <v>0.14974701259554313</v>
      </c>
      <c r="AI47" s="1070"/>
      <c r="AJ47" s="1070"/>
      <c r="AK47" s="1070"/>
      <c r="AL47" s="1070"/>
      <c r="AM47" s="1070"/>
    </row>
    <row r="48" spans="3:39" ht="5.0999999999999996" customHeight="1">
      <c r="C48" s="1075"/>
      <c r="D48" s="33"/>
      <c r="E48" s="717"/>
      <c r="F48" s="717"/>
      <c r="G48" s="717"/>
      <c r="H48" s="717"/>
      <c r="I48" s="717"/>
      <c r="J48" s="717"/>
      <c r="K48" s="717"/>
      <c r="L48" s="1056"/>
      <c r="M48" s="1056"/>
      <c r="N48" s="1056"/>
      <c r="O48" s="1056"/>
      <c r="P48" s="1070"/>
      <c r="Q48" s="1070"/>
      <c r="R48" s="1070"/>
      <c r="S48" s="1070"/>
      <c r="T48" s="1070"/>
      <c r="U48" s="1070"/>
      <c r="V48" s="1070"/>
      <c r="W48" s="1070"/>
      <c r="X48" s="1070"/>
      <c r="Y48" s="1070"/>
      <c r="Z48" s="1070"/>
      <c r="AA48" s="1070"/>
      <c r="AB48" s="1608"/>
      <c r="AC48" s="1609"/>
      <c r="AD48" s="1609"/>
      <c r="AE48" s="1609"/>
      <c r="AF48" s="1609"/>
      <c r="AG48" s="1609"/>
      <c r="AH48" s="1609"/>
      <c r="AI48" s="1070"/>
      <c r="AJ48" s="1070"/>
      <c r="AK48" s="1070"/>
      <c r="AL48" s="1070"/>
      <c r="AM48" s="1070"/>
    </row>
    <row r="49" spans="2:49">
      <c r="C49" s="1075"/>
      <c r="D49" s="33"/>
      <c r="E49" s="717"/>
      <c r="F49" s="717"/>
      <c r="G49" s="717"/>
      <c r="H49" s="717"/>
      <c r="I49" s="717"/>
      <c r="J49" s="717"/>
      <c r="K49" s="717"/>
      <c r="L49" s="1056"/>
      <c r="M49" s="1056"/>
      <c r="N49" s="1056"/>
      <c r="O49" s="1056"/>
      <c r="P49" s="1070"/>
      <c r="Q49" s="1070"/>
      <c r="R49" s="1070"/>
      <c r="S49" s="1070"/>
      <c r="T49" s="1070"/>
      <c r="U49" s="1070"/>
      <c r="V49" s="1070"/>
      <c r="W49" s="1070"/>
      <c r="X49" s="1070"/>
      <c r="Y49" s="1070"/>
      <c r="Z49" s="1070"/>
      <c r="AA49" s="1070"/>
      <c r="AB49" s="1604"/>
      <c r="AC49" s="1070"/>
      <c r="AD49" s="1070"/>
      <c r="AE49" s="1070"/>
      <c r="AF49" s="1070"/>
      <c r="AG49" s="1070"/>
      <c r="AH49" s="1070"/>
      <c r="AI49" s="1070"/>
      <c r="AJ49" s="1070"/>
      <c r="AK49" s="1070"/>
      <c r="AL49" s="1070"/>
      <c r="AM49" s="1070"/>
    </row>
    <row r="50" spans="2:49">
      <c r="C50" s="1075"/>
      <c r="D50" s="33"/>
      <c r="E50" s="717"/>
      <c r="F50" s="717"/>
      <c r="G50" s="717">
        <v>2110</v>
      </c>
      <c r="H50" s="717">
        <v>2133</v>
      </c>
      <c r="I50" s="717">
        <v>2169</v>
      </c>
      <c r="J50" s="1611"/>
      <c r="K50" s="717"/>
      <c r="L50" s="1056"/>
      <c r="M50" s="1056"/>
      <c r="N50" s="1056"/>
      <c r="O50" s="1056"/>
      <c r="P50" s="1070"/>
      <c r="Q50" s="1070"/>
      <c r="R50" s="1070"/>
      <c r="S50" s="1070"/>
      <c r="T50" s="1070"/>
      <c r="U50" s="1070"/>
      <c r="V50" s="1070"/>
      <c r="W50" s="1070"/>
      <c r="X50" s="1070"/>
      <c r="Y50" s="1070"/>
      <c r="Z50" s="1070"/>
      <c r="AA50" s="1070"/>
      <c r="AB50" s="1604"/>
      <c r="AC50" s="1070"/>
      <c r="AD50" s="1070"/>
      <c r="AE50" s="1070"/>
      <c r="AF50" s="1070"/>
      <c r="AG50" s="1070"/>
      <c r="AH50" s="1070"/>
      <c r="AI50" s="1070"/>
      <c r="AJ50" s="1070"/>
      <c r="AK50" s="1070"/>
      <c r="AL50" s="1070"/>
      <c r="AM50" s="1070"/>
    </row>
    <row r="51" spans="2:49">
      <c r="C51" s="1075"/>
      <c r="D51" s="33"/>
      <c r="E51" s="717"/>
      <c r="F51" s="717"/>
      <c r="G51" s="717"/>
      <c r="H51" s="1612">
        <f>+H50/G50-1</f>
        <v>1.0900473933649346E-2</v>
      </c>
      <c r="I51" s="1612">
        <f>+I50/H50-1</f>
        <v>1.6877637130801704E-2</v>
      </c>
      <c r="J51" s="1613">
        <f>+I51-H51</f>
        <v>5.9771631971523576E-3</v>
      </c>
      <c r="K51" s="717"/>
      <c r="L51" s="1056"/>
      <c r="M51" s="1056"/>
      <c r="N51" s="1056"/>
      <c r="O51" s="1056"/>
      <c r="P51" s="1070"/>
      <c r="Q51" s="1070"/>
      <c r="R51" s="1070"/>
      <c r="S51" s="1070"/>
      <c r="T51" s="1070"/>
      <c r="U51" s="1070"/>
      <c r="V51" s="1070"/>
      <c r="W51" s="1070"/>
      <c r="X51" s="1070"/>
      <c r="Y51" s="1070"/>
      <c r="Z51" s="1070"/>
      <c r="AA51" s="1070"/>
      <c r="AB51" s="1604"/>
      <c r="AC51" s="1070"/>
      <c r="AD51" s="1070"/>
      <c r="AE51" s="1070"/>
      <c r="AF51" s="1070"/>
      <c r="AG51" s="1070"/>
      <c r="AH51" s="1070"/>
      <c r="AI51" s="1070"/>
      <c r="AJ51" s="1070"/>
      <c r="AK51" s="1070"/>
      <c r="AL51" s="1070"/>
      <c r="AM51" s="1070"/>
    </row>
    <row r="52" spans="2:49">
      <c r="C52" s="1075"/>
      <c r="D52" s="33"/>
      <c r="E52" s="717"/>
      <c r="F52" s="717"/>
      <c r="G52" s="717">
        <v>1210</v>
      </c>
      <c r="H52" s="717">
        <v>1199</v>
      </c>
      <c r="I52" s="717">
        <v>1229</v>
      </c>
      <c r="J52" s="1611"/>
      <c r="K52" s="717"/>
      <c r="L52" s="1056"/>
      <c r="M52" s="1056"/>
      <c r="N52" s="1056"/>
      <c r="O52" s="1056"/>
      <c r="P52" s="1070"/>
      <c r="Q52" s="1070"/>
      <c r="R52" s="1070"/>
      <c r="S52" s="1070"/>
      <c r="T52" s="1070"/>
      <c r="U52" s="1070"/>
      <c r="V52" s="1070"/>
      <c r="W52" s="1070"/>
      <c r="X52" s="1070"/>
      <c r="Y52" s="1070"/>
      <c r="Z52" s="1070"/>
      <c r="AA52" s="1070"/>
      <c r="AB52" s="1604"/>
      <c r="AC52" s="1070"/>
      <c r="AD52" s="1070"/>
      <c r="AE52" s="1070"/>
      <c r="AF52" s="1070"/>
      <c r="AG52" s="1070"/>
      <c r="AH52" s="1070"/>
      <c r="AI52" s="1070"/>
      <c r="AJ52" s="1070"/>
      <c r="AK52" s="1070"/>
      <c r="AL52" s="1070"/>
      <c r="AM52" s="1070"/>
    </row>
    <row r="53" spans="2:49">
      <c r="C53" s="1075"/>
      <c r="D53" s="33"/>
      <c r="E53" s="717"/>
      <c r="F53" s="717"/>
      <c r="G53" s="717"/>
      <c r="H53" s="1612">
        <f>+H52/G52-1</f>
        <v>-9.0909090909090384E-3</v>
      </c>
      <c r="I53" s="1612">
        <f>+I52/H52-1</f>
        <v>2.5020850708924014E-2</v>
      </c>
      <c r="J53" s="1613">
        <f>+I53-H53</f>
        <v>3.4111759799833052E-2</v>
      </c>
      <c r="K53" s="717"/>
      <c r="L53" s="1056"/>
      <c r="M53" s="1056"/>
      <c r="N53" s="1056"/>
      <c r="O53" s="1056"/>
      <c r="P53" s="1070"/>
      <c r="Q53" s="1070"/>
      <c r="R53" s="1070"/>
      <c r="S53" s="1070"/>
      <c r="T53" s="1070"/>
      <c r="U53" s="1070"/>
      <c r="V53" s="1070"/>
      <c r="W53" s="1070"/>
      <c r="X53" s="1070"/>
      <c r="Y53" s="1070"/>
      <c r="Z53" s="1070"/>
      <c r="AA53" s="1070"/>
      <c r="AB53" s="1604"/>
      <c r="AC53" s="1070"/>
      <c r="AD53" s="1070"/>
      <c r="AE53" s="1070"/>
      <c r="AF53" s="1070"/>
      <c r="AG53" s="1070"/>
      <c r="AH53" s="1070"/>
      <c r="AI53" s="1070"/>
      <c r="AJ53" s="1070"/>
      <c r="AK53" s="1070"/>
      <c r="AL53" s="1070"/>
      <c r="AM53" s="1070"/>
    </row>
    <row r="54" spans="2:49">
      <c r="C54" s="1075"/>
      <c r="D54" s="33"/>
      <c r="E54" s="717"/>
      <c r="F54" s="717"/>
      <c r="G54" s="717">
        <v>1868</v>
      </c>
      <c r="H54" s="717">
        <v>1863</v>
      </c>
      <c r="I54" s="717">
        <v>1928</v>
      </c>
      <c r="J54" s="717"/>
      <c r="K54" s="717"/>
      <c r="L54" s="1056"/>
      <c r="M54" s="1056"/>
      <c r="N54" s="1056"/>
      <c r="O54" s="1056"/>
      <c r="P54" s="1070"/>
      <c r="Q54" s="1070"/>
      <c r="R54" s="1070"/>
      <c r="S54" s="1070"/>
      <c r="T54" s="1070"/>
      <c r="U54" s="1070"/>
      <c r="V54" s="1070"/>
      <c r="W54" s="1070"/>
      <c r="X54" s="1070"/>
      <c r="Y54" s="1070"/>
      <c r="Z54" s="1070"/>
      <c r="AA54" s="1070"/>
      <c r="AB54" s="1604"/>
      <c r="AC54" s="1070"/>
      <c r="AD54" s="1070"/>
      <c r="AE54" s="1070"/>
      <c r="AF54" s="1070"/>
      <c r="AG54" s="1070"/>
      <c r="AH54" s="1070"/>
      <c r="AI54" s="1070"/>
      <c r="AJ54" s="1070"/>
      <c r="AK54" s="1070"/>
      <c r="AL54" s="1070"/>
      <c r="AM54" s="1070"/>
    </row>
    <row r="55" spans="2:49">
      <c r="C55" s="1075"/>
      <c r="D55" s="33"/>
      <c r="E55" s="717"/>
      <c r="F55" s="717"/>
      <c r="G55" s="717"/>
      <c r="H55" s="1612">
        <f>+H54/G54-1</f>
        <v>-2.6766595289079431E-3</v>
      </c>
      <c r="I55" s="1612">
        <f>+I54/H54-1</f>
        <v>3.4889962426194243E-2</v>
      </c>
      <c r="J55" s="1613">
        <f>+I55-H55</f>
        <v>3.7566621955102186E-2</v>
      </c>
      <c r="K55" s="717"/>
      <c r="L55" s="1056"/>
      <c r="M55" s="1056"/>
      <c r="N55" s="1056"/>
      <c r="O55" s="1056"/>
      <c r="P55" s="1070"/>
      <c r="Q55" s="1070"/>
      <c r="R55" s="1070"/>
      <c r="S55" s="1070"/>
      <c r="T55" s="1070"/>
      <c r="U55" s="1070"/>
      <c r="V55" s="1070"/>
      <c r="W55" s="1070"/>
      <c r="X55" s="1070"/>
      <c r="Y55" s="1070"/>
      <c r="Z55" s="1070"/>
      <c r="AA55" s="1070"/>
      <c r="AB55" s="1604"/>
      <c r="AC55" s="1070"/>
      <c r="AD55" s="1070"/>
      <c r="AE55" s="1070"/>
      <c r="AF55" s="1070"/>
      <c r="AG55" s="1070"/>
      <c r="AH55" s="1070"/>
      <c r="AI55" s="1070"/>
      <c r="AJ55" s="1070"/>
      <c r="AK55" s="1070"/>
      <c r="AL55" s="1070"/>
      <c r="AM55" s="1070"/>
    </row>
    <row r="56" spans="2:49">
      <c r="C56" s="1075"/>
      <c r="D56" s="210"/>
      <c r="E56" s="717"/>
      <c r="F56" s="717"/>
      <c r="G56" s="717"/>
      <c r="H56" s="717"/>
      <c r="I56" s="717"/>
      <c r="J56" s="717"/>
      <c r="K56" s="717"/>
      <c r="L56" s="1056"/>
      <c r="M56" s="1056"/>
      <c r="N56" s="1056"/>
      <c r="O56" s="1056"/>
      <c r="P56" s="1070"/>
      <c r="Q56" s="1070"/>
      <c r="R56" s="1070"/>
      <c r="S56" s="1070"/>
      <c r="T56" s="1070"/>
      <c r="U56" s="1070"/>
      <c r="V56" s="1070"/>
      <c r="W56" s="1070"/>
      <c r="X56" s="1070"/>
      <c r="Y56" s="1070"/>
      <c r="Z56" s="1070"/>
      <c r="AA56" s="1070"/>
      <c r="AB56" s="1604"/>
      <c r="AC56" s="1070"/>
      <c r="AD56" s="1070"/>
      <c r="AE56" s="1070"/>
      <c r="AF56" s="1070"/>
      <c r="AG56" s="1070"/>
      <c r="AH56" s="1070"/>
      <c r="AI56" s="1070"/>
      <c r="AJ56" s="1070"/>
      <c r="AK56" s="1070"/>
      <c r="AL56" s="1070"/>
      <c r="AM56" s="1070"/>
    </row>
    <row r="57" spans="2:49">
      <c r="C57" s="1075"/>
      <c r="D57" s="210"/>
      <c r="E57" s="717"/>
      <c r="F57" s="717"/>
      <c r="G57" s="717"/>
      <c r="H57" s="717"/>
      <c r="I57" s="717"/>
      <c r="J57" s="717"/>
      <c r="K57" s="717"/>
      <c r="L57" s="1056"/>
      <c r="M57" s="1056"/>
      <c r="N57" s="1056"/>
      <c r="O57" s="1056"/>
      <c r="P57" s="1070"/>
      <c r="Q57" s="1070"/>
      <c r="R57" s="1070"/>
      <c r="S57" s="1070"/>
      <c r="T57" s="1070"/>
      <c r="U57" s="1070"/>
      <c r="V57" s="1070"/>
      <c r="W57" s="1070"/>
      <c r="X57" s="1070"/>
      <c r="Y57" s="1070"/>
      <c r="Z57" s="1070"/>
      <c r="AA57" s="1070"/>
      <c r="AB57" s="1604"/>
      <c r="AC57" s="1070"/>
      <c r="AD57" s="1070"/>
      <c r="AE57" s="1070"/>
      <c r="AF57" s="1070"/>
      <c r="AG57" s="1070"/>
      <c r="AH57" s="1070"/>
      <c r="AI57" s="1070"/>
      <c r="AJ57" s="1070"/>
      <c r="AK57" s="1070"/>
      <c r="AL57" s="1070"/>
      <c r="AM57" s="1070"/>
    </row>
    <row r="58" spans="2:49">
      <c r="C58" s="1075"/>
      <c r="D58" s="210"/>
      <c r="E58" s="717"/>
      <c r="F58" s="717"/>
      <c r="G58" s="717"/>
      <c r="H58" s="717"/>
      <c r="I58" s="717">
        <v>61764</v>
      </c>
      <c r="J58" s="717">
        <v>63235</v>
      </c>
      <c r="K58" s="1611">
        <f>+J58/I58-1</f>
        <v>2.3816462664335125E-2</v>
      </c>
      <c r="L58" s="1056"/>
      <c r="M58" s="1056"/>
      <c r="N58" s="1056"/>
      <c r="O58" s="1056"/>
      <c r="P58" s="1070"/>
      <c r="Q58" s="1070"/>
      <c r="R58" s="1070"/>
      <c r="S58" s="1070"/>
      <c r="T58" s="1070"/>
      <c r="U58" s="1070"/>
      <c r="V58" s="1070"/>
      <c r="W58" s="1070"/>
      <c r="X58" s="1070"/>
      <c r="Y58" s="1070"/>
      <c r="Z58" s="1070"/>
      <c r="AA58" s="1070"/>
      <c r="AB58" s="1604"/>
      <c r="AC58" s="1070"/>
      <c r="AD58" s="1070"/>
      <c r="AE58" s="1070"/>
      <c r="AF58" s="1070"/>
      <c r="AG58" s="1070"/>
      <c r="AH58" s="1070"/>
      <c r="AI58" s="1070"/>
      <c r="AJ58" s="1070"/>
      <c r="AK58" s="1070"/>
      <c r="AL58" s="1070"/>
      <c r="AM58" s="1070"/>
    </row>
    <row r="59" spans="2:49">
      <c r="C59" s="1054"/>
      <c r="D59" s="210"/>
      <c r="E59" s="717"/>
      <c r="F59" s="717"/>
      <c r="G59" s="717"/>
      <c r="H59" s="717"/>
      <c r="I59" s="717">
        <v>17391</v>
      </c>
      <c r="J59" s="717">
        <v>18434</v>
      </c>
      <c r="K59" s="1611">
        <f>+J59/I59-1</f>
        <v>5.9973549537116977E-2</v>
      </c>
      <c r="L59" s="1056"/>
      <c r="M59" s="1056"/>
      <c r="P59"/>
      <c r="Q59" s="1070"/>
      <c r="R59" s="1070"/>
      <c r="S59" s="1070"/>
      <c r="T59" s="1070"/>
      <c r="U59" s="1070"/>
      <c r="V59" s="1070"/>
      <c r="W59" s="1070"/>
      <c r="X59" s="1070"/>
      <c r="Y59" s="1070"/>
      <c r="Z59" s="1070"/>
      <c r="AA59" s="1070"/>
      <c r="AB59" s="1604"/>
      <c r="AC59" s="1070"/>
      <c r="AD59" s="1070"/>
      <c r="AE59" s="1070"/>
      <c r="AF59" s="1070"/>
      <c r="AG59" s="1070"/>
      <c r="AH59" s="1070"/>
      <c r="AI59" s="1070"/>
      <c r="AJ59" s="1070"/>
      <c r="AK59" s="1070"/>
      <c r="AL59" s="1070"/>
      <c r="AM59" s="1070"/>
    </row>
    <row r="60" spans="2:49">
      <c r="C60" s="1054"/>
      <c r="D60" s="210"/>
      <c r="E60" s="717"/>
      <c r="F60" s="717"/>
      <c r="G60" s="717"/>
      <c r="H60" s="717"/>
      <c r="I60" s="717">
        <v>18378</v>
      </c>
      <c r="J60" s="717">
        <v>19113</v>
      </c>
      <c r="K60" s="1611">
        <f>+J60/I60-1</f>
        <v>3.9993470453803415E-2</v>
      </c>
      <c r="L60" s="1056"/>
      <c r="M60" s="1056"/>
      <c r="P60"/>
      <c r="Q60" s="1070"/>
      <c r="R60" s="1070"/>
      <c r="S60" s="1070"/>
      <c r="T60" s="1070"/>
      <c r="U60" s="1070"/>
      <c r="V60" s="1070"/>
      <c r="W60" s="1070"/>
      <c r="X60" s="1070"/>
      <c r="Y60" s="1070"/>
      <c r="Z60" s="1070"/>
      <c r="AA60" s="1070"/>
      <c r="AB60" s="1604"/>
      <c r="AC60" s="1070"/>
      <c r="AD60" s="1070"/>
      <c r="AE60" s="1070"/>
      <c r="AF60" s="1070"/>
      <c r="AG60" s="1070"/>
      <c r="AH60" s="1070"/>
      <c r="AI60" s="1070"/>
      <c r="AJ60" s="1070"/>
      <c r="AK60" s="1070"/>
      <c r="AL60" s="1070"/>
      <c r="AM60" s="1070"/>
    </row>
    <row r="61" spans="2:49">
      <c r="C61" s="1054"/>
      <c r="D61" s="210"/>
      <c r="E61" s="717"/>
      <c r="F61" s="717"/>
      <c r="G61" s="717"/>
      <c r="H61" s="717"/>
      <c r="I61" s="717"/>
      <c r="J61" s="717"/>
      <c r="K61" s="717"/>
      <c r="L61" s="1056"/>
      <c r="M61" s="1056"/>
      <c r="P61"/>
      <c r="Q61" s="1070"/>
      <c r="R61" s="1070"/>
      <c r="S61" s="1070"/>
      <c r="T61" s="1070"/>
      <c r="U61" s="1070"/>
      <c r="V61" s="1070"/>
      <c r="W61" s="1070"/>
      <c r="X61" s="1070"/>
      <c r="Y61" s="1070"/>
      <c r="Z61" s="1070"/>
      <c r="AA61" s="1070"/>
      <c r="AB61" s="1604"/>
      <c r="AC61" s="1070"/>
      <c r="AD61" s="1070"/>
      <c r="AE61" s="1070"/>
      <c r="AF61" s="1070"/>
      <c r="AG61" s="1070"/>
      <c r="AH61" s="1070"/>
      <c r="AI61" s="1070"/>
      <c r="AJ61" s="1070"/>
      <c r="AK61" s="1070"/>
      <c r="AL61" s="1070"/>
      <c r="AM61" s="1070"/>
    </row>
    <row r="62" spans="2:49">
      <c r="C62" s="69"/>
      <c r="D62" s="69"/>
      <c r="E62" s="69"/>
      <c r="F62" s="715"/>
      <c r="G62" s="69"/>
      <c r="H62" s="69"/>
      <c r="I62" s="69"/>
      <c r="J62" s="69"/>
      <c r="K62" s="69"/>
      <c r="L62" s="69"/>
      <c r="M62" s="69"/>
      <c r="P62"/>
      <c r="Q62" s="124"/>
      <c r="R62" s="124"/>
      <c r="S62" s="124"/>
      <c r="T62" s="124"/>
      <c r="U62" s="124"/>
      <c r="V62" s="124"/>
      <c r="W62" s="124"/>
      <c r="X62" s="124"/>
      <c r="Y62" s="124"/>
      <c r="AB62" s="1607"/>
      <c r="AC62" s="124"/>
      <c r="AD62" s="124"/>
      <c r="AE62" s="124"/>
      <c r="AF62" s="124"/>
      <c r="AG62" s="124"/>
      <c r="AH62" s="124"/>
      <c r="AI62" s="124"/>
      <c r="AJ62" s="124"/>
      <c r="AK62" s="124"/>
      <c r="AL62" s="124"/>
      <c r="AM62" s="124"/>
      <c r="AN62" s="33"/>
      <c r="AO62" s="753" t="s">
        <v>1470</v>
      </c>
      <c r="AP62" s="33"/>
      <c r="AQ62" s="33"/>
      <c r="AR62" s="33"/>
      <c r="AS62" s="33"/>
      <c r="AT62" s="33"/>
      <c r="AU62" s="33"/>
      <c r="AV62" s="33"/>
      <c r="AW62" s="33"/>
    </row>
    <row r="63" spans="2:49">
      <c r="B63" s="1055"/>
      <c r="C63" s="1055"/>
      <c r="D63" s="1055"/>
      <c r="E63" s="1055"/>
      <c r="F63" s="715"/>
      <c r="AN63" s="580"/>
      <c r="AO63" s="33"/>
      <c r="AP63" s="713" t="s">
        <v>440</v>
      </c>
      <c r="AQ63" s="713" t="s">
        <v>469</v>
      </c>
      <c r="AR63" s="713" t="s">
        <v>1468</v>
      </c>
      <c r="AS63" s="23"/>
      <c r="AT63" s="713" t="s">
        <v>439</v>
      </c>
      <c r="AU63" s="713" t="s">
        <v>439</v>
      </c>
      <c r="AV63" s="714"/>
      <c r="AW63" s="714"/>
    </row>
    <row r="64" spans="2:49">
      <c r="AN64" s="580" t="s">
        <v>177</v>
      </c>
      <c r="AO64" s="33"/>
      <c r="AP64" s="711" t="s">
        <v>1790</v>
      </c>
      <c r="AQ64" s="711" t="s">
        <v>1790</v>
      </c>
      <c r="AR64" s="711" t="s">
        <v>442</v>
      </c>
      <c r="AS64" s="23"/>
      <c r="AT64" s="711" t="s">
        <v>1791</v>
      </c>
      <c r="AU64" s="711" t="s">
        <v>252</v>
      </c>
      <c r="AV64" s="711" t="s">
        <v>443</v>
      </c>
      <c r="AW64" s="711" t="s">
        <v>444</v>
      </c>
    </row>
    <row r="65" spans="9:49">
      <c r="I65" s="1057"/>
      <c r="AN65" s="33"/>
      <c r="AO65" s="33"/>
      <c r="AP65" s="225"/>
      <c r="AQ65" s="225"/>
      <c r="AR65" s="225"/>
      <c r="AS65" s="33"/>
      <c r="AT65" s="225"/>
      <c r="AU65" s="225"/>
      <c r="AV65" s="225"/>
      <c r="AW65" s="225"/>
    </row>
    <row r="66" spans="9:49">
      <c r="AN66" s="33" t="s">
        <v>445</v>
      </c>
      <c r="AO66" s="33"/>
      <c r="AP66" s="33"/>
      <c r="AQ66" s="33"/>
      <c r="AR66" s="33"/>
      <c r="AS66" s="33"/>
      <c r="AT66" s="33"/>
      <c r="AU66" s="33"/>
      <c r="AV66" s="33"/>
      <c r="AW66" s="33"/>
    </row>
    <row r="67" spans="9:49">
      <c r="AN67" s="33"/>
      <c r="AO67" s="33" t="s">
        <v>1050</v>
      </c>
      <c r="AP67" s="715">
        <f>F7</f>
        <v>370.20388294255315</v>
      </c>
      <c r="AQ67" s="715"/>
      <c r="AR67" s="715"/>
      <c r="AS67" s="253"/>
      <c r="AT67" s="715">
        <f>J7</f>
        <v>347.495</v>
      </c>
      <c r="AU67" s="754">
        <f>K7+SDXC!BQ86*SDXC!$BQ$13/3</f>
        <v>318.40371324022118</v>
      </c>
      <c r="AV67" s="716">
        <f t="shared" ref="AV67:AV73" si="6">+IF(OR(AP67&lt;0,AT67&lt;0),"NM",(AP67/AT67-1))</f>
        <v>6.5350243723084178E-2</v>
      </c>
      <c r="AW67" s="716">
        <f t="shared" ref="AW67:AW73" si="7">+IF(OR(AP67&lt;0,AU67&lt;0),"NM",(AP67/AU67-1))</f>
        <v>0.1626870779087024</v>
      </c>
    </row>
    <row r="68" spans="9:49">
      <c r="AN68" s="33"/>
      <c r="AO68" s="33" t="s">
        <v>1124</v>
      </c>
      <c r="AP68" s="715">
        <f>F8</f>
        <v>68.658162745356535</v>
      </c>
      <c r="AQ68" s="715"/>
      <c r="AR68" s="715"/>
      <c r="AS68" s="253"/>
      <c r="AT68" s="715">
        <f>J8</f>
        <v>65.033999999999992</v>
      </c>
      <c r="AU68" s="754">
        <f>K8+SDXC!BQ87*SDXC!$BQ$13/3</f>
        <v>63.034379316273451</v>
      </c>
      <c r="AV68" s="716">
        <f t="shared" si="6"/>
        <v>5.5727200316089132E-2</v>
      </c>
      <c r="AW68" s="716">
        <f t="shared" si="7"/>
        <v>8.9217717221675041E-2</v>
      </c>
    </row>
    <row r="69" spans="9:49" outlineLevel="1">
      <c r="AN69" s="33"/>
      <c r="AO69" s="33" t="s">
        <v>1457</v>
      </c>
      <c r="AP69" s="715">
        <f>F9</f>
        <v>20.259052096657449</v>
      </c>
      <c r="AQ69" s="715"/>
      <c r="AR69" s="715"/>
      <c r="AS69" s="253"/>
      <c r="AT69" s="715">
        <f>J9</f>
        <v>20.305</v>
      </c>
      <c r="AU69" s="715">
        <f>K9</f>
        <v>23.820327282895878</v>
      </c>
      <c r="AV69" s="716">
        <f t="shared" si="6"/>
        <v>-2.2628861532898448E-3</v>
      </c>
      <c r="AW69" s="716">
        <f t="shared" si="7"/>
        <v>-0.14950572021718578</v>
      </c>
    </row>
    <row r="70" spans="9:49" outlineLevel="1">
      <c r="AN70" s="33"/>
      <c r="AO70" s="33" t="s">
        <v>1222</v>
      </c>
      <c r="AP70" s="715">
        <f>F10</f>
        <v>0.8171530390579157</v>
      </c>
      <c r="AQ70" s="715"/>
      <c r="AR70" s="715"/>
      <c r="AS70" s="253"/>
      <c r="AT70" s="715">
        <f>J10</f>
        <v>0.78100000000000003</v>
      </c>
      <c r="AU70" s="715">
        <f>K10</f>
        <v>0.79261693633926678</v>
      </c>
      <c r="AV70" s="716">
        <f t="shared" si="6"/>
        <v>4.6290703019098212E-2</v>
      </c>
      <c r="AW70" s="716">
        <f t="shared" si="7"/>
        <v>3.0955814333175846E-2</v>
      </c>
    </row>
    <row r="71" spans="9:49">
      <c r="AN71" s="33" t="s">
        <v>1469</v>
      </c>
      <c r="AO71" s="33"/>
      <c r="AP71" s="717">
        <f>SUM(AP67:AP70)</f>
        <v>459.93825082362508</v>
      </c>
      <c r="AQ71" s="717"/>
      <c r="AR71" s="717"/>
      <c r="AS71" s="253"/>
      <c r="AT71" s="717">
        <f>SUM(AT67:AT70)</f>
        <v>433.61500000000001</v>
      </c>
      <c r="AU71" s="717">
        <f>SUM(AU67:AU70)</f>
        <v>406.05103677572976</v>
      </c>
      <c r="AV71" s="718">
        <f t="shared" si="6"/>
        <v>6.070650421139745E-2</v>
      </c>
      <c r="AW71" s="718">
        <f t="shared" si="7"/>
        <v>0.13271044565183154</v>
      </c>
    </row>
    <row r="72" spans="9:49">
      <c r="AN72" s="33"/>
      <c r="AO72" s="33" t="s">
        <v>1458</v>
      </c>
      <c r="AP72" s="715">
        <f>F12</f>
        <v>23.861875000000001</v>
      </c>
      <c r="AQ72" s="715"/>
      <c r="AR72" s="715"/>
      <c r="AS72" s="253"/>
      <c r="AT72" s="715">
        <f>J12</f>
        <v>21.914999999999999</v>
      </c>
      <c r="AU72" s="754">
        <f>K12+SDXC!BQ88*SDXC!BQ13/3</f>
        <v>20.956963224270218</v>
      </c>
      <c r="AV72" s="716">
        <f t="shared" si="6"/>
        <v>8.8837554186630197E-2</v>
      </c>
      <c r="AW72" s="716">
        <f t="shared" si="7"/>
        <v>0.13861320195311544</v>
      </c>
    </row>
    <row r="73" spans="9:49">
      <c r="AN73" s="41" t="s">
        <v>446</v>
      </c>
      <c r="AO73" s="33"/>
      <c r="AP73" s="581">
        <f>+AP71+AP72</f>
        <v>483.80012582362508</v>
      </c>
      <c r="AQ73" s="748">
        <v>380</v>
      </c>
      <c r="AR73" s="1058">
        <f>+AP73-AQ73</f>
        <v>103.80012582362508</v>
      </c>
      <c r="AS73" s="253"/>
      <c r="AT73" s="581">
        <f>+AT71+AT72</f>
        <v>455.53000000000003</v>
      </c>
      <c r="AU73" s="581">
        <f>+AU71+AU72</f>
        <v>427.00799999999998</v>
      </c>
      <c r="AV73" s="716">
        <f t="shared" si="6"/>
        <v>6.2059855165686129E-2</v>
      </c>
      <c r="AW73" s="716">
        <f t="shared" si="7"/>
        <v>0.13300014478329469</v>
      </c>
    </row>
    <row r="74" spans="9:49">
      <c r="AN74" s="41"/>
      <c r="AO74" s="33"/>
      <c r="AP74" s="253"/>
      <c r="AQ74" s="253"/>
      <c r="AR74" s="253"/>
      <c r="AS74" s="253"/>
      <c r="AT74" s="253"/>
      <c r="AU74" s="253"/>
      <c r="AV74" s="719"/>
      <c r="AW74" s="719"/>
    </row>
    <row r="75" spans="9:49">
      <c r="AN75" s="720" t="s">
        <v>172</v>
      </c>
      <c r="AO75" s="720"/>
      <c r="AP75" s="721"/>
      <c r="AQ75" s="721"/>
      <c r="AR75" s="721"/>
      <c r="AS75" s="253"/>
      <c r="AT75" s="721"/>
      <c r="AU75" s="721"/>
      <c r="AV75" s="722"/>
      <c r="AW75" s="722"/>
    </row>
    <row r="76" spans="9:49">
      <c r="AN76" s="33"/>
      <c r="AO76" s="33" t="s">
        <v>447</v>
      </c>
      <c r="AP76" s="715">
        <f>F16</f>
        <v>158.686441270149</v>
      </c>
      <c r="AQ76" s="715"/>
      <c r="AR76" s="715"/>
      <c r="AS76" s="253"/>
      <c r="AT76" s="715">
        <f>J16</f>
        <v>141.352</v>
      </c>
      <c r="AU76" s="754">
        <f>K16+SDXC!BQ18*SDXC!BQ13/3</f>
        <v>149.71468145339097</v>
      </c>
      <c r="AV76" s="716">
        <f>+IF(OR(AP76&lt;0,AT76&lt;0),"NM",(AP76/AT76-1))</f>
        <v>0.1226331517781778</v>
      </c>
      <c r="AW76" s="716">
        <f>+IF(OR(AP76&lt;0,AU76&lt;0),"NM",(AP76/AU76-1))</f>
        <v>5.9925718237266556E-2</v>
      </c>
    </row>
    <row r="77" spans="9:49">
      <c r="AN77" s="33"/>
      <c r="AO77" s="723" t="s">
        <v>989</v>
      </c>
      <c r="AP77" s="250">
        <f>1-AP76/AP73</f>
        <v>0.67200000000000004</v>
      </c>
      <c r="AQ77" s="250"/>
      <c r="AR77" s="250"/>
      <c r="AS77" s="724"/>
      <c r="AT77" s="250">
        <f>1-AT76/AT73</f>
        <v>0.68969771474985175</v>
      </c>
      <c r="AU77" s="250">
        <f>1-AU76/AU73</f>
        <v>0.64938670597883186</v>
      </c>
      <c r="AV77" s="1061">
        <f>+IF(OR(AP77&lt;0,AT77&lt;0),"NM",(AP77-AT77)*10000)</f>
        <v>-176.97714749851713</v>
      </c>
      <c r="AW77" s="1062">
        <f>+IF(OR(AP77&lt;0,AU77&lt;0),"NM",(AP77-AU77)*10000)</f>
        <v>226.13294021168184</v>
      </c>
    </row>
    <row r="78" spans="9:49">
      <c r="AN78" s="33"/>
      <c r="AO78" s="33" t="s">
        <v>1539</v>
      </c>
      <c r="AP78" s="715">
        <f>F18</f>
        <v>110.06452862487471</v>
      </c>
      <c r="AQ78" s="715"/>
      <c r="AR78" s="715"/>
      <c r="AS78" s="253"/>
      <c r="AT78" s="715">
        <f>J18</f>
        <v>97.75800000000001</v>
      </c>
      <c r="AU78" s="754">
        <f>K18+(SDXC!BQ19+SDXC!BQ20)/3</f>
        <v>84.429666666666662</v>
      </c>
      <c r="AV78" s="716">
        <f>+IF(OR(AP78&lt;0,AT78&lt;0),"NM",(AP78/AT78-1))</f>
        <v>0.12588768821860818</v>
      </c>
      <c r="AW78" s="716">
        <f>+IF(OR(AP78&lt;0,AU78&lt;0),"NM",(AP78/AU78-1))</f>
        <v>0.30362386789250273</v>
      </c>
    </row>
    <row r="79" spans="9:49">
      <c r="AN79" s="33"/>
      <c r="AO79" s="580" t="s">
        <v>173</v>
      </c>
      <c r="AP79" s="86">
        <f>+AP78/AP73</f>
        <v>0.22750000000000001</v>
      </c>
      <c r="AQ79" s="86"/>
      <c r="AR79" s="86"/>
      <c r="AS79" s="724"/>
      <c r="AT79" s="86">
        <f>+AT78/AT73</f>
        <v>0.21460277039931508</v>
      </c>
      <c r="AU79" s="86">
        <f>+AU78/AU73</f>
        <v>0.19772385216826538</v>
      </c>
      <c r="AV79" s="725">
        <f>+IF(OR(AP79&lt;0,AT79&lt;0),"NM",(AP79/AT79-1))</f>
        <v>6.0098150534994677E-2</v>
      </c>
      <c r="AW79" s="725">
        <f>+IF(OR(AP79&lt;0,AU79&lt;0),"NM",(AP79/AU79-1))</f>
        <v>0.15059461721590761</v>
      </c>
    </row>
    <row r="80" spans="9:49">
      <c r="AN80" s="41" t="s">
        <v>188</v>
      </c>
      <c r="AO80" s="33"/>
      <c r="AP80" s="726">
        <f>F20</f>
        <v>215.04915592860141</v>
      </c>
      <c r="AQ80" s="748">
        <v>170.3</v>
      </c>
      <c r="AR80" s="1060">
        <f>+AP80-AQ80</f>
        <v>44.749155928601397</v>
      </c>
      <c r="AS80" s="253"/>
      <c r="AT80" s="726">
        <f>J20</f>
        <v>216.42</v>
      </c>
      <c r="AU80" s="726">
        <f>AU73-AU76-AU78</f>
        <v>192.86365187994238</v>
      </c>
      <c r="AV80" s="735">
        <f>+IF(OR(AP80&lt;0,AT80&lt;0),"NM",(AP80/AT80-1))</f>
        <v>-6.3341838619285218E-3</v>
      </c>
      <c r="AW80" s="735">
        <f>+IF(OR(AP80&lt;0,AU80&lt;0),"NM",(AP80/AU80-1))</f>
        <v>0.11503206453059134</v>
      </c>
    </row>
    <row r="81" spans="40:49">
      <c r="AN81" s="727" t="s">
        <v>995</v>
      </c>
      <c r="AO81" s="225"/>
      <c r="AP81" s="728">
        <f>+AP80/AP73</f>
        <v>0.44450000000000012</v>
      </c>
      <c r="AQ81" s="728">
        <f>+AQ80/AQ73</f>
        <v>0.44815789473684214</v>
      </c>
      <c r="AR81" s="1061">
        <f>+(AP81-AQ81)*10000</f>
        <v>-36.578947368420266</v>
      </c>
      <c r="AS81" s="724"/>
      <c r="AT81" s="728">
        <f>+AT80/AT73</f>
        <v>0.47509494435053667</v>
      </c>
      <c r="AU81" s="728">
        <f>+AU80/AU73</f>
        <v>0.45166285381056653</v>
      </c>
      <c r="AV81" s="1061">
        <f>+IF(OR(AP81&lt;0,AT81&lt;0),"NM",(AP81-AT81)*10000)</f>
        <v>-305.94944350536559</v>
      </c>
      <c r="AW81" s="1062">
        <f>+IF(OR(AP81&lt;0,AU81&lt;0),"NM",(AP81-AU81)*10000)</f>
        <v>-71.628538105664163</v>
      </c>
    </row>
    <row r="82" spans="40:49">
      <c r="AN82" s="33" t="s">
        <v>1465</v>
      </c>
      <c r="AO82" s="33"/>
      <c r="AP82" s="752">
        <f>F23</f>
        <v>0.72825904436779931</v>
      </c>
      <c r="AQ82" s="749">
        <v>0.48</v>
      </c>
      <c r="AR82" s="729">
        <f>+AP82-AQ82</f>
        <v>0.24825904436779933</v>
      </c>
      <c r="AS82" s="253"/>
      <c r="AT82" s="760">
        <f>J23</f>
        <v>0.69626177150388691</v>
      </c>
      <c r="AU82" s="761" t="s">
        <v>981</v>
      </c>
      <c r="AV82" s="762">
        <f>+IF(OR(AP82&lt;0,AT82&lt;0),"NM",(AP82/AT82-1))</f>
        <v>4.5955808825752564E-2</v>
      </c>
      <c r="AW82" s="762" t="s">
        <v>981</v>
      </c>
    </row>
    <row r="83" spans="40:49">
      <c r="AN83" s="720" t="s">
        <v>195</v>
      </c>
      <c r="AO83" s="720"/>
      <c r="AP83" s="731">
        <f>F26</f>
        <v>250.31600880765376</v>
      </c>
      <c r="AQ83" s="731">
        <v>215.2</v>
      </c>
      <c r="AR83" s="1059">
        <f>+AP83-AQ83</f>
        <v>35.11600880765377</v>
      </c>
      <c r="AS83" s="253"/>
      <c r="AT83" s="758">
        <f>J26</f>
        <v>196.48400000000001</v>
      </c>
      <c r="AU83" s="755" t="s">
        <v>981</v>
      </c>
      <c r="AV83" s="759">
        <f>+IF(OR(AP83&lt;0,AT83&lt;0),"NM",(AP83/AT83-1))</f>
        <v>0.27397655181925118</v>
      </c>
      <c r="AW83" s="730" t="s">
        <v>981</v>
      </c>
    </row>
    <row r="84" spans="40:49">
      <c r="AN84" s="732" t="s">
        <v>175</v>
      </c>
      <c r="AO84" s="33"/>
      <c r="AP84" s="253">
        <f>F27</f>
        <v>49.406935026620545</v>
      </c>
      <c r="AQ84" s="253"/>
      <c r="AR84" s="253"/>
      <c r="AS84" s="253"/>
      <c r="AT84" s="253">
        <f>J27</f>
        <v>45.823999999999998</v>
      </c>
      <c r="AU84" s="756" t="s">
        <v>981</v>
      </c>
      <c r="AV84" s="719">
        <f>+IF(OR(AP84&lt;0,AT84&lt;0),"NM",(AP84/AT84-1))</f>
        <v>7.8189049987354764E-2</v>
      </c>
      <c r="AW84" s="730" t="s">
        <v>981</v>
      </c>
    </row>
    <row r="85" spans="40:49">
      <c r="AN85" s="563" t="s">
        <v>176</v>
      </c>
      <c r="AO85" s="564"/>
      <c r="AP85" s="733">
        <f>+AP80-AP83-AP84</f>
        <v>-84.673787905672896</v>
      </c>
      <c r="AQ85" s="733"/>
      <c r="AR85" s="733"/>
      <c r="AS85" s="734"/>
      <c r="AT85" s="733">
        <f>+AT80-AT83-AT84</f>
        <v>-25.888000000000019</v>
      </c>
      <c r="AU85" s="757" t="s">
        <v>981</v>
      </c>
      <c r="AV85" s="735" t="str">
        <f>+IF(OR(AP85&lt;0,AT85&lt;0),"NM",(AP85/AT85-1))</f>
        <v>NM</v>
      </c>
      <c r="AW85" s="735" t="str">
        <f>+IF(OR(AP85&lt;0,AU85&lt;0),"NM",(AP85/AU85-1))</f>
        <v>NM</v>
      </c>
    </row>
  </sheetData>
  <phoneticPr fontId="2" type="noConversion"/>
  <pageMargins left="0.75" right="0.75" top="1" bottom="1" header="0.5" footer="0.5"/>
  <pageSetup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4:H15"/>
  <sheetViews>
    <sheetView zoomScale="85" workbookViewId="0">
      <selection activeCell="L7" sqref="L7"/>
    </sheetView>
  </sheetViews>
  <sheetFormatPr defaultRowHeight="12.75"/>
  <cols>
    <col min="2" max="2" width="2.42578125" customWidth="1"/>
    <col min="3" max="3" width="17.42578125" bestFit="1" customWidth="1"/>
    <col min="4" max="5" width="11.42578125" bestFit="1" customWidth="1"/>
    <col min="6" max="6" width="0.85546875" customWidth="1"/>
    <col min="7" max="8" width="11.42578125" bestFit="1" customWidth="1"/>
  </cols>
  <sheetData>
    <row r="4" spans="2:8">
      <c r="B4" s="580" t="s">
        <v>802</v>
      </c>
      <c r="D4" s="1088" t="s">
        <v>799</v>
      </c>
      <c r="E4" s="1088"/>
      <c r="F4" s="1659"/>
      <c r="G4" s="1088">
        <v>2012</v>
      </c>
      <c r="H4" s="1088"/>
    </row>
    <row r="5" spans="2:8">
      <c r="D5" s="1660" t="s">
        <v>801</v>
      </c>
      <c r="E5" s="1660" t="s">
        <v>803</v>
      </c>
      <c r="F5" s="1659"/>
      <c r="G5" s="1660" t="s">
        <v>801</v>
      </c>
      <c r="H5" s="1660" t="s">
        <v>803</v>
      </c>
    </row>
    <row r="6" spans="2:8">
      <c r="B6" t="s">
        <v>988</v>
      </c>
      <c r="D6" s="1663">
        <v>482.18679705281829</v>
      </c>
      <c r="E6" s="1237">
        <f>+IS!CV15</f>
        <v>484.83499999999998</v>
      </c>
      <c r="G6" s="1663">
        <v>1903.344544018662</v>
      </c>
      <c r="H6" s="1237">
        <f>+IS!Q15</f>
        <v>1887.376</v>
      </c>
    </row>
    <row r="7" spans="2:8">
      <c r="C7" t="s">
        <v>447</v>
      </c>
      <c r="D7" s="1663">
        <v>161.53257701269411</v>
      </c>
      <c r="E7" s="1237">
        <f>+IS!CV18</f>
        <v>157.42500000000001</v>
      </c>
      <c r="G7" s="1663">
        <v>620.95682430288798</v>
      </c>
      <c r="H7" s="1237">
        <f>+IS!Q18</f>
        <v>594.79200000000003</v>
      </c>
    </row>
    <row r="8" spans="2:8">
      <c r="C8" t="s">
        <v>1539</v>
      </c>
      <c r="D8" s="1663">
        <v>103.67016136635593</v>
      </c>
      <c r="E8" s="1237">
        <f>+IS!CV24</f>
        <v>102.39400000000001</v>
      </c>
      <c r="G8" s="1663">
        <v>410.7986461956632</v>
      </c>
      <c r="H8" s="1237">
        <f>+IS!Q24</f>
        <v>404.72699999999998</v>
      </c>
    </row>
    <row r="9" spans="2:8">
      <c r="B9" t="s">
        <v>994</v>
      </c>
      <c r="D9" s="1663">
        <f>+D6-D7-D8</f>
        <v>216.98405867376826</v>
      </c>
      <c r="E9" s="1237">
        <f>+E6-E7-E8</f>
        <v>225.01599999999996</v>
      </c>
      <c r="G9" s="1663">
        <f>+G6-G7-G8</f>
        <v>871.58907352011079</v>
      </c>
      <c r="H9" s="1237">
        <f>+H6-H7-H8</f>
        <v>887.85699999999986</v>
      </c>
    </row>
    <row r="10" spans="2:8">
      <c r="C10" s="580" t="s">
        <v>243</v>
      </c>
      <c r="D10" s="1662">
        <f>+D9/D6</f>
        <v>0.45000000000000007</v>
      </c>
      <c r="E10" s="1661">
        <f>+E9/E6</f>
        <v>0.46410840801509784</v>
      </c>
      <c r="G10" s="1662">
        <f>+G9/G6</f>
        <v>0.45792501218926185</v>
      </c>
      <c r="H10" s="1661">
        <f>+H9/H6</f>
        <v>0.47041871889861897</v>
      </c>
    </row>
    <row r="11" spans="2:8">
      <c r="B11" t="s">
        <v>431</v>
      </c>
      <c r="D11" s="1663">
        <v>190.1530757936973</v>
      </c>
      <c r="E11" s="1237">
        <f>+BS!CD133</f>
        <v>212.11799999999999</v>
      </c>
      <c r="G11" s="1663">
        <v>817.0543950079101</v>
      </c>
      <c r="H11" s="1237">
        <f>+BS!Q133</f>
        <v>764.49999999999989</v>
      </c>
    </row>
    <row r="12" spans="2:8">
      <c r="C12" t="s">
        <v>424</v>
      </c>
      <c r="D12" s="1663">
        <v>156.4</v>
      </c>
      <c r="E12" s="1237">
        <f>+BS!CD124</f>
        <v>174.52500000000001</v>
      </c>
      <c r="G12" s="1663">
        <v>663.03</v>
      </c>
      <c r="H12" s="1237">
        <f>+BS!Q124</f>
        <v>602.7829999999999</v>
      </c>
    </row>
    <row r="13" spans="2:8">
      <c r="C13" t="s">
        <v>425</v>
      </c>
      <c r="D13" s="1663">
        <v>33.753075793697285</v>
      </c>
      <c r="E13" s="1237">
        <f>+BS!CD127</f>
        <v>37.593000000000004</v>
      </c>
      <c r="G13" s="1663">
        <v>154.0243950079101</v>
      </c>
      <c r="H13" s="1237">
        <f>+BS!Q127</f>
        <v>161.71700000000001</v>
      </c>
    </row>
    <row r="14" spans="2:8">
      <c r="C14" s="580" t="s">
        <v>800</v>
      </c>
      <c r="D14" s="1662">
        <f>+D11/D6</f>
        <v>0.39435562515592504</v>
      </c>
      <c r="E14" s="1661">
        <f>+E11/E6</f>
        <v>0.43750554312291812</v>
      </c>
      <c r="F14" s="1661"/>
      <c r="G14" s="1662">
        <f>+G11/G6</f>
        <v>0.42927298558505184</v>
      </c>
      <c r="H14" s="1661">
        <f>+H11/H6</f>
        <v>0.40505972312883065</v>
      </c>
    </row>
    <row r="15" spans="2:8">
      <c r="B15" s="1185" t="s">
        <v>804</v>
      </c>
    </row>
  </sheetData>
  <phoneticPr fontId="2"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AS94"/>
  <sheetViews>
    <sheetView zoomScale="85" workbookViewId="0">
      <selection activeCell="A14" sqref="A14"/>
    </sheetView>
  </sheetViews>
  <sheetFormatPr defaultRowHeight="12.75" outlineLevelRow="1" outlineLevelCol="1"/>
  <cols>
    <col min="2" max="2" width="2.140625" customWidth="1"/>
    <col min="3" max="3" width="21.42578125" customWidth="1"/>
    <col min="4" max="4" width="14" customWidth="1"/>
    <col min="5" max="5" width="11" bestFit="1" customWidth="1" outlineLevel="1"/>
    <col min="6" max="6" width="13.42578125" bestFit="1" customWidth="1" outlineLevel="1"/>
    <col min="7" max="7" width="9" customWidth="1"/>
    <col min="8" max="8" width="12.28515625" customWidth="1"/>
    <col min="11" max="11" width="2.140625" customWidth="1"/>
    <col min="12" max="12" width="20.42578125" customWidth="1"/>
    <col min="13" max="14" width="12.42578125" customWidth="1"/>
    <col min="15" max="15" width="15.5703125" customWidth="1"/>
    <col min="16" max="16" width="14.42578125" customWidth="1" outlineLevel="1"/>
    <col min="17" max="17" width="12.28515625" customWidth="1" outlineLevel="1"/>
    <col min="18" max="18" width="14.42578125" customWidth="1"/>
    <col min="19" max="19" width="12.28515625" customWidth="1"/>
    <col min="20" max="20" width="12.42578125" bestFit="1" customWidth="1"/>
    <col min="21" max="21" width="12.140625" customWidth="1"/>
    <col min="22" max="22" width="2.5703125" style="15" customWidth="1"/>
    <col min="23" max="23" width="11" bestFit="1" customWidth="1"/>
    <col min="26" max="26" width="15.42578125" bestFit="1" customWidth="1"/>
    <col min="27" max="40" width="15.42578125" style="15" customWidth="1"/>
    <col min="42" max="42" width="12.140625" bestFit="1" customWidth="1"/>
    <col min="44" max="44" width="10.42578125" bestFit="1" customWidth="1"/>
  </cols>
  <sheetData>
    <row r="2" spans="11:18">
      <c r="M2" s="1196"/>
    </row>
    <row r="3" spans="11:18">
      <c r="O3" s="1237"/>
      <c r="P3" s="1196"/>
    </row>
    <row r="4" spans="11:18">
      <c r="K4" s="1184" t="s">
        <v>468</v>
      </c>
      <c r="L4" s="33"/>
      <c r="M4" s="1088" t="s">
        <v>1290</v>
      </c>
      <c r="N4" s="1088"/>
      <c r="O4" s="1088"/>
    </row>
    <row r="5" spans="11:18">
      <c r="K5" s="33"/>
      <c r="L5" s="33"/>
      <c r="M5" s="1202"/>
      <c r="N5" s="1202"/>
      <c r="O5" s="1202"/>
      <c r="P5" s="1202" t="s">
        <v>1827</v>
      </c>
      <c r="Q5" s="1202"/>
    </row>
    <row r="6" spans="11:18">
      <c r="K6" s="33"/>
      <c r="L6" s="33"/>
      <c r="M6" s="1074" t="s">
        <v>1593</v>
      </c>
      <c r="N6" s="1073" t="s">
        <v>1288</v>
      </c>
      <c r="O6" s="1074" t="s">
        <v>1763</v>
      </c>
      <c r="P6" s="1074" t="s">
        <v>1830</v>
      </c>
      <c r="Q6" s="1074"/>
    </row>
    <row r="7" spans="11:18">
      <c r="K7" s="33" t="s">
        <v>1823</v>
      </c>
      <c r="L7" s="33"/>
      <c r="M7" s="1579">
        <v>2200</v>
      </c>
      <c r="N7" s="1731">
        <f>IS!R15</f>
        <v>2152.7660000000001</v>
      </c>
      <c r="O7" s="1579">
        <v>2219.6</v>
      </c>
      <c r="P7" s="1214">
        <f>N7-O7</f>
        <v>-66.833999999999833</v>
      </c>
      <c r="Q7" s="1214"/>
    </row>
    <row r="8" spans="11:18">
      <c r="L8" s="33" t="s">
        <v>447</v>
      </c>
      <c r="M8" s="1579"/>
      <c r="N8" s="1731">
        <f>IS!R18</f>
        <v>678.82600000000002</v>
      </c>
      <c r="O8" s="1700"/>
      <c r="P8" s="1214"/>
      <c r="Q8" s="1214"/>
    </row>
    <row r="9" spans="11:18">
      <c r="L9" s="33" t="s">
        <v>1539</v>
      </c>
      <c r="M9" s="1579"/>
      <c r="N9" s="1731">
        <f>IS!R24</f>
        <v>473.04200000000003</v>
      </c>
      <c r="O9" s="1700"/>
      <c r="P9" s="1214"/>
      <c r="Q9" s="1214"/>
    </row>
    <row r="10" spans="11:18">
      <c r="K10" s="33" t="s">
        <v>1286</v>
      </c>
      <c r="L10" s="33"/>
      <c r="M10" s="1579">
        <v>1010</v>
      </c>
      <c r="N10" s="1579">
        <f>N7-N8-N9</f>
        <v>1000.898</v>
      </c>
      <c r="O10" s="1579">
        <v>1029.8499999999999</v>
      </c>
      <c r="P10" s="1214">
        <f>N10-O10</f>
        <v>-28.951999999999884</v>
      </c>
      <c r="Q10" s="1214"/>
    </row>
    <row r="11" spans="11:18">
      <c r="K11" s="33"/>
      <c r="L11" s="580" t="s">
        <v>423</v>
      </c>
      <c r="M11" s="725">
        <f>M10/M7</f>
        <v>0.45909090909090911</v>
      </c>
      <c r="N11" s="725">
        <f>N10/N7</f>
        <v>0.46493580816493757</v>
      </c>
      <c r="O11" s="725">
        <f>+O10/O7</f>
        <v>0.46397999639574694</v>
      </c>
      <c r="P11" s="1189">
        <f>(N11-O11)*10000</f>
        <v>9.5581176919062862</v>
      </c>
      <c r="Q11" s="1189"/>
    </row>
    <row r="12" spans="11:18">
      <c r="K12" s="33" t="s">
        <v>431</v>
      </c>
      <c r="L12" s="33"/>
      <c r="M12" s="1581" t="s">
        <v>1283</v>
      </c>
      <c r="N12" s="1732">
        <f>BS!R133</f>
        <v>572.40599999999995</v>
      </c>
      <c r="O12" s="1581">
        <v>603.05999999999995</v>
      </c>
      <c r="P12" s="1214">
        <f>O12-N12</f>
        <v>30.653999999999996</v>
      </c>
      <c r="Q12" s="1214"/>
    </row>
    <row r="13" spans="11:18">
      <c r="K13" s="33"/>
      <c r="L13" s="33" t="s">
        <v>424</v>
      </c>
      <c r="M13" s="1581" t="s">
        <v>1284</v>
      </c>
      <c r="N13" s="1732">
        <f>BS!R124</f>
        <v>389.07600000000002</v>
      </c>
      <c r="O13" s="1581"/>
      <c r="P13" s="1214"/>
      <c r="Q13" s="1214"/>
    </row>
    <row r="14" spans="11:18">
      <c r="K14" s="33"/>
      <c r="L14" s="33" t="s">
        <v>425</v>
      </c>
      <c r="M14" s="1579">
        <v>165</v>
      </c>
      <c r="N14" s="1731">
        <f>BS!R127</f>
        <v>183.32999999999998</v>
      </c>
      <c r="O14" s="1579"/>
      <c r="P14" s="1214"/>
      <c r="Q14" s="1214"/>
    </row>
    <row r="15" spans="11:18">
      <c r="K15" s="210"/>
      <c r="L15" s="740" t="s">
        <v>800</v>
      </c>
      <c r="M15" s="725">
        <f>600/M7</f>
        <v>0.27272727272727271</v>
      </c>
      <c r="N15" s="725">
        <f>N12/N7</f>
        <v>0.26589327404836377</v>
      </c>
      <c r="O15" s="725">
        <f>O12/O7</f>
        <v>0.27169760317174263</v>
      </c>
      <c r="P15" s="1189">
        <f>(N15-O15)*10000</f>
        <v>-58.043291233788594</v>
      </c>
      <c r="Q15" s="1189"/>
    </row>
    <row r="16" spans="11:18" hidden="1" outlineLevel="1">
      <c r="K16" s="210" t="s">
        <v>1285</v>
      </c>
      <c r="L16" s="740"/>
      <c r="M16" s="725"/>
      <c r="N16" s="1579">
        <f>CF!R76</f>
        <v>33.330000000000268</v>
      </c>
      <c r="O16" s="725"/>
      <c r="P16" s="725"/>
      <c r="Q16" s="1189"/>
      <c r="R16" s="1189"/>
    </row>
    <row r="17" spans="2:45" collapsed="1">
      <c r="K17" s="1188" t="s">
        <v>1287</v>
      </c>
      <c r="L17" s="225"/>
      <c r="M17" s="1223"/>
      <c r="N17" s="1223"/>
      <c r="O17" s="225"/>
      <c r="P17" s="225"/>
      <c r="Q17" s="225"/>
      <c r="R17" s="225"/>
      <c r="S17" s="225"/>
    </row>
    <row r="18" spans="2:45">
      <c r="K18" s="1207" t="s">
        <v>1289</v>
      </c>
      <c r="O18" s="1196"/>
    </row>
    <row r="19" spans="2:45">
      <c r="K19" s="1207" t="s">
        <v>1764</v>
      </c>
    </row>
    <row r="25" spans="2:45">
      <c r="I25" s="712"/>
      <c r="J25" s="712"/>
    </row>
    <row r="26" spans="2:45">
      <c r="I26" s="712"/>
      <c r="J26" s="712"/>
      <c r="K26" t="s">
        <v>39</v>
      </c>
      <c r="P26" s="1237"/>
    </row>
    <row r="27" spans="2:45">
      <c r="B27" s="1184" t="s">
        <v>468</v>
      </c>
      <c r="C27" s="33"/>
      <c r="D27" s="1088" t="s">
        <v>684</v>
      </c>
      <c r="E27" s="1088"/>
      <c r="F27" s="1088"/>
      <c r="G27" s="1088"/>
      <c r="H27" s="1088"/>
      <c r="I27" s="712"/>
      <c r="J27" s="712"/>
      <c r="K27" s="1184" t="s">
        <v>468</v>
      </c>
      <c r="L27" s="33"/>
      <c r="M27" s="1088" t="s">
        <v>239</v>
      </c>
      <c r="N27" s="1088"/>
      <c r="O27" s="1088"/>
      <c r="P27" s="1088"/>
      <c r="Q27" s="1088"/>
      <c r="S27" s="1088"/>
      <c r="T27" s="1088"/>
      <c r="V27"/>
      <c r="AQ27" t="s">
        <v>240</v>
      </c>
      <c r="AR27" t="s">
        <v>637</v>
      </c>
      <c r="AS27" t="s">
        <v>1762</v>
      </c>
    </row>
    <row r="28" spans="2:45">
      <c r="B28" s="33"/>
      <c r="C28" s="33"/>
      <c r="D28" s="1202"/>
      <c r="E28" s="1202"/>
      <c r="F28" s="1202" t="s">
        <v>1827</v>
      </c>
      <c r="G28" s="1202"/>
      <c r="H28" s="1202" t="s">
        <v>1827</v>
      </c>
      <c r="I28" s="712"/>
      <c r="J28" s="712"/>
      <c r="K28" s="33"/>
      <c r="L28" s="33"/>
      <c r="M28" s="1202" t="s">
        <v>218</v>
      </c>
      <c r="N28" s="1202" t="s">
        <v>218</v>
      </c>
      <c r="O28" s="1202" t="s">
        <v>218</v>
      </c>
      <c r="P28" s="1202" t="s">
        <v>218</v>
      </c>
      <c r="Q28" s="1202"/>
      <c r="R28" s="1202" t="s">
        <v>1827</v>
      </c>
      <c r="S28" s="1202"/>
      <c r="T28" s="1202" t="s">
        <v>1827</v>
      </c>
      <c r="V28"/>
      <c r="AP28" t="s">
        <v>1758</v>
      </c>
      <c r="AQ28" s="1226">
        <f>+IS!Q37</f>
        <v>887.85699999999986</v>
      </c>
      <c r="AR28" s="1226">
        <v>859.4</v>
      </c>
      <c r="AS28" s="1226">
        <f>+O33</f>
        <v>880</v>
      </c>
    </row>
    <row r="29" spans="2:45">
      <c r="B29" s="33"/>
      <c r="C29" s="33"/>
      <c r="D29" s="1074" t="s">
        <v>685</v>
      </c>
      <c r="E29" s="1074" t="s">
        <v>240</v>
      </c>
      <c r="F29" s="1074" t="s">
        <v>1828</v>
      </c>
      <c r="G29" s="1074" t="s">
        <v>1829</v>
      </c>
      <c r="H29" s="1074" t="s">
        <v>1830</v>
      </c>
      <c r="I29" s="712"/>
      <c r="J29" s="712"/>
      <c r="K29" s="33"/>
      <c r="L29" s="33"/>
      <c r="M29" s="1074" t="s">
        <v>20</v>
      </c>
      <c r="N29" s="1074" t="s">
        <v>21</v>
      </c>
      <c r="O29" s="1074" t="s">
        <v>1274</v>
      </c>
      <c r="P29" s="1074" t="s">
        <v>1276</v>
      </c>
      <c r="Q29" s="1074" t="s">
        <v>1275</v>
      </c>
      <c r="R29" s="1074" t="s">
        <v>1828</v>
      </c>
      <c r="S29" s="1074" t="s">
        <v>1829</v>
      </c>
      <c r="T29" s="1074" t="s">
        <v>1830</v>
      </c>
      <c r="V29"/>
      <c r="AP29" t="s">
        <v>1759</v>
      </c>
      <c r="AQ29" s="1226">
        <f>+BS!Q133</f>
        <v>764.49999999999989</v>
      </c>
      <c r="AR29" s="1226">
        <v>701.1</v>
      </c>
      <c r="AS29" s="1226">
        <v>750</v>
      </c>
    </row>
    <row r="30" spans="2:45">
      <c r="B30" s="33" t="s">
        <v>1823</v>
      </c>
      <c r="C30" s="33"/>
      <c r="D30" s="1579" t="s">
        <v>689</v>
      </c>
      <c r="E30" s="1213">
        <f>+IS!CT15</f>
        <v>440.952</v>
      </c>
      <c r="F30" s="1214">
        <f>+I30-E30</f>
        <v>3.5480000000000018</v>
      </c>
      <c r="G30" s="1212">
        <v>445.94</v>
      </c>
      <c r="H30" s="1214">
        <f>+I30-G30</f>
        <v>-1.4399999999999977</v>
      </c>
      <c r="I30" s="712">
        <v>444.5</v>
      </c>
      <c r="J30" s="712"/>
      <c r="K30" s="33" t="s">
        <v>1823</v>
      </c>
      <c r="L30" s="33"/>
      <c r="M30" s="1579">
        <v>1870</v>
      </c>
      <c r="N30" s="1579">
        <v>1890</v>
      </c>
      <c r="O30" s="1579">
        <v>1920</v>
      </c>
      <c r="P30" s="1579" t="s">
        <v>1278</v>
      </c>
      <c r="Q30" s="1213">
        <f>+Link!Q13</f>
        <v>1887.376</v>
      </c>
      <c r="R30" s="1214">
        <f>1892.5-Q30</f>
        <v>5.1240000000000236</v>
      </c>
      <c r="S30" s="1212">
        <v>1923.65</v>
      </c>
      <c r="T30" s="1214">
        <f>+$O30-S30</f>
        <v>-3.6500000000000909</v>
      </c>
      <c r="V30"/>
      <c r="AP30" t="s">
        <v>1760</v>
      </c>
      <c r="AQ30" s="1226">
        <f>+IS!R37</f>
        <v>1000.898</v>
      </c>
      <c r="AR30" s="1226">
        <v>977.3</v>
      </c>
      <c r="AS30" s="1226"/>
    </row>
    <row r="31" spans="2:45">
      <c r="C31" s="33" t="s">
        <v>680</v>
      </c>
      <c r="D31" s="1579" t="s">
        <v>686</v>
      </c>
      <c r="E31" s="1213"/>
      <c r="F31" s="1214"/>
      <c r="G31" s="1212"/>
      <c r="H31" s="1214"/>
      <c r="I31" s="712">
        <f>0.66*443</f>
        <v>292.38</v>
      </c>
      <c r="J31" s="712"/>
      <c r="L31" s="33" t="s">
        <v>680</v>
      </c>
      <c r="M31" s="1579">
        <f>+M30*(1-U31)</f>
        <v>635.79999999999995</v>
      </c>
      <c r="N31" s="1579">
        <v>623.70000000000005</v>
      </c>
      <c r="O31" s="1579">
        <f>+O30*(1-V31)</f>
        <v>614.39999999999986</v>
      </c>
      <c r="P31" s="1579" t="s">
        <v>1280</v>
      </c>
      <c r="Q31" s="1213">
        <f>+IS!Q18</f>
        <v>594.79200000000003</v>
      </c>
      <c r="R31" s="1214">
        <f>-596+Q31</f>
        <v>-1.20799999999997</v>
      </c>
      <c r="S31" s="1212"/>
      <c r="T31" s="1214"/>
      <c r="U31">
        <v>0.66</v>
      </c>
      <c r="V31">
        <v>0.68</v>
      </c>
      <c r="AP31" t="s">
        <v>1761</v>
      </c>
      <c r="AQ31" s="1226">
        <f>+BS!R133</f>
        <v>572.40599999999995</v>
      </c>
      <c r="AR31" s="1226">
        <v>613.79999999999995</v>
      </c>
      <c r="AS31" s="1226"/>
    </row>
    <row r="32" spans="2:45">
      <c r="C32" s="33" t="s">
        <v>1539</v>
      </c>
      <c r="D32" s="1579" t="s">
        <v>688</v>
      </c>
      <c r="E32" s="1213"/>
      <c r="F32" s="1214"/>
      <c r="G32" s="1212"/>
      <c r="H32" s="1214"/>
      <c r="I32" s="712">
        <f>0.67*446</f>
        <v>298.82</v>
      </c>
      <c r="J32" s="712"/>
      <c r="L32" s="33" t="s">
        <v>1539</v>
      </c>
      <c r="M32" s="1579" t="s">
        <v>681</v>
      </c>
      <c r="N32" s="1579" t="s">
        <v>87</v>
      </c>
      <c r="O32" s="1579" t="s">
        <v>17</v>
      </c>
      <c r="P32" s="1579" t="s">
        <v>1279</v>
      </c>
      <c r="Q32" s="1213">
        <f>+IS!Q24</f>
        <v>404.72699999999998</v>
      </c>
      <c r="R32" s="1214">
        <f>-412.5+Q32</f>
        <v>-7.7730000000000246</v>
      </c>
      <c r="S32" s="1212"/>
      <c r="T32" s="1214"/>
      <c r="U32">
        <v>405</v>
      </c>
      <c r="V32"/>
      <c r="AP32" t="s">
        <v>1775</v>
      </c>
      <c r="AS32" s="1226"/>
    </row>
    <row r="33" spans="2:45">
      <c r="B33" s="33" t="s">
        <v>422</v>
      </c>
      <c r="C33" s="33"/>
      <c r="D33" s="1579" t="s">
        <v>690</v>
      </c>
      <c r="E33" s="1213">
        <f>+IS!CT37</f>
        <v>206.73500000000001</v>
      </c>
      <c r="F33" s="1214">
        <f>+I33-E33</f>
        <v>-4.2350000000000136</v>
      </c>
      <c r="G33" s="1212">
        <v>203.16</v>
      </c>
      <c r="H33" s="1214">
        <f>+I33-G33</f>
        <v>-0.65999999999999659</v>
      </c>
      <c r="I33" s="712">
        <v>202.5</v>
      </c>
      <c r="J33" s="712"/>
      <c r="K33" s="33" t="s">
        <v>86</v>
      </c>
      <c r="L33" s="33"/>
      <c r="M33" s="1579">
        <v>850</v>
      </c>
      <c r="N33" s="1579">
        <v>860</v>
      </c>
      <c r="O33" s="1579">
        <v>880</v>
      </c>
      <c r="P33" s="1579" t="s">
        <v>1277</v>
      </c>
      <c r="Q33" s="1213">
        <f>+Link!Q22</f>
        <v>887.85699999999986</v>
      </c>
      <c r="R33" s="1214">
        <f>882.5-Q33</f>
        <v>-5.3569999999998572</v>
      </c>
      <c r="S33" s="1212">
        <v>888.03</v>
      </c>
      <c r="T33" s="1214">
        <f>+$O33-S33</f>
        <v>-8.0299999999999727</v>
      </c>
      <c r="V33"/>
      <c r="AS33" s="1226"/>
    </row>
    <row r="34" spans="2:45">
      <c r="B34" s="33"/>
      <c r="C34" s="580" t="s">
        <v>693</v>
      </c>
      <c r="D34" s="725">
        <f>+I33/I30</f>
        <v>0.45556805399325084</v>
      </c>
      <c r="E34" s="725">
        <f>+E33/E30</f>
        <v>0.468837878045683</v>
      </c>
      <c r="F34" s="1189">
        <f>+(D34-E34)*10000</f>
        <v>-132.69824052432156</v>
      </c>
      <c r="G34" s="725">
        <f>+G33/G30</f>
        <v>0.45557698345068842</v>
      </c>
      <c r="H34" s="1189">
        <f>+(D34-G34)*10000</f>
        <v>-8.9294574375786695E-2</v>
      </c>
      <c r="I34" s="712"/>
      <c r="J34" s="712"/>
      <c r="K34" s="33"/>
      <c r="L34" s="580" t="s">
        <v>423</v>
      </c>
      <c r="M34" s="725">
        <f>+M33/M30</f>
        <v>0.45454545454545453</v>
      </c>
      <c r="N34" s="725">
        <v>0.455026455026455</v>
      </c>
      <c r="O34" s="725">
        <f>+O33/O30</f>
        <v>0.45833333333333331</v>
      </c>
      <c r="P34" s="725">
        <f>882.5/1892.5</f>
        <v>0.46631439894319682</v>
      </c>
      <c r="Q34" s="725">
        <f>+Q33/Q30</f>
        <v>0.47041871889861897</v>
      </c>
      <c r="R34" s="1189">
        <f>+($P34-Q34)*10000</f>
        <v>-41.04319955422153</v>
      </c>
      <c r="S34" s="725">
        <f>+S33/S30</f>
        <v>0.46163803186650376</v>
      </c>
      <c r="T34" s="1189">
        <f>+($O34-S34)*10000</f>
        <v>-33.04698533170447</v>
      </c>
      <c r="V34"/>
    </row>
    <row r="35" spans="2:45">
      <c r="B35" s="33" t="s">
        <v>431</v>
      </c>
      <c r="C35" s="33"/>
      <c r="D35" s="1581" t="s">
        <v>691</v>
      </c>
      <c r="E35" s="1213">
        <f>+BS!CB133</f>
        <v>145.49</v>
      </c>
      <c r="F35" s="1214">
        <f>+E35-I35</f>
        <v>-44.509999999999991</v>
      </c>
      <c r="G35" s="1212">
        <v>193.32</v>
      </c>
      <c r="H35" s="1214">
        <f>+G35-I35</f>
        <v>3.3199999999999932</v>
      </c>
      <c r="I35" s="712">
        <v>190</v>
      </c>
      <c r="J35" s="712"/>
      <c r="K35" s="33" t="s">
        <v>431</v>
      </c>
      <c r="L35" s="33"/>
      <c r="M35" s="1581" t="s">
        <v>1822</v>
      </c>
      <c r="N35" s="1581" t="s">
        <v>1822</v>
      </c>
      <c r="O35" s="1581" t="s">
        <v>18</v>
      </c>
      <c r="P35" s="1581" t="s">
        <v>1281</v>
      </c>
      <c r="Q35" s="1213">
        <f>+Link!Q24</f>
        <v>764.49999999999989</v>
      </c>
      <c r="R35" s="1214">
        <f>-780+Q35</f>
        <v>-15.500000000000114</v>
      </c>
      <c r="S35" s="1212">
        <v>761.64</v>
      </c>
      <c r="T35" s="1214">
        <f>+S35-750</f>
        <v>11.639999999999986</v>
      </c>
      <c r="U35">
        <v>750</v>
      </c>
      <c r="V35"/>
    </row>
    <row r="36" spans="2:45">
      <c r="B36" s="33"/>
      <c r="C36" s="33" t="s">
        <v>424</v>
      </c>
      <c r="D36" s="1581" t="s">
        <v>692</v>
      </c>
      <c r="E36" s="1213"/>
      <c r="F36" s="1214"/>
      <c r="G36" s="1212"/>
      <c r="H36" s="1214"/>
      <c r="I36" s="712"/>
      <c r="J36" s="712"/>
      <c r="K36" s="33"/>
      <c r="L36" s="33" t="s">
        <v>424</v>
      </c>
      <c r="M36" s="1581" t="s">
        <v>682</v>
      </c>
      <c r="N36" s="1581" t="s">
        <v>682</v>
      </c>
      <c r="O36" s="1581" t="s">
        <v>19</v>
      </c>
      <c r="P36" s="1581" t="s">
        <v>1282</v>
      </c>
      <c r="Q36" s="1213">
        <f>+BS!Q124</f>
        <v>602.7829999999999</v>
      </c>
      <c r="R36" s="1214">
        <f>-635+Q36</f>
        <v>-32.217000000000098</v>
      </c>
      <c r="S36" s="1212"/>
      <c r="T36" s="1214"/>
      <c r="U36">
        <v>615</v>
      </c>
      <c r="V36"/>
    </row>
    <row r="37" spans="2:45">
      <c r="B37" s="33"/>
      <c r="C37" s="33" t="s">
        <v>425</v>
      </c>
      <c r="D37" s="1579">
        <v>30</v>
      </c>
      <c r="E37" s="1213"/>
      <c r="F37" s="1214"/>
      <c r="G37" s="1212"/>
      <c r="H37" s="1214"/>
      <c r="I37" s="712"/>
      <c r="J37" s="712"/>
      <c r="K37" s="33"/>
      <c r="L37" s="33" t="s">
        <v>425</v>
      </c>
      <c r="M37" s="1579">
        <v>135</v>
      </c>
      <c r="N37" s="1579">
        <v>135</v>
      </c>
      <c r="O37" s="1579">
        <v>135</v>
      </c>
      <c r="P37" s="1579">
        <v>145</v>
      </c>
      <c r="Q37" s="1213">
        <f>+BS!Q127</f>
        <v>161.71700000000001</v>
      </c>
      <c r="R37" s="1214">
        <f>-P37+Q37</f>
        <v>16.717000000000013</v>
      </c>
      <c r="S37" s="1212"/>
      <c r="T37" s="1214"/>
      <c r="U37">
        <v>135</v>
      </c>
      <c r="V37"/>
    </row>
    <row r="38" spans="2:45">
      <c r="B38" s="210"/>
      <c r="C38" s="740" t="s">
        <v>694</v>
      </c>
      <c r="D38" s="725">
        <f>+I35/I30</f>
        <v>0.42744656917885265</v>
      </c>
      <c r="E38" s="725">
        <f>+E35/E30</f>
        <v>0.3299452094559045</v>
      </c>
      <c r="F38" s="1189">
        <f>+(E38-$D38)*10000</f>
        <v>-975.01359722948155</v>
      </c>
      <c r="G38" s="725">
        <f>+G35/G30</f>
        <v>0.43351123469525049</v>
      </c>
      <c r="H38" s="1189">
        <f>+(G38-$D38)*10000</f>
        <v>60.64665516397838</v>
      </c>
      <c r="I38" s="712"/>
      <c r="J38" s="712"/>
      <c r="K38" s="210"/>
      <c r="L38" s="740" t="s">
        <v>85</v>
      </c>
      <c r="M38" s="725">
        <f>750/M30</f>
        <v>0.40106951871657753</v>
      </c>
      <c r="N38" s="725">
        <v>0.3968253968253968</v>
      </c>
      <c r="O38" s="725">
        <f>770/O30</f>
        <v>0.40104166666666669</v>
      </c>
      <c r="P38" s="725">
        <f>780/1892.5</f>
        <v>0.41215323645970936</v>
      </c>
      <c r="Q38" s="725">
        <f>+Q35/Q30</f>
        <v>0.40505972312883065</v>
      </c>
      <c r="R38" s="1189">
        <f>+(Q38-$P38)*10000</f>
        <v>-70.935133308787087</v>
      </c>
      <c r="S38" s="725">
        <f>+S35/S30</f>
        <v>0.39593481142619497</v>
      </c>
      <c r="T38" s="1189">
        <f>+(S38-$O38)*10000</f>
        <v>-51.068552404717195</v>
      </c>
      <c r="V38"/>
    </row>
    <row r="39" spans="2:45">
      <c r="B39" s="1582" t="s">
        <v>695</v>
      </c>
      <c r="C39" s="225"/>
      <c r="D39" s="225"/>
      <c r="E39" s="225"/>
      <c r="F39" s="225"/>
      <c r="G39" s="225"/>
      <c r="H39" s="225"/>
      <c r="I39" s="712"/>
      <c r="J39" s="712"/>
      <c r="K39" s="1188" t="s">
        <v>1765</v>
      </c>
      <c r="L39" s="225"/>
      <c r="M39" s="1223"/>
      <c r="N39" s="1223"/>
      <c r="O39" s="225"/>
      <c r="P39" s="225"/>
      <c r="Q39" s="225"/>
      <c r="R39" s="225"/>
      <c r="S39" s="225"/>
      <c r="T39" s="1223"/>
    </row>
    <row r="40" spans="2:45">
      <c r="B40" s="1580" t="s">
        <v>687</v>
      </c>
      <c r="C40" s="33"/>
      <c r="D40" s="33"/>
      <c r="E40" s="33"/>
      <c r="F40" s="33"/>
      <c r="G40" s="33"/>
      <c r="H40" s="33"/>
      <c r="I40" s="712"/>
      <c r="J40" s="712"/>
      <c r="K40" s="1580" t="s">
        <v>1766</v>
      </c>
      <c r="L40" s="33"/>
      <c r="M40" s="33"/>
      <c r="N40" s="33"/>
      <c r="O40" s="33"/>
      <c r="P40" s="33"/>
      <c r="Q40" s="33"/>
      <c r="R40" s="33"/>
    </row>
    <row r="41" spans="2:45">
      <c r="B41" s="1580"/>
      <c r="I41" s="712"/>
      <c r="J41" s="712"/>
      <c r="K41" s="1580" t="s">
        <v>1767</v>
      </c>
    </row>
    <row r="42" spans="2:45">
      <c r="I42" s="712"/>
      <c r="J42" s="712"/>
      <c r="K42" s="1207" t="s">
        <v>84</v>
      </c>
    </row>
    <row r="43" spans="2:45">
      <c r="I43" s="712"/>
      <c r="J43" s="712"/>
      <c r="K43" s="1207" t="s">
        <v>22</v>
      </c>
    </row>
    <row r="44" spans="2:45">
      <c r="I44" s="712"/>
      <c r="J44" s="712"/>
      <c r="K44" s="1207" t="s">
        <v>23</v>
      </c>
    </row>
    <row r="45" spans="2:45">
      <c r="I45" s="712"/>
      <c r="J45" s="712"/>
      <c r="K45" s="1207" t="s">
        <v>1291</v>
      </c>
    </row>
    <row r="46" spans="2:45">
      <c r="I46" s="712"/>
      <c r="J46" s="712"/>
      <c r="K46" s="1207"/>
    </row>
    <row r="47" spans="2:45">
      <c r="B47" s="1184" t="s">
        <v>468</v>
      </c>
      <c r="C47" s="33"/>
      <c r="D47" s="1088" t="s">
        <v>81</v>
      </c>
      <c r="E47" s="1088"/>
      <c r="F47" s="1088"/>
      <c r="G47" s="1088"/>
      <c r="H47" s="1088"/>
      <c r="I47" s="712"/>
      <c r="J47" s="712"/>
    </row>
    <row r="48" spans="2:45">
      <c r="B48" s="33"/>
      <c r="C48" s="33"/>
      <c r="D48" s="1202"/>
      <c r="E48" s="1202"/>
      <c r="F48" s="1202" t="s">
        <v>1827</v>
      </c>
      <c r="G48" s="1202"/>
      <c r="H48" s="1202" t="s">
        <v>1827</v>
      </c>
      <c r="R48" s="1560"/>
      <c r="U48" s="1163" t="s">
        <v>242</v>
      </c>
      <c r="V48" s="1163"/>
    </row>
    <row r="49" spans="2:40" s="15" customFormat="1">
      <c r="B49" s="33"/>
      <c r="C49" s="33"/>
      <c r="D49" s="1074" t="s">
        <v>82</v>
      </c>
      <c r="E49" s="1074" t="s">
        <v>240</v>
      </c>
      <c r="F49" s="1074" t="s">
        <v>1828</v>
      </c>
      <c r="G49" s="1074" t="s">
        <v>1829</v>
      </c>
      <c r="H49" s="1074" t="s">
        <v>1830</v>
      </c>
      <c r="K49" s="1184" t="s">
        <v>468</v>
      </c>
      <c r="L49" s="33"/>
      <c r="M49" s="1088" t="s">
        <v>501</v>
      </c>
      <c r="N49" s="1088"/>
      <c r="O49" s="1088"/>
      <c r="P49" s="1088"/>
      <c r="Q49" s="1088"/>
      <c r="R49" s="1088"/>
      <c r="S49" s="1088"/>
      <c r="T49" s="1088"/>
      <c r="U49" s="1088"/>
      <c r="V49" s="33"/>
      <c r="W49" s="1204" t="s">
        <v>1125</v>
      </c>
      <c r="Z49" s="1088"/>
      <c r="AA49" s="1694"/>
      <c r="AB49" s="1694"/>
      <c r="AC49" s="1694"/>
      <c r="AD49" s="1694"/>
      <c r="AE49" s="1694"/>
      <c r="AF49" s="1694"/>
      <c r="AG49" s="1694"/>
      <c r="AH49" s="1694"/>
      <c r="AI49" s="1694"/>
      <c r="AJ49" s="1694"/>
      <c r="AK49" s="1694"/>
      <c r="AL49" s="1694"/>
      <c r="AM49" s="1694"/>
      <c r="AN49" s="1694"/>
    </row>
    <row r="50" spans="2:40">
      <c r="B50" s="33" t="s">
        <v>1823</v>
      </c>
      <c r="C50" s="33"/>
      <c r="D50" s="1579" t="s">
        <v>75</v>
      </c>
      <c r="E50" s="1213">
        <f>+IS!CU15</f>
        <v>455.53000000000003</v>
      </c>
      <c r="F50" s="1214">
        <f>+I50-E50</f>
        <v>11.46999999999997</v>
      </c>
      <c r="G50" s="1212">
        <v>467.09</v>
      </c>
      <c r="H50" s="1214">
        <f>+I50-G50</f>
        <v>-8.9999999999974989E-2</v>
      </c>
      <c r="I50">
        <v>467</v>
      </c>
      <c r="K50" s="33"/>
      <c r="L50" s="33"/>
      <c r="M50" s="1202" t="s">
        <v>163</v>
      </c>
      <c r="N50" s="1202"/>
      <c r="O50" s="1202" t="s">
        <v>163</v>
      </c>
      <c r="P50" s="1202" t="s">
        <v>163</v>
      </c>
      <c r="Q50" s="1202" t="s">
        <v>163</v>
      </c>
      <c r="R50" s="1202" t="s">
        <v>163</v>
      </c>
      <c r="S50" s="1202">
        <v>2011</v>
      </c>
      <c r="T50" s="1202">
        <v>2011</v>
      </c>
      <c r="U50" s="1203" t="s">
        <v>244</v>
      </c>
      <c r="V50" s="33"/>
      <c r="W50" s="1205">
        <v>2012</v>
      </c>
      <c r="Z50" s="1202">
        <v>2011</v>
      </c>
      <c r="AA50" s="1610"/>
      <c r="AB50" s="1610"/>
      <c r="AC50" s="1610"/>
      <c r="AD50" s="1610"/>
      <c r="AE50" s="1610"/>
      <c r="AF50" s="1610"/>
      <c r="AG50" s="1610"/>
      <c r="AH50" s="1610"/>
      <c r="AI50" s="1610"/>
      <c r="AJ50" s="1610"/>
      <c r="AK50" s="1610"/>
      <c r="AL50" s="1610"/>
      <c r="AM50" s="1610"/>
      <c r="AN50" s="1610"/>
    </row>
    <row r="51" spans="2:40">
      <c r="C51" s="33" t="s">
        <v>680</v>
      </c>
      <c r="D51" s="1579" t="s">
        <v>76</v>
      </c>
      <c r="E51" s="1213"/>
      <c r="F51" s="1214"/>
      <c r="G51" s="1212"/>
      <c r="H51" s="1214"/>
      <c r="K51" s="33"/>
      <c r="L51" s="33"/>
      <c r="M51" s="1074" t="s">
        <v>164</v>
      </c>
      <c r="N51" s="1074"/>
      <c r="O51" s="1074" t="s">
        <v>165</v>
      </c>
      <c r="P51" s="1074" t="s">
        <v>166</v>
      </c>
      <c r="Q51" s="1074" t="s">
        <v>167</v>
      </c>
      <c r="R51" s="1074" t="s">
        <v>1824</v>
      </c>
      <c r="S51" s="1074" t="s">
        <v>235</v>
      </c>
      <c r="T51" s="1074" t="s">
        <v>442</v>
      </c>
      <c r="U51" s="1074" t="s">
        <v>241</v>
      </c>
      <c r="V51" s="33"/>
      <c r="W51" s="1206" t="s">
        <v>1453</v>
      </c>
      <c r="Z51" s="1074" t="s">
        <v>1825</v>
      </c>
      <c r="AA51" s="1695"/>
      <c r="AB51" s="1695"/>
      <c r="AC51" s="1695"/>
      <c r="AD51" s="1695"/>
      <c r="AE51" s="1695"/>
      <c r="AF51" s="1695"/>
      <c r="AG51" s="1695"/>
      <c r="AH51" s="1695"/>
      <c r="AI51" s="1695"/>
      <c r="AJ51" s="1695"/>
      <c r="AK51" s="1695"/>
      <c r="AL51" s="1695"/>
      <c r="AM51" s="1695"/>
      <c r="AN51" s="1695"/>
    </row>
    <row r="52" spans="2:40">
      <c r="C52" s="33" t="s">
        <v>1539</v>
      </c>
      <c r="D52" s="1579" t="s">
        <v>77</v>
      </c>
      <c r="E52" s="1213"/>
      <c r="F52" s="1214"/>
      <c r="G52" s="1212"/>
      <c r="H52" s="1214"/>
      <c r="K52" s="33" t="s">
        <v>1495</v>
      </c>
      <c r="L52" s="33"/>
      <c r="M52" s="736">
        <v>1500</v>
      </c>
      <c r="N52" s="736"/>
      <c r="O52" s="736">
        <v>1500</v>
      </c>
      <c r="P52" s="736">
        <v>1525</v>
      </c>
      <c r="Q52" s="736">
        <v>1590</v>
      </c>
      <c r="R52" s="736">
        <v>1600</v>
      </c>
      <c r="S52" s="744">
        <f>+IS!P15</f>
        <v>1569.7840000000001</v>
      </c>
      <c r="T52" s="736">
        <v>1605.2</v>
      </c>
      <c r="U52" s="1191">
        <f>+Q52/M52-1</f>
        <v>6.0000000000000053E-2</v>
      </c>
      <c r="V52" s="1201"/>
      <c r="W52" s="1197">
        <f>+O30</f>
        <v>1920</v>
      </c>
      <c r="X52" s="1196">
        <f>+R52/Q52-1</f>
        <v>6.2893081761006275E-3</v>
      </c>
      <c r="Z52" s="736">
        <f>Q52-50</f>
        <v>1540</v>
      </c>
      <c r="AA52" s="1696"/>
      <c r="AB52" s="1696"/>
      <c r="AC52" s="1696"/>
      <c r="AD52" s="1696"/>
      <c r="AE52" s="1696"/>
      <c r="AF52" s="1696"/>
      <c r="AG52" s="1696"/>
      <c r="AH52" s="1696"/>
      <c r="AI52" s="1696"/>
      <c r="AJ52" s="1696"/>
      <c r="AK52" s="1696"/>
      <c r="AL52" s="1696"/>
      <c r="AM52" s="1696"/>
      <c r="AN52" s="1696"/>
    </row>
    <row r="53" spans="2:40">
      <c r="B53" s="33" t="s">
        <v>422</v>
      </c>
      <c r="C53" s="33"/>
      <c r="D53" s="1579" t="s">
        <v>78</v>
      </c>
      <c r="E53" s="1213">
        <f>+IS!CU37</f>
        <v>216.42</v>
      </c>
      <c r="F53" s="1214">
        <f>+I53-E53</f>
        <v>-3.4199999999999875</v>
      </c>
      <c r="G53" s="1212">
        <v>214.73</v>
      </c>
      <c r="H53" s="1214">
        <f>+I53-G53</f>
        <v>-1.7299999999999898</v>
      </c>
      <c r="I53">
        <v>213</v>
      </c>
      <c r="K53" s="210"/>
      <c r="L53" s="580" t="s">
        <v>421</v>
      </c>
      <c r="M53" s="738" t="s">
        <v>981</v>
      </c>
      <c r="N53" s="738"/>
      <c r="O53" s="738">
        <v>0.65</v>
      </c>
      <c r="P53" s="738" t="s">
        <v>1523</v>
      </c>
      <c r="Q53" s="738" t="s">
        <v>1523</v>
      </c>
      <c r="R53" s="738" t="s">
        <v>1523</v>
      </c>
      <c r="S53" s="745">
        <f>+S54/S52</f>
        <v>0.66253127818859159</v>
      </c>
      <c r="T53" s="738" t="s">
        <v>981</v>
      </c>
      <c r="U53" s="1191"/>
      <c r="V53" s="1201"/>
      <c r="W53" s="738"/>
      <c r="Z53" s="738" t="s">
        <v>1523</v>
      </c>
      <c r="AA53" s="1697"/>
      <c r="AB53" s="1697"/>
      <c r="AC53" s="1697"/>
      <c r="AD53" s="1697"/>
      <c r="AE53" s="1697"/>
      <c r="AF53" s="1697"/>
      <c r="AG53" s="1697"/>
      <c r="AH53" s="1697"/>
      <c r="AI53" s="1697"/>
      <c r="AJ53" s="1697"/>
      <c r="AK53" s="1697"/>
      <c r="AL53" s="1697"/>
      <c r="AM53" s="1697"/>
      <c r="AN53" s="1697"/>
    </row>
    <row r="54" spans="2:40">
      <c r="B54" s="33"/>
      <c r="C54" s="580" t="s">
        <v>693</v>
      </c>
      <c r="D54" s="725">
        <f>+I53/I50</f>
        <v>0.45610278372591007</v>
      </c>
      <c r="E54" s="725">
        <f>+E53/E50</f>
        <v>0.47509494435053667</v>
      </c>
      <c r="F54" s="1189">
        <f>+(D54-E54)*10000</f>
        <v>-189.92160624626609</v>
      </c>
      <c r="G54" s="725">
        <f>+G53/G50</f>
        <v>0.45971868376544134</v>
      </c>
      <c r="H54" s="1189">
        <f>+(D54-G54)*10000</f>
        <v>-36.159000395312724</v>
      </c>
      <c r="K54" s="33" t="s">
        <v>925</v>
      </c>
      <c r="L54" s="33"/>
      <c r="M54" s="737" t="s">
        <v>981</v>
      </c>
      <c r="N54" s="737"/>
      <c r="O54" s="737">
        <v>975</v>
      </c>
      <c r="P54" s="737">
        <f>+P52*0.655</f>
        <v>998.875</v>
      </c>
      <c r="Q54" s="737">
        <f>+Q52*0.655</f>
        <v>1041.45</v>
      </c>
      <c r="R54" s="737">
        <f>+R52*0.655</f>
        <v>1048</v>
      </c>
      <c r="S54" s="746">
        <f>+IS!P19</f>
        <v>1040.0310000000002</v>
      </c>
      <c r="T54" s="737" t="s">
        <v>981</v>
      </c>
      <c r="U54" s="737"/>
      <c r="V54" s="1198"/>
      <c r="W54" s="737"/>
      <c r="Z54" s="737">
        <f>+Z52*0.655</f>
        <v>1008.7</v>
      </c>
      <c r="AA54" s="1198"/>
      <c r="AB54" s="1198"/>
      <c r="AC54" s="1198"/>
      <c r="AD54" s="1198"/>
      <c r="AE54" s="1198"/>
      <c r="AF54" s="1198"/>
      <c r="AG54" s="1198"/>
      <c r="AH54" s="1198"/>
      <c r="AI54" s="1198"/>
      <c r="AJ54" s="1198"/>
      <c r="AK54" s="1198"/>
      <c r="AL54" s="1198"/>
      <c r="AM54" s="1198"/>
      <c r="AN54" s="1198"/>
    </row>
    <row r="55" spans="2:40">
      <c r="B55" s="33" t="s">
        <v>431</v>
      </c>
      <c r="C55" s="33"/>
      <c r="D55" s="1581" t="s">
        <v>79</v>
      </c>
      <c r="E55" s="1213">
        <f>-CF!CC75</f>
        <v>196.48400000000001</v>
      </c>
      <c r="F55" s="1214">
        <f>+E55-I55</f>
        <v>-53.515999999999991</v>
      </c>
      <c r="G55" s="1212">
        <v>240.59</v>
      </c>
      <c r="H55" s="1214">
        <f>+G55-I55</f>
        <v>-9.4099999999999966</v>
      </c>
      <c r="I55">
        <v>250</v>
      </c>
      <c r="K55" s="33" t="s">
        <v>1539</v>
      </c>
      <c r="L55" s="33"/>
      <c r="M55" s="737" t="s">
        <v>981</v>
      </c>
      <c r="N55" s="737"/>
      <c r="O55" s="737">
        <v>300</v>
      </c>
      <c r="P55" s="737">
        <v>315</v>
      </c>
      <c r="Q55" s="737">
        <v>320</v>
      </c>
      <c r="R55" s="737">
        <v>320</v>
      </c>
      <c r="S55" s="746">
        <f>+IS!P24</f>
        <v>320.226</v>
      </c>
      <c r="T55" s="737" t="s">
        <v>981</v>
      </c>
      <c r="U55" s="737"/>
      <c r="V55" s="1198"/>
      <c r="W55" s="737"/>
      <c r="Z55" s="737" t="s">
        <v>1491</v>
      </c>
      <c r="AA55" s="1198"/>
      <c r="AB55" s="1198"/>
      <c r="AC55" s="1198"/>
      <c r="AD55" s="1198"/>
      <c r="AE55" s="1198"/>
      <c r="AF55" s="1198"/>
      <c r="AG55" s="1198"/>
      <c r="AH55" s="1198"/>
      <c r="AI55" s="1198"/>
      <c r="AJ55" s="1198"/>
      <c r="AK55" s="1198"/>
      <c r="AL55" s="1198"/>
      <c r="AM55" s="1198"/>
      <c r="AN55" s="1198"/>
    </row>
    <row r="56" spans="2:40">
      <c r="B56" s="33"/>
      <c r="C56" s="33" t="s">
        <v>424</v>
      </c>
      <c r="D56" s="1581" t="s">
        <v>80</v>
      </c>
      <c r="E56" s="1213">
        <f>+BS!CC124</f>
        <v>158.947</v>
      </c>
      <c r="F56" s="1214"/>
      <c r="G56" s="1212"/>
      <c r="H56" s="1214"/>
      <c r="K56" s="33" t="s">
        <v>422</v>
      </c>
      <c r="L56" s="33"/>
      <c r="M56" s="737">
        <v>675</v>
      </c>
      <c r="N56" s="737"/>
      <c r="O56" s="737">
        <v>675</v>
      </c>
      <c r="P56" s="737">
        <v>685</v>
      </c>
      <c r="Q56" s="737">
        <v>720</v>
      </c>
      <c r="R56" s="737">
        <v>730</v>
      </c>
      <c r="S56" s="746">
        <f>+IS!P37</f>
        <v>719.80500000000018</v>
      </c>
      <c r="T56" s="737">
        <v>733.6</v>
      </c>
      <c r="U56" s="1191">
        <f>+Q56/M56-1</f>
        <v>6.6666666666666652E-2</v>
      </c>
      <c r="V56" s="1201"/>
      <c r="W56" s="739">
        <f>+O33</f>
        <v>880</v>
      </c>
      <c r="X56" s="1196">
        <f>+R56/Q56-1</f>
        <v>1.388888888888884E-2</v>
      </c>
      <c r="Z56" s="737">
        <f>Z57*Z52</f>
        <v>697.35849056603774</v>
      </c>
      <c r="AA56" s="1198"/>
      <c r="AB56" s="1198"/>
      <c r="AC56" s="1198"/>
      <c r="AD56" s="1198"/>
      <c r="AE56" s="1198"/>
      <c r="AF56" s="1198"/>
      <c r="AG56" s="1198"/>
      <c r="AH56" s="1198"/>
      <c r="AI56" s="1198"/>
      <c r="AJ56" s="1198"/>
      <c r="AK56" s="1198"/>
      <c r="AL56" s="1198"/>
      <c r="AM56" s="1198"/>
      <c r="AN56" s="1198"/>
    </row>
    <row r="57" spans="2:40">
      <c r="B57" s="33"/>
      <c r="C57" s="33" t="s">
        <v>425</v>
      </c>
      <c r="D57" s="1579">
        <v>40</v>
      </c>
      <c r="E57" s="1213">
        <f>+BS!CC127</f>
        <v>37.536999999999999</v>
      </c>
      <c r="F57" s="1214"/>
      <c r="G57" s="1212"/>
      <c r="H57" s="1214"/>
      <c r="K57" s="33"/>
      <c r="L57" s="580" t="s">
        <v>423</v>
      </c>
      <c r="M57" s="719">
        <f t="shared" ref="M57:T57" si="0">+M56/M52</f>
        <v>0.45</v>
      </c>
      <c r="N57" s="719"/>
      <c r="O57" s="719">
        <f t="shared" si="0"/>
        <v>0.45</v>
      </c>
      <c r="P57" s="719">
        <f t="shared" si="0"/>
        <v>0.44918032786885248</v>
      </c>
      <c r="Q57" s="719">
        <f t="shared" si="0"/>
        <v>0.45283018867924529</v>
      </c>
      <c r="R57" s="719">
        <f t="shared" si="0"/>
        <v>0.45624999999999999</v>
      </c>
      <c r="S57" s="719">
        <f t="shared" si="0"/>
        <v>0.45853760772182678</v>
      </c>
      <c r="T57" s="719">
        <f t="shared" si="0"/>
        <v>0.45701470221779217</v>
      </c>
      <c r="U57" s="1189">
        <f>+(Q57-M57)*10000</f>
        <v>28.301886792452823</v>
      </c>
      <c r="V57" s="1199"/>
      <c r="W57" s="719">
        <f>+W56/W52</f>
        <v>0.45833333333333331</v>
      </c>
      <c r="Z57" s="719">
        <f>Q57</f>
        <v>0.45283018867924529</v>
      </c>
      <c r="AA57" s="1067"/>
      <c r="AB57" s="1067"/>
      <c r="AC57" s="1067"/>
      <c r="AD57" s="1067"/>
      <c r="AE57" s="1067"/>
      <c r="AF57" s="1067"/>
      <c r="AG57" s="1067"/>
      <c r="AH57" s="1067"/>
      <c r="AI57" s="1067"/>
      <c r="AJ57" s="1067"/>
      <c r="AK57" s="1067"/>
      <c r="AL57" s="1067"/>
      <c r="AM57" s="1067"/>
      <c r="AN57" s="1067"/>
    </row>
    <row r="58" spans="2:40">
      <c r="B58" s="210"/>
      <c r="C58" s="740" t="s">
        <v>694</v>
      </c>
      <c r="D58" s="725">
        <f>+I55/I50</f>
        <v>0.53533190578158463</v>
      </c>
      <c r="E58" s="725">
        <f>+E55/E50</f>
        <v>0.43133053805457378</v>
      </c>
      <c r="F58" s="1189">
        <f>+(E58-$D58)*10000</f>
        <v>-1040.0136772701085</v>
      </c>
      <c r="G58" s="725">
        <f>+G55/G50</f>
        <v>0.51508274636579676</v>
      </c>
      <c r="H58" s="1189">
        <f>+(G58-$D58)*10000</f>
        <v>-202.49159415787864</v>
      </c>
      <c r="K58" s="33"/>
      <c r="L58" s="33"/>
      <c r="M58" s="255"/>
      <c r="N58" s="255"/>
      <c r="O58" s="255"/>
      <c r="P58" s="255"/>
      <c r="Q58" s="255"/>
      <c r="R58" s="255"/>
      <c r="S58" s="255"/>
      <c r="T58" s="255"/>
      <c r="U58" s="1189"/>
      <c r="V58" s="1199"/>
      <c r="W58" s="255"/>
      <c r="Z58" s="255"/>
      <c r="AA58" s="1698"/>
      <c r="AB58" s="1698"/>
      <c r="AC58" s="1698"/>
      <c r="AD58" s="1698"/>
      <c r="AE58" s="1698"/>
      <c r="AF58" s="1698"/>
      <c r="AG58" s="1698"/>
      <c r="AH58" s="1698"/>
      <c r="AI58" s="1698"/>
      <c r="AJ58" s="1698"/>
      <c r="AK58" s="1698"/>
      <c r="AL58" s="1698"/>
      <c r="AM58" s="1698"/>
      <c r="AN58" s="1698"/>
    </row>
    <row r="59" spans="2:40">
      <c r="B59" s="1582" t="s">
        <v>695</v>
      </c>
      <c r="C59" s="225"/>
      <c r="D59" s="225"/>
      <c r="E59" s="225"/>
      <c r="F59" s="225"/>
      <c r="G59" s="225"/>
      <c r="H59" s="225"/>
      <c r="K59" s="33"/>
      <c r="L59" s="33" t="s">
        <v>424</v>
      </c>
      <c r="M59" s="737">
        <v>300</v>
      </c>
      <c r="N59" s="737"/>
      <c r="O59" s="737" t="s">
        <v>1515</v>
      </c>
      <c r="P59" s="737" t="s">
        <v>1516</v>
      </c>
      <c r="Q59" s="737" t="s">
        <v>1489</v>
      </c>
      <c r="R59" s="737" t="s">
        <v>1489</v>
      </c>
      <c r="S59" s="746">
        <f>BS!$P$124</f>
        <v>551.1</v>
      </c>
      <c r="T59" s="737"/>
      <c r="U59" s="737"/>
      <c r="V59" s="1198"/>
      <c r="W59" s="737"/>
      <c r="Z59" s="737" t="s">
        <v>1489</v>
      </c>
      <c r="AA59" s="1198"/>
      <c r="AB59" s="1198"/>
      <c r="AC59" s="1198"/>
      <c r="AD59" s="1198"/>
      <c r="AE59" s="1198"/>
      <c r="AF59" s="1198"/>
      <c r="AG59" s="1198"/>
      <c r="AH59" s="1198"/>
      <c r="AI59" s="1198"/>
      <c r="AJ59" s="1198"/>
      <c r="AK59" s="1198"/>
      <c r="AL59" s="1198"/>
      <c r="AM59" s="1198"/>
      <c r="AN59" s="1198"/>
    </row>
    <row r="60" spans="2:40">
      <c r="B60" s="1580" t="s">
        <v>83</v>
      </c>
      <c r="C60" s="33"/>
      <c r="D60" s="33"/>
      <c r="E60" s="33"/>
      <c r="F60" s="33"/>
      <c r="G60" s="33"/>
      <c r="H60" s="33"/>
      <c r="K60" s="33"/>
      <c r="L60" s="33" t="s">
        <v>425</v>
      </c>
      <c r="M60" s="737">
        <v>100</v>
      </c>
      <c r="N60" s="737"/>
      <c r="O60" s="737">
        <v>100</v>
      </c>
      <c r="P60" s="737">
        <v>115</v>
      </c>
      <c r="Q60" s="737">
        <v>115</v>
      </c>
      <c r="R60" s="737">
        <v>115</v>
      </c>
      <c r="S60" s="746">
        <f>BS!$P$127</f>
        <v>131.60000000000002</v>
      </c>
      <c r="T60" s="737"/>
      <c r="U60" s="737"/>
      <c r="V60" s="1198"/>
      <c r="W60" s="737"/>
      <c r="Z60" s="737">
        <v>115</v>
      </c>
      <c r="AA60" s="1198"/>
      <c r="AB60" s="1198"/>
      <c r="AC60" s="1198"/>
      <c r="AD60" s="1198"/>
      <c r="AE60" s="1198"/>
      <c r="AF60" s="1198"/>
      <c r="AG60" s="1198"/>
      <c r="AH60" s="1198"/>
      <c r="AI60" s="1198"/>
      <c r="AJ60" s="1198"/>
      <c r="AK60" s="1198"/>
      <c r="AL60" s="1198"/>
      <c r="AM60" s="1198"/>
      <c r="AN60" s="1198"/>
    </row>
    <row r="61" spans="2:40">
      <c r="K61" s="33" t="s">
        <v>431</v>
      </c>
      <c r="L61" s="33"/>
      <c r="M61" s="739">
        <f>SUM(M59:M60)</f>
        <v>400</v>
      </c>
      <c r="N61" s="739"/>
      <c r="O61" s="739" t="s">
        <v>636</v>
      </c>
      <c r="P61" s="739" t="s">
        <v>1525</v>
      </c>
      <c r="Q61" s="739" t="s">
        <v>1490</v>
      </c>
      <c r="R61" s="739" t="s">
        <v>1490</v>
      </c>
      <c r="S61" s="739">
        <f>SUM(S59:S60)</f>
        <v>682.7</v>
      </c>
      <c r="T61" s="747">
        <v>650.9</v>
      </c>
      <c r="U61" s="1190">
        <f>655/M61-1</f>
        <v>0.63749999999999996</v>
      </c>
      <c r="V61" s="1200"/>
      <c r="W61" s="739" t="str">
        <f>+O35</f>
        <v>$740 - $800</v>
      </c>
      <c r="Z61" s="739" t="s">
        <v>1490</v>
      </c>
      <c r="AA61" s="1699"/>
      <c r="AB61" s="1699"/>
      <c r="AC61" s="1699"/>
      <c r="AD61" s="1699"/>
      <c r="AE61" s="1699"/>
      <c r="AF61" s="1699"/>
      <c r="AG61" s="1699"/>
      <c r="AH61" s="1699"/>
      <c r="AI61" s="1699"/>
      <c r="AJ61" s="1699"/>
      <c r="AK61" s="1699"/>
      <c r="AL61" s="1699"/>
      <c r="AM61" s="1699"/>
      <c r="AN61" s="1699"/>
    </row>
    <row r="62" spans="2:40">
      <c r="K62" s="564"/>
      <c r="L62" s="741" t="s">
        <v>236</v>
      </c>
      <c r="M62" s="742">
        <f>+M61/M52</f>
        <v>0.26666666666666666</v>
      </c>
      <c r="N62" s="742"/>
      <c r="O62" s="743">
        <v>0.3</v>
      </c>
      <c r="P62" s="742">
        <f>+P69/P52</f>
        <v>0.41967213114754098</v>
      </c>
      <c r="Q62" s="742">
        <f>+Q69/Q52</f>
        <v>0.41194968553459121</v>
      </c>
      <c r="R62" s="742">
        <f>+R69/R52</f>
        <v>0.40937499999999999</v>
      </c>
      <c r="S62" s="742">
        <f>+S61/S52</f>
        <v>0.43490059778925</v>
      </c>
      <c r="T62" s="742">
        <f>+T61/T52</f>
        <v>0.40549464241216043</v>
      </c>
      <c r="U62" s="1189">
        <f>+(Q62-M62)*10000</f>
        <v>1452.8301886792456</v>
      </c>
      <c r="V62" s="1199"/>
      <c r="W62" s="742">
        <f>+O38</f>
        <v>0.40104166666666669</v>
      </c>
      <c r="Z62" s="742">
        <f>+Z69/Z52</f>
        <v>0.42532467532467533</v>
      </c>
      <c r="AA62" s="1068"/>
      <c r="AB62" s="1068"/>
      <c r="AC62" s="1068"/>
      <c r="AD62" s="1068"/>
      <c r="AE62" s="1068"/>
      <c r="AF62" s="1068"/>
      <c r="AG62" s="1068"/>
      <c r="AH62" s="1068"/>
      <c r="AI62" s="1068"/>
      <c r="AJ62" s="1068"/>
      <c r="AK62" s="1068"/>
      <c r="AL62" s="1068"/>
      <c r="AM62" s="1068"/>
      <c r="AN62" s="1068"/>
    </row>
    <row r="63" spans="2:40">
      <c r="B63" s="1184" t="s">
        <v>468</v>
      </c>
      <c r="C63" s="33"/>
      <c r="D63" s="1088" t="s">
        <v>24</v>
      </c>
      <c r="E63" s="1088"/>
      <c r="F63" s="1088"/>
      <c r="G63" s="1088"/>
      <c r="H63" s="1088"/>
      <c r="I63" s="712"/>
      <c r="K63" s="1185" t="s">
        <v>6</v>
      </c>
      <c r="L63" s="33"/>
      <c r="M63" s="33"/>
      <c r="N63" s="33"/>
      <c r="O63" s="33"/>
      <c r="P63" s="33"/>
      <c r="Q63" s="1076"/>
      <c r="R63" s="1076"/>
      <c r="S63" s="33"/>
      <c r="T63" s="33"/>
      <c r="U63" s="225"/>
      <c r="V63" s="123"/>
      <c r="W63" s="225"/>
      <c r="Z63" s="1076">
        <f>+(Q52-50)/P52-1</f>
        <v>9.8360655737705915E-3</v>
      </c>
      <c r="AA63" s="24"/>
      <c r="AB63" s="24"/>
      <c r="AC63" s="24"/>
      <c r="AD63" s="24"/>
      <c r="AE63" s="24"/>
      <c r="AF63" s="24"/>
      <c r="AG63" s="24"/>
      <c r="AH63" s="24"/>
      <c r="AI63" s="24"/>
      <c r="AJ63" s="24"/>
      <c r="AK63" s="24"/>
      <c r="AL63" s="24"/>
      <c r="AM63" s="24"/>
      <c r="AN63" s="24"/>
    </row>
    <row r="64" spans="2:40">
      <c r="B64" s="33"/>
      <c r="C64" s="33"/>
      <c r="D64" s="1202"/>
      <c r="E64" s="1202"/>
      <c r="F64" s="1202" t="s">
        <v>1827</v>
      </c>
      <c r="G64" s="1202"/>
      <c r="H64" s="1202" t="s">
        <v>1827</v>
      </c>
      <c r="K64" s="1185" t="s">
        <v>7</v>
      </c>
      <c r="L64" s="33"/>
      <c r="M64" s="33"/>
      <c r="N64" s="33"/>
      <c r="O64" s="33"/>
      <c r="P64" s="33"/>
      <c r="Q64" s="1076"/>
      <c r="R64" s="1076"/>
      <c r="S64" s="33"/>
      <c r="T64" s="33"/>
      <c r="U64" s="33"/>
      <c r="V64" s="23"/>
      <c r="W64" s="33"/>
      <c r="Z64" s="1076">
        <f>+(Q56-10)/P56-1</f>
        <v>3.649635036496357E-2</v>
      </c>
      <c r="AA64" s="24"/>
      <c r="AB64" s="24"/>
      <c r="AC64" s="24"/>
      <c r="AD64" s="24"/>
      <c r="AE64" s="24"/>
      <c r="AF64" s="24"/>
      <c r="AG64" s="24"/>
      <c r="AH64" s="24"/>
      <c r="AI64" s="24"/>
      <c r="AJ64" s="24"/>
      <c r="AK64" s="24"/>
      <c r="AL64" s="24"/>
      <c r="AM64" s="24"/>
      <c r="AN64" s="24"/>
    </row>
    <row r="65" spans="2:40">
      <c r="B65" s="33"/>
      <c r="C65" s="33"/>
      <c r="D65" s="1074" t="s">
        <v>31</v>
      </c>
      <c r="E65" s="1074" t="s">
        <v>32</v>
      </c>
      <c r="F65" s="1074" t="s">
        <v>1828</v>
      </c>
      <c r="G65" s="1074" t="s">
        <v>33</v>
      </c>
      <c r="H65" s="1074" t="s">
        <v>1830</v>
      </c>
      <c r="I65" s="15"/>
      <c r="K65" s="1185" t="s">
        <v>168</v>
      </c>
      <c r="L65" s="33"/>
      <c r="M65" s="33"/>
      <c r="N65" s="33"/>
      <c r="O65" s="33"/>
      <c r="P65" s="33"/>
      <c r="Q65" s="33"/>
      <c r="R65" s="33"/>
      <c r="S65" s="33"/>
      <c r="T65" s="33"/>
      <c r="U65" s="33"/>
      <c r="V65" s="23"/>
      <c r="W65" s="33"/>
      <c r="Z65" s="33"/>
      <c r="AA65" s="23"/>
      <c r="AB65" s="23"/>
      <c r="AC65" s="23"/>
      <c r="AD65" s="23"/>
      <c r="AE65" s="23"/>
      <c r="AF65" s="23"/>
      <c r="AG65" s="23"/>
      <c r="AH65" s="23"/>
      <c r="AI65" s="23"/>
      <c r="AJ65" s="23"/>
      <c r="AK65" s="23"/>
      <c r="AL65" s="23"/>
      <c r="AM65" s="23"/>
      <c r="AN65" s="23"/>
    </row>
    <row r="66" spans="2:40">
      <c r="B66" s="33" t="s">
        <v>1823</v>
      </c>
      <c r="C66" s="33"/>
      <c r="D66" s="1579" t="s">
        <v>25</v>
      </c>
      <c r="E66" s="1213">
        <f>+IS!CV15</f>
        <v>484.83499999999998</v>
      </c>
      <c r="F66" s="1214">
        <f>+I66-E66</f>
        <v>10.16500000000002</v>
      </c>
      <c r="G66" s="1212">
        <v>493.14</v>
      </c>
      <c r="H66" s="1214">
        <f>+I66-G66</f>
        <v>1.8600000000000136</v>
      </c>
      <c r="I66">
        <v>495</v>
      </c>
      <c r="K66" s="1185" t="s">
        <v>0</v>
      </c>
      <c r="L66" s="33"/>
      <c r="M66" s="33"/>
      <c r="N66" s="33"/>
      <c r="O66" s="33"/>
      <c r="P66" s="33"/>
      <c r="Q66" s="33"/>
      <c r="R66" s="33"/>
      <c r="S66" s="33"/>
      <c r="T66" s="33"/>
      <c r="U66" s="33"/>
      <c r="V66" s="23"/>
      <c r="W66" s="33"/>
      <c r="Z66" s="33"/>
      <c r="AA66" s="23"/>
      <c r="AB66" s="23"/>
      <c r="AC66" s="23"/>
      <c r="AD66" s="23"/>
      <c r="AE66" s="23"/>
      <c r="AF66" s="23"/>
      <c r="AG66" s="23"/>
      <c r="AH66" s="23"/>
      <c r="AI66" s="23"/>
      <c r="AJ66" s="23"/>
      <c r="AK66" s="23"/>
      <c r="AL66" s="23"/>
      <c r="AM66" s="23"/>
      <c r="AN66" s="23"/>
    </row>
    <row r="67" spans="2:40">
      <c r="C67" s="33" t="s">
        <v>680</v>
      </c>
      <c r="D67" s="1579" t="s">
        <v>26</v>
      </c>
      <c r="E67" s="1213"/>
      <c r="F67" s="1214"/>
      <c r="G67" s="1212"/>
      <c r="H67" s="1214"/>
      <c r="K67" s="1185" t="s">
        <v>1826</v>
      </c>
      <c r="L67" s="33"/>
      <c r="M67" s="33"/>
      <c r="N67" s="33"/>
      <c r="O67" s="33"/>
      <c r="P67" s="33"/>
      <c r="Q67" s="33"/>
      <c r="R67" s="33"/>
      <c r="S67" s="33"/>
      <c r="T67" s="33"/>
    </row>
    <row r="68" spans="2:40">
      <c r="C68" s="33" t="s">
        <v>1539</v>
      </c>
      <c r="D68" s="1579" t="s">
        <v>28</v>
      </c>
      <c r="E68" s="1213"/>
      <c r="F68" s="1214"/>
      <c r="G68" s="1212"/>
      <c r="H68" s="1214"/>
    </row>
    <row r="69" spans="2:40">
      <c r="B69" s="33" t="s">
        <v>422</v>
      </c>
      <c r="C69" s="33"/>
      <c r="D69" s="1579" t="s">
        <v>29</v>
      </c>
      <c r="E69" s="1213">
        <f>+IS!CV37</f>
        <v>225.01599999999996</v>
      </c>
      <c r="F69" s="1214">
        <f>+I69-E69</f>
        <v>-4.0159999999999627</v>
      </c>
      <c r="G69" s="1212">
        <v>219.8</v>
      </c>
      <c r="H69" s="1214">
        <f>+I69-G69</f>
        <v>1.1999999999999886</v>
      </c>
      <c r="I69">
        <v>221</v>
      </c>
      <c r="P69">
        <f>615+25</f>
        <v>640</v>
      </c>
      <c r="Q69">
        <v>655</v>
      </c>
      <c r="R69">
        <v>655</v>
      </c>
      <c r="Z69">
        <v>655</v>
      </c>
    </row>
    <row r="70" spans="2:40">
      <c r="B70" s="33"/>
      <c r="C70" s="580" t="s">
        <v>693</v>
      </c>
      <c r="D70" s="725">
        <f>+I69/I66</f>
        <v>0.44646464646464645</v>
      </c>
      <c r="E70" s="725">
        <f>+E69/E66</f>
        <v>0.46410840801509784</v>
      </c>
      <c r="F70" s="1189">
        <f>+(D70-E70)*10000</f>
        <v>-176.43761550451387</v>
      </c>
      <c r="G70" s="725">
        <f>+G69/G66</f>
        <v>0.44571521271849784</v>
      </c>
      <c r="H70" s="1189">
        <f>+(D70-G70)*10000</f>
        <v>7.4943374614860891</v>
      </c>
    </row>
    <row r="71" spans="2:40">
      <c r="B71" s="33" t="s">
        <v>431</v>
      </c>
      <c r="C71" s="33"/>
      <c r="D71" s="1581" t="s">
        <v>79</v>
      </c>
      <c r="E71" s="1213">
        <f>-CF!CD75</f>
        <v>212.11799999999999</v>
      </c>
      <c r="F71" s="1214">
        <f>+E71-I71</f>
        <v>-37.882000000000005</v>
      </c>
      <c r="G71" s="1212">
        <v>251</v>
      </c>
      <c r="H71" s="1214">
        <f>+G71-I71</f>
        <v>1</v>
      </c>
      <c r="I71">
        <v>250</v>
      </c>
      <c r="M71" t="s">
        <v>1520</v>
      </c>
      <c r="O71" t="s">
        <v>1521</v>
      </c>
      <c r="P71" t="s">
        <v>1522</v>
      </c>
      <c r="Q71" t="s">
        <v>1716</v>
      </c>
    </row>
    <row r="72" spans="2:40">
      <c r="B72" s="33"/>
      <c r="C72" s="33" t="s">
        <v>424</v>
      </c>
      <c r="D72" s="1581" t="s">
        <v>30</v>
      </c>
      <c r="E72" s="1213">
        <f>+BS!CD124</f>
        <v>174.52500000000001</v>
      </c>
      <c r="F72" s="1214"/>
      <c r="G72" s="1212"/>
      <c r="H72" s="1214"/>
      <c r="M72" s="1083">
        <v>400</v>
      </c>
      <c r="N72" s="1083"/>
      <c r="O72" s="1083">
        <v>450</v>
      </c>
      <c r="P72" s="1083">
        <v>640</v>
      </c>
      <c r="Q72" s="1083">
        <v>655</v>
      </c>
      <c r="R72" s="1083"/>
    </row>
    <row r="73" spans="2:40">
      <c r="B73" s="33"/>
      <c r="C73" s="33" t="s">
        <v>425</v>
      </c>
      <c r="D73" s="1579">
        <v>30</v>
      </c>
      <c r="E73" s="1213">
        <f>+BS!CD127</f>
        <v>37.593000000000004</v>
      </c>
      <c r="F73" s="1214"/>
      <c r="G73" s="1212"/>
      <c r="H73" s="1214"/>
    </row>
    <row r="74" spans="2:40">
      <c r="B74" s="210"/>
      <c r="C74" s="740" t="s">
        <v>694</v>
      </c>
      <c r="D74" s="725">
        <f>+I71/I66</f>
        <v>0.50505050505050508</v>
      </c>
      <c r="E74" s="725">
        <f>+E71/E66</f>
        <v>0.43750554312291812</v>
      </c>
      <c r="F74" s="1189">
        <f>+(E74-$D74)*10000</f>
        <v>-675.44961927586962</v>
      </c>
      <c r="G74" s="725">
        <f>+G71/G66</f>
        <v>0.50898325019264312</v>
      </c>
      <c r="H74" s="1189">
        <f>+(G74-$D74)*10000</f>
        <v>39.327451421380388</v>
      </c>
    </row>
    <row r="75" spans="2:40">
      <c r="B75" s="1582" t="s">
        <v>695</v>
      </c>
      <c r="C75" s="225"/>
      <c r="D75" s="225"/>
      <c r="E75" s="225"/>
      <c r="F75" s="225"/>
      <c r="G75" s="225"/>
      <c r="H75" s="225"/>
    </row>
    <row r="76" spans="2:40">
      <c r="B76" s="1580" t="s">
        <v>27</v>
      </c>
      <c r="C76" s="33"/>
      <c r="D76" s="33"/>
      <c r="E76" s="33"/>
      <c r="F76" s="33"/>
      <c r="G76" s="33"/>
      <c r="H76" s="33"/>
    </row>
    <row r="77" spans="2:40">
      <c r="B77" s="1207" t="s">
        <v>34</v>
      </c>
    </row>
    <row r="78" spans="2:40">
      <c r="B78" s="1207" t="s">
        <v>35</v>
      </c>
    </row>
    <row r="79" spans="2:40">
      <c r="B79" s="1207" t="s">
        <v>36</v>
      </c>
    </row>
    <row r="82" spans="2:10">
      <c r="B82" s="1184" t="s">
        <v>468</v>
      </c>
      <c r="D82" s="1088" t="s">
        <v>1768</v>
      </c>
      <c r="E82" s="1088"/>
      <c r="F82" s="1088"/>
      <c r="G82" s="1088"/>
    </row>
    <row r="83" spans="2:10">
      <c r="D83" s="1202" t="s">
        <v>1772</v>
      </c>
      <c r="E83" s="1202"/>
      <c r="F83" s="1202" t="s">
        <v>1770</v>
      </c>
      <c r="G83" s="1202"/>
      <c r="H83" s="1202" t="s">
        <v>1827</v>
      </c>
    </row>
    <row r="84" spans="2:10">
      <c r="D84" s="1074" t="s">
        <v>1771</v>
      </c>
      <c r="E84" s="1074" t="s">
        <v>1769</v>
      </c>
      <c r="F84" s="1074" t="s">
        <v>1773</v>
      </c>
      <c r="G84" s="1074" t="s">
        <v>240</v>
      </c>
      <c r="H84" s="1074" t="s">
        <v>1830</v>
      </c>
    </row>
    <row r="85" spans="2:10">
      <c r="B85" s="33" t="s">
        <v>1495</v>
      </c>
      <c r="C85" s="33"/>
      <c r="D85" s="1579" t="s">
        <v>1278</v>
      </c>
      <c r="E85" s="1213">
        <f>+SUM('Q - old'!W7:X7)</f>
        <v>1385.212</v>
      </c>
      <c r="F85" s="1237">
        <f>+I85-E85</f>
        <v>507.28800000000001</v>
      </c>
      <c r="G85" s="1213">
        <f>+IS!CW15</f>
        <v>506.05899999999997</v>
      </c>
      <c r="H85" s="1237">
        <f>+F85-G85</f>
        <v>1.2290000000000418</v>
      </c>
      <c r="I85" s="1709">
        <v>1892.5</v>
      </c>
    </row>
    <row r="86" spans="2:10">
      <c r="C86" s="33" t="s">
        <v>447</v>
      </c>
      <c r="D86" s="1579" t="s">
        <v>1280</v>
      </c>
      <c r="E86" s="1213">
        <f>+SUM('Q - old'!W8:X8)</f>
        <v>437.31900000000002</v>
      </c>
      <c r="F86" s="1237">
        <f>+I86-E86</f>
        <v>158.68099999999998</v>
      </c>
      <c r="G86" s="1213">
        <f>+IS!CW18</f>
        <v>158.08600000000001</v>
      </c>
      <c r="H86" s="1237">
        <f>+G86-F86</f>
        <v>-0.59499999999997044</v>
      </c>
      <c r="I86" s="1709">
        <v>596</v>
      </c>
      <c r="J86" s="1612">
        <f>+I86/I85-1</f>
        <v>-0.68507265521796568</v>
      </c>
    </row>
    <row r="87" spans="2:10">
      <c r="C87" s="33" t="s">
        <v>1539</v>
      </c>
      <c r="D87" s="1579" t="s">
        <v>1279</v>
      </c>
      <c r="E87" s="1213">
        <f>+SUM('Q - old'!W9:X9)</f>
        <v>296.44</v>
      </c>
      <c r="F87" s="1237">
        <f>+I87-E87</f>
        <v>116.06</v>
      </c>
      <c r="G87" s="1213">
        <f>+IS!CW24</f>
        <v>108.28699999999999</v>
      </c>
      <c r="H87" s="1237">
        <f>+G87-F87</f>
        <v>-7.7730000000000103</v>
      </c>
      <c r="I87" s="1709">
        <v>412.5</v>
      </c>
    </row>
    <row r="88" spans="2:10">
      <c r="B88" s="33" t="s">
        <v>422</v>
      </c>
      <c r="C88" s="33"/>
      <c r="D88" s="1579" t="s">
        <v>1277</v>
      </c>
      <c r="E88" s="1214">
        <f>+E85-E86-E87</f>
        <v>651.45299999999997</v>
      </c>
      <c r="F88" s="1237">
        <f>+I88-E88</f>
        <v>231.04700000000003</v>
      </c>
      <c r="G88" s="1214">
        <f>+G85-G86-G87</f>
        <v>239.68599999999998</v>
      </c>
      <c r="H88" s="1237">
        <f>+F88-G88</f>
        <v>-8.6389999999999532</v>
      </c>
      <c r="I88" s="1709">
        <v>882.5</v>
      </c>
    </row>
    <row r="89" spans="2:10">
      <c r="B89" s="33"/>
      <c r="C89" s="580" t="s">
        <v>423</v>
      </c>
      <c r="D89" s="725">
        <f>882.5/1892.5</f>
        <v>0.46631439894319682</v>
      </c>
      <c r="E89" s="725">
        <f>+E88/E85</f>
        <v>0.47029119008498338</v>
      </c>
      <c r="F89" s="725">
        <f>+F88/F85</f>
        <v>0.4554552837835707</v>
      </c>
      <c r="G89" s="725">
        <f>+G88/G85</f>
        <v>0.47363252110919873</v>
      </c>
      <c r="H89" s="1189">
        <f>+(F89-G89)*10000</f>
        <v>-181.77237325628036</v>
      </c>
      <c r="I89" s="1066">
        <f>+I88/I85</f>
        <v>0.46631439894319682</v>
      </c>
    </row>
    <row r="90" spans="2:10">
      <c r="B90" s="33" t="s">
        <v>431</v>
      </c>
      <c r="C90" s="33"/>
      <c r="D90" s="1581" t="s">
        <v>1281</v>
      </c>
      <c r="E90" s="1213">
        <f>+SUM('Q - old'!W12:X12)</f>
        <v>554.0920000000001</v>
      </c>
      <c r="F90" s="1237">
        <f>+I90-E90</f>
        <v>225.9079999999999</v>
      </c>
      <c r="G90" s="1213">
        <f>+BS!CE133</f>
        <v>210.40800000000002</v>
      </c>
      <c r="H90" s="1237">
        <f>+G90-F90</f>
        <v>-15.499999999999886</v>
      </c>
      <c r="I90" s="1710">
        <v>780</v>
      </c>
    </row>
    <row r="91" spans="2:10">
      <c r="B91" s="33"/>
      <c r="C91" s="33" t="s">
        <v>424</v>
      </c>
      <c r="D91" s="1581" t="s">
        <v>1282</v>
      </c>
      <c r="E91" s="1213"/>
      <c r="G91" s="1213"/>
      <c r="I91" s="1710">
        <v>635</v>
      </c>
    </row>
    <row r="92" spans="2:10">
      <c r="B92" s="33"/>
      <c r="C92" s="33" t="s">
        <v>425</v>
      </c>
      <c r="D92" s="1579">
        <v>145</v>
      </c>
      <c r="E92" s="1213"/>
      <c r="G92" s="1213"/>
      <c r="I92" s="1583">
        <v>145</v>
      </c>
    </row>
    <row r="93" spans="2:10">
      <c r="B93" s="210"/>
      <c r="C93" s="740" t="s">
        <v>800</v>
      </c>
      <c r="D93" s="725">
        <f>780/1892.5</f>
        <v>0.41215323645970936</v>
      </c>
      <c r="E93" s="725">
        <f>+E90/E85</f>
        <v>0.40000519776034288</v>
      </c>
      <c r="F93" s="725">
        <f>+F90/F85</f>
        <v>0.44532494362176889</v>
      </c>
      <c r="G93" s="725">
        <f>+G90/G85</f>
        <v>0.41577760695887245</v>
      </c>
      <c r="H93" s="1189">
        <f>+(G93-F93)*10000</f>
        <v>-295.47336662896441</v>
      </c>
      <c r="I93" s="1068">
        <f>+I90/I85</f>
        <v>0.41215323645970936</v>
      </c>
    </row>
    <row r="94" spans="2:10">
      <c r="B94" s="1582" t="s">
        <v>1774</v>
      </c>
      <c r="C94" s="225"/>
      <c r="D94" s="225"/>
      <c r="E94" s="225"/>
      <c r="F94" s="225"/>
      <c r="G94" s="225"/>
      <c r="H94" s="225"/>
    </row>
  </sheetData>
  <phoneticPr fontId="2" type="noConversion"/>
  <pageMargins left="0.75" right="0.75" top="1" bottom="1" header="0.5" footer="0.5"/>
  <pageSetup orientation="portrait" r:id="rId1"/>
  <headerFooter alignWithMargins="0"/>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A1:Y526"/>
  <sheetViews>
    <sheetView showGridLines="0" zoomScale="70" zoomScaleNormal="70" workbookViewId="0">
      <pane xSplit="2" ySplit="3" topLeftCell="O4" activePane="bottomRight" state="frozen"/>
      <selection pane="topRight" activeCell="C1" sqref="C1"/>
      <selection pane="bottomLeft" activeCell="A4" sqref="A4"/>
      <selection pane="bottomRight" activeCell="O4" sqref="O4"/>
    </sheetView>
  </sheetViews>
  <sheetFormatPr defaultRowHeight="12.75" outlineLevelCol="1"/>
  <cols>
    <col min="1" max="1" width="2.42578125" bestFit="1" customWidth="1"/>
    <col min="2" max="2" width="72.7109375" customWidth="1"/>
    <col min="3" max="3" width="9.28515625" hidden="1" customWidth="1" outlineLevel="1"/>
    <col min="4" max="14" width="0" hidden="1" customWidth="1" outlineLevel="1"/>
    <col min="15" max="15" width="9.140625" collapsed="1"/>
    <col min="20" max="20" width="9.28515625" bestFit="1" customWidth="1"/>
  </cols>
  <sheetData>
    <row r="1" spans="1:25">
      <c r="A1" s="712"/>
    </row>
    <row r="3" spans="1:25">
      <c r="C3" t="str">
        <f>IS!D7</f>
        <v>1999A</v>
      </c>
      <c r="D3" t="str">
        <f>IS!E7</f>
        <v>2000A</v>
      </c>
      <c r="E3" t="str">
        <f>IS!F7</f>
        <v>2001A</v>
      </c>
      <c r="F3" t="str">
        <f>IS!G7</f>
        <v>2002A</v>
      </c>
      <c r="G3" t="str">
        <f>IS!H7</f>
        <v>2003A</v>
      </c>
      <c r="H3" t="str">
        <f>IS!I7</f>
        <v>2004A</v>
      </c>
      <c r="I3" t="str">
        <f>IS!J7</f>
        <v>2005A</v>
      </c>
      <c r="J3" t="str">
        <f>IS!K7</f>
        <v>2006A</v>
      </c>
      <c r="K3" t="str">
        <f>IS!L7</f>
        <v>2007A</v>
      </c>
      <c r="L3" t="str">
        <f>IS!M7</f>
        <v>2008A</v>
      </c>
      <c r="M3" t="str">
        <f>IS!N7</f>
        <v>2009A</v>
      </c>
      <c r="N3" t="str">
        <f>IS!O7</f>
        <v>2010A</v>
      </c>
      <c r="O3">
        <f>IS!P7</f>
        <v>2011</v>
      </c>
      <c r="P3">
        <f>IS!Q7</f>
        <v>2012</v>
      </c>
      <c r="Q3">
        <f>IS!R7</f>
        <v>2013</v>
      </c>
      <c r="R3">
        <f>IS!S7</f>
        <v>2014</v>
      </c>
      <c r="S3">
        <f>IS!T7</f>
        <v>2015</v>
      </c>
      <c r="T3">
        <f>IS!U7</f>
        <v>2016</v>
      </c>
      <c r="U3">
        <f>IS!V7</f>
        <v>2017</v>
      </c>
      <c r="V3" t="str">
        <f>IS!W7</f>
        <v>2018E</v>
      </c>
      <c r="W3" t="str">
        <f>IS!X7</f>
        <v>2019E</v>
      </c>
      <c r="X3" t="str">
        <f>IS!Y7</f>
        <v>2020E</v>
      </c>
      <c r="Y3" t="str">
        <f>IS!Z7</f>
        <v>2021E</v>
      </c>
    </row>
    <row r="4" spans="1:25">
      <c r="A4" s="1225" t="s">
        <v>604</v>
      </c>
      <c r="B4" s="42" t="s">
        <v>975</v>
      </c>
      <c r="C4" s="1623">
        <f>+IS!D15</f>
        <v>3.6999999999999998E-2</v>
      </c>
      <c r="D4" s="1623">
        <f>+IS!E15</f>
        <v>13.016</v>
      </c>
      <c r="E4" s="1623">
        <f>+IS!F15</f>
        <v>63.414000000000001</v>
      </c>
      <c r="F4" s="1623">
        <f>+IS!G15</f>
        <v>77.188000000000002</v>
      </c>
      <c r="G4" s="1623">
        <f>+IS!H15</f>
        <v>117.94200000000001</v>
      </c>
      <c r="H4" s="1623">
        <f>+IS!I15</f>
        <v>163.67099999999999</v>
      </c>
      <c r="I4" s="1623">
        <f>+IS!J15</f>
        <v>221.05700000000002</v>
      </c>
      <c r="J4" s="1623">
        <f>+IS!K15</f>
        <v>288.09400000000005</v>
      </c>
      <c r="K4" s="1623">
        <f>+IS!L15</f>
        <v>419.44200000000006</v>
      </c>
      <c r="L4" s="1623">
        <f>+IS!M15</f>
        <v>704.68</v>
      </c>
      <c r="M4" s="1623">
        <f>+IS!N15</f>
        <v>882.50900000000013</v>
      </c>
      <c r="N4" s="1623">
        <f>+IS!O15</f>
        <v>1196.2139999999999</v>
      </c>
      <c r="O4" s="1623">
        <f>+IS!P15</f>
        <v>1569.7840000000001</v>
      </c>
      <c r="P4" s="1623">
        <f>+IS!Q15</f>
        <v>1887.376</v>
      </c>
      <c r="Q4" s="1623">
        <f>+IS!R15</f>
        <v>2152.7660000000001</v>
      </c>
      <c r="R4" s="1623">
        <f>+IS!S15</f>
        <v>2443.7749999999996</v>
      </c>
      <c r="S4" s="1623">
        <f>+IS!T15</f>
        <v>2725.8670000000002</v>
      </c>
      <c r="T4" s="1623">
        <f>+IS!U15</f>
        <v>3611.9889999999996</v>
      </c>
      <c r="U4" s="1623">
        <f>+IS!V15</f>
        <v>4368.4279999999999</v>
      </c>
      <c r="V4" s="1623">
        <f ca="1">+IS!W15</f>
        <v>5039.1585955911905</v>
      </c>
      <c r="W4" s="1623">
        <f ca="1">+IS!X15</f>
        <v>5500.5877719846403</v>
      </c>
      <c r="X4" s="1623">
        <f ca="1">+IS!Y15</f>
        <v>5937.3329327160309</v>
      </c>
      <c r="Y4" s="1623">
        <f ca="1">+IS!Z15</f>
        <v>6349.2579843878229</v>
      </c>
    </row>
    <row r="5" spans="1:25">
      <c r="A5" s="1225"/>
      <c r="B5" s="1637" t="s">
        <v>1322</v>
      </c>
      <c r="C5" s="1623"/>
      <c r="D5" s="1623"/>
      <c r="E5" s="1623"/>
      <c r="F5" s="1623"/>
      <c r="G5" s="1623"/>
      <c r="H5" s="1623"/>
      <c r="I5" s="1623"/>
      <c r="J5" s="1623"/>
      <c r="K5" s="1623"/>
      <c r="L5" s="1623"/>
      <c r="M5" s="1623"/>
      <c r="N5" s="1623"/>
      <c r="O5" s="1631">
        <f>+O4/N4-1</f>
        <v>0.312293619703498</v>
      </c>
      <c r="P5" s="1631">
        <f t="shared" ref="P5:Y5" si="0">+P4/O4-1</f>
        <v>0.20231573261034619</v>
      </c>
      <c r="Q5" s="1631">
        <f t="shared" si="0"/>
        <v>0.14061321114605674</v>
      </c>
      <c r="R5" s="1631">
        <f t="shared" si="0"/>
        <v>0.13517911375411895</v>
      </c>
      <c r="S5" s="1631">
        <f t="shared" si="0"/>
        <v>0.11543288559707854</v>
      </c>
      <c r="T5" s="1631">
        <f t="shared" si="0"/>
        <v>0.32507895653016061</v>
      </c>
      <c r="U5" s="1631">
        <f t="shared" si="0"/>
        <v>0.20942450267705692</v>
      </c>
      <c r="V5" s="1631">
        <f t="shared" ca="1" si="0"/>
        <v>0.1535404945649077</v>
      </c>
      <c r="W5" s="1631">
        <f t="shared" ca="1" si="0"/>
        <v>9.1568694979586196E-2</v>
      </c>
      <c r="X5" s="1631">
        <f t="shared" ca="1" si="0"/>
        <v>7.9399725781270636E-2</v>
      </c>
      <c r="Y5" s="1631">
        <f t="shared" ca="1" si="0"/>
        <v>6.9378802964205288E-2</v>
      </c>
    </row>
    <row r="6" spans="1:25">
      <c r="A6" s="1225"/>
      <c r="B6" s="42" t="s">
        <v>999</v>
      </c>
      <c r="C6" s="1623"/>
      <c r="D6" s="1623"/>
      <c r="E6" s="1623"/>
      <c r="F6" s="1623"/>
      <c r="G6" s="1623"/>
      <c r="H6" s="1623"/>
      <c r="I6" s="1623"/>
      <c r="J6" s="1623"/>
      <c r="K6" s="1623"/>
      <c r="L6" s="1623"/>
      <c r="M6" s="1623"/>
      <c r="N6" s="1623"/>
      <c r="O6" s="1631"/>
      <c r="P6" s="1631"/>
      <c r="Q6" s="1999"/>
      <c r="R6" s="1999">
        <v>2393.66</v>
      </c>
      <c r="S6" s="1999">
        <v>2655.93</v>
      </c>
      <c r="T6" s="1999">
        <v>2930.12</v>
      </c>
      <c r="U6" s="1631"/>
      <c r="V6" s="1631"/>
      <c r="W6" s="1631"/>
      <c r="X6" s="1631"/>
      <c r="Y6" s="1631"/>
    </row>
    <row r="7" spans="1:25">
      <c r="B7" s="42" t="s">
        <v>994</v>
      </c>
      <c r="C7" s="1623">
        <f>+IS!D37</f>
        <v>-12.547000000000001</v>
      </c>
      <c r="D7" s="1623">
        <f>+IS!E37</f>
        <v>-62.4</v>
      </c>
      <c r="E7" s="1623">
        <f>+IS!F37</f>
        <v>-38.007000000000005</v>
      </c>
      <c r="F7" s="1623">
        <f>+IS!G37</f>
        <v>-11.830999999999989</v>
      </c>
      <c r="G7" s="1623">
        <f>+IS!H37</f>
        <v>1.6980000000000075</v>
      </c>
      <c r="H7" s="1623">
        <f>+IS!I37</f>
        <v>35.61399999999999</v>
      </c>
      <c r="I7" s="1623">
        <f>+IS!J37</f>
        <v>70.139000000000024</v>
      </c>
      <c r="J7" s="1623">
        <f>+IS!K37</f>
        <v>102.07200000000006</v>
      </c>
      <c r="K7" s="1623">
        <f>+IS!L37</f>
        <v>155.39000000000007</v>
      </c>
      <c r="L7" s="1623">
        <f>+IS!M37</f>
        <v>292.47599999999994</v>
      </c>
      <c r="M7" s="1623">
        <f>+IS!N37</f>
        <v>408.60800000000006</v>
      </c>
      <c r="N7" s="1623">
        <f>+IS!O37</f>
        <v>533.02099999999996</v>
      </c>
      <c r="O7" s="1623">
        <f>+IS!P37</f>
        <v>719.80500000000018</v>
      </c>
      <c r="P7" s="1623">
        <f>+IS!Q37</f>
        <v>887.85699999999986</v>
      </c>
      <c r="Q7" s="1623">
        <f>+IS!R37</f>
        <v>1000.898</v>
      </c>
      <c r="R7" s="1623">
        <f>+IS!S37</f>
        <v>1113.8909999999996</v>
      </c>
      <c r="S7" s="1623">
        <f>+IS!T37</f>
        <v>1271.6270000000004</v>
      </c>
      <c r="T7" s="1623">
        <f>+IS!U37</f>
        <v>1657.4739999999999</v>
      </c>
      <c r="U7" s="1623">
        <f>+IS!V37</f>
        <v>2052.0410000000002</v>
      </c>
      <c r="V7" s="1623">
        <f ca="1">+IS!W37</f>
        <v>2396.2013118891828</v>
      </c>
      <c r="W7" s="1623">
        <f ca="1">+IS!X37</f>
        <v>2626.6195144712165</v>
      </c>
      <c r="X7" s="1623">
        <f ca="1">+IS!Y37</f>
        <v>2847.0470495173977</v>
      </c>
      <c r="Y7" s="1623">
        <f ca="1">+IS!Z37</f>
        <v>3057.2702817644613</v>
      </c>
    </row>
    <row r="8" spans="1:25">
      <c r="B8" s="42" t="s">
        <v>243</v>
      </c>
      <c r="C8" s="1624"/>
      <c r="D8" s="1624">
        <f t="shared" ref="D8:Y8" si="1">+D7/D4</f>
        <v>-4.7940995697602951</v>
      </c>
      <c r="E8" s="1624">
        <f t="shared" si="1"/>
        <v>-0.59934714731762706</v>
      </c>
      <c r="F8" s="1624">
        <f t="shared" si="1"/>
        <v>-0.15327512048504935</v>
      </c>
      <c r="G8" s="1624">
        <f t="shared" si="1"/>
        <v>1.439690695426572E-2</v>
      </c>
      <c r="H8" s="1624">
        <f t="shared" si="1"/>
        <v>0.21759505349145536</v>
      </c>
      <c r="I8" s="1624">
        <f t="shared" si="1"/>
        <v>0.31728920595140631</v>
      </c>
      <c r="J8" s="1624">
        <f t="shared" si="1"/>
        <v>0.35430102674821429</v>
      </c>
      <c r="K8" s="1624">
        <f t="shared" si="1"/>
        <v>0.37046838418660993</v>
      </c>
      <c r="L8" s="1624">
        <f t="shared" si="1"/>
        <v>0.41504796503377417</v>
      </c>
      <c r="M8" s="1624">
        <f t="shared" si="1"/>
        <v>0.46300717613078168</v>
      </c>
      <c r="N8" s="1624">
        <f t="shared" si="1"/>
        <v>0.44559000312653085</v>
      </c>
      <c r="O8" s="1624">
        <f t="shared" si="1"/>
        <v>0.45853760772182678</v>
      </c>
      <c r="P8" s="1624">
        <f t="shared" si="1"/>
        <v>0.47041871889861897</v>
      </c>
      <c r="Q8" s="1624">
        <f t="shared" si="1"/>
        <v>0.46493580816493757</v>
      </c>
      <c r="R8" s="1624">
        <f t="shared" si="1"/>
        <v>0.45580751092060429</v>
      </c>
      <c r="S8" s="1624">
        <f t="shared" si="1"/>
        <v>0.46650368488264482</v>
      </c>
      <c r="T8" s="1624">
        <f t="shared" si="1"/>
        <v>0.45888124244010714</v>
      </c>
      <c r="U8" s="1624">
        <f t="shared" si="1"/>
        <v>0.46974357823912866</v>
      </c>
      <c r="V8" s="1624">
        <f t="shared" ca="1" si="1"/>
        <v>0.47551615342800341</v>
      </c>
      <c r="W8" s="1624">
        <f t="shared" ca="1" si="1"/>
        <v>0.4775161534280033</v>
      </c>
      <c r="X8" s="1624">
        <f t="shared" ca="1" si="1"/>
        <v>0.47951615342800341</v>
      </c>
      <c r="Y8" s="1624">
        <f t="shared" ca="1" si="1"/>
        <v>0.48151615342800319</v>
      </c>
    </row>
    <row r="9" spans="1:25">
      <c r="B9" s="42" t="s">
        <v>465</v>
      </c>
      <c r="C9" s="1624"/>
      <c r="D9" s="1624"/>
      <c r="E9" s="1624"/>
      <c r="F9" s="1624"/>
      <c r="G9" s="1624"/>
      <c r="H9" s="1623">
        <f>Link!I24</f>
        <v>22.934000000000001</v>
      </c>
      <c r="I9" s="1623">
        <f>Link!J24</f>
        <v>45.412000000000006</v>
      </c>
      <c r="J9" s="1623">
        <f>Link!K24</f>
        <v>162.291</v>
      </c>
      <c r="K9" s="1623">
        <f>Link!L24</f>
        <v>416.81100000000009</v>
      </c>
      <c r="L9" s="1623">
        <f>Link!M24</f>
        <v>471.12800000000004</v>
      </c>
      <c r="M9" s="1623">
        <f>Link!N24</f>
        <v>342.18</v>
      </c>
      <c r="N9" s="1623">
        <f>Link!O24</f>
        <v>579.4</v>
      </c>
      <c r="O9" s="1623">
        <f>Link!P24</f>
        <v>682.7</v>
      </c>
      <c r="P9" s="1623">
        <f>Link!Q24</f>
        <v>764.49999999999989</v>
      </c>
      <c r="Q9" s="1623">
        <f>Link!R24</f>
        <v>572.40599999999995</v>
      </c>
      <c r="R9" s="1623">
        <f>Link!S24</f>
        <v>660.20399999999995</v>
      </c>
      <c r="S9" s="1623">
        <f>Link!T24</f>
        <v>873.80399999999997</v>
      </c>
      <c r="T9" s="1623">
        <f>Link!U24</f>
        <v>1113.365</v>
      </c>
      <c r="U9" s="1623">
        <f>Link!V24</f>
        <v>1378.7249999999999</v>
      </c>
      <c r="V9" s="1623">
        <f ca="1">Link!W24</f>
        <v>1935.5663438236477</v>
      </c>
      <c r="W9" s="1623">
        <f ca="1">Link!X24</f>
        <v>1853.1485108793856</v>
      </c>
      <c r="X9" s="1623">
        <f ca="1">Link!Y24</f>
        <v>1659.9433173086413</v>
      </c>
      <c r="Y9" s="1623"/>
    </row>
    <row r="10" spans="1:25">
      <c r="B10" s="1739" t="s">
        <v>1436</v>
      </c>
      <c r="C10" s="1624"/>
      <c r="D10" s="1624"/>
      <c r="E10" s="1624"/>
      <c r="F10" s="1624"/>
      <c r="G10" s="1624"/>
      <c r="H10" s="1624">
        <f>+H9/H4</f>
        <v>0.14012256294639858</v>
      </c>
      <c r="I10" s="1624">
        <f t="shared" ref="I10:X10" si="2">+I9/I4</f>
        <v>0.20543117838385577</v>
      </c>
      <c r="J10" s="1624">
        <f t="shared" si="2"/>
        <v>0.56332655313890589</v>
      </c>
      <c r="K10" s="1624">
        <f t="shared" si="2"/>
        <v>0.9937273806628808</v>
      </c>
      <c r="L10" s="1624">
        <f t="shared" si="2"/>
        <v>0.66857013112334684</v>
      </c>
      <c r="M10" s="1624">
        <f t="shared" si="2"/>
        <v>0.38773542252826876</v>
      </c>
      <c r="N10" s="1624">
        <f t="shared" si="2"/>
        <v>0.4843614938464188</v>
      </c>
      <c r="O10" s="1624">
        <f t="shared" si="2"/>
        <v>0.43490059778925</v>
      </c>
      <c r="P10" s="1624">
        <f t="shared" si="2"/>
        <v>0.40505972312883065</v>
      </c>
      <c r="Q10" s="1624">
        <f t="shared" si="2"/>
        <v>0.26589327404836377</v>
      </c>
      <c r="R10" s="1624">
        <f t="shared" si="2"/>
        <v>0.27015744084459498</v>
      </c>
      <c r="S10" s="1624">
        <f t="shared" si="2"/>
        <v>0.32056002732341671</v>
      </c>
      <c r="T10" s="1624">
        <f t="shared" si="2"/>
        <v>0.3082415256524868</v>
      </c>
      <c r="U10" s="1624">
        <f t="shared" si="2"/>
        <v>0.31561124505199578</v>
      </c>
      <c r="V10" s="1624">
        <f t="shared" ca="1" si="2"/>
        <v>0.38410506577766645</v>
      </c>
      <c r="W10" s="1624">
        <f t="shared" ca="1" si="2"/>
        <v>0.33690008917188136</v>
      </c>
      <c r="X10" s="1624">
        <f t="shared" ca="1" si="2"/>
        <v>0.27957726745656841</v>
      </c>
      <c r="Y10" s="1624"/>
    </row>
    <row r="11" spans="1:25">
      <c r="Q11" s="1196"/>
    </row>
    <row r="78" spans="1:25">
      <c r="A78" s="1225" t="s">
        <v>604</v>
      </c>
      <c r="B78" s="1192" t="s">
        <v>1572</v>
      </c>
      <c r="C78" s="42"/>
      <c r="D78" s="42"/>
      <c r="E78" s="42"/>
      <c r="F78" s="42"/>
      <c r="G78" s="42"/>
      <c r="H78" s="42"/>
      <c r="I78" s="42"/>
      <c r="J78" s="42"/>
      <c r="K78" s="42"/>
      <c r="L78" s="42"/>
      <c r="M78" s="42"/>
      <c r="N78" s="42"/>
      <c r="O78" s="42"/>
      <c r="P78" s="42"/>
      <c r="Q78" s="42"/>
      <c r="R78" s="42"/>
      <c r="S78" s="42"/>
      <c r="T78" s="42"/>
      <c r="U78" s="42"/>
      <c r="V78" s="42"/>
      <c r="W78" s="42"/>
      <c r="X78" s="42"/>
      <c r="Y78" s="42"/>
    </row>
    <row r="79" spans="1:25">
      <c r="B79" s="42" t="s">
        <v>148</v>
      </c>
      <c r="C79" s="1122"/>
      <c r="D79" s="1122"/>
      <c r="E79" s="1122"/>
      <c r="F79" s="1122"/>
      <c r="G79" s="1122"/>
      <c r="H79" s="1122"/>
      <c r="I79" s="1122"/>
      <c r="J79" s="1122"/>
      <c r="K79" s="1122"/>
      <c r="L79" s="1122"/>
      <c r="M79" s="1122"/>
      <c r="N79" s="1122"/>
      <c r="O79" s="1626">
        <f>Rev!P252</f>
        <v>0.83148558758314861</v>
      </c>
      <c r="P79" s="1626">
        <f>Rev!Q252</f>
        <v>0.81362725450901807</v>
      </c>
      <c r="Q79" s="1626">
        <f>Rev!R252</f>
        <v>0.81578947368421051</v>
      </c>
      <c r="R79" s="1626">
        <f>Rev!S252</f>
        <v>0.78956521739130436</v>
      </c>
      <c r="S79" s="1626">
        <f>Rev!T252</f>
        <v>0.80830670926517567</v>
      </c>
      <c r="T79" s="1626">
        <f>Rev!U252</f>
        <v>0.82181259600614442</v>
      </c>
      <c r="U79" s="1626">
        <f>Rev!V252</f>
        <v>0.81931464174454827</v>
      </c>
      <c r="V79" s="1626">
        <f>Rev!W252</f>
        <v>0.79500000000000004</v>
      </c>
      <c r="W79" s="1626">
        <f>Rev!X252</f>
        <v>0.8125</v>
      </c>
      <c r="X79" s="1626">
        <f>Rev!Y252</f>
        <v>0.81499999999999995</v>
      </c>
      <c r="Y79" s="1626">
        <f>Rev!Z252</f>
        <v>0.81749999999999989</v>
      </c>
    </row>
    <row r="80" spans="1:25">
      <c r="B80" s="42" t="s">
        <v>1225</v>
      </c>
      <c r="C80" s="1122"/>
      <c r="D80" s="1122"/>
      <c r="E80" s="1122"/>
      <c r="F80" s="1122"/>
      <c r="G80" s="1122"/>
      <c r="H80" s="1122"/>
      <c r="I80" s="1122"/>
      <c r="J80" s="1122"/>
      <c r="K80" s="1122"/>
      <c r="L80" s="1122"/>
      <c r="M80" s="1122"/>
      <c r="N80" s="1122"/>
      <c r="O80" s="1625">
        <f>Rev!P627</f>
        <v>0.78164556962025311</v>
      </c>
      <c r="P80" s="1625">
        <f>Rev!Q627</f>
        <v>0.71010638297872342</v>
      </c>
      <c r="Q80" s="1625">
        <f>Rev!R627</f>
        <v>0.7142857142857143</v>
      </c>
      <c r="R80" s="1625">
        <f>Rev!S627</f>
        <v>0.80275229357798161</v>
      </c>
      <c r="S80" s="1625">
        <f>Rev!T627</f>
        <v>0.81818181818181823</v>
      </c>
      <c r="T80" s="1625">
        <f>Rev!U627</f>
        <v>0.80474649406688237</v>
      </c>
      <c r="U80" s="1625">
        <f>Rev!V627</f>
        <v>0.82951146560319045</v>
      </c>
      <c r="V80" s="1625">
        <f>Rev!W627</f>
        <v>0.83499999999999996</v>
      </c>
      <c r="W80" s="1625">
        <f>Rev!X627</f>
        <v>0.83</v>
      </c>
      <c r="X80" s="1625">
        <f>Rev!Y627</f>
        <v>0.83499999999999996</v>
      </c>
      <c r="Y80" s="1625">
        <f>Rev!Z627</f>
        <v>0.84</v>
      </c>
    </row>
    <row r="81" spans="2:25">
      <c r="B81" s="42" t="s">
        <v>997</v>
      </c>
      <c r="C81" s="1122"/>
      <c r="D81" s="1122"/>
      <c r="E81" s="1122"/>
      <c r="F81" s="1122"/>
      <c r="G81" s="1122"/>
      <c r="H81" s="1122"/>
      <c r="I81" s="1122"/>
      <c r="J81" s="1122"/>
      <c r="K81" s="1122"/>
      <c r="L81" s="1122"/>
      <c r="M81" s="1122"/>
      <c r="N81" s="1122"/>
      <c r="O81" s="1625">
        <f>Rev!P464</f>
        <v>0.74452554744525545</v>
      </c>
      <c r="P81" s="1625">
        <f>Rev!Q464</f>
        <v>0.71359223300970875</v>
      </c>
      <c r="Q81" s="1625">
        <f>Rev!R464</f>
        <v>0.71365638766519823</v>
      </c>
      <c r="R81" s="1625">
        <f>Rev!S464</f>
        <v>0.7615062761506276</v>
      </c>
      <c r="S81" s="1625">
        <f>Rev!T464</f>
        <v>0.81294964028776984</v>
      </c>
      <c r="T81" s="1625">
        <f>Rev!U464</f>
        <v>0.73618090452261309</v>
      </c>
      <c r="U81" s="1625">
        <f>Rev!V464</f>
        <v>0.7432432432432432</v>
      </c>
      <c r="V81" s="1625">
        <f>Rev!W464</f>
        <v>0.755</v>
      </c>
      <c r="W81" s="1625">
        <f>Rev!X464</f>
        <v>0.745</v>
      </c>
      <c r="X81" s="1625">
        <f>Rev!Y464</f>
        <v>0.74749999999999994</v>
      </c>
      <c r="Y81" s="1625">
        <f>Rev!Z464</f>
        <v>0.74999999999999989</v>
      </c>
    </row>
    <row r="100" spans="1:25">
      <c r="A100" s="1225" t="s">
        <v>604</v>
      </c>
      <c r="B100" s="1195" t="s">
        <v>160</v>
      </c>
      <c r="C100" s="42"/>
      <c r="D100" s="42"/>
      <c r="E100" s="42"/>
      <c r="F100" s="42"/>
      <c r="G100" s="42"/>
      <c r="H100" s="42"/>
      <c r="I100" s="42"/>
      <c r="J100" s="42"/>
      <c r="K100" s="42"/>
      <c r="L100" s="42"/>
      <c r="M100" s="42"/>
      <c r="N100" s="42"/>
      <c r="O100" s="42">
        <f>+O3</f>
        <v>2011</v>
      </c>
      <c r="P100" s="42">
        <f t="shared" ref="P100:Y100" si="3">+P3</f>
        <v>2012</v>
      </c>
      <c r="Q100" s="42">
        <f t="shared" si="3"/>
        <v>2013</v>
      </c>
      <c r="R100" s="42">
        <f t="shared" si="3"/>
        <v>2014</v>
      </c>
      <c r="S100" s="42">
        <f t="shared" si="3"/>
        <v>2015</v>
      </c>
      <c r="T100" s="42">
        <f t="shared" si="3"/>
        <v>2016</v>
      </c>
      <c r="U100" s="42">
        <f t="shared" si="3"/>
        <v>2017</v>
      </c>
      <c r="V100" s="42" t="str">
        <f t="shared" si="3"/>
        <v>2018E</v>
      </c>
      <c r="W100" s="42" t="str">
        <f t="shared" si="3"/>
        <v>2019E</v>
      </c>
      <c r="X100" s="42" t="str">
        <f t="shared" si="3"/>
        <v>2020E</v>
      </c>
      <c r="Y100" s="42" t="str">
        <f t="shared" si="3"/>
        <v>2021E</v>
      </c>
    </row>
    <row r="101" spans="1:25">
      <c r="B101" s="42" t="s">
        <v>161</v>
      </c>
      <c r="C101" s="1623"/>
      <c r="D101" s="1623"/>
      <c r="E101" s="1623"/>
      <c r="F101" s="1623"/>
      <c r="G101" s="1623"/>
      <c r="H101" s="1623"/>
      <c r="I101" s="1623"/>
      <c r="J101" s="1623"/>
      <c r="K101" s="1623"/>
      <c r="L101" s="1623"/>
      <c r="M101" s="1623"/>
      <c r="N101" s="1623"/>
      <c r="O101" s="1623">
        <f>Rev!P274</f>
        <v>2121.75</v>
      </c>
      <c r="P101" s="1623">
        <f>Rev!Q274</f>
        <v>2224.75</v>
      </c>
      <c r="Q101" s="1623">
        <f>Rev!R274</f>
        <v>2243</v>
      </c>
      <c r="R101" s="1623">
        <f>Rev!S274</f>
        <v>2393.25</v>
      </c>
      <c r="S101" s="1623">
        <f>Rev!T274</f>
        <v>2453.5</v>
      </c>
      <c r="T101" s="1623">
        <f>Rev!U274</f>
        <v>2517.5</v>
      </c>
      <c r="U101" s="1623">
        <f>Rev!V274</f>
        <v>2524</v>
      </c>
      <c r="V101" s="1623">
        <f ca="1">Rev!W274</f>
        <v>2378.4130240245704</v>
      </c>
      <c r="W101" s="1623">
        <f ca="1">Rev!X274</f>
        <v>2390.3050891446928</v>
      </c>
      <c r="X101" s="1623">
        <f ca="1">Rev!Y274</f>
        <v>2401.0614620458437</v>
      </c>
      <c r="Y101" s="1623">
        <f ca="1">Rev!Z274</f>
        <v>2410.665707894027</v>
      </c>
    </row>
    <row r="102" spans="1:25">
      <c r="B102" s="1630" t="s">
        <v>1322</v>
      </c>
      <c r="C102" s="1623"/>
      <c r="D102" s="1623"/>
      <c r="E102" s="1623"/>
      <c r="F102" s="1623"/>
      <c r="G102" s="1623"/>
      <c r="H102" s="1623"/>
      <c r="I102" s="1623"/>
      <c r="J102" s="1623"/>
      <c r="K102" s="1623"/>
      <c r="L102" s="1623"/>
      <c r="M102" s="1623"/>
      <c r="N102" s="1623"/>
      <c r="O102" s="1631"/>
      <c r="P102" s="1631">
        <f t="shared" ref="P102:Y102" si="4">+P101/O101-1</f>
        <v>4.8544833274419608E-2</v>
      </c>
      <c r="Q102" s="1631">
        <f t="shared" si="4"/>
        <v>8.2031688953814186E-3</v>
      </c>
      <c r="R102" s="1631">
        <f t="shared" si="4"/>
        <v>6.6986179224253206E-2</v>
      </c>
      <c r="S102" s="1631">
        <f t="shared" si="4"/>
        <v>2.5174971273373092E-2</v>
      </c>
      <c r="T102" s="1631">
        <f t="shared" si="4"/>
        <v>2.6085184430405528E-2</v>
      </c>
      <c r="U102" s="1631">
        <f t="shared" si="4"/>
        <v>2.5819265143991466E-3</v>
      </c>
      <c r="V102" s="1631">
        <f t="shared" ca="1" si="4"/>
        <v>-5.7681052288205081E-2</v>
      </c>
      <c r="W102" s="1631">
        <f t="shared" ca="1" si="4"/>
        <v>4.9999999999998934E-3</v>
      </c>
      <c r="X102" s="1631">
        <f t="shared" ca="1" si="4"/>
        <v>4.4999999999999485E-3</v>
      </c>
      <c r="Y102" s="1631">
        <f t="shared" ca="1" si="4"/>
        <v>4.0000000000000036E-3</v>
      </c>
    </row>
    <row r="103" spans="1:25">
      <c r="B103" s="42" t="s">
        <v>162</v>
      </c>
      <c r="C103" s="1627"/>
      <c r="D103" s="1627"/>
      <c r="E103" s="1627"/>
      <c r="F103" s="1627"/>
      <c r="G103" s="1627"/>
      <c r="H103" s="1627"/>
      <c r="I103" s="1627"/>
      <c r="J103" s="1627"/>
      <c r="K103" s="1627"/>
      <c r="L103" s="1627"/>
      <c r="M103" s="1627"/>
      <c r="N103" s="1627">
        <f>Rev!O376</f>
        <v>54800</v>
      </c>
      <c r="O103" s="1627">
        <f>Rev!P376</f>
        <v>58800</v>
      </c>
      <c r="P103" s="1627">
        <f>Rev!Q376</f>
        <v>64500</v>
      </c>
      <c r="Q103" s="1627">
        <f>Rev!R376</f>
        <v>70300</v>
      </c>
      <c r="R103" s="1627">
        <f>Rev!S376</f>
        <v>81900</v>
      </c>
      <c r="S103" s="1627">
        <f>Rev!T376</f>
        <v>93800</v>
      </c>
      <c r="T103" s="1627">
        <f>Rev!U376</f>
        <v>106300</v>
      </c>
      <c r="U103" s="1627">
        <f>Rev!V376</f>
        <v>138900</v>
      </c>
      <c r="V103" s="1627">
        <f>Rev!W376</f>
        <v>150749.22439267571</v>
      </c>
      <c r="W103" s="1627">
        <f>Rev!X376</f>
        <v>164889.87112324897</v>
      </c>
      <c r="X103" s="1627">
        <f>Rev!Y376</f>
        <v>174622.2789518155</v>
      </c>
      <c r="Y103" s="1627">
        <f>Rev!Z376</f>
        <v>184051.65605948484</v>
      </c>
    </row>
    <row r="104" spans="1:25">
      <c r="B104" s="1630" t="s">
        <v>1322</v>
      </c>
      <c r="C104" s="1623"/>
      <c r="D104" s="1623"/>
      <c r="E104" s="1623"/>
      <c r="F104" s="1623"/>
      <c r="G104" s="1623"/>
      <c r="H104" s="1623"/>
      <c r="I104" s="1623"/>
      <c r="J104" s="1623"/>
      <c r="K104" s="1623"/>
      <c r="L104" s="1623"/>
      <c r="M104" s="1623"/>
      <c r="N104" s="1623"/>
      <c r="O104" s="1631"/>
      <c r="P104" s="1631">
        <f t="shared" ref="P104:Y104" si="5">+P103/O103-1</f>
        <v>9.6938775510204023E-2</v>
      </c>
      <c r="Q104" s="1631">
        <f t="shared" si="5"/>
        <v>8.9922480620155065E-2</v>
      </c>
      <c r="R104" s="1631">
        <f t="shared" si="5"/>
        <v>0.16500711237553345</v>
      </c>
      <c r="S104" s="1631">
        <f t="shared" si="5"/>
        <v>0.14529914529914523</v>
      </c>
      <c r="T104" s="1631">
        <f t="shared" si="5"/>
        <v>0.13326226012793185</v>
      </c>
      <c r="U104" s="1631">
        <f t="shared" si="5"/>
        <v>0.30667920978363128</v>
      </c>
      <c r="V104" s="1631">
        <f t="shared" si="5"/>
        <v>8.530759101998342E-2</v>
      </c>
      <c r="W104" s="1631">
        <f t="shared" si="5"/>
        <v>9.380245097473483E-2</v>
      </c>
      <c r="X104" s="1631">
        <f t="shared" si="5"/>
        <v>5.9023685095198619E-2</v>
      </c>
      <c r="Y104" s="1631">
        <f t="shared" si="5"/>
        <v>5.3998706031498145E-2</v>
      </c>
    </row>
    <row r="105" spans="1:25">
      <c r="B105" s="42" t="s">
        <v>644</v>
      </c>
      <c r="C105" s="1628"/>
      <c r="D105" s="1628"/>
      <c r="E105" s="1628"/>
      <c r="F105" s="1628"/>
      <c r="G105" s="1628"/>
      <c r="H105" s="1628"/>
      <c r="I105" s="1628"/>
      <c r="J105" s="1628"/>
      <c r="K105" s="1628"/>
      <c r="L105" s="1628"/>
      <c r="M105" s="1628"/>
      <c r="N105" s="1628">
        <f>Rev!O383</f>
        <v>1.5747126436781609</v>
      </c>
      <c r="O105" s="1628">
        <f>Rev!P383</f>
        <v>1.5712309820193637</v>
      </c>
      <c r="P105" s="1628">
        <f>Rev!Q383</f>
        <v>1.5787451984635084</v>
      </c>
      <c r="Q105" s="1628">
        <f>Rev!R383</f>
        <v>1.6047619047619048</v>
      </c>
      <c r="R105" s="1628">
        <f>Rev!S383</f>
        <v>1.7139639639639639</v>
      </c>
      <c r="S105" s="1628">
        <f>Rev!T383</f>
        <v>1.8302083333333334</v>
      </c>
      <c r="T105" s="1628">
        <f>Rev!U383</f>
        <v>1.9221902017291066</v>
      </c>
      <c r="U105" s="1628">
        <f>Rev!V383</f>
        <v>1.851963746223565</v>
      </c>
      <c r="V105" s="1628">
        <f>Rev!W383</f>
        <v>1.7728487435412768</v>
      </c>
      <c r="W105" s="1628">
        <f>Rev!X383</f>
        <v>1.7882374949019078</v>
      </c>
      <c r="X105" s="1628">
        <f>Rev!Y383</f>
        <v>1.7941886885211087</v>
      </c>
      <c r="Y105" s="1628">
        <f>Rev!Z383</f>
        <v>1.7987593200917844</v>
      </c>
    </row>
    <row r="106" spans="1:25">
      <c r="B106" s="1630" t="s">
        <v>1322</v>
      </c>
      <c r="C106" s="1623"/>
      <c r="D106" s="1623"/>
      <c r="E106" s="1623"/>
      <c r="F106" s="1623"/>
      <c r="G106" s="1623"/>
      <c r="H106" s="1623"/>
      <c r="I106" s="1623"/>
      <c r="J106" s="1623"/>
      <c r="K106" s="1623"/>
      <c r="L106" s="1623"/>
      <c r="M106" s="1623"/>
      <c r="N106" s="1623"/>
      <c r="O106" s="1631"/>
      <c r="P106" s="1631">
        <f t="shared" ref="P106:Y106" si="6">+P105/O105-1</f>
        <v>4.7823754305602595E-3</v>
      </c>
      <c r="Q106" s="1631">
        <f t="shared" si="6"/>
        <v>1.647935735526973E-2</v>
      </c>
      <c r="R106" s="1631">
        <f t="shared" si="6"/>
        <v>6.8048760927099217E-2</v>
      </c>
      <c r="S106" s="1631">
        <f t="shared" si="6"/>
        <v>6.7821944809461243E-2</v>
      </c>
      <c r="T106" s="1631">
        <f t="shared" si="6"/>
        <v>5.0257594570257469E-2</v>
      </c>
      <c r="U106" s="1631">
        <f t="shared" si="6"/>
        <v>-3.6534602789239812E-2</v>
      </c>
      <c r="V106" s="1631">
        <f t="shared" si="6"/>
        <v>-4.271952020854386E-2</v>
      </c>
      <c r="W106" s="1631">
        <f t="shared" si="6"/>
        <v>8.680239313531013E-3</v>
      </c>
      <c r="X106" s="1631">
        <f t="shared" si="6"/>
        <v>3.3279660202669703E-3</v>
      </c>
      <c r="Y106" s="1631">
        <f t="shared" si="6"/>
        <v>2.5474642661151847E-3</v>
      </c>
    </row>
    <row r="107" spans="1:25">
      <c r="B107" s="42" t="s">
        <v>51</v>
      </c>
      <c r="C107" s="1623"/>
      <c r="D107" s="1623"/>
      <c r="E107" s="1623"/>
      <c r="F107" s="1623"/>
      <c r="G107" s="1623"/>
      <c r="H107" s="1623"/>
      <c r="I107" s="1623"/>
      <c r="J107" s="1623"/>
      <c r="K107" s="1623">
        <f>Rev!L290</f>
        <v>52.054000000000002</v>
      </c>
      <c r="L107" s="1623">
        <f>Rev!M290</f>
        <v>81.69</v>
      </c>
      <c r="M107" s="1623">
        <f>Rev!N290</f>
        <v>89.013999999999996</v>
      </c>
      <c r="N107" s="1623">
        <f>Rev!O290</f>
        <v>145.38099999999997</v>
      </c>
      <c r="O107" s="1623">
        <f>Rev!P290</f>
        <v>197.62300000000002</v>
      </c>
      <c r="P107" s="1623">
        <f>Rev!Q290</f>
        <v>216.15600000000001</v>
      </c>
      <c r="Q107" s="1623">
        <f>Rev!R290</f>
        <v>242.29599999999999</v>
      </c>
      <c r="R107" s="1623">
        <f>Rev!S290</f>
        <v>272.25700000000001</v>
      </c>
      <c r="S107" s="1623">
        <f>Rev!T290</f>
        <v>315.25799999999998</v>
      </c>
      <c r="T107" s="1623">
        <f>Rev!U290</f>
        <v>369.05799999999999</v>
      </c>
      <c r="U107" s="1623">
        <f>Rev!V290</f>
        <v>469.26800000000003</v>
      </c>
      <c r="V107" s="1623">
        <f>Rev!W290</f>
        <v>588.44324787787809</v>
      </c>
      <c r="W107" s="1623">
        <f>Rev!X290</f>
        <v>647.65597719514017</v>
      </c>
      <c r="X107" s="1623">
        <f>Rev!Y290</f>
        <v>703.60721220780829</v>
      </c>
      <c r="Y107" s="1623">
        <f>Rev!Z290</f>
        <v>750.75140351707557</v>
      </c>
    </row>
    <row r="108" spans="1:25">
      <c r="B108" s="42" t="s">
        <v>1319</v>
      </c>
      <c r="C108" s="1623"/>
      <c r="D108" s="1623"/>
      <c r="E108" s="1623"/>
      <c r="F108" s="1623"/>
      <c r="G108" s="1623"/>
      <c r="H108" s="1623"/>
      <c r="I108" s="1623"/>
      <c r="J108" s="1623"/>
      <c r="K108" s="1623"/>
      <c r="L108" s="1623"/>
      <c r="M108" s="1623"/>
      <c r="N108" s="1623"/>
      <c r="O108" s="1623">
        <f>+Rev!P387</f>
        <v>289.93984741784038</v>
      </c>
      <c r="P108" s="1623">
        <f>+Rev!Q387</f>
        <v>292.18167072181672</v>
      </c>
      <c r="Q108" s="1623">
        <f>+Rev!R387</f>
        <v>299.57467853610285</v>
      </c>
      <c r="R108" s="1623">
        <f>+Rev!S387</f>
        <v>298.135129215944</v>
      </c>
      <c r="S108" s="1623">
        <f>+Rev!T387</f>
        <v>299.04951622083098</v>
      </c>
      <c r="T108" s="1623">
        <f>+Rev!U387</f>
        <v>307.39463601532572</v>
      </c>
      <c r="U108" s="1623">
        <f>+Rev!V387</f>
        <v>318.96954866775422</v>
      </c>
      <c r="V108" s="1623">
        <f>+Rev!W387</f>
        <v>338.59532975429227</v>
      </c>
      <c r="W108" s="1623">
        <f>+Rev!X387</f>
        <v>341.98128305183519</v>
      </c>
      <c r="X108" s="1623">
        <f>+Rev!Y387</f>
        <v>345.40109588235356</v>
      </c>
      <c r="Y108" s="1623">
        <f>+Rev!Z387</f>
        <v>348.85510684117708</v>
      </c>
    </row>
    <row r="109" spans="1:25">
      <c r="B109" s="1630" t="s">
        <v>1322</v>
      </c>
      <c r="C109" s="1623"/>
      <c r="D109" s="1623"/>
      <c r="E109" s="1623"/>
      <c r="F109" s="1623"/>
      <c r="G109" s="1623"/>
      <c r="H109" s="1623"/>
      <c r="I109" s="1623"/>
      <c r="J109" s="1623"/>
      <c r="K109" s="1623"/>
      <c r="L109" s="1623"/>
      <c r="M109" s="1623"/>
      <c r="N109" s="1623"/>
      <c r="O109" s="1631"/>
      <c r="P109" s="1631">
        <f t="shared" ref="P109:Y109" si="7">+P108/O108-1</f>
        <v>7.7320289844313717E-3</v>
      </c>
      <c r="Q109" s="1631">
        <f t="shared" si="7"/>
        <v>2.5302777535709753E-2</v>
      </c>
      <c r="R109" s="1631">
        <f t="shared" si="7"/>
        <v>-4.8053104060508112E-3</v>
      </c>
      <c r="S109" s="1631">
        <f t="shared" si="7"/>
        <v>3.0670220154589423E-3</v>
      </c>
      <c r="T109" s="1631">
        <f t="shared" si="7"/>
        <v>2.790547832999124E-2</v>
      </c>
      <c r="U109" s="1631">
        <f t="shared" si="7"/>
        <v>3.7654894706267594E-2</v>
      </c>
      <c r="V109" s="1631">
        <f t="shared" si="7"/>
        <v>6.1528698173569873E-2</v>
      </c>
      <c r="W109" s="1631">
        <f t="shared" si="7"/>
        <v>1.0000000000000009E-2</v>
      </c>
      <c r="X109" s="1631">
        <f t="shared" si="7"/>
        <v>1.0000000000000009E-2</v>
      </c>
      <c r="Y109" s="1631">
        <f t="shared" si="7"/>
        <v>1.0000000000000009E-2</v>
      </c>
    </row>
    <row r="110" spans="1:25">
      <c r="B110" s="42" t="s">
        <v>1536</v>
      </c>
      <c r="C110" s="42"/>
      <c r="D110" s="42"/>
      <c r="E110" s="42"/>
      <c r="F110" s="42"/>
      <c r="G110" s="42"/>
      <c r="H110" s="42"/>
      <c r="I110" s="42"/>
      <c r="J110" s="42"/>
      <c r="K110" s="1233"/>
      <c r="L110" s="1233"/>
      <c r="M110" s="1233"/>
      <c r="N110" s="1233">
        <f>N107/AVERAGE(M103:N103)*1000000/12*N105</f>
        <v>348.13457854406118</v>
      </c>
      <c r="O110" s="1233">
        <f t="shared" ref="O110:Y110" si="8">O107/AVERAGE(N103:O103)*1000000/12*O105</f>
        <v>455.56247118487789</v>
      </c>
      <c r="P110" s="1233">
        <f t="shared" si="8"/>
        <v>461.28040973111399</v>
      </c>
      <c r="Q110" s="1233">
        <f t="shared" si="8"/>
        <v>480.74603174603175</v>
      </c>
      <c r="R110" s="1233">
        <f t="shared" si="8"/>
        <v>510.99286786786786</v>
      </c>
      <c r="S110" s="1233">
        <f t="shared" si="8"/>
        <v>547.32291666666663</v>
      </c>
      <c r="T110" s="1233">
        <f t="shared" si="8"/>
        <v>590.87095741274413</v>
      </c>
      <c r="U110" s="1233">
        <f>U107/AVERAGE(T103:U103)*1000000/12*U105</f>
        <v>590.72004028197387</v>
      </c>
      <c r="V110" s="1233">
        <f t="shared" si="8"/>
        <v>600.27830492384146</v>
      </c>
      <c r="W110" s="1233">
        <f t="shared" si="8"/>
        <v>611.54375290795417</v>
      </c>
      <c r="X110" s="1233">
        <f t="shared" si="8"/>
        <v>619.71473923491362</v>
      </c>
      <c r="Y110" s="1233">
        <f t="shared" si="8"/>
        <v>627.50637479218244</v>
      </c>
    </row>
    <row r="111" spans="1:25">
      <c r="B111" s="1630" t="s">
        <v>1322</v>
      </c>
      <c r="C111" s="1623"/>
      <c r="D111" s="1623"/>
      <c r="E111" s="1623"/>
      <c r="F111" s="1623"/>
      <c r="G111" s="1623"/>
      <c r="H111" s="1623"/>
      <c r="I111" s="1623"/>
      <c r="J111" s="1623"/>
      <c r="K111" s="1623"/>
      <c r="L111" s="1623"/>
      <c r="M111" s="1623"/>
      <c r="N111" s="1623"/>
      <c r="O111" s="1631"/>
      <c r="P111" s="1631">
        <f t="shared" ref="P111:Y111" si="9">+P110/O110-1</f>
        <v>1.2551381880435031E-2</v>
      </c>
      <c r="Q111" s="1631">
        <f>+Q110/P110-1</f>
        <v>4.2199108404071373E-2</v>
      </c>
      <c r="R111" s="1631">
        <f t="shared" si="9"/>
        <v>6.2916455102046243E-2</v>
      </c>
      <c r="S111" s="1631">
        <f t="shared" si="9"/>
        <v>7.1096978222782159E-2</v>
      </c>
      <c r="T111" s="1631">
        <f t="shared" si="9"/>
        <v>7.9565535116446373E-2</v>
      </c>
      <c r="U111" s="1631">
        <f t="shared" si="9"/>
        <v>-2.5541470413625866E-4</v>
      </c>
      <c r="V111" s="1631">
        <f t="shared" si="9"/>
        <v>1.6180701499994843E-2</v>
      </c>
      <c r="W111" s="1631">
        <f t="shared" si="9"/>
        <v>1.8767041706666321E-2</v>
      </c>
      <c r="X111" s="1631">
        <f t="shared" si="9"/>
        <v>1.336124568046948E-2</v>
      </c>
      <c r="Y111" s="1631">
        <f t="shared" si="9"/>
        <v>1.257293890877631E-2</v>
      </c>
    </row>
    <row r="112" spans="1:25">
      <c r="B112" s="42" t="s">
        <v>1535</v>
      </c>
      <c r="C112" s="42"/>
      <c r="D112" s="42"/>
      <c r="E112" s="42"/>
      <c r="F112" s="42"/>
      <c r="G112" s="42"/>
      <c r="H112" s="42"/>
      <c r="I112" s="42"/>
      <c r="J112" s="42"/>
      <c r="K112" s="1233"/>
      <c r="L112" s="1233"/>
      <c r="M112" s="1233"/>
      <c r="N112" s="1233">
        <f t="shared" ref="N112:Y112" si="10">+N101-N110</f>
        <v>-348.13457854406118</v>
      </c>
      <c r="O112" s="1233">
        <f t="shared" si="10"/>
        <v>1666.1875288151221</v>
      </c>
      <c r="P112" s="1233">
        <f t="shared" si="10"/>
        <v>1763.4695902688859</v>
      </c>
      <c r="Q112" s="1233">
        <f t="shared" si="10"/>
        <v>1762.2539682539682</v>
      </c>
      <c r="R112" s="1233">
        <f t="shared" si="10"/>
        <v>1882.257132132132</v>
      </c>
      <c r="S112" s="1233">
        <f t="shared" si="10"/>
        <v>1906.1770833333335</v>
      </c>
      <c r="T112" s="1233">
        <f t="shared" si="10"/>
        <v>1926.6290425872558</v>
      </c>
      <c r="U112" s="1233">
        <f t="shared" si="10"/>
        <v>1933.279959718026</v>
      </c>
      <c r="V112" s="1233">
        <f t="shared" ca="1" si="10"/>
        <v>1778.1347191007289</v>
      </c>
      <c r="W112" s="1233">
        <f t="shared" ca="1" si="10"/>
        <v>1778.7613362367388</v>
      </c>
      <c r="X112" s="1233">
        <f t="shared" ca="1" si="10"/>
        <v>1781.34672281093</v>
      </c>
      <c r="Y112" s="1233">
        <f t="shared" ca="1" si="10"/>
        <v>1783.1593331018446</v>
      </c>
    </row>
    <row r="113" spans="2:25">
      <c r="B113" s="1630" t="s">
        <v>1322</v>
      </c>
      <c r="C113" s="1623"/>
      <c r="D113" s="1623"/>
      <c r="E113" s="1623"/>
      <c r="F113" s="1623"/>
      <c r="G113" s="1623"/>
      <c r="H113" s="1623"/>
      <c r="I113" s="1623"/>
      <c r="J113" s="1623"/>
      <c r="K113" s="1623"/>
      <c r="L113" s="1623"/>
      <c r="M113" s="1623"/>
      <c r="N113" s="1623"/>
      <c r="O113" s="1631"/>
      <c r="P113" s="1631">
        <f t="shared" ref="P113:Y113" si="11">+P112/O112-1</f>
        <v>5.8386021844098357E-2</v>
      </c>
      <c r="Q113" s="1631">
        <f t="shared" si="11"/>
        <v>-6.8933539972881874E-4</v>
      </c>
      <c r="R113" s="1631">
        <f t="shared" si="11"/>
        <v>6.8096407237523415E-2</v>
      </c>
      <c r="S113" s="1631">
        <f t="shared" si="11"/>
        <v>1.2708120900626341E-2</v>
      </c>
      <c r="T113" s="1631">
        <f t="shared" si="11"/>
        <v>1.0729307068448213E-2</v>
      </c>
      <c r="U113" s="1631">
        <f t="shared" si="11"/>
        <v>3.4521005257135418E-3</v>
      </c>
      <c r="V113" s="1631">
        <f t="shared" ca="1" si="11"/>
        <v>-8.0249753708679372E-2</v>
      </c>
      <c r="W113" s="1631">
        <f t="shared" ca="1" si="11"/>
        <v>3.5240138403391796E-4</v>
      </c>
      <c r="X113" s="1631">
        <f t="shared" ca="1" si="11"/>
        <v>1.4534758101167888E-3</v>
      </c>
      <c r="Y113" s="1631">
        <f t="shared" ca="1" si="11"/>
        <v>1.0175505238274596E-3</v>
      </c>
    </row>
    <row r="166" spans="1:25">
      <c r="A166" s="1225" t="s">
        <v>604</v>
      </c>
      <c r="B166" s="1195" t="s">
        <v>1321</v>
      </c>
      <c r="C166" s="42"/>
      <c r="D166" s="42"/>
      <c r="E166" s="42"/>
      <c r="F166" s="42"/>
      <c r="G166" s="42"/>
      <c r="H166" s="42"/>
      <c r="I166" s="42"/>
      <c r="J166" s="42"/>
      <c r="K166" s="42"/>
      <c r="L166" s="42"/>
      <c r="M166" s="42"/>
      <c r="N166" s="42"/>
      <c r="O166" s="42">
        <f>+O3</f>
        <v>2011</v>
      </c>
      <c r="P166" s="42">
        <f t="shared" ref="P166:Y166" si="12">+P3</f>
        <v>2012</v>
      </c>
      <c r="Q166" s="42">
        <f t="shared" si="12"/>
        <v>2013</v>
      </c>
      <c r="R166" s="42">
        <f t="shared" si="12"/>
        <v>2014</v>
      </c>
      <c r="S166" s="42">
        <f t="shared" si="12"/>
        <v>2015</v>
      </c>
      <c r="T166" s="42">
        <f t="shared" si="12"/>
        <v>2016</v>
      </c>
      <c r="U166" s="42">
        <f t="shared" si="12"/>
        <v>2017</v>
      </c>
      <c r="V166" s="42" t="str">
        <f t="shared" si="12"/>
        <v>2018E</v>
      </c>
      <c r="W166" s="42" t="str">
        <f t="shared" si="12"/>
        <v>2019E</v>
      </c>
      <c r="X166" s="42" t="str">
        <f t="shared" si="12"/>
        <v>2020E</v>
      </c>
      <c r="Y166" s="42" t="str">
        <f t="shared" si="12"/>
        <v>2021E</v>
      </c>
    </row>
    <row r="167" spans="1:25">
      <c r="B167" s="42" t="s">
        <v>161</v>
      </c>
      <c r="C167" s="1623"/>
      <c r="D167" s="1623"/>
      <c r="E167" s="1623"/>
      <c r="F167" s="1623"/>
      <c r="G167" s="1623"/>
      <c r="H167" s="1623"/>
      <c r="I167" s="1623"/>
      <c r="J167" s="1623"/>
      <c r="K167" s="1623"/>
      <c r="L167" s="1623"/>
      <c r="M167" s="1623"/>
      <c r="N167" s="1623">
        <f>+Rev!O634</f>
        <v>1122.25</v>
      </c>
      <c r="O167" s="1623">
        <f>+Rev!P634</f>
        <v>1191.5</v>
      </c>
      <c r="P167" s="1623">
        <f>+Rev!Q634</f>
        <v>1310.5</v>
      </c>
      <c r="Q167" s="1623">
        <f>+Rev!R634</f>
        <v>1462.25</v>
      </c>
      <c r="R167" s="1623">
        <f>+Rev!S634</f>
        <v>1496.5</v>
      </c>
      <c r="S167" s="1623">
        <f>+Rev!T634</f>
        <v>1446</v>
      </c>
      <c r="T167" s="1623">
        <f>+Rev!U634</f>
        <v>1391.25</v>
      </c>
      <c r="U167" s="1623">
        <f>+Rev!V634</f>
        <v>1330</v>
      </c>
      <c r="V167" s="1623">
        <f>+Rev!W634</f>
        <v>1352.0985919374998</v>
      </c>
      <c r="W167" s="1623">
        <f>+Rev!X634</f>
        <v>1358.8590848971871</v>
      </c>
      <c r="X167" s="1623">
        <f>+Rev!Y634</f>
        <v>1364.9739507792244</v>
      </c>
      <c r="Y167" s="1623">
        <f>+Rev!Z634</f>
        <v>1370.5020952798805</v>
      </c>
    </row>
    <row r="168" spans="1:25">
      <c r="B168" s="1630" t="s">
        <v>1322</v>
      </c>
      <c r="C168" s="1623"/>
      <c r="D168" s="1623"/>
      <c r="E168" s="1623"/>
      <c r="F168" s="1623"/>
      <c r="G168" s="1623"/>
      <c r="H168" s="1623"/>
      <c r="I168" s="1623"/>
      <c r="J168" s="1623"/>
      <c r="K168" s="1623"/>
      <c r="L168" s="1623"/>
      <c r="M168" s="1623"/>
      <c r="N168" s="1623"/>
      <c r="O168" s="1631"/>
      <c r="P168" s="1631">
        <f t="shared" ref="P168:Y168" si="13">+P167/O167-1</f>
        <v>9.9874108266890582E-2</v>
      </c>
      <c r="Q168" s="1631">
        <f t="shared" si="13"/>
        <v>0.11579549790156429</v>
      </c>
      <c r="R168" s="1631">
        <f t="shared" si="13"/>
        <v>2.3422807317490246E-2</v>
      </c>
      <c r="S168" s="1631">
        <f t="shared" si="13"/>
        <v>-3.3745405947210205E-2</v>
      </c>
      <c r="T168" s="1631">
        <f t="shared" si="13"/>
        <v>-3.7863070539419064E-2</v>
      </c>
      <c r="U168" s="1631">
        <f t="shared" si="13"/>
        <v>-4.4025157232704393E-2</v>
      </c>
      <c r="V168" s="1631">
        <f t="shared" si="13"/>
        <v>1.6615482659774194E-2</v>
      </c>
      <c r="W168" s="1631">
        <f t="shared" si="13"/>
        <v>4.9999999999998934E-3</v>
      </c>
      <c r="X168" s="1631">
        <f t="shared" si="13"/>
        <v>4.4999999999999485E-3</v>
      </c>
      <c r="Y168" s="1631">
        <f t="shared" si="13"/>
        <v>4.0500000000001091E-3</v>
      </c>
    </row>
    <row r="169" spans="1:25">
      <c r="B169" s="42" t="s">
        <v>162</v>
      </c>
      <c r="C169" s="1627"/>
      <c r="D169" s="1627"/>
      <c r="E169" s="1627"/>
      <c r="F169" s="1627"/>
      <c r="G169" s="1627"/>
      <c r="H169" s="1627"/>
      <c r="I169" s="1627"/>
      <c r="J169" s="1627"/>
      <c r="K169" s="1627"/>
      <c r="L169" s="1627"/>
      <c r="M169" s="1627"/>
      <c r="N169" s="1627">
        <f>+Rev!O678</f>
        <v>13378</v>
      </c>
      <c r="O169" s="1627">
        <f>+Rev!P678</f>
        <v>17400</v>
      </c>
      <c r="P169" s="1627">
        <f>+Rev!Q678</f>
        <v>27200</v>
      </c>
      <c r="Q169" s="1627">
        <f>+Rev!R678</f>
        <v>32100</v>
      </c>
      <c r="R169" s="1627">
        <f>+Rev!S678</f>
        <v>36900</v>
      </c>
      <c r="S169" s="1627">
        <f>+Rev!T678</f>
        <v>43900</v>
      </c>
      <c r="T169" s="1627">
        <f>+Rev!U678</f>
        <v>82900</v>
      </c>
      <c r="U169" s="1627">
        <f>+Rev!V678</f>
        <v>92200</v>
      </c>
      <c r="V169" s="1627">
        <f>+Rev!W678</f>
        <v>103771.91228199999</v>
      </c>
      <c r="W169" s="1627">
        <f>+Rev!X678</f>
        <v>113037.73769093498</v>
      </c>
      <c r="X169" s="1627">
        <f>+Rev!Y678</f>
        <v>123312.73368812093</v>
      </c>
      <c r="Y169" s="1627">
        <f>+Rev!Z678</f>
        <v>133897.7869774233</v>
      </c>
    </row>
    <row r="170" spans="1:25">
      <c r="B170" s="1630" t="s">
        <v>1322</v>
      </c>
      <c r="C170" s="1623"/>
      <c r="D170" s="1623"/>
      <c r="E170" s="1623"/>
      <c r="F170" s="1623"/>
      <c r="G170" s="1623"/>
      <c r="H170" s="1623"/>
      <c r="I170" s="1623"/>
      <c r="J170" s="1623"/>
      <c r="K170" s="1623"/>
      <c r="L170" s="1623"/>
      <c r="M170" s="1623"/>
      <c r="N170" s="1623"/>
      <c r="O170" s="1631"/>
      <c r="P170" s="1631">
        <f t="shared" ref="P170:Y170" si="14">+P169/O169-1</f>
        <v>0.56321839080459779</v>
      </c>
      <c r="Q170" s="1631">
        <f t="shared" si="14"/>
        <v>0.18014705882352944</v>
      </c>
      <c r="R170" s="1631">
        <f t="shared" si="14"/>
        <v>0.14953271028037385</v>
      </c>
      <c r="S170" s="1631">
        <f t="shared" si="14"/>
        <v>0.18970189701897011</v>
      </c>
      <c r="T170" s="1631">
        <f t="shared" si="14"/>
        <v>0.88838268792710706</v>
      </c>
      <c r="U170" s="1631">
        <f t="shared" si="14"/>
        <v>0.11218335343787689</v>
      </c>
      <c r="V170" s="1631">
        <f t="shared" si="14"/>
        <v>0.12550880999999992</v>
      </c>
      <c r="W170" s="1631">
        <f t="shared" si="14"/>
        <v>8.9290302213523187E-2</v>
      </c>
      <c r="X170" s="1631">
        <f t="shared" si="14"/>
        <v>9.0898811379962252E-2</v>
      </c>
      <c r="Y170" s="1631">
        <f t="shared" si="14"/>
        <v>8.5839093601426164E-2</v>
      </c>
    </row>
    <row r="171" spans="1:25">
      <c r="B171" s="42" t="s">
        <v>644</v>
      </c>
      <c r="C171" s="1628"/>
      <c r="D171" s="1628"/>
      <c r="E171" s="1628"/>
      <c r="F171" s="1628"/>
      <c r="G171" s="1628"/>
      <c r="H171" s="1628"/>
      <c r="I171" s="1628"/>
      <c r="J171" s="1628"/>
      <c r="K171" s="1628"/>
      <c r="L171" s="1628"/>
      <c r="M171" s="1628"/>
      <c r="N171" s="1628">
        <f>+Rev!O685</f>
        <v>0.57843342036553524</v>
      </c>
      <c r="O171" s="1628">
        <f>+Rev!P685</f>
        <v>0.67643956043956044</v>
      </c>
      <c r="P171" s="1628">
        <f>+Rev!Q685</f>
        <v>0.87194525904203324</v>
      </c>
      <c r="Q171" s="1628">
        <f>+Rev!R685</f>
        <v>1.0430958663148637</v>
      </c>
      <c r="R171" s="1628">
        <f>+Rev!S685</f>
        <v>1.0222222222222221</v>
      </c>
      <c r="S171" s="1628">
        <f>+Rev!T685</f>
        <v>1.0562091503267974</v>
      </c>
      <c r="T171" s="1628">
        <f>+Rev!U685</f>
        <v>1.2610641471904525</v>
      </c>
      <c r="U171" s="1628">
        <f>+Rev!V685</f>
        <v>1.1029921259842519</v>
      </c>
      <c r="V171" s="1628">
        <f>+Rev!W685</f>
        <v>1.1235677372710662</v>
      </c>
      <c r="W171" s="1628">
        <f>+Rev!X685</f>
        <v>1.1601638443000726</v>
      </c>
      <c r="X171" s="1628">
        <f>+Rev!Y685</f>
        <v>1.1789929239567589</v>
      </c>
      <c r="Y171" s="1628">
        <f>+Rev!Z685</f>
        <v>1.2006027071528826</v>
      </c>
    </row>
    <row r="172" spans="1:25">
      <c r="B172" s="1630" t="s">
        <v>1322</v>
      </c>
      <c r="C172" s="1623"/>
      <c r="D172" s="1623"/>
      <c r="E172" s="1623"/>
      <c r="F172" s="1623"/>
      <c r="G172" s="1623"/>
      <c r="H172" s="1623"/>
      <c r="I172" s="1623"/>
      <c r="J172" s="1623"/>
      <c r="K172" s="1623"/>
      <c r="L172" s="1623"/>
      <c r="M172" s="1623"/>
      <c r="N172" s="1623"/>
      <c r="O172" s="1631"/>
      <c r="P172" s="1631">
        <f t="shared" ref="P172:Y172" si="15">+P171/O171-1</f>
        <v>0.28902168062942724</v>
      </c>
      <c r="Q172" s="1631">
        <f t="shared" si="15"/>
        <v>0.19628595430505102</v>
      </c>
      <c r="R172" s="1631">
        <f t="shared" si="15"/>
        <v>-2.0011242270938867E-2</v>
      </c>
      <c r="S172" s="1631">
        <f t="shared" si="15"/>
        <v>3.3248081841432242E-2</v>
      </c>
      <c r="T172" s="1631">
        <f t="shared" si="15"/>
        <v>0.19395306014937641</v>
      </c>
      <c r="U172" s="1631">
        <f t="shared" si="15"/>
        <v>-0.12534812091706204</v>
      </c>
      <c r="V172" s="1631">
        <f t="shared" si="15"/>
        <v>1.8654359176366375E-2</v>
      </c>
      <c r="W172" s="1631">
        <f t="shared" si="15"/>
        <v>3.2571340218340072E-2</v>
      </c>
      <c r="X172" s="1631">
        <f t="shared" si="15"/>
        <v>1.6229672859738198E-2</v>
      </c>
      <c r="Y172" s="1631">
        <f t="shared" si="15"/>
        <v>1.8329018569170241E-2</v>
      </c>
    </row>
    <row r="173" spans="1:25">
      <c r="B173" s="42" t="s">
        <v>51</v>
      </c>
      <c r="C173" s="1623"/>
      <c r="D173" s="1623"/>
      <c r="E173" s="1623"/>
      <c r="F173" s="1623"/>
      <c r="G173" s="1623"/>
      <c r="H173" s="1623"/>
      <c r="I173" s="1623"/>
      <c r="J173" s="1623"/>
      <c r="K173" s="1623">
        <f>Rev!L661</f>
        <v>1.4419999999999999</v>
      </c>
      <c r="L173" s="1623">
        <f>Rev!M661</f>
        <v>4.8730000000000002</v>
      </c>
      <c r="M173" s="1623">
        <f>Rev!N661</f>
        <v>6.9740000000000002</v>
      </c>
      <c r="N173" s="1623">
        <f>Rev!O661</f>
        <v>8.8610000000000007</v>
      </c>
      <c r="O173" s="1623">
        <f>Rev!P661</f>
        <v>13.061</v>
      </c>
      <c r="P173" s="1623">
        <f>Rev!Q661</f>
        <v>23.193000000000001</v>
      </c>
      <c r="Q173" s="1623">
        <f>Rev!R661</f>
        <v>36.941000000000003</v>
      </c>
      <c r="R173" s="1623">
        <f>Rev!S661</f>
        <v>50.342000000000006</v>
      </c>
      <c r="S173" s="1623">
        <f>Rev!T661</f>
        <v>58.49</v>
      </c>
      <c r="T173" s="1623">
        <f>Rev!U661</f>
        <v>85.869</v>
      </c>
      <c r="U173" s="1623">
        <f>Rev!V661</f>
        <v>104.89099999999999</v>
      </c>
      <c r="V173" s="1623">
        <f>Rev!W661</f>
        <v>134.85994413040979</v>
      </c>
      <c r="W173" s="1623">
        <f>Rev!X661</f>
        <v>151.43762693305027</v>
      </c>
      <c r="X173" s="1623">
        <f>Rev!Y661</f>
        <v>167.56283602846744</v>
      </c>
      <c r="Y173" s="1623">
        <f>Rev!Z661</f>
        <v>185.08703582572991</v>
      </c>
    </row>
    <row r="174" spans="1:25">
      <c r="B174" s="42" t="s">
        <v>1319</v>
      </c>
      <c r="C174" s="1623"/>
      <c r="D174" s="1623"/>
      <c r="E174" s="1623"/>
      <c r="F174" s="1623"/>
      <c r="G174" s="1623"/>
      <c r="H174" s="1623"/>
      <c r="I174" s="1623"/>
      <c r="J174" s="1623"/>
      <c r="K174" s="1623"/>
      <c r="L174" s="1623"/>
      <c r="M174" s="1623"/>
      <c r="N174" s="1623"/>
      <c r="O174" s="1623">
        <f>+Rev!P689</f>
        <v>70.726926159377911</v>
      </c>
      <c r="P174" s="1623">
        <f>+Rev!Q689</f>
        <v>86.670403587443957</v>
      </c>
      <c r="Q174" s="1623">
        <f>+Rev!R689</f>
        <v>103.82518268690278</v>
      </c>
      <c r="R174" s="1623">
        <f>+Rev!S689</f>
        <v>121.59903381642513</v>
      </c>
      <c r="S174" s="1623">
        <f>+Rev!T689</f>
        <v>120.64768976897689</v>
      </c>
      <c r="T174" s="1623">
        <f>+Rev!U689</f>
        <v>112.86671924290222</v>
      </c>
      <c r="U174" s="1623">
        <f>+Rev!V689</f>
        <v>99.83913953931085</v>
      </c>
      <c r="V174" s="1623">
        <f>+Rev!W689</f>
        <v>114.69325932139091</v>
      </c>
      <c r="W174" s="1623">
        <f>+Rev!X689</f>
        <v>116.41365821121177</v>
      </c>
      <c r="X174" s="1623">
        <f>+Rev!Y689</f>
        <v>118.15986308437994</v>
      </c>
      <c r="Y174" s="1623">
        <f>+Rev!Z689</f>
        <v>119.93226103064562</v>
      </c>
    </row>
    <row r="175" spans="1:25">
      <c r="B175" s="1630" t="s">
        <v>1322</v>
      </c>
      <c r="C175" s="1623"/>
      <c r="D175" s="1623"/>
      <c r="E175" s="1623"/>
      <c r="F175" s="1623"/>
      <c r="G175" s="1623"/>
      <c r="H175" s="1623"/>
      <c r="I175" s="1623"/>
      <c r="J175" s="1623"/>
      <c r="K175" s="1623"/>
      <c r="L175" s="1623"/>
      <c r="M175" s="1623"/>
      <c r="N175" s="1623"/>
      <c r="O175" s="1631"/>
      <c r="P175" s="1631">
        <f t="shared" ref="P175:Y175" si="16">+P174/O174-1</f>
        <v>0.22542302194978192</v>
      </c>
      <c r="Q175" s="1631">
        <f t="shared" si="16"/>
        <v>0.1979312243786997</v>
      </c>
      <c r="R175" s="1631">
        <f t="shared" si="16"/>
        <v>0.17119017438304462</v>
      </c>
      <c r="S175" s="1631">
        <f t="shared" si="16"/>
        <v>-7.823615185006072E-3</v>
      </c>
      <c r="T175" s="1631">
        <f t="shared" si="16"/>
        <v>-6.4493323833834881E-2</v>
      </c>
      <c r="U175" s="1631">
        <f t="shared" si="16"/>
        <v>-0.11542445630544562</v>
      </c>
      <c r="V175" s="1631">
        <f t="shared" si="16"/>
        <v>0.14878052686172616</v>
      </c>
      <c r="W175" s="1631">
        <f t="shared" si="16"/>
        <v>1.4999999999999902E-2</v>
      </c>
      <c r="X175" s="1631">
        <f t="shared" si="16"/>
        <v>1.4999999999999902E-2</v>
      </c>
      <c r="Y175" s="1631">
        <f t="shared" si="16"/>
        <v>1.4999999999999902E-2</v>
      </c>
    </row>
    <row r="176" spans="1:25">
      <c r="B176" s="42" t="s">
        <v>1536</v>
      </c>
      <c r="C176" s="42"/>
      <c r="D176" s="42"/>
      <c r="E176" s="42"/>
      <c r="F176" s="42"/>
      <c r="G176" s="42"/>
      <c r="H176" s="42"/>
      <c r="I176" s="42"/>
      <c r="J176" s="42"/>
      <c r="K176" s="1233"/>
      <c r="L176" s="1233"/>
      <c r="M176" s="1233"/>
      <c r="N176" s="1233">
        <f>N173/AVERAGE(M169:N169)*1000000/12*N171</f>
        <v>31.927409041330346</v>
      </c>
      <c r="O176" s="1233">
        <f t="shared" ref="O176:Y176" si="17">O173/AVERAGE(N169:O169)*1000000/12*O171</f>
        <v>47.842490842490839</v>
      </c>
      <c r="P176" s="1233">
        <f t="shared" si="17"/>
        <v>75.57184750733137</v>
      </c>
      <c r="Q176" s="1233">
        <f t="shared" si="17"/>
        <v>108.29961888009382</v>
      </c>
      <c r="R176" s="1233">
        <f t="shared" si="17"/>
        <v>124.30123456790122</v>
      </c>
      <c r="S176" s="1233">
        <f t="shared" si="17"/>
        <v>127.42919389978213</v>
      </c>
      <c r="T176" s="1233">
        <f t="shared" si="17"/>
        <v>142.33217304823469</v>
      </c>
      <c r="U176" s="1233">
        <f t="shared" si="17"/>
        <v>110.12178477690287</v>
      </c>
      <c r="V176" s="1233">
        <f t="shared" si="17"/>
        <v>128.86564585597878</v>
      </c>
      <c r="W176" s="1233">
        <f t="shared" si="17"/>
        <v>135.05891723935414</v>
      </c>
      <c r="X176" s="1233">
        <f t="shared" si="17"/>
        <v>139.30964247218341</v>
      </c>
      <c r="Y176" s="1233">
        <f t="shared" si="17"/>
        <v>143.99099726835931</v>
      </c>
    </row>
    <row r="177" spans="2:25">
      <c r="B177" s="1630" t="s">
        <v>1322</v>
      </c>
      <c r="C177" s="1623"/>
      <c r="D177" s="1623"/>
      <c r="E177" s="1623"/>
      <c r="F177" s="1623"/>
      <c r="G177" s="1623"/>
      <c r="H177" s="1623"/>
      <c r="I177" s="1623"/>
      <c r="J177" s="1623"/>
      <c r="K177" s="1623"/>
      <c r="L177" s="1623"/>
      <c r="M177" s="1623"/>
      <c r="N177" s="1623"/>
      <c r="O177" s="1631"/>
      <c r="P177" s="1631">
        <f t="shared" ref="P177:Y177" si="18">+P176/O176-1</f>
        <v>0.57959684323569904</v>
      </c>
      <c r="Q177" s="1631">
        <f t="shared" si="18"/>
        <v>0.43306829794769097</v>
      </c>
      <c r="R177" s="1631">
        <f t="shared" si="18"/>
        <v>0.14775320405812242</v>
      </c>
      <c r="S177" s="1631">
        <f t="shared" si="18"/>
        <v>2.5164346458459663E-2</v>
      </c>
      <c r="T177" s="1631">
        <f t="shared" si="18"/>
        <v>0.11695105879876433</v>
      </c>
      <c r="U177" s="1631">
        <f t="shared" si="18"/>
        <v>-0.22630433851674636</v>
      </c>
      <c r="V177" s="1631">
        <f t="shared" si="18"/>
        <v>0.17021029142461996</v>
      </c>
      <c r="W177" s="1631">
        <f t="shared" si="18"/>
        <v>4.8059910321615273E-2</v>
      </c>
      <c r="X177" s="1631">
        <f t="shared" si="18"/>
        <v>3.1473117952634411E-2</v>
      </c>
      <c r="Y177" s="1631">
        <f t="shared" si="18"/>
        <v>3.3603953847707535E-2</v>
      </c>
    </row>
    <row r="178" spans="2:25">
      <c r="B178" s="42" t="s">
        <v>1535</v>
      </c>
      <c r="C178" s="42"/>
      <c r="D178" s="42"/>
      <c r="E178" s="42"/>
      <c r="F178" s="42"/>
      <c r="G178" s="42"/>
      <c r="H178" s="42"/>
      <c r="I178" s="42"/>
      <c r="J178" s="42"/>
      <c r="K178" s="1233"/>
      <c r="L178" s="1233"/>
      <c r="M178" s="1233"/>
      <c r="N178" s="1233">
        <f t="shared" ref="N178:Y178" si="19">+N167-N176</f>
        <v>1090.3225909586697</v>
      </c>
      <c r="O178" s="1233">
        <f t="shared" si="19"/>
        <v>1143.6575091575091</v>
      </c>
      <c r="P178" s="1233">
        <f t="shared" si="19"/>
        <v>1234.9281524926687</v>
      </c>
      <c r="Q178" s="1233">
        <f t="shared" si="19"/>
        <v>1353.9503811199061</v>
      </c>
      <c r="R178" s="1233">
        <f t="shared" si="19"/>
        <v>1372.1987654320988</v>
      </c>
      <c r="S178" s="1233">
        <f t="shared" si="19"/>
        <v>1318.5708061002179</v>
      </c>
      <c r="T178" s="1233">
        <f t="shared" si="19"/>
        <v>1248.9178269517654</v>
      </c>
      <c r="U178" s="1233">
        <f t="shared" si="19"/>
        <v>1219.8782152230972</v>
      </c>
      <c r="V178" s="1233">
        <f t="shared" si="19"/>
        <v>1223.232946081521</v>
      </c>
      <c r="W178" s="1233">
        <f t="shared" si="19"/>
        <v>1223.8001676578331</v>
      </c>
      <c r="X178" s="1233">
        <f t="shared" si="19"/>
        <v>1225.664308307041</v>
      </c>
      <c r="Y178" s="1233">
        <f t="shared" si="19"/>
        <v>1226.5110980115212</v>
      </c>
    </row>
    <row r="179" spans="2:25">
      <c r="B179" s="1630" t="s">
        <v>1322</v>
      </c>
      <c r="C179" s="1623"/>
      <c r="D179" s="1623"/>
      <c r="E179" s="1623"/>
      <c r="F179" s="1623"/>
      <c r="G179" s="1623"/>
      <c r="H179" s="1623"/>
      <c r="I179" s="1623"/>
      <c r="J179" s="1623"/>
      <c r="K179" s="1623"/>
      <c r="L179" s="1623"/>
      <c r="M179" s="1623"/>
      <c r="N179" s="1623"/>
      <c r="O179" s="1631"/>
      <c r="P179" s="1631">
        <f t="shared" ref="P179:Y179" si="20">+P178/O178-1</f>
        <v>7.9805923193207784E-2</v>
      </c>
      <c r="Q179" s="1631">
        <f t="shared" si="20"/>
        <v>9.6379881199561535E-2</v>
      </c>
      <c r="R179" s="1631">
        <f t="shared" si="20"/>
        <v>1.3477882621591109E-2</v>
      </c>
      <c r="S179" s="1631">
        <f t="shared" si="20"/>
        <v>-3.9081772031032025E-2</v>
      </c>
      <c r="T179" s="1631">
        <f t="shared" si="20"/>
        <v>-5.2824602839840584E-2</v>
      </c>
      <c r="U179" s="1631">
        <f t="shared" si="20"/>
        <v>-2.3251819376736149E-2</v>
      </c>
      <c r="V179" s="1631">
        <f t="shared" si="20"/>
        <v>2.7500539123983536E-3</v>
      </c>
      <c r="W179" s="1631">
        <f t="shared" si="20"/>
        <v>4.6370691545627452E-4</v>
      </c>
      <c r="X179" s="1631">
        <f t="shared" si="20"/>
        <v>1.5232394131596827E-3</v>
      </c>
      <c r="Y179" s="1631">
        <f t="shared" si="20"/>
        <v>6.9088224136160115E-4</v>
      </c>
    </row>
    <row r="232" spans="1:25">
      <c r="A232" s="1225" t="s">
        <v>604</v>
      </c>
      <c r="B232" s="1195" t="s">
        <v>1320</v>
      </c>
      <c r="C232" s="42"/>
      <c r="D232" s="42"/>
      <c r="E232" s="42"/>
      <c r="F232" s="42"/>
      <c r="G232" s="42"/>
      <c r="H232" s="42"/>
      <c r="I232" s="42"/>
      <c r="J232" s="42"/>
      <c r="K232" s="42"/>
      <c r="L232" s="42"/>
      <c r="M232" s="42"/>
      <c r="N232" s="42"/>
      <c r="O232" s="42"/>
      <c r="P232" s="42"/>
      <c r="Q232" s="42"/>
      <c r="R232" s="42"/>
      <c r="S232" s="42"/>
      <c r="T232" s="42"/>
      <c r="U232" s="42"/>
      <c r="V232" s="42"/>
      <c r="W232" s="42"/>
      <c r="X232" s="42"/>
      <c r="Y232" s="42"/>
    </row>
    <row r="233" spans="1:25">
      <c r="B233" s="42" t="s">
        <v>161</v>
      </c>
      <c r="C233" s="1623"/>
      <c r="D233" s="1623"/>
      <c r="E233" s="1623"/>
      <c r="F233" s="1623"/>
      <c r="G233" s="1623"/>
      <c r="H233" s="1623"/>
      <c r="I233" s="1623"/>
      <c r="J233" s="1623"/>
      <c r="K233" s="1623"/>
      <c r="L233" s="1623"/>
      <c r="M233" s="1623"/>
      <c r="N233" s="1623">
        <f>+Rev!O471</f>
        <v>1656</v>
      </c>
      <c r="O233" s="1623">
        <f>+Rev!P471</f>
        <v>1850</v>
      </c>
      <c r="P233" s="1623">
        <f>+Rev!Q471</f>
        <v>1919.25</v>
      </c>
      <c r="Q233" s="1623">
        <f>+Rev!R471</f>
        <v>1902.5</v>
      </c>
      <c r="R233" s="1623">
        <f>+Rev!S471</f>
        <v>2056.5</v>
      </c>
      <c r="S233" s="1623">
        <f>+Rev!T471</f>
        <v>1907.5</v>
      </c>
      <c r="T233" s="1623">
        <f>+Rev!U471</f>
        <v>1952.5</v>
      </c>
      <c r="U233" s="1623">
        <f>+Rev!V471</f>
        <v>1984.5</v>
      </c>
      <c r="V233" s="1623">
        <f>+Rev!W471</f>
        <v>2042.3994672543749</v>
      </c>
      <c r="W233" s="1623">
        <f>+Rev!X471</f>
        <v>2073.0354592631902</v>
      </c>
      <c r="X233" s="1623">
        <f>+Rev!Y471</f>
        <v>2096.3571081799009</v>
      </c>
      <c r="Y233" s="1623">
        <f>+Rev!Z471</f>
        <v>2114.045121280169</v>
      </c>
    </row>
    <row r="234" spans="1:25">
      <c r="B234" s="1630" t="s">
        <v>1322</v>
      </c>
      <c r="C234" s="1623"/>
      <c r="D234" s="1623"/>
      <c r="E234" s="1623"/>
      <c r="F234" s="1623"/>
      <c r="G234" s="1623"/>
      <c r="H234" s="1623"/>
      <c r="I234" s="1623"/>
      <c r="J234" s="1623"/>
      <c r="K234" s="1623"/>
      <c r="L234" s="1623"/>
      <c r="M234" s="1623"/>
      <c r="N234" s="1623"/>
      <c r="O234" s="1631"/>
      <c r="P234" s="1631">
        <f t="shared" ref="P234:Y234" si="21">+P233/O233-1</f>
        <v>3.7432432432432439E-2</v>
      </c>
      <c r="Q234" s="1631">
        <f t="shared" si="21"/>
        <v>-8.7273674612479146E-3</v>
      </c>
      <c r="R234" s="1631">
        <f t="shared" si="21"/>
        <v>8.0946123521681956E-2</v>
      </c>
      <c r="S234" s="1631">
        <f t="shared" si="21"/>
        <v>-7.2453197179674245E-2</v>
      </c>
      <c r="T234" s="1631">
        <f t="shared" si="21"/>
        <v>2.3591087811271283E-2</v>
      </c>
      <c r="U234" s="1631">
        <f t="shared" si="21"/>
        <v>1.6389244558258742E-2</v>
      </c>
      <c r="V234" s="1631">
        <f t="shared" si="21"/>
        <v>2.9175846437074826E-2</v>
      </c>
      <c r="W234" s="1631">
        <f t="shared" si="21"/>
        <v>1.4999999999999902E-2</v>
      </c>
      <c r="X234" s="1631">
        <f t="shared" si="21"/>
        <v>1.1249999999999982E-2</v>
      </c>
      <c r="Y234" s="1631">
        <f t="shared" si="21"/>
        <v>8.4375000000000977E-3</v>
      </c>
    </row>
    <row r="235" spans="1:25">
      <c r="B235" s="42" t="s">
        <v>162</v>
      </c>
      <c r="C235" s="1627"/>
      <c r="D235" s="1627"/>
      <c r="E235" s="1627"/>
      <c r="F235" s="1627"/>
      <c r="G235" s="1627"/>
      <c r="H235" s="1627"/>
      <c r="I235" s="1627"/>
      <c r="J235" s="1627"/>
      <c r="K235" s="1627"/>
      <c r="L235" s="1627"/>
      <c r="M235" s="1627"/>
      <c r="N235" s="1627">
        <f>+Rev!O508</f>
        <v>15311</v>
      </c>
      <c r="O235" s="1627">
        <f>+Rev!P508</f>
        <v>18378</v>
      </c>
      <c r="P235" s="1627">
        <f>+Rev!Q508</f>
        <v>22400</v>
      </c>
      <c r="Q235" s="1627">
        <f>+Rev!R508</f>
        <v>25900</v>
      </c>
      <c r="R235" s="1627">
        <f>+Rev!S508</f>
        <v>26300</v>
      </c>
      <c r="S235" s="1627">
        <f>+Rev!T508</f>
        <v>33500</v>
      </c>
      <c r="T235" s="1627">
        <f>+Rev!U508</f>
        <v>41000</v>
      </c>
      <c r="U235" s="1627">
        <f>+Rev!V508</f>
        <v>46700</v>
      </c>
      <c r="V235" s="1627">
        <f>+Rev!W508</f>
        <v>52219.9408089793</v>
      </c>
      <c r="W235" s="1627">
        <f>+Rev!X508</f>
        <v>57666.147791752112</v>
      </c>
      <c r="X235" s="1627">
        <f>+Rev!Y508</f>
        <v>64111.202058806339</v>
      </c>
      <c r="Y235" s="1627">
        <f>+Rev!Z508</f>
        <v>70709.677488679619</v>
      </c>
    </row>
    <row r="236" spans="1:25">
      <c r="B236" s="1630" t="s">
        <v>1322</v>
      </c>
      <c r="C236" s="1623"/>
      <c r="D236" s="1623"/>
      <c r="E236" s="1623"/>
      <c r="F236" s="1623"/>
      <c r="G236" s="1623"/>
      <c r="H236" s="1623"/>
      <c r="I236" s="1623"/>
      <c r="J236" s="1623"/>
      <c r="K236" s="1623"/>
      <c r="L236" s="1623"/>
      <c r="M236" s="1623"/>
      <c r="N236" s="1623"/>
      <c r="O236" s="1631"/>
      <c r="P236" s="1631">
        <f t="shared" ref="P236:Y236" si="22">+P235/O235-1</f>
        <v>0.21884862335401012</v>
      </c>
      <c r="Q236" s="1631">
        <f t="shared" si="22"/>
        <v>0.15625</v>
      </c>
      <c r="R236" s="1631">
        <f t="shared" si="22"/>
        <v>1.5444015444015413E-2</v>
      </c>
      <c r="S236" s="1631">
        <f t="shared" si="22"/>
        <v>0.27376425855513298</v>
      </c>
      <c r="T236" s="1631">
        <f t="shared" si="22"/>
        <v>0.22388059701492535</v>
      </c>
      <c r="U236" s="1631">
        <f t="shared" si="22"/>
        <v>0.13902439024390234</v>
      </c>
      <c r="V236" s="1631">
        <f t="shared" si="22"/>
        <v>0.1182000173228972</v>
      </c>
      <c r="W236" s="1631">
        <f t="shared" si="22"/>
        <v>0.10429362612062421</v>
      </c>
      <c r="X236" s="1631">
        <f t="shared" si="22"/>
        <v>0.11176495246967155</v>
      </c>
      <c r="Y236" s="1631">
        <f t="shared" si="22"/>
        <v>0.10292234770174469</v>
      </c>
    </row>
    <row r="237" spans="1:25">
      <c r="B237" s="42" t="s">
        <v>644</v>
      </c>
      <c r="C237" s="1628"/>
      <c r="D237" s="1628"/>
      <c r="E237" s="1628"/>
      <c r="F237" s="1628"/>
      <c r="G237" s="1628"/>
      <c r="H237" s="1628"/>
      <c r="I237" s="1628"/>
      <c r="J237" s="1628"/>
      <c r="K237" s="1628"/>
      <c r="L237" s="1628"/>
      <c r="M237" s="1628"/>
      <c r="N237" s="1628">
        <f>+Rev!O515</f>
        <v>1.805359477124183</v>
      </c>
      <c r="O237" s="1628">
        <f>+Rev!P515</f>
        <v>1.821027027027027</v>
      </c>
      <c r="P237" s="1628">
        <f>+Rev!Q515</f>
        <v>1.6376706827309238</v>
      </c>
      <c r="Q237" s="1628">
        <f>+Rev!R515</f>
        <v>1.5631067961165048</v>
      </c>
      <c r="R237" s="1628">
        <f>+Rev!S515</f>
        <v>1.5174418604651163</v>
      </c>
      <c r="S237" s="1628">
        <f>+Rev!T515</f>
        <v>1.4656862745098038</v>
      </c>
      <c r="T237" s="1628">
        <f>+Rev!U515</f>
        <v>1.4354527938342967</v>
      </c>
      <c r="U237" s="1628">
        <f>+Rev!V515</f>
        <v>1.4077046548956662</v>
      </c>
      <c r="V237" s="1628">
        <f>+Rev!W515</f>
        <v>1.4060390038037032</v>
      </c>
      <c r="W237" s="1628">
        <f>+Rev!X515</f>
        <v>1.3965759679818437</v>
      </c>
      <c r="X237" s="1628">
        <f>+Rev!Y515</f>
        <v>1.3937938011915942</v>
      </c>
      <c r="Y237" s="1628">
        <f>+Rev!Z515</f>
        <v>1.3910530557090672</v>
      </c>
    </row>
    <row r="238" spans="1:25">
      <c r="B238" s="1630" t="s">
        <v>1322</v>
      </c>
      <c r="C238" s="1623"/>
      <c r="D238" s="1623"/>
      <c r="E238" s="1623"/>
      <c r="F238" s="1623"/>
      <c r="G238" s="1623"/>
      <c r="H238" s="1623"/>
      <c r="I238" s="1623"/>
      <c r="J238" s="1623"/>
      <c r="K238" s="1623"/>
      <c r="L238" s="1623"/>
      <c r="M238" s="1623"/>
      <c r="N238" s="1623"/>
      <c r="O238" s="1631"/>
      <c r="P238" s="1631">
        <f t="shared" ref="P238:Y238" si="23">+P237/O237-1</f>
        <v>-0.10068842558336277</v>
      </c>
      <c r="Q238" s="1631">
        <f t="shared" si="23"/>
        <v>-4.5530452123670351E-2</v>
      </c>
      <c r="R238" s="1631">
        <f t="shared" si="23"/>
        <v>-2.9214213491260965E-2</v>
      </c>
      <c r="S238" s="1631">
        <f t="shared" si="23"/>
        <v>-3.4107129441815154E-2</v>
      </c>
      <c r="T238" s="1631">
        <f t="shared" si="23"/>
        <v>-2.0627525276934677E-2</v>
      </c>
      <c r="U238" s="1631">
        <f t="shared" si="23"/>
        <v>-1.9330582696844623E-2</v>
      </c>
      <c r="V238" s="1631">
        <f t="shared" si="23"/>
        <v>-1.1832390311208307E-3</v>
      </c>
      <c r="W238" s="1631">
        <f t="shared" si="23"/>
        <v>-6.7302797406469939E-3</v>
      </c>
      <c r="X238" s="1631">
        <f t="shared" si="23"/>
        <v>-1.9921342297404276E-3</v>
      </c>
      <c r="Y238" s="1631">
        <f t="shared" si="23"/>
        <v>-1.9663923603218114E-3</v>
      </c>
    </row>
    <row r="239" spans="1:25">
      <c r="B239" s="42" t="s">
        <v>51</v>
      </c>
      <c r="C239" s="1623"/>
      <c r="D239" s="1623"/>
      <c r="E239" s="1623"/>
      <c r="F239" s="1623"/>
      <c r="G239" s="1623"/>
      <c r="H239" s="1623"/>
      <c r="I239" s="1623"/>
      <c r="J239" s="1623"/>
      <c r="K239" s="1623">
        <f>+Rev!L491</f>
        <v>3.4689999999999999</v>
      </c>
      <c r="L239" s="1623">
        <f>+Rev!M491</f>
        <v>7.1760000000000002</v>
      </c>
      <c r="M239" s="1623">
        <f>+Rev!N491</f>
        <v>10.905999999999999</v>
      </c>
      <c r="N239" s="1623">
        <f>+Rev!O491</f>
        <v>16.766999999999999</v>
      </c>
      <c r="O239" s="1623">
        <f>+Rev!P491</f>
        <v>24.326000000000001</v>
      </c>
      <c r="P239" s="1623">
        <f>+Rev!Q491</f>
        <v>32.754000000000005</v>
      </c>
      <c r="Q239" s="1623">
        <f>+Rev!R491</f>
        <v>40.626000000000005</v>
      </c>
      <c r="R239" s="1623">
        <f>+Rev!S491</f>
        <v>49.751000000000005</v>
      </c>
      <c r="S239" s="1623">
        <f>+Rev!T491</f>
        <v>62.061</v>
      </c>
      <c r="T239" s="1623">
        <f>+Rev!U491</f>
        <v>89.335999999999984</v>
      </c>
      <c r="U239" s="1623">
        <f>+Rev!V491</f>
        <v>107.01400000000001</v>
      </c>
      <c r="V239" s="1623">
        <f>+Rev!W491</f>
        <v>125.81789979382748</v>
      </c>
      <c r="W239" s="1623">
        <f>+Rev!X491</f>
        <v>142.56124201712447</v>
      </c>
      <c r="X239" s="1623">
        <f>+Rev!Y491</f>
        <v>161.14819514120572</v>
      </c>
      <c r="Y239" s="1623">
        <f>+Rev!Z491</f>
        <v>181.97689686752682</v>
      </c>
    </row>
    <row r="240" spans="1:25">
      <c r="B240" s="1630" t="s">
        <v>1322</v>
      </c>
      <c r="C240" s="1623"/>
      <c r="D240" s="1623"/>
      <c r="E240" s="1623"/>
      <c r="F240" s="1623"/>
      <c r="G240" s="1623"/>
      <c r="H240" s="1623"/>
      <c r="I240" s="1623"/>
      <c r="J240" s="1623"/>
      <c r="K240" s="1623"/>
      <c r="L240" s="1623"/>
      <c r="M240" s="1623"/>
      <c r="N240" s="1623"/>
      <c r="O240" s="1631"/>
      <c r="P240" s="1631">
        <f t="shared" ref="P240:Y240" si="24">+P239/O239-1</f>
        <v>0.34646057716024026</v>
      </c>
      <c r="Q240" s="1631">
        <f t="shared" si="24"/>
        <v>0.24033705806924344</v>
      </c>
      <c r="R240" s="1631">
        <f t="shared" si="24"/>
        <v>0.22460985575739678</v>
      </c>
      <c r="S240" s="1631">
        <f t="shared" si="24"/>
        <v>0.24743221241784075</v>
      </c>
      <c r="T240" s="1631">
        <f t="shared" si="24"/>
        <v>0.43948695638162438</v>
      </c>
      <c r="U240" s="1631">
        <f t="shared" si="24"/>
        <v>0.19788215277155929</v>
      </c>
      <c r="V240" s="1631">
        <f t="shared" si="24"/>
        <v>0.17571439058279736</v>
      </c>
      <c r="W240" s="1631">
        <f t="shared" si="24"/>
        <v>0.13307599515437474</v>
      </c>
      <c r="X240" s="1631">
        <f t="shared" si="24"/>
        <v>0.13037872609056378</v>
      </c>
      <c r="Y240" s="1631">
        <f t="shared" si="24"/>
        <v>0.12925184615359786</v>
      </c>
    </row>
    <row r="241" spans="2:25">
      <c r="B241" s="42" t="s">
        <v>1319</v>
      </c>
      <c r="C241" s="1623"/>
      <c r="D241" s="1623"/>
      <c r="E241" s="1623"/>
      <c r="F241" s="1623"/>
      <c r="G241" s="1623"/>
      <c r="H241" s="1623"/>
      <c r="I241" s="1623"/>
      <c r="J241" s="1623"/>
      <c r="K241" s="1623"/>
      <c r="L241" s="1623"/>
      <c r="M241" s="1623"/>
      <c r="N241" s="1623"/>
      <c r="O241" s="1623">
        <f>+Rev!P519</f>
        <v>120.34590914937614</v>
      </c>
      <c r="P241" s="1623">
        <f>+Rev!Q519</f>
        <v>133.87120506155281</v>
      </c>
      <c r="Q241" s="1623">
        <f>+Rev!R519</f>
        <v>140.18633540372673</v>
      </c>
      <c r="R241" s="1623">
        <f>+Rev!S519</f>
        <v>158.84738186462329</v>
      </c>
      <c r="S241" s="1623">
        <f>+Rev!T519</f>
        <v>172.96822742474919</v>
      </c>
      <c r="T241" s="1623">
        <f>+Rev!U519</f>
        <v>199.85682326621921</v>
      </c>
      <c r="U241" s="1623">
        <f>+Rev!V519</f>
        <v>203.37134169517296</v>
      </c>
      <c r="V241" s="1623">
        <f>+Rev!W519</f>
        <v>211.98607474029572</v>
      </c>
      <c r="W241" s="1623">
        <f>+Rev!X519</f>
        <v>216.22579623510163</v>
      </c>
      <c r="X241" s="1623">
        <f>+Rev!Y519</f>
        <v>220.55031215980367</v>
      </c>
      <c r="Y241" s="1623">
        <f>+Rev!Z519</f>
        <v>224.96131840299975</v>
      </c>
    </row>
    <row r="242" spans="2:25">
      <c r="B242" s="1630" t="s">
        <v>1322</v>
      </c>
      <c r="C242" s="1623"/>
      <c r="D242" s="1623"/>
      <c r="E242" s="1623"/>
      <c r="F242" s="1623"/>
      <c r="G242" s="1623"/>
      <c r="H242" s="1623"/>
      <c r="I242" s="1623"/>
      <c r="J242" s="1623"/>
      <c r="K242" s="1623"/>
      <c r="L242" s="1623"/>
      <c r="M242" s="1623"/>
      <c r="N242" s="1623"/>
      <c r="O242" s="1631"/>
      <c r="P242" s="1631">
        <f t="shared" ref="P242:Y242" si="25">+P241/O241-1</f>
        <v>0.11238683564547891</v>
      </c>
      <c r="Q242" s="1631">
        <f t="shared" si="25"/>
        <v>4.7173179170757917E-2</v>
      </c>
      <c r="R242" s="1631">
        <f t="shared" si="25"/>
        <v>0.13311601595943046</v>
      </c>
      <c r="S242" s="1631">
        <f t="shared" si="25"/>
        <v>8.8895677060389255E-2</v>
      </c>
      <c r="T242" s="1631">
        <f t="shared" si="25"/>
        <v>0.15545395961907538</v>
      </c>
      <c r="U242" s="1631">
        <f t="shared" si="25"/>
        <v>1.7585181088724866E-2</v>
      </c>
      <c r="V242" s="1631">
        <f t="shared" si="25"/>
        <v>4.2359621435920536E-2</v>
      </c>
      <c r="W242" s="1631">
        <f t="shared" si="25"/>
        <v>2.0000000000000018E-2</v>
      </c>
      <c r="X242" s="1631">
        <f t="shared" si="25"/>
        <v>2.0000000000000018E-2</v>
      </c>
      <c r="Y242" s="1631">
        <f t="shared" si="25"/>
        <v>2.0000000000000018E-2</v>
      </c>
    </row>
    <row r="243" spans="2:25">
      <c r="B243" s="42" t="s">
        <v>1536</v>
      </c>
      <c r="C243" s="42"/>
      <c r="D243" s="42"/>
      <c r="E243" s="42"/>
      <c r="F243" s="42"/>
      <c r="G243" s="42"/>
      <c r="H243" s="42"/>
      <c r="I243" s="42"/>
      <c r="J243" s="42"/>
      <c r="K243" s="1233"/>
      <c r="L243" s="1233"/>
      <c r="M243" s="1233"/>
      <c r="N243" s="1233">
        <f>N239/AVERAGE(M235:N235)*1000000/12*N237</f>
        <v>164.75334918762749</v>
      </c>
      <c r="O243" s="1233">
        <f t="shared" ref="O243:Y243" si="26">O239/AVERAGE(N235:O235)*1000000/12*O237</f>
        <v>219.15315315315314</v>
      </c>
      <c r="P243" s="1233">
        <f t="shared" si="26"/>
        <v>219.23694779116468</v>
      </c>
      <c r="Q243" s="1233">
        <f t="shared" si="26"/>
        <v>219.126213592233</v>
      </c>
      <c r="R243" s="1233">
        <f t="shared" si="26"/>
        <v>241.04166666666669</v>
      </c>
      <c r="S243" s="1233">
        <f t="shared" si="26"/>
        <v>253.51715686274503</v>
      </c>
      <c r="T243" s="1233">
        <f t="shared" si="26"/>
        <v>286.88503532434163</v>
      </c>
      <c r="U243" s="1233">
        <f t="shared" si="26"/>
        <v>286.28678437667207</v>
      </c>
      <c r="V243" s="1233">
        <f t="shared" si="26"/>
        <v>298.06068934810276</v>
      </c>
      <c r="W243" s="1233">
        <f t="shared" si="26"/>
        <v>301.97575067968205</v>
      </c>
      <c r="X243" s="1233">
        <f t="shared" si="26"/>
        <v>307.40165793920545</v>
      </c>
      <c r="Y243" s="1233">
        <f t="shared" si="26"/>
        <v>312.93312938083324</v>
      </c>
    </row>
    <row r="244" spans="2:25">
      <c r="B244" s="1630" t="s">
        <v>1322</v>
      </c>
      <c r="C244" s="1623"/>
      <c r="D244" s="1623"/>
      <c r="E244" s="1623"/>
      <c r="F244" s="1623"/>
      <c r="G244" s="1623"/>
      <c r="H244" s="1623"/>
      <c r="I244" s="1623"/>
      <c r="J244" s="1623"/>
      <c r="K244" s="1623"/>
      <c r="L244" s="1623"/>
      <c r="M244" s="1623"/>
      <c r="N244" s="1623"/>
      <c r="O244" s="1631"/>
      <c r="P244" s="1631">
        <f t="shared" ref="P244:Y244" si="27">+P243/O243-1</f>
        <v>3.8235652467655257E-4</v>
      </c>
      <c r="Q244" s="1631">
        <f t="shared" si="27"/>
        <v>-5.050891286680903E-4</v>
      </c>
      <c r="R244" s="1631">
        <f t="shared" si="27"/>
        <v>0.10001292275882445</v>
      </c>
      <c r="S244" s="1631">
        <f t="shared" si="27"/>
        <v>5.1756571254257588E-2</v>
      </c>
      <c r="T244" s="1631">
        <f t="shared" si="27"/>
        <v>0.13161980386069927</v>
      </c>
      <c r="U244" s="1631">
        <f t="shared" si="27"/>
        <v>-2.0853334053941852E-3</v>
      </c>
      <c r="V244" s="1631">
        <f t="shared" si="27"/>
        <v>4.1126260847373031E-2</v>
      </c>
      <c r="W244" s="1631">
        <f t="shared" si="27"/>
        <v>1.3135114664540426E-2</v>
      </c>
      <c r="X244" s="1631">
        <f t="shared" si="27"/>
        <v>1.7968023085664475E-2</v>
      </c>
      <c r="Y244" s="1631">
        <f t="shared" si="27"/>
        <v>1.7994279792471923E-2</v>
      </c>
    </row>
    <row r="245" spans="2:25">
      <c r="B245" s="42" t="s">
        <v>1535</v>
      </c>
      <c r="C245" s="42"/>
      <c r="D245" s="42"/>
      <c r="E245" s="42"/>
      <c r="F245" s="42"/>
      <c r="G245" s="42"/>
      <c r="H245" s="42"/>
      <c r="I245" s="42"/>
      <c r="J245" s="42"/>
      <c r="K245" s="1233"/>
      <c r="L245" s="1233"/>
      <c r="M245" s="1233"/>
      <c r="N245" s="1233">
        <f t="shared" ref="N245:Y245" si="28">+N233-N243</f>
        <v>1491.2466508123725</v>
      </c>
      <c r="O245" s="1233">
        <f t="shared" si="28"/>
        <v>1630.8468468468468</v>
      </c>
      <c r="P245" s="1233">
        <f t="shared" si="28"/>
        <v>1700.0130522088352</v>
      </c>
      <c r="Q245" s="1233">
        <f t="shared" si="28"/>
        <v>1683.3737864077671</v>
      </c>
      <c r="R245" s="1233">
        <f t="shared" si="28"/>
        <v>1815.4583333333333</v>
      </c>
      <c r="S245" s="1233">
        <f t="shared" si="28"/>
        <v>1653.982843137255</v>
      </c>
      <c r="T245" s="1233">
        <f t="shared" si="28"/>
        <v>1665.6149646756585</v>
      </c>
      <c r="U245" s="1233">
        <f t="shared" si="28"/>
        <v>1698.2132156233279</v>
      </c>
      <c r="V245" s="1233">
        <f t="shared" si="28"/>
        <v>1744.3387779062723</v>
      </c>
      <c r="W245" s="1233">
        <f t="shared" si="28"/>
        <v>1771.0597085835082</v>
      </c>
      <c r="X245" s="1233">
        <f t="shared" si="28"/>
        <v>1788.9554502406954</v>
      </c>
      <c r="Y245" s="1233">
        <f t="shared" si="28"/>
        <v>1801.1119918993359</v>
      </c>
    </row>
    <row r="246" spans="2:25">
      <c r="B246" s="1630" t="s">
        <v>1322</v>
      </c>
      <c r="C246" s="1623"/>
      <c r="D246" s="1623"/>
      <c r="E246" s="1623"/>
      <c r="F246" s="1623"/>
      <c r="G246" s="1623"/>
      <c r="H246" s="1623"/>
      <c r="I246" s="1623"/>
      <c r="J246" s="1623"/>
      <c r="K246" s="1623"/>
      <c r="L246" s="1623"/>
      <c r="M246" s="1623"/>
      <c r="N246" s="1623"/>
      <c r="O246" s="1631"/>
      <c r="P246" s="1631">
        <f t="shared" ref="P246:Y246" si="29">+P245/O245-1</f>
        <v>4.2411220585009346E-2</v>
      </c>
      <c r="Q246" s="1631">
        <f t="shared" si="29"/>
        <v>-9.78772826446761E-3</v>
      </c>
      <c r="R246" s="1631">
        <f t="shared" si="29"/>
        <v>7.846418186624371E-2</v>
      </c>
      <c r="S246" s="1631">
        <f t="shared" si="29"/>
        <v>-8.8944751433427727E-2</v>
      </c>
      <c r="T246" s="1631">
        <f t="shared" si="29"/>
        <v>7.0327945580981321E-3</v>
      </c>
      <c r="U246" s="1631">
        <f t="shared" si="29"/>
        <v>1.9571300474006792E-2</v>
      </c>
      <c r="V246" s="1631">
        <f t="shared" si="29"/>
        <v>2.7161231498256777E-2</v>
      </c>
      <c r="W246" s="1631">
        <f t="shared" si="29"/>
        <v>1.5318658861272816E-2</v>
      </c>
      <c r="X246" s="1631">
        <f t="shared" si="29"/>
        <v>1.0104538864756929E-2</v>
      </c>
      <c r="Y246" s="1631">
        <f t="shared" si="29"/>
        <v>6.7953294516109874E-3</v>
      </c>
    </row>
    <row r="300" spans="1:25">
      <c r="A300" s="1225" t="s">
        <v>604</v>
      </c>
      <c r="B300" s="1195" t="s">
        <v>1316</v>
      </c>
      <c r="C300" s="42"/>
      <c r="D300" s="42"/>
      <c r="E300" s="42"/>
      <c r="F300" s="42"/>
      <c r="G300" s="42"/>
      <c r="H300" s="42"/>
      <c r="I300" s="42"/>
      <c r="J300" s="42"/>
      <c r="K300" s="42"/>
      <c r="L300" s="42"/>
      <c r="M300" s="42"/>
      <c r="N300" s="42" t="str">
        <f t="shared" ref="N300:Y300" si="30">N3</f>
        <v>2010A</v>
      </c>
      <c r="O300" s="42">
        <f t="shared" si="30"/>
        <v>2011</v>
      </c>
      <c r="P300" s="42">
        <f t="shared" si="30"/>
        <v>2012</v>
      </c>
      <c r="Q300" s="42">
        <f t="shared" si="30"/>
        <v>2013</v>
      </c>
      <c r="R300" s="42">
        <f t="shared" si="30"/>
        <v>2014</v>
      </c>
      <c r="S300" s="42">
        <f t="shared" si="30"/>
        <v>2015</v>
      </c>
      <c r="T300" s="42">
        <f t="shared" si="30"/>
        <v>2016</v>
      </c>
      <c r="U300" s="42">
        <f t="shared" si="30"/>
        <v>2017</v>
      </c>
      <c r="V300" s="42" t="str">
        <f t="shared" si="30"/>
        <v>2018E</v>
      </c>
      <c r="W300" s="42" t="str">
        <f t="shared" si="30"/>
        <v>2019E</v>
      </c>
      <c r="X300" s="42" t="str">
        <f t="shared" si="30"/>
        <v>2020E</v>
      </c>
      <c r="Y300" s="42" t="str">
        <f t="shared" si="30"/>
        <v>2021E</v>
      </c>
    </row>
    <row r="301" spans="1:25">
      <c r="B301" s="42" t="s">
        <v>302</v>
      </c>
      <c r="C301" s="42"/>
      <c r="D301" s="42"/>
      <c r="E301" s="42"/>
      <c r="F301" s="42"/>
      <c r="G301" s="42"/>
      <c r="H301" s="42"/>
      <c r="I301" s="42"/>
      <c r="J301" s="42"/>
      <c r="K301" s="42"/>
      <c r="L301" s="1623"/>
      <c r="M301" s="1623"/>
      <c r="N301" s="1623">
        <f>Rev!O822</f>
        <v>1571.1707079753651</v>
      </c>
      <c r="O301" s="1623">
        <f>Rev!P822</f>
        <v>1824.9131817070188</v>
      </c>
      <c r="P301" s="1623">
        <f>Rev!Q822</f>
        <v>1939.8402417962002</v>
      </c>
      <c r="Q301" s="1623">
        <f>Rev!R822</f>
        <v>1996.8458990843562</v>
      </c>
      <c r="R301" s="1623">
        <f>Rev!S822</f>
        <v>2058.0616231575209</v>
      </c>
      <c r="S301" s="1623">
        <f>Rev!T822</f>
        <v>2016.9108180248079</v>
      </c>
      <c r="T301" s="1623">
        <f>Rev!U822</f>
        <v>1764.2401327923276</v>
      </c>
      <c r="U301" s="1623">
        <f>Rev!V822</f>
        <v>1778.4491725768321</v>
      </c>
      <c r="V301" s="1623">
        <f ca="1">Rev!W822</f>
        <v>1908.129632991875</v>
      </c>
      <c r="W301" s="1623">
        <f ca="1">Rev!X822</f>
        <v>1929.3535692499306</v>
      </c>
      <c r="X301" s="1623">
        <f ca="1">Rev!Y822</f>
        <v>1939.1172194349822</v>
      </c>
      <c r="Y301" s="1623">
        <f ca="1">Rev!Z822</f>
        <v>1945.2089936684372</v>
      </c>
    </row>
    <row r="302" spans="1:25">
      <c r="B302" s="1630" t="s">
        <v>1322</v>
      </c>
      <c r="C302" s="1623"/>
      <c r="D302" s="1623"/>
      <c r="E302" s="1623"/>
      <c r="F302" s="1623"/>
      <c r="G302" s="1623"/>
      <c r="H302" s="1623"/>
      <c r="I302" s="1623"/>
      <c r="J302" s="1623"/>
      <c r="K302" s="1623"/>
      <c r="L302" s="1623"/>
      <c r="M302" s="1623"/>
      <c r="N302" s="1623"/>
      <c r="O302" s="1631">
        <f t="shared" ref="O302:Y302" si="31">+O301/N301-1</f>
        <v>0.16149898444748256</v>
      </c>
      <c r="P302" s="1631">
        <f t="shared" si="31"/>
        <v>6.2976727463647908E-2</v>
      </c>
      <c r="Q302" s="1631">
        <f t="shared" si="31"/>
        <v>2.9386779416108677E-2</v>
      </c>
      <c r="R302" s="1631">
        <f t="shared" si="31"/>
        <v>3.0656208424112652E-2</v>
      </c>
      <c r="S302" s="1631">
        <f t="shared" si="31"/>
        <v>-1.9994933421662364E-2</v>
      </c>
      <c r="T302" s="1631">
        <f t="shared" si="31"/>
        <v>-0.12527608210259122</v>
      </c>
      <c r="U302" s="1631">
        <f t="shared" si="31"/>
        <v>8.0539148386877812E-3</v>
      </c>
      <c r="V302" s="1631">
        <f t="shared" ca="1" si="31"/>
        <v>7.2917720908012296E-2</v>
      </c>
      <c r="W302" s="1631">
        <f t="shared" ca="1" si="31"/>
        <v>1.1122900609628505E-2</v>
      </c>
      <c r="X302" s="1631">
        <f t="shared" ca="1" si="31"/>
        <v>5.0605810882280444E-3</v>
      </c>
      <c r="Y302" s="1631">
        <f t="shared" ca="1" si="31"/>
        <v>3.1415193328179214E-3</v>
      </c>
    </row>
    <row r="303" spans="1:25">
      <c r="B303" s="42" t="s">
        <v>162</v>
      </c>
      <c r="C303" s="42"/>
      <c r="D303" s="42"/>
      <c r="E303" s="42"/>
      <c r="F303" s="42"/>
      <c r="G303" s="42"/>
      <c r="H303" s="42"/>
      <c r="I303" s="42"/>
      <c r="J303" s="42"/>
      <c r="K303" s="42"/>
      <c r="L303" s="1627"/>
      <c r="M303" s="1627"/>
      <c r="N303" s="1627">
        <f>Rev!O825</f>
        <v>83489</v>
      </c>
      <c r="O303" s="1627">
        <f>Rev!P825</f>
        <v>94578</v>
      </c>
      <c r="P303" s="1627">
        <f>Rev!Q825</f>
        <v>114100</v>
      </c>
      <c r="Q303" s="1627">
        <f>Rev!R825</f>
        <v>128300</v>
      </c>
      <c r="R303" s="1627">
        <f>Rev!S825</f>
        <v>145100</v>
      </c>
      <c r="S303" s="1627">
        <f>Rev!T825</f>
        <v>171200</v>
      </c>
      <c r="T303" s="1627">
        <f>Rev!U825</f>
        <v>230200</v>
      </c>
      <c r="U303" s="1627">
        <f>Rev!V825</f>
        <v>277800</v>
      </c>
      <c r="V303" s="1627">
        <f>Rev!W825</f>
        <v>306741.07748365501</v>
      </c>
      <c r="W303" s="1627">
        <f>Rev!X825</f>
        <v>335593.75660593604</v>
      </c>
      <c r="X303" s="1627">
        <f>Rev!Y825</f>
        <v>362046.21469874278</v>
      </c>
      <c r="Y303" s="1627">
        <f>Rev!Z825</f>
        <v>388659.12052558776</v>
      </c>
    </row>
    <row r="304" spans="1:25">
      <c r="B304" s="1630" t="s">
        <v>1322</v>
      </c>
      <c r="C304" s="1623"/>
      <c r="D304" s="1623"/>
      <c r="E304" s="1623"/>
      <c r="F304" s="1623"/>
      <c r="G304" s="1623"/>
      <c r="H304" s="1623"/>
      <c r="I304" s="1623"/>
      <c r="J304" s="1623"/>
      <c r="K304" s="1623"/>
      <c r="L304" s="1623"/>
      <c r="M304" s="1623"/>
      <c r="N304" s="1623"/>
      <c r="O304" s="1631"/>
      <c r="P304" s="1631">
        <f t="shared" ref="P304:Y304" si="32">+P303/O303-1</f>
        <v>0.20641163907039695</v>
      </c>
      <c r="Q304" s="1631">
        <f t="shared" si="32"/>
        <v>0.12445223488168278</v>
      </c>
      <c r="R304" s="1631">
        <f t="shared" si="32"/>
        <v>0.13094310210444271</v>
      </c>
      <c r="S304" s="1631">
        <f t="shared" si="32"/>
        <v>0.1798759476223295</v>
      </c>
      <c r="T304" s="1631">
        <f t="shared" si="32"/>
        <v>0.34462616822429903</v>
      </c>
      <c r="U304" s="1631">
        <f t="shared" si="32"/>
        <v>0.20677671589921798</v>
      </c>
      <c r="V304" s="1631">
        <f t="shared" si="32"/>
        <v>0.10417954457759193</v>
      </c>
      <c r="W304" s="1631">
        <f t="shared" si="32"/>
        <v>9.4061999647955474E-2</v>
      </c>
      <c r="X304" s="1631">
        <f t="shared" si="32"/>
        <v>7.8822855229300215E-2</v>
      </c>
      <c r="Y304" s="1631">
        <f t="shared" si="32"/>
        <v>7.350693018290344E-2</v>
      </c>
    </row>
    <row r="305" spans="2:25">
      <c r="B305" s="42" t="s">
        <v>644</v>
      </c>
      <c r="C305" s="42"/>
      <c r="D305" s="42"/>
      <c r="E305" s="42"/>
      <c r="F305" s="42"/>
      <c r="G305" s="42"/>
      <c r="H305" s="42"/>
      <c r="I305" s="42"/>
      <c r="J305" s="42"/>
      <c r="K305" s="42"/>
      <c r="L305" s="1628"/>
      <c r="M305" s="1628"/>
      <c r="N305" s="1628">
        <f>Rev!O826</f>
        <v>0.8672173018874183</v>
      </c>
      <c r="O305" s="1628">
        <f>Rev!P826</f>
        <v>1.3064343360234776</v>
      </c>
      <c r="P305" s="1628">
        <f>Rev!Q826</f>
        <v>1.3515414507772021</v>
      </c>
      <c r="Q305" s="1628">
        <f>Rev!R826</f>
        <v>1.4167153711279954</v>
      </c>
      <c r="R305" s="1628">
        <f>Rev!S826</f>
        <v>1.4565796483750666</v>
      </c>
      <c r="S305" s="1628">
        <f>Rev!T826</f>
        <v>1.4898728214790391</v>
      </c>
      <c r="T305" s="1628">
        <f>Rev!U826</f>
        <v>1.4806344522316488</v>
      </c>
      <c r="U305" s="1628">
        <f>Rev!V826</f>
        <v>1.4411347517730497</v>
      </c>
      <c r="V305" s="1628">
        <f>Rev!W826</f>
        <v>1.4362133057683006</v>
      </c>
      <c r="W305" s="1628">
        <f>Rev!X826</f>
        <v>1.4530178819795565</v>
      </c>
      <c r="X305" s="1628">
        <f>Rev!Y826</f>
        <v>1.4623490461442661</v>
      </c>
      <c r="Y305" s="1628">
        <f>Rev!Z826</f>
        <v>1.4703704157862068</v>
      </c>
    </row>
    <row r="306" spans="2:25">
      <c r="B306" s="1630" t="s">
        <v>1322</v>
      </c>
      <c r="C306" s="1623"/>
      <c r="D306" s="1623"/>
      <c r="E306" s="1623"/>
      <c r="F306" s="1623"/>
      <c r="G306" s="1623"/>
      <c r="H306" s="1623"/>
      <c r="I306" s="1623"/>
      <c r="J306" s="1623"/>
      <c r="K306" s="1623"/>
      <c r="L306" s="1623"/>
      <c r="M306" s="1623"/>
      <c r="N306" s="1623"/>
      <c r="O306" s="1631"/>
      <c r="P306" s="1631">
        <f t="shared" ref="P306:Y306" si="33">+P305/O305-1</f>
        <v>3.4526890108401043E-2</v>
      </c>
      <c r="Q306" s="1631">
        <f t="shared" si="33"/>
        <v>4.8221917510051338E-2</v>
      </c>
      <c r="R306" s="1631">
        <f t="shared" si="33"/>
        <v>2.8138522429760338E-2</v>
      </c>
      <c r="S306" s="1631">
        <f t="shared" si="33"/>
        <v>2.2857090678916059E-2</v>
      </c>
      <c r="T306" s="1631">
        <f t="shared" si="33"/>
        <v>-6.2007770825828201E-3</v>
      </c>
      <c r="U306" s="1631">
        <f t="shared" si="33"/>
        <v>-2.6677550558859564E-2</v>
      </c>
      <c r="V306" s="1631">
        <f t="shared" si="33"/>
        <v>-3.4149797572323726E-3</v>
      </c>
      <c r="W306" s="1631">
        <f t="shared" si="33"/>
        <v>1.1700613094004275E-2</v>
      </c>
      <c r="X306" s="1631">
        <f t="shared" si="33"/>
        <v>6.4219197027342023E-3</v>
      </c>
      <c r="Y306" s="1631">
        <f t="shared" si="33"/>
        <v>5.4852633597226585E-3</v>
      </c>
    </row>
    <row r="307" spans="2:25">
      <c r="B307" s="42" t="s">
        <v>51</v>
      </c>
      <c r="C307" s="42"/>
      <c r="D307" s="42"/>
      <c r="E307" s="42"/>
      <c r="F307" s="42"/>
      <c r="G307" s="42"/>
      <c r="H307" s="42"/>
      <c r="I307" s="42"/>
      <c r="J307" s="42"/>
      <c r="K307" s="42"/>
      <c r="L307" s="1623"/>
      <c r="M307" s="1623"/>
      <c r="N307" s="1623">
        <f>Rev!O9</f>
        <v>166.24039568911962</v>
      </c>
      <c r="O307" s="1623">
        <f>Rev!P9</f>
        <v>227.8346072884718</v>
      </c>
      <c r="P307" s="1623">
        <f>Rev!Q9</f>
        <v>272.10300000000001</v>
      </c>
      <c r="Q307" s="1623">
        <f>Rev!R9</f>
        <v>319.863</v>
      </c>
      <c r="R307" s="1623">
        <f>Rev!S9</f>
        <v>372.35</v>
      </c>
      <c r="S307" s="1623">
        <f>Rev!T9</f>
        <v>435.80900000000008</v>
      </c>
      <c r="T307" s="1623">
        <f>Rev!U9</f>
        <v>544.26300000000003</v>
      </c>
      <c r="U307" s="1623">
        <f>Rev!V9</f>
        <v>681.173</v>
      </c>
      <c r="V307" s="1623">
        <f>Rev!W9</f>
        <v>849.1210918021153</v>
      </c>
      <c r="W307" s="1623">
        <f>Rev!X9</f>
        <v>941.65484614531488</v>
      </c>
      <c r="X307" s="1623">
        <f>Rev!Y9</f>
        <v>1032.3182433774814</v>
      </c>
      <c r="Y307" s="1623">
        <f>Rev!Z9</f>
        <v>1117.8153362103321</v>
      </c>
    </row>
    <row r="308" spans="2:25">
      <c r="B308" s="42" t="s">
        <v>1319</v>
      </c>
      <c r="C308" s="42"/>
      <c r="D308" s="42"/>
      <c r="E308" s="42"/>
      <c r="F308" s="42"/>
      <c r="G308" s="42"/>
      <c r="H308" s="42"/>
      <c r="I308" s="42"/>
      <c r="J308" s="42"/>
      <c r="K308" s="42"/>
      <c r="L308" s="1623"/>
      <c r="M308" s="1623"/>
      <c r="N308" s="1623"/>
      <c r="O308" s="1633">
        <f>+O307/12/AVERAGE(N303:O303)*1000000</f>
        <v>213.24801646615393</v>
      </c>
      <c r="P308" s="1633">
        <f t="shared" ref="P308:Y308" si="34">+P307/12/AVERAGE(O303:P303)*1000000</f>
        <v>217.32286105866459</v>
      </c>
      <c r="Q308" s="1633">
        <f t="shared" si="34"/>
        <v>219.92780528052805</v>
      </c>
      <c r="R308" s="1633">
        <f t="shared" si="34"/>
        <v>226.98732016581323</v>
      </c>
      <c r="S308" s="1633">
        <f t="shared" si="34"/>
        <v>229.63905574876176</v>
      </c>
      <c r="T308" s="1633">
        <f t="shared" si="34"/>
        <v>225.98530144494273</v>
      </c>
      <c r="U308" s="1633">
        <f t="shared" si="34"/>
        <v>223.48195538057746</v>
      </c>
      <c r="V308" s="1633">
        <f t="shared" si="34"/>
        <v>242.10476802800304</v>
      </c>
      <c r="W308" s="1633">
        <f t="shared" si="34"/>
        <v>244.33125221987041</v>
      </c>
      <c r="X308" s="1633">
        <f t="shared" si="34"/>
        <v>246.62153494610075</v>
      </c>
      <c r="Y308" s="1633">
        <f t="shared" si="34"/>
        <v>248.17001730696802</v>
      </c>
    </row>
    <row r="309" spans="2:25">
      <c r="B309" s="1630" t="s">
        <v>1322</v>
      </c>
      <c r="C309" s="1623"/>
      <c r="D309" s="1623"/>
      <c r="E309" s="1623"/>
      <c r="F309" s="1623"/>
      <c r="G309" s="1623"/>
      <c r="H309" s="1623"/>
      <c r="I309" s="1623"/>
      <c r="J309" s="1623"/>
      <c r="K309" s="1623"/>
      <c r="L309" s="1623"/>
      <c r="M309" s="1623"/>
      <c r="N309" s="1623"/>
      <c r="O309" s="1631"/>
      <c r="P309" s="1631">
        <f t="shared" ref="P309:Y309" si="35">+P308/O308-1</f>
        <v>1.9108475942881231E-2</v>
      </c>
      <c r="Q309" s="1631">
        <f t="shared" si="35"/>
        <v>1.1986517245234918E-2</v>
      </c>
      <c r="R309" s="1631">
        <f t="shared" si="35"/>
        <v>3.2099237639735767E-2</v>
      </c>
      <c r="S309" s="1631">
        <f t="shared" si="35"/>
        <v>1.1682307104253553E-2</v>
      </c>
      <c r="T309" s="1631">
        <f t="shared" si="35"/>
        <v>-1.5910857549494728E-2</v>
      </c>
      <c r="U309" s="1631">
        <f t="shared" si="35"/>
        <v>-1.107747295226269E-2</v>
      </c>
      <c r="V309" s="1631">
        <f t="shared" si="35"/>
        <v>8.3330274319964426E-2</v>
      </c>
      <c r="W309" s="1631">
        <f t="shared" si="35"/>
        <v>9.1963665565224506E-3</v>
      </c>
      <c r="X309" s="1631">
        <f t="shared" si="35"/>
        <v>9.373678992850909E-3</v>
      </c>
      <c r="Y309" s="1631">
        <f t="shared" si="35"/>
        <v>6.2787799986958603E-3</v>
      </c>
    </row>
    <row r="310" spans="2:25">
      <c r="B310" s="42" t="s">
        <v>1536</v>
      </c>
      <c r="C310" s="42"/>
      <c r="D310" s="42"/>
      <c r="E310" s="42"/>
      <c r="F310" s="42"/>
      <c r="G310" s="42"/>
      <c r="H310" s="42"/>
      <c r="I310" s="42"/>
      <c r="J310" s="42"/>
      <c r="K310" s="42"/>
      <c r="L310" s="1233"/>
      <c r="M310" s="1233"/>
      <c r="N310" s="1233">
        <f>N307/AVERAGE(M303:N303)*1000000/12*N305</f>
        <v>143.89774642389528</v>
      </c>
      <c r="O310" s="1633">
        <f t="shared" ref="O310:Y310" si="36">O307/AVERAGE(N303:O303)*1000000/12*O305</f>
        <v>278.59453080028339</v>
      </c>
      <c r="P310" s="1633">
        <f t="shared" si="36"/>
        <v>293.72085492227984</v>
      </c>
      <c r="Q310" s="1633">
        <f t="shared" si="36"/>
        <v>311.57510227936882</v>
      </c>
      <c r="R310" s="1633">
        <f t="shared" si="36"/>
        <v>330.62511099271887</v>
      </c>
      <c r="S310" s="1633">
        <f t="shared" si="36"/>
        <v>342.13298791019002</v>
      </c>
      <c r="T310" s="1633">
        <f t="shared" si="36"/>
        <v>334.60162301733675</v>
      </c>
      <c r="U310" s="1633">
        <f>U307/AVERAGE(T303:U303)*1000000/12*U305</f>
        <v>322.06761229314424</v>
      </c>
      <c r="V310" s="1633">
        <f t="shared" si="36"/>
        <v>347.7140892317658</v>
      </c>
      <c r="W310" s="1633">
        <f t="shared" si="36"/>
        <v>355.01767860192894</v>
      </c>
      <c r="X310" s="1633">
        <f t="shared" si="36"/>
        <v>360.64676638706516</v>
      </c>
      <c r="Y310" s="1633">
        <f t="shared" si="36"/>
        <v>364.90185153331669</v>
      </c>
    </row>
    <row r="311" spans="2:25">
      <c r="B311" s="1630" t="s">
        <v>1322</v>
      </c>
      <c r="C311" s="1623"/>
      <c r="D311" s="1623"/>
      <c r="E311" s="1623"/>
      <c r="F311" s="1623"/>
      <c r="G311" s="1623"/>
      <c r="H311" s="1623"/>
      <c r="I311" s="1623"/>
      <c r="J311" s="1623"/>
      <c r="K311" s="1623"/>
      <c r="L311" s="1623"/>
      <c r="M311" s="1623"/>
      <c r="N311" s="1623"/>
      <c r="O311" s="1631"/>
      <c r="P311" s="1631">
        <f t="shared" ref="P311:Y311" si="37">+P310/O310-1</f>
        <v>5.4295122300301202E-2</v>
      </c>
      <c r="Q311" s="1631">
        <f t="shared" si="37"/>
        <v>6.0786447601118843E-2</v>
      </c>
      <c r="R311" s="1631">
        <f t="shared" si="37"/>
        <v>6.1140985187799757E-2</v>
      </c>
      <c r="S311" s="1631">
        <f t="shared" si="37"/>
        <v>3.4806421335990434E-2</v>
      </c>
      <c r="T311" s="1631">
        <f t="shared" si="37"/>
        <v>-2.2012974951220565E-2</v>
      </c>
      <c r="U311" s="1631">
        <f t="shared" si="37"/>
        <v>-3.7459503666373739E-2</v>
      </c>
      <c r="V311" s="1631">
        <f t="shared" si="37"/>
        <v>7.9630723362764888E-2</v>
      </c>
      <c r="W311" s="1631">
        <f t="shared" si="37"/>
        <v>2.1004582777475633E-2</v>
      </c>
      <c r="X311" s="1631">
        <f t="shared" si="37"/>
        <v>1.5855795709396103E-2</v>
      </c>
      <c r="Y311" s="1631">
        <f t="shared" si="37"/>
        <v>1.1798484120289388E-2</v>
      </c>
    </row>
    <row r="312" spans="2:25">
      <c r="B312" s="1630" t="s">
        <v>1318</v>
      </c>
      <c r="C312" s="42"/>
      <c r="D312" s="42"/>
      <c r="E312" s="42"/>
      <c r="F312" s="42"/>
      <c r="G312" s="42"/>
      <c r="H312" s="42"/>
      <c r="I312" s="42"/>
      <c r="J312" s="42"/>
      <c r="K312" s="42"/>
      <c r="L312" s="1631"/>
      <c r="M312" s="1631"/>
      <c r="N312" s="1631">
        <f t="shared" ref="N312:Y312" si="38">+N310/N301</f>
        <v>9.1586322029465622E-2</v>
      </c>
      <c r="O312" s="1631">
        <f t="shared" si="38"/>
        <v>0.15266179980117567</v>
      </c>
      <c r="P312" s="1631">
        <f t="shared" si="38"/>
        <v>0.15141497149801791</v>
      </c>
      <c r="Q312" s="1631">
        <f t="shared" si="38"/>
        <v>0.15603362403790899</v>
      </c>
      <c r="R312" s="1631">
        <f t="shared" si="38"/>
        <v>0.16064879072253774</v>
      </c>
      <c r="S312" s="1631">
        <f t="shared" si="38"/>
        <v>0.16963218445386999</v>
      </c>
      <c r="T312" s="1631">
        <f t="shared" si="38"/>
        <v>0.18965764172236038</v>
      </c>
      <c r="U312" s="1631">
        <f t="shared" si="38"/>
        <v>0.18109463979029197</v>
      </c>
      <c r="V312" s="1631">
        <f t="shared" ca="1" si="38"/>
        <v>0.18222770781383615</v>
      </c>
      <c r="W312" s="1631">
        <f t="shared" ca="1" si="38"/>
        <v>0.18400861524823994</v>
      </c>
      <c r="X312" s="1631">
        <f t="shared" ca="1" si="38"/>
        <v>0.18598502595534169</v>
      </c>
      <c r="Y312" s="1631">
        <f t="shared" ca="1" si="38"/>
        <v>0.18759004956333991</v>
      </c>
    </row>
    <row r="313" spans="2:25">
      <c r="B313" s="42" t="s">
        <v>1535</v>
      </c>
      <c r="C313" s="42"/>
      <c r="D313" s="42"/>
      <c r="E313" s="42"/>
      <c r="F313" s="42"/>
      <c r="G313" s="42"/>
      <c r="H313" s="42"/>
      <c r="I313" s="42"/>
      <c r="J313" s="42"/>
      <c r="K313" s="42"/>
      <c r="L313" s="1233"/>
      <c r="M313" s="1233"/>
      <c r="N313" s="1233">
        <f t="shared" ref="N313:Y313" si="39">+N301-N310</f>
        <v>1427.2729615514697</v>
      </c>
      <c r="O313" s="1233">
        <f t="shared" si="39"/>
        <v>1546.3186509067355</v>
      </c>
      <c r="P313" s="1233">
        <f t="shared" si="39"/>
        <v>1646.1193868739203</v>
      </c>
      <c r="Q313" s="1233">
        <f t="shared" si="39"/>
        <v>1685.2707968049874</v>
      </c>
      <c r="R313" s="1233">
        <f t="shared" si="39"/>
        <v>1727.436512164802</v>
      </c>
      <c r="S313" s="1233">
        <f t="shared" si="39"/>
        <v>1674.7778301146179</v>
      </c>
      <c r="T313" s="1233">
        <f t="shared" si="39"/>
        <v>1429.6385097749908</v>
      </c>
      <c r="U313" s="1233">
        <f t="shared" si="39"/>
        <v>1456.3815602836878</v>
      </c>
      <c r="V313" s="1233">
        <f t="shared" ca="1" si="39"/>
        <v>1560.4155437601094</v>
      </c>
      <c r="W313" s="1233">
        <f t="shared" ca="1" si="39"/>
        <v>1574.3358906480016</v>
      </c>
      <c r="X313" s="1233">
        <f t="shared" ca="1" si="39"/>
        <v>1578.4704530479171</v>
      </c>
      <c r="Y313" s="1233">
        <f t="shared" ca="1" si="39"/>
        <v>1580.3071421351206</v>
      </c>
    </row>
    <row r="314" spans="2:25">
      <c r="B314" s="1630" t="s">
        <v>1322</v>
      </c>
      <c r="C314" s="1623"/>
      <c r="D314" s="1623"/>
      <c r="E314" s="1623"/>
      <c r="F314" s="1623"/>
      <c r="G314" s="1623"/>
      <c r="H314" s="1623"/>
      <c r="I314" s="1623"/>
      <c r="J314" s="1623"/>
      <c r="K314" s="1623"/>
      <c r="L314" s="1623"/>
      <c r="M314" s="1623"/>
      <c r="N314" s="1623"/>
      <c r="O314" s="1631"/>
      <c r="P314" s="1631">
        <f t="shared" ref="P314:Y314" si="40">+P313/O313-1</f>
        <v>6.4540860261022681E-2</v>
      </c>
      <c r="Q314" s="1631">
        <f t="shared" si="40"/>
        <v>2.3784064657313753E-2</v>
      </c>
      <c r="R314" s="1631">
        <f t="shared" si="40"/>
        <v>2.5020142424442504E-2</v>
      </c>
      <c r="S314" s="1631">
        <f t="shared" si="40"/>
        <v>-3.0483714845295773E-2</v>
      </c>
      <c r="T314" s="1631">
        <f t="shared" si="40"/>
        <v>-0.14637124753606889</v>
      </c>
      <c r="U314" s="1631">
        <f t="shared" si="40"/>
        <v>1.8706162659892334E-2</v>
      </c>
      <c r="V314" s="1631">
        <f t="shared" ca="1" si="40"/>
        <v>7.1433191900724724E-2</v>
      </c>
      <c r="W314" s="1631">
        <f t="shared" ca="1" si="40"/>
        <v>8.9209229833411285E-3</v>
      </c>
      <c r="X314" s="1631">
        <f t="shared" ca="1" si="40"/>
        <v>2.6262263500920202E-3</v>
      </c>
      <c r="Y314" s="1631">
        <f t="shared" ca="1" si="40"/>
        <v>1.1635878794291621E-3</v>
      </c>
    </row>
    <row r="368" spans="1:25">
      <c r="A368" s="1225" t="s">
        <v>604</v>
      </c>
      <c r="B368" s="42" t="s">
        <v>735</v>
      </c>
      <c r="C368" s="42"/>
      <c r="D368" s="42"/>
      <c r="E368" s="42"/>
      <c r="F368" s="42"/>
      <c r="G368" s="42"/>
      <c r="H368" s="42"/>
      <c r="I368" s="42"/>
      <c r="J368" s="42"/>
      <c r="K368" s="42"/>
      <c r="L368" s="42"/>
      <c r="M368" s="42"/>
      <c r="N368" s="42"/>
      <c r="O368" s="1629">
        <f>Rev!P813</f>
        <v>8.199999999999999E-2</v>
      </c>
      <c r="P368" s="1629">
        <f>Rev!Q813</f>
        <v>0.115</v>
      </c>
      <c r="Q368" s="1629">
        <f>Rev!R813</f>
        <v>0.10899999999999999</v>
      </c>
      <c r="R368" s="1629">
        <f>Rev!S813</f>
        <v>9.1000000000000011E-2</v>
      </c>
      <c r="S368" s="1629">
        <f>Rev!T813</f>
        <v>8.0999999999999989E-2</v>
      </c>
      <c r="T368" s="1629">
        <f>Rev!U813</f>
        <v>8.3999999999999991E-2</v>
      </c>
      <c r="U368" s="1629">
        <f>Rev!V813</f>
        <v>9.7000000000000003E-2</v>
      </c>
      <c r="V368" s="1629">
        <f>Rev!W813</f>
        <v>8.7999999999999995E-2</v>
      </c>
      <c r="W368" s="1629">
        <f>Rev!X813</f>
        <v>0.08</v>
      </c>
      <c r="X368" s="1629">
        <f>Rev!Y813</f>
        <v>0.08</v>
      </c>
      <c r="Y368" s="1629">
        <f>Rev!Z813</f>
        <v>0.08</v>
      </c>
    </row>
    <row r="386" spans="1:25">
      <c r="A386" s="1225" t="s">
        <v>604</v>
      </c>
      <c r="B386" s="42" t="s">
        <v>1443</v>
      </c>
      <c r="C386" s="42"/>
      <c r="D386" s="42"/>
      <c r="E386" s="42"/>
      <c r="F386" s="42"/>
      <c r="G386" s="42"/>
      <c r="H386" s="42"/>
      <c r="I386" s="42"/>
      <c r="J386" s="42"/>
      <c r="K386" s="42"/>
      <c r="L386" s="42"/>
      <c r="M386" s="42"/>
      <c r="N386" s="1743">
        <f>CF!O97</f>
        <v>-185.33600000000013</v>
      </c>
      <c r="O386" s="1743">
        <f>CF!P97</f>
        <v>-141.95099999999977</v>
      </c>
      <c r="P386" s="1743">
        <f>CF!Q97</f>
        <v>-73.505000000000223</v>
      </c>
      <c r="Q386" s="1743">
        <f>CF!R97</f>
        <v>183.0870000000001</v>
      </c>
      <c r="R386" s="1743">
        <f>CF!S97</f>
        <v>186.02599999999967</v>
      </c>
      <c r="S386" s="1743">
        <f>CF!T97</f>
        <v>108.03300000000036</v>
      </c>
      <c r="T386" s="1629"/>
      <c r="U386" s="1629"/>
      <c r="V386" s="1629"/>
      <c r="W386" s="1629"/>
      <c r="X386" s="1629"/>
      <c r="Y386" s="1629"/>
    </row>
    <row r="405" spans="1:25">
      <c r="A405" s="1225" t="s">
        <v>604</v>
      </c>
      <c r="B405" s="42" t="s">
        <v>2142</v>
      </c>
      <c r="C405" s="42"/>
      <c r="D405" s="42"/>
      <c r="E405" s="42"/>
      <c r="F405" s="42"/>
      <c r="G405" s="42"/>
      <c r="H405" s="42"/>
      <c r="I405" s="42"/>
      <c r="J405" s="42"/>
      <c r="K405" s="42"/>
      <c r="L405" s="42"/>
      <c r="M405" s="42"/>
      <c r="N405" s="1743"/>
      <c r="O405" s="1743"/>
      <c r="P405" s="1743"/>
      <c r="Q405" s="1743">
        <f>CF!R230</f>
        <v>11.878728308579623</v>
      </c>
      <c r="R405" s="1968">
        <f>CF!S230</f>
        <v>13.363464359455008</v>
      </c>
      <c r="S405" s="1968">
        <f>CF!T230</f>
        <v>14.086124608854066</v>
      </c>
      <c r="T405" s="1968">
        <f>CF!U230</f>
        <v>15.147327029478735</v>
      </c>
      <c r="U405" s="1968">
        <f>CF!V230</f>
        <v>18.52437296016717</v>
      </c>
      <c r="V405" s="1968">
        <f ca="1">CF!W230</f>
        <v>20.853352087123966</v>
      </c>
      <c r="W405" s="1968">
        <f ca="1">CF!X230</f>
        <v>22.423411461303711</v>
      </c>
      <c r="X405" s="1968">
        <f ca="1">CF!Y230</f>
        <v>23.481292304580609</v>
      </c>
      <c r="Y405" s="1968">
        <f ca="1">CF!Z230</f>
        <v>24.362412664252599</v>
      </c>
    </row>
    <row r="406" spans="1:25">
      <c r="A406" s="1225"/>
      <c r="B406" s="42" t="s">
        <v>1322</v>
      </c>
      <c r="C406" s="42"/>
      <c r="D406" s="42"/>
      <c r="E406" s="42"/>
      <c r="F406" s="42"/>
      <c r="G406" s="42"/>
      <c r="H406" s="42"/>
      <c r="I406" s="42"/>
      <c r="J406" s="42"/>
      <c r="K406" s="42"/>
      <c r="L406" s="42"/>
      <c r="M406" s="42"/>
      <c r="N406" s="1743"/>
      <c r="O406" s="1743"/>
      <c r="P406" s="1743"/>
      <c r="Q406" s="1631"/>
      <c r="R406" s="1631">
        <f t="shared" ref="R406:Y406" si="41">+R405/Q405-1</f>
        <v>0.12499116170566915</v>
      </c>
      <c r="S406" s="1631">
        <f t="shared" si="41"/>
        <v>5.4077313334379262E-2</v>
      </c>
      <c r="T406" s="1631">
        <f t="shared" si="41"/>
        <v>7.5336719650884953E-2</v>
      </c>
      <c r="U406" s="1631">
        <f t="shared" si="41"/>
        <v>0.22294665746083453</v>
      </c>
      <c r="V406" s="1631">
        <f t="shared" ca="1" si="41"/>
        <v>0.12572512613327236</v>
      </c>
      <c r="W406" s="1631">
        <f t="shared" ca="1" si="41"/>
        <v>7.5290503302305467E-2</v>
      </c>
      <c r="X406" s="1631">
        <f t="shared" ca="1" si="41"/>
        <v>4.7177515566821482E-2</v>
      </c>
      <c r="Y406" s="1631">
        <f t="shared" ca="1" si="41"/>
        <v>3.7524355484476635E-2</v>
      </c>
    </row>
    <row r="425" spans="1:25">
      <c r="A425" s="1225" t="s">
        <v>604</v>
      </c>
      <c r="B425" s="42" t="s">
        <v>1556</v>
      </c>
      <c r="C425" s="42"/>
      <c r="D425" s="42"/>
      <c r="E425" s="42"/>
      <c r="F425" s="42"/>
      <c r="G425" s="42"/>
      <c r="H425" s="42"/>
      <c r="I425" s="42"/>
      <c r="J425" s="42"/>
      <c r="K425" s="42"/>
      <c r="L425" s="42"/>
      <c r="M425" s="42"/>
      <c r="N425" s="1743"/>
      <c r="O425" s="1743"/>
      <c r="P425" s="1743"/>
      <c r="Q425" s="1743"/>
      <c r="R425" s="1968">
        <f>IS!S174</f>
        <v>1.5450315673258461</v>
      </c>
      <c r="S425" s="1968">
        <f>IS!T174</f>
        <v>8.9376588095656384</v>
      </c>
      <c r="T425" s="1968">
        <f>IS!U174</f>
        <v>7.0754737695802925</v>
      </c>
      <c r="U425" s="1968">
        <f>IS!V174</f>
        <v>8.0265140997410587</v>
      </c>
      <c r="V425" s="1968">
        <f ca="1">IS!W174</f>
        <v>9.1199999999999992</v>
      </c>
      <c r="W425" s="1968">
        <f ca="1">IS!X174</f>
        <v>9.8663010429736335</v>
      </c>
      <c r="X425" s="1968">
        <f ca="1">IS!Y174</f>
        <v>10.331768614015468</v>
      </c>
      <c r="Y425" s="1968">
        <f ca="1">IS!Z174</f>
        <v>10.719461572271145</v>
      </c>
    </row>
    <row r="426" spans="1:25">
      <c r="A426" s="1225"/>
      <c r="B426" s="42" t="s">
        <v>1322</v>
      </c>
      <c r="C426" s="42"/>
      <c r="D426" s="42"/>
      <c r="E426" s="42"/>
      <c r="F426" s="42"/>
      <c r="G426" s="42"/>
      <c r="H426" s="42"/>
      <c r="I426" s="42"/>
      <c r="J426" s="42"/>
      <c r="K426" s="42"/>
      <c r="L426" s="42"/>
      <c r="M426" s="42"/>
      <c r="N426" s="1743"/>
      <c r="O426" s="1743"/>
      <c r="P426" s="1743"/>
      <c r="Q426" s="1743"/>
      <c r="R426" s="1968"/>
      <c r="S426" s="1968"/>
      <c r="T426" s="1631">
        <f t="shared" ref="T426:Y426" si="42">+T425/S425-1</f>
        <v>-0.20835266591205293</v>
      </c>
      <c r="U426" s="1631">
        <f t="shared" si="42"/>
        <v>0.13441366064412397</v>
      </c>
      <c r="V426" s="1631">
        <f t="shared" ca="1" si="42"/>
        <v>0.1362342215650274</v>
      </c>
      <c r="W426" s="1631">
        <f t="shared" ca="1" si="42"/>
        <v>8.183125471202124E-2</v>
      </c>
      <c r="X426" s="1631">
        <f t="shared" ca="1" si="42"/>
        <v>4.7177515566821482E-2</v>
      </c>
      <c r="Y426" s="1631">
        <f t="shared" ca="1" si="42"/>
        <v>3.7524355484476857E-2</v>
      </c>
    </row>
    <row r="427" spans="1:25">
      <c r="A427" s="1225"/>
      <c r="B427" s="1970">
        <v>187.81</v>
      </c>
      <c r="C427" s="42"/>
      <c r="D427" s="42"/>
      <c r="E427" s="42"/>
      <c r="F427" s="42"/>
      <c r="G427" s="42"/>
      <c r="H427" s="42"/>
      <c r="I427" s="42"/>
      <c r="J427" s="42"/>
      <c r="K427" s="42"/>
      <c r="L427" s="42"/>
      <c r="M427" s="42"/>
      <c r="N427" s="1743"/>
      <c r="O427" s="1743"/>
      <c r="P427" s="1743"/>
      <c r="Q427" s="1743"/>
      <c r="R427" s="1968"/>
      <c r="S427" s="1631">
        <f>+S425/$B$427</f>
        <v>4.7588833446385377E-2</v>
      </c>
      <c r="T427" s="1631">
        <f t="shared" ref="T427:Y427" si="43">+T425/$B$427</f>
        <v>3.7673573130186315E-2</v>
      </c>
      <c r="U427" s="1631">
        <f t="shared" si="43"/>
        <v>4.2737416004158771E-2</v>
      </c>
      <c r="V427" s="1631">
        <f t="shared" ca="1" si="43"/>
        <v>4.8559714605186086E-2</v>
      </c>
      <c r="W427" s="1631">
        <f t="shared" ca="1" si="43"/>
        <v>5.2533416979786134E-2</v>
      </c>
      <c r="X427" s="1631">
        <f t="shared" ca="1" si="43"/>
        <v>5.501181307712831E-2</v>
      </c>
      <c r="Y427" s="1631">
        <f t="shared" ca="1" si="43"/>
        <v>5.7076095906880064E-2</v>
      </c>
    </row>
    <row r="428" spans="1:25">
      <c r="A428" s="1225"/>
      <c r="B428" s="1971" t="s">
        <v>1820</v>
      </c>
      <c r="C428" s="42"/>
      <c r="D428" s="42"/>
      <c r="E428" s="42"/>
      <c r="F428" s="42"/>
      <c r="G428" s="42"/>
      <c r="H428" s="42"/>
      <c r="I428" s="42"/>
      <c r="J428" s="42"/>
      <c r="K428" s="42"/>
      <c r="L428" s="42"/>
      <c r="M428" s="42"/>
      <c r="N428" s="1743"/>
      <c r="O428" s="1743"/>
      <c r="P428" s="1743"/>
      <c r="Q428" s="1584">
        <f>+Q405</f>
        <v>11.878728308579623</v>
      </c>
      <c r="R428" s="1584">
        <f t="shared" ref="R428:Y428" si="44">+R405</f>
        <v>13.363464359455008</v>
      </c>
      <c r="S428" s="1584">
        <f t="shared" si="44"/>
        <v>14.086124608854066</v>
      </c>
      <c r="T428" s="1584">
        <f t="shared" si="44"/>
        <v>15.147327029478735</v>
      </c>
      <c r="U428" s="1584">
        <f t="shared" si="44"/>
        <v>18.52437296016717</v>
      </c>
      <c r="V428" s="1584">
        <f t="shared" ca="1" si="44"/>
        <v>20.853352087123966</v>
      </c>
      <c r="W428" s="1584">
        <f t="shared" ca="1" si="44"/>
        <v>22.423411461303711</v>
      </c>
      <c r="X428" s="1584">
        <f t="shared" ca="1" si="44"/>
        <v>23.481292304580609</v>
      </c>
      <c r="Y428" s="1584">
        <f t="shared" ca="1" si="44"/>
        <v>24.362412664252599</v>
      </c>
    </row>
    <row r="429" spans="1:25">
      <c r="A429" s="1225"/>
      <c r="B429" s="1971" t="s">
        <v>1821</v>
      </c>
      <c r="C429" s="42"/>
      <c r="D429" s="42"/>
      <c r="E429" s="42"/>
      <c r="F429" s="42"/>
      <c r="G429" s="42"/>
      <c r="H429" s="42"/>
      <c r="I429" s="42"/>
      <c r="J429" s="42"/>
      <c r="K429" s="42"/>
      <c r="L429" s="42"/>
      <c r="M429" s="42"/>
      <c r="N429" s="1743"/>
      <c r="O429" s="1743"/>
      <c r="P429" s="1743"/>
      <c r="Q429" s="1743"/>
      <c r="R429" s="1968"/>
      <c r="S429" s="1631">
        <f>+S425/S428</f>
        <v>0.63450090480867427</v>
      </c>
      <c r="T429" s="1631">
        <f t="shared" ref="T429:Y429" si="45">+T425/T428</f>
        <v>0.46711038560205831</v>
      </c>
      <c r="U429" s="1631">
        <f t="shared" si="45"/>
        <v>0.43329477963979757</v>
      </c>
      <c r="V429" s="1631">
        <f t="shared" ca="1" si="45"/>
        <v>0.43733976014490261</v>
      </c>
      <c r="W429" s="1631">
        <f t="shared" ca="1" si="45"/>
        <v>0.44</v>
      </c>
      <c r="X429" s="1631">
        <f t="shared" ca="1" si="45"/>
        <v>0.44</v>
      </c>
      <c r="Y429" s="1631">
        <f t="shared" ca="1" si="45"/>
        <v>0.44000000000000006</v>
      </c>
    </row>
    <row r="447" spans="1:25">
      <c r="A447" s="1225" t="s">
        <v>604</v>
      </c>
      <c r="B447" s="42" t="s">
        <v>322</v>
      </c>
      <c r="C447" s="42"/>
      <c r="D447" s="42"/>
      <c r="E447" s="42"/>
      <c r="F447" s="42"/>
      <c r="G447" s="42"/>
      <c r="H447" s="42"/>
      <c r="I447" s="42"/>
      <c r="J447" s="42"/>
      <c r="K447" s="42"/>
      <c r="L447" s="42"/>
      <c r="M447" s="42"/>
      <c r="N447" s="1743"/>
      <c r="O447" s="1743"/>
      <c r="P447" s="1743"/>
      <c r="Q447" s="1917">
        <v>1100</v>
      </c>
      <c r="R447" s="1917"/>
      <c r="S447" s="1917"/>
      <c r="T447" s="1917"/>
      <c r="U447" s="1917"/>
      <c r="V447" s="1917"/>
      <c r="W447" s="1917"/>
      <c r="X447" s="1917"/>
      <c r="Y447" s="1917"/>
    </row>
    <row r="448" spans="1:25">
      <c r="A448" s="1225"/>
      <c r="B448" s="42" t="s">
        <v>323</v>
      </c>
      <c r="C448" s="42"/>
      <c r="D448" s="42"/>
      <c r="E448" s="42"/>
      <c r="F448" s="42"/>
      <c r="G448" s="42"/>
      <c r="H448" s="42"/>
      <c r="I448" s="42"/>
      <c r="J448" s="42"/>
      <c r="K448" s="42"/>
      <c r="L448" s="42"/>
      <c r="M448" s="42"/>
      <c r="N448" s="1743"/>
      <c r="O448" s="1743"/>
      <c r="P448" s="1743"/>
      <c r="Q448" s="1917">
        <v>1200</v>
      </c>
      <c r="R448" s="1917"/>
      <c r="S448" s="1917"/>
      <c r="T448" s="1917"/>
      <c r="U448" s="1917"/>
      <c r="V448" s="1917"/>
      <c r="W448" s="1917"/>
      <c r="X448" s="1917"/>
      <c r="Y448" s="1917"/>
    </row>
    <row r="449" spans="1:25">
      <c r="A449" s="1225"/>
      <c r="B449" s="42" t="s">
        <v>324</v>
      </c>
      <c r="C449" s="42"/>
      <c r="D449" s="42"/>
      <c r="E449" s="42"/>
      <c r="F449" s="42"/>
      <c r="G449" s="42"/>
      <c r="H449" s="42"/>
      <c r="I449" s="42"/>
      <c r="J449" s="42"/>
      <c r="K449" s="42"/>
      <c r="L449" s="42"/>
      <c r="M449" s="42"/>
      <c r="N449" s="1743"/>
      <c r="O449" s="1743"/>
      <c r="P449" s="1743"/>
      <c r="Q449" s="1917">
        <v>630</v>
      </c>
      <c r="R449" s="1917"/>
      <c r="S449" s="1917"/>
      <c r="T449" s="1917"/>
      <c r="U449" s="1917"/>
      <c r="V449" s="1917"/>
      <c r="W449" s="1917"/>
      <c r="X449" s="1917"/>
      <c r="Y449" s="1917"/>
    </row>
    <row r="450" spans="1:25">
      <c r="A450" s="1225"/>
      <c r="B450" s="42" t="s">
        <v>325</v>
      </c>
      <c r="C450" s="42"/>
      <c r="D450" s="42"/>
      <c r="E450" s="42"/>
      <c r="F450" s="42"/>
      <c r="G450" s="42"/>
      <c r="H450" s="42"/>
      <c r="I450" s="42"/>
      <c r="J450" s="42"/>
      <c r="K450" s="42"/>
      <c r="L450" s="42"/>
      <c r="M450" s="42"/>
      <c r="N450" s="1743"/>
      <c r="O450" s="1743"/>
      <c r="P450" s="1743"/>
      <c r="Q450" s="1917">
        <v>320</v>
      </c>
      <c r="R450" s="1917"/>
      <c r="S450" s="1917"/>
      <c r="T450" s="1917"/>
      <c r="U450" s="1917"/>
      <c r="V450" s="1917"/>
      <c r="W450" s="1917"/>
      <c r="X450" s="1917"/>
      <c r="Y450" s="1917"/>
    </row>
    <row r="451" spans="1:25">
      <c r="A451" s="1225"/>
      <c r="B451" s="42" t="s">
        <v>326</v>
      </c>
      <c r="C451" s="42"/>
      <c r="D451" s="42"/>
      <c r="E451" s="42"/>
      <c r="F451" s="42"/>
      <c r="G451" s="42"/>
      <c r="H451" s="42"/>
      <c r="I451" s="42"/>
      <c r="J451" s="42"/>
      <c r="K451" s="42"/>
      <c r="L451" s="42"/>
      <c r="M451" s="42"/>
      <c r="N451" s="1743"/>
      <c r="O451" s="1743"/>
      <c r="P451" s="1743"/>
      <c r="Q451" s="1917">
        <v>715</v>
      </c>
      <c r="R451" s="1917"/>
      <c r="S451" s="1917"/>
      <c r="T451" s="1917"/>
      <c r="U451" s="1917"/>
      <c r="V451" s="1917"/>
      <c r="W451" s="1917"/>
      <c r="X451" s="1917"/>
      <c r="Y451" s="1917"/>
    </row>
    <row r="452" spans="1:25">
      <c r="A452" s="1225"/>
      <c r="B452" s="42" t="s">
        <v>327</v>
      </c>
      <c r="C452" s="42"/>
      <c r="D452" s="42"/>
      <c r="E452" s="42"/>
      <c r="F452" s="42"/>
      <c r="G452" s="42"/>
      <c r="H452" s="42"/>
      <c r="I452" s="42"/>
      <c r="J452" s="42"/>
      <c r="K452" s="42"/>
      <c r="L452" s="42"/>
      <c r="M452" s="42"/>
      <c r="N452" s="1743"/>
      <c r="O452" s="1743"/>
      <c r="P452" s="1743"/>
      <c r="Q452" s="1917">
        <v>680</v>
      </c>
      <c r="R452" s="1968"/>
      <c r="S452" s="1968"/>
      <c r="T452" s="1631"/>
      <c r="U452" s="1631"/>
      <c r="V452" s="1631"/>
      <c r="W452" s="1631"/>
      <c r="X452" s="1631"/>
      <c r="Y452" s="1631"/>
    </row>
    <row r="453" spans="1:25">
      <c r="A453" s="1225"/>
      <c r="B453" s="42" t="s">
        <v>1675</v>
      </c>
      <c r="C453" s="42"/>
      <c r="D453" s="42"/>
      <c r="E453" s="42"/>
      <c r="F453" s="42"/>
      <c r="G453" s="42"/>
      <c r="H453" s="42"/>
      <c r="I453" s="42"/>
      <c r="J453" s="42"/>
      <c r="K453" s="42"/>
      <c r="L453" s="42"/>
      <c r="M453" s="42"/>
      <c r="N453" s="1743"/>
      <c r="O453" s="1743"/>
      <c r="P453" s="1743"/>
      <c r="Q453" s="1917">
        <v>280</v>
      </c>
      <c r="R453" s="1968"/>
      <c r="S453" s="1968"/>
      <c r="T453" s="1631"/>
      <c r="U453" s="1631"/>
      <c r="V453" s="1631"/>
      <c r="W453" s="1631"/>
      <c r="X453" s="1631"/>
      <c r="Y453" s="1631"/>
    </row>
    <row r="454" spans="1:25">
      <c r="A454" s="1225"/>
      <c r="B454" s="42" t="s">
        <v>328</v>
      </c>
      <c r="C454" s="42"/>
      <c r="D454" s="42"/>
      <c r="E454" s="42"/>
      <c r="F454" s="42"/>
      <c r="G454" s="42"/>
      <c r="H454" s="42"/>
      <c r="I454" s="42"/>
      <c r="J454" s="42"/>
      <c r="K454" s="42"/>
      <c r="L454" s="42"/>
      <c r="M454" s="42"/>
      <c r="N454" s="1743"/>
      <c r="O454" s="1743"/>
      <c r="P454" s="1743"/>
      <c r="Q454" s="1917">
        <v>425</v>
      </c>
      <c r="R454" s="1968"/>
      <c r="S454" s="1968"/>
      <c r="T454" s="1631"/>
      <c r="U454" s="1631"/>
      <c r="V454" s="1631"/>
      <c r="W454" s="1631"/>
      <c r="X454" s="1631"/>
      <c r="Y454" s="1631"/>
    </row>
    <row r="455" spans="1:25">
      <c r="A455" s="1225"/>
      <c r="B455" s="42" t="s">
        <v>329</v>
      </c>
      <c r="C455" s="42"/>
      <c r="D455" s="42"/>
      <c r="E455" s="42"/>
      <c r="F455" s="42"/>
      <c r="G455" s="42"/>
      <c r="H455" s="42"/>
      <c r="I455" s="42"/>
      <c r="J455" s="42"/>
      <c r="K455" s="42"/>
      <c r="L455" s="42"/>
      <c r="M455" s="42"/>
      <c r="N455" s="1743"/>
      <c r="O455" s="1743"/>
      <c r="P455" s="1743"/>
      <c r="Q455" s="1917">
        <v>500</v>
      </c>
      <c r="R455" s="1968"/>
      <c r="S455" s="1968"/>
      <c r="T455" s="1631"/>
      <c r="U455" s="1631"/>
      <c r="V455" s="1631"/>
      <c r="W455" s="1631"/>
      <c r="X455" s="1631"/>
      <c r="Y455" s="1631"/>
    </row>
    <row r="456" spans="1:25">
      <c r="A456" s="1225"/>
      <c r="B456" s="42" t="s">
        <v>330</v>
      </c>
      <c r="C456" s="42"/>
      <c r="D456" s="42"/>
      <c r="E456" s="42"/>
      <c r="F456" s="42"/>
      <c r="G456" s="42"/>
      <c r="H456" s="42"/>
      <c r="I456" s="42"/>
      <c r="J456" s="42"/>
      <c r="K456" s="42"/>
      <c r="L456" s="42"/>
      <c r="M456" s="42"/>
      <c r="N456" s="1743"/>
      <c r="O456" s="1743"/>
      <c r="P456" s="1743"/>
      <c r="Q456" s="1917">
        <v>1475</v>
      </c>
      <c r="R456" s="1968"/>
      <c r="S456" s="1968"/>
      <c r="T456" s="1631"/>
      <c r="U456" s="1631"/>
      <c r="V456" s="1631"/>
      <c r="W456" s="1631"/>
      <c r="X456" s="1631"/>
      <c r="Y456" s="1631"/>
    </row>
    <row r="457" spans="1:25">
      <c r="A457" s="1225"/>
      <c r="B457" s="42" t="s">
        <v>331</v>
      </c>
      <c r="C457" s="42"/>
      <c r="D457" s="42"/>
      <c r="E457" s="42"/>
      <c r="F457" s="42"/>
      <c r="G457" s="42"/>
      <c r="H457" s="42"/>
      <c r="I457" s="42"/>
      <c r="J457" s="42"/>
      <c r="K457" s="42"/>
      <c r="L457" s="42"/>
      <c r="M457" s="42"/>
      <c r="N457" s="1743"/>
      <c r="O457" s="1743"/>
      <c r="P457" s="1743"/>
      <c r="Q457" s="1917">
        <v>325</v>
      </c>
      <c r="R457" s="1968"/>
      <c r="S457" s="1968"/>
      <c r="T457" s="1631"/>
      <c r="U457" s="1631"/>
      <c r="V457" s="1631"/>
      <c r="W457" s="1631"/>
      <c r="X457" s="1631"/>
      <c r="Y457" s="1631"/>
    </row>
    <row r="458" spans="1:25">
      <c r="A458" s="1225"/>
      <c r="B458" s="42" t="s">
        <v>332</v>
      </c>
      <c r="C458" s="42"/>
      <c r="D458" s="42"/>
      <c r="E458" s="42"/>
      <c r="F458" s="42"/>
      <c r="G458" s="42"/>
      <c r="H458" s="42"/>
      <c r="I458" s="42"/>
      <c r="J458" s="42"/>
      <c r="K458" s="42"/>
      <c r="L458" s="42"/>
      <c r="M458" s="42"/>
      <c r="N458" s="1743"/>
      <c r="O458" s="1743"/>
      <c r="P458" s="1743"/>
      <c r="Q458" s="1917">
        <v>450</v>
      </c>
      <c r="R458" s="1968"/>
      <c r="S458" s="1968"/>
      <c r="T458" s="1631"/>
      <c r="U458" s="1631"/>
      <c r="V458" s="1631"/>
      <c r="W458" s="1631"/>
      <c r="X458" s="1631"/>
      <c r="Y458" s="1631"/>
    </row>
    <row r="459" spans="1:25">
      <c r="A459" s="1225"/>
      <c r="B459" s="42" t="s">
        <v>333</v>
      </c>
      <c r="C459" s="42"/>
      <c r="D459" s="42"/>
      <c r="E459" s="42"/>
      <c r="F459" s="42"/>
      <c r="G459" s="42"/>
      <c r="H459" s="42"/>
      <c r="I459" s="42"/>
      <c r="J459" s="42"/>
      <c r="K459" s="42"/>
      <c r="L459" s="42"/>
      <c r="M459" s="42"/>
      <c r="N459" s="1743"/>
      <c r="O459" s="1743"/>
      <c r="P459" s="1743"/>
      <c r="Q459" s="1917">
        <v>320</v>
      </c>
      <c r="R459" s="1968"/>
      <c r="S459" s="1631"/>
      <c r="T459" s="1631"/>
      <c r="U459" s="1631"/>
      <c r="V459" s="1631"/>
      <c r="W459" s="1631"/>
      <c r="X459" s="1631"/>
      <c r="Y459" s="1631"/>
    </row>
    <row r="460" spans="1:25">
      <c r="A460" s="1225"/>
      <c r="B460" s="42" t="s">
        <v>334</v>
      </c>
      <c r="C460" s="42"/>
      <c r="D460" s="42"/>
      <c r="E460" s="42"/>
      <c r="F460" s="42"/>
      <c r="G460" s="42"/>
      <c r="H460" s="42"/>
      <c r="I460" s="42"/>
      <c r="J460" s="42"/>
      <c r="K460" s="42"/>
      <c r="L460" s="42"/>
      <c r="M460" s="42"/>
      <c r="N460" s="1743"/>
      <c r="O460" s="1743"/>
      <c r="P460" s="1743"/>
      <c r="Q460" s="1917">
        <v>920</v>
      </c>
      <c r="R460" s="1968"/>
      <c r="S460" s="1969"/>
      <c r="T460" s="1969"/>
      <c r="U460" s="1969"/>
      <c r="V460" s="1969"/>
      <c r="W460" s="1969"/>
      <c r="X460" s="1969"/>
      <c r="Y460" s="1969"/>
    </row>
    <row r="461" spans="1:25">
      <c r="A461" s="1225"/>
      <c r="B461" s="42" t="s">
        <v>335</v>
      </c>
      <c r="C461" s="42"/>
      <c r="D461" s="42"/>
      <c r="E461" s="42"/>
      <c r="F461" s="42"/>
      <c r="G461" s="42"/>
      <c r="H461" s="42"/>
      <c r="I461" s="42"/>
      <c r="J461" s="42"/>
      <c r="K461" s="42"/>
      <c r="L461" s="42"/>
      <c r="M461" s="42"/>
      <c r="N461" s="1743"/>
      <c r="O461" s="1743"/>
      <c r="P461" s="1743"/>
      <c r="Q461" s="1917"/>
      <c r="R461" s="1917">
        <v>450</v>
      </c>
      <c r="S461" s="1969"/>
      <c r="T461" s="1969"/>
      <c r="U461" s="1969"/>
      <c r="V461" s="1969"/>
      <c r="W461" s="1969"/>
      <c r="X461" s="1969"/>
      <c r="Y461" s="1969"/>
    </row>
    <row r="462" spans="1:25">
      <c r="A462" s="1225"/>
      <c r="B462" s="42" t="s">
        <v>336</v>
      </c>
      <c r="C462" s="42"/>
      <c r="D462" s="42"/>
      <c r="E462" s="42"/>
      <c r="F462" s="42"/>
      <c r="G462" s="42"/>
      <c r="H462" s="42"/>
      <c r="I462" s="42"/>
      <c r="J462" s="42"/>
      <c r="K462" s="42"/>
      <c r="L462" s="42"/>
      <c r="M462" s="42"/>
      <c r="N462" s="1743"/>
      <c r="O462" s="1743"/>
      <c r="P462" s="1743"/>
      <c r="Q462" s="1917"/>
      <c r="R462" s="1917">
        <v>600</v>
      </c>
      <c r="S462" s="1969"/>
      <c r="T462" s="1969"/>
      <c r="U462" s="1969"/>
      <c r="V462" s="1969"/>
      <c r="W462" s="1969"/>
      <c r="X462" s="1969"/>
      <c r="Y462" s="1969"/>
    </row>
    <row r="463" spans="1:25">
      <c r="A463" s="1225"/>
      <c r="B463" s="42" t="s">
        <v>337</v>
      </c>
      <c r="C463" s="42"/>
      <c r="D463" s="42"/>
      <c r="E463" s="42"/>
      <c r="F463" s="42"/>
      <c r="G463" s="42"/>
      <c r="H463" s="42"/>
      <c r="I463" s="42"/>
      <c r="J463" s="42"/>
      <c r="K463" s="42"/>
      <c r="L463" s="42"/>
      <c r="M463" s="42"/>
      <c r="N463" s="1743"/>
      <c r="O463" s="1743"/>
      <c r="P463" s="1743"/>
      <c r="Q463" s="1917"/>
      <c r="R463" s="1917">
        <v>675</v>
      </c>
      <c r="S463" s="1969"/>
      <c r="T463" s="1969"/>
      <c r="U463" s="1969"/>
      <c r="V463" s="1969"/>
      <c r="W463" s="1969"/>
      <c r="X463" s="1969"/>
      <c r="Y463" s="1969"/>
    </row>
    <row r="464" spans="1:25">
      <c r="A464" s="1225"/>
      <c r="B464" s="42" t="s">
        <v>338</v>
      </c>
      <c r="C464" s="42"/>
      <c r="D464" s="42"/>
      <c r="E464" s="42"/>
      <c r="F464" s="42"/>
      <c r="G464" s="42"/>
      <c r="H464" s="42"/>
      <c r="I464" s="42"/>
      <c r="J464" s="42"/>
      <c r="K464" s="42"/>
      <c r="L464" s="42"/>
      <c r="M464" s="42"/>
      <c r="N464" s="1743"/>
      <c r="O464" s="1743"/>
      <c r="P464" s="1743"/>
      <c r="Q464" s="1917"/>
      <c r="R464" s="1917">
        <v>300</v>
      </c>
      <c r="S464" s="1969"/>
      <c r="T464" s="1969"/>
      <c r="U464" s="1969"/>
      <c r="V464" s="1969"/>
      <c r="W464" s="1969"/>
      <c r="X464" s="1969"/>
      <c r="Y464" s="1969"/>
    </row>
    <row r="465" spans="1:25">
      <c r="A465" s="1225"/>
      <c r="B465" s="42" t="s">
        <v>339</v>
      </c>
      <c r="C465" s="42"/>
      <c r="D465" s="42"/>
      <c r="E465" s="42"/>
      <c r="F465" s="42"/>
      <c r="G465" s="42"/>
      <c r="H465" s="42"/>
      <c r="I465" s="42"/>
      <c r="J465" s="42"/>
      <c r="K465" s="42"/>
      <c r="L465" s="42"/>
      <c r="M465" s="42"/>
      <c r="N465" s="1743"/>
      <c r="O465" s="1743"/>
      <c r="P465" s="1743"/>
      <c r="Q465" s="1917"/>
      <c r="R465" s="1917">
        <v>375</v>
      </c>
      <c r="S465" s="1969"/>
      <c r="T465" s="1969"/>
      <c r="U465" s="1969"/>
      <c r="V465" s="1969"/>
      <c r="W465" s="1969"/>
      <c r="X465" s="1969"/>
      <c r="Y465" s="1969"/>
    </row>
    <row r="466" spans="1:25">
      <c r="A466" s="1225"/>
      <c r="B466" s="42" t="s">
        <v>340</v>
      </c>
      <c r="C466" s="42"/>
      <c r="D466" s="42"/>
      <c r="E466" s="42"/>
      <c r="F466" s="42"/>
      <c r="G466" s="42"/>
      <c r="H466" s="42"/>
      <c r="I466" s="42"/>
      <c r="J466" s="42"/>
      <c r="K466" s="42"/>
      <c r="L466" s="42"/>
      <c r="M466" s="42"/>
      <c r="N466" s="1743"/>
      <c r="O466" s="1743"/>
      <c r="P466" s="1743"/>
      <c r="Q466" s="1917"/>
      <c r="R466" s="1917">
        <v>1000</v>
      </c>
      <c r="S466" s="1969"/>
      <c r="T466" s="1969"/>
      <c r="U466" s="1969"/>
      <c r="V466" s="1969"/>
      <c r="W466" s="1969"/>
      <c r="X466" s="1969"/>
      <c r="Y466" s="1969"/>
    </row>
    <row r="467" spans="1:25">
      <c r="A467" s="1225"/>
      <c r="B467" s="42" t="s">
        <v>341</v>
      </c>
      <c r="C467" s="42"/>
      <c r="D467" s="42"/>
      <c r="E467" s="42"/>
      <c r="F467" s="42"/>
      <c r="G467" s="42"/>
      <c r="H467" s="42"/>
      <c r="I467" s="42"/>
      <c r="J467" s="42"/>
      <c r="K467" s="42"/>
      <c r="L467" s="42"/>
      <c r="M467" s="42"/>
      <c r="N467" s="1743"/>
      <c r="O467" s="1743"/>
      <c r="P467" s="1743"/>
      <c r="Q467" s="1917"/>
      <c r="R467" s="1917">
        <v>650</v>
      </c>
      <c r="S467" s="1969"/>
      <c r="T467" s="1969"/>
      <c r="U467" s="1969"/>
      <c r="V467" s="1969"/>
      <c r="W467" s="1969"/>
      <c r="X467" s="1969"/>
      <c r="Y467" s="1969"/>
    </row>
    <row r="468" spans="1:25">
      <c r="A468" s="1225"/>
      <c r="B468" s="42" t="s">
        <v>342</v>
      </c>
      <c r="C468" s="42"/>
      <c r="D468" s="42"/>
      <c r="E468" s="42"/>
      <c r="F468" s="42"/>
      <c r="G468" s="42"/>
      <c r="H468" s="42"/>
      <c r="I468" s="42"/>
      <c r="J468" s="42"/>
      <c r="K468" s="42"/>
      <c r="L468" s="42"/>
      <c r="M468" s="42"/>
      <c r="N468" s="1743"/>
      <c r="O468" s="1743"/>
      <c r="P468" s="1743"/>
      <c r="Q468" s="1917"/>
      <c r="R468" s="1917">
        <v>1000</v>
      </c>
      <c r="S468" s="1969"/>
      <c r="T468" s="1969"/>
      <c r="U468" s="1969"/>
      <c r="V468" s="1969"/>
      <c r="W468" s="1969"/>
      <c r="X468" s="1969"/>
      <c r="Y468" s="1969"/>
    </row>
    <row r="469" spans="1:25">
      <c r="A469" s="1225"/>
      <c r="B469" s="43" t="s">
        <v>462</v>
      </c>
      <c r="C469" s="42"/>
      <c r="D469" s="42"/>
      <c r="E469" s="42"/>
      <c r="F469" s="42"/>
      <c r="G469" s="42"/>
      <c r="H469" s="42"/>
      <c r="I469" s="42"/>
      <c r="J469" s="42"/>
      <c r="K469" s="42"/>
      <c r="L469" s="42"/>
      <c r="M469" s="42"/>
      <c r="N469" s="1743"/>
      <c r="O469" s="1743"/>
      <c r="P469" s="1743"/>
      <c r="Q469" s="1917">
        <f>SUM(Q447:Q468)</f>
        <v>9340</v>
      </c>
      <c r="R469" s="1917">
        <f>SUM(R447:R468)</f>
        <v>5050</v>
      </c>
      <c r="S469" s="1969"/>
      <c r="T469" s="1969"/>
      <c r="U469" s="1969"/>
      <c r="V469" s="1969"/>
      <c r="W469" s="1969"/>
      <c r="X469" s="1969"/>
      <c r="Y469" s="1969"/>
    </row>
    <row r="486" spans="1:25">
      <c r="A486" s="1225" t="s">
        <v>604</v>
      </c>
      <c r="B486" s="42" t="s">
        <v>322</v>
      </c>
      <c r="C486" s="42"/>
      <c r="D486" s="42"/>
      <c r="E486" s="42"/>
      <c r="F486" s="42"/>
      <c r="G486" s="42"/>
      <c r="H486" s="42"/>
      <c r="I486" s="42"/>
      <c r="J486" s="42"/>
      <c r="K486" s="42"/>
      <c r="L486" s="42"/>
      <c r="M486" s="42"/>
      <c r="N486" s="1743"/>
      <c r="O486" s="1743"/>
      <c r="P486" s="1743"/>
      <c r="Q486" s="1917">
        <v>1100</v>
      </c>
      <c r="R486" s="1917"/>
      <c r="S486" s="1917"/>
      <c r="T486" s="1917"/>
      <c r="U486" s="1917"/>
      <c r="V486" s="1917"/>
      <c r="W486" s="1917"/>
      <c r="X486" s="1917"/>
      <c r="Y486" s="1917"/>
    </row>
    <row r="487" spans="1:25">
      <c r="A487" s="1225"/>
      <c r="B487" s="42" t="s">
        <v>323</v>
      </c>
      <c r="C487" s="42"/>
      <c r="D487" s="42"/>
      <c r="E487" s="42"/>
      <c r="F487" s="42"/>
      <c r="G487" s="42"/>
      <c r="H487" s="42"/>
      <c r="I487" s="42"/>
      <c r="J487" s="42"/>
      <c r="K487" s="42"/>
      <c r="L487" s="42"/>
      <c r="M487" s="42"/>
      <c r="N487" s="1743"/>
      <c r="O487" s="1743"/>
      <c r="P487" s="1743"/>
      <c r="Q487" s="1917">
        <v>1200</v>
      </c>
      <c r="R487" s="1917"/>
      <c r="S487" s="1917"/>
      <c r="T487" s="1917"/>
      <c r="U487" s="1917"/>
      <c r="V487" s="1917"/>
      <c r="W487" s="1917"/>
      <c r="X487" s="1917"/>
      <c r="Y487" s="1917"/>
    </row>
    <row r="488" spans="1:25">
      <c r="A488" s="1225"/>
      <c r="B488" s="42" t="s">
        <v>324</v>
      </c>
      <c r="C488" s="42"/>
      <c r="D488" s="42"/>
      <c r="E488" s="42"/>
      <c r="F488" s="42"/>
      <c r="G488" s="42"/>
      <c r="H488" s="42"/>
      <c r="I488" s="42"/>
      <c r="J488" s="42"/>
      <c r="K488" s="42"/>
      <c r="L488" s="42"/>
      <c r="M488" s="42"/>
      <c r="N488" s="1743"/>
      <c r="O488" s="1743"/>
      <c r="P488" s="1743"/>
      <c r="Q488" s="1917">
        <v>630</v>
      </c>
      <c r="R488" s="1917"/>
      <c r="S488" s="1917"/>
      <c r="T488" s="1917"/>
      <c r="U488" s="1917"/>
      <c r="V488" s="1917"/>
      <c r="W488" s="1917"/>
      <c r="X488" s="1917"/>
      <c r="Y488" s="1917"/>
    </row>
    <row r="489" spans="1:25">
      <c r="A489" s="1225"/>
      <c r="B489" s="42" t="s">
        <v>325</v>
      </c>
      <c r="C489" s="42"/>
      <c r="D489" s="42"/>
      <c r="E489" s="42"/>
      <c r="F489" s="42"/>
      <c r="G489" s="42"/>
      <c r="H489" s="42"/>
      <c r="I489" s="42"/>
      <c r="J489" s="42"/>
      <c r="K489" s="42"/>
      <c r="L489" s="42"/>
      <c r="M489" s="42"/>
      <c r="N489" s="1743"/>
      <c r="O489" s="1743"/>
      <c r="P489" s="1743"/>
      <c r="Q489" s="1917">
        <v>320</v>
      </c>
      <c r="R489" s="1917"/>
      <c r="S489" s="1917"/>
      <c r="T489" s="1917"/>
      <c r="U489" s="1917"/>
      <c r="V489" s="1917"/>
      <c r="W489" s="1917"/>
      <c r="X489" s="1917"/>
      <c r="Y489" s="1917"/>
    </row>
    <row r="490" spans="1:25">
      <c r="A490" s="1225"/>
      <c r="B490" s="42" t="s">
        <v>326</v>
      </c>
      <c r="C490" s="42"/>
      <c r="D490" s="42"/>
      <c r="E490" s="42"/>
      <c r="F490" s="42"/>
      <c r="G490" s="42"/>
      <c r="H490" s="42"/>
      <c r="I490" s="42"/>
      <c r="J490" s="42"/>
      <c r="K490" s="42"/>
      <c r="L490" s="42"/>
      <c r="M490" s="42"/>
      <c r="N490" s="1743"/>
      <c r="O490" s="1743"/>
      <c r="P490" s="1743"/>
      <c r="Q490" s="1917">
        <v>715</v>
      </c>
      <c r="R490" s="1917"/>
      <c r="S490" s="1917"/>
      <c r="T490" s="1917"/>
      <c r="U490" s="1917"/>
      <c r="V490" s="1917"/>
      <c r="W490" s="1917"/>
      <c r="X490" s="1917"/>
      <c r="Y490" s="1917"/>
    </row>
    <row r="491" spans="1:25">
      <c r="A491" s="1225"/>
      <c r="B491" s="42" t="s">
        <v>327</v>
      </c>
      <c r="C491" s="42"/>
      <c r="D491" s="42"/>
      <c r="E491" s="42"/>
      <c r="F491" s="42"/>
      <c r="G491" s="42"/>
      <c r="H491" s="42"/>
      <c r="I491" s="42"/>
      <c r="J491" s="42"/>
      <c r="K491" s="42"/>
      <c r="L491" s="42"/>
      <c r="M491" s="42"/>
      <c r="N491" s="1743"/>
      <c r="O491" s="1743"/>
      <c r="P491" s="1743"/>
      <c r="Q491" s="1917">
        <v>680</v>
      </c>
      <c r="R491" s="1968"/>
      <c r="S491" s="1968"/>
      <c r="T491" s="1631"/>
      <c r="U491" s="1631"/>
      <c r="V491" s="1631"/>
      <c r="W491" s="1631"/>
      <c r="X491" s="1631"/>
      <c r="Y491" s="1631"/>
    </row>
    <row r="492" spans="1:25">
      <c r="A492" s="1225"/>
      <c r="B492" s="42" t="s">
        <v>1675</v>
      </c>
      <c r="C492" s="42"/>
      <c r="D492" s="42"/>
      <c r="E492" s="42"/>
      <c r="F492" s="42"/>
      <c r="G492" s="42"/>
      <c r="H492" s="42"/>
      <c r="I492" s="42"/>
      <c r="J492" s="42"/>
      <c r="K492" s="42"/>
      <c r="L492" s="42"/>
      <c r="M492" s="42"/>
      <c r="N492" s="1743"/>
      <c r="O492" s="1743"/>
      <c r="P492" s="1743"/>
      <c r="Q492" s="1917">
        <v>280</v>
      </c>
      <c r="R492" s="1968"/>
      <c r="S492" s="1968"/>
      <c r="T492" s="1631"/>
      <c r="U492" s="1631"/>
      <c r="V492" s="1631"/>
      <c r="W492" s="1631"/>
      <c r="X492" s="1631"/>
      <c r="Y492" s="1631"/>
    </row>
    <row r="493" spans="1:25">
      <c r="A493" s="1225"/>
      <c r="B493" s="42" t="s">
        <v>328</v>
      </c>
      <c r="C493" s="42"/>
      <c r="D493" s="42"/>
      <c r="E493" s="42"/>
      <c r="F493" s="42"/>
      <c r="G493" s="42"/>
      <c r="H493" s="42"/>
      <c r="I493" s="42"/>
      <c r="J493" s="42"/>
      <c r="K493" s="42"/>
      <c r="L493" s="42"/>
      <c r="M493" s="42"/>
      <c r="N493" s="1743"/>
      <c r="O493" s="1743"/>
      <c r="P493" s="1743"/>
      <c r="Q493" s="1917">
        <v>425</v>
      </c>
      <c r="R493" s="1968"/>
      <c r="S493" s="1968"/>
      <c r="T493" s="1631"/>
      <c r="U493" s="1631"/>
      <c r="V493" s="1631"/>
      <c r="W493" s="1631"/>
      <c r="X493" s="1631"/>
      <c r="Y493" s="1631"/>
    </row>
    <row r="494" spans="1:25">
      <c r="A494" s="1225"/>
      <c r="B494" s="42" t="s">
        <v>329</v>
      </c>
      <c r="C494" s="42"/>
      <c r="D494" s="42"/>
      <c r="E494" s="42"/>
      <c r="F494" s="42"/>
      <c r="G494" s="42"/>
      <c r="H494" s="42"/>
      <c r="I494" s="42"/>
      <c r="J494" s="42"/>
      <c r="K494" s="42"/>
      <c r="L494" s="42"/>
      <c r="M494" s="42"/>
      <c r="N494" s="1743"/>
      <c r="O494" s="1743"/>
      <c r="P494" s="1743"/>
      <c r="Q494" s="1917">
        <v>500</v>
      </c>
      <c r="R494" s="1968"/>
      <c r="S494" s="1968"/>
      <c r="T494" s="1631"/>
      <c r="U494" s="1631"/>
      <c r="V494" s="1631"/>
      <c r="W494" s="1631"/>
      <c r="X494" s="1631"/>
      <c r="Y494" s="1631"/>
    </row>
    <row r="495" spans="1:25">
      <c r="A495" s="1225"/>
      <c r="B495" s="42" t="s">
        <v>330</v>
      </c>
      <c r="C495" s="42"/>
      <c r="D495" s="42"/>
      <c r="E495" s="42"/>
      <c r="F495" s="42"/>
      <c r="G495" s="42"/>
      <c r="H495" s="42"/>
      <c r="I495" s="42"/>
      <c r="J495" s="42"/>
      <c r="K495" s="42"/>
      <c r="L495" s="42"/>
      <c r="M495" s="42"/>
      <c r="N495" s="1743"/>
      <c r="O495" s="1743"/>
      <c r="P495" s="1743"/>
      <c r="Q495" s="1917">
        <v>1475</v>
      </c>
      <c r="R495" s="1968"/>
      <c r="S495" s="1968"/>
      <c r="T495" s="1631"/>
      <c r="U495" s="1631"/>
      <c r="V495" s="1631"/>
      <c r="W495" s="1631"/>
      <c r="X495" s="1631"/>
      <c r="Y495" s="1631"/>
    </row>
    <row r="496" spans="1:25">
      <c r="A496" s="1225"/>
      <c r="B496" s="42" t="s">
        <v>331</v>
      </c>
      <c r="C496" s="42"/>
      <c r="D496" s="42"/>
      <c r="E496" s="42"/>
      <c r="F496" s="42"/>
      <c r="G496" s="42"/>
      <c r="H496" s="42"/>
      <c r="I496" s="42"/>
      <c r="J496" s="42"/>
      <c r="K496" s="42"/>
      <c r="L496" s="42"/>
      <c r="M496" s="42"/>
      <c r="N496" s="1743"/>
      <c r="O496" s="1743"/>
      <c r="P496" s="1743"/>
      <c r="Q496" s="1917">
        <v>325</v>
      </c>
      <c r="R496" s="1968"/>
      <c r="S496" s="1968"/>
      <c r="T496" s="1631"/>
      <c r="U496" s="1631"/>
      <c r="V496" s="1631"/>
      <c r="W496" s="1631"/>
      <c r="X496" s="1631"/>
      <c r="Y496" s="1631"/>
    </row>
    <row r="497" spans="1:25">
      <c r="A497" s="1225"/>
      <c r="B497" s="42" t="s">
        <v>332</v>
      </c>
      <c r="C497" s="42"/>
      <c r="D497" s="42"/>
      <c r="E497" s="42"/>
      <c r="F497" s="42"/>
      <c r="G497" s="42"/>
      <c r="H497" s="42"/>
      <c r="I497" s="42"/>
      <c r="J497" s="42"/>
      <c r="K497" s="42"/>
      <c r="L497" s="42"/>
      <c r="M497" s="42"/>
      <c r="N497" s="1743"/>
      <c r="O497" s="1743"/>
      <c r="P497" s="1743"/>
      <c r="Q497" s="1917">
        <v>450</v>
      </c>
      <c r="R497" s="1968"/>
      <c r="S497" s="1968"/>
      <c r="T497" s="1631"/>
      <c r="U497" s="1631"/>
      <c r="V497" s="1631"/>
      <c r="W497" s="1631"/>
      <c r="X497" s="1631"/>
      <c r="Y497" s="1631"/>
    </row>
    <row r="498" spans="1:25">
      <c r="A498" s="1225"/>
      <c r="B498" s="42" t="s">
        <v>333</v>
      </c>
      <c r="C498" s="42"/>
      <c r="D498" s="42"/>
      <c r="E498" s="42"/>
      <c r="F498" s="42"/>
      <c r="G498" s="42"/>
      <c r="H498" s="42"/>
      <c r="I498" s="42"/>
      <c r="J498" s="42"/>
      <c r="K498" s="42"/>
      <c r="L498" s="42"/>
      <c r="M498" s="42"/>
      <c r="N498" s="1743"/>
      <c r="O498" s="1743"/>
      <c r="P498" s="1743"/>
      <c r="Q498" s="1917">
        <v>320</v>
      </c>
      <c r="R498" s="1968"/>
      <c r="S498" s="1631"/>
      <c r="T498" s="1631"/>
      <c r="U498" s="1631"/>
      <c r="V498" s="1631"/>
      <c r="W498" s="1631"/>
      <c r="X498" s="1631"/>
      <c r="Y498" s="1631"/>
    </row>
    <row r="499" spans="1:25">
      <c r="A499" s="1225"/>
      <c r="B499" s="42" t="s">
        <v>334</v>
      </c>
      <c r="C499" s="42"/>
      <c r="D499" s="42"/>
      <c r="E499" s="42"/>
      <c r="F499" s="42"/>
      <c r="G499" s="42"/>
      <c r="H499" s="42"/>
      <c r="I499" s="42"/>
      <c r="J499" s="42"/>
      <c r="K499" s="42"/>
      <c r="L499" s="42"/>
      <c r="M499" s="42"/>
      <c r="N499" s="1743"/>
      <c r="O499" s="1743"/>
      <c r="P499" s="1743"/>
      <c r="Q499" s="1917">
        <v>920</v>
      </c>
      <c r="R499" s="1968"/>
      <c r="S499" s="1969"/>
      <c r="T499" s="1969"/>
      <c r="U499" s="1969"/>
      <c r="V499" s="1969"/>
      <c r="W499" s="1969"/>
      <c r="X499" s="1969"/>
      <c r="Y499" s="1969"/>
    </row>
    <row r="500" spans="1:25">
      <c r="A500" s="1225"/>
      <c r="B500" s="42" t="s">
        <v>343</v>
      </c>
      <c r="C500" s="42"/>
      <c r="D500" s="42"/>
      <c r="E500" s="42"/>
      <c r="F500" s="42"/>
      <c r="G500" s="42"/>
      <c r="H500" s="42"/>
      <c r="I500" s="42"/>
      <c r="J500" s="42"/>
      <c r="K500" s="42"/>
      <c r="L500" s="42"/>
      <c r="M500" s="42"/>
      <c r="N500" s="1743"/>
      <c r="O500" s="1743"/>
      <c r="P500" s="1743"/>
      <c r="Q500" s="1917"/>
      <c r="R500" s="1979">
        <f>+SUM(R508:R512)</f>
        <v>3775</v>
      </c>
      <c r="S500" s="1969"/>
      <c r="T500" s="1969"/>
      <c r="U500" s="1969"/>
      <c r="V500" s="1969"/>
      <c r="W500" s="1969"/>
      <c r="X500" s="1969"/>
      <c r="Y500" s="1969"/>
    </row>
    <row r="501" spans="1:25">
      <c r="A501" s="1225"/>
      <c r="B501" s="42" t="s">
        <v>344</v>
      </c>
      <c r="C501" s="42"/>
      <c r="D501" s="42"/>
      <c r="E501" s="42"/>
      <c r="F501" s="42"/>
      <c r="G501" s="42"/>
      <c r="H501" s="42"/>
      <c r="I501" s="42"/>
      <c r="J501" s="42"/>
      <c r="K501" s="42"/>
      <c r="L501" s="42"/>
      <c r="M501" s="42"/>
      <c r="N501" s="1743"/>
      <c r="O501" s="1743"/>
      <c r="P501" s="1743"/>
      <c r="Q501" s="1917"/>
      <c r="R501" s="1979">
        <f>+SUM(R505:R507)</f>
        <v>1275</v>
      </c>
      <c r="S501" s="1969"/>
      <c r="T501" s="1969"/>
      <c r="U501" s="1969"/>
      <c r="V501" s="1969"/>
      <c r="W501" s="1969"/>
      <c r="X501" s="1969"/>
      <c r="Y501" s="1969"/>
    </row>
    <row r="502" spans="1:25">
      <c r="A502" s="1225"/>
      <c r="B502" s="42" t="s">
        <v>345</v>
      </c>
      <c r="C502" s="42"/>
      <c r="D502" s="42"/>
      <c r="E502" s="42"/>
      <c r="F502" s="42"/>
      <c r="G502" s="42"/>
      <c r="H502" s="42"/>
      <c r="I502" s="42"/>
      <c r="J502" s="42"/>
      <c r="K502" s="42"/>
      <c r="L502" s="42"/>
      <c r="M502" s="42"/>
      <c r="N502" s="1743"/>
      <c r="O502" s="1743"/>
      <c r="P502" s="1743"/>
      <c r="Q502" s="1917"/>
      <c r="R502" s="1979"/>
      <c r="S502" s="1917">
        <v>720</v>
      </c>
      <c r="T502" s="1969"/>
      <c r="U502" s="1969"/>
      <c r="V502" s="1969"/>
      <c r="W502" s="1969"/>
      <c r="X502" s="1969"/>
      <c r="Y502" s="1969"/>
    </row>
    <row r="503" spans="1:25">
      <c r="A503" s="1225"/>
      <c r="B503" s="42" t="s">
        <v>346</v>
      </c>
      <c r="C503" s="42"/>
      <c r="D503" s="42"/>
      <c r="E503" s="42"/>
      <c r="F503" s="42"/>
      <c r="G503" s="42"/>
      <c r="H503" s="42"/>
      <c r="I503" s="42"/>
      <c r="J503" s="42"/>
      <c r="K503" s="42"/>
      <c r="L503" s="42"/>
      <c r="M503" s="42"/>
      <c r="N503" s="1743"/>
      <c r="O503" s="1743"/>
      <c r="P503" s="1743"/>
      <c r="Q503" s="1917"/>
      <c r="R503" s="1979"/>
      <c r="S503" s="1917">
        <v>1385</v>
      </c>
      <c r="T503" s="1969"/>
      <c r="U503" s="1969"/>
      <c r="V503" s="1969"/>
      <c r="W503" s="1969"/>
      <c r="X503" s="1969"/>
      <c r="Y503" s="1969"/>
    </row>
    <row r="504" spans="1:25">
      <c r="A504" s="1225"/>
      <c r="B504" s="43" t="s">
        <v>462</v>
      </c>
      <c r="C504" s="42"/>
      <c r="D504" s="42"/>
      <c r="E504" s="42"/>
      <c r="F504" s="42"/>
      <c r="G504" s="42"/>
      <c r="H504" s="42"/>
      <c r="I504" s="42"/>
      <c r="J504" s="42"/>
      <c r="K504" s="42"/>
      <c r="L504" s="42"/>
      <c r="M504" s="42"/>
      <c r="N504" s="1743"/>
      <c r="O504" s="1743"/>
      <c r="P504" s="1743"/>
      <c r="Q504" s="1979">
        <f>SUM(Q486:Q503)</f>
        <v>9340</v>
      </c>
      <c r="R504" s="1979">
        <f>SUM(R486:R503)</f>
        <v>5050</v>
      </c>
      <c r="S504" s="1979">
        <f>SUM(S486:S503)</f>
        <v>2105</v>
      </c>
      <c r="T504" s="1969"/>
      <c r="U504" s="1969"/>
      <c r="V504" s="1969"/>
      <c r="W504" s="1969"/>
      <c r="X504" s="1969"/>
      <c r="Y504" s="1969"/>
    </row>
    <row r="505" spans="1:25">
      <c r="A505" s="1225"/>
      <c r="B505" s="1897" t="s">
        <v>336</v>
      </c>
      <c r="C505" s="42"/>
      <c r="D505" s="42"/>
      <c r="E505" s="42"/>
      <c r="F505" s="42"/>
      <c r="G505" s="42"/>
      <c r="H505" s="42"/>
      <c r="I505" s="42"/>
      <c r="J505" s="42"/>
      <c r="K505" s="42"/>
      <c r="L505" s="42"/>
      <c r="M505" s="42"/>
      <c r="N505" s="1743"/>
      <c r="O505" s="1743"/>
      <c r="P505" s="1743"/>
      <c r="Q505" s="1917"/>
      <c r="R505" s="1917">
        <v>600</v>
      </c>
      <c r="S505" s="1969"/>
      <c r="T505" s="1969"/>
      <c r="U505" s="1969"/>
      <c r="V505" s="1969"/>
      <c r="W505" s="1969"/>
      <c r="X505" s="1969"/>
      <c r="Y505" s="1969"/>
    </row>
    <row r="506" spans="1:25">
      <c r="A506" s="1225"/>
      <c r="B506" s="1897" t="s">
        <v>338</v>
      </c>
      <c r="C506" s="42"/>
      <c r="D506" s="42"/>
      <c r="E506" s="42"/>
      <c r="F506" s="42"/>
      <c r="G506" s="42"/>
      <c r="H506" s="42"/>
      <c r="I506" s="42"/>
      <c r="J506" s="42"/>
      <c r="K506" s="42"/>
      <c r="L506" s="42"/>
      <c r="M506" s="42"/>
      <c r="N506" s="1743"/>
      <c r="O506" s="1743"/>
      <c r="P506" s="1743"/>
      <c r="Q506" s="1917"/>
      <c r="R506" s="1917">
        <v>300</v>
      </c>
      <c r="S506" s="1969"/>
      <c r="T506" s="1969"/>
      <c r="U506" s="1969"/>
      <c r="V506" s="1969"/>
      <c r="W506" s="1969"/>
      <c r="X506" s="1969"/>
      <c r="Y506" s="1969"/>
    </row>
    <row r="507" spans="1:25">
      <c r="A507" s="1225"/>
      <c r="B507" s="1897" t="s">
        <v>339</v>
      </c>
      <c r="C507" s="42"/>
      <c r="D507" s="42"/>
      <c r="E507" s="42"/>
      <c r="F507" s="42"/>
      <c r="G507" s="42"/>
      <c r="H507" s="42"/>
      <c r="I507" s="42"/>
      <c r="J507" s="42"/>
      <c r="K507" s="42"/>
      <c r="L507" s="42"/>
      <c r="M507" s="42"/>
      <c r="N507" s="1743"/>
      <c r="O507" s="1743"/>
      <c r="P507" s="1743"/>
      <c r="Q507" s="1917"/>
      <c r="R507" s="1917">
        <v>375</v>
      </c>
      <c r="S507" s="1969"/>
      <c r="T507" s="1969"/>
      <c r="U507" s="1969"/>
      <c r="V507" s="1969"/>
      <c r="W507" s="1969"/>
      <c r="X507" s="1969"/>
      <c r="Y507" s="1969"/>
    </row>
    <row r="508" spans="1:25">
      <c r="A508" s="1225"/>
      <c r="B508" s="42" t="s">
        <v>335</v>
      </c>
      <c r="C508" s="42"/>
      <c r="D508" s="42"/>
      <c r="E508" s="42"/>
      <c r="F508" s="42"/>
      <c r="G508" s="42"/>
      <c r="H508" s="42"/>
      <c r="I508" s="42"/>
      <c r="J508" s="42"/>
      <c r="K508" s="42"/>
      <c r="L508" s="42"/>
      <c r="M508" s="42"/>
      <c r="N508" s="1743"/>
      <c r="O508" s="1743"/>
      <c r="P508" s="1743"/>
      <c r="Q508" s="1917"/>
      <c r="R508" s="1917">
        <v>450</v>
      </c>
      <c r="S508" s="1969"/>
      <c r="T508" s="1969"/>
      <c r="U508" s="1969"/>
      <c r="V508" s="1969"/>
      <c r="W508" s="1969"/>
      <c r="X508" s="1969"/>
      <c r="Y508" s="1969"/>
    </row>
    <row r="509" spans="1:25">
      <c r="A509" s="1225"/>
      <c r="B509" s="42" t="s">
        <v>337</v>
      </c>
      <c r="C509" s="42"/>
      <c r="D509" s="42"/>
      <c r="E509" s="42"/>
      <c r="F509" s="42"/>
      <c r="G509" s="42"/>
      <c r="H509" s="42"/>
      <c r="I509" s="42"/>
      <c r="J509" s="42"/>
      <c r="K509" s="42"/>
      <c r="L509" s="42"/>
      <c r="M509" s="42"/>
      <c r="N509" s="1743"/>
      <c r="O509" s="1743"/>
      <c r="P509" s="1743"/>
      <c r="Q509" s="1917"/>
      <c r="R509" s="1917">
        <v>675</v>
      </c>
      <c r="S509" s="1969"/>
      <c r="T509" s="1969"/>
      <c r="U509" s="1969"/>
      <c r="V509" s="1969"/>
      <c r="W509" s="1969"/>
      <c r="X509" s="1969"/>
      <c r="Y509" s="1969"/>
    </row>
    <row r="510" spans="1:25">
      <c r="A510" s="1225"/>
      <c r="B510" s="42" t="s">
        <v>340</v>
      </c>
      <c r="C510" s="42"/>
      <c r="D510" s="42"/>
      <c r="E510" s="42"/>
      <c r="F510" s="42"/>
      <c r="G510" s="42"/>
      <c r="H510" s="42"/>
      <c r="I510" s="42"/>
      <c r="J510" s="42"/>
      <c r="K510" s="42"/>
      <c r="L510" s="42"/>
      <c r="M510" s="42"/>
      <c r="N510" s="1743"/>
      <c r="O510" s="1743"/>
      <c r="P510" s="1743"/>
      <c r="Q510" s="1917"/>
      <c r="R510" s="1917">
        <v>1000</v>
      </c>
      <c r="S510" s="1969"/>
      <c r="T510" s="1969"/>
      <c r="U510" s="1969"/>
      <c r="V510" s="1969"/>
      <c r="W510" s="1969"/>
      <c r="X510" s="1969"/>
      <c r="Y510" s="1969"/>
    </row>
    <row r="511" spans="1:25">
      <c r="A511" s="1225"/>
      <c r="B511" s="42" t="s">
        <v>341</v>
      </c>
      <c r="C511" s="42"/>
      <c r="D511" s="42"/>
      <c r="E511" s="42"/>
      <c r="F511" s="42"/>
      <c r="G511" s="42"/>
      <c r="H511" s="42"/>
      <c r="I511" s="42"/>
      <c r="J511" s="42"/>
      <c r="K511" s="42"/>
      <c r="L511" s="42"/>
      <c r="M511" s="42"/>
      <c r="N511" s="1743"/>
      <c r="O511" s="1743"/>
      <c r="P511" s="1743"/>
      <c r="Q511" s="1917"/>
      <c r="R511" s="1917">
        <v>650</v>
      </c>
      <c r="S511" s="1969"/>
      <c r="T511" s="1969"/>
      <c r="U511" s="1969"/>
      <c r="V511" s="1969"/>
      <c r="W511" s="1969"/>
      <c r="X511" s="1969"/>
      <c r="Y511" s="1969"/>
    </row>
    <row r="512" spans="1:25">
      <c r="A512" s="1225"/>
      <c r="B512" s="42" t="s">
        <v>342</v>
      </c>
      <c r="C512" s="42"/>
      <c r="D512" s="42"/>
      <c r="E512" s="42"/>
      <c r="F512" s="42"/>
      <c r="G512" s="42"/>
      <c r="H512" s="42"/>
      <c r="I512" s="42"/>
      <c r="J512" s="42"/>
      <c r="K512" s="42"/>
      <c r="L512" s="42"/>
      <c r="M512" s="42"/>
      <c r="N512" s="1743"/>
      <c r="O512" s="1743"/>
      <c r="P512" s="1743"/>
      <c r="Q512" s="1917"/>
      <c r="R512" s="1917">
        <v>1000</v>
      </c>
      <c r="S512" s="1969"/>
      <c r="T512" s="1969"/>
      <c r="U512" s="1969"/>
      <c r="V512" s="1969"/>
      <c r="W512" s="1969"/>
      <c r="X512" s="1969"/>
      <c r="Y512" s="1969"/>
    </row>
    <row r="513" spans="1:25">
      <c r="A513" s="1225"/>
      <c r="B513" s="43" t="s">
        <v>462</v>
      </c>
      <c r="C513" s="42"/>
      <c r="D513" s="42"/>
      <c r="E513" s="42"/>
      <c r="F513" s="42"/>
      <c r="G513" s="42"/>
      <c r="H513" s="42"/>
      <c r="I513" s="42"/>
      <c r="J513" s="42"/>
      <c r="K513" s="42"/>
      <c r="L513" s="42"/>
      <c r="M513" s="42"/>
      <c r="N513" s="1743"/>
      <c r="O513" s="1743"/>
      <c r="P513" s="1743"/>
      <c r="Q513" s="1917">
        <f>SUM(Q486:Q512)</f>
        <v>18680</v>
      </c>
      <c r="R513" s="1917">
        <f>SUM(R486:R512)</f>
        <v>15150</v>
      </c>
      <c r="S513" s="1969"/>
      <c r="T513" s="1969"/>
      <c r="U513" s="1969"/>
      <c r="V513" s="1969"/>
      <c r="W513" s="1969"/>
      <c r="X513" s="1969"/>
      <c r="Y513" s="1969"/>
    </row>
    <row r="526" spans="1:25">
      <c r="P526" s="1612"/>
    </row>
  </sheetData>
  <phoneticPr fontId="2" type="noConversion"/>
  <pageMargins left="0.75" right="0.75" top="1" bottom="1" header="0.5" footer="0.5"/>
  <pageSetup scale="16" orientation="landscape" r:id="rId1"/>
  <headerFooter alignWithMargins="0"/>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3:I12"/>
  <sheetViews>
    <sheetView workbookViewId="0"/>
  </sheetViews>
  <sheetFormatPr defaultRowHeight="12.75"/>
  <cols>
    <col min="2" max="2" width="4.85546875" customWidth="1"/>
    <col min="5" max="6" width="7.28515625" customWidth="1"/>
    <col min="7" max="7" width="8.42578125" bestFit="1" customWidth="1"/>
    <col min="8" max="9" width="7.28515625" customWidth="1"/>
  </cols>
  <sheetData>
    <row r="3" spans="2:9">
      <c r="B3" s="80" t="s">
        <v>306</v>
      </c>
      <c r="E3" s="1997">
        <f>+IS!DA15</f>
        <v>564.67700000000002</v>
      </c>
    </row>
    <row r="4" spans="2:9">
      <c r="B4" s="80"/>
      <c r="E4" s="1997"/>
    </row>
    <row r="5" spans="2:9">
      <c r="C5" s="1995" t="s">
        <v>304</v>
      </c>
      <c r="D5" s="1995" t="s">
        <v>307</v>
      </c>
      <c r="E5" s="1995" t="s">
        <v>240</v>
      </c>
      <c r="F5" s="1995" t="s">
        <v>1740</v>
      </c>
      <c r="G5" s="1995" t="s">
        <v>310</v>
      </c>
      <c r="H5" s="1996" t="s">
        <v>305</v>
      </c>
      <c r="I5" s="1229"/>
    </row>
    <row r="6" spans="2:9">
      <c r="B6" s="41" t="s">
        <v>233</v>
      </c>
      <c r="C6" s="1612">
        <v>0.14000000000000001</v>
      </c>
      <c r="D6" s="1905">
        <v>1.32</v>
      </c>
      <c r="E6" s="1905">
        <v>1.3</v>
      </c>
      <c r="F6" s="1905">
        <v>1.35</v>
      </c>
      <c r="G6" s="1612">
        <f>+E6/F6-1</f>
        <v>-3.703703703703709E-2</v>
      </c>
      <c r="H6" s="1631">
        <f>+C6*G6</f>
        <v>-5.1851851851851928E-3</v>
      </c>
      <c r="I6" s="1992">
        <f>+$E$3*H6</f>
        <v>-2.9279548148148193</v>
      </c>
    </row>
    <row r="7" spans="2:9">
      <c r="B7" s="41" t="s">
        <v>234</v>
      </c>
      <c r="C7" s="1612">
        <v>0.08</v>
      </c>
      <c r="D7" s="1905">
        <v>1.55</v>
      </c>
      <c r="E7" s="1905">
        <v>1.6</v>
      </c>
      <c r="F7" s="1905">
        <v>1.6</v>
      </c>
      <c r="G7" s="1612">
        <f>+E7/F7-1</f>
        <v>0</v>
      </c>
      <c r="H7" s="1631">
        <f>+C7*G7</f>
        <v>0</v>
      </c>
      <c r="I7" s="1992">
        <f>+$E$3*H7</f>
        <v>0</v>
      </c>
    </row>
    <row r="8" spans="2:9">
      <c r="B8" s="41" t="s">
        <v>238</v>
      </c>
      <c r="C8" s="1612">
        <v>0.06</v>
      </c>
      <c r="D8" s="1905">
        <v>0.78900000000000003</v>
      </c>
      <c r="E8" s="1905">
        <v>0.79400000000000004</v>
      </c>
      <c r="F8" s="1905">
        <f>1/1.24</f>
        <v>0.80645161290322587</v>
      </c>
      <c r="G8" s="1612">
        <f>+E8/F8-1</f>
        <v>-1.5440000000000009E-2</v>
      </c>
      <c r="H8" s="1631">
        <f>+C8*G8</f>
        <v>-9.2640000000000051E-4</v>
      </c>
      <c r="I8" s="1992">
        <f>+$E$3*H8</f>
        <v>-0.52311677280000035</v>
      </c>
    </row>
    <row r="9" spans="2:9">
      <c r="B9" s="41" t="s">
        <v>220</v>
      </c>
      <c r="C9" s="1612">
        <v>0.04</v>
      </c>
      <c r="D9" s="1905">
        <v>0.437</v>
      </c>
      <c r="E9" s="1905">
        <v>0.45</v>
      </c>
      <c r="F9" s="1905">
        <f>1/2.18</f>
        <v>0.4587155963302752</v>
      </c>
      <c r="G9" s="1612">
        <f>+E9/F9-1</f>
        <v>-1.8999999999999906E-2</v>
      </c>
      <c r="H9" s="1631">
        <f>+C9*G9</f>
        <v>-7.5999999999999625E-4</v>
      </c>
      <c r="I9" s="1992">
        <f>+$E$3*H9</f>
        <v>-0.42915451999999787</v>
      </c>
    </row>
    <row r="10" spans="2:9">
      <c r="G10" s="1722"/>
      <c r="H10" s="1993">
        <f>SUM(H6:H9)</f>
        <v>-6.8715851851851896E-3</v>
      </c>
      <c r="I10" s="1994">
        <f>SUM(I6:I9)</f>
        <v>-3.8802261076148175</v>
      </c>
    </row>
    <row r="11" spans="2:9">
      <c r="B11" s="1241" t="s">
        <v>308</v>
      </c>
    </row>
    <row r="12" spans="2:9">
      <c r="B12" s="1241" t="s">
        <v>311</v>
      </c>
    </row>
  </sheetData>
  <phoneticPr fontId="2"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enableFormatConditionsCalculation="0">
    <tabColor indexed="24"/>
    <pageSetUpPr fitToPage="1"/>
  </sheetPr>
  <dimension ref="B1:CG446"/>
  <sheetViews>
    <sheetView showGridLines="0" topLeftCell="AP1" zoomScale="85" zoomScaleNormal="85" zoomScaleSheetLayoutView="85" workbookViewId="0">
      <selection activeCell="AW10" sqref="AW10:BB30"/>
    </sheetView>
  </sheetViews>
  <sheetFormatPr defaultRowHeight="12.75" outlineLevelRow="1" outlineLevelCol="1"/>
  <cols>
    <col min="1" max="1" width="4.42578125" style="1754" customWidth="1"/>
    <col min="2" max="2" width="15.5703125" style="1754" bestFit="1" customWidth="1"/>
    <col min="3" max="3" width="2.5703125" style="1754" customWidth="1"/>
    <col min="4" max="4" width="24.140625" style="1754" customWidth="1"/>
    <col min="5" max="5" width="1" style="1754" hidden="1" customWidth="1" outlineLevel="1"/>
    <col min="6" max="11" width="9.28515625" style="1754" hidden="1" customWidth="1" outlineLevel="1"/>
    <col min="12" max="12" width="9.85546875" style="1754" hidden="1" customWidth="1" outlineLevel="1"/>
    <col min="13" max="32" width="8.5703125" style="1754" hidden="1" customWidth="1" outlineLevel="1"/>
    <col min="33" max="33" width="8.5703125" style="1754" customWidth="1" collapsed="1"/>
    <col min="34" max="35" width="8.5703125" style="1754" hidden="1" customWidth="1" outlineLevel="1"/>
    <col min="36" max="36" width="8.5703125" style="1754" customWidth="1" collapsed="1"/>
    <col min="37" max="37" width="8.5703125" style="1754" bestFit="1" customWidth="1"/>
    <col min="38" max="38" width="8.5703125" style="1754" customWidth="1" outlineLevel="1"/>
    <col min="39" max="39" width="9.42578125" style="1754" customWidth="1" outlineLevel="1"/>
    <col min="40" max="40" width="8.5703125" style="1754" bestFit="1" customWidth="1"/>
    <col min="41" max="41" width="10" style="1754" customWidth="1" outlineLevel="1"/>
    <col min="42" max="42" width="7.5703125" style="1754" bestFit="1" customWidth="1"/>
    <col min="43" max="43" width="54.42578125" style="1754" hidden="1" customWidth="1" outlineLevel="1"/>
    <col min="44" max="44" width="9.140625" style="1754" collapsed="1"/>
    <col min="45" max="47" width="9.140625" style="1754"/>
    <col min="48" max="48" width="10.85546875" style="1754" bestFit="1" customWidth="1"/>
    <col min="49" max="49" width="19" style="1754" customWidth="1"/>
    <col min="50" max="52" width="15.85546875" style="1754" customWidth="1"/>
    <col min="53" max="53" width="10" style="1754" customWidth="1"/>
    <col min="54" max="54" width="15.28515625" style="1754" customWidth="1"/>
    <col min="55" max="55" width="13.85546875" style="1754" bestFit="1" customWidth="1"/>
    <col min="56" max="56" width="15" style="1754" bestFit="1" customWidth="1"/>
    <col min="57" max="59" width="9.140625" style="1754"/>
    <col min="60" max="60" width="17.85546875" style="1754" customWidth="1"/>
    <col min="61" max="61" width="16.85546875" style="1754" customWidth="1"/>
    <col min="62" max="62" width="15" style="1754" customWidth="1"/>
    <col min="63" max="63" width="11.5703125" style="1754" bestFit="1" customWidth="1"/>
    <col min="64" max="64" width="10" style="1754" customWidth="1"/>
    <col min="65" max="65" width="7.42578125" style="1754" bestFit="1" customWidth="1"/>
    <col min="66" max="66" width="20.7109375" style="1754" bestFit="1" customWidth="1"/>
    <col min="67" max="67" width="15" style="1754" bestFit="1" customWidth="1"/>
    <col min="68" max="68" width="9.140625" style="1754"/>
    <col min="69" max="69" width="22.140625" style="1754" customWidth="1"/>
    <col min="70" max="71" width="21.28515625" style="1754" customWidth="1"/>
    <col min="72" max="74" width="9.140625" style="1754"/>
    <col min="75" max="75" width="19.5703125" style="1754" customWidth="1"/>
    <col min="76" max="76" width="16.85546875" style="1754" customWidth="1"/>
    <col min="77" max="77" width="9.140625" style="1754" outlineLevel="1"/>
    <col min="78" max="78" width="21" style="1754" customWidth="1"/>
    <col min="79" max="80" width="13.140625" style="1754" customWidth="1"/>
    <col min="81" max="16384" width="9.140625" style="1754"/>
  </cols>
  <sheetData>
    <row r="1" spans="2:78">
      <c r="AT1" s="1888" t="s">
        <v>604</v>
      </c>
      <c r="AV1" s="1888"/>
      <c r="AW1" s="1888"/>
      <c r="AX1" s="1888"/>
      <c r="AY1" s="1888"/>
      <c r="AZ1" s="1888"/>
      <c r="BA1" s="1888"/>
      <c r="BG1" s="1888"/>
      <c r="BL1" s="1888" t="s">
        <v>604</v>
      </c>
    </row>
    <row r="2" spans="2:78">
      <c r="B2" s="1753"/>
      <c r="AT2" s="1753"/>
      <c r="AV2" s="1753"/>
      <c r="AW2" s="1753"/>
      <c r="AX2" s="1753"/>
      <c r="AY2" s="1753"/>
      <c r="AZ2" s="1753"/>
      <c r="BA2" s="1753"/>
      <c r="BG2" s="1753"/>
      <c r="BH2" s="1831"/>
      <c r="BI2" s="1831"/>
      <c r="BJ2" s="1831"/>
    </row>
    <row r="3" spans="2:78">
      <c r="B3" s="1753"/>
      <c r="AH3" s="1753"/>
      <c r="BH3" s="1831"/>
      <c r="BI3" s="1831"/>
      <c r="BJ3" s="1831"/>
    </row>
    <row r="4" spans="2:78">
      <c r="B4" s="1753"/>
      <c r="AH4" s="1753"/>
      <c r="BH4" s="1831"/>
      <c r="BI4" s="1983"/>
      <c r="BJ4" s="1831"/>
    </row>
    <row r="5" spans="2:78">
      <c r="B5" s="1753"/>
      <c r="AW5" s="1753"/>
      <c r="BH5" s="2063"/>
      <c r="BI5" s="1831"/>
      <c r="BJ5" s="1831"/>
    </row>
    <row r="6" spans="2:78">
      <c r="AW6" s="1753"/>
      <c r="BH6" s="2063"/>
      <c r="BI6" s="1831"/>
      <c r="BJ6" s="1831"/>
    </row>
    <row r="7" spans="2:78">
      <c r="AK7" s="1753"/>
      <c r="BH7" s="1831"/>
      <c r="BI7" s="1831"/>
      <c r="BJ7" s="1983"/>
    </row>
    <row r="8" spans="2:78">
      <c r="B8" s="1755"/>
      <c r="C8" s="1756"/>
      <c r="D8" s="2129"/>
      <c r="E8" s="1757"/>
      <c r="F8" s="1757"/>
      <c r="G8" s="1757"/>
      <c r="H8" s="1757"/>
      <c r="I8" s="1757"/>
      <c r="J8" s="1757"/>
      <c r="K8" s="1757"/>
      <c r="L8" s="1757"/>
      <c r="M8" s="1757"/>
      <c r="N8" s="1757"/>
      <c r="O8" s="1757"/>
      <c r="P8" s="1757"/>
      <c r="Q8" s="1757"/>
      <c r="R8" s="1757"/>
      <c r="S8" s="1757"/>
      <c r="T8" s="1757"/>
      <c r="U8" s="1757"/>
      <c r="V8" s="1757"/>
      <c r="W8" s="1757"/>
      <c r="X8" s="1757"/>
      <c r="Y8" s="1757"/>
      <c r="Z8" s="1757"/>
      <c r="AA8" s="1757"/>
      <c r="AB8" s="1757"/>
      <c r="AC8" s="1757"/>
      <c r="AD8" s="1757"/>
      <c r="AE8" s="1757"/>
      <c r="AF8" s="1757"/>
      <c r="AG8" s="1757"/>
      <c r="AH8" s="1757"/>
      <c r="AI8" s="1757"/>
      <c r="AJ8" s="1941"/>
      <c r="AK8" s="1758" t="s">
        <v>240</v>
      </c>
      <c r="AL8" s="1758" t="s">
        <v>439</v>
      </c>
      <c r="AM8" s="1758" t="s">
        <v>1720</v>
      </c>
      <c r="AN8" s="1759"/>
      <c r="AO8" s="1758" t="s">
        <v>1720</v>
      </c>
      <c r="AP8" s="2414" t="s">
        <v>1721</v>
      </c>
      <c r="AQ8" s="2416" t="s">
        <v>1722</v>
      </c>
      <c r="AT8" s="2037" t="s">
        <v>1192</v>
      </c>
      <c r="AU8" s="2035"/>
      <c r="AV8" s="2035"/>
      <c r="AW8" s="2035"/>
      <c r="AX8" s="2035"/>
      <c r="AY8" s="2035"/>
      <c r="AZ8" s="2035"/>
      <c r="BA8" s="2035"/>
      <c r="BB8" s="2035"/>
      <c r="BC8" s="2035"/>
      <c r="BD8" s="2035"/>
      <c r="BE8" s="2035"/>
      <c r="BF8" s="2035"/>
      <c r="BG8" s="2035"/>
      <c r="BH8" s="2036"/>
      <c r="BI8" s="2047"/>
      <c r="BJ8" s="2036"/>
      <c r="BK8" s="2035"/>
      <c r="BL8" s="2035"/>
      <c r="BM8" s="2035"/>
      <c r="BN8" s="2035"/>
      <c r="BO8" s="2035"/>
      <c r="BP8" s="2035"/>
      <c r="BQ8" s="2035"/>
      <c r="BR8" s="2035"/>
      <c r="BS8" s="2035"/>
      <c r="BT8" s="2035"/>
      <c r="BU8" s="2035"/>
      <c r="BV8" s="2035"/>
      <c r="BW8" s="2035"/>
      <c r="BX8" s="2035"/>
      <c r="BY8" s="2035"/>
      <c r="BZ8" s="2035"/>
    </row>
    <row r="9" spans="2:78">
      <c r="B9" s="1756"/>
      <c r="C9" s="1756"/>
      <c r="D9" s="1760"/>
      <c r="E9" s="1761"/>
      <c r="F9" s="1762" t="s">
        <v>249</v>
      </c>
      <c r="G9" s="1762" t="s">
        <v>252</v>
      </c>
      <c r="H9" s="1762" t="s">
        <v>1466</v>
      </c>
      <c r="I9" s="1762" t="s">
        <v>1378</v>
      </c>
      <c r="J9" s="1762" t="s">
        <v>1791</v>
      </c>
      <c r="K9" s="1762" t="s">
        <v>1790</v>
      </c>
      <c r="L9" s="1762" t="s">
        <v>1381</v>
      </c>
      <c r="M9" s="1762" t="s">
        <v>881</v>
      </c>
      <c r="N9" s="1762" t="s">
        <v>683</v>
      </c>
      <c r="O9" s="1762" t="s">
        <v>1622</v>
      </c>
      <c r="P9" s="1762" t="s">
        <v>799</v>
      </c>
      <c r="Q9" s="1762" t="s">
        <v>1723</v>
      </c>
      <c r="R9" s="1762" t="s">
        <v>1605</v>
      </c>
      <c r="S9" s="1762" t="s">
        <v>1269</v>
      </c>
      <c r="T9" s="1762" t="s">
        <v>672</v>
      </c>
      <c r="U9" s="1762" t="s">
        <v>553</v>
      </c>
      <c r="V9" s="1762" t="s">
        <v>510</v>
      </c>
      <c r="W9" s="1762" t="s">
        <v>1778</v>
      </c>
      <c r="X9" s="1762" t="s">
        <v>1862</v>
      </c>
      <c r="Y9" s="1762" t="s">
        <v>1882</v>
      </c>
      <c r="Z9" s="1762" t="s">
        <v>1926</v>
      </c>
      <c r="AA9" s="1762" t="s">
        <v>1989</v>
      </c>
      <c r="AB9" s="1762" t="s">
        <v>2012</v>
      </c>
      <c r="AC9" s="1762" t="s">
        <v>2475</v>
      </c>
      <c r="AD9" s="1762" t="s">
        <v>2124</v>
      </c>
      <c r="AE9" s="1762" t="s">
        <v>2535</v>
      </c>
      <c r="AF9" s="1762" t="s">
        <v>2566</v>
      </c>
      <c r="AG9" s="1762" t="s">
        <v>2592</v>
      </c>
      <c r="AH9" s="1762" t="s">
        <v>2635</v>
      </c>
      <c r="AI9" s="1762" t="s">
        <v>2661</v>
      </c>
      <c r="AJ9" s="1763" t="s">
        <v>2690</v>
      </c>
      <c r="AK9" s="1763" t="s">
        <v>2728</v>
      </c>
      <c r="AL9" s="1763" t="str">
        <f>+AK9</f>
        <v>4Q17</v>
      </c>
      <c r="AM9" s="1763" t="s">
        <v>1724</v>
      </c>
      <c r="AN9" s="1764" t="s">
        <v>1829</v>
      </c>
      <c r="AO9" s="1763" t="s">
        <v>1724</v>
      </c>
      <c r="AP9" s="2415"/>
      <c r="AQ9" s="2417"/>
      <c r="AT9" s="2033"/>
      <c r="AW9" s="2033" t="s">
        <v>1187</v>
      </c>
      <c r="BH9" s="2033" t="s">
        <v>1188</v>
      </c>
      <c r="BI9" s="1831"/>
      <c r="BJ9" s="1831"/>
      <c r="BQ9" s="2033" t="s">
        <v>1189</v>
      </c>
      <c r="BU9" s="2033" t="s">
        <v>1190</v>
      </c>
    </row>
    <row r="10" spans="2:78" ht="15" customHeight="1">
      <c r="B10" s="1755" t="s">
        <v>1725</v>
      </c>
      <c r="C10" s="1756"/>
      <c r="D10" s="2048" t="s">
        <v>1726</v>
      </c>
      <c r="E10" s="1766"/>
      <c r="F10" s="1766"/>
      <c r="G10" s="1766"/>
      <c r="H10" s="1766"/>
      <c r="I10" s="1766"/>
      <c r="J10" s="1766"/>
      <c r="K10" s="1766"/>
      <c r="L10" s="1766"/>
      <c r="M10" s="1767"/>
      <c r="N10" s="1767"/>
      <c r="O10" s="1767"/>
      <c r="P10" s="1767"/>
      <c r="Q10" s="1767"/>
      <c r="R10" s="1767"/>
      <c r="S10" s="1767"/>
      <c r="T10" s="1767"/>
      <c r="U10" s="1767"/>
      <c r="V10" s="1767"/>
      <c r="W10" s="1767"/>
      <c r="X10" s="1767"/>
      <c r="Y10" s="1767"/>
      <c r="Z10" s="1767"/>
      <c r="AA10" s="1767"/>
      <c r="AB10" s="1767"/>
      <c r="AC10" s="1767"/>
      <c r="AD10" s="1767"/>
      <c r="AE10" s="1767"/>
      <c r="AF10" s="1767"/>
      <c r="AG10" s="1767"/>
      <c r="AH10" s="1767"/>
      <c r="AI10" s="1767"/>
      <c r="AJ10" s="1927"/>
      <c r="AK10" s="1769"/>
      <c r="AL10" s="1767"/>
      <c r="AM10" s="1769"/>
      <c r="AN10" s="1768"/>
      <c r="AO10" s="1769"/>
      <c r="AP10" s="2113"/>
      <c r="AQ10" s="2108"/>
      <c r="AT10" s="2034">
        <v>2018</v>
      </c>
      <c r="AV10" s="1833" t="s">
        <v>1746</v>
      </c>
      <c r="AW10" s="1902" t="s">
        <v>2729</v>
      </c>
      <c r="AX10" s="1902"/>
      <c r="AY10" s="1902"/>
      <c r="AZ10" s="1902"/>
      <c r="BA10" s="1902"/>
      <c r="BB10" s="1902"/>
      <c r="BC10" s="1902"/>
      <c r="BG10" s="1833" t="s">
        <v>1746</v>
      </c>
      <c r="BH10" s="1902" t="s">
        <v>2735</v>
      </c>
      <c r="BI10" s="1903"/>
      <c r="BJ10" s="1903"/>
      <c r="BK10" s="1903"/>
      <c r="BP10" s="1888"/>
    </row>
    <row r="11" spans="2:78" ht="15" customHeight="1">
      <c r="B11" s="1772" t="s">
        <v>1354</v>
      </c>
      <c r="C11" s="1772"/>
      <c r="D11" s="2049" t="s">
        <v>1727</v>
      </c>
      <c r="E11" s="1850"/>
      <c r="F11" s="1851">
        <f t="shared" ref="F11:R11" si="0">+F14+F17</f>
        <v>248.64900000000003</v>
      </c>
      <c r="G11" s="1851">
        <f t="shared" si="0"/>
        <v>290.01699999999994</v>
      </c>
      <c r="H11" s="1851">
        <f t="shared" si="0"/>
        <v>321.39400000000001</v>
      </c>
      <c r="I11" s="1851">
        <f t="shared" si="0"/>
        <v>336.154</v>
      </c>
      <c r="J11" s="1851">
        <f t="shared" si="0"/>
        <v>353.94900000000001</v>
      </c>
      <c r="K11" s="1851">
        <f t="shared" si="0"/>
        <v>385.51099999999997</v>
      </c>
      <c r="L11" s="1851">
        <f t="shared" si="0"/>
        <v>408.20799999999997</v>
      </c>
      <c r="M11" s="1852">
        <f t="shared" si="0"/>
        <v>422.11599999999999</v>
      </c>
      <c r="N11" s="1852">
        <f t="shared" si="0"/>
        <v>440.952</v>
      </c>
      <c r="O11" s="1852">
        <f t="shared" si="0"/>
        <v>455.53000000000003</v>
      </c>
      <c r="P11" s="1852">
        <f t="shared" si="0"/>
        <v>484.83499999999998</v>
      </c>
      <c r="Q11" s="1852">
        <f t="shared" si="0"/>
        <v>506.05899999999997</v>
      </c>
      <c r="R11" s="1852">
        <f t="shared" si="0"/>
        <v>516.1339999999999</v>
      </c>
      <c r="S11" s="1852">
        <f t="shared" ref="S11:X11" si="1">+S14+S17</f>
        <v>528.87099999999998</v>
      </c>
      <c r="T11" s="1852">
        <f t="shared" si="1"/>
        <v>543.08400000000006</v>
      </c>
      <c r="U11" s="1852">
        <f t="shared" si="1"/>
        <v>564.67700000000002</v>
      </c>
      <c r="V11" s="1852">
        <f t="shared" si="1"/>
        <v>580.053</v>
      </c>
      <c r="W11" s="1852">
        <f t="shared" si="1"/>
        <v>605.16100000000006</v>
      </c>
      <c r="X11" s="1852">
        <f t="shared" si="1"/>
        <v>620.43999999999994</v>
      </c>
      <c r="Y11" s="1852">
        <f>+Y14+Y17</f>
        <v>638.12099999999998</v>
      </c>
      <c r="Z11" s="1852">
        <f>+Z14+Z17</f>
        <v>643.17399999999998</v>
      </c>
      <c r="AA11" s="1852">
        <f>+AA14+AA17</f>
        <v>665.58199999999988</v>
      </c>
      <c r="AB11" s="1852">
        <f>+AB14+AB17</f>
        <v>686.649</v>
      </c>
      <c r="AC11" s="1852">
        <f t="shared" ref="AC11" si="2">+AC14+AC17</f>
        <v>730.46199999999988</v>
      </c>
      <c r="AD11" s="1852">
        <f t="shared" ref="AD11" si="3">+AD14+AD17</f>
        <v>844.15600000000006</v>
      </c>
      <c r="AE11" s="1852">
        <f t="shared" ref="AE11:AJ11" si="4">+AE14+AE17</f>
        <v>900.51</v>
      </c>
      <c r="AF11" s="1852">
        <f t="shared" si="4"/>
        <v>924.67599999999993</v>
      </c>
      <c r="AG11" s="1852">
        <f t="shared" si="4"/>
        <v>942.64700000000005</v>
      </c>
      <c r="AH11" s="1852">
        <f t="shared" si="4"/>
        <v>949.5250000000002</v>
      </c>
      <c r="AI11" s="1852">
        <f t="shared" si="4"/>
        <v>1066.421</v>
      </c>
      <c r="AJ11" s="1928">
        <f t="shared" si="4"/>
        <v>1152.261</v>
      </c>
      <c r="AK11" s="1928">
        <v>1191.3282194724998</v>
      </c>
      <c r="AL11" s="1852">
        <f>+AL14+AL17</f>
        <v>1200.221</v>
      </c>
      <c r="AM11" s="1801">
        <f>AL11-AK11</f>
        <v>8.8927805275002356</v>
      </c>
      <c r="AN11" s="1804">
        <v>1192.5999999999999</v>
      </c>
      <c r="AO11" s="1801">
        <f>AN11-AK11</f>
        <v>1.271780527500141</v>
      </c>
      <c r="AP11" s="2413" t="s">
        <v>268</v>
      </c>
      <c r="AQ11" s="2420"/>
      <c r="AW11" s="1805"/>
      <c r="AX11" s="1809" t="s">
        <v>1740</v>
      </c>
      <c r="AY11" s="1865" t="s">
        <v>240</v>
      </c>
      <c r="AZ11" s="1865" t="s">
        <v>442</v>
      </c>
      <c r="BA11" s="1865"/>
      <c r="BB11" s="1865"/>
      <c r="BC11" s="1865"/>
      <c r="BH11" s="1805"/>
      <c r="BI11" s="1809" t="s">
        <v>1740</v>
      </c>
      <c r="BJ11" s="1865" t="s">
        <v>240</v>
      </c>
      <c r="BK11" s="1865" t="s">
        <v>442</v>
      </c>
      <c r="BP11" s="1888"/>
      <c r="BQ11" s="1902" t="s">
        <v>671</v>
      </c>
      <c r="BR11" s="1902"/>
      <c r="BS11" s="1902"/>
    </row>
    <row r="12" spans="2:78" ht="15" customHeight="1">
      <c r="B12" s="1772"/>
      <c r="C12" s="1772"/>
      <c r="D12" s="2050" t="s">
        <v>1728</v>
      </c>
      <c r="E12" s="1775"/>
      <c r="F12" s="1776"/>
      <c r="G12" s="1776"/>
      <c r="H12" s="1776"/>
      <c r="I12" s="1776"/>
      <c r="J12" s="1775">
        <f t="shared" ref="J12:O12" si="5">+J11/F11-1</f>
        <v>0.42348853202707426</v>
      </c>
      <c r="K12" s="1775">
        <f t="shared" si="5"/>
        <v>0.32927035311723118</v>
      </c>
      <c r="L12" s="1775">
        <f t="shared" si="5"/>
        <v>0.27011705258965613</v>
      </c>
      <c r="M12" s="1777">
        <f t="shared" si="5"/>
        <v>0.25572207976106176</v>
      </c>
      <c r="N12" s="1777">
        <f t="shared" si="5"/>
        <v>0.24580659925582493</v>
      </c>
      <c r="O12" s="1777">
        <f t="shared" si="5"/>
        <v>0.18162646461449894</v>
      </c>
      <c r="P12" s="1777">
        <f t="shared" ref="P12:V12" si="6">+P11/L11-1</f>
        <v>0.18771557637282954</v>
      </c>
      <c r="Q12" s="1777">
        <f t="shared" si="6"/>
        <v>0.198862398013816</v>
      </c>
      <c r="R12" s="1777">
        <f t="shared" si="6"/>
        <v>0.17049928336871112</v>
      </c>
      <c r="S12" s="1777">
        <f t="shared" si="6"/>
        <v>0.16100147081421623</v>
      </c>
      <c r="T12" s="1777">
        <f t="shared" si="6"/>
        <v>0.12014190394670377</v>
      </c>
      <c r="U12" s="1777">
        <f t="shared" si="6"/>
        <v>0.11583234365953388</v>
      </c>
      <c r="V12" s="1777">
        <f t="shared" si="6"/>
        <v>0.12384187052199636</v>
      </c>
      <c r="W12" s="1777">
        <f t="shared" ref="W12:AB12" si="7">+W11/S11-1</f>
        <v>0.14425067738635722</v>
      </c>
      <c r="X12" s="1777">
        <f t="shared" si="7"/>
        <v>0.14243837049148911</v>
      </c>
      <c r="Y12" s="1777">
        <f t="shared" si="7"/>
        <v>0.13006373555147444</v>
      </c>
      <c r="Z12" s="1777">
        <f t="shared" si="7"/>
        <v>0.10881936650616408</v>
      </c>
      <c r="AA12" s="1777">
        <f t="shared" si="7"/>
        <v>9.984285173697538E-2</v>
      </c>
      <c r="AB12" s="1777">
        <f t="shared" si="7"/>
        <v>0.10671297788666112</v>
      </c>
      <c r="AC12" s="1777">
        <f t="shared" ref="AC12" si="8">+AC11/Y11-1</f>
        <v>0.14470766516068245</v>
      </c>
      <c r="AD12" s="1777">
        <f t="shared" ref="AD12" si="9">+AD11/Z11-1</f>
        <v>0.31248464645648011</v>
      </c>
      <c r="AE12" s="1777">
        <f t="shared" ref="AE12" si="10">+AE11/AA11-1</f>
        <v>0.35296627613126574</v>
      </c>
      <c r="AF12" s="1777">
        <f t="shared" ref="AF12" si="11">+AF11/AB11-1</f>
        <v>0.3466501808056226</v>
      </c>
      <c r="AG12" s="1777">
        <f t="shared" ref="AG12" si="12">+AG11/AC11-1</f>
        <v>0.2904805451892094</v>
      </c>
      <c r="AH12" s="1777">
        <f t="shared" ref="AH12" si="13">+AH11/AD11-1</f>
        <v>0.12482171541752951</v>
      </c>
      <c r="AI12" s="1777">
        <f t="shared" ref="AI12" si="14">+AI11/AE11-1</f>
        <v>0.18424115223595527</v>
      </c>
      <c r="AJ12" s="1929">
        <f t="shared" ref="AJ12" si="15">+AJ11/AF11-1</f>
        <v>0.24612404777457186</v>
      </c>
      <c r="AK12" s="1929">
        <v>0.26381160654253355</v>
      </c>
      <c r="AL12" s="1777">
        <f>AL11/AG11-1</f>
        <v>0.27324544606835843</v>
      </c>
      <c r="AM12" s="1778">
        <f>(AL12-AK12)*10000</f>
        <v>94.338395258248823</v>
      </c>
      <c r="AN12" s="1779">
        <f>+AN11/AG11-1</f>
        <v>0.26516076537664657</v>
      </c>
      <c r="AO12" s="1778">
        <f>(AN12-AK12)*10000</f>
        <v>13.491588341130178</v>
      </c>
      <c r="AP12" s="2418"/>
      <c r="AQ12" s="2421"/>
      <c r="AU12" s="1754">
        <f>++AH11+AI11+AJ11+AL11</f>
        <v>4368.4279999999999</v>
      </c>
      <c r="AV12" s="2012">
        <v>5010</v>
      </c>
      <c r="AW12" s="1805" t="s">
        <v>1743</v>
      </c>
      <c r="AX12" s="1871" t="s">
        <v>2743</v>
      </c>
      <c r="AY12" s="1873">
        <f ca="1">+IS!W15</f>
        <v>5039.1585955911905</v>
      </c>
      <c r="AZ12" s="1874">
        <v>5042.68</v>
      </c>
      <c r="BA12" s="1874"/>
      <c r="BB12" s="1874"/>
      <c r="BC12" s="1874"/>
      <c r="BG12" s="2012">
        <v>1208</v>
      </c>
      <c r="BH12" s="2097" t="s">
        <v>1743</v>
      </c>
      <c r="BI12" s="1871" t="s">
        <v>2736</v>
      </c>
      <c r="BJ12" s="1873">
        <f ca="1">+IS!DR15</f>
        <v>1215.5685010826094</v>
      </c>
      <c r="BK12" s="1874">
        <v>1210.95</v>
      </c>
      <c r="BP12" s="1888"/>
      <c r="BQ12" s="1805"/>
      <c r="BR12" s="1972">
        <v>2015</v>
      </c>
      <c r="BS12" s="1809" t="s">
        <v>1926</v>
      </c>
    </row>
    <row r="13" spans="2:78" ht="15" customHeight="1">
      <c r="B13" s="1772"/>
      <c r="C13" s="1772"/>
      <c r="D13" s="2051" t="s">
        <v>1729</v>
      </c>
      <c r="E13" s="1780"/>
      <c r="F13" s="1781"/>
      <c r="G13" s="1780">
        <f t="shared" ref="G13:M13" si="16">+G11/F11-1</f>
        <v>0.16637106925827139</v>
      </c>
      <c r="H13" s="1780">
        <f t="shared" si="16"/>
        <v>0.10819020953944114</v>
      </c>
      <c r="I13" s="1780">
        <f t="shared" si="16"/>
        <v>4.5924939482379745E-2</v>
      </c>
      <c r="J13" s="1780">
        <f t="shared" si="16"/>
        <v>5.2937046710733737E-2</v>
      </c>
      <c r="K13" s="1780">
        <f t="shared" si="16"/>
        <v>8.9171038765471833E-2</v>
      </c>
      <c r="L13" s="1780">
        <f t="shared" si="16"/>
        <v>5.8875103434143261E-2</v>
      </c>
      <c r="M13" s="1782">
        <f t="shared" si="16"/>
        <v>3.4070865833104813E-2</v>
      </c>
      <c r="N13" s="1782">
        <f t="shared" ref="N13:T13" si="17">+N11/M11-1</f>
        <v>4.4622805105705599E-2</v>
      </c>
      <c r="O13" s="1782">
        <f t="shared" si="17"/>
        <v>3.3060287741069505E-2</v>
      </c>
      <c r="P13" s="1782">
        <f t="shared" si="17"/>
        <v>6.4331657629574268E-2</v>
      </c>
      <c r="Q13" s="1782">
        <f t="shared" si="17"/>
        <v>4.3775717512143375E-2</v>
      </c>
      <c r="R13" s="1782">
        <f t="shared" si="17"/>
        <v>1.9908745818175255E-2</v>
      </c>
      <c r="S13" s="1782">
        <f t="shared" si="17"/>
        <v>2.4677699977137868E-2</v>
      </c>
      <c r="T13" s="1782">
        <f t="shared" si="17"/>
        <v>2.6874228308982895E-2</v>
      </c>
      <c r="U13" s="1782">
        <f t="shared" ref="U13:Z13" si="18">+U11/T11-1</f>
        <v>3.9759963467898007E-2</v>
      </c>
      <c r="V13" s="1782">
        <f t="shared" si="18"/>
        <v>2.7229726020362E-2</v>
      </c>
      <c r="W13" s="1782">
        <f t="shared" si="18"/>
        <v>4.3285699755022389E-2</v>
      </c>
      <c r="X13" s="1782">
        <f t="shared" si="18"/>
        <v>2.5247826611430435E-2</v>
      </c>
      <c r="Y13" s="1782">
        <f t="shared" si="18"/>
        <v>2.8497517890529345E-2</v>
      </c>
      <c r="Z13" s="1782">
        <f t="shared" si="18"/>
        <v>7.9185608998919577E-3</v>
      </c>
      <c r="AA13" s="1782">
        <f t="shared" ref="AA13:AC13" si="19">+AA11/Z11-1</f>
        <v>3.4839716779595964E-2</v>
      </c>
      <c r="AB13" s="1782">
        <f t="shared" si="19"/>
        <v>3.1651997800421494E-2</v>
      </c>
      <c r="AC13" s="1782">
        <f t="shared" si="19"/>
        <v>6.380698144175545E-2</v>
      </c>
      <c r="AD13" s="1782">
        <f t="shared" ref="AD13" si="20">+AD11/AC11-1</f>
        <v>0.15564670030747685</v>
      </c>
      <c r="AE13" s="1782">
        <f t="shared" ref="AE13" si="21">+AE11/AD11-1</f>
        <v>6.6757803060097709E-2</v>
      </c>
      <c r="AF13" s="1782">
        <f t="shared" ref="AF13" si="22">+AF11/AE11-1</f>
        <v>2.6835904098788443E-2</v>
      </c>
      <c r="AG13" s="1782">
        <f t="shared" ref="AG13" si="23">+AG11/AF11-1</f>
        <v>1.9434915581241663E-2</v>
      </c>
      <c r="AH13" s="1782">
        <f t="shared" ref="AH13" si="24">+AH11/AG11-1</f>
        <v>7.2964747142887365E-3</v>
      </c>
      <c r="AI13" s="1782">
        <f t="shared" ref="AI13" si="25">+AI11/AH11-1</f>
        <v>0.12310997604065177</v>
      </c>
      <c r="AJ13" s="1930">
        <f t="shared" ref="AJ13" si="26">+AJ11/AI11-1</f>
        <v>8.0493538668124476E-2</v>
      </c>
      <c r="AK13" s="1930">
        <v>3.3904835338955053E-2</v>
      </c>
      <c r="AL13" s="1782">
        <f>+AL11/AJ11-1</f>
        <v>4.1622514343538475E-2</v>
      </c>
      <c r="AM13" s="1783">
        <f>(AL13-AK13)*10000</f>
        <v>77.176790045834224</v>
      </c>
      <c r="AN13" s="1784">
        <f>+AN11/AJ11-1</f>
        <v>3.5008561428356844E-2</v>
      </c>
      <c r="AO13" s="1783">
        <f>(AN13-AK13)*10000</f>
        <v>11.037260894017908</v>
      </c>
      <c r="AP13" s="2419"/>
      <c r="AQ13" s="2422"/>
      <c r="AT13" s="1867"/>
      <c r="AU13" s="1867"/>
      <c r="AW13" s="1774" t="s">
        <v>1322</v>
      </c>
      <c r="AX13" s="1976">
        <f>+AV12/AU12-1</f>
        <v>0.14686564594861129</v>
      </c>
      <c r="AY13" s="2119">
        <f ca="1">+IS!W17</f>
        <v>0.1535404945649077</v>
      </c>
      <c r="AZ13" s="1975">
        <f>+AZ12/BC35-1</f>
        <v>0.15660716210730086</v>
      </c>
      <c r="BA13" s="1975"/>
      <c r="BB13" s="1975"/>
      <c r="BC13" s="1975"/>
      <c r="BH13" s="1774" t="s">
        <v>95</v>
      </c>
      <c r="BI13" s="1976">
        <f>+BG12/AL11-1</f>
        <v>6.4813063594122422E-3</v>
      </c>
      <c r="BJ13" s="2119">
        <f ca="1">+IS!DR16</f>
        <v>1.2787229254120236E-2</v>
      </c>
      <c r="BK13" s="1975">
        <f>+BK12/IS!DQ15-1</f>
        <v>8.9391870330548517E-3</v>
      </c>
      <c r="BP13" s="1888"/>
      <c r="BQ13" s="1805" t="s">
        <v>1743</v>
      </c>
      <c r="BR13" s="1871" t="s">
        <v>1892</v>
      </c>
      <c r="BS13" s="1871" t="s">
        <v>1886</v>
      </c>
    </row>
    <row r="14" spans="2:78" ht="15" customHeight="1">
      <c r="B14" s="1772"/>
      <c r="C14" s="1772"/>
      <c r="D14" s="2052" t="s">
        <v>1407</v>
      </c>
      <c r="E14" s="1785"/>
      <c r="F14" s="1851">
        <f t="shared" ref="F14:R14" si="27">+SUM(F33:F36)</f>
        <v>237.23600000000002</v>
      </c>
      <c r="G14" s="1851">
        <f t="shared" si="27"/>
        <v>276.14899999999994</v>
      </c>
      <c r="H14" s="1851">
        <f t="shared" si="27"/>
        <v>305.96800000000002</v>
      </c>
      <c r="I14" s="1851">
        <f t="shared" si="27"/>
        <v>317.43299999999999</v>
      </c>
      <c r="J14" s="1851">
        <f t="shared" si="27"/>
        <v>335.04700000000003</v>
      </c>
      <c r="K14" s="1851">
        <f t="shared" si="27"/>
        <v>367.38799999999998</v>
      </c>
      <c r="L14" s="1851">
        <f t="shared" si="27"/>
        <v>388.214</v>
      </c>
      <c r="M14" s="1852">
        <f t="shared" si="27"/>
        <v>401.76499999999999</v>
      </c>
      <c r="N14" s="1852">
        <f t="shared" si="27"/>
        <v>420.14499999999998</v>
      </c>
      <c r="O14" s="1852">
        <f t="shared" si="27"/>
        <v>433.61500000000001</v>
      </c>
      <c r="P14" s="1852">
        <f t="shared" si="27"/>
        <v>460.48199999999997</v>
      </c>
      <c r="Q14" s="1852">
        <f t="shared" si="27"/>
        <v>482.82599999999996</v>
      </c>
      <c r="R14" s="1852">
        <f t="shared" si="27"/>
        <v>494.52199999999993</v>
      </c>
      <c r="S14" s="1852">
        <f t="shared" ref="S14:X14" si="28">+SUM(S33:S36)</f>
        <v>501.81400000000002</v>
      </c>
      <c r="T14" s="1852">
        <f t="shared" si="28"/>
        <v>515.56600000000003</v>
      </c>
      <c r="U14" s="1852">
        <f t="shared" si="28"/>
        <v>538.06000000000006</v>
      </c>
      <c r="V14" s="1852">
        <f t="shared" si="28"/>
        <v>549.70299999999997</v>
      </c>
      <c r="W14" s="1852">
        <f t="shared" si="28"/>
        <v>574.15800000000002</v>
      </c>
      <c r="X14" s="1852">
        <f t="shared" si="28"/>
        <v>588.43599999999992</v>
      </c>
      <c r="Y14" s="1852">
        <f>+SUM(Y33:Y36)</f>
        <v>605.49199999999996</v>
      </c>
      <c r="Z14" s="1852">
        <f>+SUM(Z33:Z36)</f>
        <v>609.65700000000004</v>
      </c>
      <c r="AA14" s="1852">
        <f>+SUM(AA33:AA36)</f>
        <v>626.69099999999992</v>
      </c>
      <c r="AB14" s="1852">
        <f>+SUM(AB33:AB36)</f>
        <v>646.721</v>
      </c>
      <c r="AC14" s="1852">
        <f t="shared" ref="AC14" si="29">+SUM(AC33:AC36)</f>
        <v>686.07199999999989</v>
      </c>
      <c r="AD14" s="1852">
        <f t="shared" ref="AD14" si="30">+SUM(AD33:AD36)</f>
        <v>797.09400000000005</v>
      </c>
      <c r="AE14" s="1852">
        <f t="shared" ref="AE14:AJ14" si="31">+SUM(AE33:AE36)</f>
        <v>851.77099999999996</v>
      </c>
      <c r="AF14" s="1852">
        <f t="shared" si="31"/>
        <v>877.00599999999997</v>
      </c>
      <c r="AG14" s="1852">
        <f t="shared" si="31"/>
        <v>892.44200000000001</v>
      </c>
      <c r="AH14" s="1852">
        <f t="shared" si="31"/>
        <v>898.44000000000017</v>
      </c>
      <c r="AI14" s="1852">
        <f t="shared" si="31"/>
        <v>1010.048</v>
      </c>
      <c r="AJ14" s="1928">
        <f t="shared" si="31"/>
        <v>1089.0329999999999</v>
      </c>
      <c r="AK14" s="1928">
        <v>1127.7002194724998</v>
      </c>
      <c r="AL14" s="1799">
        <f>+SUM(AL33:AL36)</f>
        <v>1122.5989999999999</v>
      </c>
      <c r="AM14" s="1786">
        <f>AL14-AK14</f>
        <v>-5.1012194724999063</v>
      </c>
      <c r="AN14" s="1804">
        <v>1130</v>
      </c>
      <c r="AO14" s="1801">
        <f>AN14-AK14</f>
        <v>2.299780527500161</v>
      </c>
      <c r="AP14" s="2406" t="s">
        <v>214</v>
      </c>
      <c r="AQ14" s="2423"/>
      <c r="AS14" s="1867"/>
      <c r="AT14" s="1867"/>
      <c r="AU14" s="1867"/>
      <c r="AW14" s="1805" t="s">
        <v>1348</v>
      </c>
      <c r="AX14" s="1871">
        <v>0.67</v>
      </c>
      <c r="AY14" s="1880">
        <f ca="1">+IS!W20</f>
        <v>0.67</v>
      </c>
      <c r="AZ14" s="1881">
        <v>0.64349999999999996</v>
      </c>
      <c r="BA14" s="1881"/>
      <c r="BB14" s="1881"/>
      <c r="BC14" s="1881"/>
      <c r="BH14" s="1805" t="s">
        <v>1348</v>
      </c>
      <c r="BI14" s="1871">
        <v>0.67</v>
      </c>
      <c r="BJ14" s="1880">
        <f ca="1">+IS!DR20</f>
        <v>0.67</v>
      </c>
      <c r="BK14" s="1881">
        <v>0.65359999999999996</v>
      </c>
      <c r="BP14" s="1888"/>
      <c r="BQ14" s="1774" t="s">
        <v>1322</v>
      </c>
      <c r="BR14" s="1976">
        <v>7.6203824001800369E-2</v>
      </c>
      <c r="BS14" s="1976">
        <v>-3.3238210308076388E-3</v>
      </c>
    </row>
    <row r="15" spans="2:78" ht="15" customHeight="1">
      <c r="B15" s="1772"/>
      <c r="C15" s="1772"/>
      <c r="D15" s="2050" t="s">
        <v>1728</v>
      </c>
      <c r="E15" s="1775"/>
      <c r="F15" s="1775"/>
      <c r="G15" s="1775"/>
      <c r="H15" s="1775"/>
      <c r="I15" s="1775"/>
      <c r="J15" s="1775">
        <f t="shared" ref="J15:O15" si="32">+J14/F14-1</f>
        <v>0.4122940869008076</v>
      </c>
      <c r="K15" s="1775">
        <f t="shared" si="32"/>
        <v>0.33039772007141099</v>
      </c>
      <c r="L15" s="1775">
        <f t="shared" si="32"/>
        <v>0.26880588819745843</v>
      </c>
      <c r="M15" s="1777">
        <f t="shared" si="32"/>
        <v>0.26566866078826079</v>
      </c>
      <c r="N15" s="1777">
        <f t="shared" si="32"/>
        <v>0.25398824642512818</v>
      </c>
      <c r="O15" s="1777">
        <f t="shared" si="32"/>
        <v>0.18026446155018672</v>
      </c>
      <c r="P15" s="1777">
        <f t="shared" ref="P15:V15" si="33">+P14/L14-1</f>
        <v>0.18615505880777095</v>
      </c>
      <c r="Q15" s="1777">
        <f t="shared" si="33"/>
        <v>0.20176222418578016</v>
      </c>
      <c r="R15" s="1777">
        <f t="shared" si="33"/>
        <v>0.17702697878113494</v>
      </c>
      <c r="S15" s="1777">
        <f t="shared" si="33"/>
        <v>0.15728007564313962</v>
      </c>
      <c r="T15" s="1777">
        <f t="shared" si="33"/>
        <v>0.11962248252917607</v>
      </c>
      <c r="U15" s="1777">
        <f t="shared" si="33"/>
        <v>0.11439731911703199</v>
      </c>
      <c r="V15" s="1777">
        <f t="shared" si="33"/>
        <v>0.1115845200011325</v>
      </c>
      <c r="W15" s="1777">
        <f t="shared" ref="W15:AB15" si="34">+W14/S14-1</f>
        <v>0.14416496949068769</v>
      </c>
      <c r="X15" s="1777">
        <f t="shared" si="34"/>
        <v>0.14133980906421262</v>
      </c>
      <c r="Y15" s="1777">
        <f t="shared" si="34"/>
        <v>0.12532431327361238</v>
      </c>
      <c r="Z15" s="1777">
        <f t="shared" si="34"/>
        <v>0.10906616845824035</v>
      </c>
      <c r="AA15" s="1777">
        <f t="shared" si="34"/>
        <v>9.1495720690123461E-2</v>
      </c>
      <c r="AB15" s="1777">
        <f t="shared" si="34"/>
        <v>9.9050703899829617E-2</v>
      </c>
      <c r="AC15" s="1777">
        <f t="shared" ref="AC15" si="35">+AC14/Y14-1</f>
        <v>0.13308185739861123</v>
      </c>
      <c r="AD15" s="1777">
        <f t="shared" ref="AD15" si="36">+AD14/Z14-1</f>
        <v>0.30744664622894513</v>
      </c>
      <c r="AE15" s="1777">
        <f t="shared" ref="AE15" si="37">+AE14/AA14-1</f>
        <v>0.35915626680453383</v>
      </c>
      <c r="AF15" s="1777">
        <f t="shared" ref="AF15" si="38">+AF14/AB14-1</f>
        <v>0.35608090660423897</v>
      </c>
      <c r="AG15" s="1777">
        <f t="shared" ref="AG15" si="39">+AG14/AC14-1</f>
        <v>0.30079933301461104</v>
      </c>
      <c r="AH15" s="1777">
        <f t="shared" ref="AH15" si="40">+AH14/AD14-1</f>
        <v>0.12714435185812478</v>
      </c>
      <c r="AI15" s="1777">
        <f t="shared" ref="AI15" si="41">+AI14/AE14-1</f>
        <v>0.1858210716260591</v>
      </c>
      <c r="AJ15" s="1929">
        <f t="shared" ref="AJ15" si="42">+AJ14/AF14-1</f>
        <v>0.24176231405486392</v>
      </c>
      <c r="AK15" s="1929">
        <v>0.26361177473998287</v>
      </c>
      <c r="AL15" s="1777">
        <f>AL14/AG14-1</f>
        <v>0.25789575120848185</v>
      </c>
      <c r="AM15" s="1778">
        <f>(AL15-AK15)*10000</f>
        <v>-57.16023531501024</v>
      </c>
      <c r="AN15" s="1779">
        <f>+AN14/AG14-1</f>
        <v>0.26618872711055741</v>
      </c>
      <c r="AO15" s="1778">
        <f>(AN15-AK15)*10000</f>
        <v>25.769523705745367</v>
      </c>
      <c r="AP15" s="2418"/>
      <c r="AQ15" s="2424"/>
      <c r="AS15" s="1867"/>
      <c r="AT15" s="1867"/>
      <c r="AU15" s="1867"/>
      <c r="AW15" s="1805" t="s">
        <v>1539</v>
      </c>
      <c r="AX15" s="1871" t="s">
        <v>2744</v>
      </c>
      <c r="AY15" s="1880">
        <f ca="1">+IS!W24/AY12</f>
        <v>0.1944838465719966</v>
      </c>
      <c r="AZ15" s="1873"/>
      <c r="BA15" s="1873"/>
      <c r="BB15" s="1873"/>
      <c r="BC15" s="1873"/>
      <c r="BH15" s="2097" t="s">
        <v>2737</v>
      </c>
      <c r="BI15" s="1871">
        <v>0.21</v>
      </c>
      <c r="BJ15" s="1880">
        <f ca="1">+(IS!DR24+IS!DR34-IS!DR33)/BJ12</f>
        <v>0.21</v>
      </c>
      <c r="BK15" s="1873"/>
      <c r="BP15" s="1888"/>
      <c r="BQ15" s="1805" t="s">
        <v>1348</v>
      </c>
      <c r="BR15" s="1871" t="s">
        <v>1349</v>
      </c>
      <c r="BS15" s="1871" t="s">
        <v>1349</v>
      </c>
    </row>
    <row r="16" spans="2:78" ht="15" customHeight="1">
      <c r="B16" s="1772"/>
      <c r="C16" s="1772"/>
      <c r="D16" s="2050" t="s">
        <v>1729</v>
      </c>
      <c r="E16" s="1775"/>
      <c r="F16" s="1775"/>
      <c r="G16" s="1775">
        <f t="shared" ref="G16:L16" si="43">+G14/F14-1</f>
        <v>0.16402653897384845</v>
      </c>
      <c r="H16" s="1775">
        <f t="shared" si="43"/>
        <v>0.10798156067919873</v>
      </c>
      <c r="I16" s="1775">
        <f t="shared" si="43"/>
        <v>3.7471238822360364E-2</v>
      </c>
      <c r="J16" s="1775">
        <f t="shared" si="43"/>
        <v>5.5488874817678058E-2</v>
      </c>
      <c r="K16" s="1775">
        <f t="shared" si="43"/>
        <v>9.6526755947672793E-2</v>
      </c>
      <c r="L16" s="1775">
        <f t="shared" si="43"/>
        <v>5.6686663690703076E-2</v>
      </c>
      <c r="M16" s="1777">
        <f t="shared" ref="M16:R16" si="44">+M14/L14-1</f>
        <v>3.4906005450601851E-2</v>
      </c>
      <c r="N16" s="1777">
        <f t="shared" si="44"/>
        <v>4.5748136348362944E-2</v>
      </c>
      <c r="O16" s="1777">
        <f t="shared" si="44"/>
        <v>3.2060360113770336E-2</v>
      </c>
      <c r="P16" s="1777">
        <f t="shared" si="44"/>
        <v>6.1960494909078179E-2</v>
      </c>
      <c r="Q16" s="1777">
        <f t="shared" si="44"/>
        <v>4.8523069305640654E-2</v>
      </c>
      <c r="R16" s="1777">
        <f t="shared" si="44"/>
        <v>2.4224047586500985E-2</v>
      </c>
      <c r="S16" s="1777">
        <f t="shared" ref="S16:X16" si="45">+S14/R14-1</f>
        <v>1.4745552270677642E-2</v>
      </c>
      <c r="T16" s="1777">
        <f t="shared" si="45"/>
        <v>2.7404576197555208E-2</v>
      </c>
      <c r="U16" s="1777">
        <f t="shared" si="45"/>
        <v>4.3629719570336345E-2</v>
      </c>
      <c r="V16" s="1777">
        <f t="shared" si="45"/>
        <v>2.1638850685796962E-2</v>
      </c>
      <c r="W16" s="1777">
        <f t="shared" si="45"/>
        <v>4.4487659699874449E-2</v>
      </c>
      <c r="X16" s="1777">
        <f t="shared" si="45"/>
        <v>2.486771933857912E-2</v>
      </c>
      <c r="Y16" s="1777">
        <f t="shared" ref="Y16:AC16" si="46">+Y14/X14-1</f>
        <v>2.8985310212155779E-2</v>
      </c>
      <c r="Z16" s="1777">
        <f t="shared" si="46"/>
        <v>6.8787035997173174E-3</v>
      </c>
      <c r="AA16" s="1777">
        <f t="shared" si="46"/>
        <v>2.7940300857695277E-2</v>
      </c>
      <c r="AB16" s="1777">
        <f t="shared" si="46"/>
        <v>3.1961524898235449E-2</v>
      </c>
      <c r="AC16" s="1777">
        <f t="shared" si="46"/>
        <v>6.084694945733915E-2</v>
      </c>
      <c r="AD16" s="1777">
        <f t="shared" ref="AD16" si="47">+AD14/AC14-1</f>
        <v>0.16182266584265226</v>
      </c>
      <c r="AE16" s="1777">
        <f t="shared" ref="AE16" si="48">+AE14/AD14-1</f>
        <v>6.8595422873588108E-2</v>
      </c>
      <c r="AF16" s="1777">
        <f t="shared" ref="AF16" si="49">+AF14/AE14-1</f>
        <v>2.9626507594177287E-2</v>
      </c>
      <c r="AG16" s="1777">
        <f t="shared" ref="AG16" si="50">+AG14/AF14-1</f>
        <v>1.7600791784776915E-2</v>
      </c>
      <c r="AH16" s="1777">
        <f t="shared" ref="AH16" si="51">+AH14/AG14-1</f>
        <v>6.7208849426632078E-3</v>
      </c>
      <c r="AI16" s="1777">
        <f t="shared" ref="AI16" si="52">+AI14/AH14-1</f>
        <v>0.12422421085436963</v>
      </c>
      <c r="AJ16" s="1929">
        <f t="shared" ref="AJ16" si="53">+AJ14/AI14-1</f>
        <v>7.8199253896844345E-2</v>
      </c>
      <c r="AK16" s="1929">
        <v>3.550601264837705E-2</v>
      </c>
      <c r="AL16" s="1777">
        <f>+AL14/AJ14-1</f>
        <v>3.0821839191282674E-2</v>
      </c>
      <c r="AM16" s="1783">
        <f>(AL16-AK16)*10000</f>
        <v>-46.841734570943757</v>
      </c>
      <c r="AN16" s="1784">
        <f>+AN14/AJ14-1</f>
        <v>3.7617776504476952E-2</v>
      </c>
      <c r="AO16" s="1783">
        <f>(AN16-AK16)*10000</f>
        <v>21.117638560999019</v>
      </c>
      <c r="AP16" s="2419"/>
      <c r="AQ16" s="2425"/>
      <c r="AS16" s="1867"/>
      <c r="AT16" s="1867"/>
      <c r="AU16" s="1867">
        <f>+AV12*0.675-AV15</f>
        <v>3381.75</v>
      </c>
      <c r="AV16" s="2012">
        <v>2385</v>
      </c>
      <c r="AW16" s="1805" t="s">
        <v>400</v>
      </c>
      <c r="AX16" s="1871" t="s">
        <v>2745</v>
      </c>
      <c r="AY16" s="1873">
        <f ca="1">+IS!W37</f>
        <v>2396.2013118891828</v>
      </c>
      <c r="AZ16" s="1874">
        <v>2399.46</v>
      </c>
      <c r="BA16" s="1874"/>
      <c r="BB16" s="1874"/>
      <c r="BC16" s="1874"/>
      <c r="BG16" s="2012">
        <v>553</v>
      </c>
      <c r="BH16" s="2097" t="s">
        <v>400</v>
      </c>
      <c r="BI16" s="1871" t="s">
        <v>2738</v>
      </c>
      <c r="BJ16" s="1873">
        <f ca="1">+IS!DR37</f>
        <v>559.16151049800044</v>
      </c>
      <c r="BK16" s="1874">
        <v>557.38</v>
      </c>
      <c r="BP16" s="1888"/>
      <c r="BQ16" s="1805" t="s">
        <v>1539</v>
      </c>
      <c r="BR16" s="1871" t="s">
        <v>1893</v>
      </c>
      <c r="BS16" s="1879" t="s">
        <v>1887</v>
      </c>
    </row>
    <row r="17" spans="2:71" ht="15" customHeight="1">
      <c r="B17" s="1772"/>
      <c r="C17" s="1772"/>
      <c r="D17" s="2053" t="s">
        <v>1408</v>
      </c>
      <c r="E17" s="1787"/>
      <c r="F17" s="1853">
        <f>Rev!BT13</f>
        <v>11.413</v>
      </c>
      <c r="G17" s="1853">
        <f>Rev!BU13</f>
        <v>13.868</v>
      </c>
      <c r="H17" s="1853">
        <f>Rev!BV13</f>
        <v>15.425999999999998</v>
      </c>
      <c r="I17" s="1853">
        <f>Rev!BW13</f>
        <v>18.721</v>
      </c>
      <c r="J17" s="1853">
        <f>Rev!BX13</f>
        <v>18.902000000000001</v>
      </c>
      <c r="K17" s="1853">
        <f>Rev!BY13</f>
        <v>18.123000000000001</v>
      </c>
      <c r="L17" s="1853">
        <f>Rev!BZ13</f>
        <v>19.994</v>
      </c>
      <c r="M17" s="1854">
        <f>Rev!CA13</f>
        <v>20.350999999999999</v>
      </c>
      <c r="N17" s="1854">
        <f>Rev!CB13</f>
        <v>20.806999999999999</v>
      </c>
      <c r="O17" s="1854">
        <f>Rev!CC13</f>
        <v>21.914999999999999</v>
      </c>
      <c r="P17" s="1854">
        <f>Rev!CD13</f>
        <v>24.353000000000002</v>
      </c>
      <c r="Q17" s="1854">
        <f>Rev!CE13</f>
        <v>23.233000000000001</v>
      </c>
      <c r="R17" s="1854">
        <f>Rev!CF13</f>
        <v>21.612000000000002</v>
      </c>
      <c r="S17" s="1854">
        <f>Rev!CG13</f>
        <v>27.056999999999999</v>
      </c>
      <c r="T17" s="1854">
        <f>Rev!CH13</f>
        <v>27.518000000000001</v>
      </c>
      <c r="U17" s="1854">
        <f>Rev!CI13</f>
        <v>26.616999999999997</v>
      </c>
      <c r="V17" s="1854">
        <f>Rev!CJ13</f>
        <v>30.35</v>
      </c>
      <c r="W17" s="1854">
        <f>Rev!CK13</f>
        <v>31.003</v>
      </c>
      <c r="X17" s="1854">
        <f>Rev!CL13</f>
        <v>32.003999999999998</v>
      </c>
      <c r="Y17" s="1854">
        <f>Rev!CM13</f>
        <v>32.628999999999998</v>
      </c>
      <c r="Z17" s="1854">
        <f>Rev!CN13</f>
        <v>33.516999999999996</v>
      </c>
      <c r="AA17" s="1854">
        <f>Rev!CO13</f>
        <v>38.890999999999998</v>
      </c>
      <c r="AB17" s="1854">
        <f>Rev!CP13</f>
        <v>39.927999999999997</v>
      </c>
      <c r="AC17" s="1854">
        <f>Rev!CQ13</f>
        <v>44.39</v>
      </c>
      <c r="AD17" s="1854">
        <f>Rev!CR13</f>
        <v>47.062000000000005</v>
      </c>
      <c r="AE17" s="1854">
        <f>Rev!CS13</f>
        <v>48.739000000000004</v>
      </c>
      <c r="AF17" s="1854">
        <f>Rev!CT13</f>
        <v>47.67</v>
      </c>
      <c r="AG17" s="1854">
        <f>Rev!CU13</f>
        <v>50.205000000000005</v>
      </c>
      <c r="AH17" s="1854">
        <f>Rev!CV13</f>
        <v>51.084999999999994</v>
      </c>
      <c r="AI17" s="1854">
        <f>Rev!CW13</f>
        <v>56.372999999999998</v>
      </c>
      <c r="AJ17" s="1931">
        <f>Rev!CX13</f>
        <v>63.228000000000002</v>
      </c>
      <c r="AK17" s="1931">
        <v>63.628</v>
      </c>
      <c r="AL17" s="1942">
        <v>77.622</v>
      </c>
      <c r="AM17" s="1788">
        <f>AL17-AK17</f>
        <v>13.994</v>
      </c>
      <c r="AN17" s="2014">
        <v>62.7</v>
      </c>
      <c r="AO17" s="1801">
        <f>AN17-AK17</f>
        <v>-0.92799999999999727</v>
      </c>
      <c r="AP17" s="1886" t="s">
        <v>268</v>
      </c>
      <c r="AQ17" s="2109"/>
      <c r="AS17" s="1867"/>
      <c r="AT17" s="1835"/>
      <c r="AU17" s="1835"/>
      <c r="AV17" s="2013"/>
      <c r="AW17" s="2120" t="s">
        <v>1741</v>
      </c>
      <c r="AX17" s="2118">
        <f>+AV16/AV12</f>
        <v>0.47604790419161674</v>
      </c>
      <c r="AY17" s="2119">
        <f ca="1">+AY16/AY12</f>
        <v>0.47551615342800341</v>
      </c>
      <c r="AZ17" s="2119">
        <f>+AZ16/AZ12</f>
        <v>0.47583031245290203</v>
      </c>
      <c r="BA17" s="2119"/>
      <c r="BB17" s="2119"/>
      <c r="BC17" s="2119"/>
      <c r="BG17" s="2013"/>
      <c r="BH17" s="2120" t="s">
        <v>1741</v>
      </c>
      <c r="BI17" s="2118">
        <f>+BG16/BG12</f>
        <v>0.45778145695364236</v>
      </c>
      <c r="BJ17" s="2119">
        <f ca="1">+BJ16/BJ12</f>
        <v>0.46000000000000013</v>
      </c>
      <c r="BK17" s="2119">
        <f>+BK16/BK12</f>
        <v>0.46028324868904574</v>
      </c>
      <c r="BP17" s="1888"/>
      <c r="BQ17" s="1805" t="s">
        <v>400</v>
      </c>
      <c r="BR17" s="1871" t="s">
        <v>1894</v>
      </c>
      <c r="BS17" s="1871" t="s">
        <v>1888</v>
      </c>
    </row>
    <row r="18" spans="2:71" ht="15" customHeight="1">
      <c r="B18" s="1772"/>
      <c r="C18" s="1772"/>
      <c r="D18" s="2054" t="s">
        <v>1736</v>
      </c>
      <c r="E18" s="1785"/>
      <c r="F18" s="1855">
        <f>IS!CJ18</f>
        <v>85.084000000000003</v>
      </c>
      <c r="G18" s="1855">
        <f>IS!CK18</f>
        <v>100.68599999999999</v>
      </c>
      <c r="H18" s="1855">
        <f>IS!CL18</f>
        <v>112.024</v>
      </c>
      <c r="I18" s="1855">
        <f>IS!CM18</f>
        <v>120.934</v>
      </c>
      <c r="J18" s="1855">
        <f>IS!CO18</f>
        <v>118.5</v>
      </c>
      <c r="K18" s="1855">
        <f>IS!CP18</f>
        <v>132.09099999999998</v>
      </c>
      <c r="L18" s="1855">
        <f>IS!CQ18</f>
        <v>139.96700000000001</v>
      </c>
      <c r="M18" s="1856">
        <f>IS!CR18</f>
        <v>139.19499999999999</v>
      </c>
      <c r="N18" s="1856">
        <f>IS!CT18</f>
        <v>137.929</v>
      </c>
      <c r="O18" s="1856">
        <f>IS!CU18</f>
        <v>141.352</v>
      </c>
      <c r="P18" s="1856">
        <f>IS!CV18</f>
        <v>157.42500000000001</v>
      </c>
      <c r="Q18" s="1856">
        <f>IS!CW18</f>
        <v>158.08600000000001</v>
      </c>
      <c r="R18" s="1856">
        <f>IS!CX18</f>
        <v>162.01</v>
      </c>
      <c r="S18" s="1856">
        <f>IS!CY18</f>
        <v>168.42099999999999</v>
      </c>
      <c r="T18" s="1856">
        <f>IS!CZ18</f>
        <v>174.11099999999999</v>
      </c>
      <c r="U18" s="1856">
        <f>IS!DA18</f>
        <v>174.28399999999999</v>
      </c>
      <c r="V18" s="1856">
        <f>IS!DB18</f>
        <v>184.24799999999999</v>
      </c>
      <c r="W18" s="1856">
        <f>IS!DC18</f>
        <v>190.90100000000001</v>
      </c>
      <c r="X18" s="1856">
        <f>IS!DD18</f>
        <v>196.458</v>
      </c>
      <c r="Y18" s="1856">
        <f>IS!DE18</f>
        <v>195.94499999999999</v>
      </c>
      <c r="Z18" s="1856">
        <f>IS!DF18</f>
        <v>192.13</v>
      </c>
      <c r="AA18" s="1856">
        <f>IS!DG18</f>
        <v>204.73599999999999</v>
      </c>
      <c r="AB18" s="1856">
        <f>IS!DH18</f>
        <v>211.61699999999999</v>
      </c>
      <c r="AC18" s="1856">
        <f>IS!DI18</f>
        <v>227.95599999999999</v>
      </c>
      <c r="AD18" s="1856">
        <f>IS!DJ18</f>
        <v>271.10000000000002</v>
      </c>
      <c r="AE18" s="1856">
        <f>IS!DK18</f>
        <v>292.03300000000002</v>
      </c>
      <c r="AF18" s="1856">
        <f>IS!DL18</f>
        <v>304.82100000000003</v>
      </c>
      <c r="AG18" s="1856">
        <f>IS!DM18</f>
        <v>301.54000000000002</v>
      </c>
      <c r="AH18" s="1856">
        <f>IS!DN18</f>
        <v>303.54000000000002</v>
      </c>
      <c r="AI18" s="1856">
        <f>IS!DO18</f>
        <v>344.46899999999999</v>
      </c>
      <c r="AJ18" s="1932">
        <f>IS!DP18</f>
        <v>377.767</v>
      </c>
      <c r="AK18" s="1932">
        <v>393.13831242592488</v>
      </c>
      <c r="AL18" s="1943">
        <v>407.38900000000001</v>
      </c>
      <c r="AM18" s="1786">
        <f>AK18-AL18</f>
        <v>-14.25068757407513</v>
      </c>
      <c r="AN18" s="1786"/>
      <c r="AO18" s="1786"/>
      <c r="AP18" s="2406" t="s">
        <v>214</v>
      </c>
      <c r="AQ18" s="2426"/>
      <c r="AS18" s="1835"/>
      <c r="AT18" s="1835"/>
      <c r="AU18" s="1835"/>
      <c r="AV18" s="2121"/>
      <c r="AW18" s="2097" t="s">
        <v>1947</v>
      </c>
      <c r="AX18" s="1871" t="s">
        <v>2746</v>
      </c>
      <c r="AY18" s="1873">
        <f ca="1">+CF!W222</f>
        <v>1669.6786377825579</v>
      </c>
      <c r="AZ18" s="1874"/>
      <c r="BA18" s="1874"/>
      <c r="BB18" s="1874"/>
      <c r="BC18" s="1874"/>
      <c r="BG18" s="2012">
        <v>365</v>
      </c>
      <c r="BH18" s="1805" t="s">
        <v>431</v>
      </c>
      <c r="BI18" s="1871"/>
      <c r="BJ18" s="1873">
        <f ca="1">+BS!CZ133</f>
        <v>362.12274004330436</v>
      </c>
      <c r="BK18" s="1874">
        <v>413.69</v>
      </c>
      <c r="BP18" s="1888"/>
      <c r="BQ18" s="2120" t="s">
        <v>1741</v>
      </c>
      <c r="BR18" s="2118">
        <v>0.46387832699619774</v>
      </c>
      <c r="BS18" s="2118">
        <v>0.45440251572327045</v>
      </c>
    </row>
    <row r="19" spans="2:71" ht="15" customHeight="1">
      <c r="B19" s="1772"/>
      <c r="C19" s="1772"/>
      <c r="D19" s="2050" t="s">
        <v>1730</v>
      </c>
      <c r="E19" s="1789"/>
      <c r="F19" s="1789">
        <f t="shared" ref="F19:R19" si="54">1-F18/F11</f>
        <v>0.65781483134860785</v>
      </c>
      <c r="G19" s="1789">
        <f t="shared" si="54"/>
        <v>0.6528272480578724</v>
      </c>
      <c r="H19" s="1789">
        <f t="shared" si="54"/>
        <v>0.65144339969010001</v>
      </c>
      <c r="I19" s="1789">
        <f t="shared" si="54"/>
        <v>0.64024226991200461</v>
      </c>
      <c r="J19" s="1789">
        <f t="shared" si="54"/>
        <v>0.66520600425485021</v>
      </c>
      <c r="K19" s="1789">
        <f t="shared" si="54"/>
        <v>0.65736126855005439</v>
      </c>
      <c r="L19" s="1789">
        <f t="shared" si="54"/>
        <v>0.65711842982009161</v>
      </c>
      <c r="M19" s="1790">
        <f t="shared" si="54"/>
        <v>0.6702446720806603</v>
      </c>
      <c r="N19" s="1790">
        <f t="shared" si="54"/>
        <v>0.68720178159981127</v>
      </c>
      <c r="O19" s="1790">
        <f t="shared" si="54"/>
        <v>0.68969771474985175</v>
      </c>
      <c r="P19" s="1790">
        <f t="shared" si="54"/>
        <v>0.67530190683428382</v>
      </c>
      <c r="Q19" s="1790">
        <f t="shared" si="54"/>
        <v>0.68761349961170537</v>
      </c>
      <c r="R19" s="1790">
        <f t="shared" si="54"/>
        <v>0.68610864620428025</v>
      </c>
      <c r="S19" s="1790">
        <f t="shared" ref="S19:X19" si="55">1-S18/S11</f>
        <v>0.68154616154033776</v>
      </c>
      <c r="T19" s="1790">
        <f t="shared" si="55"/>
        <v>0.67940318624743146</v>
      </c>
      <c r="U19" s="1790">
        <f t="shared" si="55"/>
        <v>0.69135629749396554</v>
      </c>
      <c r="V19" s="1790">
        <f t="shared" si="55"/>
        <v>0.68236006020139539</v>
      </c>
      <c r="W19" s="1790">
        <f t="shared" si="55"/>
        <v>0.684545104525903</v>
      </c>
      <c r="X19" s="1790">
        <f t="shared" si="55"/>
        <v>0.68335697247114946</v>
      </c>
      <c r="Y19" s="1790">
        <f>1-Y18/Y11</f>
        <v>0.69293441212560003</v>
      </c>
      <c r="Z19" s="1790">
        <f>1-Z18/Z11</f>
        <v>0.70127834769440311</v>
      </c>
      <c r="AA19" s="1790">
        <f>1-AA18/AA11</f>
        <v>0.69239552752328026</v>
      </c>
      <c r="AB19" s="1790">
        <f>1-AB18/AB11</f>
        <v>0.69181197380320958</v>
      </c>
      <c r="AC19" s="1790">
        <f t="shared" ref="AC19" si="56">1-AC18/AC11</f>
        <v>0.68792900931191481</v>
      </c>
      <c r="AD19" s="1790">
        <f t="shared" ref="AD19" si="57">1-AD18/AD11</f>
        <v>0.67885082851984702</v>
      </c>
      <c r="AE19" s="1790">
        <f t="shared" ref="AE19:AJ19" si="58">1-AE18/AE11</f>
        <v>0.67570265738303847</v>
      </c>
      <c r="AF19" s="1790">
        <f t="shared" si="58"/>
        <v>0.67034831659954408</v>
      </c>
      <c r="AG19" s="1790">
        <f t="shared" si="58"/>
        <v>0.680113552581189</v>
      </c>
      <c r="AH19" s="1790">
        <f t="shared" si="58"/>
        <v>0.68032437271267221</v>
      </c>
      <c r="AI19" s="1790">
        <f t="shared" si="58"/>
        <v>0.67698591831931298</v>
      </c>
      <c r="AJ19" s="1933">
        <f t="shared" si="58"/>
        <v>0.67215153511227055</v>
      </c>
      <c r="AK19" s="1933">
        <v>0.67</v>
      </c>
      <c r="AL19" s="1790">
        <f>1-AL18/AL11</f>
        <v>0.66057167804929251</v>
      </c>
      <c r="AM19" s="1778">
        <f>(AL19-AK19)*10000</f>
        <v>-94.283219507075302</v>
      </c>
      <c r="AN19" s="1974"/>
      <c r="AO19" s="1907"/>
      <c r="AP19" s="2419"/>
      <c r="AQ19" s="2427"/>
      <c r="AS19" s="1867"/>
      <c r="AT19" s="1867"/>
      <c r="AU19" s="1867"/>
      <c r="AV19" s="2012">
        <v>1950</v>
      </c>
      <c r="AW19" s="1805" t="s">
        <v>431</v>
      </c>
      <c r="AX19" s="2333" t="s">
        <v>2748</v>
      </c>
      <c r="AY19" s="1873">
        <f ca="1">+BS!W133</f>
        <v>1935.5663438236477</v>
      </c>
      <c r="AZ19" s="1874">
        <v>1877.61</v>
      </c>
      <c r="BA19" s="1874"/>
      <c r="BB19" s="1874"/>
      <c r="BC19" s="1874"/>
      <c r="BH19" s="2120" t="s">
        <v>1742</v>
      </c>
      <c r="BI19" s="2118"/>
      <c r="BJ19" s="2119">
        <f ca="1">+BJ18/BJ12</f>
        <v>0.29790401752002516</v>
      </c>
      <c r="BK19" s="2119">
        <f>+BK18/BK12</f>
        <v>0.34162434452289525</v>
      </c>
      <c r="BP19" s="1888"/>
      <c r="BQ19" s="2097" t="s">
        <v>1820</v>
      </c>
      <c r="BR19" s="1871" t="s">
        <v>1895</v>
      </c>
      <c r="BS19"/>
    </row>
    <row r="20" spans="2:71" ht="15" customHeight="1">
      <c r="B20" s="1772"/>
      <c r="C20" s="1772"/>
      <c r="D20" s="2055" t="s">
        <v>1539</v>
      </c>
      <c r="E20" s="1792"/>
      <c r="F20" s="1855">
        <f>IS!CL24-IS!CL33+IS!CL34</f>
        <v>67.283999999999992</v>
      </c>
      <c r="G20" s="1855">
        <f>IS!CM24-IS!CM33+IS!CM34</f>
        <v>70.840999999999994</v>
      </c>
      <c r="H20" s="1855">
        <f>IS!CN24-IS!CN33+IS!CN34</f>
        <v>244.465</v>
      </c>
      <c r="I20" s="1855">
        <f>IS!CO24-IS!CO33+IS!CO34</f>
        <v>73.122</v>
      </c>
      <c r="J20" s="1855">
        <f>IS!CP24-IS!CP33+IS!CP34</f>
        <v>76.013999999999996</v>
      </c>
      <c r="K20" s="1855">
        <f>IS!CQ24-IS!CQ33+IS!CQ34</f>
        <v>81.412999999999997</v>
      </c>
      <c r="L20" s="1855">
        <f>IS!CR24-IS!CR33+IS!CR34</f>
        <v>89.676999999999992</v>
      </c>
      <c r="M20" s="1856">
        <f>IS!CS24-IS!CS33+IS!CS34</f>
        <v>320.226</v>
      </c>
      <c r="N20" s="1856">
        <f>IS!CT24-IS!CT33+IS!CT34</f>
        <v>96.287999999999997</v>
      </c>
      <c r="O20" s="1856">
        <f>IS!CU24-IS!CU33+IS!CU34</f>
        <v>97.75800000000001</v>
      </c>
      <c r="P20" s="1856">
        <f>IS!CV24-IS!CV33+IS!CV34</f>
        <v>102.39400000000001</v>
      </c>
      <c r="Q20" s="1856">
        <f>IS!CW24-IS!CW33+IS!CW34</f>
        <v>108.28699999999999</v>
      </c>
      <c r="R20" s="1856">
        <f>IS!CX24-IS!CX33+IS!CX34</f>
        <v>113.236</v>
      </c>
      <c r="S20" s="1856">
        <f>IS!CY24-IS!CY33+IS!CY34</f>
        <v>112.41499999999999</v>
      </c>
      <c r="T20" s="1856">
        <f>IS!CZ24-IS!CZ33+IS!CZ34</f>
        <v>120.52799999999999</v>
      </c>
      <c r="U20" s="1856">
        <f>IS!DA24-IS!DA33+IS!DA34</f>
        <v>126.863</v>
      </c>
      <c r="V20" s="1856">
        <f>IS!DB24-IS!DB33+IS!DB34</f>
        <v>135.417</v>
      </c>
      <c r="W20" s="1856">
        <f>IS!DC24-IS!DC33+IS!DC34</f>
        <v>138.983</v>
      </c>
      <c r="X20" s="1856">
        <f>IS!DD24-IS!DD33+IS!DD34</f>
        <v>140.12099999999998</v>
      </c>
      <c r="Y20" s="1856">
        <f>IS!DE24-IS!DE33+IS!DE34</f>
        <v>147.81100000000001</v>
      </c>
      <c r="Z20" s="1856">
        <f>IS!DF24-IS!DF33+IS!DF34</f>
        <v>145.29599999999999</v>
      </c>
      <c r="AA20" s="1856">
        <f>IS!DG24-IS!DG33+IS!DG34</f>
        <v>149.584</v>
      </c>
      <c r="AB20" s="1856">
        <f>IS!DH24-IS!DH33+IS!DH34</f>
        <v>153.56</v>
      </c>
      <c r="AC20" s="1856">
        <f>IS!DI24-IS!DI33+IS!DI34</f>
        <v>169.36099999999999</v>
      </c>
      <c r="AD20" s="1856">
        <f>IS!DJ24-IS!DJ33+IS!DJ34</f>
        <v>192.40600000000001</v>
      </c>
      <c r="AE20" s="1856">
        <f>IS!DK24-IS!DK33+IS!DK34</f>
        <v>188.18599999999998</v>
      </c>
      <c r="AF20" s="1856">
        <f>IS!DL24-IS!DL33+IS!DL34</f>
        <v>199.81299999999999</v>
      </c>
      <c r="AG20" s="1856">
        <f>IS!DM24-IS!DM33+IS!DM34</f>
        <v>204.61599999999999</v>
      </c>
      <c r="AH20" s="1856">
        <f>IS!DN24-IS!DN33+IS!DN34</f>
        <v>218.411</v>
      </c>
      <c r="AI20" s="1856">
        <f>IS!DO24-IS!DO33+IS!DO34</f>
        <v>212.64400000000001</v>
      </c>
      <c r="AJ20" s="1932">
        <f>IS!DP24-IS!DP33+IS!DP34</f>
        <v>224.17500000000001</v>
      </c>
      <c r="AK20" s="1932">
        <v>230.41740005373123</v>
      </c>
      <c r="AL20" s="1943">
        <v>227.99199999999999</v>
      </c>
      <c r="AM20" s="1786">
        <f>AK20-AL20</f>
        <v>2.4254000537312379</v>
      </c>
      <c r="AN20" s="1800"/>
      <c r="AO20" s="1786"/>
      <c r="AP20" s="2116" t="s">
        <v>268</v>
      </c>
      <c r="AQ20" s="2110"/>
      <c r="AS20" s="1835"/>
      <c r="AT20" s="1835"/>
      <c r="AU20" s="1835"/>
      <c r="AW20" s="2120" t="s">
        <v>1742</v>
      </c>
      <c r="AX20" s="2118">
        <f>+AV19/AV12</f>
        <v>0.38922155688622756</v>
      </c>
      <c r="AY20" s="2119">
        <f ca="1">+AY19/AY12</f>
        <v>0.38410506577766645</v>
      </c>
      <c r="AZ20" s="2119">
        <f>+AZ19/AZ12</f>
        <v>0.37234367439536115</v>
      </c>
      <c r="BA20" s="2119"/>
      <c r="BB20" s="2119"/>
      <c r="BC20" s="2119"/>
      <c r="BH20" s="2097" t="s">
        <v>424</v>
      </c>
      <c r="BI20" s="1871"/>
      <c r="BJ20" s="1873">
        <f>+BS!CZ124</f>
        <v>313.5</v>
      </c>
      <c r="BK20" s="1873"/>
      <c r="BP20" s="1888"/>
      <c r="BQ20" s="1805" t="s">
        <v>431</v>
      </c>
      <c r="BR20" s="1871" t="s">
        <v>1822</v>
      </c>
      <c r="BS20" s="1871" t="s">
        <v>1891</v>
      </c>
    </row>
    <row r="21" spans="2:71" ht="15" customHeight="1">
      <c r="B21" s="1772" t="s">
        <v>1354</v>
      </c>
      <c r="C21" s="1772"/>
      <c r="D21" s="2055" t="s">
        <v>188</v>
      </c>
      <c r="E21" s="1792"/>
      <c r="F21" s="1818">
        <f t="shared" ref="F21:R21" si="59">+F11-F18-F20</f>
        <v>96.281000000000034</v>
      </c>
      <c r="G21" s="1818">
        <f t="shared" si="59"/>
        <v>118.48999999999997</v>
      </c>
      <c r="H21" s="1818">
        <f t="shared" si="59"/>
        <v>-35.094999999999999</v>
      </c>
      <c r="I21" s="1818">
        <f t="shared" si="59"/>
        <v>142.09800000000001</v>
      </c>
      <c r="J21" s="1818">
        <f t="shared" si="59"/>
        <v>159.435</v>
      </c>
      <c r="K21" s="1818">
        <f t="shared" si="59"/>
        <v>172.00700000000001</v>
      </c>
      <c r="L21" s="1818">
        <f t="shared" si="59"/>
        <v>178.56399999999999</v>
      </c>
      <c r="M21" s="1798">
        <f t="shared" si="59"/>
        <v>-37.305000000000007</v>
      </c>
      <c r="N21" s="1798">
        <f t="shared" si="59"/>
        <v>206.73500000000001</v>
      </c>
      <c r="O21" s="1798">
        <f t="shared" si="59"/>
        <v>216.42</v>
      </c>
      <c r="P21" s="1798">
        <f t="shared" si="59"/>
        <v>225.01599999999996</v>
      </c>
      <c r="Q21" s="1798">
        <f t="shared" si="59"/>
        <v>239.68599999999998</v>
      </c>
      <c r="R21" s="1798">
        <f t="shared" si="59"/>
        <v>240.88799999999992</v>
      </c>
      <c r="S21" s="1798">
        <f t="shared" ref="S21:X21" si="60">+S11-S18-S20</f>
        <v>248.035</v>
      </c>
      <c r="T21" s="1798">
        <f t="shared" si="60"/>
        <v>248.44500000000008</v>
      </c>
      <c r="U21" s="1798">
        <f t="shared" si="60"/>
        <v>263.53000000000003</v>
      </c>
      <c r="V21" s="1798">
        <f t="shared" si="60"/>
        <v>260.38800000000003</v>
      </c>
      <c r="W21" s="1798">
        <f t="shared" si="60"/>
        <v>275.27700000000004</v>
      </c>
      <c r="X21" s="1798">
        <f t="shared" si="60"/>
        <v>283.86099999999999</v>
      </c>
      <c r="Y21" s="1798">
        <f>+Y11-Y18-Y20</f>
        <v>294.36500000000001</v>
      </c>
      <c r="Z21" s="1798">
        <f>+Z11-Z18-Z20</f>
        <v>305.74799999999999</v>
      </c>
      <c r="AA21" s="1798">
        <f>+AA11-AA18-AA20</f>
        <v>311.26199999999989</v>
      </c>
      <c r="AB21" s="1798">
        <f>+AB11-AB18-AB20</f>
        <v>321.47200000000004</v>
      </c>
      <c r="AC21" s="1798">
        <f t="shared" ref="AC21" si="61">+AC11-AC18-AC20</f>
        <v>333.14499999999987</v>
      </c>
      <c r="AD21" s="1798">
        <f t="shared" ref="AD21" si="62">+AD11-AD18-AD20</f>
        <v>380.65000000000003</v>
      </c>
      <c r="AE21" s="1798">
        <f t="shared" ref="AE21:AJ21" si="63">+AE11-AE18-AE20</f>
        <v>420.291</v>
      </c>
      <c r="AF21" s="1798">
        <f t="shared" si="63"/>
        <v>420.04199999999992</v>
      </c>
      <c r="AG21" s="1798">
        <f t="shared" si="63"/>
        <v>436.49099999999999</v>
      </c>
      <c r="AH21" s="1798">
        <f t="shared" si="63"/>
        <v>427.57400000000013</v>
      </c>
      <c r="AI21" s="1798">
        <f t="shared" si="63"/>
        <v>509.30799999999999</v>
      </c>
      <c r="AJ21" s="1799">
        <f t="shared" si="63"/>
        <v>550.31899999999996</v>
      </c>
      <c r="AK21" s="1799">
        <v>567.77250699284377</v>
      </c>
      <c r="AL21" s="1798">
        <f>+AL11-AL18-AL20</f>
        <v>564.84</v>
      </c>
      <c r="AM21" s="1786">
        <f>AL21-AK21</f>
        <v>-2.9325069928437415</v>
      </c>
      <c r="AN21" s="1857">
        <v>570.70000000000005</v>
      </c>
      <c r="AO21" s="1786">
        <f>AN21-AK21</f>
        <v>2.9274930071562721</v>
      </c>
      <c r="AP21" s="2406" t="s">
        <v>214</v>
      </c>
      <c r="AQ21" s="2409"/>
      <c r="AS21" s="1867"/>
      <c r="AT21" s="1867"/>
      <c r="AU21" s="1867"/>
      <c r="AW21" s="2097" t="s">
        <v>424</v>
      </c>
      <c r="AX21" s="1871" t="s">
        <v>2747</v>
      </c>
      <c r="AY21" s="1873">
        <f>+BS!W124</f>
        <v>1734</v>
      </c>
      <c r="AZ21" s="1873"/>
      <c r="BA21" s="1873"/>
      <c r="BB21" s="1873"/>
      <c r="BC21" s="1873"/>
      <c r="BH21" s="2097" t="s">
        <v>1863</v>
      </c>
      <c r="BI21" s="1879">
        <v>40</v>
      </c>
      <c r="BJ21" s="1873">
        <f ca="1">+BS!CZ127</f>
        <v>48.622740043304375</v>
      </c>
      <c r="BK21" s="1872"/>
      <c r="BP21" s="1888"/>
      <c r="BQ21" s="2120" t="s">
        <v>1742</v>
      </c>
      <c r="BR21" s="2118">
        <v>0.28517110266159695</v>
      </c>
      <c r="BS21" s="2118">
        <v>0.31446540880503143</v>
      </c>
    </row>
    <row r="22" spans="2:71" ht="15" customHeight="1">
      <c r="B22" s="1772"/>
      <c r="C22" s="1772"/>
      <c r="D22" s="2050" t="s">
        <v>1731</v>
      </c>
      <c r="E22" s="1789"/>
      <c r="F22" s="1789">
        <f t="shared" ref="F22:M22" si="64">+F21/F11</f>
        <v>0.38721651806361584</v>
      </c>
      <c r="G22" s="1789">
        <f t="shared" si="64"/>
        <v>0.40856225669529717</v>
      </c>
      <c r="H22" s="1789">
        <f t="shared" si="64"/>
        <v>-0.10919618910122778</v>
      </c>
      <c r="I22" s="1789">
        <f t="shared" si="64"/>
        <v>0.42271696900825223</v>
      </c>
      <c r="J22" s="1789">
        <f t="shared" si="64"/>
        <v>0.4504462507310375</v>
      </c>
      <c r="K22" s="1789">
        <f t="shared" si="64"/>
        <v>0.44617922705188701</v>
      </c>
      <c r="L22" s="1789">
        <f t="shared" si="64"/>
        <v>0.43743385724924549</v>
      </c>
      <c r="M22" s="1790">
        <f t="shared" si="64"/>
        <v>-8.8376180954998176E-2</v>
      </c>
      <c r="N22" s="1790">
        <f t="shared" ref="N22:S22" si="65">+N21/N11</f>
        <v>0.468837878045683</v>
      </c>
      <c r="O22" s="1790">
        <f t="shared" si="65"/>
        <v>0.47509494435053667</v>
      </c>
      <c r="P22" s="1790">
        <f t="shared" si="65"/>
        <v>0.46410840801509784</v>
      </c>
      <c r="Q22" s="1790">
        <f t="shared" si="65"/>
        <v>0.47363252110919873</v>
      </c>
      <c r="R22" s="1790">
        <f t="shared" si="65"/>
        <v>0.46671600785842432</v>
      </c>
      <c r="S22" s="1790">
        <f t="shared" si="65"/>
        <v>0.46898960237940823</v>
      </c>
      <c r="T22" s="1790">
        <f t="shared" ref="T22:Y22" si="66">+T21/T11</f>
        <v>0.45747066752104654</v>
      </c>
      <c r="U22" s="1790">
        <f t="shared" si="66"/>
        <v>0.46669157766298258</v>
      </c>
      <c r="V22" s="1790">
        <f t="shared" si="66"/>
        <v>0.4489038070659061</v>
      </c>
      <c r="W22" s="1790">
        <f t="shared" si="66"/>
        <v>0.45488225447442915</v>
      </c>
      <c r="X22" s="1790">
        <f t="shared" si="66"/>
        <v>0.45751563406614665</v>
      </c>
      <c r="Y22" s="1790">
        <f t="shared" si="66"/>
        <v>0.46129965946897222</v>
      </c>
      <c r="Z22" s="1790">
        <f>+Z21/Z11</f>
        <v>0.47537369358836024</v>
      </c>
      <c r="AA22" s="1790">
        <f>+AA21/AA11</f>
        <v>0.46765387285112869</v>
      </c>
      <c r="AB22" s="1790">
        <f>+AB21/AB11</f>
        <v>0.4681751520791555</v>
      </c>
      <c r="AC22" s="1790">
        <f t="shared" ref="AC22" si="67">+AC21/AC11</f>
        <v>0.45607437484769903</v>
      </c>
      <c r="AD22" s="1790">
        <f t="shared" ref="AD22" si="68">+AD21/AD11</f>
        <v>0.45092376290638225</v>
      </c>
      <c r="AE22" s="1790">
        <f t="shared" ref="AE22:AJ22" si="69">+AE21/AE11</f>
        <v>0.46672552220408436</v>
      </c>
      <c r="AF22" s="1790">
        <f t="shared" si="69"/>
        <v>0.45425857273250303</v>
      </c>
      <c r="AG22" s="1790">
        <f t="shared" si="69"/>
        <v>0.46304820362235277</v>
      </c>
      <c r="AH22" s="1790">
        <f t="shared" si="69"/>
        <v>0.45030304625997214</v>
      </c>
      <c r="AI22" s="1790">
        <f t="shared" si="69"/>
        <v>0.47758624408184008</v>
      </c>
      <c r="AJ22" s="1933">
        <f t="shared" si="69"/>
        <v>0.47759925919561624</v>
      </c>
      <c r="AK22" s="1933">
        <v>0.47658780990199656</v>
      </c>
      <c r="AL22" s="1790">
        <f>+AL21/AL11</f>
        <v>0.47061332871196226</v>
      </c>
      <c r="AM22" s="1778">
        <f>(AL22-AK22)*10000</f>
        <v>-59.744811900342974</v>
      </c>
      <c r="AN22" s="1791">
        <f>+AN21/AN11</f>
        <v>0.47853429481804466</v>
      </c>
      <c r="AO22" s="1778">
        <f>(AN22-AK22)*10000</f>
        <v>19.464849160480966</v>
      </c>
      <c r="AP22" s="2419"/>
      <c r="AQ22" s="2422"/>
      <c r="AS22" s="1867"/>
      <c r="AT22" s="1867"/>
      <c r="AU22" s="1867"/>
      <c r="AW22" s="2097" t="s">
        <v>1863</v>
      </c>
      <c r="AX22" s="1830">
        <v>200</v>
      </c>
      <c r="AY22" s="1873">
        <f ca="1">+BS!W127</f>
        <v>201.5663438236476</v>
      </c>
      <c r="AZ22" s="1872"/>
      <c r="BA22" s="1872"/>
      <c r="BB22" s="1872"/>
      <c r="BC22" s="1872"/>
      <c r="BH22" s="2098" t="s">
        <v>2739</v>
      </c>
      <c r="BI22" s="1887"/>
      <c r="BJ22" s="1887"/>
      <c r="BK22" s="1887"/>
      <c r="BP22" s="1888"/>
      <c r="BQ22" s="1805" t="s">
        <v>424</v>
      </c>
      <c r="BR22" s="1871" t="s">
        <v>1896</v>
      </c>
      <c r="BS22" s="1871" t="s">
        <v>266</v>
      </c>
    </row>
    <row r="23" spans="2:71" ht="15" customHeight="1">
      <c r="B23" s="1772" t="s">
        <v>1354</v>
      </c>
      <c r="C23" s="1772"/>
      <c r="D23" s="2055" t="s">
        <v>1465</v>
      </c>
      <c r="E23" s="1792"/>
      <c r="F23" s="1793">
        <f>IS!CJ100</f>
        <v>0.34814269952188348</v>
      </c>
      <c r="G23" s="1793">
        <f>IS!CK100</f>
        <v>-6.4656262210679397E-2</v>
      </c>
      <c r="H23" s="1793">
        <f>IS!CL100</f>
        <v>0.22625441318069994</v>
      </c>
      <c r="I23" s="1793">
        <f>IS!CM100</f>
        <v>0.28401356915790166</v>
      </c>
      <c r="J23" s="1793">
        <f>IS!CO100</f>
        <v>0.50894766937038016</v>
      </c>
      <c r="K23" s="1793">
        <f>IS!CP100</f>
        <v>0.60534107058266207</v>
      </c>
      <c r="L23" s="1793">
        <f>IS!CQ100</f>
        <v>0.41038316333979857</v>
      </c>
      <c r="M23" s="1794">
        <f>IS!CR100</f>
        <v>0.31125345756296391</v>
      </c>
      <c r="N23" s="1794">
        <f>IS!CT100</f>
        <v>0.63075537102681123</v>
      </c>
      <c r="O23" s="1794">
        <f>IS!CU100</f>
        <v>0.69626177150388691</v>
      </c>
      <c r="P23" s="1794">
        <f>IS!CV100</f>
        <v>0.50608679137783585</v>
      </c>
      <c r="Q23" s="1794">
        <f>IS!CW100</f>
        <v>0.65674546931987832</v>
      </c>
      <c r="R23" s="1794">
        <f>IS!CX100</f>
        <v>0.6223635003739697</v>
      </c>
      <c r="S23" s="1794">
        <f>IS!CY100</f>
        <v>-0.51210028554648723</v>
      </c>
      <c r="T23" s="1794">
        <f>IS!CZ100</f>
        <v>0.79791343946548376</v>
      </c>
      <c r="U23" s="1794">
        <f>IS!DA100</f>
        <v>0.84810931045440163</v>
      </c>
      <c r="V23" s="1794">
        <f>IS!DB100</f>
        <v>0.77430412467688203</v>
      </c>
      <c r="W23" s="1794">
        <f>IS!DC100</f>
        <v>0.19513281189499018</v>
      </c>
      <c r="X23" s="1794">
        <f>IS!DD100</f>
        <v>0.77774358231652119</v>
      </c>
      <c r="Y23" s="1794">
        <f>IS!DE100</f>
        <v>-6.4219730536214836</v>
      </c>
      <c r="Z23" s="1794">
        <f>IS!DF100</f>
        <v>1.3359428241913784</v>
      </c>
      <c r="AA23" s="1794">
        <f>IS!DG100</f>
        <v>1.0340875493486821</v>
      </c>
      <c r="AB23" s="1794">
        <f>IS!DH100</f>
        <v>0.71276079573022866</v>
      </c>
      <c r="AC23" s="1794">
        <f>IS!DI100</f>
        <v>0.17608256895787708</v>
      </c>
      <c r="AD23" s="1794">
        <f>IS!DJ100</f>
        <v>-0.54786297187811872</v>
      </c>
      <c r="AE23" s="1794">
        <f>IS!DK100</f>
        <v>0.55855266897845501</v>
      </c>
      <c r="AF23" s="1794">
        <f>IS!DL100</f>
        <v>0.67821382878121961</v>
      </c>
      <c r="AG23" s="1794">
        <f>IS!DM100</f>
        <v>0.88472602454175231</v>
      </c>
      <c r="AH23" s="1794">
        <f>IS!DN100</f>
        <v>0.57330952608121</v>
      </c>
      <c r="AI23" s="1794">
        <f>IS!DO100</f>
        <v>0.58344372548020629</v>
      </c>
      <c r="AJ23" s="1934">
        <f>IS!DP100</f>
        <v>1.0150027312338821</v>
      </c>
      <c r="AK23" s="1934">
        <v>1.1357643240983937</v>
      </c>
      <c r="AL23" s="1944">
        <v>0.82</v>
      </c>
      <c r="AM23" s="1795">
        <f>AL23-AK23</f>
        <v>-0.31576432409839372</v>
      </c>
      <c r="AN23" s="1796">
        <v>1.17</v>
      </c>
      <c r="AO23" s="1795">
        <f>AN23-AK23</f>
        <v>3.4235675901606255E-2</v>
      </c>
      <c r="AP23" s="2116" t="s">
        <v>214</v>
      </c>
      <c r="AQ23" s="2110"/>
      <c r="AR23" s="2316"/>
      <c r="AW23" s="2098" t="s">
        <v>2756</v>
      </c>
      <c r="AX23" s="1825"/>
      <c r="AY23" s="1825"/>
      <c r="AZ23" s="1825"/>
      <c r="BA23" s="1825"/>
      <c r="BB23" s="1825"/>
      <c r="BC23" s="1825"/>
      <c r="BG23" s="1888"/>
      <c r="BH23" s="2099" t="s">
        <v>2740</v>
      </c>
      <c r="BI23" s="1831"/>
      <c r="BJ23" s="1831"/>
      <c r="BP23" s="1888"/>
      <c r="BQ23" s="2097" t="s">
        <v>1849</v>
      </c>
      <c r="BR23" s="1879">
        <v>115</v>
      </c>
      <c r="BS23" s="1879">
        <v>25</v>
      </c>
    </row>
    <row r="24" spans="2:71" ht="15" customHeight="1">
      <c r="B24" s="1772"/>
      <c r="C24" s="1772"/>
      <c r="D24" s="2094" t="s">
        <v>1837</v>
      </c>
      <c r="E24" s="1792"/>
      <c r="F24" s="1793"/>
      <c r="G24" s="1793"/>
      <c r="H24" s="1793"/>
      <c r="I24" s="1793"/>
      <c r="J24" s="1793"/>
      <c r="K24" s="1793"/>
      <c r="L24" s="1793"/>
      <c r="M24" s="1794"/>
      <c r="N24" s="1794"/>
      <c r="O24" s="1794"/>
      <c r="P24" s="1794"/>
      <c r="Q24" s="1794"/>
      <c r="R24" s="1856">
        <f>CF!CF222</f>
        <v>169.6329999999999</v>
      </c>
      <c r="S24" s="1856">
        <f>CF!CG222</f>
        <v>168.53100000000001</v>
      </c>
      <c r="T24" s="1856">
        <f>CF!CH222</f>
        <v>170.95600000000005</v>
      </c>
      <c r="U24" s="1856">
        <f>CF!CI222</f>
        <v>179.53200000000001</v>
      </c>
      <c r="V24" s="1856">
        <f>CF!CJ222</f>
        <v>175.37200000000001</v>
      </c>
      <c r="W24" s="1856">
        <f>CF!CK222</f>
        <v>189.86800000000002</v>
      </c>
      <c r="X24" s="1856">
        <f>CF!CL222</f>
        <v>208.04</v>
      </c>
      <c r="Y24" s="1856">
        <f>CF!CM222</f>
        <v>196.87800000000004</v>
      </c>
      <c r="Z24" s="1856">
        <f>CF!CN222</f>
        <v>223.31000000000003</v>
      </c>
      <c r="AA24" s="1856">
        <f>CF!CO222</f>
        <v>222.94499999999985</v>
      </c>
      <c r="AB24" s="1856">
        <f>CF!CP222</f>
        <v>211.75099999999998</v>
      </c>
      <c r="AC24" s="1856">
        <f>CF!CQ222</f>
        <v>179.84999999999991</v>
      </c>
      <c r="AD24" s="1856">
        <f>CF!CR222</f>
        <v>210.90800000000004</v>
      </c>
      <c r="AE24" s="1856">
        <f>CF!CS222</f>
        <v>290.529</v>
      </c>
      <c r="AF24" s="1856">
        <f>CF!CT222</f>
        <v>284.17899999999992</v>
      </c>
      <c r="AG24" s="1856">
        <f>CF!CU222</f>
        <v>293.78499999999997</v>
      </c>
      <c r="AH24" s="1856">
        <f>CF!CV222</f>
        <v>304.11000000000013</v>
      </c>
      <c r="AI24" s="1856">
        <f>CF!CW222</f>
        <v>360.11400000000003</v>
      </c>
      <c r="AJ24" s="1932">
        <f>CF!CX222</f>
        <v>391.28899999999999</v>
      </c>
      <c r="AK24" s="1932">
        <v>358.75053335690438</v>
      </c>
      <c r="AL24" s="1943">
        <v>381.52699999999999</v>
      </c>
      <c r="AM24" s="1786">
        <f>+AL24-AK24</f>
        <v>22.776466643095603</v>
      </c>
      <c r="AN24" s="1796"/>
      <c r="AO24" s="1795"/>
      <c r="AP24" s="2116" t="s">
        <v>268</v>
      </c>
      <c r="AQ24" s="2110"/>
      <c r="AR24" s="2316"/>
      <c r="AW24" s="2099" t="s">
        <v>2749</v>
      </c>
      <c r="AX24" s="1824"/>
      <c r="AY24" s="1824"/>
      <c r="AZ24" s="1824"/>
      <c r="BA24" s="1824"/>
      <c r="BB24"/>
      <c r="BC24"/>
      <c r="BG24" s="1888"/>
      <c r="BH24" s="2099" t="s">
        <v>2741</v>
      </c>
      <c r="BI24" s="1831"/>
      <c r="BJ24" s="1831"/>
      <c r="BP24" s="1888"/>
      <c r="BQ24" s="2098" t="s">
        <v>1927</v>
      </c>
      <c r="BR24" s="1825"/>
      <c r="BS24" s="1887"/>
    </row>
    <row r="25" spans="2:71" ht="15" customHeight="1">
      <c r="B25" s="1772"/>
      <c r="C25" s="1772"/>
      <c r="D25" s="2095" t="s">
        <v>1880</v>
      </c>
      <c r="E25" s="1789"/>
      <c r="F25" s="2088"/>
      <c r="G25" s="2088"/>
      <c r="H25" s="2088"/>
      <c r="I25" s="2088"/>
      <c r="J25" s="2088"/>
      <c r="K25" s="2088"/>
      <c r="L25" s="2088"/>
      <c r="M25" s="2089"/>
      <c r="N25" s="2089"/>
      <c r="O25" s="2089"/>
      <c r="P25" s="2089"/>
      <c r="Q25" s="2089"/>
      <c r="R25" s="2089">
        <f>CF!CF230</f>
        <v>2.9291511258461096</v>
      </c>
      <c r="S25" s="2089">
        <f>CF!CG230</f>
        <v>2.9036543133302324</v>
      </c>
      <c r="T25" s="2089">
        <f>CF!CH230</f>
        <v>2.9468567390067752</v>
      </c>
      <c r="U25" s="2089">
        <f>CF!CI230</f>
        <v>3.0990661303965066</v>
      </c>
      <c r="V25" s="2089">
        <f>CF!CJ230</f>
        <v>3.033173060292643</v>
      </c>
      <c r="W25" s="2089">
        <f>CF!CK230</f>
        <v>3.2933462846041772</v>
      </c>
      <c r="X25" s="2089">
        <f>CF!CL230</f>
        <v>3.6427308224335069</v>
      </c>
      <c r="Y25" s="2089">
        <f>CF!CM230</f>
        <v>3.3942141921246818</v>
      </c>
      <c r="Z25" s="2089">
        <f>CF!CN230</f>
        <v>3.7741046831955929</v>
      </c>
      <c r="AA25" s="2089">
        <f>CF!CO230</f>
        <v>3.7497477125941847</v>
      </c>
      <c r="AB25" s="2089">
        <f>CF!CP230</f>
        <v>3.7095932167758656</v>
      </c>
      <c r="AC25" s="2089">
        <f>CF!CQ230</f>
        <v>2.8526789962884229</v>
      </c>
      <c r="AD25" s="2089">
        <f>CF!CR230</f>
        <v>2.9837308660838078</v>
      </c>
      <c r="AE25" s="2089">
        <f>CF!CS230</f>
        <v>4.1289437780683302</v>
      </c>
      <c r="AF25" s="2089">
        <f>CF!CT230</f>
        <v>3.9519803081715512</v>
      </c>
      <c r="AG25" s="2089">
        <f>CF!CU230</f>
        <v>4.0826720771550464</v>
      </c>
      <c r="AH25" s="2089">
        <f>CF!CV230</f>
        <v>4.1450515899518869</v>
      </c>
      <c r="AI25" s="2089">
        <f>CF!CW230</f>
        <v>4.586972028328324</v>
      </c>
      <c r="AJ25" s="2090">
        <f>CF!CX230</f>
        <v>4.9707059286830377</v>
      </c>
      <c r="AK25" s="2090">
        <v>4.5615283479346749</v>
      </c>
      <c r="AL25" s="2091">
        <f>AL24/79.128</f>
        <v>4.8216434132039225</v>
      </c>
      <c r="AM25" s="2092">
        <f>+AL25-AK25</f>
        <v>0.26011506526924766</v>
      </c>
      <c r="AN25" s="2093">
        <v>4.72</v>
      </c>
      <c r="AO25" s="2092"/>
      <c r="AP25" s="2114"/>
      <c r="AQ25" s="2111"/>
      <c r="AW25" s="2099" t="s">
        <v>2750</v>
      </c>
      <c r="AX25" s="1824"/>
      <c r="AY25" s="1824"/>
      <c r="AZ25" s="1824"/>
      <c r="BA25" s="1824"/>
      <c r="BB25"/>
      <c r="BC25"/>
      <c r="BH25" s="2099" t="s">
        <v>2742</v>
      </c>
      <c r="BI25" s="1831"/>
      <c r="BJ25" s="1831"/>
      <c r="BP25" s="1888"/>
      <c r="BQ25" s="2099" t="s">
        <v>1928</v>
      </c>
      <c r="BR25" s="1824"/>
    </row>
    <row r="26" spans="2:71" ht="15" customHeight="1">
      <c r="B26" s="1755"/>
      <c r="C26" s="1756"/>
      <c r="D26" s="2048" t="s">
        <v>1732</v>
      </c>
      <c r="E26" s="1766"/>
      <c r="F26" s="1766"/>
      <c r="G26" s="1766"/>
      <c r="H26" s="1766"/>
      <c r="I26" s="1766"/>
      <c r="J26" s="1766"/>
      <c r="K26" s="1766"/>
      <c r="L26" s="1766"/>
      <c r="M26" s="1767"/>
      <c r="N26" s="1767"/>
      <c r="O26" s="1767"/>
      <c r="P26" s="1767"/>
      <c r="Q26" s="1767"/>
      <c r="R26" s="1767"/>
      <c r="S26" s="1767"/>
      <c r="T26" s="1767"/>
      <c r="U26" s="1767"/>
      <c r="V26" s="1767"/>
      <c r="W26" s="1767"/>
      <c r="X26" s="1767"/>
      <c r="Y26" s="1767"/>
      <c r="Z26" s="1767"/>
      <c r="AA26" s="1767"/>
      <c r="AB26" s="1767"/>
      <c r="AC26" s="1767"/>
      <c r="AD26" s="1767"/>
      <c r="AE26" s="1767"/>
      <c r="AF26" s="1767"/>
      <c r="AG26" s="1767"/>
      <c r="AH26" s="1767"/>
      <c r="AI26" s="1767"/>
      <c r="AJ26" s="1927"/>
      <c r="AK26" s="1927"/>
      <c r="AL26" s="1767"/>
      <c r="AM26" s="1769"/>
      <c r="AN26" s="1768"/>
      <c r="AO26" s="1769"/>
      <c r="AP26" s="2115"/>
      <c r="AQ26" s="2108"/>
      <c r="AW26" s="2099" t="s">
        <v>2751</v>
      </c>
      <c r="BB26"/>
      <c r="BC26"/>
      <c r="BH26" s="2033"/>
      <c r="BI26" s="1831"/>
      <c r="BJ26" s="1831"/>
      <c r="BP26" s="1888"/>
      <c r="BQ26" s="1888"/>
      <c r="BR26" s="2099" t="s">
        <v>1929</v>
      </c>
      <c r="BS26" s="1824"/>
    </row>
    <row r="27" spans="2:71" ht="15" customHeight="1">
      <c r="B27" s="1772"/>
      <c r="C27" s="1772"/>
      <c r="D27" s="2055" t="s">
        <v>188</v>
      </c>
      <c r="E27" s="1792"/>
      <c r="F27" s="1797"/>
      <c r="G27" s="1818">
        <f t="shared" ref="G27:R27" si="70">+G21</f>
        <v>118.48999999999997</v>
      </c>
      <c r="H27" s="1818">
        <f t="shared" si="70"/>
        <v>-35.094999999999999</v>
      </c>
      <c r="I27" s="1818">
        <f t="shared" si="70"/>
        <v>142.09800000000001</v>
      </c>
      <c r="J27" s="1818">
        <f t="shared" si="70"/>
        <v>159.435</v>
      </c>
      <c r="K27" s="1818">
        <f t="shared" si="70"/>
        <v>172.00700000000001</v>
      </c>
      <c r="L27" s="1818">
        <f t="shared" si="70"/>
        <v>178.56399999999999</v>
      </c>
      <c r="M27" s="1798">
        <f t="shared" si="70"/>
        <v>-37.305000000000007</v>
      </c>
      <c r="N27" s="1798">
        <f t="shared" si="70"/>
        <v>206.73500000000001</v>
      </c>
      <c r="O27" s="1798">
        <f t="shared" si="70"/>
        <v>216.42</v>
      </c>
      <c r="P27" s="1798">
        <f t="shared" si="70"/>
        <v>225.01599999999996</v>
      </c>
      <c r="Q27" s="1798">
        <f t="shared" si="70"/>
        <v>239.68599999999998</v>
      </c>
      <c r="R27" s="1798">
        <f t="shared" si="70"/>
        <v>240.88799999999992</v>
      </c>
      <c r="S27" s="1798">
        <f t="shared" ref="S27:X27" si="71">+S21</f>
        <v>248.035</v>
      </c>
      <c r="T27" s="1798">
        <f t="shared" si="71"/>
        <v>248.44500000000008</v>
      </c>
      <c r="U27" s="1798">
        <f t="shared" si="71"/>
        <v>263.53000000000003</v>
      </c>
      <c r="V27" s="1798">
        <f t="shared" si="71"/>
        <v>260.38800000000003</v>
      </c>
      <c r="W27" s="1798">
        <f t="shared" si="71"/>
        <v>275.27700000000004</v>
      </c>
      <c r="X27" s="1798">
        <f t="shared" si="71"/>
        <v>283.86099999999999</v>
      </c>
      <c r="Y27" s="1798">
        <f>+Y21</f>
        <v>294.36500000000001</v>
      </c>
      <c r="Z27" s="1798">
        <f>+Z21</f>
        <v>305.74799999999999</v>
      </c>
      <c r="AA27" s="1798">
        <f>+AA21</f>
        <v>311.26199999999989</v>
      </c>
      <c r="AB27" s="1798">
        <f>+AB21</f>
        <v>321.47200000000004</v>
      </c>
      <c r="AC27" s="1798">
        <f t="shared" ref="AC27" si="72">+AC21</f>
        <v>333.14499999999987</v>
      </c>
      <c r="AD27" s="1798">
        <f t="shared" ref="AD27" si="73">+AD21</f>
        <v>380.65000000000003</v>
      </c>
      <c r="AE27" s="1798">
        <f t="shared" ref="AE27:AJ27" si="74">+AE21</f>
        <v>420.291</v>
      </c>
      <c r="AF27" s="1798">
        <f t="shared" si="74"/>
        <v>420.04199999999992</v>
      </c>
      <c r="AG27" s="1798">
        <f t="shared" si="74"/>
        <v>436.49099999999999</v>
      </c>
      <c r="AH27" s="1798">
        <f t="shared" si="74"/>
        <v>427.57400000000013</v>
      </c>
      <c r="AI27" s="1798">
        <f t="shared" si="74"/>
        <v>509.30799999999999</v>
      </c>
      <c r="AJ27" s="1799">
        <f t="shared" si="74"/>
        <v>550.31899999999996</v>
      </c>
      <c r="AK27" s="1799">
        <v>567.77250699284377</v>
      </c>
      <c r="AL27" s="1799">
        <f>+AL21</f>
        <v>564.84</v>
      </c>
      <c r="AM27" s="1786"/>
      <c r="AN27" s="1800"/>
      <c r="AO27" s="1786"/>
      <c r="AP27" s="1882"/>
      <c r="AQ27" s="2110"/>
      <c r="AW27" s="2099" t="s">
        <v>2752</v>
      </c>
      <c r="BB27"/>
      <c r="BC27"/>
      <c r="BG27" s="1833" t="s">
        <v>1746</v>
      </c>
      <c r="BH27" s="1902" t="s">
        <v>2691</v>
      </c>
      <c r="BI27" s="1903"/>
      <c r="BJ27" s="1903"/>
      <c r="BK27" s="1903"/>
      <c r="BP27" s="1888"/>
      <c r="BQ27" s="2099" t="s">
        <v>1930</v>
      </c>
    </row>
    <row r="28" spans="2:71" ht="15" customHeight="1">
      <c r="B28" s="1772" t="s">
        <v>1733</v>
      </c>
      <c r="C28" s="1772"/>
      <c r="D28" s="2055" t="s">
        <v>465</v>
      </c>
      <c r="E28" s="1792"/>
      <c r="F28" s="1858">
        <f>BS!BT133</f>
        <v>143.4</v>
      </c>
      <c r="G28" s="1855">
        <f>BS!BU133</f>
        <v>148.69999999999999</v>
      </c>
      <c r="H28" s="1855">
        <f>BS!BV133</f>
        <v>143.9</v>
      </c>
      <c r="I28" s="1855">
        <f>BS!BW133</f>
        <v>143.4</v>
      </c>
      <c r="J28" s="1855">
        <f>BS!BX133</f>
        <v>172.5</v>
      </c>
      <c r="K28" s="1855">
        <f>BS!BY133</f>
        <v>188.9</v>
      </c>
      <c r="L28" s="1855">
        <f>BS!BZ133</f>
        <v>131.5</v>
      </c>
      <c r="M28" s="1856">
        <f>BS!CA133</f>
        <v>189.8</v>
      </c>
      <c r="N28" s="1856">
        <f>BS!CB133</f>
        <v>145.49</v>
      </c>
      <c r="O28" s="1856">
        <f>BS!CC133</f>
        <v>196.48400000000001</v>
      </c>
      <c r="P28" s="1856">
        <f>BS!CD133</f>
        <v>212.11799999999999</v>
      </c>
      <c r="Q28" s="1856">
        <f>BS!CE133</f>
        <v>210.40800000000002</v>
      </c>
      <c r="R28" s="1856">
        <f>BS!CF133</f>
        <v>75.667000000000002</v>
      </c>
      <c r="S28" s="1856">
        <f>BS!CG133</f>
        <v>122.863</v>
      </c>
      <c r="T28" s="1856">
        <f>BS!CH133</f>
        <v>171.035</v>
      </c>
      <c r="U28" s="1856">
        <f>BS!CI133</f>
        <v>202.84100000000001</v>
      </c>
      <c r="V28" s="1856">
        <f>BS!CJ133</f>
        <v>105.908</v>
      </c>
      <c r="W28" s="1856">
        <f>BS!CK133</f>
        <v>159.816</v>
      </c>
      <c r="X28" s="1856">
        <f>BS!CL133</f>
        <v>156.00400000000002</v>
      </c>
      <c r="Y28" s="1856">
        <f>BS!CM133</f>
        <v>238.476</v>
      </c>
      <c r="Z28" s="1856">
        <f>BS!CN133</f>
        <v>150.12</v>
      </c>
      <c r="AA28" s="1856">
        <f>BS!CO133</f>
        <v>221.34199999999998</v>
      </c>
      <c r="AB28" s="1856">
        <f>BS!CP133</f>
        <v>221.34199999999998</v>
      </c>
      <c r="AC28" s="1856">
        <f>BS!CQ133</f>
        <v>281</v>
      </c>
      <c r="AD28" s="1856">
        <f>BS!CR133</f>
        <v>197.7</v>
      </c>
      <c r="AE28" s="1856">
        <f>BS!CS133</f>
        <v>249.86699999999999</v>
      </c>
      <c r="AF28" s="1856">
        <f>BS!CT133</f>
        <v>279.47699999999998</v>
      </c>
      <c r="AG28" s="1856">
        <f>BS!CU133</f>
        <v>386.32100000000003</v>
      </c>
      <c r="AH28" s="1856">
        <f>BS!CV133</f>
        <v>277.24200000000002</v>
      </c>
      <c r="AI28" s="1856">
        <f>BS!CW133</f>
        <v>348.572</v>
      </c>
      <c r="AJ28" s="1932">
        <f>BS!CX133</f>
        <v>320.23399999999998</v>
      </c>
      <c r="AK28" s="1932">
        <v>366.8230520709875</v>
      </c>
      <c r="AL28" s="1943">
        <v>432.67700000000002</v>
      </c>
      <c r="AM28" s="1786">
        <f>AK28-AL28</f>
        <v>-65.85394792901252</v>
      </c>
      <c r="AN28" s="1857">
        <v>365.7</v>
      </c>
      <c r="AO28" s="1786">
        <f>AK28-AN28</f>
        <v>1.1230520709875123</v>
      </c>
      <c r="AP28" s="2406" t="s">
        <v>214</v>
      </c>
      <c r="AQ28" s="2409"/>
      <c r="AW28" s="2099" t="s">
        <v>2753</v>
      </c>
      <c r="BB28"/>
      <c r="BC28"/>
      <c r="BH28" s="1805"/>
      <c r="BI28" s="1809" t="s">
        <v>1740</v>
      </c>
      <c r="BJ28" s="1865" t="s">
        <v>240</v>
      </c>
      <c r="BK28" s="1865" t="s">
        <v>442</v>
      </c>
      <c r="BP28" s="1888"/>
      <c r="BQ28" s="2099" t="s">
        <v>1931</v>
      </c>
    </row>
    <row r="29" spans="2:71" ht="15" customHeight="1">
      <c r="B29" s="1772"/>
      <c r="C29" s="1772"/>
      <c r="D29" s="2050" t="s">
        <v>955</v>
      </c>
      <c r="E29" s="1789"/>
      <c r="F29" s="1789"/>
      <c r="G29" s="1789">
        <f t="shared" ref="G29:R29" si="75">+G28/G11</f>
        <v>0.5127285641876167</v>
      </c>
      <c r="H29" s="1789">
        <f t="shared" si="75"/>
        <v>0.44773704549555998</v>
      </c>
      <c r="I29" s="1789">
        <f t="shared" si="75"/>
        <v>0.42659019378023172</v>
      </c>
      <c r="J29" s="1789">
        <f t="shared" si="75"/>
        <v>0.48735834823661034</v>
      </c>
      <c r="K29" s="1789">
        <f t="shared" si="75"/>
        <v>0.48999898835571493</v>
      </c>
      <c r="L29" s="1789">
        <f t="shared" si="75"/>
        <v>0.32213969348959354</v>
      </c>
      <c r="M29" s="1790">
        <f t="shared" si="75"/>
        <v>0.44963943560537867</v>
      </c>
      <c r="N29" s="1790">
        <f t="shared" si="75"/>
        <v>0.3299452094559045</v>
      </c>
      <c r="O29" s="1790">
        <f t="shared" si="75"/>
        <v>0.43133053805457378</v>
      </c>
      <c r="P29" s="1790">
        <f t="shared" si="75"/>
        <v>0.43750554312291812</v>
      </c>
      <c r="Q29" s="1790">
        <f t="shared" si="75"/>
        <v>0.41577760695887245</v>
      </c>
      <c r="R29" s="1790">
        <f t="shared" si="75"/>
        <v>0.14660340144226114</v>
      </c>
      <c r="S29" s="1790">
        <f t="shared" ref="S29:X29" si="76">+S28/S11</f>
        <v>0.23231184920330289</v>
      </c>
      <c r="T29" s="1790">
        <f t="shared" si="76"/>
        <v>0.31493286489751121</v>
      </c>
      <c r="U29" s="1790">
        <f t="shared" si="76"/>
        <v>0.35921597656713483</v>
      </c>
      <c r="V29" s="1790">
        <f t="shared" si="76"/>
        <v>0.1825833156625343</v>
      </c>
      <c r="W29" s="1790">
        <f t="shared" si="76"/>
        <v>0.26408839961596997</v>
      </c>
      <c r="X29" s="1790">
        <f t="shared" si="76"/>
        <v>0.25144091290052228</v>
      </c>
      <c r="Y29" s="1790">
        <f>+Y28/Y11</f>
        <v>0.37371595669159924</v>
      </c>
      <c r="Z29" s="1790">
        <f>+Z28/Z11</f>
        <v>0.23340495728994021</v>
      </c>
      <c r="AA29" s="1790">
        <f>+AA28/AA11</f>
        <v>0.33255406546451077</v>
      </c>
      <c r="AB29" s="1790">
        <f>+AB28/AB11</f>
        <v>0.32235101194351112</v>
      </c>
      <c r="AC29" s="1790">
        <f t="shared" ref="AC29" si="77">+AC28/AC11</f>
        <v>0.38468804674302026</v>
      </c>
      <c r="AD29" s="1790">
        <f t="shared" ref="AD29" si="78">+AD28/AD11</f>
        <v>0.23419841830183044</v>
      </c>
      <c r="AE29" s="1790">
        <f t="shared" ref="AE29:AJ29" si="79">+AE28/AE11</f>
        <v>0.27747276543292132</v>
      </c>
      <c r="AF29" s="1790">
        <f t="shared" si="79"/>
        <v>0.30224316409207114</v>
      </c>
      <c r="AG29" s="1790">
        <f t="shared" si="79"/>
        <v>0.40982573540254202</v>
      </c>
      <c r="AH29" s="1790">
        <f t="shared" si="79"/>
        <v>0.29197967404755004</v>
      </c>
      <c r="AI29" s="1790">
        <f t="shared" si="79"/>
        <v>0.32686153029619636</v>
      </c>
      <c r="AJ29" s="1933">
        <f t="shared" si="79"/>
        <v>0.27791793699517731</v>
      </c>
      <c r="AK29" s="1933">
        <v>0.30791099050218973</v>
      </c>
      <c r="AL29" s="1790">
        <f>+AL28/AL11</f>
        <v>0.36049777499310548</v>
      </c>
      <c r="AM29" s="1778">
        <f>(AL29-AK29)*10000</f>
        <v>525.8678449091575</v>
      </c>
      <c r="AN29" s="1791">
        <f>+AN28/AN11</f>
        <v>0.30664095254066748</v>
      </c>
      <c r="AO29" s="1778">
        <f>(AK29-AN29)*10000</f>
        <v>12.700379615222523</v>
      </c>
      <c r="AP29" s="2419"/>
      <c r="AQ29" s="2422"/>
      <c r="AW29" s="2099" t="s">
        <v>2754</v>
      </c>
      <c r="BB29"/>
      <c r="BC29"/>
      <c r="BG29" s="2012">
        <v>1191</v>
      </c>
      <c r="BH29" s="2097" t="s">
        <v>1743</v>
      </c>
      <c r="BI29" s="1871" t="s">
        <v>2704</v>
      </c>
      <c r="BJ29" s="1873">
        <f>+IS!DQ15</f>
        <v>1200.221</v>
      </c>
      <c r="BK29" s="1874">
        <v>1192.5999999999999</v>
      </c>
      <c r="BP29" s="1888"/>
      <c r="BQ29" s="2099" t="s">
        <v>1850</v>
      </c>
    </row>
    <row r="30" spans="2:71" ht="15" customHeight="1">
      <c r="B30" s="1772"/>
      <c r="C30" s="1772"/>
      <c r="D30" s="2055" t="s">
        <v>873</v>
      </c>
      <c r="E30" s="1789"/>
      <c r="F30" s="1855">
        <f>-CF!BT96</f>
        <v>25.169</v>
      </c>
      <c r="G30" s="1855">
        <f>-CF!BU96</f>
        <v>37.124000000000002</v>
      </c>
      <c r="H30" s="1855">
        <f>-CF!BV96</f>
        <v>38.052999999999997</v>
      </c>
      <c r="I30" s="1855">
        <f>-CF!BW96</f>
        <v>38.614000000000004</v>
      </c>
      <c r="J30" s="1855">
        <f>-CF!BX96</f>
        <v>37.145999999999994</v>
      </c>
      <c r="K30" s="1855">
        <f>-CF!BY96</f>
        <v>37.045000000000002</v>
      </c>
      <c r="L30" s="1855">
        <f>-CF!BZ96</f>
        <v>50.434999999999995</v>
      </c>
      <c r="M30" s="1856">
        <f>-CF!CA96</f>
        <v>54.397000000000006</v>
      </c>
      <c r="N30" s="1856">
        <f>-CF!CB96</f>
        <v>52.126999999999995</v>
      </c>
      <c r="O30" s="1856">
        <f>-CF!CC96</f>
        <v>45.823999999999998</v>
      </c>
      <c r="P30" s="1856">
        <f>-CF!CD96</f>
        <v>49.152999999999999</v>
      </c>
      <c r="Q30" s="1856">
        <f>-CF!CE96</f>
        <v>49.757999999999996</v>
      </c>
      <c r="R30" s="1856">
        <f>-CF!CF96</f>
        <v>59.584000000000003</v>
      </c>
      <c r="S30" s="1856">
        <f>-CF!CG96</f>
        <v>60.083999999999996</v>
      </c>
      <c r="T30" s="1856">
        <f>-CF!CH96</f>
        <v>61.027999999999999</v>
      </c>
      <c r="U30" s="1856">
        <f>-CF!CI96</f>
        <v>64.709000000000003</v>
      </c>
      <c r="V30" s="1856">
        <f>-CF!CJ96</f>
        <v>67.385999999999996</v>
      </c>
      <c r="W30" s="1856">
        <f>-CF!CK96</f>
        <v>66.13</v>
      </c>
      <c r="X30" s="1856">
        <f>-CF!CL96</f>
        <v>63.4</v>
      </c>
      <c r="Y30" s="1856">
        <f>-CF!CM96</f>
        <v>70.745999999999995</v>
      </c>
      <c r="Z30" s="1856">
        <f>-CF!CN96</f>
        <v>68.271000000000001</v>
      </c>
      <c r="AA30" s="1856">
        <f>-CF!CO96</f>
        <v>73.574999999999989</v>
      </c>
      <c r="AB30" s="1856">
        <f>-CF!CP96</f>
        <v>75.335000000000008</v>
      </c>
      <c r="AC30" s="1856">
        <f>-CF!CQ96</f>
        <v>78.292999999999992</v>
      </c>
      <c r="AD30" s="1856">
        <f>-CF!CR96</f>
        <v>99.467111250000002</v>
      </c>
      <c r="AE30" s="1856">
        <f>-CF!CS96</f>
        <v>99.925699999999992</v>
      </c>
      <c r="AF30" s="1856">
        <f>-CF!CT96</f>
        <v>91.891136250000002</v>
      </c>
      <c r="AG30" s="1856">
        <f>-CF!CU96</f>
        <v>98.133878749999994</v>
      </c>
      <c r="AH30" s="1856">
        <f>-CF!CV96</f>
        <v>111.207795625</v>
      </c>
      <c r="AI30" s="1856">
        <f>-CF!CW96</f>
        <v>115.95171125</v>
      </c>
      <c r="AJ30" s="1932">
        <f ca="1">-CF!CX96</f>
        <v>120.14495996794361</v>
      </c>
      <c r="AK30" s="1932">
        <v>118.20474097156092</v>
      </c>
      <c r="AL30" s="1945">
        <f>126.144-3.255</f>
        <v>122.88900000000001</v>
      </c>
      <c r="AM30" s="1788"/>
      <c r="AN30" s="1859"/>
      <c r="AO30" s="1859"/>
      <c r="AP30" s="1883"/>
      <c r="AQ30" s="2112"/>
      <c r="AW30" s="2099" t="s">
        <v>2755</v>
      </c>
      <c r="BH30" s="1774" t="s">
        <v>95</v>
      </c>
      <c r="BI30" s="1976">
        <f>+BG29/IS!DP15-1</f>
        <v>3.3619987138330698E-2</v>
      </c>
      <c r="BJ30" s="2119">
        <f>+IS!DQ16</f>
        <v>4.1622514343538475E-2</v>
      </c>
      <c r="BK30" s="1975">
        <f>+BK29/IS!DP15-1</f>
        <v>3.5008561428356844E-2</v>
      </c>
      <c r="BP30" s="1888"/>
      <c r="BQ30" s="2099" t="s">
        <v>1897</v>
      </c>
    </row>
    <row r="31" spans="2:71" ht="15" customHeight="1">
      <c r="B31" s="1772"/>
      <c r="C31" s="1772"/>
      <c r="D31" s="2055" t="s">
        <v>1285</v>
      </c>
      <c r="E31" s="1792"/>
      <c r="F31" s="1861"/>
      <c r="G31" s="1818">
        <f t="shared" ref="G31:R31" si="80">+G27-G28-G30</f>
        <v>-67.334000000000032</v>
      </c>
      <c r="H31" s="1818">
        <f t="shared" si="80"/>
        <v>-217.048</v>
      </c>
      <c r="I31" s="1818">
        <f t="shared" si="80"/>
        <v>-39.915999999999997</v>
      </c>
      <c r="J31" s="1818">
        <f t="shared" si="80"/>
        <v>-50.210999999999991</v>
      </c>
      <c r="K31" s="1818">
        <f t="shared" si="80"/>
        <v>-53.938000000000002</v>
      </c>
      <c r="L31" s="1818">
        <f t="shared" si="80"/>
        <v>-3.3710000000000022</v>
      </c>
      <c r="M31" s="1798">
        <f t="shared" si="80"/>
        <v>-281.50200000000001</v>
      </c>
      <c r="N31" s="1798">
        <f t="shared" si="80"/>
        <v>9.1180000000000092</v>
      </c>
      <c r="O31" s="1798">
        <f t="shared" si="80"/>
        <v>-25.888000000000019</v>
      </c>
      <c r="P31" s="1798">
        <f t="shared" si="80"/>
        <v>-36.255000000000031</v>
      </c>
      <c r="Q31" s="1798">
        <f t="shared" si="80"/>
        <v>-20.480000000000032</v>
      </c>
      <c r="R31" s="1798">
        <f t="shared" si="80"/>
        <v>105.63699999999992</v>
      </c>
      <c r="S31" s="1798">
        <f t="shared" ref="S31:X31" si="81">+S27-S28-S30</f>
        <v>65.087999999999994</v>
      </c>
      <c r="T31" s="1798">
        <f t="shared" si="81"/>
        <v>16.382000000000083</v>
      </c>
      <c r="U31" s="1798">
        <f t="shared" si="81"/>
        <v>-4.0199999999999818</v>
      </c>
      <c r="V31" s="1798">
        <f t="shared" si="81"/>
        <v>87.094000000000023</v>
      </c>
      <c r="W31" s="1798">
        <f t="shared" si="81"/>
        <v>49.331000000000046</v>
      </c>
      <c r="X31" s="1798">
        <f t="shared" si="81"/>
        <v>64.456999999999965</v>
      </c>
      <c r="Y31" s="1798">
        <f>+Y27-Y28-Y30</f>
        <v>-14.856999999999985</v>
      </c>
      <c r="Z31" s="1798">
        <f>+Z27-Z28-Z30</f>
        <v>87.356999999999985</v>
      </c>
      <c r="AA31" s="1798">
        <f>+AA27-AA28-AA30</f>
        <v>16.344999999999914</v>
      </c>
      <c r="AB31" s="1798">
        <f>+AB27-AB28-AB30</f>
        <v>24.795000000000044</v>
      </c>
      <c r="AC31" s="1798">
        <f t="shared" ref="AC31" si="82">+AC27-AC28-AC30</f>
        <v>-26.148000000000124</v>
      </c>
      <c r="AD31" s="1798">
        <f t="shared" ref="AD31" si="83">+AD27-AD28-AD30</f>
        <v>83.482888750000043</v>
      </c>
      <c r="AE31" s="1798">
        <f t="shared" ref="AE31:AJ31" si="84">+AE27-AE28-AE30</f>
        <v>70.498300000000015</v>
      </c>
      <c r="AF31" s="1798">
        <f t="shared" si="84"/>
        <v>48.673863749999938</v>
      </c>
      <c r="AG31" s="1798">
        <f t="shared" si="84"/>
        <v>-47.963878750000035</v>
      </c>
      <c r="AH31" s="1798">
        <f t="shared" si="84"/>
        <v>39.124204375000105</v>
      </c>
      <c r="AI31" s="1798">
        <f t="shared" si="84"/>
        <v>44.784288749999988</v>
      </c>
      <c r="AJ31" s="1799">
        <f t="shared" ca="1" si="84"/>
        <v>109.94004003205637</v>
      </c>
      <c r="AK31" s="1799">
        <v>82.744713950295349</v>
      </c>
      <c r="AL31" s="1799">
        <f>+AL27-AL28-AL30</f>
        <v>9.2740000000000009</v>
      </c>
      <c r="AM31" s="1786">
        <f>AL31-AK31</f>
        <v>-73.470713950295348</v>
      </c>
      <c r="AN31" s="2307">
        <v>77</v>
      </c>
      <c r="AO31" s="1801">
        <f>AN31-AK31</f>
        <v>-5.744713950295349</v>
      </c>
      <c r="AP31" s="2116" t="s">
        <v>214</v>
      </c>
      <c r="AQ31" s="2110"/>
      <c r="AT31" s="2033"/>
      <c r="AW31" s="2099"/>
      <c r="BH31" s="1805" t="s">
        <v>1348</v>
      </c>
      <c r="BI31" s="1871">
        <v>0.67</v>
      </c>
      <c r="BJ31" s="1880">
        <f>+IS!DQ20</f>
        <v>0.66057167804929262</v>
      </c>
      <c r="BK31" s="1881">
        <v>0.65639999999999998</v>
      </c>
      <c r="BP31" s="1888"/>
      <c r="BQ31" s="2099" t="s">
        <v>1932</v>
      </c>
    </row>
    <row r="32" spans="2:71" ht="15" customHeight="1">
      <c r="B32" s="1755"/>
      <c r="C32" s="1756"/>
      <c r="D32" s="2048" t="s">
        <v>1734</v>
      </c>
      <c r="E32" s="1766"/>
      <c r="F32" s="1766"/>
      <c r="G32" s="1766"/>
      <c r="H32" s="1766"/>
      <c r="I32" s="1766"/>
      <c r="J32" s="1766"/>
      <c r="K32" s="1766"/>
      <c r="L32" s="1766"/>
      <c r="M32" s="1767"/>
      <c r="N32" s="1767"/>
      <c r="O32" s="1767"/>
      <c r="P32" s="1767"/>
      <c r="Q32" s="1767"/>
      <c r="R32" s="1767"/>
      <c r="S32" s="1767"/>
      <c r="T32" s="1767"/>
      <c r="U32" s="1767"/>
      <c r="V32" s="1767"/>
      <c r="W32" s="1767"/>
      <c r="X32" s="1767"/>
      <c r="Y32" s="1767"/>
      <c r="Z32" s="1767"/>
      <c r="AA32" s="1767"/>
      <c r="AB32" s="1767"/>
      <c r="AC32" s="1767"/>
      <c r="AD32" s="1767"/>
      <c r="AE32" s="1767"/>
      <c r="AF32" s="1767"/>
      <c r="AG32" s="1767"/>
      <c r="AH32" s="1767"/>
      <c r="AI32" s="1767"/>
      <c r="AJ32" s="1927"/>
      <c r="AK32" s="1927"/>
      <c r="AL32" s="1767"/>
      <c r="AM32" s="1769"/>
      <c r="AN32" s="1768"/>
      <c r="AO32" s="1769"/>
      <c r="AP32" s="2115"/>
      <c r="AQ32" s="2108"/>
      <c r="AT32" s="2033"/>
      <c r="AW32" s="2033"/>
      <c r="BH32" s="1805" t="s">
        <v>1539</v>
      </c>
      <c r="BI32" s="1879" t="s">
        <v>2705</v>
      </c>
      <c r="BJ32" s="1873">
        <f>+IS!DQ24+IS!DQ34-IS!DQ33</f>
        <v>227.99199999999999</v>
      </c>
      <c r="BK32" s="1873"/>
      <c r="BP32" s="1888"/>
    </row>
    <row r="33" spans="2:77" ht="15" customHeight="1">
      <c r="B33" s="1772" t="s">
        <v>1354</v>
      </c>
      <c r="C33" s="1772"/>
      <c r="D33" s="2056" t="s">
        <v>1050</v>
      </c>
      <c r="E33" s="1789"/>
      <c r="F33" s="1817">
        <f>Rev!BT8</f>
        <v>200.35900000000001</v>
      </c>
      <c r="G33" s="1817">
        <f>Rev!BU8</f>
        <v>228.52190162018246</v>
      </c>
      <c r="H33" s="1817">
        <f>Rev!BV8</f>
        <v>250.36456583980473</v>
      </c>
      <c r="I33" s="1817">
        <f>Rev!BW8</f>
        <v>258.48041055189532</v>
      </c>
      <c r="J33" s="1817">
        <f>Rev!BX8</f>
        <v>273.7451797671327</v>
      </c>
      <c r="K33" s="1817">
        <f>Rev!BY8</f>
        <v>294.5841052125009</v>
      </c>
      <c r="L33" s="1817">
        <f>Rev!BZ8</f>
        <v>306.08713505872367</v>
      </c>
      <c r="M33" s="1803">
        <f>Rev!CA8</f>
        <v>319.91577270455917</v>
      </c>
      <c r="N33" s="1803">
        <f>Rev!CB8</f>
        <v>334.71299999999997</v>
      </c>
      <c r="O33" s="1803">
        <f>Rev!CC8</f>
        <v>347.495</v>
      </c>
      <c r="P33" s="1803">
        <f>Rev!CD8</f>
        <v>365.78699999999998</v>
      </c>
      <c r="Q33" s="1803">
        <f>Rev!CE8</f>
        <v>385.69899999999996</v>
      </c>
      <c r="R33" s="1803">
        <f>Rev!CF8</f>
        <v>394.83099999999996</v>
      </c>
      <c r="S33" s="1803">
        <f>Rev!CG8</f>
        <v>398.08699999999999</v>
      </c>
      <c r="T33" s="1803">
        <f>Rev!CH8</f>
        <v>408.56900000000002</v>
      </c>
      <c r="U33" s="1803">
        <f>Rev!CI8</f>
        <v>426.69200000000001</v>
      </c>
      <c r="V33" s="1803">
        <f>Rev!CJ8</f>
        <v>434.62299999999999</v>
      </c>
      <c r="W33" s="1803">
        <f>Rev!CK8</f>
        <v>452.66</v>
      </c>
      <c r="X33" s="1803">
        <f>Rev!CL8</f>
        <v>462.46499999999997</v>
      </c>
      <c r="Y33" s="1803">
        <f>Rev!CM8</f>
        <v>480.06399999999996</v>
      </c>
      <c r="Z33" s="1803">
        <f>Rev!CN8</f>
        <v>481.54500000000002</v>
      </c>
      <c r="AA33" s="1803">
        <f>Rev!CO8</f>
        <v>496.61</v>
      </c>
      <c r="AB33" s="1803">
        <f>Rev!CP8</f>
        <v>511.65200000000004</v>
      </c>
      <c r="AC33" s="1803">
        <f>Rev!CQ8</f>
        <v>535.15599999999995</v>
      </c>
      <c r="AD33" s="1803">
        <f>Rev!CR8</f>
        <v>619.89300000000003</v>
      </c>
      <c r="AE33" s="1803">
        <f>Rev!CS8</f>
        <v>662.66899999999987</v>
      </c>
      <c r="AF33" s="1803">
        <f>Rev!CT8</f>
        <v>680.84</v>
      </c>
      <c r="AG33" s="1803">
        <f>Rev!CU8</f>
        <v>688.51199999999994</v>
      </c>
      <c r="AH33" s="1803">
        <f>Rev!CV8</f>
        <v>691.52200000000005</v>
      </c>
      <c r="AI33" s="1803">
        <f>Rev!CW8</f>
        <v>782.23099999999999</v>
      </c>
      <c r="AJ33" s="1935">
        <f>Rev!CX8</f>
        <v>842.68000000000006</v>
      </c>
      <c r="AK33" s="1935">
        <v>875.66916957463491</v>
      </c>
      <c r="AL33" s="1819">
        <v>861.71199999999999</v>
      </c>
      <c r="AM33" s="1801">
        <f>AL33-AK33</f>
        <v>-13.957169574634918</v>
      </c>
      <c r="AN33" s="1804">
        <v>868.6</v>
      </c>
      <c r="AO33" s="1801">
        <f t="shared" ref="AO33:AO36" si="85">AN33-AK33</f>
        <v>-7.0691695746348842</v>
      </c>
      <c r="AP33" s="2117" t="s">
        <v>214</v>
      </c>
      <c r="AQ33" s="2111"/>
      <c r="AS33" s="1867"/>
      <c r="AT33" s="2034">
        <v>2017</v>
      </c>
      <c r="AV33" s="1833" t="s">
        <v>1746</v>
      </c>
      <c r="AW33" s="1902" t="s">
        <v>2594</v>
      </c>
      <c r="AX33" s="1902"/>
      <c r="AY33" s="1902"/>
      <c r="AZ33" s="1902"/>
      <c r="BA33" s="1902"/>
      <c r="BB33" s="1902"/>
      <c r="BC33" s="1902"/>
      <c r="BD33"/>
      <c r="BG33" s="2012">
        <v>566</v>
      </c>
      <c r="BH33" s="2097" t="s">
        <v>400</v>
      </c>
      <c r="BI33" s="1871" t="s">
        <v>2694</v>
      </c>
      <c r="BJ33" s="1873">
        <f>+IS!DQ37</f>
        <v>564.84</v>
      </c>
      <c r="BK33" s="1874">
        <v>570.62</v>
      </c>
      <c r="BP33" s="1888"/>
      <c r="BQ33" s="1903"/>
      <c r="BR33" s="1903"/>
      <c r="BT33" s="1902" t="str">
        <f>AW260</f>
        <v>EQUINIX - 2013 GUIDANCE</v>
      </c>
      <c r="BU33" s="1903"/>
      <c r="BV33" s="1903"/>
      <c r="BW33" s="1903"/>
      <c r="BX33" s="1903"/>
    </row>
    <row r="34" spans="2:77" ht="15" customHeight="1">
      <c r="B34" s="1772" t="s">
        <v>1354</v>
      </c>
      <c r="C34" s="1772"/>
      <c r="D34" s="2056" t="s">
        <v>1124</v>
      </c>
      <c r="E34" s="1789"/>
      <c r="F34" s="1817">
        <f>Rev!BT9</f>
        <v>29.231999999999999</v>
      </c>
      <c r="G34" s="1817">
        <f>Rev!BU9</f>
        <v>39.809335000054112</v>
      </c>
      <c r="H34" s="1817">
        <f>Rev!BV9</f>
        <v>47.06487839266493</v>
      </c>
      <c r="I34" s="1817">
        <f>Rev!BW9</f>
        <v>50.134182296400596</v>
      </c>
      <c r="J34" s="1817">
        <f>Rev!BX9</f>
        <v>52.253241703933497</v>
      </c>
      <c r="K34" s="1817">
        <f>Rev!BY9</f>
        <v>57.047457179678545</v>
      </c>
      <c r="L34" s="1817">
        <f>Rev!BZ9</f>
        <v>57.513920722041156</v>
      </c>
      <c r="M34" s="1803">
        <f>Rev!CA9</f>
        <v>61.019987682818595</v>
      </c>
      <c r="N34" s="1803">
        <f>Rev!CB9</f>
        <v>62.882999999999996</v>
      </c>
      <c r="O34" s="1803">
        <f>Rev!CC9</f>
        <v>65.033999999999992</v>
      </c>
      <c r="P34" s="1803">
        <f>Rev!CD9</f>
        <v>70.680999999999997</v>
      </c>
      <c r="Q34" s="1803">
        <f>Rev!CE9</f>
        <v>73.50500000000001</v>
      </c>
      <c r="R34" s="1803">
        <f>Rev!CF9</f>
        <v>75.991</v>
      </c>
      <c r="S34" s="1803">
        <f>Rev!CG9</f>
        <v>78.352999999999994</v>
      </c>
      <c r="T34" s="1803">
        <f>Rev!CH9</f>
        <v>81.650000000000006</v>
      </c>
      <c r="U34" s="1803">
        <f>Rev!CI9</f>
        <v>83.869</v>
      </c>
      <c r="V34" s="1803">
        <f>Rev!CJ9</f>
        <v>87.02600000000001</v>
      </c>
      <c r="W34" s="1803">
        <f>Rev!CK9</f>
        <v>90.968999999999994</v>
      </c>
      <c r="X34" s="1803">
        <f>Rev!CL9</f>
        <v>95.647999999999996</v>
      </c>
      <c r="Y34" s="1803">
        <f>Rev!CM9</f>
        <v>98.706999999999994</v>
      </c>
      <c r="Z34" s="1803">
        <f>Rev!CN9</f>
        <v>101.658</v>
      </c>
      <c r="AA34" s="1803">
        <f>Rev!CO9</f>
        <v>104.661</v>
      </c>
      <c r="AB34" s="1803">
        <f>Rev!CP9</f>
        <v>110.56800000000001</v>
      </c>
      <c r="AC34" s="1803">
        <f>Rev!CQ9</f>
        <v>118.922</v>
      </c>
      <c r="AD34" s="1803">
        <f>Rev!CR9</f>
        <v>127.20500000000001</v>
      </c>
      <c r="AE34" s="1803">
        <f>Rev!CS9</f>
        <v>135.721</v>
      </c>
      <c r="AF34" s="1803">
        <f>Rev!CT9</f>
        <v>135.43899999999999</v>
      </c>
      <c r="AG34" s="1803">
        <f>Rev!CU9</f>
        <v>145.898</v>
      </c>
      <c r="AH34" s="1803">
        <f>Rev!CV9</f>
        <v>148.06</v>
      </c>
      <c r="AI34" s="1803">
        <f>Rev!CW9</f>
        <v>165.684</v>
      </c>
      <c r="AJ34" s="1935">
        <f>Rev!CX9</f>
        <v>179.54400000000001</v>
      </c>
      <c r="AK34" s="1935">
        <v>185.17204989786507</v>
      </c>
      <c r="AL34" s="1819">
        <v>187.88499999999999</v>
      </c>
      <c r="AM34" s="1801">
        <f>AL34-AK34</f>
        <v>2.7129501021349256</v>
      </c>
      <c r="AN34" s="1804">
        <v>189.9</v>
      </c>
      <c r="AO34" s="1801">
        <f t="shared" si="85"/>
        <v>4.7279501021349404</v>
      </c>
      <c r="AP34" s="2117" t="s">
        <v>268</v>
      </c>
      <c r="AQ34" s="2111"/>
      <c r="AS34" s="1867"/>
      <c r="AW34" s="1805"/>
      <c r="AX34" s="1809" t="s">
        <v>2693</v>
      </c>
      <c r="AY34" s="1809" t="s">
        <v>2692</v>
      </c>
      <c r="AZ34" s="1809" t="s">
        <v>2635</v>
      </c>
      <c r="BA34" s="1809" t="s">
        <v>2592</v>
      </c>
      <c r="BB34" s="1865" t="s">
        <v>240</v>
      </c>
      <c r="BC34" s="1865" t="s">
        <v>442</v>
      </c>
      <c r="BD34"/>
      <c r="BG34" s="2013"/>
      <c r="BH34" s="2120" t="s">
        <v>1741</v>
      </c>
      <c r="BI34" s="2118">
        <f>+BG33/BG29</f>
        <v>0.47523089840470195</v>
      </c>
      <c r="BJ34" s="2119">
        <f>+BJ33/BJ29</f>
        <v>0.47061332871196226</v>
      </c>
      <c r="BK34" s="2119">
        <f>+BK33/BK29</f>
        <v>0.47846721448935103</v>
      </c>
      <c r="BP34" s="1888"/>
      <c r="BQ34" s="1805"/>
      <c r="BR34" s="1972">
        <v>2014</v>
      </c>
      <c r="BS34" s="1972" t="s">
        <v>1778</v>
      </c>
      <c r="BU34" s="1805"/>
      <c r="BV34" s="1809" t="str">
        <f t="shared" ref="BV34:BV43" si="86">AZ261</f>
        <v>EQIX (3Q13)</v>
      </c>
      <c r="BW34" s="1865" t="str">
        <f t="shared" ref="BW34:BX36" si="87">BB261</f>
        <v>Cons.</v>
      </c>
      <c r="BX34" s="1809" t="str">
        <f t="shared" si="87"/>
        <v>EQIX (2Q13)</v>
      </c>
      <c r="BY34" s="1809" t="s">
        <v>412</v>
      </c>
    </row>
    <row r="35" spans="2:77" ht="15" customHeight="1">
      <c r="B35" s="1772" t="s">
        <v>1354</v>
      </c>
      <c r="C35" s="1772"/>
      <c r="D35" s="2056" t="s">
        <v>1457</v>
      </c>
      <c r="E35" s="1789"/>
      <c r="F35" s="1817">
        <f>Rev!BT10</f>
        <v>7.3</v>
      </c>
      <c r="G35" s="1817">
        <f>Rev!BU10</f>
        <v>7.2709076160481398</v>
      </c>
      <c r="H35" s="1817">
        <f>Rev!BV10</f>
        <v>7.7704431656543127</v>
      </c>
      <c r="I35" s="1817">
        <f>Rev!BW10</f>
        <v>8.0693308734535485</v>
      </c>
      <c r="J35" s="1817">
        <f>Rev!BX10</f>
        <v>8.4465725662409525</v>
      </c>
      <c r="K35" s="1817">
        <f>Rev!BY10</f>
        <v>15.108665496188809</v>
      </c>
      <c r="L35" s="1817">
        <f>Rev!BZ10</f>
        <v>23.820327282895878</v>
      </c>
      <c r="M35" s="1803">
        <f>Rev!CA10</f>
        <v>20.143725203421813</v>
      </c>
      <c r="N35" s="1803">
        <f>Rev!CB10</f>
        <v>21.766000000000002</v>
      </c>
      <c r="O35" s="1803">
        <f>Rev!CC10</f>
        <v>20.305</v>
      </c>
      <c r="P35" s="1803">
        <f>Rev!CD10</f>
        <v>23.231000000000002</v>
      </c>
      <c r="Q35" s="1803">
        <f>Rev!CE10</f>
        <v>22.806999999999999</v>
      </c>
      <c r="R35" s="1803">
        <f>Rev!CF10</f>
        <v>23.12</v>
      </c>
      <c r="S35" s="1803">
        <f>Rev!CG10</f>
        <v>24.791000000000004</v>
      </c>
      <c r="T35" s="1803">
        <f>Rev!CH10</f>
        <v>24.413</v>
      </c>
      <c r="U35" s="1803">
        <f>Rev!CI10</f>
        <v>25.076000000000001</v>
      </c>
      <c r="V35" s="1803">
        <f>Rev!CJ10</f>
        <v>25.384</v>
      </c>
      <c r="W35" s="1803">
        <f>Rev!CK10</f>
        <v>27.856000000000002</v>
      </c>
      <c r="X35" s="1803">
        <f>Rev!CL10</f>
        <v>27.756999999999998</v>
      </c>
      <c r="Y35" s="1803">
        <f>Rev!CM10</f>
        <v>24.293999999999997</v>
      </c>
      <c r="Z35" s="1803">
        <f>Rev!CN10</f>
        <v>23.855</v>
      </c>
      <c r="AA35" s="1803">
        <f>Rev!CO10</f>
        <v>23.466000000000001</v>
      </c>
      <c r="AB35" s="1803">
        <f>Rev!CP10</f>
        <v>22.326999999999998</v>
      </c>
      <c r="AC35" s="1803">
        <f>Rev!CQ10</f>
        <v>28.04</v>
      </c>
      <c r="AD35" s="1803">
        <f>Rev!CR10</f>
        <v>44.736000000000004</v>
      </c>
      <c r="AE35" s="1803">
        <f>Rev!CS10</f>
        <v>45.243000000000002</v>
      </c>
      <c r="AF35" s="1803">
        <f>Rev!CT10</f>
        <v>55.327000000000005</v>
      </c>
      <c r="AG35" s="1803">
        <f>Rev!CU10</f>
        <v>53.989999999999995</v>
      </c>
      <c r="AH35" s="1803">
        <f>Rev!CV10</f>
        <v>54.608999999999995</v>
      </c>
      <c r="AI35" s="1803">
        <f>Rev!CW10</f>
        <v>58.192999999999998</v>
      </c>
      <c r="AJ35" s="1935">
        <f>Rev!CX10</f>
        <v>63.278000000000006</v>
      </c>
      <c r="AK35" s="1935">
        <v>63.278000000000006</v>
      </c>
      <c r="AL35" s="1819">
        <v>69.088999999999999</v>
      </c>
      <c r="AM35" s="1801">
        <f>AL35-AK35</f>
        <v>5.8109999999999928</v>
      </c>
      <c r="AN35" s="1804">
        <v>65.8</v>
      </c>
      <c r="AO35" s="1801">
        <f t="shared" si="85"/>
        <v>2.5219999999999914</v>
      </c>
      <c r="AP35" s="2117" t="s">
        <v>268</v>
      </c>
      <c r="AQ35" s="2111"/>
      <c r="AS35" s="1867"/>
      <c r="AU35" s="1754">
        <f>+IS!U15</f>
        <v>3611.9889999999996</v>
      </c>
      <c r="AV35" s="2012">
        <v>4359</v>
      </c>
      <c r="AW35" s="1805" t="s">
        <v>1743</v>
      </c>
      <c r="AX35" s="1871" t="s">
        <v>2695</v>
      </c>
      <c r="AY35" s="1871" t="s">
        <v>2672</v>
      </c>
      <c r="AZ35" s="1871" t="s">
        <v>2638</v>
      </c>
      <c r="BA35" s="1871" t="s">
        <v>2595</v>
      </c>
      <c r="BB35" s="1873">
        <f>+IS!V15</f>
        <v>4368.4279999999999</v>
      </c>
      <c r="BC35" s="1874">
        <v>4359.8900000000003</v>
      </c>
      <c r="BD35"/>
      <c r="BG35" s="2012">
        <v>365</v>
      </c>
      <c r="BH35" s="1805" t="s">
        <v>431</v>
      </c>
      <c r="BI35" s="1871" t="s">
        <v>2708</v>
      </c>
      <c r="BJ35" s="1873">
        <f>+BS!CY133</f>
        <v>432.67700000000002</v>
      </c>
      <c r="BK35" s="1874">
        <v>451.14</v>
      </c>
      <c r="BP35" s="1888"/>
      <c r="BQ35" s="1805" t="s">
        <v>1743</v>
      </c>
      <c r="BR35" s="1871" t="str">
        <f t="shared" ref="BR35:BR44" si="88">AZ198</f>
        <v>&gt; $2,395</v>
      </c>
      <c r="BS35" s="1871" t="str">
        <f t="shared" ref="BS35:BS44" si="89">BI265</f>
        <v>$594 - $598</v>
      </c>
      <c r="BU35" s="1805" t="str">
        <f t="shared" ref="BU35:BU44" si="90">AW262</f>
        <v>Total Revenue</v>
      </c>
      <c r="BV35" s="1871" t="str">
        <f t="shared" si="86"/>
        <v>$2,145 - $2,149</v>
      </c>
      <c r="BW35" s="1842">
        <f t="shared" si="87"/>
        <v>2149.77</v>
      </c>
      <c r="BX35" s="1871" t="str">
        <f t="shared" si="87"/>
        <v>$2,135 - $2,145</v>
      </c>
      <c r="BY35" s="1976">
        <f>BD253</f>
        <v>3.2710280373831058E-3</v>
      </c>
    </row>
    <row r="36" spans="2:77" ht="15" customHeight="1">
      <c r="B36" s="1772"/>
      <c r="C36" s="1772"/>
      <c r="D36" s="2057" t="s">
        <v>1222</v>
      </c>
      <c r="E36" s="1862"/>
      <c r="F36" s="1863">
        <f>Rev!BT11</f>
        <v>0.34499999999999997</v>
      </c>
      <c r="G36" s="1863">
        <f>Rev!BU11</f>
        <v>0.54685576371527223</v>
      </c>
      <c r="H36" s="1863">
        <f>Rev!BV11</f>
        <v>0.76811260187605723</v>
      </c>
      <c r="I36" s="1863">
        <f>Rev!BW11</f>
        <v>0.7490762782505499</v>
      </c>
      <c r="J36" s="1863">
        <f>Rev!BX11</f>
        <v>0.60200596269288098</v>
      </c>
      <c r="K36" s="1863">
        <f>Rev!BY11</f>
        <v>0.64777211163177673</v>
      </c>
      <c r="L36" s="1863">
        <f>Rev!BZ11</f>
        <v>0.79261693633926678</v>
      </c>
      <c r="M36" s="2058">
        <f>Rev!CA11</f>
        <v>0.68551440920040863</v>
      </c>
      <c r="N36" s="2058">
        <f>Rev!CB11</f>
        <v>0.78299999999999992</v>
      </c>
      <c r="O36" s="2058">
        <f>Rev!CC11</f>
        <v>0.78100000000000003</v>
      </c>
      <c r="P36" s="2058">
        <f>Rev!CD11</f>
        <v>0.78299999999999992</v>
      </c>
      <c r="Q36" s="2058">
        <f>Rev!CE11</f>
        <v>0.81499999999999995</v>
      </c>
      <c r="R36" s="2058">
        <f>Rev!CF11</f>
        <v>0.58000000000000007</v>
      </c>
      <c r="S36" s="2058">
        <f>Rev!CG11</f>
        <v>0.58299999999999996</v>
      </c>
      <c r="T36" s="2058">
        <f>Rev!CH11</f>
        <v>0.93399999999999994</v>
      </c>
      <c r="U36" s="2058">
        <f>Rev!CI11</f>
        <v>2.423</v>
      </c>
      <c r="V36" s="2058">
        <f>Rev!CJ11</f>
        <v>2.67</v>
      </c>
      <c r="W36" s="2058">
        <f>Rev!CK11</f>
        <v>2.673</v>
      </c>
      <c r="X36" s="2058">
        <f>Rev!CL11</f>
        <v>2.5659999999999998</v>
      </c>
      <c r="Y36" s="2058">
        <f>Rev!CM11</f>
        <v>2.427</v>
      </c>
      <c r="Z36" s="2058">
        <f>Rev!CN11</f>
        <v>2.5990000000000002</v>
      </c>
      <c r="AA36" s="2058">
        <f>Rev!CO11</f>
        <v>1.954</v>
      </c>
      <c r="AB36" s="2058">
        <f>Rev!CP11</f>
        <v>2.1739999999999999</v>
      </c>
      <c r="AC36" s="2058">
        <f>Rev!CQ11</f>
        <v>3.9539999999999997</v>
      </c>
      <c r="AD36" s="2058">
        <f>Rev!CR11</f>
        <v>5.26</v>
      </c>
      <c r="AE36" s="2058">
        <f>Rev!CS11</f>
        <v>8.1379999999999999</v>
      </c>
      <c r="AF36" s="2058">
        <f>Rev!CT11</f>
        <v>5.4</v>
      </c>
      <c r="AG36" s="2058">
        <f>Rev!CU11</f>
        <v>4.0419999999999998</v>
      </c>
      <c r="AH36" s="2058">
        <f>Rev!CV11</f>
        <v>4.2490000000000006</v>
      </c>
      <c r="AI36" s="2058">
        <f>Rev!CW11</f>
        <v>3.94</v>
      </c>
      <c r="AJ36" s="2059">
        <f>Rev!CX11</f>
        <v>3.5310000000000001</v>
      </c>
      <c r="AK36" s="2059">
        <v>3.5810000000000004</v>
      </c>
      <c r="AL36" s="2060">
        <v>3.9129999999999998</v>
      </c>
      <c r="AM36" s="2061">
        <f>AL36-AK36</f>
        <v>0.33199999999999941</v>
      </c>
      <c r="AN36" s="2332">
        <v>3.9</v>
      </c>
      <c r="AO36" s="1801">
        <f t="shared" si="85"/>
        <v>0.31899999999999951</v>
      </c>
      <c r="AP36" s="2062" t="s">
        <v>752</v>
      </c>
      <c r="AQ36" s="2111"/>
      <c r="AS36" s="1867"/>
      <c r="AT36" s="1867"/>
      <c r="AU36" s="1867"/>
      <c r="AW36" s="1774" t="s">
        <v>1322</v>
      </c>
      <c r="AX36" s="1976">
        <f>+AV35/AU35-1</f>
        <v>0.20681430646660348</v>
      </c>
      <c r="AY36" s="1976">
        <v>0.19684749870500728</v>
      </c>
      <c r="AZ36" s="1976">
        <f>3976/AU35-1</f>
        <v>0.10077854611406645</v>
      </c>
      <c r="BA36" s="1976">
        <f>3933/AU35-1</f>
        <v>8.8873747954381965E-2</v>
      </c>
      <c r="BB36" s="2119">
        <f>+IS!V17</f>
        <v>0.20942450267705692</v>
      </c>
      <c r="BC36" s="1975">
        <f>+BC35/BC88-1</f>
        <v>0.20701024877219609</v>
      </c>
      <c r="BD36"/>
      <c r="BH36" s="2120" t="s">
        <v>1742</v>
      </c>
      <c r="BI36" s="2118">
        <f>+BG35/BG29</f>
        <v>0.30646515533165408</v>
      </c>
      <c r="BJ36" s="2119">
        <f>+BJ35/BJ29</f>
        <v>0.36049777499310548</v>
      </c>
      <c r="BK36" s="2119">
        <f>+BK35/BK29</f>
        <v>0.37828274358544356</v>
      </c>
      <c r="BP36" s="1888"/>
      <c r="BQ36" s="1774" t="s">
        <v>4</v>
      </c>
      <c r="BR36" s="1976">
        <f t="shared" si="88"/>
        <v>0.11252221560541176</v>
      </c>
      <c r="BS36" s="1976">
        <f t="shared" si="89"/>
        <v>-0.50342478593525697</v>
      </c>
      <c r="BU36" s="1805" t="str">
        <f t="shared" si="90"/>
        <v>% Gross Margin</v>
      </c>
      <c r="BV36" s="1871">
        <f t="shared" si="86"/>
        <v>0.68</v>
      </c>
      <c r="BW36" s="1908">
        <f t="shared" si="87"/>
        <v>0.66810000000000003</v>
      </c>
      <c r="BX36" s="1871">
        <f t="shared" si="87"/>
        <v>0.68</v>
      </c>
      <c r="BY36"/>
    </row>
    <row r="37" spans="2:77" ht="15" customHeight="1">
      <c r="B37" s="1755"/>
      <c r="C37" s="1756"/>
      <c r="D37" s="2048" t="s">
        <v>1735</v>
      </c>
      <c r="E37" s="1766"/>
      <c r="F37" s="1766"/>
      <c r="G37" s="1766"/>
      <c r="H37" s="1766"/>
      <c r="I37" s="1766"/>
      <c r="J37" s="1766"/>
      <c r="K37" s="1766"/>
      <c r="L37" s="1766"/>
      <c r="M37" s="1767"/>
      <c r="N37" s="1767"/>
      <c r="O37" s="1767"/>
      <c r="P37" s="1767"/>
      <c r="Q37" s="1767"/>
      <c r="R37" s="1767"/>
      <c r="S37" s="1767"/>
      <c r="T37" s="1767"/>
      <c r="U37" s="1767"/>
      <c r="V37" s="1767"/>
      <c r="W37" s="1767"/>
      <c r="X37" s="1767"/>
      <c r="Y37" s="1767"/>
      <c r="Z37" s="1767"/>
      <c r="AA37" s="1767"/>
      <c r="AB37" s="1767"/>
      <c r="AC37" s="1767"/>
      <c r="AD37" s="1767"/>
      <c r="AE37" s="1767"/>
      <c r="AF37" s="1767"/>
      <c r="AG37" s="1767"/>
      <c r="AH37" s="1767"/>
      <c r="AI37" s="1767"/>
      <c r="AJ37" s="1927"/>
      <c r="AK37" s="1927"/>
      <c r="AL37" s="1767"/>
      <c r="AM37" s="1769"/>
      <c r="AN37" s="1768"/>
      <c r="AO37" s="1769"/>
      <c r="AP37" s="2115"/>
      <c r="AQ37" s="2108"/>
      <c r="AS37" s="1835"/>
      <c r="AT37" s="1867"/>
      <c r="AU37" s="1867"/>
      <c r="AW37" s="1805" t="s">
        <v>1348</v>
      </c>
      <c r="AX37" s="1871" t="s">
        <v>2600</v>
      </c>
      <c r="AY37" s="1871" t="s">
        <v>2600</v>
      </c>
      <c r="AZ37" s="1871" t="s">
        <v>2600</v>
      </c>
      <c r="BA37" s="1871" t="s">
        <v>2600</v>
      </c>
      <c r="BB37" s="1880">
        <f>+IS!V20</f>
        <v>0.67192660609262644</v>
      </c>
      <c r="BC37" s="1881">
        <v>0.64480000000000004</v>
      </c>
      <c r="BD37"/>
      <c r="BH37" s="2097" t="s">
        <v>424</v>
      </c>
      <c r="BI37" s="1871" t="s">
        <v>2643</v>
      </c>
      <c r="BJ37" s="1873">
        <f>+BS!CY124</f>
        <v>370.137</v>
      </c>
      <c r="BK37" s="1873"/>
      <c r="BP37" s="1888"/>
      <c r="BQ37" s="1805" t="s">
        <v>1348</v>
      </c>
      <c r="BR37" s="1871">
        <f t="shared" si="88"/>
        <v>0.69</v>
      </c>
      <c r="BS37" s="1871" t="str">
        <f t="shared" si="89"/>
        <v>68 - 69%</v>
      </c>
      <c r="BU37" s="1805" t="str">
        <f t="shared" si="90"/>
        <v>SG&amp;A</v>
      </c>
      <c r="BV37" s="1871" t="str">
        <f t="shared" si="86"/>
        <v>$470 - $475</v>
      </c>
      <c r="BW37"/>
      <c r="BX37" s="1871" t="str">
        <f t="shared" ref="BX37:BX43" si="91">BC264</f>
        <v>$465 - $475</v>
      </c>
      <c r="BY37" s="1976">
        <f>BD255</f>
        <v>5.3191489361701372E-3</v>
      </c>
    </row>
    <row r="38" spans="2:77" ht="15" customHeight="1">
      <c r="B38" s="1772"/>
      <c r="C38" s="1772"/>
      <c r="D38" s="2130" t="s">
        <v>148</v>
      </c>
      <c r="E38" s="1789"/>
      <c r="F38" s="1789"/>
      <c r="G38" s="1802"/>
      <c r="H38" s="1802"/>
      <c r="I38" s="1802"/>
      <c r="J38" s="1802"/>
      <c r="K38" s="1802"/>
      <c r="L38" s="1802"/>
      <c r="M38" s="1803"/>
      <c r="N38" s="1803"/>
      <c r="O38" s="1803"/>
      <c r="P38" s="1803"/>
      <c r="Q38" s="1803"/>
      <c r="R38" s="1803"/>
      <c r="S38" s="1803"/>
      <c r="T38" s="1803"/>
      <c r="U38" s="1803"/>
      <c r="V38" s="1803"/>
      <c r="W38" s="1803"/>
      <c r="X38" s="1803"/>
      <c r="Y38" s="1803"/>
      <c r="Z38" s="1803"/>
      <c r="AA38" s="1803"/>
      <c r="AB38" s="1803"/>
      <c r="AC38" s="1803"/>
      <c r="AD38" s="1803"/>
      <c r="AE38" s="1803"/>
      <c r="AF38" s="1803"/>
      <c r="AG38" s="1803"/>
      <c r="AH38" s="1803"/>
      <c r="AI38" s="1803"/>
      <c r="AJ38" s="1935"/>
      <c r="AK38" s="1935"/>
      <c r="AL38" s="1819"/>
      <c r="AM38" s="1801"/>
      <c r="AN38" s="1816"/>
      <c r="AO38" s="1801"/>
      <c r="AP38" s="2413" t="s">
        <v>214</v>
      </c>
      <c r="AQ38" s="2412"/>
      <c r="AS38" s="1867"/>
      <c r="AT38" s="1867"/>
      <c r="AU38" s="1867"/>
      <c r="AV38" s="1754">
        <v>887</v>
      </c>
      <c r="AW38" s="1805" t="s">
        <v>1539</v>
      </c>
      <c r="AX38" s="1871" t="s">
        <v>2711</v>
      </c>
      <c r="AY38" s="1871" t="s">
        <v>2675</v>
      </c>
      <c r="AZ38" s="1871" t="s">
        <v>2649</v>
      </c>
      <c r="BA38" s="1871" t="s">
        <v>2601</v>
      </c>
      <c r="BB38" s="1873">
        <f>+IS!V24-IS!V33+IS!V34</f>
        <v>883.22199999999998</v>
      </c>
      <c r="BC38" s="1873"/>
      <c r="BD38"/>
      <c r="BH38" s="2097" t="s">
        <v>1863</v>
      </c>
      <c r="BI38" s="1879">
        <v>65</v>
      </c>
      <c r="BJ38" s="1873">
        <f>+BS!CY127</f>
        <v>62.54</v>
      </c>
      <c r="BK38" s="1872"/>
      <c r="BP38" s="1888"/>
      <c r="BQ38" s="1805" t="s">
        <v>1539</v>
      </c>
      <c r="BR38" s="1871" t="str">
        <f t="shared" si="88"/>
        <v>$530 - $550</v>
      </c>
      <c r="BS38" s="1871" t="str">
        <f t="shared" si="89"/>
        <v>$135 - $139</v>
      </c>
      <c r="BU38" s="1805" t="str">
        <f t="shared" si="90"/>
        <v xml:space="preserve">Adjusted EBITDA </v>
      </c>
      <c r="BV38" s="1871" t="str">
        <f t="shared" si="86"/>
        <v>$988 - $992</v>
      </c>
      <c r="BW38" s="1842">
        <f>BB265</f>
        <v>994.08</v>
      </c>
      <c r="BX38" s="1871" t="str">
        <f t="shared" si="91"/>
        <v>$985 - $990</v>
      </c>
      <c r="BY38" s="1976">
        <f>BD256</f>
        <v>2.5316455696202667E-3</v>
      </c>
    </row>
    <row r="39" spans="2:77" ht="15" customHeight="1">
      <c r="B39" s="1774"/>
      <c r="C39" s="1772"/>
      <c r="D39" s="2050" t="s">
        <v>1747</v>
      </c>
      <c r="E39" s="1789"/>
      <c r="F39" s="1789"/>
      <c r="G39" s="1789"/>
      <c r="H39" s="1789">
        <f t="shared" ref="H39:M39" si="92">+H65/G65-1</f>
        <v>3.9005363237445412E-3</v>
      </c>
      <c r="I39" s="1789">
        <f t="shared" si="92"/>
        <v>-1.4570179698882857E-3</v>
      </c>
      <c r="J39" s="1789">
        <f t="shared" si="92"/>
        <v>1.1673151750972721E-2</v>
      </c>
      <c r="K39" s="1789">
        <f t="shared" si="92"/>
        <v>9.6153846153845812E-3</v>
      </c>
      <c r="L39" s="1789">
        <f t="shared" si="92"/>
        <v>1.9523809523809499E-2</v>
      </c>
      <c r="M39" s="1790">
        <f t="shared" si="92"/>
        <v>1.1676786548341811E-2</v>
      </c>
      <c r="N39" s="1790">
        <f t="shared" ref="N39:T39" si="93">+N65/M65-1</f>
        <v>1.8928901200369275E-2</v>
      </c>
      <c r="O39" s="1790">
        <f t="shared" si="93"/>
        <v>2.2655188038060992E-3</v>
      </c>
      <c r="P39" s="1790">
        <f t="shared" si="93"/>
        <v>9.0415913200723175E-3</v>
      </c>
      <c r="Q39" s="1790">
        <f t="shared" si="93"/>
        <v>7.1684587813620748E-3</v>
      </c>
      <c r="R39" s="1790">
        <f t="shared" si="93"/>
        <v>-1.1120996441281172E-2</v>
      </c>
      <c r="S39" s="1790">
        <f t="shared" si="93"/>
        <v>8.9968511021143449E-4</v>
      </c>
      <c r="T39" s="1790">
        <f t="shared" si="93"/>
        <v>1.6629213483146055E-2</v>
      </c>
      <c r="U39" s="1790">
        <f t="shared" ref="U39:Z39" si="94">+U65/T65-1</f>
        <v>0</v>
      </c>
      <c r="V39" s="1790">
        <f t="shared" si="94"/>
        <v>4.0671971706454535E-2</v>
      </c>
      <c r="W39" s="1790">
        <f t="shared" si="94"/>
        <v>1.0195412064570863E-2</v>
      </c>
      <c r="X39" s="1790">
        <f t="shared" si="94"/>
        <v>1.0513036164844447E-2</v>
      </c>
      <c r="Y39" s="1790">
        <f t="shared" si="94"/>
        <v>1.4565126924677596E-2</v>
      </c>
      <c r="Z39" s="1790">
        <f t="shared" si="94"/>
        <v>4.9220672682526168E-3</v>
      </c>
      <c r="AA39" s="1790">
        <f t="shared" ref="AA39:AC39" si="95">+AA65/Z65-1</f>
        <v>0</v>
      </c>
      <c r="AB39" s="1790">
        <f t="shared" si="95"/>
        <v>1.6326530612245094E-3</v>
      </c>
      <c r="AC39" s="1790">
        <f t="shared" si="95"/>
        <v>2.4449877750611915E-3</v>
      </c>
      <c r="AD39" s="1790">
        <f t="shared" ref="AD39" si="96">+AD65/AC65-1</f>
        <v>8.9430894308943909E-3</v>
      </c>
      <c r="AE39" s="1790">
        <f t="shared" ref="AE39" si="97">+AE65/AD65-1</f>
        <v>1.4504431909750259E-2</v>
      </c>
      <c r="AF39" s="1790">
        <f t="shared" ref="AF39" si="98">+AF65/AE65-1</f>
        <v>2.3828435266084469E-3</v>
      </c>
      <c r="AG39" s="1790">
        <f t="shared" ref="AG39" si="99">+AG65/AF65-1</f>
        <v>8.7163232963549664E-3</v>
      </c>
      <c r="AH39" s="1790">
        <f t="shared" ref="AH39" si="100">+AH65/AG65-1</f>
        <v>8.2482325216024499E-3</v>
      </c>
      <c r="AI39" s="1790">
        <f t="shared" ref="AI39" si="101">+AI65/AH65-1</f>
        <v>4.2851577717180067E-3</v>
      </c>
      <c r="AJ39" s="1933">
        <f t="shared" ref="AJ39" si="102">+AJ65/AI65-1</f>
        <v>7.7579519006976128E-4</v>
      </c>
      <c r="AK39" s="1933">
        <v>7.5000000000000622E-3</v>
      </c>
      <c r="AL39" s="1906">
        <f>+AL65/AJ65-1</f>
        <v>-3.875968992248513E-4</v>
      </c>
      <c r="AM39" s="1778">
        <f>(AL39-AK39)*10000</f>
        <v>-78.875968992249142</v>
      </c>
      <c r="AN39" s="1791"/>
      <c r="AO39" s="1808"/>
      <c r="AP39" s="2407"/>
      <c r="AQ39" s="2410"/>
      <c r="AS39" s="1835"/>
      <c r="AT39" s="1867"/>
      <c r="AU39" s="1867">
        <f>+AV35*0.675-AV38</f>
        <v>2055.3250000000003</v>
      </c>
      <c r="AV39" s="2012">
        <v>2053</v>
      </c>
      <c r="AW39" s="1805" t="s">
        <v>400</v>
      </c>
      <c r="AX39" s="1871" t="s">
        <v>2696</v>
      </c>
      <c r="AY39" s="1871" t="s">
        <v>2676</v>
      </c>
      <c r="AZ39" s="1871" t="s">
        <v>2637</v>
      </c>
      <c r="BA39" s="1871" t="s">
        <v>2596</v>
      </c>
      <c r="BB39" s="1873">
        <f>+IS!V37</f>
        <v>2052.0410000000002</v>
      </c>
      <c r="BC39" s="1874">
        <v>2054.5100000000002</v>
      </c>
      <c r="BD39"/>
      <c r="BH39" s="2098" t="s">
        <v>2706</v>
      </c>
      <c r="BI39" s="1887"/>
      <c r="BJ39" s="1887"/>
      <c r="BK39" s="1887"/>
      <c r="BP39" s="1888"/>
      <c r="BQ39" s="1805" t="s">
        <v>1779</v>
      </c>
      <c r="BR39" s="1871" t="str">
        <f t="shared" si="88"/>
        <v>&gt; $1,105</v>
      </c>
      <c r="BS39" s="1871" t="str">
        <f t="shared" si="89"/>
        <v>$267 - $273</v>
      </c>
      <c r="BU39" s="1868" t="str">
        <f t="shared" si="90"/>
        <v>% margin (implied)</v>
      </c>
      <c r="BV39" s="1834">
        <f t="shared" si="86"/>
        <v>0.46110852352119236</v>
      </c>
      <c r="BW39" s="1953">
        <f>BB266</f>
        <v>0.46241225805551295</v>
      </c>
      <c r="BX39" s="1834">
        <f t="shared" si="91"/>
        <v>0.4614485981308411</v>
      </c>
      <c r="BY39"/>
    </row>
    <row r="40" spans="2:77" ht="15" customHeight="1">
      <c r="B40" s="1772"/>
      <c r="C40" s="1772"/>
      <c r="D40" s="2050" t="s">
        <v>1572</v>
      </c>
      <c r="E40" s="1789"/>
      <c r="F40" s="1806"/>
      <c r="G40" s="1822">
        <f>Rev!BU252</f>
        <v>0.81021897810218979</v>
      </c>
      <c r="H40" s="1822">
        <f>Rev!BV252</f>
        <v>0.79205607476635509</v>
      </c>
      <c r="I40" s="1822">
        <f>Rev!BW252</f>
        <v>0.78555304740406318</v>
      </c>
      <c r="J40" s="1822">
        <f>Rev!BX252</f>
        <v>0.80174291938997821</v>
      </c>
      <c r="K40" s="1822">
        <f>Rev!BY252</f>
        <v>0.81263616557734208</v>
      </c>
      <c r="L40" s="1822">
        <f>Rev!BZ252</f>
        <v>0.84668192219679639</v>
      </c>
      <c r="M40" s="1823">
        <f>Rev!CA252</f>
        <v>0.83148558758314861</v>
      </c>
      <c r="N40" s="1823">
        <f>Rev!CB252</f>
        <v>0.83660130718954251</v>
      </c>
      <c r="O40" s="1823">
        <f>Rev!CC252</f>
        <v>0.84549356223175964</v>
      </c>
      <c r="P40" s="1823">
        <f>Rev!CD252</f>
        <v>0.7967479674796748</v>
      </c>
      <c r="Q40" s="1823">
        <f>Rev!CE252</f>
        <v>0.81362725450901807</v>
      </c>
      <c r="R40" s="1823">
        <f>Rev!CF252</f>
        <v>0.80888030888030893</v>
      </c>
      <c r="S40" s="1823">
        <f>Rev!CG252</f>
        <v>0.80539499036608864</v>
      </c>
      <c r="T40" s="1823">
        <f>Rev!CH252</f>
        <v>0.80681818181818177</v>
      </c>
      <c r="U40" s="1823">
        <f>Rev!CI252</f>
        <v>0.81578947368421051</v>
      </c>
      <c r="V40" s="1823">
        <f>Rev!CJ252</f>
        <v>0.76827094474153301</v>
      </c>
      <c r="W40" s="1823">
        <f>Rev!CK252</f>
        <v>0.76325088339222613</v>
      </c>
      <c r="X40" s="1823">
        <f>Rev!CL252</f>
        <v>0.78086956521739126</v>
      </c>
      <c r="Y40" s="1823">
        <f>Rev!CM252</f>
        <v>0.78956521739130436</v>
      </c>
      <c r="Z40" s="1823">
        <f>Rev!CN252</f>
        <v>0.78983050847457625</v>
      </c>
      <c r="AA40" s="1823">
        <f>Rev!CO252</f>
        <v>0.7976588628762542</v>
      </c>
      <c r="AB40" s="1823">
        <f>Rev!CP252</f>
        <v>0.80655737704918029</v>
      </c>
      <c r="AC40" s="1823">
        <f>Rev!CQ252</f>
        <v>0.80830670926517567</v>
      </c>
      <c r="AD40" s="1823">
        <f>Rev!CR252</f>
        <v>0.805379746835443</v>
      </c>
      <c r="AE40" s="1823">
        <f>Rev!CS252</f>
        <v>0.82018927444794953</v>
      </c>
      <c r="AF40" s="1823">
        <f>Rev!CT252</f>
        <v>0.83280757097791802</v>
      </c>
      <c r="AG40" s="1823">
        <f>Rev!CU252</f>
        <v>0.82181259600614442</v>
      </c>
      <c r="AH40" s="1823">
        <f>Rev!CV252</f>
        <v>0.79910044977511241</v>
      </c>
      <c r="AI40" s="1823">
        <f>Rev!CW252</f>
        <v>0.79791976225854389</v>
      </c>
      <c r="AJ40" s="1936">
        <f>Rev!CX252</f>
        <v>0.78591954022988508</v>
      </c>
      <c r="AK40" s="1936">
        <v>0.80500000000000005</v>
      </c>
      <c r="AL40" s="1910">
        <f>+AL67/AL66</f>
        <v>0.79914529914529919</v>
      </c>
      <c r="AM40" s="1778">
        <f>(AL40-AK40)*10000</f>
        <v>-58.547008547008559</v>
      </c>
      <c r="AN40" s="1791"/>
      <c r="AO40" s="1808"/>
      <c r="AP40" s="2407"/>
      <c r="AQ40" s="2410"/>
      <c r="AS40" s="1867"/>
      <c r="AT40" s="1835"/>
      <c r="AU40" s="1835"/>
      <c r="AV40" s="2013"/>
      <c r="AW40" s="2120" t="s">
        <v>1741</v>
      </c>
      <c r="AX40" s="2118">
        <f>+AV39/AV35</f>
        <v>0.47097958247304428</v>
      </c>
      <c r="AY40" s="2118">
        <v>0.47258848022206801</v>
      </c>
      <c r="AZ40" s="2118">
        <v>0.46834477498093058</v>
      </c>
      <c r="BA40" s="2118">
        <v>0.46834477498093058</v>
      </c>
      <c r="BB40" s="2119">
        <f>+BB39/BB35</f>
        <v>0.46974357823912866</v>
      </c>
      <c r="BC40" s="2119">
        <f>+BC39/BC35</f>
        <v>0.47122977873294969</v>
      </c>
      <c r="BD40"/>
      <c r="BG40" s="1888"/>
      <c r="BH40" s="2099" t="s">
        <v>2664</v>
      </c>
      <c r="BI40" s="1831"/>
      <c r="BJ40" s="1831"/>
      <c r="BP40" s="1888"/>
      <c r="BQ40" s="1868" t="s">
        <v>1741</v>
      </c>
      <c r="BR40" s="1876">
        <f t="shared" si="88"/>
        <v>0.4613778705636743</v>
      </c>
      <c r="BS40" s="1876">
        <f t="shared" si="89"/>
        <v>0.45302013422818793</v>
      </c>
      <c r="BU40" s="1805" t="str">
        <f t="shared" si="90"/>
        <v>Total Capex</v>
      </c>
      <c r="BV40" s="1830" t="str">
        <f t="shared" si="86"/>
        <v>$560 - $580</v>
      </c>
      <c r="BW40" s="1842">
        <f>BB267</f>
        <v>556.46</v>
      </c>
      <c r="BX40" s="1830" t="str">
        <f t="shared" si="91"/>
        <v>$575 - $625</v>
      </c>
      <c r="BY40" s="1976">
        <f>BD258</f>
        <v>-5.0000000000000044E-2</v>
      </c>
    </row>
    <row r="41" spans="2:77" ht="15" customHeight="1">
      <c r="B41" s="1772"/>
      <c r="C41" s="1772"/>
      <c r="D41" s="2050" t="s">
        <v>1748</v>
      </c>
      <c r="E41" s="1789"/>
      <c r="F41" s="1789"/>
      <c r="G41" s="1789"/>
      <c r="H41" s="1789">
        <f t="shared" ref="H41:M41" si="103">+H66/G66-1</f>
        <v>4.1362530413625365E-2</v>
      </c>
      <c r="I41" s="1789">
        <f t="shared" si="103"/>
        <v>3.5046728971962704E-2</v>
      </c>
      <c r="J41" s="1789">
        <f t="shared" si="103"/>
        <v>3.6117381489841893E-2</v>
      </c>
      <c r="K41" s="1789">
        <f t="shared" si="103"/>
        <v>0</v>
      </c>
      <c r="L41" s="1789">
        <f t="shared" si="103"/>
        <v>-4.7930283224400849E-2</v>
      </c>
      <c r="M41" s="1790">
        <f t="shared" si="103"/>
        <v>3.203661327231111E-2</v>
      </c>
      <c r="N41" s="1790">
        <f t="shared" ref="N41:R43" si="104">+N66/M66-1</f>
        <v>1.7738359201773912E-2</v>
      </c>
      <c r="O41" s="1790">
        <f t="shared" si="104"/>
        <v>1.5250544662309462E-2</v>
      </c>
      <c r="P41" s="1790">
        <f t="shared" si="104"/>
        <v>5.579399141630903E-2</v>
      </c>
      <c r="Q41" s="1790">
        <f t="shared" si="104"/>
        <v>1.4227642276422703E-2</v>
      </c>
      <c r="R41" s="1790">
        <f t="shared" si="104"/>
        <v>3.8076152304609145E-2</v>
      </c>
      <c r="S41" s="1790">
        <f t="shared" ref="S41:X41" si="105">+S66/R66-1</f>
        <v>1.9305019305020377E-3</v>
      </c>
      <c r="T41" s="1790">
        <f t="shared" si="105"/>
        <v>1.7341040462427681E-2</v>
      </c>
      <c r="U41" s="1790">
        <f t="shared" si="105"/>
        <v>7.575757575757569E-3</v>
      </c>
      <c r="V41" s="1790">
        <f t="shared" si="105"/>
        <v>5.4511278195488622E-2</v>
      </c>
      <c r="W41" s="1790">
        <f t="shared" si="105"/>
        <v>8.9126559714796105E-3</v>
      </c>
      <c r="X41" s="1790">
        <f t="shared" si="105"/>
        <v>1.5901060070671269E-2</v>
      </c>
      <c r="Y41" s="1790">
        <f t="shared" ref="Y41:Z43" si="106">+Y66/X66-1</f>
        <v>0</v>
      </c>
      <c r="Z41" s="1790">
        <f t="shared" si="106"/>
        <v>2.6086956521739202E-2</v>
      </c>
      <c r="AA41" s="1790">
        <f t="shared" ref="AA41:AC41" si="107">+AA66/Z66-1</f>
        <v>1.3559322033898313E-2</v>
      </c>
      <c r="AB41" s="1790">
        <f t="shared" si="107"/>
        <v>2.006688963210701E-2</v>
      </c>
      <c r="AC41" s="1790">
        <f t="shared" si="107"/>
        <v>2.6229508196721207E-2</v>
      </c>
      <c r="AD41" s="1790">
        <f t="shared" ref="AD41:AD43" si="108">+AD66/AC66-1</f>
        <v>9.5846645367412275E-3</v>
      </c>
      <c r="AE41" s="1790">
        <f t="shared" ref="AE41:AE43" si="109">+AE66/AD66-1</f>
        <v>3.1645569620253333E-3</v>
      </c>
      <c r="AF41" s="1790">
        <f t="shared" ref="AF41:AF43" si="110">+AF66/AE66-1</f>
        <v>0</v>
      </c>
      <c r="AG41" s="1790">
        <f t="shared" ref="AG41:AG43" si="111">+AG66/AF66-1</f>
        <v>2.6813880126183021E-2</v>
      </c>
      <c r="AH41" s="1790">
        <f t="shared" ref="AH41:AH43" si="112">+AH66/AG66-1</f>
        <v>2.457757296466978E-2</v>
      </c>
      <c r="AI41" s="1790">
        <f t="shared" ref="AI41:AI43" si="113">+AI66/AH66-1</f>
        <v>8.9955022488754643E-3</v>
      </c>
      <c r="AJ41" s="1933">
        <f t="shared" ref="AJ41:AJ43" si="114">+AJ66/AI66-1</f>
        <v>3.4175334323922835E-2</v>
      </c>
      <c r="AK41" s="1933">
        <v>3.5919540229885083E-3</v>
      </c>
      <c r="AL41" s="1906">
        <f>+AL66/AJ66-1</f>
        <v>8.6206896551723755E-3</v>
      </c>
      <c r="AM41" s="1778">
        <f>(AL41-AK41)*10000</f>
        <v>50.287356321838672</v>
      </c>
      <c r="AN41" s="1791"/>
      <c r="AO41" s="1808"/>
      <c r="AP41" s="2407"/>
      <c r="AQ41" s="2410"/>
      <c r="AS41" s="1867"/>
      <c r="AT41" s="1835"/>
      <c r="AU41" s="1835"/>
      <c r="AV41" s="2121"/>
      <c r="AW41" s="2097" t="s">
        <v>1947</v>
      </c>
      <c r="AX41" s="1871" t="s">
        <v>2698</v>
      </c>
      <c r="AY41" s="1871" t="s">
        <v>2678</v>
      </c>
      <c r="AZ41" s="1871" t="s">
        <v>2651</v>
      </c>
      <c r="BA41" s="1871" t="s">
        <v>2597</v>
      </c>
      <c r="BB41" s="1873">
        <f>+CF!V216</f>
        <v>1437.0400000000002</v>
      </c>
      <c r="BC41" s="1874"/>
      <c r="BD41"/>
      <c r="BG41" s="1888"/>
      <c r="BH41" s="2099" t="s">
        <v>2712</v>
      </c>
      <c r="BI41" s="1831"/>
      <c r="BJ41" s="1831"/>
      <c r="BP41" s="1888"/>
      <c r="BQ41" s="1805" t="s">
        <v>431</v>
      </c>
      <c r="BR41" s="1871" t="str">
        <f t="shared" si="88"/>
        <v>$550 - $650</v>
      </c>
      <c r="BS41" s="1871" t="str">
        <f t="shared" si="89"/>
        <v>$165 - $175</v>
      </c>
      <c r="BU41" s="1868" t="str">
        <f t="shared" si="90"/>
        <v>% of revenue</v>
      </c>
      <c r="BV41" s="1834">
        <f t="shared" si="86"/>
        <v>0.26548672566371684</v>
      </c>
      <c r="BW41" s="1953">
        <f>BB268</f>
        <v>0.25884629518506636</v>
      </c>
      <c r="BX41" s="1834">
        <f t="shared" si="91"/>
        <v>0.28037383177570091</v>
      </c>
      <c r="BY41"/>
    </row>
    <row r="42" spans="2:77" ht="15" customHeight="1">
      <c r="B42" s="1772"/>
      <c r="C42" s="1772"/>
      <c r="D42" s="2050" t="s">
        <v>1750</v>
      </c>
      <c r="E42" s="1789"/>
      <c r="F42" s="1789"/>
      <c r="G42" s="1789"/>
      <c r="H42" s="1789">
        <f t="shared" ref="H42:M42" si="115">+H67/G67-1</f>
        <v>1.8018018018018056E-2</v>
      </c>
      <c r="I42" s="1789">
        <f t="shared" si="115"/>
        <v>2.6548672566371723E-2</v>
      </c>
      <c r="J42" s="1789">
        <f t="shared" si="115"/>
        <v>5.7471264367816133E-2</v>
      </c>
      <c r="K42" s="1789">
        <f t="shared" si="115"/>
        <v>1.3586956521739024E-2</v>
      </c>
      <c r="L42" s="1789">
        <f t="shared" si="115"/>
        <v>-8.0428954423592547E-3</v>
      </c>
      <c r="M42" s="1790">
        <f t="shared" si="115"/>
        <v>1.3513513513513598E-2</v>
      </c>
      <c r="N42" s="1790">
        <f t="shared" si="104"/>
        <v>2.4000000000000021E-2</v>
      </c>
      <c r="O42" s="1790">
        <f t="shared" si="104"/>
        <v>2.6041666666666741E-2</v>
      </c>
      <c r="P42" s="1790">
        <f t="shared" si="104"/>
        <v>-5.0761421319797106E-3</v>
      </c>
      <c r="Q42" s="1790">
        <f t="shared" si="104"/>
        <v>3.5714285714285809E-2</v>
      </c>
      <c r="R42" s="1790">
        <f t="shared" si="104"/>
        <v>3.2019704433497553E-2</v>
      </c>
      <c r="S42" s="1790">
        <f t="shared" ref="S42:X42" si="116">+S67/R67-1</f>
        <v>-2.3866348448687846E-3</v>
      </c>
      <c r="T42" s="1790">
        <f t="shared" si="116"/>
        <v>1.9138755980861344E-2</v>
      </c>
      <c r="U42" s="1790">
        <f t="shared" si="116"/>
        <v>1.8779342723004744E-2</v>
      </c>
      <c r="V42" s="1790">
        <f t="shared" si="116"/>
        <v>-6.9124423963133896E-3</v>
      </c>
      <c r="W42" s="1790">
        <f t="shared" si="116"/>
        <v>2.3201856148491462E-3</v>
      </c>
      <c r="X42" s="1790">
        <f t="shared" si="116"/>
        <v>3.935185185185186E-2</v>
      </c>
      <c r="Y42" s="1790">
        <f t="shared" si="106"/>
        <v>1.1135857461024523E-2</v>
      </c>
      <c r="Z42" s="1790">
        <f t="shared" si="106"/>
        <v>2.6431718061673992E-2</v>
      </c>
      <c r="AA42" s="1790">
        <f t="shared" ref="AA42:AC42" si="117">+AA67/Z67-1</f>
        <v>2.3605150214592197E-2</v>
      </c>
      <c r="AB42" s="1790">
        <f t="shared" si="117"/>
        <v>3.1446540880503138E-2</v>
      </c>
      <c r="AC42" s="1790">
        <f t="shared" si="117"/>
        <v>2.8455284552845628E-2</v>
      </c>
      <c r="AD42" s="1790">
        <f t="shared" si="108"/>
        <v>5.9288537549406772E-3</v>
      </c>
      <c r="AE42" s="1790">
        <f t="shared" si="109"/>
        <v>2.16110019646365E-2</v>
      </c>
      <c r="AF42" s="1790">
        <f t="shared" si="110"/>
        <v>1.538461538461533E-2</v>
      </c>
      <c r="AG42" s="1790">
        <f t="shared" si="111"/>
        <v>1.325757575757569E-2</v>
      </c>
      <c r="AH42" s="1790">
        <f t="shared" si="112"/>
        <v>-3.7383177570093906E-3</v>
      </c>
      <c r="AI42" s="1790">
        <f t="shared" si="113"/>
        <v>7.5046904315196894E-3</v>
      </c>
      <c r="AJ42" s="1933">
        <f t="shared" si="114"/>
        <v>1.862197392923659E-2</v>
      </c>
      <c r="AK42" s="1933">
        <v>2.7957038391224875E-2</v>
      </c>
      <c r="AL42" s="1906">
        <f>+AL67/AJ67-1</f>
        <v>2.5594149908592323E-2</v>
      </c>
      <c r="AM42" s="1808">
        <f>(AL42-AK42)*10000</f>
        <v>-23.628884826325525</v>
      </c>
      <c r="AN42" s="1791"/>
      <c r="AO42" s="1778"/>
      <c r="AP42" s="2407"/>
      <c r="AQ42" s="2410"/>
      <c r="AT42" s="1867"/>
      <c r="AU42" s="1867"/>
      <c r="AV42" s="2012">
        <v>1310</v>
      </c>
      <c r="AW42" s="1805" t="s">
        <v>431</v>
      </c>
      <c r="AX42" s="2333" t="s">
        <v>2709</v>
      </c>
      <c r="AY42" s="2333" t="s">
        <v>2680</v>
      </c>
      <c r="AZ42" s="2333" t="s">
        <v>2603</v>
      </c>
      <c r="BA42" s="2333" t="s">
        <v>2603</v>
      </c>
      <c r="BB42" s="1873">
        <f>+BS!V133</f>
        <v>1378.7249999999999</v>
      </c>
      <c r="BC42" s="1874">
        <v>1313.31</v>
      </c>
      <c r="BD42"/>
      <c r="BH42" s="2099" t="s">
        <v>2707</v>
      </c>
      <c r="BI42" s="1831"/>
      <c r="BJ42" s="1831"/>
      <c r="BP42" s="1888"/>
      <c r="BQ42" s="1868" t="s">
        <v>1742</v>
      </c>
      <c r="BR42" s="1876">
        <f t="shared" si="88"/>
        <v>0.25052192066805845</v>
      </c>
      <c r="BS42" s="1876">
        <f t="shared" si="89"/>
        <v>0.28523489932885904</v>
      </c>
      <c r="BU42" s="1805" t="str">
        <f t="shared" si="90"/>
        <v>Expansion</v>
      </c>
      <c r="BV42" s="1830" t="str">
        <f t="shared" si="86"/>
        <v>$395 - $415</v>
      </c>
      <c r="BW42" s="1812"/>
      <c r="BX42" s="1830" t="str">
        <f t="shared" si="91"/>
        <v>$410 - $460</v>
      </c>
      <c r="BY42" s="1976">
        <f>BD260</f>
        <v>-5.8139534883720922E-2</v>
      </c>
    </row>
    <row r="43" spans="2:77" ht="15" customHeight="1">
      <c r="B43" s="1772"/>
      <c r="C43" s="1772"/>
      <c r="D43" s="2050" t="s">
        <v>1749</v>
      </c>
      <c r="E43" s="1789"/>
      <c r="F43" s="1789"/>
      <c r="G43" s="1789"/>
      <c r="H43" s="1789">
        <f t="shared" ref="H43:M43" si="118">+H68/G68-1</f>
        <v>3.859033961074787E-2</v>
      </c>
      <c r="I43" s="1789">
        <f t="shared" si="118"/>
        <v>3.9394571629080222E-2</v>
      </c>
      <c r="J43" s="1789">
        <f t="shared" si="118"/>
        <v>2.7864963503649642E-2</v>
      </c>
      <c r="K43" s="1789">
        <f t="shared" si="118"/>
        <v>3.7229037584107116E-2</v>
      </c>
      <c r="L43" s="1789">
        <f t="shared" si="118"/>
        <v>-2.0950294399561864E-2</v>
      </c>
      <c r="M43" s="1790">
        <f t="shared" si="118"/>
        <v>2.7972027972027913E-2</v>
      </c>
      <c r="N43" s="1790">
        <f t="shared" si="104"/>
        <v>2.7210884353741527E-2</v>
      </c>
      <c r="O43" s="1790">
        <f t="shared" si="104"/>
        <v>2.9801324503311299E-2</v>
      </c>
      <c r="P43" s="1790">
        <f t="shared" si="104"/>
        <v>2.4115755627009738E-2</v>
      </c>
      <c r="Q43" s="1790">
        <f t="shared" si="104"/>
        <v>1.2558869701726927E-2</v>
      </c>
      <c r="R43" s="1790">
        <f t="shared" si="104"/>
        <v>2.0155038759689825E-2</v>
      </c>
      <c r="S43" s="1790">
        <f t="shared" ref="S43:X43" si="119">+S68/R68-1</f>
        <v>2.4316109422492405E-2</v>
      </c>
      <c r="T43" s="1790">
        <f t="shared" si="119"/>
        <v>2.0771513353115667E-2</v>
      </c>
      <c r="U43" s="1790">
        <f t="shared" si="119"/>
        <v>2.1802325581395277E-2</v>
      </c>
      <c r="V43" s="1790">
        <f t="shared" si="119"/>
        <v>5.2631578947368363E-2</v>
      </c>
      <c r="W43" s="1790">
        <f t="shared" si="119"/>
        <v>2.1621621621621623E-2</v>
      </c>
      <c r="X43" s="1790">
        <f t="shared" si="119"/>
        <v>3.5714285714285809E-2</v>
      </c>
      <c r="Y43" s="1790">
        <f t="shared" si="106"/>
        <v>4.5977011494252817E-2</v>
      </c>
      <c r="Z43" s="1790">
        <f t="shared" si="106"/>
        <v>2.19780219780219E-2</v>
      </c>
      <c r="AA43" s="1790">
        <f t="shared" ref="AA43:AC43" si="120">+AA68/Z68-1</f>
        <v>3.1063321385901954E-2</v>
      </c>
      <c r="AB43" s="1790">
        <f t="shared" si="120"/>
        <v>4.0556199304750962E-2</v>
      </c>
      <c r="AC43" s="1790">
        <f t="shared" si="120"/>
        <v>4.4543429844098092E-2</v>
      </c>
      <c r="AD43" s="1790">
        <f t="shared" si="108"/>
        <v>4.1577825159914816E-2</v>
      </c>
      <c r="AE43" s="1790">
        <f t="shared" si="109"/>
        <v>3.5823950870010224E-2</v>
      </c>
      <c r="AF43" s="1790">
        <f t="shared" si="110"/>
        <v>2.9644268774703608E-2</v>
      </c>
      <c r="AG43" s="1790">
        <f t="shared" si="111"/>
        <v>2.0153550863723613E-2</v>
      </c>
      <c r="AH43" s="1790">
        <f t="shared" si="112"/>
        <v>3.1984948259642598E-2</v>
      </c>
      <c r="AI43" s="1790">
        <f t="shared" si="113"/>
        <v>1.5496809480401108E-2</v>
      </c>
      <c r="AJ43" s="1933">
        <f t="shared" si="114"/>
        <v>1.7055655296229766E-2</v>
      </c>
      <c r="AK43" s="1933">
        <v>3.3548446069469939E-2</v>
      </c>
      <c r="AL43" s="1906">
        <f>+AL68/AJ68-1</f>
        <v>0</v>
      </c>
      <c r="AM43" s="1778">
        <f>0+((AL43-AK43)*10000)</f>
        <v>-335.48446069469941</v>
      </c>
      <c r="AN43" s="1791"/>
      <c r="AO43" s="1808"/>
      <c r="AP43" s="2408"/>
      <c r="AQ43" s="2411"/>
      <c r="AS43" s="1867"/>
      <c r="AT43" s="1835"/>
      <c r="AU43" s="1835"/>
      <c r="AW43" s="2120" t="s">
        <v>1742</v>
      </c>
      <c r="AX43" s="2118">
        <f>+AV42/AV35</f>
        <v>0.30052764395503556</v>
      </c>
      <c r="AY43" s="2118">
        <v>0.29493407356002777</v>
      </c>
      <c r="AZ43" s="2118">
        <v>0.29239766081871343</v>
      </c>
      <c r="BA43" s="2118">
        <v>0.29239766081871343</v>
      </c>
      <c r="BB43" s="2119">
        <f>+BB42/BB35</f>
        <v>0.31561124505199578</v>
      </c>
      <c r="BC43" s="2119">
        <f>+BC42/BC35</f>
        <v>0.30122548963391277</v>
      </c>
      <c r="BD43"/>
      <c r="BH43" s="2033"/>
      <c r="BI43" s="1831"/>
      <c r="BJ43" s="1831"/>
      <c r="BP43" s="1888"/>
      <c r="BQ43" s="1805" t="s">
        <v>424</v>
      </c>
      <c r="BR43" s="1871" t="str">
        <f t="shared" si="88"/>
        <v>$350 - $450</v>
      </c>
      <c r="BS43" s="1871" t="str">
        <f t="shared" si="89"/>
        <v>$105 - $115</v>
      </c>
      <c r="BU43" s="1805" t="str">
        <f t="shared" si="90"/>
        <v>Ongoing</v>
      </c>
      <c r="BV43" s="1830">
        <f t="shared" si="86"/>
        <v>165</v>
      </c>
      <c r="BW43" s="1812"/>
      <c r="BX43" s="1830">
        <f t="shared" si="91"/>
        <v>165</v>
      </c>
      <c r="BY43"/>
    </row>
    <row r="44" spans="2:77" ht="15" customHeight="1">
      <c r="B44" s="1772"/>
      <c r="C44" s="1772"/>
      <c r="D44" s="2131" t="s">
        <v>1390</v>
      </c>
      <c r="E44" s="1792"/>
      <c r="F44" s="1792"/>
      <c r="G44" s="1864"/>
      <c r="H44" s="1864"/>
      <c r="I44" s="1864"/>
      <c r="J44" s="1864"/>
      <c r="K44" s="1864"/>
      <c r="L44" s="1864"/>
      <c r="M44" s="1856"/>
      <c r="N44" s="1856"/>
      <c r="O44" s="1856"/>
      <c r="P44" s="1856"/>
      <c r="Q44" s="1856"/>
      <c r="R44" s="1856"/>
      <c r="S44" s="1856"/>
      <c r="T44" s="1856"/>
      <c r="U44" s="1856"/>
      <c r="V44" s="1856"/>
      <c r="W44" s="1856"/>
      <c r="X44" s="1856"/>
      <c r="Y44" s="1856"/>
      <c r="Z44" s="1856"/>
      <c r="AA44" s="1856"/>
      <c r="AB44" s="1856"/>
      <c r="AC44" s="1856"/>
      <c r="AD44" s="1856"/>
      <c r="AE44" s="1856"/>
      <c r="AF44" s="1856"/>
      <c r="AG44" s="1856"/>
      <c r="AH44" s="1856"/>
      <c r="AI44" s="1856"/>
      <c r="AJ44" s="1932"/>
      <c r="AK44" s="1932"/>
      <c r="AL44" s="1844"/>
      <c r="AM44" s="1786"/>
      <c r="AN44" s="1800"/>
      <c r="AO44" s="1786"/>
      <c r="AP44" s="2406" t="s">
        <v>214</v>
      </c>
      <c r="AQ44" s="2409"/>
      <c r="AS44" s="1867"/>
      <c r="AT44" s="1867"/>
      <c r="AU44" s="1867"/>
      <c r="AW44" s="2097" t="s">
        <v>424</v>
      </c>
      <c r="AX44" s="1871" t="s">
        <v>2710</v>
      </c>
      <c r="AY44" s="1871" t="s">
        <v>2681</v>
      </c>
      <c r="AZ44" s="1871" t="s">
        <v>2604</v>
      </c>
      <c r="BA44" s="1871" t="s">
        <v>2604</v>
      </c>
      <c r="BB44" s="1873">
        <f>+BS!V124+BS!V130+BS!V131</f>
        <v>1210.73</v>
      </c>
      <c r="BC44" s="1873"/>
      <c r="BD44"/>
      <c r="BG44" s="1833" t="s">
        <v>1746</v>
      </c>
      <c r="BH44" s="1902" t="s">
        <v>2662</v>
      </c>
      <c r="BI44" s="1903"/>
      <c r="BJ44" s="1903"/>
      <c r="BK44" s="1903"/>
      <c r="BP44" s="1888"/>
      <c r="BQ44" s="1805" t="s">
        <v>425</v>
      </c>
      <c r="BR44" s="1879">
        <f t="shared" si="88"/>
        <v>200</v>
      </c>
      <c r="BS44" s="1879">
        <f t="shared" si="89"/>
        <v>60</v>
      </c>
      <c r="BU44" s="1825" t="str">
        <f t="shared" si="90"/>
        <v>1. 3Q13 revised guidance includes $9M FX tailwinds compared to 2Q13 guidance rates</v>
      </c>
      <c r="BV44" s="1826"/>
      <c r="BW44" s="1815"/>
      <c r="BX44" s="1815"/>
      <c r="BY44" s="1223"/>
    </row>
    <row r="45" spans="2:77" ht="15" customHeight="1">
      <c r="B45" s="1772"/>
      <c r="C45" s="1772"/>
      <c r="D45" s="2050" t="s">
        <v>1747</v>
      </c>
      <c r="E45" s="1789"/>
      <c r="F45" s="1789"/>
      <c r="G45" s="1789">
        <f t="shared" ref="G45:M45" si="121">+G70/F70-1</f>
        <v>-4.7451669595782064E-2</v>
      </c>
      <c r="H45" s="1789">
        <f t="shared" si="121"/>
        <v>2.9520295202952074E-2</v>
      </c>
      <c r="I45" s="1789">
        <f t="shared" si="121"/>
        <v>3.1362007168458828E-2</v>
      </c>
      <c r="J45" s="1789">
        <f t="shared" si="121"/>
        <v>1.1294526498696777E-2</v>
      </c>
      <c r="K45" s="1789">
        <f t="shared" si="121"/>
        <v>3.5223367697594599E-2</v>
      </c>
      <c r="L45" s="1789">
        <f t="shared" si="121"/>
        <v>-8.2987551867219622E-4</v>
      </c>
      <c r="M45" s="1790">
        <f t="shared" si="121"/>
        <v>-9.1362126245847497E-3</v>
      </c>
      <c r="N45" s="1790">
        <f t="shared" ref="N45:T45" si="122">+N70/M70-1</f>
        <v>2.5146689019279078E-2</v>
      </c>
      <c r="O45" s="1790">
        <f t="shared" si="122"/>
        <v>4.333605887162717E-2</v>
      </c>
      <c r="P45" s="1790">
        <f t="shared" si="122"/>
        <v>6.4263322884012597E-2</v>
      </c>
      <c r="Q45" s="1790">
        <f t="shared" si="122"/>
        <v>1.9882179675994038E-2</v>
      </c>
      <c r="R45" s="1790">
        <f t="shared" si="122"/>
        <v>1.1552346570397054E-2</v>
      </c>
      <c r="S45" s="1790">
        <f t="shared" si="122"/>
        <v>2.2127052105638922E-2</v>
      </c>
      <c r="T45" s="1790">
        <f t="shared" si="122"/>
        <v>2.304469273743015E-2</v>
      </c>
      <c r="U45" s="1790">
        <f t="shared" ref="U45:Z45" si="123">+U70/T70-1</f>
        <v>5.870307167235489E-2</v>
      </c>
      <c r="V45" s="1790">
        <f t="shared" si="123"/>
        <v>-4.5776918117343635E-2</v>
      </c>
      <c r="W45" s="1790">
        <f t="shared" si="123"/>
        <v>1.7567567567567499E-2</v>
      </c>
      <c r="X45" s="1790">
        <f t="shared" si="123"/>
        <v>-6.6401062416998613E-4</v>
      </c>
      <c r="Y45" s="1790">
        <f t="shared" si="123"/>
        <v>-6.6445182724252927E-3</v>
      </c>
      <c r="Z45" s="1790">
        <f t="shared" si="123"/>
        <v>-3.4113712374581939E-2</v>
      </c>
      <c r="AA45" s="1790">
        <f t="shared" ref="AA45:AC45" si="124">+AA70/Z70-1</f>
        <v>8.310249307479145E-3</v>
      </c>
      <c r="AB45" s="1790">
        <f t="shared" si="124"/>
        <v>-7.5549450549450281E-3</v>
      </c>
      <c r="AC45" s="1790">
        <f t="shared" si="124"/>
        <v>-4.1522491349480495E-3</v>
      </c>
      <c r="AD45" s="1790">
        <f t="shared" ref="AD45" si="125">+AD70/AC70-1</f>
        <v>-2.6407227241139641E-2</v>
      </c>
      <c r="AE45" s="1790">
        <f t="shared" ref="AE45" si="126">+AE70/AD70-1</f>
        <v>2.4982155603140654E-2</v>
      </c>
      <c r="AF45" s="1790">
        <f t="shared" ref="AF45" si="127">+AF70/AE70-1</f>
        <v>-2.0891364902506648E-3</v>
      </c>
      <c r="AG45" s="1790">
        <f t="shared" ref="AG45" si="128">+AG70/AF70-1</f>
        <v>-9.6301465457083069E-2</v>
      </c>
      <c r="AH45" s="1790">
        <f t="shared" ref="AH45" si="129">+AH70/AG70-1</f>
        <v>1.3127413127413057E-2</v>
      </c>
      <c r="AI45" s="1790">
        <f t="shared" ref="AI45" si="130">+AI70/AH70-1</f>
        <v>6.8597560975609539E-3</v>
      </c>
      <c r="AJ45" s="1933">
        <f t="shared" ref="AJ45" si="131">+AJ70/AI70-1</f>
        <v>1.8168054504163589E-2</v>
      </c>
      <c r="AK45" s="1933">
        <v>1.0000000000000009E-2</v>
      </c>
      <c r="AL45" s="1906">
        <f>+AL70/AJ70-1</f>
        <v>0</v>
      </c>
      <c r="AM45" s="1778">
        <f>(AL45-AK45)*10000</f>
        <v>-100.00000000000009</v>
      </c>
      <c r="AN45" s="1791"/>
      <c r="AO45" s="1808"/>
      <c r="AP45" s="2407"/>
      <c r="AQ45" s="2410"/>
      <c r="AT45" s="1867"/>
      <c r="AU45" s="1867"/>
      <c r="AW45" s="2097" t="s">
        <v>1863</v>
      </c>
      <c r="AX45" s="1830">
        <v>170</v>
      </c>
      <c r="AY45" s="1830">
        <v>175</v>
      </c>
      <c r="AZ45" s="1871" t="s">
        <v>2605</v>
      </c>
      <c r="BA45" s="1871" t="s">
        <v>2605</v>
      </c>
      <c r="BB45" s="1873">
        <f>+BS!V127</f>
        <v>167.995</v>
      </c>
      <c r="BC45" s="1872"/>
      <c r="BD45"/>
      <c r="BH45" s="1805"/>
      <c r="BI45" s="1809" t="s">
        <v>1740</v>
      </c>
      <c r="BJ45" s="1865" t="s">
        <v>240</v>
      </c>
      <c r="BK45" s="1865" t="s">
        <v>442</v>
      </c>
      <c r="BP45" s="1888"/>
      <c r="BQ45" s="1825" t="s">
        <v>1714</v>
      </c>
      <c r="BR45" s="1887"/>
      <c r="BS45" s="1887"/>
      <c r="BU45" s="1824" t="str">
        <f>AW278</f>
        <v>2. 3Q13 revised guidance includes $4M FX tailwinds compared to 2Q13 guidance rates</v>
      </c>
      <c r="BV45" s="1810"/>
      <c r="BW45" s="1811"/>
      <c r="BX45" s="1851"/>
      <c r="BY45"/>
    </row>
    <row r="46" spans="2:77" ht="15" customHeight="1">
      <c r="B46" s="1772"/>
      <c r="C46" s="1772"/>
      <c r="D46" s="2050" t="s">
        <v>1572</v>
      </c>
      <c r="E46" s="1789"/>
      <c r="F46" s="1822">
        <f>Rev!BT627</f>
        <v>0.69444444444444442</v>
      </c>
      <c r="G46" s="1822">
        <f>Rev!BU627</f>
        <v>0.70462633451957291</v>
      </c>
      <c r="H46" s="1822">
        <f>Rev!BV627</f>
        <v>0.70462633451957291</v>
      </c>
      <c r="I46" s="1822">
        <f>Rev!BW627</f>
        <v>0.74021352313167255</v>
      </c>
      <c r="J46" s="1822">
        <f>Rev!BX627</f>
        <v>0.77224199288256223</v>
      </c>
      <c r="K46" s="1822">
        <f>Rev!BY627</f>
        <v>0.71339563862928346</v>
      </c>
      <c r="L46" s="1822">
        <f>Rev!BZ627</f>
        <v>0.76582278481012656</v>
      </c>
      <c r="M46" s="1823">
        <f>Rev!CA627</f>
        <v>0.78164556962025311</v>
      </c>
      <c r="N46" s="1823">
        <f>Rev!CB627</f>
        <v>0.79746835443037978</v>
      </c>
      <c r="O46" s="1823">
        <f>Rev!CC627</f>
        <v>0.77524226320725231</v>
      </c>
      <c r="P46" s="1823">
        <f>Rev!CD627</f>
        <v>0.68085106382978722</v>
      </c>
      <c r="Q46" s="1823">
        <f>Rev!CE627</f>
        <v>0.71010638297872342</v>
      </c>
      <c r="R46" s="1823">
        <f>Rev!CF627</f>
        <v>0.71391076115485563</v>
      </c>
      <c r="S46" s="1823">
        <f>Rev!CG627</f>
        <v>0.70959595959595956</v>
      </c>
      <c r="T46" s="1823">
        <f>Rev!CH627</f>
        <v>0.72979797979797978</v>
      </c>
      <c r="U46" s="1823">
        <f>Rev!CI627</f>
        <v>0.7142857142857143</v>
      </c>
      <c r="V46" s="1823">
        <f>Rev!CJ627</f>
        <v>0.7769784172661871</v>
      </c>
      <c r="W46" s="1823">
        <f>Rev!CK627</f>
        <v>0.79856115107913672</v>
      </c>
      <c r="X46" s="1823">
        <f>Rev!CL627</f>
        <v>0.82254196642685851</v>
      </c>
      <c r="Y46" s="1823">
        <f>Rev!CM627</f>
        <v>0.80275229357798161</v>
      </c>
      <c r="Z46" s="1823">
        <f>Rev!CN627</f>
        <v>0.79955456570155903</v>
      </c>
      <c r="AA46" s="1823">
        <f>Rev!CO627</f>
        <v>0.79405520169851385</v>
      </c>
      <c r="AB46" s="1823">
        <f>Rev!CP627</f>
        <v>0.81496881496881501</v>
      </c>
      <c r="AC46" s="1823">
        <f>Rev!CQ627</f>
        <v>0.81818181818181823</v>
      </c>
      <c r="AD46" s="1823">
        <f>Rev!CR627</f>
        <v>0.82071713147410363</v>
      </c>
      <c r="AE46" s="1823">
        <f>Rev!CS627</f>
        <v>0.84368737474949895</v>
      </c>
      <c r="AF46" s="1823">
        <f>Rev!CT627</f>
        <v>0.8</v>
      </c>
      <c r="AG46" s="1823">
        <f>Rev!CU627</f>
        <v>0.80474649406688237</v>
      </c>
      <c r="AH46" s="1823">
        <f>Rev!CV627</f>
        <v>0.81477516059957178</v>
      </c>
      <c r="AI46" s="1823">
        <f>Rev!CW627</f>
        <v>0.81827731092436973</v>
      </c>
      <c r="AJ46" s="1936">
        <f>Rev!CX627</f>
        <v>0.8005982053838484</v>
      </c>
      <c r="AK46" s="1936">
        <v>0.80500000000000005</v>
      </c>
      <c r="AL46" s="1910">
        <f>+AL72/AL71</f>
        <v>0.81648675171736995</v>
      </c>
      <c r="AM46" s="1778">
        <f>(AL46-AK46)*10000</f>
        <v>114.86751717369903</v>
      </c>
      <c r="AN46" s="1791"/>
      <c r="AO46" s="1808"/>
      <c r="AP46" s="2407"/>
      <c r="AQ46" s="2410"/>
      <c r="AW46" s="2098" t="s">
        <v>2673</v>
      </c>
      <c r="AX46" s="1825"/>
      <c r="AY46" s="1825"/>
      <c r="AZ46" s="1825"/>
      <c r="BA46" s="1825"/>
      <c r="BB46" s="1825"/>
      <c r="BC46" s="1825"/>
      <c r="BD46"/>
      <c r="BG46" s="2012">
        <v>1137</v>
      </c>
      <c r="BH46" s="2097" t="s">
        <v>1743</v>
      </c>
      <c r="BI46" s="1871" t="s">
        <v>2663</v>
      </c>
      <c r="BJ46" s="1873">
        <f>+IS!DP15</f>
        <v>1152.261</v>
      </c>
      <c r="BK46" s="1874">
        <v>1134.8699999999999</v>
      </c>
      <c r="BP46" s="1888"/>
      <c r="BQ46" s="1824"/>
      <c r="BR46" s="1831"/>
      <c r="BS46" s="1831"/>
      <c r="BU46" s="1824" t="str">
        <f>AW279</f>
        <v>3. 3Q13 revised guidance includes $25M professional fees related to REIT</v>
      </c>
      <c r="BV46" s="1810"/>
      <c r="BW46" s="1811"/>
      <c r="BX46" s="1851"/>
      <c r="BY46"/>
    </row>
    <row r="47" spans="2:77" ht="15" customHeight="1">
      <c r="B47" s="1772"/>
      <c r="C47" s="1772"/>
      <c r="D47" s="2050" t="s">
        <v>1748</v>
      </c>
      <c r="E47" s="1789"/>
      <c r="F47" s="1789"/>
      <c r="G47" s="1789">
        <f t="shared" ref="G47:M47" si="132">+G71/F71-1</f>
        <v>0.11507936507936511</v>
      </c>
      <c r="H47" s="1789">
        <f t="shared" si="132"/>
        <v>0</v>
      </c>
      <c r="I47" s="1789">
        <f t="shared" si="132"/>
        <v>0</v>
      </c>
      <c r="J47" s="1789">
        <f t="shared" si="132"/>
        <v>0</v>
      </c>
      <c r="K47" s="1789">
        <f t="shared" si="132"/>
        <v>0.14234875444839856</v>
      </c>
      <c r="L47" s="1789">
        <f t="shared" si="132"/>
        <v>-1.5576323987538943E-2</v>
      </c>
      <c r="M47" s="1790">
        <f t="shared" si="132"/>
        <v>0</v>
      </c>
      <c r="N47" s="1790">
        <f t="shared" ref="N47:R49" si="133">+N71/M71-1</f>
        <v>0</v>
      </c>
      <c r="O47" s="1790">
        <f t="shared" si="133"/>
        <v>1.23417721518988E-2</v>
      </c>
      <c r="P47" s="1790">
        <f t="shared" si="133"/>
        <v>0.17536730228196307</v>
      </c>
      <c r="Q47" s="1790">
        <f t="shared" si="133"/>
        <v>0</v>
      </c>
      <c r="R47" s="1790">
        <f t="shared" si="133"/>
        <v>1.3297872340425565E-2</v>
      </c>
      <c r="S47" s="1790">
        <f t="shared" ref="S47:X47" si="134">+S71/R71-1</f>
        <v>3.937007874015741E-2</v>
      </c>
      <c r="T47" s="1790">
        <f t="shared" si="134"/>
        <v>0</v>
      </c>
      <c r="U47" s="1790">
        <f t="shared" si="134"/>
        <v>4.2929292929293039E-2</v>
      </c>
      <c r="V47" s="1790">
        <f t="shared" si="134"/>
        <v>9.6852300242131761E-3</v>
      </c>
      <c r="W47" s="1790">
        <f t="shared" si="134"/>
        <v>0</v>
      </c>
      <c r="X47" s="1790">
        <f t="shared" si="134"/>
        <v>0</v>
      </c>
      <c r="Y47" s="1790">
        <f t="shared" ref="Y47:Z49" si="135">+Y71/X71-1</f>
        <v>4.5563549160671402E-2</v>
      </c>
      <c r="Z47" s="1790">
        <f t="shared" si="135"/>
        <v>2.9816513761467878E-2</v>
      </c>
      <c r="AA47" s="1790">
        <f t="shared" ref="AA47:AC47" si="136">+AA71/Z71-1</f>
        <v>4.8997772828507813E-2</v>
      </c>
      <c r="AB47" s="1790">
        <f t="shared" si="136"/>
        <v>2.1231422505307851E-2</v>
      </c>
      <c r="AC47" s="1790">
        <f t="shared" si="136"/>
        <v>2.9106029106028997E-2</v>
      </c>
      <c r="AD47" s="1790">
        <f t="shared" ref="AD47:AD49" si="137">+AD71/AC71-1</f>
        <v>1.4141414141414232E-2</v>
      </c>
      <c r="AE47" s="1790">
        <f t="shared" ref="AE47:AE49" si="138">+AE71/AD71-1</f>
        <v>-5.9760956175298752E-3</v>
      </c>
      <c r="AF47" s="1790">
        <f t="shared" ref="AF47:AF49" si="139">+AF71/AE71-1</f>
        <v>8.21643286573146E-2</v>
      </c>
      <c r="AG47" s="1790">
        <f t="shared" ref="AG47:AG49" si="140">+AG71/AF71-1</f>
        <v>0.71666666666666656</v>
      </c>
      <c r="AH47" s="1790">
        <f t="shared" ref="AH47:AH49" si="141">+AH71/AG71-1</f>
        <v>7.5512405609492461E-3</v>
      </c>
      <c r="AI47" s="1790">
        <f t="shared" ref="AI47:AI49" si="142">+AI71/AH71-1</f>
        <v>1.9271948608136968E-2</v>
      </c>
      <c r="AJ47" s="1933">
        <f t="shared" ref="AJ47:AJ49" si="143">+AJ71/AI71-1</f>
        <v>5.3571428571428603E-2</v>
      </c>
      <c r="AK47" s="1933">
        <v>2.2831505483549286E-2</v>
      </c>
      <c r="AL47" s="1906">
        <f>+AL71/AJ71-1</f>
        <v>1.5952143569292199E-2</v>
      </c>
      <c r="AM47" s="1778">
        <f>(AL47-AK47)*10000</f>
        <v>-68.793619142570876</v>
      </c>
      <c r="AN47" s="1791"/>
      <c r="AO47" s="1808"/>
      <c r="AP47" s="2407"/>
      <c r="AQ47" s="2410"/>
      <c r="AS47" s="1867"/>
      <c r="AW47" s="2099" t="s">
        <v>2700</v>
      </c>
      <c r="AX47" s="1824"/>
      <c r="AY47" s="1824"/>
      <c r="AZ47" s="1824"/>
      <c r="BA47" s="1824"/>
      <c r="BB47"/>
      <c r="BC47"/>
      <c r="BD47"/>
      <c r="BH47" s="1774" t="s">
        <v>95</v>
      </c>
      <c r="BI47" s="1976"/>
      <c r="BJ47" s="2119"/>
      <c r="BK47" s="1975"/>
      <c r="BP47" s="1888"/>
      <c r="BQ47" s="1824"/>
      <c r="BR47" s="1831"/>
      <c r="BS47" s="1831"/>
    </row>
    <row r="48" spans="2:77" ht="15" customHeight="1">
      <c r="B48" s="1772"/>
      <c r="C48" s="1772"/>
      <c r="D48" s="2050" t="s">
        <v>1750</v>
      </c>
      <c r="E48" s="1789"/>
      <c r="F48" s="1789"/>
      <c r="G48" s="1789">
        <f t="shared" ref="G48:M48" si="144">+G72/F72-1</f>
        <v>0.13142857142857145</v>
      </c>
      <c r="H48" s="1789">
        <f t="shared" si="144"/>
        <v>0</v>
      </c>
      <c r="I48" s="1789">
        <f t="shared" si="144"/>
        <v>5.0505050505050608E-2</v>
      </c>
      <c r="J48" s="1789">
        <f t="shared" si="144"/>
        <v>4.3269230769230838E-2</v>
      </c>
      <c r="K48" s="1789">
        <f t="shared" si="144"/>
        <v>5.5299539170506895E-2</v>
      </c>
      <c r="L48" s="1789">
        <f t="shared" si="144"/>
        <v>5.6768558951965087E-2</v>
      </c>
      <c r="M48" s="1790">
        <f t="shared" si="144"/>
        <v>2.0661157024793431E-2</v>
      </c>
      <c r="N48" s="1790">
        <f t="shared" si="133"/>
        <v>2.0242914979757165E-2</v>
      </c>
      <c r="O48" s="1790">
        <f t="shared" si="133"/>
        <v>-1.5873015873015928E-2</v>
      </c>
      <c r="P48" s="1790">
        <f t="shared" si="133"/>
        <v>3.2258064516129004E-2</v>
      </c>
      <c r="Q48" s="1790">
        <f t="shared" si="133"/>
        <v>4.296875E-2</v>
      </c>
      <c r="R48" s="1790">
        <f t="shared" si="133"/>
        <v>1.8726591760299671E-2</v>
      </c>
      <c r="S48" s="1790">
        <f t="shared" ref="S48:X48" si="145">+S72/R72-1</f>
        <v>3.3088235294117752E-2</v>
      </c>
      <c r="T48" s="1790">
        <f t="shared" si="145"/>
        <v>2.8469750889679624E-2</v>
      </c>
      <c r="U48" s="1790">
        <f t="shared" si="145"/>
        <v>2.076124567474058E-2</v>
      </c>
      <c r="V48" s="1790">
        <f t="shared" si="145"/>
        <v>9.8305084745762716E-2</v>
      </c>
      <c r="W48" s="1790">
        <f t="shared" si="145"/>
        <v>2.7777777777777679E-2</v>
      </c>
      <c r="X48" s="1790">
        <f t="shared" si="145"/>
        <v>3.0030030030030019E-2</v>
      </c>
      <c r="Y48" s="1790">
        <f t="shared" si="135"/>
        <v>2.0408163265306145E-2</v>
      </c>
      <c r="Z48" s="1790">
        <f t="shared" si="135"/>
        <v>2.5714285714285801E-2</v>
      </c>
      <c r="AA48" s="1790">
        <f t="shared" ref="AA48:AC48" si="146">+AA72/Z72-1</f>
        <v>4.1782729805013963E-2</v>
      </c>
      <c r="AB48" s="1790">
        <f t="shared" si="146"/>
        <v>4.8128342245989275E-2</v>
      </c>
      <c r="AC48" s="1790">
        <f t="shared" si="146"/>
        <v>3.3163265306122458E-2</v>
      </c>
      <c r="AD48" s="1790">
        <f t="shared" si="137"/>
        <v>1.7283950617283939E-2</v>
      </c>
      <c r="AE48" s="1790">
        <f t="shared" si="138"/>
        <v>2.1844660194174859E-2</v>
      </c>
      <c r="AF48" s="1790">
        <f t="shared" si="139"/>
        <v>2.6128266033254244E-2</v>
      </c>
      <c r="AG48" s="1790">
        <f t="shared" si="140"/>
        <v>0.72685185185185186</v>
      </c>
      <c r="AH48" s="1790">
        <f t="shared" si="141"/>
        <v>2.0107238605898026E-2</v>
      </c>
      <c r="AI48" s="1790">
        <f t="shared" si="142"/>
        <v>2.3653088042050019E-2</v>
      </c>
      <c r="AJ48" s="1933">
        <f t="shared" si="143"/>
        <v>3.0808729139923052E-2</v>
      </c>
      <c r="AK48" s="1933">
        <v>2.8455168119551733E-2</v>
      </c>
      <c r="AL48" s="1906">
        <f>+AL72/AJ72-1</f>
        <v>3.6114570361145626E-2</v>
      </c>
      <c r="AM48" s="1808">
        <f>(AL48-AK48)*10000</f>
        <v>76.594022415938937</v>
      </c>
      <c r="AN48" s="1791"/>
      <c r="AO48" s="1778"/>
      <c r="AP48" s="2407"/>
      <c r="AQ48" s="2410"/>
      <c r="AW48" s="2099" t="s">
        <v>2697</v>
      </c>
      <c r="AX48" s="1824"/>
      <c r="AY48" s="1824"/>
      <c r="AZ48" s="1824"/>
      <c r="BA48" s="1824"/>
      <c r="BB48"/>
      <c r="BC48"/>
      <c r="BD48"/>
      <c r="BH48" s="1805" t="s">
        <v>1348</v>
      </c>
      <c r="BI48" s="1871">
        <v>0.67</v>
      </c>
      <c r="BJ48" s="1880">
        <f>+IS!DP20</f>
        <v>0.67215153511227055</v>
      </c>
      <c r="BK48" s="1881">
        <v>0.67559999999999998</v>
      </c>
      <c r="BP48" s="1888"/>
      <c r="BQ48" s="1824" t="s">
        <v>1780</v>
      </c>
    </row>
    <row r="49" spans="2:77" ht="15" customHeight="1">
      <c r="B49" s="1772"/>
      <c r="C49" s="1772"/>
      <c r="D49" s="2050" t="s">
        <v>1749</v>
      </c>
      <c r="E49" s="1789"/>
      <c r="F49" s="1789"/>
      <c r="G49" s="1789">
        <f t="shared" ref="G49:M49" si="147">+G73/F73-1</f>
        <v>0.11920994585923395</v>
      </c>
      <c r="H49" s="1789">
        <f t="shared" si="147"/>
        <v>8.6446295798620509E-2</v>
      </c>
      <c r="I49" s="1789">
        <f t="shared" si="147"/>
        <v>0.10306728232189966</v>
      </c>
      <c r="J49" s="1789">
        <f t="shared" si="147"/>
        <v>2.5414860218268887E-2</v>
      </c>
      <c r="K49" s="1789">
        <f t="shared" si="147"/>
        <v>7.2386645283569084E-2</v>
      </c>
      <c r="L49" s="1789">
        <f t="shared" si="147"/>
        <v>7.4026238868873717E-2</v>
      </c>
      <c r="M49" s="1790">
        <f t="shared" si="147"/>
        <v>0.10126582278481022</v>
      </c>
      <c r="N49" s="1790">
        <f t="shared" si="133"/>
        <v>5.7471264367816133E-2</v>
      </c>
      <c r="O49" s="1790">
        <f t="shared" si="133"/>
        <v>3.8043478260869623E-2</v>
      </c>
      <c r="P49" s="1790">
        <f t="shared" si="133"/>
        <v>0.38743455497382207</v>
      </c>
      <c r="Q49" s="1790">
        <f t="shared" si="133"/>
        <v>2.6415094339622636E-2</v>
      </c>
      <c r="R49" s="1790">
        <f t="shared" si="133"/>
        <v>3.3088235294117752E-2</v>
      </c>
      <c r="S49" s="1790">
        <f t="shared" ref="S49:X49" si="148">+S73/R73-1</f>
        <v>4.2704626334519658E-2</v>
      </c>
      <c r="T49" s="1790">
        <f t="shared" si="148"/>
        <v>4.7781569965870352E-2</v>
      </c>
      <c r="U49" s="1790">
        <f t="shared" si="148"/>
        <v>4.5602605863192203E-2</v>
      </c>
      <c r="V49" s="1790">
        <f t="shared" si="148"/>
        <v>4.049844236760114E-2</v>
      </c>
      <c r="W49" s="1790">
        <f t="shared" si="148"/>
        <v>3.5928143712574911E-2</v>
      </c>
      <c r="X49" s="1790">
        <f t="shared" si="148"/>
        <v>3.1791907514450823E-2</v>
      </c>
      <c r="Y49" s="1790">
        <f t="shared" si="135"/>
        <v>3.3613445378151363E-2</v>
      </c>
      <c r="Z49" s="1790">
        <f t="shared" si="135"/>
        <v>4.0650406504065151E-2</v>
      </c>
      <c r="AA49" s="1790">
        <f t="shared" ref="AA49:AC49" si="149">+AA73/Z73-1</f>
        <v>3.3854166666666741E-2</v>
      </c>
      <c r="AB49" s="1790">
        <f t="shared" si="149"/>
        <v>4.534005037783384E-2</v>
      </c>
      <c r="AC49" s="1790">
        <f t="shared" si="149"/>
        <v>5.7831325301204828E-2</v>
      </c>
      <c r="AD49" s="1790">
        <f t="shared" si="137"/>
        <v>1.3667425968109326E-2</v>
      </c>
      <c r="AE49" s="1790">
        <f t="shared" si="138"/>
        <v>2.2471910112359605E-2</v>
      </c>
      <c r="AF49" s="1790">
        <f t="shared" si="139"/>
        <v>1.758241758241752E-2</v>
      </c>
      <c r="AG49" s="1790">
        <f t="shared" si="140"/>
        <v>0.79049676025917925</v>
      </c>
      <c r="AH49" s="1790">
        <f t="shared" si="141"/>
        <v>2.4125452352231624E-2</v>
      </c>
      <c r="AI49" s="1790">
        <f t="shared" si="142"/>
        <v>2.9446407538280317E-2</v>
      </c>
      <c r="AJ49" s="1933">
        <f t="shared" si="143"/>
        <v>2.517162471395884E-2</v>
      </c>
      <c r="AK49" s="1933">
        <v>4.0000000000000036E-2</v>
      </c>
      <c r="AL49" s="1906">
        <f>+AL73/AJ73-1</f>
        <v>2.9017857142857206E-2</v>
      </c>
      <c r="AM49" s="1778">
        <f>0+((AL49-AK49)*10000)</f>
        <v>-109.8214285714283</v>
      </c>
      <c r="AN49" s="1791"/>
      <c r="AO49" s="1808"/>
      <c r="AP49" s="2408"/>
      <c r="AQ49" s="2411"/>
      <c r="AS49" s="1867"/>
      <c r="AW49" s="2099" t="s">
        <v>2701</v>
      </c>
      <c r="BB49"/>
      <c r="BC49"/>
      <c r="BD49"/>
      <c r="BH49" s="1805" t="s">
        <v>1539</v>
      </c>
      <c r="BI49" s="1879" t="s">
        <v>2665</v>
      </c>
      <c r="BJ49" s="1873">
        <f>+IS!DP24+IS!DP34-IS!DP33</f>
        <v>224.17500000000001</v>
      </c>
      <c r="BK49" s="1873"/>
      <c r="BO49" s="1888"/>
      <c r="BP49" s="1888"/>
      <c r="BQ49" s="1824" t="s">
        <v>511</v>
      </c>
      <c r="BU49" s="1978" t="s">
        <v>318</v>
      </c>
    </row>
    <row r="50" spans="2:77" ht="15" customHeight="1">
      <c r="B50" s="1772"/>
      <c r="C50" s="1772"/>
      <c r="D50" s="2131" t="s">
        <v>997</v>
      </c>
      <c r="E50" s="1792"/>
      <c r="F50" s="1792"/>
      <c r="G50" s="1864"/>
      <c r="H50" s="1864"/>
      <c r="I50" s="1864"/>
      <c r="J50" s="1864"/>
      <c r="K50" s="1864"/>
      <c r="L50" s="1864"/>
      <c r="M50" s="1856"/>
      <c r="N50" s="1856"/>
      <c r="O50" s="1856"/>
      <c r="P50" s="1856"/>
      <c r="Q50" s="1856"/>
      <c r="R50" s="1856"/>
      <c r="S50" s="1856"/>
      <c r="T50" s="1856"/>
      <c r="U50" s="1856"/>
      <c r="V50" s="1856"/>
      <c r="W50" s="1856"/>
      <c r="X50" s="1856"/>
      <c r="Y50" s="1856"/>
      <c r="Z50" s="1856"/>
      <c r="AA50" s="1856"/>
      <c r="AB50" s="1856"/>
      <c r="AC50" s="1856"/>
      <c r="AD50" s="1856"/>
      <c r="AE50" s="1856"/>
      <c r="AF50" s="1856"/>
      <c r="AG50" s="1856"/>
      <c r="AH50" s="1856"/>
      <c r="AI50" s="1856"/>
      <c r="AJ50" s="1932"/>
      <c r="AK50" s="1932"/>
      <c r="AL50" s="1844"/>
      <c r="AM50" s="1786"/>
      <c r="AN50" s="1800"/>
      <c r="AO50" s="1786"/>
      <c r="AP50" s="2406" t="s">
        <v>268</v>
      </c>
      <c r="AQ50" s="2409"/>
      <c r="AS50" s="1835"/>
      <c r="AW50" s="2099" t="s">
        <v>2699</v>
      </c>
      <c r="BB50"/>
      <c r="BC50"/>
      <c r="BD50"/>
      <c r="BG50" s="2012">
        <v>539</v>
      </c>
      <c r="BH50" s="2097" t="s">
        <v>400</v>
      </c>
      <c r="BI50" s="1871" t="s">
        <v>2666</v>
      </c>
      <c r="BJ50" s="1873">
        <f>+IS!DP37</f>
        <v>550.31899999999996</v>
      </c>
      <c r="BK50" s="1874">
        <v>544.98</v>
      </c>
      <c r="BO50" s="1888"/>
      <c r="BP50" s="1888"/>
      <c r="BU50" s="1902" t="str">
        <f>BH296</f>
        <v>EQUINIX - 4Q13 GUIDANCE</v>
      </c>
      <c r="BV50" s="1903"/>
      <c r="BW50" s="1903"/>
      <c r="BX50" s="1904"/>
      <c r="BY50" s="1903"/>
    </row>
    <row r="51" spans="2:77" ht="15" customHeight="1">
      <c r="B51" s="1772"/>
      <c r="C51" s="1772"/>
      <c r="D51" s="2050" t="s">
        <v>1747</v>
      </c>
      <c r="E51" s="1789"/>
      <c r="F51" s="1789"/>
      <c r="G51" s="1789">
        <f t="shared" ref="G51:M51" si="150">+G75/F75-1</f>
        <v>7.0108349267048453E-3</v>
      </c>
      <c r="H51" s="1789">
        <f t="shared" si="150"/>
        <v>6.8354430379746756E-2</v>
      </c>
      <c r="I51" s="1789">
        <f t="shared" si="150"/>
        <v>5.8649289099526047E-2</v>
      </c>
      <c r="J51" s="1789">
        <f t="shared" si="150"/>
        <v>1.790710688304431E-2</v>
      </c>
      <c r="K51" s="1789">
        <f t="shared" si="150"/>
        <v>1.7042330951072104E-2</v>
      </c>
      <c r="L51" s="1789">
        <f t="shared" si="150"/>
        <v>9.7297297297296303E-3</v>
      </c>
      <c r="M51" s="1790">
        <f t="shared" si="150"/>
        <v>-2.6766595289079431E-3</v>
      </c>
      <c r="N51" s="1790">
        <f t="shared" ref="N51:T51" si="151">+N75/M75-1</f>
        <v>3.4889962426194243E-2</v>
      </c>
      <c r="O51" s="1790">
        <f t="shared" si="151"/>
        <v>1.6078838174273802E-2</v>
      </c>
      <c r="P51" s="1790">
        <f t="shared" si="151"/>
        <v>-5.7682491066870845E-2</v>
      </c>
      <c r="Q51" s="1790">
        <f t="shared" si="151"/>
        <v>5.308775731310944E-2</v>
      </c>
      <c r="R51" s="1790">
        <f t="shared" si="151"/>
        <v>1.6460905349794164E-2</v>
      </c>
      <c r="S51" s="1790">
        <f t="shared" si="151"/>
        <v>-3.6943319838056654E-2</v>
      </c>
      <c r="T51" s="1790">
        <f t="shared" si="151"/>
        <v>-2.3121387283236983E-2</v>
      </c>
      <c r="U51" s="1790">
        <f t="shared" ref="U51:Z51" si="152">+U75/T75-1</f>
        <v>6.9930069930070893E-3</v>
      </c>
      <c r="V51" s="1790">
        <f t="shared" si="152"/>
        <v>9.0811965811965711E-2</v>
      </c>
      <c r="W51" s="1790">
        <f t="shared" si="152"/>
        <v>1.9588638589618013E-2</v>
      </c>
      <c r="X51" s="1790">
        <f t="shared" si="152"/>
        <v>-1.2007684918347694E-2</v>
      </c>
      <c r="Y51" s="1790">
        <f t="shared" si="152"/>
        <v>-5.8337384540593229E-3</v>
      </c>
      <c r="Z51" s="1790">
        <f t="shared" si="152"/>
        <v>-4.6454767726161417E-2</v>
      </c>
      <c r="AA51" s="1790">
        <f t="shared" ref="AA51:AC51" si="153">+AA75/Z75-1</f>
        <v>-2.0512820512820551E-2</v>
      </c>
      <c r="AB51" s="1790">
        <f t="shared" si="153"/>
        <v>-3.141361256544517E-3</v>
      </c>
      <c r="AC51" s="1790">
        <f t="shared" si="153"/>
        <v>-1.9957983193277351E-2</v>
      </c>
      <c r="AD51" s="1790">
        <f t="shared" ref="AD51" si="154">+AD75/AC75-1</f>
        <v>1.9828510182207992E-2</v>
      </c>
      <c r="AE51" s="1790">
        <f t="shared" ref="AE51" si="155">+AE75/AD75-1</f>
        <v>3.9936941671045778E-2</v>
      </c>
      <c r="AF51" s="1790">
        <f t="shared" ref="AF51" si="156">+AF75/AE75-1</f>
        <v>8.0848913592723726E-3</v>
      </c>
      <c r="AG51" s="1790">
        <f t="shared" ref="AG51" si="157">+AG75/AF75-1</f>
        <v>-3.1077694235588926E-2</v>
      </c>
      <c r="AH51" s="1790">
        <f t="shared" ref="AH51" si="158">+AH75/AG75-1</f>
        <v>1.1381272633212536E-2</v>
      </c>
      <c r="AI51" s="1790">
        <f t="shared" ref="AI51" si="159">+AI75/AH75-1</f>
        <v>1.2787723785166349E-2</v>
      </c>
      <c r="AJ51" s="1933">
        <f t="shared" ref="AJ51" si="160">+AJ75/AI75-1</f>
        <v>8.0808080808081328E-3</v>
      </c>
      <c r="AK51" s="1933">
        <v>0</v>
      </c>
      <c r="AL51" s="1906">
        <f>+AL75/AJ75-1</f>
        <v>5.5110220440881541E-3</v>
      </c>
      <c r="AM51" s="1778">
        <f>(AL51-AK51)*10000</f>
        <v>55.110220440881541</v>
      </c>
      <c r="AN51" s="1791"/>
      <c r="AO51" s="1808"/>
      <c r="AP51" s="2407"/>
      <c r="AQ51" s="2410"/>
      <c r="AW51" s="2099" t="s">
        <v>2701</v>
      </c>
      <c r="BB51"/>
      <c r="BC51"/>
      <c r="BD51"/>
      <c r="BG51" s="2013"/>
      <c r="BH51" s="2120" t="s">
        <v>1741</v>
      </c>
      <c r="BI51" s="2118">
        <f>+BG50/BG46</f>
        <v>0.47405452946350046</v>
      </c>
      <c r="BJ51" s="2119">
        <f>+BJ50/BJ46</f>
        <v>0.47759925919561624</v>
      </c>
      <c r="BK51" s="2119">
        <f>+BK50/BK46</f>
        <v>0.48021359274630582</v>
      </c>
      <c r="BO51" s="1888"/>
      <c r="BP51" s="1888"/>
      <c r="BU51" s="1805"/>
      <c r="BV51" s="1809" t="str">
        <f t="shared" ref="BV51:BV58" si="161">BK297</f>
        <v>EQIX (3Q13)</v>
      </c>
      <c r="BW51" s="1865" t="str">
        <f>BM245</f>
        <v>Cons</v>
      </c>
      <c r="BX51" s="1809" t="str">
        <f t="shared" ref="BX51:BX58" si="162">BN210</f>
        <v>EQIX (2Q13 Implied) (3)</v>
      </c>
      <c r="BY51" s="1809" t="s">
        <v>412</v>
      </c>
    </row>
    <row r="52" spans="2:77" ht="15" customHeight="1">
      <c r="B52" s="1772"/>
      <c r="C52" s="1772"/>
      <c r="D52" s="2050" t="s">
        <v>1572</v>
      </c>
      <c r="E52" s="1789"/>
      <c r="F52" s="1822">
        <f>Rev!BT464</f>
        <v>0.84444444444444444</v>
      </c>
      <c r="G52" s="1822">
        <f>Rev!BU464</f>
        <v>0.83157894736842108</v>
      </c>
      <c r="H52" s="1822">
        <f>Rev!BV464</f>
        <v>0.76190476190476186</v>
      </c>
      <c r="I52" s="1822">
        <f>Rev!BW464</f>
        <v>0.79047619047619044</v>
      </c>
      <c r="J52" s="1822">
        <f>Rev!BX464</f>
        <v>0.81132075471698117</v>
      </c>
      <c r="K52" s="1822">
        <f>Rev!BY464</f>
        <v>0.6992481203007519</v>
      </c>
      <c r="L52" s="1822">
        <f>Rev!BZ464</f>
        <v>0.7007299270072993</v>
      </c>
      <c r="M52" s="1823">
        <f>Rev!CA464</f>
        <v>0.74452554744525545</v>
      </c>
      <c r="N52" s="1823">
        <f>Rev!CB464</f>
        <v>0.75912408759124084</v>
      </c>
      <c r="O52" s="1823">
        <f>Rev!CC464</f>
        <v>0.76223776223776218</v>
      </c>
      <c r="P52" s="1823">
        <f>Rev!CD464</f>
        <v>0.72499999999999998</v>
      </c>
      <c r="Q52" s="1823">
        <f>Rev!CE464</f>
        <v>0.71359223300970875</v>
      </c>
      <c r="R52" s="1823">
        <f>Rev!CF464</f>
        <v>0.68421052631578949</v>
      </c>
      <c r="S52" s="1823">
        <f>Rev!CG464</f>
        <v>0.70813397129186606</v>
      </c>
      <c r="T52" s="1823">
        <f>Rev!CH464</f>
        <v>0.7289719626168224</v>
      </c>
      <c r="U52" s="1823">
        <f>Rev!CI464</f>
        <v>0.71365638766519823</v>
      </c>
      <c r="V52" s="1823">
        <f>Rev!CJ464</f>
        <v>0.72222222222222221</v>
      </c>
      <c r="W52" s="1823">
        <f>Rev!CK464</f>
        <v>0.7432432432432432</v>
      </c>
      <c r="X52" s="1823">
        <f>Rev!CL464</f>
        <v>0.7847533632286996</v>
      </c>
      <c r="Y52" s="1823">
        <f>Rev!CM464</f>
        <v>0.7615062761506276</v>
      </c>
      <c r="Z52" s="1823">
        <f>Rev!CN464</f>
        <v>0.75494071146245056</v>
      </c>
      <c r="AA52" s="1823">
        <f>Rev!CO464</f>
        <v>0.77186311787072248</v>
      </c>
      <c r="AB52" s="1823">
        <f>Rev!CP464</f>
        <v>0.78909090909090907</v>
      </c>
      <c r="AC52" s="1823">
        <f>Rev!CQ464</f>
        <v>0.81294964028776984</v>
      </c>
      <c r="AD52" s="1823">
        <f>Rev!CR464</f>
        <v>0.75737704918032789</v>
      </c>
      <c r="AE52" s="1823">
        <f>Rev!CS464</f>
        <v>0.76489028213166144</v>
      </c>
      <c r="AF52" s="1823">
        <f>Rev!CT464</f>
        <v>0.76969696969696966</v>
      </c>
      <c r="AG52" s="1823">
        <f>Rev!CU464</f>
        <v>0.73618090452261309</v>
      </c>
      <c r="AH52" s="1823">
        <f>Rev!CV464</f>
        <v>0.72992700729927007</v>
      </c>
      <c r="AI52" s="1823">
        <f>Rev!CW464</f>
        <v>0.71896955503512883</v>
      </c>
      <c r="AJ52" s="1936">
        <f>Rev!CX464</f>
        <v>0.74473067915690871</v>
      </c>
      <c r="AK52" s="1936">
        <v>0.72499999999999998</v>
      </c>
      <c r="AL52" s="1910">
        <f>+AL77/AL76</f>
        <v>0.7432432432432432</v>
      </c>
      <c r="AM52" s="1778">
        <f>(AL52-AK52)*10000</f>
        <v>182.43243243243222</v>
      </c>
      <c r="AN52" s="1791"/>
      <c r="AO52" s="1808"/>
      <c r="AP52" s="2407"/>
      <c r="AQ52" s="2410"/>
      <c r="AW52" s="2099" t="s">
        <v>2703</v>
      </c>
      <c r="BB52"/>
      <c r="BC52"/>
      <c r="BD52"/>
      <c r="BG52" s="2012">
        <v>323</v>
      </c>
      <c r="BH52" s="1805" t="s">
        <v>431</v>
      </c>
      <c r="BI52" s="1871" t="s">
        <v>2667</v>
      </c>
      <c r="BJ52" s="1873">
        <f>+BS!CX133</f>
        <v>320.23399999999998</v>
      </c>
      <c r="BK52" s="1874">
        <v>418.82</v>
      </c>
      <c r="BO52" s="1888"/>
      <c r="BP52" s="1888"/>
      <c r="BQ52" s="1902" t="s">
        <v>671</v>
      </c>
      <c r="BR52" s="1903"/>
      <c r="BS52" s="1903"/>
      <c r="BU52" s="1805" t="str">
        <f t="shared" ref="BU52:BU70" si="163">BH298</f>
        <v>Total Revenue</v>
      </c>
      <c r="BV52" s="1871" t="str">
        <f t="shared" si="161"/>
        <v>$559 - $563</v>
      </c>
      <c r="BW52" s="1874">
        <f>BM246</f>
        <v>563.4</v>
      </c>
      <c r="BX52" s="1871" t="str">
        <f t="shared" si="162"/>
        <v>$548 - $562</v>
      </c>
      <c r="BY52" s="1976">
        <f>BO217</f>
        <v>1.08108108108107E-2</v>
      </c>
    </row>
    <row r="53" spans="2:77" ht="15" customHeight="1">
      <c r="B53" s="1772"/>
      <c r="C53" s="1772"/>
      <c r="D53" s="2050" t="s">
        <v>1748</v>
      </c>
      <c r="E53" s="1789"/>
      <c r="F53" s="1789"/>
      <c r="G53" s="1789">
        <f t="shared" ref="G53:L53" si="164">+G76/F76-1</f>
        <v>5.555555555555558E-2</v>
      </c>
      <c r="H53" s="1789">
        <f t="shared" si="164"/>
        <v>0.10526315789473695</v>
      </c>
      <c r="I53" s="1789">
        <f t="shared" si="164"/>
        <v>0</v>
      </c>
      <c r="J53" s="1789">
        <f t="shared" si="164"/>
        <v>9.52380952380949E-3</v>
      </c>
      <c r="K53" s="1789">
        <f t="shared" si="164"/>
        <v>0.25471698113207553</v>
      </c>
      <c r="L53" s="1789">
        <f t="shared" si="164"/>
        <v>3.007518796992481E-2</v>
      </c>
      <c r="M53" s="1790">
        <f t="shared" ref="M53:R55" si="165">+M76/L76-1</f>
        <v>0</v>
      </c>
      <c r="N53" s="1790">
        <f t="shared" si="165"/>
        <v>0</v>
      </c>
      <c r="O53" s="1790">
        <f t="shared" si="165"/>
        <v>4.3795620437956151E-2</v>
      </c>
      <c r="P53" s="1790">
        <f t="shared" si="165"/>
        <v>0.39860139860139854</v>
      </c>
      <c r="Q53" s="1790">
        <f t="shared" si="165"/>
        <v>3.0000000000000027E-2</v>
      </c>
      <c r="R53" s="1790">
        <f t="shared" si="165"/>
        <v>1.4563106796116498E-2</v>
      </c>
      <c r="S53" s="1790">
        <f t="shared" ref="S53:X53" si="166">+S76/R76-1</f>
        <v>0</v>
      </c>
      <c r="T53" s="1790">
        <f t="shared" si="166"/>
        <v>2.3923444976076569E-2</v>
      </c>
      <c r="U53" s="1790">
        <f t="shared" si="166"/>
        <v>6.0747663551401931E-2</v>
      </c>
      <c r="V53" s="1790">
        <f t="shared" si="166"/>
        <v>-4.8458149779735726E-2</v>
      </c>
      <c r="W53" s="1790">
        <f t="shared" si="166"/>
        <v>2.7777777777777679E-2</v>
      </c>
      <c r="X53" s="1790">
        <f t="shared" si="166"/>
        <v>4.5045045045044585E-3</v>
      </c>
      <c r="Y53" s="1790">
        <f t="shared" ref="Y53:Z55" si="167">+Y76/X76-1</f>
        <v>7.1748878923766801E-2</v>
      </c>
      <c r="Z53" s="1790">
        <f t="shared" si="167"/>
        <v>5.8577405857740628E-2</v>
      </c>
      <c r="AA53" s="1790">
        <f t="shared" ref="AA53:AC53" si="168">+AA76/Z76-1</f>
        <v>3.9525691699604737E-2</v>
      </c>
      <c r="AB53" s="1790">
        <f t="shared" si="168"/>
        <v>4.5627376425855459E-2</v>
      </c>
      <c r="AC53" s="1790">
        <f t="shared" si="168"/>
        <v>1.0909090909090979E-2</v>
      </c>
      <c r="AD53" s="1790">
        <f t="shared" ref="AD53:AD55" si="169">+AD76/AC76-1</f>
        <v>9.7122302158273444E-2</v>
      </c>
      <c r="AE53" s="1790">
        <f t="shared" ref="AE53:AE55" si="170">+AE76/AD76-1</f>
        <v>4.590163934426239E-2</v>
      </c>
      <c r="AF53" s="1790">
        <f t="shared" ref="AF53:AF55" si="171">+AF76/AE76-1</f>
        <v>3.4482758620689724E-2</v>
      </c>
      <c r="AG53" s="1790">
        <f t="shared" ref="AG53:AG55" si="172">+AG76/AF76-1</f>
        <v>0.20606060606060606</v>
      </c>
      <c r="AH53" s="1790">
        <f t="shared" ref="AH53:AH55" si="173">+AH76/AG76-1</f>
        <v>3.2663316582914659E-2</v>
      </c>
      <c r="AI53" s="1790">
        <f t="shared" ref="AI53:AI55" si="174">+AI76/AH76-1</f>
        <v>3.8929440389294356E-2</v>
      </c>
      <c r="AJ53" s="1933">
        <f t="shared" ref="AJ53:AJ55" si="175">+AJ76/AI76-1</f>
        <v>0</v>
      </c>
      <c r="AK53" s="1933">
        <v>6.3231850117096089E-2</v>
      </c>
      <c r="AL53" s="1906">
        <f>+AL76/AJ76-1</f>
        <v>3.9812646370023463E-2</v>
      </c>
      <c r="AM53" s="1778">
        <f>(AL53-AK53)*10000</f>
        <v>-234.19203747072626</v>
      </c>
      <c r="AN53" s="1791"/>
      <c r="AO53" s="1808"/>
      <c r="AP53" s="2407"/>
      <c r="AQ53" s="2410"/>
      <c r="AS53" s="1867"/>
      <c r="AW53" s="2099" t="s">
        <v>2702</v>
      </c>
      <c r="BD53"/>
      <c r="BH53" s="2120" t="s">
        <v>1742</v>
      </c>
      <c r="BI53" s="2118">
        <f>+BG52/BG46</f>
        <v>0.28408091468777485</v>
      </c>
      <c r="BJ53" s="2119">
        <f>+BJ52/BJ46</f>
        <v>0.27791793699517731</v>
      </c>
      <c r="BK53" s="2119">
        <f>+BK52/BK46</f>
        <v>0.36904667494955373</v>
      </c>
      <c r="BO53" s="1888"/>
      <c r="BP53" s="1888"/>
      <c r="BQ53" s="1805"/>
      <c r="BR53" s="1972">
        <v>2013</v>
      </c>
      <c r="BS53" s="1972" t="s">
        <v>553</v>
      </c>
      <c r="BU53" s="1774" t="str">
        <f t="shared" si="163"/>
        <v>% Q/Q</v>
      </c>
      <c r="BV53" s="1976">
        <f t="shared" si="161"/>
        <v>-0.53258608206322</v>
      </c>
      <c r="BW53" s="1975">
        <f>BM247</f>
        <v>-0.51104827812448739</v>
      </c>
      <c r="BX53" s="1976">
        <f t="shared" si="162"/>
        <v>2.7777777777777679E-2</v>
      </c>
      <c r="BY53"/>
    </row>
    <row r="54" spans="2:77" ht="15" customHeight="1">
      <c r="B54" s="1772"/>
      <c r="C54" s="1772"/>
      <c r="D54" s="2050" t="s">
        <v>1750</v>
      </c>
      <c r="E54" s="1789"/>
      <c r="F54" s="1789"/>
      <c r="G54" s="1789">
        <f t="shared" ref="G54:L54" si="176">+G77/F77-1</f>
        <v>3.9473684210526327E-2</v>
      </c>
      <c r="H54" s="1789">
        <f t="shared" si="176"/>
        <v>1.2658227848101333E-2</v>
      </c>
      <c r="I54" s="1789">
        <f t="shared" si="176"/>
        <v>3.7500000000000089E-2</v>
      </c>
      <c r="J54" s="1789">
        <f t="shared" si="176"/>
        <v>3.6144578313253017E-2</v>
      </c>
      <c r="K54" s="1789">
        <f t="shared" si="176"/>
        <v>8.1395348837209225E-2</v>
      </c>
      <c r="L54" s="1789">
        <f t="shared" si="176"/>
        <v>3.2258064516129004E-2</v>
      </c>
      <c r="M54" s="1790">
        <f t="shared" si="165"/>
        <v>6.25E-2</v>
      </c>
      <c r="N54" s="1790">
        <f t="shared" si="165"/>
        <v>1.9607843137254832E-2</v>
      </c>
      <c r="O54" s="1790">
        <f t="shared" si="165"/>
        <v>4.8076923076923128E-2</v>
      </c>
      <c r="P54" s="1790">
        <f t="shared" si="165"/>
        <v>0.33027522935779818</v>
      </c>
      <c r="Q54" s="1790">
        <f t="shared" si="165"/>
        <v>1.379310344827589E-2</v>
      </c>
      <c r="R54" s="1790">
        <f t="shared" si="165"/>
        <v>-2.7210884353741527E-2</v>
      </c>
      <c r="S54" s="1790">
        <f t="shared" ref="S54:X54" si="177">+S77/R77-1</f>
        <v>3.4965034965035002E-2</v>
      </c>
      <c r="T54" s="1790">
        <f t="shared" si="177"/>
        <v>5.4054054054053946E-2</v>
      </c>
      <c r="U54" s="1790">
        <f t="shared" si="177"/>
        <v>3.8461538461538547E-2</v>
      </c>
      <c r="V54" s="1790">
        <f t="shared" si="177"/>
        <v>-3.703703703703709E-2</v>
      </c>
      <c r="W54" s="1790">
        <f t="shared" si="177"/>
        <v>5.7692307692307709E-2</v>
      </c>
      <c r="X54" s="1790">
        <f t="shared" si="177"/>
        <v>6.0606060606060552E-2</v>
      </c>
      <c r="Y54" s="1790">
        <f t="shared" si="167"/>
        <v>4.0000000000000036E-2</v>
      </c>
      <c r="Z54" s="1790">
        <f t="shared" si="167"/>
        <v>4.9450549450549497E-2</v>
      </c>
      <c r="AA54" s="1790">
        <f t="shared" ref="AA54:AC54" si="178">+AA77/Z77-1</f>
        <v>6.2827225130890119E-2</v>
      </c>
      <c r="AB54" s="1790">
        <f t="shared" si="178"/>
        <v>6.8965517241379226E-2</v>
      </c>
      <c r="AC54" s="1790">
        <f t="shared" si="178"/>
        <v>4.1474654377880116E-2</v>
      </c>
      <c r="AD54" s="1790">
        <f t="shared" si="169"/>
        <v>2.2123893805309658E-2</v>
      </c>
      <c r="AE54" s="1790">
        <f t="shared" si="170"/>
        <v>5.6277056277056259E-2</v>
      </c>
      <c r="AF54" s="1790">
        <f t="shared" si="171"/>
        <v>4.0983606557376984E-2</v>
      </c>
      <c r="AG54" s="1790">
        <f t="shared" si="172"/>
        <v>0.15354330708661412</v>
      </c>
      <c r="AH54" s="1790">
        <f t="shared" si="173"/>
        <v>2.3890784982935065E-2</v>
      </c>
      <c r="AI54" s="1790">
        <f t="shared" si="174"/>
        <v>2.3333333333333428E-2</v>
      </c>
      <c r="AJ54" s="1933">
        <f t="shared" si="175"/>
        <v>3.5830618892508159E-2</v>
      </c>
      <c r="AK54" s="1933">
        <v>3.5062893081760915E-2</v>
      </c>
      <c r="AL54" s="1906">
        <f>+AL77/AJ77-1</f>
        <v>3.7735849056603765E-2</v>
      </c>
      <c r="AM54" s="1808">
        <f>(AL54-AK54)*10000</f>
        <v>26.7295597484285</v>
      </c>
      <c r="AN54" s="1791"/>
      <c r="AO54" s="1778"/>
      <c r="AP54" s="2407"/>
      <c r="AQ54" s="2410"/>
      <c r="AW54" s="2099"/>
      <c r="BD54"/>
      <c r="BH54" s="2097" t="s">
        <v>424</v>
      </c>
      <c r="BI54" s="1871" t="s">
        <v>2668</v>
      </c>
      <c r="BJ54" s="1873">
        <f>+BS!CX124</f>
        <v>275.32</v>
      </c>
      <c r="BK54" s="1873"/>
      <c r="BO54" s="1888"/>
      <c r="BP54" s="1888"/>
      <c r="BQ54" s="1805" t="s">
        <v>988</v>
      </c>
      <c r="BR54" s="1871" t="s">
        <v>1627</v>
      </c>
      <c r="BS54" s="1871" t="s">
        <v>1629</v>
      </c>
      <c r="BU54" s="1805" t="str">
        <f t="shared" si="163"/>
        <v>% Gross Margin</v>
      </c>
      <c r="BV54" s="1871">
        <f t="shared" si="161"/>
        <v>0.68</v>
      </c>
      <c r="BW54" s="1881">
        <f>BM248</f>
        <v>0.66910000000000003</v>
      </c>
      <c r="BX54"/>
      <c r="BY54"/>
    </row>
    <row r="55" spans="2:77" ht="15" customHeight="1">
      <c r="B55" s="1772"/>
      <c r="C55" s="1772"/>
      <c r="D55" s="2050" t="s">
        <v>1749</v>
      </c>
      <c r="E55" s="1789"/>
      <c r="F55" s="1789"/>
      <c r="G55" s="1789">
        <f t="shared" ref="G55:L55" si="179">+G78/F78-1</f>
        <v>7.4878469499764844E-2</v>
      </c>
      <c r="H55" s="1789">
        <f t="shared" si="179"/>
        <v>6.3972572762418745E-2</v>
      </c>
      <c r="I55" s="1789">
        <f t="shared" si="179"/>
        <v>4.9705196764020299E-2</v>
      </c>
      <c r="J55" s="1789">
        <f t="shared" si="179"/>
        <v>5.3752204297563777E-2</v>
      </c>
      <c r="K55" s="1789">
        <f t="shared" si="179"/>
        <v>4.1527209619437233E-2</v>
      </c>
      <c r="L55" s="1789">
        <f t="shared" si="179"/>
        <v>5.3737205427279111E-2</v>
      </c>
      <c r="M55" s="1790">
        <f t="shared" si="165"/>
        <v>3.7894617947704212E-2</v>
      </c>
      <c r="N55" s="1790">
        <f t="shared" si="165"/>
        <v>3.9993470453803415E-2</v>
      </c>
      <c r="O55" s="1790">
        <f t="shared" si="165"/>
        <v>4.1908648563804718E-2</v>
      </c>
      <c r="P55" s="1790">
        <f t="shared" si="165"/>
        <v>9.4707241136888554E-2</v>
      </c>
      <c r="Q55" s="1790">
        <f t="shared" si="165"/>
        <v>2.7522935779816571E-2</v>
      </c>
      <c r="R55" s="1790">
        <f t="shared" si="165"/>
        <v>2.6785714285714191E-2</v>
      </c>
      <c r="S55" s="1790">
        <f t="shared" ref="S55:X55" si="180">+S78/R78-1</f>
        <v>3.4782608695652195E-2</v>
      </c>
      <c r="T55" s="1790">
        <f t="shared" si="180"/>
        <v>3.3613445378151363E-2</v>
      </c>
      <c r="U55" s="1790">
        <f t="shared" si="180"/>
        <v>5.2845528455284452E-2</v>
      </c>
      <c r="V55" s="1790">
        <f t="shared" si="180"/>
        <v>5.7915057915058021E-2</v>
      </c>
      <c r="W55" s="1790">
        <f t="shared" si="180"/>
        <v>3.649635036496357E-2</v>
      </c>
      <c r="X55" s="1790">
        <f t="shared" si="180"/>
        <v>7.0422535211267512E-2</v>
      </c>
      <c r="Y55" s="1790">
        <f t="shared" si="167"/>
        <v>-0.13486842105263153</v>
      </c>
      <c r="Z55" s="1790">
        <f t="shared" si="167"/>
        <v>8.365019011406849E-2</v>
      </c>
      <c r="AA55" s="1790">
        <f t="shared" ref="AA55:AC55" si="181">+AA78/Z78-1</f>
        <v>7.7192982456140369E-2</v>
      </c>
      <c r="AB55" s="1790">
        <f t="shared" si="181"/>
        <v>5.5374592833876246E-2</v>
      </c>
      <c r="AC55" s="1790">
        <f t="shared" si="181"/>
        <v>3.3950617283950546E-2</v>
      </c>
      <c r="AD55" s="1790">
        <f t="shared" si="169"/>
        <v>3.2835820895522394E-2</v>
      </c>
      <c r="AE55" s="1790">
        <f t="shared" si="170"/>
        <v>4.6242774566473965E-2</v>
      </c>
      <c r="AF55" s="1790">
        <f t="shared" si="171"/>
        <v>4.6961325966850875E-2</v>
      </c>
      <c r="AG55" s="1790">
        <f t="shared" si="172"/>
        <v>8.1794195250659563E-2</v>
      </c>
      <c r="AH55" s="1790">
        <f t="shared" si="173"/>
        <v>4.1463414634146378E-2</v>
      </c>
      <c r="AI55" s="1790">
        <f t="shared" si="174"/>
        <v>2.1077283372365363E-2</v>
      </c>
      <c r="AJ55" s="1933">
        <f t="shared" si="175"/>
        <v>3.669724770642202E-2</v>
      </c>
      <c r="AK55" s="1933">
        <v>3.1556603773584824E-2</v>
      </c>
      <c r="AL55" s="1906">
        <f>+AL78/AJ78-1</f>
        <v>3.3185840707964598E-2</v>
      </c>
      <c r="AM55" s="1778">
        <f>0+((AL55-AK55)*10000)</f>
        <v>16.292369343797741</v>
      </c>
      <c r="AN55" s="1791"/>
      <c r="AO55" s="1808"/>
      <c r="AP55" s="2408"/>
      <c r="AQ55" s="2411"/>
      <c r="AS55" s="1867"/>
      <c r="AV55" s="2106" t="s">
        <v>2661</v>
      </c>
      <c r="AW55" s="2099" t="s">
        <v>2673</v>
      </c>
      <c r="BD55"/>
      <c r="BH55" s="2097" t="s">
        <v>1863</v>
      </c>
      <c r="BI55" s="1879">
        <v>53</v>
      </c>
      <c r="BJ55" s="1873">
        <f>+BS!CX127</f>
        <v>44.914000000000001</v>
      </c>
      <c r="BK55" s="1872"/>
      <c r="BO55" s="1888"/>
      <c r="BP55" s="1902" t="s">
        <v>671</v>
      </c>
      <c r="BQ55" s="1774" t="s">
        <v>95</v>
      </c>
      <c r="BR55" s="1871"/>
      <c r="BS55" s="1871">
        <v>4.3433859428738453E-2</v>
      </c>
      <c r="BU55" s="1805" t="str">
        <f t="shared" si="163"/>
        <v>SG&amp;A</v>
      </c>
      <c r="BV55" s="1871" t="str">
        <f t="shared" si="161"/>
        <v>$123 - $128</v>
      </c>
      <c r="BW55" s="1873"/>
      <c r="BX55" s="1871" t="str">
        <f t="shared" si="162"/>
        <v>$109 - $123</v>
      </c>
      <c r="BY55" s="1976">
        <f>BO220</f>
        <v>8.18965517241379E-2</v>
      </c>
    </row>
    <row r="56" spans="2:77" ht="15" hidden="1" customHeight="1" outlineLevel="1">
      <c r="B56" s="1772"/>
      <c r="C56" s="1772"/>
      <c r="D56" s="2131" t="s">
        <v>1396</v>
      </c>
      <c r="E56" s="1792"/>
      <c r="F56" s="1792"/>
      <c r="G56" s="1864"/>
      <c r="H56" s="1864"/>
      <c r="I56" s="1864"/>
      <c r="J56" s="1864"/>
      <c r="K56" s="1864"/>
      <c r="L56" s="1864"/>
      <c r="M56" s="1856"/>
      <c r="N56" s="1856"/>
      <c r="O56" s="1856"/>
      <c r="P56" s="1856"/>
      <c r="Q56" s="1856"/>
      <c r="R56" s="1856"/>
      <c r="S56" s="1856"/>
      <c r="T56" s="1856"/>
      <c r="U56" s="1856"/>
      <c r="V56" s="1856"/>
      <c r="W56" s="1856"/>
      <c r="X56" s="1856"/>
      <c r="Y56" s="1856"/>
      <c r="Z56" s="1856"/>
      <c r="AA56" s="1856"/>
      <c r="AB56" s="1856"/>
      <c r="AC56" s="1856"/>
      <c r="AD56" s="1856"/>
      <c r="AE56" s="1856"/>
      <c r="AF56" s="1856"/>
      <c r="AG56" s="1856"/>
      <c r="AH56" s="1856"/>
      <c r="AI56" s="1856"/>
      <c r="AJ56" s="1932"/>
      <c r="AK56" s="1932"/>
      <c r="AL56" s="1844"/>
      <c r="AM56" s="1786"/>
      <c r="AN56" s="1800"/>
      <c r="AO56" s="1786"/>
      <c r="AP56" s="2406"/>
      <c r="AQ56" s="2409"/>
      <c r="AS56" s="1867"/>
      <c r="AW56" s="2099" t="s">
        <v>2674</v>
      </c>
      <c r="BD56"/>
      <c r="BH56" s="2098" t="s">
        <v>2671</v>
      </c>
      <c r="BI56" s="1887"/>
      <c r="BJ56" s="1887"/>
      <c r="BK56" s="1887"/>
      <c r="BO56" s="1888"/>
      <c r="BP56" s="1888"/>
      <c r="BQ56" s="1805" t="s">
        <v>1348</v>
      </c>
      <c r="BR56" s="1871">
        <v>0.68</v>
      </c>
      <c r="BS56" s="1871">
        <v>0.68</v>
      </c>
      <c r="BU56" s="1805" t="str">
        <f t="shared" si="163"/>
        <v>Adjusted EBITDA</v>
      </c>
      <c r="BV56" s="1871" t="str">
        <f t="shared" si="161"/>
        <v>$255 - $259</v>
      </c>
      <c r="BW56" s="1874">
        <f>BM250</f>
        <v>259.16399999999999</v>
      </c>
      <c r="BX56" s="1871" t="str">
        <f t="shared" si="162"/>
        <v>$257 - $266</v>
      </c>
      <c r="BY56" s="1976">
        <f>BO221</f>
        <v>-1.7208413001912004E-2</v>
      </c>
    </row>
    <row r="57" spans="2:77" ht="15" hidden="1" customHeight="1" outlineLevel="1">
      <c r="B57" s="1772"/>
      <c r="C57" s="1772"/>
      <c r="D57" s="2050" t="s">
        <v>1747</v>
      </c>
      <c r="E57" s="1789"/>
      <c r="F57" s="1789"/>
      <c r="G57" s="1789">
        <f>+G80/F80-1</f>
        <v>0.11865390207605087</v>
      </c>
      <c r="H57" s="1789">
        <f t="shared" ref="H57:P57" si="182">+H80/G80-1</f>
        <v>6.8430140664733408E-2</v>
      </c>
      <c r="I57" s="1789">
        <f t="shared" si="182"/>
        <v>1.3516886970570186E-2</v>
      </c>
      <c r="J57" s="1789">
        <f t="shared" si="182"/>
        <v>1.1980173107636549E-2</v>
      </c>
      <c r="K57" s="1789">
        <f t="shared" si="182"/>
        <v>5.1573975323170984E-2</v>
      </c>
      <c r="L57" s="1789">
        <f t="shared" si="182"/>
        <v>2.8819659730221048E-2</v>
      </c>
      <c r="M57" s="1789">
        <f t="shared" si="182"/>
        <v>1.3947713440778386E-2</v>
      </c>
      <c r="N57" s="1789">
        <f t="shared" si="182"/>
        <v>2.2890253586649978E-2</v>
      </c>
      <c r="O57" s="1789">
        <f t="shared" si="182"/>
        <v>1.337113830084502E-2</v>
      </c>
      <c r="P57" s="1789">
        <f t="shared" si="182"/>
        <v>2.5507187765178685E-2</v>
      </c>
      <c r="Q57" s="1789">
        <f t="shared" ref="Q57:W57" si="183">+Q80/P80-1</f>
        <v>3.6699435882880937E-3</v>
      </c>
      <c r="R57" s="1789">
        <f t="shared" si="183"/>
        <v>-1.1648193730191547E-3</v>
      </c>
      <c r="S57" s="1789">
        <f t="shared" si="183"/>
        <v>-1.5531567782860467E-3</v>
      </c>
      <c r="T57" s="1789">
        <f t="shared" si="183"/>
        <v>5.2777023213566032E-3</v>
      </c>
      <c r="U57" s="1789">
        <f t="shared" si="183"/>
        <v>1.7568591499340425E-2</v>
      </c>
      <c r="V57" s="1789">
        <f t="shared" si="183"/>
        <v>-1.0390372317569119E-3</v>
      </c>
      <c r="W57" s="1789">
        <f t="shared" si="183"/>
        <v>2.2361087875705676E-2</v>
      </c>
      <c r="X57" s="1789">
        <f>+X80/W80-1</f>
        <v>-5.3866782802719504E-3</v>
      </c>
      <c r="Y57" s="1789">
        <f>+Y80/X80-1</f>
        <v>-5.1964491937583901E-4</v>
      </c>
      <c r="Z57" s="1789">
        <f>+Z80/Y80-1</f>
        <v>-1.7765180754121701E-2</v>
      </c>
      <c r="AA57" s="1789">
        <f>+AA80/Z80-1</f>
        <v>-5.8277863202389479E-3</v>
      </c>
      <c r="AB57" s="1789">
        <f>+AB80/AA80-1</f>
        <v>-8.7422939492587393E-3</v>
      </c>
      <c r="AC57" s="1789">
        <f t="shared" ref="AC57" si="184">+AC80/AB80-1</f>
        <v>2.1503653297840319E-2</v>
      </c>
      <c r="AD57" s="1789">
        <f t="shared" ref="AD57" si="185">+AD80/AC80-1</f>
        <v>-3.3079861076141581E-2</v>
      </c>
      <c r="AE57" s="1789">
        <f t="shared" ref="AE57" si="186">+AE80/AD80-1</f>
        <v>2.100276920402866E-2</v>
      </c>
      <c r="AF57" s="1789">
        <f t="shared" ref="AF57" si="187">+AF80/AE80-1</f>
        <v>5.4698279553193618E-3</v>
      </c>
      <c r="AG57" s="1789">
        <f t="shared" ref="AG57" si="188">+AG80/AF80-1</f>
        <v>-6.8357921905437213E-2</v>
      </c>
      <c r="AH57" s="1789">
        <f t="shared" ref="AH57" si="189">+AH80/AG80-1</f>
        <v>3.6532380034848266E-4</v>
      </c>
      <c r="AI57" s="1789">
        <f t="shared" ref="AI57" si="190">+AI80/AH80-1</f>
        <v>1.2069753150824258E-2</v>
      </c>
      <c r="AJ57" s="2064">
        <f t="shared" ref="AJ57" si="191">+AJ80/AI80-1</f>
        <v>7.8821836195073214E-3</v>
      </c>
      <c r="AK57" s="2064">
        <v>1.6736343457226077E-2</v>
      </c>
      <c r="AL57" s="1906">
        <f>+AL80/AJ80-1</f>
        <v>-1</v>
      </c>
      <c r="AM57" s="1778">
        <f>(AL57-AK57)*10000</f>
        <v>-10167.36343457226</v>
      </c>
      <c r="AN57" s="1791"/>
      <c r="AO57" s="1808"/>
      <c r="AP57" s="2407"/>
      <c r="AQ57" s="2410"/>
      <c r="AW57" s="2099" t="s">
        <v>2677</v>
      </c>
      <c r="BD57"/>
      <c r="BG57" s="1888"/>
      <c r="BH57" s="2099" t="s">
        <v>2664</v>
      </c>
      <c r="BI57" s="1831"/>
      <c r="BJ57" s="1831"/>
      <c r="BO57" s="1888"/>
      <c r="BP57" s="1888"/>
      <c r="BQ57" s="1805" t="s">
        <v>1539</v>
      </c>
      <c r="BR57" s="1871" t="s">
        <v>1163</v>
      </c>
      <c r="BS57" s="1871" t="s">
        <v>1159</v>
      </c>
      <c r="BU57" s="1868" t="str">
        <f t="shared" si="163"/>
        <v>% margin (implied)</v>
      </c>
      <c r="BV57" s="1876">
        <f t="shared" si="161"/>
        <v>0.45811051693404636</v>
      </c>
      <c r="BW57" s="1840">
        <f>BM251</f>
        <v>0.46</v>
      </c>
      <c r="BX57" s="1876">
        <f t="shared" si="162"/>
        <v>0.47117117117117119</v>
      </c>
      <c r="BY57" s="1873"/>
    </row>
    <row r="58" spans="2:77" ht="15" hidden="1" customHeight="1" outlineLevel="1">
      <c r="B58" s="1772"/>
      <c r="C58" s="1772"/>
      <c r="D58" s="2050" t="s">
        <v>1572</v>
      </c>
      <c r="E58" s="1789"/>
      <c r="F58" s="1822"/>
      <c r="G58" s="2065">
        <f>+G82/G81</f>
        <v>0.77509529860228721</v>
      </c>
      <c r="H58" s="2065">
        <f t="shared" ref="H58:P58" si="192">+H82/H81</f>
        <v>0.75798525798525795</v>
      </c>
      <c r="I58" s="2065">
        <f t="shared" si="192"/>
        <v>0.77080820265379979</v>
      </c>
      <c r="J58" s="2065">
        <f t="shared" si="192"/>
        <v>0.79314420803782504</v>
      </c>
      <c r="K58" s="2065">
        <f t="shared" si="192"/>
        <v>0.76122672508214673</v>
      </c>
      <c r="L58" s="2065">
        <f t="shared" si="192"/>
        <v>0.79550561797752806</v>
      </c>
      <c r="M58" s="2065">
        <f t="shared" si="192"/>
        <v>0.80088495575221241</v>
      </c>
      <c r="N58" s="2065">
        <f t="shared" si="192"/>
        <v>0.81140350877192979</v>
      </c>
      <c r="O58" s="2065">
        <f t="shared" si="192"/>
        <v>0.80848315211540533</v>
      </c>
      <c r="P58" s="2065">
        <f t="shared" si="192"/>
        <v>0.74250936329588013</v>
      </c>
      <c r="Q58" s="2065">
        <f t="shared" ref="Q58:V58" si="193">+Q82/Q81</f>
        <v>0.75855689176688257</v>
      </c>
      <c r="R58" s="2065">
        <f t="shared" si="193"/>
        <v>0.75270758122743686</v>
      </c>
      <c r="S58" s="2065">
        <f t="shared" si="193"/>
        <v>0.75355871886120995</v>
      </c>
      <c r="T58" s="2065">
        <f t="shared" si="193"/>
        <v>0.76537785588752194</v>
      </c>
      <c r="U58" s="2065">
        <f t="shared" si="193"/>
        <v>0.76023890784982939</v>
      </c>
      <c r="V58" s="2065">
        <f t="shared" si="193"/>
        <v>0.76298157453936344</v>
      </c>
      <c r="W58" s="2065">
        <f t="shared" ref="W58:AB58" si="194">+W82/W81</f>
        <v>0.77178423236514526</v>
      </c>
      <c r="X58" s="2065">
        <f t="shared" si="194"/>
        <v>0.79588477366255139</v>
      </c>
      <c r="Y58" s="2065">
        <f t="shared" si="194"/>
        <v>0.78879999999999995</v>
      </c>
      <c r="Z58" s="2065">
        <f t="shared" si="194"/>
        <v>0.78637770897832815</v>
      </c>
      <c r="AA58" s="2065">
        <f t="shared" si="194"/>
        <v>0.79129129129129128</v>
      </c>
      <c r="AB58" s="2065">
        <f t="shared" si="194"/>
        <v>0.80600292825768671</v>
      </c>
      <c r="AC58" s="2065">
        <f t="shared" ref="AC58" si="195">+AC82/AC81</f>
        <v>0.81272337383845605</v>
      </c>
      <c r="AD58" s="2065">
        <f t="shared" ref="AD58" si="196">+AD82/AD81</f>
        <v>0.80055594162612931</v>
      </c>
      <c r="AE58" s="2065">
        <f t="shared" ref="AE58:AJ58" si="197">+AE82/AE81</f>
        <v>0.81611570247933884</v>
      </c>
      <c r="AF58" s="2065">
        <f t="shared" si="197"/>
        <v>0.80718085106382975</v>
      </c>
      <c r="AG58" s="2065">
        <f t="shared" si="197"/>
        <v>0.79655870445344135</v>
      </c>
      <c r="AH58" s="2065">
        <f t="shared" si="197"/>
        <v>0.79224652087475145</v>
      </c>
      <c r="AI58" s="2065">
        <f t="shared" si="197"/>
        <v>0.79093567251461994</v>
      </c>
      <c r="AJ58" s="2066">
        <f t="shared" si="197"/>
        <v>0.78457196613358415</v>
      </c>
      <c r="AK58" s="2066">
        <v>0.78832721263312533</v>
      </c>
      <c r="AL58" s="1910">
        <f>+AL82/AL81</f>
        <v>0.79584295612009237</v>
      </c>
      <c r="AM58" s="1778">
        <f>(AL58-AK58)*10000</f>
        <v>75.157434869670411</v>
      </c>
      <c r="AN58" s="2067"/>
      <c r="AO58" s="1778"/>
      <c r="AP58" s="2407"/>
      <c r="AQ58" s="2410"/>
      <c r="AW58" s="2099" t="s">
        <v>2655</v>
      </c>
      <c r="BD58"/>
      <c r="BG58" s="1888"/>
      <c r="BH58" s="2099" t="s">
        <v>2669</v>
      </c>
      <c r="BI58" s="1831"/>
      <c r="BJ58" s="1831"/>
      <c r="BO58" s="1888"/>
      <c r="BP58" s="1888"/>
      <c r="BQ58" s="1805" t="s">
        <v>188</v>
      </c>
      <c r="BR58" s="1871" t="s">
        <v>1628</v>
      </c>
      <c r="BS58" s="1871" t="s">
        <v>1630</v>
      </c>
      <c r="BU58" s="1805" t="str">
        <f t="shared" si="163"/>
        <v>Total Capex</v>
      </c>
      <c r="BV58" s="1871" t="str">
        <f t="shared" si="161"/>
        <v>$190 - $210</v>
      </c>
      <c r="BW58" s="1874">
        <f>BM252</f>
        <v>202.7</v>
      </c>
      <c r="BX58" s="1871" t="str">
        <f t="shared" si="162"/>
        <v>$177 - $247</v>
      </c>
      <c r="BY58" s="1976">
        <f>BO223</f>
        <v>-5.6603773584905648E-2</v>
      </c>
    </row>
    <row r="59" spans="2:77" ht="15" hidden="1" customHeight="1" outlineLevel="1">
      <c r="B59" s="1772"/>
      <c r="C59" s="1772"/>
      <c r="D59" s="2050" t="s">
        <v>1748</v>
      </c>
      <c r="E59" s="1789"/>
      <c r="F59" s="1789"/>
      <c r="G59" s="1789">
        <f>+G81/F81-1</f>
        <v>1.0228859651420841E-2</v>
      </c>
      <c r="H59" s="1789">
        <f t="shared" ref="H59:P59" si="198">+H81/G81-1</f>
        <v>3.4307496823379857E-2</v>
      </c>
      <c r="I59" s="1789">
        <f t="shared" si="198"/>
        <v>1.8427518427518441E-2</v>
      </c>
      <c r="J59" s="1789">
        <f t="shared" si="198"/>
        <v>2.0506634499396936E-2</v>
      </c>
      <c r="K59" s="1789">
        <f t="shared" si="198"/>
        <v>7.9196217494089893E-2</v>
      </c>
      <c r="L59" s="1789">
        <f t="shared" si="198"/>
        <v>-2.5191675794085433E-2</v>
      </c>
      <c r="M59" s="1790">
        <f t="shared" si="198"/>
        <v>1.5730337078651679E-2</v>
      </c>
      <c r="N59" s="1790">
        <f t="shared" si="198"/>
        <v>8.8495575221239076E-3</v>
      </c>
      <c r="O59" s="1790">
        <f t="shared" si="198"/>
        <v>1.853070175438587E-2</v>
      </c>
      <c r="P59" s="1790">
        <f t="shared" si="198"/>
        <v>0.14974701259554313</v>
      </c>
      <c r="Q59" s="1790">
        <f t="shared" ref="Q59:R61" si="199">+Q81/P81-1</f>
        <v>1.2172284644194731E-2</v>
      </c>
      <c r="R59" s="1790">
        <f t="shared" si="199"/>
        <v>2.4976873265494914E-2</v>
      </c>
      <c r="S59" s="1790">
        <f t="shared" ref="S59:X59" si="200">+S81/R81-1</f>
        <v>1.4440433212996373E-2</v>
      </c>
      <c r="T59" s="1790">
        <f t="shared" si="200"/>
        <v>1.245551601423478E-2</v>
      </c>
      <c r="U59" s="1790">
        <f t="shared" si="200"/>
        <v>2.987697715289972E-2</v>
      </c>
      <c r="V59" s="1790">
        <f t="shared" si="200"/>
        <v>1.8771331058020424E-2</v>
      </c>
      <c r="W59" s="1790">
        <f t="shared" si="200"/>
        <v>9.2127303182578668E-3</v>
      </c>
      <c r="X59" s="1790">
        <f t="shared" si="200"/>
        <v>8.2987551867219622E-3</v>
      </c>
      <c r="Y59" s="1790">
        <f t="shared" ref="Y59:Z61" si="201">+Y81/X81-1</f>
        <v>2.8806584362139898E-2</v>
      </c>
      <c r="Z59" s="1790">
        <f t="shared" si="201"/>
        <v>3.3600000000000074E-2</v>
      </c>
      <c r="AA59" s="1790">
        <f t="shared" ref="AA59:AC59" si="202">+AA81/Z81-1</f>
        <v>3.0959752321981338E-2</v>
      </c>
      <c r="AB59" s="1790">
        <f t="shared" si="202"/>
        <v>2.5525525525525561E-2</v>
      </c>
      <c r="AC59" s="1790">
        <f t="shared" si="202"/>
        <v>2.4158125915080486E-2</v>
      </c>
      <c r="AD59" s="1790">
        <f t="shared" ref="AD59:AD61" si="203">+AD81/AC81-1</f>
        <v>2.8591851322373074E-2</v>
      </c>
      <c r="AE59" s="1790">
        <f t="shared" ref="AE59:AE61" si="204">+AE81/AD81-1</f>
        <v>9.0340514246003423E-3</v>
      </c>
      <c r="AF59" s="1790">
        <f t="shared" ref="AF59:AF61" si="205">+AF81/AE81-1</f>
        <v>3.5812672176308569E-2</v>
      </c>
      <c r="AG59" s="1790">
        <f t="shared" ref="AG59:AG61" si="206">+AG81/AF81-1</f>
        <v>0.31382978723404253</v>
      </c>
      <c r="AH59" s="1790">
        <f t="shared" ref="AH59:AH61" si="207">+AH81/AG81-1</f>
        <v>1.8218623481781382E-2</v>
      </c>
      <c r="AI59" s="1790">
        <f t="shared" ref="AI59:AI61" si="208">+AI81/AH81-1</f>
        <v>1.9880715705765439E-2</v>
      </c>
      <c r="AJ59" s="1933">
        <f t="shared" ref="AJ59:AJ61" si="209">+AJ81/AI81-1</f>
        <v>3.606237816764124E-2</v>
      </c>
      <c r="AK59" s="1933">
        <v>2.4647224835371517E-2</v>
      </c>
      <c r="AL59" s="1906">
        <f>+AL81/AJ81-1</f>
        <v>1.8344308560677369E-2</v>
      </c>
      <c r="AM59" s="1778">
        <f>(AL59-AK59)*10000</f>
        <v>-63.029162746941481</v>
      </c>
      <c r="AN59" s="1791"/>
      <c r="AO59" s="1808"/>
      <c r="AP59" s="2407"/>
      <c r="AQ59" s="2410"/>
      <c r="AS59" s="1867"/>
      <c r="AW59" s="2099" t="s">
        <v>2679</v>
      </c>
      <c r="BD59"/>
      <c r="BH59" s="2099" t="s">
        <v>2670</v>
      </c>
      <c r="BI59" s="1831"/>
      <c r="BJ59" s="1831"/>
      <c r="BO59" s="1888"/>
      <c r="BP59" s="1888"/>
      <c r="BQ59" s="1868" t="s">
        <v>1741</v>
      </c>
      <c r="BR59" s="1834">
        <v>0.46236059479553904</v>
      </c>
      <c r="BS59" s="1876">
        <v>0.46099290780141844</v>
      </c>
      <c r="BU59" s="1774" t="str">
        <f t="shared" ref="BU59:BU64" si="210">BH305</f>
        <v>% of revenue</v>
      </c>
      <c r="BV59" s="1976">
        <f t="shared" ref="BV59:BV64" si="211">BK305</f>
        <v>0.35650623885918004</v>
      </c>
      <c r="BW59" s="1975">
        <f>BM253</f>
        <v>0.35977990770323037</v>
      </c>
      <c r="BX59" s="1976">
        <f>BN218</f>
        <v>0.38198198198198197</v>
      </c>
      <c r="BY59"/>
    </row>
    <row r="60" spans="2:77" ht="15" hidden="1" customHeight="1" outlineLevel="1">
      <c r="B60" s="1772"/>
      <c r="C60" s="1772"/>
      <c r="D60" s="2050" t="s">
        <v>1750</v>
      </c>
      <c r="E60" s="1789"/>
      <c r="F60" s="1789"/>
      <c r="G60" s="1789">
        <f>+G82/F82-1</f>
        <v>6.4200976971388712E-2</v>
      </c>
      <c r="H60" s="1789">
        <f t="shared" ref="H60:P60" si="212">+H82/G82-1</f>
        <v>1.1475409836065653E-2</v>
      </c>
      <c r="I60" s="1789">
        <f t="shared" si="212"/>
        <v>3.5656401944894611E-2</v>
      </c>
      <c r="J60" s="1789">
        <f t="shared" si="212"/>
        <v>5.007824726134591E-2</v>
      </c>
      <c r="K60" s="1789">
        <f t="shared" si="212"/>
        <v>3.5767511177347222E-2</v>
      </c>
      <c r="L60" s="1789">
        <f t="shared" si="212"/>
        <v>1.8705035971223083E-2</v>
      </c>
      <c r="M60" s="1790">
        <f t="shared" si="212"/>
        <v>2.2598870056497189E-2</v>
      </c>
      <c r="N60" s="1790">
        <f t="shared" si="212"/>
        <v>2.2099447513812098E-2</v>
      </c>
      <c r="O60" s="1790">
        <f t="shared" si="212"/>
        <v>1.4864864864864824E-2</v>
      </c>
      <c r="P60" s="1790">
        <f t="shared" si="212"/>
        <v>5.5925432756325E-2</v>
      </c>
      <c r="Q60" s="1790">
        <f t="shared" si="199"/>
        <v>3.4047919293821005E-2</v>
      </c>
      <c r="R60" s="1790">
        <f t="shared" si="199"/>
        <v>1.7073170731707332E-2</v>
      </c>
      <c r="S60" s="1790">
        <f t="shared" ref="S60:X60" si="213">+S82/R82-1</f>
        <v>1.5587529976019088E-2</v>
      </c>
      <c r="T60" s="1790">
        <f t="shared" si="213"/>
        <v>2.8335301062573759E-2</v>
      </c>
      <c r="U60" s="1790">
        <f t="shared" si="213"/>
        <v>2.2962112514351318E-2</v>
      </c>
      <c r="V60" s="1790">
        <f t="shared" si="213"/>
        <v>2.2446689113355678E-2</v>
      </c>
      <c r="W60" s="1790">
        <f t="shared" si="213"/>
        <v>2.0856201975850697E-2</v>
      </c>
      <c r="X60" s="1790">
        <f t="shared" si="213"/>
        <v>3.9784946236559149E-2</v>
      </c>
      <c r="Y60" s="1790">
        <f t="shared" si="201"/>
        <v>1.9648397104446769E-2</v>
      </c>
      <c r="Z60" s="1790">
        <f t="shared" si="201"/>
        <v>3.0425963488843744E-2</v>
      </c>
      <c r="AA60" s="1790">
        <f t="shared" ref="AA60:AC60" si="214">+AA82/Z82-1</f>
        <v>3.740157480314954E-2</v>
      </c>
      <c r="AB60" s="1790">
        <f t="shared" si="214"/>
        <v>4.4592030360531387E-2</v>
      </c>
      <c r="AC60" s="1790">
        <f t="shared" si="214"/>
        <v>3.2697547683923744E-2</v>
      </c>
      <c r="AD60" s="1790">
        <f t="shared" si="203"/>
        <v>1.3192612137203241E-2</v>
      </c>
      <c r="AE60" s="1790">
        <f t="shared" si="204"/>
        <v>2.8645833333333259E-2</v>
      </c>
      <c r="AF60" s="1790">
        <f t="shared" si="205"/>
        <v>2.4472573839662504E-2</v>
      </c>
      <c r="AG60" s="1790">
        <f t="shared" si="206"/>
        <v>0.29654036243822079</v>
      </c>
      <c r="AH60" s="1790">
        <f t="shared" si="207"/>
        <v>1.270648030495547E-2</v>
      </c>
      <c r="AI60" s="1790">
        <f t="shared" si="208"/>
        <v>1.8193224592220725E-2</v>
      </c>
      <c r="AJ60" s="1933">
        <f t="shared" si="209"/>
        <v>2.7726432532347411E-2</v>
      </c>
      <c r="AK60" s="1933">
        <v>2.9551558752997753E-2</v>
      </c>
      <c r="AL60" s="1906">
        <f>+AL82/AJ82-1</f>
        <v>3.2973621103117523E-2</v>
      </c>
      <c r="AM60" s="1808">
        <f>(AL60-AK60)*10000</f>
        <v>34.2206235011977</v>
      </c>
      <c r="AN60" s="1791"/>
      <c r="AO60" s="1808"/>
      <c r="AP60" s="2407"/>
      <c r="AQ60" s="2410"/>
      <c r="AW60" s="2099" t="s">
        <v>2683</v>
      </c>
      <c r="BD60"/>
      <c r="BH60" s="2033"/>
      <c r="BI60" s="1831"/>
      <c r="BJ60" s="1831"/>
      <c r="BO60" s="1888"/>
      <c r="BP60" s="1888"/>
      <c r="BQ60" s="1805" t="s">
        <v>431</v>
      </c>
      <c r="BR60" s="1830" t="s">
        <v>1165</v>
      </c>
      <c r="BS60" s="1871" t="s">
        <v>1161</v>
      </c>
      <c r="BU60" s="1805" t="str">
        <f t="shared" si="210"/>
        <v>Expansion</v>
      </c>
      <c r="BV60" s="1871" t="str">
        <f t="shared" si="211"/>
        <v>$140 - $160</v>
      </c>
      <c r="BW60" s="1881">
        <f>BM254</f>
        <v>0</v>
      </c>
      <c r="BX60"/>
      <c r="BY60"/>
    </row>
    <row r="61" spans="2:77" ht="15" hidden="1" customHeight="1" outlineLevel="1">
      <c r="B61" s="1772"/>
      <c r="C61" s="1772"/>
      <c r="D61" s="2050" t="s">
        <v>1749</v>
      </c>
      <c r="E61" s="1789"/>
      <c r="F61" s="1789"/>
      <c r="G61" s="1789"/>
      <c r="H61" s="1789">
        <f>+H83/G83-1</f>
        <v>5.0253847374266192E-2</v>
      </c>
      <c r="I61" s="1789">
        <f t="shared" ref="I61:P61" si="215">+I83/H83-1</f>
        <v>5.1008975666251288E-2</v>
      </c>
      <c r="J61" s="1789">
        <f t="shared" si="215"/>
        <v>3.2219813388590035E-2</v>
      </c>
      <c r="K61" s="1789">
        <f t="shared" si="215"/>
        <v>4.3630118706413423E-2</v>
      </c>
      <c r="L61" s="1789">
        <f t="shared" si="215"/>
        <v>8.5391209597616147E-3</v>
      </c>
      <c r="M61" s="1790">
        <f t="shared" si="215"/>
        <v>4.2675868455576804E-2</v>
      </c>
      <c r="N61" s="1790">
        <f t="shared" si="215"/>
        <v>3.5261900230497689E-2</v>
      </c>
      <c r="O61" s="1790">
        <f t="shared" si="215"/>
        <v>3.3713602892363692E-2</v>
      </c>
      <c r="P61" s="1790">
        <f t="shared" si="215"/>
        <v>0.10656628529650058</v>
      </c>
      <c r="Q61" s="1790">
        <f t="shared" si="199"/>
        <v>1.8750000000000044E-2</v>
      </c>
      <c r="R61" s="1790">
        <f t="shared" si="199"/>
        <v>2.4539877300613577E-2</v>
      </c>
      <c r="S61" s="1790">
        <f t="shared" ref="S61:X61" si="216">+S83/R83-1</f>
        <v>3.0795551753635575E-2</v>
      </c>
      <c r="T61" s="1790">
        <f t="shared" si="216"/>
        <v>2.9875518672199064E-2</v>
      </c>
      <c r="U61" s="1790">
        <f t="shared" si="216"/>
        <v>3.3843674456083717E-2</v>
      </c>
      <c r="V61" s="1790">
        <f t="shared" si="216"/>
        <v>5.0662509742790407E-2</v>
      </c>
      <c r="W61" s="1790">
        <f t="shared" si="216"/>
        <v>2.8189910979228516E-2</v>
      </c>
      <c r="X61" s="1790">
        <f t="shared" si="216"/>
        <v>4.1847041847041799E-2</v>
      </c>
      <c r="Y61" s="1790">
        <f t="shared" si="201"/>
        <v>4.8476454293628901E-3</v>
      </c>
      <c r="Z61" s="1790">
        <f t="shared" si="201"/>
        <v>3.7904893177119314E-2</v>
      </c>
      <c r="AA61" s="1790">
        <f t="shared" ref="AA61:AC61" si="217">+AA83/Z83-1</f>
        <v>4.0504648074369154E-2</v>
      </c>
      <c r="AB61" s="1790">
        <f t="shared" si="217"/>
        <v>4.4671346522016542E-2</v>
      </c>
      <c r="AC61" s="1790">
        <f t="shared" si="217"/>
        <v>4.5815516188149052E-2</v>
      </c>
      <c r="AD61" s="1790">
        <f t="shared" si="203"/>
        <v>3.2710280373831724E-2</v>
      </c>
      <c r="AE61" s="1790">
        <f t="shared" si="204"/>
        <v>3.4502262443439013E-2</v>
      </c>
      <c r="AF61" s="1790">
        <f t="shared" si="205"/>
        <v>3.0071077091306631E-2</v>
      </c>
      <c r="AG61" s="1790">
        <f t="shared" si="206"/>
        <v>0.22186836518046715</v>
      </c>
      <c r="AH61" s="1790">
        <f t="shared" si="207"/>
        <v>3.0842745438748986E-2</v>
      </c>
      <c r="AI61" s="1790">
        <f t="shared" si="208"/>
        <v>2.1491782553729522E-2</v>
      </c>
      <c r="AJ61" s="1933">
        <f t="shared" si="209"/>
        <v>2.3514851485148425E-2</v>
      </c>
      <c r="AK61" s="1933">
        <v>3.5515507578544936E-2</v>
      </c>
      <c r="AL61" s="1906">
        <f>+AL83/AJ83-1</f>
        <v>1.6525594518339348E-2</v>
      </c>
      <c r="AM61" s="1778" t="e">
        <f>#N/A</f>
        <v>#N/A</v>
      </c>
      <c r="AN61" s="1791"/>
      <c r="AO61" s="1808"/>
      <c r="AP61" s="2408"/>
      <c r="AQ61" s="2411"/>
      <c r="AS61" s="1867"/>
      <c r="AW61" s="2099" t="s">
        <v>2682</v>
      </c>
      <c r="BD61"/>
      <c r="BH61" s="2033"/>
      <c r="BI61" s="1831"/>
      <c r="BJ61" s="1831"/>
      <c r="BO61" s="1888"/>
      <c r="BP61" s="1888"/>
      <c r="BQ61" s="1868" t="s">
        <v>1742</v>
      </c>
      <c r="BR61" s="1834">
        <v>0.26486988847583642</v>
      </c>
      <c r="BS61" s="1876">
        <v>0.3546099290780142</v>
      </c>
      <c r="BU61" s="1805" t="str">
        <f t="shared" si="210"/>
        <v>Ongoing</v>
      </c>
      <c r="BV61" s="1871">
        <f t="shared" si="211"/>
        <v>50</v>
      </c>
      <c r="BW61" s="1873"/>
      <c r="BX61" s="1871">
        <f>BN220</f>
        <v>40.793000000000006</v>
      </c>
      <c r="BY61" s="1976">
        <f>BO226</f>
        <v>0.22570048782879404</v>
      </c>
    </row>
    <row r="62" spans="2:77" ht="15" customHeight="1" collapsed="1">
      <c r="B62" s="1772"/>
      <c r="C62" s="1772"/>
      <c r="D62" s="2132" t="s">
        <v>662</v>
      </c>
      <c r="E62" s="1845"/>
      <c r="F62" s="1846">
        <f>Rev!BT813</f>
        <v>2.1999999999999999E-2</v>
      </c>
      <c r="G62" s="1846">
        <f>Rev!BU813</f>
        <v>2.4E-2</v>
      </c>
      <c r="H62" s="1846">
        <f>Rev!BV813</f>
        <v>2.7E-2</v>
      </c>
      <c r="I62" s="1846">
        <f>Rev!BW813</f>
        <v>2.5000000000000001E-2</v>
      </c>
      <c r="J62" s="1846">
        <f>Rev!BX813</f>
        <v>2.4E-2</v>
      </c>
      <c r="K62" s="1846">
        <f>Rev!BY813</f>
        <v>1.6E-2</v>
      </c>
      <c r="L62" s="1846">
        <f>Rev!BZ813</f>
        <v>0.02</v>
      </c>
      <c r="M62" s="1847">
        <f>Rev!CA813</f>
        <v>2.1999999999999999E-2</v>
      </c>
      <c r="N62" s="1847">
        <f>Rev!CB813</f>
        <v>2.4E-2</v>
      </c>
      <c r="O62" s="1847">
        <f>Rev!CC813</f>
        <v>3.2000000000000001E-2</v>
      </c>
      <c r="P62" s="1847">
        <f>Rev!CD813</f>
        <v>2.9000000000000001E-2</v>
      </c>
      <c r="Q62" s="1847">
        <f>Rev!CE813</f>
        <v>0.03</v>
      </c>
      <c r="R62" s="1847">
        <f>Rev!CF813</f>
        <v>3.6999999999999998E-2</v>
      </c>
      <c r="S62" s="1847">
        <f>Rev!CG813</f>
        <v>2.4E-2</v>
      </c>
      <c r="T62" s="1847">
        <f>Rev!CH813</f>
        <v>2.5000000000000001E-2</v>
      </c>
      <c r="U62" s="1847">
        <f>Rev!CI813</f>
        <v>2.3E-2</v>
      </c>
      <c r="V62" s="1847">
        <f>Rev!CJ813</f>
        <v>2.3E-2</v>
      </c>
      <c r="W62" s="1847">
        <f>Rev!CK813</f>
        <v>2.8000000000000001E-2</v>
      </c>
      <c r="X62" s="1847">
        <f>Rev!CL813</f>
        <v>0.02</v>
      </c>
      <c r="Y62" s="1847">
        <f>Rev!CM813</f>
        <v>0.02</v>
      </c>
      <c r="Z62" s="1847">
        <f>Rev!CN813</f>
        <v>0.02</v>
      </c>
      <c r="AA62" s="1847">
        <f>Rev!CO813</f>
        <v>1.7999999999999999E-2</v>
      </c>
      <c r="AB62" s="1847">
        <f>Rev!CP813</f>
        <v>0.02</v>
      </c>
      <c r="AC62" s="1847">
        <f>Rev!CQ813</f>
        <v>2.3E-2</v>
      </c>
      <c r="AD62" s="1847">
        <f>Rev!CR813</f>
        <v>2.1999999999999999E-2</v>
      </c>
      <c r="AE62" s="1847">
        <f>Rev!CS813</f>
        <v>1.7999999999999999E-2</v>
      </c>
      <c r="AF62" s="1847">
        <f>Rev!CT813</f>
        <v>0.02</v>
      </c>
      <c r="AG62" s="1847">
        <f>Rev!CU813</f>
        <v>2.4E-2</v>
      </c>
      <c r="AH62" s="1847">
        <f>Rev!CV813</f>
        <v>2.8000000000000001E-2</v>
      </c>
      <c r="AI62" s="1847">
        <f>Rev!CW813</f>
        <v>2.4E-2</v>
      </c>
      <c r="AJ62" s="1937">
        <f>Rev!CX813</f>
        <v>2.3E-2</v>
      </c>
      <c r="AK62" s="1937">
        <v>2.1999999999999999E-2</v>
      </c>
      <c r="AL62" s="1849">
        <v>2.1999999999999999E-2</v>
      </c>
      <c r="AM62" s="1848">
        <f>0+((AK62-AL62)*10000)</f>
        <v>0</v>
      </c>
      <c r="AN62" s="1849"/>
      <c r="AO62" s="1848"/>
      <c r="AP62" s="1884" t="s">
        <v>752</v>
      </c>
      <c r="AQ62" s="1889"/>
      <c r="AS62" s="1867"/>
      <c r="BD62"/>
      <c r="BG62" s="1833" t="s">
        <v>1746</v>
      </c>
      <c r="BH62" s="1902" t="s">
        <v>2636</v>
      </c>
      <c r="BI62" s="1903"/>
      <c r="BJ62" s="1903"/>
      <c r="BK62" s="1903"/>
      <c r="BO62" s="1888"/>
      <c r="BP62" s="1888"/>
      <c r="BQ62" s="1805" t="s">
        <v>424</v>
      </c>
      <c r="BR62" s="1830" t="s">
        <v>1166</v>
      </c>
      <c r="BS62" s="1871" t="s">
        <v>1351</v>
      </c>
      <c r="BU62" s="1805" t="str">
        <f t="shared" si="210"/>
        <v>Adjusted EBITDA</v>
      </c>
      <c r="BV62" s="1871" t="str">
        <f t="shared" si="211"/>
        <v>$255 - $259</v>
      </c>
      <c r="BW62" s="1874">
        <f>BM256</f>
        <v>93.242000000000004</v>
      </c>
      <c r="BX62" s="1871" t="str">
        <f>BN221</f>
        <v>$257 - $266</v>
      </c>
      <c r="BY62" s="1976">
        <f>BO227</f>
        <v>-1.7208413001912004E-2</v>
      </c>
    </row>
    <row r="63" spans="2:77" ht="15" customHeight="1">
      <c r="B63" s="1755"/>
      <c r="C63" s="1756"/>
      <c r="D63" s="2048" t="s">
        <v>1737</v>
      </c>
      <c r="E63" s="1766"/>
      <c r="F63" s="1766"/>
      <c r="G63" s="1766"/>
      <c r="H63" s="1766"/>
      <c r="I63" s="1766"/>
      <c r="J63" s="1766"/>
      <c r="K63" s="1766"/>
      <c r="L63" s="1766"/>
      <c r="M63" s="1767"/>
      <c r="N63" s="1767"/>
      <c r="O63" s="1767"/>
      <c r="P63" s="1767"/>
      <c r="Q63" s="1767"/>
      <c r="R63" s="1767"/>
      <c r="S63" s="1767"/>
      <c r="T63" s="1767"/>
      <c r="U63" s="1767"/>
      <c r="V63" s="1767"/>
      <c r="W63" s="1767"/>
      <c r="X63" s="1767"/>
      <c r="Y63" s="1767"/>
      <c r="Z63" s="1767"/>
      <c r="AA63" s="1767"/>
      <c r="AB63" s="1767"/>
      <c r="AC63" s="1767"/>
      <c r="AD63" s="1767"/>
      <c r="AE63" s="1767"/>
      <c r="AF63" s="1767"/>
      <c r="AG63" s="1767"/>
      <c r="AH63" s="1767"/>
      <c r="AI63" s="1767"/>
      <c r="AJ63" s="1927"/>
      <c r="AK63" s="1927"/>
      <c r="AL63" s="1767"/>
      <c r="AM63" s="1769"/>
      <c r="AN63" s="1768"/>
      <c r="AO63" s="1769"/>
      <c r="AP63" s="2115"/>
      <c r="AQ63" s="1771"/>
      <c r="AV63" s="2106" t="s">
        <v>2635</v>
      </c>
      <c r="AW63" s="2099" t="s">
        <v>2647</v>
      </c>
      <c r="BD63"/>
      <c r="BH63" s="1805"/>
      <c r="BI63" s="1809" t="s">
        <v>1740</v>
      </c>
      <c r="BJ63" s="1865" t="s">
        <v>240</v>
      </c>
      <c r="BK63" s="1865" t="s">
        <v>442</v>
      </c>
      <c r="BO63" s="1888"/>
      <c r="BP63" s="1888"/>
      <c r="BQ63" s="1805" t="s">
        <v>425</v>
      </c>
      <c r="BR63" s="1830">
        <v>165</v>
      </c>
      <c r="BS63" s="1879">
        <v>50</v>
      </c>
      <c r="BU63" s="1868" t="str">
        <f t="shared" si="210"/>
        <v>% margin (implied)</v>
      </c>
      <c r="BV63" s="1876">
        <f t="shared" si="211"/>
        <v>1.2849999999999999</v>
      </c>
      <c r="BW63" s="1840">
        <f>BM257</f>
        <v>0.46</v>
      </c>
      <c r="BX63" s="1876">
        <f>BN222</f>
        <v>0.47117117117117119</v>
      </c>
      <c r="BY63" s="1873"/>
    </row>
    <row r="64" spans="2:77" ht="15" customHeight="1">
      <c r="B64" s="1772"/>
      <c r="C64" s="1772"/>
      <c r="D64" s="2130" t="s">
        <v>1389</v>
      </c>
      <c r="E64" s="1789"/>
      <c r="F64" s="1789"/>
      <c r="G64" s="1802"/>
      <c r="H64" s="1802"/>
      <c r="I64" s="1802"/>
      <c r="J64" s="1802"/>
      <c r="K64" s="1802"/>
      <c r="L64" s="1802"/>
      <c r="M64" s="1803"/>
      <c r="N64" s="1803"/>
      <c r="O64" s="1803"/>
      <c r="P64" s="1803"/>
      <c r="Q64" s="1803"/>
      <c r="R64" s="1803"/>
      <c r="S64" s="1803"/>
      <c r="T64" s="1803"/>
      <c r="U64" s="1803"/>
      <c r="V64" s="1803"/>
      <c r="W64" s="1803"/>
      <c r="X64" s="1803"/>
      <c r="Y64" s="1803"/>
      <c r="Z64" s="1803"/>
      <c r="AA64" s="1803"/>
      <c r="AB64" s="1803"/>
      <c r="AC64" s="1803"/>
      <c r="AD64" s="1803"/>
      <c r="AE64" s="1803"/>
      <c r="AF64" s="1803"/>
      <c r="AG64" s="1803"/>
      <c r="AH64" s="1803"/>
      <c r="AI64" s="1803"/>
      <c r="AJ64" s="1935"/>
      <c r="AK64" s="1935"/>
      <c r="AL64" s="1819"/>
      <c r="AM64" s="1801"/>
      <c r="AN64" s="1816"/>
      <c r="AO64" s="1801"/>
      <c r="AP64" s="1885"/>
      <c r="AQ64" s="1773"/>
      <c r="AW64" s="2099" t="s">
        <v>2648</v>
      </c>
      <c r="BD64"/>
      <c r="BG64" s="2012">
        <v>979</v>
      </c>
      <c r="BH64" s="2097" t="s">
        <v>1743</v>
      </c>
      <c r="BI64" s="1871" t="s">
        <v>2639</v>
      </c>
      <c r="BJ64" s="1873">
        <f>+IS!DO15</f>
        <v>1066.421</v>
      </c>
      <c r="BK64" s="1874">
        <v>1060.4000000000001</v>
      </c>
      <c r="BO64" s="1888"/>
      <c r="BP64" s="1888"/>
      <c r="BQ64" s="1825" t="s">
        <v>554</v>
      </c>
      <c r="BR64" s="1826"/>
      <c r="BS64" s="1887"/>
      <c r="BU64" s="1805" t="str">
        <f t="shared" si="210"/>
        <v>Total Capex</v>
      </c>
      <c r="BV64" s="1871" t="str">
        <f t="shared" si="211"/>
        <v>$190 - $210</v>
      </c>
      <c r="BW64" s="1874">
        <f>BM258</f>
        <v>202.7</v>
      </c>
      <c r="BX64" s="1871" t="str">
        <f>BN223</f>
        <v>$177 - $247</v>
      </c>
      <c r="BY64" s="1976">
        <f>BO229</f>
        <v>-5.6603773584905648E-2</v>
      </c>
    </row>
    <row r="65" spans="2:77" ht="15" customHeight="1">
      <c r="B65" s="1772"/>
      <c r="C65" s="1772"/>
      <c r="D65" s="2050" t="s">
        <v>161</v>
      </c>
      <c r="E65" s="1789"/>
      <c r="F65" s="1806"/>
      <c r="G65" s="1820">
        <f>Rev!BU274</f>
        <v>2051</v>
      </c>
      <c r="H65" s="1820">
        <f>Rev!BV274</f>
        <v>2059</v>
      </c>
      <c r="I65" s="1820">
        <f>Rev!BW274</f>
        <v>2056</v>
      </c>
      <c r="J65" s="1820">
        <f>Rev!BX274</f>
        <v>2080</v>
      </c>
      <c r="K65" s="1820">
        <f>Rev!BY274</f>
        <v>2100</v>
      </c>
      <c r="L65" s="1820">
        <f>Rev!BZ274</f>
        <v>2141</v>
      </c>
      <c r="M65" s="1821">
        <f>Rev!CA274</f>
        <v>2166</v>
      </c>
      <c r="N65" s="1821">
        <f>Rev!CB274</f>
        <v>2207</v>
      </c>
      <c r="O65" s="1821">
        <f>Rev!CC274</f>
        <v>2212</v>
      </c>
      <c r="P65" s="1821">
        <f>Rev!CD274</f>
        <v>2232</v>
      </c>
      <c r="Q65" s="1821">
        <f>Rev!CE274</f>
        <v>2248</v>
      </c>
      <c r="R65" s="1821">
        <f>Rev!CF274</f>
        <v>2223</v>
      </c>
      <c r="S65" s="1821">
        <f>Rev!CG274</f>
        <v>2225</v>
      </c>
      <c r="T65" s="1821">
        <f>Rev!CH274</f>
        <v>2262</v>
      </c>
      <c r="U65" s="1821">
        <f>Rev!CI274</f>
        <v>2262</v>
      </c>
      <c r="V65" s="1821">
        <f>Rev!CJ274</f>
        <v>2354</v>
      </c>
      <c r="W65" s="1821">
        <f>Rev!CK274</f>
        <v>2378</v>
      </c>
      <c r="X65" s="1821">
        <f>Rev!CL274</f>
        <v>2403</v>
      </c>
      <c r="Y65" s="1821">
        <f>Rev!CM274</f>
        <v>2438</v>
      </c>
      <c r="Z65" s="1821">
        <f>Rev!CN274</f>
        <v>2450</v>
      </c>
      <c r="AA65" s="1821">
        <f>Rev!CO274</f>
        <v>2450</v>
      </c>
      <c r="AB65" s="1821">
        <f>Rev!CP274</f>
        <v>2454</v>
      </c>
      <c r="AC65" s="1821">
        <f>Rev!CQ274</f>
        <v>2460</v>
      </c>
      <c r="AD65" s="1821">
        <f>Rev!CR274</f>
        <v>2482</v>
      </c>
      <c r="AE65" s="1821">
        <f>Rev!CS274</f>
        <v>2518</v>
      </c>
      <c r="AF65" s="1821">
        <f>Rev!CT274</f>
        <v>2524</v>
      </c>
      <c r="AG65" s="1821">
        <f>Rev!CU274</f>
        <v>2546</v>
      </c>
      <c r="AH65" s="1821">
        <f>Rev!CV274</f>
        <v>2567</v>
      </c>
      <c r="AI65" s="1821">
        <f>Rev!CW274</f>
        <v>2578</v>
      </c>
      <c r="AJ65" s="1938">
        <f>Rev!CX274</f>
        <v>2580</v>
      </c>
      <c r="AK65" s="1938">
        <v>2599.3500000000004</v>
      </c>
      <c r="AL65" s="1946">
        <v>2579</v>
      </c>
      <c r="AM65" s="1801">
        <f>AL65-AK65</f>
        <v>-20.350000000000364</v>
      </c>
      <c r="AN65" s="2181"/>
      <c r="AO65" s="1808"/>
      <c r="AP65" s="2117"/>
      <c r="AQ65" s="1860"/>
      <c r="AW65" s="2099" t="s">
        <v>2650</v>
      </c>
      <c r="BD65"/>
      <c r="BH65" s="1774" t="s">
        <v>95</v>
      </c>
      <c r="BI65" s="1976">
        <f>+BG64/AL11-1</f>
        <v>-0.18431688830640358</v>
      </c>
      <c r="BJ65" s="2119">
        <f>+BJ64/AL11-1</f>
        <v>-0.11147946919775609</v>
      </c>
      <c r="BK65" s="1975">
        <f>+BK64/AL11-1</f>
        <v>-0.11649604531165503</v>
      </c>
      <c r="BO65" s="1888"/>
      <c r="BP65" s="1888"/>
      <c r="BQ65" s="1824" t="s">
        <v>557</v>
      </c>
      <c r="BR65" s="1810"/>
      <c r="BU65" s="1868" t="str">
        <f>BH305</f>
        <v>% of revenue</v>
      </c>
      <c r="BV65" s="1876">
        <f>BK305</f>
        <v>0.35650623885918004</v>
      </c>
      <c r="BW65" s="1840">
        <f>BM253</f>
        <v>0.35977990770323037</v>
      </c>
      <c r="BX65" s="1876">
        <f>BN218</f>
        <v>0.38198198198198197</v>
      </c>
      <c r="BY65" s="1873"/>
    </row>
    <row r="66" spans="2:77" ht="15" customHeight="1">
      <c r="B66" s="1772"/>
      <c r="C66" s="1772"/>
      <c r="D66" s="2050" t="s">
        <v>1372</v>
      </c>
      <c r="E66" s="1789"/>
      <c r="F66" s="1806"/>
      <c r="G66" s="1806">
        <f>Rev!BU167</f>
        <v>41100</v>
      </c>
      <c r="H66" s="1806">
        <f>Rev!BV167</f>
        <v>42800</v>
      </c>
      <c r="I66" s="1806">
        <f>Rev!BW167</f>
        <v>44300</v>
      </c>
      <c r="J66" s="1806">
        <f>Rev!BX167</f>
        <v>45900</v>
      </c>
      <c r="K66" s="1806">
        <f>Rev!BY167</f>
        <v>45900</v>
      </c>
      <c r="L66" s="1806">
        <f>Rev!BZ167</f>
        <v>43700</v>
      </c>
      <c r="M66" s="1807">
        <f>Rev!CA167</f>
        <v>45100</v>
      </c>
      <c r="N66" s="1807">
        <f>Rev!CB167</f>
        <v>45900</v>
      </c>
      <c r="O66" s="1807">
        <f>Rev!CC167</f>
        <v>46600</v>
      </c>
      <c r="P66" s="1807">
        <f>Rev!CD167</f>
        <v>49200</v>
      </c>
      <c r="Q66" s="1807">
        <f>Rev!CE167</f>
        <v>49900</v>
      </c>
      <c r="R66" s="1807">
        <f>Rev!CF167</f>
        <v>51800</v>
      </c>
      <c r="S66" s="1807">
        <f>Rev!CG167</f>
        <v>51900</v>
      </c>
      <c r="T66" s="1807">
        <f>Rev!CH167</f>
        <v>52800</v>
      </c>
      <c r="U66" s="1807">
        <f>Rev!CI167</f>
        <v>53200</v>
      </c>
      <c r="V66" s="1807">
        <f>Rev!CJ167</f>
        <v>56100</v>
      </c>
      <c r="W66" s="1807">
        <f>Rev!CK167</f>
        <v>56600</v>
      </c>
      <c r="X66" s="1807">
        <f>Rev!CL167</f>
        <v>57500</v>
      </c>
      <c r="Y66" s="1807">
        <f>Rev!CM167</f>
        <v>57500</v>
      </c>
      <c r="Z66" s="1807">
        <f>Rev!CN167</f>
        <v>59000</v>
      </c>
      <c r="AA66" s="1807">
        <f>Rev!CO167</f>
        <v>59800</v>
      </c>
      <c r="AB66" s="1807">
        <f>Rev!CP167</f>
        <v>61000</v>
      </c>
      <c r="AC66" s="1807">
        <f>Rev!CQ167</f>
        <v>62600</v>
      </c>
      <c r="AD66" s="1807">
        <f>Rev!CR167</f>
        <v>63200</v>
      </c>
      <c r="AE66" s="1807">
        <f>Rev!CS167</f>
        <v>63400</v>
      </c>
      <c r="AF66" s="1807">
        <f>Rev!CT167</f>
        <v>63400</v>
      </c>
      <c r="AG66" s="1807">
        <f>Rev!CU167</f>
        <v>65100</v>
      </c>
      <c r="AH66" s="1807">
        <f>Rev!CV167</f>
        <v>66700</v>
      </c>
      <c r="AI66" s="1807">
        <f>Rev!CW167</f>
        <v>67300</v>
      </c>
      <c r="AJ66" s="1939">
        <f>Rev!CX167</f>
        <v>69600</v>
      </c>
      <c r="AK66" s="1939">
        <v>69850</v>
      </c>
      <c r="AL66" s="1947">
        <v>70200</v>
      </c>
      <c r="AM66" s="1808">
        <f>AL66-AK66</f>
        <v>350</v>
      </c>
      <c r="AN66" s="2182"/>
      <c r="AO66" s="1808"/>
      <c r="AP66" s="2117"/>
      <c r="AQ66" s="1860"/>
      <c r="AW66" s="2099" t="s">
        <v>2655</v>
      </c>
      <c r="BD66"/>
      <c r="BH66" s="1805" t="s">
        <v>1348</v>
      </c>
      <c r="BI66" s="1871" t="s">
        <v>2600</v>
      </c>
      <c r="BJ66" s="1880">
        <f>+IS!DO20</f>
        <v>0.67698591831931287</v>
      </c>
      <c r="BK66" s="1881">
        <v>0.66769999999999996</v>
      </c>
      <c r="BN66" s="1888"/>
      <c r="BO66" s="1888"/>
      <c r="BP66" s="1888"/>
      <c r="BQ66" s="1824" t="s">
        <v>555</v>
      </c>
      <c r="BU66" s="1805" t="str">
        <f>BH306</f>
        <v>Expansion</v>
      </c>
      <c r="BV66" s="1871" t="str">
        <f>BK306</f>
        <v>$140 - $160</v>
      </c>
      <c r="BW66" s="1873"/>
      <c r="BX66" s="1871" t="str">
        <f>BN219</f>
        <v>$136 - $206</v>
      </c>
      <c r="BY66" s="1976">
        <f>BO225</f>
        <v>-0.1228070175438597</v>
      </c>
    </row>
    <row r="67" spans="2:77" ht="15" customHeight="1">
      <c r="B67" s="1772"/>
      <c r="C67" s="1772"/>
      <c r="D67" s="2050" t="s">
        <v>1356</v>
      </c>
      <c r="E67" s="1789"/>
      <c r="F67" s="1806"/>
      <c r="G67" s="1806">
        <f>Rev!BU249</f>
        <v>33300</v>
      </c>
      <c r="H67" s="1806">
        <f>Rev!BV249</f>
        <v>33900</v>
      </c>
      <c r="I67" s="1806">
        <f>Rev!BW249</f>
        <v>34800</v>
      </c>
      <c r="J67" s="1806">
        <f>Rev!BX249</f>
        <v>36800</v>
      </c>
      <c r="K67" s="1806">
        <f>Rev!BY249</f>
        <v>37300</v>
      </c>
      <c r="L67" s="1806">
        <f>Rev!BZ249</f>
        <v>37000</v>
      </c>
      <c r="M67" s="1807">
        <f>Rev!CA249</f>
        <v>37500</v>
      </c>
      <c r="N67" s="1807">
        <f>Rev!CB249</f>
        <v>38400</v>
      </c>
      <c r="O67" s="1807">
        <f>Rev!CC249</f>
        <v>39400</v>
      </c>
      <c r="P67" s="1807">
        <f>Rev!CD249</f>
        <v>39200</v>
      </c>
      <c r="Q67" s="1807">
        <f>Rev!CE249</f>
        <v>40600</v>
      </c>
      <c r="R67" s="1807">
        <f>Rev!CF249</f>
        <v>41900</v>
      </c>
      <c r="S67" s="1807">
        <f>Rev!CG249</f>
        <v>41800</v>
      </c>
      <c r="T67" s="1807">
        <f>Rev!CH249</f>
        <v>42600</v>
      </c>
      <c r="U67" s="1807">
        <f>Rev!CI249</f>
        <v>43400</v>
      </c>
      <c r="V67" s="1807">
        <f>Rev!CJ249</f>
        <v>43100</v>
      </c>
      <c r="W67" s="1807">
        <f>Rev!CK249</f>
        <v>43200</v>
      </c>
      <c r="X67" s="1807">
        <f>Rev!CL249</f>
        <v>44900</v>
      </c>
      <c r="Y67" s="1807">
        <f>Rev!CM249</f>
        <v>45400</v>
      </c>
      <c r="Z67" s="1807">
        <f>Rev!CN249</f>
        <v>46600</v>
      </c>
      <c r="AA67" s="1807">
        <f>Rev!CO249</f>
        <v>47700</v>
      </c>
      <c r="AB67" s="1807">
        <f>Rev!CP249</f>
        <v>49200</v>
      </c>
      <c r="AC67" s="1807">
        <f>Rev!CQ249</f>
        <v>50600</v>
      </c>
      <c r="AD67" s="1807">
        <f>Rev!CR249</f>
        <v>50900</v>
      </c>
      <c r="AE67" s="1807">
        <f>Rev!CS249</f>
        <v>52000</v>
      </c>
      <c r="AF67" s="1807">
        <f>Rev!CT249</f>
        <v>52800</v>
      </c>
      <c r="AG67" s="1807">
        <f>Rev!CU249</f>
        <v>53500</v>
      </c>
      <c r="AH67" s="1807">
        <f>Rev!CV249</f>
        <v>53300</v>
      </c>
      <c r="AI67" s="1807">
        <f>Rev!CW249</f>
        <v>53700</v>
      </c>
      <c r="AJ67" s="1939">
        <f>Rev!CX249</f>
        <v>54700</v>
      </c>
      <c r="AK67" s="1939">
        <v>56229.25</v>
      </c>
      <c r="AL67" s="1947">
        <v>56100</v>
      </c>
      <c r="AM67" s="1808">
        <f>AL67-AK67</f>
        <v>-129.25</v>
      </c>
      <c r="AN67" s="2182">
        <v>58500</v>
      </c>
      <c r="AO67" s="1808">
        <f>AN67-AK67</f>
        <v>2270.75</v>
      </c>
      <c r="AP67" s="2117"/>
      <c r="AQ67" s="1860"/>
      <c r="AW67" s="2099" t="s">
        <v>2652</v>
      </c>
      <c r="BD67"/>
      <c r="BH67" s="1805" t="s">
        <v>1539</v>
      </c>
      <c r="BI67" s="1879" t="s">
        <v>2640</v>
      </c>
      <c r="BJ67" s="1873">
        <f>+IS!DO24</f>
        <v>212.64400000000001</v>
      </c>
      <c r="BK67" s="1873"/>
      <c r="BO67" s="1888"/>
      <c r="BP67" s="1888"/>
      <c r="BQ67" s="1824" t="s">
        <v>558</v>
      </c>
      <c r="BU67" s="1805" t="str">
        <f>BH307</f>
        <v>Ongoing</v>
      </c>
      <c r="BV67" s="1879">
        <f>BK307</f>
        <v>50</v>
      </c>
      <c r="BW67" s="1872"/>
      <c r="BX67" s="1879">
        <f>BN220</f>
        <v>40.793000000000006</v>
      </c>
      <c r="BY67" s="1976">
        <f>BO226</f>
        <v>0.22570048782879404</v>
      </c>
    </row>
    <row r="68" spans="2:77" ht="15" customHeight="1">
      <c r="B68" s="1772"/>
      <c r="C68" s="1772"/>
      <c r="D68" s="2050" t="s">
        <v>1705</v>
      </c>
      <c r="E68" s="1789"/>
      <c r="F68" s="1806"/>
      <c r="G68" s="1806">
        <f>Rev!BU376</f>
        <v>50764</v>
      </c>
      <c r="H68" s="1806">
        <f>Rev!BV376</f>
        <v>52723</v>
      </c>
      <c r="I68" s="1806">
        <f>Rev!BW376</f>
        <v>54800</v>
      </c>
      <c r="J68" s="1806">
        <f>Rev!BX376</f>
        <v>56327</v>
      </c>
      <c r="K68" s="1806">
        <f>Rev!BY376</f>
        <v>58424</v>
      </c>
      <c r="L68" s="1806">
        <f>Rev!BZ376</f>
        <v>57200</v>
      </c>
      <c r="M68" s="1807">
        <f>Rev!CA376</f>
        <v>58800</v>
      </c>
      <c r="N68" s="1807">
        <f>Rev!CB376</f>
        <v>60400</v>
      </c>
      <c r="O68" s="1807">
        <f>Rev!CC376</f>
        <v>62200</v>
      </c>
      <c r="P68" s="1807">
        <f>Rev!CD376</f>
        <v>63700</v>
      </c>
      <c r="Q68" s="1807">
        <f>Rev!CE376</f>
        <v>64500</v>
      </c>
      <c r="R68" s="1807">
        <f>Rev!CF376</f>
        <v>65800</v>
      </c>
      <c r="S68" s="1807">
        <f>Rev!CG376</f>
        <v>67400</v>
      </c>
      <c r="T68" s="1807">
        <f>Rev!CH376</f>
        <v>68800</v>
      </c>
      <c r="U68" s="1807">
        <f>Rev!CI376</f>
        <v>70300</v>
      </c>
      <c r="V68" s="1807">
        <f>Rev!CJ376</f>
        <v>74000</v>
      </c>
      <c r="W68" s="1807">
        <f>Rev!CK376</f>
        <v>75600</v>
      </c>
      <c r="X68" s="1807">
        <f>Rev!CL376</f>
        <v>78300</v>
      </c>
      <c r="Y68" s="1807">
        <f>Rev!CM376</f>
        <v>81900</v>
      </c>
      <c r="Z68" s="1807">
        <f>Rev!CN376</f>
        <v>83700</v>
      </c>
      <c r="AA68" s="1807">
        <f>Rev!CO376</f>
        <v>86300</v>
      </c>
      <c r="AB68" s="1807">
        <f>Rev!CP376</f>
        <v>89800</v>
      </c>
      <c r="AC68" s="1807">
        <f>Rev!CQ376</f>
        <v>93800</v>
      </c>
      <c r="AD68" s="1807">
        <f>Rev!CR376</f>
        <v>97700</v>
      </c>
      <c r="AE68" s="1807">
        <f>Rev!CS376</f>
        <v>101200</v>
      </c>
      <c r="AF68" s="1807">
        <f>Rev!CT376</f>
        <v>104200</v>
      </c>
      <c r="AG68" s="1807">
        <f>Rev!CU376</f>
        <v>106300</v>
      </c>
      <c r="AH68" s="1807">
        <f>Rev!CV376</f>
        <v>109700</v>
      </c>
      <c r="AI68" s="1807">
        <f>Rev!CW376</f>
        <v>111400</v>
      </c>
      <c r="AJ68" s="1939">
        <f>Rev!CX376</f>
        <v>113300</v>
      </c>
      <c r="AK68" s="1939">
        <v>117101.03893967095</v>
      </c>
      <c r="AL68" s="1947">
        <v>113300</v>
      </c>
      <c r="AM68" s="1808">
        <f>AL68-AK68</f>
        <v>-3801.0389396709506</v>
      </c>
      <c r="AN68" s="2182"/>
      <c r="AO68" s="1808"/>
      <c r="AP68" s="2117"/>
      <c r="AQ68" s="1860"/>
      <c r="AW68" s="2099" t="s">
        <v>2653</v>
      </c>
      <c r="BD68"/>
      <c r="BG68" s="2012">
        <v>450</v>
      </c>
      <c r="BH68" s="2097" t="s">
        <v>400</v>
      </c>
      <c r="BI68" s="1871" t="s">
        <v>2641</v>
      </c>
      <c r="BJ68" s="1873">
        <f>+IS!DO37</f>
        <v>509.30799999999999</v>
      </c>
      <c r="BK68" s="1874">
        <v>497.45</v>
      </c>
      <c r="BO68" s="1888"/>
      <c r="BP68" s="1888"/>
      <c r="BQ68" s="1824" t="s">
        <v>399</v>
      </c>
      <c r="BU68" s="1825" t="str">
        <f t="shared" si="163"/>
        <v>1. 3Q13 revised guidance includes $8M tailwind from FX compared to 2Q13 guidance rates</v>
      </c>
      <c r="BV68" s="1826"/>
      <c r="BW68" s="1815"/>
      <c r="BX68" s="1893"/>
      <c r="BY68" s="1827"/>
    </row>
    <row r="69" spans="2:77" ht="15" customHeight="1">
      <c r="B69" s="1772"/>
      <c r="C69" s="1772"/>
      <c r="D69" s="2130" t="s">
        <v>1390</v>
      </c>
      <c r="E69" s="1789"/>
      <c r="F69" s="1789"/>
      <c r="G69" s="1802"/>
      <c r="H69" s="1802"/>
      <c r="I69" s="1802"/>
      <c r="J69" s="1802"/>
      <c r="K69" s="1802"/>
      <c r="L69" s="1802"/>
      <c r="M69" s="1803"/>
      <c r="N69" s="1803"/>
      <c r="O69" s="1803"/>
      <c r="P69" s="1803"/>
      <c r="Q69" s="1803"/>
      <c r="R69" s="1803"/>
      <c r="S69" s="1803"/>
      <c r="T69" s="1803"/>
      <c r="U69" s="1803"/>
      <c r="V69" s="1803"/>
      <c r="W69" s="1803"/>
      <c r="X69" s="1803"/>
      <c r="Y69" s="1803"/>
      <c r="Z69" s="1803"/>
      <c r="AA69" s="1803"/>
      <c r="AB69" s="1803"/>
      <c r="AC69" s="1803"/>
      <c r="AD69" s="1803"/>
      <c r="AE69" s="1803"/>
      <c r="AF69" s="1803"/>
      <c r="AG69" s="1803"/>
      <c r="AH69" s="1803"/>
      <c r="AI69" s="1803"/>
      <c r="AJ69" s="1935"/>
      <c r="AK69" s="1935"/>
      <c r="AL69" s="1819"/>
      <c r="AM69" s="1801"/>
      <c r="AN69" s="2183"/>
      <c r="AO69" s="1801"/>
      <c r="AP69" s="1885"/>
      <c r="AQ69" s="1773"/>
      <c r="AW69" s="2099" t="s">
        <v>2654</v>
      </c>
      <c r="BD69"/>
      <c r="BG69" s="2013"/>
      <c r="BH69" s="2120" t="s">
        <v>1741</v>
      </c>
      <c r="BI69" s="2118">
        <f>+BG68/BG64</f>
        <v>0.45965270684371806</v>
      </c>
      <c r="BJ69" s="2119">
        <f>+BJ68/BJ64</f>
        <v>0.47758624408184008</v>
      </c>
      <c r="BK69" s="2119">
        <f>+BK68/BK64</f>
        <v>0.46911542814032436</v>
      </c>
      <c r="BO69" s="1888"/>
      <c r="BP69" s="1888"/>
      <c r="BQ69" s="1824" t="s">
        <v>559</v>
      </c>
      <c r="BU69" s="1824" t="str">
        <f t="shared" si="163"/>
        <v xml:space="preserve">2. 3Q13 revised guidance includes $3M tailwind from FX compared to 2Q13 guidance </v>
      </c>
      <c r="BV69" s="1810"/>
      <c r="BW69" s="1811"/>
      <c r="BX69" s="1949"/>
      <c r="BY69" s="1812"/>
    </row>
    <row r="70" spans="2:77" ht="15" customHeight="1">
      <c r="B70" s="1772"/>
      <c r="C70" s="1772"/>
      <c r="D70" s="2050" t="s">
        <v>161</v>
      </c>
      <c r="E70" s="1789"/>
      <c r="F70" s="1806">
        <f>Rev!BT634</f>
        <v>1138</v>
      </c>
      <c r="G70" s="1820">
        <f>Rev!BU634</f>
        <v>1084</v>
      </c>
      <c r="H70" s="1820">
        <f>Rev!BV634</f>
        <v>1116</v>
      </c>
      <c r="I70" s="1820">
        <f>Rev!BW634</f>
        <v>1151</v>
      </c>
      <c r="J70" s="1820">
        <f>Rev!BX634</f>
        <v>1164</v>
      </c>
      <c r="K70" s="1820">
        <f>Rev!BY634</f>
        <v>1205</v>
      </c>
      <c r="L70" s="1820">
        <f>Rev!BZ634</f>
        <v>1204</v>
      </c>
      <c r="M70" s="1821">
        <f>Rev!CA634</f>
        <v>1193</v>
      </c>
      <c r="N70" s="1821">
        <f>Rev!CB634</f>
        <v>1223</v>
      </c>
      <c r="O70" s="1821">
        <f>Rev!CC634</f>
        <v>1276</v>
      </c>
      <c r="P70" s="1821">
        <f>Rev!CD634</f>
        <v>1358</v>
      </c>
      <c r="Q70" s="1821">
        <f>Rev!CE634</f>
        <v>1385</v>
      </c>
      <c r="R70" s="1821">
        <f>Rev!CF634</f>
        <v>1401</v>
      </c>
      <c r="S70" s="1821">
        <f>Rev!CG634</f>
        <v>1432</v>
      </c>
      <c r="T70" s="1821">
        <f>Rev!CH634</f>
        <v>1465</v>
      </c>
      <c r="U70" s="1821">
        <f>Rev!CI634</f>
        <v>1551</v>
      </c>
      <c r="V70" s="1821">
        <f>Rev!CJ634</f>
        <v>1480</v>
      </c>
      <c r="W70" s="1821">
        <f>Rev!CK634</f>
        <v>1506</v>
      </c>
      <c r="X70" s="1821">
        <f>Rev!CL634</f>
        <v>1505</v>
      </c>
      <c r="Y70" s="1821">
        <f>Rev!CM634</f>
        <v>1495</v>
      </c>
      <c r="Z70" s="1821">
        <f>Rev!CN634</f>
        <v>1444</v>
      </c>
      <c r="AA70" s="1821">
        <f>Rev!CO634</f>
        <v>1456</v>
      </c>
      <c r="AB70" s="1821">
        <f>Rev!CP634</f>
        <v>1445</v>
      </c>
      <c r="AC70" s="1821">
        <f>Rev!CQ634</f>
        <v>1439</v>
      </c>
      <c r="AD70" s="1821">
        <f>Rev!CR634</f>
        <v>1401</v>
      </c>
      <c r="AE70" s="1821">
        <f>Rev!CS634</f>
        <v>1436</v>
      </c>
      <c r="AF70" s="1821">
        <f>Rev!CT634</f>
        <v>1433</v>
      </c>
      <c r="AG70" s="1821">
        <f>Rev!CU634</f>
        <v>1295</v>
      </c>
      <c r="AH70" s="1821">
        <f>Rev!CV634</f>
        <v>1312</v>
      </c>
      <c r="AI70" s="1821">
        <f>Rev!CW634</f>
        <v>1321</v>
      </c>
      <c r="AJ70" s="1938">
        <f>Rev!CX634</f>
        <v>1345</v>
      </c>
      <c r="AK70" s="1938">
        <v>1358.45</v>
      </c>
      <c r="AL70" s="1946">
        <v>1345</v>
      </c>
      <c r="AM70" s="1801">
        <f>AL70-AK70</f>
        <v>-13.450000000000045</v>
      </c>
      <c r="AN70" s="2181"/>
      <c r="AO70" s="1808"/>
      <c r="AP70" s="2117"/>
      <c r="AQ70" s="1860"/>
      <c r="BD70"/>
      <c r="BG70" s="2012">
        <v>341</v>
      </c>
      <c r="BH70" s="1805" t="s">
        <v>431</v>
      </c>
      <c r="BI70" s="1871" t="s">
        <v>2642</v>
      </c>
      <c r="BJ70" s="1873">
        <f>+BS!CW133</f>
        <v>348.572</v>
      </c>
      <c r="BK70" s="1874"/>
      <c r="BO70" s="1888"/>
      <c r="BP70" s="1888"/>
      <c r="BQ70" s="1824" t="s">
        <v>556</v>
      </c>
      <c r="BU70" s="1824" t="str">
        <f t="shared" si="163"/>
        <v>rates and $11M in professional fees related to REIT conversion</v>
      </c>
      <c r="BV70" s="1810"/>
      <c r="BW70" s="1811"/>
      <c r="BX70" s="1949"/>
      <c r="BY70" s="1812"/>
    </row>
    <row r="71" spans="2:77" ht="15" customHeight="1">
      <c r="B71" s="1772"/>
      <c r="C71" s="1772"/>
      <c r="D71" s="2050" t="s">
        <v>1372</v>
      </c>
      <c r="E71" s="1789"/>
      <c r="F71" s="1806">
        <f>Rev!BT565</f>
        <v>25200</v>
      </c>
      <c r="G71" s="1806">
        <f>Rev!BU565</f>
        <v>28100</v>
      </c>
      <c r="H71" s="1806">
        <f>Rev!BV565</f>
        <v>28100</v>
      </c>
      <c r="I71" s="1806">
        <f>Rev!BW565</f>
        <v>28100</v>
      </c>
      <c r="J71" s="1806">
        <f>Rev!BX565</f>
        <v>28100</v>
      </c>
      <c r="K71" s="1806">
        <f>Rev!BY565</f>
        <v>32100</v>
      </c>
      <c r="L71" s="1806">
        <f>Rev!BZ565</f>
        <v>31600</v>
      </c>
      <c r="M71" s="1807">
        <f>Rev!CA565</f>
        <v>31600</v>
      </c>
      <c r="N71" s="1807">
        <f>Rev!CB565</f>
        <v>31600</v>
      </c>
      <c r="O71" s="1807">
        <f>Rev!CC565</f>
        <v>31990</v>
      </c>
      <c r="P71" s="1807">
        <f>Rev!CD565</f>
        <v>37600</v>
      </c>
      <c r="Q71" s="1807">
        <f>Rev!CE565</f>
        <v>37600</v>
      </c>
      <c r="R71" s="1807">
        <f>Rev!CF565</f>
        <v>38100</v>
      </c>
      <c r="S71" s="1807">
        <f>Rev!CG565</f>
        <v>39600</v>
      </c>
      <c r="T71" s="1807">
        <f>Rev!CH565</f>
        <v>39600</v>
      </c>
      <c r="U71" s="1807">
        <f>Rev!CI565</f>
        <v>41300</v>
      </c>
      <c r="V71" s="1807">
        <f>Rev!CJ565</f>
        <v>41700</v>
      </c>
      <c r="W71" s="1807">
        <f>Rev!CK565</f>
        <v>41700</v>
      </c>
      <c r="X71" s="1807">
        <f>Rev!CL565</f>
        <v>41700</v>
      </c>
      <c r="Y71" s="1807">
        <f>Rev!CM565</f>
        <v>43600</v>
      </c>
      <c r="Z71" s="1807">
        <f>Rev!CN565</f>
        <v>44900</v>
      </c>
      <c r="AA71" s="1807">
        <f>Rev!CO565</f>
        <v>47100</v>
      </c>
      <c r="AB71" s="1807">
        <f>Rev!CP565</f>
        <v>48100</v>
      </c>
      <c r="AC71" s="1807">
        <f>Rev!CQ565</f>
        <v>49500</v>
      </c>
      <c r="AD71" s="1807">
        <f>Rev!CR565</f>
        <v>50200</v>
      </c>
      <c r="AE71" s="1807">
        <f>Rev!CS565</f>
        <v>49900</v>
      </c>
      <c r="AF71" s="1807">
        <f>Rev!CT565</f>
        <v>54000</v>
      </c>
      <c r="AG71" s="1807">
        <f>Rev!CU565</f>
        <v>92700</v>
      </c>
      <c r="AH71" s="1807">
        <f>Rev!CV565</f>
        <v>93400</v>
      </c>
      <c r="AI71" s="1807">
        <f>Rev!CW565</f>
        <v>95200</v>
      </c>
      <c r="AJ71" s="1939">
        <f>Rev!CX565</f>
        <v>100300</v>
      </c>
      <c r="AK71" s="1939">
        <v>102590</v>
      </c>
      <c r="AL71" s="1947">
        <v>101900</v>
      </c>
      <c r="AM71" s="1808">
        <f>AL71-AK71</f>
        <v>-690</v>
      </c>
      <c r="AN71" s="2182"/>
      <c r="AO71" s="1808"/>
      <c r="AP71" s="2117"/>
      <c r="AQ71" s="1860"/>
      <c r="BD71"/>
      <c r="BH71" s="2120" t="s">
        <v>1742</v>
      </c>
      <c r="BI71" s="2118">
        <f>+BG70/BG64</f>
        <v>0.34831460674157305</v>
      </c>
      <c r="BJ71" s="2119">
        <f>+BJ70/BJ64</f>
        <v>0.32686153029619636</v>
      </c>
      <c r="BK71" s="2119"/>
      <c r="BO71" s="1888"/>
      <c r="BP71" s="1888"/>
      <c r="BQ71" s="1824"/>
      <c r="BU71" s="1824" t="s">
        <v>319</v>
      </c>
      <c r="BV71" s="1810"/>
      <c r="BW71" s="1811"/>
      <c r="BX71" s="1890"/>
      <c r="BY71" s="1812"/>
    </row>
    <row r="72" spans="2:77" ht="15" customHeight="1">
      <c r="B72" s="1772"/>
      <c r="C72" s="1772"/>
      <c r="D72" s="2050" t="s">
        <v>1356</v>
      </c>
      <c r="E72" s="1789"/>
      <c r="F72" s="1806">
        <f>Rev!BT624</f>
        <v>17500</v>
      </c>
      <c r="G72" s="1806">
        <f>Rev!BU624</f>
        <v>19800</v>
      </c>
      <c r="H72" s="1806">
        <f>Rev!BV624</f>
        <v>19800</v>
      </c>
      <c r="I72" s="1806">
        <f>Rev!BW624</f>
        <v>20800</v>
      </c>
      <c r="J72" s="1806">
        <f>Rev!BX624</f>
        <v>21700</v>
      </c>
      <c r="K72" s="1806">
        <f>Rev!BY624</f>
        <v>22900</v>
      </c>
      <c r="L72" s="1806">
        <f>Rev!BZ624</f>
        <v>24200</v>
      </c>
      <c r="M72" s="1807">
        <f>Rev!CA624</f>
        <v>24700</v>
      </c>
      <c r="N72" s="1807">
        <f>Rev!CB624</f>
        <v>25200</v>
      </c>
      <c r="O72" s="1807">
        <f>Rev!CC624</f>
        <v>24800</v>
      </c>
      <c r="P72" s="1807">
        <f>Rev!CD624</f>
        <v>25600</v>
      </c>
      <c r="Q72" s="1807">
        <f>Rev!CE624</f>
        <v>26700</v>
      </c>
      <c r="R72" s="1807">
        <f>Rev!CF624</f>
        <v>27200</v>
      </c>
      <c r="S72" s="1807">
        <f>Rev!CG624</f>
        <v>28100</v>
      </c>
      <c r="T72" s="1807">
        <f>Rev!CH624</f>
        <v>28900</v>
      </c>
      <c r="U72" s="1807">
        <f>Rev!CI624</f>
        <v>29500</v>
      </c>
      <c r="V72" s="1807">
        <f>Rev!CJ624</f>
        <v>32400</v>
      </c>
      <c r="W72" s="1807">
        <f>Rev!CK624</f>
        <v>33300</v>
      </c>
      <c r="X72" s="1807">
        <f>Rev!CL624</f>
        <v>34300</v>
      </c>
      <c r="Y72" s="1807">
        <f>Rev!CM624</f>
        <v>35000</v>
      </c>
      <c r="Z72" s="1807">
        <f>Rev!CN624</f>
        <v>35900</v>
      </c>
      <c r="AA72" s="1807">
        <f>Rev!CO624</f>
        <v>37400</v>
      </c>
      <c r="AB72" s="1807">
        <f>Rev!CP624</f>
        <v>39200</v>
      </c>
      <c r="AC72" s="1807">
        <f>Rev!CQ624</f>
        <v>40500</v>
      </c>
      <c r="AD72" s="1807">
        <f>Rev!CR624</f>
        <v>41200</v>
      </c>
      <c r="AE72" s="1807">
        <f>Rev!CS624</f>
        <v>42100</v>
      </c>
      <c r="AF72" s="1807">
        <f>Rev!CT624</f>
        <v>43200</v>
      </c>
      <c r="AG72" s="1807">
        <f>Rev!CU624</f>
        <v>74600</v>
      </c>
      <c r="AH72" s="1807">
        <f>Rev!CV624</f>
        <v>76100</v>
      </c>
      <c r="AI72" s="1807">
        <f>Rev!CW624</f>
        <v>77900</v>
      </c>
      <c r="AJ72" s="1939">
        <f>Rev!CX624</f>
        <v>80300</v>
      </c>
      <c r="AK72" s="1939">
        <v>82584.950000000012</v>
      </c>
      <c r="AL72" s="1947">
        <v>83200</v>
      </c>
      <c r="AM72" s="1808">
        <f>AL72-AK72</f>
        <v>615.04999999998836</v>
      </c>
      <c r="AN72" s="2182">
        <v>86600</v>
      </c>
      <c r="AO72" s="1808">
        <f>AN72-AK72</f>
        <v>4015.0499999999884</v>
      </c>
      <c r="AP72" s="2117"/>
      <c r="AQ72" s="1860"/>
      <c r="AV72" s="2106" t="s">
        <v>2592</v>
      </c>
      <c r="AW72" s="2099" t="s">
        <v>2598</v>
      </c>
      <c r="BD72"/>
      <c r="BH72" s="2097" t="s">
        <v>424</v>
      </c>
      <c r="BI72" s="1871" t="s">
        <v>2643</v>
      </c>
      <c r="BJ72" s="1873">
        <f>+BS!CW124</f>
        <v>310.70299999999997</v>
      </c>
      <c r="BK72" s="1873"/>
      <c r="BO72" s="1888"/>
      <c r="BP72" s="1888"/>
      <c r="BQ72" s="1902" t="s">
        <v>671</v>
      </c>
      <c r="BR72" s="1903"/>
      <c r="BS72" s="1903"/>
      <c r="BU72" s="1824" t="s">
        <v>320</v>
      </c>
    </row>
    <row r="73" spans="2:77" ht="15" customHeight="1">
      <c r="B73" s="1772"/>
      <c r="C73" s="1772"/>
      <c r="D73" s="2050" t="s">
        <v>1705</v>
      </c>
      <c r="E73" s="1789"/>
      <c r="F73" s="1806">
        <f>Rev!BT678</f>
        <v>9974</v>
      </c>
      <c r="G73" s="1806">
        <f>Rev!BU678</f>
        <v>11163</v>
      </c>
      <c r="H73" s="1806">
        <f>Rev!BV678</f>
        <v>12128</v>
      </c>
      <c r="I73" s="1806">
        <f>Rev!BW678</f>
        <v>13378</v>
      </c>
      <c r="J73" s="1806">
        <f>Rev!BX678</f>
        <v>13718</v>
      </c>
      <c r="K73" s="1806">
        <f>Rev!BY678</f>
        <v>14711</v>
      </c>
      <c r="L73" s="1806">
        <f>Rev!BZ678</f>
        <v>15800</v>
      </c>
      <c r="M73" s="1807">
        <f>Rev!CA678</f>
        <v>17400</v>
      </c>
      <c r="N73" s="1807">
        <f>Rev!CB678</f>
        <v>18400</v>
      </c>
      <c r="O73" s="1807">
        <f>Rev!CC678</f>
        <v>19100</v>
      </c>
      <c r="P73" s="1807">
        <f>Rev!CD678</f>
        <v>26500</v>
      </c>
      <c r="Q73" s="1807">
        <f>Rev!CE678</f>
        <v>27200</v>
      </c>
      <c r="R73" s="1807">
        <f>Rev!CF678</f>
        <v>28100</v>
      </c>
      <c r="S73" s="1807">
        <f>Rev!CG678</f>
        <v>29300</v>
      </c>
      <c r="T73" s="1807">
        <f>Rev!CH678</f>
        <v>30700</v>
      </c>
      <c r="U73" s="1807">
        <f>Rev!CI678</f>
        <v>32100</v>
      </c>
      <c r="V73" s="1807">
        <f>Rev!CJ678</f>
        <v>33400</v>
      </c>
      <c r="W73" s="1807">
        <f>Rev!CK678</f>
        <v>34600</v>
      </c>
      <c r="X73" s="1807">
        <f>Rev!CL678</f>
        <v>35700</v>
      </c>
      <c r="Y73" s="1807">
        <f>Rev!CM678</f>
        <v>36900</v>
      </c>
      <c r="Z73" s="1807">
        <f>Rev!CN678</f>
        <v>38400</v>
      </c>
      <c r="AA73" s="1807">
        <f>Rev!CO678</f>
        <v>39700</v>
      </c>
      <c r="AB73" s="1807">
        <f>Rev!CP678</f>
        <v>41500</v>
      </c>
      <c r="AC73" s="1807">
        <f>Rev!CQ678</f>
        <v>43900</v>
      </c>
      <c r="AD73" s="1807">
        <f>Rev!CR678</f>
        <v>44500</v>
      </c>
      <c r="AE73" s="1807">
        <f>Rev!CS678</f>
        <v>45500</v>
      </c>
      <c r="AF73" s="1807">
        <f>Rev!CT678</f>
        <v>46300</v>
      </c>
      <c r="AG73" s="1807">
        <f>Rev!CU678</f>
        <v>82900</v>
      </c>
      <c r="AH73" s="1807">
        <f>Rev!CV678</f>
        <v>84900</v>
      </c>
      <c r="AI73" s="1807">
        <f>Rev!CW678</f>
        <v>87400</v>
      </c>
      <c r="AJ73" s="1939">
        <f>Rev!CX678</f>
        <v>89600</v>
      </c>
      <c r="AK73" s="1939">
        <v>93184</v>
      </c>
      <c r="AL73" s="1947">
        <v>92200</v>
      </c>
      <c r="AM73" s="1808">
        <f>AL73-AK73</f>
        <v>-984</v>
      </c>
      <c r="AN73" s="2182"/>
      <c r="AO73" s="1808"/>
      <c r="AP73" s="2117"/>
      <c r="AQ73" s="1860"/>
      <c r="AW73" s="2099" t="s">
        <v>2599</v>
      </c>
      <c r="BD73"/>
      <c r="BH73" s="2097" t="s">
        <v>1863</v>
      </c>
      <c r="BI73" s="1879">
        <v>41</v>
      </c>
      <c r="BJ73" s="1873">
        <f>+BS!CW127</f>
        <v>37.869</v>
      </c>
      <c r="BK73" s="1872"/>
      <c r="BO73" s="1888"/>
      <c r="BP73" s="1888"/>
      <c r="BQ73" s="1805"/>
      <c r="BR73" s="1972">
        <v>2013</v>
      </c>
      <c r="BS73" s="1972" t="s">
        <v>672</v>
      </c>
    </row>
    <row r="74" spans="2:77">
      <c r="D74" s="2133" t="s">
        <v>997</v>
      </c>
      <c r="E74" s="1831"/>
      <c r="F74" s="1831"/>
      <c r="G74" s="1831"/>
      <c r="H74" s="1831"/>
      <c r="I74" s="1831"/>
      <c r="J74" s="1831"/>
      <c r="K74" s="1831"/>
      <c r="L74" s="1831"/>
      <c r="M74" s="1831"/>
      <c r="N74" s="1831"/>
      <c r="O74" s="1831"/>
      <c r="P74" s="1831"/>
      <c r="Q74" s="1831"/>
      <c r="R74" s="1831"/>
      <c r="S74" s="1831"/>
      <c r="T74" s="1831"/>
      <c r="U74" s="1831"/>
      <c r="V74" s="1831"/>
      <c r="W74" s="1831"/>
      <c r="X74" s="1831"/>
      <c r="Y74" s="1831"/>
      <c r="Z74" s="1831"/>
      <c r="AA74" s="1831"/>
      <c r="AB74" s="1831"/>
      <c r="AC74" s="1831"/>
      <c r="AD74" s="1831"/>
      <c r="AE74" s="1831"/>
      <c r="AF74" s="1831"/>
      <c r="AG74" s="1831"/>
      <c r="AH74" s="1831"/>
      <c r="AI74" s="1831"/>
      <c r="AJ74" s="1891"/>
      <c r="AK74" s="1891"/>
      <c r="AL74" s="1948"/>
      <c r="AM74" s="1891"/>
      <c r="AN74" s="2184"/>
      <c r="AO74" s="1892"/>
      <c r="AP74" s="1891"/>
      <c r="AW74" s="2099" t="s">
        <v>2609</v>
      </c>
      <c r="BD74"/>
      <c r="BH74" s="2098" t="s">
        <v>2644</v>
      </c>
      <c r="BI74" s="1887"/>
      <c r="BJ74" s="1887"/>
      <c r="BK74" s="1887"/>
      <c r="BO74" s="1888"/>
      <c r="BP74" s="1888"/>
      <c r="BQ74" s="1805" t="s">
        <v>664</v>
      </c>
      <c r="BR74" s="1871" t="s">
        <v>394</v>
      </c>
      <c r="BS74" s="1871" t="s">
        <v>391</v>
      </c>
    </row>
    <row r="75" spans="2:77" ht="15" customHeight="1">
      <c r="B75" s="1772"/>
      <c r="C75" s="1772"/>
      <c r="D75" s="2050" t="s">
        <v>161</v>
      </c>
      <c r="E75" s="1789"/>
      <c r="F75" s="1820">
        <f>Rev!BT471</f>
        <v>1569</v>
      </c>
      <c r="G75" s="1820">
        <f>Rev!BU471</f>
        <v>1580</v>
      </c>
      <c r="H75" s="1820">
        <f>Rev!BV471</f>
        <v>1688</v>
      </c>
      <c r="I75" s="1820">
        <f>Rev!BW471</f>
        <v>1787</v>
      </c>
      <c r="J75" s="1820">
        <f>Rev!BX471</f>
        <v>1819</v>
      </c>
      <c r="K75" s="1820">
        <f>Rev!BY471</f>
        <v>1850</v>
      </c>
      <c r="L75" s="1820">
        <f>Rev!BZ471</f>
        <v>1868</v>
      </c>
      <c r="M75" s="1821">
        <f>Rev!CA471</f>
        <v>1863</v>
      </c>
      <c r="N75" s="1821">
        <f>Rev!CB471</f>
        <v>1928</v>
      </c>
      <c r="O75" s="1821">
        <f>Rev!CC471</f>
        <v>1959</v>
      </c>
      <c r="P75" s="1821">
        <f>Rev!CD471</f>
        <v>1846</v>
      </c>
      <c r="Q75" s="1821">
        <f>Rev!CE471</f>
        <v>1944</v>
      </c>
      <c r="R75" s="1821">
        <f>Rev!CF471</f>
        <v>1976</v>
      </c>
      <c r="S75" s="1821">
        <f>Rev!CG471</f>
        <v>1903</v>
      </c>
      <c r="T75" s="1821">
        <f>Rev!CH471</f>
        <v>1859</v>
      </c>
      <c r="U75" s="1821">
        <f>Rev!CI471</f>
        <v>1872</v>
      </c>
      <c r="V75" s="1821">
        <f>Rev!CJ471</f>
        <v>2042</v>
      </c>
      <c r="W75" s="1821">
        <f>Rev!CK471</f>
        <v>2082</v>
      </c>
      <c r="X75" s="1821">
        <f>Rev!CL471</f>
        <v>2057</v>
      </c>
      <c r="Y75" s="1821">
        <f>Rev!CM471</f>
        <v>2045</v>
      </c>
      <c r="Z75" s="1821">
        <f>Rev!CN471</f>
        <v>1950</v>
      </c>
      <c r="AA75" s="1821">
        <f>Rev!CO471</f>
        <v>1910</v>
      </c>
      <c r="AB75" s="1821">
        <f>Rev!CP471</f>
        <v>1904</v>
      </c>
      <c r="AC75" s="1821">
        <f>Rev!CQ471</f>
        <v>1866</v>
      </c>
      <c r="AD75" s="1821">
        <f>Rev!CR471</f>
        <v>1903</v>
      </c>
      <c r="AE75" s="1821">
        <f>Rev!CS471</f>
        <v>1979</v>
      </c>
      <c r="AF75" s="1821">
        <f>Rev!CT471</f>
        <v>1995</v>
      </c>
      <c r="AG75" s="1821">
        <f>Rev!CU471</f>
        <v>1933</v>
      </c>
      <c r="AH75" s="1821">
        <f>Rev!CV471</f>
        <v>1955</v>
      </c>
      <c r="AI75" s="1821">
        <f>Rev!CW471</f>
        <v>1980</v>
      </c>
      <c r="AJ75" s="1938">
        <f>Rev!CX471</f>
        <v>1996</v>
      </c>
      <c r="AK75" s="1938">
        <v>1996</v>
      </c>
      <c r="AL75" s="1946">
        <v>2007</v>
      </c>
      <c r="AM75" s="1808">
        <f>AL75-AK75</f>
        <v>11</v>
      </c>
      <c r="AN75" s="2181"/>
      <c r="AO75" s="1808"/>
      <c r="AP75" s="2117"/>
      <c r="AQ75" s="1860"/>
      <c r="AW75" s="2099" t="s">
        <v>2602</v>
      </c>
      <c r="BD75"/>
      <c r="BG75" s="1888"/>
      <c r="BH75" s="2099" t="s">
        <v>2483</v>
      </c>
      <c r="BI75" s="1831"/>
      <c r="BJ75" s="1831"/>
      <c r="BO75" s="1888"/>
      <c r="BP75" s="1888"/>
      <c r="BQ75" s="1774" t="s">
        <v>95</v>
      </c>
      <c r="BR75" s="1871"/>
      <c r="BS75" s="1871">
        <v>2.7262402766759841E-2</v>
      </c>
    </row>
    <row r="76" spans="2:77" ht="15" customHeight="1">
      <c r="B76" s="1772"/>
      <c r="C76" s="1772"/>
      <c r="D76" s="2050" t="s">
        <v>1372</v>
      </c>
      <c r="E76" s="1789"/>
      <c r="F76" s="1806">
        <f>Rev!BT412</f>
        <v>9000</v>
      </c>
      <c r="G76" s="1806">
        <f>Rev!BU412</f>
        <v>9500</v>
      </c>
      <c r="H76" s="1806">
        <f>Rev!BV412</f>
        <v>10500</v>
      </c>
      <c r="I76" s="1806">
        <f>Rev!BW412</f>
        <v>10500</v>
      </c>
      <c r="J76" s="1806">
        <f>Rev!BX412</f>
        <v>10600</v>
      </c>
      <c r="K76" s="1806">
        <f>Rev!BY412</f>
        <v>13300</v>
      </c>
      <c r="L76" s="1806">
        <f>Rev!BZ412</f>
        <v>13700</v>
      </c>
      <c r="M76" s="1807">
        <f>Rev!CA412</f>
        <v>13700</v>
      </c>
      <c r="N76" s="1807">
        <f>Rev!CB412</f>
        <v>13700</v>
      </c>
      <c r="O76" s="1807">
        <f>Rev!CC412</f>
        <v>14300</v>
      </c>
      <c r="P76" s="1807">
        <f>Rev!CD412</f>
        <v>20000</v>
      </c>
      <c r="Q76" s="1807">
        <f>Rev!CE412</f>
        <v>20600</v>
      </c>
      <c r="R76" s="1807">
        <f>Rev!CF412</f>
        <v>20900</v>
      </c>
      <c r="S76" s="1807">
        <f>Rev!CG412</f>
        <v>20900</v>
      </c>
      <c r="T76" s="1807">
        <f>Rev!CH412</f>
        <v>21400</v>
      </c>
      <c r="U76" s="1807">
        <f>Rev!CI412</f>
        <v>22700</v>
      </c>
      <c r="V76" s="1807">
        <f>Rev!CJ412</f>
        <v>21600</v>
      </c>
      <c r="W76" s="1807">
        <f>Rev!CK412</f>
        <v>22200</v>
      </c>
      <c r="X76" s="1807">
        <f>Rev!CL412</f>
        <v>22300</v>
      </c>
      <c r="Y76" s="1807">
        <f>Rev!CM412</f>
        <v>23900</v>
      </c>
      <c r="Z76" s="1807">
        <f>Rev!CN412</f>
        <v>25300</v>
      </c>
      <c r="AA76" s="1807">
        <f>Rev!CO412</f>
        <v>26300</v>
      </c>
      <c r="AB76" s="1807">
        <f>Rev!CP412</f>
        <v>27500</v>
      </c>
      <c r="AC76" s="1807">
        <f>Rev!CQ412</f>
        <v>27800</v>
      </c>
      <c r="AD76" s="1807">
        <f>Rev!CR412</f>
        <v>30500</v>
      </c>
      <c r="AE76" s="1807">
        <f>Rev!CS412</f>
        <v>31900</v>
      </c>
      <c r="AF76" s="1807">
        <f>Rev!CT412</f>
        <v>33000</v>
      </c>
      <c r="AG76" s="1807">
        <f>Rev!CU412</f>
        <v>39800</v>
      </c>
      <c r="AH76" s="1807">
        <f>Rev!CV412</f>
        <v>41100</v>
      </c>
      <c r="AI76" s="1807">
        <f>Rev!CW412</f>
        <v>42700</v>
      </c>
      <c r="AJ76" s="1939">
        <f>Rev!CX412</f>
        <v>42700</v>
      </c>
      <c r="AK76" s="1939">
        <v>45400</v>
      </c>
      <c r="AL76" s="1947">
        <v>44400</v>
      </c>
      <c r="AM76" s="1808">
        <f>AL76-AK76</f>
        <v>-1000</v>
      </c>
      <c r="AN76" s="2182"/>
      <c r="AO76" s="1808"/>
      <c r="AP76" s="2117"/>
      <c r="AQ76" s="1860"/>
      <c r="AW76" s="2099" t="s">
        <v>2606</v>
      </c>
      <c r="BD76"/>
      <c r="BG76" s="1888"/>
      <c r="BH76" s="2099" t="s">
        <v>2645</v>
      </c>
      <c r="BI76" s="1831"/>
      <c r="BJ76" s="1831"/>
      <c r="BO76" s="1888"/>
      <c r="BP76" s="1888"/>
      <c r="BQ76" s="1805" t="s">
        <v>1348</v>
      </c>
      <c r="BR76" s="1871">
        <v>0.68</v>
      </c>
      <c r="BS76" s="1871">
        <v>0.68</v>
      </c>
    </row>
    <row r="77" spans="2:77" ht="15" customHeight="1">
      <c r="B77" s="1772"/>
      <c r="C77" s="1772"/>
      <c r="D77" s="2050" t="s">
        <v>1356</v>
      </c>
      <c r="E77" s="1789"/>
      <c r="F77" s="1806">
        <f>Rev!BT461</f>
        <v>7600</v>
      </c>
      <c r="G77" s="1806">
        <f>Rev!BU461</f>
        <v>7900</v>
      </c>
      <c r="H77" s="1806">
        <f>Rev!BV461</f>
        <v>8000</v>
      </c>
      <c r="I77" s="1806">
        <f>Rev!BW461</f>
        <v>8300</v>
      </c>
      <c r="J77" s="1806">
        <f>Rev!BX461</f>
        <v>8600</v>
      </c>
      <c r="K77" s="1806">
        <f>Rev!BY461</f>
        <v>9300</v>
      </c>
      <c r="L77" s="1806">
        <f>Rev!BZ461</f>
        <v>9600</v>
      </c>
      <c r="M77" s="1807">
        <f>Rev!CA461</f>
        <v>10200</v>
      </c>
      <c r="N77" s="1807">
        <f>Rev!CB461</f>
        <v>10400</v>
      </c>
      <c r="O77" s="1807">
        <f>Rev!CC461</f>
        <v>10900</v>
      </c>
      <c r="P77" s="1807">
        <f>Rev!CD461</f>
        <v>14500</v>
      </c>
      <c r="Q77" s="1807">
        <f>Rev!CE461</f>
        <v>14700</v>
      </c>
      <c r="R77" s="1807">
        <f>Rev!CF461</f>
        <v>14300</v>
      </c>
      <c r="S77" s="1807">
        <f>Rev!CG461</f>
        <v>14800</v>
      </c>
      <c r="T77" s="1807">
        <f>Rev!CH461</f>
        <v>15600</v>
      </c>
      <c r="U77" s="1807">
        <f>Rev!CI461</f>
        <v>16200</v>
      </c>
      <c r="V77" s="1807">
        <f>Rev!CJ461</f>
        <v>15600</v>
      </c>
      <c r="W77" s="1807">
        <f>Rev!CK461</f>
        <v>16500</v>
      </c>
      <c r="X77" s="1807">
        <f>Rev!CL461</f>
        <v>17500</v>
      </c>
      <c r="Y77" s="1807">
        <f>Rev!CM461</f>
        <v>18200</v>
      </c>
      <c r="Z77" s="1807">
        <f>Rev!CN461</f>
        <v>19100</v>
      </c>
      <c r="AA77" s="1807">
        <f>Rev!CO461</f>
        <v>20300</v>
      </c>
      <c r="AB77" s="1807">
        <f>Rev!CP461</f>
        <v>21700</v>
      </c>
      <c r="AC77" s="1807">
        <f>Rev!CQ461</f>
        <v>22600</v>
      </c>
      <c r="AD77" s="1807">
        <f>Rev!CR461</f>
        <v>23100</v>
      </c>
      <c r="AE77" s="1807">
        <f>Rev!CS461</f>
        <v>24400</v>
      </c>
      <c r="AF77" s="1807">
        <f>Rev!CT461</f>
        <v>25400</v>
      </c>
      <c r="AG77" s="1807">
        <f>Rev!CU461</f>
        <v>29300</v>
      </c>
      <c r="AH77" s="1807">
        <f>Rev!CV461</f>
        <v>30000</v>
      </c>
      <c r="AI77" s="1807">
        <f>Rev!CW461</f>
        <v>30700</v>
      </c>
      <c r="AJ77" s="1939">
        <f>Rev!CX461</f>
        <v>31800</v>
      </c>
      <c r="AK77" s="1939">
        <v>32915</v>
      </c>
      <c r="AL77" s="1947">
        <v>33000</v>
      </c>
      <c r="AM77" s="1808">
        <f>AL77-AK77</f>
        <v>85</v>
      </c>
      <c r="AN77" s="2182">
        <v>36500</v>
      </c>
      <c r="AO77" s="1808">
        <f>AN77-AK77</f>
        <v>3585</v>
      </c>
      <c r="AP77" s="2117"/>
      <c r="AQ77" s="1860"/>
      <c r="AT77" s="2034">
        <v>2016</v>
      </c>
      <c r="AW77" s="2099" t="s">
        <v>2607</v>
      </c>
      <c r="BD77"/>
      <c r="BH77" s="2099" t="s">
        <v>2646</v>
      </c>
      <c r="BI77" s="1831"/>
      <c r="BJ77" s="1831"/>
      <c r="BO77" s="1888"/>
      <c r="BP77" s="1888"/>
      <c r="BQ77" s="1805" t="s">
        <v>1539</v>
      </c>
      <c r="BR77" s="1871" t="s">
        <v>395</v>
      </c>
      <c r="BS77" s="1871" t="s">
        <v>392</v>
      </c>
    </row>
    <row r="78" spans="2:77" ht="15" customHeight="1">
      <c r="B78" s="1772"/>
      <c r="C78" s="1772"/>
      <c r="D78" s="2050" t="s">
        <v>1705</v>
      </c>
      <c r="E78" s="1789"/>
      <c r="F78" s="1806">
        <f>Rev!BT508</f>
        <v>12754</v>
      </c>
      <c r="G78" s="1806">
        <f>Rev!BU508</f>
        <v>13709</v>
      </c>
      <c r="H78" s="1806">
        <f>Rev!BV508</f>
        <v>14586</v>
      </c>
      <c r="I78" s="1806">
        <f>Rev!BW508</f>
        <v>15311</v>
      </c>
      <c r="J78" s="1806">
        <f>Rev!BX508</f>
        <v>16134</v>
      </c>
      <c r="K78" s="1806">
        <f>Rev!BY508</f>
        <v>16804</v>
      </c>
      <c r="L78" s="1806">
        <f>Rev!BZ508</f>
        <v>17707</v>
      </c>
      <c r="M78" s="1807">
        <f>Rev!CA508</f>
        <v>18378</v>
      </c>
      <c r="N78" s="1807">
        <f>Rev!CB508</f>
        <v>19113</v>
      </c>
      <c r="O78" s="1807">
        <f>Rev!CC508</f>
        <v>19914</v>
      </c>
      <c r="P78" s="1807">
        <f>Rev!CD508</f>
        <v>21800</v>
      </c>
      <c r="Q78" s="1807">
        <f>Rev!CE508</f>
        <v>22400</v>
      </c>
      <c r="R78" s="1807">
        <f>Rev!CF508</f>
        <v>23000</v>
      </c>
      <c r="S78" s="1807">
        <f>Rev!CG508</f>
        <v>23800</v>
      </c>
      <c r="T78" s="1807">
        <f>Rev!CH508</f>
        <v>24600</v>
      </c>
      <c r="U78" s="1807">
        <f>Rev!CI508</f>
        <v>25900</v>
      </c>
      <c r="V78" s="1807">
        <f>Rev!CJ508</f>
        <v>27400</v>
      </c>
      <c r="W78" s="1807">
        <f>Rev!CK508</f>
        <v>28400</v>
      </c>
      <c r="X78" s="1807">
        <f>Rev!CL508</f>
        <v>30400</v>
      </c>
      <c r="Y78" s="1807">
        <f>Rev!CM508</f>
        <v>26300</v>
      </c>
      <c r="Z78" s="1807">
        <f>Rev!CN508</f>
        <v>28500</v>
      </c>
      <c r="AA78" s="1807">
        <f>Rev!CO508</f>
        <v>30700</v>
      </c>
      <c r="AB78" s="1807">
        <f>Rev!CP508</f>
        <v>32400</v>
      </c>
      <c r="AC78" s="1807">
        <f>Rev!CQ508</f>
        <v>33500</v>
      </c>
      <c r="AD78" s="1807">
        <f>Rev!CR508</f>
        <v>34600</v>
      </c>
      <c r="AE78" s="1807">
        <f>Rev!CS508</f>
        <v>36200</v>
      </c>
      <c r="AF78" s="1807">
        <f>Rev!CT508</f>
        <v>37900</v>
      </c>
      <c r="AG78" s="1807">
        <f>Rev!CU508</f>
        <v>41000</v>
      </c>
      <c r="AH78" s="1807">
        <f>Rev!CV508</f>
        <v>42700</v>
      </c>
      <c r="AI78" s="1807">
        <f>Rev!CW508</f>
        <v>43600</v>
      </c>
      <c r="AJ78" s="1939">
        <f>Rev!CX508</f>
        <v>45200</v>
      </c>
      <c r="AK78" s="1939">
        <v>46626.358490566032</v>
      </c>
      <c r="AL78" s="1947">
        <v>46700</v>
      </c>
      <c r="AM78" s="1808">
        <f>AL78-AK78</f>
        <v>73.641509433968167</v>
      </c>
      <c r="AN78" s="2182"/>
      <c r="AO78" s="1808"/>
      <c r="AP78" s="2117"/>
      <c r="AQ78" s="1860"/>
      <c r="AW78" s="2099" t="s">
        <v>2608</v>
      </c>
      <c r="BD78"/>
      <c r="BO78" s="1888"/>
      <c r="BP78" s="1888"/>
      <c r="BQ78" s="1902" t="s">
        <v>671</v>
      </c>
      <c r="BR78" s="1903"/>
      <c r="BS78" s="1903"/>
    </row>
    <row r="79" spans="2:77">
      <c r="D79" s="2133" t="s">
        <v>1396</v>
      </c>
      <c r="E79" s="1831"/>
      <c r="F79" s="1831"/>
      <c r="G79" s="1831"/>
      <c r="H79" s="1831"/>
      <c r="I79" s="1831"/>
      <c r="J79" s="1831"/>
      <c r="K79" s="1831"/>
      <c r="L79" s="1831"/>
      <c r="M79" s="1831"/>
      <c r="N79" s="1831"/>
      <c r="O79" s="1831"/>
      <c r="P79" s="1831"/>
      <c r="Q79" s="1831"/>
      <c r="R79" s="1831"/>
      <c r="S79" s="1831"/>
      <c r="T79" s="1831"/>
      <c r="U79" s="1831"/>
      <c r="V79" s="1831"/>
      <c r="W79" s="1831"/>
      <c r="X79" s="1831"/>
      <c r="Y79" s="1831"/>
      <c r="Z79" s="1831"/>
      <c r="AA79" s="1831"/>
      <c r="AB79" s="1831"/>
      <c r="AC79" s="1831"/>
      <c r="AD79" s="1831"/>
      <c r="AE79" s="1831"/>
      <c r="AF79" s="1831"/>
      <c r="AG79" s="1831"/>
      <c r="AH79" s="1831"/>
      <c r="AI79" s="1831"/>
      <c r="AJ79" s="1891"/>
      <c r="AK79" s="1891"/>
      <c r="AL79" s="1948"/>
      <c r="AM79" s="1891"/>
      <c r="AN79" s="2184"/>
      <c r="AO79" s="1892"/>
      <c r="AP79" s="1891"/>
      <c r="BD79"/>
      <c r="BH79" s="2033"/>
      <c r="BI79" s="1831"/>
      <c r="BJ79" s="1831"/>
      <c r="BO79" s="1888"/>
      <c r="BP79" s="1888"/>
      <c r="BQ79" s="1805"/>
      <c r="BR79" s="1972">
        <v>2013</v>
      </c>
      <c r="BS79" s="1972" t="s">
        <v>672</v>
      </c>
    </row>
    <row r="80" spans="2:77" ht="15" customHeight="1">
      <c r="B80" s="1772"/>
      <c r="C80" s="1772"/>
      <c r="D80" s="2050" t="s">
        <v>161</v>
      </c>
      <c r="E80" s="1789"/>
      <c r="F80" s="1820">
        <f>Rev!BT822</f>
        <v>1390.9077051160284</v>
      </c>
      <c r="G80" s="1820">
        <f>Rev!BU822</f>
        <v>1555.9443317556904</v>
      </c>
      <c r="H80" s="1820">
        <f>Rev!BV822</f>
        <v>1662.4178212442271</v>
      </c>
      <c r="I80" s="1820">
        <f>Rev!BW822</f>
        <v>1684.8885350318469</v>
      </c>
      <c r="J80" s="1820">
        <f>Rev!BX822</f>
        <v>1705.0737913486007</v>
      </c>
      <c r="K80" s="1820">
        <f>Rev!BY822</f>
        <v>1793.0112249877989</v>
      </c>
      <c r="L80" s="1820">
        <f>Rev!BZ822</f>
        <v>1844.6851983844142</v>
      </c>
      <c r="M80" s="1821">
        <f>Rev!CA822</f>
        <v>1870.4143389199253</v>
      </c>
      <c r="N80" s="1821">
        <f>Rev!CB822</f>
        <v>1913.2285974499086</v>
      </c>
      <c r="O80" s="1821">
        <f>Rev!CC822</f>
        <v>1938.810641627543</v>
      </c>
      <c r="P80" s="1821">
        <f>Rev!CD822</f>
        <v>1988.2642487046633</v>
      </c>
      <c r="Q80" s="1821">
        <f>Rev!CE822</f>
        <v>1995.5610663360194</v>
      </c>
      <c r="R80" s="1821">
        <f>Rev!CF822</f>
        <v>1993.2365981459084</v>
      </c>
      <c r="S80" s="1821">
        <f>Rev!CG822</f>
        <v>1990.1407892127702</v>
      </c>
      <c r="T80" s="1821">
        <f>Rev!CH822</f>
        <v>2000.6441598758247</v>
      </c>
      <c r="U80" s="1821">
        <f>Rev!CI822</f>
        <v>2035.7926598562242</v>
      </c>
      <c r="V80" s="1821">
        <f>Rev!CJ822</f>
        <v>2033.6773954864962</v>
      </c>
      <c r="W80" s="1821">
        <f>Rev!CK822</f>
        <v>2079.1526344378058</v>
      </c>
      <c r="X80" s="1821">
        <f>Rev!CL822</f>
        <v>2067.9529081005094</v>
      </c>
      <c r="Y80" s="1821">
        <f>Rev!CM822</f>
        <v>2066.8783068783064</v>
      </c>
      <c r="Z80" s="1821">
        <f>Rev!CN822</f>
        <v>2030.1598401598403</v>
      </c>
      <c r="AA80" s="1821">
        <f>Rev!CO822</f>
        <v>2018.3285024154584</v>
      </c>
      <c r="AB80" s="1821">
        <f>Rev!CP822</f>
        <v>2000.6836813611753</v>
      </c>
      <c r="AC80" s="1821">
        <f>Rev!CQ822</f>
        <v>2043.7056896038127</v>
      </c>
      <c r="AD80" s="1821">
        <f>Rev!CR822</f>
        <v>1976.1001893111984</v>
      </c>
      <c r="AE80" s="1821">
        <f>Rev!CS822</f>
        <v>2017.6037655113389</v>
      </c>
      <c r="AF80" s="1821">
        <f>Rev!CT822</f>
        <v>2028.6397109906904</v>
      </c>
      <c r="AG80" s="1821">
        <f>Rev!CU822</f>
        <v>1889.9661160525202</v>
      </c>
      <c r="AH80" s="1821">
        <f>Rev!CV822</f>
        <v>1890.6565656565663</v>
      </c>
      <c r="AI80" s="1821">
        <f>Rev!CW822</f>
        <v>1913.4763236970264</v>
      </c>
      <c r="AJ80" s="1938">
        <f>Rev!CX822</f>
        <v>1928.5586954319861</v>
      </c>
      <c r="AK80" s="1938">
        <v>1960.8357161361557</v>
      </c>
      <c r="AL80" s="2072"/>
      <c r="AM80" s="1808"/>
      <c r="AN80" s="2181"/>
      <c r="AO80" s="2068"/>
      <c r="AP80" s="2117"/>
      <c r="AQ80" s="1860"/>
      <c r="AT80" s="1867"/>
      <c r="BD80"/>
      <c r="BG80" s="1833" t="s">
        <v>1746</v>
      </c>
      <c r="BH80" s="1902" t="s">
        <v>2593</v>
      </c>
      <c r="BI80" s="1903"/>
      <c r="BJ80" s="1903"/>
      <c r="BK80" s="1903"/>
      <c r="BO80" s="1888"/>
      <c r="BP80" s="1888"/>
      <c r="BQ80" s="1805" t="s">
        <v>664</v>
      </c>
      <c r="BR80" s="1871" t="s">
        <v>394</v>
      </c>
      <c r="BS80" s="1871" t="s">
        <v>391</v>
      </c>
    </row>
    <row r="81" spans="2:82" ht="15" customHeight="1">
      <c r="B81" s="2174"/>
      <c r="C81" s="1772"/>
      <c r="D81" s="2050" t="s">
        <v>1372</v>
      </c>
      <c r="E81" s="1789"/>
      <c r="F81" s="1806">
        <f>Rev!BT695</f>
        <v>77903.139717425423</v>
      </c>
      <c r="G81" s="1806">
        <f>Rev!BU695</f>
        <v>78700</v>
      </c>
      <c r="H81" s="1806">
        <f>Rev!BV695</f>
        <v>81400</v>
      </c>
      <c r="I81" s="1806">
        <f>Rev!BW695</f>
        <v>82900</v>
      </c>
      <c r="J81" s="1806">
        <f>Rev!BX695</f>
        <v>84600</v>
      </c>
      <c r="K81" s="1806">
        <f>Rev!BY695</f>
        <v>91300</v>
      </c>
      <c r="L81" s="1806">
        <f>Rev!BZ695</f>
        <v>89000</v>
      </c>
      <c r="M81" s="1807">
        <f>Rev!CA695</f>
        <v>90400</v>
      </c>
      <c r="N81" s="1807">
        <f>Rev!CB695</f>
        <v>91200</v>
      </c>
      <c r="O81" s="1807">
        <f>Rev!CC695</f>
        <v>92890</v>
      </c>
      <c r="P81" s="1807">
        <f>Rev!CD695</f>
        <v>106800</v>
      </c>
      <c r="Q81" s="1807">
        <f>Rev!CE695</f>
        <v>108100</v>
      </c>
      <c r="R81" s="1807">
        <f>Rev!CF695</f>
        <v>110800</v>
      </c>
      <c r="S81" s="1807">
        <f>Rev!CG695</f>
        <v>112400</v>
      </c>
      <c r="T81" s="1807">
        <f>Rev!CH695</f>
        <v>113800</v>
      </c>
      <c r="U81" s="1807">
        <f>Rev!CI695</f>
        <v>117200</v>
      </c>
      <c r="V81" s="1807">
        <f>Rev!CJ695</f>
        <v>119400</v>
      </c>
      <c r="W81" s="1807">
        <f>Rev!CK695</f>
        <v>120500</v>
      </c>
      <c r="X81" s="1807">
        <f>Rev!CL695</f>
        <v>121500</v>
      </c>
      <c r="Y81" s="1807">
        <f>Rev!CM695</f>
        <v>125000</v>
      </c>
      <c r="Z81" s="1807">
        <f>Rev!CN695</f>
        <v>129200</v>
      </c>
      <c r="AA81" s="1807">
        <f>Rev!CO695</f>
        <v>133200</v>
      </c>
      <c r="AB81" s="1807">
        <f>Rev!CP695</f>
        <v>136600</v>
      </c>
      <c r="AC81" s="1807">
        <f>Rev!CQ695</f>
        <v>139900</v>
      </c>
      <c r="AD81" s="1807">
        <f>Rev!CR695</f>
        <v>143900</v>
      </c>
      <c r="AE81" s="1807">
        <f>Rev!CS695</f>
        <v>145200</v>
      </c>
      <c r="AF81" s="1807">
        <f>Rev!CT695</f>
        <v>150400</v>
      </c>
      <c r="AG81" s="1807">
        <f>Rev!CU695</f>
        <v>197600</v>
      </c>
      <c r="AH81" s="1807">
        <f>Rev!CV695</f>
        <v>201200</v>
      </c>
      <c r="AI81" s="1807">
        <f>Rev!CW695</f>
        <v>205200</v>
      </c>
      <c r="AJ81" s="1939">
        <f>Rev!CX695</f>
        <v>212600</v>
      </c>
      <c r="AK81" s="1939">
        <v>217840</v>
      </c>
      <c r="AL81" s="2071">
        <f>+AL66+AL71+AL76</f>
        <v>216500</v>
      </c>
      <c r="AM81" s="1808">
        <f>AL81-AK81</f>
        <v>-1340</v>
      </c>
      <c r="AN81" s="2182"/>
      <c r="AO81" s="2069"/>
      <c r="AP81" s="2117"/>
      <c r="AQ81" s="1860"/>
      <c r="AT81" s="1867"/>
      <c r="BD81"/>
      <c r="BH81" s="1805"/>
      <c r="BI81" s="1809" t="s">
        <v>1740</v>
      </c>
      <c r="BJ81" s="1865" t="s">
        <v>240</v>
      </c>
      <c r="BK81" s="1865" t="s">
        <v>442</v>
      </c>
      <c r="BO81" s="1888"/>
      <c r="BP81" s="1888"/>
      <c r="BQ81" s="1774" t="s">
        <v>95</v>
      </c>
      <c r="BR81" s="1871"/>
      <c r="BS81" s="1871">
        <v>2.7262402766759841E-2</v>
      </c>
    </row>
    <row r="82" spans="2:82" ht="15" customHeight="1">
      <c r="B82" s="1772"/>
      <c r="C82" s="1772"/>
      <c r="D82" s="2050" t="s">
        <v>1356</v>
      </c>
      <c r="E82" s="1789"/>
      <c r="F82" s="1806">
        <f>Rev!BT697</f>
        <v>57320</v>
      </c>
      <c r="G82" s="1806">
        <f>Rev!BU697</f>
        <v>61000</v>
      </c>
      <c r="H82" s="1806">
        <f>Rev!BV697</f>
        <v>61700</v>
      </c>
      <c r="I82" s="1806">
        <f>Rev!BW697</f>
        <v>63900</v>
      </c>
      <c r="J82" s="1806">
        <f>Rev!BX697</f>
        <v>67100</v>
      </c>
      <c r="K82" s="1806">
        <f>Rev!BY697</f>
        <v>69500</v>
      </c>
      <c r="L82" s="1806">
        <f>Rev!BZ697</f>
        <v>70800</v>
      </c>
      <c r="M82" s="1807">
        <f>Rev!CA697</f>
        <v>72400</v>
      </c>
      <c r="N82" s="1807">
        <f>Rev!CB697</f>
        <v>74000</v>
      </c>
      <c r="O82" s="1807">
        <f>Rev!CC697</f>
        <v>75100</v>
      </c>
      <c r="P82" s="1807">
        <f>Rev!CD697</f>
        <v>79300</v>
      </c>
      <c r="Q82" s="1807">
        <f>Rev!CE697</f>
        <v>82000</v>
      </c>
      <c r="R82" s="1807">
        <f>Rev!CF697</f>
        <v>83400</v>
      </c>
      <c r="S82" s="1807">
        <f>Rev!CG697</f>
        <v>84700</v>
      </c>
      <c r="T82" s="1807">
        <f>Rev!CH697</f>
        <v>87100</v>
      </c>
      <c r="U82" s="1807">
        <f>Rev!CI697</f>
        <v>89100</v>
      </c>
      <c r="V82" s="1807">
        <f>Rev!CJ697</f>
        <v>91100</v>
      </c>
      <c r="W82" s="1807">
        <f>Rev!CK697</f>
        <v>93000</v>
      </c>
      <c r="X82" s="1807">
        <f>Rev!CL697</f>
        <v>96700</v>
      </c>
      <c r="Y82" s="1807">
        <f>Rev!CM697</f>
        <v>98600</v>
      </c>
      <c r="Z82" s="1807">
        <f>Rev!CN697</f>
        <v>101600</v>
      </c>
      <c r="AA82" s="1807">
        <f>Rev!CO697</f>
        <v>105400</v>
      </c>
      <c r="AB82" s="1807">
        <f>Rev!CP697</f>
        <v>110100</v>
      </c>
      <c r="AC82" s="1807">
        <f>Rev!CQ697</f>
        <v>113700</v>
      </c>
      <c r="AD82" s="1807">
        <f>Rev!CR697</f>
        <v>115200</v>
      </c>
      <c r="AE82" s="1807">
        <f>Rev!CS697</f>
        <v>118500</v>
      </c>
      <c r="AF82" s="1807">
        <f>Rev!CT697</f>
        <v>121400</v>
      </c>
      <c r="AG82" s="1807">
        <f>Rev!CU697</f>
        <v>157400</v>
      </c>
      <c r="AH82" s="1807">
        <f>Rev!CV697</f>
        <v>159400</v>
      </c>
      <c r="AI82" s="1807">
        <f>Rev!CW697</f>
        <v>162300</v>
      </c>
      <c r="AJ82" s="1939">
        <f>Rev!CX697</f>
        <v>166800</v>
      </c>
      <c r="AK82" s="1939">
        <v>171729.2</v>
      </c>
      <c r="AL82" s="2071">
        <f>+AL67+AL72+AL77</f>
        <v>172300</v>
      </c>
      <c r="AM82" s="1808">
        <f>AL82-AK82</f>
        <v>570.79999999998836</v>
      </c>
      <c r="AN82" s="2182">
        <v>181300</v>
      </c>
      <c r="AO82" s="1808">
        <f>AN82-AK82</f>
        <v>9570.7999999999884</v>
      </c>
      <c r="AP82" s="2117"/>
      <c r="AQ82" s="1860"/>
      <c r="AT82" s="1867"/>
      <c r="BD82"/>
      <c r="BG82" s="2012">
        <v>943</v>
      </c>
      <c r="BH82" s="2097" t="s">
        <v>1743</v>
      </c>
      <c r="BI82" s="1871" t="s">
        <v>2582</v>
      </c>
      <c r="BJ82" s="1873">
        <f>+IS!DN15</f>
        <v>949.5250000000002</v>
      </c>
      <c r="BK82" s="1874">
        <v>946.56</v>
      </c>
      <c r="BO82" s="1888"/>
      <c r="BP82" s="1888"/>
      <c r="BQ82" s="1805" t="s">
        <v>1348</v>
      </c>
      <c r="BR82" s="1871">
        <v>0.68</v>
      </c>
      <c r="BS82" s="1871">
        <v>0.68</v>
      </c>
    </row>
    <row r="83" spans="2:82" ht="15" customHeight="1">
      <c r="B83" s="1772"/>
      <c r="C83" s="1772"/>
      <c r="D83" s="2134" t="s">
        <v>1705</v>
      </c>
      <c r="E83" s="1862"/>
      <c r="F83" s="2135"/>
      <c r="G83" s="2135">
        <f>Rev!BU825</f>
        <v>75636</v>
      </c>
      <c r="H83" s="2135">
        <f>Rev!BV825</f>
        <v>79437</v>
      </c>
      <c r="I83" s="2135">
        <f>Rev!BW825</f>
        <v>83489</v>
      </c>
      <c r="J83" s="2135">
        <f>Rev!BX825</f>
        <v>86179</v>
      </c>
      <c r="K83" s="2135">
        <f>Rev!BY825</f>
        <v>89939</v>
      </c>
      <c r="L83" s="2135">
        <f>Rev!BZ825</f>
        <v>90707</v>
      </c>
      <c r="M83" s="2136">
        <f>Rev!CA825</f>
        <v>94578</v>
      </c>
      <c r="N83" s="2136">
        <f>Rev!CB825</f>
        <v>97913</v>
      </c>
      <c r="O83" s="2136">
        <f>Rev!CC825</f>
        <v>101214</v>
      </c>
      <c r="P83" s="2136">
        <f>Rev!CD825</f>
        <v>112000</v>
      </c>
      <c r="Q83" s="2136">
        <f>Rev!CE825</f>
        <v>114100</v>
      </c>
      <c r="R83" s="2136">
        <f>Rev!CF825</f>
        <v>116900</v>
      </c>
      <c r="S83" s="2136">
        <f>Rev!CG825</f>
        <v>120500</v>
      </c>
      <c r="T83" s="2136">
        <f>Rev!CH825</f>
        <v>124100</v>
      </c>
      <c r="U83" s="2136">
        <f>Rev!CI825</f>
        <v>128300</v>
      </c>
      <c r="V83" s="2136">
        <f>Rev!CJ825</f>
        <v>134800</v>
      </c>
      <c r="W83" s="2136">
        <f>Rev!CK825</f>
        <v>138600</v>
      </c>
      <c r="X83" s="2136">
        <f>Rev!CL825</f>
        <v>144400</v>
      </c>
      <c r="Y83" s="2136">
        <f>Rev!CM825</f>
        <v>145100</v>
      </c>
      <c r="Z83" s="2136">
        <f>Rev!CN825</f>
        <v>150600</v>
      </c>
      <c r="AA83" s="2136">
        <f>Rev!CO825</f>
        <v>156700</v>
      </c>
      <c r="AB83" s="2136">
        <f>Rev!CP825</f>
        <v>163700</v>
      </c>
      <c r="AC83" s="2136">
        <f>Rev!CQ825</f>
        <v>171200</v>
      </c>
      <c r="AD83" s="2136">
        <f>Rev!CR825</f>
        <v>176800</v>
      </c>
      <c r="AE83" s="2136">
        <f>Rev!CS825</f>
        <v>182900</v>
      </c>
      <c r="AF83" s="2136">
        <f>Rev!CT825</f>
        <v>188400</v>
      </c>
      <c r="AG83" s="2136">
        <f>Rev!CU825</f>
        <v>230200</v>
      </c>
      <c r="AH83" s="2136">
        <f>Rev!CV825</f>
        <v>237300</v>
      </c>
      <c r="AI83" s="2136">
        <f>Rev!CW825</f>
        <v>242400</v>
      </c>
      <c r="AJ83" s="1940">
        <f>Rev!CX825</f>
        <v>248100</v>
      </c>
      <c r="AK83" s="1940">
        <v>256911.39743023698</v>
      </c>
      <c r="AL83" s="2137">
        <f>+AL68+AL73+AL78</f>
        <v>252200</v>
      </c>
      <c r="AM83" s="2138">
        <f>AL83-AK83</f>
        <v>-4711.3974302369752</v>
      </c>
      <c r="AN83" s="2185"/>
      <c r="AO83" s="2070"/>
      <c r="AP83" s="2062"/>
      <c r="AQ83" s="1860"/>
      <c r="AT83" s="1867"/>
      <c r="BD83"/>
      <c r="BH83" s="1774" t="s">
        <v>95</v>
      </c>
      <c r="BI83" s="1976"/>
      <c r="BJ83" s="1880">
        <f>+IS!DN16</f>
        <v>7.2964747142887365E-3</v>
      </c>
      <c r="BK83" s="1975">
        <f>+BK82/BK99-1</f>
        <v>3.2432432432432101E-3</v>
      </c>
      <c r="BO83" s="1888"/>
      <c r="BP83" s="1888"/>
      <c r="BQ83" s="1805" t="s">
        <v>1539</v>
      </c>
      <c r="BR83" s="1871" t="s">
        <v>395</v>
      </c>
      <c r="BS83" s="1871" t="s">
        <v>392</v>
      </c>
    </row>
    <row r="84" spans="2:82" ht="15" customHeight="1">
      <c r="D84" s="1887"/>
      <c r="E84" s="1887"/>
      <c r="F84" s="1887"/>
      <c r="G84" s="1887"/>
      <c r="H84" s="1887"/>
      <c r="I84" s="1887"/>
      <c r="J84" s="1887"/>
      <c r="K84" s="1887"/>
      <c r="L84" s="1887"/>
      <c r="M84" s="1887"/>
      <c r="N84" s="1887"/>
      <c r="O84" s="1887"/>
      <c r="P84" s="1887"/>
      <c r="Q84" s="1887"/>
      <c r="R84" s="1887"/>
      <c r="S84" s="1887"/>
      <c r="T84" s="1887"/>
      <c r="U84" s="1887"/>
      <c r="V84" s="1887"/>
      <c r="W84" s="1887"/>
      <c r="X84" s="1887"/>
      <c r="Y84" s="1887"/>
      <c r="Z84" s="1887"/>
      <c r="AA84" s="1887"/>
      <c r="AB84" s="1887"/>
      <c r="AC84" s="1887"/>
      <c r="AD84" s="1887"/>
      <c r="AE84" s="1887"/>
      <c r="AF84" s="1887"/>
      <c r="AG84" s="1887"/>
      <c r="AH84" s="1887"/>
      <c r="AI84" s="1887"/>
      <c r="AJ84" s="1887"/>
      <c r="AK84" s="1887"/>
      <c r="AL84" s="1887"/>
      <c r="AM84" s="1887"/>
      <c r="AN84" s="1887"/>
      <c r="AO84" s="1887"/>
      <c r="AP84" s="1887"/>
      <c r="AQ84" s="1887"/>
      <c r="AT84" s="1835"/>
      <c r="BD84"/>
      <c r="BH84" s="1805" t="s">
        <v>1348</v>
      </c>
      <c r="BI84" s="1871" t="s">
        <v>2600</v>
      </c>
      <c r="BJ84" s="1880">
        <f>+IS!DN20</f>
        <v>0.6803243727126721</v>
      </c>
      <c r="BK84" s="1881">
        <v>0.63329999999999997</v>
      </c>
      <c r="BO84" s="1888"/>
      <c r="BP84" s="1888"/>
      <c r="BQ84" s="1805" t="s">
        <v>670</v>
      </c>
      <c r="BR84" s="1871" t="s">
        <v>396</v>
      </c>
      <c r="BS84" s="1871" t="s">
        <v>1350</v>
      </c>
    </row>
    <row r="85" spans="2:82" ht="15" customHeight="1">
      <c r="AM85" s="2139"/>
      <c r="AT85" s="1835"/>
      <c r="AV85" s="1888"/>
      <c r="AW85" s="1888"/>
      <c r="AX85" s="1888"/>
      <c r="AY85" s="1888"/>
      <c r="BB85"/>
      <c r="BC85"/>
      <c r="BD85"/>
      <c r="BH85" s="1805" t="s">
        <v>1539</v>
      </c>
      <c r="BI85" s="1879" t="s">
        <v>2610</v>
      </c>
      <c r="BJ85" s="1873">
        <f>+IS!DN24-IS!DN33+IS!DN34</f>
        <v>218.411</v>
      </c>
      <c r="BK85" s="1873"/>
      <c r="BO85" s="1888"/>
      <c r="BP85" s="1888"/>
      <c r="BQ85" s="1868" t="s">
        <v>1741</v>
      </c>
      <c r="BR85" s="1834">
        <v>0.4614485981308411</v>
      </c>
      <c r="BS85" s="1876">
        <v>0.44074074074074077</v>
      </c>
    </row>
    <row r="86" spans="2:82" s="1867" customFormat="1" ht="15" customHeight="1">
      <c r="AS86" s="1754"/>
      <c r="AU86" s="1754"/>
      <c r="AV86" s="1833" t="s">
        <v>1746</v>
      </c>
      <c r="AW86" s="1902" t="s">
        <v>2476</v>
      </c>
      <c r="AX86" s="1902"/>
      <c r="AY86" s="1902"/>
      <c r="AZ86" s="1902"/>
      <c r="BA86" s="1903"/>
      <c r="BB86" s="1903"/>
      <c r="BC86" s="1903"/>
      <c r="BD86"/>
      <c r="BE86" s="1754"/>
      <c r="BF86" s="1754"/>
      <c r="BG86" s="2012">
        <v>424</v>
      </c>
      <c r="BH86" s="2097" t="s">
        <v>400</v>
      </c>
      <c r="BI86" s="1871" t="s">
        <v>2611</v>
      </c>
      <c r="BJ86" s="1873">
        <f>+IS!DN37</f>
        <v>427.57400000000013</v>
      </c>
      <c r="BK86" s="1874">
        <v>427.04</v>
      </c>
      <c r="BL86" s="1754"/>
      <c r="BM86" s="1754"/>
      <c r="BN86" s="1754"/>
      <c r="BO86" s="1888"/>
      <c r="BP86" s="1888"/>
      <c r="BQ86" s="1805" t="s">
        <v>431</v>
      </c>
      <c r="BR86" s="1830" t="s">
        <v>397</v>
      </c>
      <c r="BS86" s="1871" t="s">
        <v>691</v>
      </c>
      <c r="BT86" s="1754"/>
      <c r="BU86" s="1754"/>
      <c r="BV86" s="1754"/>
      <c r="BW86" s="1754"/>
      <c r="BX86" s="1754"/>
      <c r="BY86" s="1754"/>
      <c r="BZ86" s="1754"/>
      <c r="CA86" s="1754"/>
      <c r="CB86" s="1754"/>
      <c r="CC86" s="1754"/>
      <c r="CD86" s="1754"/>
    </row>
    <row r="87" spans="2:82" s="1867" customFormat="1" ht="15" customHeight="1">
      <c r="AS87" s="1754"/>
      <c r="AT87" s="1835"/>
      <c r="AU87" s="1754"/>
      <c r="AV87" s="1754"/>
      <c r="AW87" s="1805"/>
      <c r="AX87" s="1809" t="s">
        <v>2568</v>
      </c>
      <c r="AY87" s="1809" t="s">
        <v>2538</v>
      </c>
      <c r="AZ87" s="1809" t="s">
        <v>2537</v>
      </c>
      <c r="BA87" s="1809" t="s">
        <v>2515</v>
      </c>
      <c r="BB87" s="1865" t="s">
        <v>240</v>
      </c>
      <c r="BC87" s="1865" t="s">
        <v>442</v>
      </c>
      <c r="BD87"/>
      <c r="BE87" s="1754"/>
      <c r="BF87" s="1754"/>
      <c r="BG87" s="2013"/>
      <c r="BH87" s="2120" t="s">
        <v>1741</v>
      </c>
      <c r="BI87" s="2118">
        <f>+BG86/BG82</f>
        <v>0.44962884411452808</v>
      </c>
      <c r="BJ87" s="2119">
        <f>+BJ86/BJ82</f>
        <v>0.45030304625997214</v>
      </c>
      <c r="BK87" s="2119">
        <f>+BK86/BK82</f>
        <v>0.45114942528735635</v>
      </c>
      <c r="BL87" s="1754"/>
      <c r="BM87" s="1754"/>
      <c r="BN87" s="1754"/>
      <c r="BO87" s="1888"/>
      <c r="BP87" s="1888"/>
      <c r="BQ87" s="1868" t="s">
        <v>1742</v>
      </c>
      <c r="BR87" s="1834">
        <v>0.28037383177570091</v>
      </c>
      <c r="BS87" s="1876">
        <v>0.35185185185185186</v>
      </c>
      <c r="BT87" s="1754"/>
      <c r="BU87" s="1754"/>
      <c r="BV87" s="1754"/>
      <c r="BW87" s="1754"/>
      <c r="BX87" s="1754"/>
      <c r="BY87" s="1754"/>
      <c r="BZ87" s="1754"/>
      <c r="CA87" s="1754"/>
      <c r="CB87" s="1754"/>
      <c r="CC87" s="1754"/>
      <c r="CD87" s="1754"/>
    </row>
    <row r="88" spans="2:82" s="1867" customFormat="1" ht="15" customHeight="1">
      <c r="AS88" s="1754"/>
      <c r="AU88" s="1754"/>
      <c r="AV88" s="2012">
        <v>3612</v>
      </c>
      <c r="AW88" s="1805" t="s">
        <v>1743</v>
      </c>
      <c r="AX88" s="1871" t="s">
        <v>2569</v>
      </c>
      <c r="AY88" s="1871" t="s">
        <v>2539</v>
      </c>
      <c r="AZ88" s="1871" t="s">
        <v>2516</v>
      </c>
      <c r="BA88" s="1871" t="s">
        <v>2478</v>
      </c>
      <c r="BB88" s="1873">
        <f>+IS!U15</f>
        <v>3611.9889999999996</v>
      </c>
      <c r="BC88" s="1874">
        <v>3612.14</v>
      </c>
      <c r="BD88"/>
      <c r="BE88" s="1754"/>
      <c r="BF88" s="1754"/>
      <c r="BG88" s="2012">
        <v>290</v>
      </c>
      <c r="BH88" s="1805" t="s">
        <v>431</v>
      </c>
      <c r="BI88" s="1871" t="s">
        <v>2612</v>
      </c>
      <c r="BJ88" s="1873">
        <f>+BS!CV133</f>
        <v>277.24200000000002</v>
      </c>
      <c r="BK88" s="1874">
        <v>318.7</v>
      </c>
      <c r="BL88" s="1754"/>
      <c r="BM88" s="1754"/>
      <c r="BN88" s="1754"/>
      <c r="BO88" s="1888"/>
      <c r="BP88" s="1888"/>
      <c r="BQ88" s="1805" t="s">
        <v>424</v>
      </c>
      <c r="BR88" s="1830" t="s">
        <v>398</v>
      </c>
      <c r="BS88" s="1871" t="s">
        <v>393</v>
      </c>
      <c r="BT88" s="1754"/>
      <c r="BU88" s="1754"/>
      <c r="BV88" s="1754"/>
      <c r="BW88" s="1754"/>
      <c r="BX88" s="1754"/>
      <c r="BY88" s="1754"/>
      <c r="BZ88" s="1754"/>
      <c r="CA88" s="1754"/>
      <c r="CB88" s="1754"/>
      <c r="CC88" s="1754"/>
      <c r="CD88" s="1754"/>
    </row>
    <row r="89" spans="2:82" s="1867" customFormat="1" ht="15" customHeight="1">
      <c r="AV89" s="1754">
        <f>+IS!T15</f>
        <v>2725.8670000000002</v>
      </c>
      <c r="AW89" s="1774" t="s">
        <v>1322</v>
      </c>
      <c r="AX89" s="1976">
        <f>+AV88/AV89-1</f>
        <v>0.32508299194348056</v>
      </c>
      <c r="AY89" s="1976">
        <v>0.3217812901363124</v>
      </c>
      <c r="AZ89" s="1976">
        <v>0.31884644408549634</v>
      </c>
      <c r="BA89" s="1976">
        <v>0.21290890404968077</v>
      </c>
      <c r="BB89" s="2119">
        <f>+IS!U17</f>
        <v>0.32507895653016061</v>
      </c>
      <c r="BC89" s="1975">
        <f>+BC88/IS!T15-1</f>
        <v>0.32513435174936989</v>
      </c>
      <c r="BD89"/>
      <c r="BE89" s="1754"/>
      <c r="BF89" s="1754"/>
      <c r="BG89" s="1754"/>
      <c r="BH89" s="2120" t="s">
        <v>1742</v>
      </c>
      <c r="BI89" s="2118">
        <f>+BG88/BG82</f>
        <v>0.30752916224814419</v>
      </c>
      <c r="BJ89" s="2119">
        <f>+BJ88/BJ82</f>
        <v>0.29197967404755004</v>
      </c>
      <c r="BK89" s="2119">
        <f>+BK88/BK82</f>
        <v>0.3366928668018932</v>
      </c>
      <c r="BL89" s="1754"/>
      <c r="BM89" s="1754"/>
      <c r="BN89" s="1754"/>
      <c r="BO89" s="1888"/>
      <c r="BP89" s="1888"/>
      <c r="BQ89" s="1805" t="s">
        <v>425</v>
      </c>
      <c r="BR89" s="1830">
        <v>165</v>
      </c>
      <c r="BS89" s="1879">
        <v>50</v>
      </c>
      <c r="BT89" s="1754"/>
      <c r="BU89" s="1754"/>
      <c r="BV89" s="1754"/>
      <c r="BW89" s="1754"/>
      <c r="BX89" s="1754"/>
      <c r="BY89" s="1754"/>
      <c r="BZ89" s="1754"/>
      <c r="CA89" s="1754"/>
      <c r="CB89" s="1754"/>
      <c r="CC89" s="1754"/>
      <c r="CD89" s="1754"/>
    </row>
    <row r="90" spans="2:82" s="1835" customFormat="1" ht="15" customHeight="1">
      <c r="AS90" s="1867"/>
      <c r="AT90" s="1754"/>
      <c r="AU90" s="1867"/>
      <c r="AV90" s="1754"/>
      <c r="AW90" s="1805" t="s">
        <v>1348</v>
      </c>
      <c r="AX90" s="1871">
        <v>0.67</v>
      </c>
      <c r="AY90" s="1871">
        <v>0.68</v>
      </c>
      <c r="AZ90" s="1871" t="s">
        <v>2485</v>
      </c>
      <c r="BA90" s="1871">
        <v>0.69</v>
      </c>
      <c r="BB90" s="1880">
        <f>+IS!U20</f>
        <v>0.67621883676832895</v>
      </c>
      <c r="BC90" s="1881">
        <v>0.63739999999999997</v>
      </c>
      <c r="BD90"/>
      <c r="BE90" s="1754"/>
      <c r="BF90" s="1754"/>
      <c r="BG90" s="1754"/>
      <c r="BH90" s="2097" t="s">
        <v>424</v>
      </c>
      <c r="BI90" s="1871" t="s">
        <v>2613</v>
      </c>
      <c r="BJ90" s="1873">
        <f>+BS!CV124+BS!CV130+BS!CV131</f>
        <v>254.57000000000002</v>
      </c>
      <c r="BK90" s="1873"/>
      <c r="BL90" s="1754"/>
      <c r="BM90" s="1754"/>
      <c r="BN90" s="1754"/>
      <c r="BO90" s="1888"/>
      <c r="BP90" s="1888"/>
      <c r="BQ90" s="1825" t="s">
        <v>665</v>
      </c>
      <c r="BR90" s="1826"/>
      <c r="BS90" s="1887"/>
      <c r="BT90" s="1754"/>
      <c r="BU90" s="1754"/>
      <c r="BV90" s="1754"/>
      <c r="BW90" s="1754"/>
      <c r="BX90" s="1754"/>
      <c r="BY90" s="1754"/>
      <c r="BZ90" s="1754"/>
      <c r="CA90" s="1754"/>
      <c r="CB90" s="1754"/>
      <c r="CC90" s="1754"/>
      <c r="CD90" s="1754"/>
    </row>
    <row r="91" spans="2:82" s="1867" customFormat="1" ht="15" customHeight="1">
      <c r="AT91" s="1754"/>
      <c r="AV91" s="1754"/>
      <c r="AW91" s="1805" t="s">
        <v>1539</v>
      </c>
      <c r="AX91" s="1871" t="s">
        <v>2572</v>
      </c>
      <c r="AY91" s="1871" t="s">
        <v>2544</v>
      </c>
      <c r="AZ91" s="1871" t="s">
        <v>2518</v>
      </c>
      <c r="BA91" s="1871" t="s">
        <v>2498</v>
      </c>
      <c r="BB91" s="1873">
        <f>+IS!U24+IS!U34-IS!U33</f>
        <v>785.02099999999996</v>
      </c>
      <c r="BC91" s="1873"/>
      <c r="BD91"/>
      <c r="BE91" s="1754"/>
      <c r="BF91" s="1754"/>
      <c r="BG91" s="1754"/>
      <c r="BH91" s="2097" t="s">
        <v>1863</v>
      </c>
      <c r="BI91" s="1879">
        <v>30</v>
      </c>
      <c r="BJ91" s="1873">
        <f>+BS!CV127</f>
        <v>22.672000000000001</v>
      </c>
      <c r="BK91" s="1872"/>
      <c r="BL91" s="1754"/>
      <c r="BM91" s="1754"/>
      <c r="BN91" s="1754"/>
      <c r="BO91" s="1888"/>
      <c r="BP91" s="1888"/>
      <c r="BQ91" s="1824" t="s">
        <v>399</v>
      </c>
      <c r="BR91" s="1810"/>
      <c r="BS91" s="1754"/>
      <c r="BT91" s="1754"/>
      <c r="BU91" s="1754"/>
      <c r="BV91" s="1754"/>
      <c r="BW91" s="1754"/>
      <c r="BX91" s="1754"/>
      <c r="BY91" s="1754"/>
      <c r="BZ91" s="1754"/>
      <c r="CA91" s="1754"/>
      <c r="CB91" s="1754"/>
      <c r="CC91" s="1754"/>
      <c r="CD91" s="1754"/>
    </row>
    <row r="92" spans="2:82" s="1835" customFormat="1" ht="15" customHeight="1">
      <c r="AS92" s="1867"/>
      <c r="AT92" s="1754"/>
      <c r="AU92" s="1867"/>
      <c r="AV92" s="2012">
        <v>1653</v>
      </c>
      <c r="AW92" s="1805" t="s">
        <v>400</v>
      </c>
      <c r="AX92" s="1871" t="s">
        <v>2573</v>
      </c>
      <c r="AY92" s="1871" t="s">
        <v>2540</v>
      </c>
      <c r="AZ92" s="1871" t="s">
        <v>2519</v>
      </c>
      <c r="BA92" s="1871" t="s">
        <v>2479</v>
      </c>
      <c r="BB92" s="1873">
        <f>+IS!U37</f>
        <v>1657.4739999999999</v>
      </c>
      <c r="BC92" s="1874">
        <v>1656.7</v>
      </c>
      <c r="BD92"/>
      <c r="BE92" s="1754"/>
      <c r="BF92" s="1754"/>
      <c r="BG92" s="1754"/>
      <c r="BH92" s="2098" t="s">
        <v>2614</v>
      </c>
      <c r="BI92" s="1887"/>
      <c r="BJ92" s="1887"/>
      <c r="BK92" s="1887"/>
      <c r="BL92" s="1754"/>
      <c r="BM92" s="1754"/>
      <c r="BN92" s="1754"/>
      <c r="BO92" s="1888"/>
      <c r="BP92" s="1888"/>
      <c r="BQ92" s="1824" t="s">
        <v>666</v>
      </c>
      <c r="BR92" s="1754"/>
      <c r="BS92" s="1754"/>
      <c r="BT92" s="1754"/>
      <c r="BU92" s="1754"/>
      <c r="BV92" s="1754"/>
      <c r="BW92" s="1754"/>
      <c r="BX92" s="1754"/>
      <c r="BY92" s="1754"/>
      <c r="BZ92" s="1754"/>
      <c r="CA92" s="1754"/>
      <c r="CB92" s="1754"/>
      <c r="CC92" s="1754"/>
      <c r="CD92" s="1754"/>
    </row>
    <row r="93" spans="2:82" s="1867" customFormat="1" ht="15" customHeight="1">
      <c r="AS93" s="1835"/>
      <c r="AT93" s="1754"/>
      <c r="AU93" s="1835"/>
      <c r="AV93" s="2013">
        <f>+SUM(AH21:AJ21,AL21)</f>
        <v>2052.0410000000002</v>
      </c>
      <c r="AW93" s="2120" t="s">
        <v>1741</v>
      </c>
      <c r="AX93" s="2118">
        <f>+AV92/AV88</f>
        <v>0.45764119601328901</v>
      </c>
      <c r="AY93" s="2118">
        <v>0.46155981126838747</v>
      </c>
      <c r="AZ93" s="2118">
        <v>0.45062586926286508</v>
      </c>
      <c r="BA93" s="2118">
        <v>0.45633802816901409</v>
      </c>
      <c r="BB93" s="2119">
        <f>+BB92/BB88</f>
        <v>0.45888124244010714</v>
      </c>
      <c r="BC93" s="2119">
        <f>+BC92/BC88</f>
        <v>0.45864778220113289</v>
      </c>
      <c r="BD93"/>
      <c r="BE93" s="1754"/>
      <c r="BF93" s="1754"/>
      <c r="BG93" s="1888"/>
      <c r="BH93" s="2099" t="s">
        <v>2615</v>
      </c>
      <c r="BI93" s="1831"/>
      <c r="BJ93" s="1831"/>
      <c r="BK93" s="1754"/>
      <c r="BL93" s="1754"/>
      <c r="BM93" s="1754"/>
      <c r="BN93" s="1754"/>
      <c r="BO93" s="1888"/>
      <c r="BP93" s="1888"/>
      <c r="BQ93" s="1824" t="s">
        <v>667</v>
      </c>
      <c r="BR93" s="1754"/>
      <c r="BS93" s="1754"/>
      <c r="BT93" s="1754"/>
      <c r="BU93" s="1754"/>
      <c r="BV93" s="1754"/>
      <c r="BW93" s="1754"/>
      <c r="BX93" s="1754"/>
      <c r="BY93" s="1754"/>
      <c r="BZ93" s="1754"/>
      <c r="CA93" s="1754"/>
      <c r="CB93" s="1754"/>
      <c r="CC93" s="1754"/>
      <c r="CD93" s="1754"/>
    </row>
    <row r="94" spans="2:82" s="1867" customFormat="1" ht="15" customHeight="1">
      <c r="AT94" s="1754"/>
      <c r="AU94" s="1835"/>
      <c r="AV94" s="2121">
        <f>+AV93/AV89</f>
        <v>0.75280305312034668</v>
      </c>
      <c r="AW94" s="2097" t="s">
        <v>1947</v>
      </c>
      <c r="AX94" s="1871" t="s">
        <v>2576</v>
      </c>
      <c r="AY94" s="1871" t="s">
        <v>2565</v>
      </c>
      <c r="AZ94" s="1871" t="s">
        <v>2523</v>
      </c>
      <c r="BA94" s="1871" t="s">
        <v>2480</v>
      </c>
      <c r="BB94" s="1873">
        <f>+CF!U216</f>
        <v>1078.3389999999999</v>
      </c>
      <c r="BC94" s="1874"/>
      <c r="BD94"/>
      <c r="BE94" s="1754"/>
      <c r="BF94" s="1754"/>
      <c r="BG94" s="1888"/>
      <c r="BH94" s="2099" t="s">
        <v>2616</v>
      </c>
      <c r="BI94" s="1831"/>
      <c r="BJ94" s="1831"/>
      <c r="BK94" s="1754"/>
      <c r="BL94" s="1754"/>
      <c r="BM94" s="1754"/>
      <c r="BN94" s="1754"/>
      <c r="BO94" s="1888"/>
      <c r="BP94" s="1888"/>
      <c r="BQ94" s="1824" t="s">
        <v>404</v>
      </c>
      <c r="BR94" s="1754"/>
      <c r="BS94" s="1754"/>
      <c r="BT94" s="1754"/>
      <c r="BU94" s="1754"/>
      <c r="BV94" s="1754"/>
      <c r="BW94" s="1754"/>
      <c r="BX94" s="1754"/>
      <c r="BY94" s="1754"/>
      <c r="BZ94" s="1754"/>
      <c r="CA94" s="1754"/>
      <c r="CB94" s="1754"/>
      <c r="CC94" s="1754"/>
      <c r="CD94" s="1754"/>
    </row>
    <row r="95" spans="2:82" ht="15" customHeight="1">
      <c r="AS95" s="1835"/>
      <c r="AU95" s="1867"/>
      <c r="AV95" s="2012">
        <v>1000</v>
      </c>
      <c r="AW95" s="1805" t="s">
        <v>431</v>
      </c>
      <c r="AX95" s="2333" t="s">
        <v>2578</v>
      </c>
      <c r="AY95" s="1871" t="s">
        <v>2547</v>
      </c>
      <c r="AZ95" s="1871" t="s">
        <v>2481</v>
      </c>
      <c r="BA95" s="1871" t="s">
        <v>2481</v>
      </c>
      <c r="BB95" s="1873">
        <f>+BS!U133</f>
        <v>1113.365</v>
      </c>
      <c r="BC95" s="1874">
        <v>1033.5999999999999</v>
      </c>
      <c r="BD95"/>
      <c r="BH95" s="2099" t="s">
        <v>2617</v>
      </c>
      <c r="BI95" s="1831"/>
      <c r="BJ95" s="1831"/>
      <c r="BO95" s="1888"/>
      <c r="BP95" s="1888"/>
      <c r="BQ95" s="1824" t="s">
        <v>668</v>
      </c>
    </row>
    <row r="96" spans="2:82" ht="15" customHeight="1">
      <c r="AS96" s="1867"/>
      <c r="AU96" s="1835"/>
      <c r="AW96" s="2120" t="s">
        <v>1742</v>
      </c>
      <c r="AX96" s="2118">
        <f>+AV95/AV88</f>
        <v>0.27685492801771872</v>
      </c>
      <c r="AY96" s="2118">
        <v>0.27060782681099083</v>
      </c>
      <c r="AZ96" s="2118">
        <v>0.26425591098748263</v>
      </c>
      <c r="BA96" s="2118">
        <v>0.26760563380281688</v>
      </c>
      <c r="BB96" s="2119">
        <f>+BB95/BB88</f>
        <v>0.3082415256524868</v>
      </c>
      <c r="BC96" s="2119">
        <f>+BC95/BC88</f>
        <v>0.28614616266257675</v>
      </c>
      <c r="BH96" s="2033"/>
      <c r="BI96" s="1831"/>
      <c r="BJ96" s="1831"/>
      <c r="BO96" s="1888"/>
      <c r="BP96" s="1888"/>
      <c r="BQ96" s="1824" t="s">
        <v>399</v>
      </c>
    </row>
    <row r="97" spans="45:82" ht="15" customHeight="1">
      <c r="AS97" s="1867"/>
      <c r="AU97" s="1867"/>
      <c r="AW97" s="2097" t="s">
        <v>424</v>
      </c>
      <c r="AX97" s="2333" t="s">
        <v>2579</v>
      </c>
      <c r="AY97" s="1871" t="s">
        <v>2548</v>
      </c>
      <c r="AZ97" s="1871" t="s">
        <v>2525</v>
      </c>
      <c r="BA97" s="1871" t="s">
        <v>2482</v>
      </c>
      <c r="BB97" s="1873">
        <f>+BS!U124+BS!U130+BS!U131</f>
        <v>971.54599999999994</v>
      </c>
      <c r="BC97" s="1873"/>
      <c r="BG97" s="1833" t="s">
        <v>1746</v>
      </c>
      <c r="BH97" s="1902" t="s">
        <v>2567</v>
      </c>
      <c r="BI97" s="1903"/>
      <c r="BJ97" s="1903"/>
      <c r="BK97" s="1903"/>
      <c r="BO97" s="1888"/>
      <c r="BP97" s="1888"/>
      <c r="BQ97" s="1824" t="s">
        <v>669</v>
      </c>
    </row>
    <row r="98" spans="45:82" ht="15" customHeight="1">
      <c r="AU98" s="1867"/>
      <c r="AW98" s="2097" t="s">
        <v>1863</v>
      </c>
      <c r="AX98" s="1879">
        <v>147</v>
      </c>
      <c r="AY98" s="1879">
        <v>145</v>
      </c>
      <c r="AZ98" s="1879">
        <v>145</v>
      </c>
      <c r="BA98" s="1879">
        <v>140</v>
      </c>
      <c r="BB98" s="1873">
        <f>+BS!U127</f>
        <v>141.81900000000002</v>
      </c>
      <c r="BC98" s="1872"/>
      <c r="BH98" s="1805"/>
      <c r="BI98" s="1809" t="s">
        <v>1740</v>
      </c>
      <c r="BJ98" s="1865" t="s">
        <v>240</v>
      </c>
      <c r="BK98" s="1865" t="s">
        <v>442</v>
      </c>
      <c r="BO98" s="1888"/>
      <c r="BP98" s="1888"/>
      <c r="BQ98" s="1824" t="s">
        <v>403</v>
      </c>
    </row>
    <row r="99" spans="45:82" ht="15" customHeight="1">
      <c r="AW99" s="2098" t="s">
        <v>2571</v>
      </c>
      <c r="AX99" s="1825"/>
      <c r="AY99" s="1825"/>
      <c r="AZ99" s="1825"/>
      <c r="BA99" s="1825"/>
      <c r="BB99" s="1825"/>
      <c r="BC99" s="1825"/>
      <c r="BG99" s="2012">
        <v>943</v>
      </c>
      <c r="BH99" s="2097" t="s">
        <v>1743</v>
      </c>
      <c r="BI99" s="1871" t="s">
        <v>2582</v>
      </c>
      <c r="BJ99" s="1873">
        <f>+IS!DM15</f>
        <v>942.64700000000005</v>
      </c>
      <c r="BK99" s="1874">
        <v>943.5</v>
      </c>
      <c r="BP99" s="1888"/>
    </row>
    <row r="100" spans="45:82" s="1867" customFormat="1" ht="15" customHeight="1">
      <c r="AS100" s="1754"/>
      <c r="AT100" s="1754"/>
      <c r="AU100" s="1754"/>
      <c r="AV100" s="1754"/>
      <c r="AW100" s="2099" t="s">
        <v>2570</v>
      </c>
      <c r="AX100" s="1824"/>
      <c r="AY100" s="1824"/>
      <c r="AZ100" s="1824"/>
      <c r="BA100" s="1754"/>
      <c r="BB100"/>
      <c r="BC100"/>
      <c r="BD100" s="1754"/>
      <c r="BE100" s="1754"/>
      <c r="BF100" s="1754"/>
      <c r="BG100" s="1754"/>
      <c r="BH100" s="1774" t="s">
        <v>95</v>
      </c>
      <c r="BI100" s="1976">
        <f>+BG99/AL11-1</f>
        <v>-0.2143113643237371</v>
      </c>
      <c r="BJ100" s="1880">
        <f>+IS!DM16</f>
        <v>1.9434915581241663E-2</v>
      </c>
      <c r="BK100" s="1975">
        <f>+BK99/920.14-1</f>
        <v>2.5387441041580638E-2</v>
      </c>
      <c r="BL100" s="1754"/>
      <c r="BM100" s="1754"/>
      <c r="BN100" s="1754"/>
      <c r="BO100" s="1888"/>
      <c r="BP100" s="1888"/>
      <c r="BQ100" s="1754"/>
      <c r="BR100" s="1754"/>
      <c r="BS100" s="1754"/>
      <c r="BT100" s="1754"/>
      <c r="BU100" s="1754"/>
      <c r="BV100" s="1754"/>
      <c r="BW100" s="1754"/>
      <c r="BX100" s="1754"/>
      <c r="BY100" s="1754"/>
      <c r="BZ100" s="1754"/>
      <c r="CA100" s="1754"/>
      <c r="CB100" s="1754"/>
      <c r="CC100" s="1754"/>
      <c r="CD100" s="1754"/>
    </row>
    <row r="101" spans="45:82" s="1867" customFormat="1" ht="15" customHeight="1">
      <c r="AS101" s="1754"/>
      <c r="AT101" s="1754"/>
      <c r="AU101" s="1754"/>
      <c r="AV101" s="1754"/>
      <c r="AW101" s="2099" t="s">
        <v>2575</v>
      </c>
      <c r="AX101" s="1824"/>
      <c r="AY101" s="1824"/>
      <c r="AZ101" s="1824"/>
      <c r="BA101" s="1754"/>
      <c r="BB101"/>
      <c r="BC101"/>
      <c r="BD101" s="1754"/>
      <c r="BE101" s="1754"/>
      <c r="BF101" s="1754"/>
      <c r="BG101" s="1754"/>
      <c r="BH101" s="1805" t="s">
        <v>1348</v>
      </c>
      <c r="BI101" s="1871">
        <v>0.67</v>
      </c>
      <c r="BJ101" s="1880">
        <f>+IS!DM20</f>
        <v>0.68011355258118888</v>
      </c>
      <c r="BK101" s="1881">
        <v>0.64729999999999999</v>
      </c>
      <c r="BL101" s="1754"/>
      <c r="BM101" s="1754"/>
      <c r="BN101" s="1754"/>
      <c r="BO101" s="1888"/>
      <c r="BP101" s="1888"/>
      <c r="BQ101" s="1824" t="s">
        <v>399</v>
      </c>
      <c r="BR101" s="1754"/>
      <c r="BS101" s="1754"/>
      <c r="BT101" s="1754"/>
      <c r="BU101" s="1754"/>
      <c r="BV101" s="1754"/>
      <c r="BW101" s="1754"/>
      <c r="BX101" s="1754"/>
      <c r="BY101" s="1754"/>
      <c r="BZ101" s="1754"/>
      <c r="CA101" s="1754"/>
      <c r="CB101" s="1754"/>
      <c r="CC101" s="1754"/>
      <c r="CD101" s="1754"/>
    </row>
    <row r="102" spans="45:82" s="1867" customFormat="1" ht="15" customHeight="1">
      <c r="AS102" s="1754"/>
      <c r="AT102" s="1754"/>
      <c r="AU102" s="1754"/>
      <c r="AV102" s="1754"/>
      <c r="AW102" s="2099" t="s">
        <v>2574</v>
      </c>
      <c r="AX102" s="1754"/>
      <c r="AY102" s="1754"/>
      <c r="AZ102" s="1754"/>
      <c r="BA102" s="1754"/>
      <c r="BB102"/>
      <c r="BC102"/>
      <c r="BD102" s="1754"/>
      <c r="BE102" s="1754"/>
      <c r="BF102" s="1754"/>
      <c r="BG102" s="1754"/>
      <c r="BH102" s="1805" t="s">
        <v>1539</v>
      </c>
      <c r="BI102" s="1879" t="s">
        <v>2552</v>
      </c>
      <c r="BJ102" s="1873">
        <f>+IS!DM24+IS!DM33-IS!DM34</f>
        <v>204.61599999999999</v>
      </c>
      <c r="BK102" s="1873"/>
      <c r="BL102" s="1754"/>
      <c r="BM102" s="1754"/>
      <c r="BN102" s="1754"/>
      <c r="BO102" s="1888"/>
      <c r="BP102" s="1888"/>
      <c r="BQ102" s="1824" t="s">
        <v>669</v>
      </c>
      <c r="BR102" s="1754"/>
      <c r="BS102" s="1754"/>
      <c r="BT102" s="1754"/>
      <c r="BU102" s="1754"/>
      <c r="BV102" s="1754"/>
      <c r="BW102" s="1754"/>
      <c r="BX102" s="1754"/>
      <c r="BY102" s="1754"/>
      <c r="BZ102" s="1754"/>
      <c r="CA102" s="1754"/>
      <c r="CB102" s="1754"/>
      <c r="CC102" s="1754"/>
      <c r="CD102" s="1754"/>
    </row>
    <row r="103" spans="45:82" s="1867" customFormat="1" ht="15" customHeight="1">
      <c r="AT103" s="1754"/>
      <c r="AU103" s="1754"/>
      <c r="AV103" s="1754"/>
      <c r="AW103" s="2099" t="s">
        <v>2546</v>
      </c>
      <c r="AX103" s="1754"/>
      <c r="AY103" s="1754"/>
      <c r="AZ103" s="1754"/>
      <c r="BA103" s="1754"/>
      <c r="BB103"/>
      <c r="BC103"/>
      <c r="BD103" s="1754"/>
      <c r="BE103" s="1754"/>
      <c r="BF103" s="1754"/>
      <c r="BG103" s="2012">
        <v>432</v>
      </c>
      <c r="BH103" s="2097" t="s">
        <v>400</v>
      </c>
      <c r="BI103" s="1871" t="s">
        <v>2584</v>
      </c>
      <c r="BJ103" s="1873">
        <f>+IS!DM37</f>
        <v>436.49099999999999</v>
      </c>
      <c r="BK103" s="1874">
        <v>434.6</v>
      </c>
      <c r="BL103" s="1754"/>
      <c r="BM103" s="1754"/>
      <c r="BN103" s="1754"/>
      <c r="BO103" s="1888"/>
      <c r="BP103" s="1888"/>
      <c r="BQ103" s="1824" t="s">
        <v>403</v>
      </c>
      <c r="BR103" s="1754"/>
      <c r="BS103" s="1754"/>
      <c r="BT103" s="1754"/>
      <c r="BU103" s="1754"/>
      <c r="BV103" s="1754"/>
      <c r="BW103" s="1754"/>
      <c r="BX103" s="1754"/>
      <c r="BY103" s="1754"/>
      <c r="BZ103" s="1754"/>
      <c r="CA103" s="1754"/>
      <c r="CB103" s="1754"/>
    </row>
    <row r="104" spans="45:82" s="1835" customFormat="1" ht="15" customHeight="1">
      <c r="AS104" s="1867"/>
      <c r="AT104" s="1754"/>
      <c r="AU104" s="1754"/>
      <c r="AV104" s="1754"/>
      <c r="AW104" s="2099" t="s">
        <v>2577</v>
      </c>
      <c r="AX104" s="1754"/>
      <c r="AY104" s="1754"/>
      <c r="AZ104" s="1754"/>
      <c r="BA104" s="1754"/>
      <c r="BB104"/>
      <c r="BC104"/>
      <c r="BD104" s="1754"/>
      <c r="BE104" s="1754"/>
      <c r="BF104" s="1754"/>
      <c r="BG104" s="2013"/>
      <c r="BH104" s="2120" t="s">
        <v>1741</v>
      </c>
      <c r="BI104" s="2118">
        <f>+BG103/BG99</f>
        <v>0.45811240721102864</v>
      </c>
      <c r="BJ104" s="2119">
        <f>+BJ103/BJ99</f>
        <v>0.46304820362235277</v>
      </c>
      <c r="BK104" s="2119">
        <f>+BK103/BK99</f>
        <v>0.46062533121356652</v>
      </c>
      <c r="BL104" s="1754"/>
      <c r="BM104" s="1754"/>
      <c r="BN104" s="1754"/>
      <c r="BO104" s="1888"/>
      <c r="BP104" s="1888"/>
      <c r="BQ104" s="1754"/>
      <c r="BR104" s="1754"/>
      <c r="BS104" s="1754"/>
      <c r="BT104" s="1754"/>
      <c r="BU104" s="1754"/>
      <c r="BV104" s="1754"/>
      <c r="BW104" s="1754"/>
      <c r="BX104" s="1754"/>
      <c r="BY104" s="1754"/>
      <c r="BZ104" s="1754"/>
      <c r="CA104" s="1754"/>
      <c r="CB104" s="1754"/>
      <c r="CC104" s="1867"/>
      <c r="CD104" s="1867"/>
    </row>
    <row r="105" spans="45:82" s="1867" customFormat="1" ht="15" customHeight="1">
      <c r="AT105" s="1754"/>
      <c r="AU105" s="1754"/>
      <c r="AV105" s="1754"/>
      <c r="AW105" s="2099" t="s">
        <v>2581</v>
      </c>
      <c r="AX105" s="1754"/>
      <c r="AY105" s="1754"/>
      <c r="AZ105" s="1754"/>
      <c r="BA105" s="1754"/>
      <c r="BB105" s="1754"/>
      <c r="BC105" s="1754"/>
      <c r="BD105" s="1754"/>
      <c r="BE105" s="1754"/>
      <c r="BF105" s="1754"/>
      <c r="BG105" s="2012">
        <v>273</v>
      </c>
      <c r="BH105" s="1805" t="s">
        <v>431</v>
      </c>
      <c r="BI105" s="1879">
        <v>273</v>
      </c>
      <c r="BJ105" s="1873">
        <f>+BS!CU133</f>
        <v>386.32100000000003</v>
      </c>
      <c r="BK105" s="1874">
        <v>323.94</v>
      </c>
      <c r="BL105" s="1754"/>
      <c r="BM105" s="1754"/>
      <c r="BN105" s="1754"/>
      <c r="BO105" s="1888"/>
      <c r="BP105" s="1888"/>
      <c r="BQ105" s="1754"/>
      <c r="BR105" s="1754"/>
      <c r="BS105" s="1754"/>
      <c r="BT105" s="1754"/>
      <c r="CA105" s="1754"/>
      <c r="CB105" s="1754"/>
    </row>
    <row r="106" spans="45:82" s="1835" customFormat="1" ht="15" customHeight="1">
      <c r="AS106" s="1867"/>
      <c r="AT106" s="1754"/>
      <c r="AU106" s="1754"/>
      <c r="AV106" s="1754"/>
      <c r="AW106" s="2099" t="s">
        <v>2580</v>
      </c>
      <c r="AX106" s="1754"/>
      <c r="AY106" s="1754"/>
      <c r="AZ106" s="1754"/>
      <c r="BA106" s="1754"/>
      <c r="BB106" s="1754"/>
      <c r="BC106" s="1754"/>
      <c r="BD106" s="1754"/>
      <c r="BE106" s="1754"/>
      <c r="BF106" s="1754"/>
      <c r="BG106" s="1754"/>
      <c r="BH106" s="2120" t="s">
        <v>1742</v>
      </c>
      <c r="BI106" s="2118">
        <f>+BG105/BG99</f>
        <v>0.28950159066808057</v>
      </c>
      <c r="BJ106" s="2119">
        <f>+BJ105/BJ99</f>
        <v>0.40982573540254202</v>
      </c>
      <c r="BK106" s="2119">
        <f>+BK105/BK99</f>
        <v>0.34333863275039744</v>
      </c>
      <c r="BL106" s="1754"/>
      <c r="BM106" s="1754"/>
      <c r="BN106" s="1754"/>
      <c r="BO106" s="1888"/>
      <c r="BP106" s="1888"/>
      <c r="BQ106" s="1754"/>
      <c r="BR106" s="1754"/>
      <c r="BS106" s="1754"/>
      <c r="BT106" s="1754"/>
      <c r="BU106" s="1867"/>
      <c r="BV106" s="1867"/>
      <c r="BW106" s="1867"/>
      <c r="BX106" s="1867"/>
      <c r="BY106" s="1867"/>
      <c r="BZ106" s="1867"/>
      <c r="CA106" s="1867"/>
      <c r="CB106" s="1867"/>
      <c r="CC106" s="1867"/>
      <c r="CD106" s="1867"/>
    </row>
    <row r="107" spans="45:82" s="1867" customFormat="1" ht="15" customHeight="1">
      <c r="AS107" s="1835"/>
      <c r="AT107" s="1754"/>
      <c r="AU107" s="1754"/>
      <c r="AV107" s="1754"/>
      <c r="AW107" s="2099"/>
      <c r="AX107" s="1754"/>
      <c r="AY107" s="1754"/>
      <c r="AZ107" s="1754"/>
      <c r="BA107" s="1754"/>
      <c r="BB107" s="1754"/>
      <c r="BC107" s="1754"/>
      <c r="BD107" s="1754"/>
      <c r="BE107" s="1754"/>
      <c r="BF107" s="1754"/>
      <c r="BG107" s="1754"/>
      <c r="BH107" s="2097" t="s">
        <v>424</v>
      </c>
      <c r="BI107" s="1879">
        <v>231</v>
      </c>
      <c r="BJ107" s="1873">
        <f>+BS!CU124+BS!CU130+BS!CU131</f>
        <v>349.84500000000003</v>
      </c>
      <c r="BK107" s="1873"/>
      <c r="BL107" s="1754"/>
      <c r="BM107" s="1754"/>
      <c r="BN107" s="1754"/>
      <c r="BO107" s="1888"/>
      <c r="BP107" s="1888"/>
      <c r="BQ107" s="1754"/>
      <c r="BR107" s="1754"/>
      <c r="BS107" s="1754"/>
      <c r="BT107" s="1754"/>
      <c r="CC107" s="1835"/>
      <c r="CD107" s="1835"/>
    </row>
    <row r="108" spans="45:82" s="1867" customFormat="1" ht="15" customHeight="1">
      <c r="AT108" s="1754"/>
      <c r="AU108" s="1754"/>
      <c r="AV108" s="2106" t="s">
        <v>2535</v>
      </c>
      <c r="AW108" s="2099" t="s">
        <v>2541</v>
      </c>
      <c r="AX108" s="1754"/>
      <c r="AY108" s="1754"/>
      <c r="AZ108" s="1754"/>
      <c r="BA108" s="1754"/>
      <c r="BB108" s="1754"/>
      <c r="BC108" s="1754"/>
      <c r="BD108" s="1754"/>
      <c r="BE108" s="1754"/>
      <c r="BF108" s="1754"/>
      <c r="BG108" s="1754"/>
      <c r="BH108" s="2097" t="s">
        <v>1863</v>
      </c>
      <c r="BI108" s="1879">
        <v>42</v>
      </c>
      <c r="BJ108" s="1873">
        <f>+BS!CU127</f>
        <v>36.475999999999999</v>
      </c>
      <c r="BK108" s="1872"/>
      <c r="BL108" s="1754"/>
      <c r="BM108" s="1754"/>
      <c r="BN108" s="1754"/>
      <c r="BO108" s="1888"/>
      <c r="BP108" s="1888"/>
      <c r="BQ108" s="1754"/>
      <c r="BR108" s="1754"/>
      <c r="BS108" s="1754"/>
      <c r="BT108" s="1754"/>
    </row>
    <row r="109" spans="45:82" ht="15" customHeight="1">
      <c r="AS109" s="1835"/>
      <c r="AW109" s="2099" t="s">
        <v>2543</v>
      </c>
      <c r="BH109" s="2098" t="s">
        <v>2583</v>
      </c>
      <c r="BI109" s="1887"/>
      <c r="BJ109" s="1887"/>
      <c r="BK109" s="1887"/>
      <c r="BO109" s="1888"/>
      <c r="BP109" s="1888"/>
      <c r="BU109" s="1835"/>
      <c r="BV109" s="1835"/>
      <c r="BW109" s="1835"/>
      <c r="BX109" s="1835"/>
      <c r="BY109" s="1835"/>
      <c r="BZ109" s="1835"/>
      <c r="CA109" s="1867"/>
      <c r="CB109" s="1867"/>
      <c r="CC109" s="1835"/>
      <c r="CD109" s="1835"/>
    </row>
    <row r="110" spans="45:82" ht="15" customHeight="1">
      <c r="AS110" s="1867"/>
      <c r="AW110" s="2099" t="s">
        <v>2542</v>
      </c>
      <c r="BG110" s="1888"/>
      <c r="BH110" s="2099" t="s">
        <v>2556</v>
      </c>
      <c r="BI110" s="1831"/>
      <c r="BJ110" s="1831"/>
      <c r="BO110" s="1888"/>
      <c r="BP110" s="1888"/>
      <c r="BU110" s="1867"/>
      <c r="BV110" s="1867"/>
      <c r="BW110" s="1867"/>
      <c r="BX110" s="1867"/>
      <c r="BY110" s="1867"/>
      <c r="BZ110" s="1867"/>
      <c r="CA110" s="1835"/>
      <c r="CB110" s="1835"/>
      <c r="CC110" s="1867"/>
      <c r="CD110" s="1867"/>
    </row>
    <row r="111" spans="45:82" ht="15" customHeight="1">
      <c r="AS111" s="1867"/>
      <c r="AW111" s="2099" t="s">
        <v>2545</v>
      </c>
      <c r="BG111" s="1888"/>
      <c r="BH111" s="2099" t="s">
        <v>2585</v>
      </c>
      <c r="BI111" s="1831"/>
      <c r="BJ111" s="1831"/>
      <c r="BO111" s="1888"/>
      <c r="BP111" s="1888"/>
      <c r="BU111" s="1835"/>
      <c r="BV111" s="1835"/>
      <c r="BW111" s="1835"/>
      <c r="BX111" s="1835"/>
      <c r="BY111" s="1835"/>
      <c r="BZ111" s="1835"/>
      <c r="CA111" s="1867"/>
      <c r="CB111" s="1867"/>
      <c r="CC111" s="1867"/>
      <c r="CD111" s="1867"/>
    </row>
    <row r="112" spans="45:82" s="1867" customFormat="1" ht="15" customHeight="1">
      <c r="AS112" s="1754"/>
      <c r="AT112" s="1754"/>
      <c r="AU112" s="1754"/>
      <c r="AV112" s="1754"/>
      <c r="AW112" s="2099" t="s">
        <v>2546</v>
      </c>
      <c r="AX112" s="1754"/>
      <c r="AY112" s="1754"/>
      <c r="AZ112" s="1754"/>
      <c r="BA112" s="1754"/>
      <c r="BB112" s="1754"/>
      <c r="BC112" s="1754"/>
      <c r="BD112" s="1754"/>
      <c r="BE112" s="1754"/>
      <c r="BF112" s="1754"/>
      <c r="BG112" s="1754"/>
      <c r="BH112" s="2099" t="s">
        <v>2558</v>
      </c>
      <c r="BI112" s="1831"/>
      <c r="BJ112" s="1831"/>
      <c r="BK112" s="1754"/>
      <c r="BL112" s="1754"/>
      <c r="BM112" s="1754"/>
      <c r="BN112" s="1754"/>
      <c r="BO112" s="1888"/>
      <c r="BP112" s="1888"/>
      <c r="BQ112" s="1754"/>
      <c r="BR112" s="1754"/>
      <c r="BS112" s="1754"/>
      <c r="BT112" s="1754"/>
      <c r="CA112" s="1835"/>
      <c r="CB112" s="1835"/>
      <c r="CC112" s="1754"/>
      <c r="CD112" s="1754"/>
    </row>
    <row r="113" spans="45:85" s="1867" customFormat="1" ht="15" customHeight="1">
      <c r="AS113" s="1754"/>
      <c r="AT113" s="1754"/>
      <c r="AU113" s="1754"/>
      <c r="AV113" s="1754"/>
      <c r="AW113" s="2099" t="s">
        <v>2524</v>
      </c>
      <c r="AX113" s="1754"/>
      <c r="AY113" s="1754"/>
      <c r="AZ113" s="1754"/>
      <c r="BA113" s="1754"/>
      <c r="BB113" s="1754"/>
      <c r="BC113" s="1754"/>
      <c r="BD113" s="1754"/>
      <c r="BE113" s="1754"/>
      <c r="BF113" s="1754"/>
      <c r="BG113" s="1754"/>
      <c r="BH113" s="2033"/>
      <c r="BI113" s="1831"/>
      <c r="BJ113" s="1831"/>
      <c r="BK113" s="1754"/>
      <c r="BL113" s="1754"/>
      <c r="BM113" s="1754"/>
      <c r="BN113" s="1754"/>
      <c r="BO113" s="1888"/>
      <c r="BP113" s="1888"/>
      <c r="BQ113" s="1754"/>
      <c r="BR113" s="1754"/>
      <c r="BS113" s="1754"/>
      <c r="BT113" s="1754"/>
      <c r="CC113" s="1754"/>
      <c r="CD113" s="1754"/>
    </row>
    <row r="114" spans="45:85" s="1867" customFormat="1" ht="15" customHeight="1">
      <c r="AS114" s="1754"/>
      <c r="AT114" s="1754"/>
      <c r="AU114" s="1754"/>
      <c r="AV114" s="1754"/>
      <c r="AW114" s="2099" t="s">
        <v>2550</v>
      </c>
      <c r="AX114" s="1754"/>
      <c r="AY114" s="1754"/>
      <c r="AZ114" s="1754"/>
      <c r="BA114" s="1754"/>
      <c r="BB114" s="1754"/>
      <c r="BC114" s="1754"/>
      <c r="BD114" s="1754"/>
      <c r="BE114" s="1754"/>
      <c r="BF114" s="1754"/>
      <c r="BG114" s="1833" t="s">
        <v>1746</v>
      </c>
      <c r="BH114" s="1902" t="s">
        <v>2536</v>
      </c>
      <c r="BI114" s="1903"/>
      <c r="BJ114" s="1903"/>
      <c r="BK114" s="1903"/>
      <c r="BL114" s="1754"/>
      <c r="BM114" s="1754"/>
      <c r="BN114" s="1754"/>
      <c r="BO114" s="1888"/>
      <c r="BP114" s="1888"/>
      <c r="BQ114" s="1754"/>
      <c r="BR114" s="1754"/>
      <c r="BS114" s="1754"/>
      <c r="BT114" s="1754"/>
      <c r="BU114" s="1754"/>
      <c r="BV114" s="1754"/>
      <c r="BW114" s="1754"/>
      <c r="BX114" s="1754"/>
      <c r="BY114" s="1754"/>
      <c r="BZ114" s="1754"/>
      <c r="CC114" s="1754"/>
      <c r="CD114" s="1754"/>
    </row>
    <row r="115" spans="45:85" s="1867" customFormat="1" ht="15" customHeight="1">
      <c r="AT115" s="1754"/>
      <c r="AU115" s="1754"/>
      <c r="AV115" s="1754"/>
      <c r="AW115" s="2099" t="s">
        <v>2549</v>
      </c>
      <c r="AX115" s="1754"/>
      <c r="AY115" s="1754"/>
      <c r="AZ115" s="1754"/>
      <c r="BA115" s="1754"/>
      <c r="BB115" s="1754"/>
      <c r="BC115" s="1754"/>
      <c r="BD115" s="1754"/>
      <c r="BE115" s="1754"/>
      <c r="BF115" s="1754"/>
      <c r="BG115" s="1754"/>
      <c r="BH115" s="1805"/>
      <c r="BI115" s="1809" t="s">
        <v>1740</v>
      </c>
      <c r="BJ115" s="1865" t="s">
        <v>240</v>
      </c>
      <c r="BK115" s="1865" t="s">
        <v>442</v>
      </c>
      <c r="BL115" s="1754"/>
      <c r="BM115" s="1754"/>
      <c r="BN115" s="1754"/>
      <c r="BO115" s="1888"/>
      <c r="BP115" s="1888"/>
      <c r="BQ115" s="1754"/>
      <c r="BR115" s="1754"/>
      <c r="BS115" s="1754"/>
      <c r="BT115" s="1754"/>
      <c r="BU115" s="1754"/>
      <c r="BV115" s="1754"/>
      <c r="BW115" s="1754"/>
      <c r="BX115" s="1754"/>
      <c r="BY115" s="1754"/>
      <c r="BZ115" s="1754"/>
      <c r="CA115" s="1754"/>
      <c r="CB115" s="1754"/>
      <c r="CC115" s="1754"/>
      <c r="CD115" s="1754"/>
    </row>
    <row r="116" spans="45:85" s="1835" customFormat="1" ht="15" customHeight="1">
      <c r="AS116" s="1867"/>
      <c r="AT116" s="1754"/>
      <c r="AU116" s="1754"/>
      <c r="AV116" s="1754"/>
      <c r="AW116" s="2099"/>
      <c r="AX116" s="1754"/>
      <c r="AY116" s="1754"/>
      <c r="AZ116" s="1754"/>
      <c r="BA116" s="1754"/>
      <c r="BB116" s="1754"/>
      <c r="BC116" s="1754"/>
      <c r="BD116" s="1754"/>
      <c r="BE116" s="1867"/>
      <c r="BF116" s="1754"/>
      <c r="BG116" s="2012">
        <v>918</v>
      </c>
      <c r="BH116" s="2097" t="s">
        <v>988</v>
      </c>
      <c r="BI116" s="1871" t="s">
        <v>2551</v>
      </c>
      <c r="BJ116" s="1873">
        <f>+IS!DL15</f>
        <v>924.67599999999993</v>
      </c>
      <c r="BK116" s="1874">
        <v>920.14</v>
      </c>
      <c r="BL116" s="1754"/>
      <c r="BM116" s="1754"/>
      <c r="BN116" s="1754"/>
      <c r="BO116" s="1888"/>
      <c r="BP116" s="1888"/>
      <c r="BQ116" s="1754"/>
      <c r="BR116" s="1754"/>
      <c r="BS116" s="1754"/>
      <c r="BT116" s="1754"/>
      <c r="BU116" s="1754"/>
      <c r="BV116" s="1754"/>
      <c r="BW116" s="1754"/>
      <c r="BX116" s="1754"/>
      <c r="BY116" s="1754"/>
      <c r="BZ116" s="1754"/>
      <c r="CA116" s="1754"/>
      <c r="CB116" s="1754"/>
      <c r="CC116" s="1754"/>
      <c r="CD116" s="1754"/>
    </row>
    <row r="117" spans="45:85" s="1867" customFormat="1" ht="15" customHeight="1">
      <c r="AT117" s="1754"/>
      <c r="AU117" s="1754"/>
      <c r="AV117" s="2106" t="s">
        <v>2124</v>
      </c>
      <c r="AW117" s="2099" t="s">
        <v>2528</v>
      </c>
      <c r="AX117" s="1754"/>
      <c r="AY117" s="1754"/>
      <c r="AZ117" s="1754"/>
      <c r="BA117" s="1754"/>
      <c r="BB117" s="1754"/>
      <c r="BC117" s="1754"/>
      <c r="BD117" s="1754"/>
      <c r="BF117" s="1754"/>
      <c r="BG117" s="1754"/>
      <c r="BH117" s="1774" t="s">
        <v>95</v>
      </c>
      <c r="BI117" s="1976">
        <f>+BG116/AL11-1</f>
        <v>-0.23514086155799641</v>
      </c>
      <c r="BJ117" s="1880">
        <f>+IS!DL16</f>
        <v>2.6835904098788443E-2</v>
      </c>
      <c r="BK117" s="1975">
        <f>+BK116/893.38-1</f>
        <v>2.9953659137209154E-2</v>
      </c>
      <c r="BL117" s="1754"/>
      <c r="BM117" s="1754"/>
      <c r="BN117" s="1754"/>
      <c r="BO117" s="1888"/>
      <c r="BP117" s="1888"/>
      <c r="BQ117" s="1754"/>
      <c r="BR117" s="1754"/>
      <c r="BS117" s="1754"/>
      <c r="BT117" s="1754"/>
      <c r="BU117" s="1754"/>
      <c r="BV117" s="1754"/>
      <c r="BW117" s="1754"/>
      <c r="BX117" s="1754"/>
      <c r="BY117" s="1754"/>
      <c r="BZ117" s="1754"/>
      <c r="CA117" s="1754"/>
      <c r="CB117" s="1754"/>
    </row>
    <row r="118" spans="45:85" s="1835" customFormat="1" ht="15" customHeight="1">
      <c r="AS118" s="1867"/>
      <c r="AT118" s="1754"/>
      <c r="AU118" s="1754"/>
      <c r="AV118" s="1754"/>
      <c r="AW118" s="2099" t="s">
        <v>2517</v>
      </c>
      <c r="AX118" s="1754"/>
      <c r="AY118" s="1754"/>
      <c r="AZ118" s="1754"/>
      <c r="BA118" s="1754"/>
      <c r="BB118" s="1754"/>
      <c r="BC118" s="1754"/>
      <c r="BD118" s="1754"/>
      <c r="BE118" s="1867"/>
      <c r="BF118" s="1754"/>
      <c r="BG118" s="1754"/>
      <c r="BH118" s="1805" t="s">
        <v>1348</v>
      </c>
      <c r="BI118" s="1871">
        <v>0.68</v>
      </c>
      <c r="BJ118" s="1880">
        <f>+IS!DL20</f>
        <v>0.67034831659954397</v>
      </c>
      <c r="BK118" s="1881">
        <v>0.65380000000000005</v>
      </c>
      <c r="BL118" s="1754"/>
      <c r="BM118" s="1754"/>
      <c r="BN118" s="1754"/>
      <c r="BO118" s="1888"/>
      <c r="BP118" s="1888"/>
      <c r="BQ118" s="1754"/>
      <c r="BR118" s="1754"/>
      <c r="BS118" s="1754"/>
      <c r="BT118" s="1754"/>
      <c r="BU118" s="1754"/>
      <c r="BV118" s="1754"/>
      <c r="BW118" s="1754"/>
      <c r="BX118" s="1754"/>
      <c r="BY118" s="1754"/>
      <c r="BZ118" s="1754"/>
      <c r="CA118" s="1754"/>
      <c r="CB118" s="1754"/>
      <c r="CC118" s="1867"/>
      <c r="CD118" s="1867"/>
    </row>
    <row r="119" spans="45:85" s="1867" customFormat="1" ht="15" customHeight="1">
      <c r="AS119" s="1835"/>
      <c r="AT119" s="1754"/>
      <c r="AU119" s="1754"/>
      <c r="AV119" s="1754"/>
      <c r="AW119" s="2099" t="s">
        <v>2521</v>
      </c>
      <c r="AX119" s="1754"/>
      <c r="AY119" s="1754"/>
      <c r="AZ119" s="1754"/>
      <c r="BA119" s="1754"/>
      <c r="BB119" s="1754"/>
      <c r="BC119" s="1754"/>
      <c r="BD119" s="1754"/>
      <c r="BF119" s="1754"/>
      <c r="BG119" s="1754"/>
      <c r="BH119" s="1805" t="s">
        <v>1539</v>
      </c>
      <c r="BI119" s="1879" t="s">
        <v>2552</v>
      </c>
      <c r="BJ119" s="1873">
        <f>+IS!DL24+IS!DL34-IS!DL33</f>
        <v>199.81299999999999</v>
      </c>
      <c r="BK119" s="1873"/>
      <c r="BL119" s="1754"/>
      <c r="BM119" s="1754"/>
      <c r="BN119" s="1754"/>
      <c r="BO119" s="1888"/>
      <c r="BP119" s="1888"/>
      <c r="BQ119" s="1754"/>
      <c r="BR119" s="1754"/>
      <c r="BS119" s="1754"/>
      <c r="BT119" s="1754"/>
      <c r="CA119" s="1754"/>
      <c r="CB119" s="1754"/>
    </row>
    <row r="120" spans="45:85" s="1867" customFormat="1" ht="15" customHeight="1">
      <c r="AT120" s="1754"/>
      <c r="AU120" s="1754"/>
      <c r="AV120" s="1754"/>
      <c r="AW120" s="2099" t="s">
        <v>2522</v>
      </c>
      <c r="AX120" s="1754"/>
      <c r="AY120" s="1754"/>
      <c r="AZ120" s="1754"/>
      <c r="BA120" s="1754"/>
      <c r="BB120" s="1754"/>
      <c r="BC120" s="1754"/>
      <c r="BD120" s="1754"/>
      <c r="BE120" s="1835"/>
      <c r="BF120" s="1754"/>
      <c r="BG120" s="2012">
        <v>422</v>
      </c>
      <c r="BH120" s="2097" t="s">
        <v>819</v>
      </c>
      <c r="BI120" s="1871" t="s">
        <v>2553</v>
      </c>
      <c r="BJ120" s="1873">
        <f>+IS!DL37</f>
        <v>420.04199999999992</v>
      </c>
      <c r="BK120" s="1874">
        <v>423.27</v>
      </c>
      <c r="BL120" s="1754"/>
      <c r="BM120" s="1754"/>
      <c r="BN120" s="1754"/>
      <c r="BO120" s="1888"/>
      <c r="BP120" s="1888"/>
      <c r="BQ120" s="1754"/>
      <c r="BR120" s="1754"/>
      <c r="BS120" s="1754"/>
      <c r="BT120" s="1754"/>
    </row>
    <row r="121" spans="45:85" ht="15" customHeight="1">
      <c r="AS121" s="1835"/>
      <c r="AW121" s="2099" t="s">
        <v>2520</v>
      </c>
      <c r="BE121" s="1835"/>
      <c r="BG121" s="2013"/>
      <c r="BH121" s="2120" t="s">
        <v>1741</v>
      </c>
      <c r="BI121" s="2118">
        <f>+BG120/BG116</f>
        <v>0.45969498910675383</v>
      </c>
      <c r="BJ121" s="2119">
        <f>+BJ120/BJ116</f>
        <v>0.45425857273250303</v>
      </c>
      <c r="BK121" s="2119">
        <f>+BK120/BK116</f>
        <v>0.46000608603038667</v>
      </c>
      <c r="BO121" s="1888"/>
      <c r="BP121" s="1888"/>
      <c r="BV121" s="1867"/>
      <c r="BW121" s="1867"/>
      <c r="BX121" s="1867"/>
      <c r="BY121" s="1867"/>
      <c r="BZ121" s="1867"/>
      <c r="CA121" s="1867"/>
      <c r="CB121" s="1867"/>
      <c r="CC121" s="1867"/>
      <c r="CD121" s="1835"/>
      <c r="CE121" s="1835"/>
      <c r="CF121" s="1835"/>
      <c r="CG121" s="1835"/>
    </row>
    <row r="122" spans="45:85" ht="15" customHeight="1">
      <c r="AS122" s="1867"/>
      <c r="AT122" s="2034">
        <v>2015</v>
      </c>
      <c r="AW122" s="2099" t="s">
        <v>2524</v>
      </c>
      <c r="BE122" s="1867"/>
      <c r="BG122" s="2012">
        <v>280</v>
      </c>
      <c r="BH122" s="1805" t="s">
        <v>431</v>
      </c>
      <c r="BI122" s="1871" t="s">
        <v>2554</v>
      </c>
      <c r="BJ122" s="1873">
        <f>+BS!CT133</f>
        <v>279.47699999999998</v>
      </c>
      <c r="BK122" s="1874">
        <v>314.68</v>
      </c>
      <c r="BO122" s="1888"/>
      <c r="BP122" s="1888"/>
      <c r="BV122" s="1867"/>
      <c r="BW122" s="1867"/>
      <c r="BX122" s="1867"/>
      <c r="BY122" s="1867"/>
      <c r="BZ122" s="1867"/>
      <c r="CA122" s="1867"/>
      <c r="CB122" s="1867"/>
      <c r="CC122" s="1867"/>
      <c r="CD122" s="1867"/>
      <c r="CE122" s="1867"/>
      <c r="CF122" s="1867"/>
      <c r="CG122" s="1867"/>
    </row>
    <row r="123" spans="45:85">
      <c r="AS123" s="1867"/>
      <c r="AW123" s="2099" t="s">
        <v>2526</v>
      </c>
      <c r="BD123" s="1865"/>
      <c r="BE123" s="1835"/>
      <c r="BH123" s="2120" t="s">
        <v>1742</v>
      </c>
      <c r="BI123" s="2118">
        <f>+BG122/BG116</f>
        <v>0.30501089324618735</v>
      </c>
      <c r="BJ123" s="2119">
        <f>+BJ122/BJ116</f>
        <v>0.30224316409207114</v>
      </c>
      <c r="BK123" s="2119">
        <f>+BK122/BK116</f>
        <v>0.34199143608581306</v>
      </c>
      <c r="BO123" s="1888"/>
      <c r="BP123" s="1888"/>
      <c r="BV123" s="1835"/>
      <c r="BW123" s="1835"/>
      <c r="BX123" s="1835"/>
      <c r="BY123" s="1835"/>
      <c r="BZ123" s="1835"/>
      <c r="CA123" s="1867"/>
      <c r="CB123" s="1867"/>
      <c r="CC123" s="1867"/>
      <c r="CD123" s="1835"/>
      <c r="CE123" s="1835"/>
      <c r="CF123" s="1835"/>
      <c r="CG123" s="1835"/>
    </row>
    <row r="124" spans="45:85">
      <c r="AW124" s="2099" t="s">
        <v>2527</v>
      </c>
      <c r="BD124" s="1874"/>
      <c r="BE124" s="1867"/>
      <c r="BH124" s="2097" t="s">
        <v>424</v>
      </c>
      <c r="BI124" s="1871" t="s">
        <v>2555</v>
      </c>
      <c r="BJ124" s="1873">
        <f>+BS!CT124</f>
        <v>237.87699999999998</v>
      </c>
      <c r="BK124" s="1873"/>
      <c r="BO124" s="1888"/>
      <c r="BP124" s="1888"/>
      <c r="BU124" s="1867"/>
      <c r="BV124" s="1867"/>
      <c r="BW124" s="1867"/>
      <c r="BX124" s="1867"/>
      <c r="BY124" s="1867"/>
      <c r="BZ124" s="1867"/>
      <c r="CA124" s="1867"/>
      <c r="CB124" s="1867"/>
      <c r="CC124" s="1835"/>
      <c r="CD124" s="1867"/>
      <c r="CE124" s="1867"/>
      <c r="CF124" s="1867"/>
      <c r="CG124" s="1867"/>
    </row>
    <row r="125" spans="45:85">
      <c r="AT125" s="1867"/>
      <c r="AW125" s="2099"/>
      <c r="BD125" s="1975"/>
      <c r="BE125" s="1867"/>
      <c r="BH125" s="2097" t="s">
        <v>1863</v>
      </c>
      <c r="BI125" s="1879">
        <v>40</v>
      </c>
      <c r="BJ125" s="1873">
        <f>+BS!CT127</f>
        <v>41.6</v>
      </c>
      <c r="BK125" s="1872"/>
      <c r="BO125" s="1888"/>
      <c r="BP125" s="1888"/>
      <c r="BU125" s="1867"/>
      <c r="BV125" s="1835"/>
      <c r="BW125" s="1835"/>
      <c r="BX125" s="1835"/>
      <c r="BY125" s="1835"/>
      <c r="BZ125" s="1835"/>
      <c r="CA125" s="1867"/>
      <c r="CB125" s="1867"/>
      <c r="CC125" s="1867"/>
      <c r="CD125" s="1867"/>
      <c r="CE125" s="1867"/>
      <c r="CF125" s="1867"/>
      <c r="CG125" s="1867"/>
    </row>
    <row r="126" spans="45:85">
      <c r="AT126" s="1867"/>
      <c r="AW126" s="2099"/>
      <c r="BD126" s="1881"/>
      <c r="BH126" s="2098" t="s">
        <v>2559</v>
      </c>
      <c r="BI126" s="1887"/>
      <c r="BJ126" s="1887"/>
      <c r="BK126" s="1887"/>
      <c r="BO126" s="1888"/>
      <c r="BP126" s="1888"/>
      <c r="BU126" s="1867"/>
      <c r="BV126" s="1867"/>
      <c r="BW126" s="1867"/>
      <c r="BX126" s="1867"/>
      <c r="BY126" s="1867"/>
      <c r="BZ126" s="1867"/>
      <c r="CA126" s="1867"/>
      <c r="CB126" s="1867"/>
      <c r="CC126" s="1835"/>
    </row>
    <row r="127" spans="45:85">
      <c r="AT127" s="1867"/>
      <c r="AW127" s="2099"/>
      <c r="BD127" s="1873"/>
      <c r="BG127" s="1888"/>
      <c r="BH127" s="2099" t="s">
        <v>2556</v>
      </c>
      <c r="BI127" s="1831"/>
      <c r="BJ127" s="1831"/>
      <c r="BO127" s="1888"/>
      <c r="BP127" s="1888"/>
      <c r="BU127" s="1867"/>
      <c r="BV127" s="1867"/>
      <c r="BW127" s="1867"/>
      <c r="BX127" s="1867"/>
      <c r="BY127" s="1867"/>
      <c r="BZ127" s="1867"/>
      <c r="CA127" s="1835"/>
      <c r="CB127" s="1835"/>
      <c r="CC127" s="1867"/>
    </row>
    <row r="128" spans="45:85">
      <c r="AT128" s="1867"/>
      <c r="AW128" s="2099"/>
      <c r="BD128" s="1874"/>
      <c r="BG128" s="1888"/>
      <c r="BH128" s="2099" t="s">
        <v>2557</v>
      </c>
      <c r="BI128" s="1831"/>
      <c r="BJ128" s="1831"/>
      <c r="BO128" s="1888"/>
      <c r="BP128" s="1888"/>
      <c r="BU128" s="1835"/>
      <c r="CA128" s="1867"/>
      <c r="CB128" s="1867"/>
      <c r="CC128" s="1867"/>
    </row>
    <row r="129" spans="46:85">
      <c r="AT129" s="1835"/>
      <c r="AW129" s="2099"/>
      <c r="BD129" s="1840"/>
      <c r="BH129" s="2099" t="s">
        <v>2558</v>
      </c>
      <c r="BI129" s="1831"/>
      <c r="BJ129" s="1831"/>
      <c r="BO129" s="1888"/>
      <c r="BP129" s="1888"/>
      <c r="BU129" s="1867"/>
      <c r="CA129" s="1835"/>
      <c r="CB129" s="1835"/>
      <c r="CD129" s="1867"/>
      <c r="CE129" s="1867"/>
      <c r="CF129" s="1867"/>
      <c r="CG129" s="1867"/>
    </row>
    <row r="130" spans="46:85">
      <c r="AT130" s="1835"/>
      <c r="AW130" s="2099"/>
      <c r="BD130" s="1840"/>
      <c r="BH130" s="2033"/>
      <c r="BI130" s="1831"/>
      <c r="BJ130" s="1831"/>
      <c r="BO130" s="1888"/>
      <c r="BP130" s="1888"/>
      <c r="BU130" s="1835"/>
      <c r="CA130" s="1867"/>
      <c r="CB130" s="1867"/>
      <c r="CD130" s="1867"/>
      <c r="CE130" s="1867"/>
      <c r="CF130" s="1867"/>
      <c r="CG130" s="1867"/>
    </row>
    <row r="131" spans="46:85">
      <c r="AT131" s="1867"/>
      <c r="AV131" s="1833" t="s">
        <v>1746</v>
      </c>
      <c r="AW131" s="1902" t="s">
        <v>1884</v>
      </c>
      <c r="AX131" s="1902"/>
      <c r="AY131" s="1902"/>
      <c r="AZ131" s="1903"/>
      <c r="BA131" s="1903"/>
      <c r="BB131" s="1903"/>
      <c r="BC131" s="1903"/>
      <c r="BD131" s="1874"/>
      <c r="BG131" s="1833" t="s">
        <v>1746</v>
      </c>
      <c r="BH131" s="1902" t="s">
        <v>2503</v>
      </c>
      <c r="BI131" s="1903"/>
      <c r="BJ131" s="1903"/>
      <c r="BK131" s="1903"/>
      <c r="BO131" s="1888"/>
      <c r="BP131" s="1888"/>
      <c r="BU131" s="1867"/>
      <c r="BV131" s="1867"/>
      <c r="BW131" s="1867"/>
      <c r="BX131" s="1867"/>
      <c r="BY131" s="1867"/>
      <c r="BZ131" s="1867"/>
      <c r="CA131" s="1867"/>
      <c r="CB131" s="1867"/>
      <c r="CD131" s="1867"/>
      <c r="CE131" s="1867"/>
      <c r="CF131" s="1867"/>
      <c r="CG131" s="1867"/>
    </row>
    <row r="132" spans="46:85">
      <c r="AT132" s="1835"/>
      <c r="AW132" s="1805"/>
      <c r="AX132" s="1809" t="s">
        <v>1169</v>
      </c>
      <c r="AY132" s="1809" t="s">
        <v>2021</v>
      </c>
      <c r="AZ132" s="1809" t="s">
        <v>1995</v>
      </c>
      <c r="BA132" s="1809" t="s">
        <v>1933</v>
      </c>
      <c r="BB132" s="1865" t="s">
        <v>240</v>
      </c>
      <c r="BC132" s="1865" t="s">
        <v>442</v>
      </c>
      <c r="BD132" s="1840"/>
      <c r="BH132" s="1805"/>
      <c r="BI132" s="1809" t="s">
        <v>1740</v>
      </c>
      <c r="BJ132" s="1865" t="s">
        <v>240</v>
      </c>
      <c r="BK132" s="1865" t="s">
        <v>442</v>
      </c>
      <c r="BO132" s="1888"/>
      <c r="BP132" s="1888"/>
      <c r="BU132" s="1867"/>
      <c r="BV132" s="1867"/>
      <c r="BW132" s="1867"/>
      <c r="BX132" s="1867"/>
      <c r="BY132" s="1867"/>
      <c r="BZ132" s="1867"/>
      <c r="CC132" s="1867"/>
      <c r="CD132" s="1867"/>
      <c r="CE132" s="1867"/>
      <c r="CF132" s="1867"/>
      <c r="CG132" s="1867"/>
    </row>
    <row r="133" spans="46:85">
      <c r="AT133" s="1867"/>
      <c r="AV133" s="2012">
        <v>2698</v>
      </c>
      <c r="AW133" s="1805" t="s">
        <v>1743</v>
      </c>
      <c r="AX133" s="1871" t="s">
        <v>2022</v>
      </c>
      <c r="AY133" s="1871" t="s">
        <v>1996</v>
      </c>
      <c r="AZ133" s="1871" t="s">
        <v>1934</v>
      </c>
      <c r="BA133" s="1871" t="s">
        <v>1892</v>
      </c>
      <c r="BB133" s="1873">
        <f>+IS!T15</f>
        <v>2725.8670000000002</v>
      </c>
      <c r="BC133" s="1874">
        <v>2709.81</v>
      </c>
      <c r="BD133" s="1873"/>
      <c r="BG133" s="2012">
        <v>896</v>
      </c>
      <c r="BH133" s="2097" t="s">
        <v>1743</v>
      </c>
      <c r="BI133" s="1871" t="s">
        <v>2506</v>
      </c>
      <c r="BJ133" s="1873">
        <f>+IS!DK15</f>
        <v>900.51</v>
      </c>
      <c r="BK133" s="1874">
        <v>893.38</v>
      </c>
      <c r="BO133" s="1888"/>
      <c r="BP133" s="1888"/>
      <c r="BV133" s="1867"/>
      <c r="BW133" s="1867"/>
      <c r="BX133" s="1867"/>
      <c r="BY133" s="1867"/>
      <c r="BZ133" s="1867"/>
      <c r="CC133" s="1867"/>
      <c r="CD133" s="1835"/>
      <c r="CE133" s="1835"/>
      <c r="CF133" s="1835"/>
      <c r="CG133" s="1835"/>
    </row>
    <row r="134" spans="46:85">
      <c r="AT134" s="1867"/>
      <c r="AU134" s="1867"/>
      <c r="AV134" s="1754">
        <f>+IS!S15</f>
        <v>2443.7749999999996</v>
      </c>
      <c r="AW134" s="1774" t="s">
        <v>1322</v>
      </c>
      <c r="AX134" s="1976">
        <f>+AV133/AV134-1</f>
        <v>0.10402962629538326</v>
      </c>
      <c r="AY134" s="1976">
        <v>0.10075600249613825</v>
      </c>
      <c r="AZ134" s="1976">
        <v>7.8249838876328859E-2</v>
      </c>
      <c r="BA134" s="1976">
        <f>2630/AV134-1</f>
        <v>7.6203824001800591E-2</v>
      </c>
      <c r="BB134" s="2119">
        <f>+BB133/AV134-1</f>
        <v>0.11543288559707854</v>
      </c>
      <c r="BC134" s="1975">
        <f>+BC133/AV134-1</f>
        <v>0.10886231342901875</v>
      </c>
      <c r="BD134" s="1872"/>
      <c r="BH134" s="1774" t="s">
        <v>95</v>
      </c>
      <c r="BI134" s="1976">
        <f>+BG133/AL11-1</f>
        <v>-0.2534708191241446</v>
      </c>
      <c r="BJ134" s="1880">
        <f>+IS!DK16</f>
        <v>6.6757803060097709E-2</v>
      </c>
      <c r="BK134" s="1975">
        <f>+BK133/IS!DJ15-1</f>
        <v>5.8311496927108131E-2</v>
      </c>
      <c r="BO134" s="1888"/>
      <c r="BP134" s="1888"/>
      <c r="BV134" s="1867"/>
      <c r="BW134" s="1867"/>
      <c r="BX134" s="1867"/>
      <c r="BY134" s="1867"/>
      <c r="BZ134" s="1867"/>
      <c r="CC134" s="1867"/>
      <c r="CD134" s="1867"/>
      <c r="CE134" s="1867"/>
      <c r="CF134" s="1867"/>
      <c r="CG134" s="1867"/>
    </row>
    <row r="135" spans="46:85">
      <c r="AU135" s="1867"/>
      <c r="AW135" s="1805" t="s">
        <v>1348</v>
      </c>
      <c r="AX135" s="1871">
        <v>0.69</v>
      </c>
      <c r="AY135" s="1871">
        <v>0.69</v>
      </c>
      <c r="AZ135" s="1871">
        <v>0.69</v>
      </c>
      <c r="BA135" s="1871" t="s">
        <v>1349</v>
      </c>
      <c r="BB135" s="1880">
        <f>+IS!T20</f>
        <v>0.69314753801267637</v>
      </c>
      <c r="BC135" s="1881"/>
      <c r="BD135" s="1887"/>
      <c r="BH135" s="1805" t="s">
        <v>1348</v>
      </c>
      <c r="BI135" s="1871" t="s">
        <v>2485</v>
      </c>
      <c r="BJ135" s="1880">
        <f>+IS!DK20</f>
        <v>0.67570265738303847</v>
      </c>
      <c r="BK135" s="1881">
        <v>0.65780000000000005</v>
      </c>
      <c r="BO135" s="1888"/>
      <c r="BP135" s="1888"/>
      <c r="BV135" s="1835"/>
      <c r="BW135" s="1835"/>
      <c r="BX135" s="1835"/>
      <c r="BY135" s="1835"/>
      <c r="BZ135" s="1835"/>
      <c r="CA135" s="1867"/>
      <c r="CB135" s="1867"/>
      <c r="CC135" s="1867"/>
      <c r="CD135" s="1835"/>
      <c r="CE135" s="1835"/>
      <c r="CF135" s="1835"/>
      <c r="CG135" s="1835"/>
    </row>
    <row r="136" spans="46:85">
      <c r="AU136" s="1867"/>
      <c r="AW136" s="1805" t="s">
        <v>1539</v>
      </c>
      <c r="AX136" s="1871" t="s">
        <v>2024</v>
      </c>
      <c r="AY136" s="1871" t="s">
        <v>1997</v>
      </c>
      <c r="AZ136" s="1871" t="s">
        <v>1893</v>
      </c>
      <c r="BA136" s="1871" t="s">
        <v>1893</v>
      </c>
      <c r="BB136" s="1873">
        <f>+IS!T24</f>
        <v>617.80100000000004</v>
      </c>
      <c r="BC136" s="1873"/>
      <c r="BD136" s="1831"/>
      <c r="BH136" s="1805" t="s">
        <v>1539</v>
      </c>
      <c r="BI136" s="1879" t="s">
        <v>2507</v>
      </c>
      <c r="BJ136" s="1873">
        <f>+IS!DK24-IS!DK33+IS!DK34</f>
        <v>188.18599999999998</v>
      </c>
      <c r="BK136" s="1873"/>
      <c r="BO136" s="1888"/>
      <c r="BP136" s="1888"/>
      <c r="BV136" s="1867"/>
      <c r="BW136" s="1867"/>
      <c r="BX136" s="1867"/>
      <c r="BY136" s="1867"/>
      <c r="BZ136" s="1867"/>
      <c r="CA136" s="1867"/>
      <c r="CB136" s="1867"/>
      <c r="CC136" s="1835"/>
      <c r="CD136" s="1867"/>
      <c r="CE136" s="1867"/>
      <c r="CF136" s="1867"/>
      <c r="CG136" s="1867"/>
    </row>
    <row r="137" spans="46:85">
      <c r="AU137" s="1867"/>
      <c r="AV137" s="2012">
        <v>1269</v>
      </c>
      <c r="AW137" s="1805" t="s">
        <v>400</v>
      </c>
      <c r="AX137" s="1871" t="s">
        <v>2025</v>
      </c>
      <c r="AY137" s="1871" t="s">
        <v>1998</v>
      </c>
      <c r="AZ137" s="1871" t="s">
        <v>1943</v>
      </c>
      <c r="BA137" s="1871" t="s">
        <v>1894</v>
      </c>
      <c r="BB137" s="1873">
        <f>+IS!T37</f>
        <v>1271.6270000000004</v>
      </c>
      <c r="BC137" s="1874">
        <v>1272.04</v>
      </c>
      <c r="BD137" s="1831"/>
      <c r="BG137" s="2012">
        <v>406</v>
      </c>
      <c r="BH137" s="2097" t="s">
        <v>1889</v>
      </c>
      <c r="BI137" s="1871" t="s">
        <v>2508</v>
      </c>
      <c r="BJ137" s="1873">
        <f>+IS!DK37</f>
        <v>420.291</v>
      </c>
      <c r="BK137" s="1874">
        <v>406.5</v>
      </c>
      <c r="BO137" s="1888"/>
      <c r="BP137" s="1888"/>
      <c r="BV137" s="1835"/>
      <c r="BW137" s="1835"/>
      <c r="BX137" s="1835"/>
      <c r="BY137" s="1835"/>
      <c r="BZ137" s="1835"/>
      <c r="CA137" s="1867"/>
      <c r="CB137" s="1867"/>
      <c r="CC137" s="1867"/>
      <c r="CD137" s="1867"/>
      <c r="CE137" s="1867"/>
      <c r="CF137" s="1867"/>
      <c r="CG137" s="1867"/>
    </row>
    <row r="138" spans="46:85">
      <c r="AU138" s="1835"/>
      <c r="AV138" s="2013">
        <f>+SUM(AH21:AJ21,AL21)</f>
        <v>2052.0410000000002</v>
      </c>
      <c r="AW138" s="2120" t="s">
        <v>1741</v>
      </c>
      <c r="AX138" s="2118">
        <f>+AV137/AV133</f>
        <v>0.47034840622683471</v>
      </c>
      <c r="AY138" s="2118">
        <v>0.46654275092936803</v>
      </c>
      <c r="AZ138" s="2118">
        <v>0.46679316888045541</v>
      </c>
      <c r="BA138" s="2118">
        <v>0.46387832699619774</v>
      </c>
      <c r="BB138" s="2119">
        <f>+BB137/BB133</f>
        <v>0.46650368488264482</v>
      </c>
      <c r="BC138" s="2119">
        <f>+BC137/BC133</f>
        <v>0.46942036526546144</v>
      </c>
      <c r="BG138" s="2013"/>
      <c r="BH138" s="2120" t="s">
        <v>1741</v>
      </c>
      <c r="BI138" s="2118">
        <f>+BG137/BG133</f>
        <v>0.453125</v>
      </c>
      <c r="BJ138" s="2119">
        <f>+BJ137/BJ133</f>
        <v>0.46672552220408436</v>
      </c>
      <c r="BK138" s="2119">
        <f>+BK137/BK133</f>
        <v>0.45501354406859346</v>
      </c>
      <c r="BO138" s="1888"/>
      <c r="BP138" s="1888"/>
      <c r="BV138" s="1867"/>
      <c r="BW138" s="1867"/>
      <c r="BX138" s="1867"/>
      <c r="BY138" s="1867"/>
      <c r="BZ138" s="1867"/>
      <c r="CA138" s="1867"/>
      <c r="CB138" s="1867"/>
      <c r="CC138" s="1835"/>
    </row>
    <row r="139" spans="46:85">
      <c r="AU139" s="1835"/>
      <c r="AV139" s="2121">
        <f>+AV138/AV134</f>
        <v>0.83970128182831905</v>
      </c>
      <c r="AW139" s="2097" t="s">
        <v>1947</v>
      </c>
      <c r="AX139" s="1871" t="s">
        <v>2027</v>
      </c>
      <c r="AY139" s="1871" t="s">
        <v>1999</v>
      </c>
      <c r="AZ139" s="1871" t="s">
        <v>1944</v>
      </c>
      <c r="BA139" s="1871" t="s">
        <v>1895</v>
      </c>
      <c r="BB139" s="1873">
        <f>CF!$T$216</f>
        <v>831.79799999999977</v>
      </c>
      <c r="BC139" s="1874"/>
      <c r="BG139" s="2012">
        <v>332</v>
      </c>
      <c r="BH139" s="1805" t="s">
        <v>431</v>
      </c>
      <c r="BI139" s="1871" t="s">
        <v>2514</v>
      </c>
      <c r="BJ139" s="1873">
        <f>+BS!CS133</f>
        <v>249.86699999999999</v>
      </c>
      <c r="BK139" s="1874">
        <v>324.37</v>
      </c>
      <c r="BO139" s="1888"/>
      <c r="BP139" s="1888"/>
      <c r="BV139" s="1867"/>
      <c r="BW139" s="1867"/>
      <c r="BX139" s="1867"/>
      <c r="BY139" s="1867"/>
      <c r="BZ139" s="1867"/>
      <c r="CA139" s="1835"/>
      <c r="CB139" s="1835"/>
      <c r="CC139" s="1867"/>
    </row>
    <row r="140" spans="46:85">
      <c r="AU140" s="1867"/>
      <c r="AV140" s="2012">
        <v>840</v>
      </c>
      <c r="AW140" s="1805" t="s">
        <v>431</v>
      </c>
      <c r="AX140" s="1871" t="s">
        <v>2028</v>
      </c>
      <c r="AY140" s="1871" t="s">
        <v>2001</v>
      </c>
      <c r="AZ140" s="1871" t="s">
        <v>18</v>
      </c>
      <c r="BA140" s="1871" t="s">
        <v>1822</v>
      </c>
      <c r="BB140" s="1873">
        <f>+BS!T133</f>
        <v>873.80399999999997</v>
      </c>
      <c r="BC140" s="1874">
        <v>851.6</v>
      </c>
      <c r="BH140" s="2120" t="s">
        <v>1742</v>
      </c>
      <c r="BI140" s="2118">
        <f>+BG139/BG133</f>
        <v>0.3705357142857143</v>
      </c>
      <c r="BJ140" s="2119">
        <f>+BJ139/BJ133</f>
        <v>0.27747276543292132</v>
      </c>
      <c r="BK140" s="2119">
        <f>+BK139/BK133</f>
        <v>0.36308177931003605</v>
      </c>
      <c r="BO140" s="1888"/>
      <c r="BP140" s="1888"/>
      <c r="CA140" s="1867"/>
      <c r="CB140" s="1867"/>
      <c r="CC140" s="1867"/>
    </row>
    <row r="141" spans="46:85">
      <c r="AU141" s="1835"/>
      <c r="AW141" s="2120" t="s">
        <v>1742</v>
      </c>
      <c r="AX141" s="2118">
        <f>+AV140/AV133</f>
        <v>0.31134173461823572</v>
      </c>
      <c r="AY141" s="2118">
        <v>0.30669144981412638</v>
      </c>
      <c r="AZ141" s="2118">
        <v>0.29222011385199242</v>
      </c>
      <c r="BA141" s="2118">
        <v>0.28517110266159695</v>
      </c>
      <c r="BB141" s="2119">
        <f>+BB140/BB133</f>
        <v>0.32056002732341671</v>
      </c>
      <c r="BC141" s="2119">
        <f>+BC140/BC133</f>
        <v>0.31426557581527859</v>
      </c>
      <c r="BH141" s="2097" t="s">
        <v>424</v>
      </c>
      <c r="BI141" s="1871" t="s">
        <v>2513</v>
      </c>
      <c r="BJ141" s="1873">
        <f>+BS!CS124+BS!CS130+BS!CS131</f>
        <v>217.93899999999999</v>
      </c>
      <c r="BK141" s="1873"/>
      <c r="BO141" s="1888"/>
      <c r="BP141" s="1888"/>
      <c r="CA141" s="1835"/>
      <c r="CB141" s="1835"/>
    </row>
    <row r="142" spans="46:85">
      <c r="AU142" s="1867"/>
      <c r="AW142" s="1805" t="s">
        <v>424</v>
      </c>
      <c r="AX142" s="1871" t="s">
        <v>2029</v>
      </c>
      <c r="AY142" s="1871" t="s">
        <v>2002</v>
      </c>
      <c r="AZ142" s="1871" t="s">
        <v>1948</v>
      </c>
      <c r="BA142" s="1871" t="s">
        <v>1896</v>
      </c>
      <c r="BB142" s="1873">
        <f>+BS!T124</f>
        <v>751.77099999999996</v>
      </c>
      <c r="BC142" s="1873"/>
      <c r="BH142" s="2097" t="s">
        <v>1863</v>
      </c>
      <c r="BI142" s="1879">
        <v>42</v>
      </c>
      <c r="BJ142" s="1873">
        <f>+BS!CS127</f>
        <v>31.928000000000001</v>
      </c>
      <c r="BK142" s="1872"/>
      <c r="BO142" s="1888"/>
      <c r="BP142" s="1888"/>
      <c r="CA142" s="1867"/>
      <c r="CB142" s="1867"/>
    </row>
    <row r="143" spans="46:85">
      <c r="AU143" s="1867"/>
      <c r="AW143" s="2097" t="s">
        <v>1946</v>
      </c>
      <c r="AX143" s="1879">
        <v>110</v>
      </c>
      <c r="AY143" s="1879">
        <v>115</v>
      </c>
      <c r="AZ143" s="1879">
        <v>115</v>
      </c>
      <c r="BA143" s="1879">
        <v>115</v>
      </c>
      <c r="BB143" s="1873">
        <f>+BS!T127</f>
        <v>122.033</v>
      </c>
      <c r="BC143" s="1872"/>
      <c r="BH143" s="2098" t="s">
        <v>2509</v>
      </c>
      <c r="BI143" s="1887"/>
      <c r="BJ143" s="1887"/>
      <c r="BK143" s="1887"/>
      <c r="BO143" s="1888"/>
      <c r="BP143" s="1888"/>
      <c r="CA143" s="1867"/>
      <c r="CB143" s="1867"/>
    </row>
    <row r="144" spans="46:85">
      <c r="AW144" s="2098" t="s">
        <v>2023</v>
      </c>
      <c r="AX144" s="1825"/>
      <c r="AY144" s="1825"/>
      <c r="AZ144" s="1825"/>
      <c r="BA144" s="1825"/>
      <c r="BB144" s="1887"/>
      <c r="BC144" s="1887"/>
      <c r="BG144" s="1888"/>
      <c r="BH144" s="2099" t="s">
        <v>2510</v>
      </c>
      <c r="BI144" s="1831"/>
      <c r="BJ144" s="1831"/>
      <c r="BO144" s="1888"/>
      <c r="BR144" s="1867"/>
    </row>
    <row r="145" spans="48:72">
      <c r="AW145" s="2099" t="s">
        <v>2026</v>
      </c>
      <c r="AX145" s="1824"/>
      <c r="AY145" s="1824"/>
      <c r="BA145" s="1824"/>
      <c r="BB145" s="1831"/>
      <c r="BC145" s="1831"/>
      <c r="BG145" s="1888"/>
      <c r="BH145" s="2099" t="s">
        <v>2511</v>
      </c>
      <c r="BI145" s="1831"/>
      <c r="BJ145" s="1831"/>
      <c r="BO145" s="1888"/>
      <c r="BQ145" s="1867"/>
      <c r="BR145" s="1867"/>
    </row>
    <row r="146" spans="48:72">
      <c r="AW146" s="2099" t="s">
        <v>2000</v>
      </c>
      <c r="AX146" s="1824"/>
      <c r="AY146" s="1824"/>
      <c r="BA146" s="1824"/>
      <c r="BB146" s="1831"/>
      <c r="BC146" s="1831"/>
      <c r="BH146" s="2099" t="s">
        <v>2512</v>
      </c>
      <c r="BI146" s="1831"/>
      <c r="BJ146" s="1831"/>
      <c r="BO146" s="1888"/>
      <c r="BQ146" s="1867"/>
      <c r="BR146" s="1867"/>
      <c r="BS146" s="1867"/>
      <c r="BT146" s="1867"/>
    </row>
    <row r="147" spans="48:72">
      <c r="AW147" s="2099" t="s">
        <v>1945</v>
      </c>
      <c r="BH147" s="2099"/>
      <c r="BI147" s="1831"/>
      <c r="BJ147" s="1831"/>
      <c r="BO147" s="1888"/>
      <c r="BQ147" s="1867"/>
      <c r="BR147" s="1867"/>
      <c r="BS147" s="1867"/>
      <c r="BT147" s="1867"/>
    </row>
    <row r="148" spans="48:72">
      <c r="AW148" s="2099" t="s">
        <v>2006</v>
      </c>
      <c r="BH148" s="2099"/>
      <c r="BI148" s="1831"/>
      <c r="BJ148" s="1831"/>
      <c r="BO148" s="1888"/>
      <c r="BQ148" s="1867"/>
      <c r="BR148" s="1835"/>
      <c r="BS148" s="1867"/>
      <c r="BT148" s="1867"/>
    </row>
    <row r="149" spans="48:72">
      <c r="AW149" s="2099" t="s">
        <v>2031</v>
      </c>
      <c r="BG149" s="1833" t="s">
        <v>1746</v>
      </c>
      <c r="BH149" s="1902" t="s">
        <v>2477</v>
      </c>
      <c r="BI149" s="1903"/>
      <c r="BJ149" s="1903"/>
      <c r="BK149" s="1903"/>
      <c r="BO149" s="1888"/>
      <c r="BQ149" s="1835"/>
      <c r="BR149" s="1867"/>
      <c r="BS149" s="1867"/>
      <c r="BT149" s="1867"/>
    </row>
    <row r="150" spans="48:72">
      <c r="AV150" s="1888" t="s">
        <v>2030</v>
      </c>
      <c r="AW150" s="2099" t="s">
        <v>2005</v>
      </c>
      <c r="AX150" s="1888"/>
      <c r="BA150" s="1888"/>
      <c r="BB150" s="1888"/>
      <c r="BC150" s="1888"/>
      <c r="BH150" s="1805"/>
      <c r="BI150" s="1809" t="s">
        <v>1740</v>
      </c>
      <c r="BJ150" s="1865" t="s">
        <v>240</v>
      </c>
      <c r="BK150" s="1865" t="s">
        <v>442</v>
      </c>
      <c r="BO150" s="1888"/>
      <c r="BQ150" s="1867"/>
      <c r="BR150" s="1835"/>
      <c r="BS150" s="1835"/>
      <c r="BT150" s="1835"/>
    </row>
    <row r="151" spans="48:72">
      <c r="AV151" s="1888" t="s">
        <v>2003</v>
      </c>
      <c r="AW151" s="2099" t="s">
        <v>1949</v>
      </c>
      <c r="AX151" s="1888"/>
      <c r="BA151" s="1888"/>
      <c r="BB151" s="1888"/>
      <c r="BC151" s="1888"/>
      <c r="BG151" s="2012">
        <v>842.5</v>
      </c>
      <c r="BH151" s="2097" t="s">
        <v>1743</v>
      </c>
      <c r="BI151" s="1871" t="s">
        <v>2500</v>
      </c>
      <c r="BJ151" s="1873">
        <f>+IS!DJ15</f>
        <v>844.15600000000006</v>
      </c>
      <c r="BK151" s="1874">
        <v>841.31285714285718</v>
      </c>
      <c r="BO151" s="1888"/>
      <c r="BQ151" s="1835"/>
      <c r="BR151" s="1867"/>
      <c r="BS151" s="1867"/>
      <c r="BT151" s="1867"/>
    </row>
    <row r="152" spans="48:72">
      <c r="AV152" s="1888" t="s">
        <v>2004</v>
      </c>
      <c r="AW152" s="2099" t="s">
        <v>1898</v>
      </c>
      <c r="AX152" s="1888"/>
      <c r="BA152" s="1888"/>
      <c r="BB152" s="1888"/>
      <c r="BC152" s="1888"/>
      <c r="BH152" s="1774" t="s">
        <v>95</v>
      </c>
      <c r="BI152" s="1976">
        <f>+BG151/AL11-1</f>
        <v>-0.29804594320545963</v>
      </c>
      <c r="BJ152" s="1975">
        <f>+IS!DJ16</f>
        <v>0.15564670030747685</v>
      </c>
      <c r="BK152" s="1975">
        <f>+BK151/IS!DI15-1</f>
        <v>0.15175444738105104</v>
      </c>
      <c r="BO152" s="1888"/>
      <c r="BQ152" s="1867"/>
      <c r="BR152" s="1867"/>
      <c r="BS152" s="1835"/>
      <c r="BT152" s="1835"/>
    </row>
    <row r="153" spans="48:72">
      <c r="AV153" s="1888"/>
      <c r="AW153" s="2099"/>
      <c r="AX153" s="1888"/>
      <c r="BA153" s="1888"/>
      <c r="BB153" s="1888"/>
      <c r="BC153" s="1888"/>
      <c r="BG153" s="1805" t="s">
        <v>1348</v>
      </c>
      <c r="BH153" s="1871" t="s">
        <v>2485</v>
      </c>
      <c r="BI153" s="1880">
        <f>+IS!DJ20</f>
        <v>0.67885082851984702</v>
      </c>
      <c r="BJ153" s="1881">
        <v>0.65600000000000003</v>
      </c>
      <c r="BO153" s="1888"/>
      <c r="BQ153" s="1867"/>
      <c r="BS153" s="1867"/>
      <c r="BT153" s="1867"/>
    </row>
    <row r="154" spans="48:72">
      <c r="AV154" s="1888"/>
      <c r="AW154" s="2099"/>
      <c r="AX154" s="1888"/>
      <c r="BA154" s="1888"/>
      <c r="BB154" s="1888"/>
      <c r="BC154" s="1888"/>
      <c r="BH154" s="1805" t="s">
        <v>1539</v>
      </c>
      <c r="BI154" s="1879" t="s">
        <v>2486</v>
      </c>
      <c r="BJ154" s="1873">
        <f>+IS!DJ24+IS!DJ34-IS!DJ33</f>
        <v>192.40600000000001</v>
      </c>
      <c r="BK154" s="1873"/>
      <c r="BO154" s="1888"/>
      <c r="BS154" s="1867"/>
      <c r="BT154" s="1867"/>
    </row>
    <row r="155" spans="48:72">
      <c r="AV155" s="1888"/>
      <c r="AW155" s="2099"/>
      <c r="AX155" s="1888"/>
      <c r="BA155" s="1888"/>
      <c r="BB155" s="1888"/>
      <c r="BC155" s="1888"/>
      <c r="BG155" s="2012">
        <v>370</v>
      </c>
      <c r="BH155" s="2097" t="s">
        <v>1889</v>
      </c>
      <c r="BI155" s="1871" t="s">
        <v>2487</v>
      </c>
      <c r="BJ155" s="1873">
        <f>+IS!DJ37</f>
        <v>380.65000000000003</v>
      </c>
      <c r="BK155" s="1874">
        <v>374.61</v>
      </c>
      <c r="BO155" s="1888"/>
    </row>
    <row r="156" spans="48:72">
      <c r="AV156" s="1888"/>
      <c r="AW156" s="2099"/>
      <c r="AX156" s="1888"/>
      <c r="BA156" s="1888"/>
      <c r="BB156" s="1888"/>
      <c r="BC156" s="1888"/>
      <c r="BG156" s="2013"/>
      <c r="BH156" s="2120" t="s">
        <v>1741</v>
      </c>
      <c r="BI156" s="2118">
        <f>+BG155/BG151</f>
        <v>0.43916913946587538</v>
      </c>
      <c r="BJ156" s="2119">
        <f>+BJ155/BJ151</f>
        <v>0.45092376290638225</v>
      </c>
      <c r="BK156" s="2119">
        <f>+BK155/BK151</f>
        <v>0.44526836457984886</v>
      </c>
      <c r="BO156" s="1888"/>
    </row>
    <row r="157" spans="48:72">
      <c r="AV157" s="1888"/>
      <c r="AW157" s="2099"/>
      <c r="AX157" s="1888"/>
      <c r="BA157" s="1888"/>
      <c r="BB157" s="1888"/>
      <c r="BC157" s="1888"/>
      <c r="BG157" s="2012">
        <v>245</v>
      </c>
      <c r="BH157" s="1805" t="s">
        <v>431</v>
      </c>
      <c r="BI157" s="1871" t="s">
        <v>2491</v>
      </c>
      <c r="BJ157" s="1873">
        <f>+BS!CR133</f>
        <v>197.7</v>
      </c>
      <c r="BK157" s="1874">
        <v>247.91</v>
      </c>
      <c r="BO157" s="1888"/>
      <c r="BP157" s="1811"/>
    </row>
    <row r="158" spans="48:72">
      <c r="AV158" s="1888"/>
      <c r="AW158" s="2099"/>
      <c r="AX158" s="1888"/>
      <c r="BA158" s="1888"/>
      <c r="BB158" s="1888"/>
      <c r="BC158" s="1888"/>
      <c r="BH158" s="2120" t="s">
        <v>1742</v>
      </c>
      <c r="BI158" s="2118">
        <f>+BG157/BG151</f>
        <v>0.29080118694362017</v>
      </c>
      <c r="BJ158" s="2119">
        <f>+BJ157/BJ151</f>
        <v>0.23419841830183044</v>
      </c>
      <c r="BK158" s="2119">
        <f>+BK157/BK151</f>
        <v>0.29467040458874649</v>
      </c>
      <c r="BO158" s="1888"/>
      <c r="BP158" s="1811"/>
      <c r="BR158" s="1867"/>
    </row>
    <row r="159" spans="48:72">
      <c r="AV159" s="1888"/>
      <c r="AW159" s="2099"/>
      <c r="AX159" s="1888"/>
      <c r="BA159" s="1888"/>
      <c r="BB159" s="1888"/>
      <c r="BC159" s="1888"/>
      <c r="BH159" s="2097" t="s">
        <v>424</v>
      </c>
      <c r="BI159" s="1871" t="s">
        <v>2492</v>
      </c>
      <c r="BJ159" s="1873">
        <f>+BS!CR124+BS!CR130+BS!CR131</f>
        <v>165.88499999999999</v>
      </c>
      <c r="BK159" s="1873"/>
      <c r="BO159" s="1888"/>
      <c r="BP159" s="1811"/>
      <c r="BQ159" s="1867"/>
      <c r="BR159" s="1867"/>
    </row>
    <row r="160" spans="48:72">
      <c r="AV160" s="1888"/>
      <c r="AW160" s="2099"/>
      <c r="AX160" s="1888"/>
      <c r="BA160" s="1888"/>
      <c r="BB160" s="1888"/>
      <c r="BC160" s="1888"/>
      <c r="BH160" s="2097" t="s">
        <v>1863</v>
      </c>
      <c r="BI160" s="1879">
        <v>30</v>
      </c>
      <c r="BJ160" s="1873">
        <f>+BS!CR127</f>
        <v>31.815000000000001</v>
      </c>
      <c r="BK160" s="1872"/>
      <c r="BO160" s="1888"/>
      <c r="BP160" s="1811"/>
      <c r="BQ160" s="1867"/>
      <c r="BR160" s="1867"/>
      <c r="BS160" s="1867"/>
      <c r="BT160" s="1867"/>
    </row>
    <row r="161" spans="48:72" ht="20.25">
      <c r="AV161" s="1888"/>
      <c r="AW161" s="2099"/>
      <c r="AX161" s="1888"/>
      <c r="BA161" s="1888"/>
      <c r="BB161" s="1888"/>
      <c r="BC161" s="1888"/>
      <c r="BH161" s="2098" t="s">
        <v>2484</v>
      </c>
      <c r="BI161" s="1887"/>
      <c r="BJ161" s="1887"/>
      <c r="BK161" s="1887"/>
      <c r="BO161" s="1888"/>
      <c r="BP161" s="2016"/>
      <c r="BQ161" s="1867"/>
      <c r="BR161" s="1867"/>
      <c r="BS161" s="1867"/>
      <c r="BT161" s="1867"/>
    </row>
    <row r="162" spans="48:72">
      <c r="AV162" s="1888"/>
      <c r="AW162" s="2099"/>
      <c r="AX162" s="1888"/>
      <c r="BA162" s="1888"/>
      <c r="BB162" s="1888"/>
      <c r="BC162" s="1888"/>
      <c r="BG162" s="1888"/>
      <c r="BH162" s="2099" t="s">
        <v>2483</v>
      </c>
      <c r="BI162" s="1831"/>
      <c r="BJ162" s="1831"/>
      <c r="BO162" s="1888"/>
      <c r="BP162" s="1865"/>
      <c r="BQ162" s="1867"/>
      <c r="BR162" s="1835"/>
      <c r="BS162" s="1867"/>
      <c r="BT162" s="1867"/>
    </row>
    <row r="163" spans="48:72">
      <c r="AV163" s="1888"/>
      <c r="AW163" s="2099"/>
      <c r="AX163" s="1888"/>
      <c r="BA163" s="1888"/>
      <c r="BB163" s="1888"/>
      <c r="BC163" s="1888"/>
      <c r="BG163" s="1888"/>
      <c r="BH163" s="2099" t="s">
        <v>2488</v>
      </c>
      <c r="BI163" s="1831"/>
      <c r="BJ163" s="1831"/>
      <c r="BP163" s="2025"/>
      <c r="BQ163" s="1835"/>
      <c r="BR163" s="1867"/>
      <c r="BS163" s="1867"/>
      <c r="BT163" s="1867"/>
    </row>
    <row r="164" spans="48:72">
      <c r="AV164" s="1888"/>
      <c r="AW164" s="2099"/>
      <c r="AX164" s="1888"/>
      <c r="BA164" s="1888"/>
      <c r="BB164" s="1888"/>
      <c r="BC164" s="1888"/>
      <c r="BH164" s="2099" t="s">
        <v>2490</v>
      </c>
      <c r="BI164" s="1831"/>
      <c r="BJ164" s="1831"/>
      <c r="BP164" s="2025"/>
      <c r="BQ164" s="1867"/>
      <c r="BR164" s="1835"/>
      <c r="BS164" s="1835"/>
      <c r="BT164" s="1835"/>
    </row>
    <row r="165" spans="48:72">
      <c r="AV165" s="1888"/>
      <c r="AW165" s="2099"/>
      <c r="AX165" s="1888"/>
      <c r="BA165" s="1888"/>
      <c r="BB165" s="1888"/>
      <c r="BC165" s="1888"/>
      <c r="BH165" s="2099" t="s">
        <v>2489</v>
      </c>
      <c r="BI165" s="1831"/>
      <c r="BJ165" s="1831"/>
      <c r="BP165" s="2025"/>
      <c r="BQ165" s="1835"/>
      <c r="BR165" s="1867"/>
      <c r="BS165" s="1867"/>
      <c r="BT165" s="1867"/>
    </row>
    <row r="166" spans="48:72">
      <c r="AV166" s="1888"/>
      <c r="AW166" s="2099"/>
      <c r="AX166" s="1888"/>
      <c r="BA166" s="1888"/>
      <c r="BB166" s="1888"/>
      <c r="BC166" s="1888"/>
      <c r="BH166" s="2099"/>
      <c r="BI166" s="1831"/>
      <c r="BJ166" s="1831"/>
      <c r="BP166" s="2026"/>
      <c r="BQ166" s="1867"/>
      <c r="BR166" s="1867"/>
      <c r="BS166" s="1835"/>
      <c r="BT166" s="1835"/>
    </row>
    <row r="167" spans="48:72">
      <c r="AV167" s="1888"/>
      <c r="AW167" s="2099"/>
      <c r="AX167" s="1888"/>
      <c r="BA167" s="1888"/>
      <c r="BB167" s="1888"/>
      <c r="BC167" s="1888"/>
      <c r="BG167" s="1833" t="s">
        <v>1746</v>
      </c>
      <c r="BH167" s="1902" t="s">
        <v>2013</v>
      </c>
      <c r="BI167" s="1903"/>
      <c r="BJ167" s="1903"/>
      <c r="BK167" s="1903"/>
      <c r="BP167" s="2025"/>
      <c r="BQ167" s="1867"/>
      <c r="BS167" s="1867"/>
      <c r="BT167" s="1867"/>
    </row>
    <row r="168" spans="48:72">
      <c r="AV168" s="1888"/>
      <c r="AW168" s="2099"/>
      <c r="AX168" s="1888"/>
      <c r="BA168" s="1888"/>
      <c r="BB168" s="1888"/>
      <c r="BC168" s="1888"/>
      <c r="BH168" s="1805"/>
      <c r="BI168" s="1809" t="s">
        <v>1740</v>
      </c>
      <c r="BJ168" s="1865" t="s">
        <v>240</v>
      </c>
      <c r="BK168" s="1865" t="s">
        <v>442</v>
      </c>
      <c r="BP168" s="2028"/>
      <c r="BS168" s="1867"/>
      <c r="BT168" s="1867"/>
    </row>
    <row r="169" spans="48:72">
      <c r="AV169" s="1888"/>
      <c r="AW169" s="2099"/>
      <c r="AX169" s="1888"/>
      <c r="BA169" s="1888"/>
      <c r="BB169" s="1888"/>
      <c r="BC169" s="1888"/>
      <c r="BG169" s="2012">
        <v>703</v>
      </c>
      <c r="BH169" s="2097" t="s">
        <v>1743</v>
      </c>
      <c r="BI169" s="1871" t="s">
        <v>2014</v>
      </c>
      <c r="BJ169" s="1873">
        <f>+IS!DI15</f>
        <v>730.46199999999988</v>
      </c>
      <c r="BK169" s="1874">
        <v>714.12</v>
      </c>
      <c r="BP169" s="2026"/>
    </row>
    <row r="170" spans="48:72">
      <c r="AV170" s="1888"/>
      <c r="AW170" s="2099"/>
      <c r="AX170" s="1888"/>
      <c r="BA170" s="1888"/>
      <c r="BB170" s="1888"/>
      <c r="BC170" s="1888"/>
      <c r="BH170" s="1774" t="s">
        <v>95</v>
      </c>
      <c r="BI170" s="1976">
        <f>+BG169/AL11-1</f>
        <v>-0.41427453777262691</v>
      </c>
      <c r="BJ170" s="1975">
        <f>+IS!DI16</f>
        <v>6.380698144175545E-2</v>
      </c>
      <c r="BK170" s="1975"/>
      <c r="BP170" s="2028"/>
      <c r="BR170" s="1867"/>
    </row>
    <row r="171" spans="48:72">
      <c r="AV171" s="1888"/>
      <c r="AW171" s="2099"/>
      <c r="AX171" s="1888"/>
      <c r="BA171" s="1888"/>
      <c r="BB171" s="1888"/>
      <c r="BC171" s="1888"/>
      <c r="BH171" s="1805" t="s">
        <v>1348</v>
      </c>
      <c r="BI171" s="1871">
        <v>0.69</v>
      </c>
      <c r="BJ171" s="1880">
        <f>+IS!DI20</f>
        <v>0.68792900931191481</v>
      </c>
      <c r="BK171" s="1881"/>
      <c r="BP171" s="2026"/>
      <c r="BQ171" s="1867"/>
      <c r="BR171" s="1867"/>
    </row>
    <row r="172" spans="48:72">
      <c r="AV172" s="1888"/>
      <c r="AW172" s="2099"/>
      <c r="AX172" s="1888"/>
      <c r="BA172" s="1888"/>
      <c r="BB172" s="1888"/>
      <c r="BC172" s="1888"/>
      <c r="BH172" s="1805" t="s">
        <v>1539</v>
      </c>
      <c r="BI172" s="1879" t="s">
        <v>2015</v>
      </c>
      <c r="BJ172" s="1873">
        <f>+IS!DI24</f>
        <v>169.36099999999999</v>
      </c>
      <c r="BK172" s="1873"/>
      <c r="BP172" s="2027"/>
      <c r="BQ172" s="1867"/>
      <c r="BR172" s="1867"/>
      <c r="BS172" s="1867"/>
      <c r="BT172" s="1867"/>
    </row>
    <row r="173" spans="48:72">
      <c r="AV173" s="1888"/>
      <c r="AW173" s="2099"/>
      <c r="AX173" s="1888"/>
      <c r="BA173" s="1888"/>
      <c r="BB173" s="1888"/>
      <c r="BC173" s="1888"/>
      <c r="BG173" s="2012">
        <v>330</v>
      </c>
      <c r="BH173" s="2097" t="s">
        <v>1889</v>
      </c>
      <c r="BI173" s="1871" t="s">
        <v>2016</v>
      </c>
      <c r="BJ173" s="1873">
        <f>+IS!DI37</f>
        <v>333.14499999999987</v>
      </c>
      <c r="BK173" s="1874">
        <v>332.94</v>
      </c>
      <c r="BP173" s="2025"/>
      <c r="BQ173" s="1867"/>
      <c r="BR173" s="1867"/>
      <c r="BS173" s="1867"/>
      <c r="BT173" s="1867"/>
    </row>
    <row r="174" spans="48:72">
      <c r="AV174" s="1888"/>
      <c r="AW174" s="2099"/>
      <c r="AX174" s="1888"/>
      <c r="BA174" s="1888"/>
      <c r="BB174" s="1888"/>
      <c r="BC174" s="1888"/>
      <c r="BG174" s="2013"/>
      <c r="BH174" s="2120" t="s">
        <v>1741</v>
      </c>
      <c r="BI174" s="2118">
        <f>+BG173/BG169</f>
        <v>0.4694167852062589</v>
      </c>
      <c r="BJ174" s="2119">
        <f>+BJ173/BJ169</f>
        <v>0.45607437484769903</v>
      </c>
      <c r="BK174" s="2119">
        <f>+BK173/BK169</f>
        <v>0.46622416400604938</v>
      </c>
      <c r="BP174" s="2028"/>
      <c r="BQ174" s="1867"/>
      <c r="BR174" s="1835"/>
      <c r="BS174" s="1867"/>
      <c r="BT174" s="1867"/>
    </row>
    <row r="175" spans="48:72">
      <c r="AV175" s="1888"/>
      <c r="AW175" s="2099"/>
      <c r="AX175" s="1888"/>
      <c r="BA175" s="1888"/>
      <c r="BB175" s="1888"/>
      <c r="BC175" s="1888"/>
      <c r="BG175" s="2012">
        <v>252</v>
      </c>
      <c r="BH175" s="1805" t="s">
        <v>431</v>
      </c>
      <c r="BI175" s="1871" t="s">
        <v>2019</v>
      </c>
      <c r="BJ175" s="1873">
        <f>+BS!CQ133</f>
        <v>281</v>
      </c>
      <c r="BK175" s="1874">
        <v>251.56</v>
      </c>
      <c r="BP175" s="2026"/>
      <c r="BQ175" s="1835"/>
      <c r="BR175" s="1867"/>
      <c r="BS175" s="1867"/>
      <c r="BT175" s="1867"/>
    </row>
    <row r="176" spans="48:72">
      <c r="AV176" s="1888"/>
      <c r="AW176" s="2099"/>
      <c r="AX176" s="1888"/>
      <c r="BA176" s="1888"/>
      <c r="BB176" s="1888"/>
      <c r="BC176" s="1888"/>
      <c r="BH176" s="2120" t="s">
        <v>1742</v>
      </c>
      <c r="BI176" s="2118">
        <f>+BG175/BG169</f>
        <v>0.35846372688477951</v>
      </c>
      <c r="BJ176" s="2119">
        <f>+BJ175/BJ169</f>
        <v>0.38468804674302026</v>
      </c>
      <c r="BK176" s="2119">
        <f>+BK175/BK169</f>
        <v>0.3522657256483504</v>
      </c>
      <c r="BO176" s="1811"/>
      <c r="BP176" s="2028"/>
      <c r="BQ176" s="1867"/>
      <c r="BR176" s="1835"/>
      <c r="BS176" s="1835"/>
      <c r="BT176" s="1835"/>
    </row>
    <row r="177" spans="46:72">
      <c r="AV177" s="1888"/>
      <c r="AW177" s="2099"/>
      <c r="AX177" s="1888"/>
      <c r="BA177" s="1888"/>
      <c r="BB177" s="1888"/>
      <c r="BC177" s="1888"/>
      <c r="BH177" s="1805" t="s">
        <v>424</v>
      </c>
      <c r="BI177" s="1871" t="s">
        <v>2020</v>
      </c>
      <c r="BJ177" s="1873">
        <f>+BS!CQ124</f>
        <v>236</v>
      </c>
      <c r="BK177" s="1873"/>
      <c r="BO177" s="1811"/>
      <c r="BP177" s="2026"/>
      <c r="BQ177" s="1835"/>
      <c r="BR177" s="1867"/>
      <c r="BS177" s="1867"/>
      <c r="BT177" s="1867"/>
    </row>
    <row r="178" spans="46:72">
      <c r="AV178" s="1888"/>
      <c r="AW178" s="2099"/>
      <c r="AX178" s="1888"/>
      <c r="BA178" s="1888"/>
      <c r="BB178" s="1888"/>
      <c r="BC178" s="1888"/>
      <c r="BH178" s="2097" t="s">
        <v>1863</v>
      </c>
      <c r="BI178" s="1879">
        <v>34</v>
      </c>
      <c r="BJ178" s="1873">
        <f>+BS!CQ127</f>
        <v>45</v>
      </c>
      <c r="BK178" s="1872"/>
      <c r="BO178" s="1811"/>
      <c r="BP178" s="2027"/>
      <c r="BQ178" s="1867"/>
      <c r="BR178" s="1867"/>
      <c r="BS178" s="1835"/>
      <c r="BT178" s="1835"/>
    </row>
    <row r="179" spans="46:72">
      <c r="AV179" s="1888"/>
      <c r="AW179" s="2099"/>
      <c r="AX179" s="1888"/>
      <c r="BA179" s="1888"/>
      <c r="BB179" s="1888"/>
      <c r="BC179" s="1888"/>
      <c r="BH179" s="2098" t="s">
        <v>2018</v>
      </c>
      <c r="BI179" s="1887"/>
      <c r="BJ179" s="1887"/>
      <c r="BK179" s="1887"/>
      <c r="BO179" s="1811"/>
      <c r="BP179" s="1813"/>
      <c r="BQ179" s="1867"/>
      <c r="BS179" s="1867"/>
      <c r="BT179" s="1867"/>
    </row>
    <row r="180" spans="46:72">
      <c r="AV180" s="1888"/>
      <c r="AW180" s="2099"/>
      <c r="AX180" s="1888"/>
      <c r="BA180" s="1888"/>
      <c r="BB180" s="1888"/>
      <c r="BC180" s="1888"/>
      <c r="BG180" s="1888"/>
      <c r="BH180" s="2099" t="s">
        <v>1900</v>
      </c>
      <c r="BI180" s="1831"/>
      <c r="BJ180" s="1831"/>
      <c r="BO180" s="1811"/>
      <c r="BP180" s="1813"/>
      <c r="BS180" s="1867"/>
      <c r="BT180" s="1867"/>
    </row>
    <row r="181" spans="46:72">
      <c r="AV181" s="1888"/>
      <c r="AW181" s="2099"/>
      <c r="AX181" s="1888"/>
      <c r="BA181" s="1888"/>
      <c r="BB181" s="1888"/>
      <c r="BC181" s="1888"/>
      <c r="BG181" s="1888"/>
      <c r="BH181" s="2099" t="s">
        <v>2017</v>
      </c>
      <c r="BI181" s="1831"/>
      <c r="BJ181" s="1831"/>
      <c r="BO181" s="1811"/>
      <c r="BP181" s="1813"/>
    </row>
    <row r="182" spans="46:72">
      <c r="AV182" s="1888"/>
      <c r="AW182" s="2099"/>
      <c r="AX182" s="1888"/>
      <c r="BA182" s="1888"/>
      <c r="BB182" s="1888"/>
      <c r="BC182" s="1888"/>
      <c r="BH182" s="1888"/>
      <c r="BI182" s="1831"/>
      <c r="BJ182" s="1831"/>
      <c r="BK182" s="1831"/>
      <c r="BO182" s="1811"/>
      <c r="BP182" s="1813"/>
    </row>
    <row r="183" spans="46:72">
      <c r="AV183" s="1888"/>
      <c r="AW183" s="2099"/>
      <c r="AX183" s="1888"/>
      <c r="BA183" s="1888"/>
      <c r="BB183" s="1888"/>
      <c r="BC183" s="1888"/>
      <c r="BG183" s="1888"/>
      <c r="BH183" s="1831"/>
      <c r="BI183" s="1831"/>
      <c r="BJ183" s="1831"/>
      <c r="BO183" s="1811"/>
      <c r="BP183" s="1813"/>
    </row>
    <row r="184" spans="46:72">
      <c r="AV184" s="1888"/>
      <c r="AW184" s="2099"/>
      <c r="AX184" s="1888"/>
      <c r="BA184" s="1888"/>
      <c r="BB184" s="1888"/>
      <c r="BC184" s="1888"/>
      <c r="BG184" s="1833" t="s">
        <v>1746</v>
      </c>
      <c r="BH184" s="1902" t="s">
        <v>1990</v>
      </c>
      <c r="BI184" s="1903"/>
      <c r="BJ184" s="1903"/>
      <c r="BK184" s="1903"/>
      <c r="BO184" s="1811"/>
      <c r="BP184" s="1967"/>
    </row>
    <row r="185" spans="46:72">
      <c r="AV185" s="1888"/>
      <c r="AW185" s="2099"/>
      <c r="AX185" s="1888"/>
      <c r="BA185" s="1888"/>
      <c r="BB185" s="1888"/>
      <c r="BC185" s="1888"/>
      <c r="BH185" s="1805"/>
      <c r="BI185" s="1809" t="s">
        <v>1740</v>
      </c>
      <c r="BJ185" s="1865" t="s">
        <v>240</v>
      </c>
      <c r="BK185" s="1865" t="s">
        <v>442</v>
      </c>
      <c r="BO185" s="1811"/>
      <c r="BP185" s="2017"/>
    </row>
    <row r="186" spans="46:72">
      <c r="AT186" s="2034">
        <v>2014</v>
      </c>
      <c r="AV186" s="1888"/>
      <c r="AW186" s="2099"/>
      <c r="AX186" s="1888"/>
      <c r="BA186" s="1888"/>
      <c r="BB186" s="1888"/>
      <c r="BC186" s="1888"/>
      <c r="BG186" s="2012">
        <v>683</v>
      </c>
      <c r="BH186" s="2097" t="s">
        <v>1743</v>
      </c>
      <c r="BI186" s="1871" t="s">
        <v>1991</v>
      </c>
      <c r="BJ186" s="1873">
        <f>+IS!DH15</f>
        <v>686.649</v>
      </c>
      <c r="BK186" s="1874">
        <v>683.9</v>
      </c>
      <c r="BO186" s="1811"/>
      <c r="BP186" s="2017"/>
    </row>
    <row r="187" spans="46:72">
      <c r="AV187" s="1888"/>
      <c r="AW187" s="2099"/>
      <c r="AX187" s="1888"/>
      <c r="BA187" s="1888"/>
      <c r="BB187" s="1888"/>
      <c r="BC187" s="1888"/>
      <c r="BH187" s="1774" t="s">
        <v>95</v>
      </c>
      <c r="BI187" s="1976">
        <f>+BG186/AL11-1</f>
        <v>-0.43093813556003435</v>
      </c>
      <c r="BJ187" s="1975"/>
      <c r="BK187" s="1975"/>
      <c r="BO187" s="1811"/>
      <c r="BP187" s="2017"/>
    </row>
    <row r="188" spans="46:72">
      <c r="AV188" s="1888"/>
      <c r="AW188" s="2099"/>
      <c r="AX188" s="1888"/>
      <c r="BA188" s="1888"/>
      <c r="BB188" s="1888"/>
      <c r="BC188" s="1888"/>
      <c r="BH188" s="1805" t="s">
        <v>1348</v>
      </c>
      <c r="BI188" s="1871" t="s">
        <v>1349</v>
      </c>
      <c r="BJ188" s="1880">
        <f>+IS!DH20</f>
        <v>0.69181197380320958</v>
      </c>
      <c r="BK188" s="1881">
        <v>0.66920000000000002</v>
      </c>
      <c r="BO188" s="1811"/>
      <c r="BP188" s="2020"/>
    </row>
    <row r="189" spans="46:72">
      <c r="AT189" s="1867"/>
      <c r="AV189" s="1888"/>
      <c r="AW189" s="2099"/>
      <c r="AX189" s="1888"/>
      <c r="BA189" s="1888"/>
      <c r="BB189" s="1888"/>
      <c r="BC189" s="1888"/>
      <c r="BH189" s="1805" t="s">
        <v>1539</v>
      </c>
      <c r="BI189" s="1879" t="s">
        <v>1992</v>
      </c>
      <c r="BJ189" s="1873">
        <f>+IS!DH24</f>
        <v>153.56</v>
      </c>
      <c r="BK189" s="1873"/>
      <c r="BO189" s="1811"/>
      <c r="BP189" s="2020"/>
    </row>
    <row r="190" spans="46:72">
      <c r="AT190" s="1867"/>
      <c r="AV190" s="1888"/>
      <c r="AW190" s="2099"/>
      <c r="AX190" s="1888"/>
      <c r="BA190" s="1888"/>
      <c r="BB190" s="1888"/>
      <c r="BC190" s="1888"/>
      <c r="BD190" s="1867"/>
      <c r="BG190" s="2012">
        <v>315</v>
      </c>
      <c r="BH190" s="2097" t="s">
        <v>1889</v>
      </c>
      <c r="BI190" s="1871" t="s">
        <v>1993</v>
      </c>
      <c r="BJ190" s="1873">
        <f>+IS!DH37</f>
        <v>321.47200000000004</v>
      </c>
      <c r="BK190" s="1874">
        <v>316.31</v>
      </c>
      <c r="BO190" s="1811"/>
      <c r="BP190" s="2017"/>
    </row>
    <row r="191" spans="46:72">
      <c r="AT191" s="1867"/>
      <c r="AV191" s="1888"/>
      <c r="AW191" s="2099"/>
      <c r="AX191" s="1888"/>
      <c r="BA191" s="1888"/>
      <c r="BB191" s="1888"/>
      <c r="BC191" s="1888"/>
      <c r="BD191" s="1867"/>
      <c r="BG191" s="2013"/>
      <c r="BH191" s="2120" t="s">
        <v>1741</v>
      </c>
      <c r="BI191" s="2118">
        <f>+BG190/BG186</f>
        <v>0.46120058565153732</v>
      </c>
      <c r="BJ191" s="2119">
        <f>+BJ190/BJ186</f>
        <v>0.4681751520791555</v>
      </c>
      <c r="BK191" s="2119">
        <f>+BK190/BK186</f>
        <v>0.46250913876297706</v>
      </c>
      <c r="BO191" s="1811"/>
      <c r="BP191" s="2017"/>
    </row>
    <row r="192" spans="46:72">
      <c r="AT192" s="1867"/>
      <c r="AV192" s="1888"/>
      <c r="AW192" s="2099"/>
      <c r="AX192" s="1888"/>
      <c r="BA192" s="1888"/>
      <c r="BB192" s="1888"/>
      <c r="BC192" s="1888"/>
      <c r="BD192" s="1867"/>
      <c r="BG192" s="2012">
        <v>232</v>
      </c>
      <c r="BH192" s="1805" t="s">
        <v>431</v>
      </c>
      <c r="BI192" s="1871" t="s">
        <v>1994</v>
      </c>
      <c r="BJ192" s="1873">
        <f>+BS!CP133</f>
        <v>221.34199999999998</v>
      </c>
      <c r="BK192" s="1874">
        <v>232</v>
      </c>
      <c r="BO192" s="1811"/>
      <c r="BP192" s="2023"/>
    </row>
    <row r="193" spans="46:68">
      <c r="AT193" s="1835"/>
      <c r="AV193" s="1888"/>
      <c r="AW193" s="2099"/>
      <c r="AX193" s="1888"/>
      <c r="BA193" s="1888"/>
      <c r="BB193" s="1888"/>
      <c r="BC193" s="1888"/>
      <c r="BD193" s="1867"/>
      <c r="BH193" s="2120" t="s">
        <v>1742</v>
      </c>
      <c r="BI193" s="2118">
        <f>+BG192/BG186</f>
        <v>0.3396778916544656</v>
      </c>
      <c r="BJ193" s="2119">
        <f>+BJ192/BJ186</f>
        <v>0.32235101194351112</v>
      </c>
      <c r="BK193" s="2119">
        <f>+BK192/BK186</f>
        <v>0.33923088170785204</v>
      </c>
      <c r="BO193" s="1811"/>
      <c r="BP193" s="2017"/>
    </row>
    <row r="194" spans="46:68">
      <c r="AT194" s="1867"/>
      <c r="AV194" s="1888"/>
      <c r="AW194" s="2099"/>
      <c r="AX194" s="1888"/>
      <c r="BA194" s="1888"/>
      <c r="BB194" s="1888"/>
      <c r="BC194" s="1888"/>
      <c r="BD194" s="1835"/>
      <c r="BH194" s="1805" t="s">
        <v>424</v>
      </c>
      <c r="BI194" s="1871" t="s">
        <v>1161</v>
      </c>
      <c r="BJ194" s="1873">
        <f>+BS!CP124</f>
        <v>194.012</v>
      </c>
      <c r="BK194" s="1873"/>
      <c r="BO194" s="1811"/>
      <c r="BP194" s="2017"/>
    </row>
    <row r="195" spans="46:68">
      <c r="AT195" s="1835"/>
      <c r="AV195" s="1888"/>
      <c r="AW195" s="1888"/>
      <c r="AX195" s="1888"/>
      <c r="BA195" s="1888"/>
      <c r="BB195" s="1888"/>
      <c r="BC195" s="1888"/>
      <c r="BD195" s="1867"/>
      <c r="BH195" s="2097" t="s">
        <v>1863</v>
      </c>
      <c r="BI195" s="1879">
        <v>32</v>
      </c>
      <c r="BJ195" s="1873">
        <f>+BS!CP127</f>
        <v>27.33</v>
      </c>
      <c r="BK195" s="1872"/>
      <c r="BO195" s="1811"/>
      <c r="BP195" s="2023"/>
    </row>
    <row r="196" spans="46:68">
      <c r="AT196" s="1867"/>
      <c r="AV196" s="1833" t="s">
        <v>1746</v>
      </c>
      <c r="AW196" s="1902" t="s">
        <v>1191</v>
      </c>
      <c r="AX196" s="1902"/>
      <c r="AY196" s="1902"/>
      <c r="AZ196" s="1903"/>
      <c r="BA196" s="1903"/>
      <c r="BB196" s="1903"/>
      <c r="BC196" s="1903"/>
      <c r="BD196" s="1835"/>
      <c r="BH196" s="2098" t="s">
        <v>2007</v>
      </c>
      <c r="BI196" s="1887"/>
      <c r="BJ196" s="1887"/>
      <c r="BK196" s="1887"/>
      <c r="BO196" s="1811"/>
      <c r="BP196" s="2017"/>
    </row>
    <row r="197" spans="46:68">
      <c r="AT197" s="1867"/>
      <c r="AW197" s="1805"/>
      <c r="AX197" s="1809" t="s">
        <v>1169</v>
      </c>
      <c r="AY197" s="1809" t="s">
        <v>1868</v>
      </c>
      <c r="AZ197" s="1809" t="s">
        <v>1844</v>
      </c>
      <c r="BA197" s="1809" t="s">
        <v>1709</v>
      </c>
      <c r="BB197" s="1865" t="s">
        <v>240</v>
      </c>
      <c r="BC197" s="1865" t="s">
        <v>442</v>
      </c>
      <c r="BD197" s="1867"/>
      <c r="BE197" s="1867"/>
      <c r="BG197" s="1888"/>
      <c r="BH197" s="2099" t="s">
        <v>1900</v>
      </c>
      <c r="BI197" s="1831"/>
      <c r="BJ197" s="1831"/>
      <c r="BO197" s="1811"/>
      <c r="BP197" s="2023"/>
    </row>
    <row r="198" spans="46:68">
      <c r="AU198" s="1867"/>
      <c r="AV198" s="2012">
        <v>2435</v>
      </c>
      <c r="AW198" s="1805" t="s">
        <v>1743</v>
      </c>
      <c r="AX198" s="1871" t="s">
        <v>1869</v>
      </c>
      <c r="AY198" s="1871" t="s">
        <v>1845</v>
      </c>
      <c r="AZ198" s="1871" t="s">
        <v>1708</v>
      </c>
      <c r="BA198" s="1871" t="s">
        <v>1194</v>
      </c>
      <c r="BB198" s="1873">
        <f>+IS!S15</f>
        <v>2443.7749999999996</v>
      </c>
      <c r="BC198" s="1874">
        <v>2435.5</v>
      </c>
      <c r="BD198" s="1867"/>
      <c r="BE198" s="1867"/>
      <c r="BG198" s="1888"/>
      <c r="BH198" s="2099" t="s">
        <v>2008</v>
      </c>
      <c r="BI198" s="1831"/>
      <c r="BJ198" s="1831"/>
      <c r="BO198" s="1811"/>
      <c r="BP198" s="2017"/>
    </row>
    <row r="199" spans="46:68">
      <c r="AU199" s="1867"/>
      <c r="AV199" s="1754">
        <f>+IS!R15</f>
        <v>2152.7660000000001</v>
      </c>
      <c r="AW199" s="1774" t="s">
        <v>1322</v>
      </c>
      <c r="AX199" s="1976">
        <f>+AV198/AV199-1</f>
        <v>0.13110296242136865</v>
      </c>
      <c r="AY199" s="1976">
        <v>0.12878036906937407</v>
      </c>
      <c r="AZ199" s="1976">
        <v>0.11252221560541176</v>
      </c>
      <c r="BA199" s="1976">
        <v>0.10555443554942801</v>
      </c>
      <c r="BB199" s="1880">
        <f>+IS!S17</f>
        <v>0.13517911375411895</v>
      </c>
      <c r="BC199" s="1975">
        <f>+BC198/IS!R15-1</f>
        <v>0.13133522175656798</v>
      </c>
      <c r="BE199" s="1867"/>
      <c r="BG199" s="1888"/>
      <c r="BH199" s="1831"/>
      <c r="BI199" s="1831"/>
      <c r="BJ199" s="1831"/>
      <c r="BO199" s="1811"/>
      <c r="BP199" s="2017"/>
    </row>
    <row r="200" spans="46:68">
      <c r="AU200" s="1867"/>
      <c r="AW200" s="1805" t="s">
        <v>1348</v>
      </c>
      <c r="AX200" s="1871" t="s">
        <v>1349</v>
      </c>
      <c r="AY200" s="1871" t="s">
        <v>1349</v>
      </c>
      <c r="AZ200" s="1871">
        <v>0.69</v>
      </c>
      <c r="BA200" s="1871">
        <v>0.69</v>
      </c>
      <c r="BB200" s="1880">
        <f>+IS!S20</f>
        <v>0.68591543820523571</v>
      </c>
      <c r="BC200" s="1881"/>
      <c r="BE200" s="1867"/>
      <c r="BG200" s="1833" t="s">
        <v>1746</v>
      </c>
      <c r="BH200" s="1902" t="s">
        <v>1935</v>
      </c>
      <c r="BI200" s="1903"/>
      <c r="BJ200" s="1903"/>
      <c r="BK200" s="1903"/>
      <c r="BO200" s="1811"/>
      <c r="BP200" s="2023"/>
    </row>
    <row r="201" spans="46:68">
      <c r="AU201" s="1867"/>
      <c r="AW201" s="1805" t="s">
        <v>1539</v>
      </c>
      <c r="AX201" s="1879">
        <v>553</v>
      </c>
      <c r="AY201" s="1879">
        <v>550</v>
      </c>
      <c r="AZ201" s="1871" t="s">
        <v>1489</v>
      </c>
      <c r="BA201" s="1871" t="s">
        <v>1489</v>
      </c>
      <c r="BB201" s="1873">
        <f>+IS!S24</f>
        <v>562.33199999999999</v>
      </c>
      <c r="BC201" s="1873"/>
      <c r="BE201" s="1867"/>
      <c r="BH201" s="1805"/>
      <c r="BI201" s="1809" t="s">
        <v>1740</v>
      </c>
      <c r="BJ201" s="1865" t="s">
        <v>240</v>
      </c>
      <c r="BK201" s="1865" t="s">
        <v>442</v>
      </c>
      <c r="BO201" s="1811"/>
      <c r="BP201" s="2023"/>
    </row>
    <row r="202" spans="46:68">
      <c r="AU202" s="1835"/>
      <c r="AV202" s="2012">
        <v>1112</v>
      </c>
      <c r="AW202" s="1805" t="s">
        <v>400</v>
      </c>
      <c r="AX202" s="1871" t="s">
        <v>1871</v>
      </c>
      <c r="AY202" s="1871" t="s">
        <v>1846</v>
      </c>
      <c r="AZ202" s="1871" t="s">
        <v>1713</v>
      </c>
      <c r="BA202" s="1871" t="s">
        <v>1195</v>
      </c>
      <c r="BB202" s="1873">
        <f>+IS!S37</f>
        <v>1113.8909999999996</v>
      </c>
      <c r="BC202" s="1874">
        <v>1113.0999999999999</v>
      </c>
      <c r="BE202" s="1867"/>
      <c r="BG202" s="2012">
        <v>656</v>
      </c>
      <c r="BH202" s="2097" t="s">
        <v>1743</v>
      </c>
      <c r="BI202" s="1871" t="s">
        <v>1936</v>
      </c>
      <c r="BJ202" s="1873">
        <f>+IS!DG15</f>
        <v>665.58199999999988</v>
      </c>
      <c r="BK202" s="1874">
        <v>657.51</v>
      </c>
      <c r="BO202" s="1811"/>
      <c r="BP202" s="2023"/>
    </row>
    <row r="203" spans="46:68">
      <c r="AU203" s="1867"/>
      <c r="AV203" s="2013"/>
      <c r="AW203" s="1868" t="s">
        <v>1741</v>
      </c>
      <c r="AX203" s="1876">
        <f>+AV202/AV198</f>
        <v>0.45667351129363448</v>
      </c>
      <c r="AY203" s="1876">
        <v>0.4567901234567901</v>
      </c>
      <c r="AZ203" s="1876">
        <v>0.4613778705636743</v>
      </c>
      <c r="BA203" s="1876">
        <v>0.46218487394957986</v>
      </c>
      <c r="BB203" s="1840">
        <f>+BB202/BB198</f>
        <v>0.45580751092060429</v>
      </c>
      <c r="BC203" s="1840">
        <f>+BC202/BC198</f>
        <v>0.45703141038801065</v>
      </c>
      <c r="BE203" s="1867"/>
      <c r="BH203" s="1774" t="s">
        <v>95</v>
      </c>
      <c r="BI203" s="1976"/>
      <c r="BJ203" s="1975"/>
      <c r="BK203" s="1975"/>
      <c r="BO203" s="1811"/>
      <c r="BP203" s="2017"/>
    </row>
    <row r="204" spans="46:68">
      <c r="AU204" s="1835"/>
      <c r="AV204" s="2012">
        <v>640</v>
      </c>
      <c r="AW204" s="1805" t="s">
        <v>431</v>
      </c>
      <c r="AX204" s="1871" t="s">
        <v>1873</v>
      </c>
      <c r="AY204" s="1871" t="s">
        <v>1847</v>
      </c>
      <c r="AZ204" s="1871" t="s">
        <v>1283</v>
      </c>
      <c r="BA204" s="1871" t="s">
        <v>1283</v>
      </c>
      <c r="BB204" s="1873">
        <f>+BS!S133</f>
        <v>660.20399999999995</v>
      </c>
      <c r="BC204" s="1874">
        <v>608.02</v>
      </c>
      <c r="BE204" s="1867"/>
      <c r="BH204" s="1805" t="s">
        <v>1348</v>
      </c>
      <c r="BI204" s="1871" t="s">
        <v>1349</v>
      </c>
      <c r="BJ204" s="1880">
        <f>+IS!DG20</f>
        <v>0.69239552752328037</v>
      </c>
      <c r="BK204" s="1881">
        <v>0.67130000000000001</v>
      </c>
      <c r="BO204" s="1811"/>
      <c r="BP204" s="2023"/>
    </row>
    <row r="205" spans="46:68">
      <c r="AU205" s="1867"/>
      <c r="AW205" s="1868" t="s">
        <v>1742</v>
      </c>
      <c r="AX205" s="1876">
        <f>+AV204/AV198</f>
        <v>0.26283367556468173</v>
      </c>
      <c r="AY205" s="1876">
        <v>0.25720164609053497</v>
      </c>
      <c r="AZ205" s="1876">
        <v>0.25052192066805845</v>
      </c>
      <c r="BA205" s="1876">
        <v>0.25210084033613445</v>
      </c>
      <c r="BB205" s="1840">
        <f>+BB204/BB198</f>
        <v>0.27015744084459498</v>
      </c>
      <c r="BC205" s="1840">
        <f>+BC204/BC198</f>
        <v>0.24964894272223362</v>
      </c>
      <c r="BE205" s="1867"/>
      <c r="BF205" s="1772"/>
      <c r="BH205" s="1805" t="s">
        <v>1539</v>
      </c>
      <c r="BI205" s="1879" t="s">
        <v>1938</v>
      </c>
      <c r="BJ205" s="1873">
        <f>+IS!DG24</f>
        <v>149.584</v>
      </c>
      <c r="BK205" s="1873"/>
      <c r="BN205"/>
      <c r="BO205" s="1811"/>
      <c r="BP205" s="2023"/>
    </row>
    <row r="206" spans="46:68">
      <c r="AU206" s="1867"/>
      <c r="AW206" s="1805" t="s">
        <v>424</v>
      </c>
      <c r="AX206" s="1871" t="s">
        <v>1874</v>
      </c>
      <c r="AY206" s="1871" t="s">
        <v>1848</v>
      </c>
      <c r="AZ206" s="1871" t="s">
        <v>1200</v>
      </c>
      <c r="BA206" s="1871" t="s">
        <v>1200</v>
      </c>
      <c r="BB206" s="1873"/>
      <c r="BC206" s="1873"/>
      <c r="BE206" s="1867"/>
      <c r="BF206" s="1772"/>
      <c r="BG206" s="2012">
        <v>306</v>
      </c>
      <c r="BH206" s="2097" t="s">
        <v>1889</v>
      </c>
      <c r="BI206" s="1871" t="s">
        <v>1939</v>
      </c>
      <c r="BJ206" s="1873">
        <f>+IS!DG37</f>
        <v>311.26199999999989</v>
      </c>
      <c r="BK206" s="1874">
        <v>305.24</v>
      </c>
      <c r="BN206"/>
      <c r="BO206" s="1811"/>
      <c r="BP206" s="1866"/>
    </row>
    <row r="207" spans="46:68">
      <c r="AW207" s="2097" t="s">
        <v>1849</v>
      </c>
      <c r="AX207" s="1879">
        <v>110</v>
      </c>
      <c r="AY207" s="1879">
        <v>115</v>
      </c>
      <c r="AZ207" s="1879">
        <v>200</v>
      </c>
      <c r="BA207" s="1879">
        <v>200</v>
      </c>
      <c r="BB207" s="1873"/>
      <c r="BC207" s="1872"/>
      <c r="BE207" s="1867"/>
      <c r="BF207" s="1772"/>
      <c r="BG207" s="2013"/>
      <c r="BH207" s="2120" t="s">
        <v>1741</v>
      </c>
      <c r="BI207" s="2118">
        <f>+BG206/BG202</f>
        <v>0.46646341463414637</v>
      </c>
      <c r="BJ207" s="2119">
        <f>+BJ206/BJ202</f>
        <v>0.46765387285112869</v>
      </c>
      <c r="BK207" s="2119">
        <f>+BK206/BK202</f>
        <v>0.46423628537969008</v>
      </c>
      <c r="BN207"/>
      <c r="BO207" s="1811"/>
      <c r="BP207" s="2020"/>
    </row>
    <row r="208" spans="46:68">
      <c r="AW208" s="2098" t="s">
        <v>1870</v>
      </c>
      <c r="AX208" s="1825"/>
      <c r="AY208" s="1825"/>
      <c r="AZ208" s="1887"/>
      <c r="BA208" s="1887"/>
      <c r="BB208" s="1887"/>
      <c r="BC208" s="1887"/>
      <c r="BE208" s="1867"/>
      <c r="BF208" s="1772"/>
      <c r="BG208" s="2012">
        <v>215</v>
      </c>
      <c r="BH208" s="1805" t="s">
        <v>431</v>
      </c>
      <c r="BI208" s="1871" t="s">
        <v>1940</v>
      </c>
      <c r="BJ208" s="1873">
        <f>+BS!CO133</f>
        <v>221.34199999999998</v>
      </c>
      <c r="BK208" s="1874">
        <v>205.3</v>
      </c>
      <c r="BN208"/>
      <c r="BO208" s="1811"/>
      <c r="BP208" s="2023"/>
    </row>
    <row r="209" spans="49:68">
      <c r="AW209" s="2099" t="s">
        <v>1872</v>
      </c>
      <c r="AX209" s="1824"/>
      <c r="AY209" s="1824"/>
      <c r="AZ209" s="1831"/>
      <c r="BA209" s="1831"/>
      <c r="BB209" s="1831"/>
      <c r="BC209" s="1831"/>
      <c r="BE209" s="1867"/>
      <c r="BF209" s="1772"/>
      <c r="BH209" s="2120" t="s">
        <v>1742</v>
      </c>
      <c r="BI209" s="2118">
        <f>+BG208/BG202</f>
        <v>0.3277439024390244</v>
      </c>
      <c r="BJ209" s="2119">
        <f>+BJ208/BJ202</f>
        <v>0.33255406546451077</v>
      </c>
      <c r="BK209" s="2119">
        <f>+BK208/BK202</f>
        <v>0.31223859713160257</v>
      </c>
      <c r="BN209" s="1904"/>
      <c r="BO209" s="1811"/>
      <c r="BP209" s="2013"/>
    </row>
    <row r="210" spans="49:68">
      <c r="AW210" s="2099" t="s">
        <v>1850</v>
      </c>
      <c r="AX210" s="1824"/>
      <c r="AY210" s="1824"/>
      <c r="AZ210" s="1831"/>
      <c r="BA210" s="1831"/>
      <c r="BB210" s="1831"/>
      <c r="BC210" s="1831"/>
      <c r="BE210" s="1867"/>
      <c r="BF210" s="1772"/>
      <c r="BH210" s="1805" t="s">
        <v>424</v>
      </c>
      <c r="BI210" s="1871" t="s">
        <v>1941</v>
      </c>
      <c r="BJ210" s="1873">
        <f>+BS!CO124</f>
        <v>194.012</v>
      </c>
      <c r="BK210" s="1873"/>
      <c r="BN210" s="1809" t="s">
        <v>317</v>
      </c>
      <c r="BO210" s="1811"/>
      <c r="BP210" s="2017"/>
    </row>
    <row r="211" spans="49:68">
      <c r="AW211" s="2099" t="s">
        <v>1875</v>
      </c>
      <c r="BE211" s="1867"/>
      <c r="BF211" s="1923">
        <v>564</v>
      </c>
      <c r="BH211" s="2097" t="s">
        <v>1863</v>
      </c>
      <c r="BI211" s="1879">
        <v>30</v>
      </c>
      <c r="BJ211" s="1873">
        <f>+BS!CO127</f>
        <v>27.33</v>
      </c>
      <c r="BK211" s="1872"/>
      <c r="BN211" s="1871" t="s">
        <v>312</v>
      </c>
      <c r="BO211" s="1811"/>
      <c r="BP211" s="2023"/>
    </row>
    <row r="212" spans="49:68">
      <c r="AW212" s="2099" t="s">
        <v>1881</v>
      </c>
      <c r="BE212" s="1867"/>
      <c r="BF212" s="1924"/>
      <c r="BH212" s="2098" t="s">
        <v>1937</v>
      </c>
      <c r="BI212" s="1887"/>
      <c r="BJ212" s="1887"/>
      <c r="BK212" s="1887"/>
      <c r="BN212" s="1976">
        <f>555/540-1</f>
        <v>2.7777777777777679E-2</v>
      </c>
      <c r="BO212" s="1811"/>
      <c r="BP212" s="2017"/>
    </row>
    <row r="213" spans="49:68">
      <c r="AW213" s="2106"/>
      <c r="BE213" s="1867"/>
      <c r="BF213" s="1924"/>
      <c r="BG213" s="1888"/>
      <c r="BH213" s="2099" t="s">
        <v>1900</v>
      </c>
      <c r="BI213" s="1831"/>
      <c r="BJ213" s="1831"/>
      <c r="BN213" s="1871"/>
      <c r="BO213" s="1811"/>
      <c r="BP213" s="2017"/>
    </row>
    <row r="214" spans="49:68">
      <c r="BE214" s="1867"/>
      <c r="BF214" s="1923">
        <v>125.5</v>
      </c>
      <c r="BG214" s="1888"/>
      <c r="BH214" s="2099" t="s">
        <v>1942</v>
      </c>
      <c r="BI214" s="1831"/>
      <c r="BJ214" s="1831"/>
      <c r="BN214" s="1871" t="s">
        <v>313</v>
      </c>
      <c r="BO214" s="1811"/>
      <c r="BP214" s="2013"/>
    </row>
    <row r="215" spans="49:68">
      <c r="BE215" s="1867"/>
      <c r="BF215" s="1923">
        <v>260</v>
      </c>
      <c r="BG215" s="1888"/>
      <c r="BH215" s="1831"/>
      <c r="BI215" s="1831"/>
      <c r="BJ215" s="1831"/>
      <c r="BN215" s="1871" t="s">
        <v>314</v>
      </c>
      <c r="BO215" s="1903"/>
      <c r="BP215" s="2013"/>
    </row>
    <row r="216" spans="49:68">
      <c r="BE216" s="1867"/>
      <c r="BF216" s="1926"/>
      <c r="BG216" s="1833" t="s">
        <v>1746</v>
      </c>
      <c r="BH216" s="1902" t="s">
        <v>1885</v>
      </c>
      <c r="BI216" s="1903"/>
      <c r="BJ216" s="1903"/>
      <c r="BK216" s="1903"/>
      <c r="BN216" s="1876">
        <f>261.5/555</f>
        <v>0.47117117117117119</v>
      </c>
      <c r="BO216" s="1809" t="s">
        <v>1168</v>
      </c>
      <c r="BP216" s="2013"/>
    </row>
    <row r="217" spans="49:68">
      <c r="BE217" s="1867"/>
      <c r="BF217" s="1923">
        <v>200</v>
      </c>
      <c r="BH217" s="1805"/>
      <c r="BI217" s="1809" t="s">
        <v>1740</v>
      </c>
      <c r="BJ217" s="1865" t="s">
        <v>240</v>
      </c>
      <c r="BK217" s="1865" t="s">
        <v>442</v>
      </c>
      <c r="BN217" s="1871" t="s">
        <v>315</v>
      </c>
      <c r="BO217" s="1976">
        <f>BG298/555-1</f>
        <v>1.08108108108107E-2</v>
      </c>
      <c r="BP217" s="2013"/>
    </row>
    <row r="218" spans="49:68">
      <c r="BE218" s="1867"/>
      <c r="BF218" s="1926"/>
      <c r="BG218" s="2012">
        <v>636</v>
      </c>
      <c r="BH218" s="2097" t="s">
        <v>1743</v>
      </c>
      <c r="BI218" s="1871" t="s">
        <v>1886</v>
      </c>
      <c r="BJ218" s="1873">
        <f>+IS!DF15</f>
        <v>643.17399999999998</v>
      </c>
      <c r="BK218" s="1874">
        <v>636.1</v>
      </c>
      <c r="BN218" s="1876">
        <f>212/555</f>
        <v>0.38198198198198197</v>
      </c>
      <c r="BO218"/>
      <c r="BP218" s="2013"/>
    </row>
    <row r="219" spans="49:68">
      <c r="BE219" s="1867"/>
      <c r="BF219" s="1923">
        <v>150</v>
      </c>
      <c r="BG219" s="1754">
        <f>+AL11</f>
        <v>1200.221</v>
      </c>
      <c r="BH219" s="1774" t="s">
        <v>95</v>
      </c>
      <c r="BI219" s="1976">
        <f>+BG218/BG219-1</f>
        <v>-0.47009759036044196</v>
      </c>
      <c r="BJ219" s="1975">
        <f>+BJ218/BG219-1</f>
        <v>-0.46412035783409888</v>
      </c>
      <c r="BK219" s="1975">
        <f>+BK218/BG219-1</f>
        <v>-0.47001427237150495</v>
      </c>
      <c r="BN219" s="1871" t="s">
        <v>316</v>
      </c>
      <c r="BO219" s="1976"/>
      <c r="BP219" s="2013"/>
    </row>
    <row r="220" spans="49:68">
      <c r="BE220" s="1867"/>
      <c r="BF220" s="1772"/>
      <c r="BH220" s="1805" t="s">
        <v>1348</v>
      </c>
      <c r="BI220" s="1871" t="s">
        <v>1349</v>
      </c>
      <c r="BJ220" s="1880">
        <f>+IS!DF20</f>
        <v>0.70127834769440311</v>
      </c>
      <c r="BK220" s="1881">
        <v>0.66930000000000001</v>
      </c>
      <c r="BN220" s="1879">
        <v>40.793000000000006</v>
      </c>
      <c r="BO220" s="1976">
        <f>+BG301/116-1</f>
        <v>8.18965517241379E-2</v>
      </c>
      <c r="BP220" s="2013"/>
    </row>
    <row r="221" spans="49:68">
      <c r="BE221" s="1867"/>
      <c r="BF221" s="1923">
        <v>260</v>
      </c>
      <c r="BH221" s="1805" t="s">
        <v>1539</v>
      </c>
      <c r="BI221" s="1879" t="s">
        <v>1887</v>
      </c>
      <c r="BJ221" s="1873">
        <f>+IS!DF24</f>
        <v>145.29599999999999</v>
      </c>
      <c r="BK221" s="1873"/>
      <c r="BN221" s="1871" t="s">
        <v>314</v>
      </c>
      <c r="BO221" s="1976">
        <f>+BG302/261.5-1</f>
        <v>-1.7208413001912004E-2</v>
      </c>
      <c r="BP221" s="2013"/>
    </row>
    <row r="222" spans="49:68">
      <c r="BE222" s="1867"/>
      <c r="BF222" s="1926"/>
      <c r="BG222" s="2012">
        <v>289</v>
      </c>
      <c r="BH222" s="2097" t="s">
        <v>1889</v>
      </c>
      <c r="BI222" s="1871" t="s">
        <v>1888</v>
      </c>
      <c r="BJ222" s="1873">
        <f>+IS!DF37</f>
        <v>305.74799999999999</v>
      </c>
      <c r="BK222" s="1874">
        <v>289</v>
      </c>
      <c r="BN222" s="1876">
        <f>261.5/555</f>
        <v>0.47117117117117119</v>
      </c>
      <c r="BO222" s="1873"/>
      <c r="BP222" s="2013"/>
    </row>
    <row r="223" spans="49:68">
      <c r="BE223" s="1867"/>
      <c r="BF223" s="1923">
        <v>200</v>
      </c>
      <c r="BG223" s="2013"/>
      <c r="BH223" s="2120" t="s">
        <v>1741</v>
      </c>
      <c r="BI223" s="2118">
        <f>+BG222/BG218</f>
        <v>0.45440251572327045</v>
      </c>
      <c r="BJ223" s="2119">
        <f>+BJ222/BJ218</f>
        <v>0.47537369358836024</v>
      </c>
      <c r="BK223" s="2119">
        <f>+BK222/BK218</f>
        <v>0.45433108001886496</v>
      </c>
      <c r="BN223" s="1871" t="s">
        <v>315</v>
      </c>
      <c r="BO223" s="1976">
        <f>+BG304/212-1</f>
        <v>-5.6603773584905648E-2</v>
      </c>
      <c r="BP223" s="2013"/>
    </row>
    <row r="224" spans="49:68">
      <c r="BE224" s="1867"/>
      <c r="BF224" s="1926"/>
      <c r="BG224" s="2012">
        <v>200</v>
      </c>
      <c r="BH224" s="1805" t="s">
        <v>431</v>
      </c>
      <c r="BI224" s="1871" t="s">
        <v>1891</v>
      </c>
      <c r="BJ224" s="1873">
        <f>+BS!CN133</f>
        <v>150.12</v>
      </c>
      <c r="BK224" s="1874">
        <v>192.6</v>
      </c>
      <c r="BN224" s="1876">
        <f>212/555</f>
        <v>0.38198198198198197</v>
      </c>
      <c r="BO224" s="1873"/>
      <c r="BP224" s="2013"/>
    </row>
    <row r="225" spans="57:68">
      <c r="BE225" s="1867"/>
      <c r="BF225" s="1923">
        <v>150</v>
      </c>
      <c r="BH225" s="2120" t="s">
        <v>1742</v>
      </c>
      <c r="BI225" s="2118">
        <f>+BG224/BG218</f>
        <v>0.31446540880503143</v>
      </c>
      <c r="BJ225" s="2119">
        <f>+BJ224/BJ218</f>
        <v>0.23340495728994021</v>
      </c>
      <c r="BK225" s="2119">
        <f>+BK224/BK218</f>
        <v>0.30278258135513281</v>
      </c>
      <c r="BN225" s="1871" t="s">
        <v>316</v>
      </c>
      <c r="BO225" s="1976">
        <f>+BG306/171-1</f>
        <v>-0.1228070175438597</v>
      </c>
      <c r="BP225" s="2013"/>
    </row>
    <row r="226" spans="57:68">
      <c r="BE226" s="1867"/>
      <c r="BF226" s="1772"/>
      <c r="BH226" s="1805" t="s">
        <v>424</v>
      </c>
      <c r="BI226" s="1871" t="s">
        <v>266</v>
      </c>
      <c r="BJ226" s="1873">
        <f>+BS!CN124</f>
        <v>127.747</v>
      </c>
      <c r="BK226" s="1873"/>
      <c r="BN226" s="1879">
        <v>40.793000000000006</v>
      </c>
      <c r="BO226" s="1976">
        <f>+BK307/BN220-1</f>
        <v>0.22570048782879404</v>
      </c>
      <c r="BP226" s="2013"/>
    </row>
    <row r="227" spans="57:68">
      <c r="BE227" s="1867"/>
      <c r="BF227" s="1772"/>
      <c r="BH227" s="2097" t="s">
        <v>1863</v>
      </c>
      <c r="BI227" s="1879">
        <v>25</v>
      </c>
      <c r="BJ227" s="1873">
        <f>+BS!CN127</f>
        <v>22.373000000000001</v>
      </c>
      <c r="BK227" s="1872"/>
      <c r="BN227" s="1893"/>
      <c r="BO227" s="1976">
        <f>+BG308/261.5-1</f>
        <v>-1.7208413001912004E-2</v>
      </c>
    </row>
    <row r="228" spans="57:68">
      <c r="BE228" s="1867"/>
      <c r="BF228" s="1772"/>
      <c r="BH228" s="2098" t="s">
        <v>1899</v>
      </c>
      <c r="BI228" s="1887"/>
      <c r="BJ228" s="1887"/>
      <c r="BK228" s="1887"/>
      <c r="BN228" s="1949"/>
      <c r="BO228" s="1873"/>
      <c r="BP228" s="1831"/>
    </row>
    <row r="229" spans="57:68">
      <c r="BE229" s="1835"/>
      <c r="BF229" s="1772"/>
      <c r="BG229" s="1888"/>
      <c r="BH229" s="2099" t="s">
        <v>1900</v>
      </c>
      <c r="BI229" s="1831"/>
      <c r="BJ229" s="1831"/>
      <c r="BN229" s="1949"/>
      <c r="BO229" s="1976">
        <f>+BG310/212-1</f>
        <v>-5.6603773584905648E-2</v>
      </c>
      <c r="BP229" s="1831"/>
    </row>
    <row r="230" spans="57:68">
      <c r="BE230" s="1867"/>
      <c r="BF230" s="1772"/>
      <c r="BG230" s="1888"/>
      <c r="BH230" s="2099" t="s">
        <v>1890</v>
      </c>
      <c r="BI230" s="1831"/>
      <c r="BJ230" s="1831"/>
      <c r="BN230" s="1890"/>
      <c r="BO230" s="1873"/>
      <c r="BP230" s="1831"/>
    </row>
    <row r="231" spans="57:68">
      <c r="BE231" s="1835"/>
      <c r="BF231" s="1772"/>
      <c r="BG231" s="1888"/>
      <c r="BH231" s="1831"/>
      <c r="BI231" s="1831"/>
      <c r="BJ231" s="1831"/>
      <c r="BN231" s="1890"/>
      <c r="BO231" s="1976">
        <f>+BG312/171-1</f>
        <v>-0.1228070175438597</v>
      </c>
      <c r="BP231" s="1831"/>
    </row>
    <row r="232" spans="57:68">
      <c r="BE232" s="1867"/>
      <c r="BF232" s="1772"/>
      <c r="BG232" s="1833" t="s">
        <v>1746</v>
      </c>
      <c r="BH232" s="1902" t="s">
        <v>1867</v>
      </c>
      <c r="BI232" s="1903"/>
      <c r="BJ232" s="1903"/>
      <c r="BK232" s="1903"/>
      <c r="BN232" s="1811"/>
      <c r="BO232" s="1976">
        <f>+BK313/BN226-1</f>
        <v>0.22570048782879404</v>
      </c>
      <c r="BP232" s="1831"/>
    </row>
    <row r="233" spans="57:68" ht="20.25">
      <c r="BE233" s="1867"/>
      <c r="BF233" s="1772"/>
      <c r="BH233" s="1805"/>
      <c r="BI233" s="1809" t="s">
        <v>1740</v>
      </c>
      <c r="BJ233" s="1865" t="s">
        <v>240</v>
      </c>
      <c r="BK233" s="1865" t="s">
        <v>442</v>
      </c>
      <c r="BN233" s="2016"/>
      <c r="BO233" s="1827"/>
    </row>
    <row r="234" spans="57:68">
      <c r="BE234" s="1867"/>
      <c r="BF234" s="1772"/>
      <c r="BG234" s="2012">
        <v>629</v>
      </c>
      <c r="BH234" s="1805" t="s">
        <v>988</v>
      </c>
      <c r="BI234" s="1871" t="s">
        <v>1864</v>
      </c>
      <c r="BJ234" s="1873">
        <f>+IS!DE15</f>
        <v>638.12099999999998</v>
      </c>
      <c r="BK234" s="1874">
        <v>630.46</v>
      </c>
      <c r="BN234" s="1865"/>
      <c r="BO234" s="1812"/>
    </row>
    <row r="235" spans="57:68">
      <c r="BE235" s="1867"/>
      <c r="BF235" s="1772"/>
      <c r="BG235" s="1754">
        <f>$AL$11</f>
        <v>1200.221</v>
      </c>
      <c r="BH235" s="1774" t="s">
        <v>95</v>
      </c>
      <c r="BI235" s="1976">
        <f>+BG234/BG235-1</f>
        <v>-0.47592984958603457</v>
      </c>
      <c r="BJ235" s="1975">
        <f>+BJ234/BG235-1</f>
        <v>-0.46833041581508739</v>
      </c>
      <c r="BK235" s="1975">
        <f>+BK234/BG235-1</f>
        <v>-0.47471340694755382</v>
      </c>
      <c r="BN235" s="2025"/>
      <c r="BO235" s="1812"/>
      <c r="BP235" s="1867"/>
    </row>
    <row r="236" spans="57:68">
      <c r="BE236" s="1867"/>
      <c r="BF236" s="1772"/>
      <c r="BH236" s="1805" t="s">
        <v>1348</v>
      </c>
      <c r="BI236" s="1871" t="s">
        <v>1349</v>
      </c>
      <c r="BJ236" s="1880">
        <f>+IS!DE20</f>
        <v>0.69293441212560003</v>
      </c>
      <c r="BK236" s="1881">
        <v>0.67330000000000001</v>
      </c>
      <c r="BN236" s="2025"/>
      <c r="BO236" s="1812"/>
      <c r="BP236" s="1867"/>
    </row>
    <row r="237" spans="57:68">
      <c r="BE237" s="1867"/>
      <c r="BF237" s="1772"/>
      <c r="BH237" s="1805" t="s">
        <v>1539</v>
      </c>
      <c r="BI237" s="1879">
        <v>139</v>
      </c>
      <c r="BJ237" s="1873">
        <f>+IS!DE24</f>
        <v>147.81100000000001</v>
      </c>
      <c r="BK237" s="1873"/>
      <c r="BN237" s="2025"/>
      <c r="BO237" s="1812"/>
      <c r="BP237" s="1867"/>
    </row>
    <row r="238" spans="57:68">
      <c r="BE238" s="1867"/>
      <c r="BF238" s="1772"/>
      <c r="BG238" s="2012">
        <v>293</v>
      </c>
      <c r="BH238" s="2097" t="s">
        <v>819</v>
      </c>
      <c r="BI238" s="1871" t="s">
        <v>1865</v>
      </c>
      <c r="BJ238" s="1873">
        <f>+IS!DE37</f>
        <v>294.36500000000001</v>
      </c>
      <c r="BK238" s="1874">
        <v>293.35000000000002</v>
      </c>
      <c r="BN238" s="2026"/>
      <c r="BO238" s="1967"/>
      <c r="BP238" s="1867"/>
    </row>
    <row r="239" spans="57:68">
      <c r="BE239" s="1867"/>
      <c r="BF239" s="1772"/>
      <c r="BG239" s="2013"/>
      <c r="BH239" s="1868" t="s">
        <v>1741</v>
      </c>
      <c r="BI239" s="1876">
        <f>+BG238/BG234</f>
        <v>0.46581875993640698</v>
      </c>
      <c r="BJ239" s="1840">
        <f>+BJ238/BJ234</f>
        <v>0.46129965946897222</v>
      </c>
      <c r="BK239" s="1840">
        <f>+BK238/BK234</f>
        <v>0.46529518129619646</v>
      </c>
      <c r="BN239" s="2025"/>
      <c r="BO239" s="2017"/>
      <c r="BP239" s="1835"/>
    </row>
    <row r="240" spans="57:68">
      <c r="BE240" s="1867"/>
      <c r="BF240" s="1772"/>
      <c r="BG240" s="2012">
        <v>220</v>
      </c>
      <c r="BH240" s="1805" t="s">
        <v>431</v>
      </c>
      <c r="BI240" s="1871" t="s">
        <v>30</v>
      </c>
      <c r="BJ240" s="1873">
        <f>+BS!CM133</f>
        <v>238.476</v>
      </c>
      <c r="BK240" s="1874">
        <v>219.58</v>
      </c>
      <c r="BM240" s="1811"/>
      <c r="BN240" s="2028"/>
      <c r="BO240" s="2017"/>
      <c r="BP240" s="1867"/>
    </row>
    <row r="241" spans="46:68">
      <c r="BF241" s="1772"/>
      <c r="BH241" s="1868" t="s">
        <v>1742</v>
      </c>
      <c r="BI241" s="1876">
        <f>+BG240/BG234</f>
        <v>0.34976152623211448</v>
      </c>
      <c r="BJ241" s="1840">
        <f>+BJ240/BJ234</f>
        <v>0.37371595669159924</v>
      </c>
      <c r="BK241" s="1840">
        <f>+BK240/BK234</f>
        <v>0.34828537892967038</v>
      </c>
      <c r="BM241" s="1811"/>
      <c r="BN241" s="2026"/>
      <c r="BO241" s="2017"/>
      <c r="BP241" s="1835"/>
    </row>
    <row r="242" spans="46:68">
      <c r="BF242" s="1755"/>
      <c r="BH242" s="1805" t="s">
        <v>424</v>
      </c>
      <c r="BI242" s="1871" t="s">
        <v>1866</v>
      </c>
      <c r="BJ242" s="1873">
        <f>+BS!CM124</f>
        <v>205.352</v>
      </c>
      <c r="BK242" s="1873"/>
      <c r="BM242" s="1811"/>
      <c r="BN242" s="2028"/>
      <c r="BO242" s="2020"/>
      <c r="BP242" s="1867"/>
    </row>
    <row r="243" spans="46:68">
      <c r="BF243" s="1832"/>
      <c r="BH243" s="2097" t="s">
        <v>1863</v>
      </c>
      <c r="BI243" s="1879">
        <v>35</v>
      </c>
      <c r="BJ243" s="1873">
        <f>+BS!CM127</f>
        <v>33.124000000000002</v>
      </c>
      <c r="BK243" s="1872"/>
      <c r="BM243" s="1811"/>
      <c r="BN243" s="2026"/>
      <c r="BO243" s="2020"/>
      <c r="BP243" s="1867"/>
    </row>
    <row r="244" spans="46:68">
      <c r="BF244" s="1772"/>
      <c r="BH244" s="2098"/>
      <c r="BI244" s="1887"/>
      <c r="BJ244" s="1887"/>
      <c r="BK244" s="1887"/>
      <c r="BM244" s="1903"/>
      <c r="BN244" s="2025"/>
      <c r="BO244" s="2017"/>
    </row>
    <row r="245" spans="46:68">
      <c r="BF245" s="1772"/>
      <c r="BG245" s="1888"/>
      <c r="BH245" s="1831"/>
      <c r="BI245" s="1831"/>
      <c r="BJ245" s="1831"/>
      <c r="BM245" s="1865" t="s">
        <v>442</v>
      </c>
      <c r="BN245" s="2028"/>
      <c r="BO245" s="2017"/>
    </row>
    <row r="246" spans="46:68">
      <c r="BF246" s="1772"/>
      <c r="BG246" s="1833" t="s">
        <v>1746</v>
      </c>
      <c r="BH246" s="1902" t="s">
        <v>1839</v>
      </c>
      <c r="BI246" s="1903"/>
      <c r="BJ246" s="1903"/>
      <c r="BK246" s="1903"/>
      <c r="BM246" s="1874">
        <v>563.4</v>
      </c>
      <c r="BN246" s="2026"/>
      <c r="BO246" s="2023"/>
    </row>
    <row r="247" spans="46:68">
      <c r="BF247" s="1755"/>
      <c r="BH247" s="1805"/>
      <c r="BI247" s="1809" t="s">
        <v>1740</v>
      </c>
      <c r="BJ247" s="1865" t="s">
        <v>240</v>
      </c>
      <c r="BK247" s="1865" t="s">
        <v>442</v>
      </c>
      <c r="BM247" s="1975">
        <f>+BM246/AJ11-1</f>
        <v>-0.51104827812448739</v>
      </c>
      <c r="BN247" s="2028"/>
      <c r="BO247" s="2017"/>
    </row>
    <row r="248" spans="46:68">
      <c r="BF248" s="1832"/>
      <c r="BG248" s="2012">
        <v>616</v>
      </c>
      <c r="BH248" s="1805" t="s">
        <v>988</v>
      </c>
      <c r="BI248" s="1871" t="s">
        <v>1840</v>
      </c>
      <c r="BJ248" s="1873">
        <f>+IS!DD15</f>
        <v>620.43999999999994</v>
      </c>
      <c r="BK248" s="1874">
        <v>615.46</v>
      </c>
      <c r="BM248" s="1881">
        <v>0.66910000000000003</v>
      </c>
      <c r="BN248" s="2026"/>
      <c r="BO248" s="2017"/>
    </row>
    <row r="249" spans="46:68">
      <c r="BF249" s="1870"/>
      <c r="BG249" s="1754">
        <v>605.16100000000006</v>
      </c>
      <c r="BH249" s="1774" t="s">
        <v>95</v>
      </c>
      <c r="BI249" s="1976">
        <f>+BG248/BG249-1</f>
        <v>1.7910936097996988E-2</v>
      </c>
      <c r="BJ249" s="1975">
        <f>+BJ248/BG249-1</f>
        <v>2.5247826611430435E-2</v>
      </c>
      <c r="BK249" s="1975">
        <f>+BK248/BG249-1</f>
        <v>1.7018611576092857E-2</v>
      </c>
      <c r="BM249" s="1873"/>
      <c r="BN249" s="2027"/>
      <c r="BO249" s="2023"/>
      <c r="BP249" s="1867"/>
    </row>
    <row r="250" spans="46:68">
      <c r="AT250" s="2034">
        <v>2013</v>
      </c>
      <c r="BF250" s="1870"/>
      <c r="BH250" s="1805" t="s">
        <v>1348</v>
      </c>
      <c r="BI250" s="1871" t="s">
        <v>1349</v>
      </c>
      <c r="BJ250" s="1880">
        <f>+IS!DD20</f>
        <v>0.68335697247114957</v>
      </c>
      <c r="BK250" s="1881">
        <v>0.6704</v>
      </c>
      <c r="BM250" s="1874">
        <f>0.46*BM246</f>
        <v>259.16399999999999</v>
      </c>
      <c r="BN250" s="1813"/>
      <c r="BO250" s="2017"/>
      <c r="BP250" s="1867"/>
    </row>
    <row r="251" spans="46:68">
      <c r="BD251" s="1903"/>
      <c r="BF251" s="1870"/>
      <c r="BH251" s="1805" t="s">
        <v>1539</v>
      </c>
      <c r="BI251" s="1879">
        <v>140</v>
      </c>
      <c r="BJ251" s="1873">
        <f>+IS!DD22+IS!DD23</f>
        <v>140.12099999999998</v>
      </c>
      <c r="BK251" s="1873"/>
      <c r="BM251" s="1840">
        <f>+BM250/BM246</f>
        <v>0.46</v>
      </c>
      <c r="BN251" s="1813"/>
      <c r="BO251" s="2023"/>
      <c r="BP251" s="1867"/>
    </row>
    <row r="252" spans="46:68">
      <c r="BD252" s="1809" t="s">
        <v>1168</v>
      </c>
      <c r="BF252" s="1875"/>
      <c r="BG252" s="2012">
        <v>280</v>
      </c>
      <c r="BH252" s="1805" t="s">
        <v>1202</v>
      </c>
      <c r="BI252" s="1871" t="s">
        <v>1841</v>
      </c>
      <c r="BJ252" s="1873">
        <f>+IS!DD37</f>
        <v>283.86099999999999</v>
      </c>
      <c r="BK252" s="1874">
        <v>279.89999999999998</v>
      </c>
      <c r="BM252" s="1874">
        <v>202.7</v>
      </c>
      <c r="BN252" s="1813"/>
      <c r="BO252" s="2017"/>
      <c r="BP252" s="1867"/>
    </row>
    <row r="253" spans="46:68">
      <c r="BD253" s="1976">
        <f>+AV262/2140-1</f>
        <v>3.2710280373831058E-3</v>
      </c>
      <c r="BF253" s="1838"/>
      <c r="BG253" s="2013"/>
      <c r="BH253" s="1868" t="s">
        <v>1741</v>
      </c>
      <c r="BI253" s="1876">
        <f>+BG252/BG248</f>
        <v>0.45454545454545453</v>
      </c>
      <c r="BJ253" s="1840">
        <f>+BJ252/BJ248</f>
        <v>0.45751563406614665</v>
      </c>
      <c r="BK253" s="1840">
        <f>+BK252/BK248</f>
        <v>0.45478178923081913</v>
      </c>
      <c r="BM253" s="1840">
        <f>+BM252/BM246</f>
        <v>0.35977990770323037</v>
      </c>
      <c r="BN253" s="1813"/>
      <c r="BO253" s="2017"/>
      <c r="BP253" s="1835"/>
    </row>
    <row r="254" spans="46:68">
      <c r="BD254"/>
      <c r="BF254" s="1877"/>
      <c r="BG254" s="2012">
        <v>180</v>
      </c>
      <c r="BH254" s="1805" t="s">
        <v>431</v>
      </c>
      <c r="BI254" s="1871" t="s">
        <v>1842</v>
      </c>
      <c r="BJ254" s="1873">
        <f>+BS!CL133</f>
        <v>156.00400000000002</v>
      </c>
      <c r="BK254" s="1874">
        <v>165.58</v>
      </c>
      <c r="BM254" s="1873"/>
      <c r="BN254" s="1813"/>
      <c r="BO254" s="2023"/>
      <c r="BP254" s="1867"/>
    </row>
    <row r="255" spans="46:68" ht="20.25">
      <c r="BD255" s="1976">
        <f>+AV264/470-1</f>
        <v>5.3191489361701372E-3</v>
      </c>
      <c r="BF255" s="1839"/>
      <c r="BH255" s="1868" t="s">
        <v>1742</v>
      </c>
      <c r="BI255" s="1876">
        <f>+BG254/BG248</f>
        <v>0.29220779220779219</v>
      </c>
      <c r="BJ255" s="1840">
        <f>+BJ254/BJ248</f>
        <v>0.25144091290052228</v>
      </c>
      <c r="BK255" s="1840">
        <f>+BK254/BK248</f>
        <v>0.26903454326844961</v>
      </c>
      <c r="BM255" s="1872"/>
      <c r="BN255" s="2016"/>
      <c r="BO255" s="2023"/>
      <c r="BP255" s="1835"/>
    </row>
    <row r="256" spans="46:68">
      <c r="BD256" s="1976">
        <f>+AV265/987.5-1</f>
        <v>2.5316455696202667E-3</v>
      </c>
      <c r="BF256" s="1878"/>
      <c r="BH256" s="1805" t="s">
        <v>424</v>
      </c>
      <c r="BI256" s="1871" t="s">
        <v>1843</v>
      </c>
      <c r="BJ256" s="1873">
        <f>+BS!CL124</f>
        <v>136.22900000000001</v>
      </c>
      <c r="BK256" s="1873"/>
      <c r="BM256" s="1874">
        <f>0.46*BM252</f>
        <v>93.242000000000004</v>
      </c>
      <c r="BN256" s="1865"/>
      <c r="BO256" s="2023"/>
      <c r="BP256" s="1867"/>
    </row>
    <row r="257" spans="46:68">
      <c r="BD257"/>
      <c r="BF257" s="1877"/>
      <c r="BH257" s="2097" t="s">
        <v>1856</v>
      </c>
      <c r="BI257" s="1879">
        <v>25</v>
      </c>
      <c r="BJ257" s="1873">
        <f>+BS!CL127</f>
        <v>19.774999999999999</v>
      </c>
      <c r="BK257" s="1872"/>
      <c r="BM257" s="1840">
        <f>+BM256/BM252</f>
        <v>0.46</v>
      </c>
      <c r="BN257" s="2018"/>
      <c r="BO257" s="2017"/>
      <c r="BP257" s="1867"/>
    </row>
    <row r="258" spans="46:68">
      <c r="BD258" s="1976">
        <f>+AV267/600-1</f>
        <v>-5.0000000000000044E-2</v>
      </c>
      <c r="BE258"/>
      <c r="BF258" s="1772"/>
      <c r="BH258" s="2098" t="s">
        <v>1851</v>
      </c>
      <c r="BI258" s="1887"/>
      <c r="BJ258" s="1887"/>
      <c r="BK258" s="1887"/>
      <c r="BM258" s="1874">
        <v>202.7</v>
      </c>
      <c r="BN258" s="2018"/>
      <c r="BO258" s="2023"/>
    </row>
    <row r="259" spans="46:68">
      <c r="AU259" s="1755"/>
      <c r="BD259"/>
      <c r="BE259"/>
      <c r="BF259" s="1772"/>
      <c r="BG259" s="1888"/>
      <c r="BH259" s="2099" t="s">
        <v>1860</v>
      </c>
      <c r="BI259" s="1831"/>
      <c r="BJ259" s="1831"/>
      <c r="BM259" s="1840">
        <f>+BM258/BM252</f>
        <v>1</v>
      </c>
      <c r="BN259" s="2019"/>
      <c r="BO259" s="2023"/>
    </row>
    <row r="260" spans="46:68">
      <c r="AU260" s="1772"/>
      <c r="AV260" s="1756"/>
      <c r="AW260" s="1902" t="s">
        <v>1738</v>
      </c>
      <c r="AX260" s="1902"/>
      <c r="AY260" s="1903"/>
      <c r="AZ260" s="1903"/>
      <c r="BA260" s="1903"/>
      <c r="BB260" s="1903"/>
      <c r="BC260" s="1903"/>
      <c r="BD260" s="1976">
        <f>+AV269/430-1</f>
        <v>-5.8139534883720922E-2</v>
      </c>
      <c r="BE260"/>
      <c r="BF260" s="1755"/>
      <c r="BG260" s="1888"/>
      <c r="BH260" s="2099" t="s">
        <v>1861</v>
      </c>
      <c r="BI260" s="1831"/>
      <c r="BJ260" s="1831"/>
      <c r="BM260" s="1873"/>
      <c r="BN260" s="2018"/>
      <c r="BO260" s="1866"/>
    </row>
    <row r="261" spans="46:68">
      <c r="AU261" s="1923">
        <v>2152</v>
      </c>
      <c r="AV261" s="1833" t="s">
        <v>1746</v>
      </c>
      <c r="AW261" s="1805"/>
      <c r="AX261" s="1865" t="s">
        <v>439</v>
      </c>
      <c r="AY261" s="1809" t="s">
        <v>1169</v>
      </c>
      <c r="AZ261" s="1809" t="s">
        <v>1626</v>
      </c>
      <c r="BA261" s="1865" t="s">
        <v>240</v>
      </c>
      <c r="BB261" s="1865" t="s">
        <v>1829</v>
      </c>
      <c r="BC261" s="1809" t="s">
        <v>1167</v>
      </c>
      <c r="BD261"/>
      <c r="BE261"/>
      <c r="BF261" s="1832"/>
      <c r="BG261" s="1888"/>
      <c r="BH261" s="1831"/>
      <c r="BI261" s="1831"/>
      <c r="BJ261" s="1831"/>
      <c r="BM261" s="1872"/>
      <c r="BN261" s="2022"/>
      <c r="BO261" s="2020"/>
      <c r="BP261" s="1867"/>
    </row>
    <row r="262" spans="46:68">
      <c r="AU262" s="1772"/>
      <c r="AV262" s="1923">
        <v>2147</v>
      </c>
      <c r="AW262" s="1805" t="s">
        <v>988</v>
      </c>
      <c r="AX262" s="1872">
        <v>2152.7660000000001</v>
      </c>
      <c r="AY262" s="1871" t="s">
        <v>1627</v>
      </c>
      <c r="AZ262" s="1871" t="s">
        <v>1162</v>
      </c>
      <c r="BA262" s="1841">
        <f>+IS!R15</f>
        <v>2152.7660000000001</v>
      </c>
      <c r="BB262" s="1842">
        <v>2149.77</v>
      </c>
      <c r="BC262" s="1871" t="s">
        <v>394</v>
      </c>
      <c r="BD262" s="1223"/>
      <c r="BE262"/>
      <c r="BF262" s="1870"/>
      <c r="BG262" s="1888"/>
      <c r="BH262" s="1831"/>
      <c r="BI262" s="1831"/>
      <c r="BJ262" s="1831"/>
      <c r="BM262" s="1815"/>
      <c r="BN262" s="2019"/>
      <c r="BO262" s="2023"/>
      <c r="BP262" s="1867"/>
    </row>
    <row r="263" spans="46:68">
      <c r="AU263" s="1923">
        <v>472.5</v>
      </c>
      <c r="AV263" s="1772"/>
      <c r="AW263" s="1805" t="s">
        <v>1348</v>
      </c>
      <c r="AX263" s="1975">
        <v>0.68371945673612466</v>
      </c>
      <c r="AY263" s="1871">
        <v>0.68</v>
      </c>
      <c r="AZ263" s="1871">
        <v>0.68</v>
      </c>
      <c r="BA263" s="1837">
        <f>+IS!R20</f>
        <v>0.68467264904778313</v>
      </c>
      <c r="BB263" s="1908">
        <v>0.66810000000000003</v>
      </c>
      <c r="BC263" s="1871">
        <v>0.68</v>
      </c>
      <c r="BD263"/>
      <c r="BE263"/>
      <c r="BF263" s="1870"/>
      <c r="BG263" s="1833" t="s">
        <v>1746</v>
      </c>
      <c r="BH263" s="1902" t="s">
        <v>1704</v>
      </c>
      <c r="BI263" s="1903"/>
      <c r="BJ263" s="1903"/>
      <c r="BK263" s="1903"/>
      <c r="BM263" s="1811"/>
      <c r="BN263" s="2022"/>
      <c r="BO263" s="2013"/>
      <c r="BP263" s="1867"/>
    </row>
    <row r="264" spans="46:68">
      <c r="AU264" s="1923">
        <v>995</v>
      </c>
      <c r="AV264" s="1923">
        <v>472.5</v>
      </c>
      <c r="AW264" s="1805" t="s">
        <v>1539</v>
      </c>
      <c r="AX264" s="1872">
        <v>473.041</v>
      </c>
      <c r="AY264" s="1871" t="s">
        <v>1163</v>
      </c>
      <c r="AZ264" s="1871" t="s">
        <v>1163</v>
      </c>
      <c r="BA264" s="1841">
        <f>+IS!R24</f>
        <v>473.04200000000003</v>
      </c>
      <c r="BB264"/>
      <c r="BC264" s="1871" t="s">
        <v>395</v>
      </c>
      <c r="BD264" s="1976">
        <f>+AV273/600-1</f>
        <v>-5.0000000000000044E-2</v>
      </c>
      <c r="BE264"/>
      <c r="BF264" s="1870"/>
      <c r="BH264" s="1805"/>
      <c r="BI264" s="1809" t="s">
        <v>1740</v>
      </c>
      <c r="BJ264" s="1865" t="s">
        <v>240</v>
      </c>
      <c r="BK264" s="1865" t="s">
        <v>442</v>
      </c>
      <c r="BM264" s="1811"/>
      <c r="BN264" s="2019"/>
      <c r="BO264" s="2017"/>
      <c r="BP264" s="1867"/>
    </row>
    <row r="265" spans="46:68">
      <c r="AU265" s="1836"/>
      <c r="AV265" s="1923">
        <v>990</v>
      </c>
      <c r="AW265" s="1805" t="s">
        <v>819</v>
      </c>
      <c r="AX265" s="1872">
        <v>998.84699999999998</v>
      </c>
      <c r="AY265" s="1871" t="s">
        <v>1628</v>
      </c>
      <c r="AZ265" s="1871" t="s">
        <v>1164</v>
      </c>
      <c r="BA265" s="1841">
        <f>+IS!R37</f>
        <v>1000.898</v>
      </c>
      <c r="BB265" s="1842">
        <v>994.08</v>
      </c>
      <c r="BC265" s="1871" t="s">
        <v>396</v>
      </c>
      <c r="BD265"/>
      <c r="BE265"/>
      <c r="BF265" s="1875"/>
      <c r="BG265" s="2012">
        <v>596</v>
      </c>
      <c r="BH265" s="1805" t="s">
        <v>988</v>
      </c>
      <c r="BI265" s="1871" t="s">
        <v>1706</v>
      </c>
      <c r="BJ265" s="1873">
        <f>+IS!DC15</f>
        <v>605.16100000000006</v>
      </c>
      <c r="BK265" s="1874">
        <v>595.91</v>
      </c>
      <c r="BM265" s="1811"/>
      <c r="BN265" s="2021"/>
      <c r="BO265" s="2023"/>
      <c r="BP265" s="1835"/>
    </row>
    <row r="266" spans="46:68">
      <c r="AU266" s="1923">
        <v>570</v>
      </c>
      <c r="AV266" s="1836"/>
      <c r="AW266" s="1868" t="s">
        <v>1741</v>
      </c>
      <c r="AX266" s="1840">
        <v>0.46398308037194935</v>
      </c>
      <c r="AY266" s="1834">
        <f>+AU264/AU261</f>
        <v>0.46236059479553904</v>
      </c>
      <c r="AZ266" s="1834">
        <f>+AV265/AV262</f>
        <v>0.46110852352119236</v>
      </c>
      <c r="BA266" s="1837">
        <f>+BA265/BA262</f>
        <v>0.46493580816493757</v>
      </c>
      <c r="BB266" s="1953">
        <f>+BB265/BB262</f>
        <v>0.46241225805551295</v>
      </c>
      <c r="BC266" s="1834">
        <v>0.4614485981308411</v>
      </c>
      <c r="BD266" s="1976">
        <f>+AV275/430-1</f>
        <v>-5.8139534883720922E-2</v>
      </c>
      <c r="BE266"/>
      <c r="BF266" s="1838"/>
      <c r="BG266" s="1754">
        <f>+AL11</f>
        <v>1200.221</v>
      </c>
      <c r="BH266" s="1774" t="s">
        <v>95</v>
      </c>
      <c r="BI266" s="1976">
        <f>+BG265/BG266-1</f>
        <v>-0.50342478593525697</v>
      </c>
      <c r="BJ266" s="1975">
        <f>+IS!DC16</f>
        <v>4.3285699755022389E-2</v>
      </c>
      <c r="BK266" s="1975">
        <f>+BK265/IS!DB15-1</f>
        <v>2.7337157121849254E-2</v>
      </c>
      <c r="BM266" s="1811"/>
      <c r="BN266" s="1813"/>
      <c r="BO266" s="2017"/>
      <c r="BP266" s="1867"/>
    </row>
    <row r="267" spans="46:68">
      <c r="AU267" s="1836"/>
      <c r="AV267" s="1923">
        <v>570</v>
      </c>
      <c r="AW267" s="1805" t="s">
        <v>431</v>
      </c>
      <c r="AX267" s="1872">
        <v>572.40599999999995</v>
      </c>
      <c r="AY267" s="1830" t="s">
        <v>1165</v>
      </c>
      <c r="AZ267" s="1830" t="s">
        <v>1165</v>
      </c>
      <c r="BA267" s="1841">
        <f>+BS!R133</f>
        <v>572.40599999999995</v>
      </c>
      <c r="BB267" s="1842">
        <v>556.46</v>
      </c>
      <c r="BC267" s="1830" t="s">
        <v>397</v>
      </c>
      <c r="BD267"/>
      <c r="BE267"/>
      <c r="BF267" s="1877"/>
      <c r="BH267" s="1805" t="s">
        <v>1348</v>
      </c>
      <c r="BI267" s="1871" t="s">
        <v>1349</v>
      </c>
      <c r="BJ267" s="1880">
        <f>+IS!DC20</f>
        <v>0.684545104525903</v>
      </c>
      <c r="BK267" s="1881">
        <v>0.67049999999999998</v>
      </c>
      <c r="BM267" s="1811"/>
      <c r="BN267" s="1813"/>
      <c r="BO267" s="2017"/>
      <c r="BP267" s="1835"/>
    </row>
    <row r="268" spans="46:68" ht="20.25">
      <c r="AU268" s="1923">
        <v>405</v>
      </c>
      <c r="AV268" s="1836"/>
      <c r="AW268" s="1868" t="s">
        <v>1742</v>
      </c>
      <c r="AX268" s="1840">
        <v>0.26589327404836377</v>
      </c>
      <c r="AY268" s="1834">
        <f>+AU266/AU261</f>
        <v>0.26486988847583642</v>
      </c>
      <c r="AZ268" s="1834">
        <f>+AV267/AV262</f>
        <v>0.26548672566371684</v>
      </c>
      <c r="BA268" s="1837">
        <f>+BA267/BA262</f>
        <v>0.26589327404836377</v>
      </c>
      <c r="BB268" s="1953">
        <f>+BB267/BB262</f>
        <v>0.25884629518506636</v>
      </c>
      <c r="BC268" s="1834">
        <v>0.28037383177570091</v>
      </c>
      <c r="BD268" s="1223"/>
      <c r="BE268"/>
      <c r="BF268" s="1839"/>
      <c r="BH268" s="1805" t="s">
        <v>1539</v>
      </c>
      <c r="BI268" s="1871" t="s">
        <v>1710</v>
      </c>
      <c r="BJ268" s="1873">
        <f>+IS!DC24</f>
        <v>138.983</v>
      </c>
      <c r="BK268" s="1873"/>
      <c r="BM268" s="1973"/>
      <c r="BN268" s="2016"/>
      <c r="BO268" s="2013"/>
      <c r="BP268" s="1867"/>
    </row>
    <row r="269" spans="46:68">
      <c r="AU269" s="1923">
        <v>165</v>
      </c>
      <c r="AV269" s="1923">
        <v>405</v>
      </c>
      <c r="AW269" s="1805" t="s">
        <v>424</v>
      </c>
      <c r="AX269" s="1840"/>
      <c r="AY269" s="1830" t="s">
        <v>1166</v>
      </c>
      <c r="AZ269" s="1830" t="s">
        <v>1166</v>
      </c>
      <c r="BA269" s="1841">
        <f>+BS!R124</f>
        <v>389.07600000000002</v>
      </c>
      <c r="BB269" s="1812"/>
      <c r="BC269" s="1830" t="s">
        <v>398</v>
      </c>
      <c r="BD269"/>
      <c r="BE269"/>
      <c r="BF269" s="1878"/>
      <c r="BG269" s="2012">
        <v>270</v>
      </c>
      <c r="BH269" s="1805" t="s">
        <v>1202</v>
      </c>
      <c r="BI269" s="1871" t="s">
        <v>1707</v>
      </c>
      <c r="BJ269" s="1873">
        <f>+IS!DC37</f>
        <v>275.27700000000004</v>
      </c>
      <c r="BK269" s="1874">
        <v>271.58</v>
      </c>
      <c r="BM269" s="1865"/>
      <c r="BN269" s="1865"/>
      <c r="BO269" s="2013"/>
      <c r="BP269" s="1867"/>
    </row>
    <row r="270" spans="46:68">
      <c r="AU270" s="1772"/>
      <c r="AV270" s="1923">
        <v>165</v>
      </c>
      <c r="AW270" s="1805" t="s">
        <v>425</v>
      </c>
      <c r="AX270" s="1873"/>
      <c r="AY270" s="1830">
        <v>165</v>
      </c>
      <c r="AZ270" s="1830">
        <v>165</v>
      </c>
      <c r="BA270" s="1841">
        <f>+BS!R127</f>
        <v>183.32999999999998</v>
      </c>
      <c r="BB270" s="1812"/>
      <c r="BC270" s="1830">
        <v>165</v>
      </c>
      <c r="BD270"/>
      <c r="BE270"/>
      <c r="BF270" s="1877"/>
      <c r="BG270" s="2013"/>
      <c r="BH270" s="1868" t="s">
        <v>1741</v>
      </c>
      <c r="BI270" s="1876">
        <f>+BG269/BG265</f>
        <v>0.45302013422818793</v>
      </c>
      <c r="BJ270" s="1840">
        <f>+BJ269/BJ265</f>
        <v>0.45488225447442915</v>
      </c>
      <c r="BK270" s="1840">
        <f>+BK269/BK265</f>
        <v>0.45573996073232537</v>
      </c>
      <c r="BM270" s="2026"/>
      <c r="BN270" s="2018"/>
      <c r="BO270" s="2013"/>
    </row>
    <row r="271" spans="46:68">
      <c r="AT271" s="1888"/>
      <c r="AU271" s="1836"/>
      <c r="AV271" s="1772"/>
      <c r="AW271" s="1825" t="s">
        <v>1631</v>
      </c>
      <c r="AX271" s="2038"/>
      <c r="AY271" s="1826"/>
      <c r="AZ271" s="1826"/>
      <c r="BA271" s="1814"/>
      <c r="BB271" s="1815"/>
      <c r="BC271" s="1815"/>
      <c r="BE271"/>
      <c r="BF271" s="1772"/>
      <c r="BG271" s="2012">
        <v>170</v>
      </c>
      <c r="BH271" s="1805" t="s">
        <v>431</v>
      </c>
      <c r="BI271" s="1871" t="s">
        <v>1711</v>
      </c>
      <c r="BJ271" s="1873">
        <f>+BS!CK133</f>
        <v>159.816</v>
      </c>
      <c r="BK271" s="1874">
        <v>167.85</v>
      </c>
      <c r="BM271" s="2026"/>
      <c r="BN271" s="2018"/>
      <c r="BO271" s="2013"/>
    </row>
    <row r="272" spans="46:68">
      <c r="AU272" s="1923">
        <v>570</v>
      </c>
      <c r="AV272" s="1836"/>
      <c r="AW272" s="1868" t="s">
        <v>1741</v>
      </c>
      <c r="AX272" s="1840">
        <v>0.46398308037194935</v>
      </c>
      <c r="AY272" s="1834"/>
      <c r="AZ272" s="1834"/>
      <c r="BA272" s="1837">
        <f>+BA271/BA268</f>
        <v>0</v>
      </c>
      <c r="BB272" s="1953">
        <f>+BB271/BB268</f>
        <v>0</v>
      </c>
      <c r="BC272" s="1834">
        <v>0.4614485981308411</v>
      </c>
      <c r="BE272"/>
      <c r="BH272" s="1868" t="s">
        <v>1742</v>
      </c>
      <c r="BI272" s="1876">
        <f>+BG271/BG265</f>
        <v>0.28523489932885904</v>
      </c>
      <c r="BJ272" s="1840">
        <f>+BJ271/BJ265</f>
        <v>0.26408839961596997</v>
      </c>
      <c r="BK272" s="1840">
        <f>+BK271/BK265</f>
        <v>0.28167005084660435</v>
      </c>
      <c r="BM272" s="2026"/>
      <c r="BN272" s="2019"/>
      <c r="BO272" s="2013"/>
    </row>
    <row r="273" spans="47:67">
      <c r="AU273" s="1836"/>
      <c r="AV273" s="1923">
        <v>570</v>
      </c>
      <c r="AW273" s="1805" t="s">
        <v>431</v>
      </c>
      <c r="AX273" s="1872">
        <v>572.40599999999995</v>
      </c>
      <c r="AY273" s="1830" t="s">
        <v>1165</v>
      </c>
      <c r="AZ273" s="1830" t="s">
        <v>1165</v>
      </c>
      <c r="BA273" s="1841">
        <f>+BS!R155</f>
        <v>0</v>
      </c>
      <c r="BB273" s="1842">
        <v>556.46</v>
      </c>
      <c r="BC273" s="1830" t="s">
        <v>397</v>
      </c>
      <c r="BE273"/>
      <c r="BF273" s="1877"/>
      <c r="BH273" s="1805" t="s">
        <v>424</v>
      </c>
      <c r="BI273" s="1871" t="s">
        <v>1712</v>
      </c>
      <c r="BJ273" s="1873">
        <f>+BS!CK124</f>
        <v>133.798</v>
      </c>
      <c r="BK273" s="1873"/>
      <c r="BM273" s="2026"/>
      <c r="BN273" s="2018"/>
      <c r="BO273" s="2013"/>
    </row>
    <row r="274" spans="47:67">
      <c r="AU274" s="1923">
        <v>405</v>
      </c>
      <c r="AV274" s="1836"/>
      <c r="AW274" s="1868" t="s">
        <v>1742</v>
      </c>
      <c r="AX274" s="1840">
        <v>0.26589327404836377</v>
      </c>
      <c r="AY274" s="1834"/>
      <c r="AZ274" s="1834"/>
      <c r="BA274" s="1837">
        <f>+BA273/BA268</f>
        <v>0</v>
      </c>
      <c r="BB274" s="1953">
        <f>+BB273/BB268</f>
        <v>2149.77</v>
      </c>
      <c r="BC274" s="1834">
        <v>0.28037383177570091</v>
      </c>
      <c r="BE274"/>
      <c r="BF274" s="1755"/>
      <c r="BH274" s="1805" t="s">
        <v>425</v>
      </c>
      <c r="BI274" s="1879">
        <v>60</v>
      </c>
      <c r="BJ274" s="1873">
        <f>+BS!CK127</f>
        <v>26.018000000000001</v>
      </c>
      <c r="BK274" s="1872"/>
      <c r="BM274" s="2026"/>
      <c r="BN274" s="2022"/>
      <c r="BO274" s="2013"/>
    </row>
    <row r="275" spans="47:67">
      <c r="AU275" s="1923">
        <v>165</v>
      </c>
      <c r="AV275" s="1923">
        <v>405</v>
      </c>
      <c r="AW275" s="1805" t="s">
        <v>424</v>
      </c>
      <c r="AX275" s="1840"/>
      <c r="AY275" s="1830" t="s">
        <v>1166</v>
      </c>
      <c r="AZ275" s="1830" t="s">
        <v>1166</v>
      </c>
      <c r="BA275" s="1841">
        <f>+BS!R133</f>
        <v>572.40599999999995</v>
      </c>
      <c r="BB275" s="1812"/>
      <c r="BC275" s="1830" t="s">
        <v>398</v>
      </c>
      <c r="BE275"/>
      <c r="BF275" s="1867"/>
      <c r="BH275" s="1825" t="s">
        <v>1201</v>
      </c>
      <c r="BI275" s="1887"/>
      <c r="BJ275" s="1887"/>
      <c r="BK275" s="1887"/>
      <c r="BM275" s="2028"/>
      <c r="BN275" s="1873"/>
      <c r="BO275" s="2013"/>
    </row>
    <row r="276" spans="47:67">
      <c r="AU276" s="1772"/>
      <c r="AV276" s="1923">
        <v>165</v>
      </c>
      <c r="AW276" s="1805" t="s">
        <v>425</v>
      </c>
      <c r="AX276" s="1873"/>
      <c r="AY276" s="1830">
        <v>165</v>
      </c>
      <c r="AZ276" s="1830">
        <v>165</v>
      </c>
      <c r="BA276" s="1841" t="e">
        <f>+BS!#REF!</f>
        <v>#REF!</v>
      </c>
      <c r="BB276" s="1812"/>
      <c r="BC276" s="1830">
        <v>165</v>
      </c>
      <c r="BE276"/>
      <c r="BF276" s="1867"/>
      <c r="BH276" s="1824"/>
      <c r="BI276" s="1831"/>
      <c r="BJ276" s="1831"/>
      <c r="BK276" s="1831"/>
      <c r="BM276" s="2026"/>
      <c r="BN276" s="2029"/>
      <c r="BO276" s="2013"/>
    </row>
    <row r="277" spans="47:67">
      <c r="AU277" s="1772"/>
      <c r="AV277" s="1772"/>
      <c r="AW277" s="1825" t="s">
        <v>1631</v>
      </c>
      <c r="AX277" s="2038"/>
      <c r="AY277" s="1826"/>
      <c r="AZ277" s="1826"/>
      <c r="BA277" s="1814"/>
      <c r="BB277" s="1815"/>
      <c r="BC277" s="1815"/>
      <c r="BE277"/>
      <c r="BH277" s="1824"/>
      <c r="BI277" s="1831"/>
      <c r="BJ277" s="1831"/>
      <c r="BK277" s="1831"/>
      <c r="BM277" s="2028"/>
      <c r="BN277" s="2030"/>
      <c r="BO277" s="2013"/>
    </row>
    <row r="278" spans="47:67">
      <c r="AU278" s="1772"/>
      <c r="AV278" s="1772"/>
      <c r="AW278" s="1824" t="s">
        <v>1632</v>
      </c>
      <c r="AX278" s="1824"/>
      <c r="AY278" s="1810"/>
      <c r="AZ278" s="1810"/>
      <c r="BA278" s="1790"/>
      <c r="BB278" s="1811"/>
      <c r="BC278" s="1851"/>
      <c r="BG278" s="1888"/>
      <c r="BH278" s="1824"/>
      <c r="BI278" s="1831"/>
      <c r="BJ278" s="1831"/>
      <c r="BM278" s="2026"/>
      <c r="BN278" s="2031"/>
      <c r="BO278" s="2013"/>
    </row>
    <row r="279" spans="47:67">
      <c r="AV279" s="1772"/>
      <c r="AW279" s="1824" t="s">
        <v>1633</v>
      </c>
      <c r="AX279" s="1824"/>
      <c r="AY279" s="1810"/>
      <c r="AZ279" s="1810"/>
      <c r="BA279" s="1790"/>
      <c r="BB279" s="1811"/>
      <c r="BC279" s="1851"/>
      <c r="BG279" s="1833" t="s">
        <v>1746</v>
      </c>
      <c r="BH279" s="1902" t="s">
        <v>1186</v>
      </c>
      <c r="BI279" s="1903"/>
      <c r="BJ279" s="1903"/>
      <c r="BK279" s="1903"/>
      <c r="BM279" s="2026"/>
      <c r="BN279" s="1813"/>
      <c r="BO279" s="2013"/>
    </row>
    <row r="280" spans="47:67">
      <c r="BH280" s="1805"/>
      <c r="BI280" s="1809" t="s">
        <v>1740</v>
      </c>
      <c r="BJ280" s="1865" t="s">
        <v>240</v>
      </c>
      <c r="BK280" s="1865" t="s">
        <v>442</v>
      </c>
      <c r="BM280" s="2028"/>
      <c r="BN280" s="1831"/>
      <c r="BO280" s="2013"/>
    </row>
    <row r="281" spans="47:67">
      <c r="AW281" s="1902" t="s">
        <v>413</v>
      </c>
      <c r="AX281" s="1903"/>
      <c r="AY281" s="1903"/>
      <c r="AZ281" s="1903"/>
      <c r="BA281" s="1903"/>
      <c r="BB281" s="1903"/>
      <c r="BG281" s="2012">
        <v>574</v>
      </c>
      <c r="BH281" s="1805" t="s">
        <v>988</v>
      </c>
      <c r="BI281" s="1871" t="s">
        <v>1193</v>
      </c>
      <c r="BJ281" s="1873">
        <f>+IS!DB15</f>
        <v>580.053</v>
      </c>
      <c r="BK281" s="1874">
        <v>574.85</v>
      </c>
      <c r="BM281" s="2026"/>
      <c r="BN281" s="1872"/>
    </row>
    <row r="282" spans="47:67">
      <c r="AW282" s="1805"/>
      <c r="AX282" s="1809" t="s">
        <v>1740</v>
      </c>
      <c r="AY282" s="1865" t="s">
        <v>407</v>
      </c>
      <c r="AZ282" s="1865" t="s">
        <v>408</v>
      </c>
      <c r="BA282" s="1865" t="s">
        <v>409</v>
      </c>
      <c r="BB282" s="1865" t="s">
        <v>412</v>
      </c>
      <c r="BF282" s="1867"/>
      <c r="BH282" s="1774" t="s">
        <v>95</v>
      </c>
      <c r="BI282" s="1976">
        <f>+BG281/AJ11-1</f>
        <v>-0.50184897345306312</v>
      </c>
      <c r="BJ282" s="1975">
        <f>+IS!DB16</f>
        <v>2.7229726020362E-2</v>
      </c>
      <c r="BK282" s="1975">
        <f>+BK281/AJ11-1</f>
        <v>-0.50111129336148663</v>
      </c>
      <c r="BM282" s="2028"/>
      <c r="BN282" s="1867"/>
      <c r="BO282" s="1831"/>
    </row>
    <row r="283" spans="47:67">
      <c r="AW283" s="1805" t="s">
        <v>406</v>
      </c>
      <c r="AX283" s="1871" t="str">
        <f t="shared" ref="AX283:AX291" si="218">+AZ262</f>
        <v>$2,145 - $2,149</v>
      </c>
      <c r="AY283" s="1950">
        <v>1045.124</v>
      </c>
      <c r="AZ283" s="1950">
        <f>+AV262-AY283</f>
        <v>1101.876</v>
      </c>
      <c r="BA283" s="1842">
        <v>2200</v>
      </c>
      <c r="BB283" s="1951">
        <f>+AV262/BA283-1</f>
        <v>-2.4090909090909052E-2</v>
      </c>
      <c r="BF283" s="1867"/>
      <c r="BH283" s="1805" t="s">
        <v>1348</v>
      </c>
      <c r="BI283" s="1871" t="s">
        <v>1349</v>
      </c>
      <c r="BJ283" s="1880">
        <f>+IS!DB20</f>
        <v>0.68236006020139539</v>
      </c>
      <c r="BK283" s="1881">
        <v>0.66879999999999995</v>
      </c>
      <c r="BM283" s="2026"/>
      <c r="BN283" s="1867"/>
      <c r="BO283" s="1831"/>
    </row>
    <row r="284" spans="47:67">
      <c r="AW284" s="1805" t="s">
        <v>1348</v>
      </c>
      <c r="AX284" s="1871">
        <f t="shared" si="218"/>
        <v>0.68</v>
      </c>
      <c r="AY284" s="1840">
        <v>0.68249126419448802</v>
      </c>
      <c r="AZ284" s="1908" t="s">
        <v>214</v>
      </c>
      <c r="BA284" s="1871" t="s">
        <v>1349</v>
      </c>
      <c r="BB284" s="1871" t="s">
        <v>214</v>
      </c>
      <c r="BF284" s="1867"/>
      <c r="BH284" s="1805" t="s">
        <v>1539</v>
      </c>
      <c r="BI284" s="1871" t="s">
        <v>1197</v>
      </c>
      <c r="BJ284" s="1873">
        <f>+IS!DB24</f>
        <v>135.417</v>
      </c>
      <c r="BK284" s="1873"/>
      <c r="BM284" s="2027"/>
      <c r="BN284" s="1867"/>
      <c r="BO284" s="1831"/>
    </row>
    <row r="285" spans="47:67">
      <c r="AW285" s="1805" t="s">
        <v>1539</v>
      </c>
      <c r="AX285" s="1871" t="str">
        <f t="shared" si="218"/>
        <v>$470 - $475</v>
      </c>
      <c r="AY285" s="1950">
        <v>225.65100000000001</v>
      </c>
      <c r="AZ285" s="1950">
        <f>+AV264-AY285</f>
        <v>246.84899999999999</v>
      </c>
      <c r="BA285" s="1871" t="s">
        <v>1353</v>
      </c>
      <c r="BB285" s="1952">
        <f>+AV264/500-1</f>
        <v>-5.5000000000000049E-2</v>
      </c>
      <c r="BF285" s="1867"/>
      <c r="BG285" s="2012">
        <v>258</v>
      </c>
      <c r="BH285" s="1805" t="s">
        <v>1202</v>
      </c>
      <c r="BI285" s="1871" t="s">
        <v>1198</v>
      </c>
      <c r="BJ285" s="1873">
        <f>+IS!DB37</f>
        <v>260.38800000000003</v>
      </c>
      <c r="BK285" s="1874">
        <v>259.20999999999998</v>
      </c>
      <c r="BM285" s="1812"/>
      <c r="BN285" s="1867"/>
      <c r="BO285" s="1831"/>
    </row>
    <row r="286" spans="47:67">
      <c r="AW286" s="1805" t="s">
        <v>405</v>
      </c>
      <c r="AX286" s="1871" t="str">
        <f t="shared" si="218"/>
        <v>$988 - $992</v>
      </c>
      <c r="AY286" s="1950">
        <v>487.63700000000006</v>
      </c>
      <c r="AZ286" s="1950">
        <f>+AV265-AY286</f>
        <v>502.36299999999994</v>
      </c>
      <c r="BA286" s="1842">
        <v>1010</v>
      </c>
      <c r="BB286" s="1951">
        <f>+AV265/BA286-1</f>
        <v>-1.980198019801982E-2</v>
      </c>
      <c r="BF286" s="1835"/>
      <c r="BG286" s="2013"/>
      <c r="BH286" s="1868" t="s">
        <v>1741</v>
      </c>
      <c r="BI286" s="1876">
        <f>+BG285/BG281</f>
        <v>0.44947735191637633</v>
      </c>
      <c r="BJ286" s="1840">
        <f>+BJ285/BJ281</f>
        <v>0.4489038070659061</v>
      </c>
      <c r="BK286" s="1840">
        <f>+BK285/BK281</f>
        <v>0.45091763068626595</v>
      </c>
      <c r="BM286" s="1812"/>
      <c r="BN286" s="1835"/>
      <c r="BO286" s="1831"/>
    </row>
    <row r="287" spans="47:67">
      <c r="AW287" s="1868" t="s">
        <v>1741</v>
      </c>
      <c r="AX287" s="1834">
        <f t="shared" si="218"/>
        <v>0.46110852352119236</v>
      </c>
      <c r="AY287" s="1837">
        <v>0.4665829126495995</v>
      </c>
      <c r="AZ287" s="1837">
        <f>+AZ286/AZ283</f>
        <v>0.45591609219186185</v>
      </c>
      <c r="BA287" s="1953">
        <f>+BA286/BA283</f>
        <v>0.45909090909090911</v>
      </c>
      <c r="BB287" s="1837"/>
      <c r="BF287" s="1835"/>
      <c r="BG287" s="2012">
        <v>135</v>
      </c>
      <c r="BH287" s="1805" t="s">
        <v>431</v>
      </c>
      <c r="BI287" s="1871" t="s">
        <v>1196</v>
      </c>
      <c r="BJ287" s="1873">
        <f>+BS!CJ133</f>
        <v>105.908</v>
      </c>
      <c r="BK287" s="1874">
        <v>137.1</v>
      </c>
      <c r="BM287" s="1812"/>
      <c r="BN287" s="1867"/>
    </row>
    <row r="288" spans="47:67">
      <c r="AW288" s="1805" t="s">
        <v>431</v>
      </c>
      <c r="AX288" s="1830" t="str">
        <f t="shared" si="218"/>
        <v>$560 - $580</v>
      </c>
      <c r="AY288" s="1950">
        <v>198.53</v>
      </c>
      <c r="AZ288" s="1950">
        <f>+AV267-AY288</f>
        <v>371.47</v>
      </c>
      <c r="BA288" s="1830" t="s">
        <v>1283</v>
      </c>
      <c r="BB288" s="1952">
        <f>+AV267/600-1</f>
        <v>-5.0000000000000044E-2</v>
      </c>
      <c r="BF288" s="1835"/>
      <c r="BH288" s="1868" t="s">
        <v>1742</v>
      </c>
      <c r="BI288" s="1876">
        <f>+BG287/BG281</f>
        <v>0.23519163763066203</v>
      </c>
      <c r="BJ288" s="1840">
        <f>+BJ287/BJ281</f>
        <v>0.1825833156625343</v>
      </c>
      <c r="BK288" s="1840">
        <f>+BK287/BK281</f>
        <v>0.23849699921718706</v>
      </c>
      <c r="BM288" s="1812"/>
      <c r="BN288" s="1835"/>
    </row>
    <row r="289" spans="49:67">
      <c r="AW289" s="1868" t="s">
        <v>1742</v>
      </c>
      <c r="AX289" s="1834">
        <f t="shared" si="218"/>
        <v>0.26548672566371684</v>
      </c>
      <c r="AY289" s="1837">
        <v>0.18995832073514721</v>
      </c>
      <c r="AZ289" s="1837">
        <f>+AZ288/AZ283</f>
        <v>0.33712504855355779</v>
      </c>
      <c r="BA289" s="1953">
        <f>600/BA283</f>
        <v>0.27272727272727271</v>
      </c>
      <c r="BB289" s="1837"/>
      <c r="BF289" s="1835"/>
      <c r="BH289" s="1805" t="s">
        <v>424</v>
      </c>
      <c r="BI289" s="1871" t="s">
        <v>1199</v>
      </c>
      <c r="BJ289" s="1873">
        <f>+BS!CJ124</f>
        <v>79.459000000000003</v>
      </c>
      <c r="BK289" s="1873"/>
      <c r="BM289" s="1812"/>
      <c r="BN289" s="1867"/>
      <c r="BO289" s="1867"/>
    </row>
    <row r="290" spans="49:67">
      <c r="AW290" s="1805" t="s">
        <v>424</v>
      </c>
      <c r="AX290" s="1830" t="str">
        <f t="shared" si="218"/>
        <v>$395 - $415</v>
      </c>
      <c r="AY290" s="1950">
        <v>124.32300000000001</v>
      </c>
      <c r="AZ290" s="1950">
        <f>+AV269-AY290</f>
        <v>280.67700000000002</v>
      </c>
      <c r="BA290" s="1830" t="s">
        <v>1284</v>
      </c>
      <c r="BB290" s="1952">
        <f>+AV269/435-1</f>
        <v>-6.8965517241379337E-2</v>
      </c>
      <c r="BF290" s="1835"/>
      <c r="BH290" s="1805" t="s">
        <v>425</v>
      </c>
      <c r="BI290" s="1879">
        <v>60</v>
      </c>
      <c r="BJ290" s="1873">
        <f>+BS!CJ127</f>
        <v>26.449000000000002</v>
      </c>
      <c r="BK290" s="1872"/>
      <c r="BM290" s="1973"/>
      <c r="BN290" s="1867"/>
      <c r="BO290" s="1867"/>
    </row>
    <row r="291" spans="49:67">
      <c r="AW291" s="1805" t="s">
        <v>425</v>
      </c>
      <c r="AX291" s="1830">
        <f t="shared" si="218"/>
        <v>165</v>
      </c>
      <c r="AY291" s="1950">
        <v>74.206999999999994</v>
      </c>
      <c r="AZ291" s="1950">
        <f>+AV270-AY291</f>
        <v>90.793000000000006</v>
      </c>
      <c r="BA291" s="1830">
        <v>165</v>
      </c>
      <c r="BB291" s="1952">
        <f>+AV270/BA291-1</f>
        <v>0</v>
      </c>
      <c r="BF291" s="1835"/>
      <c r="BH291" s="1825" t="s">
        <v>1201</v>
      </c>
      <c r="BI291" s="1887"/>
      <c r="BJ291" s="1887"/>
      <c r="BK291" s="1887"/>
      <c r="BM291" s="1865"/>
      <c r="BO291" s="1867"/>
    </row>
    <row r="292" spans="49:67">
      <c r="AW292" s="1825" t="s">
        <v>410</v>
      </c>
      <c r="AX292" s="1825"/>
      <c r="AY292" s="1815"/>
      <c r="AZ292" s="1815"/>
      <c r="BA292" s="1893"/>
      <c r="BB292" s="1893"/>
      <c r="BF292" s="1835"/>
      <c r="BG292" s="1772"/>
      <c r="BH292" s="1824"/>
      <c r="BL292" s="1811"/>
      <c r="BM292" s="2019"/>
      <c r="BO292" s="1867"/>
    </row>
    <row r="293" spans="49:67">
      <c r="AW293" s="1824" t="s">
        <v>411</v>
      </c>
      <c r="AX293" s="1824"/>
      <c r="AY293" s="1811"/>
      <c r="AZ293" s="1811"/>
      <c r="BA293" s="1949"/>
      <c r="BF293" s="1835"/>
      <c r="BG293" s="1772"/>
      <c r="BH293" s="1824"/>
      <c r="BI293" s="1810"/>
      <c r="BJ293" s="1810"/>
      <c r="BK293" s="1790"/>
      <c r="BL293" s="1811"/>
      <c r="BM293" s="2019"/>
      <c r="BO293" s="1835"/>
    </row>
    <row r="294" spans="49:67">
      <c r="BF294" s="1835"/>
      <c r="BG294" s="1772"/>
      <c r="BH294" s="1824"/>
      <c r="BI294" s="1810"/>
      <c r="BJ294" s="1810"/>
      <c r="BK294" s="1790"/>
      <c r="BL294" s="1811"/>
      <c r="BM294" s="2019"/>
      <c r="BN294" s="1873"/>
      <c r="BO294" s="1867"/>
    </row>
    <row r="295" spans="49:67">
      <c r="AW295" s="1805" t="s">
        <v>424</v>
      </c>
      <c r="AX295" s="1830">
        <f>+AZ280</f>
        <v>0</v>
      </c>
      <c r="AY295" s="1950">
        <v>124.32300000000001</v>
      </c>
      <c r="AZ295" s="1950">
        <f>+AV280-AY295</f>
        <v>-124.32300000000001</v>
      </c>
      <c r="BA295" s="1830" t="s">
        <v>1284</v>
      </c>
      <c r="BB295" s="1952">
        <f>+AV280/435-1</f>
        <v>-1</v>
      </c>
      <c r="BF295" s="1867"/>
      <c r="BG295" s="1772"/>
      <c r="BH295" s="1824"/>
      <c r="BI295" s="1810"/>
      <c r="BJ295" s="1810"/>
      <c r="BK295" s="1790"/>
      <c r="BL295" s="1811"/>
      <c r="BM295" s="2019"/>
      <c r="BN295" s="1873"/>
      <c r="BO295" s="1835"/>
    </row>
    <row r="296" spans="49:67">
      <c r="AW296" s="1805" t="s">
        <v>425</v>
      </c>
      <c r="AX296" s="1830">
        <f>+AZ281</f>
        <v>0</v>
      </c>
      <c r="AY296" s="1950">
        <v>74.206999999999994</v>
      </c>
      <c r="AZ296" s="1950">
        <f>+AV281-AY296</f>
        <v>-74.206999999999994</v>
      </c>
      <c r="BA296" s="1830">
        <v>165</v>
      </c>
      <c r="BB296" s="1952">
        <f>+AV281/BA296-1</f>
        <v>-1</v>
      </c>
      <c r="BF296" s="1835"/>
      <c r="BG296" s="1984"/>
      <c r="BH296" s="1902" t="s">
        <v>1157</v>
      </c>
      <c r="BI296" s="1902"/>
      <c r="BJ296" s="1903"/>
      <c r="BK296" s="1903"/>
      <c r="BL296" s="1903"/>
      <c r="BM296" s="2022"/>
      <c r="BO296" s="1867"/>
    </row>
    <row r="297" spans="49:67">
      <c r="AW297" s="1825" t="s">
        <v>410</v>
      </c>
      <c r="AX297" s="1825"/>
      <c r="AY297" s="1815"/>
      <c r="AZ297" s="1815"/>
      <c r="BA297" s="1893"/>
      <c r="BB297" s="1893"/>
      <c r="BF297" s="1867"/>
      <c r="BG297" s="1833" t="s">
        <v>1746</v>
      </c>
      <c r="BH297" s="1805"/>
      <c r="BI297" s="1865" t="s">
        <v>439</v>
      </c>
      <c r="BJ297" s="1809" t="s">
        <v>1169</v>
      </c>
      <c r="BK297" s="1809" t="s">
        <v>1626</v>
      </c>
      <c r="BL297" s="1865" t="s">
        <v>240</v>
      </c>
      <c r="BM297" s="2019"/>
      <c r="BN297" s="1840"/>
      <c r="BO297" s="1867"/>
    </row>
    <row r="298" spans="49:67">
      <c r="AW298" s="1824" t="s">
        <v>411</v>
      </c>
      <c r="AX298" s="1824"/>
      <c r="AY298" s="1811"/>
      <c r="AZ298" s="1811"/>
      <c r="BA298" s="1949"/>
      <c r="BF298" s="1867"/>
      <c r="BG298" s="1923">
        <v>561</v>
      </c>
      <c r="BH298" s="1805" t="s">
        <v>988</v>
      </c>
      <c r="BI298" s="1872">
        <v>564.67700000000002</v>
      </c>
      <c r="BJ298" s="1871" t="s">
        <v>1629</v>
      </c>
      <c r="BK298" s="1871" t="s">
        <v>1158</v>
      </c>
      <c r="BL298" s="1873">
        <f>+AK11</f>
        <v>1191.3282194724998</v>
      </c>
      <c r="BM298" s="2022"/>
      <c r="BN298" s="1831"/>
    </row>
    <row r="299" spans="49:67">
      <c r="BG299" s="1924"/>
      <c r="BH299" s="1774" t="s">
        <v>95</v>
      </c>
      <c r="BI299" s="1975">
        <v>3.9759963467898007E-2</v>
      </c>
      <c r="BJ299" s="1976">
        <f>+BF211/AJ11-1</f>
        <v>-0.51052756276572753</v>
      </c>
      <c r="BK299" s="1976">
        <f>+BG298/AL11-1</f>
        <v>-0.53258608206322</v>
      </c>
      <c r="BL299" s="1975">
        <f>+BL298/AJ11-1</f>
        <v>3.3904835338955053E-2</v>
      </c>
      <c r="BM299" s="2019"/>
    </row>
    <row r="300" spans="49:67">
      <c r="BG300" s="1924"/>
      <c r="BH300" s="1805" t="s">
        <v>1348</v>
      </c>
      <c r="BI300" s="1975">
        <v>0.69135629749396554</v>
      </c>
      <c r="BJ300" s="1871">
        <v>0.68</v>
      </c>
      <c r="BK300" s="1871">
        <v>0.68</v>
      </c>
      <c r="BL300" s="1880">
        <f>+AK19</f>
        <v>0.67</v>
      </c>
      <c r="BM300" s="2021"/>
      <c r="BN300" s="1872"/>
    </row>
    <row r="301" spans="49:67">
      <c r="BG301" s="1923">
        <v>125.5</v>
      </c>
      <c r="BH301" s="1805" t="s">
        <v>1539</v>
      </c>
      <c r="BI301" s="1872">
        <v>126.863</v>
      </c>
      <c r="BJ301" s="1871" t="s">
        <v>1159</v>
      </c>
      <c r="BK301" s="1871" t="s">
        <v>1159</v>
      </c>
      <c r="BL301" s="1873">
        <f>+AK20</f>
        <v>230.41740005373123</v>
      </c>
      <c r="BM301" s="1812"/>
    </row>
    <row r="302" spans="49:67">
      <c r="BG302" s="1923">
        <v>257</v>
      </c>
      <c r="BH302" s="1805" t="s">
        <v>188</v>
      </c>
      <c r="BI302" s="1872">
        <v>263.52999999999997</v>
      </c>
      <c r="BJ302" s="1871" t="s">
        <v>1630</v>
      </c>
      <c r="BK302" s="1871" t="s">
        <v>1160</v>
      </c>
      <c r="BL302" s="1873">
        <f>+AK21</f>
        <v>567.77250699284377</v>
      </c>
      <c r="BM302" s="1812"/>
    </row>
    <row r="303" spans="49:67">
      <c r="BG303" s="1926"/>
      <c r="BH303" s="1868" t="s">
        <v>1741</v>
      </c>
      <c r="BI303" s="1840">
        <v>0.46669157766298258</v>
      </c>
      <c r="BJ303" s="1876">
        <f>+BF215/BF211</f>
        <v>0.46099290780141844</v>
      </c>
      <c r="BK303" s="1876">
        <f>+BG302/BG298</f>
        <v>0.45811051693404636</v>
      </c>
      <c r="BL303" s="1840">
        <f>+BL302/BL298</f>
        <v>0.47658780990199656</v>
      </c>
      <c r="BM303" s="1973"/>
      <c r="BO303" s="1867"/>
    </row>
    <row r="304" spans="49:67">
      <c r="BG304" s="1923">
        <v>200</v>
      </c>
      <c r="BH304" s="1805" t="s">
        <v>431</v>
      </c>
      <c r="BI304" s="1872">
        <v>202.84100000000001</v>
      </c>
      <c r="BJ304" s="1871" t="s">
        <v>1161</v>
      </c>
      <c r="BK304" s="1871" t="s">
        <v>1161</v>
      </c>
      <c r="BL304" s="1873">
        <f>+AK28</f>
        <v>366.8230520709875</v>
      </c>
      <c r="BM304" s="1865"/>
      <c r="BO304" s="1867"/>
    </row>
    <row r="305" spans="46:67">
      <c r="BG305" s="1926"/>
      <c r="BH305" s="1868" t="s">
        <v>1742</v>
      </c>
      <c r="BI305" s="1840">
        <v>0.35921597656713483</v>
      </c>
      <c r="BJ305" s="1876">
        <f>+BF217/BF211</f>
        <v>0.3546099290780142</v>
      </c>
      <c r="BK305" s="1876">
        <f>+BG304/BG298</f>
        <v>0.35650623885918004</v>
      </c>
      <c r="BL305" s="1840">
        <f>+BL304/BL298</f>
        <v>0.30791099050218973</v>
      </c>
      <c r="BM305" s="2019"/>
      <c r="BO305" s="1867"/>
    </row>
    <row r="306" spans="46:67">
      <c r="BG306" s="1923">
        <v>150</v>
      </c>
      <c r="BH306" s="1805" t="s">
        <v>424</v>
      </c>
      <c r="BI306" s="1873"/>
      <c r="BJ306" s="1871" t="s">
        <v>1351</v>
      </c>
      <c r="BK306" s="1871" t="s">
        <v>1351</v>
      </c>
      <c r="BL306" s="1873">
        <v>119</v>
      </c>
      <c r="BM306" s="2019"/>
      <c r="BO306" s="1867"/>
    </row>
    <row r="307" spans="46:67">
      <c r="BD307" s="1867"/>
      <c r="BG307" s="1925"/>
      <c r="BH307" s="1805" t="s">
        <v>425</v>
      </c>
      <c r="BI307" s="1872"/>
      <c r="BJ307" s="1879">
        <v>50</v>
      </c>
      <c r="BK307" s="1879">
        <v>50</v>
      </c>
      <c r="BL307" s="1873">
        <v>49.126899000000002</v>
      </c>
      <c r="BM307" s="2019"/>
      <c r="BO307" s="1835"/>
    </row>
    <row r="308" spans="46:67">
      <c r="BD308" s="1867"/>
      <c r="BG308" s="1923">
        <v>257</v>
      </c>
      <c r="BH308" s="1805" t="s">
        <v>188</v>
      </c>
      <c r="BI308" s="1872">
        <v>263.52999999999997</v>
      </c>
      <c r="BJ308" s="1871" t="s">
        <v>1630</v>
      </c>
      <c r="BK308" s="1871" t="s">
        <v>1160</v>
      </c>
      <c r="BL308" s="1873">
        <f>+AK29</f>
        <v>0.30791099050218973</v>
      </c>
      <c r="BM308" s="2019"/>
      <c r="BO308" s="1867"/>
    </row>
    <row r="309" spans="46:67">
      <c r="AT309" s="1867"/>
      <c r="BD309" s="1867"/>
      <c r="BG309" s="1926"/>
      <c r="BH309" s="1868" t="s">
        <v>1741</v>
      </c>
      <c r="BI309" s="1840">
        <v>0.46669157766298258</v>
      </c>
      <c r="BJ309" s="1876">
        <f>+BF221/BF217</f>
        <v>1.3</v>
      </c>
      <c r="BK309" s="1876">
        <f>+BG308/BG304</f>
        <v>1.2849999999999999</v>
      </c>
      <c r="BL309" s="1840">
        <f>+BL308/BL304</f>
        <v>8.3939923830796451E-4</v>
      </c>
      <c r="BM309" s="2022"/>
      <c r="BO309" s="1835"/>
    </row>
    <row r="310" spans="46:67">
      <c r="AT310" s="1867"/>
      <c r="BD310" s="1867"/>
      <c r="BG310" s="1923">
        <v>200</v>
      </c>
      <c r="BH310" s="1805" t="s">
        <v>431</v>
      </c>
      <c r="BI310" s="1872">
        <v>202.84100000000001</v>
      </c>
      <c r="BJ310" s="1871" t="s">
        <v>1161</v>
      </c>
      <c r="BK310" s="1871" t="s">
        <v>1161</v>
      </c>
      <c r="BL310" s="1873">
        <f>+AK34</f>
        <v>185.17204989786507</v>
      </c>
      <c r="BM310" s="1873"/>
      <c r="BO310" s="1867"/>
    </row>
    <row r="311" spans="46:67">
      <c r="AT311" s="1867"/>
      <c r="BD311" s="1835"/>
      <c r="BG311" s="1926"/>
      <c r="BH311" s="1868" t="s">
        <v>1742</v>
      </c>
      <c r="BI311" s="1840">
        <v>0.35921597656713483</v>
      </c>
      <c r="BJ311" s="1876">
        <f>+BF223/BF217</f>
        <v>1</v>
      </c>
      <c r="BK311" s="1876">
        <f>+BG310/BG304</f>
        <v>1</v>
      </c>
      <c r="BL311" s="1840">
        <f>+BL310/BL304</f>
        <v>0.50479938175213324</v>
      </c>
      <c r="BM311" s="2029"/>
      <c r="BO311" s="1867"/>
    </row>
    <row r="312" spans="46:67">
      <c r="AT312" s="1867"/>
      <c r="BD312" s="1835"/>
      <c r="BG312" s="1923">
        <v>150</v>
      </c>
      <c r="BH312" s="1805" t="s">
        <v>424</v>
      </c>
      <c r="BI312" s="1873"/>
      <c r="BJ312" s="1871" t="s">
        <v>1351</v>
      </c>
      <c r="BK312" s="1871" t="s">
        <v>1351</v>
      </c>
      <c r="BL312" s="1873">
        <v>119</v>
      </c>
      <c r="BM312" s="2030"/>
    </row>
    <row r="313" spans="46:67">
      <c r="AT313" s="1867"/>
      <c r="BD313" s="1835"/>
      <c r="BE313" s="1867"/>
      <c r="BG313" s="1925"/>
      <c r="BH313" s="1805" t="s">
        <v>425</v>
      </c>
      <c r="BI313" s="1872"/>
      <c r="BJ313" s="1879">
        <v>50</v>
      </c>
      <c r="BK313" s="1879">
        <v>50</v>
      </c>
      <c r="BL313" s="1873">
        <v>49.126899000000002</v>
      </c>
      <c r="BM313" s="2031"/>
    </row>
    <row r="314" spans="46:67">
      <c r="AT314" s="1867"/>
      <c r="BD314" s="1835"/>
      <c r="BE314" s="1867"/>
      <c r="BG314" s="1772"/>
      <c r="BH314" s="1825" t="s">
        <v>1634</v>
      </c>
      <c r="BI314" s="1825"/>
      <c r="BJ314" s="1825"/>
      <c r="BK314" s="1826"/>
      <c r="BL314" s="1814"/>
      <c r="BM314" s="1812"/>
    </row>
    <row r="315" spans="46:67">
      <c r="AT315" s="1867"/>
      <c r="AU315" s="1867"/>
      <c r="BD315" s="1835"/>
      <c r="BE315" s="1867"/>
      <c r="BG315" s="1772"/>
      <c r="BH315" s="1824" t="s">
        <v>1635</v>
      </c>
      <c r="BI315" s="1824"/>
      <c r="BJ315" s="1824"/>
      <c r="BK315" s="1810"/>
      <c r="BL315" s="1790"/>
      <c r="BM315" s="1831"/>
      <c r="BO315" s="1867"/>
    </row>
    <row r="316" spans="46:67">
      <c r="AT316" s="1867"/>
      <c r="AU316" s="1867"/>
      <c r="AV316" s="1867"/>
      <c r="AW316" s="1867"/>
      <c r="AX316" s="1867"/>
      <c r="AY316" s="1867"/>
      <c r="AZ316" s="1867"/>
      <c r="BA316" s="1867"/>
      <c r="BB316" s="1867"/>
      <c r="BC316" s="1867"/>
      <c r="BD316" s="1835"/>
      <c r="BE316" s="1867"/>
      <c r="BG316" s="1772"/>
      <c r="BH316" s="1824" t="s">
        <v>1636</v>
      </c>
      <c r="BI316" s="1824"/>
      <c r="BJ316" s="1824"/>
      <c r="BK316" s="1810"/>
      <c r="BL316" s="1790"/>
      <c r="BM316" s="1872"/>
      <c r="BO316" s="1867"/>
    </row>
    <row r="317" spans="46:67">
      <c r="AT317" s="1867"/>
      <c r="AU317" s="1867"/>
      <c r="AV317" s="1867"/>
      <c r="AW317" s="1867"/>
      <c r="AX317" s="1867"/>
      <c r="AY317" s="1867"/>
      <c r="AZ317" s="1867"/>
      <c r="BA317" s="1867"/>
      <c r="BB317" s="1867"/>
      <c r="BC317" s="1867"/>
      <c r="BD317" s="1835"/>
      <c r="BE317" s="1835"/>
      <c r="BG317" s="1772"/>
      <c r="BH317" s="1824" t="s">
        <v>1637</v>
      </c>
      <c r="BI317" s="1824"/>
      <c r="BJ317" s="1824"/>
      <c r="BK317" s="1810"/>
      <c r="BL317" s="1790"/>
      <c r="BM317" s="1867"/>
      <c r="BO317" s="1867"/>
    </row>
    <row r="318" spans="46:67">
      <c r="AT318" s="1867"/>
      <c r="AU318" s="1867"/>
      <c r="AV318" s="1867"/>
      <c r="AW318" s="1867"/>
      <c r="AX318" s="1867"/>
      <c r="AY318" s="1867"/>
      <c r="AZ318" s="1867"/>
      <c r="BA318" s="1867"/>
      <c r="BB318" s="1867"/>
      <c r="BC318" s="1867"/>
      <c r="BD318" s="1835"/>
      <c r="BE318" s="1867"/>
      <c r="BG318" s="1772"/>
      <c r="BH318" s="1824" t="s">
        <v>1638</v>
      </c>
      <c r="BI318" s="1824"/>
      <c r="BJ318" s="1824"/>
      <c r="BK318" s="1810"/>
      <c r="BL318" s="1790"/>
      <c r="BM318" s="1867"/>
      <c r="BO318" s="1867"/>
    </row>
    <row r="319" spans="46:67">
      <c r="AT319" s="1867"/>
      <c r="AU319" s="1835"/>
      <c r="AV319" s="1867"/>
      <c r="AW319" s="1867"/>
      <c r="AX319" s="1867"/>
      <c r="AY319" s="1867"/>
      <c r="AZ319" s="1867"/>
      <c r="BA319" s="1867"/>
      <c r="BB319" s="1867"/>
      <c r="BC319" s="1867"/>
      <c r="BD319" s="1835"/>
      <c r="BE319" s="1835"/>
      <c r="BG319" s="1756"/>
      <c r="BH319" s="1824"/>
      <c r="BI319" s="1824"/>
      <c r="BJ319" s="1810"/>
      <c r="BK319" s="1790"/>
      <c r="BL319" s="1811"/>
      <c r="BM319" s="1867"/>
      <c r="BO319" s="1835"/>
    </row>
    <row r="320" spans="46:67">
      <c r="AT320" s="1867"/>
      <c r="AU320" s="1867"/>
      <c r="AV320" s="1835"/>
      <c r="AW320" s="1835"/>
      <c r="AX320" s="1835"/>
      <c r="AY320" s="1835"/>
      <c r="AZ320" s="1835"/>
      <c r="BA320" s="1835"/>
      <c r="BB320" s="1835"/>
      <c r="BC320" s="1835"/>
      <c r="BD320" s="1867"/>
      <c r="BE320" s="1867"/>
      <c r="BG320" s="1833" t="s">
        <v>1746</v>
      </c>
      <c r="BH320" s="1902" t="s">
        <v>1268</v>
      </c>
      <c r="BI320" s="1903"/>
      <c r="BJ320" s="1903"/>
      <c r="BK320" s="1903"/>
      <c r="BL320" s="2015"/>
      <c r="BM320" s="1867"/>
      <c r="BO320" s="1867"/>
    </row>
    <row r="321" spans="46:67">
      <c r="AT321" s="1835"/>
      <c r="AU321" s="1867"/>
      <c r="AV321" s="1835"/>
      <c r="AW321" s="1835"/>
      <c r="AX321" s="1835"/>
      <c r="AY321" s="1835"/>
      <c r="AZ321" s="1835"/>
      <c r="BA321" s="1835"/>
      <c r="BB321" s="1835"/>
      <c r="BC321" s="1835"/>
      <c r="BD321" s="1835"/>
      <c r="BE321" s="1867"/>
      <c r="BG321" s="1923">
        <v>540</v>
      </c>
      <c r="BH321" s="1805"/>
      <c r="BI321" s="1809" t="s">
        <v>1740</v>
      </c>
      <c r="BJ321" s="1865" t="s">
        <v>240</v>
      </c>
      <c r="BK321" s="1865" t="s">
        <v>442</v>
      </c>
      <c r="BL321" s="1865"/>
      <c r="BM321" s="1835"/>
      <c r="BO321" s="1835"/>
    </row>
    <row r="322" spans="46:67">
      <c r="AT322" s="2034">
        <v>2012</v>
      </c>
      <c r="AU322" s="1867"/>
      <c r="AV322" s="1835"/>
      <c r="AW322" s="1835"/>
      <c r="AX322" s="1835"/>
      <c r="AY322" s="1835"/>
      <c r="AZ322" s="1835"/>
      <c r="BA322" s="1835"/>
      <c r="BB322" s="1835"/>
      <c r="BC322" s="1835"/>
      <c r="BD322" s="1867"/>
      <c r="BG322" s="1924"/>
      <c r="BH322" s="1805" t="s">
        <v>1743</v>
      </c>
      <c r="BI322" s="1871" t="s">
        <v>391</v>
      </c>
      <c r="BJ322" s="1873">
        <f>+IS!CZ15</f>
        <v>543.08400000000006</v>
      </c>
      <c r="BK322" s="1874">
        <v>539.66999999999996</v>
      </c>
      <c r="BL322" s="2025"/>
      <c r="BM322" s="1867"/>
      <c r="BO322" s="1867"/>
    </row>
    <row r="323" spans="46:67">
      <c r="AT323" s="1867"/>
      <c r="AU323" s="1867"/>
      <c r="AV323" s="1835"/>
      <c r="AW323" s="1835"/>
      <c r="AX323" s="1835"/>
      <c r="AY323" s="1835"/>
      <c r="AZ323" s="1835"/>
      <c r="BA323" s="1835"/>
      <c r="BB323" s="1835"/>
      <c r="BC323" s="1835"/>
      <c r="BD323" s="1867"/>
      <c r="BG323" s="1924">
        <f>+BG321/AL11-1</f>
        <v>-0.55008285973999782</v>
      </c>
      <c r="BH323" s="1774" t="s">
        <v>95</v>
      </c>
      <c r="BI323" s="1871">
        <f>+BG321/AL11-1</f>
        <v>-0.55008285973999782</v>
      </c>
      <c r="BJ323" s="1880"/>
      <c r="BK323" s="1881"/>
      <c r="BL323" s="2025"/>
      <c r="BM323" s="1835"/>
      <c r="BO323" s="1867"/>
    </row>
    <row r="324" spans="46:67">
      <c r="AT324" s="1867"/>
      <c r="AU324" s="1867"/>
      <c r="AV324" s="1835"/>
      <c r="AW324" s="1835"/>
      <c r="AX324" s="1835"/>
      <c r="AY324" s="1835"/>
      <c r="AZ324" s="1835"/>
      <c r="BA324" s="1835"/>
      <c r="BB324" s="1835"/>
      <c r="BC324" s="1835"/>
      <c r="BD324" s="1835"/>
      <c r="BG324" s="1925"/>
      <c r="BH324" s="1805" t="s">
        <v>1348</v>
      </c>
      <c r="BI324" s="1871">
        <v>0.68</v>
      </c>
      <c r="BJ324" s="1880">
        <f>+IS!CZ20</f>
        <v>0.67940318624743135</v>
      </c>
      <c r="BK324" s="1881">
        <v>0.65300000000000002</v>
      </c>
      <c r="BL324" s="2025"/>
      <c r="BM324" s="1867"/>
    </row>
    <row r="325" spans="46:67">
      <c r="AT325" s="1867"/>
      <c r="AU325" s="1867"/>
      <c r="AV325" s="1835"/>
      <c r="AW325" s="1835"/>
      <c r="AX325" s="1835"/>
      <c r="AY325" s="1835"/>
      <c r="AZ325" s="1835"/>
      <c r="BA325" s="1835"/>
      <c r="BB325" s="1835"/>
      <c r="BC325" s="1835"/>
      <c r="BD325" s="1867"/>
      <c r="BF325" s="1867"/>
      <c r="BG325" s="1923">
        <v>238</v>
      </c>
      <c r="BH325" s="1805" t="s">
        <v>1539</v>
      </c>
      <c r="BI325" s="1871" t="s">
        <v>392</v>
      </c>
      <c r="BJ325" s="1873">
        <f>+IS!CZ24</f>
        <v>120.52799999999999</v>
      </c>
      <c r="BK325" s="1873"/>
      <c r="BL325" s="2025"/>
      <c r="BM325" s="1867"/>
      <c r="BN325" s="1867"/>
    </row>
    <row r="326" spans="46:67">
      <c r="AT326" s="1835"/>
      <c r="AU326" s="1867"/>
      <c r="AV326" s="1835"/>
      <c r="AW326" s="1835"/>
      <c r="AX326" s="1835"/>
      <c r="AY326" s="1835"/>
      <c r="AZ326" s="1835"/>
      <c r="BA326" s="1835"/>
      <c r="BB326" s="1835"/>
      <c r="BC326" s="1835"/>
      <c r="BD326" s="1835"/>
      <c r="BF326" s="1867"/>
      <c r="BG326" s="1926"/>
      <c r="BH326" s="1805" t="s">
        <v>400</v>
      </c>
      <c r="BI326" s="1871" t="s">
        <v>1350</v>
      </c>
      <c r="BJ326" s="1873">
        <f>+IS!CZ37</f>
        <v>248.44500000000008</v>
      </c>
      <c r="BK326" s="1874">
        <v>240.33</v>
      </c>
      <c r="BL326" s="2027"/>
      <c r="BN326" s="1867"/>
    </row>
    <row r="327" spans="46:67">
      <c r="AT327" s="1867"/>
      <c r="AU327" s="1867"/>
      <c r="AV327" s="1835"/>
      <c r="AW327" s="1835"/>
      <c r="AX327" s="1835"/>
      <c r="AY327" s="1835"/>
      <c r="AZ327" s="1835"/>
      <c r="BA327" s="1835"/>
      <c r="BB327" s="1835"/>
      <c r="BC327" s="1835"/>
      <c r="BD327" s="1867"/>
      <c r="BE327" s="1867"/>
      <c r="BF327" s="1867"/>
      <c r="BG327" s="1923">
        <v>190</v>
      </c>
      <c r="BH327" s="1868" t="s">
        <v>1741</v>
      </c>
      <c r="BI327" s="1876">
        <f>+BG325/BG321</f>
        <v>0.44074074074074077</v>
      </c>
      <c r="BJ327" s="1840">
        <f>+BJ326/BJ322</f>
        <v>0.45747066752104654</v>
      </c>
      <c r="BK327" s="1840">
        <f>+BK326/BK322</f>
        <v>0.44532770026127083</v>
      </c>
      <c r="BL327" s="2028"/>
      <c r="BN327" s="1867"/>
    </row>
    <row r="328" spans="46:67">
      <c r="AT328" s="1835"/>
      <c r="AU328" s="1867"/>
      <c r="AV328" s="1835"/>
      <c r="AW328" s="1835"/>
      <c r="AX328" s="1835"/>
      <c r="AY328" s="1835"/>
      <c r="AZ328" s="1835"/>
      <c r="BA328" s="1835"/>
      <c r="BB328" s="1835"/>
      <c r="BC328" s="1835"/>
      <c r="BD328" s="1867"/>
      <c r="BE328" s="1867"/>
      <c r="BF328" s="1867"/>
      <c r="BG328" s="1926"/>
      <c r="BH328" s="1805" t="s">
        <v>431</v>
      </c>
      <c r="BI328" s="1871" t="s">
        <v>691</v>
      </c>
      <c r="BJ328" s="1873">
        <f>+BS!CH133</f>
        <v>171.035</v>
      </c>
      <c r="BK328" s="1874">
        <v>189.18</v>
      </c>
      <c r="BL328" s="2025"/>
      <c r="BN328" s="1867"/>
    </row>
    <row r="329" spans="46:67">
      <c r="AT329" s="1867"/>
      <c r="AU329" s="1835"/>
      <c r="AV329" s="1867"/>
      <c r="AW329" s="1867"/>
      <c r="AX329" s="1867"/>
      <c r="AY329" s="1867"/>
      <c r="AZ329" s="1867"/>
      <c r="BA329" s="1867"/>
      <c r="BB329" s="1867"/>
      <c r="BC329" s="1867"/>
      <c r="BE329" s="1867"/>
      <c r="BF329" s="1835"/>
      <c r="BG329" s="1925"/>
      <c r="BH329" s="1868" t="s">
        <v>1742</v>
      </c>
      <c r="BI329" s="1876">
        <f>+BG327/BG321</f>
        <v>0.35185185185185186</v>
      </c>
      <c r="BJ329" s="1840">
        <f>+BJ328/BJ322</f>
        <v>0.31493286489751121</v>
      </c>
      <c r="BK329" s="1840">
        <f>+BK328/BK322</f>
        <v>0.35054755684029132</v>
      </c>
      <c r="BL329" s="2028"/>
      <c r="BM329" s="1873"/>
      <c r="BN329" s="1835"/>
    </row>
    <row r="330" spans="46:67">
      <c r="AT330" s="1867"/>
      <c r="AU330" s="1867"/>
      <c r="AV330" s="1835"/>
      <c r="AW330" s="1835"/>
      <c r="AX330" s="1835"/>
      <c r="AY330" s="1835"/>
      <c r="AZ330" s="1835"/>
      <c r="BA330" s="1835"/>
      <c r="BB330" s="1835"/>
      <c r="BC330" s="1835"/>
      <c r="BE330" s="1867"/>
      <c r="BF330" s="1867"/>
      <c r="BG330" s="1925"/>
      <c r="BH330" s="1805" t="s">
        <v>424</v>
      </c>
      <c r="BI330" s="1871" t="s">
        <v>393</v>
      </c>
      <c r="BJ330" s="1873">
        <f>+BS!CH124</f>
        <v>129.971</v>
      </c>
      <c r="BK330" s="1873"/>
      <c r="BL330" s="2025"/>
      <c r="BM330" s="1873"/>
      <c r="BN330" s="1867"/>
    </row>
    <row r="331" spans="46:67">
      <c r="AU331" s="1833" t="s">
        <v>1746</v>
      </c>
      <c r="AV331" s="1867"/>
      <c r="AW331" s="1867"/>
      <c r="AX331" s="1867"/>
      <c r="AY331" s="1867"/>
      <c r="AZ331" s="1867"/>
      <c r="BA331" s="1867"/>
      <c r="BB331" s="1867"/>
      <c r="BC331" s="1867"/>
      <c r="BE331" s="1835"/>
      <c r="BF331" s="1835"/>
      <c r="BG331" s="1926"/>
      <c r="BH331" s="1805" t="s">
        <v>400</v>
      </c>
      <c r="BI331" s="1871" t="s">
        <v>1350</v>
      </c>
      <c r="BJ331" s="1873">
        <f>+IS!CZ40</f>
        <v>0.14797615747158344</v>
      </c>
      <c r="BK331" s="1874">
        <v>240.33</v>
      </c>
      <c r="BL331" s="2027"/>
      <c r="BN331" s="1835"/>
    </row>
    <row r="332" spans="46:67" ht="20.25">
      <c r="AU332" s="1895">
        <v>1892.5</v>
      </c>
      <c r="AV332" s="1832" t="s">
        <v>1745</v>
      </c>
      <c r="AW332" s="1765" t="s">
        <v>1739</v>
      </c>
      <c r="AX332" s="1767"/>
      <c r="AY332" s="1767"/>
      <c r="AZ332" s="1767"/>
      <c r="BA332" s="1766"/>
      <c r="BB332" s="1767"/>
      <c r="BC332" s="1770"/>
      <c r="BD332" s="1867"/>
      <c r="BE332" s="1867"/>
      <c r="BF332" s="1867"/>
      <c r="BG332" s="1923">
        <v>190</v>
      </c>
      <c r="BH332" s="1868" t="s">
        <v>1741</v>
      </c>
      <c r="BI332" s="1876"/>
      <c r="BJ332" s="1840">
        <f>+BJ331/BJ327</f>
        <v>0.32346589186458735</v>
      </c>
      <c r="BK332" s="1840">
        <f>+BK331/BK327</f>
        <v>539.66999999999996</v>
      </c>
      <c r="BL332" s="2028"/>
      <c r="BM332" s="1840"/>
      <c r="BN332" s="1867"/>
    </row>
    <row r="333" spans="46:67">
      <c r="AU333" s="1895">
        <v>596</v>
      </c>
      <c r="AV333" s="1754">
        <f>+SUM(IS!CT15:CV15)</f>
        <v>1381.317</v>
      </c>
      <c r="AX333" s="1809" t="s">
        <v>1740</v>
      </c>
      <c r="AY333" s="1865" t="s">
        <v>1773</v>
      </c>
      <c r="AZ333" s="1865" t="s">
        <v>1343</v>
      </c>
      <c r="BA333" s="1865" t="s">
        <v>1344</v>
      </c>
      <c r="BB333" s="1865" t="s">
        <v>240</v>
      </c>
      <c r="BC333" s="1865" t="s">
        <v>1829</v>
      </c>
      <c r="BD333" s="1867"/>
      <c r="BE333" s="1835"/>
      <c r="BF333" s="1867"/>
      <c r="BG333" s="1926"/>
      <c r="BH333" s="1805" t="s">
        <v>431</v>
      </c>
      <c r="BI333" s="1871" t="s">
        <v>691</v>
      </c>
      <c r="BJ333" s="1873">
        <f>+BS!CH154</f>
        <v>0</v>
      </c>
      <c r="BK333" s="1874">
        <v>189.18</v>
      </c>
      <c r="BL333" s="2025"/>
      <c r="BM333" s="1831"/>
      <c r="BN333" s="1867"/>
    </row>
    <row r="334" spans="46:67">
      <c r="AT334" s="1867"/>
      <c r="AU334" s="1894">
        <v>412.5</v>
      </c>
      <c r="AV334" s="1754">
        <f>+SUM(IS!CT18:CV18)</f>
        <v>436.70600000000002</v>
      </c>
      <c r="AW334" s="1805" t="s">
        <v>988</v>
      </c>
      <c r="AX334" s="1871" t="s">
        <v>1278</v>
      </c>
      <c r="AY334" s="1872">
        <f>+AU332-AV333</f>
        <v>511.18299999999999</v>
      </c>
      <c r="AZ334" s="1874">
        <v>1895.7439999999999</v>
      </c>
      <c r="BA334" s="1874"/>
      <c r="BB334" s="1873">
        <f>+IS!CW15</f>
        <v>506.05899999999997</v>
      </c>
      <c r="BC334" s="1874">
        <v>504.6</v>
      </c>
      <c r="BD334" s="1867"/>
      <c r="BE334" s="1867"/>
      <c r="BG334" s="1925"/>
      <c r="BH334" s="1868" t="s">
        <v>1742</v>
      </c>
      <c r="BI334" s="1876"/>
      <c r="BJ334" s="1840">
        <f>+BJ333/BJ327</f>
        <v>0</v>
      </c>
      <c r="BK334" s="1840">
        <f>+BK333/BK327</f>
        <v>424.81076270128568</v>
      </c>
      <c r="BL334" s="2028"/>
    </row>
    <row r="335" spans="46:67">
      <c r="AT335" s="1867"/>
      <c r="AU335" s="1894">
        <v>882.5</v>
      </c>
      <c r="AV335" s="1870">
        <f>+SUM(IS!CT24:CV24)</f>
        <v>296.44</v>
      </c>
      <c r="AW335" s="1805" t="s">
        <v>447</v>
      </c>
      <c r="AX335" s="1871" t="s">
        <v>1280</v>
      </c>
      <c r="AY335" s="1872">
        <f>+AU333-AV334</f>
        <v>159.29399999999998</v>
      </c>
      <c r="AZ335" s="1874">
        <v>595.36</v>
      </c>
      <c r="BA335" s="1874"/>
      <c r="BB335" s="1873">
        <f>+IS!CW18</f>
        <v>158.08600000000001</v>
      </c>
      <c r="BC335" s="1874"/>
      <c r="BD335" s="1867"/>
      <c r="BE335" s="1867"/>
      <c r="BG335" s="1925"/>
      <c r="BH335" s="1805" t="s">
        <v>424</v>
      </c>
      <c r="BI335" s="1871" t="s">
        <v>393</v>
      </c>
      <c r="BJ335" s="1873">
        <f>+BS!CH129</f>
        <v>0</v>
      </c>
      <c r="BK335" s="1873"/>
      <c r="BL335" s="2025"/>
      <c r="BM335" s="1872"/>
    </row>
    <row r="336" spans="46:67">
      <c r="AT336" s="1867"/>
      <c r="AU336" s="1895"/>
      <c r="AV336" s="1875">
        <f>+SUM(IS!CT37:CV37)</f>
        <v>648.17099999999994</v>
      </c>
      <c r="AW336" s="1805" t="s">
        <v>1539</v>
      </c>
      <c r="AX336" s="1871" t="s">
        <v>1279</v>
      </c>
      <c r="AY336" s="1872">
        <f>+AU334-AV335</f>
        <v>116.06</v>
      </c>
      <c r="AZ336" s="1874">
        <f>162.924+241.803</f>
        <v>404.72699999999998</v>
      </c>
      <c r="BA336" s="1874"/>
      <c r="BB336" s="1873">
        <f>+IS!CW24</f>
        <v>108.28699999999999</v>
      </c>
      <c r="BC336" s="1874"/>
      <c r="BD336" s="1835"/>
      <c r="BG336" s="1772"/>
      <c r="BH336" s="1805" t="s">
        <v>425</v>
      </c>
      <c r="BI336" s="1879">
        <v>50</v>
      </c>
      <c r="BJ336" s="1873">
        <f>+BS!CH127</f>
        <v>41.064</v>
      </c>
      <c r="BK336" s="1872"/>
      <c r="BL336" s="2027"/>
    </row>
    <row r="337" spans="46:66">
      <c r="AT337" s="1867"/>
      <c r="AU337" s="1894">
        <v>780</v>
      </c>
      <c r="AW337" s="1805" t="s">
        <v>1744</v>
      </c>
      <c r="AX337" s="1871" t="s">
        <v>1277</v>
      </c>
      <c r="AY337" s="1872">
        <f>+AU335-AV336</f>
        <v>234.32900000000006</v>
      </c>
      <c r="AZ337" s="1874">
        <f>+AZ334-AZ335-AZ336</f>
        <v>895.65700000000004</v>
      </c>
      <c r="BA337" s="1874"/>
      <c r="BB337" s="1873">
        <f>+IS!CW37</f>
        <v>239.68599999999998</v>
      </c>
      <c r="BC337" s="1874">
        <v>227.61</v>
      </c>
      <c r="BD337" s="1867"/>
      <c r="BG337" s="1772"/>
      <c r="BH337" s="1825" t="s">
        <v>401</v>
      </c>
      <c r="BI337" s="1826"/>
      <c r="BJ337" s="1814"/>
      <c r="BK337" s="1815"/>
      <c r="BL337" s="2024"/>
    </row>
    <row r="338" spans="46:66">
      <c r="AT338" s="1835"/>
      <c r="AU338" s="1894"/>
      <c r="AV338" s="1870">
        <f>+SUM(BS!CB133:CD133)</f>
        <v>554.0920000000001</v>
      </c>
      <c r="AW338" s="1868" t="s">
        <v>1741</v>
      </c>
      <c r="AX338" s="1876">
        <f>+AU335/AU332</f>
        <v>0.46631439894319682</v>
      </c>
      <c r="AY338" s="1840">
        <f>+AY337/AY334</f>
        <v>0.45840530690574621</v>
      </c>
      <c r="AZ338" s="1840">
        <f>+AZ337/AZ334</f>
        <v>0.47245672411464845</v>
      </c>
      <c r="BA338" s="1840"/>
      <c r="BB338" s="1840">
        <f>+BB337/BB334</f>
        <v>0.47363252110919873</v>
      </c>
      <c r="BC338" s="1840">
        <f>+BC337/BC334</f>
        <v>0.45107015457788346</v>
      </c>
      <c r="BD338" s="1835"/>
      <c r="BG338" s="1772"/>
      <c r="BH338" s="1824" t="s">
        <v>399</v>
      </c>
      <c r="BI338" s="1810"/>
      <c r="BJ338" s="1790"/>
      <c r="BK338" s="1811"/>
      <c r="BL338" s="2024"/>
    </row>
    <row r="339" spans="46:66">
      <c r="AT339" s="1867"/>
      <c r="AU339" s="1894">
        <v>635</v>
      </c>
      <c r="AV339" s="1870"/>
      <c r="AW339" s="1805" t="s">
        <v>431</v>
      </c>
      <c r="AX339" s="1871" t="s">
        <v>1281</v>
      </c>
      <c r="AY339" s="1872">
        <f>+AU337-AV338</f>
        <v>225.9079999999999</v>
      </c>
      <c r="AZ339" s="1874">
        <v>754.5</v>
      </c>
      <c r="BA339" s="1874"/>
      <c r="BB339" s="1873">
        <f>+BS!CE133</f>
        <v>210.40800000000002</v>
      </c>
      <c r="BC339" s="1874">
        <v>216.9</v>
      </c>
      <c r="BD339" s="1867"/>
      <c r="BE339" s="1867"/>
      <c r="BF339" s="1867"/>
      <c r="BG339" s="1772"/>
      <c r="BH339" s="1824" t="s">
        <v>402</v>
      </c>
      <c r="BI339" s="1810"/>
      <c r="BJ339" s="1790"/>
      <c r="BK339" s="1811"/>
      <c r="BL339" s="2024"/>
      <c r="BN339" s="1867"/>
    </row>
    <row r="340" spans="46:66">
      <c r="AT340" s="1835"/>
      <c r="AV340" s="1878">
        <f>+SUM(BS!CB124:CD124)</f>
        <v>435.87199999999996</v>
      </c>
      <c r="AW340" s="1868" t="s">
        <v>1742</v>
      </c>
      <c r="AX340" s="1876">
        <f>+AU337/AU332</f>
        <v>0.41215323645970936</v>
      </c>
      <c r="AY340" s="1840">
        <f>+AY339/AY334</f>
        <v>0.44193175438150312</v>
      </c>
      <c r="AZ340" s="1896">
        <f>+AZ339/AZ334</f>
        <v>0.39799677593599136</v>
      </c>
      <c r="BA340" s="1896"/>
      <c r="BB340" s="1896">
        <f>+BB339/BB334</f>
        <v>0.41577760695887245</v>
      </c>
      <c r="BC340" s="1896">
        <f>+BC339/BC334</f>
        <v>0.42984542211652793</v>
      </c>
      <c r="BD340" s="1867"/>
      <c r="BE340" s="1867"/>
      <c r="BF340" s="1867"/>
      <c r="BG340" s="1772"/>
      <c r="BH340" s="1824" t="s">
        <v>403</v>
      </c>
      <c r="BI340" s="1810"/>
      <c r="BJ340" s="1790"/>
      <c r="BK340" s="1811"/>
      <c r="BL340" s="2024"/>
      <c r="BN340" s="1867"/>
    </row>
    <row r="341" spans="46:66">
      <c r="AT341" s="1867"/>
      <c r="AU341" s="1877"/>
      <c r="AV341" s="1870">
        <f>+SUM(BS!CB127:CD127)</f>
        <v>118.22000000000001</v>
      </c>
      <c r="AW341" s="1805" t="s">
        <v>424</v>
      </c>
      <c r="AX341" s="1871" t="s">
        <v>1282</v>
      </c>
      <c r="AY341" s="1872">
        <f>+AU339-AV340</f>
        <v>199.12800000000004</v>
      </c>
      <c r="AZ341" s="1874">
        <v>607.41099999999994</v>
      </c>
      <c r="BA341" s="1874"/>
      <c r="BB341" s="1873">
        <f>+BS!CE124</f>
        <v>166.911</v>
      </c>
      <c r="BC341" s="1874"/>
      <c r="BE341" s="1867"/>
      <c r="BF341" s="1867"/>
      <c r="BG341" s="1756"/>
      <c r="BH341" s="1824"/>
      <c r="BI341" s="1810"/>
      <c r="BJ341" s="1790"/>
      <c r="BK341" s="1811"/>
      <c r="BL341" s="1890"/>
      <c r="BN341" s="1867"/>
    </row>
    <row r="342" spans="46:66">
      <c r="AT342" s="1867"/>
      <c r="AV342" s="1870"/>
      <c r="AW342" s="1805" t="s">
        <v>425</v>
      </c>
      <c r="AX342" s="1879">
        <v>145</v>
      </c>
      <c r="AY342" s="1872">
        <f>+AX342-AV341</f>
        <v>26.779999999999987</v>
      </c>
      <c r="AZ342" s="1874">
        <v>157.089</v>
      </c>
      <c r="BA342" s="1874"/>
      <c r="BB342" s="1873">
        <f>+BS!CE127</f>
        <v>43.497</v>
      </c>
      <c r="BC342" s="1874"/>
      <c r="BE342" s="1867"/>
      <c r="BF342" s="1867"/>
      <c r="BG342" s="1833" t="s">
        <v>1746</v>
      </c>
      <c r="BH342" s="1902" t="s">
        <v>1606</v>
      </c>
      <c r="BI342" s="1903"/>
      <c r="BJ342" s="1903"/>
      <c r="BK342" s="1903"/>
      <c r="BL342" s="1904"/>
      <c r="BN342" s="1867"/>
    </row>
    <row r="343" spans="46:66">
      <c r="AU343" s="1867"/>
      <c r="AV343" s="1870"/>
      <c r="AW343" s="1825" t="s">
        <v>1774</v>
      </c>
      <c r="AX343" s="1829"/>
      <c r="AY343" s="1814"/>
      <c r="AZ343" s="1815"/>
      <c r="BA343" s="1814"/>
      <c r="BB343" s="1827"/>
      <c r="BC343" s="1828"/>
      <c r="BE343" s="1835"/>
      <c r="BF343" s="1835"/>
      <c r="BG343" s="1922">
        <v>532</v>
      </c>
      <c r="BH343" s="1805"/>
      <c r="BI343" s="1809" t="s">
        <v>1740</v>
      </c>
      <c r="BJ343" s="1865" t="s">
        <v>240</v>
      </c>
      <c r="BK343" s="1865" t="s">
        <v>439</v>
      </c>
      <c r="BL343" s="1865" t="s">
        <v>442</v>
      </c>
      <c r="BN343" s="1835"/>
    </row>
    <row r="344" spans="46:66">
      <c r="AU344" s="1835"/>
      <c r="AV344" s="1867"/>
      <c r="AW344" s="1867"/>
      <c r="AX344" s="1867"/>
      <c r="AY344" s="1867"/>
      <c r="AZ344" s="1867"/>
      <c r="BA344" s="1867"/>
      <c r="BB344" s="1867"/>
      <c r="BC344" s="1867"/>
      <c r="BE344" s="1867"/>
      <c r="BF344" s="1867"/>
      <c r="BG344" s="1909">
        <f>+BG343/BJ357-1</f>
        <v>3.0740079126738706E-2</v>
      </c>
      <c r="BH344" s="1805" t="s">
        <v>988</v>
      </c>
      <c r="BI344" s="1871" t="s">
        <v>263</v>
      </c>
      <c r="BJ344" s="1873">
        <f>+IS!CY15</f>
        <v>528.87099999999998</v>
      </c>
      <c r="BK344" s="1874">
        <f>+AL11</f>
        <v>1200.221</v>
      </c>
      <c r="BL344" s="1874">
        <v>533.34</v>
      </c>
      <c r="BN344" s="1867"/>
    </row>
    <row r="345" spans="46:66">
      <c r="AU345" s="1867"/>
      <c r="AV345" s="1835"/>
      <c r="AW345" s="1835"/>
      <c r="AX345" s="1835"/>
      <c r="AY345" s="1835"/>
      <c r="AZ345" s="1835"/>
      <c r="BA345" s="1835"/>
      <c r="BB345" s="1835"/>
      <c r="BC345" s="1835"/>
      <c r="BE345" s="1835"/>
      <c r="BF345" s="1835"/>
      <c r="BG345" s="1869"/>
      <c r="BH345" s="1805" t="s">
        <v>1348</v>
      </c>
      <c r="BI345" s="1871" t="s">
        <v>1349</v>
      </c>
      <c r="BJ345" s="1880">
        <f>+IS!CY20</f>
        <v>0.68154616154033787</v>
      </c>
      <c r="BK345" s="1881">
        <f>+AL19</f>
        <v>0.66057167804929251</v>
      </c>
      <c r="BL345" s="1881">
        <v>0.67059999999999997</v>
      </c>
      <c r="BN345" s="1835"/>
    </row>
    <row r="346" spans="46:66">
      <c r="AU346" s="1835"/>
      <c r="AV346" s="1867"/>
      <c r="AW346" s="1867"/>
      <c r="AX346" s="1867"/>
      <c r="AY346" s="1867"/>
      <c r="AZ346" s="1867"/>
      <c r="BA346" s="1867"/>
      <c r="BB346" s="1867"/>
      <c r="BC346" s="1867"/>
      <c r="BE346" s="1867"/>
      <c r="BF346" s="1867"/>
      <c r="BG346" s="1922">
        <v>242</v>
      </c>
      <c r="BH346" s="1805" t="s">
        <v>1539</v>
      </c>
      <c r="BI346" s="1871" t="s">
        <v>264</v>
      </c>
      <c r="BJ346" s="1873">
        <f>+IS!CY24</f>
        <v>112.41499999999999</v>
      </c>
      <c r="BK346" s="1873">
        <f>+AL20</f>
        <v>227.99199999999999</v>
      </c>
      <c r="BL346" s="1873"/>
      <c r="BN346" s="1867"/>
    </row>
    <row r="347" spans="46:66">
      <c r="AU347" s="1867"/>
      <c r="AV347" s="1835"/>
      <c r="AW347" s="1835"/>
      <c r="AX347" s="1835"/>
      <c r="AY347" s="1835"/>
      <c r="AZ347" s="1835"/>
      <c r="BA347" s="1835"/>
      <c r="BB347" s="1835"/>
      <c r="BC347" s="1835"/>
      <c r="BE347" s="1867"/>
      <c r="BF347" s="1867"/>
      <c r="BG347" s="1843"/>
      <c r="BH347" s="1805" t="s">
        <v>188</v>
      </c>
      <c r="BI347" s="1871" t="s">
        <v>265</v>
      </c>
      <c r="BJ347" s="1873">
        <f>+IS!CY37</f>
        <v>248.035</v>
      </c>
      <c r="BK347" s="1874">
        <f>+AL21</f>
        <v>564.84</v>
      </c>
      <c r="BL347" s="1874">
        <v>242.47</v>
      </c>
      <c r="BN347" s="1867"/>
    </row>
    <row r="348" spans="46:66">
      <c r="AU348" s="1867"/>
      <c r="AV348" s="1867"/>
      <c r="AW348" s="1867"/>
      <c r="AX348" s="1867"/>
      <c r="AY348" s="1867"/>
      <c r="AZ348" s="1867"/>
      <c r="BA348" s="1867"/>
      <c r="BB348" s="1867"/>
      <c r="BC348" s="1867"/>
      <c r="BG348" s="1922">
        <v>175</v>
      </c>
      <c r="BH348" s="1868" t="s">
        <v>1741</v>
      </c>
      <c r="BI348" s="1876">
        <f>+BG346/BG343</f>
        <v>0.45488721804511278</v>
      </c>
      <c r="BJ348" s="1840">
        <f>+BJ347/BJ344</f>
        <v>0.46898960237940823</v>
      </c>
      <c r="BK348" s="1840">
        <f>+BK347/BK344</f>
        <v>0.47061332871196226</v>
      </c>
      <c r="BL348" s="1840">
        <f>+BL347/BL344</f>
        <v>0.45462556718041019</v>
      </c>
    </row>
    <row r="349" spans="46:66">
      <c r="AV349" s="1867"/>
      <c r="AW349" s="1867"/>
      <c r="AX349" s="1867"/>
      <c r="AY349" s="1867"/>
      <c r="AZ349" s="1867"/>
      <c r="BA349" s="1867"/>
      <c r="BB349" s="1867"/>
      <c r="BC349" s="1867"/>
      <c r="BG349" s="1843"/>
      <c r="BH349" s="1805" t="s">
        <v>431</v>
      </c>
      <c r="BI349" s="1871" t="s">
        <v>266</v>
      </c>
      <c r="BJ349" s="1873">
        <f>+BS!CG133</f>
        <v>122.863</v>
      </c>
      <c r="BK349" s="1874">
        <f>+AL28</f>
        <v>432.67700000000002</v>
      </c>
      <c r="BL349" s="1874">
        <v>171.91</v>
      </c>
    </row>
    <row r="350" spans="46:66">
      <c r="BG350" s="1869"/>
      <c r="BH350" s="1868" t="s">
        <v>1742</v>
      </c>
      <c r="BI350" s="1876">
        <f>+BG348/BG343</f>
        <v>0.32894736842105265</v>
      </c>
      <c r="BJ350" s="1840">
        <f>+BJ349/BJ344</f>
        <v>0.23231184920330289</v>
      </c>
      <c r="BK350" s="1840">
        <f>+BK349/BK344</f>
        <v>0.36049777499310548</v>
      </c>
      <c r="BL350" s="1840">
        <f>+BL349/BL344</f>
        <v>0.32232722090973859</v>
      </c>
    </row>
    <row r="351" spans="46:66">
      <c r="BF351" s="1867"/>
      <c r="BG351" s="1869"/>
      <c r="BH351" s="1805" t="s">
        <v>424</v>
      </c>
      <c r="BI351" s="1871" t="s">
        <v>267</v>
      </c>
      <c r="BJ351" s="1873">
        <f>+BS!CG124</f>
        <v>82.653000000000006</v>
      </c>
      <c r="BK351" s="1874">
        <v>82.653000000000006</v>
      </c>
      <c r="BL351" s="1873"/>
      <c r="BN351" s="1867"/>
    </row>
    <row r="352" spans="46:66">
      <c r="BF352" s="1867"/>
      <c r="BG352" s="1772"/>
      <c r="BH352" s="1805" t="s">
        <v>425</v>
      </c>
      <c r="BI352" s="1879">
        <v>45</v>
      </c>
      <c r="BJ352" s="1873">
        <f>+BS!CG127</f>
        <v>40.21</v>
      </c>
      <c r="BK352" s="1874">
        <v>40.21</v>
      </c>
      <c r="BL352" s="1872"/>
      <c r="BN352" s="1867"/>
    </row>
    <row r="353" spans="58:66">
      <c r="BF353" s="1867"/>
      <c r="BG353" s="1772"/>
      <c r="BH353" s="1824"/>
      <c r="BI353" s="1810"/>
      <c r="BJ353" s="1790"/>
      <c r="BK353" s="1811"/>
      <c r="BL353" s="1890"/>
      <c r="BN353" s="1867"/>
    </row>
    <row r="354" spans="58:66">
      <c r="BF354" s="1867"/>
      <c r="BG354" s="1756"/>
      <c r="BH354" s="1824"/>
      <c r="BI354" s="1810"/>
      <c r="BJ354" s="1790"/>
      <c r="BK354" s="1811"/>
      <c r="BL354" s="1890"/>
      <c r="BN354" s="1867"/>
    </row>
    <row r="355" spans="58:66">
      <c r="BF355" s="1835"/>
      <c r="BG355" s="1833" t="s">
        <v>1746</v>
      </c>
      <c r="BH355" s="1902" t="s">
        <v>1345</v>
      </c>
      <c r="BI355" s="1903"/>
      <c r="BJ355" s="1903"/>
      <c r="BK355" s="1903"/>
      <c r="BL355" s="2015"/>
      <c r="BN355" s="1835"/>
    </row>
    <row r="356" spans="58:66">
      <c r="BF356" s="1867"/>
      <c r="BG356" s="1869"/>
      <c r="BH356" s="1805"/>
      <c r="BI356" s="1809" t="s">
        <v>1740</v>
      </c>
      <c r="BJ356" s="1865" t="s">
        <v>240</v>
      </c>
      <c r="BK356" s="1865" t="s">
        <v>442</v>
      </c>
      <c r="BL356" s="1865"/>
      <c r="BN356" s="1867"/>
    </row>
    <row r="357" spans="58:66">
      <c r="BF357" s="1835"/>
      <c r="BG357" s="1869"/>
      <c r="BH357" s="1805" t="s">
        <v>988</v>
      </c>
      <c r="BI357" s="1871" t="s">
        <v>1346</v>
      </c>
      <c r="BJ357" s="1873">
        <f>+IS!CX15</f>
        <v>516.1339999999999</v>
      </c>
      <c r="BK357" s="1874">
        <v>521.9</v>
      </c>
      <c r="BL357" s="2025"/>
      <c r="BN357" s="1835"/>
    </row>
    <row r="358" spans="58:66">
      <c r="BF358" s="1867"/>
      <c r="BG358" s="1869"/>
      <c r="BH358" s="1805" t="s">
        <v>1348</v>
      </c>
      <c r="BI358" s="1871" t="s">
        <v>1349</v>
      </c>
      <c r="BJ358" s="1880">
        <f>+IS!CX20</f>
        <v>0.68610864620428025</v>
      </c>
      <c r="BK358" s="1881">
        <v>0.6825</v>
      </c>
      <c r="BL358" s="2025"/>
      <c r="BN358" s="1867"/>
    </row>
    <row r="359" spans="58:66">
      <c r="BF359" s="1867"/>
      <c r="BG359" s="1869"/>
      <c r="BH359" s="1805" t="s">
        <v>1539</v>
      </c>
      <c r="BI359" s="1871" t="s">
        <v>1347</v>
      </c>
      <c r="BJ359" s="1873">
        <f>+IS!CX24</f>
        <v>113.236</v>
      </c>
      <c r="BK359" s="1873"/>
      <c r="BL359" s="2025"/>
      <c r="BN359" s="1867"/>
    </row>
    <row r="360" spans="58:66">
      <c r="BG360" s="1843"/>
      <c r="BH360" s="1805" t="s">
        <v>188</v>
      </c>
      <c r="BI360" s="1871" t="s">
        <v>1350</v>
      </c>
      <c r="BJ360" s="1873">
        <f>+IS!CX37</f>
        <v>240.88799999999992</v>
      </c>
      <c r="BK360" s="1874">
        <v>239.39</v>
      </c>
      <c r="BL360" s="2027"/>
      <c r="BM360" s="1867"/>
    </row>
    <row r="361" spans="58:66">
      <c r="BG361" s="1869"/>
      <c r="BH361" s="1868" t="s">
        <v>1741</v>
      </c>
      <c r="BI361" s="1876">
        <f>238/520</f>
        <v>0.45769230769230768</v>
      </c>
      <c r="BJ361" s="1840">
        <f>+BJ360/BJ357</f>
        <v>0.46671600785842432</v>
      </c>
      <c r="BK361" s="1840">
        <f>+BK360/BK357</f>
        <v>0.45868940410040238</v>
      </c>
      <c r="BL361" s="2028"/>
      <c r="BM361" s="1867"/>
    </row>
    <row r="362" spans="58:66">
      <c r="BG362" s="1843"/>
      <c r="BH362" s="1805" t="s">
        <v>431</v>
      </c>
      <c r="BI362" s="1871" t="s">
        <v>1351</v>
      </c>
      <c r="BJ362" s="1873">
        <f>+BS!CF133</f>
        <v>75.667000000000002</v>
      </c>
      <c r="BK362" s="1874">
        <v>148.41</v>
      </c>
      <c r="BL362" s="2025"/>
      <c r="BM362" s="1867"/>
    </row>
    <row r="363" spans="58:66">
      <c r="BG363" s="1869"/>
      <c r="BH363" s="1868" t="s">
        <v>1742</v>
      </c>
      <c r="BI363" s="1876">
        <v>0.28846153846153844</v>
      </c>
      <c r="BJ363" s="1840">
        <f>+BJ362/BJ357</f>
        <v>0.14660340144226114</v>
      </c>
      <c r="BK363" s="1840">
        <f>+BK362/BK357</f>
        <v>0.28436482084690556</v>
      </c>
      <c r="BL363" s="2028"/>
      <c r="BM363" s="1867"/>
    </row>
    <row r="364" spans="58:66">
      <c r="BG364" s="1869"/>
      <c r="BH364" s="1805" t="s">
        <v>424</v>
      </c>
      <c r="BI364" s="1871" t="s">
        <v>1352</v>
      </c>
      <c r="BJ364" s="1873">
        <f>+BS!CF124</f>
        <v>41.67</v>
      </c>
      <c r="BK364" s="1873"/>
      <c r="BL364" s="2025"/>
      <c r="BM364" s="1835"/>
    </row>
    <row r="365" spans="58:66">
      <c r="BG365" s="1772"/>
      <c r="BH365" s="1805" t="s">
        <v>425</v>
      </c>
      <c r="BI365" s="1879">
        <v>40</v>
      </c>
      <c r="BJ365" s="1872">
        <f>+BS!CF127</f>
        <v>33.997</v>
      </c>
      <c r="BK365" s="1872"/>
      <c r="BL365" s="2027"/>
      <c r="BM365" s="1867"/>
    </row>
    <row r="366" spans="58:66">
      <c r="BH366" s="1825"/>
      <c r="BI366" s="1829"/>
      <c r="BJ366" s="1814"/>
      <c r="BK366" s="1815"/>
      <c r="BL366" s="1790"/>
      <c r="BM366" s="1835"/>
    </row>
    <row r="367" spans="58:66">
      <c r="BG367" s="1869"/>
      <c r="BL367" s="2032"/>
      <c r="BM367" s="1867"/>
    </row>
    <row r="368" spans="58:66">
      <c r="BG368" s="1756"/>
      <c r="BH368" s="1805"/>
      <c r="BI368" s="1879"/>
      <c r="BJ368" s="1872"/>
      <c r="BK368" s="1872"/>
      <c r="BL368" s="1872"/>
      <c r="BM368" s="1867"/>
    </row>
    <row r="369" spans="59:65">
      <c r="BG369" s="1867"/>
      <c r="BH369" s="1867"/>
      <c r="BI369" s="1867"/>
      <c r="BJ369" s="1867"/>
      <c r="BK369" s="1867"/>
      <c r="BL369" s="1867"/>
    </row>
    <row r="370" spans="59:65">
      <c r="BG370" s="1867"/>
      <c r="BH370" s="1867"/>
      <c r="BI370" s="1867"/>
      <c r="BJ370" s="1867"/>
      <c r="BK370" s="1867"/>
      <c r="BL370" s="1867"/>
    </row>
    <row r="371" spans="59:65">
      <c r="BG371" s="1867"/>
      <c r="BH371" s="1867"/>
      <c r="BI371" s="1867"/>
      <c r="BJ371" s="1867"/>
      <c r="BK371" s="1867"/>
      <c r="BL371" s="1867"/>
    </row>
    <row r="372" spans="59:65">
      <c r="BG372" s="1867"/>
      <c r="BH372" s="1867"/>
      <c r="BI372" s="1867"/>
      <c r="BJ372" s="1867"/>
      <c r="BK372" s="1867"/>
      <c r="BL372" s="1867"/>
    </row>
    <row r="373" spans="59:65">
      <c r="BG373" s="1835"/>
      <c r="BH373" s="1835"/>
      <c r="BI373" s="1835"/>
      <c r="BJ373" s="1835"/>
      <c r="BK373" s="1835"/>
      <c r="BL373" s="1835"/>
    </row>
    <row r="374" spans="59:65">
      <c r="BG374" s="1867"/>
      <c r="BH374" s="1867"/>
      <c r="BI374" s="1867"/>
      <c r="BJ374" s="1867"/>
      <c r="BK374" s="1867"/>
      <c r="BL374" s="1867"/>
      <c r="BM374" s="1867"/>
    </row>
    <row r="375" spans="59:65">
      <c r="BG375" s="1835"/>
      <c r="BH375" s="1835"/>
      <c r="BI375" s="1835"/>
      <c r="BJ375" s="1835"/>
      <c r="BK375" s="1835"/>
      <c r="BL375" s="1835"/>
      <c r="BM375" s="1867"/>
    </row>
    <row r="376" spans="59:65">
      <c r="BG376" s="1867"/>
      <c r="BH376" s="1867"/>
      <c r="BI376" s="1867"/>
      <c r="BJ376" s="1867"/>
      <c r="BK376" s="1867"/>
      <c r="BL376" s="1867"/>
      <c r="BM376" s="1867"/>
    </row>
    <row r="377" spans="59:65">
      <c r="BG377" s="1867"/>
      <c r="BH377" s="1867"/>
      <c r="BI377" s="1867"/>
      <c r="BJ377" s="1867"/>
      <c r="BK377" s="1867"/>
      <c r="BL377" s="1867"/>
      <c r="BM377" s="1867"/>
    </row>
    <row r="378" spans="59:65">
      <c r="BM378" s="1835"/>
    </row>
    <row r="379" spans="59:65">
      <c r="BM379" s="1867"/>
    </row>
    <row r="380" spans="59:65">
      <c r="BM380" s="1835"/>
    </row>
    <row r="381" spans="59:65">
      <c r="BG381" s="1870"/>
      <c r="BH381" s="1805"/>
      <c r="BI381" s="1871"/>
      <c r="BJ381" s="1872"/>
      <c r="BK381" s="1921"/>
      <c r="BL381" s="1874"/>
      <c r="BM381" s="1867"/>
    </row>
    <row r="382" spans="59:65">
      <c r="BH382" s="1805"/>
      <c r="BI382" s="1871"/>
      <c r="BJ382" s="1872"/>
      <c r="BK382" s="1874"/>
      <c r="BL382" s="1874"/>
      <c r="BM382" s="1867"/>
    </row>
    <row r="383" spans="59:65">
      <c r="BG383" s="1839"/>
    </row>
    <row r="384" spans="59:65">
      <c r="BH384" s="1868"/>
      <c r="BI384" s="1876"/>
      <c r="BJ384" s="1840"/>
      <c r="BK384" s="1840"/>
      <c r="BL384" s="1840"/>
    </row>
    <row r="385" spans="59:65">
      <c r="BH385" s="1831"/>
      <c r="BI385" s="1831"/>
      <c r="BJ385" s="1831"/>
      <c r="BK385" s="1831"/>
      <c r="BL385" s="1831"/>
    </row>
    <row r="386" spans="59:65">
      <c r="BG386" s="1869"/>
      <c r="BM386" s="1867"/>
    </row>
    <row r="387" spans="59:65">
      <c r="BH387" s="1805"/>
      <c r="BI387" s="1879"/>
      <c r="BJ387" s="1872"/>
      <c r="BK387" s="1872"/>
      <c r="BL387" s="1872"/>
      <c r="BM387" s="1867"/>
    </row>
    <row r="388" spans="59:65">
      <c r="BH388" s="1805"/>
      <c r="BM388" s="1867"/>
    </row>
    <row r="389" spans="59:65">
      <c r="BM389" s="1867"/>
    </row>
    <row r="390" spans="59:65">
      <c r="BM390" s="1835"/>
    </row>
    <row r="391" spans="59:65">
      <c r="BM391" s="1867"/>
    </row>
    <row r="392" spans="59:65">
      <c r="BM392" s="1835"/>
    </row>
    <row r="393" spans="59:65">
      <c r="BM393" s="1867"/>
    </row>
    <row r="394" spans="59:65">
      <c r="BM394" s="1867"/>
    </row>
    <row r="411" spans="59:64">
      <c r="BG411" s="1867"/>
    </row>
    <row r="412" spans="59:64">
      <c r="BG412" s="1867"/>
      <c r="BH412" s="1867"/>
      <c r="BI412" s="1867"/>
      <c r="BJ412" s="1867"/>
      <c r="BK412" s="1867"/>
      <c r="BL412" s="1867"/>
    </row>
    <row r="413" spans="59:64">
      <c r="BG413" s="1867"/>
      <c r="BH413" s="1867"/>
      <c r="BI413" s="1867"/>
      <c r="BJ413" s="1867"/>
      <c r="BK413" s="1867"/>
      <c r="BL413" s="1867"/>
    </row>
    <row r="414" spans="59:64">
      <c r="BG414" s="1867"/>
      <c r="BH414" s="1867"/>
      <c r="BI414" s="1867"/>
      <c r="BJ414" s="1867"/>
      <c r="BK414" s="1867"/>
      <c r="BL414" s="1867"/>
    </row>
    <row r="415" spans="59:64">
      <c r="BG415" s="1835"/>
      <c r="BH415" s="1867"/>
      <c r="BI415" s="1867"/>
      <c r="BJ415" s="1867"/>
      <c r="BK415" s="1867"/>
      <c r="BL415" s="1867"/>
    </row>
    <row r="416" spans="59:64">
      <c r="BG416" s="1867"/>
      <c r="BH416" s="1835"/>
      <c r="BI416" s="1835"/>
      <c r="BJ416" s="1835"/>
      <c r="BK416" s="1835"/>
      <c r="BL416" s="1835"/>
    </row>
    <row r="417" spans="59:64">
      <c r="BG417" s="1835"/>
      <c r="BH417" s="1867"/>
      <c r="BI417" s="1867"/>
      <c r="BJ417" s="1867"/>
      <c r="BK417" s="1867"/>
      <c r="BL417" s="1867"/>
    </row>
    <row r="418" spans="59:64">
      <c r="BG418" s="1867"/>
      <c r="BH418" s="1835"/>
      <c r="BI418" s="1835"/>
      <c r="BJ418" s="1835"/>
      <c r="BK418" s="1835"/>
      <c r="BL418" s="1835"/>
    </row>
    <row r="419" spans="59:64">
      <c r="BG419" s="1867"/>
      <c r="BH419" s="1867"/>
      <c r="BI419" s="1867"/>
      <c r="BJ419" s="1867"/>
      <c r="BK419" s="1867"/>
      <c r="BL419" s="1867"/>
    </row>
    <row r="420" spans="59:64">
      <c r="BH420" s="1867"/>
      <c r="BI420" s="1867"/>
      <c r="BJ420" s="1867"/>
      <c r="BK420" s="1867"/>
      <c r="BL420" s="1867"/>
    </row>
    <row r="425" spans="59:64">
      <c r="BG425" s="1867"/>
    </row>
    <row r="426" spans="59:64">
      <c r="BG426" s="1867"/>
      <c r="BH426" s="1867"/>
      <c r="BI426" s="1867"/>
      <c r="BJ426" s="1867"/>
      <c r="BK426" s="1867"/>
      <c r="BL426" s="1867"/>
    </row>
    <row r="427" spans="59:64">
      <c r="BG427" s="1867"/>
      <c r="BH427" s="1867"/>
      <c r="BI427" s="1867"/>
      <c r="BJ427" s="1867"/>
      <c r="BK427" s="1867"/>
      <c r="BL427" s="1867"/>
    </row>
    <row r="428" spans="59:64">
      <c r="BG428" s="1867"/>
      <c r="BH428" s="1867"/>
      <c r="BI428" s="1867"/>
      <c r="BJ428" s="1867"/>
      <c r="BK428" s="1867"/>
      <c r="BL428" s="1867"/>
    </row>
    <row r="429" spans="59:64">
      <c r="BG429" s="1835"/>
      <c r="BH429" s="1867"/>
      <c r="BI429" s="1867"/>
      <c r="BJ429" s="1867"/>
      <c r="BK429" s="1867"/>
      <c r="BL429" s="1867"/>
    </row>
    <row r="430" spans="59:64">
      <c r="BG430" s="1867"/>
      <c r="BH430" s="1835"/>
      <c r="BI430" s="1835"/>
      <c r="BJ430" s="1835"/>
      <c r="BK430" s="1835"/>
      <c r="BL430" s="1835"/>
    </row>
    <row r="431" spans="59:64">
      <c r="BG431" s="1835"/>
      <c r="BH431" s="1867"/>
      <c r="BI431" s="1867"/>
      <c r="BJ431" s="1867"/>
      <c r="BK431" s="1867"/>
      <c r="BL431" s="1867"/>
    </row>
    <row r="432" spans="59:64">
      <c r="BG432" s="1867"/>
      <c r="BH432" s="1835"/>
      <c r="BI432" s="1835"/>
      <c r="BJ432" s="1835"/>
      <c r="BK432" s="1835"/>
      <c r="BL432" s="1835"/>
    </row>
    <row r="433" spans="59:64">
      <c r="BG433" s="1867"/>
      <c r="BH433" s="1867"/>
      <c r="BI433" s="1867"/>
      <c r="BJ433" s="1867"/>
      <c r="BK433" s="1867"/>
      <c r="BL433" s="1867"/>
    </row>
    <row r="434" spans="59:64">
      <c r="BH434" s="1867"/>
      <c r="BI434" s="1867"/>
      <c r="BJ434" s="1867"/>
      <c r="BK434" s="1867"/>
      <c r="BL434" s="1867"/>
    </row>
    <row r="437" spans="59:64">
      <c r="BG437" s="1867"/>
    </row>
    <row r="438" spans="59:64">
      <c r="BG438" s="1867"/>
      <c r="BH438" s="1867"/>
      <c r="BI438" s="1867"/>
      <c r="BJ438" s="1867"/>
      <c r="BK438" s="1867"/>
      <c r="BL438" s="1867"/>
    </row>
    <row r="439" spans="59:64">
      <c r="BG439" s="1867"/>
      <c r="BH439" s="1867"/>
      <c r="BI439" s="1867"/>
      <c r="BJ439" s="1867"/>
      <c r="BK439" s="1867"/>
      <c r="BL439" s="1867"/>
    </row>
    <row r="440" spans="59:64">
      <c r="BG440" s="1867"/>
      <c r="BH440" s="1867"/>
      <c r="BI440" s="1867"/>
      <c r="BJ440" s="1867"/>
      <c r="BK440" s="1867"/>
      <c r="BL440" s="1867"/>
    </row>
    <row r="441" spans="59:64">
      <c r="BG441" s="1835"/>
      <c r="BH441" s="1867"/>
      <c r="BI441" s="1867"/>
      <c r="BJ441" s="1867"/>
      <c r="BK441" s="1867"/>
      <c r="BL441" s="1867"/>
    </row>
    <row r="442" spans="59:64">
      <c r="BG442" s="1867"/>
      <c r="BH442" s="1835"/>
      <c r="BI442" s="1835"/>
      <c r="BJ442" s="1835"/>
      <c r="BK442" s="1835"/>
      <c r="BL442" s="1835"/>
    </row>
    <row r="443" spans="59:64">
      <c r="BG443" s="1835"/>
      <c r="BH443" s="1867"/>
      <c r="BI443" s="1867"/>
      <c r="BJ443" s="1867"/>
      <c r="BK443" s="1867"/>
      <c r="BL443" s="1867"/>
    </row>
    <row r="444" spans="59:64">
      <c r="BG444" s="1867"/>
      <c r="BH444" s="1835"/>
      <c r="BI444" s="1835"/>
      <c r="BJ444" s="1835"/>
      <c r="BK444" s="1835"/>
      <c r="BL444" s="1835"/>
    </row>
    <row r="445" spans="59:64">
      <c r="BG445" s="1867"/>
      <c r="BH445" s="1867"/>
      <c r="BI445" s="1867"/>
      <c r="BJ445" s="1867"/>
      <c r="BK445" s="1867"/>
      <c r="BL445" s="1867"/>
    </row>
    <row r="446" spans="59:64">
      <c r="BH446" s="1867"/>
      <c r="BI446" s="1867"/>
      <c r="BJ446" s="1867"/>
      <c r="BK446" s="1867"/>
      <c r="BL446" s="1867"/>
    </row>
  </sheetData>
  <mergeCells count="20">
    <mergeCell ref="AP28:AP29"/>
    <mergeCell ref="AQ28:AQ29"/>
    <mergeCell ref="AP14:AP16"/>
    <mergeCell ref="AQ14:AQ16"/>
    <mergeCell ref="AP18:AP19"/>
    <mergeCell ref="AQ18:AQ19"/>
    <mergeCell ref="AP8:AP9"/>
    <mergeCell ref="AQ8:AQ9"/>
    <mergeCell ref="AP11:AP13"/>
    <mergeCell ref="AQ11:AQ13"/>
    <mergeCell ref="AP21:AP22"/>
    <mergeCell ref="AQ21:AQ22"/>
    <mergeCell ref="AP56:AP61"/>
    <mergeCell ref="AQ56:AQ61"/>
    <mergeCell ref="AQ38:AQ43"/>
    <mergeCell ref="AP38:AP43"/>
    <mergeCell ref="AP44:AP49"/>
    <mergeCell ref="AP50:AP55"/>
    <mergeCell ref="AQ44:AQ49"/>
    <mergeCell ref="AQ50:AQ55"/>
  </mergeCells>
  <phoneticPr fontId="8" type="noConversion"/>
  <pageMargins left="0" right="0" top="0" bottom="0" header="0" footer="0"/>
  <pageSetup orientation="landscape"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397"/>
  <sheetViews>
    <sheetView showGridLines="0" tabSelected="1" workbookViewId="0">
      <selection activeCell="Z1" sqref="Z1"/>
    </sheetView>
  </sheetViews>
  <sheetFormatPr defaultRowHeight="12.75"/>
  <cols>
    <col min="1" max="1" width="25.7109375" style="2377" customWidth="1"/>
    <col min="2" max="5" width="9.140625" style="2377"/>
    <col min="6" max="6" width="18.7109375" style="2377" customWidth="1"/>
    <col min="7" max="256" width="9.140625" style="2377"/>
    <col min="257" max="257" width="100.7109375" style="2377" customWidth="1"/>
    <col min="258" max="512" width="9.140625" style="2377"/>
    <col min="513" max="513" width="100.7109375" style="2377" customWidth="1"/>
    <col min="514" max="768" width="9.140625" style="2377"/>
    <col min="769" max="769" width="100.7109375" style="2377" customWidth="1"/>
    <col min="770" max="1024" width="9.140625" style="2377"/>
    <col min="1025" max="1025" width="100.7109375" style="2377" customWidth="1"/>
    <col min="1026" max="1280" width="9.140625" style="2377"/>
    <col min="1281" max="1281" width="100.7109375" style="2377" customWidth="1"/>
    <col min="1282" max="1536" width="9.140625" style="2377"/>
    <col min="1537" max="1537" width="100.7109375" style="2377" customWidth="1"/>
    <col min="1538" max="1792" width="9.140625" style="2377"/>
    <col min="1793" max="1793" width="100.7109375" style="2377" customWidth="1"/>
    <col min="1794" max="2048" width="9.140625" style="2377"/>
    <col min="2049" max="2049" width="100.7109375" style="2377" customWidth="1"/>
    <col min="2050" max="2304" width="9.140625" style="2377"/>
    <col min="2305" max="2305" width="100.7109375" style="2377" customWidth="1"/>
    <col min="2306" max="2560" width="9.140625" style="2377"/>
    <col min="2561" max="2561" width="100.7109375" style="2377" customWidth="1"/>
    <col min="2562" max="2816" width="9.140625" style="2377"/>
    <col min="2817" max="2817" width="100.7109375" style="2377" customWidth="1"/>
    <col min="2818" max="3072" width="9.140625" style="2377"/>
    <col min="3073" max="3073" width="100.7109375" style="2377" customWidth="1"/>
    <col min="3074" max="3328" width="9.140625" style="2377"/>
    <col min="3329" max="3329" width="100.7109375" style="2377" customWidth="1"/>
    <col min="3330" max="3584" width="9.140625" style="2377"/>
    <col min="3585" max="3585" width="100.7109375" style="2377" customWidth="1"/>
    <col min="3586" max="3840" width="9.140625" style="2377"/>
    <col min="3841" max="3841" width="100.7109375" style="2377" customWidth="1"/>
    <col min="3842" max="4096" width="9.140625" style="2377"/>
    <col min="4097" max="4097" width="100.7109375" style="2377" customWidth="1"/>
    <col min="4098" max="4352" width="9.140625" style="2377"/>
    <col min="4353" max="4353" width="100.7109375" style="2377" customWidth="1"/>
    <col min="4354" max="4608" width="9.140625" style="2377"/>
    <col min="4609" max="4609" width="100.7109375" style="2377" customWidth="1"/>
    <col min="4610" max="4864" width="9.140625" style="2377"/>
    <col min="4865" max="4865" width="100.7109375" style="2377" customWidth="1"/>
    <col min="4866" max="5120" width="9.140625" style="2377"/>
    <col min="5121" max="5121" width="100.7109375" style="2377" customWidth="1"/>
    <col min="5122" max="5376" width="9.140625" style="2377"/>
    <col min="5377" max="5377" width="100.7109375" style="2377" customWidth="1"/>
    <col min="5378" max="5632" width="9.140625" style="2377"/>
    <col min="5633" max="5633" width="100.7109375" style="2377" customWidth="1"/>
    <col min="5634" max="5888" width="9.140625" style="2377"/>
    <col min="5889" max="5889" width="100.7109375" style="2377" customWidth="1"/>
    <col min="5890" max="6144" width="9.140625" style="2377"/>
    <col min="6145" max="6145" width="100.7109375" style="2377" customWidth="1"/>
    <col min="6146" max="6400" width="9.140625" style="2377"/>
    <col min="6401" max="6401" width="100.7109375" style="2377" customWidth="1"/>
    <col min="6402" max="6656" width="9.140625" style="2377"/>
    <col min="6657" max="6657" width="100.7109375" style="2377" customWidth="1"/>
    <col min="6658" max="6912" width="9.140625" style="2377"/>
    <col min="6913" max="6913" width="100.7109375" style="2377" customWidth="1"/>
    <col min="6914" max="7168" width="9.140625" style="2377"/>
    <col min="7169" max="7169" width="100.7109375" style="2377" customWidth="1"/>
    <col min="7170" max="7424" width="9.140625" style="2377"/>
    <col min="7425" max="7425" width="100.7109375" style="2377" customWidth="1"/>
    <col min="7426" max="7680" width="9.140625" style="2377"/>
    <col min="7681" max="7681" width="100.7109375" style="2377" customWidth="1"/>
    <col min="7682" max="7936" width="9.140625" style="2377"/>
    <col min="7937" max="7937" width="100.7109375" style="2377" customWidth="1"/>
    <col min="7938" max="8192" width="9.140625" style="2377"/>
    <col min="8193" max="8193" width="100.7109375" style="2377" customWidth="1"/>
    <col min="8194" max="8448" width="9.140625" style="2377"/>
    <col min="8449" max="8449" width="100.7109375" style="2377" customWidth="1"/>
    <col min="8450" max="8704" width="9.140625" style="2377"/>
    <col min="8705" max="8705" width="100.7109375" style="2377" customWidth="1"/>
    <col min="8706" max="8960" width="9.140625" style="2377"/>
    <col min="8961" max="8961" width="100.7109375" style="2377" customWidth="1"/>
    <col min="8962" max="9216" width="9.140625" style="2377"/>
    <col min="9217" max="9217" width="100.7109375" style="2377" customWidth="1"/>
    <col min="9218" max="9472" width="9.140625" style="2377"/>
    <col min="9473" max="9473" width="100.7109375" style="2377" customWidth="1"/>
    <col min="9474" max="9728" width="9.140625" style="2377"/>
    <col min="9729" max="9729" width="100.7109375" style="2377" customWidth="1"/>
    <col min="9730" max="9984" width="9.140625" style="2377"/>
    <col min="9985" max="9985" width="100.7109375" style="2377" customWidth="1"/>
    <col min="9986" max="10240" width="9.140625" style="2377"/>
    <col min="10241" max="10241" width="100.7109375" style="2377" customWidth="1"/>
    <col min="10242" max="10496" width="9.140625" style="2377"/>
    <col min="10497" max="10497" width="100.7109375" style="2377" customWidth="1"/>
    <col min="10498" max="10752" width="9.140625" style="2377"/>
    <col min="10753" max="10753" width="100.7109375" style="2377" customWidth="1"/>
    <col min="10754" max="11008" width="9.140625" style="2377"/>
    <col min="11009" max="11009" width="100.7109375" style="2377" customWidth="1"/>
    <col min="11010" max="11264" width="9.140625" style="2377"/>
    <col min="11265" max="11265" width="100.7109375" style="2377" customWidth="1"/>
    <col min="11266" max="11520" width="9.140625" style="2377"/>
    <col min="11521" max="11521" width="100.7109375" style="2377" customWidth="1"/>
    <col min="11522" max="11776" width="9.140625" style="2377"/>
    <col min="11777" max="11777" width="100.7109375" style="2377" customWidth="1"/>
    <col min="11778" max="12032" width="9.140625" style="2377"/>
    <col min="12033" max="12033" width="100.7109375" style="2377" customWidth="1"/>
    <col min="12034" max="12288" width="9.140625" style="2377"/>
    <col min="12289" max="12289" width="100.7109375" style="2377" customWidth="1"/>
    <col min="12290" max="12544" width="9.140625" style="2377"/>
    <col min="12545" max="12545" width="100.7109375" style="2377" customWidth="1"/>
    <col min="12546" max="12800" width="9.140625" style="2377"/>
    <col min="12801" max="12801" width="100.7109375" style="2377" customWidth="1"/>
    <col min="12802" max="13056" width="9.140625" style="2377"/>
    <col min="13057" max="13057" width="100.7109375" style="2377" customWidth="1"/>
    <col min="13058" max="13312" width="9.140625" style="2377"/>
    <col min="13313" max="13313" width="100.7109375" style="2377" customWidth="1"/>
    <col min="13314" max="13568" width="9.140625" style="2377"/>
    <col min="13569" max="13569" width="100.7109375" style="2377" customWidth="1"/>
    <col min="13570" max="13824" width="9.140625" style="2377"/>
    <col min="13825" max="13825" width="100.7109375" style="2377" customWidth="1"/>
    <col min="13826" max="14080" width="9.140625" style="2377"/>
    <col min="14081" max="14081" width="100.7109375" style="2377" customWidth="1"/>
    <col min="14082" max="14336" width="9.140625" style="2377"/>
    <col min="14337" max="14337" width="100.7109375" style="2377" customWidth="1"/>
    <col min="14338" max="14592" width="9.140625" style="2377"/>
    <col min="14593" max="14593" width="100.7109375" style="2377" customWidth="1"/>
    <col min="14594" max="14848" width="9.140625" style="2377"/>
    <col min="14849" max="14849" width="100.7109375" style="2377" customWidth="1"/>
    <col min="14850" max="15104" width="9.140625" style="2377"/>
    <col min="15105" max="15105" width="100.7109375" style="2377" customWidth="1"/>
    <col min="15106" max="15360" width="9.140625" style="2377"/>
    <col min="15361" max="15361" width="100.7109375" style="2377" customWidth="1"/>
    <col min="15362" max="15616" width="9.140625" style="2377"/>
    <col min="15617" max="15617" width="100.7109375" style="2377" customWidth="1"/>
    <col min="15618" max="15872" width="9.140625" style="2377"/>
    <col min="15873" max="15873" width="100.7109375" style="2377" customWidth="1"/>
    <col min="15874" max="16128" width="9.140625" style="2377"/>
    <col min="16129" max="16129" width="100.7109375" style="2377" customWidth="1"/>
    <col min="16130" max="16384" width="9.140625" style="2377"/>
  </cols>
  <sheetData>
    <row r="1" spans="1:8" ht="30" customHeight="1">
      <c r="A1" s="2375"/>
      <c r="B1" s="2376"/>
      <c r="C1" s="2376"/>
      <c r="D1" s="2376"/>
      <c r="E1" s="2376"/>
      <c r="F1" s="2376"/>
      <c r="G1" s="2376"/>
      <c r="H1" s="2376"/>
    </row>
    <row r="2" spans="1:8" ht="14.25">
      <c r="A2" s="2378" t="s">
        <v>2772</v>
      </c>
      <c r="B2" s="2376"/>
      <c r="C2" s="2376"/>
      <c r="D2" s="2376"/>
      <c r="E2" s="2376"/>
      <c r="F2" s="2376"/>
      <c r="G2" s="2376"/>
      <c r="H2" s="2376"/>
    </row>
    <row r="3" spans="1:8" ht="14.25">
      <c r="A3" s="2378" t="s">
        <v>2773</v>
      </c>
      <c r="B3" s="2376"/>
      <c r="C3" s="2376"/>
      <c r="D3" s="2376"/>
      <c r="E3" s="2376"/>
      <c r="F3" s="2376"/>
      <c r="G3" s="2376"/>
      <c r="H3" s="2376"/>
    </row>
    <row r="4" spans="1:8" ht="14.25">
      <c r="A4" s="2378" t="s">
        <v>2774</v>
      </c>
      <c r="B4" s="2376"/>
      <c r="C4" s="2376"/>
      <c r="D4" s="2376"/>
      <c r="E4" s="2376"/>
      <c r="F4" s="2376"/>
      <c r="G4" s="2376"/>
      <c r="H4" s="2376"/>
    </row>
    <row r="5" spans="1:8" ht="14.25">
      <c r="A5" s="2378" t="s">
        <v>2775</v>
      </c>
      <c r="B5" s="2376"/>
      <c r="C5" s="2376"/>
      <c r="D5" s="2376"/>
      <c r="E5" s="2376"/>
      <c r="F5" s="2376"/>
      <c r="G5" s="2376"/>
      <c r="H5" s="2376"/>
    </row>
    <row r="6" spans="1:8" ht="14.25">
      <c r="A6" s="2378"/>
      <c r="B6" s="2376"/>
      <c r="C6" s="2376"/>
      <c r="D6" s="2376"/>
      <c r="E6" s="2376"/>
      <c r="F6" s="2376"/>
      <c r="G6" s="2376"/>
      <c r="H6" s="2376"/>
    </row>
    <row r="7" spans="1:8">
      <c r="A7" s="2375" t="s">
        <v>2776</v>
      </c>
      <c r="B7" s="2376"/>
      <c r="C7" s="2376"/>
      <c r="D7" s="2376"/>
      <c r="E7" s="2376"/>
      <c r="F7" s="2376"/>
      <c r="G7" s="2376"/>
      <c r="H7" s="2376"/>
    </row>
    <row r="8" spans="1:8">
      <c r="A8" s="2375" t="s">
        <v>2777</v>
      </c>
      <c r="B8" s="2376"/>
      <c r="C8" s="2376"/>
      <c r="D8" s="2376"/>
      <c r="E8" s="2376"/>
      <c r="F8" s="2376"/>
      <c r="G8" s="2376"/>
      <c r="H8" s="2376"/>
    </row>
    <row r="9" spans="1:8">
      <c r="A9" s="2375"/>
      <c r="B9" s="2376"/>
      <c r="C9" s="2376"/>
      <c r="D9" s="2376"/>
      <c r="E9" s="2376"/>
      <c r="F9" s="2376"/>
      <c r="G9" s="2376"/>
      <c r="H9" s="2376"/>
    </row>
    <row r="10" spans="1:8">
      <c r="A10" s="2379" t="s">
        <v>2778</v>
      </c>
      <c r="B10" s="2376"/>
      <c r="C10" s="2376"/>
      <c r="D10" s="2376"/>
      <c r="E10" s="2376"/>
      <c r="F10" s="2376"/>
      <c r="G10" s="2376"/>
      <c r="H10" s="2376"/>
    </row>
    <row r="11" spans="1:8">
      <c r="A11" s="2379" t="s">
        <v>2779</v>
      </c>
      <c r="B11" s="2376"/>
      <c r="C11" s="2376"/>
      <c r="D11" s="2376"/>
      <c r="E11" s="2376"/>
      <c r="F11" s="2376"/>
      <c r="G11" s="2376"/>
      <c r="H11" s="2376"/>
    </row>
    <row r="12" spans="1:8">
      <c r="A12" s="2379" t="s">
        <v>2780</v>
      </c>
      <c r="B12" s="2376"/>
      <c r="C12" s="2376"/>
      <c r="D12" s="2376"/>
      <c r="E12" s="2376"/>
      <c r="F12" s="2376"/>
      <c r="G12" s="2376"/>
      <c r="H12" s="2376"/>
    </row>
    <row r="13" spans="1:8">
      <c r="A13" s="2379" t="s">
        <v>2781</v>
      </c>
      <c r="B13" s="2376"/>
      <c r="C13" s="2376"/>
      <c r="D13" s="2376"/>
      <c r="E13" s="2376"/>
      <c r="F13" s="2376"/>
      <c r="G13" s="2376"/>
      <c r="H13" s="2376"/>
    </row>
    <row r="14" spans="1:8">
      <c r="A14" s="2379" t="s">
        <v>2782</v>
      </c>
      <c r="B14" s="2376"/>
      <c r="C14" s="2376"/>
      <c r="D14" s="2376"/>
      <c r="E14" s="2376"/>
      <c r="F14" s="2376"/>
      <c r="G14" s="2376"/>
      <c r="H14" s="2376"/>
    </row>
    <row r="15" spans="1:8">
      <c r="A15" s="2379" t="s">
        <v>2783</v>
      </c>
      <c r="B15" s="2376"/>
      <c r="C15" s="2376"/>
      <c r="D15" s="2376"/>
      <c r="E15" s="2376"/>
      <c r="F15" s="2376"/>
      <c r="G15" s="2376"/>
      <c r="H15" s="2376"/>
    </row>
    <row r="16" spans="1:8">
      <c r="A16" s="2379"/>
      <c r="B16" s="2376"/>
      <c r="C16" s="2376"/>
      <c r="D16" s="2376"/>
      <c r="E16" s="2376"/>
      <c r="F16" s="2376"/>
      <c r="G16" s="2376"/>
      <c r="H16" s="2376"/>
    </row>
    <row r="17" spans="1:8">
      <c r="A17" s="2379" t="s">
        <v>2769</v>
      </c>
      <c r="B17" s="2376"/>
      <c r="C17" s="2376"/>
      <c r="D17" s="2376"/>
      <c r="E17" s="2376"/>
      <c r="F17" s="2376"/>
      <c r="G17" s="2376"/>
      <c r="H17" s="2376"/>
    </row>
    <row r="18" spans="1:8">
      <c r="A18" s="2379"/>
      <c r="B18" s="2376"/>
      <c r="C18" s="2376"/>
      <c r="D18" s="2376"/>
      <c r="E18" s="2376"/>
      <c r="F18" s="2376"/>
      <c r="G18" s="2376"/>
      <c r="H18" s="2376"/>
    </row>
    <row r="19" spans="1:8">
      <c r="A19" s="2379" t="s">
        <v>2770</v>
      </c>
      <c r="B19" s="2376"/>
      <c r="C19" s="2376"/>
      <c r="D19" s="2376"/>
      <c r="E19" s="2376"/>
      <c r="F19" s="2376"/>
      <c r="G19" s="2376"/>
      <c r="H19" s="2376"/>
    </row>
    <row r="20" spans="1:8">
      <c r="A20" s="2375"/>
      <c r="B20" s="2376"/>
      <c r="C20" s="2376"/>
      <c r="D20" s="2376"/>
      <c r="E20" s="2376"/>
      <c r="F20" s="2376"/>
      <c r="G20" s="2376"/>
      <c r="H20" s="2376"/>
    </row>
    <row r="21" spans="1:8">
      <c r="A21" s="2380" t="s">
        <v>2771</v>
      </c>
      <c r="B21" s="2376"/>
      <c r="C21" s="2376"/>
      <c r="D21" s="2376"/>
      <c r="E21" s="2376"/>
      <c r="F21" s="2376"/>
      <c r="G21" s="2376"/>
      <c r="H21" s="2376"/>
    </row>
    <row r="22" spans="1:8">
      <c r="A22" s="2381"/>
      <c r="B22" s="2381"/>
      <c r="C22" s="2381"/>
      <c r="D22" s="2381"/>
      <c r="E22" s="2381"/>
      <c r="F22" s="2381"/>
      <c r="G22" s="2381"/>
      <c r="H22" s="2381"/>
    </row>
    <row r="23" spans="1:8">
      <c r="A23" s="2382" t="s">
        <v>3066</v>
      </c>
      <c r="B23" s="2381"/>
      <c r="C23" s="2381"/>
      <c r="D23" s="2381"/>
      <c r="E23" s="2381"/>
      <c r="F23" s="2381"/>
      <c r="G23" s="2381"/>
      <c r="H23" s="2381"/>
    </row>
    <row r="24" spans="1:8">
      <c r="A24" s="2382" t="s">
        <v>3067</v>
      </c>
      <c r="B24" s="2381"/>
      <c r="C24" s="2381"/>
      <c r="D24" s="2381"/>
      <c r="E24" s="2381"/>
      <c r="F24" s="2381"/>
      <c r="G24" s="2381"/>
      <c r="H24" s="2381"/>
    </row>
    <row r="25" spans="1:8">
      <c r="A25" s="2382" t="s">
        <v>3068</v>
      </c>
      <c r="B25" s="2381"/>
      <c r="C25" s="2381"/>
      <c r="D25" s="2381"/>
      <c r="E25" s="2381"/>
      <c r="F25" s="2381"/>
      <c r="G25" s="2381"/>
      <c r="H25" s="2381"/>
    </row>
    <row r="26" spans="1:8">
      <c r="A26" s="2382" t="s">
        <v>3069</v>
      </c>
      <c r="B26" s="2381"/>
      <c r="C26" s="2381"/>
      <c r="D26" s="2381"/>
      <c r="E26" s="2381"/>
      <c r="F26" s="2381"/>
      <c r="G26" s="2381"/>
      <c r="H26" s="2381"/>
    </row>
    <row r="27" spans="1:8">
      <c r="A27" s="2381"/>
      <c r="B27" s="2381"/>
      <c r="C27" s="2381"/>
      <c r="D27" s="2381"/>
      <c r="E27" s="2381"/>
      <c r="F27" s="2381"/>
      <c r="G27" s="2381"/>
      <c r="H27" s="2381"/>
    </row>
    <row r="28" spans="1:8">
      <c r="A28" s="2381"/>
      <c r="B28" s="2381"/>
      <c r="C28" s="2381"/>
      <c r="D28" s="2381"/>
      <c r="E28" s="2381"/>
      <c r="F28" s="2381"/>
      <c r="G28" s="2381"/>
      <c r="H28" s="2381"/>
    </row>
    <row r="29" spans="1:8">
      <c r="A29" s="2382" t="s">
        <v>3061</v>
      </c>
      <c r="B29" s="2381"/>
      <c r="C29" s="2381"/>
      <c r="D29" s="2381"/>
      <c r="E29" s="2381"/>
      <c r="F29" s="2381"/>
      <c r="G29" s="2381"/>
      <c r="H29" s="2381"/>
    </row>
    <row r="30" spans="1:8">
      <c r="A30" s="2382" t="s">
        <v>3062</v>
      </c>
      <c r="B30" s="2381"/>
      <c r="C30" s="2381"/>
      <c r="D30" s="2381"/>
      <c r="E30" s="2381"/>
      <c r="F30" s="2381"/>
      <c r="G30" s="2381"/>
      <c r="H30" s="2381"/>
    </row>
    <row r="31" spans="1:8">
      <c r="A31" s="2382" t="s">
        <v>3063</v>
      </c>
      <c r="B31" s="2381"/>
      <c r="C31" s="2381"/>
      <c r="D31" s="2381"/>
      <c r="E31" s="2381"/>
      <c r="F31" s="2381"/>
      <c r="G31" s="2381"/>
      <c r="H31" s="2381"/>
    </row>
    <row r="32" spans="1:8">
      <c r="A32" s="2382" t="s">
        <v>3064</v>
      </c>
      <c r="B32" s="2381"/>
      <c r="C32" s="2381"/>
      <c r="D32" s="2381"/>
      <c r="E32" s="2381"/>
      <c r="F32" s="2381"/>
      <c r="G32" s="2381"/>
      <c r="H32" s="2381"/>
    </row>
    <row r="33" spans="1:8">
      <c r="A33" s="2382" t="s">
        <v>3065</v>
      </c>
      <c r="B33" s="2381"/>
      <c r="C33" s="2381"/>
      <c r="D33" s="2381"/>
      <c r="E33" s="2381"/>
      <c r="F33" s="2381"/>
      <c r="G33" s="2381"/>
      <c r="H33" s="2381"/>
    </row>
    <row r="34" spans="1:8">
      <c r="A34" s="2381"/>
      <c r="B34" s="2381"/>
      <c r="C34" s="2381"/>
      <c r="D34" s="2381"/>
      <c r="E34" s="2381"/>
      <c r="F34" s="2381"/>
      <c r="G34" s="2381"/>
      <c r="H34" s="2381"/>
    </row>
    <row r="35" spans="1:8">
      <c r="A35" s="2382" t="s">
        <v>3057</v>
      </c>
      <c r="B35" s="2381"/>
      <c r="C35" s="2381"/>
      <c r="D35" s="2381"/>
      <c r="E35" s="2381"/>
      <c r="F35" s="2381"/>
      <c r="G35" s="2381"/>
      <c r="H35" s="2381"/>
    </row>
    <row r="36" spans="1:8">
      <c r="A36" s="2382" t="s">
        <v>3058</v>
      </c>
      <c r="B36" s="2381"/>
      <c r="C36" s="2381"/>
      <c r="D36" s="2381"/>
      <c r="E36" s="2381"/>
      <c r="F36" s="2381"/>
      <c r="G36" s="2381"/>
      <c r="H36" s="2381"/>
    </row>
    <row r="37" spans="1:8">
      <c r="A37" s="2382" t="s">
        <v>3059</v>
      </c>
      <c r="B37" s="2381"/>
      <c r="C37" s="2381"/>
      <c r="D37" s="2381"/>
      <c r="E37" s="2381"/>
      <c r="F37" s="2381"/>
      <c r="G37" s="2381"/>
      <c r="H37" s="2381"/>
    </row>
    <row r="38" spans="1:8">
      <c r="A38" s="2382" t="s">
        <v>3060</v>
      </c>
      <c r="B38" s="2381"/>
      <c r="C38" s="2381"/>
      <c r="D38" s="2381"/>
      <c r="E38" s="2381"/>
      <c r="F38" s="2381"/>
      <c r="G38" s="2381"/>
      <c r="H38" s="2381"/>
    </row>
    <row r="39" spans="1:8">
      <c r="A39" s="2381"/>
      <c r="B39" s="2381"/>
      <c r="C39" s="2381"/>
      <c r="D39" s="2381"/>
      <c r="E39" s="2381"/>
      <c r="F39" s="2381"/>
      <c r="G39" s="2381"/>
      <c r="H39" s="2381"/>
    </row>
    <row r="40" spans="1:8">
      <c r="A40" s="2382" t="s">
        <v>3051</v>
      </c>
      <c r="B40" s="2381"/>
      <c r="C40" s="2381"/>
      <c r="D40" s="2381"/>
      <c r="E40" s="2381"/>
      <c r="F40" s="2381"/>
      <c r="G40" s="2381"/>
      <c r="H40" s="2381"/>
    </row>
    <row r="41" spans="1:8">
      <c r="A41" s="2382" t="s">
        <v>3052</v>
      </c>
      <c r="B41" s="2381"/>
      <c r="C41" s="2381"/>
      <c r="D41" s="2381"/>
      <c r="E41" s="2381"/>
      <c r="F41" s="2381"/>
      <c r="G41" s="2381"/>
      <c r="H41" s="2381"/>
    </row>
    <row r="42" spans="1:8">
      <c r="A42" s="2382" t="s">
        <v>3053</v>
      </c>
      <c r="B42" s="2381"/>
      <c r="C42" s="2381"/>
      <c r="D42" s="2381"/>
      <c r="E42" s="2381"/>
      <c r="F42" s="2381"/>
      <c r="G42" s="2381"/>
      <c r="H42" s="2381"/>
    </row>
    <row r="43" spans="1:8">
      <c r="A43" s="2382" t="s">
        <v>3054</v>
      </c>
      <c r="B43" s="2381"/>
      <c r="C43" s="2381"/>
      <c r="D43" s="2381"/>
      <c r="E43" s="2381"/>
      <c r="F43" s="2381"/>
      <c r="G43" s="2381"/>
      <c r="H43" s="2381"/>
    </row>
    <row r="44" spans="1:8">
      <c r="A44" s="2382" t="s">
        <v>3055</v>
      </c>
      <c r="B44" s="2381"/>
      <c r="C44" s="2381"/>
      <c r="D44" s="2381"/>
      <c r="E44" s="2381"/>
      <c r="F44" s="2381"/>
      <c r="G44" s="2381"/>
      <c r="H44" s="2381"/>
    </row>
    <row r="45" spans="1:8">
      <c r="A45" s="2382" t="s">
        <v>3056</v>
      </c>
      <c r="B45" s="2381"/>
      <c r="C45" s="2381"/>
      <c r="D45" s="2381"/>
      <c r="E45" s="2381"/>
      <c r="F45" s="2381"/>
      <c r="G45" s="2381"/>
      <c r="H45" s="2381"/>
    </row>
    <row r="46" spans="1:8">
      <c r="A46" s="2381"/>
      <c r="B46" s="2381"/>
      <c r="C46" s="2381"/>
      <c r="D46" s="2381"/>
      <c r="E46" s="2381"/>
      <c r="F46" s="2381"/>
      <c r="G46" s="2381"/>
      <c r="H46" s="2381"/>
    </row>
    <row r="47" spans="1:8" ht="15.75">
      <c r="A47" s="2383" t="s">
        <v>2784</v>
      </c>
      <c r="B47" s="2381"/>
      <c r="C47" s="2381"/>
      <c r="D47" s="2381"/>
      <c r="E47" s="2381"/>
      <c r="F47" s="2381"/>
      <c r="G47" s="2381"/>
      <c r="H47" s="2381"/>
    </row>
    <row r="48" spans="1:8">
      <c r="A48" s="2381"/>
      <c r="B48" s="2381"/>
      <c r="C48" s="2381"/>
      <c r="D48" s="2381"/>
      <c r="E48" s="2381"/>
      <c r="F48" s="2381"/>
      <c r="G48" s="2381"/>
      <c r="H48" s="2381"/>
    </row>
    <row r="49" spans="1:8">
      <c r="A49" s="2382" t="s">
        <v>3047</v>
      </c>
      <c r="B49" s="2381"/>
      <c r="C49" s="2381"/>
      <c r="D49" s="2381"/>
      <c r="E49" s="2381"/>
      <c r="F49" s="2381"/>
      <c r="G49" s="2381"/>
      <c r="H49" s="2381"/>
    </row>
    <row r="50" spans="1:8">
      <c r="A50" s="2382" t="s">
        <v>3048</v>
      </c>
      <c r="B50" s="2381"/>
      <c r="C50" s="2381"/>
      <c r="D50" s="2381"/>
      <c r="E50" s="2381"/>
      <c r="F50" s="2381"/>
      <c r="G50" s="2381"/>
      <c r="H50" s="2381"/>
    </row>
    <row r="51" spans="1:8">
      <c r="A51" s="2382" t="s">
        <v>3049</v>
      </c>
      <c r="B51" s="2381"/>
      <c r="C51" s="2381"/>
      <c r="D51" s="2381"/>
      <c r="E51" s="2381"/>
      <c r="F51" s="2381"/>
      <c r="G51" s="2381"/>
      <c r="H51" s="2381"/>
    </row>
    <row r="52" spans="1:8">
      <c r="A52" s="2382" t="s">
        <v>3050</v>
      </c>
      <c r="B52" s="2381"/>
      <c r="C52" s="2381"/>
      <c r="D52" s="2381"/>
      <c r="E52" s="2381"/>
      <c r="F52" s="2381"/>
      <c r="G52" s="2381"/>
      <c r="H52" s="2381"/>
    </row>
    <row r="53" spans="1:8">
      <c r="A53" s="2381"/>
      <c r="B53" s="2381"/>
      <c r="C53" s="2381"/>
      <c r="D53" s="2381"/>
      <c r="E53" s="2381"/>
      <c r="F53" s="2381"/>
      <c r="G53" s="2381"/>
      <c r="H53" s="2381"/>
    </row>
    <row r="54" spans="1:8">
      <c r="A54" s="2382" t="s">
        <v>2785</v>
      </c>
      <c r="B54" s="2381"/>
      <c r="C54" s="2381"/>
      <c r="D54" s="2381"/>
      <c r="E54" s="2381"/>
      <c r="F54" s="2381"/>
      <c r="G54" s="2381"/>
      <c r="H54" s="2381"/>
    </row>
    <row r="55" spans="1:8">
      <c r="A55" s="2381"/>
      <c r="B55" s="2381"/>
      <c r="C55" s="2381"/>
      <c r="D55" s="2381"/>
      <c r="E55" s="2381"/>
      <c r="F55" s="2381"/>
      <c r="G55" s="2381"/>
      <c r="H55" s="2381"/>
    </row>
    <row r="56" spans="1:8" ht="15.75">
      <c r="A56" s="2383" t="s">
        <v>2786</v>
      </c>
      <c r="B56" s="2381"/>
      <c r="C56" s="2381"/>
      <c r="D56" s="2381"/>
      <c r="E56" s="2381"/>
      <c r="F56" s="2381"/>
      <c r="G56" s="2381"/>
      <c r="H56" s="2381"/>
    </row>
    <row r="57" spans="1:8">
      <c r="A57" s="2381"/>
      <c r="B57" s="2381"/>
      <c r="C57" s="2381"/>
      <c r="D57" s="2381"/>
      <c r="E57" s="2381"/>
      <c r="F57" s="2381"/>
      <c r="G57" s="2381"/>
      <c r="H57" s="2381"/>
    </row>
    <row r="58" spans="1:8">
      <c r="A58" s="2382" t="s">
        <v>3045</v>
      </c>
      <c r="B58" s="2381"/>
      <c r="C58" s="2381"/>
      <c r="D58" s="2381"/>
      <c r="E58" s="2381"/>
      <c r="F58" s="2381"/>
      <c r="G58" s="2381"/>
      <c r="H58" s="2381"/>
    </row>
    <row r="59" spans="1:8">
      <c r="A59" s="2382" t="s">
        <v>3046</v>
      </c>
      <c r="B59" s="2381"/>
      <c r="C59" s="2381"/>
      <c r="D59" s="2381"/>
      <c r="E59" s="2381"/>
      <c r="F59" s="2381"/>
      <c r="G59" s="2381"/>
      <c r="H59" s="2381"/>
    </row>
    <row r="60" spans="1:8">
      <c r="A60" s="2381"/>
      <c r="B60" s="2381"/>
      <c r="C60" s="2381"/>
      <c r="D60" s="2381"/>
      <c r="E60" s="2381"/>
      <c r="F60" s="2381"/>
      <c r="G60" s="2381"/>
      <c r="H60" s="2381"/>
    </row>
    <row r="61" spans="1:8" ht="15.75">
      <c r="A61" s="2383" t="s">
        <v>2787</v>
      </c>
      <c r="B61" s="2381"/>
      <c r="C61" s="2381"/>
      <c r="D61" s="2381"/>
      <c r="E61" s="2381"/>
      <c r="F61" s="2381"/>
      <c r="G61" s="2381"/>
      <c r="H61" s="2381"/>
    </row>
    <row r="62" spans="1:8">
      <c r="A62" s="2381"/>
      <c r="B62" s="2381"/>
      <c r="C62" s="2381"/>
      <c r="D62" s="2381"/>
      <c r="E62" s="2381"/>
      <c r="F62" s="2381"/>
      <c r="G62" s="2381"/>
      <c r="H62" s="2381"/>
    </row>
    <row r="63" spans="1:8">
      <c r="A63" s="2382" t="s">
        <v>3043</v>
      </c>
      <c r="B63" s="2381"/>
      <c r="C63" s="2381"/>
      <c r="D63" s="2381"/>
      <c r="E63" s="2381"/>
      <c r="F63" s="2381"/>
      <c r="G63" s="2381"/>
      <c r="H63" s="2381"/>
    </row>
    <row r="64" spans="1:8">
      <c r="A64" s="2382" t="s">
        <v>3044</v>
      </c>
      <c r="B64" s="2381"/>
      <c r="C64" s="2381"/>
      <c r="D64" s="2381"/>
      <c r="E64" s="2381"/>
      <c r="F64" s="2381"/>
      <c r="G64" s="2381"/>
      <c r="H64" s="2381"/>
    </row>
    <row r="65" spans="1:8">
      <c r="A65" s="2381"/>
      <c r="B65" s="2381"/>
      <c r="C65" s="2381"/>
      <c r="D65" s="2381"/>
      <c r="E65" s="2381"/>
      <c r="F65" s="2381"/>
      <c r="G65" s="2381"/>
      <c r="H65" s="2381"/>
    </row>
    <row r="66" spans="1:8">
      <c r="A66" s="2382" t="s">
        <v>3041</v>
      </c>
      <c r="B66" s="2381"/>
      <c r="C66" s="2381"/>
      <c r="D66" s="2381"/>
      <c r="E66" s="2381"/>
      <c r="F66" s="2381"/>
      <c r="G66" s="2381"/>
      <c r="H66" s="2381"/>
    </row>
    <row r="67" spans="1:8">
      <c r="A67" s="2382" t="s">
        <v>3042</v>
      </c>
      <c r="B67" s="2381"/>
      <c r="C67" s="2381"/>
      <c r="D67" s="2381"/>
      <c r="E67" s="2381"/>
      <c r="F67" s="2381"/>
      <c r="G67" s="2381"/>
      <c r="H67" s="2381"/>
    </row>
    <row r="68" spans="1:8">
      <c r="A68" s="2381"/>
      <c r="B68" s="2381"/>
      <c r="C68" s="2381"/>
      <c r="D68" s="2381"/>
      <c r="E68" s="2381"/>
      <c r="F68" s="2381"/>
      <c r="G68" s="2381"/>
      <c r="H68" s="2381"/>
    </row>
    <row r="69" spans="1:8">
      <c r="A69" s="2382" t="s">
        <v>3039</v>
      </c>
      <c r="B69" s="2381"/>
      <c r="C69" s="2381"/>
      <c r="D69" s="2381"/>
      <c r="E69" s="2381"/>
      <c r="F69" s="2381"/>
      <c r="G69" s="2381"/>
      <c r="H69" s="2381"/>
    </row>
    <row r="70" spans="1:8">
      <c r="A70" s="2382" t="s">
        <v>3040</v>
      </c>
      <c r="B70" s="2381"/>
      <c r="C70" s="2381"/>
      <c r="D70" s="2381"/>
      <c r="E70" s="2381"/>
      <c r="F70" s="2381"/>
      <c r="G70" s="2381"/>
      <c r="H70" s="2381"/>
    </row>
    <row r="71" spans="1:8">
      <c r="A71" s="2381"/>
      <c r="B71" s="2381"/>
      <c r="C71" s="2381"/>
      <c r="D71" s="2381"/>
      <c r="E71" s="2381"/>
      <c r="F71" s="2381"/>
      <c r="G71" s="2381"/>
      <c r="H71" s="2381"/>
    </row>
    <row r="72" spans="1:8">
      <c r="A72" s="2382" t="s">
        <v>3037</v>
      </c>
      <c r="B72" s="2381"/>
      <c r="C72" s="2381"/>
      <c r="D72" s="2381"/>
      <c r="E72" s="2381"/>
      <c r="F72" s="2381"/>
      <c r="G72" s="2381"/>
      <c r="H72" s="2381"/>
    </row>
    <row r="73" spans="1:8">
      <c r="A73" s="2382" t="s">
        <v>3038</v>
      </c>
      <c r="B73" s="2381"/>
      <c r="C73" s="2381"/>
      <c r="D73" s="2381"/>
      <c r="E73" s="2381"/>
      <c r="F73" s="2381"/>
      <c r="G73" s="2381"/>
      <c r="H73" s="2381"/>
    </row>
    <row r="74" spans="1:8">
      <c r="A74" s="2381"/>
      <c r="B74" s="2381"/>
      <c r="C74" s="2381"/>
      <c r="D74" s="2381"/>
      <c r="E74" s="2381"/>
      <c r="F74" s="2381"/>
      <c r="G74" s="2381"/>
      <c r="H74" s="2381"/>
    </row>
    <row r="75" spans="1:8">
      <c r="A75" s="2382" t="s">
        <v>3035</v>
      </c>
      <c r="B75" s="2381"/>
      <c r="C75" s="2381"/>
      <c r="D75" s="2381"/>
      <c r="E75" s="2381"/>
      <c r="F75" s="2381"/>
      <c r="G75" s="2381"/>
      <c r="H75" s="2381"/>
    </row>
    <row r="76" spans="1:8">
      <c r="A76" s="2382" t="s">
        <v>3036</v>
      </c>
      <c r="B76" s="2381"/>
      <c r="C76" s="2381"/>
      <c r="D76" s="2381"/>
      <c r="E76" s="2381"/>
      <c r="F76" s="2381"/>
      <c r="G76" s="2381"/>
      <c r="H76" s="2381"/>
    </row>
    <row r="77" spans="1:8">
      <c r="A77" s="2381"/>
      <c r="B77" s="2381"/>
      <c r="C77" s="2381"/>
      <c r="D77" s="2381"/>
      <c r="E77" s="2381"/>
      <c r="F77" s="2381"/>
      <c r="G77" s="2381"/>
      <c r="H77" s="2381"/>
    </row>
    <row r="78" spans="1:8">
      <c r="A78" s="2382" t="s">
        <v>3032</v>
      </c>
      <c r="B78" s="2381"/>
      <c r="C78" s="2381"/>
      <c r="D78" s="2381"/>
      <c r="E78" s="2381"/>
      <c r="F78" s="2381"/>
      <c r="G78" s="2381"/>
      <c r="H78" s="2381"/>
    </row>
    <row r="79" spans="1:8">
      <c r="A79" s="2382" t="s">
        <v>3033</v>
      </c>
      <c r="B79" s="2381"/>
      <c r="C79" s="2381"/>
      <c r="D79" s="2381"/>
      <c r="E79" s="2381"/>
      <c r="F79" s="2381"/>
      <c r="G79" s="2381"/>
      <c r="H79" s="2381"/>
    </row>
    <row r="80" spans="1:8">
      <c r="A80" s="2382" t="s">
        <v>3034</v>
      </c>
      <c r="B80" s="2381"/>
      <c r="C80" s="2381"/>
      <c r="D80" s="2381"/>
      <c r="E80" s="2381"/>
      <c r="F80" s="2381"/>
      <c r="G80" s="2381"/>
      <c r="H80" s="2381"/>
    </row>
    <row r="81" spans="1:8">
      <c r="A81" s="2381"/>
      <c r="B81" s="2381"/>
      <c r="C81" s="2381"/>
      <c r="D81" s="2381"/>
      <c r="E81" s="2381"/>
      <c r="F81" s="2381"/>
      <c r="G81" s="2381"/>
      <c r="H81" s="2381"/>
    </row>
    <row r="82" spans="1:8">
      <c r="A82" s="2382" t="s">
        <v>2788</v>
      </c>
      <c r="B82" s="2381"/>
      <c r="C82" s="2381"/>
      <c r="D82" s="2381"/>
      <c r="E82" s="2381"/>
      <c r="F82" s="2381"/>
      <c r="G82" s="2381"/>
      <c r="H82" s="2381"/>
    </row>
    <row r="83" spans="1:8">
      <c r="A83" s="2381"/>
      <c r="B83" s="2381"/>
      <c r="C83" s="2381"/>
      <c r="D83" s="2381"/>
      <c r="E83" s="2381"/>
      <c r="F83" s="2381"/>
      <c r="G83" s="2381"/>
      <c r="H83" s="2381"/>
    </row>
    <row r="84" spans="1:8">
      <c r="A84" s="2382" t="s">
        <v>3027</v>
      </c>
      <c r="B84" s="2381"/>
      <c r="C84" s="2381"/>
      <c r="D84" s="2381"/>
      <c r="E84" s="2381"/>
      <c r="F84" s="2381"/>
      <c r="G84" s="2381"/>
      <c r="H84" s="2381"/>
    </row>
    <row r="85" spans="1:8">
      <c r="A85" s="2382" t="s">
        <v>3028</v>
      </c>
      <c r="B85" s="2381"/>
      <c r="C85" s="2381"/>
      <c r="D85" s="2381"/>
      <c r="E85" s="2381"/>
      <c r="F85" s="2381"/>
      <c r="G85" s="2381"/>
      <c r="H85" s="2381"/>
    </row>
    <row r="86" spans="1:8">
      <c r="A86" s="2382" t="s">
        <v>3029</v>
      </c>
      <c r="B86" s="2381"/>
      <c r="C86" s="2381"/>
      <c r="D86" s="2381"/>
      <c r="E86" s="2381"/>
      <c r="F86" s="2381"/>
      <c r="G86" s="2381"/>
      <c r="H86" s="2381"/>
    </row>
    <row r="87" spans="1:8">
      <c r="A87" s="2382" t="s">
        <v>3030</v>
      </c>
      <c r="B87" s="2381"/>
      <c r="C87" s="2381"/>
      <c r="D87" s="2381"/>
      <c r="E87" s="2381"/>
      <c r="F87" s="2381"/>
      <c r="G87" s="2381"/>
      <c r="H87" s="2381"/>
    </row>
    <row r="88" spans="1:8">
      <c r="A88" s="2382" t="s">
        <v>3031</v>
      </c>
      <c r="B88" s="2381"/>
      <c r="C88" s="2381"/>
      <c r="D88" s="2381"/>
      <c r="E88" s="2381"/>
      <c r="F88" s="2381"/>
      <c r="G88" s="2381"/>
      <c r="H88" s="2381"/>
    </row>
    <row r="89" spans="1:8">
      <c r="A89" s="2382" t="s">
        <v>2914</v>
      </c>
      <c r="B89" s="2381"/>
      <c r="C89" s="2381"/>
      <c r="D89" s="2381"/>
      <c r="E89" s="2381"/>
      <c r="F89" s="2381"/>
      <c r="G89" s="2381"/>
      <c r="H89" s="2381"/>
    </row>
    <row r="90" spans="1:8">
      <c r="A90" s="2381"/>
      <c r="B90" s="2381"/>
      <c r="C90" s="2381"/>
      <c r="D90" s="2381"/>
      <c r="E90" s="2381"/>
      <c r="F90" s="2381"/>
      <c r="G90" s="2381"/>
      <c r="H90" s="2381"/>
    </row>
    <row r="91" spans="1:8">
      <c r="A91" s="2382" t="s">
        <v>3020</v>
      </c>
      <c r="B91" s="2381"/>
      <c r="C91" s="2381"/>
      <c r="D91" s="2381"/>
      <c r="E91" s="2381"/>
      <c r="F91" s="2381"/>
      <c r="G91" s="2381"/>
      <c r="H91" s="2381"/>
    </row>
    <row r="92" spans="1:8">
      <c r="A92" s="2382" t="s">
        <v>3021</v>
      </c>
      <c r="B92" s="2381"/>
      <c r="C92" s="2381"/>
      <c r="D92" s="2381"/>
      <c r="E92" s="2381"/>
      <c r="F92" s="2381"/>
      <c r="G92" s="2381"/>
      <c r="H92" s="2381"/>
    </row>
    <row r="93" spans="1:8">
      <c r="A93" s="2382" t="s">
        <v>3022</v>
      </c>
      <c r="B93" s="2381"/>
      <c r="C93" s="2381"/>
      <c r="D93" s="2381"/>
      <c r="E93" s="2381"/>
      <c r="F93" s="2381"/>
      <c r="G93" s="2381"/>
      <c r="H93" s="2381"/>
    </row>
    <row r="94" spans="1:8">
      <c r="A94" s="2382" t="s">
        <v>3023</v>
      </c>
      <c r="B94" s="2381"/>
      <c r="C94" s="2381"/>
      <c r="D94" s="2381"/>
      <c r="E94" s="2381"/>
      <c r="F94" s="2381"/>
      <c r="G94" s="2381"/>
      <c r="H94" s="2381"/>
    </row>
    <row r="95" spans="1:8">
      <c r="A95" s="2382" t="s">
        <v>3024</v>
      </c>
      <c r="B95" s="2381"/>
      <c r="C95" s="2381"/>
      <c r="D95" s="2381"/>
      <c r="E95" s="2381"/>
      <c r="F95" s="2381"/>
      <c r="G95" s="2381"/>
      <c r="H95" s="2381"/>
    </row>
    <row r="96" spans="1:8">
      <c r="A96" s="2382" t="s">
        <v>3025</v>
      </c>
      <c r="B96" s="2381"/>
      <c r="C96" s="2381"/>
      <c r="D96" s="2381"/>
      <c r="E96" s="2381"/>
      <c r="F96" s="2381"/>
      <c r="G96" s="2381"/>
      <c r="H96" s="2381"/>
    </row>
    <row r="97" spans="1:8">
      <c r="A97" s="2382" t="s">
        <v>3026</v>
      </c>
      <c r="B97" s="2381"/>
      <c r="C97" s="2381"/>
      <c r="D97" s="2381"/>
      <c r="E97" s="2381"/>
      <c r="F97" s="2381"/>
      <c r="G97" s="2381"/>
      <c r="H97" s="2381"/>
    </row>
    <row r="98" spans="1:8">
      <c r="A98" s="2381"/>
      <c r="B98" s="2381"/>
      <c r="C98" s="2381"/>
      <c r="D98" s="2381"/>
      <c r="E98" s="2381"/>
      <c r="F98" s="2381"/>
      <c r="G98" s="2381"/>
      <c r="H98" s="2381"/>
    </row>
    <row r="99" spans="1:8">
      <c r="A99" s="2382" t="s">
        <v>3018</v>
      </c>
      <c r="B99" s="2381"/>
      <c r="C99" s="2381"/>
      <c r="D99" s="2381"/>
      <c r="E99" s="2381"/>
      <c r="F99" s="2381"/>
      <c r="G99" s="2381"/>
      <c r="H99" s="2381"/>
    </row>
    <row r="100" spans="1:8">
      <c r="A100" s="2382" t="s">
        <v>3019</v>
      </c>
      <c r="B100" s="2381"/>
      <c r="C100" s="2381"/>
      <c r="D100" s="2381"/>
      <c r="E100" s="2381"/>
      <c r="F100" s="2381"/>
      <c r="G100" s="2381"/>
      <c r="H100" s="2381"/>
    </row>
    <row r="101" spans="1:8">
      <c r="A101" s="2381"/>
      <c r="B101" s="2381"/>
      <c r="C101" s="2381"/>
      <c r="D101" s="2381"/>
      <c r="E101" s="2381"/>
      <c r="F101" s="2381"/>
      <c r="G101" s="2381"/>
      <c r="H101" s="2381"/>
    </row>
    <row r="102" spans="1:8" ht="15.75">
      <c r="A102" s="2383" t="s">
        <v>2789</v>
      </c>
      <c r="B102" s="2381"/>
      <c r="C102" s="2381"/>
      <c r="D102" s="2381"/>
      <c r="E102" s="2381"/>
      <c r="F102" s="2381"/>
      <c r="G102" s="2381"/>
      <c r="H102" s="2381"/>
    </row>
    <row r="103" spans="1:8">
      <c r="A103" s="2381"/>
      <c r="B103" s="2381"/>
      <c r="C103" s="2381"/>
      <c r="D103" s="2381"/>
      <c r="E103" s="2381"/>
      <c r="F103" s="2381"/>
      <c r="G103" s="2381"/>
      <c r="H103" s="2381"/>
    </row>
    <row r="104" spans="1:8">
      <c r="A104" s="2382" t="s">
        <v>3009</v>
      </c>
      <c r="B104" s="2381"/>
      <c r="C104" s="2381"/>
      <c r="D104" s="2381"/>
      <c r="E104" s="2381"/>
      <c r="F104" s="2381"/>
      <c r="G104" s="2381"/>
      <c r="H104" s="2381"/>
    </row>
    <row r="105" spans="1:8">
      <c r="A105" s="2382" t="s">
        <v>3010</v>
      </c>
      <c r="B105" s="2381"/>
      <c r="C105" s="2381"/>
      <c r="D105" s="2381"/>
      <c r="E105" s="2381"/>
      <c r="F105" s="2381"/>
      <c r="G105" s="2381"/>
      <c r="H105" s="2381"/>
    </row>
    <row r="106" spans="1:8">
      <c r="A106" s="2382" t="s">
        <v>3011</v>
      </c>
      <c r="B106" s="2381"/>
      <c r="C106" s="2381"/>
      <c r="D106" s="2381"/>
      <c r="E106" s="2381"/>
      <c r="F106" s="2381"/>
      <c r="G106" s="2381"/>
      <c r="H106" s="2381"/>
    </row>
    <row r="107" spans="1:8">
      <c r="A107" s="2382" t="s">
        <v>3012</v>
      </c>
      <c r="B107" s="2381"/>
      <c r="C107" s="2381"/>
      <c r="D107" s="2381"/>
      <c r="E107" s="2381"/>
      <c r="F107" s="2381"/>
      <c r="G107" s="2381"/>
      <c r="H107" s="2381"/>
    </row>
    <row r="108" spans="1:8">
      <c r="A108" s="2382" t="s">
        <v>3013</v>
      </c>
      <c r="B108" s="2381"/>
      <c r="C108" s="2381"/>
      <c r="D108" s="2381"/>
      <c r="E108" s="2381"/>
      <c r="F108" s="2381"/>
      <c r="G108" s="2381"/>
      <c r="H108" s="2381"/>
    </row>
    <row r="109" spans="1:8">
      <c r="A109" s="2382" t="s">
        <v>3014</v>
      </c>
      <c r="B109" s="2381"/>
      <c r="C109" s="2381"/>
      <c r="D109" s="2381"/>
      <c r="E109" s="2381"/>
      <c r="F109" s="2381"/>
      <c r="G109" s="2381"/>
      <c r="H109" s="2381"/>
    </row>
    <row r="110" spans="1:8">
      <c r="A110" s="2382" t="s">
        <v>3015</v>
      </c>
      <c r="B110" s="2381"/>
      <c r="C110" s="2381"/>
      <c r="D110" s="2381"/>
      <c r="E110" s="2381"/>
      <c r="F110" s="2381"/>
      <c r="G110" s="2381"/>
      <c r="H110" s="2381"/>
    </row>
    <row r="111" spans="1:8">
      <c r="A111" s="2382" t="s">
        <v>3016</v>
      </c>
      <c r="B111" s="2381"/>
      <c r="C111" s="2381"/>
      <c r="D111" s="2381"/>
      <c r="E111" s="2381"/>
      <c r="F111" s="2381"/>
      <c r="G111" s="2381"/>
      <c r="H111" s="2381"/>
    </row>
    <row r="112" spans="1:8">
      <c r="A112" s="2382" t="s">
        <v>3017</v>
      </c>
      <c r="B112" s="2381"/>
      <c r="C112" s="2381"/>
      <c r="D112" s="2381"/>
      <c r="E112" s="2381"/>
      <c r="F112" s="2381"/>
      <c r="G112" s="2381"/>
      <c r="H112" s="2381"/>
    </row>
    <row r="113" spans="1:8">
      <c r="A113" s="2381"/>
      <c r="B113" s="2381"/>
      <c r="C113" s="2381"/>
      <c r="D113" s="2381"/>
      <c r="E113" s="2381"/>
      <c r="F113" s="2381"/>
      <c r="G113" s="2381"/>
      <c r="H113" s="2381"/>
    </row>
    <row r="114" spans="1:8" ht="15.75">
      <c r="A114" s="2433" t="s">
        <v>2790</v>
      </c>
      <c r="B114" s="2433"/>
      <c r="C114" s="2433"/>
      <c r="D114" s="2433"/>
      <c r="E114" s="2433"/>
      <c r="F114" s="2433"/>
      <c r="G114" s="2433"/>
      <c r="H114" s="2433"/>
    </row>
    <row r="115" spans="1:8">
      <c r="A115" s="2429" t="s">
        <v>2791</v>
      </c>
      <c r="B115" s="2429"/>
      <c r="C115" s="2429"/>
      <c r="D115" s="2429"/>
      <c r="E115" s="2429"/>
      <c r="F115" s="2429"/>
      <c r="G115" s="2429"/>
      <c r="H115" s="2429"/>
    </row>
    <row r="116" spans="1:8">
      <c r="A116" s="2434"/>
      <c r="B116" s="2434"/>
      <c r="C116" s="2434"/>
      <c r="D116" s="2434"/>
      <c r="E116" s="2434"/>
      <c r="F116" s="2434"/>
      <c r="G116" s="2434"/>
      <c r="H116" s="2434"/>
    </row>
    <row r="117" spans="1:8">
      <c r="A117" s="2429" t="s">
        <v>3007</v>
      </c>
      <c r="B117" s="2429"/>
      <c r="C117" s="2429"/>
      <c r="D117" s="2429"/>
      <c r="E117" s="2429"/>
      <c r="F117" s="2429"/>
      <c r="G117" s="2429"/>
      <c r="H117" s="2429"/>
    </row>
    <row r="118" spans="1:8">
      <c r="A118" s="2382" t="s">
        <v>3008</v>
      </c>
      <c r="B118" s="2382"/>
      <c r="C118" s="2382"/>
      <c r="D118" s="2382"/>
      <c r="E118" s="2382"/>
      <c r="F118" s="2382"/>
      <c r="G118" s="2382"/>
      <c r="H118" s="2382"/>
    </row>
    <row r="119" spans="1:8">
      <c r="A119" s="2434"/>
      <c r="B119" s="2434"/>
      <c r="C119" s="2434"/>
      <c r="D119" s="2434"/>
      <c r="E119" s="2434"/>
      <c r="F119" s="2434"/>
      <c r="G119" s="2434"/>
      <c r="H119" s="2434"/>
    </row>
    <row r="120" spans="1:8">
      <c r="A120" s="2429" t="s">
        <v>3000</v>
      </c>
      <c r="B120" s="2429"/>
      <c r="C120" s="2429"/>
      <c r="D120" s="2429"/>
      <c r="E120" s="2429"/>
      <c r="F120" s="2429"/>
      <c r="G120" s="2429"/>
      <c r="H120" s="2429"/>
    </row>
    <row r="121" spans="1:8">
      <c r="A121" s="2382" t="s">
        <v>3001</v>
      </c>
      <c r="B121" s="2382"/>
      <c r="C121" s="2382"/>
      <c r="D121" s="2382"/>
      <c r="E121" s="2382"/>
      <c r="F121" s="2382"/>
      <c r="G121" s="2382"/>
      <c r="H121" s="2382"/>
    </row>
    <row r="122" spans="1:8">
      <c r="A122" s="2382" t="s">
        <v>3002</v>
      </c>
      <c r="B122" s="2382"/>
      <c r="C122" s="2382"/>
      <c r="D122" s="2382"/>
      <c r="E122" s="2382"/>
      <c r="F122" s="2382"/>
      <c r="G122" s="2382"/>
      <c r="H122" s="2382"/>
    </row>
    <row r="123" spans="1:8">
      <c r="A123" s="2382" t="s">
        <v>3003</v>
      </c>
      <c r="B123" s="2382"/>
      <c r="C123" s="2382"/>
      <c r="D123" s="2382"/>
      <c r="E123" s="2382"/>
      <c r="F123" s="2382"/>
      <c r="G123" s="2382"/>
      <c r="H123" s="2382"/>
    </row>
    <row r="124" spans="1:8">
      <c r="A124" s="2382" t="s">
        <v>3004</v>
      </c>
      <c r="B124" s="2382"/>
      <c r="C124" s="2382"/>
      <c r="D124" s="2382"/>
      <c r="E124" s="2382"/>
      <c r="F124" s="2382"/>
      <c r="G124" s="2382"/>
      <c r="H124" s="2382"/>
    </row>
    <row r="125" spans="1:8">
      <c r="A125" s="2382" t="s">
        <v>3005</v>
      </c>
      <c r="B125" s="2382"/>
      <c r="C125" s="2382"/>
      <c r="D125" s="2382"/>
      <c r="E125" s="2382"/>
      <c r="F125" s="2382"/>
      <c r="G125" s="2382"/>
      <c r="H125" s="2382"/>
    </row>
    <row r="126" spans="1:8">
      <c r="A126" s="2382" t="s">
        <v>3006</v>
      </c>
      <c r="B126" s="2382"/>
      <c r="C126" s="2382"/>
      <c r="D126" s="2382"/>
      <c r="E126" s="2382"/>
      <c r="F126" s="2382"/>
      <c r="G126" s="2382"/>
      <c r="H126" s="2382"/>
    </row>
    <row r="127" spans="1:8">
      <c r="A127" s="2435"/>
      <c r="B127" s="2435"/>
      <c r="C127" s="2435"/>
      <c r="D127" s="2435"/>
      <c r="E127" s="2435"/>
      <c r="F127" s="2435"/>
      <c r="G127" s="2435"/>
      <c r="H127" s="2435"/>
    </row>
    <row r="128" spans="1:8">
      <c r="A128" s="2384"/>
      <c r="B128" s="2430" t="s">
        <v>2792</v>
      </c>
      <c r="C128" s="2431"/>
      <c r="D128" s="2430" t="s">
        <v>2793</v>
      </c>
      <c r="E128" s="2432"/>
      <c r="F128" s="2431"/>
      <c r="G128" s="2430" t="s">
        <v>2794</v>
      </c>
      <c r="H128" s="2431"/>
    </row>
    <row r="129" spans="1:8">
      <c r="A129" s="2384" t="s">
        <v>2795</v>
      </c>
      <c r="B129" s="2384" t="s">
        <v>219</v>
      </c>
      <c r="C129" s="2384" t="s">
        <v>2796</v>
      </c>
      <c r="D129" s="2384" t="s">
        <v>219</v>
      </c>
      <c r="E129" s="2384" t="s">
        <v>2797</v>
      </c>
      <c r="F129" s="2384" t="s">
        <v>2798</v>
      </c>
      <c r="G129" s="2384" t="s">
        <v>219</v>
      </c>
      <c r="H129" s="2384" t="s">
        <v>2799</v>
      </c>
    </row>
    <row r="130" spans="1:8">
      <c r="A130" s="2384" t="s">
        <v>2800</v>
      </c>
      <c r="B130" s="2384">
        <v>1189</v>
      </c>
      <c r="C130" s="2385">
        <v>0.38</v>
      </c>
      <c r="D130" s="2384">
        <v>315</v>
      </c>
      <c r="E130" s="2385">
        <v>0.41</v>
      </c>
      <c r="F130" s="2385">
        <v>0.26</v>
      </c>
      <c r="G130" s="2384">
        <v>555</v>
      </c>
      <c r="H130" s="2385">
        <v>0.39</v>
      </c>
    </row>
    <row r="131" spans="1:8">
      <c r="A131" s="2384" t="s">
        <v>2801</v>
      </c>
      <c r="B131" s="2384">
        <v>1355</v>
      </c>
      <c r="C131" s="2385">
        <v>0.43</v>
      </c>
      <c r="D131" s="2384">
        <v>364</v>
      </c>
      <c r="E131" s="2385">
        <v>0.47</v>
      </c>
      <c r="F131" s="2385">
        <v>0.27</v>
      </c>
      <c r="G131" s="2384">
        <v>644</v>
      </c>
      <c r="H131" s="2385">
        <v>0.45</v>
      </c>
    </row>
    <row r="132" spans="1:8">
      <c r="A132" s="2384" t="s">
        <v>2802</v>
      </c>
      <c r="B132" s="2384">
        <v>53</v>
      </c>
      <c r="C132" s="2385">
        <v>0.02</v>
      </c>
      <c r="D132" s="2384">
        <v>4</v>
      </c>
      <c r="E132" s="2385">
        <v>0.01</v>
      </c>
      <c r="F132" s="2385">
        <v>0.08</v>
      </c>
      <c r="G132" s="2384">
        <v>7</v>
      </c>
      <c r="H132" s="2385">
        <v>0</v>
      </c>
    </row>
    <row r="133" spans="1:8">
      <c r="A133" s="2384" t="s">
        <v>2803</v>
      </c>
      <c r="B133" s="2384">
        <v>545</v>
      </c>
      <c r="C133" s="2385">
        <v>0.17</v>
      </c>
      <c r="D133" s="2384">
        <v>84</v>
      </c>
      <c r="E133" s="2385">
        <v>0.11</v>
      </c>
      <c r="F133" s="2385">
        <v>0.15</v>
      </c>
      <c r="G133" s="2384">
        <v>214</v>
      </c>
      <c r="H133" s="2385">
        <v>0.15</v>
      </c>
    </row>
    <row r="134" spans="1:8">
      <c r="A134" s="2384" t="s">
        <v>1575</v>
      </c>
      <c r="B134" s="2386">
        <v>3142</v>
      </c>
      <c r="C134" s="2384"/>
      <c r="D134" s="2384">
        <v>767</v>
      </c>
      <c r="E134" s="2384"/>
      <c r="F134" s="2384"/>
      <c r="G134" s="2384">
        <v>1420</v>
      </c>
      <c r="H134" s="2384"/>
    </row>
    <row r="135" spans="1:8">
      <c r="A135" s="2428"/>
      <c r="B135" s="2428"/>
      <c r="C135" s="2428"/>
      <c r="D135" s="2428"/>
      <c r="E135" s="2428"/>
      <c r="F135" s="2428"/>
      <c r="G135" s="2428"/>
      <c r="H135" s="2428"/>
    </row>
    <row r="136" spans="1:8">
      <c r="A136" s="2429" t="s">
        <v>2996</v>
      </c>
      <c r="B136" s="2429"/>
      <c r="C136" s="2429"/>
      <c r="D136" s="2429"/>
      <c r="E136" s="2429"/>
      <c r="F136" s="2429"/>
      <c r="G136" s="2429"/>
      <c r="H136" s="2429"/>
    </row>
    <row r="137" spans="1:8">
      <c r="A137" s="2382" t="s">
        <v>2997</v>
      </c>
      <c r="B137" s="2382"/>
      <c r="C137" s="2382"/>
      <c r="D137" s="2382"/>
      <c r="E137" s="2382"/>
      <c r="F137" s="2382"/>
      <c r="G137" s="2382"/>
      <c r="H137" s="2382"/>
    </row>
    <row r="138" spans="1:8">
      <c r="A138" s="2382" t="s">
        <v>2998</v>
      </c>
      <c r="B138" s="2382"/>
      <c r="C138" s="2382"/>
      <c r="D138" s="2382"/>
      <c r="E138" s="2382"/>
      <c r="F138" s="2382"/>
      <c r="G138" s="2382"/>
      <c r="H138" s="2382"/>
    </row>
    <row r="139" spans="1:8">
      <c r="A139" s="2382" t="s">
        <v>2999</v>
      </c>
      <c r="B139" s="2382"/>
      <c r="C139" s="2382"/>
      <c r="D139" s="2382"/>
      <c r="E139" s="2382"/>
      <c r="F139" s="2382"/>
      <c r="G139" s="2382"/>
      <c r="H139" s="2382"/>
    </row>
    <row r="140" spans="1:8">
      <c r="A140" s="2381"/>
      <c r="B140" s="2381"/>
      <c r="C140" s="2381"/>
      <c r="D140" s="2381"/>
      <c r="E140" s="2381"/>
      <c r="F140" s="2381"/>
      <c r="G140" s="2381"/>
      <c r="H140" s="2381"/>
    </row>
    <row r="141" spans="1:8" ht="15.75">
      <c r="A141" s="2383" t="s">
        <v>2804</v>
      </c>
      <c r="B141" s="2381"/>
      <c r="C141" s="2381"/>
      <c r="D141" s="2381"/>
      <c r="E141" s="2381"/>
      <c r="F141" s="2381"/>
      <c r="G141" s="2381"/>
      <c r="H141" s="2381"/>
    </row>
    <row r="142" spans="1:8">
      <c r="A142" s="2381"/>
      <c r="B142" s="2381"/>
      <c r="C142" s="2381"/>
      <c r="D142" s="2381"/>
      <c r="E142" s="2381"/>
      <c r="F142" s="2381"/>
      <c r="G142" s="2381"/>
      <c r="H142" s="2381"/>
    </row>
    <row r="143" spans="1:8">
      <c r="A143" s="2382" t="s">
        <v>2994</v>
      </c>
      <c r="B143" s="2381"/>
      <c r="C143" s="2381"/>
      <c r="D143" s="2381"/>
      <c r="E143" s="2381"/>
      <c r="F143" s="2381"/>
      <c r="G143" s="2381"/>
      <c r="H143" s="2381"/>
    </row>
    <row r="144" spans="1:8">
      <c r="A144" s="2382" t="s">
        <v>2995</v>
      </c>
      <c r="B144" s="2381"/>
      <c r="C144" s="2381"/>
      <c r="D144" s="2381"/>
      <c r="E144" s="2381"/>
      <c r="F144" s="2381"/>
      <c r="G144" s="2381"/>
      <c r="H144" s="2381"/>
    </row>
    <row r="145" spans="1:8">
      <c r="A145" s="2381"/>
      <c r="B145" s="2381"/>
      <c r="C145" s="2381"/>
      <c r="D145" s="2381"/>
      <c r="E145" s="2381"/>
      <c r="F145" s="2381"/>
      <c r="G145" s="2381"/>
      <c r="H145" s="2381"/>
    </row>
    <row r="146" spans="1:8">
      <c r="A146" s="2382" t="s">
        <v>2991</v>
      </c>
      <c r="B146" s="2381"/>
      <c r="C146" s="2381"/>
      <c r="D146" s="2381"/>
      <c r="E146" s="2381"/>
      <c r="F146" s="2381"/>
      <c r="G146" s="2381"/>
      <c r="H146" s="2381"/>
    </row>
    <row r="147" spans="1:8">
      <c r="A147" s="2382" t="s">
        <v>2992</v>
      </c>
      <c r="B147" s="2381"/>
      <c r="C147" s="2381"/>
      <c r="D147" s="2381"/>
      <c r="E147" s="2381"/>
      <c r="F147" s="2381"/>
      <c r="G147" s="2381"/>
      <c r="H147" s="2381"/>
    </row>
    <row r="148" spans="1:8">
      <c r="A148" s="2382" t="s">
        <v>2993</v>
      </c>
      <c r="B148" s="2381"/>
      <c r="C148" s="2381"/>
      <c r="D148" s="2381"/>
      <c r="E148" s="2381"/>
      <c r="F148" s="2381"/>
      <c r="G148" s="2381"/>
      <c r="H148" s="2381"/>
    </row>
    <row r="149" spans="1:8">
      <c r="A149" s="2381"/>
      <c r="B149" s="2381"/>
      <c r="C149" s="2381"/>
      <c r="D149" s="2381"/>
      <c r="E149" s="2381"/>
      <c r="F149" s="2381"/>
      <c r="G149" s="2381"/>
      <c r="H149" s="2381"/>
    </row>
    <row r="150" spans="1:8">
      <c r="A150" s="2382" t="s">
        <v>2988</v>
      </c>
      <c r="B150" s="2381"/>
      <c r="C150" s="2381"/>
      <c r="D150" s="2381"/>
      <c r="E150" s="2381"/>
      <c r="F150" s="2381"/>
      <c r="G150" s="2381"/>
      <c r="H150" s="2381"/>
    </row>
    <row r="151" spans="1:8">
      <c r="A151" s="2382" t="s">
        <v>2989</v>
      </c>
      <c r="B151" s="2381"/>
      <c r="C151" s="2381"/>
      <c r="D151" s="2381"/>
      <c r="E151" s="2381"/>
      <c r="F151" s="2381"/>
      <c r="G151" s="2381"/>
      <c r="H151" s="2381"/>
    </row>
    <row r="152" spans="1:8">
      <c r="A152" s="2382" t="s">
        <v>2990</v>
      </c>
      <c r="B152" s="2381"/>
      <c r="C152" s="2381"/>
      <c r="D152" s="2381"/>
      <c r="E152" s="2381"/>
      <c r="F152" s="2381"/>
      <c r="G152" s="2381"/>
      <c r="H152" s="2381"/>
    </row>
    <row r="153" spans="1:8">
      <c r="A153" s="2381"/>
      <c r="B153" s="2381"/>
      <c r="C153" s="2381"/>
      <c r="D153" s="2381"/>
      <c r="E153" s="2381"/>
      <c r="F153" s="2381"/>
      <c r="G153" s="2381"/>
      <c r="H153" s="2381"/>
    </row>
    <row r="154" spans="1:8">
      <c r="A154" s="2382" t="s">
        <v>2985</v>
      </c>
      <c r="B154" s="2381"/>
      <c r="C154" s="2381"/>
      <c r="D154" s="2381"/>
      <c r="E154" s="2381"/>
      <c r="F154" s="2381"/>
      <c r="G154" s="2381"/>
      <c r="H154" s="2381"/>
    </row>
    <row r="155" spans="1:8">
      <c r="A155" s="2382" t="s">
        <v>2986</v>
      </c>
      <c r="B155" s="2381"/>
      <c r="C155" s="2381"/>
      <c r="D155" s="2381"/>
      <c r="E155" s="2381"/>
      <c r="F155" s="2381"/>
      <c r="G155" s="2381"/>
      <c r="H155" s="2381"/>
    </row>
    <row r="156" spans="1:8">
      <c r="A156" s="2382" t="s">
        <v>2987</v>
      </c>
      <c r="B156" s="2381"/>
      <c r="C156" s="2381"/>
      <c r="D156" s="2381"/>
      <c r="E156" s="2381"/>
      <c r="F156" s="2381"/>
      <c r="G156" s="2381"/>
      <c r="H156" s="2381"/>
    </row>
    <row r="157" spans="1:8">
      <c r="A157" s="2381"/>
      <c r="B157" s="2381"/>
      <c r="C157" s="2381"/>
      <c r="D157" s="2381"/>
      <c r="E157" s="2381"/>
      <c r="F157" s="2381"/>
      <c r="G157" s="2381"/>
      <c r="H157" s="2381"/>
    </row>
    <row r="158" spans="1:8">
      <c r="A158" s="2382" t="s">
        <v>2983</v>
      </c>
      <c r="B158" s="2381"/>
      <c r="C158" s="2381"/>
      <c r="D158" s="2381"/>
      <c r="E158" s="2381"/>
      <c r="F158" s="2381"/>
      <c r="G158" s="2381"/>
      <c r="H158" s="2381"/>
    </row>
    <row r="159" spans="1:8">
      <c r="A159" s="2382" t="s">
        <v>2984</v>
      </c>
      <c r="B159" s="2381"/>
      <c r="C159" s="2381"/>
      <c r="D159" s="2381"/>
      <c r="E159" s="2381"/>
      <c r="F159" s="2381"/>
      <c r="G159" s="2381"/>
      <c r="H159" s="2381"/>
    </row>
    <row r="160" spans="1:8">
      <c r="A160" s="2381"/>
      <c r="B160" s="2381"/>
      <c r="C160" s="2381"/>
      <c r="D160" s="2381"/>
      <c r="E160" s="2381"/>
      <c r="F160" s="2381"/>
      <c r="G160" s="2381"/>
      <c r="H160" s="2381"/>
    </row>
    <row r="161" spans="1:8" ht="15.75">
      <c r="A161" s="2383" t="s">
        <v>2805</v>
      </c>
      <c r="B161" s="2381"/>
      <c r="C161" s="2381"/>
      <c r="D161" s="2381"/>
      <c r="E161" s="2381"/>
      <c r="F161" s="2381"/>
      <c r="G161" s="2381"/>
      <c r="H161" s="2381"/>
    </row>
    <row r="162" spans="1:8">
      <c r="A162" s="2381"/>
      <c r="B162" s="2381"/>
      <c r="C162" s="2381"/>
      <c r="D162" s="2381"/>
      <c r="E162" s="2381"/>
      <c r="F162" s="2381"/>
      <c r="G162" s="2381"/>
      <c r="H162" s="2381"/>
    </row>
    <row r="163" spans="1:8">
      <c r="A163" s="2382" t="s">
        <v>2981</v>
      </c>
      <c r="B163" s="2381"/>
      <c r="C163" s="2381"/>
      <c r="D163" s="2381"/>
      <c r="E163" s="2381"/>
      <c r="F163" s="2381"/>
      <c r="G163" s="2381"/>
      <c r="H163" s="2381"/>
    </row>
    <row r="164" spans="1:8">
      <c r="A164" s="2382" t="s">
        <v>2982</v>
      </c>
      <c r="B164" s="2381"/>
      <c r="C164" s="2381"/>
      <c r="D164" s="2381"/>
      <c r="E164" s="2381"/>
      <c r="F164" s="2381"/>
      <c r="G164" s="2381"/>
      <c r="H164" s="2381"/>
    </row>
    <row r="165" spans="1:8">
      <c r="A165" s="2381"/>
      <c r="B165" s="2381"/>
      <c r="C165" s="2381"/>
      <c r="D165" s="2381"/>
      <c r="E165" s="2381"/>
      <c r="F165" s="2381"/>
      <c r="G165" s="2381"/>
      <c r="H165" s="2381"/>
    </row>
    <row r="166" spans="1:8">
      <c r="A166" s="2382" t="s">
        <v>2979</v>
      </c>
      <c r="B166" s="2381"/>
      <c r="C166" s="2381"/>
      <c r="D166" s="2381"/>
      <c r="E166" s="2381"/>
      <c r="F166" s="2381"/>
      <c r="G166" s="2381"/>
      <c r="H166" s="2381"/>
    </row>
    <row r="167" spans="1:8">
      <c r="A167" s="2382" t="s">
        <v>2980</v>
      </c>
      <c r="B167" s="2381"/>
      <c r="C167" s="2381"/>
      <c r="D167" s="2381"/>
      <c r="E167" s="2381"/>
      <c r="F167" s="2381"/>
      <c r="G167" s="2381"/>
      <c r="H167" s="2381"/>
    </row>
    <row r="168" spans="1:8">
      <c r="A168" s="2381"/>
      <c r="B168" s="2381"/>
      <c r="C168" s="2381"/>
      <c r="D168" s="2381"/>
      <c r="E168" s="2381"/>
      <c r="F168" s="2381"/>
      <c r="G168" s="2381"/>
      <c r="H168" s="2381"/>
    </row>
    <row r="169" spans="1:8">
      <c r="A169" s="2382" t="s">
        <v>2977</v>
      </c>
      <c r="B169" s="2381"/>
      <c r="C169" s="2381"/>
      <c r="D169" s="2381"/>
      <c r="E169" s="2381"/>
      <c r="F169" s="2381"/>
      <c r="G169" s="2381"/>
      <c r="H169" s="2381"/>
    </row>
    <row r="170" spans="1:8">
      <c r="A170" s="2382" t="s">
        <v>2978</v>
      </c>
      <c r="B170" s="2381"/>
      <c r="C170" s="2381"/>
      <c r="D170" s="2381"/>
      <c r="E170" s="2381"/>
      <c r="F170" s="2381"/>
      <c r="G170" s="2381"/>
      <c r="H170" s="2381"/>
    </row>
    <row r="171" spans="1:8">
      <c r="A171" s="2381"/>
      <c r="B171" s="2381"/>
      <c r="C171" s="2381"/>
      <c r="D171" s="2381"/>
      <c r="E171" s="2381"/>
      <c r="F171" s="2381"/>
      <c r="G171" s="2381"/>
      <c r="H171" s="2381"/>
    </row>
    <row r="172" spans="1:8">
      <c r="A172" s="2382" t="s">
        <v>2974</v>
      </c>
      <c r="B172" s="2381"/>
      <c r="C172" s="2381"/>
      <c r="D172" s="2381"/>
      <c r="E172" s="2381"/>
      <c r="F172" s="2381"/>
      <c r="G172" s="2381"/>
      <c r="H172" s="2381"/>
    </row>
    <row r="173" spans="1:8">
      <c r="A173" s="2382" t="s">
        <v>2975</v>
      </c>
      <c r="B173" s="2381"/>
      <c r="C173" s="2381"/>
      <c r="D173" s="2381"/>
      <c r="E173" s="2381"/>
      <c r="F173" s="2381"/>
      <c r="G173" s="2381"/>
      <c r="H173" s="2381"/>
    </row>
    <row r="174" spans="1:8">
      <c r="A174" s="2382" t="s">
        <v>2976</v>
      </c>
      <c r="B174" s="2381"/>
      <c r="C174" s="2381"/>
      <c r="D174" s="2381"/>
      <c r="E174" s="2381"/>
      <c r="F174" s="2381"/>
      <c r="G174" s="2381"/>
      <c r="H174" s="2381"/>
    </row>
    <row r="175" spans="1:8">
      <c r="A175" s="2381"/>
      <c r="B175" s="2381"/>
      <c r="C175" s="2381"/>
      <c r="D175" s="2381"/>
      <c r="E175" s="2381"/>
      <c r="F175" s="2381"/>
      <c r="G175" s="2381"/>
      <c r="H175" s="2381"/>
    </row>
    <row r="176" spans="1:8">
      <c r="A176" s="2381"/>
      <c r="B176" s="2381"/>
      <c r="C176" s="2381"/>
      <c r="D176" s="2381"/>
      <c r="E176" s="2381"/>
      <c r="F176" s="2381"/>
      <c r="G176" s="2381"/>
      <c r="H176" s="2381"/>
    </row>
    <row r="177" spans="1:8">
      <c r="A177" s="2382" t="s">
        <v>2806</v>
      </c>
      <c r="B177" s="2381"/>
      <c r="C177" s="2381"/>
      <c r="D177" s="2381"/>
      <c r="E177" s="2381"/>
      <c r="F177" s="2381"/>
      <c r="G177" s="2381"/>
      <c r="H177" s="2381"/>
    </row>
    <row r="178" spans="1:8">
      <c r="A178" s="2381"/>
      <c r="B178" s="2381"/>
      <c r="C178" s="2381"/>
      <c r="D178" s="2381"/>
      <c r="E178" s="2381"/>
      <c r="F178" s="2381"/>
      <c r="G178" s="2381"/>
      <c r="H178" s="2381"/>
    </row>
    <row r="179" spans="1:8" ht="15.75">
      <c r="A179" s="2383" t="s">
        <v>2807</v>
      </c>
      <c r="B179" s="2381"/>
      <c r="C179" s="2381"/>
      <c r="D179" s="2381"/>
      <c r="E179" s="2381"/>
      <c r="F179" s="2381"/>
      <c r="G179" s="2381"/>
      <c r="H179" s="2381"/>
    </row>
    <row r="180" spans="1:8">
      <c r="A180" s="2381"/>
      <c r="B180" s="2381"/>
      <c r="C180" s="2381"/>
      <c r="D180" s="2381"/>
      <c r="E180" s="2381"/>
      <c r="F180" s="2381"/>
      <c r="G180" s="2381"/>
      <c r="H180" s="2381"/>
    </row>
    <row r="181" spans="1:8">
      <c r="A181" s="2381"/>
      <c r="B181" s="2381"/>
      <c r="C181" s="2381"/>
      <c r="D181" s="2381"/>
      <c r="E181" s="2381"/>
      <c r="F181" s="2381"/>
      <c r="G181" s="2381"/>
      <c r="H181" s="2381"/>
    </row>
    <row r="182" spans="1:8">
      <c r="A182" s="2381"/>
      <c r="B182" s="2381"/>
      <c r="C182" s="2381"/>
      <c r="D182" s="2381"/>
      <c r="E182" s="2381"/>
      <c r="F182" s="2381"/>
      <c r="G182" s="2381"/>
      <c r="H182" s="2381"/>
    </row>
    <row r="183" spans="1:8">
      <c r="A183" s="2381"/>
      <c r="B183" s="2381"/>
      <c r="C183" s="2381"/>
      <c r="D183" s="2381"/>
      <c r="E183" s="2381"/>
      <c r="F183" s="2381"/>
      <c r="G183" s="2381"/>
      <c r="H183" s="2381"/>
    </row>
    <row r="184" spans="1:8">
      <c r="A184" s="2381"/>
      <c r="B184" s="2381"/>
      <c r="C184" s="2381"/>
      <c r="D184" s="2381"/>
      <c r="E184" s="2381"/>
      <c r="F184" s="2381"/>
      <c r="G184" s="2381"/>
      <c r="H184" s="2381"/>
    </row>
    <row r="185" spans="1:8">
      <c r="A185" s="2381"/>
      <c r="B185" s="2381"/>
      <c r="C185" s="2381"/>
      <c r="D185" s="2381"/>
      <c r="E185" s="2381"/>
      <c r="F185" s="2381"/>
      <c r="G185" s="2381"/>
      <c r="H185" s="2381"/>
    </row>
    <row r="186" spans="1:8">
      <c r="A186" s="2381"/>
      <c r="B186" s="2381"/>
      <c r="C186" s="2381"/>
      <c r="D186" s="2381"/>
      <c r="E186" s="2381"/>
      <c r="F186" s="2381"/>
      <c r="G186" s="2381"/>
      <c r="H186" s="2381"/>
    </row>
    <row r="187" spans="1:8">
      <c r="A187" s="2381"/>
      <c r="B187" s="2381"/>
      <c r="C187" s="2381"/>
      <c r="D187" s="2381"/>
      <c r="E187" s="2381"/>
      <c r="F187" s="2381"/>
      <c r="G187" s="2381"/>
      <c r="H187" s="2381"/>
    </row>
    <row r="188" spans="1:8">
      <c r="A188" s="2381"/>
      <c r="B188" s="2381"/>
      <c r="C188" s="2381"/>
      <c r="D188" s="2381"/>
      <c r="E188" s="2381"/>
      <c r="F188" s="2381"/>
      <c r="G188" s="2381"/>
      <c r="H188" s="2381"/>
    </row>
    <row r="189" spans="1:8">
      <c r="A189" s="2381"/>
      <c r="B189" s="2381"/>
      <c r="C189" s="2381"/>
      <c r="D189" s="2381"/>
      <c r="E189" s="2381"/>
      <c r="F189" s="2381"/>
      <c r="G189" s="2381"/>
      <c r="H189" s="2381"/>
    </row>
    <row r="190" spans="1:8">
      <c r="A190" s="2381"/>
      <c r="B190" s="2381"/>
      <c r="C190" s="2381"/>
      <c r="D190" s="2381"/>
      <c r="E190" s="2381"/>
      <c r="F190" s="2381"/>
      <c r="G190" s="2381"/>
      <c r="H190" s="2381"/>
    </row>
    <row r="191" spans="1:8">
      <c r="A191" s="2381"/>
      <c r="B191" s="2381"/>
      <c r="C191" s="2381"/>
      <c r="D191" s="2381"/>
      <c r="E191" s="2381"/>
      <c r="F191" s="2381"/>
      <c r="G191" s="2381"/>
      <c r="H191" s="2381"/>
    </row>
    <row r="192" spans="1:8">
      <c r="A192" s="2381"/>
      <c r="B192" s="2381"/>
      <c r="C192" s="2381"/>
      <c r="D192" s="2381"/>
      <c r="E192" s="2381"/>
      <c r="F192" s="2381"/>
      <c r="G192" s="2381"/>
      <c r="H192" s="2381"/>
    </row>
    <row r="193" spans="1:8">
      <c r="A193" s="2381"/>
      <c r="B193" s="2381"/>
      <c r="C193" s="2381"/>
      <c r="D193" s="2381"/>
      <c r="E193" s="2381"/>
      <c r="F193" s="2381"/>
      <c r="G193" s="2381"/>
      <c r="H193" s="2381"/>
    </row>
    <row r="194" spans="1:8">
      <c r="A194" s="2381"/>
      <c r="B194" s="2381"/>
      <c r="C194" s="2381"/>
      <c r="D194" s="2381"/>
      <c r="E194" s="2381"/>
      <c r="F194" s="2381"/>
      <c r="G194" s="2381"/>
      <c r="H194" s="2381"/>
    </row>
    <row r="195" spans="1:8">
      <c r="A195" s="2381"/>
      <c r="B195" s="2381"/>
      <c r="C195" s="2381"/>
      <c r="D195" s="2381"/>
      <c r="E195" s="2381"/>
      <c r="F195" s="2381"/>
      <c r="G195" s="2381"/>
      <c r="H195" s="2381"/>
    </row>
    <row r="196" spans="1:8">
      <c r="A196" s="2381"/>
      <c r="B196" s="2381"/>
      <c r="C196" s="2381"/>
      <c r="D196" s="2381"/>
      <c r="E196" s="2381"/>
      <c r="F196" s="2381"/>
      <c r="G196" s="2381"/>
      <c r="H196" s="2381"/>
    </row>
    <row r="197" spans="1:8">
      <c r="A197" s="2381"/>
      <c r="B197" s="2381"/>
      <c r="C197" s="2381"/>
      <c r="D197" s="2381"/>
      <c r="E197" s="2381"/>
      <c r="F197" s="2381"/>
      <c r="G197" s="2381"/>
      <c r="H197" s="2381"/>
    </row>
    <row r="198" spans="1:8">
      <c r="A198" s="2381"/>
      <c r="B198" s="2381"/>
      <c r="C198" s="2381"/>
      <c r="D198" s="2381"/>
      <c r="E198" s="2381"/>
      <c r="F198" s="2381"/>
      <c r="G198" s="2381"/>
      <c r="H198" s="2381"/>
    </row>
    <row r="199" spans="1:8">
      <c r="A199" s="2381"/>
      <c r="B199" s="2381"/>
      <c r="C199" s="2381"/>
      <c r="D199" s="2381"/>
      <c r="E199" s="2381"/>
      <c r="F199" s="2381"/>
      <c r="G199" s="2381"/>
      <c r="H199" s="2381"/>
    </row>
    <row r="200" spans="1:8">
      <c r="A200" s="2381"/>
      <c r="B200" s="2381"/>
      <c r="C200" s="2381"/>
      <c r="D200" s="2381"/>
      <c r="E200" s="2381"/>
      <c r="F200" s="2381"/>
      <c r="G200" s="2381"/>
      <c r="H200" s="2381"/>
    </row>
    <row r="201" spans="1:8">
      <c r="A201" s="2381"/>
      <c r="B201" s="2381"/>
      <c r="C201" s="2381"/>
      <c r="D201" s="2381"/>
      <c r="E201" s="2381"/>
      <c r="F201" s="2381"/>
      <c r="G201" s="2381"/>
      <c r="H201" s="2381"/>
    </row>
    <row r="202" spans="1:8">
      <c r="A202" s="2381"/>
      <c r="B202" s="2381"/>
      <c r="C202" s="2381"/>
      <c r="D202" s="2381"/>
      <c r="E202" s="2381"/>
      <c r="F202" s="2381"/>
      <c r="G202" s="2381"/>
      <c r="H202" s="2381"/>
    </row>
    <row r="203" spans="1:8">
      <c r="A203" s="2381"/>
      <c r="B203" s="2381"/>
      <c r="C203" s="2381"/>
      <c r="D203" s="2381"/>
      <c r="E203" s="2381"/>
      <c r="F203" s="2381"/>
      <c r="G203" s="2381"/>
      <c r="H203" s="2381"/>
    </row>
    <row r="204" spans="1:8">
      <c r="A204" s="2381"/>
      <c r="B204" s="2381"/>
      <c r="C204" s="2381"/>
      <c r="D204" s="2381"/>
      <c r="E204" s="2381"/>
      <c r="F204" s="2381"/>
      <c r="G204" s="2381"/>
      <c r="H204" s="2381"/>
    </row>
    <row r="205" spans="1:8">
      <c r="A205" s="2381"/>
      <c r="B205" s="2381"/>
      <c r="C205" s="2381"/>
      <c r="D205" s="2381"/>
      <c r="E205" s="2381"/>
      <c r="F205" s="2381"/>
      <c r="G205" s="2381"/>
      <c r="H205" s="2381"/>
    </row>
    <row r="206" spans="1:8" ht="15.75">
      <c r="A206" s="2383" t="s">
        <v>2808</v>
      </c>
      <c r="B206" s="2381"/>
      <c r="C206" s="2381"/>
      <c r="D206" s="2381"/>
      <c r="E206" s="2381"/>
      <c r="F206" s="2381"/>
      <c r="G206" s="2381"/>
      <c r="H206" s="2381"/>
    </row>
    <row r="207" spans="1:8">
      <c r="A207" s="2381"/>
      <c r="B207" s="2381"/>
      <c r="C207" s="2381"/>
      <c r="D207" s="2381"/>
      <c r="E207" s="2381"/>
      <c r="F207" s="2381"/>
      <c r="G207" s="2381"/>
      <c r="H207" s="2381"/>
    </row>
    <row r="208" spans="1:8">
      <c r="A208" s="2382" t="s">
        <v>2969</v>
      </c>
      <c r="B208" s="2381"/>
      <c r="C208" s="2381"/>
      <c r="D208" s="2381"/>
      <c r="E208" s="2381"/>
      <c r="F208" s="2381"/>
      <c r="G208" s="2381"/>
      <c r="H208" s="2381"/>
    </row>
    <row r="209" spans="1:8">
      <c r="A209" s="2382" t="s">
        <v>2970</v>
      </c>
      <c r="B209" s="2381"/>
      <c r="C209" s="2381"/>
      <c r="D209" s="2381"/>
      <c r="E209" s="2381"/>
      <c r="F209" s="2381"/>
      <c r="G209" s="2381"/>
      <c r="H209" s="2381"/>
    </row>
    <row r="210" spans="1:8">
      <c r="A210" s="2382" t="s">
        <v>2971</v>
      </c>
      <c r="B210" s="2381"/>
      <c r="C210" s="2381"/>
      <c r="D210" s="2381"/>
      <c r="E210" s="2381"/>
      <c r="F210" s="2381"/>
      <c r="G210" s="2381"/>
      <c r="H210" s="2381"/>
    </row>
    <row r="211" spans="1:8">
      <c r="A211" s="2382" t="s">
        <v>2972</v>
      </c>
      <c r="B211" s="2381"/>
      <c r="C211" s="2381"/>
      <c r="D211" s="2381"/>
      <c r="E211" s="2381"/>
      <c r="F211" s="2381"/>
      <c r="G211" s="2381"/>
      <c r="H211" s="2381"/>
    </row>
    <row r="212" spans="1:8">
      <c r="A212" s="2382" t="s">
        <v>2973</v>
      </c>
      <c r="B212" s="2381"/>
      <c r="C212" s="2381"/>
      <c r="D212" s="2381"/>
      <c r="E212" s="2381"/>
      <c r="F212" s="2381"/>
      <c r="G212" s="2381"/>
      <c r="H212" s="2381"/>
    </row>
    <row r="213" spans="1:8">
      <c r="A213" s="2381"/>
      <c r="B213" s="2381"/>
      <c r="C213" s="2381"/>
      <c r="D213" s="2381"/>
      <c r="E213" s="2381"/>
      <c r="F213" s="2381"/>
      <c r="G213" s="2381"/>
      <c r="H213" s="2381"/>
    </row>
    <row r="214" spans="1:8">
      <c r="A214" s="2382" t="s">
        <v>2966</v>
      </c>
      <c r="B214" s="2381"/>
      <c r="C214" s="2381"/>
      <c r="D214" s="2381"/>
      <c r="E214" s="2381"/>
      <c r="F214" s="2381"/>
      <c r="G214" s="2381"/>
      <c r="H214" s="2381"/>
    </row>
    <row r="215" spans="1:8">
      <c r="A215" s="2382" t="s">
        <v>2967</v>
      </c>
      <c r="B215" s="2381"/>
      <c r="C215" s="2381"/>
      <c r="D215" s="2381"/>
      <c r="E215" s="2381"/>
      <c r="F215" s="2381"/>
      <c r="G215" s="2381"/>
      <c r="H215" s="2381"/>
    </row>
    <row r="216" spans="1:8">
      <c r="A216" s="2382" t="s">
        <v>2968</v>
      </c>
      <c r="B216" s="2381"/>
      <c r="C216" s="2381"/>
      <c r="D216" s="2381"/>
      <c r="E216" s="2381"/>
      <c r="F216" s="2381"/>
      <c r="G216" s="2381"/>
      <c r="H216" s="2381"/>
    </row>
    <row r="217" spans="1:8" ht="15.75">
      <c r="A217" s="2383" t="s">
        <v>2809</v>
      </c>
      <c r="B217" s="2381"/>
      <c r="C217" s="2381"/>
      <c r="D217" s="2381"/>
      <c r="E217" s="2381"/>
      <c r="F217" s="2381"/>
      <c r="G217" s="2381"/>
      <c r="H217" s="2381"/>
    </row>
    <row r="218" spans="1:8">
      <c r="A218" s="2381"/>
      <c r="B218" s="2381"/>
      <c r="C218" s="2381"/>
      <c r="D218" s="2381"/>
      <c r="E218" s="2381"/>
      <c r="F218" s="2381"/>
      <c r="G218" s="2381"/>
      <c r="H218" s="2381"/>
    </row>
    <row r="219" spans="1:8">
      <c r="A219" s="2382" t="s">
        <v>2964</v>
      </c>
      <c r="B219" s="2381"/>
      <c r="C219" s="2381"/>
      <c r="D219" s="2381"/>
      <c r="E219" s="2381"/>
      <c r="F219" s="2381"/>
      <c r="G219" s="2381"/>
      <c r="H219" s="2381"/>
    </row>
    <row r="220" spans="1:8">
      <c r="A220" s="2382" t="s">
        <v>2965</v>
      </c>
      <c r="B220" s="2381"/>
      <c r="C220" s="2381"/>
      <c r="D220" s="2381"/>
      <c r="E220" s="2381"/>
      <c r="F220" s="2381"/>
      <c r="G220" s="2381"/>
      <c r="H220" s="2381"/>
    </row>
    <row r="221" spans="1:8">
      <c r="A221" s="2381"/>
      <c r="B221" s="2381"/>
      <c r="C221" s="2381"/>
      <c r="D221" s="2381"/>
      <c r="E221" s="2381"/>
      <c r="F221" s="2381"/>
      <c r="G221" s="2381"/>
      <c r="H221" s="2381"/>
    </row>
    <row r="222" spans="1:8">
      <c r="A222" s="2382" t="s">
        <v>2957</v>
      </c>
      <c r="B222" s="2381"/>
      <c r="C222" s="2381"/>
      <c r="D222" s="2381"/>
      <c r="E222" s="2381"/>
      <c r="F222" s="2381"/>
      <c r="G222" s="2381"/>
      <c r="H222" s="2381"/>
    </row>
    <row r="223" spans="1:8">
      <c r="A223" s="2382" t="s">
        <v>2958</v>
      </c>
      <c r="B223" s="2381"/>
      <c r="C223" s="2381"/>
      <c r="D223" s="2381"/>
      <c r="E223" s="2381"/>
      <c r="F223" s="2381"/>
      <c r="G223" s="2381"/>
      <c r="H223" s="2381"/>
    </row>
    <row r="224" spans="1:8">
      <c r="A224" s="2382" t="s">
        <v>2959</v>
      </c>
      <c r="B224" s="2381"/>
      <c r="C224" s="2381"/>
      <c r="D224" s="2381"/>
      <c r="E224" s="2381"/>
      <c r="F224" s="2381"/>
      <c r="G224" s="2381"/>
      <c r="H224" s="2381"/>
    </row>
    <row r="225" spans="1:8">
      <c r="A225" s="2382" t="s">
        <v>2960</v>
      </c>
      <c r="B225" s="2381"/>
      <c r="C225" s="2381"/>
      <c r="D225" s="2381"/>
      <c r="E225" s="2381"/>
      <c r="F225" s="2381"/>
      <c r="G225" s="2381"/>
      <c r="H225" s="2381"/>
    </row>
    <row r="226" spans="1:8">
      <c r="A226" s="2382" t="s">
        <v>2961</v>
      </c>
      <c r="B226" s="2381"/>
      <c r="C226" s="2381"/>
      <c r="D226" s="2381"/>
      <c r="E226" s="2381"/>
      <c r="F226" s="2381"/>
      <c r="G226" s="2381"/>
      <c r="H226" s="2381"/>
    </row>
    <row r="227" spans="1:8">
      <c r="A227" s="2382" t="s">
        <v>2962</v>
      </c>
      <c r="B227" s="2381"/>
      <c r="C227" s="2381"/>
      <c r="D227" s="2381"/>
      <c r="E227" s="2381"/>
      <c r="F227" s="2381"/>
      <c r="G227" s="2381"/>
      <c r="H227" s="2381"/>
    </row>
    <row r="228" spans="1:8">
      <c r="A228" s="2382" t="s">
        <v>2963</v>
      </c>
      <c r="B228" s="2381"/>
      <c r="C228" s="2381"/>
      <c r="D228" s="2381"/>
      <c r="E228" s="2381"/>
      <c r="F228" s="2381"/>
      <c r="G228" s="2381"/>
      <c r="H228" s="2381"/>
    </row>
    <row r="229" spans="1:8">
      <c r="A229" s="2381"/>
      <c r="B229" s="2381"/>
      <c r="C229" s="2381"/>
      <c r="D229" s="2381"/>
      <c r="E229" s="2381"/>
      <c r="F229" s="2381"/>
      <c r="G229" s="2381"/>
      <c r="H229" s="2381"/>
    </row>
    <row r="230" spans="1:8">
      <c r="A230" s="2382" t="s">
        <v>2954</v>
      </c>
      <c r="B230" s="2381"/>
      <c r="C230" s="2381"/>
      <c r="D230" s="2381"/>
      <c r="E230" s="2381"/>
      <c r="F230" s="2381"/>
      <c r="G230" s="2381"/>
      <c r="H230" s="2381"/>
    </row>
    <row r="231" spans="1:8">
      <c r="A231" s="2382" t="s">
        <v>2955</v>
      </c>
      <c r="B231" s="2381"/>
      <c r="C231" s="2381"/>
      <c r="D231" s="2381"/>
      <c r="E231" s="2381"/>
      <c r="F231" s="2381"/>
      <c r="G231" s="2381"/>
      <c r="H231" s="2381"/>
    </row>
    <row r="232" spans="1:8">
      <c r="A232" s="2382" t="s">
        <v>2956</v>
      </c>
      <c r="B232" s="2381"/>
      <c r="C232" s="2381"/>
      <c r="D232" s="2381"/>
      <c r="E232" s="2381"/>
      <c r="F232" s="2381"/>
      <c r="G232" s="2381"/>
      <c r="H232" s="2381"/>
    </row>
    <row r="233" spans="1:8">
      <c r="A233" s="2381"/>
      <c r="B233" s="2381"/>
      <c r="C233" s="2381"/>
      <c r="D233" s="2381"/>
      <c r="E233" s="2381"/>
      <c r="F233" s="2381"/>
      <c r="G233" s="2381"/>
      <c r="H233" s="2381"/>
    </row>
    <row r="234" spans="1:8">
      <c r="A234" s="2382" t="s">
        <v>2949</v>
      </c>
      <c r="B234" s="2381"/>
      <c r="C234" s="2381"/>
      <c r="D234" s="2381"/>
      <c r="E234" s="2381"/>
      <c r="F234" s="2381"/>
      <c r="G234" s="2381"/>
      <c r="H234" s="2381"/>
    </row>
    <row r="235" spans="1:8">
      <c r="A235" s="2382" t="s">
        <v>2950</v>
      </c>
      <c r="B235" s="2381"/>
      <c r="C235" s="2381"/>
      <c r="D235" s="2381"/>
      <c r="E235" s="2381"/>
      <c r="F235" s="2381"/>
      <c r="G235" s="2381"/>
      <c r="H235" s="2381"/>
    </row>
    <row r="236" spans="1:8">
      <c r="A236" s="2382" t="s">
        <v>2951</v>
      </c>
      <c r="B236" s="2381"/>
      <c r="C236" s="2381"/>
      <c r="D236" s="2381"/>
      <c r="E236" s="2381"/>
      <c r="F236" s="2381"/>
      <c r="G236" s="2381"/>
      <c r="H236" s="2381"/>
    </row>
    <row r="237" spans="1:8">
      <c r="A237" s="2382" t="s">
        <v>2952</v>
      </c>
      <c r="B237" s="2381"/>
      <c r="C237" s="2381"/>
      <c r="D237" s="2381"/>
      <c r="E237" s="2381"/>
      <c r="F237" s="2381"/>
      <c r="G237" s="2381"/>
      <c r="H237" s="2381"/>
    </row>
    <row r="238" spans="1:8">
      <c r="A238" s="2382" t="s">
        <v>2953</v>
      </c>
      <c r="B238" s="2381"/>
      <c r="C238" s="2381"/>
      <c r="D238" s="2381"/>
      <c r="E238" s="2381"/>
      <c r="F238" s="2381"/>
      <c r="G238" s="2381"/>
      <c r="H238" s="2381"/>
    </row>
    <row r="239" spans="1:8">
      <c r="A239" s="2381"/>
      <c r="B239" s="2381"/>
      <c r="C239" s="2381"/>
      <c r="D239" s="2381"/>
      <c r="E239" s="2381"/>
      <c r="F239" s="2381"/>
      <c r="G239" s="2381"/>
      <c r="H239" s="2381"/>
    </row>
    <row r="240" spans="1:8">
      <c r="A240" s="2382" t="s">
        <v>2943</v>
      </c>
      <c r="B240" s="2381"/>
      <c r="C240" s="2381"/>
      <c r="D240" s="2381"/>
      <c r="E240" s="2381"/>
      <c r="F240" s="2381"/>
      <c r="G240" s="2381"/>
      <c r="H240" s="2381"/>
    </row>
    <row r="241" spans="1:8">
      <c r="A241" s="2382" t="s">
        <v>2944</v>
      </c>
      <c r="B241" s="2381"/>
      <c r="C241" s="2381"/>
      <c r="D241" s="2381"/>
      <c r="E241" s="2381"/>
      <c r="F241" s="2381"/>
      <c r="G241" s="2381"/>
      <c r="H241" s="2381"/>
    </row>
    <row r="242" spans="1:8">
      <c r="A242" s="2382" t="s">
        <v>2945</v>
      </c>
      <c r="B242" s="2381"/>
      <c r="C242" s="2381"/>
      <c r="D242" s="2381"/>
      <c r="E242" s="2381"/>
      <c r="F242" s="2381"/>
      <c r="G242" s="2381"/>
      <c r="H242" s="2381"/>
    </row>
    <row r="243" spans="1:8">
      <c r="A243" s="2382" t="s">
        <v>2946</v>
      </c>
      <c r="B243" s="2381"/>
      <c r="C243" s="2381"/>
      <c r="D243" s="2381"/>
      <c r="E243" s="2381"/>
      <c r="F243" s="2381"/>
      <c r="G243" s="2381"/>
      <c r="H243" s="2381"/>
    </row>
    <row r="244" spans="1:8">
      <c r="A244" s="2382" t="s">
        <v>2947</v>
      </c>
      <c r="B244" s="2381"/>
      <c r="C244" s="2381"/>
      <c r="D244" s="2381"/>
      <c r="E244" s="2381"/>
      <c r="F244" s="2381"/>
      <c r="G244" s="2381"/>
      <c r="H244" s="2381"/>
    </row>
    <row r="245" spans="1:8">
      <c r="A245" s="2382" t="s">
        <v>2948</v>
      </c>
      <c r="B245" s="2381"/>
      <c r="C245" s="2381"/>
      <c r="D245" s="2381"/>
      <c r="E245" s="2381"/>
      <c r="F245" s="2381"/>
      <c r="G245" s="2381"/>
      <c r="H245" s="2381"/>
    </row>
    <row r="246" spans="1:8">
      <c r="A246" s="2381"/>
      <c r="B246" s="2381"/>
      <c r="C246" s="2381"/>
      <c r="D246" s="2381"/>
      <c r="E246" s="2381"/>
      <c r="F246" s="2381"/>
      <c r="G246" s="2381"/>
      <c r="H246" s="2381"/>
    </row>
    <row r="247" spans="1:8">
      <c r="A247" s="2382" t="s">
        <v>2933</v>
      </c>
      <c r="B247" s="2381"/>
      <c r="C247" s="2381"/>
      <c r="D247" s="2381"/>
      <c r="E247" s="2381"/>
      <c r="F247" s="2381"/>
      <c r="G247" s="2381"/>
      <c r="H247" s="2381"/>
    </row>
    <row r="248" spans="1:8">
      <c r="A248" s="2382" t="s">
        <v>2934</v>
      </c>
      <c r="B248" s="2381"/>
      <c r="C248" s="2381"/>
      <c r="D248" s="2381"/>
      <c r="E248" s="2381"/>
      <c r="F248" s="2381"/>
      <c r="G248" s="2381"/>
      <c r="H248" s="2381"/>
    </row>
    <row r="249" spans="1:8">
      <c r="A249" s="2382" t="s">
        <v>2935</v>
      </c>
      <c r="B249" s="2381"/>
      <c r="C249" s="2381"/>
      <c r="D249" s="2381"/>
      <c r="E249" s="2381"/>
      <c r="F249" s="2381"/>
      <c r="G249" s="2381"/>
      <c r="H249" s="2381"/>
    </row>
    <row r="250" spans="1:8">
      <c r="A250" s="2382" t="s">
        <v>2936</v>
      </c>
      <c r="B250" s="2381"/>
      <c r="C250" s="2381"/>
      <c r="D250" s="2381"/>
      <c r="E250" s="2381"/>
      <c r="F250" s="2381"/>
      <c r="G250" s="2381"/>
      <c r="H250" s="2381"/>
    </row>
    <row r="251" spans="1:8">
      <c r="A251" s="2382" t="s">
        <v>2937</v>
      </c>
      <c r="B251" s="2381"/>
      <c r="C251" s="2381"/>
      <c r="D251" s="2381"/>
      <c r="E251" s="2381"/>
      <c r="F251" s="2381"/>
      <c r="G251" s="2381"/>
      <c r="H251" s="2381"/>
    </row>
    <row r="252" spans="1:8">
      <c r="A252" s="2382" t="s">
        <v>2938</v>
      </c>
      <c r="B252" s="2381"/>
      <c r="C252" s="2381"/>
      <c r="D252" s="2381"/>
      <c r="E252" s="2381"/>
      <c r="F252" s="2381"/>
      <c r="G252" s="2381"/>
      <c r="H252" s="2381"/>
    </row>
    <row r="253" spans="1:8">
      <c r="A253" s="2382" t="s">
        <v>2939</v>
      </c>
      <c r="B253" s="2381"/>
      <c r="C253" s="2381"/>
      <c r="D253" s="2381"/>
      <c r="E253" s="2381"/>
      <c r="F253" s="2381"/>
      <c r="G253" s="2381"/>
      <c r="H253" s="2381"/>
    </row>
    <row r="254" spans="1:8">
      <c r="A254" s="2382" t="s">
        <v>2940</v>
      </c>
      <c r="B254" s="2381"/>
      <c r="C254" s="2381"/>
      <c r="D254" s="2381"/>
      <c r="E254" s="2381"/>
      <c r="F254" s="2381"/>
      <c r="G254" s="2381"/>
      <c r="H254" s="2381"/>
    </row>
    <row r="255" spans="1:8">
      <c r="A255" s="2382" t="s">
        <v>2941</v>
      </c>
      <c r="B255" s="2381"/>
      <c r="C255" s="2381"/>
      <c r="D255" s="2381"/>
      <c r="E255" s="2381"/>
      <c r="F255" s="2381"/>
      <c r="G255" s="2381"/>
      <c r="H255" s="2381"/>
    </row>
    <row r="256" spans="1:8">
      <c r="A256" s="2382" t="s">
        <v>2942</v>
      </c>
      <c r="B256" s="2381"/>
      <c r="C256" s="2381"/>
      <c r="D256" s="2381"/>
      <c r="E256" s="2381"/>
      <c r="F256" s="2381"/>
      <c r="G256" s="2381"/>
      <c r="H256" s="2381"/>
    </row>
    <row r="257" spans="1:8">
      <c r="A257" s="2381"/>
      <c r="B257" s="2381"/>
      <c r="C257" s="2381"/>
      <c r="D257" s="2381"/>
      <c r="E257" s="2381"/>
      <c r="F257" s="2381"/>
      <c r="G257" s="2381"/>
      <c r="H257" s="2381"/>
    </row>
    <row r="258" spans="1:8">
      <c r="A258" s="2382" t="s">
        <v>2931</v>
      </c>
      <c r="B258" s="2381"/>
      <c r="C258" s="2381"/>
      <c r="D258" s="2381"/>
      <c r="E258" s="2381"/>
      <c r="F258" s="2381"/>
      <c r="G258" s="2381"/>
      <c r="H258" s="2381"/>
    </row>
    <row r="259" spans="1:8">
      <c r="A259" s="2382" t="s">
        <v>2932</v>
      </c>
      <c r="B259" s="2381"/>
      <c r="C259" s="2381"/>
      <c r="D259" s="2381"/>
      <c r="E259" s="2381"/>
      <c r="F259" s="2381"/>
      <c r="G259" s="2381"/>
      <c r="H259" s="2381"/>
    </row>
    <row r="260" spans="1:8">
      <c r="A260" s="2381"/>
      <c r="B260" s="2381"/>
      <c r="C260" s="2381"/>
      <c r="D260" s="2381"/>
      <c r="E260" s="2381"/>
      <c r="F260" s="2381"/>
      <c r="G260" s="2381"/>
      <c r="H260" s="2381"/>
    </row>
    <row r="261" spans="1:8">
      <c r="A261" s="2382" t="s">
        <v>2915</v>
      </c>
      <c r="B261" s="2381"/>
      <c r="C261" s="2381"/>
      <c r="D261" s="2381"/>
      <c r="E261" s="2381"/>
      <c r="F261" s="2381"/>
      <c r="G261" s="2381"/>
      <c r="H261" s="2381"/>
    </row>
    <row r="262" spans="1:8">
      <c r="A262" s="2382" t="s">
        <v>2916</v>
      </c>
      <c r="B262" s="2381"/>
      <c r="C262" s="2381"/>
      <c r="D262" s="2381"/>
      <c r="E262" s="2381"/>
      <c r="F262" s="2381"/>
      <c r="G262" s="2381"/>
      <c r="H262" s="2381"/>
    </row>
    <row r="263" spans="1:8">
      <c r="A263" s="2382" t="s">
        <v>2917</v>
      </c>
      <c r="B263" s="2381"/>
      <c r="C263" s="2381"/>
      <c r="D263" s="2381"/>
      <c r="E263" s="2381"/>
      <c r="F263" s="2381"/>
      <c r="G263" s="2381"/>
      <c r="H263" s="2381"/>
    </row>
    <row r="264" spans="1:8">
      <c r="A264" s="2382" t="s">
        <v>2918</v>
      </c>
      <c r="B264" s="2381"/>
      <c r="C264" s="2381"/>
      <c r="D264" s="2381"/>
      <c r="E264" s="2381"/>
      <c r="F264" s="2381"/>
      <c r="G264" s="2381"/>
      <c r="H264" s="2381"/>
    </row>
    <row r="265" spans="1:8">
      <c r="A265" s="2382" t="s">
        <v>2919</v>
      </c>
      <c r="B265" s="2381"/>
      <c r="C265" s="2381"/>
      <c r="D265" s="2381"/>
      <c r="E265" s="2381"/>
      <c r="F265" s="2381"/>
      <c r="G265" s="2381"/>
      <c r="H265" s="2381"/>
    </row>
    <row r="266" spans="1:8">
      <c r="A266" s="2382" t="s">
        <v>2920</v>
      </c>
      <c r="B266" s="2381"/>
      <c r="C266" s="2381"/>
      <c r="D266" s="2381"/>
      <c r="E266" s="2381"/>
      <c r="F266" s="2381"/>
      <c r="G266" s="2381"/>
      <c r="H266" s="2381"/>
    </row>
    <row r="267" spans="1:8">
      <c r="A267" s="2382" t="s">
        <v>2921</v>
      </c>
      <c r="B267" s="2381"/>
      <c r="C267" s="2381"/>
      <c r="D267" s="2381"/>
      <c r="E267" s="2381"/>
      <c r="F267" s="2381"/>
      <c r="G267" s="2381"/>
      <c r="H267" s="2381"/>
    </row>
    <row r="268" spans="1:8">
      <c r="A268" s="2382" t="s">
        <v>2922</v>
      </c>
      <c r="B268" s="2381"/>
      <c r="C268" s="2381"/>
      <c r="D268" s="2381"/>
      <c r="E268" s="2381"/>
      <c r="F268" s="2381"/>
      <c r="G268" s="2381"/>
      <c r="H268" s="2381"/>
    </row>
    <row r="269" spans="1:8">
      <c r="A269" s="2382" t="s">
        <v>2923</v>
      </c>
      <c r="B269" s="2381"/>
      <c r="C269" s="2381"/>
      <c r="D269" s="2381"/>
      <c r="E269" s="2381"/>
      <c r="F269" s="2381"/>
      <c r="G269" s="2381"/>
      <c r="H269" s="2381"/>
    </row>
    <row r="270" spans="1:8">
      <c r="A270" s="2382" t="s">
        <v>2924</v>
      </c>
      <c r="B270" s="2381"/>
      <c r="C270" s="2381"/>
      <c r="D270" s="2381"/>
      <c r="E270" s="2381"/>
      <c r="F270" s="2381"/>
      <c r="G270" s="2381"/>
      <c r="H270" s="2381"/>
    </row>
    <row r="271" spans="1:8">
      <c r="A271" s="2382" t="s">
        <v>2925</v>
      </c>
      <c r="B271" s="2381"/>
      <c r="C271" s="2381"/>
      <c r="D271" s="2381"/>
      <c r="E271" s="2381"/>
      <c r="F271" s="2381"/>
      <c r="G271" s="2381"/>
      <c r="H271" s="2381"/>
    </row>
    <row r="272" spans="1:8">
      <c r="A272" s="2382" t="s">
        <v>2926</v>
      </c>
      <c r="B272" s="2381"/>
      <c r="C272" s="2381"/>
      <c r="D272" s="2381"/>
      <c r="E272" s="2381"/>
      <c r="F272" s="2381"/>
      <c r="G272" s="2381"/>
      <c r="H272" s="2381"/>
    </row>
    <row r="273" spans="1:8">
      <c r="A273" s="2382" t="s">
        <v>2927</v>
      </c>
      <c r="B273" s="2381"/>
      <c r="C273" s="2381"/>
      <c r="D273" s="2381"/>
      <c r="E273" s="2381"/>
      <c r="F273" s="2381"/>
      <c r="G273" s="2381"/>
      <c r="H273" s="2381"/>
    </row>
    <row r="274" spans="1:8">
      <c r="A274" s="2382" t="s">
        <v>2928</v>
      </c>
      <c r="B274" s="2381"/>
      <c r="C274" s="2381"/>
      <c r="D274" s="2381"/>
      <c r="E274" s="2381"/>
      <c r="F274" s="2381"/>
      <c r="G274" s="2381"/>
      <c r="H274" s="2381"/>
    </row>
    <row r="275" spans="1:8">
      <c r="A275" s="2382" t="s">
        <v>2929</v>
      </c>
      <c r="B275" s="2381"/>
      <c r="C275" s="2381"/>
      <c r="D275" s="2381"/>
      <c r="E275" s="2381"/>
      <c r="F275" s="2381"/>
      <c r="G275" s="2381"/>
      <c r="H275" s="2381"/>
    </row>
    <row r="276" spans="1:8">
      <c r="A276" s="2382" t="s">
        <v>2930</v>
      </c>
      <c r="B276" s="2381"/>
      <c r="C276" s="2381"/>
      <c r="D276" s="2381"/>
      <c r="E276" s="2381"/>
      <c r="F276" s="2381"/>
      <c r="G276" s="2381"/>
      <c r="H276" s="2381"/>
    </row>
    <row r="277" spans="1:8">
      <c r="A277" s="2381"/>
      <c r="B277" s="2381"/>
      <c r="C277" s="2381"/>
      <c r="D277" s="2381"/>
      <c r="E277" s="2381"/>
      <c r="F277" s="2381"/>
      <c r="G277" s="2381"/>
      <c r="H277" s="2381"/>
    </row>
    <row r="278" spans="1:8">
      <c r="A278" s="2382" t="s">
        <v>2908</v>
      </c>
      <c r="B278" s="2381"/>
      <c r="C278" s="2381"/>
      <c r="D278" s="2381"/>
      <c r="E278" s="2381"/>
      <c r="F278" s="2381"/>
      <c r="G278" s="2381"/>
      <c r="H278" s="2381"/>
    </row>
    <row r="279" spans="1:8">
      <c r="A279" s="2382" t="s">
        <v>2909</v>
      </c>
      <c r="B279" s="2381"/>
      <c r="C279" s="2381"/>
      <c r="D279" s="2381"/>
      <c r="E279" s="2381"/>
      <c r="F279" s="2381"/>
      <c r="G279" s="2381"/>
      <c r="H279" s="2381"/>
    </row>
    <row r="280" spans="1:8">
      <c r="A280" s="2382" t="s">
        <v>2910</v>
      </c>
      <c r="B280" s="2381"/>
      <c r="C280" s="2381"/>
      <c r="D280" s="2381"/>
      <c r="E280" s="2381"/>
      <c r="F280" s="2381"/>
      <c r="G280" s="2381"/>
      <c r="H280" s="2381"/>
    </row>
    <row r="281" spans="1:8">
      <c r="A281" s="2382" t="s">
        <v>2911</v>
      </c>
      <c r="B281" s="2381"/>
      <c r="C281" s="2381"/>
      <c r="D281" s="2381"/>
      <c r="E281" s="2381"/>
      <c r="F281" s="2381"/>
      <c r="G281" s="2381"/>
      <c r="H281" s="2381"/>
    </row>
    <row r="282" spans="1:8">
      <c r="A282" s="2382" t="s">
        <v>2912</v>
      </c>
      <c r="B282" s="2381"/>
      <c r="C282" s="2381"/>
      <c r="D282" s="2381"/>
      <c r="E282" s="2381"/>
      <c r="F282" s="2381"/>
      <c r="G282" s="2381"/>
      <c r="H282" s="2381"/>
    </row>
    <row r="283" spans="1:8">
      <c r="A283" s="2382" t="s">
        <v>2913</v>
      </c>
      <c r="B283" s="2381"/>
      <c r="C283" s="2381"/>
      <c r="D283" s="2381"/>
      <c r="E283" s="2381"/>
      <c r="F283" s="2381"/>
      <c r="G283" s="2381"/>
      <c r="H283" s="2381"/>
    </row>
    <row r="284" spans="1:8">
      <c r="A284" s="2382" t="s">
        <v>2914</v>
      </c>
      <c r="B284" s="2381"/>
      <c r="C284" s="2381"/>
      <c r="D284" s="2381"/>
      <c r="E284" s="2381"/>
      <c r="F284" s="2381"/>
      <c r="G284" s="2381"/>
      <c r="H284" s="2381"/>
    </row>
    <row r="285" spans="1:8">
      <c r="A285" s="2381"/>
      <c r="B285" s="2381"/>
      <c r="C285" s="2381"/>
      <c r="D285" s="2381"/>
      <c r="E285" s="2381"/>
      <c r="F285" s="2381"/>
      <c r="G285" s="2381"/>
      <c r="H285" s="2381"/>
    </row>
    <row r="286" spans="1:8">
      <c r="A286" s="2382" t="s">
        <v>2899</v>
      </c>
      <c r="B286" s="2381"/>
      <c r="C286" s="2381"/>
      <c r="D286" s="2381"/>
      <c r="E286" s="2381"/>
      <c r="F286" s="2381"/>
      <c r="G286" s="2381"/>
      <c r="H286" s="2381"/>
    </row>
    <row r="287" spans="1:8">
      <c r="A287" s="2382" t="s">
        <v>2900</v>
      </c>
      <c r="B287" s="2381"/>
      <c r="C287" s="2381"/>
      <c r="D287" s="2381"/>
      <c r="E287" s="2381"/>
      <c r="F287" s="2381"/>
      <c r="G287" s="2381"/>
      <c r="H287" s="2381"/>
    </row>
    <row r="288" spans="1:8">
      <c r="A288" s="2382" t="s">
        <v>2901</v>
      </c>
      <c r="B288" s="2381"/>
      <c r="C288" s="2381"/>
      <c r="D288" s="2381"/>
      <c r="E288" s="2381"/>
      <c r="F288" s="2381"/>
      <c r="G288" s="2381"/>
      <c r="H288" s="2381"/>
    </row>
    <row r="289" spans="1:8">
      <c r="A289" s="2382" t="s">
        <v>2902</v>
      </c>
      <c r="B289" s="2381"/>
      <c r="C289" s="2381"/>
      <c r="D289" s="2381"/>
      <c r="E289" s="2381"/>
      <c r="F289" s="2381"/>
      <c r="G289" s="2381"/>
      <c r="H289" s="2381"/>
    </row>
    <row r="290" spans="1:8">
      <c r="A290" s="2382" t="s">
        <v>2903</v>
      </c>
      <c r="B290" s="2381"/>
      <c r="C290" s="2381"/>
      <c r="D290" s="2381"/>
      <c r="E290" s="2381"/>
      <c r="F290" s="2381"/>
      <c r="G290" s="2381"/>
      <c r="H290" s="2381"/>
    </row>
    <row r="291" spans="1:8">
      <c r="A291" s="2382" t="s">
        <v>2904</v>
      </c>
      <c r="B291" s="2381"/>
      <c r="C291" s="2381"/>
      <c r="D291" s="2381"/>
      <c r="E291" s="2381"/>
      <c r="F291" s="2381"/>
      <c r="G291" s="2381"/>
      <c r="H291" s="2381"/>
    </row>
    <row r="292" spans="1:8">
      <c r="A292" s="2382" t="s">
        <v>2905</v>
      </c>
      <c r="B292" s="2381"/>
      <c r="C292" s="2381"/>
      <c r="D292" s="2381"/>
      <c r="E292" s="2381"/>
      <c r="F292" s="2381"/>
      <c r="G292" s="2381"/>
      <c r="H292" s="2381"/>
    </row>
    <row r="293" spans="1:8">
      <c r="A293" s="2382" t="s">
        <v>2906</v>
      </c>
      <c r="B293" s="2381"/>
      <c r="C293" s="2381"/>
      <c r="D293" s="2381"/>
      <c r="E293" s="2381"/>
      <c r="F293" s="2381"/>
      <c r="G293" s="2381"/>
      <c r="H293" s="2381"/>
    </row>
    <row r="294" spans="1:8">
      <c r="A294" s="2382" t="s">
        <v>2907</v>
      </c>
      <c r="B294" s="2381"/>
      <c r="C294" s="2381"/>
      <c r="D294" s="2381"/>
      <c r="E294" s="2381"/>
      <c r="F294" s="2381"/>
      <c r="G294" s="2381"/>
      <c r="H294" s="2381"/>
    </row>
    <row r="295" spans="1:8">
      <c r="A295" s="2381"/>
      <c r="B295" s="2381"/>
      <c r="C295" s="2381"/>
      <c r="D295" s="2381"/>
      <c r="E295" s="2381"/>
      <c r="F295" s="2381"/>
      <c r="G295" s="2381"/>
      <c r="H295" s="2381"/>
    </row>
    <row r="296" spans="1:8">
      <c r="A296" s="2382" t="s">
        <v>2892</v>
      </c>
      <c r="B296" s="2381"/>
      <c r="C296" s="2381"/>
      <c r="D296" s="2381"/>
      <c r="E296" s="2381"/>
      <c r="F296" s="2381"/>
      <c r="G296" s="2381"/>
      <c r="H296" s="2381"/>
    </row>
    <row r="297" spans="1:8">
      <c r="A297" s="2382" t="s">
        <v>2893</v>
      </c>
      <c r="B297" s="2381"/>
      <c r="C297" s="2381"/>
      <c r="D297" s="2381"/>
      <c r="E297" s="2381"/>
      <c r="F297" s="2381"/>
      <c r="G297" s="2381"/>
      <c r="H297" s="2381"/>
    </row>
    <row r="298" spans="1:8">
      <c r="A298" s="2382" t="s">
        <v>2894</v>
      </c>
      <c r="B298" s="2381"/>
      <c r="C298" s="2381"/>
      <c r="D298" s="2381"/>
      <c r="E298" s="2381"/>
      <c r="F298" s="2381"/>
      <c r="G298" s="2381"/>
      <c r="H298" s="2381"/>
    </row>
    <row r="299" spans="1:8">
      <c r="A299" s="2382" t="s">
        <v>2895</v>
      </c>
      <c r="B299" s="2381"/>
      <c r="C299" s="2381"/>
      <c r="D299" s="2381"/>
      <c r="E299" s="2381"/>
      <c r="F299" s="2381"/>
      <c r="G299" s="2381"/>
      <c r="H299" s="2381"/>
    </row>
    <row r="300" spans="1:8">
      <c r="A300" s="2382" t="s">
        <v>2896</v>
      </c>
      <c r="B300" s="2381"/>
      <c r="C300" s="2381"/>
      <c r="D300" s="2381"/>
      <c r="E300" s="2381"/>
      <c r="F300" s="2381"/>
      <c r="G300" s="2381"/>
      <c r="H300" s="2381"/>
    </row>
    <row r="301" spans="1:8">
      <c r="A301" s="2382" t="s">
        <v>2897</v>
      </c>
      <c r="B301" s="2381"/>
      <c r="C301" s="2381"/>
      <c r="D301" s="2381"/>
      <c r="E301" s="2381"/>
      <c r="F301" s="2381"/>
      <c r="G301" s="2381"/>
      <c r="H301" s="2381"/>
    </row>
    <row r="302" spans="1:8">
      <c r="A302" s="2382" t="s">
        <v>2898</v>
      </c>
      <c r="B302" s="2381"/>
      <c r="C302" s="2381"/>
      <c r="D302" s="2381"/>
      <c r="E302" s="2381"/>
      <c r="F302" s="2381"/>
      <c r="G302" s="2381"/>
      <c r="H302" s="2381"/>
    </row>
    <row r="303" spans="1:8">
      <c r="A303" s="2381"/>
      <c r="B303" s="2381"/>
      <c r="C303" s="2381"/>
      <c r="D303" s="2381"/>
      <c r="E303" s="2381"/>
      <c r="F303" s="2381"/>
      <c r="G303" s="2381"/>
      <c r="H303" s="2381"/>
    </row>
    <row r="304" spans="1:8">
      <c r="A304" s="2382" t="s">
        <v>2889</v>
      </c>
      <c r="B304" s="2381"/>
      <c r="C304" s="2381"/>
      <c r="D304" s="2381"/>
      <c r="E304" s="2381"/>
      <c r="F304" s="2381"/>
      <c r="G304" s="2381"/>
      <c r="H304" s="2381"/>
    </row>
    <row r="305" spans="1:8">
      <c r="A305" s="2382" t="s">
        <v>2890</v>
      </c>
      <c r="B305" s="2381"/>
      <c r="C305" s="2381"/>
      <c r="D305" s="2381"/>
      <c r="E305" s="2381"/>
      <c r="F305" s="2381"/>
      <c r="G305" s="2381"/>
      <c r="H305" s="2381"/>
    </row>
    <row r="306" spans="1:8">
      <c r="A306" s="2382" t="s">
        <v>2891</v>
      </c>
      <c r="B306" s="2381"/>
      <c r="C306" s="2381"/>
      <c r="D306" s="2381"/>
      <c r="E306" s="2381"/>
      <c r="F306" s="2381"/>
      <c r="G306" s="2381"/>
      <c r="H306" s="2381"/>
    </row>
    <row r="307" spans="1:8">
      <c r="A307" s="2381"/>
      <c r="B307" s="2381"/>
      <c r="C307" s="2381"/>
      <c r="D307" s="2381"/>
      <c r="E307" s="2381"/>
      <c r="F307" s="2381"/>
      <c r="G307" s="2381"/>
      <c r="H307" s="2381"/>
    </row>
    <row r="308" spans="1:8">
      <c r="A308" s="2382" t="s">
        <v>2887</v>
      </c>
      <c r="B308" s="2381"/>
      <c r="C308" s="2381"/>
      <c r="D308" s="2381"/>
      <c r="E308" s="2381"/>
      <c r="F308" s="2381"/>
      <c r="G308" s="2381"/>
      <c r="H308" s="2381"/>
    </row>
    <row r="309" spans="1:8">
      <c r="A309" s="2382" t="s">
        <v>2888</v>
      </c>
      <c r="B309" s="2381"/>
      <c r="C309" s="2381"/>
      <c r="D309" s="2381"/>
      <c r="E309" s="2381"/>
      <c r="F309" s="2381"/>
      <c r="G309" s="2381"/>
      <c r="H309" s="2381"/>
    </row>
    <row r="310" spans="1:8">
      <c r="A310" s="2381"/>
      <c r="B310" s="2381"/>
      <c r="C310" s="2381"/>
      <c r="D310" s="2381"/>
      <c r="E310" s="2381"/>
      <c r="F310" s="2381"/>
      <c r="G310" s="2381"/>
      <c r="H310" s="2381"/>
    </row>
    <row r="311" spans="1:8">
      <c r="A311" s="2382" t="s">
        <v>2874</v>
      </c>
      <c r="B311" s="2381"/>
      <c r="C311" s="2381"/>
      <c r="D311" s="2381"/>
      <c r="E311" s="2381"/>
      <c r="F311" s="2381"/>
      <c r="G311" s="2381"/>
      <c r="H311" s="2381"/>
    </row>
    <row r="312" spans="1:8">
      <c r="A312" s="2382" t="s">
        <v>2875</v>
      </c>
      <c r="B312" s="2381"/>
      <c r="C312" s="2381"/>
      <c r="D312" s="2381"/>
      <c r="E312" s="2381"/>
      <c r="F312" s="2381"/>
      <c r="G312" s="2381"/>
      <c r="H312" s="2381"/>
    </row>
    <row r="313" spans="1:8">
      <c r="A313" s="2382" t="s">
        <v>2876</v>
      </c>
      <c r="B313" s="2381"/>
      <c r="C313" s="2381"/>
      <c r="D313" s="2381"/>
      <c r="E313" s="2381"/>
      <c r="F313" s="2381"/>
      <c r="G313" s="2381"/>
      <c r="H313" s="2381"/>
    </row>
    <row r="314" spans="1:8">
      <c r="A314" s="2382" t="s">
        <v>2877</v>
      </c>
      <c r="B314" s="2381"/>
      <c r="C314" s="2381"/>
      <c r="D314" s="2381"/>
      <c r="E314" s="2381"/>
      <c r="F314" s="2381"/>
      <c r="G314" s="2381"/>
      <c r="H314" s="2381"/>
    </row>
    <row r="315" spans="1:8">
      <c r="A315" s="2382" t="s">
        <v>2878</v>
      </c>
      <c r="B315" s="2381"/>
      <c r="C315" s="2381"/>
      <c r="D315" s="2381"/>
      <c r="E315" s="2381"/>
      <c r="F315" s="2381"/>
      <c r="G315" s="2381"/>
      <c r="H315" s="2381"/>
    </row>
    <row r="316" spans="1:8">
      <c r="A316" s="2382" t="s">
        <v>2879</v>
      </c>
      <c r="B316" s="2381"/>
      <c r="C316" s="2381"/>
      <c r="D316" s="2381"/>
      <c r="E316" s="2381"/>
      <c r="F316" s="2381"/>
      <c r="G316" s="2381"/>
      <c r="H316" s="2381"/>
    </row>
    <row r="317" spans="1:8">
      <c r="A317" s="2382" t="s">
        <v>2880</v>
      </c>
      <c r="B317" s="2381"/>
      <c r="C317" s="2381"/>
      <c r="D317" s="2381"/>
      <c r="E317" s="2381"/>
      <c r="F317" s="2381"/>
      <c r="G317" s="2381"/>
      <c r="H317" s="2381"/>
    </row>
    <row r="318" spans="1:8">
      <c r="A318" s="2382" t="s">
        <v>2881</v>
      </c>
      <c r="B318" s="2381"/>
      <c r="C318" s="2381"/>
      <c r="D318" s="2381"/>
      <c r="E318" s="2381"/>
      <c r="F318" s="2381"/>
      <c r="G318" s="2381"/>
      <c r="H318" s="2381"/>
    </row>
    <row r="319" spans="1:8">
      <c r="A319" s="2382" t="s">
        <v>2882</v>
      </c>
      <c r="B319" s="2381"/>
      <c r="C319" s="2381"/>
      <c r="D319" s="2381"/>
      <c r="E319" s="2381"/>
      <c r="F319" s="2381"/>
      <c r="G319" s="2381"/>
      <c r="H319" s="2381"/>
    </row>
    <row r="320" spans="1:8">
      <c r="A320" s="2382" t="s">
        <v>2883</v>
      </c>
      <c r="B320" s="2381"/>
      <c r="C320" s="2381"/>
      <c r="D320" s="2381"/>
      <c r="E320" s="2381"/>
      <c r="F320" s="2381"/>
      <c r="G320" s="2381"/>
      <c r="H320" s="2381"/>
    </row>
    <row r="321" spans="1:8">
      <c r="A321" s="2382" t="s">
        <v>2884</v>
      </c>
      <c r="B321" s="2381"/>
      <c r="C321" s="2381"/>
      <c r="D321" s="2381"/>
      <c r="E321" s="2381"/>
      <c r="F321" s="2381"/>
      <c r="G321" s="2381"/>
      <c r="H321" s="2381"/>
    </row>
    <row r="322" spans="1:8">
      <c r="A322" s="2382" t="s">
        <v>2885</v>
      </c>
      <c r="B322" s="2381"/>
      <c r="C322" s="2381"/>
      <c r="D322" s="2381"/>
      <c r="E322" s="2381"/>
      <c r="F322" s="2381"/>
      <c r="G322" s="2381"/>
      <c r="H322" s="2381"/>
    </row>
    <row r="323" spans="1:8">
      <c r="A323" s="2382" t="s">
        <v>2886</v>
      </c>
      <c r="B323" s="2381"/>
      <c r="C323" s="2381"/>
      <c r="D323" s="2381"/>
      <c r="E323" s="2381"/>
      <c r="F323" s="2381"/>
      <c r="G323" s="2381"/>
      <c r="H323" s="2381"/>
    </row>
    <row r="324" spans="1:8">
      <c r="A324" s="2381"/>
      <c r="B324" s="2381"/>
      <c r="C324" s="2381"/>
      <c r="D324" s="2381"/>
      <c r="E324" s="2381"/>
      <c r="F324" s="2381"/>
      <c r="G324" s="2381"/>
      <c r="H324" s="2381"/>
    </row>
    <row r="325" spans="1:8">
      <c r="A325" s="2382" t="s">
        <v>2866</v>
      </c>
      <c r="B325" s="2381"/>
      <c r="C325" s="2381"/>
      <c r="D325" s="2381"/>
      <c r="E325" s="2381"/>
      <c r="F325" s="2381"/>
      <c r="G325" s="2381"/>
      <c r="H325" s="2381"/>
    </row>
    <row r="326" spans="1:8">
      <c r="A326" s="2382" t="s">
        <v>2867</v>
      </c>
      <c r="B326" s="2381"/>
      <c r="C326" s="2381"/>
      <c r="D326" s="2381"/>
      <c r="E326" s="2381"/>
      <c r="F326" s="2381"/>
      <c r="G326" s="2381"/>
      <c r="H326" s="2381"/>
    </row>
    <row r="327" spans="1:8">
      <c r="A327" s="2382" t="s">
        <v>2868</v>
      </c>
      <c r="B327" s="2381"/>
      <c r="C327" s="2381"/>
      <c r="D327" s="2381"/>
      <c r="E327" s="2381"/>
      <c r="F327" s="2381"/>
      <c r="G327" s="2381"/>
      <c r="H327" s="2381"/>
    </row>
    <row r="328" spans="1:8">
      <c r="A328" s="2382" t="s">
        <v>2869</v>
      </c>
      <c r="B328" s="2381"/>
      <c r="C328" s="2381"/>
      <c r="D328" s="2381"/>
      <c r="E328" s="2381"/>
      <c r="F328" s="2381"/>
      <c r="G328" s="2381"/>
      <c r="H328" s="2381"/>
    </row>
    <row r="329" spans="1:8">
      <c r="A329" s="2382" t="s">
        <v>2870</v>
      </c>
      <c r="B329" s="2381"/>
      <c r="C329" s="2381"/>
      <c r="D329" s="2381"/>
      <c r="E329" s="2381"/>
      <c r="F329" s="2381"/>
      <c r="G329" s="2381"/>
      <c r="H329" s="2381"/>
    </row>
    <row r="330" spans="1:8">
      <c r="A330" s="2382" t="s">
        <v>2871</v>
      </c>
      <c r="B330" s="2381"/>
      <c r="C330" s="2381"/>
      <c r="D330" s="2381"/>
      <c r="E330" s="2381"/>
      <c r="F330" s="2381"/>
      <c r="G330" s="2381"/>
      <c r="H330" s="2381"/>
    </row>
    <row r="331" spans="1:8">
      <c r="A331" s="2382" t="s">
        <v>2872</v>
      </c>
      <c r="B331" s="2381"/>
      <c r="C331" s="2381"/>
      <c r="D331" s="2381"/>
      <c r="E331" s="2381"/>
      <c r="F331" s="2381"/>
      <c r="G331" s="2381"/>
      <c r="H331" s="2381"/>
    </row>
    <row r="332" spans="1:8">
      <c r="A332" s="2382" t="s">
        <v>2873</v>
      </c>
      <c r="B332" s="2381"/>
      <c r="C332" s="2381"/>
      <c r="D332" s="2381"/>
      <c r="E332" s="2381"/>
      <c r="F332" s="2381"/>
      <c r="G332" s="2381"/>
      <c r="H332" s="2381"/>
    </row>
    <row r="333" spans="1:8">
      <c r="A333" s="2381"/>
      <c r="B333" s="2381"/>
      <c r="C333" s="2381"/>
      <c r="D333" s="2381"/>
      <c r="E333" s="2381"/>
      <c r="F333" s="2381"/>
      <c r="G333" s="2381"/>
      <c r="H333" s="2381"/>
    </row>
    <row r="334" spans="1:8">
      <c r="A334" s="2382" t="s">
        <v>2831</v>
      </c>
      <c r="B334" s="2381"/>
      <c r="C334" s="2381"/>
      <c r="D334" s="2381"/>
      <c r="E334" s="2381"/>
      <c r="F334" s="2381"/>
      <c r="G334" s="2381"/>
      <c r="H334" s="2381"/>
    </row>
    <row r="335" spans="1:8">
      <c r="A335" s="2382" t="s">
        <v>2832</v>
      </c>
      <c r="B335" s="2381"/>
      <c r="C335" s="2381"/>
      <c r="D335" s="2381"/>
      <c r="E335" s="2381"/>
      <c r="F335" s="2381"/>
      <c r="G335" s="2381"/>
      <c r="H335" s="2381"/>
    </row>
    <row r="336" spans="1:8">
      <c r="A336" s="2382" t="s">
        <v>2833</v>
      </c>
      <c r="B336" s="2381"/>
      <c r="C336" s="2381"/>
      <c r="D336" s="2381"/>
      <c r="E336" s="2381"/>
      <c r="F336" s="2381"/>
      <c r="G336" s="2381"/>
      <c r="H336" s="2381"/>
    </row>
    <row r="337" spans="1:8">
      <c r="A337" s="2382" t="s">
        <v>2834</v>
      </c>
      <c r="B337" s="2381"/>
      <c r="C337" s="2381"/>
      <c r="D337" s="2381"/>
      <c r="E337" s="2381"/>
      <c r="F337" s="2381"/>
      <c r="G337" s="2381"/>
      <c r="H337" s="2381"/>
    </row>
    <row r="338" spans="1:8">
      <c r="A338" s="2382" t="s">
        <v>2835</v>
      </c>
      <c r="B338" s="2381"/>
      <c r="C338" s="2381"/>
      <c r="D338" s="2381"/>
      <c r="E338" s="2381"/>
      <c r="F338" s="2381"/>
      <c r="G338" s="2381"/>
      <c r="H338" s="2381"/>
    </row>
    <row r="339" spans="1:8">
      <c r="A339" s="2382" t="s">
        <v>2836</v>
      </c>
      <c r="B339" s="2381"/>
      <c r="C339" s="2381"/>
      <c r="D339" s="2381"/>
      <c r="E339" s="2381"/>
      <c r="F339" s="2381"/>
      <c r="G339" s="2381"/>
      <c r="H339" s="2381"/>
    </row>
    <row r="340" spans="1:8">
      <c r="A340" s="2382" t="s">
        <v>2837</v>
      </c>
      <c r="B340" s="2381"/>
      <c r="C340" s="2381"/>
      <c r="D340" s="2381"/>
      <c r="E340" s="2381"/>
      <c r="F340" s="2381"/>
      <c r="G340" s="2381"/>
      <c r="H340" s="2381"/>
    </row>
    <row r="341" spans="1:8">
      <c r="A341" s="2382" t="s">
        <v>2838</v>
      </c>
      <c r="B341" s="2381"/>
      <c r="C341" s="2381"/>
      <c r="D341" s="2381"/>
      <c r="E341" s="2381"/>
      <c r="F341" s="2381"/>
      <c r="G341" s="2381"/>
      <c r="H341" s="2381"/>
    </row>
    <row r="342" spans="1:8">
      <c r="A342" s="2382" t="s">
        <v>2839</v>
      </c>
      <c r="B342" s="2381"/>
      <c r="C342" s="2381"/>
      <c r="D342" s="2381"/>
      <c r="E342" s="2381"/>
      <c r="F342" s="2381"/>
      <c r="G342" s="2381"/>
      <c r="H342" s="2381"/>
    </row>
    <row r="343" spans="1:8">
      <c r="A343" s="2382" t="s">
        <v>2840</v>
      </c>
      <c r="B343" s="2381"/>
      <c r="C343" s="2381"/>
      <c r="D343" s="2381"/>
      <c r="E343" s="2381"/>
      <c r="F343" s="2381"/>
      <c r="G343" s="2381"/>
      <c r="H343" s="2381"/>
    </row>
    <row r="344" spans="1:8">
      <c r="A344" s="2382" t="s">
        <v>2841</v>
      </c>
      <c r="B344" s="2381"/>
      <c r="C344" s="2381"/>
      <c r="D344" s="2381"/>
      <c r="E344" s="2381"/>
      <c r="F344" s="2381"/>
      <c r="G344" s="2381"/>
      <c r="H344" s="2381"/>
    </row>
    <row r="345" spans="1:8">
      <c r="A345" s="2382" t="s">
        <v>2842</v>
      </c>
      <c r="B345" s="2381"/>
      <c r="C345" s="2381"/>
      <c r="D345" s="2381"/>
      <c r="E345" s="2381"/>
      <c r="F345" s="2381"/>
      <c r="G345" s="2381"/>
      <c r="H345" s="2381"/>
    </row>
    <row r="346" spans="1:8">
      <c r="A346" s="2382" t="s">
        <v>2843</v>
      </c>
      <c r="B346" s="2381"/>
      <c r="C346" s="2381"/>
      <c r="D346" s="2381"/>
      <c r="E346" s="2381"/>
      <c r="F346" s="2381"/>
      <c r="G346" s="2381"/>
      <c r="H346" s="2381"/>
    </row>
    <row r="347" spans="1:8">
      <c r="A347" s="2382" t="s">
        <v>2844</v>
      </c>
      <c r="B347" s="2381"/>
      <c r="C347" s="2381"/>
      <c r="D347" s="2381"/>
      <c r="E347" s="2381"/>
      <c r="F347" s="2381"/>
      <c r="G347" s="2381"/>
      <c r="H347" s="2381"/>
    </row>
    <row r="348" spans="1:8">
      <c r="A348" s="2382" t="s">
        <v>2845</v>
      </c>
      <c r="B348" s="2381"/>
      <c r="C348" s="2381"/>
      <c r="D348" s="2381"/>
      <c r="E348" s="2381"/>
      <c r="F348" s="2381"/>
      <c r="G348" s="2381"/>
      <c r="H348" s="2381"/>
    </row>
    <row r="349" spans="1:8">
      <c r="A349" s="2382" t="s">
        <v>2846</v>
      </c>
      <c r="B349" s="2381"/>
      <c r="C349" s="2381"/>
      <c r="D349" s="2381"/>
      <c r="E349" s="2381"/>
      <c r="F349" s="2381"/>
      <c r="G349" s="2381"/>
      <c r="H349" s="2381"/>
    </row>
    <row r="350" spans="1:8">
      <c r="A350" s="2382" t="s">
        <v>2847</v>
      </c>
      <c r="B350" s="2381"/>
      <c r="C350" s="2381"/>
      <c r="D350" s="2381"/>
      <c r="E350" s="2381"/>
      <c r="F350" s="2381"/>
      <c r="G350" s="2381"/>
      <c r="H350" s="2381"/>
    </row>
    <row r="351" spans="1:8">
      <c r="A351" s="2382" t="s">
        <v>2848</v>
      </c>
      <c r="B351" s="2381"/>
      <c r="C351" s="2381"/>
      <c r="D351" s="2381"/>
      <c r="E351" s="2381"/>
      <c r="F351" s="2381"/>
      <c r="G351" s="2381"/>
      <c r="H351" s="2381"/>
    </row>
    <row r="352" spans="1:8">
      <c r="A352" s="2382" t="s">
        <v>2849</v>
      </c>
      <c r="B352" s="2381"/>
      <c r="C352" s="2381"/>
      <c r="D352" s="2381"/>
      <c r="E352" s="2381"/>
      <c r="F352" s="2381"/>
      <c r="G352" s="2381"/>
      <c r="H352" s="2381"/>
    </row>
    <row r="353" spans="1:8">
      <c r="A353" s="2382" t="s">
        <v>2850</v>
      </c>
      <c r="B353" s="2381"/>
      <c r="C353" s="2381"/>
      <c r="D353" s="2381"/>
      <c r="E353" s="2381"/>
      <c r="F353" s="2381"/>
      <c r="G353" s="2381"/>
      <c r="H353" s="2381"/>
    </row>
    <row r="354" spans="1:8">
      <c r="A354" s="2382" t="s">
        <v>2851</v>
      </c>
      <c r="B354" s="2381"/>
      <c r="C354" s="2381"/>
      <c r="D354" s="2381"/>
      <c r="E354" s="2381"/>
      <c r="F354" s="2381"/>
      <c r="G354" s="2381"/>
      <c r="H354" s="2381"/>
    </row>
    <row r="355" spans="1:8">
      <c r="A355" s="2382" t="s">
        <v>2852</v>
      </c>
      <c r="B355" s="2381"/>
      <c r="C355" s="2381"/>
      <c r="D355" s="2381"/>
      <c r="E355" s="2381"/>
      <c r="F355" s="2381"/>
      <c r="G355" s="2381"/>
      <c r="H355" s="2381"/>
    </row>
    <row r="356" spans="1:8">
      <c r="A356" s="2382" t="s">
        <v>2853</v>
      </c>
      <c r="B356" s="2381"/>
      <c r="C356" s="2381"/>
      <c r="D356" s="2381"/>
      <c r="E356" s="2381"/>
      <c r="F356" s="2381"/>
      <c r="G356" s="2381"/>
      <c r="H356" s="2381"/>
    </row>
    <row r="357" spans="1:8">
      <c r="A357" s="2382" t="s">
        <v>2854</v>
      </c>
      <c r="B357" s="2381"/>
      <c r="C357" s="2381"/>
      <c r="D357" s="2381"/>
      <c r="E357" s="2381"/>
      <c r="F357" s="2381"/>
      <c r="G357" s="2381"/>
      <c r="H357" s="2381"/>
    </row>
    <row r="358" spans="1:8">
      <c r="A358" s="2382" t="s">
        <v>2855</v>
      </c>
      <c r="B358" s="2381"/>
      <c r="C358" s="2381"/>
      <c r="D358" s="2381"/>
      <c r="E358" s="2381"/>
      <c r="F358" s="2381"/>
      <c r="G358" s="2381"/>
      <c r="H358" s="2381"/>
    </row>
    <row r="359" spans="1:8">
      <c r="A359" s="2382" t="s">
        <v>2856</v>
      </c>
      <c r="B359" s="2381"/>
      <c r="C359" s="2381"/>
      <c r="D359" s="2381"/>
      <c r="E359" s="2381"/>
      <c r="F359" s="2381"/>
      <c r="G359" s="2381"/>
      <c r="H359" s="2381"/>
    </row>
    <row r="360" spans="1:8">
      <c r="A360" s="2382" t="s">
        <v>2857</v>
      </c>
      <c r="B360" s="2381"/>
      <c r="C360" s="2381"/>
      <c r="D360" s="2381"/>
      <c r="E360" s="2381"/>
      <c r="F360" s="2381"/>
      <c r="G360" s="2381"/>
      <c r="H360" s="2381"/>
    </row>
    <row r="361" spans="1:8">
      <c r="A361" s="2382" t="s">
        <v>2858</v>
      </c>
      <c r="B361" s="2381"/>
      <c r="C361" s="2381"/>
      <c r="D361" s="2381"/>
      <c r="E361" s="2381"/>
      <c r="F361" s="2381"/>
      <c r="G361" s="2381"/>
      <c r="H361" s="2381"/>
    </row>
    <row r="362" spans="1:8">
      <c r="A362" s="2382" t="s">
        <v>2859</v>
      </c>
      <c r="B362" s="2381"/>
      <c r="C362" s="2381"/>
      <c r="D362" s="2381"/>
      <c r="E362" s="2381"/>
      <c r="F362" s="2381"/>
      <c r="G362" s="2381"/>
      <c r="H362" s="2381"/>
    </row>
    <row r="363" spans="1:8">
      <c r="A363" s="2382" t="s">
        <v>2860</v>
      </c>
      <c r="B363" s="2381"/>
      <c r="C363" s="2381"/>
      <c r="D363" s="2381"/>
      <c r="E363" s="2381"/>
      <c r="F363" s="2381"/>
      <c r="G363" s="2381"/>
      <c r="H363" s="2381"/>
    </row>
    <row r="364" spans="1:8">
      <c r="A364" s="2382" t="s">
        <v>2861</v>
      </c>
      <c r="B364" s="2381"/>
      <c r="C364" s="2381"/>
      <c r="D364" s="2381"/>
      <c r="E364" s="2381"/>
      <c r="F364" s="2381"/>
      <c r="G364" s="2381"/>
      <c r="H364" s="2381"/>
    </row>
    <row r="365" spans="1:8">
      <c r="A365" s="2382" t="s">
        <v>2862</v>
      </c>
      <c r="B365" s="2381"/>
      <c r="C365" s="2381"/>
      <c r="D365" s="2381"/>
      <c r="E365" s="2381"/>
      <c r="F365" s="2381"/>
      <c r="G365" s="2381"/>
      <c r="H365" s="2381"/>
    </row>
    <row r="366" spans="1:8">
      <c r="A366" s="2382" t="s">
        <v>2863</v>
      </c>
      <c r="B366" s="2381"/>
      <c r="C366" s="2381"/>
      <c r="D366" s="2381"/>
      <c r="E366" s="2381"/>
      <c r="F366" s="2381"/>
      <c r="G366" s="2381"/>
      <c r="H366" s="2381"/>
    </row>
    <row r="367" spans="1:8">
      <c r="A367" s="2382" t="s">
        <v>2864</v>
      </c>
      <c r="B367" s="2381"/>
      <c r="C367" s="2381"/>
      <c r="D367" s="2381"/>
      <c r="E367" s="2381"/>
      <c r="F367" s="2381"/>
      <c r="G367" s="2381"/>
      <c r="H367" s="2381"/>
    </row>
    <row r="368" spans="1:8">
      <c r="A368" s="2382" t="s">
        <v>2865</v>
      </c>
      <c r="B368" s="2381"/>
      <c r="C368" s="2381"/>
      <c r="D368" s="2381"/>
      <c r="E368" s="2381"/>
      <c r="F368" s="2381"/>
      <c r="G368" s="2381"/>
      <c r="H368" s="2381"/>
    </row>
    <row r="369" spans="1:8">
      <c r="A369" s="2381"/>
      <c r="B369" s="2381"/>
      <c r="C369" s="2381"/>
      <c r="D369" s="2381"/>
      <c r="E369" s="2381"/>
      <c r="F369" s="2381"/>
      <c r="G369" s="2381"/>
      <c r="H369" s="2381"/>
    </row>
    <row r="370" spans="1:8">
      <c r="A370" s="2382" t="s">
        <v>2823</v>
      </c>
      <c r="B370" s="2381"/>
      <c r="C370" s="2381"/>
      <c r="D370" s="2381"/>
      <c r="E370" s="2381"/>
      <c r="F370" s="2381"/>
      <c r="G370" s="2381"/>
      <c r="H370" s="2381"/>
    </row>
    <row r="371" spans="1:8">
      <c r="A371" s="2382" t="s">
        <v>2827</v>
      </c>
      <c r="B371" s="2381"/>
      <c r="C371" s="2381"/>
      <c r="D371" s="2381"/>
      <c r="E371" s="2381"/>
      <c r="F371" s="2381"/>
      <c r="G371" s="2381"/>
      <c r="H371" s="2381"/>
    </row>
    <row r="372" spans="1:8">
      <c r="A372" s="2382" t="s">
        <v>2828</v>
      </c>
      <c r="B372" s="2381"/>
      <c r="C372" s="2381"/>
      <c r="D372" s="2381"/>
      <c r="E372" s="2381"/>
      <c r="F372" s="2381"/>
      <c r="G372" s="2381"/>
      <c r="H372" s="2381"/>
    </row>
    <row r="373" spans="1:8">
      <c r="A373" s="2382" t="s">
        <v>2829</v>
      </c>
      <c r="B373" s="2381"/>
      <c r="C373" s="2381"/>
      <c r="D373" s="2381"/>
      <c r="E373" s="2381"/>
      <c r="F373" s="2381"/>
      <c r="G373" s="2381"/>
      <c r="H373" s="2381"/>
    </row>
    <row r="374" spans="1:8">
      <c r="A374" s="2382" t="s">
        <v>2830</v>
      </c>
      <c r="B374" s="2381"/>
      <c r="C374" s="2381"/>
      <c r="D374" s="2381"/>
      <c r="E374" s="2381"/>
      <c r="F374" s="2381"/>
      <c r="G374" s="2381"/>
      <c r="H374" s="2381"/>
    </row>
    <row r="375" spans="1:8">
      <c r="A375" s="2381"/>
      <c r="B375" s="2381"/>
      <c r="C375" s="2381"/>
      <c r="D375" s="2381"/>
      <c r="E375" s="2381"/>
      <c r="F375" s="2381"/>
      <c r="G375" s="2381"/>
      <c r="H375" s="2381"/>
    </row>
    <row r="376" spans="1:8">
      <c r="A376" s="2382" t="s">
        <v>2823</v>
      </c>
      <c r="B376" s="2381"/>
      <c r="C376" s="2381"/>
      <c r="D376" s="2381"/>
      <c r="E376" s="2381"/>
      <c r="F376" s="2381"/>
      <c r="G376" s="2381"/>
      <c r="H376" s="2381"/>
    </row>
    <row r="377" spans="1:8">
      <c r="A377" s="2382" t="s">
        <v>2824</v>
      </c>
      <c r="B377" s="2381"/>
      <c r="C377" s="2381"/>
      <c r="D377" s="2381"/>
      <c r="E377" s="2381"/>
      <c r="F377" s="2381"/>
      <c r="G377" s="2381"/>
      <c r="H377" s="2381"/>
    </row>
    <row r="378" spans="1:8">
      <c r="A378" s="2382" t="s">
        <v>2825</v>
      </c>
      <c r="B378" s="2381"/>
      <c r="C378" s="2381"/>
      <c r="D378" s="2381"/>
      <c r="E378" s="2381"/>
      <c r="F378" s="2381"/>
      <c r="G378" s="2381"/>
      <c r="H378" s="2381"/>
    </row>
    <row r="379" spans="1:8">
      <c r="A379" s="2382" t="s">
        <v>2826</v>
      </c>
      <c r="B379" s="2381"/>
      <c r="C379" s="2381"/>
      <c r="D379" s="2381"/>
      <c r="E379" s="2381"/>
      <c r="F379" s="2381"/>
      <c r="G379" s="2381"/>
      <c r="H379" s="2381"/>
    </row>
    <row r="380" spans="1:8">
      <c r="A380" s="2381"/>
      <c r="B380" s="2381"/>
      <c r="C380" s="2381"/>
      <c r="D380" s="2381"/>
      <c r="E380" s="2381"/>
      <c r="F380" s="2381"/>
      <c r="G380" s="2381"/>
      <c r="H380" s="2381"/>
    </row>
    <row r="381" spans="1:8">
      <c r="A381" s="2382" t="s">
        <v>2817</v>
      </c>
      <c r="B381" s="2381"/>
      <c r="C381" s="2381"/>
      <c r="D381" s="2381"/>
      <c r="E381" s="2381"/>
      <c r="F381" s="2381"/>
      <c r="G381" s="2381"/>
      <c r="H381" s="2381"/>
    </row>
    <row r="382" spans="1:8">
      <c r="A382" s="2382" t="s">
        <v>2818</v>
      </c>
      <c r="B382" s="2381"/>
      <c r="C382" s="2381"/>
      <c r="D382" s="2381"/>
      <c r="E382" s="2381"/>
      <c r="F382" s="2381"/>
      <c r="G382" s="2381"/>
      <c r="H382" s="2381"/>
    </row>
    <row r="383" spans="1:8">
      <c r="A383" s="2382" t="s">
        <v>2819</v>
      </c>
      <c r="B383" s="2381"/>
      <c r="C383" s="2381"/>
      <c r="D383" s="2381"/>
      <c r="E383" s="2381"/>
      <c r="F383" s="2381"/>
      <c r="G383" s="2381"/>
      <c r="H383" s="2381"/>
    </row>
    <row r="384" spans="1:8">
      <c r="A384" s="2382" t="s">
        <v>2820</v>
      </c>
      <c r="B384" s="2381"/>
      <c r="C384" s="2381"/>
      <c r="D384" s="2381"/>
      <c r="E384" s="2381"/>
      <c r="F384" s="2381"/>
      <c r="G384" s="2381"/>
      <c r="H384" s="2381"/>
    </row>
    <row r="385" spans="1:8">
      <c r="A385" s="2382" t="s">
        <v>2821</v>
      </c>
      <c r="B385" s="2381"/>
      <c r="C385" s="2381"/>
      <c r="D385" s="2381"/>
      <c r="E385" s="2381"/>
      <c r="F385" s="2381"/>
      <c r="G385" s="2381"/>
      <c r="H385" s="2381"/>
    </row>
    <row r="386" spans="1:8">
      <c r="A386" s="2382" t="s">
        <v>2822</v>
      </c>
      <c r="B386" s="2381"/>
      <c r="C386" s="2381"/>
      <c r="D386" s="2381"/>
      <c r="E386" s="2381"/>
      <c r="F386" s="2381"/>
      <c r="G386" s="2381"/>
      <c r="H386" s="2381"/>
    </row>
    <row r="387" spans="1:8">
      <c r="A387" s="2381"/>
      <c r="B387" s="2381"/>
      <c r="C387" s="2381"/>
      <c r="D387" s="2381"/>
      <c r="E387" s="2381"/>
      <c r="F387" s="2381"/>
      <c r="G387" s="2381"/>
      <c r="H387" s="2381"/>
    </row>
    <row r="388" spans="1:8">
      <c r="A388" s="2382" t="s">
        <v>2812</v>
      </c>
      <c r="B388" s="2381"/>
      <c r="C388" s="2381"/>
      <c r="D388" s="2381"/>
      <c r="E388" s="2381"/>
      <c r="F388" s="2381"/>
      <c r="G388" s="2381"/>
      <c r="H388" s="2381"/>
    </row>
    <row r="389" spans="1:8">
      <c r="A389" s="2382" t="s">
        <v>2813</v>
      </c>
      <c r="B389" s="2381"/>
      <c r="C389" s="2381"/>
      <c r="D389" s="2381"/>
      <c r="E389" s="2381"/>
      <c r="F389" s="2381"/>
      <c r="G389" s="2381"/>
      <c r="H389" s="2381"/>
    </row>
    <row r="390" spans="1:8">
      <c r="A390" s="2382" t="s">
        <v>2814</v>
      </c>
      <c r="B390" s="2381"/>
      <c r="C390" s="2381"/>
      <c r="D390" s="2381"/>
      <c r="E390" s="2381"/>
      <c r="F390" s="2381"/>
      <c r="G390" s="2381"/>
      <c r="H390" s="2381"/>
    </row>
    <row r="391" spans="1:8">
      <c r="A391" s="2382" t="s">
        <v>2815</v>
      </c>
      <c r="B391" s="2381"/>
      <c r="C391" s="2381"/>
      <c r="D391" s="2381"/>
      <c r="E391" s="2381"/>
      <c r="F391" s="2381"/>
      <c r="G391" s="2381"/>
      <c r="H391" s="2381"/>
    </row>
    <row r="392" spans="1:8">
      <c r="A392" s="2382" t="s">
        <v>2816</v>
      </c>
      <c r="B392" s="2381"/>
      <c r="C392" s="2381"/>
      <c r="D392" s="2381"/>
      <c r="E392" s="2381"/>
      <c r="F392" s="2381"/>
      <c r="G392" s="2381"/>
      <c r="H392" s="2381"/>
    </row>
    <row r="393" spans="1:8">
      <c r="A393" s="2381"/>
      <c r="B393" s="2381"/>
      <c r="C393" s="2381"/>
      <c r="D393" s="2381"/>
      <c r="E393" s="2381"/>
      <c r="F393" s="2381"/>
      <c r="G393" s="2381"/>
      <c r="H393" s="2381"/>
    </row>
    <row r="394" spans="1:8">
      <c r="A394" s="2382" t="s">
        <v>2810</v>
      </c>
      <c r="B394" s="2381"/>
      <c r="C394" s="2381"/>
      <c r="D394" s="2381"/>
      <c r="E394" s="2381"/>
      <c r="F394" s="2381"/>
      <c r="G394" s="2381"/>
      <c r="H394" s="2381"/>
    </row>
    <row r="395" spans="1:8">
      <c r="A395" s="2382" t="s">
        <v>2811</v>
      </c>
      <c r="B395" s="2381"/>
      <c r="C395" s="2381"/>
      <c r="D395" s="2381"/>
      <c r="E395" s="2381"/>
      <c r="F395" s="2381"/>
      <c r="G395" s="2381"/>
      <c r="H395" s="2381"/>
    </row>
    <row r="397" spans="1:8">
      <c r="A397" s="2377" t="s">
        <v>3070</v>
      </c>
    </row>
  </sheetData>
  <mergeCells count="12">
    <mergeCell ref="A120:H120"/>
    <mergeCell ref="A127:H127"/>
    <mergeCell ref="A114:H114"/>
    <mergeCell ref="A115:H115"/>
    <mergeCell ref="A116:H116"/>
    <mergeCell ref="A117:H117"/>
    <mergeCell ref="A119:H119"/>
    <mergeCell ref="A135:H135"/>
    <mergeCell ref="A136:H136"/>
    <mergeCell ref="B128:C128"/>
    <mergeCell ref="D128:F128"/>
    <mergeCell ref="G128:H128"/>
  </mergeCells>
  <pageMargins left="0.5" right="0.5" top="0.5" bottom="0.5" header="0.5" footer="0.5"/>
  <pageSetup orientation="portrait" horizontalDpi="300" verticalDpi="0"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B1:B11"/>
  <sheetViews>
    <sheetView showGridLines="0" showRowColHeaders="0" workbookViewId="0">
      <selection activeCell="N1" sqref="N1"/>
    </sheetView>
  </sheetViews>
  <sheetFormatPr defaultRowHeight="12.75"/>
  <cols>
    <col min="1" max="1" width="9.140625" style="2173"/>
    <col min="2" max="2" width="88.28515625" style="2173" customWidth="1"/>
    <col min="3" max="257" width="9.140625" style="2173"/>
    <col min="258" max="258" width="88.28515625" style="2173" customWidth="1"/>
    <col min="259" max="513" width="9.140625" style="2173"/>
    <col min="514" max="514" width="88.28515625" style="2173" customWidth="1"/>
    <col min="515" max="769" width="9.140625" style="2173"/>
    <col min="770" max="770" width="88.28515625" style="2173" customWidth="1"/>
    <col min="771" max="1025" width="9.140625" style="2173"/>
    <col min="1026" max="1026" width="88.28515625" style="2173" customWidth="1"/>
    <col min="1027" max="1281" width="9.140625" style="2173"/>
    <col min="1282" max="1282" width="88.28515625" style="2173" customWidth="1"/>
    <col min="1283" max="1537" width="9.140625" style="2173"/>
    <col min="1538" max="1538" width="88.28515625" style="2173" customWidth="1"/>
    <col min="1539" max="1793" width="9.140625" style="2173"/>
    <col min="1794" max="1794" width="88.28515625" style="2173" customWidth="1"/>
    <col min="1795" max="2049" width="9.140625" style="2173"/>
    <col min="2050" max="2050" width="88.28515625" style="2173" customWidth="1"/>
    <col min="2051" max="2305" width="9.140625" style="2173"/>
    <col min="2306" max="2306" width="88.28515625" style="2173" customWidth="1"/>
    <col min="2307" max="2561" width="9.140625" style="2173"/>
    <col min="2562" max="2562" width="88.28515625" style="2173" customWidth="1"/>
    <col min="2563" max="2817" width="9.140625" style="2173"/>
    <col min="2818" max="2818" width="88.28515625" style="2173" customWidth="1"/>
    <col min="2819" max="3073" width="9.140625" style="2173"/>
    <col min="3074" max="3074" width="88.28515625" style="2173" customWidth="1"/>
    <col min="3075" max="3329" width="9.140625" style="2173"/>
    <col min="3330" max="3330" width="88.28515625" style="2173" customWidth="1"/>
    <col min="3331" max="3585" width="9.140625" style="2173"/>
    <col min="3586" max="3586" width="88.28515625" style="2173" customWidth="1"/>
    <col min="3587" max="3841" width="9.140625" style="2173"/>
    <col min="3842" max="3842" width="88.28515625" style="2173" customWidth="1"/>
    <col min="3843" max="4097" width="9.140625" style="2173"/>
    <col min="4098" max="4098" width="88.28515625" style="2173" customWidth="1"/>
    <col min="4099" max="4353" width="9.140625" style="2173"/>
    <col min="4354" max="4354" width="88.28515625" style="2173" customWidth="1"/>
    <col min="4355" max="4609" width="9.140625" style="2173"/>
    <col min="4610" max="4610" width="88.28515625" style="2173" customWidth="1"/>
    <col min="4611" max="4865" width="9.140625" style="2173"/>
    <col min="4866" max="4866" width="88.28515625" style="2173" customWidth="1"/>
    <col min="4867" max="5121" width="9.140625" style="2173"/>
    <col min="5122" max="5122" width="88.28515625" style="2173" customWidth="1"/>
    <col min="5123" max="5377" width="9.140625" style="2173"/>
    <col min="5378" max="5378" width="88.28515625" style="2173" customWidth="1"/>
    <col min="5379" max="5633" width="9.140625" style="2173"/>
    <col min="5634" max="5634" width="88.28515625" style="2173" customWidth="1"/>
    <col min="5635" max="5889" width="9.140625" style="2173"/>
    <col min="5890" max="5890" width="88.28515625" style="2173" customWidth="1"/>
    <col min="5891" max="6145" width="9.140625" style="2173"/>
    <col min="6146" max="6146" width="88.28515625" style="2173" customWidth="1"/>
    <col min="6147" max="6401" width="9.140625" style="2173"/>
    <col min="6402" max="6402" width="88.28515625" style="2173" customWidth="1"/>
    <col min="6403" max="6657" width="9.140625" style="2173"/>
    <col min="6658" max="6658" width="88.28515625" style="2173" customWidth="1"/>
    <col min="6659" max="6913" width="9.140625" style="2173"/>
    <col min="6914" max="6914" width="88.28515625" style="2173" customWidth="1"/>
    <col min="6915" max="7169" width="9.140625" style="2173"/>
    <col min="7170" max="7170" width="88.28515625" style="2173" customWidth="1"/>
    <col min="7171" max="7425" width="9.140625" style="2173"/>
    <col min="7426" max="7426" width="88.28515625" style="2173" customWidth="1"/>
    <col min="7427" max="7681" width="9.140625" style="2173"/>
    <col min="7682" max="7682" width="88.28515625" style="2173" customWidth="1"/>
    <col min="7683" max="7937" width="9.140625" style="2173"/>
    <col min="7938" max="7938" width="88.28515625" style="2173" customWidth="1"/>
    <col min="7939" max="8193" width="9.140625" style="2173"/>
    <col min="8194" max="8194" width="88.28515625" style="2173" customWidth="1"/>
    <col min="8195" max="8449" width="9.140625" style="2173"/>
    <col min="8450" max="8450" width="88.28515625" style="2173" customWidth="1"/>
    <col min="8451" max="8705" width="9.140625" style="2173"/>
    <col min="8706" max="8706" width="88.28515625" style="2173" customWidth="1"/>
    <col min="8707" max="8961" width="9.140625" style="2173"/>
    <col min="8962" max="8962" width="88.28515625" style="2173" customWidth="1"/>
    <col min="8963" max="9217" width="9.140625" style="2173"/>
    <col min="9218" max="9218" width="88.28515625" style="2173" customWidth="1"/>
    <col min="9219" max="9473" width="9.140625" style="2173"/>
    <col min="9474" max="9474" width="88.28515625" style="2173" customWidth="1"/>
    <col min="9475" max="9729" width="9.140625" style="2173"/>
    <col min="9730" max="9730" width="88.28515625" style="2173" customWidth="1"/>
    <col min="9731" max="9985" width="9.140625" style="2173"/>
    <col min="9986" max="9986" width="88.28515625" style="2173" customWidth="1"/>
    <col min="9987" max="10241" width="9.140625" style="2173"/>
    <col min="10242" max="10242" width="88.28515625" style="2173" customWidth="1"/>
    <col min="10243" max="10497" width="9.140625" style="2173"/>
    <col min="10498" max="10498" width="88.28515625" style="2173" customWidth="1"/>
    <col min="10499" max="10753" width="9.140625" style="2173"/>
    <col min="10754" max="10754" width="88.28515625" style="2173" customWidth="1"/>
    <col min="10755" max="11009" width="9.140625" style="2173"/>
    <col min="11010" max="11010" width="88.28515625" style="2173" customWidth="1"/>
    <col min="11011" max="11265" width="9.140625" style="2173"/>
    <col min="11266" max="11266" width="88.28515625" style="2173" customWidth="1"/>
    <col min="11267" max="11521" width="9.140625" style="2173"/>
    <col min="11522" max="11522" width="88.28515625" style="2173" customWidth="1"/>
    <col min="11523" max="11777" width="9.140625" style="2173"/>
    <col min="11778" max="11778" width="88.28515625" style="2173" customWidth="1"/>
    <col min="11779" max="12033" width="9.140625" style="2173"/>
    <col min="12034" max="12034" width="88.28515625" style="2173" customWidth="1"/>
    <col min="12035" max="12289" width="9.140625" style="2173"/>
    <col min="12290" max="12290" width="88.28515625" style="2173" customWidth="1"/>
    <col min="12291" max="12545" width="9.140625" style="2173"/>
    <col min="12546" max="12546" width="88.28515625" style="2173" customWidth="1"/>
    <col min="12547" max="12801" width="9.140625" style="2173"/>
    <col min="12802" max="12802" width="88.28515625" style="2173" customWidth="1"/>
    <col min="12803" max="13057" width="9.140625" style="2173"/>
    <col min="13058" max="13058" width="88.28515625" style="2173" customWidth="1"/>
    <col min="13059" max="13313" width="9.140625" style="2173"/>
    <col min="13314" max="13314" width="88.28515625" style="2173" customWidth="1"/>
    <col min="13315" max="13569" width="9.140625" style="2173"/>
    <col min="13570" max="13570" width="88.28515625" style="2173" customWidth="1"/>
    <col min="13571" max="13825" width="9.140625" style="2173"/>
    <col min="13826" max="13826" width="88.28515625" style="2173" customWidth="1"/>
    <col min="13827" max="14081" width="9.140625" style="2173"/>
    <col min="14082" max="14082" width="88.28515625" style="2173" customWidth="1"/>
    <col min="14083" max="14337" width="9.140625" style="2173"/>
    <col min="14338" max="14338" width="88.28515625" style="2173" customWidth="1"/>
    <col min="14339" max="14593" width="9.140625" style="2173"/>
    <col min="14594" max="14594" width="88.28515625" style="2173" customWidth="1"/>
    <col min="14595" max="14849" width="9.140625" style="2173"/>
    <col min="14850" max="14850" width="88.28515625" style="2173" customWidth="1"/>
    <col min="14851" max="15105" width="9.140625" style="2173"/>
    <col min="15106" max="15106" width="88.28515625" style="2173" customWidth="1"/>
    <col min="15107" max="15361" width="9.140625" style="2173"/>
    <col min="15362" max="15362" width="88.28515625" style="2173" customWidth="1"/>
    <col min="15363" max="15617" width="9.140625" style="2173"/>
    <col min="15618" max="15618" width="88.28515625" style="2173" customWidth="1"/>
    <col min="15619" max="15873" width="9.140625" style="2173"/>
    <col min="15874" max="15874" width="88.28515625" style="2173" customWidth="1"/>
    <col min="15875" max="16129" width="9.140625" style="2173"/>
    <col min="16130" max="16130" width="88.28515625" style="2173" customWidth="1"/>
    <col min="16131" max="16384" width="9.140625" style="2173"/>
  </cols>
  <sheetData>
    <row r="1" spans="2:2" ht="32.25" customHeight="1"/>
    <row r="2" spans="2:2" ht="72" hidden="1">
      <c r="B2" s="2393" t="s">
        <v>3139</v>
      </c>
    </row>
    <row r="3" spans="2:2" ht="72">
      <c r="B3" s="2393" t="s">
        <v>3140</v>
      </c>
    </row>
    <row r="4" spans="2:2" ht="18" hidden="1">
      <c r="B4" s="2393"/>
    </row>
    <row r="5" spans="2:2" ht="54" hidden="1">
      <c r="B5" s="2393" t="s">
        <v>3141</v>
      </c>
    </row>
    <row r="6" spans="2:2" ht="7.5" customHeight="1">
      <c r="B6" s="2393"/>
    </row>
    <row r="7" spans="2:2" ht="18">
      <c r="B7" s="2394" t="s">
        <v>3142</v>
      </c>
    </row>
    <row r="8" spans="2:2" ht="18">
      <c r="B8" s="2394" t="s">
        <v>3144</v>
      </c>
    </row>
    <row r="9" spans="2:2" ht="18">
      <c r="B9" s="2394" t="s">
        <v>3145</v>
      </c>
    </row>
    <row r="10" spans="2:2" ht="18">
      <c r="B10" s="2395"/>
    </row>
    <row r="11" spans="2:2" ht="54">
      <c r="B11" s="2396" t="s">
        <v>3143</v>
      </c>
    </row>
  </sheetData>
  <dataConsolidate/>
  <pageMargins left="0.75" right="0.75" top="1" bottom="1" header="0.5" footer="0.5"/>
  <pageSetup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DK951"/>
  <sheetViews>
    <sheetView showGridLines="0" zoomScale="70" zoomScaleNormal="70" workbookViewId="0">
      <pane xSplit="2" ySplit="6" topLeftCell="C7" activePane="bottomRight" state="frozen"/>
      <selection activeCell="W275" sqref="W275"/>
      <selection pane="topRight" activeCell="W275" sqref="W275"/>
      <selection pane="bottomLeft" activeCell="W275" sqref="W275"/>
      <selection pane="bottomRight" activeCell="C7" sqref="C7"/>
    </sheetView>
  </sheetViews>
  <sheetFormatPr defaultRowHeight="12.75" outlineLevelRow="2" outlineLevelCol="1"/>
  <cols>
    <col min="1" max="1" width="2.42578125" bestFit="1" customWidth="1"/>
    <col min="2" max="2" width="47.85546875" customWidth="1"/>
    <col min="3" max="3" width="2.140625" customWidth="1"/>
    <col min="4" max="4" width="7" hidden="1" customWidth="1" outlineLevel="1"/>
    <col min="5" max="5" width="8.140625" hidden="1" customWidth="1" outlineLevel="1"/>
    <col min="6" max="6" width="8.7109375" hidden="1" customWidth="1" outlineLevel="1"/>
    <col min="7" max="7" width="8" hidden="1" customWidth="1" outlineLevel="1"/>
    <col min="8" max="8" width="8.5703125" hidden="1" customWidth="1" outlineLevel="1"/>
    <col min="9" max="11" width="9.140625" hidden="1" customWidth="1" outlineLevel="1"/>
    <col min="12" max="12" width="9.42578125" hidden="1" customWidth="1" outlineLevel="1"/>
    <col min="13" max="13" width="9" hidden="1" customWidth="1" outlineLevel="1" collapsed="1"/>
    <col min="14" max="14" width="9.5703125" hidden="1" customWidth="1" outlineLevel="1" collapsed="1"/>
    <col min="15" max="15" width="9.85546875" hidden="1" customWidth="1" outlineLevel="1" collapsed="1"/>
    <col min="16" max="16" width="9.7109375" hidden="1" customWidth="1" outlineLevel="1" collapsed="1"/>
    <col min="17" max="17" width="9.85546875" hidden="1" customWidth="1" outlineLevel="1"/>
    <col min="18" max="18" width="9.28515625" hidden="1" customWidth="1" outlineLevel="1" collapsed="1"/>
    <col min="19" max="19" width="9.28515625" hidden="1" customWidth="1" outlineLevel="1"/>
    <col min="20" max="20" width="9.42578125" hidden="1" customWidth="1" outlineLevel="1" collapsed="1"/>
    <col min="21" max="21" width="9.42578125" customWidth="1" collapsed="1"/>
    <col min="22" max="24" width="9.42578125" customWidth="1"/>
    <col min="25" max="30" width="9.42578125" hidden="1" customWidth="1" outlineLevel="1"/>
    <col min="31" max="31" width="2.5703125" customWidth="1" collapsed="1"/>
    <col min="32" max="32" width="8" hidden="1" customWidth="1" outlineLevel="1"/>
    <col min="33" max="51" width="8.140625" hidden="1" customWidth="1" outlineLevel="1"/>
    <col min="52" max="55" width="9.140625" hidden="1" customWidth="1" outlineLevel="1"/>
    <col min="56" max="62" width="10.85546875" hidden="1" customWidth="1" outlineLevel="1"/>
    <col min="63" max="63" width="10.28515625" hidden="1" customWidth="1" outlineLevel="1"/>
    <col min="64" max="64" width="10" hidden="1" customWidth="1" outlineLevel="1" collapsed="1"/>
    <col min="65" max="65" width="10.28515625" hidden="1" customWidth="1" outlineLevel="1"/>
    <col min="66" max="66" width="11.140625" hidden="1" customWidth="1" outlineLevel="1"/>
    <col min="67" max="67" width="11" hidden="1" customWidth="1" outlineLevel="1"/>
    <col min="68" max="68" width="10.5703125" hidden="1" customWidth="1" outlineLevel="1"/>
    <col min="69" max="69" width="9.85546875" hidden="1" customWidth="1" outlineLevel="1"/>
    <col min="70" max="70" width="10" hidden="1" customWidth="1" outlineLevel="1"/>
    <col min="71" max="71" width="9.7109375" hidden="1" customWidth="1" outlineLevel="1"/>
    <col min="72" max="72" width="10.140625" hidden="1" customWidth="1" outlineLevel="1" collapsed="1"/>
    <col min="73" max="73" width="9.85546875" hidden="1" customWidth="1" outlineLevel="1"/>
    <col min="74" max="74" width="10" hidden="1" customWidth="1" outlineLevel="1"/>
    <col min="75" max="75" width="9.85546875" hidden="1" customWidth="1" outlineLevel="1"/>
    <col min="76" max="76" width="9.140625" hidden="1" customWidth="1" outlineLevel="1" collapsed="1"/>
    <col min="77" max="77" width="9.140625" hidden="1" customWidth="1" outlineLevel="1"/>
    <col min="78" max="78" width="9.5703125" hidden="1" customWidth="1" outlineLevel="1"/>
    <col min="79" max="79" width="9.42578125" hidden="1" customWidth="1" outlineLevel="1"/>
    <col min="80" max="80" width="9.42578125" hidden="1" customWidth="1" outlineLevel="1" collapsed="1"/>
    <col min="81" max="83" width="9.42578125" hidden="1" customWidth="1" outlineLevel="1"/>
    <col min="84" max="84" width="9.42578125" hidden="1" customWidth="1" outlineLevel="1" collapsed="1"/>
    <col min="85" max="91" width="9.42578125" hidden="1" customWidth="1" outlineLevel="1"/>
    <col min="92" max="92" width="9.42578125" hidden="1" customWidth="1" outlineLevel="1" collapsed="1"/>
    <col min="93" max="95" width="9.42578125" hidden="1" customWidth="1" outlineLevel="1"/>
    <col min="96" max="96" width="9.42578125" hidden="1" customWidth="1" outlineLevel="1" collapsed="1"/>
    <col min="97" max="99" width="9.42578125" hidden="1" customWidth="1" outlineLevel="1"/>
    <col min="100" max="100" width="9.42578125" customWidth="1" collapsed="1"/>
    <col min="101" max="107" width="9.42578125" customWidth="1"/>
    <col min="108" max="112" width="7.7109375" customWidth="1"/>
    <col min="113" max="113" width="8.140625" bestFit="1" customWidth="1"/>
  </cols>
  <sheetData>
    <row r="1" spans="1:108">
      <c r="B1" s="560" t="s">
        <v>952</v>
      </c>
      <c r="C1" s="15"/>
      <c r="D1" s="15"/>
      <c r="E1" s="15"/>
      <c r="F1" s="15"/>
      <c r="G1" s="15"/>
      <c r="H1" s="15"/>
      <c r="I1" s="15"/>
      <c r="J1" s="15"/>
      <c r="K1" s="15"/>
      <c r="L1" s="15"/>
      <c r="M1" s="15"/>
      <c r="N1" s="15"/>
      <c r="O1" s="15"/>
      <c r="P1" s="15"/>
      <c r="Q1" s="15"/>
      <c r="R1" s="15"/>
      <c r="S1" s="15"/>
      <c r="T1" s="15"/>
      <c r="U1" s="15"/>
      <c r="V1" s="15"/>
      <c r="W1" s="15"/>
      <c r="X1" s="15"/>
      <c r="Y1" s="15"/>
      <c r="Z1" s="15"/>
      <c r="AA1" s="15"/>
      <c r="AB1" s="15"/>
      <c r="AC1" s="15"/>
      <c r="AD1" s="15"/>
      <c r="AE1" s="15"/>
      <c r="AF1" s="15"/>
      <c r="AG1" s="15"/>
      <c r="AH1" s="15"/>
      <c r="AI1" s="15"/>
      <c r="AJ1" s="15"/>
      <c r="AK1" s="15"/>
      <c r="AL1" s="15"/>
      <c r="AM1" s="15"/>
      <c r="AN1" s="15"/>
      <c r="AO1" s="15"/>
      <c r="AP1" s="15"/>
      <c r="AQ1" s="15"/>
      <c r="AR1" s="15"/>
      <c r="AS1" s="15"/>
      <c r="AT1" s="15"/>
      <c r="AU1" s="15"/>
      <c r="AV1" s="15"/>
      <c r="AW1" s="15"/>
      <c r="AX1" s="15"/>
      <c r="AY1" s="15"/>
      <c r="AZ1" s="15"/>
      <c r="BA1" s="15"/>
      <c r="BB1" s="15"/>
      <c r="BC1" s="15"/>
      <c r="BD1" s="15"/>
      <c r="BE1" s="15"/>
      <c r="BF1" s="15"/>
      <c r="BG1" s="15"/>
      <c r="BH1" s="15"/>
      <c r="BI1" s="15"/>
      <c r="BJ1" s="15"/>
      <c r="BK1" s="15"/>
      <c r="BL1" s="15"/>
      <c r="BM1" s="15"/>
      <c r="BN1" s="15"/>
      <c r="BO1" s="15"/>
      <c r="BP1" s="15"/>
      <c r="BQ1" s="15"/>
      <c r="BR1" s="15"/>
      <c r="BS1" s="15"/>
      <c r="BT1" s="15"/>
      <c r="BU1" s="15"/>
      <c r="BV1" s="15"/>
      <c r="BW1" s="765"/>
      <c r="BX1" s="15"/>
      <c r="BY1" s="15"/>
      <c r="BZ1" s="15"/>
      <c r="CA1" s="15"/>
      <c r="CB1" s="15"/>
      <c r="CC1" s="15"/>
      <c r="CD1" s="15"/>
      <c r="CE1" s="15"/>
      <c r="CF1" s="15"/>
      <c r="CG1" s="15"/>
      <c r="CH1" s="15"/>
      <c r="CI1" s="15"/>
      <c r="CJ1" s="15"/>
      <c r="CK1" s="15"/>
      <c r="CL1" s="15"/>
      <c r="CM1" s="15"/>
      <c r="CN1" s="15"/>
      <c r="CO1" s="15"/>
      <c r="CP1" s="15"/>
      <c r="CQ1" s="15"/>
      <c r="CR1" s="15"/>
      <c r="CS1" s="15"/>
      <c r="CT1" s="15"/>
      <c r="CU1" s="15"/>
      <c r="CV1" s="15"/>
      <c r="CW1" s="15"/>
      <c r="CX1" s="15"/>
      <c r="CY1" s="15"/>
      <c r="CZ1" s="15"/>
      <c r="DA1" s="15"/>
      <c r="DB1" s="15"/>
      <c r="DC1" s="15"/>
    </row>
    <row r="2" spans="1:108">
      <c r="B2" s="528" t="s">
        <v>1719</v>
      </c>
      <c r="C2" s="15"/>
      <c r="D2" s="15"/>
      <c r="E2" s="15"/>
      <c r="F2" s="15"/>
      <c r="G2" s="15"/>
      <c r="H2" s="15"/>
      <c r="I2" s="15"/>
      <c r="J2" s="15"/>
      <c r="K2" s="15"/>
      <c r="L2" s="15"/>
      <c r="M2" s="15"/>
      <c r="N2" s="15"/>
      <c r="O2" s="15"/>
      <c r="P2" s="15"/>
      <c r="Q2" s="15"/>
      <c r="R2" s="15"/>
      <c r="S2" s="15"/>
      <c r="T2" s="15"/>
      <c r="U2" s="15"/>
      <c r="V2" s="15"/>
      <c r="W2" s="15"/>
      <c r="X2" s="15"/>
      <c r="Y2" s="15"/>
      <c r="Z2" s="15"/>
      <c r="AA2" s="15"/>
      <c r="AB2" s="15"/>
      <c r="AC2" s="15"/>
      <c r="AD2" s="15"/>
      <c r="AE2" s="15"/>
      <c r="AF2" s="15"/>
      <c r="AG2" s="15"/>
      <c r="AH2" s="15"/>
      <c r="AI2" s="15"/>
      <c r="AJ2" s="15"/>
      <c r="AK2" s="15"/>
      <c r="AL2" s="15"/>
      <c r="AM2" s="15"/>
      <c r="AN2" s="15"/>
      <c r="AO2" s="15"/>
      <c r="AP2" s="15"/>
      <c r="AQ2" s="15"/>
      <c r="AR2" s="15"/>
      <c r="AS2" s="15"/>
      <c r="AT2" s="15"/>
      <c r="AU2" s="15"/>
      <c r="AV2" s="15"/>
      <c r="AW2" s="15"/>
      <c r="AX2" s="15"/>
      <c r="AY2" s="15"/>
      <c r="AZ2" s="15"/>
      <c r="BA2" s="15"/>
      <c r="BB2" s="15"/>
      <c r="BC2" s="15"/>
      <c r="BD2" s="15"/>
      <c r="BE2" s="15"/>
      <c r="BF2" s="15"/>
      <c r="BG2" s="15"/>
      <c r="BH2" s="15"/>
      <c r="BI2" s="15"/>
      <c r="BJ2" s="15"/>
      <c r="BK2" s="15"/>
      <c r="BL2" s="15"/>
      <c r="BM2" s="15"/>
      <c r="BN2" s="15"/>
      <c r="BO2" s="15"/>
      <c r="BP2" s="15"/>
      <c r="BQ2" s="15"/>
      <c r="BR2" s="15"/>
      <c r="BS2" s="15"/>
      <c r="BT2" s="15"/>
      <c r="BU2" s="15"/>
      <c r="BV2" s="15"/>
      <c r="BW2" s="15"/>
      <c r="BX2" s="15"/>
      <c r="BY2" s="15"/>
      <c r="BZ2" s="15"/>
      <c r="CA2" s="15"/>
      <c r="CB2" s="15"/>
      <c r="CC2" s="26"/>
      <c r="CD2" s="15"/>
      <c r="CE2" s="15"/>
      <c r="CF2" s="15"/>
      <c r="CG2" s="1677"/>
      <c r="CH2" s="15"/>
      <c r="CI2" s="15"/>
      <c r="CJ2" s="15"/>
      <c r="CK2" s="1677"/>
      <c r="CL2" s="1677"/>
      <c r="CM2" s="15"/>
      <c r="CN2" s="15"/>
      <c r="CO2" s="15"/>
      <c r="CP2" s="15"/>
      <c r="CQ2" s="15"/>
      <c r="CR2" s="15"/>
      <c r="CS2" s="15"/>
      <c r="CT2" s="15"/>
      <c r="CU2" s="15"/>
      <c r="CV2" s="15"/>
      <c r="CW2" s="15"/>
      <c r="CX2" s="15"/>
      <c r="CY2" s="15"/>
      <c r="CZ2" s="15"/>
      <c r="DA2" s="15"/>
      <c r="DB2" s="15"/>
      <c r="DC2" s="15"/>
    </row>
    <row r="3" spans="1:108">
      <c r="B3" s="14" t="s">
        <v>1486</v>
      </c>
      <c r="C3" s="15"/>
      <c r="D3" s="15"/>
      <c r="E3" s="15"/>
      <c r="F3" s="15"/>
      <c r="G3" s="15"/>
      <c r="H3" s="15"/>
      <c r="I3" s="15"/>
      <c r="J3" s="15"/>
      <c r="K3" s="15"/>
      <c r="L3" s="15"/>
      <c r="P3" s="766" t="str">
        <f>IF(mode=2, "BASE CASE", IF(mode=1, "BULL CASE", IF(mode=3, "BEAR CASE", na)))</f>
        <v>BASE CASE</v>
      </c>
      <c r="Q3" s="767"/>
      <c r="R3" s="15"/>
      <c r="S3" s="15"/>
      <c r="T3" s="15"/>
      <c r="U3" s="15"/>
      <c r="V3" s="15"/>
      <c r="W3" s="15"/>
      <c r="X3" s="15"/>
      <c r="Y3" s="15"/>
      <c r="Z3" s="15"/>
      <c r="AA3" s="15"/>
      <c r="AB3" s="15"/>
      <c r="AC3" s="15"/>
      <c r="AD3" s="15"/>
      <c r="AE3" s="15"/>
      <c r="AF3" s="15"/>
      <c r="AG3" s="15"/>
      <c r="AH3" s="15"/>
      <c r="AI3" s="15"/>
      <c r="AJ3" s="15"/>
      <c r="AK3" s="15"/>
      <c r="AL3" s="15"/>
      <c r="AM3" s="15"/>
      <c r="AN3" s="15"/>
      <c r="AO3" s="15"/>
      <c r="AP3" s="15"/>
      <c r="AQ3" s="15"/>
      <c r="AR3" s="15"/>
      <c r="AS3" s="15"/>
      <c r="AT3" s="15"/>
      <c r="AU3" s="15"/>
      <c r="AV3" s="15"/>
      <c r="AW3" s="15"/>
      <c r="AX3" s="15"/>
      <c r="AY3" s="15"/>
      <c r="AZ3" s="15"/>
      <c r="BA3" s="15"/>
      <c r="BB3" s="15"/>
      <c r="BC3" s="15"/>
      <c r="BD3" s="15"/>
      <c r="BE3" s="15"/>
      <c r="BF3" s="15"/>
      <c r="BG3" s="15"/>
      <c r="BH3" s="15"/>
      <c r="BI3" s="15"/>
      <c r="BJ3" s="15"/>
      <c r="BK3" s="15"/>
      <c r="BL3" s="15"/>
      <c r="BM3" s="15"/>
      <c r="BN3" s="15"/>
      <c r="BO3" s="768"/>
      <c r="BP3" s="769"/>
      <c r="BQ3" s="769"/>
      <c r="BR3" s="769"/>
      <c r="BS3" s="769"/>
      <c r="BT3" s="769"/>
      <c r="BU3" s="769"/>
      <c r="BV3" s="769"/>
      <c r="BW3" s="769"/>
      <c r="BX3" s="769"/>
      <c r="BY3" s="26"/>
      <c r="BZ3" s="15"/>
      <c r="CA3" s="15"/>
      <c r="CB3" s="15"/>
      <c r="CC3" s="15"/>
      <c r="CD3" s="15"/>
      <c r="CE3" s="15"/>
      <c r="CF3" s="15"/>
      <c r="CG3" s="1677"/>
      <c r="CH3" s="1677"/>
      <c r="CI3" s="15"/>
      <c r="CJ3" s="15"/>
      <c r="CK3" s="1677"/>
      <c r="CL3" s="15"/>
      <c r="CM3" s="15"/>
      <c r="CN3" s="15"/>
      <c r="CO3" s="15"/>
      <c r="CP3" s="15"/>
      <c r="CQ3" s="15"/>
      <c r="CR3" s="15"/>
      <c r="CS3" s="15"/>
      <c r="CT3" s="15"/>
      <c r="CU3" s="15"/>
      <c r="CV3" s="15"/>
      <c r="CW3" s="15"/>
      <c r="CX3" s="15"/>
      <c r="CY3" s="15"/>
      <c r="CZ3" s="15"/>
      <c r="DA3" s="15"/>
      <c r="DB3" s="15"/>
      <c r="DC3" s="15"/>
    </row>
    <row r="4" spans="1:108">
      <c r="B4" s="15"/>
      <c r="C4" s="15"/>
      <c r="D4" s="15"/>
      <c r="E4" s="15"/>
      <c r="F4" s="15"/>
      <c r="G4" s="15"/>
      <c r="H4" s="15"/>
      <c r="I4" s="15"/>
      <c r="J4" s="15"/>
      <c r="K4" s="15"/>
      <c r="L4" s="15"/>
      <c r="M4" s="15"/>
      <c r="N4" s="15"/>
      <c r="O4" s="15"/>
      <c r="P4" s="15"/>
      <c r="Q4" s="15"/>
      <c r="R4" s="15"/>
      <c r="S4" s="15"/>
      <c r="T4" s="15"/>
      <c r="U4" s="15"/>
      <c r="V4" s="15"/>
      <c r="W4" s="15"/>
      <c r="X4" s="15"/>
      <c r="Y4" s="15"/>
      <c r="Z4" s="770"/>
      <c r="AA4" s="770"/>
      <c r="AB4" s="770"/>
      <c r="AC4" s="770"/>
      <c r="AD4" s="770"/>
      <c r="AE4" s="15"/>
      <c r="AF4" s="15"/>
      <c r="AG4" s="15"/>
      <c r="AH4" s="15"/>
      <c r="AI4" s="15"/>
      <c r="AJ4" s="15"/>
      <c r="AK4" s="15"/>
      <c r="AL4" s="15"/>
      <c r="AM4" s="15"/>
      <c r="AN4" s="15"/>
      <c r="AO4" s="15"/>
      <c r="AP4" s="15"/>
      <c r="AQ4" s="15"/>
      <c r="AR4" s="15"/>
      <c r="AS4" s="15"/>
      <c r="AT4" s="15"/>
      <c r="AU4" s="15"/>
      <c r="AV4" s="15"/>
      <c r="AW4" s="15"/>
      <c r="AX4" s="15"/>
      <c r="AY4" s="15"/>
      <c r="AZ4" s="15"/>
      <c r="BA4" s="15"/>
      <c r="BB4" s="15"/>
      <c r="BC4" s="15"/>
      <c r="BD4" s="15"/>
      <c r="BE4" s="15"/>
      <c r="BF4" s="15"/>
      <c r="BG4" s="15"/>
      <c r="BH4" s="15"/>
      <c r="BI4" s="15"/>
      <c r="BJ4" s="15"/>
      <c r="BK4" s="15"/>
      <c r="BL4" s="15"/>
      <c r="BM4" s="15"/>
      <c r="BN4" s="15"/>
      <c r="BO4" s="15"/>
      <c r="BP4" s="15"/>
      <c r="BQ4" s="771"/>
      <c r="BR4" s="771"/>
      <c r="BS4" s="771"/>
      <c r="BT4" s="771"/>
      <c r="BU4" s="771"/>
      <c r="BV4" s="771"/>
      <c r="BW4" s="772"/>
      <c r="BX4" s="15"/>
      <c r="BY4" s="15"/>
      <c r="BZ4" s="15"/>
      <c r="CA4" s="15"/>
      <c r="CB4" s="15"/>
      <c r="CC4" s="15"/>
      <c r="CD4" s="15"/>
      <c r="CE4" s="15"/>
      <c r="CF4" s="15"/>
      <c r="CG4" s="15"/>
      <c r="CH4" s="15"/>
      <c r="CI4" s="15"/>
      <c r="CJ4" s="15"/>
      <c r="CK4" s="15"/>
      <c r="CL4" s="15"/>
      <c r="CM4" s="15"/>
      <c r="CN4" s="15"/>
      <c r="CO4" s="15"/>
      <c r="CP4" s="15"/>
      <c r="CQ4" s="15"/>
      <c r="CR4" s="15"/>
      <c r="CS4" s="15"/>
      <c r="CT4" s="15"/>
      <c r="CU4" s="15"/>
      <c r="CV4" s="15"/>
      <c r="CW4" s="15"/>
      <c r="CX4" s="15"/>
      <c r="CY4" s="15"/>
      <c r="CZ4" s="15"/>
      <c r="DA4" s="15"/>
      <c r="DB4" s="15"/>
      <c r="DC4" s="15"/>
    </row>
    <row r="5" spans="1:108">
      <c r="B5" s="773" t="s">
        <v>1122</v>
      </c>
      <c r="C5" s="23"/>
      <c r="D5" s="15"/>
      <c r="E5" s="774"/>
      <c r="F5" s="121"/>
      <c r="G5" s="121"/>
      <c r="H5" s="121"/>
      <c r="I5" s="775" t="s">
        <v>1052</v>
      </c>
      <c r="J5" s="775"/>
      <c r="K5" s="775"/>
      <c r="L5" s="776"/>
      <c r="M5" s="776"/>
      <c r="N5" s="775"/>
      <c r="O5" s="775"/>
      <c r="P5" s="775"/>
      <c r="Q5" s="775"/>
      <c r="R5" s="775"/>
      <c r="S5" s="775"/>
      <c r="T5" s="775"/>
      <c r="U5" s="775"/>
      <c r="V5" s="775"/>
      <c r="W5" s="775"/>
      <c r="X5" s="775"/>
      <c r="Y5" s="775"/>
      <c r="Z5" s="775"/>
      <c r="AA5" s="775"/>
      <c r="AB5" s="775"/>
      <c r="AC5" s="775"/>
      <c r="AD5" s="777"/>
      <c r="AE5" s="778"/>
      <c r="AF5" s="776" t="s">
        <v>1242</v>
      </c>
      <c r="AG5" s="775"/>
      <c r="AH5" s="775"/>
      <c r="AI5" s="779"/>
      <c r="AJ5" s="776" t="s">
        <v>1241</v>
      </c>
      <c r="AK5" s="775"/>
      <c r="AL5" s="775"/>
      <c r="AM5" s="779"/>
      <c r="AN5" s="776" t="s">
        <v>1240</v>
      </c>
      <c r="AO5" s="775"/>
      <c r="AP5" s="775"/>
      <c r="AQ5" s="779"/>
      <c r="AR5" s="776" t="s">
        <v>1239</v>
      </c>
      <c r="AS5" s="775"/>
      <c r="AT5" s="775"/>
      <c r="AU5" s="779"/>
      <c r="AV5" s="776" t="s">
        <v>1238</v>
      </c>
      <c r="AW5" s="775"/>
      <c r="AX5" s="775"/>
      <c r="AY5" s="779"/>
      <c r="AZ5" s="776" t="s">
        <v>1059</v>
      </c>
      <c r="BA5" s="775"/>
      <c r="BB5" s="775"/>
      <c r="BC5" s="779"/>
      <c r="BD5" s="776" t="s">
        <v>1058</v>
      </c>
      <c r="BE5" s="775"/>
      <c r="BF5" s="775"/>
      <c r="BG5" s="779"/>
      <c r="BH5" s="776" t="s">
        <v>1057</v>
      </c>
      <c r="BI5" s="775"/>
      <c r="BJ5" s="775"/>
      <c r="BK5" s="779"/>
      <c r="BL5" s="776" t="s">
        <v>1234</v>
      </c>
      <c r="BM5" s="775"/>
      <c r="BN5" s="775"/>
      <c r="BO5" s="779"/>
      <c r="BP5" s="776" t="s">
        <v>843</v>
      </c>
      <c r="BQ5" s="775"/>
      <c r="BR5" s="775"/>
      <c r="BS5" s="779"/>
      <c r="BT5" s="776" t="s">
        <v>634</v>
      </c>
      <c r="BU5" s="775"/>
      <c r="BV5" s="775"/>
      <c r="BW5" s="779"/>
      <c r="BX5" s="776">
        <v>2011</v>
      </c>
      <c r="BY5" s="775"/>
      <c r="BZ5" s="775"/>
      <c r="CA5" s="779"/>
      <c r="CB5" s="779" t="s">
        <v>1343</v>
      </c>
      <c r="CC5" s="779"/>
      <c r="CD5" s="779"/>
      <c r="CE5" s="779"/>
      <c r="CF5" s="1673">
        <v>2013</v>
      </c>
      <c r="CG5" s="1673"/>
      <c r="CH5" s="1673"/>
      <c r="CI5" s="1673"/>
      <c r="CJ5" s="1673">
        <v>2014</v>
      </c>
      <c r="CK5" s="1673"/>
      <c r="CL5" s="1673"/>
      <c r="CM5" s="1673"/>
      <c r="CN5" s="1673">
        <v>2015</v>
      </c>
      <c r="CO5" s="1673"/>
      <c r="CP5" s="1673"/>
      <c r="CQ5" s="1673"/>
      <c r="CR5" s="1673">
        <v>2016</v>
      </c>
      <c r="CS5" s="1673"/>
      <c r="CT5" s="1673"/>
      <c r="CU5" s="1673"/>
      <c r="CV5" s="1673">
        <v>2017</v>
      </c>
      <c r="CW5" s="1673"/>
      <c r="CX5" s="1673"/>
      <c r="CY5" s="1673"/>
      <c r="CZ5" s="1673" t="s">
        <v>194</v>
      </c>
      <c r="DA5" s="1673"/>
      <c r="DB5" s="1673"/>
      <c r="DC5" s="1673"/>
    </row>
    <row r="6" spans="1:108">
      <c r="B6" s="773" t="s">
        <v>468</v>
      </c>
      <c r="C6" s="23"/>
      <c r="D6" s="15"/>
      <c r="E6" s="780" t="s">
        <v>1242</v>
      </c>
      <c r="F6" s="781" t="s">
        <v>1241</v>
      </c>
      <c r="G6" s="781" t="s">
        <v>1240</v>
      </c>
      <c r="H6" s="781" t="s">
        <v>1239</v>
      </c>
      <c r="I6" s="781" t="s">
        <v>1238</v>
      </c>
      <c r="J6" s="781" t="s">
        <v>1059</v>
      </c>
      <c r="K6" s="781" t="s">
        <v>1058</v>
      </c>
      <c r="L6" s="781" t="s">
        <v>1057</v>
      </c>
      <c r="M6" s="780" t="s">
        <v>1234</v>
      </c>
      <c r="N6" s="781" t="s">
        <v>843</v>
      </c>
      <c r="O6" s="781" t="s">
        <v>634</v>
      </c>
      <c r="P6" s="781">
        <v>2011</v>
      </c>
      <c r="Q6" s="781">
        <v>2012</v>
      </c>
      <c r="R6" s="2190">
        <f>IS!R7</f>
        <v>2013</v>
      </c>
      <c r="S6" s="2190">
        <f>IS!S7</f>
        <v>2014</v>
      </c>
      <c r="T6" s="2190">
        <f>IS!T7</f>
        <v>2015</v>
      </c>
      <c r="U6" s="2190">
        <f>IS!U7</f>
        <v>2016</v>
      </c>
      <c r="V6" s="2190">
        <f>IS!V7</f>
        <v>2017</v>
      </c>
      <c r="W6" s="2190" t="str">
        <f>IS!W7</f>
        <v>2018E</v>
      </c>
      <c r="X6" s="2190" t="str">
        <f>IS!X7</f>
        <v>2019E</v>
      </c>
      <c r="Y6" s="2190" t="str">
        <f>IS!Y7</f>
        <v>2020E</v>
      </c>
      <c r="Z6" s="2190" t="str">
        <f>IS!Z7</f>
        <v>2021E</v>
      </c>
      <c r="AA6" s="2190" t="str">
        <f>IS!AA7</f>
        <v>2022E</v>
      </c>
      <c r="AB6" s="2190" t="str">
        <f>IS!AB7</f>
        <v>2023E</v>
      </c>
      <c r="AC6" s="2190" t="str">
        <f>IS!AC7</f>
        <v>2024E</v>
      </c>
      <c r="AD6" s="2190" t="str">
        <f>IS!AD7</f>
        <v>2025E</v>
      </c>
      <c r="AE6" s="778"/>
      <c r="AF6" s="780" t="s">
        <v>131</v>
      </c>
      <c r="AG6" s="781" t="s">
        <v>132</v>
      </c>
      <c r="AH6" s="781" t="s">
        <v>133</v>
      </c>
      <c r="AI6" s="782" t="s">
        <v>134</v>
      </c>
      <c r="AJ6" s="780" t="s">
        <v>102</v>
      </c>
      <c r="AK6" s="781" t="s">
        <v>103</v>
      </c>
      <c r="AL6" s="781" t="s">
        <v>104</v>
      </c>
      <c r="AM6" s="782" t="s">
        <v>105</v>
      </c>
      <c r="AN6" s="780" t="s">
        <v>106</v>
      </c>
      <c r="AO6" s="781" t="s">
        <v>107</v>
      </c>
      <c r="AP6" s="781" t="s">
        <v>108</v>
      </c>
      <c r="AQ6" s="782" t="s">
        <v>109</v>
      </c>
      <c r="AR6" s="780" t="s">
        <v>110</v>
      </c>
      <c r="AS6" s="781" t="s">
        <v>111</v>
      </c>
      <c r="AT6" s="781" t="s">
        <v>112</v>
      </c>
      <c r="AU6" s="782" t="s">
        <v>113</v>
      </c>
      <c r="AV6" s="780" t="s">
        <v>114</v>
      </c>
      <c r="AW6" s="781" t="s">
        <v>115</v>
      </c>
      <c r="AX6" s="781" t="s">
        <v>116</v>
      </c>
      <c r="AY6" s="782" t="s">
        <v>117</v>
      </c>
      <c r="AZ6" s="780" t="s">
        <v>118</v>
      </c>
      <c r="BA6" s="781" t="s">
        <v>119</v>
      </c>
      <c r="BB6" s="781" t="s">
        <v>120</v>
      </c>
      <c r="BC6" s="782" t="s">
        <v>121</v>
      </c>
      <c r="BD6" s="780" t="s">
        <v>122</v>
      </c>
      <c r="BE6" s="781" t="s">
        <v>123</v>
      </c>
      <c r="BF6" s="781" t="s">
        <v>124</v>
      </c>
      <c r="BG6" s="782" t="s">
        <v>125</v>
      </c>
      <c r="BH6" s="780" t="s">
        <v>126</v>
      </c>
      <c r="BI6" s="781" t="s">
        <v>49</v>
      </c>
      <c r="BJ6" s="781" t="s">
        <v>48</v>
      </c>
      <c r="BK6" s="782" t="s">
        <v>1513</v>
      </c>
      <c r="BL6" s="780" t="s">
        <v>1487</v>
      </c>
      <c r="BM6" s="781" t="s">
        <v>1488</v>
      </c>
      <c r="BN6" s="781" t="s">
        <v>1492</v>
      </c>
      <c r="BO6" s="782" t="s">
        <v>1493</v>
      </c>
      <c r="BP6" s="780" t="s">
        <v>147</v>
      </c>
      <c r="BQ6" s="781" t="s">
        <v>197</v>
      </c>
      <c r="BR6" s="781" t="s">
        <v>250</v>
      </c>
      <c r="BS6" s="781" t="s">
        <v>251</v>
      </c>
      <c r="BT6" s="780" t="s">
        <v>249</v>
      </c>
      <c r="BU6" s="781" t="s">
        <v>252</v>
      </c>
      <c r="BV6" s="781" t="s">
        <v>1466</v>
      </c>
      <c r="BW6" s="781" t="s">
        <v>1378</v>
      </c>
      <c r="BX6" s="780" t="s">
        <v>1791</v>
      </c>
      <c r="BY6" s="781" t="s">
        <v>1790</v>
      </c>
      <c r="BZ6" s="781" t="s">
        <v>1381</v>
      </c>
      <c r="CA6" s="782" t="s">
        <v>881</v>
      </c>
      <c r="CB6" s="780" t="s">
        <v>683</v>
      </c>
      <c r="CC6" s="781" t="s">
        <v>1622</v>
      </c>
      <c r="CD6" s="781" t="s">
        <v>799</v>
      </c>
      <c r="CE6" s="782" t="s">
        <v>1723</v>
      </c>
      <c r="CF6" s="1674" t="s">
        <v>1605</v>
      </c>
      <c r="CG6" s="1675" t="s">
        <v>1269</v>
      </c>
      <c r="CH6" s="1675" t="s">
        <v>672</v>
      </c>
      <c r="CI6" s="1676" t="s">
        <v>553</v>
      </c>
      <c r="CJ6" s="1674" t="s">
        <v>510</v>
      </c>
      <c r="CK6" s="1675" t="s">
        <v>1778</v>
      </c>
      <c r="CL6" s="1675" t="s">
        <v>1862</v>
      </c>
      <c r="CM6" s="1676" t="s">
        <v>1882</v>
      </c>
      <c r="CN6" s="1674" t="s">
        <v>1926</v>
      </c>
      <c r="CO6" s="1675" t="s">
        <v>1989</v>
      </c>
      <c r="CP6" s="1675" t="s">
        <v>2012</v>
      </c>
      <c r="CQ6" s="1676" t="s">
        <v>2475</v>
      </c>
      <c r="CR6" s="1674" t="s">
        <v>2124</v>
      </c>
      <c r="CS6" s="1675" t="s">
        <v>2535</v>
      </c>
      <c r="CT6" s="1675" t="s">
        <v>2566</v>
      </c>
      <c r="CU6" s="1676" t="s">
        <v>2592</v>
      </c>
      <c r="CV6" s="1674" t="s">
        <v>2635</v>
      </c>
      <c r="CW6" s="1675" t="s">
        <v>2661</v>
      </c>
      <c r="CX6" s="1675" t="s">
        <v>2690</v>
      </c>
      <c r="CY6" s="1676" t="s">
        <v>2728</v>
      </c>
      <c r="CZ6" s="1674" t="s">
        <v>2730</v>
      </c>
      <c r="DA6" s="1675" t="s">
        <v>2731</v>
      </c>
      <c r="DB6" s="1675" t="s">
        <v>2732</v>
      </c>
      <c r="DC6" s="1676" t="s">
        <v>2733</v>
      </c>
    </row>
    <row r="7" spans="1:108">
      <c r="B7" s="23"/>
      <c r="C7" s="23"/>
      <c r="D7" s="15"/>
      <c r="E7" s="15"/>
      <c r="F7" s="15"/>
      <c r="G7" s="15"/>
      <c r="H7" s="15"/>
      <c r="I7" s="15"/>
      <c r="J7" s="15"/>
      <c r="K7" s="15"/>
      <c r="L7" s="23"/>
      <c r="M7" s="23"/>
      <c r="N7" s="23"/>
      <c r="O7" s="1652" t="s">
        <v>923</v>
      </c>
      <c r="P7" s="1652"/>
      <c r="Q7" s="1652"/>
      <c r="R7" s="1163"/>
      <c r="S7" s="1163"/>
      <c r="T7" s="1163"/>
      <c r="U7" s="1163"/>
      <c r="V7" s="1163"/>
      <c r="W7" s="1163"/>
      <c r="X7" s="1163"/>
      <c r="Y7" s="1163"/>
      <c r="Z7" s="1163"/>
      <c r="AA7" s="1163"/>
      <c r="AB7" s="1163"/>
      <c r="AC7" s="1163"/>
      <c r="AD7" s="1163"/>
      <c r="AE7" s="2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c r="BM7" s="23"/>
      <c r="BN7" s="23"/>
      <c r="BO7" s="23"/>
      <c r="BP7" s="23"/>
      <c r="BQ7" s="23"/>
      <c r="BR7" s="23"/>
      <c r="BS7" s="23"/>
      <c r="BT7" s="23"/>
      <c r="BU7" s="1652" t="s">
        <v>923</v>
      </c>
      <c r="BV7" s="59"/>
      <c r="BW7" s="59"/>
      <c r="BX7" s="1652" t="s">
        <v>923</v>
      </c>
      <c r="BY7" s="60"/>
      <c r="BZ7" s="60"/>
      <c r="CA7" s="60"/>
    </row>
    <row r="8" spans="1:108">
      <c r="A8" s="1225" t="s">
        <v>604</v>
      </c>
      <c r="B8" s="17" t="s">
        <v>1050</v>
      </c>
      <c r="C8" s="23"/>
      <c r="D8" s="15"/>
      <c r="E8" s="15"/>
      <c r="F8" s="15"/>
      <c r="G8" s="15"/>
      <c r="H8" s="15"/>
      <c r="I8" s="783">
        <v>111.986</v>
      </c>
      <c r="J8" s="54">
        <f>SUM(AZ8:BC8)</f>
        <v>152.60599999999999</v>
      </c>
      <c r="K8" s="54">
        <f>SUM(BD8:BG8)</f>
        <v>201.77200000000002</v>
      </c>
      <c r="L8" s="54">
        <f>SUM(BH8:BK8)</f>
        <v>305.21500000000003</v>
      </c>
      <c r="M8" s="54">
        <f>SUM(BL8:BO8)</f>
        <v>545.86699999999996</v>
      </c>
      <c r="N8" s="54">
        <f>SUM(BP8:BS8)</f>
        <v>709.41000000000008</v>
      </c>
      <c r="O8" s="54">
        <f>SUM(BT8:BW8)</f>
        <v>937.72587801188251</v>
      </c>
      <c r="P8" s="54">
        <f>SUM(BX8:CA8)</f>
        <v>1194.3321927429165</v>
      </c>
      <c r="Q8" s="54">
        <f>+SUM(CB8:CE8)</f>
        <v>1433.694</v>
      </c>
      <c r="R8" s="54">
        <f>+SUM(CF8:CI8)</f>
        <v>1628.1789999999999</v>
      </c>
      <c r="S8" s="54">
        <f>+SUM(CJ8:CM8)</f>
        <v>1829.8119999999999</v>
      </c>
      <c r="T8" s="54">
        <f>+SUM(CN8:CQ8)</f>
        <v>2024.963</v>
      </c>
      <c r="U8" s="54">
        <f>+SUM(CR8:CU8)</f>
        <v>2651.9139999999998</v>
      </c>
      <c r="V8" s="54">
        <f>+SUM(CV8:CY8)</f>
        <v>3178.145</v>
      </c>
      <c r="W8" s="54">
        <f ca="1">+SUM(CZ8:DC8)</f>
        <v>3583.0415037890748</v>
      </c>
      <c r="X8" s="54">
        <f t="shared" ref="X8:Z11" ca="1" si="0">X289+X490+X660-X332</f>
        <v>3946.6869258393253</v>
      </c>
      <c r="Y8" s="54">
        <f t="shared" ca="1" si="0"/>
        <v>4287.5186893385498</v>
      </c>
      <c r="Z8" s="54">
        <f t="shared" ca="1" si="0"/>
        <v>4608.6966481774907</v>
      </c>
      <c r="AA8" s="54">
        <f t="shared" ref="AA8:AD8" ca="1" si="1">AA289+AA490+AA660-AA332</f>
        <v>4926.6460839202491</v>
      </c>
      <c r="AB8" s="54">
        <f t="shared" ca="1" si="1"/>
        <v>5241.0650322594038</v>
      </c>
      <c r="AC8" s="54">
        <f t="shared" ca="1" si="1"/>
        <v>5551.6926318198221</v>
      </c>
      <c r="AD8" s="54">
        <f t="shared" ca="1" si="1"/>
        <v>5858.3047011375184</v>
      </c>
      <c r="AE8" s="23"/>
      <c r="AF8" s="23"/>
      <c r="AG8" s="23"/>
      <c r="AH8" s="23"/>
      <c r="AI8" s="23"/>
      <c r="AJ8" s="23"/>
      <c r="AK8" s="23"/>
      <c r="AL8" s="23"/>
      <c r="AM8" s="23"/>
      <c r="AN8" s="23"/>
      <c r="AO8" s="23"/>
      <c r="AP8" s="23"/>
      <c r="AQ8" s="23"/>
      <c r="AR8" s="23"/>
      <c r="AS8" s="23"/>
      <c r="AT8" s="23"/>
      <c r="AU8" s="23"/>
      <c r="AV8" s="23"/>
      <c r="AW8" s="23"/>
      <c r="AX8" s="23"/>
      <c r="AY8" s="23"/>
      <c r="AZ8" s="784">
        <v>33.235999999999997</v>
      </c>
      <c r="BA8" s="784">
        <v>36.104999999999997</v>
      </c>
      <c r="BB8" s="784">
        <v>40.137999999999998</v>
      </c>
      <c r="BC8" s="784">
        <v>43.127000000000002</v>
      </c>
      <c r="BD8" s="784">
        <v>45.569000000000003</v>
      </c>
      <c r="BE8" s="784">
        <v>47.988</v>
      </c>
      <c r="BF8" s="784">
        <v>51.677999999999997</v>
      </c>
      <c r="BG8" s="784">
        <v>56.536999999999999</v>
      </c>
      <c r="BH8" s="784">
        <v>59.759</v>
      </c>
      <c r="BI8" s="784">
        <v>65.641000000000005</v>
      </c>
      <c r="BJ8" s="784">
        <v>75.281999999999996</v>
      </c>
      <c r="BK8" s="784">
        <v>104.533</v>
      </c>
      <c r="BL8" s="784">
        <v>121.349</v>
      </c>
      <c r="BM8" s="784">
        <v>132.97399999999999</v>
      </c>
      <c r="BN8" s="784">
        <v>141.93799999999999</v>
      </c>
      <c r="BO8" s="784">
        <v>149.60599999999999</v>
      </c>
      <c r="BP8" s="784">
        <v>158.44900000000001</v>
      </c>
      <c r="BQ8" s="784">
        <v>171.809</v>
      </c>
      <c r="BR8" s="784">
        <v>183.78399999999999</v>
      </c>
      <c r="BS8" s="784">
        <v>195.36799999999999</v>
      </c>
      <c r="BT8" s="784">
        <v>200.35900000000001</v>
      </c>
      <c r="BU8" s="1053">
        <f t="shared" ref="BU8:CA11" si="2">+BU17-BU332</f>
        <v>228.52190162018246</v>
      </c>
      <c r="BV8" s="1053">
        <f t="shared" si="2"/>
        <v>250.36456583980473</v>
      </c>
      <c r="BW8" s="1053">
        <f t="shared" si="2"/>
        <v>258.48041055189532</v>
      </c>
      <c r="BX8" s="1053">
        <f t="shared" si="2"/>
        <v>273.7451797671327</v>
      </c>
      <c r="BY8" s="1053">
        <f t="shared" si="2"/>
        <v>294.5841052125009</v>
      </c>
      <c r="BZ8" s="1678">
        <f t="shared" si="2"/>
        <v>306.08713505872367</v>
      </c>
      <c r="CA8" s="1678">
        <f t="shared" si="2"/>
        <v>319.91577270455917</v>
      </c>
      <c r="CB8" s="54">
        <f t="shared" ref="CB8:CX8" si="3">CB289+CB490+CB660-CB332</f>
        <v>334.71299999999997</v>
      </c>
      <c r="CC8" s="54">
        <f t="shared" si="3"/>
        <v>347.495</v>
      </c>
      <c r="CD8" s="54">
        <f t="shared" si="3"/>
        <v>365.78699999999998</v>
      </c>
      <c r="CE8" s="54">
        <f t="shared" si="3"/>
        <v>385.69899999999996</v>
      </c>
      <c r="CF8" s="54">
        <f t="shared" si="3"/>
        <v>394.83099999999996</v>
      </c>
      <c r="CG8" s="54">
        <f t="shared" si="3"/>
        <v>398.08699999999999</v>
      </c>
      <c r="CH8" s="54">
        <f t="shared" si="3"/>
        <v>408.56900000000002</v>
      </c>
      <c r="CI8" s="54">
        <f t="shared" si="3"/>
        <v>426.69200000000001</v>
      </c>
      <c r="CJ8" s="54">
        <f t="shared" si="3"/>
        <v>434.62299999999999</v>
      </c>
      <c r="CK8" s="54">
        <f t="shared" si="3"/>
        <v>452.66</v>
      </c>
      <c r="CL8" s="54">
        <f t="shared" si="3"/>
        <v>462.46499999999997</v>
      </c>
      <c r="CM8" s="54">
        <f t="shared" si="3"/>
        <v>480.06399999999996</v>
      </c>
      <c r="CN8" s="54">
        <f t="shared" si="3"/>
        <v>481.54500000000002</v>
      </c>
      <c r="CO8" s="54">
        <f t="shared" si="3"/>
        <v>496.61</v>
      </c>
      <c r="CP8" s="54">
        <f t="shared" si="3"/>
        <v>511.65200000000004</v>
      </c>
      <c r="CQ8" s="54">
        <f t="shared" si="3"/>
        <v>535.15599999999995</v>
      </c>
      <c r="CR8" s="54">
        <f t="shared" si="3"/>
        <v>619.89300000000003</v>
      </c>
      <c r="CS8" s="54">
        <f t="shared" si="3"/>
        <v>662.66899999999987</v>
      </c>
      <c r="CT8" s="54">
        <f t="shared" si="3"/>
        <v>680.84</v>
      </c>
      <c r="CU8" s="54">
        <f t="shared" si="3"/>
        <v>688.51199999999994</v>
      </c>
      <c r="CV8" s="54">
        <f t="shared" si="3"/>
        <v>691.52200000000005</v>
      </c>
      <c r="CW8" s="54">
        <f t="shared" si="3"/>
        <v>782.23099999999999</v>
      </c>
      <c r="CX8" s="54">
        <f t="shared" si="3"/>
        <v>842.68000000000006</v>
      </c>
      <c r="CY8" s="54">
        <f t="shared" ref="CY8" si="4">CY289+CY490+CY660-CY332</f>
        <v>861.71199999999999</v>
      </c>
      <c r="CZ8" s="54">
        <f t="shared" ref="CZ8:DC8" ca="1" si="5">CZ289+CZ490+CZ660-CZ332</f>
        <v>860.47423816514561</v>
      </c>
      <c r="DA8" s="54">
        <f t="shared" ca="1" si="5"/>
        <v>879.79325867605326</v>
      </c>
      <c r="DB8" s="54">
        <f t="shared" ca="1" si="5"/>
        <v>907.07790258932414</v>
      </c>
      <c r="DC8" s="54">
        <f t="shared" ca="1" si="5"/>
        <v>935.69610435855191</v>
      </c>
      <c r="DD8" s="81"/>
    </row>
    <row r="9" spans="1:108">
      <c r="B9" s="17" t="s">
        <v>1124</v>
      </c>
      <c r="C9" s="23"/>
      <c r="D9" s="15"/>
      <c r="E9" s="15"/>
      <c r="F9" s="15"/>
      <c r="G9" s="15"/>
      <c r="H9" s="15"/>
      <c r="I9" s="783">
        <v>31.414000000000001</v>
      </c>
      <c r="J9" s="54">
        <f>SUM(AZ9:BC9)</f>
        <v>40.876999999999995</v>
      </c>
      <c r="K9" s="54">
        <f>SUM(BD9:BG9)</f>
        <v>53.811</v>
      </c>
      <c r="L9" s="54">
        <f>SUM(BH9:BK9)</f>
        <v>73.684999999999988</v>
      </c>
      <c r="M9" s="54">
        <f>SUM(BL9:BO9)</f>
        <v>95.451999999999998</v>
      </c>
      <c r="N9" s="54">
        <f>SUM(BP9:BS9)</f>
        <v>106.657</v>
      </c>
      <c r="O9" s="54">
        <f>SUM(BT9:BW9)</f>
        <v>166.24039568911962</v>
      </c>
      <c r="P9" s="54">
        <f>SUM(BX9:CA9)</f>
        <v>227.8346072884718</v>
      </c>
      <c r="Q9" s="54">
        <f>+SUM(CB9:CE9)</f>
        <v>272.10300000000001</v>
      </c>
      <c r="R9" s="54">
        <f>+SUM(CF9:CI9)</f>
        <v>319.863</v>
      </c>
      <c r="S9" s="54">
        <f>+SUM(CJ9:CM9)</f>
        <v>372.35</v>
      </c>
      <c r="T9" s="54">
        <f>+SUM(CN9:CQ9)</f>
        <v>435.80900000000008</v>
      </c>
      <c r="U9" s="54">
        <f>+SUM(CR9:CU9)</f>
        <v>544.26300000000003</v>
      </c>
      <c r="V9" s="54">
        <f>+SUM(CV9:CY9)</f>
        <v>681.173</v>
      </c>
      <c r="W9" s="54">
        <f>+SUM(CZ9:DC9)</f>
        <v>849.1210918021153</v>
      </c>
      <c r="X9" s="54">
        <f t="shared" si="0"/>
        <v>941.65484614531488</v>
      </c>
      <c r="Y9" s="54">
        <f t="shared" si="0"/>
        <v>1032.3182433774814</v>
      </c>
      <c r="Z9" s="54">
        <f t="shared" si="0"/>
        <v>1117.8153362103321</v>
      </c>
      <c r="AA9" s="54">
        <f t="shared" ref="AA9:AD9" si="6">AA290+AA491+AA661-AA333</f>
        <v>1205.0103330235074</v>
      </c>
      <c r="AB9" s="54">
        <f t="shared" si="6"/>
        <v>1293.9184400237984</v>
      </c>
      <c r="AC9" s="54">
        <f t="shared" si="6"/>
        <v>1384.5721821908021</v>
      </c>
      <c r="AD9" s="54">
        <f t="shared" si="6"/>
        <v>1477.0071998505059</v>
      </c>
      <c r="AE9" s="23"/>
      <c r="AF9" s="23"/>
      <c r="AG9" s="23"/>
      <c r="AH9" s="23"/>
      <c r="AI9" s="23"/>
      <c r="AJ9" s="23"/>
      <c r="AK9" s="23"/>
      <c r="AL9" s="23"/>
      <c r="AM9" s="23"/>
      <c r="AN9" s="23"/>
      <c r="AO9" s="23"/>
      <c r="AP9" s="23"/>
      <c r="AQ9" s="23"/>
      <c r="AR9" s="23"/>
      <c r="AS9" s="23"/>
      <c r="AT9" s="23"/>
      <c r="AU9" s="23"/>
      <c r="AV9" s="23"/>
      <c r="AW9" s="23"/>
      <c r="AX9" s="23"/>
      <c r="AY9" s="23"/>
      <c r="AZ9" s="784">
        <v>9.3239999999999998</v>
      </c>
      <c r="BA9" s="784">
        <v>9.8450000000000006</v>
      </c>
      <c r="BB9" s="784">
        <v>10.526999999999999</v>
      </c>
      <c r="BC9" s="784">
        <v>11.180999999999999</v>
      </c>
      <c r="BD9" s="784">
        <v>11.804</v>
      </c>
      <c r="BE9" s="784">
        <v>12.644</v>
      </c>
      <c r="BF9" s="784">
        <v>13.862</v>
      </c>
      <c r="BG9" s="784">
        <v>15.500999999999999</v>
      </c>
      <c r="BH9" s="784">
        <v>16.72</v>
      </c>
      <c r="BI9" s="784">
        <v>17.652999999999999</v>
      </c>
      <c r="BJ9" s="784">
        <v>18.797999999999998</v>
      </c>
      <c r="BK9" s="784">
        <v>20.513999999999999</v>
      </c>
      <c r="BL9" s="784">
        <v>22.148</v>
      </c>
      <c r="BM9" s="784">
        <v>23.391999999999999</v>
      </c>
      <c r="BN9" s="784">
        <v>24.356999999999999</v>
      </c>
      <c r="BO9" s="784">
        <v>25.555</v>
      </c>
      <c r="BP9" s="784">
        <v>25.196999999999999</v>
      </c>
      <c r="BQ9" s="784">
        <v>25.896999999999998</v>
      </c>
      <c r="BR9" s="784">
        <v>27.234999999999999</v>
      </c>
      <c r="BS9" s="784">
        <v>28.327999999999999</v>
      </c>
      <c r="BT9" s="784">
        <v>29.231999999999999</v>
      </c>
      <c r="BU9" s="1053">
        <f t="shared" si="2"/>
        <v>39.809335000054112</v>
      </c>
      <c r="BV9" s="1053">
        <f t="shared" si="2"/>
        <v>47.06487839266493</v>
      </c>
      <c r="BW9" s="1053">
        <f t="shared" si="2"/>
        <v>50.134182296400596</v>
      </c>
      <c r="BX9" s="1053">
        <f t="shared" si="2"/>
        <v>52.253241703933497</v>
      </c>
      <c r="BY9" s="1053">
        <f t="shared" si="2"/>
        <v>57.047457179678545</v>
      </c>
      <c r="BZ9" s="1678">
        <f t="shared" si="2"/>
        <v>57.513920722041156</v>
      </c>
      <c r="CA9" s="1678">
        <f t="shared" si="2"/>
        <v>61.019987682818595</v>
      </c>
      <c r="CB9" s="54">
        <f t="shared" ref="CB9:CX9" si="7">CB290+CB491+CB661-CB333</f>
        <v>62.882999999999996</v>
      </c>
      <c r="CC9" s="54">
        <f t="shared" si="7"/>
        <v>65.033999999999992</v>
      </c>
      <c r="CD9" s="54">
        <f t="shared" si="7"/>
        <v>70.680999999999997</v>
      </c>
      <c r="CE9" s="54">
        <f t="shared" si="7"/>
        <v>73.50500000000001</v>
      </c>
      <c r="CF9" s="54">
        <f t="shared" si="7"/>
        <v>75.991</v>
      </c>
      <c r="CG9" s="54">
        <f t="shared" si="7"/>
        <v>78.352999999999994</v>
      </c>
      <c r="CH9" s="54">
        <f t="shared" si="7"/>
        <v>81.650000000000006</v>
      </c>
      <c r="CI9" s="54">
        <f t="shared" si="7"/>
        <v>83.869</v>
      </c>
      <c r="CJ9" s="54">
        <f t="shared" si="7"/>
        <v>87.02600000000001</v>
      </c>
      <c r="CK9" s="54">
        <f t="shared" si="7"/>
        <v>90.968999999999994</v>
      </c>
      <c r="CL9" s="54">
        <f t="shared" si="7"/>
        <v>95.647999999999996</v>
      </c>
      <c r="CM9" s="54">
        <f t="shared" si="7"/>
        <v>98.706999999999994</v>
      </c>
      <c r="CN9" s="54">
        <f t="shared" si="7"/>
        <v>101.658</v>
      </c>
      <c r="CO9" s="54">
        <f t="shared" si="7"/>
        <v>104.661</v>
      </c>
      <c r="CP9" s="54">
        <f t="shared" si="7"/>
        <v>110.56800000000001</v>
      </c>
      <c r="CQ9" s="54">
        <f t="shared" si="7"/>
        <v>118.922</v>
      </c>
      <c r="CR9" s="54">
        <f t="shared" si="7"/>
        <v>127.20500000000001</v>
      </c>
      <c r="CS9" s="54">
        <f t="shared" si="7"/>
        <v>135.721</v>
      </c>
      <c r="CT9" s="54">
        <f t="shared" si="7"/>
        <v>135.43899999999999</v>
      </c>
      <c r="CU9" s="54">
        <f t="shared" si="7"/>
        <v>145.898</v>
      </c>
      <c r="CV9" s="54">
        <f t="shared" si="7"/>
        <v>148.06</v>
      </c>
      <c r="CW9" s="54">
        <f t="shared" si="7"/>
        <v>165.684</v>
      </c>
      <c r="CX9" s="54">
        <f t="shared" si="7"/>
        <v>179.54400000000001</v>
      </c>
      <c r="CY9" s="54">
        <f t="shared" ref="CY9" si="8">CY290+CY491+CY661-CY333</f>
        <v>187.88500000000002</v>
      </c>
      <c r="CZ9" s="54">
        <f t="shared" ref="CZ9:DC9" si="9">CZ290+CZ491+CZ661-CZ333</f>
        <v>204.02026291746381</v>
      </c>
      <c r="DA9" s="54">
        <f t="shared" si="9"/>
        <v>208.79275598201298</v>
      </c>
      <c r="DB9" s="54">
        <f t="shared" si="9"/>
        <v>214.88398761966346</v>
      </c>
      <c r="DC9" s="54">
        <f t="shared" si="9"/>
        <v>221.42408528297506</v>
      </c>
      <c r="DD9" s="81"/>
    </row>
    <row r="10" spans="1:108">
      <c r="B10" s="17" t="s">
        <v>1228</v>
      </c>
      <c r="C10" s="23"/>
      <c r="D10" s="15"/>
      <c r="E10" s="15"/>
      <c r="F10" s="15"/>
      <c r="G10" s="15"/>
      <c r="H10" s="15"/>
      <c r="I10" s="783">
        <v>11.048999999999999</v>
      </c>
      <c r="J10" s="54">
        <f>SUM(AZ10:BC10)</f>
        <v>14.208</v>
      </c>
      <c r="K10" s="54">
        <f>SUM(BD10:BG10)</f>
        <v>16.196999999999999</v>
      </c>
      <c r="L10" s="54">
        <f>SUM(BH10:BK10)</f>
        <v>19.518999999999998</v>
      </c>
      <c r="M10" s="54">
        <f>SUM(BL10:BO10)</f>
        <v>27.740000000000002</v>
      </c>
      <c r="N10" s="54">
        <f>SUM(BP10:BS10)</f>
        <v>29.241</v>
      </c>
      <c r="O10" s="54">
        <f>SUM(BT10:BW10)</f>
        <v>30.410681655156001</v>
      </c>
      <c r="P10" s="54">
        <f>SUM(BX10:CA10)</f>
        <v>67.519290548747449</v>
      </c>
      <c r="Q10" s="54">
        <f>+SUM(CB10:CE10)</f>
        <v>88.108999999999995</v>
      </c>
      <c r="R10" s="54">
        <f>+SUM(CF10:CI10)</f>
        <v>97.4</v>
      </c>
      <c r="S10" s="54">
        <f>+SUM(CJ10:CM10)</f>
        <v>105.291</v>
      </c>
      <c r="T10" s="54">
        <f>+SUM(CN10:CQ10)</f>
        <v>97.687999999999988</v>
      </c>
      <c r="U10" s="54">
        <f>+SUM(CR10:CU10)</f>
        <v>199.29599999999999</v>
      </c>
      <c r="V10" s="54">
        <f>+SUM(CV10:CY10)</f>
        <v>245.16899999999998</v>
      </c>
      <c r="W10" s="54">
        <f>+SUM(CZ10:DC10)</f>
        <v>276.35599999999999</v>
      </c>
      <c r="X10" s="54">
        <f t="shared" si="0"/>
        <v>277.10599999999999</v>
      </c>
      <c r="Y10" s="54">
        <f t="shared" si="0"/>
        <v>277.85599999999999</v>
      </c>
      <c r="Z10" s="54">
        <f t="shared" si="0"/>
        <v>278.60599999999999</v>
      </c>
      <c r="AA10" s="54">
        <f t="shared" ref="AA10:AD10" si="10">AA291+AA492+AA662-AA334</f>
        <v>279.35599999999999</v>
      </c>
      <c r="AB10" s="54">
        <f t="shared" si="10"/>
        <v>280.10599999999999</v>
      </c>
      <c r="AC10" s="54">
        <f t="shared" si="10"/>
        <v>280.85599999999999</v>
      </c>
      <c r="AD10" s="54">
        <f t="shared" si="10"/>
        <v>281.60599999999999</v>
      </c>
      <c r="AE10" s="23"/>
      <c r="AF10" s="23"/>
      <c r="AG10" s="23"/>
      <c r="AH10" s="23"/>
      <c r="AI10" s="23"/>
      <c r="AJ10" s="23"/>
      <c r="AK10" s="23"/>
      <c r="AL10" s="23"/>
      <c r="AM10" s="23"/>
      <c r="AN10" s="23"/>
      <c r="AO10" s="23"/>
      <c r="AP10" s="23"/>
      <c r="AQ10" s="23"/>
      <c r="AR10" s="23"/>
      <c r="AS10" s="23"/>
      <c r="AT10" s="23"/>
      <c r="AU10" s="23"/>
      <c r="AV10" s="23"/>
      <c r="AW10" s="23"/>
      <c r="AX10" s="23"/>
      <c r="AY10" s="23"/>
      <c r="AZ10" s="784">
        <v>3.3410000000000002</v>
      </c>
      <c r="BA10" s="784">
        <v>3.4809999999999999</v>
      </c>
      <c r="BB10" s="784">
        <v>3.6259999999999999</v>
      </c>
      <c r="BC10" s="784">
        <v>3.76</v>
      </c>
      <c r="BD10" s="784">
        <v>3.9329999999999998</v>
      </c>
      <c r="BE10" s="784">
        <v>4.0460000000000003</v>
      </c>
      <c r="BF10" s="784">
        <v>4.0659999999999998</v>
      </c>
      <c r="BG10" s="784">
        <v>4.1520000000000001</v>
      </c>
      <c r="BH10" s="784">
        <v>4.0990000000000002</v>
      </c>
      <c r="BI10" s="784">
        <v>4.2850000000000001</v>
      </c>
      <c r="BJ10" s="784">
        <v>4.83</v>
      </c>
      <c r="BK10" s="784">
        <v>6.3049999999999997</v>
      </c>
      <c r="BL10" s="784">
        <v>6.5</v>
      </c>
      <c r="BM10" s="784">
        <v>6.8330000000000002</v>
      </c>
      <c r="BN10" s="784">
        <v>6.968</v>
      </c>
      <c r="BO10" s="784">
        <v>7.4390000000000001</v>
      </c>
      <c r="BP10" s="784">
        <v>7.3769999999999998</v>
      </c>
      <c r="BQ10" s="784">
        <v>7.3680000000000003</v>
      </c>
      <c r="BR10" s="784">
        <v>7.02</v>
      </c>
      <c r="BS10" s="784">
        <v>7.476</v>
      </c>
      <c r="BT10" s="784">
        <v>7.3</v>
      </c>
      <c r="BU10" s="1053">
        <f t="shared" si="2"/>
        <v>7.2709076160481398</v>
      </c>
      <c r="BV10" s="1053">
        <f t="shared" si="2"/>
        <v>7.7704431656543127</v>
      </c>
      <c r="BW10" s="1053">
        <f t="shared" si="2"/>
        <v>8.0693308734535485</v>
      </c>
      <c r="BX10" s="1053">
        <f t="shared" si="2"/>
        <v>8.4465725662409525</v>
      </c>
      <c r="BY10" s="1053">
        <f t="shared" si="2"/>
        <v>15.108665496188809</v>
      </c>
      <c r="BZ10" s="1678">
        <f t="shared" si="2"/>
        <v>23.820327282895878</v>
      </c>
      <c r="CA10" s="1678">
        <f t="shared" si="2"/>
        <v>20.143725203421813</v>
      </c>
      <c r="CB10" s="54">
        <f t="shared" ref="CB10:CX10" si="11">CB291+CB492+CB662-CB334</f>
        <v>21.766000000000002</v>
      </c>
      <c r="CC10" s="54">
        <f t="shared" si="11"/>
        <v>20.305</v>
      </c>
      <c r="CD10" s="54">
        <f t="shared" si="11"/>
        <v>23.231000000000002</v>
      </c>
      <c r="CE10" s="54">
        <f t="shared" si="11"/>
        <v>22.806999999999999</v>
      </c>
      <c r="CF10" s="54">
        <f t="shared" si="11"/>
        <v>23.12</v>
      </c>
      <c r="CG10" s="54">
        <f t="shared" si="11"/>
        <v>24.791000000000004</v>
      </c>
      <c r="CH10" s="54">
        <f t="shared" si="11"/>
        <v>24.413</v>
      </c>
      <c r="CI10" s="54">
        <f t="shared" si="11"/>
        <v>25.076000000000001</v>
      </c>
      <c r="CJ10" s="54">
        <f t="shared" si="11"/>
        <v>25.384</v>
      </c>
      <c r="CK10" s="54">
        <f t="shared" si="11"/>
        <v>27.856000000000002</v>
      </c>
      <c r="CL10" s="54">
        <f t="shared" si="11"/>
        <v>27.756999999999998</v>
      </c>
      <c r="CM10" s="54">
        <f t="shared" si="11"/>
        <v>24.293999999999997</v>
      </c>
      <c r="CN10" s="54">
        <f t="shared" si="11"/>
        <v>23.855</v>
      </c>
      <c r="CO10" s="54">
        <f t="shared" si="11"/>
        <v>23.466000000000001</v>
      </c>
      <c r="CP10" s="54">
        <f t="shared" si="11"/>
        <v>22.326999999999998</v>
      </c>
      <c r="CQ10" s="54">
        <f t="shared" si="11"/>
        <v>28.04</v>
      </c>
      <c r="CR10" s="54">
        <f t="shared" si="11"/>
        <v>44.736000000000004</v>
      </c>
      <c r="CS10" s="54">
        <f t="shared" si="11"/>
        <v>45.243000000000002</v>
      </c>
      <c r="CT10" s="54">
        <f t="shared" si="11"/>
        <v>55.327000000000005</v>
      </c>
      <c r="CU10" s="54">
        <f t="shared" si="11"/>
        <v>53.989999999999995</v>
      </c>
      <c r="CV10" s="54">
        <f t="shared" si="11"/>
        <v>54.608999999999995</v>
      </c>
      <c r="CW10" s="54">
        <f t="shared" si="11"/>
        <v>58.192999999999998</v>
      </c>
      <c r="CX10" s="54">
        <f t="shared" si="11"/>
        <v>63.278000000000006</v>
      </c>
      <c r="CY10" s="54">
        <f t="shared" ref="CY10" si="12">CY291+CY492+CY662-CY334</f>
        <v>69.088999999999999</v>
      </c>
      <c r="CZ10" s="54">
        <f t="shared" ref="CZ10:DC10" si="13">CZ291+CZ492+CZ662-CZ334</f>
        <v>69.088999999999999</v>
      </c>
      <c r="DA10" s="54">
        <f t="shared" si="13"/>
        <v>69.088999999999999</v>
      </c>
      <c r="DB10" s="54">
        <f t="shared" si="13"/>
        <v>69.088999999999999</v>
      </c>
      <c r="DC10" s="54">
        <f t="shared" si="13"/>
        <v>69.088999999999999</v>
      </c>
      <c r="DD10" s="81"/>
    </row>
    <row r="11" spans="1:108">
      <c r="B11" s="17" t="s">
        <v>1222</v>
      </c>
      <c r="C11" s="23"/>
      <c r="D11" s="15"/>
      <c r="E11" s="15"/>
      <c r="F11" s="15"/>
      <c r="G11" s="15"/>
      <c r="H11" s="15"/>
      <c r="I11" s="785">
        <v>0</v>
      </c>
      <c r="J11" s="786">
        <f>SUM(AZ11:BC11)</f>
        <v>0.312</v>
      </c>
      <c r="K11" s="786">
        <f>SUM(BD11:BG11)</f>
        <v>1.3800000000000001</v>
      </c>
      <c r="L11" s="786">
        <f>SUM(BH11:BK11)</f>
        <v>1.2370000000000001</v>
      </c>
      <c r="M11" s="786">
        <f>SUM(BL11:BO11)</f>
        <v>1.028</v>
      </c>
      <c r="N11" s="786">
        <f>SUM(BP11:BS11)</f>
        <v>1.091</v>
      </c>
      <c r="O11" s="786">
        <f>SUM(BT11:BW11)</f>
        <v>2.4090446438418791</v>
      </c>
      <c r="P11" s="786">
        <f>SUM(BX11:CA11)</f>
        <v>2.727909419864333</v>
      </c>
      <c r="Q11" s="786">
        <f>+SUM(CB11:CE11)</f>
        <v>3.1619999999999999</v>
      </c>
      <c r="R11" s="786">
        <f>+SUM(CF11:CI11)</f>
        <v>4.5199999999999996</v>
      </c>
      <c r="S11" s="786">
        <f>+SUM(CJ11:CM11)</f>
        <v>10.336</v>
      </c>
      <c r="T11" s="786">
        <f>+SUM(CN11:CQ11)</f>
        <v>10.681000000000001</v>
      </c>
      <c r="U11" s="786">
        <f>+SUM(CR11:CU11)</f>
        <v>22.840000000000003</v>
      </c>
      <c r="V11" s="786">
        <f>+SUM(CV11:CY11)</f>
        <v>15.633000000000001</v>
      </c>
      <c r="W11" s="786">
        <f>+SUM(CZ11:DC11)</f>
        <v>16.152000000000001</v>
      </c>
      <c r="X11" s="786">
        <f t="shared" si="0"/>
        <v>17.001999999999999</v>
      </c>
      <c r="Y11" s="786">
        <f t="shared" si="0"/>
        <v>17.852</v>
      </c>
      <c r="Z11" s="786">
        <f t="shared" si="0"/>
        <v>18.701999999999998</v>
      </c>
      <c r="AA11" s="786">
        <f t="shared" ref="AA11:AD11" si="14">AA292+AA493+AA663-AA335</f>
        <v>19.552</v>
      </c>
      <c r="AB11" s="786">
        <f t="shared" si="14"/>
        <v>20.401999999999997</v>
      </c>
      <c r="AC11" s="786">
        <f t="shared" si="14"/>
        <v>21.251999999999995</v>
      </c>
      <c r="AD11" s="786">
        <f t="shared" si="14"/>
        <v>22.101999999999997</v>
      </c>
      <c r="AE11" s="23"/>
      <c r="AF11" s="23"/>
      <c r="AG11" s="23"/>
      <c r="AH11" s="23"/>
      <c r="AI11" s="23"/>
      <c r="AJ11" s="23"/>
      <c r="AK11" s="23"/>
      <c r="AL11" s="23"/>
      <c r="AM11" s="23"/>
      <c r="AN11" s="23"/>
      <c r="AO11" s="23"/>
      <c r="AP11" s="23"/>
      <c r="AQ11" s="23"/>
      <c r="AR11" s="23"/>
      <c r="AS11" s="23"/>
      <c r="AT11" s="23"/>
      <c r="AU11" s="23"/>
      <c r="AV11" s="23"/>
      <c r="AW11" s="23"/>
      <c r="AX11" s="23"/>
      <c r="AY11" s="23"/>
      <c r="AZ11" s="787">
        <v>0</v>
      </c>
      <c r="BA11" s="787">
        <v>0</v>
      </c>
      <c r="BB11" s="787">
        <v>0</v>
      </c>
      <c r="BC11" s="787">
        <v>0.312</v>
      </c>
      <c r="BD11" s="787">
        <v>0.44600000000000001</v>
      </c>
      <c r="BE11" s="787">
        <v>0.41099999999999998</v>
      </c>
      <c r="BF11" s="787">
        <v>0.312</v>
      </c>
      <c r="BG11" s="787">
        <v>0.21099999999999999</v>
      </c>
      <c r="BH11" s="787">
        <v>0.308</v>
      </c>
      <c r="BI11" s="787">
        <v>0.32500000000000001</v>
      </c>
      <c r="BJ11" s="787">
        <v>0.378</v>
      </c>
      <c r="BK11" s="787">
        <v>0.22600000000000001</v>
      </c>
      <c r="BL11" s="787">
        <v>0.36199999999999999</v>
      </c>
      <c r="BM11" s="787">
        <v>0.19600000000000001</v>
      </c>
      <c r="BN11" s="787">
        <v>0.254</v>
      </c>
      <c r="BO11" s="787">
        <v>0.216</v>
      </c>
      <c r="BP11" s="787">
        <v>0.26400000000000001</v>
      </c>
      <c r="BQ11" s="787">
        <v>0.23899999999999999</v>
      </c>
      <c r="BR11" s="787">
        <v>0.29499999999999998</v>
      </c>
      <c r="BS11" s="787">
        <v>0.29299999999999998</v>
      </c>
      <c r="BT11" s="787">
        <v>0.34499999999999997</v>
      </c>
      <c r="BU11" s="1679">
        <f t="shared" si="2"/>
        <v>0.54685576371527223</v>
      </c>
      <c r="BV11" s="1679">
        <f t="shared" si="2"/>
        <v>0.76811260187605723</v>
      </c>
      <c r="BW11" s="1679">
        <f t="shared" si="2"/>
        <v>0.7490762782505499</v>
      </c>
      <c r="BX11" s="1679">
        <f t="shared" si="2"/>
        <v>0.60200596269288098</v>
      </c>
      <c r="BY11" s="1679">
        <f t="shared" si="2"/>
        <v>0.64777211163177673</v>
      </c>
      <c r="BZ11" s="1679">
        <f t="shared" si="2"/>
        <v>0.79261693633926678</v>
      </c>
      <c r="CA11" s="1679">
        <f t="shared" si="2"/>
        <v>0.68551440920040863</v>
      </c>
      <c r="CB11" s="786">
        <f t="shared" ref="CB11:CX11" si="15">CB292+CB493+CB663-CB335</f>
        <v>0.78299999999999992</v>
      </c>
      <c r="CC11" s="786">
        <f t="shared" si="15"/>
        <v>0.78100000000000003</v>
      </c>
      <c r="CD11" s="786">
        <f t="shared" si="15"/>
        <v>0.78299999999999992</v>
      </c>
      <c r="CE11" s="786">
        <f t="shared" si="15"/>
        <v>0.81499999999999995</v>
      </c>
      <c r="CF11" s="786">
        <f t="shared" si="15"/>
        <v>0.58000000000000007</v>
      </c>
      <c r="CG11" s="786">
        <f t="shared" si="15"/>
        <v>0.58299999999999996</v>
      </c>
      <c r="CH11" s="786">
        <f t="shared" si="15"/>
        <v>0.93399999999999994</v>
      </c>
      <c r="CI11" s="786">
        <f t="shared" si="15"/>
        <v>2.423</v>
      </c>
      <c r="CJ11" s="786">
        <f t="shared" si="15"/>
        <v>2.67</v>
      </c>
      <c r="CK11" s="786">
        <f t="shared" si="15"/>
        <v>2.673</v>
      </c>
      <c r="CL11" s="786">
        <f t="shared" si="15"/>
        <v>2.5659999999999998</v>
      </c>
      <c r="CM11" s="786">
        <f t="shared" si="15"/>
        <v>2.427</v>
      </c>
      <c r="CN11" s="786">
        <f t="shared" si="15"/>
        <v>2.5990000000000002</v>
      </c>
      <c r="CO11" s="786">
        <f t="shared" si="15"/>
        <v>1.954</v>
      </c>
      <c r="CP11" s="786">
        <f t="shared" si="15"/>
        <v>2.1739999999999999</v>
      </c>
      <c r="CQ11" s="786">
        <f t="shared" si="15"/>
        <v>3.9539999999999997</v>
      </c>
      <c r="CR11" s="786">
        <f t="shared" si="15"/>
        <v>5.26</v>
      </c>
      <c r="CS11" s="786">
        <f t="shared" si="15"/>
        <v>8.1379999999999999</v>
      </c>
      <c r="CT11" s="786">
        <f t="shared" si="15"/>
        <v>5.4</v>
      </c>
      <c r="CU11" s="786">
        <f t="shared" si="15"/>
        <v>4.0419999999999998</v>
      </c>
      <c r="CV11" s="786">
        <f t="shared" si="15"/>
        <v>4.2490000000000006</v>
      </c>
      <c r="CW11" s="786">
        <f t="shared" si="15"/>
        <v>3.94</v>
      </c>
      <c r="CX11" s="786">
        <f t="shared" si="15"/>
        <v>3.5310000000000001</v>
      </c>
      <c r="CY11" s="786">
        <f t="shared" ref="CY11" si="16">CY292+CY493+CY663-CY335</f>
        <v>3.9130000000000003</v>
      </c>
      <c r="CZ11" s="786">
        <f t="shared" ref="CZ11:DC11" si="17">CZ292+CZ493+CZ663-CZ335</f>
        <v>3.9630000000000001</v>
      </c>
      <c r="DA11" s="786">
        <f t="shared" si="17"/>
        <v>4.0129999999999999</v>
      </c>
      <c r="DB11" s="786">
        <f t="shared" si="17"/>
        <v>4.0630000000000006</v>
      </c>
      <c r="DC11" s="786">
        <f t="shared" si="17"/>
        <v>4.1130000000000004</v>
      </c>
      <c r="DD11" s="81"/>
    </row>
    <row r="12" spans="1:108">
      <c r="B12" s="23" t="s">
        <v>1227</v>
      </c>
      <c r="C12" s="23"/>
      <c r="D12" s="15"/>
      <c r="E12" s="15"/>
      <c r="F12" s="15"/>
      <c r="G12" s="15"/>
      <c r="H12" s="26">
        <f>SUM(AR12:AU12)</f>
        <v>109.95700000000001</v>
      </c>
      <c r="I12" s="26">
        <f t="shared" ref="I12:Z12" si="18">SUM(I8:I11)</f>
        <v>154.44900000000001</v>
      </c>
      <c r="J12" s="788">
        <f t="shared" si="18"/>
        <v>208.00300000000001</v>
      </c>
      <c r="K12" s="788">
        <f t="shared" si="18"/>
        <v>273.16000000000003</v>
      </c>
      <c r="L12" s="54">
        <f t="shared" si="18"/>
        <v>399.65600000000006</v>
      </c>
      <c r="M12" s="54">
        <f t="shared" si="18"/>
        <v>670.08699999999999</v>
      </c>
      <c r="N12" s="54">
        <f t="shared" si="18"/>
        <v>846.39900000000011</v>
      </c>
      <c r="O12" s="54">
        <f t="shared" si="18"/>
        <v>1136.7860000000001</v>
      </c>
      <c r="P12" s="54">
        <f t="shared" si="18"/>
        <v>1492.414</v>
      </c>
      <c r="Q12" s="54">
        <f t="shared" si="18"/>
        <v>1797.068</v>
      </c>
      <c r="R12" s="54">
        <f t="shared" si="18"/>
        <v>2049.962</v>
      </c>
      <c r="S12" s="54">
        <f t="shared" si="18"/>
        <v>2317.7889999999998</v>
      </c>
      <c r="T12" s="54">
        <f>SUM(T8:T11)</f>
        <v>2569.1410000000001</v>
      </c>
      <c r="U12" s="54">
        <f>SUM(U8:U11)</f>
        <v>3418.3129999999996</v>
      </c>
      <c r="V12" s="54">
        <f>SUM(V8:V11)</f>
        <v>4120.12</v>
      </c>
      <c r="W12" s="54">
        <f ca="1">SUM(W8:W11)</f>
        <v>4724.6705955911902</v>
      </c>
      <c r="X12" s="54">
        <f t="shared" ca="1" si="18"/>
        <v>5182.4497719846404</v>
      </c>
      <c r="Y12" s="54">
        <f t="shared" ca="1" si="18"/>
        <v>5615.5449327160304</v>
      </c>
      <c r="Z12" s="54">
        <f t="shared" ca="1" si="18"/>
        <v>6023.8199843878228</v>
      </c>
      <c r="AA12" s="54">
        <f t="shared" ref="AA12:AD12" ca="1" si="19">SUM(AA8:AA11)</f>
        <v>6430.5644169437564</v>
      </c>
      <c r="AB12" s="54">
        <f t="shared" ca="1" si="19"/>
        <v>6835.4914722832018</v>
      </c>
      <c r="AC12" s="54">
        <f t="shared" ca="1" si="19"/>
        <v>7238.3728140106241</v>
      </c>
      <c r="AD12" s="54">
        <f t="shared" ca="1" si="19"/>
        <v>7639.0199009880243</v>
      </c>
      <c r="AE12" s="23"/>
      <c r="AF12" s="23"/>
      <c r="AG12" s="23"/>
      <c r="AH12" s="23"/>
      <c r="AI12" s="789"/>
      <c r="AJ12" s="789"/>
      <c r="AK12" s="789"/>
      <c r="AL12" s="789"/>
      <c r="AM12" s="789"/>
      <c r="AN12" s="789"/>
      <c r="AO12" s="789"/>
      <c r="AP12" s="789"/>
      <c r="AQ12" s="789"/>
      <c r="AR12" s="790">
        <v>24.103000000000002</v>
      </c>
      <c r="AS12" s="790">
        <v>25.998999999999999</v>
      </c>
      <c r="AT12" s="790">
        <v>28.359000000000002</v>
      </c>
      <c r="AU12" s="790">
        <v>31.495999999999999</v>
      </c>
      <c r="AV12" s="790">
        <v>34.482999999999997</v>
      </c>
      <c r="AW12" s="790">
        <v>37.271000000000001</v>
      </c>
      <c r="AX12" s="790">
        <v>40.057000000000002</v>
      </c>
      <c r="AY12" s="790">
        <v>42.621000000000002</v>
      </c>
      <c r="AZ12" s="54">
        <f t="shared" ref="AZ12:CJ12" si="20">SUM(AZ8:AZ11)</f>
        <v>45.900999999999996</v>
      </c>
      <c r="BA12" s="54">
        <f t="shared" si="20"/>
        <v>49.430999999999997</v>
      </c>
      <c r="BB12" s="54">
        <f t="shared" si="20"/>
        <v>54.290999999999997</v>
      </c>
      <c r="BC12" s="54">
        <f t="shared" si="20"/>
        <v>58.379999999999995</v>
      </c>
      <c r="BD12" s="54">
        <f t="shared" si="20"/>
        <v>61.752000000000002</v>
      </c>
      <c r="BE12" s="54">
        <f t="shared" si="20"/>
        <v>65.088999999999999</v>
      </c>
      <c r="BF12" s="54">
        <f t="shared" si="20"/>
        <v>69.917999999999992</v>
      </c>
      <c r="BG12" s="54">
        <f t="shared" si="20"/>
        <v>76.400999999999996</v>
      </c>
      <c r="BH12" s="54">
        <f t="shared" si="20"/>
        <v>80.88600000000001</v>
      </c>
      <c r="BI12" s="54">
        <f t="shared" si="20"/>
        <v>87.904000000000011</v>
      </c>
      <c r="BJ12" s="54">
        <f t="shared" si="20"/>
        <v>99.287999999999997</v>
      </c>
      <c r="BK12" s="54">
        <f t="shared" si="20"/>
        <v>131.578</v>
      </c>
      <c r="BL12" s="54">
        <f t="shared" si="20"/>
        <v>150.35900000000001</v>
      </c>
      <c r="BM12" s="54">
        <f t="shared" si="20"/>
        <v>163.39499999999998</v>
      </c>
      <c r="BN12" s="54">
        <f t="shared" si="20"/>
        <v>173.51699999999997</v>
      </c>
      <c r="BO12" s="54">
        <f t="shared" si="20"/>
        <v>182.816</v>
      </c>
      <c r="BP12" s="54">
        <f t="shared" si="20"/>
        <v>191.28700000000003</v>
      </c>
      <c r="BQ12" s="54">
        <f t="shared" si="20"/>
        <v>205.31299999999999</v>
      </c>
      <c r="BR12" s="54">
        <f t="shared" si="20"/>
        <v>218.334</v>
      </c>
      <c r="BS12" s="54">
        <f t="shared" si="20"/>
        <v>231.465</v>
      </c>
      <c r="BT12" s="54">
        <f t="shared" si="20"/>
        <v>237.23600000000002</v>
      </c>
      <c r="BU12" s="54">
        <f t="shared" si="20"/>
        <v>276.14899999999994</v>
      </c>
      <c r="BV12" s="54">
        <f t="shared" si="20"/>
        <v>305.96800000000002</v>
      </c>
      <c r="BW12" s="54">
        <f t="shared" si="20"/>
        <v>317.43299999999999</v>
      </c>
      <c r="BX12" s="54">
        <f t="shared" si="20"/>
        <v>335.04700000000003</v>
      </c>
      <c r="BY12" s="54">
        <f t="shared" si="20"/>
        <v>367.38799999999998</v>
      </c>
      <c r="BZ12" s="901">
        <f t="shared" si="20"/>
        <v>388.214</v>
      </c>
      <c r="CA12" s="901">
        <f t="shared" si="20"/>
        <v>401.76499999999999</v>
      </c>
      <c r="CB12" s="54">
        <f t="shared" si="20"/>
        <v>420.14499999999998</v>
      </c>
      <c r="CC12" s="54">
        <f t="shared" si="20"/>
        <v>433.61500000000001</v>
      </c>
      <c r="CD12" s="54">
        <f t="shared" si="20"/>
        <v>460.48199999999997</v>
      </c>
      <c r="CE12" s="54">
        <f t="shared" si="20"/>
        <v>482.82599999999996</v>
      </c>
      <c r="CF12" s="54">
        <f t="shared" si="20"/>
        <v>494.52199999999993</v>
      </c>
      <c r="CG12" s="54">
        <f t="shared" si="20"/>
        <v>501.81400000000002</v>
      </c>
      <c r="CH12" s="54">
        <f t="shared" si="20"/>
        <v>515.56600000000003</v>
      </c>
      <c r="CI12" s="54">
        <f t="shared" si="20"/>
        <v>538.06000000000006</v>
      </c>
      <c r="CJ12" s="54">
        <f t="shared" si="20"/>
        <v>549.70299999999997</v>
      </c>
      <c r="CK12" s="54">
        <f t="shared" ref="CK12:CU12" si="21">SUM(CK8:CK11)</f>
        <v>574.15800000000002</v>
      </c>
      <c r="CL12" s="54">
        <f t="shared" si="21"/>
        <v>588.43599999999992</v>
      </c>
      <c r="CM12" s="54">
        <f t="shared" si="21"/>
        <v>605.49199999999996</v>
      </c>
      <c r="CN12" s="54">
        <f t="shared" si="21"/>
        <v>609.65700000000004</v>
      </c>
      <c r="CO12" s="54">
        <f t="shared" si="21"/>
        <v>626.69099999999992</v>
      </c>
      <c r="CP12" s="54">
        <f t="shared" si="21"/>
        <v>646.721</v>
      </c>
      <c r="CQ12" s="54">
        <f t="shared" si="21"/>
        <v>686.07199999999989</v>
      </c>
      <c r="CR12" s="54">
        <f t="shared" si="21"/>
        <v>797.09400000000005</v>
      </c>
      <c r="CS12" s="54">
        <f t="shared" si="21"/>
        <v>851.77099999999996</v>
      </c>
      <c r="CT12" s="54">
        <f t="shared" si="21"/>
        <v>877.00599999999997</v>
      </c>
      <c r="CU12" s="54">
        <f t="shared" si="21"/>
        <v>892.44200000000001</v>
      </c>
      <c r="CV12" s="54">
        <f>SUM(CV8:CV11)</f>
        <v>898.44000000000017</v>
      </c>
      <c r="CW12" s="54">
        <f>SUM(CW8:CW11)</f>
        <v>1010.048</v>
      </c>
      <c r="CX12" s="54">
        <f>SUM(CX8:CX11)</f>
        <v>1089.0329999999999</v>
      </c>
      <c r="CY12" s="54">
        <f>SUM(CY8:CY11)</f>
        <v>1122.5989999999999</v>
      </c>
      <c r="CZ12" s="54">
        <f t="shared" ref="CZ12:DC12" ca="1" si="22">SUM(CZ8:CZ11)</f>
        <v>1137.5465010826094</v>
      </c>
      <c r="DA12" s="54">
        <f t="shared" ca="1" si="22"/>
        <v>1161.6880146580661</v>
      </c>
      <c r="DB12" s="54">
        <f t="shared" ca="1" si="22"/>
        <v>1195.1138902089876</v>
      </c>
      <c r="DC12" s="54">
        <f t="shared" ca="1" si="22"/>
        <v>1230.3221896415268</v>
      </c>
      <c r="DD12" s="81"/>
    </row>
    <row r="13" spans="1:108">
      <c r="B13" s="23" t="s">
        <v>1226</v>
      </c>
      <c r="C13" s="23"/>
      <c r="D13" s="15"/>
      <c r="E13" s="15"/>
      <c r="F13" s="15"/>
      <c r="G13" s="15"/>
      <c r="H13" s="26">
        <f>SUM(AR13:AU13)</f>
        <v>7.9849999999999994</v>
      </c>
      <c r="I13" s="783">
        <v>9.2219999999999995</v>
      </c>
      <c r="J13" s="788">
        <f>SUM(AZ13:BC13)</f>
        <v>13.053999999999998</v>
      </c>
      <c r="K13" s="788">
        <f>SUM(BD13:BG13)</f>
        <v>13.754999999999999</v>
      </c>
      <c r="L13" s="54">
        <f>SUM(BH13:BK13)</f>
        <v>19.785999999999998</v>
      </c>
      <c r="M13" s="54">
        <f>SUM(BL13:BO13)</f>
        <v>34.592999999999996</v>
      </c>
      <c r="N13" s="54">
        <f>SUM(BP13:BS13)</f>
        <v>36.11</v>
      </c>
      <c r="O13" s="54">
        <f>SUM(BT13:BW13)</f>
        <v>59.427999999999997</v>
      </c>
      <c r="P13" s="54">
        <f>SUM(BX13:CA13)</f>
        <v>77.37</v>
      </c>
      <c r="Q13" s="54">
        <f>+SUM(CB13:CE13)</f>
        <v>90.307999999999993</v>
      </c>
      <c r="R13" s="54">
        <f>+SUM(CF13:CI13)</f>
        <v>102.804</v>
      </c>
      <c r="S13" s="54">
        <f>+SUM(CJ13:CM13)</f>
        <v>125.98599999999999</v>
      </c>
      <c r="T13" s="54">
        <f>+SUM(CN13:CQ13)</f>
        <v>156.726</v>
      </c>
      <c r="U13" s="54">
        <f>+SUM(CR13:CU13)</f>
        <v>193.67600000000002</v>
      </c>
      <c r="V13" s="54">
        <f>+SUM(CV13:CY13)</f>
        <v>248.30800000000002</v>
      </c>
      <c r="W13" s="54">
        <f>+SUM(CZ13:DC13)</f>
        <v>314.48800000000006</v>
      </c>
      <c r="X13" s="54">
        <f>X294+X496+X666-X337</f>
        <v>318.13800000000009</v>
      </c>
      <c r="Y13" s="54">
        <f>Y294+Y496+Y666-Y337</f>
        <v>321.78800000000012</v>
      </c>
      <c r="Z13" s="54">
        <f>Z294+Z496+Z666-Z337</f>
        <v>325.4380000000001</v>
      </c>
      <c r="AA13" s="54">
        <f t="shared" ref="AA13:AD13" si="23">AA294+AA496+AA666-AA337</f>
        <v>329.08800000000008</v>
      </c>
      <c r="AB13" s="54">
        <f t="shared" si="23"/>
        <v>332.73800000000011</v>
      </c>
      <c r="AC13" s="54">
        <f t="shared" si="23"/>
        <v>336.38800000000015</v>
      </c>
      <c r="AD13" s="54">
        <f t="shared" si="23"/>
        <v>340.03800000000012</v>
      </c>
      <c r="AE13" s="23"/>
      <c r="AF13" s="23"/>
      <c r="AG13" s="23"/>
      <c r="AH13" s="23"/>
      <c r="AI13" s="789"/>
      <c r="AJ13" s="789"/>
      <c r="AK13" s="789"/>
      <c r="AL13" s="789"/>
      <c r="AM13" s="789"/>
      <c r="AN13" s="789"/>
      <c r="AO13" s="789"/>
      <c r="AP13" s="789"/>
      <c r="AQ13" s="789"/>
      <c r="AR13" s="790">
        <v>1.3320000000000001</v>
      </c>
      <c r="AS13" s="790">
        <v>2.4350000000000001</v>
      </c>
      <c r="AT13" s="790">
        <v>2.56</v>
      </c>
      <c r="AU13" s="790">
        <v>1.6579999999999999</v>
      </c>
      <c r="AV13" s="790">
        <v>2.3370000000000002</v>
      </c>
      <c r="AW13" s="790">
        <v>2.1520000000000001</v>
      </c>
      <c r="AX13" s="790">
        <v>2.3820000000000001</v>
      </c>
      <c r="AY13" s="790">
        <v>2.3679999999999999</v>
      </c>
      <c r="AZ13" s="790">
        <v>2.7829999999999999</v>
      </c>
      <c r="BA13" s="790">
        <v>3.048</v>
      </c>
      <c r="BB13" s="790">
        <v>3.8050000000000002</v>
      </c>
      <c r="BC13" s="790">
        <v>3.4180000000000001</v>
      </c>
      <c r="BD13" s="790">
        <v>3.117</v>
      </c>
      <c r="BE13" s="790">
        <v>3.4590000000000001</v>
      </c>
      <c r="BF13" s="790">
        <v>3.8079999999999998</v>
      </c>
      <c r="BG13" s="790">
        <f>4.55-1.179</f>
        <v>3.3709999999999996</v>
      </c>
      <c r="BH13" s="790">
        <v>4.2229999999999999</v>
      </c>
      <c r="BI13" s="790">
        <v>3.9329999999999998</v>
      </c>
      <c r="BJ13" s="790">
        <v>4.4939999999999998</v>
      </c>
      <c r="BK13" s="790">
        <v>7.1360000000000001</v>
      </c>
      <c r="BL13" s="790">
        <v>7.859</v>
      </c>
      <c r="BM13" s="790">
        <v>8.6489999999999991</v>
      </c>
      <c r="BN13" s="790">
        <v>10.218</v>
      </c>
      <c r="BO13" s="790">
        <v>7.867</v>
      </c>
      <c r="BP13" s="398">
        <v>7.944</v>
      </c>
      <c r="BQ13" s="398">
        <v>7.8550000000000004</v>
      </c>
      <c r="BR13" s="398">
        <v>9.2240000000000002</v>
      </c>
      <c r="BS13" s="398">
        <v>11.087</v>
      </c>
      <c r="BT13" s="398">
        <v>11.413</v>
      </c>
      <c r="BU13" s="1002">
        <f t="shared" ref="BU13:CA13" si="24">+BU22-BU337</f>
        <v>13.868</v>
      </c>
      <c r="BV13" s="1002">
        <f t="shared" si="24"/>
        <v>15.425999999999998</v>
      </c>
      <c r="BW13" s="1002">
        <f t="shared" si="24"/>
        <v>18.721</v>
      </c>
      <c r="BX13" s="1002">
        <f t="shared" si="24"/>
        <v>18.902000000000001</v>
      </c>
      <c r="BY13" s="1002">
        <f t="shared" si="24"/>
        <v>18.123000000000001</v>
      </c>
      <c r="BZ13" s="1002">
        <f t="shared" si="24"/>
        <v>19.994</v>
      </c>
      <c r="CA13" s="1002">
        <f t="shared" si="24"/>
        <v>20.350999999999999</v>
      </c>
      <c r="CB13" s="54">
        <f>CB294+CB496+CB666-CB337</f>
        <v>20.806999999999999</v>
      </c>
      <c r="CC13" s="54">
        <f>CC294+CC496+CC666-CC337</f>
        <v>21.914999999999999</v>
      </c>
      <c r="CD13" s="54">
        <f>CD294+CD496+CD666-CD337</f>
        <v>24.353000000000002</v>
      </c>
      <c r="CE13" s="54">
        <f>CE294+CE496+CE666-CE337</f>
        <v>23.233000000000001</v>
      </c>
      <c r="CF13" s="54">
        <f>CF294+CF496+CF666-CF337</f>
        <v>21.612000000000002</v>
      </c>
      <c r="CG13" s="54">
        <f t="shared" ref="CG13:CX13" si="25">CG294+CG496+CG666</f>
        <v>27.056999999999999</v>
      </c>
      <c r="CH13" s="54">
        <f t="shared" si="25"/>
        <v>27.518000000000001</v>
      </c>
      <c r="CI13" s="54">
        <f t="shared" si="25"/>
        <v>26.616999999999997</v>
      </c>
      <c r="CJ13" s="54">
        <f t="shared" si="25"/>
        <v>30.35</v>
      </c>
      <c r="CK13" s="54">
        <f t="shared" si="25"/>
        <v>31.003</v>
      </c>
      <c r="CL13" s="54">
        <f t="shared" si="25"/>
        <v>32.003999999999998</v>
      </c>
      <c r="CM13" s="54">
        <f t="shared" si="25"/>
        <v>32.628999999999998</v>
      </c>
      <c r="CN13" s="54">
        <f t="shared" si="25"/>
        <v>33.516999999999996</v>
      </c>
      <c r="CO13" s="54">
        <f t="shared" si="25"/>
        <v>38.890999999999998</v>
      </c>
      <c r="CP13" s="54">
        <f t="shared" si="25"/>
        <v>39.927999999999997</v>
      </c>
      <c r="CQ13" s="54">
        <f t="shared" si="25"/>
        <v>44.39</v>
      </c>
      <c r="CR13" s="54">
        <f t="shared" si="25"/>
        <v>47.062000000000005</v>
      </c>
      <c r="CS13" s="54">
        <f t="shared" si="25"/>
        <v>48.739000000000004</v>
      </c>
      <c r="CT13" s="54">
        <f t="shared" si="25"/>
        <v>47.67</v>
      </c>
      <c r="CU13" s="54">
        <f t="shared" si="25"/>
        <v>50.205000000000005</v>
      </c>
      <c r="CV13" s="54">
        <f t="shared" si="25"/>
        <v>51.084999999999994</v>
      </c>
      <c r="CW13" s="54">
        <f t="shared" si="25"/>
        <v>56.372999999999998</v>
      </c>
      <c r="CX13" s="54">
        <f t="shared" si="25"/>
        <v>63.228000000000002</v>
      </c>
      <c r="CY13" s="54">
        <f t="shared" ref="CY13" si="26">CY294+CY496+CY666</f>
        <v>77.622000000000014</v>
      </c>
      <c r="CZ13" s="54">
        <f t="shared" ref="CZ13:DC13" si="27">CZ294+CZ496+CZ666</f>
        <v>78.022000000000006</v>
      </c>
      <c r="DA13" s="54">
        <f t="shared" si="27"/>
        <v>78.422000000000025</v>
      </c>
      <c r="DB13" s="54">
        <f t="shared" si="27"/>
        <v>78.822000000000017</v>
      </c>
      <c r="DC13" s="54">
        <f t="shared" si="27"/>
        <v>79.222000000000037</v>
      </c>
      <c r="DD13" s="81"/>
    </row>
    <row r="14" spans="1:108">
      <c r="B14" s="14" t="s">
        <v>988</v>
      </c>
      <c r="C14" s="14"/>
      <c r="D14" s="14"/>
      <c r="E14" s="14"/>
      <c r="F14" s="195">
        <f>SUM(AJ14:AM14)</f>
        <v>63.414000000000001</v>
      </c>
      <c r="G14" s="195">
        <f>SUM(AN14:AQ14)</f>
        <v>77.188000000000002</v>
      </c>
      <c r="H14" s="195">
        <f t="shared" ref="H14:Z14" si="28">SUM(H12:H13)</f>
        <v>117.94200000000001</v>
      </c>
      <c r="I14" s="195">
        <f t="shared" si="28"/>
        <v>163.67100000000002</v>
      </c>
      <c r="J14" s="791">
        <f t="shared" si="28"/>
        <v>221.05700000000002</v>
      </c>
      <c r="K14" s="791">
        <f t="shared" si="28"/>
        <v>286.91500000000002</v>
      </c>
      <c r="L14" s="791">
        <f t="shared" si="28"/>
        <v>419.44200000000006</v>
      </c>
      <c r="M14" s="195">
        <f t="shared" si="28"/>
        <v>704.68</v>
      </c>
      <c r="N14" s="792">
        <f t="shared" si="28"/>
        <v>882.50900000000013</v>
      </c>
      <c r="O14" s="792">
        <f t="shared" si="28"/>
        <v>1196.2139999999999</v>
      </c>
      <c r="P14" s="792">
        <f t="shared" si="28"/>
        <v>1569.7840000000001</v>
      </c>
      <c r="Q14" s="792">
        <f t="shared" si="28"/>
        <v>1887.376</v>
      </c>
      <c r="R14" s="792">
        <f t="shared" si="28"/>
        <v>2152.7660000000001</v>
      </c>
      <c r="S14" s="792">
        <f t="shared" si="28"/>
        <v>2443.7749999999996</v>
      </c>
      <c r="T14" s="792">
        <f>SUM(T12:T13)</f>
        <v>2725.8670000000002</v>
      </c>
      <c r="U14" s="792">
        <f>SUM(U12:U13)</f>
        <v>3611.9889999999996</v>
      </c>
      <c r="V14" s="792">
        <f>SUM(V12:V13)</f>
        <v>4368.4279999999999</v>
      </c>
      <c r="W14" s="792">
        <f ca="1">SUM(W12:W13)</f>
        <v>5039.1585955911905</v>
      </c>
      <c r="X14" s="792">
        <f t="shared" ca="1" si="28"/>
        <v>5500.5877719846403</v>
      </c>
      <c r="Y14" s="792">
        <f t="shared" ca="1" si="28"/>
        <v>5937.3329327160309</v>
      </c>
      <c r="Z14" s="792">
        <f t="shared" ca="1" si="28"/>
        <v>6349.2579843878229</v>
      </c>
      <c r="AA14" s="792">
        <f t="shared" ref="AA14:AD14" ca="1" si="29">SUM(AA12:AA13)</f>
        <v>6759.6524169437562</v>
      </c>
      <c r="AB14" s="792">
        <f t="shared" ca="1" si="29"/>
        <v>7168.2294722832021</v>
      </c>
      <c r="AC14" s="792">
        <f t="shared" ca="1" si="29"/>
        <v>7574.760814010624</v>
      </c>
      <c r="AD14" s="792">
        <f t="shared" ca="1" si="29"/>
        <v>7979.0579009880248</v>
      </c>
      <c r="AE14" s="793"/>
      <c r="AF14" s="793"/>
      <c r="AG14" s="793"/>
      <c r="AH14" s="793"/>
      <c r="AI14" s="793"/>
      <c r="AJ14" s="794">
        <v>12.613</v>
      </c>
      <c r="AK14" s="794">
        <v>16.157</v>
      </c>
      <c r="AL14" s="794">
        <v>17.178000000000001</v>
      </c>
      <c r="AM14" s="794">
        <v>17.466000000000001</v>
      </c>
      <c r="AN14" s="794">
        <v>20.158000000000001</v>
      </c>
      <c r="AO14" s="794">
        <v>18.04</v>
      </c>
      <c r="AP14" s="794">
        <v>20.187000000000001</v>
      </c>
      <c r="AQ14" s="794">
        <v>18.803000000000001</v>
      </c>
      <c r="AR14" s="195">
        <f t="shared" ref="AR14:CJ14" si="30">SUM(AR12:AR13)</f>
        <v>25.435000000000002</v>
      </c>
      <c r="AS14" s="195">
        <f t="shared" si="30"/>
        <v>28.433999999999997</v>
      </c>
      <c r="AT14" s="195">
        <f t="shared" si="30"/>
        <v>30.919</v>
      </c>
      <c r="AU14" s="195">
        <f t="shared" si="30"/>
        <v>33.153999999999996</v>
      </c>
      <c r="AV14" s="195">
        <f t="shared" si="30"/>
        <v>36.82</v>
      </c>
      <c r="AW14" s="195">
        <f t="shared" si="30"/>
        <v>39.423000000000002</v>
      </c>
      <c r="AX14" s="195">
        <f t="shared" si="30"/>
        <v>42.439</v>
      </c>
      <c r="AY14" s="195">
        <f t="shared" si="30"/>
        <v>44.989000000000004</v>
      </c>
      <c r="AZ14" s="195">
        <f t="shared" si="30"/>
        <v>48.683999999999997</v>
      </c>
      <c r="BA14" s="195">
        <f t="shared" si="30"/>
        <v>52.478999999999999</v>
      </c>
      <c r="BB14" s="195">
        <f t="shared" si="30"/>
        <v>58.095999999999997</v>
      </c>
      <c r="BC14" s="195">
        <f t="shared" si="30"/>
        <v>61.797999999999995</v>
      </c>
      <c r="BD14" s="195">
        <f t="shared" si="30"/>
        <v>64.869</v>
      </c>
      <c r="BE14" s="195">
        <f t="shared" si="30"/>
        <v>68.548000000000002</v>
      </c>
      <c r="BF14" s="195">
        <f t="shared" si="30"/>
        <v>73.725999999999999</v>
      </c>
      <c r="BG14" s="195">
        <f t="shared" si="30"/>
        <v>79.771999999999991</v>
      </c>
      <c r="BH14" s="195">
        <f t="shared" si="30"/>
        <v>85.109000000000009</v>
      </c>
      <c r="BI14" s="195">
        <f t="shared" si="30"/>
        <v>91.837000000000018</v>
      </c>
      <c r="BJ14" s="195">
        <f t="shared" si="30"/>
        <v>103.782</v>
      </c>
      <c r="BK14" s="195">
        <f t="shared" si="30"/>
        <v>138.714</v>
      </c>
      <c r="BL14" s="195">
        <f t="shared" si="30"/>
        <v>158.21800000000002</v>
      </c>
      <c r="BM14" s="195">
        <f t="shared" si="30"/>
        <v>172.04399999999998</v>
      </c>
      <c r="BN14" s="195">
        <f t="shared" si="30"/>
        <v>183.73499999999996</v>
      </c>
      <c r="BO14" s="195">
        <f t="shared" si="30"/>
        <v>190.68299999999999</v>
      </c>
      <c r="BP14" s="195">
        <f t="shared" si="30"/>
        <v>199.23100000000002</v>
      </c>
      <c r="BQ14" s="195">
        <f t="shared" si="30"/>
        <v>213.16799999999998</v>
      </c>
      <c r="BR14" s="195">
        <f t="shared" si="30"/>
        <v>227.55799999999999</v>
      </c>
      <c r="BS14" s="195">
        <f t="shared" si="30"/>
        <v>242.55199999999999</v>
      </c>
      <c r="BT14" s="195">
        <f t="shared" si="30"/>
        <v>248.64900000000003</v>
      </c>
      <c r="BU14" s="195">
        <f t="shared" si="30"/>
        <v>290.01699999999994</v>
      </c>
      <c r="BV14" s="195">
        <f t="shared" si="30"/>
        <v>321.39400000000001</v>
      </c>
      <c r="BW14" s="195">
        <f t="shared" si="30"/>
        <v>336.154</v>
      </c>
      <c r="BX14" s="195">
        <f t="shared" si="30"/>
        <v>353.94900000000001</v>
      </c>
      <c r="BY14" s="195">
        <f t="shared" si="30"/>
        <v>385.51099999999997</v>
      </c>
      <c r="BZ14" s="195">
        <f t="shared" si="30"/>
        <v>408.20799999999997</v>
      </c>
      <c r="CA14" s="195">
        <f t="shared" si="30"/>
        <v>422.11599999999999</v>
      </c>
      <c r="CB14" s="195">
        <f t="shared" si="30"/>
        <v>440.952</v>
      </c>
      <c r="CC14" s="195">
        <f t="shared" si="30"/>
        <v>455.53000000000003</v>
      </c>
      <c r="CD14" s="195">
        <f t="shared" si="30"/>
        <v>484.83499999999998</v>
      </c>
      <c r="CE14" s="195">
        <f t="shared" si="30"/>
        <v>506.05899999999997</v>
      </c>
      <c r="CF14" s="195">
        <f t="shared" si="30"/>
        <v>516.1339999999999</v>
      </c>
      <c r="CG14" s="195">
        <f t="shared" si="30"/>
        <v>528.87099999999998</v>
      </c>
      <c r="CH14" s="195">
        <f t="shared" si="30"/>
        <v>543.08400000000006</v>
      </c>
      <c r="CI14" s="195">
        <f t="shared" si="30"/>
        <v>564.67700000000002</v>
      </c>
      <c r="CJ14" s="195">
        <f t="shared" si="30"/>
        <v>580.053</v>
      </c>
      <c r="CK14" s="195">
        <f t="shared" ref="CK14:CU14" si="31">SUM(CK12:CK13)</f>
        <v>605.16100000000006</v>
      </c>
      <c r="CL14" s="195">
        <f t="shared" si="31"/>
        <v>620.43999999999994</v>
      </c>
      <c r="CM14" s="195">
        <f t="shared" si="31"/>
        <v>638.12099999999998</v>
      </c>
      <c r="CN14" s="195">
        <f t="shared" si="31"/>
        <v>643.17399999999998</v>
      </c>
      <c r="CO14" s="195">
        <f t="shared" si="31"/>
        <v>665.58199999999988</v>
      </c>
      <c r="CP14" s="195">
        <f t="shared" si="31"/>
        <v>686.649</v>
      </c>
      <c r="CQ14" s="195">
        <f t="shared" si="31"/>
        <v>730.46199999999988</v>
      </c>
      <c r="CR14" s="195">
        <f t="shared" si="31"/>
        <v>844.15600000000006</v>
      </c>
      <c r="CS14" s="195">
        <f t="shared" si="31"/>
        <v>900.51</v>
      </c>
      <c r="CT14" s="195">
        <f t="shared" si="31"/>
        <v>924.67599999999993</v>
      </c>
      <c r="CU14" s="195">
        <f t="shared" si="31"/>
        <v>942.64700000000005</v>
      </c>
      <c r="CV14" s="195">
        <f>SUM(CV12:CV13)</f>
        <v>949.5250000000002</v>
      </c>
      <c r="CW14" s="195">
        <f>SUM(CW12:CW13)</f>
        <v>1066.421</v>
      </c>
      <c r="CX14" s="195">
        <f>SUM(CX12:CX13)</f>
        <v>1152.261</v>
      </c>
      <c r="CY14" s="195">
        <f>SUM(CY12:CY13)</f>
        <v>1200.221</v>
      </c>
      <c r="CZ14" s="195">
        <f t="shared" ref="CZ14:DC14" ca="1" si="32">SUM(CZ12:CZ13)</f>
        <v>1215.5685010826094</v>
      </c>
      <c r="DA14" s="195">
        <f t="shared" ca="1" si="32"/>
        <v>1240.1100146580661</v>
      </c>
      <c r="DB14" s="195">
        <f t="shared" ca="1" si="32"/>
        <v>1273.9358902089878</v>
      </c>
      <c r="DC14" s="195">
        <f t="shared" ca="1" si="32"/>
        <v>1309.5441896415268</v>
      </c>
      <c r="DD14" s="81"/>
    </row>
    <row r="15" spans="1:108" ht="12.75" customHeight="1">
      <c r="B15" s="18"/>
      <c r="C15" s="23"/>
      <c r="D15" s="15"/>
      <c r="E15" s="15"/>
      <c r="F15" s="15"/>
      <c r="G15" s="15"/>
      <c r="H15" s="15"/>
      <c r="I15" s="15"/>
      <c r="J15" s="15"/>
      <c r="K15" s="15"/>
      <c r="L15" s="795"/>
      <c r="M15" s="795"/>
      <c r="N15" s="795"/>
      <c r="O15" s="796"/>
      <c r="P15" s="796"/>
      <c r="Q15" s="796"/>
      <c r="R15" s="796"/>
      <c r="S15" s="796"/>
      <c r="T15" s="796"/>
      <c r="U15" s="796"/>
      <c r="V15" s="796"/>
      <c r="W15" s="796"/>
      <c r="X15" s="796"/>
      <c r="Y15" s="796"/>
      <c r="Z15" s="796"/>
      <c r="AA15" s="796"/>
      <c r="AB15" s="796"/>
      <c r="AC15" s="796"/>
      <c r="AD15" s="796"/>
      <c r="AE15" s="123"/>
      <c r="AF15" s="123"/>
      <c r="AG15" s="23"/>
      <c r="AH15" s="23"/>
      <c r="AI15" s="23"/>
      <c r="AJ15" s="23"/>
      <c r="AK15" s="23"/>
      <c r="AL15" s="23"/>
      <c r="AM15" s="23"/>
      <c r="AN15" s="23"/>
      <c r="AO15" s="23"/>
      <c r="AP15" s="23"/>
      <c r="AQ15" s="23"/>
      <c r="AR15" s="23"/>
      <c r="AS15" s="23"/>
      <c r="AT15" s="23"/>
      <c r="AU15" s="23"/>
      <c r="AV15" s="23"/>
      <c r="AW15" s="23"/>
      <c r="AX15" s="23"/>
      <c r="AY15" s="23"/>
      <c r="AZ15" s="23"/>
      <c r="BA15" s="797"/>
      <c r="BB15" s="797"/>
      <c r="BC15" s="797"/>
      <c r="BD15" s="797"/>
      <c r="BE15" s="797"/>
      <c r="BF15" s="797"/>
      <c r="BG15" s="797"/>
      <c r="BH15" s="797"/>
      <c r="BI15" s="797"/>
      <c r="BJ15" s="797"/>
      <c r="BK15" s="797"/>
      <c r="BL15" s="797"/>
      <c r="BM15" s="797"/>
      <c r="BN15" s="797"/>
      <c r="BO15" s="797"/>
      <c r="BP15" s="798"/>
      <c r="BQ15" s="798"/>
      <c r="BR15" s="798"/>
      <c r="BS15" s="798"/>
      <c r="BT15" s="798"/>
      <c r="BU15" s="798"/>
      <c r="BV15" s="15"/>
      <c r="BW15" s="15"/>
      <c r="BX15" s="15"/>
      <c r="BY15" s="15"/>
      <c r="BZ15" s="15"/>
      <c r="CA15" s="15"/>
      <c r="CB15" s="15"/>
      <c r="CC15" s="15"/>
      <c r="CD15" s="15"/>
      <c r="CE15" s="15"/>
      <c r="CF15" s="15"/>
      <c r="CG15" s="15"/>
      <c r="CH15" s="15"/>
      <c r="CI15" s="15"/>
      <c r="CJ15" s="15"/>
      <c r="CK15" s="15"/>
      <c r="CL15" s="15"/>
      <c r="CM15" s="15"/>
      <c r="CN15" s="15"/>
      <c r="CO15" s="15"/>
      <c r="CP15" s="15"/>
      <c r="CQ15" s="15"/>
      <c r="CR15" s="15"/>
      <c r="CS15" s="15"/>
      <c r="CT15" s="15"/>
      <c r="CU15" s="15"/>
      <c r="CV15" s="15"/>
      <c r="CW15" s="15"/>
      <c r="CX15" s="15"/>
      <c r="CY15" s="15"/>
      <c r="CZ15" s="15"/>
      <c r="DA15" s="15"/>
      <c r="DB15" s="15"/>
      <c r="DC15" s="15"/>
    </row>
    <row r="16" spans="1:108" ht="12.75" customHeight="1">
      <c r="B16" s="875" t="s">
        <v>622</v>
      </c>
      <c r="C16" s="23"/>
      <c r="D16" s="15"/>
      <c r="E16" s="15"/>
      <c r="F16" s="15"/>
      <c r="G16" s="15"/>
      <c r="H16" s="15"/>
      <c r="I16" s="15"/>
      <c r="J16" s="15"/>
      <c r="K16" s="15"/>
      <c r="L16" s="795"/>
      <c r="M16" s="795"/>
      <c r="N16" s="795"/>
      <c r="O16" s="796"/>
      <c r="P16" s="796"/>
      <c r="Q16" s="796"/>
      <c r="R16" s="796"/>
      <c r="S16" s="796"/>
      <c r="T16" s="796"/>
      <c r="U16" s="796"/>
      <c r="V16" s="796"/>
      <c r="W16" s="796"/>
      <c r="X16" s="796"/>
      <c r="Y16" s="796"/>
      <c r="Z16" s="796"/>
      <c r="AA16" s="796"/>
      <c r="AB16" s="796"/>
      <c r="AC16" s="796"/>
      <c r="AD16" s="796"/>
      <c r="AE16" s="123"/>
      <c r="AF16" s="123"/>
      <c r="AG16" s="23"/>
      <c r="AH16" s="23"/>
      <c r="AI16" s="23"/>
      <c r="AJ16" s="23"/>
      <c r="AK16" s="23"/>
      <c r="AL16" s="23"/>
      <c r="AM16" s="23"/>
      <c r="AN16" s="23"/>
      <c r="AO16" s="23"/>
      <c r="AP16" s="23"/>
      <c r="AQ16" s="23"/>
      <c r="AR16" s="23"/>
      <c r="AS16" s="23"/>
      <c r="AT16" s="23"/>
      <c r="AU16" s="23"/>
      <c r="AV16" s="23"/>
      <c r="AW16" s="23"/>
      <c r="AX16" s="23"/>
      <c r="AY16" s="23"/>
      <c r="AZ16" s="23"/>
      <c r="BA16" s="797"/>
      <c r="BB16" s="797"/>
      <c r="BC16" s="797"/>
      <c r="BD16" s="797"/>
      <c r="BE16" s="797"/>
      <c r="BF16" s="797"/>
      <c r="BG16" s="797"/>
      <c r="BH16" s="797"/>
      <c r="BI16" s="797"/>
      <c r="BJ16" s="797"/>
      <c r="BK16" s="797"/>
      <c r="BL16" s="797"/>
      <c r="BM16" s="797"/>
      <c r="BN16" s="797"/>
      <c r="BO16" s="797"/>
      <c r="BP16" s="798"/>
      <c r="BQ16" s="798"/>
      <c r="BR16" s="798"/>
      <c r="BS16" s="798"/>
      <c r="BT16" s="798"/>
      <c r="BU16" s="798"/>
      <c r="BV16" s="15"/>
      <c r="BW16" s="15"/>
      <c r="BX16" s="15"/>
      <c r="BY16" s="15"/>
      <c r="BZ16" s="15"/>
      <c r="CA16" s="15"/>
      <c r="CB16" s="15"/>
      <c r="CC16" s="15"/>
      <c r="CD16" s="15"/>
      <c r="CE16" s="15"/>
      <c r="CF16" s="15"/>
      <c r="CG16" s="15"/>
      <c r="CH16" s="15"/>
      <c r="CI16" s="15"/>
      <c r="CJ16" s="15"/>
      <c r="CK16" s="15"/>
      <c r="CL16" s="15"/>
      <c r="CM16" s="15"/>
      <c r="CN16" s="15"/>
      <c r="CO16" s="15"/>
      <c r="CP16" s="15"/>
      <c r="CQ16" s="15"/>
      <c r="CR16" s="15"/>
      <c r="CS16" s="15"/>
      <c r="CT16" s="15"/>
      <c r="CU16" s="15"/>
      <c r="CV16" s="15"/>
      <c r="CW16" s="15"/>
      <c r="CX16" s="15"/>
      <c r="CY16" s="15"/>
      <c r="CZ16" s="15"/>
      <c r="DA16" s="15"/>
      <c r="DB16" s="15"/>
      <c r="DC16" s="15"/>
    </row>
    <row r="17" spans="2:107" ht="12.75" customHeight="1">
      <c r="B17" s="17" t="s">
        <v>1050</v>
      </c>
      <c r="C17" s="23"/>
      <c r="D17" s="15"/>
      <c r="E17" s="15"/>
      <c r="F17" s="15"/>
      <c r="G17" s="15"/>
      <c r="H17" s="15"/>
      <c r="I17" s="15"/>
      <c r="J17" s="15"/>
      <c r="K17" s="15"/>
      <c r="L17" s="795"/>
      <c r="M17" s="795"/>
      <c r="N17" s="795"/>
      <c r="O17" s="796"/>
      <c r="P17" s="796"/>
      <c r="Q17" s="796"/>
      <c r="R17" s="796"/>
      <c r="S17" s="796"/>
      <c r="T17" s="796"/>
      <c r="U17" s="796"/>
      <c r="V17" s="796"/>
      <c r="W17" s="796"/>
      <c r="X17" s="796"/>
      <c r="Y17" s="796"/>
      <c r="Z17" s="796"/>
      <c r="AA17" s="796"/>
      <c r="AB17" s="796"/>
      <c r="AC17" s="796"/>
      <c r="AD17" s="796"/>
      <c r="AE17" s="123"/>
      <c r="AF17" s="123"/>
      <c r="AG17" s="23"/>
      <c r="AH17" s="23"/>
      <c r="AI17" s="23"/>
      <c r="AJ17" s="23"/>
      <c r="AK17" s="23"/>
      <c r="AL17" s="23"/>
      <c r="AM17" s="23"/>
      <c r="AN17" s="23"/>
      <c r="AO17" s="23"/>
      <c r="AP17" s="23"/>
      <c r="AQ17" s="23"/>
      <c r="AR17" s="23"/>
      <c r="AS17" s="23"/>
      <c r="AT17" s="23"/>
      <c r="AU17" s="23"/>
      <c r="AV17" s="23"/>
      <c r="AW17" s="23"/>
      <c r="AX17" s="23"/>
      <c r="AY17" s="23"/>
      <c r="AZ17" s="23"/>
      <c r="BA17" s="797"/>
      <c r="BB17" s="797"/>
      <c r="BC17" s="797"/>
      <c r="BD17" s="797"/>
      <c r="BE17" s="797"/>
      <c r="BF17" s="797"/>
      <c r="BG17" s="797"/>
      <c r="BH17" s="797"/>
      <c r="BI17" s="797"/>
      <c r="BJ17" s="797"/>
      <c r="BK17" s="797"/>
      <c r="BL17" s="797"/>
      <c r="BM17" s="797"/>
      <c r="BN17" s="797"/>
      <c r="BO17" s="797"/>
      <c r="BP17" s="798"/>
      <c r="BQ17" s="798"/>
      <c r="BR17" s="798"/>
      <c r="BS17" s="798"/>
      <c r="BT17" s="798"/>
      <c r="BU17" s="784">
        <v>233.32</v>
      </c>
      <c r="BV17" s="784">
        <v>257.29500000000002</v>
      </c>
      <c r="BW17" s="784">
        <v>265.46199999999999</v>
      </c>
      <c r="BX17" s="784">
        <v>280.73500000000001</v>
      </c>
      <c r="BY17" s="398">
        <v>301.58600000000001</v>
      </c>
      <c r="BZ17" s="1208">
        <v>312.89999999999998</v>
      </c>
      <c r="CA17" s="1208">
        <v>326.7</v>
      </c>
      <c r="CB17" s="1208"/>
      <c r="CC17" s="1208"/>
      <c r="CD17" s="15"/>
      <c r="CE17" s="15"/>
      <c r="CF17" s="15"/>
      <c r="CG17" s="15"/>
      <c r="CH17" s="15"/>
      <c r="CI17" s="15"/>
      <c r="CJ17" s="15"/>
      <c r="CK17" s="15"/>
      <c r="CL17" s="15"/>
      <c r="CM17" s="15"/>
      <c r="CN17" s="15"/>
      <c r="CO17" s="15"/>
      <c r="CP17" s="15"/>
      <c r="CQ17" s="15"/>
      <c r="CR17" s="15"/>
      <c r="CS17" s="15"/>
      <c r="CT17" s="15"/>
      <c r="CU17" s="15"/>
      <c r="CV17" s="15"/>
      <c r="CW17" s="15"/>
      <c r="CX17" s="15"/>
      <c r="CY17" s="15"/>
      <c r="CZ17" s="15"/>
      <c r="DA17" s="15"/>
      <c r="DB17" s="15"/>
      <c r="DC17" s="15"/>
    </row>
    <row r="18" spans="2:107" ht="12.75" customHeight="1">
      <c r="B18" s="17" t="s">
        <v>1124</v>
      </c>
      <c r="C18" s="23"/>
      <c r="D18" s="15"/>
      <c r="E18" s="15"/>
      <c r="F18" s="15"/>
      <c r="G18" s="15"/>
      <c r="H18" s="15"/>
      <c r="I18" s="15"/>
      <c r="J18" s="15"/>
      <c r="K18" s="15"/>
      <c r="L18" s="795"/>
      <c r="M18" s="795"/>
      <c r="N18" s="795"/>
      <c r="O18" s="796"/>
      <c r="P18" s="796"/>
      <c r="Q18" s="796"/>
      <c r="R18" s="796"/>
      <c r="S18" s="796"/>
      <c r="T18" s="796"/>
      <c r="U18" s="796"/>
      <c r="V18" s="796"/>
      <c r="W18" s="796"/>
      <c r="X18" s="796"/>
      <c r="Y18" s="796"/>
      <c r="Z18" s="796"/>
      <c r="AA18" s="796"/>
      <c r="AB18" s="796"/>
      <c r="AC18" s="796"/>
      <c r="AD18" s="796"/>
      <c r="AE18" s="123"/>
      <c r="AF18" s="123"/>
      <c r="AG18" s="23"/>
      <c r="AH18" s="23"/>
      <c r="AI18" s="23"/>
      <c r="AJ18" s="23"/>
      <c r="AK18" s="23"/>
      <c r="AL18" s="23"/>
      <c r="AM18" s="23"/>
      <c r="AN18" s="23"/>
      <c r="AO18" s="23"/>
      <c r="AP18" s="23"/>
      <c r="AQ18" s="23"/>
      <c r="AR18" s="23"/>
      <c r="AS18" s="23"/>
      <c r="AT18" s="23"/>
      <c r="AU18" s="23"/>
      <c r="AV18" s="23"/>
      <c r="AW18" s="23"/>
      <c r="AX18" s="23"/>
      <c r="AY18" s="23"/>
      <c r="AZ18" s="23"/>
      <c r="BA18" s="797"/>
      <c r="BB18" s="797"/>
      <c r="BC18" s="797"/>
      <c r="BD18" s="797"/>
      <c r="BE18" s="797"/>
      <c r="BF18" s="797"/>
      <c r="BG18" s="797"/>
      <c r="BH18" s="797"/>
      <c r="BI18" s="797"/>
      <c r="BJ18" s="797"/>
      <c r="BK18" s="797"/>
      <c r="BL18" s="797"/>
      <c r="BM18" s="797"/>
      <c r="BN18" s="797"/>
      <c r="BO18" s="797"/>
      <c r="BP18" s="798"/>
      <c r="BQ18" s="798"/>
      <c r="BR18" s="798"/>
      <c r="BS18" s="798"/>
      <c r="BT18" s="798"/>
      <c r="BU18" s="784">
        <v>40.942</v>
      </c>
      <c r="BV18" s="784">
        <v>48.837000000000003</v>
      </c>
      <c r="BW18" s="784">
        <v>51.997999999999998</v>
      </c>
      <c r="BX18" s="784">
        <v>54.075000000000003</v>
      </c>
      <c r="BY18" s="398">
        <v>58.906999999999996</v>
      </c>
      <c r="BZ18" s="1208">
        <v>59.256</v>
      </c>
      <c r="CA18" s="1208">
        <v>62.771999999999998</v>
      </c>
      <c r="CB18" s="1208"/>
      <c r="CC18" s="1208"/>
      <c r="CD18" s="15"/>
      <c r="CE18" s="15"/>
      <c r="CF18" s="15"/>
      <c r="CG18" s="15"/>
      <c r="CH18" s="15"/>
      <c r="CI18" s="15"/>
      <c r="CJ18" s="15"/>
      <c r="CK18" s="15"/>
      <c r="CL18" s="15"/>
      <c r="CM18" s="15"/>
      <c r="CN18" s="15"/>
      <c r="CO18" s="15"/>
      <c r="CP18" s="15"/>
      <c r="CQ18" s="15"/>
      <c r="CR18" s="15"/>
      <c r="CS18" s="15"/>
      <c r="CT18" s="15"/>
      <c r="CU18" s="15"/>
      <c r="CV18" s="15"/>
      <c r="CW18" s="15"/>
      <c r="CX18" s="15"/>
      <c r="CY18" s="15"/>
      <c r="CZ18" s="15"/>
      <c r="DA18" s="15"/>
      <c r="DB18" s="15"/>
      <c r="DC18" s="15"/>
    </row>
    <row r="19" spans="2:107" ht="12.75" customHeight="1">
      <c r="B19" s="17" t="s">
        <v>1228</v>
      </c>
      <c r="C19" s="23"/>
      <c r="D19" s="15"/>
      <c r="E19" s="15"/>
      <c r="F19" s="15"/>
      <c r="G19" s="15"/>
      <c r="H19" s="15"/>
      <c r="I19" s="15"/>
      <c r="J19" s="15"/>
      <c r="K19" s="15"/>
      <c r="L19" s="795"/>
      <c r="M19" s="795"/>
      <c r="N19" s="795"/>
      <c r="O19" s="796"/>
      <c r="P19" s="796"/>
      <c r="Q19" s="796"/>
      <c r="R19" s="796"/>
      <c r="S19" s="796"/>
      <c r="T19" s="796"/>
      <c r="U19" s="796"/>
      <c r="V19" s="796"/>
      <c r="W19" s="796"/>
      <c r="X19" s="796"/>
      <c r="Y19" s="796"/>
      <c r="Z19" s="796"/>
      <c r="AA19" s="796"/>
      <c r="AB19" s="796"/>
      <c r="AC19" s="796"/>
      <c r="AD19" s="796"/>
      <c r="AE19" s="123"/>
      <c r="AF19" s="123"/>
      <c r="AG19" s="23"/>
      <c r="AH19" s="23"/>
      <c r="AI19" s="23"/>
      <c r="AJ19" s="23"/>
      <c r="AK19" s="23"/>
      <c r="AL19" s="23"/>
      <c r="AM19" s="23"/>
      <c r="AN19" s="23"/>
      <c r="AO19" s="23"/>
      <c r="AP19" s="23"/>
      <c r="AQ19" s="23"/>
      <c r="AR19" s="23"/>
      <c r="AS19" s="23"/>
      <c r="AT19" s="23"/>
      <c r="AU19" s="23"/>
      <c r="AV19" s="23"/>
      <c r="AW19" s="23"/>
      <c r="AX19" s="23"/>
      <c r="AY19" s="23"/>
      <c r="AZ19" s="23"/>
      <c r="BA19" s="797"/>
      <c r="BB19" s="797"/>
      <c r="BC19" s="797"/>
      <c r="BD19" s="797"/>
      <c r="BE19" s="797"/>
      <c r="BF19" s="797"/>
      <c r="BG19" s="797"/>
      <c r="BH19" s="797"/>
      <c r="BI19" s="797"/>
      <c r="BJ19" s="797"/>
      <c r="BK19" s="797"/>
      <c r="BL19" s="797"/>
      <c r="BM19" s="797"/>
      <c r="BN19" s="797"/>
      <c r="BO19" s="797"/>
      <c r="BP19" s="798"/>
      <c r="BQ19" s="798"/>
      <c r="BR19" s="798"/>
      <c r="BS19" s="798"/>
      <c r="BT19" s="798"/>
      <c r="BU19" s="784">
        <v>7.2949999999999999</v>
      </c>
      <c r="BV19" s="784">
        <v>7.8049999999999997</v>
      </c>
      <c r="BW19" s="784">
        <v>8.1020000000000003</v>
      </c>
      <c r="BX19" s="784">
        <v>8.4770000000000003</v>
      </c>
      <c r="BY19" s="398">
        <v>15.369</v>
      </c>
      <c r="BZ19" s="1208">
        <v>24.382999999999999</v>
      </c>
      <c r="CA19" s="1208">
        <v>20.561</v>
      </c>
      <c r="CB19" s="1208"/>
      <c r="CC19" s="1208"/>
      <c r="CD19" s="15"/>
      <c r="CE19" s="15"/>
      <c r="CF19" s="15"/>
      <c r="CG19" s="15"/>
      <c r="CH19" s="15"/>
      <c r="CI19" s="15"/>
      <c r="CJ19" s="15"/>
      <c r="CK19" s="15"/>
      <c r="CL19" s="15"/>
      <c r="CM19" s="15"/>
      <c r="CN19" s="15"/>
      <c r="CO19" s="15"/>
      <c r="CP19" s="15"/>
      <c r="CQ19" s="15"/>
      <c r="CR19" s="15"/>
      <c r="CS19" s="15"/>
      <c r="CT19" s="15"/>
      <c r="CU19" s="15"/>
      <c r="CV19" s="15"/>
      <c r="CW19" s="15"/>
      <c r="CX19" s="15"/>
      <c r="CY19" s="15"/>
      <c r="CZ19" s="15"/>
      <c r="DA19" s="15"/>
      <c r="DB19" s="15"/>
      <c r="DC19" s="15"/>
    </row>
    <row r="20" spans="2:107" ht="12.75" customHeight="1">
      <c r="B20" s="17" t="s">
        <v>1222</v>
      </c>
      <c r="C20" s="23"/>
      <c r="D20" s="15"/>
      <c r="E20" s="15"/>
      <c r="F20" s="15"/>
      <c r="G20" s="15"/>
      <c r="H20" s="15"/>
      <c r="I20" s="15"/>
      <c r="J20" s="15"/>
      <c r="K20" s="15"/>
      <c r="L20" s="795"/>
      <c r="M20" s="795"/>
      <c r="N20" s="795"/>
      <c r="O20" s="796"/>
      <c r="P20" s="796"/>
      <c r="Q20" s="796"/>
      <c r="R20" s="796"/>
      <c r="S20" s="796"/>
      <c r="T20" s="796"/>
      <c r="U20" s="796"/>
      <c r="V20" s="796"/>
      <c r="W20" s="796"/>
      <c r="X20" s="796"/>
      <c r="Y20" s="796"/>
      <c r="Z20" s="796"/>
      <c r="AA20" s="796"/>
      <c r="AB20" s="796"/>
      <c r="AC20" s="796"/>
      <c r="AD20" s="796"/>
      <c r="AE20" s="123"/>
      <c r="AF20" s="123"/>
      <c r="AG20" s="23"/>
      <c r="AH20" s="23"/>
      <c r="AI20" s="23"/>
      <c r="AJ20" s="23"/>
      <c r="AK20" s="23"/>
      <c r="AL20" s="23"/>
      <c r="AM20" s="23"/>
      <c r="AN20" s="23"/>
      <c r="AO20" s="23"/>
      <c r="AP20" s="23"/>
      <c r="AQ20" s="23"/>
      <c r="AR20" s="23"/>
      <c r="AS20" s="23"/>
      <c r="AT20" s="23"/>
      <c r="AU20" s="23"/>
      <c r="AV20" s="23"/>
      <c r="AW20" s="23"/>
      <c r="AX20" s="23"/>
      <c r="AY20" s="23"/>
      <c r="AZ20" s="23"/>
      <c r="BA20" s="797"/>
      <c r="BB20" s="797"/>
      <c r="BC20" s="797"/>
      <c r="BD20" s="797"/>
      <c r="BE20" s="797"/>
      <c r="BF20" s="797"/>
      <c r="BG20" s="797"/>
      <c r="BH20" s="797"/>
      <c r="BI20" s="797"/>
      <c r="BJ20" s="797"/>
      <c r="BK20" s="797"/>
      <c r="BL20" s="797"/>
      <c r="BM20" s="797"/>
      <c r="BN20" s="797"/>
      <c r="BO20" s="797"/>
      <c r="BP20" s="798"/>
      <c r="BQ20" s="798"/>
      <c r="BR20" s="798"/>
      <c r="BS20" s="798"/>
      <c r="BT20" s="798"/>
      <c r="BU20" s="787">
        <v>0.56000000000000005</v>
      </c>
      <c r="BV20" s="787">
        <v>0.79</v>
      </c>
      <c r="BW20" s="787">
        <v>0.77600000000000002</v>
      </c>
      <c r="BX20" s="787">
        <v>0.622</v>
      </c>
      <c r="BY20" s="975">
        <v>0.66600000000000004</v>
      </c>
      <c r="BZ20" s="975">
        <v>0.81200000000000006</v>
      </c>
      <c r="CA20" s="975">
        <v>0.70099999999999996</v>
      </c>
      <c r="CB20" s="975"/>
      <c r="CC20" s="975"/>
      <c r="CD20" s="15"/>
      <c r="CE20" s="15"/>
      <c r="CF20" s="15"/>
      <c r="CG20" s="15"/>
      <c r="CH20" s="15"/>
      <c r="CI20" s="15"/>
      <c r="CJ20" s="15"/>
      <c r="CK20" s="15"/>
      <c r="CL20" s="15"/>
      <c r="CM20" s="15"/>
      <c r="CN20" s="15"/>
      <c r="CO20" s="15"/>
      <c r="CP20" s="15"/>
      <c r="CQ20" s="15"/>
      <c r="CR20" s="15"/>
      <c r="CS20" s="15"/>
      <c r="CT20" s="15"/>
      <c r="CU20" s="15"/>
      <c r="CV20" s="15"/>
      <c r="CW20" s="15"/>
      <c r="CX20" s="15"/>
      <c r="CY20" s="15"/>
      <c r="CZ20" s="15"/>
      <c r="DA20" s="15"/>
      <c r="DB20" s="15"/>
      <c r="DC20" s="15"/>
    </row>
    <row r="21" spans="2:107" ht="12.75" customHeight="1">
      <c r="B21" s="23" t="s">
        <v>1227</v>
      </c>
      <c r="C21" s="23"/>
      <c r="D21" s="15"/>
      <c r="E21" s="15"/>
      <c r="F21" s="15"/>
      <c r="G21" s="15"/>
      <c r="H21" s="15"/>
      <c r="I21" s="15"/>
      <c r="J21" s="15"/>
      <c r="K21" s="15"/>
      <c r="L21" s="795"/>
      <c r="M21" s="795"/>
      <c r="N21" s="795"/>
      <c r="O21" s="796"/>
      <c r="P21" s="796"/>
      <c r="Q21" s="796"/>
      <c r="R21" s="796"/>
      <c r="S21" s="796"/>
      <c r="T21" s="796"/>
      <c r="U21" s="796"/>
      <c r="V21" s="796"/>
      <c r="W21" s="796"/>
      <c r="X21" s="796"/>
      <c r="Y21" s="796"/>
      <c r="Z21" s="796"/>
      <c r="AA21" s="796"/>
      <c r="AB21" s="796"/>
      <c r="AC21" s="796"/>
      <c r="AD21" s="796"/>
      <c r="AE21" s="123"/>
      <c r="AF21" s="123"/>
      <c r="AG21" s="23"/>
      <c r="AH21" s="23"/>
      <c r="AI21" s="23"/>
      <c r="AJ21" s="23"/>
      <c r="AK21" s="23"/>
      <c r="AL21" s="23"/>
      <c r="AM21" s="23"/>
      <c r="AN21" s="23"/>
      <c r="AO21" s="23"/>
      <c r="AP21" s="23"/>
      <c r="AQ21" s="23"/>
      <c r="AR21" s="23"/>
      <c r="AS21" s="23"/>
      <c r="AT21" s="23"/>
      <c r="AU21" s="23"/>
      <c r="AV21" s="23"/>
      <c r="AW21" s="23"/>
      <c r="AX21" s="23"/>
      <c r="AY21" s="23"/>
      <c r="AZ21" s="23"/>
      <c r="BA21" s="797"/>
      <c r="BB21" s="797"/>
      <c r="BC21" s="797"/>
      <c r="BD21" s="797"/>
      <c r="BE21" s="797"/>
      <c r="BF21" s="797"/>
      <c r="BG21" s="797"/>
      <c r="BH21" s="797"/>
      <c r="BI21" s="797"/>
      <c r="BJ21" s="797"/>
      <c r="BK21" s="797"/>
      <c r="BL21" s="797"/>
      <c r="BM21" s="797"/>
      <c r="BN21" s="797"/>
      <c r="BO21" s="797"/>
      <c r="BP21" s="798"/>
      <c r="BQ21" s="798"/>
      <c r="BR21" s="798"/>
      <c r="BS21" s="798"/>
      <c r="BT21" s="798"/>
      <c r="BU21" s="54">
        <f t="shared" ref="BU21:CA21" si="33">SUM(BU17:BU20)</f>
        <v>282.11700000000002</v>
      </c>
      <c r="BV21" s="54">
        <f t="shared" si="33"/>
        <v>314.72700000000003</v>
      </c>
      <c r="BW21" s="54">
        <f t="shared" si="33"/>
        <v>326.33799999999997</v>
      </c>
      <c r="BX21" s="54">
        <f t="shared" si="33"/>
        <v>343.90899999999999</v>
      </c>
      <c r="BY21" s="54">
        <f t="shared" si="33"/>
        <v>376.52799999999996</v>
      </c>
      <c r="BZ21" s="901">
        <f t="shared" si="33"/>
        <v>397.35099999999994</v>
      </c>
      <c r="CA21" s="901">
        <f t="shared" si="33"/>
        <v>410.73399999999998</v>
      </c>
      <c r="CB21" s="901"/>
      <c r="CC21" s="901"/>
      <c r="CD21" s="15"/>
      <c r="CE21" s="15"/>
      <c r="CF21" s="15"/>
      <c r="CG21" s="15"/>
      <c r="CH21" s="15"/>
      <c r="CI21" s="15"/>
      <c r="CJ21" s="15"/>
      <c r="CK21" s="15"/>
      <c r="CL21" s="15"/>
      <c r="CM21" s="15"/>
      <c r="CN21" s="15"/>
      <c r="CO21" s="15"/>
      <c r="CP21" s="15"/>
      <c r="CQ21" s="15"/>
      <c r="CR21" s="15"/>
      <c r="CS21" s="15"/>
      <c r="CT21" s="15"/>
      <c r="CU21" s="15"/>
      <c r="CV21" s="15"/>
      <c r="CW21" s="15"/>
      <c r="CX21" s="15"/>
      <c r="CY21" s="15"/>
      <c r="CZ21" s="15"/>
      <c r="DA21" s="15"/>
      <c r="DB21" s="15"/>
      <c r="DC21" s="15"/>
    </row>
    <row r="22" spans="2:107" ht="12.75" customHeight="1">
      <c r="B22" s="23" t="s">
        <v>1226</v>
      </c>
      <c r="C22" s="23"/>
      <c r="D22" s="15"/>
      <c r="E22" s="15"/>
      <c r="F22" s="15"/>
      <c r="G22" s="15"/>
      <c r="H22" s="15"/>
      <c r="I22" s="15"/>
      <c r="J22" s="15"/>
      <c r="K22" s="15"/>
      <c r="L22" s="795"/>
      <c r="M22" s="795"/>
      <c r="N22" s="795"/>
      <c r="O22" s="796"/>
      <c r="P22" s="796"/>
      <c r="Q22" s="796"/>
      <c r="R22" s="796"/>
      <c r="S22" s="796"/>
      <c r="T22" s="796"/>
      <c r="U22" s="796"/>
      <c r="V22" s="796"/>
      <c r="W22" s="796"/>
      <c r="X22" s="796"/>
      <c r="Y22" s="796"/>
      <c r="Z22" s="796"/>
      <c r="AA22" s="796"/>
      <c r="AB22" s="796"/>
      <c r="AC22" s="796"/>
      <c r="AD22" s="796"/>
      <c r="AE22" s="123"/>
      <c r="AF22" s="123"/>
      <c r="AG22" s="23"/>
      <c r="AH22" s="23"/>
      <c r="AI22" s="23"/>
      <c r="AJ22" s="23"/>
      <c r="AK22" s="23"/>
      <c r="AL22" s="23"/>
      <c r="AM22" s="23"/>
      <c r="AN22" s="23"/>
      <c r="AO22" s="23"/>
      <c r="AP22" s="23"/>
      <c r="AQ22" s="23"/>
      <c r="AR22" s="23"/>
      <c r="AS22" s="23"/>
      <c r="AT22" s="23"/>
      <c r="AU22" s="23"/>
      <c r="AV22" s="23"/>
      <c r="AW22" s="23"/>
      <c r="AX22" s="23"/>
      <c r="AY22" s="23"/>
      <c r="AZ22" s="23"/>
      <c r="BA22" s="797"/>
      <c r="BB22" s="797"/>
      <c r="BC22" s="797"/>
      <c r="BD22" s="797"/>
      <c r="BE22" s="797"/>
      <c r="BF22" s="797"/>
      <c r="BG22" s="797"/>
      <c r="BH22" s="797"/>
      <c r="BI22" s="797"/>
      <c r="BJ22" s="797"/>
      <c r="BK22" s="797"/>
      <c r="BL22" s="797"/>
      <c r="BM22" s="797"/>
      <c r="BN22" s="797"/>
      <c r="BO22" s="797"/>
      <c r="BP22" s="798"/>
      <c r="BQ22" s="798"/>
      <c r="BR22" s="798"/>
      <c r="BS22" s="798"/>
      <c r="BT22" s="798"/>
      <c r="BU22" s="398">
        <v>13.977</v>
      </c>
      <c r="BV22" s="398">
        <v>15.62</v>
      </c>
      <c r="BW22" s="398">
        <v>18.905999999999999</v>
      </c>
      <c r="BX22" s="398">
        <v>19.12</v>
      </c>
      <c r="BY22" s="398">
        <v>18.372</v>
      </c>
      <c r="BZ22" s="398">
        <v>20.25</v>
      </c>
      <c r="CA22" s="398">
        <v>20.577999999999999</v>
      </c>
      <c r="CB22" s="398"/>
      <c r="CC22" s="398"/>
      <c r="CD22" s="15"/>
      <c r="CE22" s="15"/>
      <c r="CF22" s="15"/>
      <c r="CG22" s="15"/>
      <c r="CH22" s="15"/>
      <c r="CI22" s="15"/>
      <c r="CJ22" s="15"/>
      <c r="CK22" s="15"/>
      <c r="CL22" s="15"/>
      <c r="CM22" s="15"/>
      <c r="CN22" s="15"/>
      <c r="CO22" s="15"/>
      <c r="CP22" s="15"/>
      <c r="CQ22" s="15"/>
      <c r="CR22" s="15"/>
      <c r="CS22" s="15"/>
      <c r="CT22" s="15"/>
      <c r="CU22" s="15"/>
      <c r="CV22" s="15"/>
      <c r="CW22" s="15"/>
      <c r="CX22" s="15"/>
      <c r="CY22" s="15"/>
      <c r="CZ22" s="15"/>
      <c r="DA22" s="15"/>
      <c r="DB22" s="15"/>
      <c r="DC22" s="15"/>
    </row>
    <row r="23" spans="2:107" ht="12.75" customHeight="1">
      <c r="B23" s="14" t="s">
        <v>988</v>
      </c>
      <c r="C23" s="23"/>
      <c r="D23" s="15"/>
      <c r="E23" s="15"/>
      <c r="F23" s="15"/>
      <c r="G23" s="15"/>
      <c r="H23" s="15"/>
      <c r="I23" s="15"/>
      <c r="J23" s="15"/>
      <c r="K23" s="15"/>
      <c r="L23" s="795"/>
      <c r="M23" s="795"/>
      <c r="N23" s="795"/>
      <c r="O23" s="796"/>
      <c r="P23" s="796"/>
      <c r="Q23" s="796"/>
      <c r="R23" s="796"/>
      <c r="S23" s="796"/>
      <c r="T23" s="796"/>
      <c r="U23" s="796"/>
      <c r="V23" s="796"/>
      <c r="W23" s="796"/>
      <c r="X23" s="796"/>
      <c r="Y23" s="796"/>
      <c r="Z23" s="796"/>
      <c r="AA23" s="796"/>
      <c r="AB23" s="796"/>
      <c r="AC23" s="796"/>
      <c r="AD23" s="796"/>
      <c r="AE23" s="123"/>
      <c r="AF23" s="123"/>
      <c r="AG23" s="23"/>
      <c r="AH23" s="23"/>
      <c r="AI23" s="23"/>
      <c r="AJ23" s="23"/>
      <c r="AK23" s="23"/>
      <c r="AL23" s="23"/>
      <c r="AM23" s="23"/>
      <c r="AN23" s="23"/>
      <c r="AO23" s="23"/>
      <c r="AP23" s="23"/>
      <c r="AQ23" s="23"/>
      <c r="AR23" s="23"/>
      <c r="AS23" s="23"/>
      <c r="AT23" s="23"/>
      <c r="AU23" s="23"/>
      <c r="AV23" s="23"/>
      <c r="AW23" s="23"/>
      <c r="AX23" s="23"/>
      <c r="AY23" s="23"/>
      <c r="AZ23" s="23"/>
      <c r="BA23" s="797"/>
      <c r="BB23" s="797"/>
      <c r="BC23" s="797"/>
      <c r="BD23" s="797"/>
      <c r="BE23" s="797"/>
      <c r="BF23" s="797"/>
      <c r="BG23" s="797"/>
      <c r="BH23" s="797"/>
      <c r="BI23" s="797"/>
      <c r="BJ23" s="797"/>
      <c r="BK23" s="797"/>
      <c r="BL23" s="797"/>
      <c r="BM23" s="797"/>
      <c r="BN23" s="797"/>
      <c r="BO23" s="797"/>
      <c r="BP23" s="798"/>
      <c r="BQ23" s="798"/>
      <c r="BR23" s="798"/>
      <c r="BS23" s="798"/>
      <c r="BT23" s="798"/>
      <c r="BU23" s="195">
        <f t="shared" ref="BU23:CA23" si="34">SUM(BU21:BU22)</f>
        <v>296.09399999999999</v>
      </c>
      <c r="BV23" s="195">
        <f t="shared" si="34"/>
        <v>330.34700000000004</v>
      </c>
      <c r="BW23" s="195">
        <f t="shared" si="34"/>
        <v>345.24399999999997</v>
      </c>
      <c r="BX23" s="195">
        <f t="shared" si="34"/>
        <v>363.029</v>
      </c>
      <c r="BY23" s="195">
        <f t="shared" si="34"/>
        <v>394.9</v>
      </c>
      <c r="BZ23" s="195">
        <f t="shared" si="34"/>
        <v>417.60099999999994</v>
      </c>
      <c r="CA23" s="195">
        <f t="shared" si="34"/>
        <v>431.31199999999995</v>
      </c>
      <c r="CB23" s="195"/>
      <c r="CC23" s="195"/>
      <c r="CD23" s="15"/>
      <c r="CE23" s="15"/>
      <c r="CF23" s="15"/>
      <c r="CG23" s="15"/>
      <c r="CH23" s="15"/>
      <c r="CI23" s="15"/>
      <c r="CJ23" s="15"/>
      <c r="CK23" s="15"/>
      <c r="CL23" s="15"/>
      <c r="CM23" s="15"/>
      <c r="CN23" s="15"/>
      <c r="CO23" s="15"/>
      <c r="CP23" s="15"/>
      <c r="CQ23" s="15"/>
      <c r="CR23" s="15"/>
      <c r="CS23" s="15"/>
      <c r="CT23" s="15"/>
      <c r="CU23" s="15"/>
      <c r="CV23" s="15"/>
      <c r="CW23" s="15"/>
      <c r="CX23" s="15"/>
      <c r="CY23" s="15"/>
      <c r="CZ23" s="15"/>
      <c r="DA23" s="15"/>
      <c r="DB23" s="15"/>
      <c r="DC23" s="15"/>
    </row>
    <row r="24" spans="2:107" ht="12.75" customHeight="1">
      <c r="B24" s="18"/>
      <c r="C24" s="23"/>
      <c r="D24" s="15"/>
      <c r="E24" s="15"/>
      <c r="F24" s="15"/>
      <c r="G24" s="15"/>
      <c r="H24" s="15"/>
      <c r="I24" s="15"/>
      <c r="J24" s="15"/>
      <c r="K24" s="15"/>
      <c r="L24" s="795"/>
      <c r="M24" s="795"/>
      <c r="N24" s="795"/>
      <c r="O24" s="796"/>
      <c r="P24" s="796"/>
      <c r="Q24" s="796"/>
      <c r="R24" s="796"/>
      <c r="S24" s="796"/>
      <c r="T24" s="796"/>
      <c r="U24" s="796"/>
      <c r="V24" s="796"/>
      <c r="W24" s="796"/>
      <c r="X24" s="796"/>
      <c r="Y24" s="796"/>
      <c r="Z24" s="796"/>
      <c r="AA24" s="796"/>
      <c r="AB24" s="796"/>
      <c r="AC24" s="796"/>
      <c r="AD24" s="796"/>
      <c r="AE24" s="123"/>
      <c r="AF24" s="123"/>
      <c r="AG24" s="23"/>
      <c r="AH24" s="23"/>
      <c r="AI24" s="23"/>
      <c r="AJ24" s="23"/>
      <c r="AK24" s="23"/>
      <c r="AL24" s="23"/>
      <c r="AM24" s="23"/>
      <c r="AN24" s="23"/>
      <c r="AO24" s="23"/>
      <c r="AP24" s="23"/>
      <c r="AQ24" s="23"/>
      <c r="AR24" s="23"/>
      <c r="AS24" s="23"/>
      <c r="AT24" s="23"/>
      <c r="AU24" s="23"/>
      <c r="AV24" s="23"/>
      <c r="AW24" s="23"/>
      <c r="AX24" s="23"/>
      <c r="AY24" s="23"/>
      <c r="AZ24" s="23"/>
      <c r="BA24" s="797"/>
      <c r="BB24" s="797"/>
      <c r="BC24" s="797"/>
      <c r="BD24" s="797"/>
      <c r="BE24" s="797"/>
      <c r="BF24" s="797"/>
      <c r="BG24" s="797"/>
      <c r="BH24" s="797"/>
      <c r="BI24" s="797"/>
      <c r="BJ24" s="797"/>
      <c r="BK24" s="797"/>
      <c r="BL24" s="797"/>
      <c r="BM24" s="797"/>
      <c r="BN24" s="797"/>
      <c r="BO24" s="797"/>
      <c r="BP24" s="798"/>
      <c r="BQ24" s="798"/>
      <c r="BR24" s="798"/>
      <c r="BS24" s="798"/>
      <c r="BT24" s="798"/>
      <c r="BU24" s="798"/>
      <c r="BV24" s="15"/>
      <c r="BW24" s="15"/>
      <c r="BX24" s="15"/>
      <c r="BY24" s="15"/>
      <c r="BZ24" s="15"/>
      <c r="CA24" s="15"/>
      <c r="CB24" s="15"/>
      <c r="CC24" s="15"/>
      <c r="CD24" s="15"/>
      <c r="CE24" s="15"/>
      <c r="CF24" s="15"/>
      <c r="CG24" s="15"/>
      <c r="CH24" s="15"/>
      <c r="CI24" s="15"/>
      <c r="CJ24" s="15"/>
      <c r="CK24" s="15"/>
      <c r="CL24" s="15"/>
      <c r="CM24" s="15"/>
      <c r="CN24" s="15"/>
      <c r="CO24" s="15"/>
      <c r="CP24" s="15"/>
      <c r="CQ24" s="15"/>
      <c r="CR24" s="15"/>
      <c r="CS24" s="15"/>
      <c r="CT24" s="15"/>
      <c r="CU24" s="15"/>
      <c r="CV24" s="15"/>
      <c r="CW24" s="15"/>
      <c r="CX24" s="15"/>
      <c r="CY24" s="15"/>
      <c r="CZ24" s="15"/>
      <c r="DA24" s="15"/>
      <c r="DB24" s="15"/>
      <c r="DC24" s="15"/>
    </row>
    <row r="25" spans="2:107" ht="12.75" customHeight="1">
      <c r="B25" s="21" t="s">
        <v>1584</v>
      </c>
      <c r="C25" s="23"/>
      <c r="D25" s="8"/>
      <c r="E25" s="8"/>
      <c r="F25" s="8"/>
      <c r="G25" s="8"/>
      <c r="H25" s="8"/>
      <c r="I25" s="8"/>
      <c r="J25" s="13"/>
      <c r="K25" s="3">
        <f>SUM(BD25:BG25)</f>
        <v>398.11699999999996</v>
      </c>
      <c r="L25" s="3">
        <f>SUM(BH25:BK25)</f>
        <v>557.11800000000005</v>
      </c>
      <c r="M25" s="3">
        <f>SUM(BL25:BO25)</f>
        <v>876.20499999999993</v>
      </c>
      <c r="N25" s="3">
        <f>SUM(BP25:BS25)</f>
        <v>1087.9470000000001</v>
      </c>
      <c r="O25" s="3">
        <f>SUM(BT25:BW25)</f>
        <v>1271.7090000000001</v>
      </c>
      <c r="P25" s="72">
        <f>SUM(BX25:CA25)</f>
        <v>1569.7840000000001</v>
      </c>
      <c r="Q25" s="72">
        <f>SUM(CB25:CE25)</f>
        <v>1887.376</v>
      </c>
      <c r="R25" s="72">
        <f>SUM(CF25:CI25)</f>
        <v>2152.7660000000001</v>
      </c>
      <c r="S25" s="72">
        <f>+SUM(CJ25:CM25)</f>
        <v>2443.7750000000001</v>
      </c>
      <c r="T25" s="72">
        <f>+SUM(CN25:CQ25)</f>
        <v>2725.8669999999997</v>
      </c>
      <c r="U25" s="72">
        <f>+SUM(CR25:CU25)</f>
        <v>3611.989</v>
      </c>
      <c r="V25" s="72">
        <f>+SUM(CV25:CY25)</f>
        <v>4368.4279999999999</v>
      </c>
      <c r="W25" s="72">
        <f ca="1">+SUM(CZ25:DC25)</f>
        <v>5039.1585955911905</v>
      </c>
      <c r="X25" s="800">
        <f ca="1">X14</f>
        <v>5500.5877719846403</v>
      </c>
      <c r="Y25" s="800">
        <f ca="1">Y14</f>
        <v>5937.3329327160309</v>
      </c>
      <c r="Z25" s="800">
        <f ca="1">Z14</f>
        <v>6349.2579843878229</v>
      </c>
      <c r="AA25" s="800">
        <f t="shared" ref="AA25:AD25" ca="1" si="35">AA14</f>
        <v>6759.6524169437562</v>
      </c>
      <c r="AB25" s="800">
        <f t="shared" ca="1" si="35"/>
        <v>7168.2294722832021</v>
      </c>
      <c r="AC25" s="800">
        <f t="shared" ca="1" si="35"/>
        <v>7574.760814010624</v>
      </c>
      <c r="AD25" s="800">
        <f t="shared" ca="1" si="35"/>
        <v>7979.0579009880248</v>
      </c>
      <c r="AE25" s="123"/>
      <c r="AF25" s="123"/>
      <c r="AG25" s="23"/>
      <c r="AH25" s="23"/>
      <c r="AI25" s="23"/>
      <c r="AJ25" s="23"/>
      <c r="AK25" s="23"/>
      <c r="AL25" s="23"/>
      <c r="AM25" s="23"/>
      <c r="AN25" s="23"/>
      <c r="AO25" s="23"/>
      <c r="AP25" s="23"/>
      <c r="AQ25" s="23"/>
      <c r="AR25" s="23"/>
      <c r="AS25" s="23"/>
      <c r="AT25" s="23"/>
      <c r="AU25" s="23"/>
      <c r="AV25" s="23"/>
      <c r="AW25" s="23"/>
      <c r="AX25" s="23"/>
      <c r="AY25" s="23"/>
      <c r="AZ25" s="23" t="s">
        <v>1585</v>
      </c>
      <c r="BA25" s="797"/>
      <c r="BB25" s="797"/>
      <c r="BC25" s="797"/>
      <c r="BD25" s="5">
        <f>BD14+SDXC!AZ13</f>
        <v>91.47</v>
      </c>
      <c r="BE25" s="5">
        <f>BE14+SDXC!BA13</f>
        <v>95.88</v>
      </c>
      <c r="BF25" s="5">
        <f>BF14+SDXC!BB13</f>
        <v>101.919</v>
      </c>
      <c r="BG25" s="5">
        <f>BG14+SDXC!BC13</f>
        <v>108.84799999999998</v>
      </c>
      <c r="BH25" s="5">
        <f>BH14+SDXC!BD13</f>
        <v>116.57900000000001</v>
      </c>
      <c r="BI25" s="5">
        <f>BI14+SDXC!BE13</f>
        <v>125.11400000000002</v>
      </c>
      <c r="BJ25" s="5">
        <f>BJ14+SDXC!BF13</f>
        <v>139.214</v>
      </c>
      <c r="BK25" s="5">
        <f>BK14+SDXC!BG13</f>
        <v>176.21100000000001</v>
      </c>
      <c r="BL25" s="5">
        <f>BL14+SDXC!BH13</f>
        <v>197.995</v>
      </c>
      <c r="BM25" s="5">
        <f>BM14+SDXC!BI13</f>
        <v>213.93899999999996</v>
      </c>
      <c r="BN25" s="5">
        <f>BN14+SDXC!BJ13</f>
        <v>227.81399999999996</v>
      </c>
      <c r="BO25" s="5">
        <f>BO14+SDXC!BK13</f>
        <v>236.45699999999999</v>
      </c>
      <c r="BP25" s="5">
        <f>BP14+SDXC!BL13</f>
        <v>246.36400000000003</v>
      </c>
      <c r="BQ25" s="5">
        <f>BQ14+SDXC!BM13</f>
        <v>262.52799999999996</v>
      </c>
      <c r="BR25" s="5">
        <f>BR14+SDXC!BN13</f>
        <v>281.07799999999997</v>
      </c>
      <c r="BS25" s="5">
        <f>BS14+SDXC!BO13</f>
        <v>297.97699999999998</v>
      </c>
      <c r="BT25" s="5">
        <f>BT14+SDXC!BP13</f>
        <v>305.34400000000005</v>
      </c>
      <c r="BU25" s="5">
        <f>BU14+SDXC!BQ13/3</f>
        <v>308.81699999999995</v>
      </c>
      <c r="BV25" s="90">
        <f t="shared" ref="BV25:CB25" si="36">BV14</f>
        <v>321.39400000000001</v>
      </c>
      <c r="BW25" s="90">
        <f t="shared" si="36"/>
        <v>336.154</v>
      </c>
      <c r="BX25" s="90">
        <f t="shared" si="36"/>
        <v>353.94900000000001</v>
      </c>
      <c r="BY25" s="90">
        <f t="shared" si="36"/>
        <v>385.51099999999997</v>
      </c>
      <c r="BZ25" s="90">
        <f t="shared" si="36"/>
        <v>408.20799999999997</v>
      </c>
      <c r="CA25" s="90">
        <f t="shared" si="36"/>
        <v>422.11599999999999</v>
      </c>
      <c r="CB25" s="90">
        <f t="shared" si="36"/>
        <v>440.952</v>
      </c>
      <c r="CC25" s="90">
        <f t="shared" ref="CC25:CH25" si="37">CC14</f>
        <v>455.53000000000003</v>
      </c>
      <c r="CD25" s="90">
        <f t="shared" si="37"/>
        <v>484.83499999999998</v>
      </c>
      <c r="CE25" s="90">
        <f t="shared" si="37"/>
        <v>506.05899999999997</v>
      </c>
      <c r="CF25" s="90">
        <f t="shared" si="37"/>
        <v>516.1339999999999</v>
      </c>
      <c r="CG25" s="90">
        <f t="shared" si="37"/>
        <v>528.87099999999998</v>
      </c>
      <c r="CH25" s="90">
        <f t="shared" si="37"/>
        <v>543.08400000000006</v>
      </c>
      <c r="CI25" s="90">
        <f t="shared" ref="CI25:CU25" si="38">CI14</f>
        <v>564.67700000000002</v>
      </c>
      <c r="CJ25" s="90">
        <f t="shared" si="38"/>
        <v>580.053</v>
      </c>
      <c r="CK25" s="90">
        <f t="shared" si="38"/>
        <v>605.16100000000006</v>
      </c>
      <c r="CL25" s="90">
        <f t="shared" si="38"/>
        <v>620.43999999999994</v>
      </c>
      <c r="CM25" s="90">
        <f t="shared" si="38"/>
        <v>638.12099999999998</v>
      </c>
      <c r="CN25" s="90">
        <f t="shared" si="38"/>
        <v>643.17399999999998</v>
      </c>
      <c r="CO25" s="90">
        <f t="shared" si="38"/>
        <v>665.58199999999988</v>
      </c>
      <c r="CP25" s="90">
        <f t="shared" si="38"/>
        <v>686.649</v>
      </c>
      <c r="CQ25" s="90">
        <f t="shared" si="38"/>
        <v>730.46199999999988</v>
      </c>
      <c r="CR25" s="90">
        <f t="shared" si="38"/>
        <v>844.15600000000006</v>
      </c>
      <c r="CS25" s="90">
        <f t="shared" si="38"/>
        <v>900.51</v>
      </c>
      <c r="CT25" s="90">
        <f t="shared" si="38"/>
        <v>924.67599999999993</v>
      </c>
      <c r="CU25" s="90">
        <f t="shared" si="38"/>
        <v>942.64700000000005</v>
      </c>
      <c r="CV25" s="90">
        <f>CV14</f>
        <v>949.5250000000002</v>
      </c>
      <c r="CW25" s="90">
        <f>CW14</f>
        <v>1066.421</v>
      </c>
      <c r="CX25" s="90">
        <f>CX14</f>
        <v>1152.261</v>
      </c>
      <c r="CY25" s="90">
        <f>CY14</f>
        <v>1200.221</v>
      </c>
      <c r="CZ25" s="90">
        <f t="shared" ref="CZ25:DC25" ca="1" si="39">CZ14</f>
        <v>1215.5685010826094</v>
      </c>
      <c r="DA25" s="90">
        <f t="shared" ca="1" si="39"/>
        <v>1240.1100146580661</v>
      </c>
      <c r="DB25" s="90">
        <f t="shared" ca="1" si="39"/>
        <v>1273.9358902089878</v>
      </c>
      <c r="DC25" s="90">
        <f t="shared" ca="1" si="39"/>
        <v>1309.5441896415268</v>
      </c>
    </row>
    <row r="26" spans="2:107">
      <c r="B26" s="37" t="s">
        <v>1409</v>
      </c>
      <c r="C26" s="23"/>
      <c r="D26" s="8"/>
      <c r="E26" s="8"/>
      <c r="F26" s="8"/>
      <c r="G26" s="8"/>
      <c r="H26" s="8"/>
      <c r="I26" s="8"/>
      <c r="J26" s="8"/>
      <c r="K26" s="74">
        <f>K14/J14-1</f>
        <v>0.29792316008993147</v>
      </c>
      <c r="L26" s="74">
        <f>(L25-L667)/(K25-K667)-1</f>
        <v>0.30484756993547157</v>
      </c>
      <c r="M26" s="74">
        <f>(M25-M667)/(L25-L667)-1</f>
        <v>0.35464751425458396</v>
      </c>
      <c r="N26" s="799">
        <f t="shared" ref="N26:Z26" si="40">N25/M25-1</f>
        <v>0.24165805947238406</v>
      </c>
      <c r="O26" s="799">
        <f t="shared" si="40"/>
        <v>0.16890712507134986</v>
      </c>
      <c r="P26" s="799">
        <f t="shared" si="40"/>
        <v>0.2343893139075055</v>
      </c>
      <c r="Q26" s="799">
        <f t="shared" si="40"/>
        <v>0.20231573261034619</v>
      </c>
      <c r="R26" s="799">
        <f t="shared" si="40"/>
        <v>0.14061321114605674</v>
      </c>
      <c r="S26" s="799">
        <f t="shared" si="40"/>
        <v>0.13517911375411917</v>
      </c>
      <c r="T26" s="799">
        <f t="shared" si="40"/>
        <v>0.11543288559707809</v>
      </c>
      <c r="U26" s="799">
        <f t="shared" si="40"/>
        <v>0.32507895653016106</v>
      </c>
      <c r="V26" s="799">
        <f t="shared" si="40"/>
        <v>0.20942450267705692</v>
      </c>
      <c r="W26" s="799">
        <f t="shared" ca="1" si="40"/>
        <v>0.1535404945649077</v>
      </c>
      <c r="X26" s="799">
        <f t="shared" ca="1" si="40"/>
        <v>9.1568694979586196E-2</v>
      </c>
      <c r="Y26" s="799">
        <f t="shared" ca="1" si="40"/>
        <v>7.9399725781270636E-2</v>
      </c>
      <c r="Z26" s="799">
        <f t="shared" ca="1" si="40"/>
        <v>6.9378802964205288E-2</v>
      </c>
      <c r="AA26" s="799">
        <f t="shared" ref="AA26" ca="1" si="41">AA25/Z25-1</f>
        <v>6.463659746777517E-2</v>
      </c>
      <c r="AB26" s="799">
        <f t="shared" ref="AB26" ca="1" si="42">AB25/AA25-1</f>
        <v>6.0443500662150207E-2</v>
      </c>
      <c r="AC26" s="799">
        <f t="shared" ref="AC26" ca="1" si="43">AC25/AB25-1</f>
        <v>5.6712936339346154E-2</v>
      </c>
      <c r="AD26" s="799">
        <f t="shared" ref="AD26" ca="1" si="44">AD25/AC25-1</f>
        <v>5.3374238065655444E-2</v>
      </c>
      <c r="AE26" s="123"/>
      <c r="AF26" s="123"/>
      <c r="AG26" s="23"/>
      <c r="AH26" s="23"/>
      <c r="AI26" s="23"/>
      <c r="AJ26" s="23"/>
      <c r="AK26" s="23"/>
      <c r="AL26" s="23"/>
      <c r="AM26" s="23"/>
      <c r="AN26" s="23"/>
      <c r="AO26" s="23"/>
      <c r="AP26" s="23"/>
      <c r="AQ26" s="23"/>
      <c r="AR26" s="23"/>
      <c r="AS26" s="23"/>
      <c r="AT26" s="23"/>
      <c r="AU26" s="23"/>
      <c r="AV26" s="23"/>
      <c r="AW26" s="23"/>
      <c r="AX26" s="23"/>
      <c r="AY26" s="23"/>
      <c r="AZ26" s="23"/>
      <c r="BA26" s="797"/>
      <c r="BB26" s="797"/>
      <c r="BC26" s="797"/>
      <c r="BD26" s="797"/>
      <c r="BE26" s="797"/>
      <c r="BF26" s="797"/>
      <c r="BG26" s="797"/>
      <c r="BH26" s="38">
        <f>BH25/BD25-1</f>
        <v>0.27450530228490222</v>
      </c>
      <c r="BI26" s="38">
        <f>BI25/BE25-1</f>
        <v>0.30490196078431397</v>
      </c>
      <c r="BJ26" s="4">
        <f>(BJ25-BJ667)/(BF25)-1</f>
        <v>0.30413367478095354</v>
      </c>
      <c r="BK26" s="4">
        <f>(BK25-BK667)/(BG25)-1</f>
        <v>0.33096611788916697</v>
      </c>
      <c r="BL26" s="4">
        <f>(BL25-BL667)/(BH25)-1</f>
        <v>0.35823776151794062</v>
      </c>
      <c r="BM26" s="4">
        <f>(BM25-BM667)/(BI25)-1</f>
        <v>0.36603417683072981</v>
      </c>
      <c r="BN26" s="4">
        <f>(BN25-BN667)/(BJ25-BJ667)-1</f>
        <v>0.37349152848415512</v>
      </c>
      <c r="BO26" s="38">
        <f t="shared" ref="BO26:CY26" si="45">BO25/BK25-1</f>
        <v>0.34189693038459557</v>
      </c>
      <c r="BP26" s="38">
        <f t="shared" si="45"/>
        <v>0.24429404782949082</v>
      </c>
      <c r="BQ26" s="38">
        <f t="shared" si="45"/>
        <v>0.22711614058212848</v>
      </c>
      <c r="BR26" s="38">
        <f t="shared" si="45"/>
        <v>0.23380477055843807</v>
      </c>
      <c r="BS26" s="38">
        <f t="shared" si="45"/>
        <v>0.26017415428598012</v>
      </c>
      <c r="BT26" s="38">
        <f t="shared" si="45"/>
        <v>0.2394018606614603</v>
      </c>
      <c r="BU26" s="38">
        <f t="shared" si="45"/>
        <v>0.17632024012676739</v>
      </c>
      <c r="BV26" s="38">
        <f t="shared" si="45"/>
        <v>0.14343349532869887</v>
      </c>
      <c r="BW26" s="38">
        <f t="shared" si="45"/>
        <v>0.12812062675978364</v>
      </c>
      <c r="BX26" s="38">
        <f t="shared" si="45"/>
        <v>0.15918112031020737</v>
      </c>
      <c r="BY26" s="38">
        <f t="shared" si="45"/>
        <v>0.24834772697098928</v>
      </c>
      <c r="BZ26" s="38">
        <f t="shared" si="45"/>
        <v>0.27011705258965613</v>
      </c>
      <c r="CA26" s="38">
        <f t="shared" si="45"/>
        <v>0.25572207976106176</v>
      </c>
      <c r="CB26" s="38">
        <f t="shared" si="45"/>
        <v>0.24580659925582493</v>
      </c>
      <c r="CC26" s="38">
        <f t="shared" si="45"/>
        <v>0.18162646461449894</v>
      </c>
      <c r="CD26" s="38">
        <f t="shared" si="45"/>
        <v>0.18771557637282954</v>
      </c>
      <c r="CE26" s="38">
        <f t="shared" si="45"/>
        <v>0.198862398013816</v>
      </c>
      <c r="CF26" s="38">
        <f t="shared" si="45"/>
        <v>0.17049928336871112</v>
      </c>
      <c r="CG26" s="38">
        <f t="shared" si="45"/>
        <v>0.16100147081421623</v>
      </c>
      <c r="CH26" s="38">
        <f t="shared" si="45"/>
        <v>0.12014190394670377</v>
      </c>
      <c r="CI26" s="38">
        <f t="shared" si="45"/>
        <v>0.11583234365953388</v>
      </c>
      <c r="CJ26" s="38">
        <f t="shared" si="45"/>
        <v>0.12384187052199636</v>
      </c>
      <c r="CK26" s="38">
        <f t="shared" si="45"/>
        <v>0.14425067738635722</v>
      </c>
      <c r="CL26" s="38">
        <f t="shared" si="45"/>
        <v>0.14243837049148911</v>
      </c>
      <c r="CM26" s="38">
        <f t="shared" si="45"/>
        <v>0.13006373555147444</v>
      </c>
      <c r="CN26" s="38">
        <f t="shared" si="45"/>
        <v>0.10881936650616408</v>
      </c>
      <c r="CO26" s="38">
        <f t="shared" si="45"/>
        <v>9.984285173697538E-2</v>
      </c>
      <c r="CP26" s="38">
        <f t="shared" si="45"/>
        <v>0.10671297788666112</v>
      </c>
      <c r="CQ26" s="38">
        <f t="shared" si="45"/>
        <v>0.14470766516068245</v>
      </c>
      <c r="CR26" s="38">
        <f t="shared" si="45"/>
        <v>0.31248464645648011</v>
      </c>
      <c r="CS26" s="38">
        <f t="shared" si="45"/>
        <v>0.35296627613126574</v>
      </c>
      <c r="CT26" s="38">
        <f t="shared" si="45"/>
        <v>0.3466501808056226</v>
      </c>
      <c r="CU26" s="38">
        <f t="shared" si="45"/>
        <v>0.2904805451892094</v>
      </c>
      <c r="CV26" s="38">
        <f t="shared" si="45"/>
        <v>0.12482171541752951</v>
      </c>
      <c r="CW26" s="38">
        <f t="shared" si="45"/>
        <v>0.18424115223595527</v>
      </c>
      <c r="CX26" s="38">
        <f t="shared" si="45"/>
        <v>0.24612404777457186</v>
      </c>
      <c r="CY26" s="38">
        <f t="shared" si="45"/>
        <v>0.27324544606835843</v>
      </c>
      <c r="CZ26" s="38">
        <f t="shared" ref="CZ26:DC26" ca="1" si="46">CZ25/CV25-1</f>
        <v>0.28018588355505036</v>
      </c>
      <c r="DA26" s="38">
        <f t="shared" ca="1" si="46"/>
        <v>0.16287096246047872</v>
      </c>
      <c r="DB26" s="38">
        <f t="shared" ca="1" si="46"/>
        <v>0.1055966401787336</v>
      </c>
      <c r="DC26" s="38">
        <f t="shared" ca="1" si="46"/>
        <v>9.1085883051143846E-2</v>
      </c>
    </row>
    <row r="27" spans="2:107">
      <c r="B27" s="37" t="s">
        <v>1415</v>
      </c>
      <c r="C27" s="23"/>
      <c r="D27" s="15"/>
      <c r="E27" s="15"/>
      <c r="F27" s="15"/>
      <c r="G27" s="15"/>
      <c r="H27" s="15"/>
      <c r="I27" s="15"/>
      <c r="J27" s="15"/>
      <c r="K27" s="15"/>
      <c r="L27" s="795"/>
      <c r="M27" s="795"/>
      <c r="N27" s="795"/>
      <c r="O27" s="796"/>
      <c r="P27" s="796"/>
      <c r="Q27" s="796"/>
      <c r="R27" s="796"/>
      <c r="S27" s="796"/>
      <c r="T27" s="796"/>
      <c r="U27" s="796"/>
      <c r="V27" s="796"/>
      <c r="W27" s="796"/>
      <c r="X27" s="796"/>
      <c r="Y27" s="796"/>
      <c r="Z27" s="796"/>
      <c r="AA27" s="796"/>
      <c r="AB27" s="796"/>
      <c r="AC27" s="796"/>
      <c r="AD27" s="796"/>
      <c r="AE27" s="123"/>
      <c r="AF27" s="123"/>
      <c r="AG27" s="23"/>
      <c r="AH27" s="23"/>
      <c r="AI27" s="23"/>
      <c r="AJ27" s="23"/>
      <c r="AK27" s="23"/>
      <c r="AL27" s="23"/>
      <c r="AM27" s="23"/>
      <c r="AN27" s="23"/>
      <c r="AO27" s="23"/>
      <c r="AP27" s="23"/>
      <c r="AQ27" s="23"/>
      <c r="AR27" s="23"/>
      <c r="AS27" s="23"/>
      <c r="AT27" s="23"/>
      <c r="AU27" s="23"/>
      <c r="AV27" s="23"/>
      <c r="AW27" s="23"/>
      <c r="AX27" s="23"/>
      <c r="AY27" s="23"/>
      <c r="AZ27" s="23"/>
      <c r="BA27" s="797"/>
      <c r="BB27" s="797"/>
      <c r="BC27" s="797"/>
      <c r="BD27" s="797"/>
      <c r="BE27" s="797"/>
      <c r="BF27" s="797"/>
      <c r="BG27" s="797"/>
      <c r="BH27" s="38">
        <f>BH25/BG25-1</f>
        <v>7.1025650448331756E-2</v>
      </c>
      <c r="BI27" s="38">
        <f>BI25/BH25-1</f>
        <v>7.3212156563360553E-2</v>
      </c>
      <c r="BJ27" s="38">
        <f>(BJ25-BJ667)/(BI25-BI667)-1</f>
        <v>6.2359128474830827E-2</v>
      </c>
      <c r="BK27" s="38">
        <f>(BK25-BK667)/(BJ25-BJ667)-1</f>
        <v>8.9959071895031606E-2</v>
      </c>
      <c r="BL27" s="38">
        <f t="shared" ref="BL27:CY27" si="47">BL25/BK25-1</f>
        <v>0.12362451833313459</v>
      </c>
      <c r="BM27" s="38">
        <f t="shared" si="47"/>
        <v>8.0527286042576529E-2</v>
      </c>
      <c r="BN27" s="38">
        <f t="shared" si="47"/>
        <v>6.4854935285291626E-2</v>
      </c>
      <c r="BO27" s="38">
        <f t="shared" si="47"/>
        <v>3.7938844847112296E-2</v>
      </c>
      <c r="BP27" s="38">
        <f t="shared" si="47"/>
        <v>4.1897681185162794E-2</v>
      </c>
      <c r="BQ27" s="38">
        <f t="shared" si="47"/>
        <v>6.5610235261645E-2</v>
      </c>
      <c r="BR27" s="38">
        <f t="shared" si="47"/>
        <v>7.0659129692832723E-2</v>
      </c>
      <c r="BS27" s="38">
        <f t="shared" si="47"/>
        <v>6.0122101338418554E-2</v>
      </c>
      <c r="BT27" s="38">
        <f t="shared" si="47"/>
        <v>2.4723384690765071E-2</v>
      </c>
      <c r="BU27" s="38">
        <f t="shared" si="47"/>
        <v>1.1374056801508825E-2</v>
      </c>
      <c r="BV27" s="38">
        <f t="shared" si="47"/>
        <v>4.072638488166147E-2</v>
      </c>
      <c r="BW27" s="38">
        <f t="shared" si="47"/>
        <v>4.5924939482379745E-2</v>
      </c>
      <c r="BX27" s="38">
        <f t="shared" si="47"/>
        <v>5.2937046710733737E-2</v>
      </c>
      <c r="BY27" s="38">
        <f t="shared" si="47"/>
        <v>8.9171038765471833E-2</v>
      </c>
      <c r="BZ27" s="38">
        <f t="shared" si="47"/>
        <v>5.8875103434143261E-2</v>
      </c>
      <c r="CA27" s="38">
        <f t="shared" si="47"/>
        <v>3.4070865833104813E-2</v>
      </c>
      <c r="CB27" s="38">
        <f t="shared" si="47"/>
        <v>4.4622805105705599E-2</v>
      </c>
      <c r="CC27" s="38">
        <f t="shared" si="47"/>
        <v>3.3060287741069505E-2</v>
      </c>
      <c r="CD27" s="38">
        <f t="shared" si="47"/>
        <v>6.4331657629574268E-2</v>
      </c>
      <c r="CE27" s="38">
        <f t="shared" si="47"/>
        <v>4.3775717512143375E-2</v>
      </c>
      <c r="CF27" s="38">
        <f t="shared" si="47"/>
        <v>1.9908745818175255E-2</v>
      </c>
      <c r="CG27" s="38">
        <f t="shared" si="47"/>
        <v>2.4677699977137868E-2</v>
      </c>
      <c r="CH27" s="38">
        <f t="shared" si="47"/>
        <v>2.6874228308982895E-2</v>
      </c>
      <c r="CI27" s="38">
        <f t="shared" si="47"/>
        <v>3.9759963467898007E-2</v>
      </c>
      <c r="CJ27" s="38">
        <f t="shared" si="47"/>
        <v>2.7229726020362E-2</v>
      </c>
      <c r="CK27" s="38">
        <f t="shared" si="47"/>
        <v>4.3285699755022389E-2</v>
      </c>
      <c r="CL27" s="38">
        <f t="shared" si="47"/>
        <v>2.5247826611430435E-2</v>
      </c>
      <c r="CM27" s="38">
        <f t="shared" si="47"/>
        <v>2.8497517890529345E-2</v>
      </c>
      <c r="CN27" s="38">
        <f t="shared" si="47"/>
        <v>7.9185608998919577E-3</v>
      </c>
      <c r="CO27" s="38">
        <f t="shared" si="47"/>
        <v>3.4839716779595964E-2</v>
      </c>
      <c r="CP27" s="38">
        <f t="shared" si="47"/>
        <v>3.1651997800421494E-2</v>
      </c>
      <c r="CQ27" s="38">
        <f t="shared" si="47"/>
        <v>6.380698144175545E-2</v>
      </c>
      <c r="CR27" s="38">
        <f t="shared" si="47"/>
        <v>0.15564670030747685</v>
      </c>
      <c r="CS27" s="38">
        <f t="shared" si="47"/>
        <v>6.6757803060097709E-2</v>
      </c>
      <c r="CT27" s="38">
        <f t="shared" si="47"/>
        <v>2.6835904098788443E-2</v>
      </c>
      <c r="CU27" s="38">
        <f t="shared" si="47"/>
        <v>1.9434915581241663E-2</v>
      </c>
      <c r="CV27" s="38">
        <f t="shared" si="47"/>
        <v>7.2964747142887365E-3</v>
      </c>
      <c r="CW27" s="38">
        <f t="shared" si="47"/>
        <v>0.12310997604065177</v>
      </c>
      <c r="CX27" s="38">
        <f t="shared" si="47"/>
        <v>8.0493538668124476E-2</v>
      </c>
      <c r="CY27" s="38">
        <f t="shared" si="47"/>
        <v>4.1622514343538475E-2</v>
      </c>
      <c r="CZ27" s="38">
        <f t="shared" ref="CZ27:DC27" ca="1" si="48">CZ25/CY25-1</f>
        <v>1.2787229254120236E-2</v>
      </c>
      <c r="DA27" s="38">
        <f t="shared" ca="1" si="48"/>
        <v>2.0189329974904302E-2</v>
      </c>
      <c r="DB27" s="38">
        <f t="shared" ca="1" si="48"/>
        <v>2.7276511882898147E-2</v>
      </c>
      <c r="DC27" s="38">
        <f t="shared" ca="1" si="48"/>
        <v>2.7951406115654276E-2</v>
      </c>
    </row>
    <row r="28" spans="2:107">
      <c r="B28" s="23"/>
      <c r="C28" s="23"/>
      <c r="D28" s="15"/>
      <c r="E28" s="15"/>
      <c r="F28" s="15"/>
      <c r="G28" s="15"/>
      <c r="H28" s="15"/>
      <c r="I28" s="15"/>
      <c r="J28" s="15"/>
      <c r="K28" s="15"/>
      <c r="L28" s="23"/>
      <c r="M28" s="23"/>
      <c r="N28" s="23"/>
      <c r="O28" s="23"/>
      <c r="P28" s="23"/>
      <c r="Q28" s="23"/>
      <c r="R28" s="23"/>
      <c r="S28" s="23"/>
      <c r="T28" s="23"/>
      <c r="U28" s="54"/>
      <c r="V28" s="54"/>
      <c r="W28" s="54"/>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54">
        <f>IS!BS37+SDXC!BC29</f>
        <v>39.045999999999992</v>
      </c>
      <c r="BH28" s="54">
        <f>IS!BU37+SDXC!BD29</f>
        <v>41.805000000000021</v>
      </c>
      <c r="BI28" s="54">
        <f>IS!BV37+SDXC!BE29</f>
        <v>45.678000000000011</v>
      </c>
      <c r="BJ28" s="54">
        <f>IS!BW37+SDXC!BF29</f>
        <v>52.064</v>
      </c>
      <c r="BK28" s="54">
        <f>IS!BX37+SDXC!BG29</f>
        <v>59.958999999999996</v>
      </c>
      <c r="BL28" s="54">
        <f>IS!BZ37+SDXC!BH29</f>
        <v>73.723000000000013</v>
      </c>
      <c r="BM28" s="54">
        <f>IS!CA37+SDXC!BI29</f>
        <v>81.85899999999998</v>
      </c>
      <c r="BN28" s="54">
        <f>IS!CB37+SDXC!BJ29</f>
        <v>89.797999999999959</v>
      </c>
      <c r="BO28" s="54">
        <f>IS!CC37+SDXC!BK29</f>
        <v>97.545999999999992</v>
      </c>
      <c r="BP28" s="54"/>
      <c r="BQ28" s="54"/>
      <c r="BR28" s="54"/>
      <c r="BS28" s="54"/>
      <c r="BT28" s="54"/>
      <c r="BU28" s="54"/>
      <c r="BV28" s="54"/>
      <c r="BW28" s="54"/>
      <c r="BX28" s="23"/>
      <c r="BY28" s="23"/>
      <c r="BZ28" s="23"/>
      <c r="CA28" s="23"/>
      <c r="CB28" s="23"/>
      <c r="CC28" s="23"/>
      <c r="CD28" s="23"/>
      <c r="CE28" s="23"/>
      <c r="CF28" s="23"/>
      <c r="CG28" s="23"/>
      <c r="CH28" s="23"/>
      <c r="CI28" s="23"/>
      <c r="CJ28" s="23"/>
      <c r="CK28" s="23"/>
      <c r="CL28" s="23"/>
      <c r="CM28" s="23"/>
      <c r="CN28" s="23"/>
      <c r="CO28" s="23"/>
      <c r="CP28" s="23"/>
      <c r="CQ28" s="23"/>
      <c r="CR28" s="23"/>
      <c r="CS28" s="23"/>
      <c r="CT28" s="23"/>
      <c r="CU28" s="23"/>
      <c r="CV28" s="23"/>
      <c r="CW28" s="23"/>
      <c r="CX28" s="23"/>
      <c r="CY28" s="23"/>
      <c r="CZ28" s="23"/>
      <c r="DA28" s="23"/>
      <c r="DB28" s="23"/>
      <c r="DC28" s="23"/>
    </row>
    <row r="29" spans="2:107">
      <c r="B29" s="2287" t="s">
        <v>2141</v>
      </c>
      <c r="C29" s="2275"/>
      <c r="D29" s="2280"/>
      <c r="E29" s="2280"/>
      <c r="F29" s="2280"/>
      <c r="G29" s="2280"/>
      <c r="H29" s="2280"/>
      <c r="I29" s="2280"/>
      <c r="J29" s="2280"/>
      <c r="K29" s="2280"/>
      <c r="L29" s="2275"/>
      <c r="M29" s="2275"/>
      <c r="N29" s="2275"/>
      <c r="O29" s="2275"/>
      <c r="P29" s="2275"/>
      <c r="Q29" s="2275"/>
      <c r="R29" s="2275"/>
      <c r="S29" s="2275"/>
      <c r="T29" s="2275"/>
      <c r="U29" s="2308"/>
      <c r="V29" s="2308"/>
      <c r="W29" s="2308"/>
      <c r="X29" s="2275"/>
      <c r="Y29" s="2275"/>
      <c r="Z29" s="2275"/>
      <c r="AA29" s="2275"/>
      <c r="AB29" s="2275"/>
      <c r="AC29" s="2275"/>
      <c r="AD29" s="2275"/>
      <c r="AE29" s="2275"/>
      <c r="AF29" s="2275"/>
      <c r="AG29" s="2275"/>
      <c r="AH29" s="2275"/>
      <c r="AI29" s="2275"/>
      <c r="AJ29" s="2275"/>
      <c r="AK29" s="2275"/>
      <c r="AL29" s="2275"/>
      <c r="AM29" s="2275"/>
      <c r="AN29" s="2275"/>
      <c r="AO29" s="2275"/>
      <c r="AP29" s="2275"/>
      <c r="AQ29" s="2275"/>
      <c r="AR29" s="2275"/>
      <c r="AS29" s="2275"/>
      <c r="AT29" s="2275"/>
      <c r="AU29" s="2275"/>
      <c r="AV29" s="2275"/>
      <c r="AW29" s="2275"/>
      <c r="AX29" s="2275"/>
      <c r="AY29" s="2275"/>
      <c r="AZ29" s="2275"/>
      <c r="BA29" s="2275"/>
      <c r="BB29" s="2275"/>
      <c r="BC29" s="2275"/>
      <c r="BD29" s="2275"/>
      <c r="BE29" s="2275"/>
      <c r="BF29" s="2275"/>
      <c r="BG29" s="2277"/>
      <c r="BH29" s="2277"/>
      <c r="BI29" s="2277"/>
      <c r="BJ29" s="2277"/>
      <c r="BK29" s="2277"/>
      <c r="BL29" s="2277"/>
      <c r="BM29" s="2277"/>
      <c r="BN29" s="2277"/>
      <c r="BO29" s="2277"/>
      <c r="BP29" s="2277"/>
      <c r="BQ29" s="2277"/>
      <c r="BR29" s="2277"/>
      <c r="BS29" s="2277"/>
      <c r="BT29" s="2277"/>
      <c r="BU29" s="2277"/>
      <c r="BV29" s="2277"/>
      <c r="BW29" s="2277"/>
      <c r="BX29" s="2275"/>
      <c r="BY29" s="2275"/>
      <c r="BZ29" s="2275"/>
      <c r="CA29" s="2275"/>
      <c r="CB29" s="2275"/>
      <c r="CC29" s="2275"/>
      <c r="CD29" s="2275"/>
      <c r="CE29" s="2275"/>
      <c r="CF29" s="2275"/>
      <c r="CG29" s="2275"/>
      <c r="CH29" s="2275"/>
      <c r="CI29" s="2275"/>
      <c r="CJ29" s="2275"/>
      <c r="CK29" s="2275"/>
      <c r="CL29" s="2275"/>
      <c r="CM29" s="2275"/>
      <c r="CN29" s="2275"/>
      <c r="CO29" s="2275"/>
      <c r="CP29" s="2275"/>
      <c r="CQ29" s="2275"/>
      <c r="CR29" s="2275"/>
      <c r="CS29" s="2275"/>
      <c r="CT29" s="2275"/>
      <c r="CU29" s="2275"/>
      <c r="CV29" s="2275"/>
      <c r="CW29" s="2275"/>
      <c r="CX29" s="2275"/>
      <c r="CY29" s="2275"/>
      <c r="CZ29" s="2275"/>
      <c r="DA29" s="2275"/>
      <c r="DB29" s="2275"/>
      <c r="DC29" s="2275"/>
    </row>
    <row r="30" spans="2:107">
      <c r="B30" s="2275" t="s">
        <v>2634</v>
      </c>
      <c r="C30" s="2275"/>
      <c r="D30" s="2280"/>
      <c r="E30" s="2280"/>
      <c r="F30" s="2280"/>
      <c r="G30" s="2280"/>
      <c r="H30" s="2280"/>
      <c r="I30" s="2280"/>
      <c r="J30" s="2280"/>
      <c r="K30" s="2280"/>
      <c r="L30" s="2275"/>
      <c r="M30" s="2275"/>
      <c r="N30" s="2275"/>
      <c r="O30" s="2275"/>
      <c r="P30" s="2275"/>
      <c r="Q30" s="2275"/>
      <c r="R30" s="2275"/>
      <c r="S30" s="2296">
        <f>+S14</f>
        <v>2443.7749999999996</v>
      </c>
      <c r="T30" s="2278">
        <f>+SUM(CN30:CQ30)</f>
        <v>2725.8669999999997</v>
      </c>
      <c r="U30" s="2278">
        <f>+SUM(CR30:CU30)</f>
        <v>3063.3890000000001</v>
      </c>
      <c r="V30" s="2278">
        <f>+SUM(CV30:CY30)</f>
        <v>4009.7280000000001</v>
      </c>
      <c r="W30" s="2278">
        <f ca="1">+SUM(CZ30:DC30)</f>
        <v>4974.1585955911905</v>
      </c>
      <c r="X30" s="2278">
        <f ca="1">+X14-X644</f>
        <v>5435.5877719846403</v>
      </c>
      <c r="Y30" s="2278">
        <f t="shared" ref="Y30:AD30" ca="1" si="49">+Y14-Y644</f>
        <v>5872.3329327160309</v>
      </c>
      <c r="Z30" s="2278">
        <f t="shared" ca="1" si="49"/>
        <v>6284.2579843878229</v>
      </c>
      <c r="AA30" s="2278">
        <f t="shared" ca="1" si="49"/>
        <v>6694.6524169437562</v>
      </c>
      <c r="AB30" s="2278">
        <f t="shared" ca="1" si="49"/>
        <v>7103.2294722832021</v>
      </c>
      <c r="AC30" s="2278">
        <f t="shared" ca="1" si="49"/>
        <v>7509.760814010624</v>
      </c>
      <c r="AD30" s="2278">
        <f t="shared" ca="1" si="49"/>
        <v>7914.0579009880248</v>
      </c>
      <c r="AE30" s="2278"/>
      <c r="AF30" s="2278"/>
      <c r="AG30" s="2278"/>
      <c r="AH30" s="2278"/>
      <c r="AI30" s="2278"/>
      <c r="AJ30" s="2278"/>
      <c r="AK30" s="2278"/>
      <c r="AL30" s="2278"/>
      <c r="AM30" s="2278"/>
      <c r="AN30" s="2278"/>
      <c r="AO30" s="2278"/>
      <c r="AP30" s="2278"/>
      <c r="AQ30" s="2278"/>
      <c r="AR30" s="2278"/>
      <c r="AS30" s="2278"/>
      <c r="AT30" s="2278"/>
      <c r="AU30" s="2278"/>
      <c r="AV30" s="2278"/>
      <c r="AW30" s="2278"/>
      <c r="AX30" s="2278"/>
      <c r="AY30" s="2278"/>
      <c r="AZ30" s="2278"/>
      <c r="BA30" s="2278"/>
      <c r="BB30" s="2278"/>
      <c r="BC30" s="2278"/>
      <c r="BD30" s="2278"/>
      <c r="BE30" s="2278"/>
      <c r="BF30" s="2278"/>
      <c r="BG30" s="2278"/>
      <c r="BH30" s="2278"/>
      <c r="BI30" s="2278"/>
      <c r="BJ30" s="2278"/>
      <c r="BK30" s="2278"/>
      <c r="BL30" s="2278"/>
      <c r="BM30" s="2278"/>
      <c r="BN30" s="2278"/>
      <c r="BO30" s="2278"/>
      <c r="BP30" s="2278"/>
      <c r="BQ30" s="2278"/>
      <c r="BR30" s="2278"/>
      <c r="BS30" s="2278"/>
      <c r="BT30" s="2278"/>
      <c r="BU30" s="2278"/>
      <c r="BV30" s="2278"/>
      <c r="BW30" s="2278"/>
      <c r="BX30" s="2278"/>
      <c r="BY30" s="2278"/>
      <c r="BZ30" s="2278"/>
      <c r="CA30" s="2278"/>
      <c r="CB30" s="2278"/>
      <c r="CC30" s="2278"/>
      <c r="CD30" s="2278"/>
      <c r="CE30" s="2278"/>
      <c r="CF30" s="2278"/>
      <c r="CG30" s="2278"/>
      <c r="CH30" s="2278"/>
      <c r="CI30" s="2278"/>
      <c r="CJ30" s="2278">
        <f t="shared" ref="CJ30:CP30" si="50">+CJ14</f>
        <v>580.053</v>
      </c>
      <c r="CK30" s="2278">
        <f t="shared" si="50"/>
        <v>605.16100000000006</v>
      </c>
      <c r="CL30" s="2278">
        <f t="shared" si="50"/>
        <v>620.43999999999994</v>
      </c>
      <c r="CM30" s="2278">
        <f t="shared" si="50"/>
        <v>638.12099999999998</v>
      </c>
      <c r="CN30" s="2278">
        <f t="shared" si="50"/>
        <v>643.17399999999998</v>
      </c>
      <c r="CO30" s="2278">
        <f t="shared" si="50"/>
        <v>665.58199999999988</v>
      </c>
      <c r="CP30" s="2278">
        <f t="shared" si="50"/>
        <v>686.649</v>
      </c>
      <c r="CQ30" s="2278">
        <f>+CQ14</f>
        <v>730.46199999999988</v>
      </c>
      <c r="CR30" s="2319">
        <f>+CR14-CR481-(84.4)</f>
        <v>725.55600000000004</v>
      </c>
      <c r="CS30" s="2326">
        <f>+CS14-CS481-(CS647-CS655)</f>
        <v>756.01</v>
      </c>
      <c r="CT30" s="2278">
        <f>+CT14-CT481-CT647</f>
        <v>777.67599999999993</v>
      </c>
      <c r="CU30" s="2278">
        <f>+CU14-CU481-CU647</f>
        <v>804.14700000000005</v>
      </c>
      <c r="CV30" s="2319">
        <f>+CV14</f>
        <v>949.5250000000002</v>
      </c>
      <c r="CW30" s="2278">
        <f>+CW14-CW284</f>
        <v>979.721</v>
      </c>
      <c r="CX30" s="2278">
        <f>+CX14-CX284</f>
        <v>1015.261</v>
      </c>
      <c r="CY30" s="2278">
        <f>+CY14-CY284</f>
        <v>1065.221</v>
      </c>
      <c r="CZ30" s="2319">
        <f ca="1">+CZ14-CZ644</f>
        <v>1199.3185010826094</v>
      </c>
      <c r="DA30" s="2278">
        <f t="shared" ref="DA30:DC30" ca="1" si="51">+DA14-DA644</f>
        <v>1223.8600146580661</v>
      </c>
      <c r="DB30" s="2278">
        <f t="shared" ca="1" si="51"/>
        <v>1257.6858902089878</v>
      </c>
      <c r="DC30" s="2278">
        <f t="shared" ca="1" si="51"/>
        <v>1293.2941896415268</v>
      </c>
    </row>
    <row r="31" spans="2:107">
      <c r="B31" s="2275"/>
      <c r="C31" s="2275"/>
      <c r="D31" s="2280"/>
      <c r="E31" s="2280"/>
      <c r="F31" s="2280"/>
      <c r="G31" s="2280"/>
      <c r="H31" s="2280"/>
      <c r="I31" s="2280"/>
      <c r="J31" s="2280"/>
      <c r="K31" s="2280"/>
      <c r="L31" s="2275"/>
      <c r="M31" s="2275"/>
      <c r="N31" s="2275"/>
      <c r="O31" s="2275"/>
      <c r="P31" s="2275"/>
      <c r="Q31" s="2275"/>
      <c r="R31" s="2275"/>
      <c r="S31" s="2275"/>
      <c r="T31" s="2266">
        <f t="shared" ref="T31:Z31" si="52">+T30/S30-1</f>
        <v>0.11543288559707832</v>
      </c>
      <c r="U31" s="2266">
        <f t="shared" si="52"/>
        <v>0.12382188859544518</v>
      </c>
      <c r="V31" s="2266">
        <f>+AVERAGE(CV31:CY31)</f>
        <v>0.11019496112423588</v>
      </c>
      <c r="W31" s="2266">
        <f ca="1">+AVERAGE(CZ31:DC31)</f>
        <v>9.569050193187556E-2</v>
      </c>
      <c r="X31" s="2266">
        <f t="shared" ca="1" si="52"/>
        <v>9.2765272261812193E-2</v>
      </c>
      <c r="Y31" s="2266">
        <f t="shared" ca="1" si="52"/>
        <v>8.03492058361015E-2</v>
      </c>
      <c r="Z31" s="2266">
        <f t="shared" ca="1" si="52"/>
        <v>7.0146746853685604E-2</v>
      </c>
      <c r="AA31" s="2266">
        <f t="shared" ref="AA31" ca="1" si="53">+AA30/Z30-1</f>
        <v>6.5305153540081928E-2</v>
      </c>
      <c r="AB31" s="2266">
        <f t="shared" ref="AB31" ca="1" si="54">+AB30/AA30-1</f>
        <v>6.1030361233596286E-2</v>
      </c>
      <c r="AC31" s="2266">
        <f t="shared" ref="AC31" ca="1" si="55">+AC30/AB30-1</f>
        <v>5.7231903222851876E-2</v>
      </c>
      <c r="AD31" s="2266">
        <f t="shared" ref="AD31" ca="1" si="56">+AD30/AC30-1</f>
        <v>5.3836213561305746E-2</v>
      </c>
      <c r="AE31" s="2278"/>
      <c r="AF31" s="2278"/>
      <c r="AG31" s="2278"/>
      <c r="AH31" s="2278"/>
      <c r="AI31" s="2278"/>
      <c r="AJ31" s="2278"/>
      <c r="AK31" s="2278"/>
      <c r="AL31" s="2278"/>
      <c r="AM31" s="2278"/>
      <c r="AN31" s="2278"/>
      <c r="AO31" s="2278"/>
      <c r="AP31" s="2278"/>
      <c r="AQ31" s="2278"/>
      <c r="AR31" s="2278"/>
      <c r="AS31" s="2278"/>
      <c r="AT31" s="2278"/>
      <c r="AU31" s="2278"/>
      <c r="AV31" s="2278"/>
      <c r="AW31" s="2278"/>
      <c r="AX31" s="2278"/>
      <c r="AY31" s="2278"/>
      <c r="AZ31" s="2278"/>
      <c r="BA31" s="2278"/>
      <c r="BB31" s="2278"/>
      <c r="BC31" s="2278"/>
      <c r="BD31" s="2278"/>
      <c r="BE31" s="2278"/>
      <c r="BF31" s="2278"/>
      <c r="BG31" s="2278"/>
      <c r="BH31" s="2278"/>
      <c r="BI31" s="2278"/>
      <c r="BJ31" s="2278"/>
      <c r="BK31" s="2278"/>
      <c r="BL31" s="2278"/>
      <c r="BM31" s="2278"/>
      <c r="BN31" s="2278"/>
      <c r="BO31" s="2278"/>
      <c r="BP31" s="2278"/>
      <c r="BQ31" s="2278"/>
      <c r="BR31" s="2278"/>
      <c r="BS31" s="2278"/>
      <c r="BT31" s="2278"/>
      <c r="BU31" s="2278"/>
      <c r="BV31" s="2278"/>
      <c r="BW31" s="2278"/>
      <c r="BX31" s="2278"/>
      <c r="BY31" s="2278"/>
      <c r="BZ31" s="2278"/>
      <c r="CA31" s="2278"/>
      <c r="CB31" s="2278"/>
      <c r="CC31" s="2278"/>
      <c r="CD31" s="2278"/>
      <c r="CE31" s="2278"/>
      <c r="CF31" s="2278"/>
      <c r="CG31" s="2278"/>
      <c r="CH31" s="2278"/>
      <c r="CI31" s="2278"/>
      <c r="CJ31" s="2266"/>
      <c r="CK31" s="2266"/>
      <c r="CL31" s="2266"/>
      <c r="CM31" s="2266"/>
      <c r="CN31" s="2266">
        <f t="shared" ref="CN31:CU31" si="57">+CN30/CJ30-1</f>
        <v>0.10881936650616408</v>
      </c>
      <c r="CO31" s="2266">
        <f t="shared" si="57"/>
        <v>9.984285173697538E-2</v>
      </c>
      <c r="CP31" s="2266">
        <f t="shared" si="57"/>
        <v>0.10671297788666112</v>
      </c>
      <c r="CQ31" s="2266">
        <f t="shared" si="57"/>
        <v>0.14470766516068245</v>
      </c>
      <c r="CR31" s="2266">
        <f t="shared" si="57"/>
        <v>0.12808664529349767</v>
      </c>
      <c r="CS31" s="2266">
        <f t="shared" si="57"/>
        <v>0.13586304918101777</v>
      </c>
      <c r="CT31" s="2266">
        <f t="shared" si="57"/>
        <v>0.13256700293745416</v>
      </c>
      <c r="CU31" s="2266">
        <f t="shared" si="57"/>
        <v>0.10087451503295197</v>
      </c>
      <c r="CV31" s="2266">
        <f>+CV30/CR14-1</f>
        <v>0.12482171541752951</v>
      </c>
      <c r="CW31" s="2266">
        <f t="shared" ref="CW31:CY31" si="58">+CW30/CS14-1</f>
        <v>8.7962376875326154E-2</v>
      </c>
      <c r="CX31" s="2266">
        <f t="shared" si="58"/>
        <v>9.7964043621765917E-2</v>
      </c>
      <c r="CY31" s="2266">
        <f t="shared" si="58"/>
        <v>0.13003170858232194</v>
      </c>
      <c r="CZ31" s="2362">
        <f ca="1">+CZ30/(CV14+(CW284/2*3))-1</f>
        <v>0.11091726010940328</v>
      </c>
      <c r="DA31" s="2362">
        <f ca="1">+DA30/(CW14+(CW284/2*1))-1</f>
        <v>0.10280410522356975</v>
      </c>
      <c r="DB31" s="2266">
        <f t="shared" ref="DB31:DC31" ca="1" si="59">+DB30/CX14-1</f>
        <v>9.1493932545654078E-2</v>
      </c>
      <c r="DC31" s="2266">
        <f t="shared" ca="1" si="59"/>
        <v>7.7546709848875128E-2</v>
      </c>
    </row>
    <row r="32" spans="2:107">
      <c r="B32" s="23"/>
      <c r="C32" s="23"/>
      <c r="D32" s="15"/>
      <c r="E32" s="15"/>
      <c r="F32" s="15"/>
      <c r="G32" s="15"/>
      <c r="H32" s="15"/>
      <c r="I32" s="15"/>
      <c r="J32" s="15"/>
      <c r="K32" s="15"/>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54"/>
      <c r="BH32" s="54"/>
      <c r="BI32" s="54"/>
      <c r="BJ32" s="54"/>
      <c r="BK32" s="54"/>
      <c r="BL32" s="54"/>
      <c r="BM32" s="54"/>
      <c r="BN32" s="54"/>
      <c r="BO32" s="54"/>
      <c r="BP32" s="54"/>
      <c r="BQ32" s="54"/>
      <c r="BR32" s="54"/>
      <c r="BS32" s="54"/>
      <c r="BT32" s="54"/>
      <c r="BU32" s="54"/>
      <c r="BV32" s="54"/>
      <c r="BW32" s="54"/>
      <c r="BX32" s="23"/>
      <c r="BY32" s="23"/>
      <c r="BZ32" s="23"/>
      <c r="CA32" s="23"/>
      <c r="CB32" s="23"/>
      <c r="CC32" s="23"/>
      <c r="CD32" s="23"/>
      <c r="CE32" s="23"/>
      <c r="CF32" s="23"/>
      <c r="CG32" s="23"/>
      <c r="CH32" s="23"/>
      <c r="CI32" s="23"/>
      <c r="CJ32" s="23"/>
      <c r="CK32" s="23"/>
      <c r="CL32" s="23"/>
      <c r="CM32" s="23"/>
      <c r="CN32" s="23"/>
      <c r="CO32" s="23"/>
      <c r="CP32" s="23"/>
      <c r="CQ32" s="23"/>
      <c r="CR32" s="23"/>
      <c r="CS32" s="23"/>
      <c r="CT32" s="23"/>
      <c r="CU32" s="23"/>
      <c r="CV32" s="23"/>
      <c r="CW32" s="23"/>
      <c r="CX32" s="23"/>
      <c r="CY32" s="23"/>
      <c r="CZ32" s="23"/>
      <c r="DA32" s="23"/>
      <c r="DB32" s="23"/>
      <c r="DC32" s="23"/>
    </row>
    <row r="33" spans="2:107">
      <c r="B33" s="801" t="s">
        <v>990</v>
      </c>
      <c r="C33" s="23"/>
      <c r="D33" s="15"/>
      <c r="E33" s="15"/>
      <c r="F33" s="15"/>
      <c r="G33" s="15"/>
      <c r="H33" s="15"/>
      <c r="I33" s="15"/>
      <c r="J33" s="15"/>
      <c r="K33" s="15"/>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38">
        <f>BH28/BG28-1</f>
        <v>7.0660246888286427E-2</v>
      </c>
      <c r="BI33" s="38">
        <f>BI28/BH28-1</f>
        <v>9.2644420523860571E-2</v>
      </c>
      <c r="BJ33" s="38">
        <f>(BJ28-Rev!BJ673)/BI28-1</f>
        <v>9.8515696834361899E-2</v>
      </c>
      <c r="BK33" s="38">
        <f>(BK28-Rev!BK673)/(BJ28-BJ673)-1</f>
        <v>9.6038104348519227E-2</v>
      </c>
      <c r="BL33" s="38">
        <f>BL28/BK28-1</f>
        <v>0.22955686385696916</v>
      </c>
      <c r="BM33" s="38">
        <f>BM28/BL28-1</f>
        <v>0.11035904670184293</v>
      </c>
      <c r="BN33" s="38">
        <f>BN28/BM28-1</f>
        <v>9.6983838063010586E-2</v>
      </c>
      <c r="BO33" s="38">
        <f>BO28/BN28-1</f>
        <v>8.6282545268269173E-2</v>
      </c>
      <c r="BP33" s="38"/>
      <c r="BQ33" s="38"/>
      <c r="BR33" s="38"/>
      <c r="BS33" s="38"/>
      <c r="BT33" s="38"/>
      <c r="BU33" s="38"/>
      <c r="BV33" s="38"/>
      <c r="BW33" s="38"/>
      <c r="BX33" s="38"/>
      <c r="BY33" s="38"/>
      <c r="BZ33" s="38"/>
      <c r="CA33" s="38"/>
      <c r="CB33" s="38"/>
      <c r="CC33" s="38"/>
      <c r="CD33" s="38"/>
      <c r="CE33" s="38"/>
      <c r="CF33" s="38"/>
      <c r="CG33" s="38"/>
      <c r="CH33" s="38"/>
      <c r="CI33" s="38"/>
      <c r="CJ33" s="38"/>
      <c r="CK33" s="38"/>
      <c r="CL33" s="38"/>
      <c r="CM33" s="38"/>
      <c r="CN33" s="38"/>
      <c r="CO33" s="38"/>
      <c r="CP33" s="38"/>
      <c r="CQ33" s="38"/>
      <c r="CR33" s="38"/>
      <c r="CS33" s="38"/>
      <c r="CT33" s="38"/>
      <c r="CU33" s="38"/>
      <c r="CV33" s="38"/>
      <c r="CW33" s="38"/>
      <c r="CX33" s="38"/>
      <c r="CY33" s="38"/>
      <c r="CZ33" s="38"/>
      <c r="DA33" s="38"/>
      <c r="DB33" s="38"/>
      <c r="DC33" s="38"/>
    </row>
    <row r="34" spans="2:107">
      <c r="B34" s="17" t="s">
        <v>1050</v>
      </c>
      <c r="C34" s="23"/>
      <c r="D34" s="15"/>
      <c r="E34" s="15"/>
      <c r="F34" s="15"/>
      <c r="G34" s="15"/>
      <c r="H34" s="15"/>
      <c r="I34" s="26">
        <f t="shared" ref="I34:Z34" si="60">I8/I$14*100</f>
        <v>68.421406357876464</v>
      </c>
      <c r="J34" s="26">
        <f t="shared" si="60"/>
        <v>69.034683362209734</v>
      </c>
      <c r="K34" s="26">
        <f t="shared" si="60"/>
        <v>70.324660613770632</v>
      </c>
      <c r="L34" s="54">
        <f t="shared" si="60"/>
        <v>72.766914138307556</v>
      </c>
      <c r="M34" s="54">
        <f t="shared" si="60"/>
        <v>77.4631038201737</v>
      </c>
      <c r="N34" s="54">
        <f t="shared" si="60"/>
        <v>80.385582469980477</v>
      </c>
      <c r="O34" s="54">
        <f t="shared" si="60"/>
        <v>78.391147237190211</v>
      </c>
      <c r="P34" s="54">
        <f t="shared" si="60"/>
        <v>76.082581599947289</v>
      </c>
      <c r="Q34" s="54">
        <f t="shared" si="60"/>
        <v>75.962288383448765</v>
      </c>
      <c r="R34" s="54">
        <f t="shared" si="60"/>
        <v>75.631954425144201</v>
      </c>
      <c r="S34" s="54">
        <f t="shared" si="60"/>
        <v>74.876451391801623</v>
      </c>
      <c r="T34" s="54">
        <f t="shared" si="60"/>
        <v>74.286933294984664</v>
      </c>
      <c r="U34" s="54">
        <f t="shared" si="60"/>
        <v>73.419769550793205</v>
      </c>
      <c r="V34" s="54">
        <f t="shared" ref="V34:W39" si="61">V8/V$14*100</f>
        <v>72.752601164537907</v>
      </c>
      <c r="W34" s="54">
        <f t="shared" ca="1" si="61"/>
        <v>71.10396380308238</v>
      </c>
      <c r="X34" s="54">
        <f t="shared" ca="1" si="60"/>
        <v>71.750276323930748</v>
      </c>
      <c r="Y34" s="54">
        <f t="shared" ca="1" si="60"/>
        <v>72.212872983985193</v>
      </c>
      <c r="Z34" s="54">
        <f t="shared" ca="1" si="60"/>
        <v>72.586381897062708</v>
      </c>
      <c r="AA34" s="54">
        <f t="shared" ref="AA34:AD34" ca="1" si="62">AA8/AA$14*100</f>
        <v>72.883127416006033</v>
      </c>
      <c r="AB34" s="54">
        <f t="shared" ca="1" si="62"/>
        <v>73.115196053985088</v>
      </c>
      <c r="AC34" s="54">
        <f t="shared" ca="1" si="62"/>
        <v>73.291985953551929</v>
      </c>
      <c r="AD34" s="54">
        <f t="shared" ca="1" si="62"/>
        <v>73.421007515337124</v>
      </c>
      <c r="AE34" s="23"/>
      <c r="AF34" s="23"/>
      <c r="AG34" s="23"/>
      <c r="AH34" s="23"/>
      <c r="AI34" s="23"/>
      <c r="AJ34" s="23"/>
      <c r="AK34" s="23"/>
      <c r="AL34" s="23"/>
      <c r="AM34" s="23"/>
      <c r="AN34" s="23"/>
      <c r="AO34" s="23"/>
      <c r="AP34" s="23"/>
      <c r="AQ34" s="23"/>
      <c r="AR34" s="23"/>
      <c r="AS34" s="23"/>
      <c r="AT34" s="23"/>
      <c r="AU34" s="23"/>
      <c r="AV34" s="23"/>
      <c r="AW34" s="23"/>
      <c r="AX34" s="23"/>
      <c r="AY34" s="23"/>
      <c r="AZ34" s="54">
        <f t="shared" ref="AZ34:CP34" si="63">AZ8/AZ$14*100</f>
        <v>68.268835757127604</v>
      </c>
      <c r="BA34" s="54">
        <f t="shared" si="63"/>
        <v>68.798948150688844</v>
      </c>
      <c r="BB34" s="54">
        <f t="shared" si="63"/>
        <v>69.089093913522447</v>
      </c>
      <c r="BC34" s="54">
        <f t="shared" si="63"/>
        <v>69.787048124534792</v>
      </c>
      <c r="BD34" s="54">
        <f t="shared" si="63"/>
        <v>70.24773004054326</v>
      </c>
      <c r="BE34" s="54">
        <f t="shared" si="63"/>
        <v>70.006418859777085</v>
      </c>
      <c r="BF34" s="54">
        <f t="shared" si="63"/>
        <v>70.094674877248181</v>
      </c>
      <c r="BG34" s="54">
        <f t="shared" si="63"/>
        <v>70.873238730381587</v>
      </c>
      <c r="BH34" s="54">
        <f t="shared" si="63"/>
        <v>70.214665899023601</v>
      </c>
      <c r="BI34" s="54">
        <f t="shared" si="63"/>
        <v>71.475549070636006</v>
      </c>
      <c r="BJ34" s="54">
        <f t="shared" si="63"/>
        <v>72.538590507024338</v>
      </c>
      <c r="BK34" s="54">
        <f t="shared" si="63"/>
        <v>75.358651614112489</v>
      </c>
      <c r="BL34" s="54">
        <f t="shared" si="63"/>
        <v>76.697341642543819</v>
      </c>
      <c r="BM34" s="54">
        <f t="shared" si="63"/>
        <v>77.290693078514806</v>
      </c>
      <c r="BN34" s="54">
        <f t="shared" si="63"/>
        <v>77.251476310991379</v>
      </c>
      <c r="BO34" s="54">
        <f t="shared" si="63"/>
        <v>78.457964265298955</v>
      </c>
      <c r="BP34" s="54">
        <f t="shared" si="63"/>
        <v>79.530293980354458</v>
      </c>
      <c r="BQ34" s="54">
        <f t="shared" si="63"/>
        <v>80.597932147414255</v>
      </c>
      <c r="BR34" s="54">
        <f t="shared" si="63"/>
        <v>80.763585547420874</v>
      </c>
      <c r="BS34" s="54">
        <f t="shared" si="63"/>
        <v>80.546851809096609</v>
      </c>
      <c r="BT34" s="54">
        <f t="shared" si="63"/>
        <v>80.579049181778331</v>
      </c>
      <c r="BU34" s="54">
        <f t="shared" si="63"/>
        <v>78.796036653086716</v>
      </c>
      <c r="BV34" s="54">
        <f t="shared" si="63"/>
        <v>77.899576793532148</v>
      </c>
      <c r="BW34" s="54">
        <f t="shared" si="63"/>
        <v>76.893450785025706</v>
      </c>
      <c r="BX34" s="54">
        <f t="shared" si="63"/>
        <v>77.340289071909424</v>
      </c>
      <c r="BY34" s="54">
        <f t="shared" si="63"/>
        <v>76.413929878136017</v>
      </c>
      <c r="BZ34" s="54">
        <f t="shared" si="63"/>
        <v>74.983129938346053</v>
      </c>
      <c r="CA34" s="54">
        <f t="shared" si="63"/>
        <v>75.788591928417588</v>
      </c>
      <c r="CB34" s="54">
        <f t="shared" si="63"/>
        <v>75.906901431448318</v>
      </c>
      <c r="CC34" s="54">
        <f t="shared" si="63"/>
        <v>76.283669571707676</v>
      </c>
      <c r="CD34" s="54">
        <f t="shared" si="63"/>
        <v>75.445667082615728</v>
      </c>
      <c r="CE34" s="54">
        <f t="shared" si="63"/>
        <v>76.21621194366665</v>
      </c>
      <c r="CF34" s="54">
        <f t="shared" si="63"/>
        <v>76.497769958964156</v>
      </c>
      <c r="CG34" s="54">
        <f t="shared" si="63"/>
        <v>75.271096354309464</v>
      </c>
      <c r="CH34" s="54">
        <f t="shared" si="63"/>
        <v>75.231271773795569</v>
      </c>
      <c r="CI34" s="54">
        <f t="shared" si="63"/>
        <v>75.563906445631744</v>
      </c>
      <c r="CJ34" s="54">
        <f t="shared" si="63"/>
        <v>74.928153117042754</v>
      </c>
      <c r="CK34" s="54">
        <f t="shared" si="63"/>
        <v>74.799929275019366</v>
      </c>
      <c r="CL34" s="54">
        <f t="shared" si="63"/>
        <v>74.538230932886336</v>
      </c>
      <c r="CM34" s="54">
        <f t="shared" si="63"/>
        <v>75.230873141614211</v>
      </c>
      <c r="CN34" s="54">
        <f t="shared" si="63"/>
        <v>74.870097360900786</v>
      </c>
      <c r="CO34" s="54">
        <f t="shared" si="63"/>
        <v>74.612895180458622</v>
      </c>
      <c r="CP34" s="54">
        <f t="shared" si="63"/>
        <v>74.514344301091256</v>
      </c>
      <c r="CQ34" s="54">
        <f t="shared" ref="CQ34:CR39" si="64">CQ8/CQ$14*100</f>
        <v>73.262674855091717</v>
      </c>
      <c r="CR34" s="54">
        <f t="shared" si="64"/>
        <v>73.433464904591091</v>
      </c>
      <c r="CS34" s="54">
        <f t="shared" ref="CS34:CT39" si="65">CS8/CS$14*100</f>
        <v>73.588188915170278</v>
      </c>
      <c r="CT34" s="54">
        <f t="shared" si="65"/>
        <v>73.630114764522929</v>
      </c>
      <c r="CU34" s="54">
        <f t="shared" ref="CU34:CV39" si="66">CU8/CU$14*100</f>
        <v>73.040279128878566</v>
      </c>
      <c r="CV34" s="54">
        <f t="shared" si="66"/>
        <v>72.828203575471946</v>
      </c>
      <c r="CW34" s="54">
        <f t="shared" ref="CW34:CX34" si="67">CW8/CW$14*100</f>
        <v>73.351049913683241</v>
      </c>
      <c r="CX34" s="54">
        <f t="shared" si="67"/>
        <v>73.132736419960423</v>
      </c>
      <c r="CY34" s="54">
        <f t="shared" ref="CY34" si="68">CY8/CY$14*100</f>
        <v>71.796110882912402</v>
      </c>
      <c r="CZ34" s="54">
        <f t="shared" ref="CZ34:DC39" ca="1" si="69">CZ8/CZ$14*100</f>
        <v>70.787803188285167</v>
      </c>
      <c r="DA34" s="54">
        <f t="shared" ca="1" si="69"/>
        <v>70.944774921331273</v>
      </c>
      <c r="DB34" s="54">
        <f t="shared" ca="1" si="69"/>
        <v>71.202790466992738</v>
      </c>
      <c r="DC34" s="54">
        <f t="shared" ca="1" si="69"/>
        <v>71.452045052003044</v>
      </c>
    </row>
    <row r="35" spans="2:107">
      <c r="B35" s="17" t="s">
        <v>1124</v>
      </c>
      <c r="C35" s="23"/>
      <c r="D35" s="15"/>
      <c r="E35" s="15"/>
      <c r="F35" s="15"/>
      <c r="G35" s="15"/>
      <c r="H35" s="15"/>
      <c r="I35" s="26">
        <f t="shared" ref="I35:Z35" si="70">I9/I$14*100</f>
        <v>19.193381845287192</v>
      </c>
      <c r="J35" s="26">
        <f t="shared" si="70"/>
        <v>18.491610761025434</v>
      </c>
      <c r="K35" s="26">
        <f t="shared" si="70"/>
        <v>18.755031978111983</v>
      </c>
      <c r="L35" s="54">
        <f t="shared" si="70"/>
        <v>17.567387147686684</v>
      </c>
      <c r="M35" s="54">
        <f t="shared" si="70"/>
        <v>13.545439064539933</v>
      </c>
      <c r="N35" s="54">
        <f t="shared" si="70"/>
        <v>12.085655783680391</v>
      </c>
      <c r="O35" s="54">
        <f t="shared" si="70"/>
        <v>13.897212011322358</v>
      </c>
      <c r="P35" s="54">
        <f t="shared" si="70"/>
        <v>14.51375522291422</v>
      </c>
      <c r="Q35" s="54">
        <f t="shared" si="70"/>
        <v>14.417000110205915</v>
      </c>
      <c r="R35" s="54">
        <f t="shared" si="70"/>
        <v>14.858233546980953</v>
      </c>
      <c r="S35" s="54">
        <f t="shared" si="70"/>
        <v>15.236672770611046</v>
      </c>
      <c r="T35" s="54">
        <f t="shared" si="70"/>
        <v>15.987904032001563</v>
      </c>
      <c r="U35" s="54">
        <f t="shared" si="70"/>
        <v>15.068235257637831</v>
      </c>
      <c r="V35" s="54">
        <f t="shared" si="61"/>
        <v>15.593092068817432</v>
      </c>
      <c r="W35" s="54">
        <f t="shared" ca="1" si="61"/>
        <v>16.850453814750338</v>
      </c>
      <c r="X35" s="54">
        <f t="shared" ca="1" si="70"/>
        <v>17.119167717699394</v>
      </c>
      <c r="Y35" s="54">
        <f t="shared" ca="1" si="70"/>
        <v>17.386901746559928</v>
      </c>
      <c r="Z35" s="54">
        <f t="shared" ca="1" si="70"/>
        <v>17.605448368280609</v>
      </c>
      <c r="AA35" s="54">
        <f t="shared" ref="AA35:AD35" ca="1" si="71">AA9/AA$14*100</f>
        <v>17.826513239098308</v>
      </c>
      <c r="AB35" s="54">
        <f t="shared" ca="1" si="71"/>
        <v>18.050739656520282</v>
      </c>
      <c r="AC35" s="54">
        <f t="shared" ca="1" si="71"/>
        <v>18.278757787702471</v>
      </c>
      <c r="AD35" s="54">
        <f t="shared" ca="1" si="71"/>
        <v>18.511047521883658</v>
      </c>
      <c r="AE35" s="23"/>
      <c r="AF35" s="23"/>
      <c r="AG35" s="23"/>
      <c r="AH35" s="23"/>
      <c r="AI35" s="23"/>
      <c r="AJ35" s="23"/>
      <c r="AK35" s="23"/>
      <c r="AL35" s="23"/>
      <c r="AM35" s="23"/>
      <c r="AN35" s="23"/>
      <c r="AO35" s="23"/>
      <c r="AP35" s="23"/>
      <c r="AQ35" s="23"/>
      <c r="AR35" s="23"/>
      <c r="AS35" s="23"/>
      <c r="AT35" s="23"/>
      <c r="AU35" s="23"/>
      <c r="AV35" s="23"/>
      <c r="AW35" s="23"/>
      <c r="AX35" s="23"/>
      <c r="AY35" s="23"/>
      <c r="AZ35" s="54">
        <f t="shared" ref="AZ35:CP35" si="72">AZ9/AZ$14*100</f>
        <v>19.152082819817601</v>
      </c>
      <c r="BA35" s="54">
        <f t="shared" si="72"/>
        <v>18.75988490634349</v>
      </c>
      <c r="BB35" s="54">
        <f t="shared" si="72"/>
        <v>18.120008262186726</v>
      </c>
      <c r="BC35" s="54">
        <f t="shared" si="72"/>
        <v>18.092818537816758</v>
      </c>
      <c r="BD35" s="54">
        <f t="shared" si="72"/>
        <v>18.196673295410751</v>
      </c>
      <c r="BE35" s="54">
        <f t="shared" si="72"/>
        <v>18.445468868530082</v>
      </c>
      <c r="BF35" s="54">
        <f t="shared" si="72"/>
        <v>18.802050836882511</v>
      </c>
      <c r="BG35" s="54">
        <f t="shared" si="72"/>
        <v>19.431630145915861</v>
      </c>
      <c r="BH35" s="54">
        <f t="shared" si="72"/>
        <v>19.645395904075947</v>
      </c>
      <c r="BI35" s="54">
        <f t="shared" si="72"/>
        <v>19.222100025044366</v>
      </c>
      <c r="BJ35" s="54">
        <f t="shared" si="72"/>
        <v>18.112967566630051</v>
      </c>
      <c r="BK35" s="54">
        <f t="shared" si="72"/>
        <v>14.788701933474632</v>
      </c>
      <c r="BL35" s="54">
        <f t="shared" si="72"/>
        <v>13.998407260867914</v>
      </c>
      <c r="BM35" s="54">
        <f t="shared" si="72"/>
        <v>13.596521819999536</v>
      </c>
      <c r="BN35" s="54">
        <f t="shared" si="72"/>
        <v>13.256592374887749</v>
      </c>
      <c r="BO35" s="54">
        <f t="shared" si="72"/>
        <v>13.40182396962498</v>
      </c>
      <c r="BP35" s="54">
        <f t="shared" si="72"/>
        <v>12.647128207959602</v>
      </c>
      <c r="BQ35" s="54">
        <f t="shared" si="72"/>
        <v>12.148633941304512</v>
      </c>
      <c r="BR35" s="54">
        <f t="shared" si="72"/>
        <v>11.96837729282205</v>
      </c>
      <c r="BS35" s="54">
        <f t="shared" si="72"/>
        <v>11.679145090537286</v>
      </c>
      <c r="BT35" s="54">
        <f t="shared" si="72"/>
        <v>11.756331213879804</v>
      </c>
      <c r="BU35" s="54">
        <f t="shared" si="72"/>
        <v>13.726552236611688</v>
      </c>
      <c r="BV35" s="54">
        <f t="shared" si="72"/>
        <v>14.643981652633506</v>
      </c>
      <c r="BW35" s="54">
        <f t="shared" si="72"/>
        <v>14.914051981056478</v>
      </c>
      <c r="BX35" s="54">
        <f t="shared" si="72"/>
        <v>14.762929603963707</v>
      </c>
      <c r="BY35" s="54">
        <f t="shared" si="72"/>
        <v>14.797880522132584</v>
      </c>
      <c r="BZ35" s="54">
        <f t="shared" si="72"/>
        <v>14.089366382344579</v>
      </c>
      <c r="CA35" s="54">
        <f t="shared" si="72"/>
        <v>14.45573910555833</v>
      </c>
      <c r="CB35" s="54">
        <f t="shared" si="72"/>
        <v>14.260735862406793</v>
      </c>
      <c r="CC35" s="54">
        <f t="shared" si="72"/>
        <v>14.276556977586544</v>
      </c>
      <c r="CD35" s="54">
        <f t="shared" si="72"/>
        <v>14.578361710685078</v>
      </c>
      <c r="CE35" s="54">
        <f t="shared" si="72"/>
        <v>14.524986217022128</v>
      </c>
      <c r="CF35" s="54">
        <f t="shared" si="72"/>
        <v>14.723114540022555</v>
      </c>
      <c r="CG35" s="54">
        <f t="shared" si="72"/>
        <v>14.815143957600247</v>
      </c>
      <c r="CH35" s="54">
        <f t="shared" si="72"/>
        <v>15.034506632491473</v>
      </c>
      <c r="CI35" s="54">
        <f t="shared" si="72"/>
        <v>14.852561729980145</v>
      </c>
      <c r="CJ35" s="54">
        <f t="shared" si="72"/>
        <v>15.003111784612788</v>
      </c>
      <c r="CK35" s="54">
        <f t="shared" si="72"/>
        <v>15.032198043165371</v>
      </c>
      <c r="CL35" s="54">
        <f t="shared" si="72"/>
        <v>15.41615627619109</v>
      </c>
      <c r="CM35" s="54">
        <f t="shared" si="72"/>
        <v>15.46838295558366</v>
      </c>
      <c r="CN35" s="54">
        <f t="shared" si="72"/>
        <v>15.805676224474249</v>
      </c>
      <c r="CO35" s="54">
        <f t="shared" si="72"/>
        <v>15.724734142449769</v>
      </c>
      <c r="CP35" s="54">
        <f t="shared" si="72"/>
        <v>16.102550211243301</v>
      </c>
      <c r="CQ35" s="54">
        <f t="shared" si="64"/>
        <v>16.280381457214752</v>
      </c>
      <c r="CR35" s="54">
        <f t="shared" si="64"/>
        <v>15.068897218049745</v>
      </c>
      <c r="CS35" s="54">
        <f t="shared" si="65"/>
        <v>15.071570554463582</v>
      </c>
      <c r="CT35" s="54">
        <f t="shared" si="65"/>
        <v>14.647184527337142</v>
      </c>
      <c r="CU35" s="54">
        <f t="shared" si="66"/>
        <v>15.477479904990945</v>
      </c>
      <c r="CV35" s="54">
        <f t="shared" si="66"/>
        <v>15.593059687738602</v>
      </c>
      <c r="CW35" s="54">
        <f t="shared" ref="CW35:CX35" si="73">CW9/CW$14*100</f>
        <v>15.536453239386697</v>
      </c>
      <c r="CX35" s="54">
        <f t="shared" si="73"/>
        <v>15.581886395530182</v>
      </c>
      <c r="CY35" s="54">
        <f t="shared" ref="CY35" si="74">CY9/CY$14*100</f>
        <v>15.65420035143528</v>
      </c>
      <c r="CZ35" s="54">
        <f t="shared" ca="1" si="69"/>
        <v>16.78393794638141</v>
      </c>
      <c r="DA35" s="54">
        <f t="shared" ca="1" si="69"/>
        <v>16.836631711226289</v>
      </c>
      <c r="DB35" s="54">
        <f t="shared" ca="1" si="69"/>
        <v>16.867723821205161</v>
      </c>
      <c r="DC35" s="54">
        <f t="shared" ca="1" si="69"/>
        <v>16.908485183962171</v>
      </c>
    </row>
    <row r="36" spans="2:107">
      <c r="B36" s="17" t="s">
        <v>1228</v>
      </c>
      <c r="C36" s="23"/>
      <c r="D36" s="15"/>
      <c r="E36" s="15"/>
      <c r="F36" s="15"/>
      <c r="G36" s="15"/>
      <c r="H36" s="15"/>
      <c r="I36" s="26">
        <f t="shared" ref="I36:Z36" si="75">I10/I$14*100</f>
        <v>6.7507377605073584</v>
      </c>
      <c r="J36" s="26">
        <f t="shared" si="75"/>
        <v>6.4273015557073512</v>
      </c>
      <c r="K36" s="26">
        <f t="shared" si="75"/>
        <v>5.6452259379955727</v>
      </c>
      <c r="L36" s="54">
        <f t="shared" si="75"/>
        <v>4.65356354394648</v>
      </c>
      <c r="M36" s="54">
        <f t="shared" si="75"/>
        <v>3.9365385706987577</v>
      </c>
      <c r="N36" s="54">
        <f t="shared" si="75"/>
        <v>3.3133939710529861</v>
      </c>
      <c r="O36" s="54">
        <f t="shared" si="75"/>
        <v>2.5422442518776744</v>
      </c>
      <c r="P36" s="54">
        <f t="shared" si="75"/>
        <v>4.3011835098808149</v>
      </c>
      <c r="Q36" s="54">
        <f t="shared" si="75"/>
        <v>4.6683331779147341</v>
      </c>
      <c r="R36" s="54">
        <f t="shared" si="75"/>
        <v>4.5244118496854746</v>
      </c>
      <c r="S36" s="54">
        <f t="shared" si="75"/>
        <v>4.3085390430788433</v>
      </c>
      <c r="T36" s="54">
        <f t="shared" si="75"/>
        <v>3.5837405126515702</v>
      </c>
      <c r="U36" s="54">
        <f t="shared" si="75"/>
        <v>5.517624776819642</v>
      </c>
      <c r="V36" s="54">
        <f t="shared" si="61"/>
        <v>5.6122934840633745</v>
      </c>
      <c r="W36" s="54">
        <f t="shared" ca="1" si="61"/>
        <v>5.4841695246858588</v>
      </c>
      <c r="X36" s="54">
        <f t="shared" ca="1" si="75"/>
        <v>5.0377525363988278</v>
      </c>
      <c r="Y36" s="54">
        <f t="shared" ca="1" si="75"/>
        <v>4.6798116788929143</v>
      </c>
      <c r="Z36" s="54">
        <f t="shared" ca="1" si="75"/>
        <v>4.3880088143380487</v>
      </c>
      <c r="AA36" s="54">
        <f t="shared" ref="AA36:AD36" ca="1" si="76">AA10/AA$14*100</f>
        <v>4.1326977005469363</v>
      </c>
      <c r="AB36" s="54">
        <f t="shared" ca="1" si="76"/>
        <v>3.9076036988361298</v>
      </c>
      <c r="AC36" s="54">
        <f t="shared" ca="1" si="76"/>
        <v>3.7077870429983202</v>
      </c>
      <c r="AD36" s="54">
        <f t="shared" ca="1" si="76"/>
        <v>3.5293139051557643</v>
      </c>
      <c r="AE36" s="23"/>
      <c r="AF36" s="23"/>
      <c r="AG36" s="23"/>
      <c r="AH36" s="23"/>
      <c r="AI36" s="23"/>
      <c r="AJ36" s="23"/>
      <c r="AK36" s="23"/>
      <c r="AL36" s="23"/>
      <c r="AM36" s="23"/>
      <c r="AN36" s="23"/>
      <c r="AO36" s="23"/>
      <c r="AP36" s="23"/>
      <c r="AQ36" s="23"/>
      <c r="AR36" s="23"/>
      <c r="AS36" s="23"/>
      <c r="AT36" s="23"/>
      <c r="AU36" s="23"/>
      <c r="AV36" s="23"/>
      <c r="AW36" s="23"/>
      <c r="AX36" s="23"/>
      <c r="AY36" s="23"/>
      <c r="AZ36" s="54">
        <f t="shared" ref="AZ36:CP36" si="77">AZ10/AZ$14*100</f>
        <v>6.8626242708076584</v>
      </c>
      <c r="BA36" s="54">
        <f t="shared" si="77"/>
        <v>6.6331294422530913</v>
      </c>
      <c r="BB36" s="54">
        <f t="shared" si="77"/>
        <v>6.2413935554943549</v>
      </c>
      <c r="BC36" s="54">
        <f t="shared" si="77"/>
        <v>6.0843392990064409</v>
      </c>
      <c r="BD36" s="54">
        <f t="shared" si="77"/>
        <v>6.062988484484114</v>
      </c>
      <c r="BE36" s="54">
        <f t="shared" si="77"/>
        <v>5.9024333313882247</v>
      </c>
      <c r="BF36" s="54">
        <f t="shared" si="77"/>
        <v>5.5150150557469546</v>
      </c>
      <c r="BG36" s="54">
        <f t="shared" si="77"/>
        <v>5.2048337762623484</v>
      </c>
      <c r="BH36" s="54">
        <f t="shared" si="77"/>
        <v>4.8161769025602457</v>
      </c>
      <c r="BI36" s="54">
        <f t="shared" si="77"/>
        <v>4.6658754096932604</v>
      </c>
      <c r="BJ36" s="54">
        <f t="shared" si="77"/>
        <v>4.6539862403885071</v>
      </c>
      <c r="BK36" s="54">
        <f t="shared" si="77"/>
        <v>4.5453234713150801</v>
      </c>
      <c r="BL36" s="54">
        <f t="shared" si="77"/>
        <v>4.1082556978346325</v>
      </c>
      <c r="BM36" s="54">
        <f t="shared" si="77"/>
        <v>3.9716584129641261</v>
      </c>
      <c r="BN36" s="54">
        <f t="shared" si="77"/>
        <v>3.7924184287152705</v>
      </c>
      <c r="BO36" s="54">
        <f t="shared" si="77"/>
        <v>3.901239229506563</v>
      </c>
      <c r="BP36" s="54">
        <f t="shared" si="77"/>
        <v>3.702737023856729</v>
      </c>
      <c r="BQ36" s="54">
        <f t="shared" si="77"/>
        <v>3.4564287322675078</v>
      </c>
      <c r="BR36" s="54">
        <f t="shared" si="77"/>
        <v>3.084927798627163</v>
      </c>
      <c r="BS36" s="54">
        <f t="shared" si="77"/>
        <v>3.0822256670734522</v>
      </c>
      <c r="BT36" s="54">
        <f t="shared" si="77"/>
        <v>2.9358654167119109</v>
      </c>
      <c r="BU36" s="54">
        <f t="shared" si="77"/>
        <v>2.5070625570391187</v>
      </c>
      <c r="BV36" s="54">
        <f t="shared" si="77"/>
        <v>2.4177312475199639</v>
      </c>
      <c r="BW36" s="54">
        <f t="shared" si="77"/>
        <v>2.4004863465713773</v>
      </c>
      <c r="BX36" s="54">
        <f t="shared" si="77"/>
        <v>2.3863812487790481</v>
      </c>
      <c r="BY36" s="54">
        <f t="shared" si="77"/>
        <v>3.9191269499933368</v>
      </c>
      <c r="BZ36" s="54">
        <f t="shared" si="77"/>
        <v>5.8353406309763356</v>
      </c>
      <c r="CA36" s="54">
        <f t="shared" si="77"/>
        <v>4.772082840598749</v>
      </c>
      <c r="CB36" s="54">
        <f t="shared" si="77"/>
        <v>4.9361381737694812</v>
      </c>
      <c r="CC36" s="54">
        <f t="shared" si="77"/>
        <v>4.4574451737536496</v>
      </c>
      <c r="CD36" s="54">
        <f t="shared" si="77"/>
        <v>4.7915270143450872</v>
      </c>
      <c r="CE36" s="54">
        <f t="shared" si="77"/>
        <v>4.5067867580657586</v>
      </c>
      <c r="CF36" s="54">
        <f t="shared" si="77"/>
        <v>4.4794568852274805</v>
      </c>
      <c r="CG36" s="54">
        <f t="shared" si="77"/>
        <v>4.6875324984731632</v>
      </c>
      <c r="CH36" s="54">
        <f t="shared" si="77"/>
        <v>4.4952530363626986</v>
      </c>
      <c r="CI36" s="54">
        <f t="shared" si="77"/>
        <v>4.4407687934872504</v>
      </c>
      <c r="CJ36" s="54">
        <f t="shared" si="77"/>
        <v>4.3761518344013393</v>
      </c>
      <c r="CK36" s="54">
        <f t="shared" si="77"/>
        <v>4.603072570770423</v>
      </c>
      <c r="CL36" s="54">
        <f t="shared" si="77"/>
        <v>4.4737605570240468</v>
      </c>
      <c r="CM36" s="54">
        <f t="shared" si="77"/>
        <v>3.8071149515530749</v>
      </c>
      <c r="CN36" s="54">
        <f t="shared" si="77"/>
        <v>3.7089496776921957</v>
      </c>
      <c r="CO36" s="54">
        <f t="shared" si="77"/>
        <v>3.5256362101138561</v>
      </c>
      <c r="CP36" s="54">
        <f t="shared" si="77"/>
        <v>3.2515885117432628</v>
      </c>
      <c r="CQ36" s="54">
        <f t="shared" si="64"/>
        <v>3.8386664877844439</v>
      </c>
      <c r="CR36" s="54">
        <f t="shared" si="64"/>
        <v>5.2994944062471863</v>
      </c>
      <c r="CS36" s="54">
        <f t="shared" si="65"/>
        <v>5.0241529799780125</v>
      </c>
      <c r="CT36" s="54">
        <f t="shared" si="65"/>
        <v>5.9833931020162749</v>
      </c>
      <c r="CU36" s="54">
        <f t="shared" si="66"/>
        <v>5.7274886569415688</v>
      </c>
      <c r="CV36" s="54">
        <f t="shared" si="66"/>
        <v>5.7511913851662655</v>
      </c>
      <c r="CW36" s="54">
        <f t="shared" ref="CW36:CX36" si="78">CW10/CW$14*100</f>
        <v>5.4568505308878947</v>
      </c>
      <c r="CX36" s="54">
        <f t="shared" si="78"/>
        <v>5.4916377452677825</v>
      </c>
      <c r="CY36" s="54">
        <f t="shared" ref="CY36" si="79">CY10/CY$14*100</f>
        <v>5.7563565376709782</v>
      </c>
      <c r="CZ36" s="54">
        <f t="shared" ca="1" si="69"/>
        <v>5.6836780435218559</v>
      </c>
      <c r="DA36" s="54">
        <f t="shared" ca="1" si="69"/>
        <v>5.5711992632403522</v>
      </c>
      <c r="DB36" s="54">
        <f t="shared" ca="1" si="69"/>
        <v>5.4232713381413582</v>
      </c>
      <c r="DC36" s="54">
        <f t="shared" ca="1" si="69"/>
        <v>5.2758051653768439</v>
      </c>
    </row>
    <row r="37" spans="2:107">
      <c r="B37" s="17" t="s">
        <v>1222</v>
      </c>
      <c r="C37" s="23"/>
      <c r="D37" s="15"/>
      <c r="E37" s="15"/>
      <c r="F37" s="15"/>
      <c r="G37" s="15"/>
      <c r="H37" s="15"/>
      <c r="I37" s="26">
        <f t="shared" ref="I37:Z37" si="80">I11/I$14*100</f>
        <v>0</v>
      </c>
      <c r="J37" s="26">
        <f t="shared" si="80"/>
        <v>0.14114006794627629</v>
      </c>
      <c r="K37" s="26">
        <f t="shared" si="80"/>
        <v>0.48097868706759844</v>
      </c>
      <c r="L37" s="54">
        <f t="shared" si="80"/>
        <v>0.29491562599835019</v>
      </c>
      <c r="M37" s="54">
        <f t="shared" si="80"/>
        <v>0.14588181869784869</v>
      </c>
      <c r="N37" s="54">
        <f t="shared" si="80"/>
        <v>0.12362480156009738</v>
      </c>
      <c r="O37" s="54">
        <f t="shared" si="80"/>
        <v>0.20138910293993209</v>
      </c>
      <c r="P37" s="54">
        <f t="shared" si="80"/>
        <v>0.17377610039752814</v>
      </c>
      <c r="Q37" s="54">
        <f t="shared" si="80"/>
        <v>0.16753418502725476</v>
      </c>
      <c r="R37" s="54">
        <f t="shared" si="80"/>
        <v>0.2099624390203115</v>
      </c>
      <c r="S37" s="54">
        <f t="shared" si="80"/>
        <v>0.42295219486245667</v>
      </c>
      <c r="T37" s="54">
        <f t="shared" si="80"/>
        <v>0.39183863335958796</v>
      </c>
      <c r="U37" s="54">
        <f t="shared" si="80"/>
        <v>0.6323385813190463</v>
      </c>
      <c r="V37" s="54">
        <f t="shared" si="61"/>
        <v>0.35786328628971342</v>
      </c>
      <c r="W37" s="54">
        <f t="shared" ca="1" si="61"/>
        <v>0.32052970140950804</v>
      </c>
      <c r="X37" s="54">
        <f t="shared" ca="1" si="80"/>
        <v>0.30909424055723395</v>
      </c>
      <c r="Y37" s="54">
        <f t="shared" ca="1" si="80"/>
        <v>0.30067372340923471</v>
      </c>
      <c r="Z37" s="54">
        <f t="shared" ca="1" si="80"/>
        <v>0.29455410452664404</v>
      </c>
      <c r="AA37" s="54">
        <f t="shared" ref="AA37:AD37" ca="1" si="81">AA11/AA$14*100</f>
        <v>0.28924564155090166</v>
      </c>
      <c r="AB37" s="54">
        <f t="shared" ca="1" si="81"/>
        <v>0.28461700450420452</v>
      </c>
      <c r="AC37" s="54">
        <f t="shared" ca="1" si="81"/>
        <v>0.28056331443088378</v>
      </c>
      <c r="AD37" s="54">
        <f t="shared" ca="1" si="81"/>
        <v>0.27700012049371353</v>
      </c>
      <c r="AE37" s="23"/>
      <c r="AF37" s="23"/>
      <c r="AG37" s="23"/>
      <c r="AH37" s="23"/>
      <c r="AI37" s="23"/>
      <c r="AJ37" s="23"/>
      <c r="AK37" s="23"/>
      <c r="AL37" s="23"/>
      <c r="AM37" s="23"/>
      <c r="AN37" s="23"/>
      <c r="AO37" s="23"/>
      <c r="AP37" s="23"/>
      <c r="AQ37" s="23"/>
      <c r="AR37" s="23"/>
      <c r="AS37" s="23"/>
      <c r="AT37" s="23"/>
      <c r="AU37" s="23"/>
      <c r="AV37" s="23"/>
      <c r="AW37" s="23"/>
      <c r="AX37" s="23"/>
      <c r="AY37" s="23"/>
      <c r="AZ37" s="54">
        <f t="shared" ref="AZ37:CP37" si="82">AZ11/AZ$14*100</f>
        <v>0</v>
      </c>
      <c r="BA37" s="54">
        <f t="shared" si="82"/>
        <v>0</v>
      </c>
      <c r="BB37" s="54">
        <f t="shared" si="82"/>
        <v>0</v>
      </c>
      <c r="BC37" s="54">
        <f t="shared" si="82"/>
        <v>0.50487070778989618</v>
      </c>
      <c r="BD37" s="54">
        <f t="shared" si="82"/>
        <v>0.68753950269003683</v>
      </c>
      <c r="BE37" s="54">
        <f t="shared" si="82"/>
        <v>0.59957985645095402</v>
      </c>
      <c r="BF37" s="54">
        <f t="shared" si="82"/>
        <v>0.42318856305780866</v>
      </c>
      <c r="BG37" s="54">
        <f t="shared" si="82"/>
        <v>0.26450383593240739</v>
      </c>
      <c r="BH37" s="54">
        <f t="shared" si="82"/>
        <v>0.36188887191718849</v>
      </c>
      <c r="BI37" s="54">
        <f t="shared" si="82"/>
        <v>0.35388786654616322</v>
      </c>
      <c r="BJ37" s="54">
        <f t="shared" si="82"/>
        <v>0.36422501011736141</v>
      </c>
      <c r="BK37" s="54">
        <f t="shared" si="82"/>
        <v>0.16292515535562382</v>
      </c>
      <c r="BL37" s="54">
        <f t="shared" si="82"/>
        <v>0.22879824040248262</v>
      </c>
      <c r="BM37" s="54">
        <f t="shared" si="82"/>
        <v>0.11392434493501663</v>
      </c>
      <c r="BN37" s="54">
        <f t="shared" si="82"/>
        <v>0.13824257762538442</v>
      </c>
      <c r="BO37" s="54">
        <f t="shared" si="82"/>
        <v>0.11327700948694955</v>
      </c>
      <c r="BP37" s="54">
        <f t="shared" si="82"/>
        <v>0.13250949902374629</v>
      </c>
      <c r="BQ37" s="54">
        <f t="shared" si="82"/>
        <v>0.11211814155970877</v>
      </c>
      <c r="BR37" s="54">
        <f t="shared" si="82"/>
        <v>0.12963727928703889</v>
      </c>
      <c r="BS37" s="54">
        <f t="shared" si="82"/>
        <v>0.12079883901184076</v>
      </c>
      <c r="BT37" s="54">
        <f t="shared" si="82"/>
        <v>0.13874980394049441</v>
      </c>
      <c r="BU37" s="54">
        <f t="shared" si="82"/>
        <v>0.18855989949391669</v>
      </c>
      <c r="BV37" s="54">
        <f t="shared" si="82"/>
        <v>0.23899407016809812</v>
      </c>
      <c r="BW37" s="54">
        <f t="shared" si="82"/>
        <v>0.22283723479433531</v>
      </c>
      <c r="BX37" s="54">
        <f t="shared" si="82"/>
        <v>0.17008268498932924</v>
      </c>
      <c r="BY37" s="54">
        <f t="shared" si="82"/>
        <v>0.16802947558740913</v>
      </c>
      <c r="BZ37" s="54">
        <f t="shared" si="82"/>
        <v>0.19416986838554531</v>
      </c>
      <c r="CA37" s="54">
        <f t="shared" si="82"/>
        <v>0.16239953216661029</v>
      </c>
      <c r="CB37" s="54">
        <f t="shared" si="82"/>
        <v>0.17757034779295705</v>
      </c>
      <c r="CC37" s="54">
        <f t="shared" si="82"/>
        <v>0.17144864224090617</v>
      </c>
      <c r="CD37" s="54">
        <f t="shared" si="82"/>
        <v>0.16149824166984644</v>
      </c>
      <c r="CE37" s="54">
        <f t="shared" si="82"/>
        <v>0.16104841530335395</v>
      </c>
      <c r="CF37" s="54">
        <f t="shared" si="82"/>
        <v>0.11237391840103542</v>
      </c>
      <c r="CG37" s="54">
        <f t="shared" si="82"/>
        <v>0.11023482096768399</v>
      </c>
      <c r="CH37" s="54">
        <f t="shared" si="82"/>
        <v>0.17198076172378488</v>
      </c>
      <c r="CI37" s="54">
        <f t="shared" si="82"/>
        <v>0.42909486308101802</v>
      </c>
      <c r="CJ37" s="54">
        <f t="shared" si="82"/>
        <v>0.46030276543695142</v>
      </c>
      <c r="CK37" s="54">
        <f t="shared" si="82"/>
        <v>0.44170063834252371</v>
      </c>
      <c r="CL37" s="54">
        <f t="shared" si="82"/>
        <v>0.41357746115659855</v>
      </c>
      <c r="CM37" s="54">
        <f t="shared" si="82"/>
        <v>0.38033539093682861</v>
      </c>
      <c r="CN37" s="54">
        <f t="shared" si="82"/>
        <v>0.40408971755699086</v>
      </c>
      <c r="CO37" s="54">
        <f t="shared" si="82"/>
        <v>0.29357765083791332</v>
      </c>
      <c r="CP37" s="54">
        <f t="shared" si="82"/>
        <v>0.31661008754108722</v>
      </c>
      <c r="CQ37" s="54">
        <f t="shared" si="64"/>
        <v>0.54130125865548107</v>
      </c>
      <c r="CR37" s="54">
        <f t="shared" si="64"/>
        <v>0.62310757727244726</v>
      </c>
      <c r="CS37" s="54">
        <f t="shared" si="65"/>
        <v>0.90371011982099037</v>
      </c>
      <c r="CT37" s="54">
        <f t="shared" si="65"/>
        <v>0.5839883375366075</v>
      </c>
      <c r="CU37" s="54">
        <f t="shared" si="66"/>
        <v>0.42879253845819265</v>
      </c>
      <c r="CV37" s="54">
        <f t="shared" si="66"/>
        <v>0.44748690134540947</v>
      </c>
      <c r="CW37" s="54">
        <f t="shared" ref="CW37:CX37" si="83">CW11/CW$14*100</f>
        <v>0.36946009127727225</v>
      </c>
      <c r="CX37" s="54">
        <f t="shared" si="83"/>
        <v>0.30644098863018016</v>
      </c>
      <c r="CY37" s="54">
        <f t="shared" ref="CY37" si="84">CY11/CY$14*100</f>
        <v>0.32602329071062747</v>
      </c>
      <c r="CZ37" s="54">
        <f t="shared" ca="1" si="69"/>
        <v>0.32602029391765863</v>
      </c>
      <c r="DA37" s="54">
        <f t="shared" ca="1" si="69"/>
        <v>0.32360032195260507</v>
      </c>
      <c r="DB37" s="54">
        <f t="shared" ca="1" si="69"/>
        <v>0.31893284671754324</v>
      </c>
      <c r="DC37" s="54">
        <f t="shared" ca="1" si="69"/>
        <v>0.31407874835639477</v>
      </c>
    </row>
    <row r="38" spans="2:107">
      <c r="B38" s="23" t="s">
        <v>1227</v>
      </c>
      <c r="C38" s="23"/>
      <c r="D38" s="15"/>
      <c r="E38" s="15"/>
      <c r="F38" s="15"/>
      <c r="G38" s="15"/>
      <c r="H38" s="26">
        <f>H12/H$14*100</f>
        <v>93.229723084227842</v>
      </c>
      <c r="I38" s="26">
        <f t="shared" ref="I38:Z38" si="85">I12/I$14*100</f>
        <v>94.365525963671018</v>
      </c>
      <c r="J38" s="26">
        <f t="shared" si="85"/>
        <v>94.094735746888816</v>
      </c>
      <c r="K38" s="26">
        <f t="shared" si="85"/>
        <v>95.205897216945786</v>
      </c>
      <c r="L38" s="54">
        <f t="shared" si="85"/>
        <v>95.28278045593909</v>
      </c>
      <c r="M38" s="54">
        <f t="shared" si="85"/>
        <v>95.090963274110237</v>
      </c>
      <c r="N38" s="54">
        <f t="shared" si="85"/>
        <v>95.908257026273958</v>
      </c>
      <c r="O38" s="54">
        <f t="shared" si="85"/>
        <v>95.031992603330181</v>
      </c>
      <c r="P38" s="54">
        <f t="shared" si="85"/>
        <v>95.071296433139835</v>
      </c>
      <c r="Q38" s="54">
        <f t="shared" si="85"/>
        <v>95.215155856596667</v>
      </c>
      <c r="R38" s="54">
        <f t="shared" si="85"/>
        <v>95.22456226083095</v>
      </c>
      <c r="S38" s="54">
        <f t="shared" si="85"/>
        <v>94.844615400353959</v>
      </c>
      <c r="T38" s="54">
        <f t="shared" si="85"/>
        <v>94.250416472997401</v>
      </c>
      <c r="U38" s="54">
        <f t="shared" si="85"/>
        <v>94.637968166569721</v>
      </c>
      <c r="V38" s="54">
        <f t="shared" si="61"/>
        <v>94.31585000370842</v>
      </c>
      <c r="W38" s="54">
        <f t="shared" ca="1" si="61"/>
        <v>93.759116843928098</v>
      </c>
      <c r="X38" s="54">
        <f t="shared" ca="1" si="85"/>
        <v>94.216290818586216</v>
      </c>
      <c r="Y38" s="54">
        <f t="shared" ca="1" si="85"/>
        <v>94.580260132847243</v>
      </c>
      <c r="Z38" s="54">
        <f t="shared" ca="1" si="85"/>
        <v>94.874393184207989</v>
      </c>
      <c r="AA38" s="54">
        <f t="shared" ref="AA38:AD38" ca="1" si="86">AA12/AA$14*100</f>
        <v>95.131583997202171</v>
      </c>
      <c r="AB38" s="54">
        <f t="shared" ca="1" si="86"/>
        <v>95.358156413845691</v>
      </c>
      <c r="AC38" s="54">
        <f t="shared" ca="1" si="86"/>
        <v>95.559094098683602</v>
      </c>
      <c r="AD38" s="54">
        <f t="shared" ca="1" si="86"/>
        <v>95.738369062870262</v>
      </c>
      <c r="AE38" s="23"/>
      <c r="AF38" s="23"/>
      <c r="AG38" s="23"/>
      <c r="AH38" s="23"/>
      <c r="AI38" s="23"/>
      <c r="AJ38" s="23"/>
      <c r="AK38" s="23"/>
      <c r="AL38" s="23"/>
      <c r="AM38" s="23"/>
      <c r="AN38" s="23"/>
      <c r="AO38" s="23"/>
      <c r="AP38" s="23"/>
      <c r="AQ38" s="23"/>
      <c r="AR38" s="54">
        <f t="shared" ref="AR38:AY39" si="87">AR12/AR$14*100</f>
        <v>94.763121682720666</v>
      </c>
      <c r="AS38" s="54">
        <f t="shared" si="87"/>
        <v>91.436308644580436</v>
      </c>
      <c r="AT38" s="54">
        <f t="shared" si="87"/>
        <v>91.720301432775969</v>
      </c>
      <c r="AU38" s="54">
        <f t="shared" si="87"/>
        <v>94.999095131809142</v>
      </c>
      <c r="AV38" s="54">
        <f t="shared" si="87"/>
        <v>93.652906029331874</v>
      </c>
      <c r="AW38" s="54">
        <f t="shared" si="87"/>
        <v>94.541257641478325</v>
      </c>
      <c r="AX38" s="54">
        <f t="shared" si="87"/>
        <v>94.387238153585145</v>
      </c>
      <c r="AY38" s="54">
        <f t="shared" si="87"/>
        <v>94.73649114227922</v>
      </c>
      <c r="AZ38" s="54">
        <f t="shared" ref="AZ38:CP38" si="88">AZ12/AZ$14*100</f>
        <v>94.283542847752855</v>
      </c>
      <c r="BA38" s="54">
        <f t="shared" si="88"/>
        <v>94.191962499285424</v>
      </c>
      <c r="BB38" s="54">
        <f t="shared" si="88"/>
        <v>93.450495731203517</v>
      </c>
      <c r="BC38" s="54">
        <f t="shared" si="88"/>
        <v>94.469076669147867</v>
      </c>
      <c r="BD38" s="54">
        <f t="shared" si="88"/>
        <v>95.194931323128145</v>
      </c>
      <c r="BE38" s="54">
        <f t="shared" si="88"/>
        <v>94.953900916146353</v>
      </c>
      <c r="BF38" s="54">
        <f t="shared" si="88"/>
        <v>94.834929332935459</v>
      </c>
      <c r="BG38" s="54">
        <f t="shared" si="88"/>
        <v>95.774206488492212</v>
      </c>
      <c r="BH38" s="54">
        <f t="shared" si="88"/>
        <v>95.038127577576986</v>
      </c>
      <c r="BI38" s="54">
        <f t="shared" si="88"/>
        <v>95.717412371919806</v>
      </c>
      <c r="BJ38" s="54">
        <f t="shared" si="88"/>
        <v>95.669769324160256</v>
      </c>
      <c r="BK38" s="54">
        <f t="shared" si="88"/>
        <v>94.855602174257825</v>
      </c>
      <c r="BL38" s="54">
        <f t="shared" si="88"/>
        <v>95.032802841648859</v>
      </c>
      <c r="BM38" s="54">
        <f t="shared" si="88"/>
        <v>94.972797656413476</v>
      </c>
      <c r="BN38" s="54">
        <f t="shared" si="88"/>
        <v>94.438729692219781</v>
      </c>
      <c r="BO38" s="54">
        <f t="shared" si="88"/>
        <v>95.874304473917448</v>
      </c>
      <c r="BP38" s="54">
        <f t="shared" si="88"/>
        <v>96.01266871119455</v>
      </c>
      <c r="BQ38" s="54">
        <f t="shared" si="88"/>
        <v>96.315112962545982</v>
      </c>
      <c r="BR38" s="54">
        <f t="shared" si="88"/>
        <v>95.94652791815713</v>
      </c>
      <c r="BS38" s="54">
        <f t="shared" si="88"/>
        <v>95.429021405719197</v>
      </c>
      <c r="BT38" s="54">
        <f t="shared" si="88"/>
        <v>95.409995616310539</v>
      </c>
      <c r="BU38" s="54">
        <f t="shared" si="88"/>
        <v>95.218211346231428</v>
      </c>
      <c r="BV38" s="54">
        <f t="shared" si="88"/>
        <v>95.200283763853719</v>
      </c>
      <c r="BW38" s="54">
        <f t="shared" si="88"/>
        <v>94.430826347447891</v>
      </c>
      <c r="BX38" s="54">
        <f t="shared" si="88"/>
        <v>94.659682609641507</v>
      </c>
      <c r="BY38" s="54">
        <f t="shared" si="88"/>
        <v>95.298966825849334</v>
      </c>
      <c r="BZ38" s="54">
        <f t="shared" si="88"/>
        <v>95.102006820052537</v>
      </c>
      <c r="CA38" s="54">
        <f t="shared" si="88"/>
        <v>95.17881340674127</v>
      </c>
      <c r="CB38" s="54">
        <f t="shared" si="88"/>
        <v>95.281345815417552</v>
      </c>
      <c r="CC38" s="54">
        <f t="shared" si="88"/>
        <v>95.189120365288787</v>
      </c>
      <c r="CD38" s="54">
        <f t="shared" si="88"/>
        <v>94.97705404931574</v>
      </c>
      <c r="CE38" s="54">
        <f t="shared" si="88"/>
        <v>95.409033334057881</v>
      </c>
      <c r="CF38" s="54">
        <f t="shared" si="88"/>
        <v>95.812715302615217</v>
      </c>
      <c r="CG38" s="54">
        <f t="shared" si="88"/>
        <v>94.88400763135057</v>
      </c>
      <c r="CH38" s="54">
        <f t="shared" si="88"/>
        <v>94.93301220437354</v>
      </c>
      <c r="CI38" s="54">
        <f t="shared" si="88"/>
        <v>95.286331832180167</v>
      </c>
      <c r="CJ38" s="54">
        <f t="shared" si="88"/>
        <v>94.767719501493829</v>
      </c>
      <c r="CK38" s="54">
        <f t="shared" si="88"/>
        <v>94.876900527297693</v>
      </c>
      <c r="CL38" s="54">
        <f t="shared" si="88"/>
        <v>94.841725227258067</v>
      </c>
      <c r="CM38" s="54">
        <f t="shared" si="88"/>
        <v>94.886706439687757</v>
      </c>
      <c r="CN38" s="54">
        <f t="shared" si="88"/>
        <v>94.788812980624229</v>
      </c>
      <c r="CO38" s="54">
        <f t="shared" si="88"/>
        <v>94.156843183860147</v>
      </c>
      <c r="CP38" s="54">
        <f t="shared" si="88"/>
        <v>94.185093111618883</v>
      </c>
      <c r="CQ38" s="54">
        <f t="shared" si="64"/>
        <v>93.923024058746378</v>
      </c>
      <c r="CR38" s="54">
        <f t="shared" si="64"/>
        <v>94.424964106160473</v>
      </c>
      <c r="CS38" s="54">
        <f t="shared" si="65"/>
        <v>94.587622569432867</v>
      </c>
      <c r="CT38" s="54">
        <f t="shared" si="65"/>
        <v>94.84468073141295</v>
      </c>
      <c r="CU38" s="54">
        <f t="shared" si="66"/>
        <v>94.674040229269281</v>
      </c>
      <c r="CV38" s="54">
        <f t="shared" si="66"/>
        <v>94.619941549722228</v>
      </c>
      <c r="CW38" s="54">
        <f t="shared" ref="CW38:CX38" si="89">CW12/CW$14*100</f>
        <v>94.713813775235096</v>
      </c>
      <c r="CX38" s="54">
        <f t="shared" si="89"/>
        <v>94.512701549388538</v>
      </c>
      <c r="CY38" s="54">
        <f t="shared" ref="CY38" si="90">CY12/CY$14*100</f>
        <v>93.532691062729285</v>
      </c>
      <c r="CZ38" s="54">
        <f t="shared" ca="1" si="69"/>
        <v>93.581439472106098</v>
      </c>
      <c r="DA38" s="54">
        <f t="shared" ca="1" si="69"/>
        <v>93.676206217750519</v>
      </c>
      <c r="DB38" s="54">
        <f t="shared" ca="1" si="69"/>
        <v>93.812718473056805</v>
      </c>
      <c r="DC38" s="54">
        <f t="shared" ca="1" si="69"/>
        <v>93.950414149698446</v>
      </c>
    </row>
    <row r="39" spans="2:107">
      <c r="B39" s="23" t="s">
        <v>1226</v>
      </c>
      <c r="C39" s="23"/>
      <c r="D39" s="15"/>
      <c r="E39" s="15"/>
      <c r="F39" s="15"/>
      <c r="G39" s="15"/>
      <c r="H39" s="26">
        <f>H13/H$14*100</f>
        <v>6.7702769157721585</v>
      </c>
      <c r="I39" s="26">
        <f t="shared" ref="I39:Z39" si="91">I13/I$14*100</f>
        <v>5.6344740363289763</v>
      </c>
      <c r="J39" s="26">
        <f t="shared" si="91"/>
        <v>5.905264253111187</v>
      </c>
      <c r="K39" s="26">
        <f t="shared" si="91"/>
        <v>4.794102783054214</v>
      </c>
      <c r="L39" s="54">
        <f t="shared" si="91"/>
        <v>4.7172195440609181</v>
      </c>
      <c r="M39" s="54">
        <f t="shared" si="91"/>
        <v>4.9090367258897656</v>
      </c>
      <c r="N39" s="54">
        <f t="shared" si="91"/>
        <v>4.0917429737260465</v>
      </c>
      <c r="O39" s="54">
        <f t="shared" si="91"/>
        <v>4.9680073966698268</v>
      </c>
      <c r="P39" s="54">
        <f t="shared" si="91"/>
        <v>4.928703566860154</v>
      </c>
      <c r="Q39" s="54">
        <f t="shared" si="91"/>
        <v>4.784844143403328</v>
      </c>
      <c r="R39" s="54">
        <f t="shared" si="91"/>
        <v>4.7754377391690497</v>
      </c>
      <c r="S39" s="54">
        <f t="shared" si="91"/>
        <v>5.1553845996460401</v>
      </c>
      <c r="T39" s="54">
        <f t="shared" si="91"/>
        <v>5.749583527002601</v>
      </c>
      <c r="U39" s="54">
        <f t="shared" si="91"/>
        <v>5.3620318334302803</v>
      </c>
      <c r="V39" s="54">
        <f t="shared" si="61"/>
        <v>5.6841499962915734</v>
      </c>
      <c r="W39" s="54">
        <f t="shared" ca="1" si="61"/>
        <v>6.2408831560719022</v>
      </c>
      <c r="X39" s="54">
        <f t="shared" ca="1" si="91"/>
        <v>5.7837091814137942</v>
      </c>
      <c r="Y39" s="54">
        <f t="shared" ca="1" si="91"/>
        <v>5.4197398671527477</v>
      </c>
      <c r="Z39" s="54">
        <f t="shared" ca="1" si="91"/>
        <v>5.1256068157920014</v>
      </c>
      <c r="AA39" s="54">
        <f t="shared" ref="AA39:AD39" ca="1" si="92">AA13/AA$14*100</f>
        <v>4.8684160027978294</v>
      </c>
      <c r="AB39" s="54">
        <f t="shared" ca="1" si="92"/>
        <v>4.6418435861543008</v>
      </c>
      <c r="AC39" s="54">
        <f t="shared" ca="1" si="92"/>
        <v>4.4409059013164018</v>
      </c>
      <c r="AD39" s="54">
        <f t="shared" ca="1" si="92"/>
        <v>4.261630937129735</v>
      </c>
      <c r="AE39" s="23"/>
      <c r="AF39" s="23"/>
      <c r="AG39" s="23"/>
      <c r="AH39" s="23"/>
      <c r="AI39" s="23"/>
      <c r="AJ39" s="23"/>
      <c r="AK39" s="23"/>
      <c r="AL39" s="23"/>
      <c r="AM39" s="23"/>
      <c r="AN39" s="23"/>
      <c r="AO39" s="23"/>
      <c r="AP39" s="23"/>
      <c r="AQ39" s="23"/>
      <c r="AR39" s="54">
        <f t="shared" si="87"/>
        <v>5.2368783172793396</v>
      </c>
      <c r="AS39" s="54">
        <f t="shared" si="87"/>
        <v>8.5636913554195679</v>
      </c>
      <c r="AT39" s="54">
        <f t="shared" si="87"/>
        <v>8.2796985672240364</v>
      </c>
      <c r="AU39" s="54">
        <f t="shared" si="87"/>
        <v>5.000904868190867</v>
      </c>
      <c r="AV39" s="54">
        <f t="shared" si="87"/>
        <v>6.3470939706681158</v>
      </c>
      <c r="AW39" s="54">
        <f t="shared" si="87"/>
        <v>5.4587423585216754</v>
      </c>
      <c r="AX39" s="54">
        <f t="shared" si="87"/>
        <v>5.6127618464148545</v>
      </c>
      <c r="AY39" s="54">
        <f t="shared" si="87"/>
        <v>5.263508857720776</v>
      </c>
      <c r="AZ39" s="54">
        <f t="shared" ref="AZ39:CP39" si="93">AZ13/AZ$14*100</f>
        <v>5.7164571522471448</v>
      </c>
      <c r="BA39" s="54">
        <f t="shared" si="93"/>
        <v>5.8080375007145717</v>
      </c>
      <c r="BB39" s="54">
        <f t="shared" si="93"/>
        <v>6.5495042687964755</v>
      </c>
      <c r="BC39" s="54">
        <f t="shared" si="93"/>
        <v>5.5309233308521319</v>
      </c>
      <c r="BD39" s="54">
        <f t="shared" si="93"/>
        <v>4.8050686768718496</v>
      </c>
      <c r="BE39" s="54">
        <f t="shared" si="93"/>
        <v>5.0460990838536501</v>
      </c>
      <c r="BF39" s="54">
        <f t="shared" si="93"/>
        <v>5.1650706670645361</v>
      </c>
      <c r="BG39" s="54">
        <f t="shared" si="93"/>
        <v>4.2257935115077974</v>
      </c>
      <c r="BH39" s="54">
        <f t="shared" si="93"/>
        <v>4.96187242242301</v>
      </c>
      <c r="BI39" s="54">
        <f t="shared" si="93"/>
        <v>4.2825876280801847</v>
      </c>
      <c r="BJ39" s="54">
        <f t="shared" si="93"/>
        <v>4.3302306758397409</v>
      </c>
      <c r="BK39" s="54">
        <f t="shared" si="93"/>
        <v>5.1443978257421747</v>
      </c>
      <c r="BL39" s="54">
        <f t="shared" si="93"/>
        <v>4.9671971583511354</v>
      </c>
      <c r="BM39" s="54">
        <f t="shared" si="93"/>
        <v>5.0272023435865245</v>
      </c>
      <c r="BN39" s="54">
        <f t="shared" si="93"/>
        <v>5.5612703077802284</v>
      </c>
      <c r="BO39" s="54">
        <f t="shared" si="93"/>
        <v>4.1256955260825556</v>
      </c>
      <c r="BP39" s="54">
        <f t="shared" si="93"/>
        <v>3.9873312888054571</v>
      </c>
      <c r="BQ39" s="54">
        <f t="shared" si="93"/>
        <v>3.6848870374540272</v>
      </c>
      <c r="BR39" s="54">
        <f t="shared" si="93"/>
        <v>4.0534720818428713</v>
      </c>
      <c r="BS39" s="54">
        <f t="shared" si="93"/>
        <v>4.5709785942808141</v>
      </c>
      <c r="BT39" s="54">
        <f t="shared" si="93"/>
        <v>4.5900043836894575</v>
      </c>
      <c r="BU39" s="54">
        <f t="shared" si="93"/>
        <v>4.7817886537685732</v>
      </c>
      <c r="BV39" s="54">
        <f t="shared" si="93"/>
        <v>4.7997162361462866</v>
      </c>
      <c r="BW39" s="54">
        <f t="shared" si="93"/>
        <v>5.5691736525521041</v>
      </c>
      <c r="BX39" s="54">
        <f t="shared" si="93"/>
        <v>5.3403173903584982</v>
      </c>
      <c r="BY39" s="54">
        <f t="shared" si="93"/>
        <v>4.7010331741506732</v>
      </c>
      <c r="BZ39" s="54">
        <f t="shared" si="93"/>
        <v>4.8979931799474778</v>
      </c>
      <c r="CA39" s="54">
        <f t="shared" si="93"/>
        <v>4.8211865932587248</v>
      </c>
      <c r="CB39" s="54">
        <f t="shared" si="93"/>
        <v>4.7186541845824488</v>
      </c>
      <c r="CC39" s="54">
        <f t="shared" si="93"/>
        <v>4.810879634711215</v>
      </c>
      <c r="CD39" s="54">
        <f t="shared" si="93"/>
        <v>5.022945950684254</v>
      </c>
      <c r="CE39" s="54">
        <f t="shared" si="93"/>
        <v>4.5909666659421138</v>
      </c>
      <c r="CF39" s="54">
        <f t="shared" si="93"/>
        <v>4.187284697384789</v>
      </c>
      <c r="CG39" s="54">
        <f t="shared" si="93"/>
        <v>5.1159923686494437</v>
      </c>
      <c r="CH39" s="54">
        <f t="shared" si="93"/>
        <v>5.0669877956264591</v>
      </c>
      <c r="CI39" s="54">
        <f t="shared" si="93"/>
        <v>4.713668167819832</v>
      </c>
      <c r="CJ39" s="54">
        <f t="shared" si="93"/>
        <v>5.2322804985061717</v>
      </c>
      <c r="CK39" s="54">
        <f t="shared" si="93"/>
        <v>5.1230994727023056</v>
      </c>
      <c r="CL39" s="54">
        <f t="shared" si="93"/>
        <v>5.1582747727419251</v>
      </c>
      <c r="CM39" s="54">
        <f t="shared" si="93"/>
        <v>5.1132935603122291</v>
      </c>
      <c r="CN39" s="54">
        <f t="shared" si="93"/>
        <v>5.2111870193757825</v>
      </c>
      <c r="CO39" s="54">
        <f t="shared" si="93"/>
        <v>5.8431568161398602</v>
      </c>
      <c r="CP39" s="54">
        <f t="shared" si="93"/>
        <v>5.8149068883811088</v>
      </c>
      <c r="CQ39" s="54">
        <f t="shared" si="64"/>
        <v>6.0769759412536182</v>
      </c>
      <c r="CR39" s="54">
        <f t="shared" si="64"/>
        <v>5.5750358938395275</v>
      </c>
      <c r="CS39" s="54">
        <f t="shared" si="65"/>
        <v>5.4123774305671235</v>
      </c>
      <c r="CT39" s="54">
        <f t="shared" si="65"/>
        <v>5.1553192685870517</v>
      </c>
      <c r="CU39" s="54">
        <f t="shared" si="66"/>
        <v>5.3259597707307194</v>
      </c>
      <c r="CV39" s="54">
        <f t="shared" si="66"/>
        <v>5.3800584502777689</v>
      </c>
      <c r="CW39" s="54">
        <f t="shared" ref="CW39:CX39" si="94">CW13/CW$14*100</f>
        <v>5.2861862247648901</v>
      </c>
      <c r="CX39" s="54">
        <f t="shared" si="94"/>
        <v>5.4872984506114504</v>
      </c>
      <c r="CY39" s="54">
        <f t="shared" ref="CY39" si="95">CY13/CY$14*100</f>
        <v>6.4673089372707198</v>
      </c>
      <c r="CZ39" s="54">
        <f t="shared" ca="1" si="69"/>
        <v>6.4185605278939084</v>
      </c>
      <c r="DA39" s="54">
        <f t="shared" ca="1" si="69"/>
        <v>6.3237937822494903</v>
      </c>
      <c r="DB39" s="54">
        <f t="shared" ca="1" si="69"/>
        <v>6.1872815269431936</v>
      </c>
      <c r="DC39" s="54">
        <f t="shared" ca="1" si="69"/>
        <v>6.0495858503015603</v>
      </c>
    </row>
    <row r="40" spans="2:107">
      <c r="B40" s="23"/>
      <c r="C40" s="23"/>
      <c r="D40" s="15"/>
      <c r="E40" s="15"/>
      <c r="F40" s="15"/>
      <c r="G40" s="15"/>
      <c r="H40" s="15"/>
      <c r="I40" s="15"/>
      <c r="J40" s="15"/>
      <c r="K40" s="15"/>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23"/>
      <c r="BX40" s="23"/>
      <c r="BY40" s="23"/>
      <c r="BZ40" s="23"/>
      <c r="CA40" s="23"/>
      <c r="CB40" s="23"/>
      <c r="CC40" s="23"/>
      <c r="CD40" s="23"/>
      <c r="CE40" s="23"/>
      <c r="CF40" s="23"/>
      <c r="CG40" s="23"/>
      <c r="CH40" s="23"/>
      <c r="CI40" s="23"/>
      <c r="CJ40" s="23"/>
      <c r="CK40" s="23"/>
      <c r="CL40" s="23"/>
      <c r="CM40" s="23"/>
      <c r="CN40" s="23"/>
      <c r="CO40" s="23"/>
      <c r="CP40" s="23"/>
      <c r="CQ40" s="23"/>
      <c r="CR40" s="23"/>
      <c r="CS40" s="23"/>
      <c r="CT40" s="23"/>
      <c r="CU40" s="23"/>
      <c r="CV40" s="23"/>
      <c r="CW40" s="23"/>
      <c r="CX40" s="23"/>
      <c r="CY40" s="23"/>
      <c r="CZ40" s="23"/>
      <c r="DA40" s="23"/>
      <c r="DB40" s="23"/>
      <c r="DC40" s="23"/>
    </row>
    <row r="41" spans="2:107">
      <c r="B41" s="14" t="s">
        <v>1409</v>
      </c>
      <c r="C41" s="23"/>
      <c r="D41" s="15"/>
      <c r="E41" s="15"/>
      <c r="F41" s="15"/>
      <c r="G41" s="15"/>
      <c r="H41" s="15"/>
      <c r="I41" s="15"/>
      <c r="J41" s="195">
        <f t="shared" ref="J41:Z41" si="96">(J14/I14-1)*100</f>
        <v>35.061800807717923</v>
      </c>
      <c r="K41" s="195">
        <f t="shared" si="96"/>
        <v>29.792316008993147</v>
      </c>
      <c r="L41" s="195">
        <f t="shared" si="96"/>
        <v>46.190335116672188</v>
      </c>
      <c r="M41" s="195">
        <f t="shared" si="96"/>
        <v>68.004157905026162</v>
      </c>
      <c r="N41" s="195">
        <f t="shared" si="96"/>
        <v>25.235426008968641</v>
      </c>
      <c r="O41" s="195">
        <f t="shared" si="96"/>
        <v>35.546946263437505</v>
      </c>
      <c r="P41" s="195">
        <f t="shared" si="96"/>
        <v>31.2293619703498</v>
      </c>
      <c r="Q41" s="195">
        <f t="shared" si="96"/>
        <v>20.231573261034619</v>
      </c>
      <c r="R41" s="195">
        <f t="shared" si="96"/>
        <v>14.061321114605674</v>
      </c>
      <c r="S41" s="195">
        <f t="shared" si="96"/>
        <v>13.517911375411895</v>
      </c>
      <c r="T41" s="195">
        <f t="shared" si="96"/>
        <v>11.543288559707854</v>
      </c>
      <c r="U41" s="195">
        <f t="shared" si="96"/>
        <v>32.507895653016064</v>
      </c>
      <c r="V41" s="195">
        <f t="shared" si="96"/>
        <v>20.942450267705691</v>
      </c>
      <c r="W41" s="195">
        <f t="shared" ca="1" si="96"/>
        <v>15.35404945649077</v>
      </c>
      <c r="X41" s="195">
        <f t="shared" ca="1" si="96"/>
        <v>9.1568694979586205</v>
      </c>
      <c r="Y41" s="195">
        <f t="shared" ca="1" si="96"/>
        <v>7.9399725781270636</v>
      </c>
      <c r="Z41" s="195">
        <f t="shared" ca="1" si="96"/>
        <v>6.9378802964205288</v>
      </c>
      <c r="AA41" s="195">
        <f t="shared" ref="AA41" ca="1" si="97">(AA14/Z14-1)*100</f>
        <v>6.463659746777517</v>
      </c>
      <c r="AB41" s="195">
        <f t="shared" ref="AB41" ca="1" si="98">(AB14/AA14-1)*100</f>
        <v>6.0443500662150207</v>
      </c>
      <c r="AC41" s="195">
        <f t="shared" ref="AC41" ca="1" si="99">(AC14/AB14-1)*100</f>
        <v>5.6712936339346154</v>
      </c>
      <c r="AD41" s="195">
        <f t="shared" ref="AD41" ca="1" si="100">(AD14/AC14-1)*100</f>
        <v>5.3374238065655444</v>
      </c>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195">
        <f t="shared" ref="BD41:CY41" si="101">(BD14/AZ14-1)*100</f>
        <v>33.245008627064344</v>
      </c>
      <c r="BE41" s="195">
        <f t="shared" si="101"/>
        <v>30.61986699441681</v>
      </c>
      <c r="BF41" s="195">
        <f t="shared" si="101"/>
        <v>26.903745524648869</v>
      </c>
      <c r="BG41" s="195">
        <f t="shared" si="101"/>
        <v>29.085083659665358</v>
      </c>
      <c r="BH41" s="195">
        <f t="shared" si="101"/>
        <v>31.201344247637564</v>
      </c>
      <c r="BI41" s="195">
        <f t="shared" si="101"/>
        <v>33.974733033786578</v>
      </c>
      <c r="BJ41" s="195">
        <f t="shared" si="101"/>
        <v>40.76716490790222</v>
      </c>
      <c r="BK41" s="195">
        <f t="shared" si="101"/>
        <v>73.888081030938196</v>
      </c>
      <c r="BL41" s="195">
        <f t="shared" si="101"/>
        <v>85.900433561667995</v>
      </c>
      <c r="BM41" s="195">
        <f t="shared" si="101"/>
        <v>87.336258806363404</v>
      </c>
      <c r="BN41" s="195">
        <f t="shared" si="101"/>
        <v>77.039370989188853</v>
      </c>
      <c r="BO41" s="195">
        <f t="shared" si="101"/>
        <v>37.464855746355809</v>
      </c>
      <c r="BP41" s="195">
        <f t="shared" si="101"/>
        <v>25.921829374660277</v>
      </c>
      <c r="BQ41" s="195">
        <f t="shared" si="101"/>
        <v>23.903187556671558</v>
      </c>
      <c r="BR41" s="195">
        <f t="shared" si="101"/>
        <v>23.851198737311918</v>
      </c>
      <c r="BS41" s="195">
        <f t="shared" si="101"/>
        <v>27.201690764252717</v>
      </c>
      <c r="BT41" s="195">
        <f t="shared" si="101"/>
        <v>24.80437281346779</v>
      </c>
      <c r="BU41" s="195">
        <f t="shared" si="101"/>
        <v>36.050908203857965</v>
      </c>
      <c r="BV41" s="195">
        <f t="shared" si="101"/>
        <v>41.236080471791816</v>
      </c>
      <c r="BW41" s="195">
        <f t="shared" si="101"/>
        <v>38.590487812922603</v>
      </c>
      <c r="BX41" s="195">
        <f t="shared" si="101"/>
        <v>42.348853202707424</v>
      </c>
      <c r="BY41" s="195">
        <f t="shared" si="101"/>
        <v>32.927035311723117</v>
      </c>
      <c r="BZ41" s="195">
        <f t="shared" si="101"/>
        <v>27.011705258965613</v>
      </c>
      <c r="CA41" s="195">
        <f t="shared" si="101"/>
        <v>25.572207976106178</v>
      </c>
      <c r="CB41" s="195">
        <f t="shared" si="101"/>
        <v>24.580659925582495</v>
      </c>
      <c r="CC41" s="195">
        <f t="shared" si="101"/>
        <v>18.162646461449896</v>
      </c>
      <c r="CD41" s="195">
        <f t="shared" si="101"/>
        <v>18.771557637282953</v>
      </c>
      <c r="CE41" s="195">
        <f t="shared" si="101"/>
        <v>19.886239801381599</v>
      </c>
      <c r="CF41" s="195">
        <f t="shared" si="101"/>
        <v>17.049928336871112</v>
      </c>
      <c r="CG41" s="195">
        <f t="shared" si="101"/>
        <v>16.100147081421625</v>
      </c>
      <c r="CH41" s="195">
        <f t="shared" si="101"/>
        <v>12.014190394670376</v>
      </c>
      <c r="CI41" s="195">
        <f t="shared" si="101"/>
        <v>11.583234365953388</v>
      </c>
      <c r="CJ41" s="195">
        <f t="shared" si="101"/>
        <v>12.384187052199636</v>
      </c>
      <c r="CK41" s="195">
        <f t="shared" si="101"/>
        <v>14.425067738635722</v>
      </c>
      <c r="CL41" s="195">
        <f t="shared" si="101"/>
        <v>14.243837049148912</v>
      </c>
      <c r="CM41" s="195">
        <f t="shared" si="101"/>
        <v>13.006373555147444</v>
      </c>
      <c r="CN41" s="195">
        <f t="shared" si="101"/>
        <v>10.881936650616408</v>
      </c>
      <c r="CO41" s="195">
        <f t="shared" si="101"/>
        <v>9.984285173697538</v>
      </c>
      <c r="CP41" s="195">
        <f t="shared" si="101"/>
        <v>10.671297788666113</v>
      </c>
      <c r="CQ41" s="195">
        <f t="shared" si="101"/>
        <v>14.470766516068245</v>
      </c>
      <c r="CR41" s="195">
        <f t="shared" si="101"/>
        <v>31.24846464564801</v>
      </c>
      <c r="CS41" s="195">
        <f t="shared" si="101"/>
        <v>35.296627613126574</v>
      </c>
      <c r="CT41" s="195">
        <f t="shared" si="101"/>
        <v>34.665018080562263</v>
      </c>
      <c r="CU41" s="195">
        <f t="shared" si="101"/>
        <v>29.048054518920942</v>
      </c>
      <c r="CV41" s="195">
        <f t="shared" si="101"/>
        <v>12.482171541752951</v>
      </c>
      <c r="CW41" s="195">
        <f t="shared" si="101"/>
        <v>18.424115223595528</v>
      </c>
      <c r="CX41" s="195">
        <f t="shared" si="101"/>
        <v>24.612404777457186</v>
      </c>
      <c r="CY41" s="195">
        <f t="shared" si="101"/>
        <v>27.324544606835843</v>
      </c>
      <c r="CZ41" s="195">
        <f t="shared" ref="CZ41:DC41" ca="1" si="102">(CZ14/CV14-1)*100</f>
        <v>28.018588355505038</v>
      </c>
      <c r="DA41" s="195">
        <f t="shared" ca="1" si="102"/>
        <v>16.287096246047874</v>
      </c>
      <c r="DB41" s="195">
        <f t="shared" ca="1" si="102"/>
        <v>10.559664017873359</v>
      </c>
      <c r="DC41" s="195">
        <f t="shared" ca="1" si="102"/>
        <v>9.1085883051143846</v>
      </c>
    </row>
    <row r="42" spans="2:107">
      <c r="B42" s="17" t="s">
        <v>1050</v>
      </c>
      <c r="C42" s="23"/>
      <c r="D42" s="15"/>
      <c r="E42" s="15"/>
      <c r="F42" s="15"/>
      <c r="G42" s="15"/>
      <c r="H42" s="15"/>
      <c r="I42" s="15"/>
      <c r="J42" s="26">
        <f t="shared" ref="J42:Z42" si="103">(J8/I8-1)*100</f>
        <v>36.272391191756093</v>
      </c>
      <c r="K42" s="26">
        <f t="shared" si="103"/>
        <v>32.217606122957164</v>
      </c>
      <c r="L42" s="54">
        <f t="shared" si="103"/>
        <v>51.267271970342755</v>
      </c>
      <c r="M42" s="54">
        <f t="shared" si="103"/>
        <v>78.846714611011876</v>
      </c>
      <c r="N42" s="54">
        <f t="shared" si="103"/>
        <v>29.960228407286049</v>
      </c>
      <c r="O42" s="54">
        <f t="shared" si="103"/>
        <v>32.183910293325766</v>
      </c>
      <c r="P42" s="54">
        <f t="shared" si="103"/>
        <v>27.364747070335447</v>
      </c>
      <c r="Q42" s="54">
        <f t="shared" si="103"/>
        <v>20.041476626981193</v>
      </c>
      <c r="R42" s="54">
        <f t="shared" si="103"/>
        <v>13.565307520293723</v>
      </c>
      <c r="S42" s="54">
        <f t="shared" si="103"/>
        <v>12.383957783511512</v>
      </c>
      <c r="T42" s="54">
        <f t="shared" si="103"/>
        <v>10.665084719085893</v>
      </c>
      <c r="U42" s="54">
        <f t="shared" si="103"/>
        <v>30.961108919027147</v>
      </c>
      <c r="V42" s="54">
        <f t="shared" si="103"/>
        <v>19.843441378566595</v>
      </c>
      <c r="W42" s="54">
        <f t="shared" ca="1" si="103"/>
        <v>12.740026140691342</v>
      </c>
      <c r="X42" s="54">
        <f t="shared" ca="1" si="103"/>
        <v>10.149070884769106</v>
      </c>
      <c r="Y42" s="54">
        <f t="shared" ca="1" si="103"/>
        <v>8.6358956234346085</v>
      </c>
      <c r="Z42" s="54">
        <f t="shared" ca="1" si="103"/>
        <v>7.4909984564636378</v>
      </c>
      <c r="AA42" s="54">
        <f t="shared" ref="AA42:AA45" ca="1" si="104">(AA8/Z8-1)*100</f>
        <v>6.8989013600730509</v>
      </c>
      <c r="AB42" s="54">
        <f t="shared" ref="AB42:AB45" ca="1" si="105">(AB8/AA8-1)*100</f>
        <v>6.3820080229705534</v>
      </c>
      <c r="AC42" s="54">
        <f t="shared" ref="AC42:AC45" ca="1" si="106">(AC8/AB8-1)*100</f>
        <v>5.9268029999335337</v>
      </c>
      <c r="AD42" s="54">
        <f t="shared" ref="AD42:AD45" ca="1" si="107">(AD8/AC8-1)*100</f>
        <v>5.5228574355923987</v>
      </c>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54">
        <f t="shared" ref="BD42:BM44" si="108">(BD8/AZ8-1)*100</f>
        <v>37.107353472138669</v>
      </c>
      <c r="BE42" s="54">
        <f t="shared" si="108"/>
        <v>32.912339011217284</v>
      </c>
      <c r="BF42" s="54">
        <f t="shared" si="108"/>
        <v>28.750809706512538</v>
      </c>
      <c r="BG42" s="54">
        <f t="shared" si="108"/>
        <v>31.094210123588461</v>
      </c>
      <c r="BH42" s="54">
        <f t="shared" si="108"/>
        <v>31.139590511093051</v>
      </c>
      <c r="BI42" s="54">
        <f t="shared" si="108"/>
        <v>36.786279903309179</v>
      </c>
      <c r="BJ42" s="54">
        <f t="shared" si="108"/>
        <v>45.67514222686637</v>
      </c>
      <c r="BK42" s="54">
        <f t="shared" si="108"/>
        <v>84.893078868705459</v>
      </c>
      <c r="BL42" s="54">
        <f t="shared" si="108"/>
        <v>103.0639736274034</v>
      </c>
      <c r="BM42" s="54">
        <f t="shared" si="108"/>
        <v>102.57765725689731</v>
      </c>
      <c r="BN42" s="54">
        <f t="shared" ref="BN42:BW44" si="109">(BN8/BJ8-1)*100</f>
        <v>88.541749687840394</v>
      </c>
      <c r="BO42" s="54">
        <f t="shared" si="109"/>
        <v>43.118441066457478</v>
      </c>
      <c r="BP42" s="54">
        <f t="shared" si="109"/>
        <v>30.572975467453389</v>
      </c>
      <c r="BQ42" s="54">
        <f t="shared" si="109"/>
        <v>29.204957360085437</v>
      </c>
      <c r="BR42" s="54">
        <f t="shared" si="109"/>
        <v>29.481886457467343</v>
      </c>
      <c r="BS42" s="54">
        <f t="shared" si="109"/>
        <v>30.588345387217085</v>
      </c>
      <c r="BT42" s="54">
        <f t="shared" si="109"/>
        <v>26.450151152736833</v>
      </c>
      <c r="BU42" s="54">
        <f t="shared" si="109"/>
        <v>33.009272867068937</v>
      </c>
      <c r="BV42" s="54">
        <f t="shared" si="109"/>
        <v>36.227618203872346</v>
      </c>
      <c r="BW42" s="54">
        <f t="shared" si="109"/>
        <v>32.304374591486493</v>
      </c>
      <c r="BX42" s="54">
        <f t="shared" ref="BX42:CG44" si="110">(BX8/BT8-1)*100</f>
        <v>36.627343801442748</v>
      </c>
      <c r="BY42" s="54">
        <f t="shared" si="110"/>
        <v>28.908477972548074</v>
      </c>
      <c r="BZ42" s="54">
        <f t="shared" si="110"/>
        <v>22.25657174449076</v>
      </c>
      <c r="CA42" s="54">
        <f t="shared" si="110"/>
        <v>23.76789870516296</v>
      </c>
      <c r="CB42" s="54">
        <f t="shared" si="110"/>
        <v>22.271742021076268</v>
      </c>
      <c r="CC42" s="54">
        <f t="shared" si="110"/>
        <v>17.961218494572663</v>
      </c>
      <c r="CD42" s="54">
        <f t="shared" si="110"/>
        <v>19.504205862759537</v>
      </c>
      <c r="CE42" s="54">
        <f t="shared" si="110"/>
        <v>20.562670836549014</v>
      </c>
      <c r="CF42" s="54">
        <f t="shared" si="110"/>
        <v>17.96105917607025</v>
      </c>
      <c r="CG42" s="54">
        <f t="shared" si="110"/>
        <v>14.559058403718028</v>
      </c>
      <c r="CH42" s="54">
        <f t="shared" ref="CH42:CY44" si="111">(CH8/CD8-1)*100</f>
        <v>11.695877655575515</v>
      </c>
      <c r="CI42" s="54">
        <f t="shared" si="111"/>
        <v>10.62823600787144</v>
      </c>
      <c r="CJ42" s="54">
        <f t="shared" si="111"/>
        <v>10.078236004771668</v>
      </c>
      <c r="CK42" s="54">
        <f t="shared" si="111"/>
        <v>13.708812395280434</v>
      </c>
      <c r="CL42" s="54">
        <f t="shared" si="111"/>
        <v>13.191407081790341</v>
      </c>
      <c r="CM42" s="54">
        <f t="shared" si="111"/>
        <v>12.50831981851077</v>
      </c>
      <c r="CN42" s="54">
        <f t="shared" si="111"/>
        <v>10.796023220124118</v>
      </c>
      <c r="CO42" s="54">
        <f t="shared" si="111"/>
        <v>9.7092740688375265</v>
      </c>
      <c r="CP42" s="54">
        <f t="shared" si="111"/>
        <v>10.635831900792514</v>
      </c>
      <c r="CQ42" s="54">
        <f t="shared" si="111"/>
        <v>11.475969870683912</v>
      </c>
      <c r="CR42" s="54">
        <f t="shared" si="111"/>
        <v>28.730025231286803</v>
      </c>
      <c r="CS42" s="54">
        <f t="shared" si="111"/>
        <v>33.438513118946432</v>
      </c>
      <c r="CT42" s="54">
        <f t="shared" si="111"/>
        <v>33.067006480967521</v>
      </c>
      <c r="CU42" s="54">
        <f t="shared" si="111"/>
        <v>28.656317036527668</v>
      </c>
      <c r="CV42" s="54">
        <f t="shared" si="111"/>
        <v>11.555058695613596</v>
      </c>
      <c r="CW42" s="54">
        <f t="shared" si="111"/>
        <v>18.042491802091256</v>
      </c>
      <c r="CX42" s="54">
        <f t="shared" si="111"/>
        <v>23.77063627283944</v>
      </c>
      <c r="CY42" s="54">
        <f t="shared" si="111"/>
        <v>25.15569808514595</v>
      </c>
      <c r="CZ42" s="54">
        <f t="shared" ref="CZ42:CZ47" ca="1" si="112">(CZ8/CV8-1)*100</f>
        <v>24.431939716327978</v>
      </c>
      <c r="DA42" s="54">
        <f t="shared" ref="DA42:DA47" ca="1" si="113">(DA8/CW8-1)*100</f>
        <v>12.472307882972334</v>
      </c>
      <c r="DB42" s="54">
        <f t="shared" ref="DB42:DB47" ca="1" si="114">(DB8/CX8-1)*100</f>
        <v>7.642035243428591</v>
      </c>
      <c r="DC42" s="54">
        <f t="shared" ref="DC42:DC47" ca="1" si="115">(DC8/CY8-1)*100</f>
        <v>8.5857112769175625</v>
      </c>
    </row>
    <row r="43" spans="2:107">
      <c r="B43" s="17" t="s">
        <v>1124</v>
      </c>
      <c r="C43" s="23"/>
      <c r="D43" s="15"/>
      <c r="E43" s="15"/>
      <c r="F43" s="15"/>
      <c r="G43" s="15"/>
      <c r="H43" s="15"/>
      <c r="I43" s="15"/>
      <c r="J43" s="26">
        <f t="shared" ref="J43:Z43" si="116">(J9/I9-1)*100</f>
        <v>30.123511810020997</v>
      </c>
      <c r="K43" s="26">
        <f t="shared" si="116"/>
        <v>31.64126525919222</v>
      </c>
      <c r="L43" s="54">
        <f t="shared" si="116"/>
        <v>36.93296909553807</v>
      </c>
      <c r="M43" s="54">
        <f t="shared" si="116"/>
        <v>29.540612064870754</v>
      </c>
      <c r="N43" s="54">
        <f t="shared" si="116"/>
        <v>11.738884465490518</v>
      </c>
      <c r="O43" s="54">
        <f t="shared" si="116"/>
        <v>55.864496178515836</v>
      </c>
      <c r="P43" s="54">
        <f t="shared" si="116"/>
        <v>37.051290298019609</v>
      </c>
      <c r="Q43" s="54">
        <f t="shared" si="116"/>
        <v>19.430056407312168</v>
      </c>
      <c r="R43" s="54">
        <f t="shared" si="116"/>
        <v>17.552176932999643</v>
      </c>
      <c r="S43" s="54">
        <f t="shared" si="116"/>
        <v>16.409212694184717</v>
      </c>
      <c r="T43" s="54">
        <f t="shared" si="116"/>
        <v>17.042836041358946</v>
      </c>
      <c r="U43" s="54">
        <f t="shared" si="116"/>
        <v>24.885672393181402</v>
      </c>
      <c r="V43" s="54">
        <f t="shared" si="116"/>
        <v>25.15511802198569</v>
      </c>
      <c r="W43" s="54">
        <f t="shared" si="116"/>
        <v>24.655717681428246</v>
      </c>
      <c r="X43" s="54">
        <f t="shared" si="116"/>
        <v>10.89759225587159</v>
      </c>
      <c r="Y43" s="54">
        <f t="shared" si="116"/>
        <v>9.6280922466760686</v>
      </c>
      <c r="Z43" s="54">
        <f t="shared" si="116"/>
        <v>8.2820480390936488</v>
      </c>
      <c r="AA43" s="54">
        <f t="shared" si="104"/>
        <v>7.8004831378309492</v>
      </c>
      <c r="AB43" s="54">
        <f t="shared" si="105"/>
        <v>7.3782028721040449</v>
      </c>
      <c r="AC43" s="54">
        <f t="shared" si="106"/>
        <v>7.0061403688888024</v>
      </c>
      <c r="AD43" s="54">
        <f t="shared" si="107"/>
        <v>6.6760706916301205</v>
      </c>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54">
        <f t="shared" si="108"/>
        <v>26.598026598026614</v>
      </c>
      <c r="BE43" s="54">
        <f t="shared" si="108"/>
        <v>28.430675469781619</v>
      </c>
      <c r="BF43" s="54">
        <f t="shared" si="108"/>
        <v>31.680440771349883</v>
      </c>
      <c r="BG43" s="54">
        <f t="shared" si="108"/>
        <v>38.636973437080769</v>
      </c>
      <c r="BH43" s="54">
        <f t="shared" si="108"/>
        <v>41.646899356150449</v>
      </c>
      <c r="BI43" s="54">
        <f t="shared" si="108"/>
        <v>39.615627965833575</v>
      </c>
      <c r="BJ43" s="54">
        <f t="shared" si="108"/>
        <v>35.608137353917172</v>
      </c>
      <c r="BK43" s="54">
        <f t="shared" si="108"/>
        <v>32.33984904199729</v>
      </c>
      <c r="BL43" s="54">
        <f t="shared" si="108"/>
        <v>32.464114832535884</v>
      </c>
      <c r="BM43" s="54">
        <f t="shared" si="108"/>
        <v>32.510054948167458</v>
      </c>
      <c r="BN43" s="54">
        <f t="shared" si="109"/>
        <v>29.572294924992025</v>
      </c>
      <c r="BO43" s="54">
        <f t="shared" si="109"/>
        <v>24.573462025933512</v>
      </c>
      <c r="BP43" s="54">
        <f t="shared" si="109"/>
        <v>13.766480043344774</v>
      </c>
      <c r="BQ43" s="54">
        <f t="shared" si="109"/>
        <v>10.708789329685352</v>
      </c>
      <c r="BR43" s="54">
        <f t="shared" si="109"/>
        <v>11.815905078622158</v>
      </c>
      <c r="BS43" s="54">
        <f t="shared" si="109"/>
        <v>10.851105458814313</v>
      </c>
      <c r="BT43" s="54">
        <f t="shared" si="109"/>
        <v>16.013811167996185</v>
      </c>
      <c r="BU43" s="54">
        <f t="shared" si="109"/>
        <v>53.721801753307787</v>
      </c>
      <c r="BV43" s="54">
        <f t="shared" si="109"/>
        <v>72.810274986836546</v>
      </c>
      <c r="BW43" s="54">
        <f t="shared" si="109"/>
        <v>76.97748621999645</v>
      </c>
      <c r="BX43" s="54">
        <f t="shared" si="110"/>
        <v>78.753563573937811</v>
      </c>
      <c r="BY43" s="54">
        <f t="shared" si="110"/>
        <v>43.301708455067136</v>
      </c>
      <c r="BZ43" s="54">
        <f t="shared" si="110"/>
        <v>22.201358393405958</v>
      </c>
      <c r="CA43" s="54">
        <f t="shared" si="110"/>
        <v>21.713339856745904</v>
      </c>
      <c r="CB43" s="54">
        <f t="shared" si="110"/>
        <v>20.342772906405759</v>
      </c>
      <c r="CC43" s="54">
        <f t="shared" si="110"/>
        <v>13.999822630422898</v>
      </c>
      <c r="CD43" s="54">
        <f t="shared" si="110"/>
        <v>22.893725749621517</v>
      </c>
      <c r="CE43" s="54">
        <f t="shared" si="110"/>
        <v>20.460529068079158</v>
      </c>
      <c r="CF43" s="54">
        <f t="shared" si="110"/>
        <v>20.845061463352586</v>
      </c>
      <c r="CG43" s="54">
        <f t="shared" si="110"/>
        <v>20.48005658578591</v>
      </c>
      <c r="CH43" s="54">
        <f t="shared" si="111"/>
        <v>15.519022085143131</v>
      </c>
      <c r="CI43" s="54">
        <f t="shared" si="111"/>
        <v>14.099721107407648</v>
      </c>
      <c r="CJ43" s="54">
        <f t="shared" si="111"/>
        <v>14.52145648826837</v>
      </c>
      <c r="CK43" s="54">
        <f t="shared" si="111"/>
        <v>16.101489413296232</v>
      </c>
      <c r="CL43" s="54">
        <f t="shared" si="111"/>
        <v>17.143906919779539</v>
      </c>
      <c r="CM43" s="54">
        <f t="shared" si="111"/>
        <v>17.691876617105251</v>
      </c>
      <c r="CN43" s="54">
        <f t="shared" si="111"/>
        <v>16.81336612046973</v>
      </c>
      <c r="CO43" s="54">
        <f t="shared" si="111"/>
        <v>15.051281205685463</v>
      </c>
      <c r="CP43" s="54">
        <f t="shared" si="111"/>
        <v>15.598862495818011</v>
      </c>
      <c r="CQ43" s="54">
        <f t="shared" si="111"/>
        <v>20.47980386396102</v>
      </c>
      <c r="CR43" s="54">
        <f t="shared" si="111"/>
        <v>25.130338979716306</v>
      </c>
      <c r="CS43" s="54">
        <f t="shared" si="111"/>
        <v>29.676765939557235</v>
      </c>
      <c r="CT43" s="54">
        <f t="shared" si="111"/>
        <v>22.493849938499366</v>
      </c>
      <c r="CU43" s="54">
        <f t="shared" si="111"/>
        <v>22.683775920351156</v>
      </c>
      <c r="CV43" s="54">
        <f t="shared" si="111"/>
        <v>16.394795802051789</v>
      </c>
      <c r="CW43" s="54">
        <f t="shared" si="111"/>
        <v>22.076907774036435</v>
      </c>
      <c r="CX43" s="54">
        <f t="shared" si="111"/>
        <v>32.564475520344956</v>
      </c>
      <c r="CY43" s="54">
        <f t="shared" si="111"/>
        <v>28.778324582927816</v>
      </c>
      <c r="CZ43" s="54">
        <f t="shared" si="112"/>
        <v>37.795665890492899</v>
      </c>
      <c r="DA43" s="54">
        <f t="shared" si="113"/>
        <v>26.01865960624621</v>
      </c>
      <c r="DB43" s="54">
        <f t="shared" si="114"/>
        <v>19.68319053806502</v>
      </c>
      <c r="DC43" s="54">
        <f t="shared" si="115"/>
        <v>17.850858388362578</v>
      </c>
    </row>
    <row r="44" spans="2:107">
      <c r="B44" s="17" t="s">
        <v>1228</v>
      </c>
      <c r="C44" s="23"/>
      <c r="D44" s="15"/>
      <c r="E44" s="15"/>
      <c r="F44" s="15"/>
      <c r="G44" s="15"/>
      <c r="H44" s="15"/>
      <c r="I44" s="15"/>
      <c r="J44" s="26">
        <f t="shared" ref="J44:Z44" si="117">(J10/I10-1)*100</f>
        <v>28.590822698886775</v>
      </c>
      <c r="K44" s="26">
        <f t="shared" si="117"/>
        <v>13.999155405405395</v>
      </c>
      <c r="L44" s="54">
        <f t="shared" si="117"/>
        <v>20.509970982280667</v>
      </c>
      <c r="M44" s="54">
        <f t="shared" si="117"/>
        <v>42.117936369691101</v>
      </c>
      <c r="N44" s="54">
        <f t="shared" si="117"/>
        <v>5.4109589041095862</v>
      </c>
      <c r="O44" s="54">
        <f t="shared" si="117"/>
        <v>4.0001424546219466</v>
      </c>
      <c r="P44" s="54">
        <f t="shared" si="117"/>
        <v>122.02491648949882</v>
      </c>
      <c r="Q44" s="54">
        <f t="shared" si="117"/>
        <v>30.49455834608812</v>
      </c>
      <c r="R44" s="54">
        <f t="shared" si="117"/>
        <v>10.544893257215504</v>
      </c>
      <c r="S44" s="54">
        <f t="shared" si="117"/>
        <v>8.1016427104722677</v>
      </c>
      <c r="T44" s="54">
        <f t="shared" si="117"/>
        <v>-7.220940061353776</v>
      </c>
      <c r="U44" s="54">
        <f t="shared" si="117"/>
        <v>104.01277536647288</v>
      </c>
      <c r="V44" s="54">
        <f t="shared" si="117"/>
        <v>23.017521676300579</v>
      </c>
      <c r="W44" s="54">
        <f t="shared" si="117"/>
        <v>12.720613128087166</v>
      </c>
      <c r="X44" s="54">
        <f t="shared" si="117"/>
        <v>0.2713890778560879</v>
      </c>
      <c r="Y44" s="54">
        <f t="shared" si="117"/>
        <v>0.27065455096606517</v>
      </c>
      <c r="Z44" s="54">
        <f t="shared" si="117"/>
        <v>0.26992398940457463</v>
      </c>
      <c r="AA44" s="54">
        <f t="shared" si="104"/>
        <v>0.26919736114801029</v>
      </c>
      <c r="AB44" s="54">
        <f t="shared" si="105"/>
        <v>0.26847463451653564</v>
      </c>
      <c r="AC44" s="54">
        <f t="shared" si="106"/>
        <v>0.2677557781696871</v>
      </c>
      <c r="AD44" s="54">
        <f t="shared" si="107"/>
        <v>0.26704076110177777</v>
      </c>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54">
        <f t="shared" si="108"/>
        <v>17.719245734809917</v>
      </c>
      <c r="BE44" s="54">
        <f t="shared" si="108"/>
        <v>16.230968112611333</v>
      </c>
      <c r="BF44" s="54">
        <f t="shared" si="108"/>
        <v>12.134583563154999</v>
      </c>
      <c r="BG44" s="54">
        <f t="shared" si="108"/>
        <v>10.425531914893638</v>
      </c>
      <c r="BH44" s="54">
        <f t="shared" si="108"/>
        <v>4.2206966692092562</v>
      </c>
      <c r="BI44" s="54">
        <f t="shared" si="108"/>
        <v>5.9070687098368824</v>
      </c>
      <c r="BJ44" s="54">
        <f t="shared" si="108"/>
        <v>18.789965568125933</v>
      </c>
      <c r="BK44" s="54">
        <f t="shared" si="108"/>
        <v>51.854527938342954</v>
      </c>
      <c r="BL44" s="54">
        <f t="shared" si="108"/>
        <v>58.57526225908758</v>
      </c>
      <c r="BM44" s="54">
        <f t="shared" si="108"/>
        <v>59.463243873978989</v>
      </c>
      <c r="BN44" s="54">
        <f t="shared" si="109"/>
        <v>44.265010351966858</v>
      </c>
      <c r="BO44" s="54">
        <f t="shared" si="109"/>
        <v>17.985725614591598</v>
      </c>
      <c r="BP44" s="54">
        <f t="shared" si="109"/>
        <v>13.492307692307692</v>
      </c>
      <c r="BQ44" s="54">
        <f t="shared" si="109"/>
        <v>7.8296502268403456</v>
      </c>
      <c r="BR44" s="54">
        <f t="shared" si="109"/>
        <v>0.74626865671640896</v>
      </c>
      <c r="BS44" s="54">
        <f t="shared" si="109"/>
        <v>0.49737867993009388</v>
      </c>
      <c r="BT44" s="54">
        <f t="shared" si="109"/>
        <v>-1.04378473634269</v>
      </c>
      <c r="BU44" s="54">
        <f t="shared" si="109"/>
        <v>-1.3177576540697622</v>
      </c>
      <c r="BV44" s="54">
        <f t="shared" si="109"/>
        <v>10.690073584819281</v>
      </c>
      <c r="BW44" s="54">
        <f t="shared" si="109"/>
        <v>7.9364750328190015</v>
      </c>
      <c r="BX44" s="54">
        <f t="shared" si="110"/>
        <v>15.706473510150044</v>
      </c>
      <c r="BY44" s="54">
        <f t="shared" si="110"/>
        <v>107.79614174771517</v>
      </c>
      <c r="BZ44" s="54">
        <f t="shared" si="110"/>
        <v>206.55043444861332</v>
      </c>
      <c r="CA44" s="54">
        <f t="shared" si="110"/>
        <v>149.63315446254111</v>
      </c>
      <c r="CB44" s="54">
        <f t="shared" si="110"/>
        <v>157.69032148014449</v>
      </c>
      <c r="CC44" s="54">
        <f t="shared" si="110"/>
        <v>34.393073995330539</v>
      </c>
      <c r="CD44" s="54">
        <f t="shared" si="110"/>
        <v>-2.4740519972579977</v>
      </c>
      <c r="CE44" s="54">
        <f t="shared" si="110"/>
        <v>13.221361836914735</v>
      </c>
      <c r="CF44" s="54">
        <f t="shared" si="110"/>
        <v>6.2207112009556198</v>
      </c>
      <c r="CG44" s="54">
        <f t="shared" si="110"/>
        <v>22.093080522038932</v>
      </c>
      <c r="CH44" s="54">
        <f t="shared" si="111"/>
        <v>5.0880289268649515</v>
      </c>
      <c r="CI44" s="54">
        <f t="shared" si="111"/>
        <v>9.948699960538443</v>
      </c>
      <c r="CJ44" s="54">
        <f t="shared" si="111"/>
        <v>9.7923875432526017</v>
      </c>
      <c r="CK44" s="54">
        <f t="shared" si="111"/>
        <v>12.363357670122221</v>
      </c>
      <c r="CL44" s="54">
        <f t="shared" si="111"/>
        <v>13.697620120427633</v>
      </c>
      <c r="CM44" s="54">
        <f t="shared" si="111"/>
        <v>-3.1185197001116771</v>
      </c>
      <c r="CN44" s="54">
        <f t="shared" si="111"/>
        <v>-6.0234793570753231</v>
      </c>
      <c r="CO44" s="54">
        <f t="shared" si="111"/>
        <v>-15.759620907524408</v>
      </c>
      <c r="CP44" s="54">
        <f t="shared" si="111"/>
        <v>-19.56263284937133</v>
      </c>
      <c r="CQ44" s="54">
        <f t="shared" si="111"/>
        <v>15.419445130484899</v>
      </c>
      <c r="CR44" s="54">
        <f t="shared" si="111"/>
        <v>87.53301194718091</v>
      </c>
      <c r="CS44" s="54">
        <f t="shared" si="111"/>
        <v>92.8023523395551</v>
      </c>
      <c r="CT44" s="54">
        <f t="shared" si="111"/>
        <v>147.80310834415732</v>
      </c>
      <c r="CU44" s="54">
        <f t="shared" si="111"/>
        <v>92.546362339514971</v>
      </c>
      <c r="CV44" s="54">
        <f t="shared" si="111"/>
        <v>22.069474248927023</v>
      </c>
      <c r="CW44" s="54">
        <f t="shared" si="111"/>
        <v>28.623212430652245</v>
      </c>
      <c r="CX44" s="54">
        <f t="shared" si="111"/>
        <v>14.37092197299692</v>
      </c>
      <c r="CY44" s="54">
        <f t="shared" si="111"/>
        <v>27.966290053713649</v>
      </c>
      <c r="CZ44" s="54">
        <f t="shared" si="112"/>
        <v>26.515775787873807</v>
      </c>
      <c r="DA44" s="54">
        <f t="shared" si="113"/>
        <v>18.723901500180439</v>
      </c>
      <c r="DB44" s="54">
        <f t="shared" si="114"/>
        <v>9.1832864502670688</v>
      </c>
      <c r="DC44" s="54">
        <f t="shared" si="115"/>
        <v>0</v>
      </c>
    </row>
    <row r="45" spans="2:107">
      <c r="B45" s="17" t="s">
        <v>1222</v>
      </c>
      <c r="C45" s="23"/>
      <c r="D45" s="15"/>
      <c r="E45" s="15"/>
      <c r="F45" s="15"/>
      <c r="G45" s="15"/>
      <c r="H45" s="15"/>
      <c r="I45" s="15"/>
      <c r="J45" s="26"/>
      <c r="K45" s="26">
        <f t="shared" ref="K45:Z45" si="118">(K11/J11-1)*100</f>
        <v>342.30769230769232</v>
      </c>
      <c r="L45" s="54">
        <f t="shared" si="118"/>
        <v>-10.362318840579709</v>
      </c>
      <c r="M45" s="54">
        <f t="shared" si="118"/>
        <v>-16.895715440582059</v>
      </c>
      <c r="N45" s="54">
        <f t="shared" si="118"/>
        <v>6.1284046692607008</v>
      </c>
      <c r="O45" s="54">
        <f t="shared" si="118"/>
        <v>120.81069146121717</v>
      </c>
      <c r="P45" s="54">
        <f t="shared" si="118"/>
        <v>13.236150556095016</v>
      </c>
      <c r="Q45" s="54">
        <f t="shared" si="118"/>
        <v>15.912939666349168</v>
      </c>
      <c r="R45" s="54">
        <f t="shared" si="118"/>
        <v>42.94750158127767</v>
      </c>
      <c r="S45" s="54">
        <f t="shared" si="118"/>
        <v>128.67256637168146</v>
      </c>
      <c r="T45" s="54">
        <f t="shared" si="118"/>
        <v>3.3378482972136192</v>
      </c>
      <c r="U45" s="54">
        <f t="shared" si="118"/>
        <v>113.83765565022004</v>
      </c>
      <c r="V45" s="54">
        <f t="shared" si="118"/>
        <v>-31.554290718038537</v>
      </c>
      <c r="W45" s="54">
        <f t="shared" si="118"/>
        <v>3.3199002110919196</v>
      </c>
      <c r="X45" s="54">
        <f t="shared" si="118"/>
        <v>5.2625061911837356</v>
      </c>
      <c r="Y45" s="54">
        <f t="shared" si="118"/>
        <v>4.9994118339019122</v>
      </c>
      <c r="Z45" s="54">
        <f t="shared" si="118"/>
        <v>4.761371274927173</v>
      </c>
      <c r="AA45" s="54">
        <f t="shared" si="104"/>
        <v>4.5449684525719292</v>
      </c>
      <c r="AB45" s="54">
        <f t="shared" si="105"/>
        <v>4.3473813420621843</v>
      </c>
      <c r="AC45" s="54">
        <f t="shared" si="106"/>
        <v>4.166258209979401</v>
      </c>
      <c r="AD45" s="54">
        <f t="shared" si="107"/>
        <v>3.9996235648409595</v>
      </c>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804" t="s">
        <v>1045</v>
      </c>
      <c r="BE45" s="804" t="s">
        <v>1045</v>
      </c>
      <c r="BF45" s="804" t="s">
        <v>1045</v>
      </c>
      <c r="BG45" s="54">
        <f t="shared" ref="BG45:BP47" si="119">(BG11/BC11-1)*100</f>
        <v>-32.371794871794876</v>
      </c>
      <c r="BH45" s="54">
        <f t="shared" si="119"/>
        <v>-30.941704035874441</v>
      </c>
      <c r="BI45" s="54">
        <f t="shared" si="119"/>
        <v>-20.924574209245741</v>
      </c>
      <c r="BJ45" s="54">
        <f t="shared" si="119"/>
        <v>21.153846153846146</v>
      </c>
      <c r="BK45" s="54">
        <f t="shared" si="119"/>
        <v>7.1090047393364886</v>
      </c>
      <c r="BL45" s="54">
        <f t="shared" si="119"/>
        <v>17.532467532467532</v>
      </c>
      <c r="BM45" s="54">
        <f t="shared" si="119"/>
        <v>-39.692307692307693</v>
      </c>
      <c r="BN45" s="54">
        <f t="shared" si="119"/>
        <v>-32.804232804232804</v>
      </c>
      <c r="BO45" s="54">
        <f t="shared" si="119"/>
        <v>-4.4247787610619538</v>
      </c>
      <c r="BP45" s="54">
        <f t="shared" si="119"/>
        <v>-27.071823204419886</v>
      </c>
      <c r="BQ45" s="54">
        <f t="shared" ref="BQ45:BZ47" si="120">(BQ11/BM11-1)*100</f>
        <v>21.938775510204067</v>
      </c>
      <c r="BR45" s="54">
        <f t="shared" si="120"/>
        <v>16.14173228346456</v>
      </c>
      <c r="BS45" s="54">
        <f t="shared" si="120"/>
        <v>35.648148148148138</v>
      </c>
      <c r="BT45" s="54">
        <f t="shared" si="120"/>
        <v>30.681818181818166</v>
      </c>
      <c r="BU45" s="54">
        <f t="shared" si="120"/>
        <v>128.80994297710137</v>
      </c>
      <c r="BV45" s="54">
        <f t="shared" si="120"/>
        <v>160.37715317832451</v>
      </c>
      <c r="BW45" s="54">
        <f t="shared" si="120"/>
        <v>155.65743285001705</v>
      </c>
      <c r="BX45" s="54">
        <f t="shared" si="120"/>
        <v>74.49448193996551</v>
      </c>
      <c r="BY45" s="54">
        <f t="shared" si="120"/>
        <v>18.453924162907409</v>
      </c>
      <c r="BZ45" s="54">
        <f t="shared" si="120"/>
        <v>3.1902008121412972</v>
      </c>
      <c r="CA45" s="54">
        <f t="shared" ref="CA45:CJ47" si="121">(CA11/BW11-1)*100</f>
        <v>-8.4853666970456594</v>
      </c>
      <c r="CB45" s="54">
        <f t="shared" si="121"/>
        <v>30.065156912649172</v>
      </c>
      <c r="CC45" s="54">
        <f t="shared" si="121"/>
        <v>20.567092342492831</v>
      </c>
      <c r="CD45" s="54">
        <f t="shared" si="121"/>
        <v>-1.2133145152919744</v>
      </c>
      <c r="CE45" s="54">
        <f t="shared" si="121"/>
        <v>18.888821162873114</v>
      </c>
      <c r="CF45" s="54">
        <f t="shared" si="121"/>
        <v>-25.92592592592591</v>
      </c>
      <c r="CG45" s="54">
        <f t="shared" si="121"/>
        <v>-25.35211267605635</v>
      </c>
      <c r="CH45" s="54">
        <f t="shared" si="121"/>
        <v>19.284802043422733</v>
      </c>
      <c r="CI45" s="54">
        <f t="shared" si="121"/>
        <v>197.30061349693253</v>
      </c>
      <c r="CJ45" s="54">
        <f t="shared" si="121"/>
        <v>360.34482758620686</v>
      </c>
      <c r="CK45" s="54">
        <f t="shared" ref="CK45:CY47" si="122">(CK11/CG11-1)*100</f>
        <v>358.4905660377359</v>
      </c>
      <c r="CL45" s="54">
        <f t="shared" si="122"/>
        <v>174.73233404710919</v>
      </c>
      <c r="CM45" s="54">
        <f t="shared" si="122"/>
        <v>0.16508460586051044</v>
      </c>
      <c r="CN45" s="54">
        <f t="shared" si="122"/>
        <v>-2.65917602996254</v>
      </c>
      <c r="CO45" s="54">
        <f t="shared" si="122"/>
        <v>-26.898615787504674</v>
      </c>
      <c r="CP45" s="54">
        <f t="shared" si="122"/>
        <v>-15.276695245518312</v>
      </c>
      <c r="CQ45" s="54">
        <f t="shared" si="122"/>
        <v>62.917181705809625</v>
      </c>
      <c r="CR45" s="54">
        <f t="shared" si="122"/>
        <v>102.38553289726818</v>
      </c>
      <c r="CS45" s="54">
        <f t="shared" si="122"/>
        <v>316.47901740020473</v>
      </c>
      <c r="CT45" s="54">
        <f t="shared" si="122"/>
        <v>148.39006439742411</v>
      </c>
      <c r="CU45" s="54">
        <f t="shared" si="122"/>
        <v>2.2255943348507889</v>
      </c>
      <c r="CV45" s="54">
        <f t="shared" si="122"/>
        <v>-19.220532319391626</v>
      </c>
      <c r="CW45" s="54">
        <f t="shared" si="122"/>
        <v>-51.585156057999512</v>
      </c>
      <c r="CX45" s="54">
        <f t="shared" si="122"/>
        <v>-34.611111111111114</v>
      </c>
      <c r="CY45" s="54">
        <f t="shared" si="122"/>
        <v>-3.1914893617021156</v>
      </c>
      <c r="CZ45" s="54">
        <f t="shared" si="112"/>
        <v>-6.730995528359629</v>
      </c>
      <c r="DA45" s="54">
        <f t="shared" si="113"/>
        <v>1.8527918781725772</v>
      </c>
      <c r="DB45" s="54">
        <f t="shared" si="114"/>
        <v>15.066553384310399</v>
      </c>
      <c r="DC45" s="54">
        <f t="shared" si="115"/>
        <v>5.1111679018655876</v>
      </c>
    </row>
    <row r="46" spans="2:107">
      <c r="B46" s="23" t="s">
        <v>1227</v>
      </c>
      <c r="C46" s="23"/>
      <c r="D46" s="15"/>
      <c r="E46" s="15"/>
      <c r="F46" s="15"/>
      <c r="G46" s="15"/>
      <c r="H46" s="15"/>
      <c r="I46" s="15"/>
      <c r="J46" s="26"/>
      <c r="K46" s="26"/>
      <c r="L46" s="54"/>
      <c r="M46" s="54"/>
      <c r="N46" s="54"/>
      <c r="O46" s="54"/>
      <c r="P46" s="54"/>
      <c r="Q46" s="54"/>
      <c r="R46" s="54"/>
      <c r="S46" s="54"/>
      <c r="T46" s="54"/>
      <c r="U46" s="54"/>
      <c r="V46" s="54"/>
      <c r="W46" s="54"/>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54"/>
      <c r="AV46" s="54">
        <f t="shared" ref="AV46:BF47" si="123">(AV12/AR12-1)*100</f>
        <v>43.065178608471946</v>
      </c>
      <c r="AW46" s="54">
        <f t="shared" si="123"/>
        <v>43.355513673602843</v>
      </c>
      <c r="AX46" s="54">
        <f t="shared" si="123"/>
        <v>41.249691455975167</v>
      </c>
      <c r="AY46" s="54">
        <f t="shared" si="123"/>
        <v>35.321945643891304</v>
      </c>
      <c r="AZ46" s="54">
        <f t="shared" si="123"/>
        <v>33.111968216222486</v>
      </c>
      <c r="BA46" s="54">
        <f t="shared" si="123"/>
        <v>32.625902175954494</v>
      </c>
      <c r="BB46" s="54">
        <f t="shared" si="123"/>
        <v>35.534363531966932</v>
      </c>
      <c r="BC46" s="54">
        <f t="shared" si="123"/>
        <v>36.974730766523535</v>
      </c>
      <c r="BD46" s="54">
        <f t="shared" si="123"/>
        <v>34.533016709875611</v>
      </c>
      <c r="BE46" s="54">
        <f t="shared" si="123"/>
        <v>31.676478323319369</v>
      </c>
      <c r="BF46" s="54">
        <f t="shared" si="123"/>
        <v>28.783776316516541</v>
      </c>
      <c r="BG46" s="54">
        <f t="shared" si="119"/>
        <v>30.868448098663936</v>
      </c>
      <c r="BH46" s="54">
        <f t="shared" si="119"/>
        <v>30.985231247570933</v>
      </c>
      <c r="BI46" s="54">
        <f t="shared" si="119"/>
        <v>35.052005715251447</v>
      </c>
      <c r="BJ46" s="54">
        <f t="shared" si="119"/>
        <v>42.0063502960611</v>
      </c>
      <c r="BK46" s="54">
        <f t="shared" si="119"/>
        <v>72.220258897134855</v>
      </c>
      <c r="BL46" s="54">
        <f t="shared" si="119"/>
        <v>85.890018050095179</v>
      </c>
      <c r="BM46" s="54">
        <f t="shared" si="119"/>
        <v>85.878913360029088</v>
      </c>
      <c r="BN46" s="54">
        <f t="shared" si="119"/>
        <v>74.761300459269989</v>
      </c>
      <c r="BO46" s="54">
        <f t="shared" si="119"/>
        <v>38.941160376354709</v>
      </c>
      <c r="BP46" s="54">
        <f t="shared" si="119"/>
        <v>27.220186353992794</v>
      </c>
      <c r="BQ46" s="54">
        <f t="shared" si="120"/>
        <v>25.654395789344854</v>
      </c>
      <c r="BR46" s="54">
        <f t="shared" si="120"/>
        <v>25.828593163782255</v>
      </c>
      <c r="BS46" s="54">
        <f t="shared" si="120"/>
        <v>26.610909329599153</v>
      </c>
      <c r="BT46" s="54">
        <f t="shared" si="120"/>
        <v>24.020973720116888</v>
      </c>
      <c r="BU46" s="54">
        <f t="shared" si="120"/>
        <v>34.501468489574428</v>
      </c>
      <c r="BV46" s="54">
        <f t="shared" si="120"/>
        <v>40.137587366145453</v>
      </c>
      <c r="BW46" s="54">
        <f t="shared" si="120"/>
        <v>37.140820426414358</v>
      </c>
      <c r="BX46" s="54">
        <f t="shared" si="120"/>
        <v>41.22940869008076</v>
      </c>
      <c r="BY46" s="54">
        <f t="shared" si="120"/>
        <v>33.039772007141096</v>
      </c>
      <c r="BZ46" s="54">
        <f t="shared" si="120"/>
        <v>26.880588819745842</v>
      </c>
      <c r="CA46" s="54">
        <f t="shared" si="121"/>
        <v>26.566866078826081</v>
      </c>
      <c r="CB46" s="54">
        <f t="shared" si="121"/>
        <v>25.398824642512817</v>
      </c>
      <c r="CC46" s="54">
        <f t="shared" si="121"/>
        <v>18.026446155018672</v>
      </c>
      <c r="CD46" s="54">
        <f t="shared" si="121"/>
        <v>18.615505880777093</v>
      </c>
      <c r="CE46" s="54">
        <f t="shared" si="121"/>
        <v>20.176222418578014</v>
      </c>
      <c r="CF46" s="54">
        <f t="shared" si="121"/>
        <v>17.702697878113494</v>
      </c>
      <c r="CG46" s="54">
        <f t="shared" si="121"/>
        <v>15.728007564313963</v>
      </c>
      <c r="CH46" s="54">
        <f t="shared" si="121"/>
        <v>11.962248252917608</v>
      </c>
      <c r="CI46" s="54">
        <f t="shared" si="121"/>
        <v>11.439731911703198</v>
      </c>
      <c r="CJ46" s="54">
        <f t="shared" si="121"/>
        <v>11.15845200011325</v>
      </c>
      <c r="CK46" s="54">
        <f t="shared" si="122"/>
        <v>14.416496949068769</v>
      </c>
      <c r="CL46" s="54">
        <f t="shared" si="122"/>
        <v>14.133980906421261</v>
      </c>
      <c r="CM46" s="54">
        <f t="shared" si="122"/>
        <v>12.532431327361238</v>
      </c>
      <c r="CN46" s="54">
        <f t="shared" si="122"/>
        <v>10.906616845824036</v>
      </c>
      <c r="CO46" s="54">
        <f t="shared" si="122"/>
        <v>9.149572069012347</v>
      </c>
      <c r="CP46" s="54">
        <f t="shared" si="122"/>
        <v>9.9050703899829617</v>
      </c>
      <c r="CQ46" s="54">
        <f t="shared" si="122"/>
        <v>13.308185739861123</v>
      </c>
      <c r="CR46" s="54">
        <f t="shared" si="122"/>
        <v>30.744664622894511</v>
      </c>
      <c r="CS46" s="54">
        <f t="shared" si="122"/>
        <v>35.915626680453386</v>
      </c>
      <c r="CT46" s="54">
        <f t="shared" si="122"/>
        <v>35.608090660423898</v>
      </c>
      <c r="CU46" s="54">
        <f t="shared" si="122"/>
        <v>30.079933301461104</v>
      </c>
      <c r="CV46" s="54">
        <f t="shared" si="122"/>
        <v>12.714435185812478</v>
      </c>
      <c r="CW46" s="54">
        <f t="shared" si="122"/>
        <v>18.582107162605908</v>
      </c>
      <c r="CX46" s="54">
        <f t="shared" si="122"/>
        <v>24.176231405486391</v>
      </c>
      <c r="CY46" s="54">
        <f t="shared" si="122"/>
        <v>25.789575120848184</v>
      </c>
      <c r="CZ46" s="54">
        <f t="shared" ca="1" si="112"/>
        <v>26.613519108967676</v>
      </c>
      <c r="DA46" s="54">
        <f t="shared" ca="1" si="113"/>
        <v>15.013149341225972</v>
      </c>
      <c r="DB46" s="54">
        <f t="shared" ca="1" si="114"/>
        <v>9.7408334007314412</v>
      </c>
      <c r="DC46" s="54">
        <f t="shared" ca="1" si="115"/>
        <v>9.595874363109802</v>
      </c>
    </row>
    <row r="47" spans="2:107">
      <c r="B47" s="23" t="s">
        <v>1226</v>
      </c>
      <c r="C47" s="23"/>
      <c r="D47" s="15"/>
      <c r="E47" s="15"/>
      <c r="F47" s="15"/>
      <c r="G47" s="15"/>
      <c r="H47" s="15"/>
      <c r="I47" s="15"/>
      <c r="J47" s="26"/>
      <c r="K47" s="26"/>
      <c r="L47" s="54"/>
      <c r="M47" s="54"/>
      <c r="N47" s="54"/>
      <c r="O47" s="789"/>
      <c r="P47" s="789"/>
      <c r="Q47" s="789"/>
      <c r="R47" s="789"/>
      <c r="S47" s="789"/>
      <c r="T47" s="789"/>
      <c r="U47" s="789"/>
      <c r="V47" s="789"/>
      <c r="W47" s="789"/>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54"/>
      <c r="AV47" s="54">
        <f t="shared" si="123"/>
        <v>75.450450450450447</v>
      </c>
      <c r="AW47" s="54">
        <f t="shared" si="123"/>
        <v>-11.622176591375766</v>
      </c>
      <c r="AX47" s="54">
        <f t="shared" si="123"/>
        <v>-6.9531249999999929</v>
      </c>
      <c r="AY47" s="54">
        <f t="shared" si="123"/>
        <v>42.822677925211103</v>
      </c>
      <c r="AZ47" s="54">
        <f t="shared" si="123"/>
        <v>19.084296106118948</v>
      </c>
      <c r="BA47" s="54">
        <f t="shared" si="123"/>
        <v>41.635687732342006</v>
      </c>
      <c r="BB47" s="54">
        <f t="shared" si="123"/>
        <v>59.739714525608733</v>
      </c>
      <c r="BC47" s="54">
        <f t="shared" si="123"/>
        <v>44.341216216216225</v>
      </c>
      <c r="BD47" s="54">
        <f t="shared" si="123"/>
        <v>12.001437297879992</v>
      </c>
      <c r="BE47" s="54">
        <f t="shared" si="123"/>
        <v>13.484251968503935</v>
      </c>
      <c r="BF47" s="54">
        <f t="shared" si="123"/>
        <v>7.8843626806834877E-2</v>
      </c>
      <c r="BG47" s="54">
        <f t="shared" si="119"/>
        <v>-1.3750731421884321</v>
      </c>
      <c r="BH47" s="54">
        <f t="shared" si="119"/>
        <v>35.482836060314391</v>
      </c>
      <c r="BI47" s="54">
        <f t="shared" si="119"/>
        <v>13.703382480485683</v>
      </c>
      <c r="BJ47" s="54">
        <f t="shared" si="119"/>
        <v>18.014705882352942</v>
      </c>
      <c r="BK47" s="54">
        <f t="shared" si="119"/>
        <v>111.68792643132606</v>
      </c>
      <c r="BL47" s="54">
        <f t="shared" si="119"/>
        <v>86.099928960454662</v>
      </c>
      <c r="BM47" s="54">
        <f t="shared" si="119"/>
        <v>119.90846681922194</v>
      </c>
      <c r="BN47" s="54">
        <f t="shared" si="119"/>
        <v>127.36982643524701</v>
      </c>
      <c r="BO47" s="54">
        <f t="shared" si="119"/>
        <v>10.243834080717495</v>
      </c>
      <c r="BP47" s="54">
        <f t="shared" si="119"/>
        <v>1.0815625397633255</v>
      </c>
      <c r="BQ47" s="54">
        <f t="shared" si="120"/>
        <v>-9.1802520522603626</v>
      </c>
      <c r="BR47" s="54">
        <f t="shared" si="120"/>
        <v>-9.727931101976905</v>
      </c>
      <c r="BS47" s="54">
        <f t="shared" si="120"/>
        <v>40.930469047921704</v>
      </c>
      <c r="BT47" s="54">
        <f t="shared" si="120"/>
        <v>43.668177240684791</v>
      </c>
      <c r="BU47" s="54">
        <f t="shared" si="120"/>
        <v>76.549968173138126</v>
      </c>
      <c r="BV47" s="54">
        <f t="shared" si="120"/>
        <v>67.237640936686887</v>
      </c>
      <c r="BW47" s="54">
        <f t="shared" si="120"/>
        <v>68.85541625326961</v>
      </c>
      <c r="BX47" s="54">
        <f t="shared" si="120"/>
        <v>65.618154735827574</v>
      </c>
      <c r="BY47" s="54">
        <f t="shared" si="120"/>
        <v>30.682145947505045</v>
      </c>
      <c r="BZ47" s="54">
        <f t="shared" si="120"/>
        <v>29.612342797873726</v>
      </c>
      <c r="CA47" s="54">
        <f t="shared" si="121"/>
        <v>8.7067998504353419</v>
      </c>
      <c r="CB47" s="54">
        <f t="shared" si="121"/>
        <v>10.078298592741497</v>
      </c>
      <c r="CC47" s="54">
        <f t="shared" si="121"/>
        <v>20.9236881311041</v>
      </c>
      <c r="CD47" s="54">
        <f t="shared" si="121"/>
        <v>21.801540462138647</v>
      </c>
      <c r="CE47" s="54">
        <f t="shared" si="121"/>
        <v>14.16146626701391</v>
      </c>
      <c r="CF47" s="54">
        <f t="shared" si="121"/>
        <v>3.8688902773105438</v>
      </c>
      <c r="CG47" s="54">
        <f t="shared" si="121"/>
        <v>23.463381245722115</v>
      </c>
      <c r="CH47" s="54">
        <f t="shared" si="121"/>
        <v>12.996345419455512</v>
      </c>
      <c r="CI47" s="54">
        <f t="shared" si="121"/>
        <v>14.56548874445831</v>
      </c>
      <c r="CJ47" s="54">
        <f t="shared" si="121"/>
        <v>40.431241902646661</v>
      </c>
      <c r="CK47" s="54">
        <f t="shared" si="122"/>
        <v>14.584026314816878</v>
      </c>
      <c r="CL47" s="54">
        <f t="shared" si="122"/>
        <v>16.302056835525836</v>
      </c>
      <c r="CM47" s="54">
        <f t="shared" si="122"/>
        <v>22.587068414922797</v>
      </c>
      <c r="CN47" s="54">
        <f t="shared" si="122"/>
        <v>10.434925864909372</v>
      </c>
      <c r="CO47" s="54">
        <f t="shared" si="122"/>
        <v>25.442699093636101</v>
      </c>
      <c r="CP47" s="54">
        <f t="shared" si="122"/>
        <v>24.759405074365716</v>
      </c>
      <c r="CQ47" s="54">
        <f t="shared" si="122"/>
        <v>36.0446228814858</v>
      </c>
      <c r="CR47" s="54">
        <f t="shared" si="122"/>
        <v>40.412328072321536</v>
      </c>
      <c r="CS47" s="54">
        <f t="shared" si="122"/>
        <v>25.322053945642974</v>
      </c>
      <c r="CT47" s="54">
        <f t="shared" si="122"/>
        <v>19.389901823281932</v>
      </c>
      <c r="CU47" s="54">
        <f t="shared" si="122"/>
        <v>13.099797251633261</v>
      </c>
      <c r="CV47" s="54">
        <f t="shared" si="122"/>
        <v>8.5482979898856559</v>
      </c>
      <c r="CW47" s="54">
        <f t="shared" si="122"/>
        <v>15.663021399700439</v>
      </c>
      <c r="CX47" s="54">
        <f t="shared" si="122"/>
        <v>32.636878539962247</v>
      </c>
      <c r="CY47" s="54">
        <f t="shared" si="122"/>
        <v>54.610098595757407</v>
      </c>
      <c r="CZ47" s="54">
        <f t="shared" si="112"/>
        <v>52.729764118625845</v>
      </c>
      <c r="DA47" s="54">
        <f t="shared" si="113"/>
        <v>39.112695794085873</v>
      </c>
      <c r="DB47" s="54">
        <f t="shared" si="114"/>
        <v>24.663123932435017</v>
      </c>
      <c r="DC47" s="54">
        <f t="shared" si="115"/>
        <v>2.0612712890675677</v>
      </c>
    </row>
    <row r="48" spans="2:107">
      <c r="B48" s="23"/>
      <c r="C48" s="23"/>
      <c r="D48" s="15"/>
      <c r="E48" s="15"/>
      <c r="F48" s="15"/>
      <c r="G48" s="15"/>
      <c r="H48" s="15"/>
      <c r="I48" s="15"/>
      <c r="J48" s="15"/>
      <c r="K48" s="15"/>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c r="BC48" s="23"/>
      <c r="BD48" s="23"/>
      <c r="BE48" s="23"/>
      <c r="BF48" s="23"/>
      <c r="BG48" s="23"/>
      <c r="BH48" s="23"/>
      <c r="BI48" s="23"/>
      <c r="BJ48" s="23"/>
      <c r="BK48" s="23"/>
      <c r="BL48" s="23"/>
      <c r="BM48" s="23"/>
      <c r="BN48" s="23"/>
      <c r="BO48" s="23"/>
      <c r="BP48" s="23"/>
      <c r="BQ48" s="23"/>
      <c r="BR48" s="23"/>
      <c r="BS48" s="23"/>
      <c r="BT48" s="23"/>
      <c r="BU48" s="23"/>
      <c r="BV48" s="23"/>
      <c r="BW48" s="23"/>
      <c r="BX48" s="23"/>
      <c r="BY48" s="23"/>
      <c r="BZ48" s="23"/>
      <c r="CA48" s="23"/>
      <c r="CB48" s="23"/>
      <c r="CC48" s="23"/>
      <c r="CD48" s="23"/>
      <c r="CE48" s="23"/>
      <c r="CF48" s="23"/>
      <c r="CG48" s="23"/>
      <c r="CH48" s="23"/>
      <c r="CI48" s="23"/>
      <c r="CJ48" s="23"/>
      <c r="CK48" s="23"/>
      <c r="CL48" s="23"/>
      <c r="CM48" s="23"/>
      <c r="CN48" s="23"/>
      <c r="CO48" s="23"/>
      <c r="CP48" s="23"/>
      <c r="CQ48" s="23"/>
      <c r="CR48" s="23"/>
      <c r="CS48" s="23"/>
      <c r="CT48" s="23"/>
      <c r="CU48" s="23"/>
      <c r="CV48" s="23"/>
      <c r="CW48" s="23"/>
      <c r="CX48" s="23"/>
      <c r="CY48" s="23"/>
      <c r="CZ48" s="23"/>
      <c r="DA48" s="23"/>
      <c r="DB48" s="23"/>
      <c r="DC48" s="23"/>
    </row>
    <row r="49" spans="1:107">
      <c r="B49" s="14" t="s">
        <v>1415</v>
      </c>
      <c r="C49" s="23"/>
      <c r="D49" s="15"/>
      <c r="E49" s="15"/>
      <c r="F49" s="15"/>
      <c r="G49" s="15"/>
      <c r="H49" s="15"/>
      <c r="I49" s="15"/>
      <c r="J49" s="15"/>
      <c r="K49" s="15"/>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c r="BA49" s="195">
        <f t="shared" ref="BA49:CY49" si="124">(BA14/AZ14-1)*100</f>
        <v>7.7951688439733768</v>
      </c>
      <c r="BB49" s="195">
        <f t="shared" si="124"/>
        <v>10.703328950627867</v>
      </c>
      <c r="BC49" s="195">
        <f t="shared" si="124"/>
        <v>6.3722115119801748</v>
      </c>
      <c r="BD49" s="195">
        <f t="shared" si="124"/>
        <v>4.9694164859704237</v>
      </c>
      <c r="BE49" s="195">
        <f t="shared" si="124"/>
        <v>5.6714301129969558</v>
      </c>
      <c r="BF49" s="195">
        <f t="shared" si="124"/>
        <v>7.5538308922215025</v>
      </c>
      <c r="BG49" s="195">
        <f t="shared" si="124"/>
        <v>8.2006347828445847</v>
      </c>
      <c r="BH49" s="195">
        <f t="shared" si="124"/>
        <v>6.6903174046031522</v>
      </c>
      <c r="BI49" s="195">
        <f t="shared" si="124"/>
        <v>7.9051569164248381</v>
      </c>
      <c r="BJ49" s="195">
        <f t="shared" si="124"/>
        <v>13.0067402027505</v>
      </c>
      <c r="BK49" s="195">
        <f t="shared" si="124"/>
        <v>33.659016014337737</v>
      </c>
      <c r="BL49" s="195">
        <f t="shared" si="124"/>
        <v>14.060585088743771</v>
      </c>
      <c r="BM49" s="195">
        <f t="shared" si="124"/>
        <v>8.7385758889632967</v>
      </c>
      <c r="BN49" s="195">
        <f t="shared" si="124"/>
        <v>6.7953546767105966</v>
      </c>
      <c r="BO49" s="195">
        <f t="shared" si="124"/>
        <v>3.7815331863825907</v>
      </c>
      <c r="BP49" s="195">
        <f t="shared" si="124"/>
        <v>4.4828327643261501</v>
      </c>
      <c r="BQ49" s="195">
        <f t="shared" si="124"/>
        <v>6.9953973026285921</v>
      </c>
      <c r="BR49" s="195">
        <f t="shared" si="124"/>
        <v>6.7505441717331083</v>
      </c>
      <c r="BS49" s="195">
        <f t="shared" si="124"/>
        <v>6.589089375016477</v>
      </c>
      <c r="BT49" s="195">
        <f t="shared" si="124"/>
        <v>2.5136877865365115</v>
      </c>
      <c r="BU49" s="195">
        <f t="shared" si="124"/>
        <v>16.63710692582714</v>
      </c>
      <c r="BV49" s="195">
        <f t="shared" si="124"/>
        <v>10.819020953944115</v>
      </c>
      <c r="BW49" s="195">
        <f t="shared" si="124"/>
        <v>4.5924939482379745</v>
      </c>
      <c r="BX49" s="195">
        <f t="shared" si="124"/>
        <v>5.2937046710733737</v>
      </c>
      <c r="BY49" s="195">
        <f t="shared" si="124"/>
        <v>8.9171038765471842</v>
      </c>
      <c r="BZ49" s="195">
        <f t="shared" si="124"/>
        <v>5.8875103434143261</v>
      </c>
      <c r="CA49" s="195">
        <f t="shared" si="124"/>
        <v>3.4070865833104813</v>
      </c>
      <c r="CB49" s="195">
        <f t="shared" si="124"/>
        <v>4.4622805105705599</v>
      </c>
      <c r="CC49" s="195">
        <f t="shared" si="124"/>
        <v>3.3060287741069505</v>
      </c>
      <c r="CD49" s="195">
        <f t="shared" si="124"/>
        <v>6.4331657629574268</v>
      </c>
      <c r="CE49" s="195">
        <f t="shared" si="124"/>
        <v>4.3775717512143375</v>
      </c>
      <c r="CF49" s="195">
        <f t="shared" si="124"/>
        <v>1.9908745818175255</v>
      </c>
      <c r="CG49" s="195">
        <f t="shared" si="124"/>
        <v>2.4677699977137868</v>
      </c>
      <c r="CH49" s="195">
        <f t="shared" si="124"/>
        <v>2.6874228308982895</v>
      </c>
      <c r="CI49" s="195">
        <f t="shared" si="124"/>
        <v>3.9759963467898007</v>
      </c>
      <c r="CJ49" s="195">
        <f t="shared" si="124"/>
        <v>2.7229726020362</v>
      </c>
      <c r="CK49" s="195">
        <f t="shared" si="124"/>
        <v>4.3285699755022389</v>
      </c>
      <c r="CL49" s="195">
        <f t="shared" si="124"/>
        <v>2.5247826611430435</v>
      </c>
      <c r="CM49" s="195">
        <f t="shared" si="124"/>
        <v>2.8497517890529345</v>
      </c>
      <c r="CN49" s="195">
        <f t="shared" si="124"/>
        <v>0.79185608998919577</v>
      </c>
      <c r="CO49" s="195">
        <f t="shared" si="124"/>
        <v>3.4839716779595964</v>
      </c>
      <c r="CP49" s="195">
        <f t="shared" si="124"/>
        <v>3.1651997800421494</v>
      </c>
      <c r="CQ49" s="195">
        <f t="shared" si="124"/>
        <v>6.380698144175545</v>
      </c>
      <c r="CR49" s="195">
        <f t="shared" si="124"/>
        <v>15.564670030747685</v>
      </c>
      <c r="CS49" s="195">
        <f t="shared" si="124"/>
        <v>6.6757803060097709</v>
      </c>
      <c r="CT49" s="195">
        <f t="shared" si="124"/>
        <v>2.6835904098788443</v>
      </c>
      <c r="CU49" s="195">
        <f t="shared" si="124"/>
        <v>1.9434915581241663</v>
      </c>
      <c r="CV49" s="195">
        <f t="shared" si="124"/>
        <v>0.72964747142887365</v>
      </c>
      <c r="CW49" s="195">
        <f t="shared" si="124"/>
        <v>12.310997604065177</v>
      </c>
      <c r="CX49" s="195">
        <f t="shared" si="124"/>
        <v>8.0493538668124476</v>
      </c>
      <c r="CY49" s="195">
        <f t="shared" si="124"/>
        <v>4.1622514343538475</v>
      </c>
      <c r="CZ49" s="195">
        <f t="shared" ref="CZ49:DC49" ca="1" si="125">(CZ14/CY14-1)*100</f>
        <v>1.2787229254120236</v>
      </c>
      <c r="DA49" s="195">
        <f t="shared" ca="1" si="125"/>
        <v>2.0189329974904302</v>
      </c>
      <c r="DB49" s="195">
        <f t="shared" ca="1" si="125"/>
        <v>2.7276511882898147</v>
      </c>
      <c r="DC49" s="195">
        <f t="shared" ca="1" si="125"/>
        <v>2.7951406115654276</v>
      </c>
    </row>
    <row r="50" spans="1:107">
      <c r="B50" s="17" t="s">
        <v>1050</v>
      </c>
      <c r="C50" s="23"/>
      <c r="D50" s="15"/>
      <c r="E50" s="15"/>
      <c r="F50" s="15"/>
      <c r="G50" s="15"/>
      <c r="H50" s="15"/>
      <c r="I50" s="15"/>
      <c r="J50" s="15"/>
      <c r="K50" s="15"/>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54">
        <f t="shared" ref="BA50:CY50" si="126">(BA8/AZ8-1)*100</f>
        <v>8.632206041641588</v>
      </c>
      <c r="BB50" s="54">
        <f t="shared" si="126"/>
        <v>11.17019803351338</v>
      </c>
      <c r="BC50" s="54">
        <f t="shared" si="126"/>
        <v>7.4468085106383031</v>
      </c>
      <c r="BD50" s="54">
        <f t="shared" si="126"/>
        <v>5.662346094094195</v>
      </c>
      <c r="BE50" s="54">
        <f t="shared" si="126"/>
        <v>5.3084333647874571</v>
      </c>
      <c r="BF50" s="54">
        <f t="shared" si="126"/>
        <v>7.689422355588893</v>
      </c>
      <c r="BG50" s="54">
        <f t="shared" si="126"/>
        <v>9.4024536553272142</v>
      </c>
      <c r="BH50" s="54">
        <f t="shared" si="126"/>
        <v>5.6989228292976257</v>
      </c>
      <c r="BI50" s="54">
        <f t="shared" si="126"/>
        <v>9.8428688565739044</v>
      </c>
      <c r="BJ50" s="54">
        <f t="shared" si="126"/>
        <v>14.687466674791661</v>
      </c>
      <c r="BK50" s="54">
        <f t="shared" si="126"/>
        <v>38.855237639807669</v>
      </c>
      <c r="BL50" s="54">
        <f t="shared" si="126"/>
        <v>16.086785991026751</v>
      </c>
      <c r="BM50" s="54">
        <f t="shared" si="126"/>
        <v>9.5798070029419193</v>
      </c>
      <c r="BN50" s="54">
        <f t="shared" si="126"/>
        <v>6.7411674462676929</v>
      </c>
      <c r="BO50" s="54">
        <f t="shared" si="126"/>
        <v>5.4023587763671443</v>
      </c>
      <c r="BP50" s="54">
        <f t="shared" si="126"/>
        <v>5.9108591901394503</v>
      </c>
      <c r="BQ50" s="54">
        <f t="shared" si="126"/>
        <v>8.4317351324400889</v>
      </c>
      <c r="BR50" s="54">
        <f t="shared" si="126"/>
        <v>6.9699491877608155</v>
      </c>
      <c r="BS50" s="54">
        <f t="shared" si="126"/>
        <v>6.3030514081748201</v>
      </c>
      <c r="BT50" s="54">
        <f t="shared" si="126"/>
        <v>2.5546660660906717</v>
      </c>
      <c r="BU50" s="54">
        <f t="shared" si="126"/>
        <v>14.056219895379019</v>
      </c>
      <c r="BV50" s="54">
        <f t="shared" si="126"/>
        <v>9.5582366787434268</v>
      </c>
      <c r="BW50" s="54">
        <f t="shared" si="126"/>
        <v>3.2416107626362267</v>
      </c>
      <c r="BX50" s="54">
        <f t="shared" si="126"/>
        <v>5.905580690871215</v>
      </c>
      <c r="BY50" s="54">
        <f t="shared" si="126"/>
        <v>7.6125268993212147</v>
      </c>
      <c r="BZ50" s="54">
        <f t="shared" si="126"/>
        <v>3.9048372409383525</v>
      </c>
      <c r="CA50" s="54">
        <f t="shared" si="126"/>
        <v>4.5178761411133639</v>
      </c>
      <c r="CB50" s="54">
        <f t="shared" si="126"/>
        <v>4.6253509698335415</v>
      </c>
      <c r="CC50" s="54">
        <f t="shared" si="126"/>
        <v>3.8187940115860464</v>
      </c>
      <c r="CD50" s="54">
        <f t="shared" si="126"/>
        <v>5.263960632527076</v>
      </c>
      <c r="CE50" s="54">
        <f t="shared" si="126"/>
        <v>5.4436051581931544</v>
      </c>
      <c r="CF50" s="54">
        <f t="shared" si="126"/>
        <v>2.3676493846237712</v>
      </c>
      <c r="CG50" s="54">
        <f t="shared" si="126"/>
        <v>0.82465662523967254</v>
      </c>
      <c r="CH50" s="54">
        <f t="shared" si="126"/>
        <v>2.6330927661541326</v>
      </c>
      <c r="CI50" s="54">
        <f t="shared" si="126"/>
        <v>4.4357256669008249</v>
      </c>
      <c r="CJ50" s="54">
        <f t="shared" si="126"/>
        <v>1.8587177636327779</v>
      </c>
      <c r="CK50" s="54">
        <f t="shared" si="126"/>
        <v>4.1500334772895275</v>
      </c>
      <c r="CL50" s="54">
        <f t="shared" si="126"/>
        <v>2.1660849202491894</v>
      </c>
      <c r="CM50" s="54">
        <f t="shared" si="126"/>
        <v>3.8054771712453972</v>
      </c>
      <c r="CN50" s="54">
        <f t="shared" si="126"/>
        <v>0.30850053326223481</v>
      </c>
      <c r="CO50" s="54">
        <f t="shared" si="126"/>
        <v>3.1284718977457882</v>
      </c>
      <c r="CP50" s="54">
        <f t="shared" si="126"/>
        <v>3.0289361873502507</v>
      </c>
      <c r="CQ50" s="54">
        <f t="shared" si="126"/>
        <v>4.5937473126265393</v>
      </c>
      <c r="CR50" s="54">
        <f t="shared" si="126"/>
        <v>15.834074550224631</v>
      </c>
      <c r="CS50" s="54">
        <f t="shared" si="126"/>
        <v>6.9005457393453096</v>
      </c>
      <c r="CT50" s="54">
        <f t="shared" si="126"/>
        <v>2.7420929604372812</v>
      </c>
      <c r="CU50" s="54">
        <f t="shared" si="126"/>
        <v>1.1268433112037846</v>
      </c>
      <c r="CV50" s="54">
        <f t="shared" si="126"/>
        <v>0.43717466071762079</v>
      </c>
      <c r="CW50" s="54">
        <f t="shared" si="126"/>
        <v>13.117297786621386</v>
      </c>
      <c r="CX50" s="54">
        <f t="shared" si="126"/>
        <v>7.7277683957807985</v>
      </c>
      <c r="CY50" s="54">
        <f t="shared" si="126"/>
        <v>2.2585085679023953</v>
      </c>
      <c r="CZ50" s="54">
        <f t="shared" ref="CZ50:CZ55" ca="1" si="127">(CZ8/CY8-1)*100</f>
        <v>-0.14363985123270195</v>
      </c>
      <c r="DA50" s="54">
        <f t="shared" ref="DA50:DA55" ca="1" si="128">(DA8/CZ8-1)*100</f>
        <v>2.2451596635947091</v>
      </c>
      <c r="DB50" s="54">
        <f t="shared" ref="DB50:DB55" ca="1" si="129">(DB8/DA8-1)*100</f>
        <v>3.1012563058655296</v>
      </c>
      <c r="DC50" s="54">
        <f t="shared" ref="DC50:DC55" ca="1" si="130">(DC8/DB8-1)*100</f>
        <v>3.1549883077886642</v>
      </c>
    </row>
    <row r="51" spans="1:107">
      <c r="B51" s="17" t="s">
        <v>1124</v>
      </c>
      <c r="C51" s="23"/>
      <c r="D51" s="15"/>
      <c r="E51" s="15"/>
      <c r="F51" s="15"/>
      <c r="G51" s="15"/>
      <c r="H51" s="15"/>
      <c r="I51" s="15"/>
      <c r="J51" s="15"/>
      <c r="K51" s="15"/>
      <c r="L51" s="23"/>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c r="AZ51" s="23"/>
      <c r="BA51" s="54">
        <f t="shared" ref="BA51:CY51" si="131">(BA9/AZ9-1)*100</f>
        <v>5.5877305877305883</v>
      </c>
      <c r="BB51" s="54">
        <f t="shared" si="131"/>
        <v>6.9273743016759592</v>
      </c>
      <c r="BC51" s="54">
        <f t="shared" si="131"/>
        <v>6.2125961812482089</v>
      </c>
      <c r="BD51" s="54">
        <f t="shared" si="131"/>
        <v>5.5719524192827219</v>
      </c>
      <c r="BE51" s="54">
        <f t="shared" si="131"/>
        <v>7.1162317858353141</v>
      </c>
      <c r="BF51" s="54">
        <f t="shared" si="131"/>
        <v>9.6330275229357767</v>
      </c>
      <c r="BG51" s="54">
        <f t="shared" si="131"/>
        <v>11.823690665127673</v>
      </c>
      <c r="BH51" s="54">
        <f t="shared" si="131"/>
        <v>7.8640087736274955</v>
      </c>
      <c r="BI51" s="54">
        <f t="shared" si="131"/>
        <v>5.5801435406698463</v>
      </c>
      <c r="BJ51" s="54">
        <f t="shared" si="131"/>
        <v>6.4861496629468052</v>
      </c>
      <c r="BK51" s="54">
        <f t="shared" si="131"/>
        <v>9.1286307053942028</v>
      </c>
      <c r="BL51" s="54">
        <f t="shared" si="131"/>
        <v>7.9652919957102553</v>
      </c>
      <c r="BM51" s="54">
        <f t="shared" si="131"/>
        <v>5.6167599783276234</v>
      </c>
      <c r="BN51" s="54">
        <f t="shared" si="131"/>
        <v>4.1253419972640204</v>
      </c>
      <c r="BO51" s="54">
        <f t="shared" si="131"/>
        <v>4.9185039208441195</v>
      </c>
      <c r="BP51" s="54">
        <f t="shared" si="131"/>
        <v>-1.4009000195656429</v>
      </c>
      <c r="BQ51" s="54">
        <f t="shared" si="131"/>
        <v>2.7781085049807475</v>
      </c>
      <c r="BR51" s="54">
        <f t="shared" si="131"/>
        <v>5.166621616403444</v>
      </c>
      <c r="BS51" s="54">
        <f t="shared" si="131"/>
        <v>4.0132182852946618</v>
      </c>
      <c r="BT51" s="54">
        <f t="shared" si="131"/>
        <v>3.1911889296808882</v>
      </c>
      <c r="BU51" s="54">
        <f t="shared" si="131"/>
        <v>36.18409619613476</v>
      </c>
      <c r="BV51" s="54">
        <f t="shared" si="131"/>
        <v>18.225733719493075</v>
      </c>
      <c r="BW51" s="54">
        <f t="shared" si="131"/>
        <v>6.5214317099223873</v>
      </c>
      <c r="BX51" s="54">
        <f t="shared" si="131"/>
        <v>4.2267756458152839</v>
      </c>
      <c r="BY51" s="54">
        <f t="shared" si="131"/>
        <v>9.1749627762982335</v>
      </c>
      <c r="BZ51" s="54">
        <f t="shared" si="131"/>
        <v>0.81767630920590584</v>
      </c>
      <c r="CA51" s="54">
        <f t="shared" si="131"/>
        <v>6.0960319115121786</v>
      </c>
      <c r="CB51" s="54">
        <f t="shared" si="131"/>
        <v>3.0531181469018343</v>
      </c>
      <c r="CC51" s="54">
        <f t="shared" si="131"/>
        <v>3.4206383283240216</v>
      </c>
      <c r="CD51" s="54">
        <f t="shared" si="131"/>
        <v>8.6831503521235263</v>
      </c>
      <c r="CE51" s="54">
        <f t="shared" si="131"/>
        <v>3.9954160241083336</v>
      </c>
      <c r="CF51" s="54">
        <f t="shared" si="131"/>
        <v>3.3820828515066959</v>
      </c>
      <c r="CG51" s="54">
        <f t="shared" si="131"/>
        <v>3.1082628205971741</v>
      </c>
      <c r="CH51" s="54">
        <f t="shared" si="131"/>
        <v>4.2078797238140453</v>
      </c>
      <c r="CI51" s="54">
        <f t="shared" si="131"/>
        <v>2.7176974892835215</v>
      </c>
      <c r="CJ51" s="54">
        <f t="shared" si="131"/>
        <v>3.7642036986252458</v>
      </c>
      <c r="CK51" s="54">
        <f t="shared" si="131"/>
        <v>4.5308298669362923</v>
      </c>
      <c r="CL51" s="54">
        <f t="shared" si="131"/>
        <v>5.1435104266288612</v>
      </c>
      <c r="CM51" s="54">
        <f t="shared" si="131"/>
        <v>3.1981850117096089</v>
      </c>
      <c r="CN51" s="54">
        <f t="shared" si="131"/>
        <v>2.9896562553821004</v>
      </c>
      <c r="CO51" s="54">
        <f t="shared" si="131"/>
        <v>2.9540223100985585</v>
      </c>
      <c r="CP51" s="54">
        <f t="shared" si="131"/>
        <v>5.6439361366698249</v>
      </c>
      <c r="CQ51" s="54">
        <f t="shared" si="131"/>
        <v>7.5555314376672955</v>
      </c>
      <c r="CR51" s="54">
        <f t="shared" si="131"/>
        <v>6.9650695413800756</v>
      </c>
      <c r="CS51" s="54">
        <f t="shared" si="131"/>
        <v>6.6947053968004377</v>
      </c>
      <c r="CT51" s="54">
        <f t="shared" si="131"/>
        <v>-0.20777919408198064</v>
      </c>
      <c r="CU51" s="54">
        <f t="shared" si="131"/>
        <v>7.7222956460103909</v>
      </c>
      <c r="CV51" s="54">
        <f t="shared" si="131"/>
        <v>1.4818571878983944</v>
      </c>
      <c r="CW51" s="54">
        <f t="shared" si="131"/>
        <v>11.90328245305956</v>
      </c>
      <c r="CX51" s="54">
        <f t="shared" si="131"/>
        <v>8.3653219381473178</v>
      </c>
      <c r="CY51" s="54">
        <f t="shared" si="131"/>
        <v>4.645657888874033</v>
      </c>
      <c r="CZ51" s="54">
        <f t="shared" si="127"/>
        <v>8.587839858138647</v>
      </c>
      <c r="DA51" s="54">
        <f t="shared" si="128"/>
        <v>2.3392250339761</v>
      </c>
      <c r="DB51" s="54">
        <f t="shared" si="129"/>
        <v>2.9173577450049226</v>
      </c>
      <c r="DC51" s="54">
        <f t="shared" si="130"/>
        <v>3.0435481655745056</v>
      </c>
    </row>
    <row r="52" spans="1:107">
      <c r="B52" s="17" t="s">
        <v>1228</v>
      </c>
      <c r="C52" s="23"/>
      <c r="D52" s="15"/>
      <c r="E52" s="15"/>
      <c r="F52" s="15"/>
      <c r="G52" s="15"/>
      <c r="H52" s="15"/>
      <c r="I52" s="15"/>
      <c r="J52" s="15"/>
      <c r="K52" s="15"/>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23"/>
      <c r="AU52" s="23"/>
      <c r="AV52" s="23"/>
      <c r="AW52" s="23"/>
      <c r="AX52" s="23"/>
      <c r="AY52" s="23"/>
      <c r="AZ52" s="23"/>
      <c r="BA52" s="54">
        <f t="shared" ref="BA52:CY52" si="132">(BA10/AZ10-1)*100</f>
        <v>4.1903621670158486</v>
      </c>
      <c r="BB52" s="54">
        <f t="shared" si="132"/>
        <v>4.1654696926170631</v>
      </c>
      <c r="BC52" s="54">
        <f t="shared" si="132"/>
        <v>3.6955322669608437</v>
      </c>
      <c r="BD52" s="54">
        <f t="shared" si="132"/>
        <v>4.6010638297872442</v>
      </c>
      <c r="BE52" s="54">
        <f t="shared" si="132"/>
        <v>2.8731248410882371</v>
      </c>
      <c r="BF52" s="54">
        <f t="shared" si="132"/>
        <v>0.49431537320809849</v>
      </c>
      <c r="BG52" s="54">
        <f t="shared" si="132"/>
        <v>2.1151008362026547</v>
      </c>
      <c r="BH52" s="54">
        <f t="shared" si="132"/>
        <v>-1.2764932562620457</v>
      </c>
      <c r="BI52" s="54">
        <f t="shared" si="132"/>
        <v>4.5376921200292797</v>
      </c>
      <c r="BJ52" s="54">
        <f t="shared" si="132"/>
        <v>12.718786464410737</v>
      </c>
      <c r="BK52" s="54">
        <f t="shared" si="132"/>
        <v>30.538302277432706</v>
      </c>
      <c r="BL52" s="54">
        <f t="shared" si="132"/>
        <v>3.0927835051546504</v>
      </c>
      <c r="BM52" s="54">
        <f t="shared" si="132"/>
        <v>5.1230769230769191</v>
      </c>
      <c r="BN52" s="54">
        <f t="shared" si="132"/>
        <v>1.9757061320064384</v>
      </c>
      <c r="BO52" s="54">
        <f t="shared" si="132"/>
        <v>6.7594718714121704</v>
      </c>
      <c r="BP52" s="54">
        <f t="shared" si="132"/>
        <v>-0.8334453555585486</v>
      </c>
      <c r="BQ52" s="54">
        <f t="shared" si="132"/>
        <v>-0.12200081333875179</v>
      </c>
      <c r="BR52" s="54">
        <f t="shared" si="132"/>
        <v>-4.7231270358306325</v>
      </c>
      <c r="BS52" s="54">
        <f t="shared" si="132"/>
        <v>6.4957264957264949</v>
      </c>
      <c r="BT52" s="54">
        <f t="shared" si="132"/>
        <v>-2.3542001070090968</v>
      </c>
      <c r="BU52" s="54">
        <f t="shared" si="132"/>
        <v>-0.39852580755972422</v>
      </c>
      <c r="BV52" s="54">
        <f t="shared" si="132"/>
        <v>6.8703327835387684</v>
      </c>
      <c r="BW52" s="54">
        <f t="shared" si="132"/>
        <v>3.8464692608567219</v>
      </c>
      <c r="BX52" s="54">
        <f t="shared" si="132"/>
        <v>4.675005879712435</v>
      </c>
      <c r="BY52" s="54">
        <f t="shared" si="132"/>
        <v>78.873328532980835</v>
      </c>
      <c r="BZ52" s="54">
        <f t="shared" si="132"/>
        <v>57.660034825078377</v>
      </c>
      <c r="CA52" s="54">
        <f t="shared" si="132"/>
        <v>-15.434725290756358</v>
      </c>
      <c r="CB52" s="54">
        <f t="shared" si="132"/>
        <v>8.0534994406229021</v>
      </c>
      <c r="CC52" s="54">
        <f t="shared" si="132"/>
        <v>-6.7123035927593611</v>
      </c>
      <c r="CD52" s="54">
        <f t="shared" si="132"/>
        <v>14.410243782319633</v>
      </c>
      <c r="CE52" s="54">
        <f t="shared" si="132"/>
        <v>-1.8251474323102923</v>
      </c>
      <c r="CF52" s="54">
        <f t="shared" si="132"/>
        <v>1.372385671065901</v>
      </c>
      <c r="CG52" s="54">
        <f t="shared" si="132"/>
        <v>7.2275086505190433</v>
      </c>
      <c r="CH52" s="54">
        <f t="shared" si="132"/>
        <v>-1.5247468839498346</v>
      </c>
      <c r="CI52" s="54">
        <f t="shared" si="132"/>
        <v>2.7157661901445973</v>
      </c>
      <c r="CJ52" s="54">
        <f t="shared" si="132"/>
        <v>1.2282660711437243</v>
      </c>
      <c r="CK52" s="54">
        <f t="shared" si="132"/>
        <v>9.7384179010400196</v>
      </c>
      <c r="CL52" s="54">
        <f t="shared" si="132"/>
        <v>-0.35539919586445867</v>
      </c>
      <c r="CM52" s="54">
        <f t="shared" si="132"/>
        <v>-12.476132146845842</v>
      </c>
      <c r="CN52" s="54">
        <f t="shared" si="132"/>
        <v>-1.8070305425207711</v>
      </c>
      <c r="CO52" s="54">
        <f t="shared" si="132"/>
        <v>-1.6306853909033747</v>
      </c>
      <c r="CP52" s="54">
        <f t="shared" si="132"/>
        <v>-4.8538310747464504</v>
      </c>
      <c r="CQ52" s="54">
        <f t="shared" si="132"/>
        <v>25.587853271823356</v>
      </c>
      <c r="CR52" s="54">
        <f t="shared" si="132"/>
        <v>59.543509272467922</v>
      </c>
      <c r="CS52" s="54">
        <f t="shared" si="132"/>
        <v>1.1333154506437682</v>
      </c>
      <c r="CT52" s="54">
        <f t="shared" si="132"/>
        <v>22.288530822447683</v>
      </c>
      <c r="CU52" s="54">
        <f t="shared" si="132"/>
        <v>-2.4165416523578176</v>
      </c>
      <c r="CV52" s="54">
        <f t="shared" si="132"/>
        <v>1.1465086127060653</v>
      </c>
      <c r="CW52" s="54">
        <f t="shared" si="132"/>
        <v>6.5630207474958402</v>
      </c>
      <c r="CX52" s="54">
        <f t="shared" si="132"/>
        <v>8.738164384032455</v>
      </c>
      <c r="CY52" s="54">
        <f t="shared" si="132"/>
        <v>9.1832864502670688</v>
      </c>
      <c r="CZ52" s="54">
        <f t="shared" si="127"/>
        <v>0</v>
      </c>
      <c r="DA52" s="54">
        <f t="shared" si="128"/>
        <v>0</v>
      </c>
      <c r="DB52" s="54">
        <f t="shared" si="129"/>
        <v>0</v>
      </c>
      <c r="DC52" s="54">
        <f t="shared" si="130"/>
        <v>0</v>
      </c>
    </row>
    <row r="53" spans="1:107">
      <c r="B53" s="17" t="s">
        <v>1222</v>
      </c>
      <c r="C53" s="23"/>
      <c r="D53" s="15"/>
      <c r="E53" s="15"/>
      <c r="F53" s="15"/>
      <c r="G53" s="15"/>
      <c r="H53" s="15"/>
      <c r="I53" s="15"/>
      <c r="J53" s="15"/>
      <c r="K53" s="15"/>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c r="AX53" s="23"/>
      <c r="AY53" s="23"/>
      <c r="AZ53" s="23"/>
      <c r="BA53" s="804" t="s">
        <v>1045</v>
      </c>
      <c r="BB53" s="804" t="s">
        <v>1045</v>
      </c>
      <c r="BC53" s="804" t="s">
        <v>1045</v>
      </c>
      <c r="BD53" s="54">
        <f t="shared" ref="BD53:CY53" si="133">(BD11/BC11-1)*100</f>
        <v>42.948717948717949</v>
      </c>
      <c r="BE53" s="54">
        <f t="shared" si="133"/>
        <v>-7.8475336322870071</v>
      </c>
      <c r="BF53" s="54">
        <f t="shared" si="133"/>
        <v>-24.087591240875906</v>
      </c>
      <c r="BG53" s="54">
        <f t="shared" si="133"/>
        <v>-32.371794871794876</v>
      </c>
      <c r="BH53" s="54">
        <f t="shared" si="133"/>
        <v>45.97156398104265</v>
      </c>
      <c r="BI53" s="54">
        <f t="shared" si="133"/>
        <v>5.5194805194805241</v>
      </c>
      <c r="BJ53" s="54">
        <f t="shared" si="133"/>
        <v>16.307692307692314</v>
      </c>
      <c r="BK53" s="54">
        <f t="shared" si="133"/>
        <v>-40.211640211640209</v>
      </c>
      <c r="BL53" s="54">
        <f t="shared" si="133"/>
        <v>60.176991150442461</v>
      </c>
      <c r="BM53" s="54">
        <f t="shared" si="133"/>
        <v>-45.856353591160214</v>
      </c>
      <c r="BN53" s="54">
        <f t="shared" si="133"/>
        <v>29.591836734693878</v>
      </c>
      <c r="BO53" s="54">
        <f t="shared" si="133"/>
        <v>-14.96062992125985</v>
      </c>
      <c r="BP53" s="54">
        <f t="shared" si="133"/>
        <v>22.222222222222232</v>
      </c>
      <c r="BQ53" s="54">
        <f t="shared" si="133"/>
        <v>-9.4696969696969724</v>
      </c>
      <c r="BR53" s="54">
        <f t="shared" si="133"/>
        <v>23.43096234309623</v>
      </c>
      <c r="BS53" s="54">
        <f t="shared" si="133"/>
        <v>-0.67796610169491567</v>
      </c>
      <c r="BT53" s="54">
        <f t="shared" si="133"/>
        <v>17.74744027303754</v>
      </c>
      <c r="BU53" s="54">
        <f t="shared" si="133"/>
        <v>58.50891701891949</v>
      </c>
      <c r="BV53" s="54">
        <f t="shared" si="133"/>
        <v>40.459816434518793</v>
      </c>
      <c r="BW53" s="54">
        <f t="shared" si="133"/>
        <v>-2.4783246074875698</v>
      </c>
      <c r="BX53" s="54">
        <f t="shared" si="133"/>
        <v>-19.633556665437091</v>
      </c>
      <c r="BY53" s="54">
        <f t="shared" si="133"/>
        <v>7.6022750230206215</v>
      </c>
      <c r="BZ53" s="54">
        <f t="shared" si="133"/>
        <v>22.360460122714642</v>
      </c>
      <c r="CA53" s="54">
        <f t="shared" si="133"/>
        <v>-13.512520642508029</v>
      </c>
      <c r="CB53" s="54">
        <f t="shared" si="133"/>
        <v>14.220793828870715</v>
      </c>
      <c r="CC53" s="54">
        <f t="shared" si="133"/>
        <v>-0.25542784163472554</v>
      </c>
      <c r="CD53" s="54">
        <f t="shared" si="133"/>
        <v>0.2560819462227748</v>
      </c>
      <c r="CE53" s="54">
        <f t="shared" si="133"/>
        <v>4.0868454661558085</v>
      </c>
      <c r="CF53" s="54">
        <f t="shared" si="133"/>
        <v>-28.834355828220847</v>
      </c>
      <c r="CG53" s="54">
        <f t="shared" si="133"/>
        <v>0.51724137931032921</v>
      </c>
      <c r="CH53" s="54">
        <f t="shared" si="133"/>
        <v>60.205831903945104</v>
      </c>
      <c r="CI53" s="54">
        <f t="shared" si="133"/>
        <v>159.42184154175592</v>
      </c>
      <c r="CJ53" s="54">
        <f t="shared" si="133"/>
        <v>10.193974411886098</v>
      </c>
      <c r="CK53" s="54">
        <f t="shared" si="133"/>
        <v>0.11235955056179137</v>
      </c>
      <c r="CL53" s="54">
        <f t="shared" si="133"/>
        <v>-4.0029928918817852</v>
      </c>
      <c r="CM53" s="54">
        <f t="shared" si="133"/>
        <v>-5.4169914263444969</v>
      </c>
      <c r="CN53" s="54">
        <f t="shared" si="133"/>
        <v>7.0869386073341589</v>
      </c>
      <c r="CO53" s="54">
        <f t="shared" si="133"/>
        <v>-24.817237398999627</v>
      </c>
      <c r="CP53" s="54">
        <f t="shared" si="133"/>
        <v>11.258955987717512</v>
      </c>
      <c r="CQ53" s="54">
        <f t="shared" si="133"/>
        <v>81.876724931002755</v>
      </c>
      <c r="CR53" s="54">
        <f t="shared" si="133"/>
        <v>33.029843196762762</v>
      </c>
      <c r="CS53" s="54">
        <f t="shared" si="133"/>
        <v>54.714828897338407</v>
      </c>
      <c r="CT53" s="54">
        <f t="shared" si="133"/>
        <v>-33.644630130253127</v>
      </c>
      <c r="CU53" s="54">
        <f t="shared" si="133"/>
        <v>-25.148148148148152</v>
      </c>
      <c r="CV53" s="54">
        <f t="shared" si="133"/>
        <v>5.1212271152894839</v>
      </c>
      <c r="CW53" s="54">
        <f t="shared" si="133"/>
        <v>-7.2722993645563783</v>
      </c>
      <c r="CX53" s="54">
        <f t="shared" si="133"/>
        <v>-10.380710659898472</v>
      </c>
      <c r="CY53" s="54">
        <f t="shared" si="133"/>
        <v>10.818465024072509</v>
      </c>
      <c r="CZ53" s="54">
        <f t="shared" si="127"/>
        <v>1.2777919754663802</v>
      </c>
      <c r="DA53" s="54">
        <f t="shared" si="128"/>
        <v>1.2616704516780208</v>
      </c>
      <c r="DB53" s="54">
        <f t="shared" si="129"/>
        <v>1.2459506603538673</v>
      </c>
      <c r="DC53" s="54">
        <f t="shared" si="130"/>
        <v>1.23061777012059</v>
      </c>
    </row>
    <row r="54" spans="1:107">
      <c r="B54" s="23" t="s">
        <v>1227</v>
      </c>
      <c r="C54" s="23"/>
      <c r="D54" s="15"/>
      <c r="E54" s="15"/>
      <c r="F54" s="15"/>
      <c r="G54" s="15"/>
      <c r="H54" s="15"/>
      <c r="I54" s="15"/>
      <c r="J54" s="15"/>
      <c r="K54" s="15"/>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54">
        <f t="shared" ref="AS54:BC54" si="134">(AS12/AR12-1)*100</f>
        <v>7.8662407169231896</v>
      </c>
      <c r="AT54" s="54">
        <f t="shared" si="134"/>
        <v>9.0772722027770314</v>
      </c>
      <c r="AU54" s="54">
        <f t="shared" si="134"/>
        <v>11.061744067139179</v>
      </c>
      <c r="AV54" s="54">
        <f t="shared" si="134"/>
        <v>9.4837439674879231</v>
      </c>
      <c r="AW54" s="54">
        <f t="shared" si="134"/>
        <v>8.0851434039961756</v>
      </c>
      <c r="AX54" s="54">
        <f t="shared" si="134"/>
        <v>7.474980547879051</v>
      </c>
      <c r="AY54" s="54">
        <f t="shared" si="134"/>
        <v>6.4008787477844109</v>
      </c>
      <c r="AZ54" s="54">
        <f t="shared" si="134"/>
        <v>7.6957368433401285</v>
      </c>
      <c r="BA54" s="54">
        <f t="shared" si="134"/>
        <v>7.6904642600379214</v>
      </c>
      <c r="BB54" s="54">
        <f t="shared" si="134"/>
        <v>9.8318868726102959</v>
      </c>
      <c r="BC54" s="54">
        <f t="shared" si="134"/>
        <v>7.5316350776371666</v>
      </c>
      <c r="BD54" s="54">
        <f t="shared" ref="BD54:CY54" si="135">(BD12/BC12-1)*100</f>
        <v>5.7759506680370221</v>
      </c>
      <c r="BE54" s="54">
        <f t="shared" si="135"/>
        <v>5.4038735587511377</v>
      </c>
      <c r="BF54" s="54">
        <f t="shared" si="135"/>
        <v>7.4190723470939801</v>
      </c>
      <c r="BG54" s="54">
        <f t="shared" si="135"/>
        <v>9.2722903973225801</v>
      </c>
      <c r="BH54" s="54">
        <f t="shared" si="135"/>
        <v>5.8703420112302451</v>
      </c>
      <c r="BI54" s="54">
        <f t="shared" si="135"/>
        <v>8.6764087728407944</v>
      </c>
      <c r="BJ54" s="54">
        <f t="shared" si="135"/>
        <v>12.950491445212942</v>
      </c>
      <c r="BK54" s="54">
        <f t="shared" si="135"/>
        <v>32.521553460639765</v>
      </c>
      <c r="BL54" s="54">
        <f t="shared" si="135"/>
        <v>14.273662770371942</v>
      </c>
      <c r="BM54" s="54">
        <f t="shared" si="135"/>
        <v>8.6699166661124103</v>
      </c>
      <c r="BN54" s="54">
        <f t="shared" si="135"/>
        <v>6.1948040025704421</v>
      </c>
      <c r="BO54" s="54">
        <f t="shared" si="135"/>
        <v>5.3591290766899169</v>
      </c>
      <c r="BP54" s="54">
        <f t="shared" si="135"/>
        <v>4.6336206896551824</v>
      </c>
      <c r="BQ54" s="54">
        <f t="shared" si="135"/>
        <v>7.3324376460501606</v>
      </c>
      <c r="BR54" s="54">
        <f t="shared" si="135"/>
        <v>6.342024129012791</v>
      </c>
      <c r="BS54" s="54">
        <f t="shared" si="135"/>
        <v>6.0141801093737124</v>
      </c>
      <c r="BT54" s="54">
        <f t="shared" si="135"/>
        <v>2.4932495193657811</v>
      </c>
      <c r="BU54" s="54">
        <f t="shared" si="135"/>
        <v>16.402653897384845</v>
      </c>
      <c r="BV54" s="54">
        <f t="shared" si="135"/>
        <v>10.798156067919873</v>
      </c>
      <c r="BW54" s="54">
        <f t="shared" si="135"/>
        <v>3.7471238822360364</v>
      </c>
      <c r="BX54" s="54">
        <f t="shared" si="135"/>
        <v>5.5488874817678058</v>
      </c>
      <c r="BY54" s="54">
        <f t="shared" si="135"/>
        <v>9.6526755947672793</v>
      </c>
      <c r="BZ54" s="54">
        <f t="shared" si="135"/>
        <v>5.6686663690703076</v>
      </c>
      <c r="CA54" s="54">
        <f t="shared" si="135"/>
        <v>3.4906005450601851</v>
      </c>
      <c r="CB54" s="54">
        <f t="shared" si="135"/>
        <v>4.5748136348362944</v>
      </c>
      <c r="CC54" s="54">
        <f t="shared" si="135"/>
        <v>3.2060360113770336</v>
      </c>
      <c r="CD54" s="54">
        <f t="shared" si="135"/>
        <v>6.1960494909078179</v>
      </c>
      <c r="CE54" s="54">
        <f t="shared" si="135"/>
        <v>4.8523069305640654</v>
      </c>
      <c r="CF54" s="54">
        <f t="shared" si="135"/>
        <v>2.4224047586500985</v>
      </c>
      <c r="CG54" s="54">
        <f t="shared" si="135"/>
        <v>1.4745552270677642</v>
      </c>
      <c r="CH54" s="54">
        <f t="shared" si="135"/>
        <v>2.7404576197555208</v>
      </c>
      <c r="CI54" s="54">
        <f t="shared" si="135"/>
        <v>4.3629719570336345</v>
      </c>
      <c r="CJ54" s="54">
        <f t="shared" si="135"/>
        <v>2.1638850685796962</v>
      </c>
      <c r="CK54" s="54">
        <f t="shared" si="135"/>
        <v>4.4487659699874449</v>
      </c>
      <c r="CL54" s="54">
        <f t="shared" si="135"/>
        <v>2.486771933857912</v>
      </c>
      <c r="CM54" s="54">
        <f t="shared" si="135"/>
        <v>2.8985310212155779</v>
      </c>
      <c r="CN54" s="54">
        <f t="shared" si="135"/>
        <v>0.68787035997173174</v>
      </c>
      <c r="CO54" s="54">
        <f t="shared" si="135"/>
        <v>2.7940300857695277</v>
      </c>
      <c r="CP54" s="54">
        <f t="shared" si="135"/>
        <v>3.1961524898235449</v>
      </c>
      <c r="CQ54" s="54">
        <f t="shared" si="135"/>
        <v>6.084694945733915</v>
      </c>
      <c r="CR54" s="54">
        <f t="shared" si="135"/>
        <v>16.182266584265225</v>
      </c>
      <c r="CS54" s="54">
        <f t="shared" si="135"/>
        <v>6.8595422873588108</v>
      </c>
      <c r="CT54" s="54">
        <f t="shared" si="135"/>
        <v>2.9626507594177287</v>
      </c>
      <c r="CU54" s="54">
        <f t="shared" si="135"/>
        <v>1.7600791784776915</v>
      </c>
      <c r="CV54" s="54">
        <f t="shared" si="135"/>
        <v>0.67208849426632078</v>
      </c>
      <c r="CW54" s="54">
        <f t="shared" si="135"/>
        <v>12.422421085436962</v>
      </c>
      <c r="CX54" s="54">
        <f t="shared" si="135"/>
        <v>7.8199253896844345</v>
      </c>
      <c r="CY54" s="54">
        <f t="shared" si="135"/>
        <v>3.0821839191282674</v>
      </c>
      <c r="CZ54" s="54">
        <f t="shared" ca="1" si="127"/>
        <v>1.3315084979239611</v>
      </c>
      <c r="DA54" s="54">
        <f t="shared" ca="1" si="128"/>
        <v>2.1222441062832109</v>
      </c>
      <c r="DB54" s="54">
        <f t="shared" ca="1" si="129"/>
        <v>2.8773539133706283</v>
      </c>
      <c r="DC54" s="54">
        <f t="shared" ca="1" si="130"/>
        <v>2.9460204354567754</v>
      </c>
    </row>
    <row r="55" spans="1:107">
      <c r="B55" s="23" t="s">
        <v>1226</v>
      </c>
      <c r="C55" s="23"/>
      <c r="D55" s="15"/>
      <c r="E55" s="15"/>
      <c r="F55" s="15"/>
      <c r="G55" s="15"/>
      <c r="H55" s="15"/>
      <c r="I55" s="15"/>
      <c r="J55" s="15"/>
      <c r="K55" s="26"/>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54">
        <f t="shared" ref="AS55:BC55" si="136">(AS13/AR13-1)*100</f>
        <v>82.807807807807805</v>
      </c>
      <c r="AT55" s="54">
        <f t="shared" si="136"/>
        <v>5.1334702258726939</v>
      </c>
      <c r="AU55" s="54">
        <f t="shared" si="136"/>
        <v>-35.234375000000007</v>
      </c>
      <c r="AV55" s="54">
        <f t="shared" si="136"/>
        <v>40.952955367913169</v>
      </c>
      <c r="AW55" s="54">
        <f t="shared" si="136"/>
        <v>-7.9161317928968744</v>
      </c>
      <c r="AX55" s="54">
        <f t="shared" si="136"/>
        <v>10.68773234200744</v>
      </c>
      <c r="AY55" s="54">
        <f t="shared" si="136"/>
        <v>-0.58774139378674484</v>
      </c>
      <c r="AZ55" s="54">
        <f t="shared" si="136"/>
        <v>17.525337837837853</v>
      </c>
      <c r="BA55" s="54">
        <f t="shared" si="136"/>
        <v>9.5220984549047927</v>
      </c>
      <c r="BB55" s="54">
        <f t="shared" si="136"/>
        <v>24.835958005249338</v>
      </c>
      <c r="BC55" s="54">
        <f t="shared" si="136"/>
        <v>-10.170827858081477</v>
      </c>
      <c r="BD55" s="54">
        <f t="shared" ref="BD55:CY55" si="137">(BD13/BC13-1)*100</f>
        <v>-8.8063194850789941</v>
      </c>
      <c r="BE55" s="54">
        <f t="shared" si="137"/>
        <v>10.972088546679505</v>
      </c>
      <c r="BF55" s="54">
        <f t="shared" si="137"/>
        <v>10.089621277825955</v>
      </c>
      <c r="BG55" s="54">
        <f t="shared" si="137"/>
        <v>-11.475840336134457</v>
      </c>
      <c r="BH55" s="54">
        <f t="shared" si="137"/>
        <v>25.274399288045114</v>
      </c>
      <c r="BI55" s="54">
        <f t="shared" si="137"/>
        <v>-6.8671560502012845</v>
      </c>
      <c r="BJ55" s="54">
        <f t="shared" si="137"/>
        <v>14.263920671243335</v>
      </c>
      <c r="BK55" s="54">
        <f t="shared" si="137"/>
        <v>58.789497107254121</v>
      </c>
      <c r="BL55" s="54">
        <f t="shared" si="137"/>
        <v>10.131726457399104</v>
      </c>
      <c r="BM55" s="54">
        <f t="shared" si="137"/>
        <v>10.052169487212105</v>
      </c>
      <c r="BN55" s="54">
        <f t="shared" si="137"/>
        <v>18.1408255289629</v>
      </c>
      <c r="BO55" s="54">
        <f t="shared" si="137"/>
        <v>-23.008416519866902</v>
      </c>
      <c r="BP55" s="54">
        <f t="shared" si="137"/>
        <v>0.97877208592855869</v>
      </c>
      <c r="BQ55" s="54">
        <f t="shared" si="137"/>
        <v>-1.1203423967774406</v>
      </c>
      <c r="BR55" s="54">
        <f t="shared" si="137"/>
        <v>17.428389560789292</v>
      </c>
      <c r="BS55" s="54">
        <f t="shared" si="137"/>
        <v>20.197311361665228</v>
      </c>
      <c r="BT55" s="54">
        <f t="shared" si="137"/>
        <v>2.9403806259583387</v>
      </c>
      <c r="BU55" s="54">
        <f t="shared" si="137"/>
        <v>21.510558135459569</v>
      </c>
      <c r="BV55" s="54">
        <f t="shared" si="137"/>
        <v>11.23449668301124</v>
      </c>
      <c r="BW55" s="54">
        <f t="shared" si="137"/>
        <v>21.360041488396231</v>
      </c>
      <c r="BX55" s="54">
        <f t="shared" si="137"/>
        <v>0.96682869504833846</v>
      </c>
      <c r="BY55" s="54">
        <f t="shared" si="137"/>
        <v>-4.121257009840229</v>
      </c>
      <c r="BZ55" s="54">
        <f t="shared" si="137"/>
        <v>10.323897809413452</v>
      </c>
      <c r="CA55" s="54">
        <f t="shared" si="137"/>
        <v>1.785535660698212</v>
      </c>
      <c r="CB55" s="54">
        <f t="shared" si="137"/>
        <v>2.2406761338509051</v>
      </c>
      <c r="CC55" s="54">
        <f t="shared" si="137"/>
        <v>5.3251309655404366</v>
      </c>
      <c r="CD55" s="54">
        <f t="shared" si="137"/>
        <v>11.124800365046772</v>
      </c>
      <c r="CE55" s="54">
        <f t="shared" si="137"/>
        <v>-4.5990227076746271</v>
      </c>
      <c r="CF55" s="54">
        <f t="shared" si="137"/>
        <v>-6.9771445788318287</v>
      </c>
      <c r="CG55" s="54">
        <f t="shared" si="137"/>
        <v>25.194336479733458</v>
      </c>
      <c r="CH55" s="54">
        <f t="shared" si="137"/>
        <v>1.7038104741841309</v>
      </c>
      <c r="CI55" s="54">
        <f t="shared" si="137"/>
        <v>-3.2742205102115118</v>
      </c>
      <c r="CJ55" s="54">
        <f t="shared" si="137"/>
        <v>14.024871322838806</v>
      </c>
      <c r="CK55" s="54">
        <f t="shared" si="137"/>
        <v>2.1515650741350756</v>
      </c>
      <c r="CL55" s="54">
        <f t="shared" si="137"/>
        <v>3.2287198013095431</v>
      </c>
      <c r="CM55" s="54">
        <f t="shared" si="137"/>
        <v>1.952880889888764</v>
      </c>
      <c r="CN55" s="54">
        <f t="shared" si="137"/>
        <v>2.7215054092984747</v>
      </c>
      <c r="CO55" s="54">
        <f t="shared" si="137"/>
        <v>16.033654563355924</v>
      </c>
      <c r="CP55" s="54">
        <f t="shared" si="137"/>
        <v>2.6664266796945224</v>
      </c>
      <c r="CQ55" s="54">
        <f t="shared" si="137"/>
        <v>11.175115207373288</v>
      </c>
      <c r="CR55" s="54">
        <f t="shared" si="137"/>
        <v>6.0193737328227082</v>
      </c>
      <c r="CS55" s="54">
        <f t="shared" si="137"/>
        <v>3.5633844715481588</v>
      </c>
      <c r="CT55" s="54">
        <f t="shared" si="137"/>
        <v>-2.1933154147602552</v>
      </c>
      <c r="CU55" s="54">
        <f t="shared" si="137"/>
        <v>5.3178099433606185</v>
      </c>
      <c r="CV55" s="54">
        <f t="shared" si="137"/>
        <v>1.7528134647943228</v>
      </c>
      <c r="CW55" s="54">
        <f t="shared" si="137"/>
        <v>10.351375159048647</v>
      </c>
      <c r="CX55" s="54">
        <f t="shared" si="137"/>
        <v>12.160076632430417</v>
      </c>
      <c r="CY55" s="54">
        <f t="shared" si="137"/>
        <v>22.765230594040631</v>
      </c>
      <c r="CZ55" s="54">
        <f t="shared" si="127"/>
        <v>0.51531782226688083</v>
      </c>
      <c r="DA55" s="54">
        <f t="shared" si="128"/>
        <v>0.51267591192230011</v>
      </c>
      <c r="DB55" s="54">
        <f t="shared" si="129"/>
        <v>0.51006095228378623</v>
      </c>
      <c r="DC55" s="54">
        <f t="shared" si="130"/>
        <v>0.50747253304916917</v>
      </c>
    </row>
    <row r="56" spans="1:107">
      <c r="B56" s="23"/>
      <c r="C56" s="23"/>
      <c r="D56" s="15"/>
      <c r="E56" s="15"/>
      <c r="F56" s="15"/>
      <c r="G56" s="15"/>
      <c r="H56" s="15"/>
      <c r="I56" s="15"/>
      <c r="J56" s="15"/>
      <c r="K56" s="15"/>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Q56" s="23"/>
      <c r="AR56" s="23"/>
      <c r="AS56" s="23"/>
      <c r="AT56" s="23"/>
      <c r="AU56" s="23"/>
      <c r="AV56" s="23"/>
      <c r="AW56" s="23"/>
      <c r="AX56" s="23"/>
      <c r="AY56" s="23"/>
      <c r="AZ56" s="23"/>
      <c r="BA56" s="23"/>
      <c r="BB56" s="23"/>
      <c r="BC56" s="23"/>
      <c r="BD56" s="23"/>
      <c r="BE56" s="23"/>
      <c r="BF56" s="23"/>
      <c r="BG56" s="23"/>
      <c r="BH56" s="23"/>
      <c r="BI56" s="23"/>
      <c r="BJ56" s="23"/>
      <c r="BK56" s="23"/>
      <c r="BL56" s="23"/>
      <c r="BM56" s="23"/>
      <c r="BN56" s="23"/>
      <c r="BO56" s="23"/>
      <c r="BP56" s="23"/>
      <c r="BQ56" s="23"/>
      <c r="BR56" s="23"/>
      <c r="BS56" s="23"/>
      <c r="BT56" s="23"/>
      <c r="BU56" s="23"/>
      <c r="BV56" s="23"/>
      <c r="BW56" s="23"/>
      <c r="BX56" s="23"/>
      <c r="BY56" s="23"/>
      <c r="BZ56" s="23"/>
      <c r="CA56" s="23"/>
      <c r="CB56" s="23"/>
      <c r="CC56" s="23"/>
      <c r="CD56" s="23"/>
      <c r="CE56" s="23"/>
      <c r="CF56" s="23"/>
      <c r="CG56" s="23"/>
      <c r="CH56" s="23"/>
      <c r="CI56" s="23"/>
      <c r="CJ56" s="23"/>
      <c r="CK56" s="23"/>
      <c r="CL56" s="23"/>
      <c r="CM56" s="23"/>
      <c r="CN56" s="23"/>
      <c r="CO56" s="23"/>
      <c r="CP56" s="23"/>
      <c r="CQ56" s="23"/>
      <c r="CR56" s="23"/>
      <c r="CS56" s="23"/>
      <c r="CT56" s="23"/>
      <c r="CU56" s="23"/>
      <c r="CV56" s="23"/>
      <c r="CW56" s="23"/>
      <c r="CX56" s="23"/>
      <c r="CY56" s="23"/>
      <c r="CZ56" s="23"/>
      <c r="DA56" s="23"/>
      <c r="DB56" s="23"/>
      <c r="DC56" s="23"/>
    </row>
    <row r="57" spans="1:107" collapsed="1">
      <c r="A57" s="1225" t="s">
        <v>604</v>
      </c>
      <c r="B57" s="146" t="s">
        <v>148</v>
      </c>
      <c r="C57" s="145"/>
      <c r="D57" s="145"/>
      <c r="E57" s="145"/>
      <c r="F57" s="145"/>
      <c r="G57" s="145"/>
      <c r="H57" s="145"/>
      <c r="I57" s="145"/>
      <c r="J57" s="145"/>
      <c r="K57" s="145"/>
      <c r="L57" s="145"/>
      <c r="M57" s="145"/>
      <c r="N57" s="145"/>
      <c r="O57" s="145"/>
      <c r="P57" s="157">
        <f t="shared" ref="P57:Z57" si="138">P6</f>
        <v>2011</v>
      </c>
      <c r="Q57" s="157">
        <f t="shared" si="138"/>
        <v>2012</v>
      </c>
      <c r="R57" s="157">
        <f t="shared" si="138"/>
        <v>2013</v>
      </c>
      <c r="S57" s="157">
        <f t="shared" si="138"/>
        <v>2014</v>
      </c>
      <c r="T57" s="157">
        <f t="shared" si="138"/>
        <v>2015</v>
      </c>
      <c r="U57" s="157">
        <f t="shared" si="138"/>
        <v>2016</v>
      </c>
      <c r="V57" s="157">
        <f>V6</f>
        <v>2017</v>
      </c>
      <c r="W57" s="157" t="str">
        <f>W6</f>
        <v>2018E</v>
      </c>
      <c r="X57" s="157" t="str">
        <f t="shared" si="138"/>
        <v>2019E</v>
      </c>
      <c r="Y57" s="157" t="str">
        <f t="shared" si="138"/>
        <v>2020E</v>
      </c>
      <c r="Z57" s="157" t="str">
        <f t="shared" si="138"/>
        <v>2021E</v>
      </c>
      <c r="AA57" s="157" t="str">
        <f t="shared" ref="AA57:AD57" si="139">AA6</f>
        <v>2022E</v>
      </c>
      <c r="AB57" s="157" t="str">
        <f t="shared" si="139"/>
        <v>2023E</v>
      </c>
      <c r="AC57" s="157" t="str">
        <f t="shared" si="139"/>
        <v>2024E</v>
      </c>
      <c r="AD57" s="157" t="str">
        <f t="shared" si="139"/>
        <v>2025E</v>
      </c>
      <c r="AE57" s="157"/>
      <c r="AF57" s="157" t="str">
        <f t="shared" ref="AF57:BK57" si="140">AF6</f>
        <v>1Q00</v>
      </c>
      <c r="AG57" s="157" t="str">
        <f t="shared" si="140"/>
        <v>2Q00</v>
      </c>
      <c r="AH57" s="157" t="str">
        <f t="shared" si="140"/>
        <v>3Q00</v>
      </c>
      <c r="AI57" s="157" t="str">
        <f t="shared" si="140"/>
        <v>4Q00</v>
      </c>
      <c r="AJ57" s="157" t="str">
        <f t="shared" si="140"/>
        <v>1Q01</v>
      </c>
      <c r="AK57" s="157" t="str">
        <f t="shared" si="140"/>
        <v>2Q01</v>
      </c>
      <c r="AL57" s="157" t="str">
        <f t="shared" si="140"/>
        <v>3Q01</v>
      </c>
      <c r="AM57" s="157" t="str">
        <f t="shared" si="140"/>
        <v>4Q01</v>
      </c>
      <c r="AN57" s="157" t="str">
        <f t="shared" si="140"/>
        <v>1Q02</v>
      </c>
      <c r="AO57" s="157" t="str">
        <f t="shared" si="140"/>
        <v>2Q02</v>
      </c>
      <c r="AP57" s="157" t="str">
        <f t="shared" si="140"/>
        <v>3Q02</v>
      </c>
      <c r="AQ57" s="157" t="str">
        <f t="shared" si="140"/>
        <v>4Q02</v>
      </c>
      <c r="AR57" s="157" t="str">
        <f t="shared" si="140"/>
        <v>1Q03</v>
      </c>
      <c r="AS57" s="157" t="str">
        <f t="shared" si="140"/>
        <v>2Q03</v>
      </c>
      <c r="AT57" s="157" t="str">
        <f t="shared" si="140"/>
        <v>3Q03</v>
      </c>
      <c r="AU57" s="157" t="str">
        <f t="shared" si="140"/>
        <v>4Q03</v>
      </c>
      <c r="AV57" s="157" t="str">
        <f t="shared" si="140"/>
        <v>1Q04</v>
      </c>
      <c r="AW57" s="157" t="str">
        <f t="shared" si="140"/>
        <v>2Q04</v>
      </c>
      <c r="AX57" s="157" t="str">
        <f t="shared" si="140"/>
        <v>3Q04</v>
      </c>
      <c r="AY57" s="157" t="str">
        <f t="shared" si="140"/>
        <v>4Q04</v>
      </c>
      <c r="AZ57" s="157" t="str">
        <f t="shared" si="140"/>
        <v>1Q05</v>
      </c>
      <c r="BA57" s="157" t="str">
        <f t="shared" si="140"/>
        <v>2Q05</v>
      </c>
      <c r="BB57" s="157" t="str">
        <f t="shared" si="140"/>
        <v>3Q05</v>
      </c>
      <c r="BC57" s="157" t="str">
        <f t="shared" si="140"/>
        <v>6Q05</v>
      </c>
      <c r="BD57" s="157" t="str">
        <f t="shared" si="140"/>
        <v>1Q06</v>
      </c>
      <c r="BE57" s="157" t="str">
        <f t="shared" si="140"/>
        <v>2Q06</v>
      </c>
      <c r="BF57" s="157" t="str">
        <f t="shared" si="140"/>
        <v>3Q06</v>
      </c>
      <c r="BG57" s="157" t="str">
        <f t="shared" si="140"/>
        <v>4Q06</v>
      </c>
      <c r="BH57" s="157" t="str">
        <f t="shared" si="140"/>
        <v>1Q07</v>
      </c>
      <c r="BI57" s="157" t="str">
        <f t="shared" si="140"/>
        <v>2Q07</v>
      </c>
      <c r="BJ57" s="157" t="str">
        <f t="shared" si="140"/>
        <v>3Q07</v>
      </c>
      <c r="BK57" s="157" t="str">
        <f t="shared" si="140"/>
        <v>4Q07</v>
      </c>
      <c r="BL57" s="157" t="str">
        <f t="shared" ref="BL57:CP57" si="141">BL6</f>
        <v>1Q08</v>
      </c>
      <c r="BM57" s="157" t="str">
        <f t="shared" si="141"/>
        <v>2Q08</v>
      </c>
      <c r="BN57" s="157" t="str">
        <f t="shared" si="141"/>
        <v>3Q08</v>
      </c>
      <c r="BO57" s="157" t="str">
        <f t="shared" si="141"/>
        <v>4Q08</v>
      </c>
      <c r="BP57" s="157" t="str">
        <f t="shared" si="141"/>
        <v>1Q09</v>
      </c>
      <c r="BQ57" s="157" t="str">
        <f t="shared" si="141"/>
        <v>2Q09</v>
      </c>
      <c r="BR57" s="157" t="str">
        <f t="shared" si="141"/>
        <v>3Q09</v>
      </c>
      <c r="BS57" s="157" t="str">
        <f t="shared" si="141"/>
        <v>4Q09</v>
      </c>
      <c r="BT57" s="157" t="str">
        <f t="shared" si="141"/>
        <v>1Q10</v>
      </c>
      <c r="BU57" s="157" t="str">
        <f t="shared" si="141"/>
        <v>2Q10</v>
      </c>
      <c r="BV57" s="157" t="str">
        <f t="shared" si="141"/>
        <v>3Q10</v>
      </c>
      <c r="BW57" s="157" t="str">
        <f t="shared" si="141"/>
        <v>4Q10</v>
      </c>
      <c r="BX57" s="157" t="str">
        <f t="shared" si="141"/>
        <v>1Q11</v>
      </c>
      <c r="BY57" s="157" t="str">
        <f t="shared" si="141"/>
        <v>2Q11</v>
      </c>
      <c r="BZ57" s="157" t="str">
        <f t="shared" si="141"/>
        <v>3Q11</v>
      </c>
      <c r="CA57" s="157" t="str">
        <f t="shared" si="141"/>
        <v>4Q11</v>
      </c>
      <c r="CB57" s="157" t="str">
        <f t="shared" si="141"/>
        <v>1Q12</v>
      </c>
      <c r="CC57" s="157" t="str">
        <f t="shared" si="141"/>
        <v>2Q12</v>
      </c>
      <c r="CD57" s="157" t="str">
        <f t="shared" si="141"/>
        <v>3Q12</v>
      </c>
      <c r="CE57" s="157" t="str">
        <f t="shared" si="141"/>
        <v>4Q12</v>
      </c>
      <c r="CF57" s="157" t="str">
        <f t="shared" si="141"/>
        <v>1Q13</v>
      </c>
      <c r="CG57" s="157" t="str">
        <f t="shared" si="141"/>
        <v>2Q13</v>
      </c>
      <c r="CH57" s="157" t="str">
        <f t="shared" si="141"/>
        <v>3Q13</v>
      </c>
      <c r="CI57" s="157" t="str">
        <f t="shared" si="141"/>
        <v>4Q13</v>
      </c>
      <c r="CJ57" s="157" t="str">
        <f t="shared" si="141"/>
        <v>1Q14</v>
      </c>
      <c r="CK57" s="157" t="str">
        <f t="shared" si="141"/>
        <v>2Q14</v>
      </c>
      <c r="CL57" s="157" t="str">
        <f t="shared" si="141"/>
        <v>3Q14</v>
      </c>
      <c r="CM57" s="157" t="str">
        <f t="shared" si="141"/>
        <v>4Q14</v>
      </c>
      <c r="CN57" s="157" t="str">
        <f t="shared" si="141"/>
        <v>1Q15</v>
      </c>
      <c r="CO57" s="157" t="str">
        <f t="shared" si="141"/>
        <v>2Q15</v>
      </c>
      <c r="CP57" s="157" t="str">
        <f t="shared" si="141"/>
        <v>3Q15</v>
      </c>
      <c r="CQ57" s="157" t="str">
        <f t="shared" ref="CQ57:CY57" si="142">CQ6</f>
        <v>4Q15</v>
      </c>
      <c r="CR57" s="157" t="str">
        <f t="shared" si="142"/>
        <v>1Q16</v>
      </c>
      <c r="CS57" s="157" t="str">
        <f t="shared" si="142"/>
        <v>2Q16</v>
      </c>
      <c r="CT57" s="157" t="str">
        <f t="shared" si="142"/>
        <v>3Q16</v>
      </c>
      <c r="CU57" s="157" t="str">
        <f t="shared" si="142"/>
        <v>4Q16</v>
      </c>
      <c r="CV57" s="157" t="str">
        <f>CV6</f>
        <v>1Q17</v>
      </c>
      <c r="CW57" s="157" t="str">
        <f>CW6</f>
        <v>2Q17</v>
      </c>
      <c r="CX57" s="157" t="str">
        <f t="shared" si="142"/>
        <v>3Q17</v>
      </c>
      <c r="CY57" s="157" t="str">
        <f t="shared" si="142"/>
        <v>4Q17</v>
      </c>
      <c r="CZ57" s="157" t="str">
        <f t="shared" ref="CZ57:DC57" si="143">CZ6</f>
        <v>1Q18E</v>
      </c>
      <c r="DA57" s="157" t="str">
        <f t="shared" si="143"/>
        <v>2Q18E</v>
      </c>
      <c r="DB57" s="157" t="str">
        <f t="shared" si="143"/>
        <v>3Q18E</v>
      </c>
      <c r="DC57" s="157" t="str">
        <f t="shared" si="143"/>
        <v>4Q18E</v>
      </c>
    </row>
    <row r="58" spans="1:107">
      <c r="B58" s="107" t="s">
        <v>589</v>
      </c>
      <c r="C58" s="23"/>
      <c r="D58" s="15"/>
      <c r="E58" s="15"/>
      <c r="F58" s="15"/>
      <c r="G58" s="15"/>
      <c r="H58" s="15"/>
      <c r="I58" s="15"/>
      <c r="J58" s="15"/>
      <c r="K58" s="15"/>
      <c r="L58" s="23"/>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c r="AP58" s="23"/>
      <c r="AQ58" s="23"/>
      <c r="AR58" s="23"/>
      <c r="AS58" s="23"/>
      <c r="AT58" s="23"/>
      <c r="AU58" s="23"/>
      <c r="AV58" s="23"/>
      <c r="AW58" s="23"/>
      <c r="AX58" s="23"/>
      <c r="AY58" s="23"/>
      <c r="AZ58" s="23"/>
      <c r="BA58" s="23"/>
      <c r="BB58" s="23"/>
      <c r="BC58" s="23"/>
      <c r="BD58" s="23"/>
      <c r="BE58" s="23"/>
      <c r="BF58" s="23"/>
      <c r="BG58" s="23"/>
      <c r="BH58" s="23"/>
      <c r="BI58" s="23"/>
      <c r="BJ58" s="23"/>
      <c r="BK58" s="23"/>
      <c r="BL58" s="23"/>
      <c r="BM58" s="23"/>
      <c r="BN58" s="23"/>
      <c r="BO58" s="23"/>
      <c r="BP58" s="23"/>
      <c r="BQ58" s="23"/>
      <c r="BR58" s="23"/>
      <c r="BS58" s="23"/>
      <c r="BT58" s="23"/>
      <c r="BU58" s="23"/>
      <c r="BV58" s="23"/>
      <c r="BW58" s="23"/>
      <c r="BX58" s="23"/>
      <c r="BY58" s="23"/>
      <c r="BZ58" s="23"/>
      <c r="CA58" s="23"/>
      <c r="CB58" s="23"/>
      <c r="CC58" s="23"/>
      <c r="CD58" s="23"/>
      <c r="CE58" s="23"/>
      <c r="CF58" s="23"/>
      <c r="CG58" s="23"/>
      <c r="CH58" s="23"/>
      <c r="CI58" s="23"/>
      <c r="CJ58" s="23"/>
      <c r="CK58" s="23"/>
      <c r="CL58" s="23"/>
      <c r="CM58" s="23"/>
      <c r="CN58" s="23"/>
      <c r="CO58" s="23"/>
      <c r="CP58" s="23"/>
      <c r="CQ58" s="23"/>
      <c r="CR58" s="23"/>
      <c r="CS58" s="23"/>
      <c r="CT58" s="23"/>
      <c r="CU58" s="23"/>
      <c r="CV58" s="23"/>
      <c r="CW58" s="23"/>
      <c r="CX58" s="23"/>
      <c r="CY58" s="23"/>
      <c r="CZ58" s="23"/>
      <c r="DA58" s="23"/>
      <c r="DB58" s="23"/>
      <c r="DC58" s="23"/>
    </row>
    <row r="59" spans="1:107" ht="12.75" customHeight="1">
      <c r="B59" s="23"/>
      <c r="C59" s="23"/>
      <c r="D59" s="15"/>
      <c r="E59" s="15"/>
      <c r="F59" s="15"/>
      <c r="G59" s="15"/>
      <c r="H59" s="15"/>
      <c r="I59" s="15"/>
      <c r="J59" s="15"/>
      <c r="K59" s="15"/>
      <c r="L59" s="15"/>
      <c r="M59" s="23"/>
      <c r="N59" s="23"/>
      <c r="O59" s="23"/>
      <c r="P59" s="23"/>
      <c r="Q59" s="23"/>
      <c r="R59" s="23"/>
      <c r="S59" s="23"/>
      <c r="T59" s="23"/>
      <c r="U59" s="23"/>
      <c r="V59" s="23"/>
      <c r="W59" s="23"/>
      <c r="X59" s="23"/>
      <c r="Y59" s="23"/>
      <c r="Z59" s="23"/>
      <c r="AA59" s="23"/>
      <c r="AB59" s="23"/>
      <c r="AC59" s="23"/>
      <c r="AD59" s="23"/>
      <c r="AE59" s="23"/>
      <c r="AF59" s="15"/>
      <c r="AG59" s="15"/>
      <c r="AH59" s="15"/>
      <c r="AI59" s="15"/>
      <c r="AJ59" s="15"/>
      <c r="AK59" s="15"/>
      <c r="AL59" s="15"/>
      <c r="AM59" s="15"/>
      <c r="AN59" s="15"/>
      <c r="AO59" s="15"/>
      <c r="AP59" s="15"/>
      <c r="AQ59" s="15"/>
      <c r="AR59" s="15"/>
      <c r="AS59" s="15"/>
      <c r="AT59" s="15"/>
      <c r="AU59" s="15"/>
      <c r="AV59" s="15"/>
      <c r="AW59" s="15"/>
      <c r="AX59" s="15"/>
      <c r="AY59" s="15"/>
      <c r="AZ59" s="15"/>
      <c r="BA59" s="15"/>
      <c r="BB59" s="15"/>
      <c r="BC59" s="15"/>
      <c r="BD59" s="15"/>
      <c r="BE59" s="15"/>
      <c r="BF59" s="15"/>
      <c r="BG59" s="15"/>
      <c r="BH59" s="15"/>
      <c r="BI59" s="15"/>
      <c r="BJ59" s="15"/>
      <c r="BK59" s="15"/>
      <c r="BL59" s="15"/>
      <c r="BM59" s="15"/>
      <c r="BN59" s="15"/>
      <c r="BO59" s="15"/>
      <c r="BP59" s="23"/>
      <c r="BQ59" s="23"/>
      <c r="BR59" s="23"/>
      <c r="BS59" s="23"/>
      <c r="BT59" s="23"/>
      <c r="BU59" s="23"/>
      <c r="BV59" s="23"/>
      <c r="BW59" s="23"/>
      <c r="BX59" s="23"/>
      <c r="BY59" s="23"/>
      <c r="BZ59" s="23"/>
      <c r="CA59" s="23"/>
      <c r="CB59" s="23"/>
      <c r="CC59" s="23"/>
      <c r="CD59" s="23"/>
      <c r="CE59" s="23"/>
      <c r="CF59" s="23"/>
      <c r="CG59" s="23"/>
      <c r="CH59" s="23"/>
      <c r="CI59" s="23"/>
      <c r="CJ59" s="23"/>
      <c r="CK59" s="23"/>
      <c r="CL59" s="23"/>
      <c r="CM59" s="23"/>
      <c r="CN59" s="23"/>
      <c r="CO59" s="23"/>
      <c r="CP59" s="23"/>
      <c r="CQ59" s="23"/>
      <c r="CR59" s="23"/>
      <c r="CS59" s="23"/>
      <c r="CT59" s="23"/>
      <c r="CU59" s="23"/>
      <c r="CV59" s="23"/>
      <c r="CW59" s="23"/>
      <c r="CX59" s="23"/>
      <c r="CY59" s="23"/>
      <c r="CZ59" s="23"/>
      <c r="DA59" s="23"/>
      <c r="DB59" s="23"/>
      <c r="DC59" s="23"/>
    </row>
    <row r="60" spans="1:107" hidden="1" outlineLevel="2">
      <c r="B60" s="1089" t="s">
        <v>149</v>
      </c>
      <c r="C60" s="16"/>
      <c r="D60" s="16"/>
      <c r="E60" s="16"/>
      <c r="F60" s="16"/>
      <c r="G60" s="16"/>
      <c r="H60" s="16"/>
      <c r="I60" s="16"/>
      <c r="J60" s="16"/>
      <c r="K60" s="16"/>
      <c r="L60" s="16"/>
      <c r="M60" s="16"/>
      <c r="N60" s="109"/>
      <c r="O60" s="109"/>
      <c r="P60" s="109"/>
      <c r="Q60" s="109"/>
      <c r="R60" s="109"/>
      <c r="S60" s="109"/>
      <c r="T60" s="109"/>
      <c r="U60" s="109"/>
      <c r="V60" s="109"/>
      <c r="W60" s="109"/>
      <c r="X60" s="109"/>
      <c r="Y60" s="109"/>
      <c r="Z60" s="109"/>
      <c r="AA60" s="109"/>
      <c r="AB60" s="109"/>
      <c r="AC60" s="109"/>
      <c r="AD60" s="109"/>
      <c r="AE60" s="16"/>
      <c r="AF60" s="16"/>
      <c r="AG60" s="16"/>
      <c r="AH60" s="16"/>
      <c r="AI60" s="16"/>
      <c r="AJ60" s="16"/>
      <c r="AK60" s="16"/>
      <c r="AL60" s="16"/>
      <c r="AM60" s="16"/>
      <c r="AN60" s="16"/>
      <c r="AO60" s="16"/>
      <c r="AP60" s="16"/>
      <c r="AQ60" s="16"/>
      <c r="AR60" s="16"/>
      <c r="AS60" s="16"/>
      <c r="AT60" s="16"/>
      <c r="AU60" s="16"/>
      <c r="AV60" s="16"/>
      <c r="AW60" s="16"/>
      <c r="AX60" s="16"/>
      <c r="AY60" s="16"/>
      <c r="AZ60" s="16"/>
      <c r="BA60" s="16"/>
      <c r="BB60" s="16"/>
      <c r="BC60" s="16"/>
      <c r="BD60" s="68"/>
      <c r="BE60" s="68"/>
      <c r="BF60" s="68"/>
      <c r="BG60" s="68"/>
      <c r="BH60" s="68"/>
      <c r="BI60" s="68"/>
      <c r="BJ60" s="68"/>
      <c r="BK60" s="68"/>
      <c r="BL60" s="68"/>
      <c r="BM60" s="68"/>
      <c r="BN60" s="68"/>
      <c r="BO60" s="68"/>
      <c r="BP60" s="68"/>
      <c r="BQ60" s="68"/>
      <c r="BR60" s="68"/>
      <c r="BS60" s="68"/>
      <c r="BT60" s="68"/>
      <c r="BU60" s="68"/>
      <c r="BV60" s="46"/>
      <c r="BW60" s="46"/>
      <c r="BX60" s="46"/>
      <c r="BY60" s="46"/>
      <c r="BZ60" s="46"/>
      <c r="CA60" s="46"/>
      <c r="CB60" s="46"/>
      <c r="CC60" s="46"/>
      <c r="CD60" s="46"/>
      <c r="CE60" s="46"/>
      <c r="CF60" s="46"/>
      <c r="CG60" s="46"/>
      <c r="CH60" s="46"/>
      <c r="CI60" s="46"/>
      <c r="CJ60" s="46"/>
      <c r="CK60" s="46"/>
      <c r="CL60" s="46"/>
      <c r="CM60" s="46"/>
      <c r="CN60" s="46"/>
      <c r="CO60" s="46"/>
      <c r="CP60" s="46"/>
      <c r="CQ60" s="46"/>
      <c r="CR60" s="46"/>
      <c r="CS60" s="46"/>
      <c r="CT60" s="46"/>
      <c r="CU60" s="46"/>
      <c r="CV60" s="46"/>
      <c r="CW60" s="46"/>
      <c r="CX60" s="46"/>
      <c r="CY60" s="46"/>
      <c r="CZ60" s="46"/>
      <c r="DA60" s="46"/>
      <c r="DB60" s="46"/>
      <c r="DC60" s="46"/>
    </row>
    <row r="61" spans="1:107" hidden="1" outlineLevel="2">
      <c r="B61" s="1090" t="s">
        <v>474</v>
      </c>
      <c r="C61" s="16"/>
      <c r="D61" s="16"/>
      <c r="E61" s="16"/>
      <c r="F61" s="16"/>
      <c r="G61" s="16"/>
      <c r="H61" s="16"/>
      <c r="I61" s="16"/>
      <c r="J61" s="16"/>
      <c r="K61" s="16"/>
      <c r="L61" s="16"/>
      <c r="M61" s="16"/>
      <c r="N61" s="109"/>
      <c r="O61" s="109"/>
      <c r="P61" s="109"/>
      <c r="Q61" s="109"/>
      <c r="R61" s="109"/>
      <c r="S61" s="109"/>
      <c r="T61" s="109"/>
      <c r="U61" s="109"/>
      <c r="V61" s="109"/>
      <c r="W61" s="109"/>
      <c r="X61" s="109"/>
      <c r="Y61" s="109"/>
      <c r="Z61" s="109"/>
      <c r="AA61" s="109"/>
      <c r="AB61" s="109"/>
      <c r="AC61" s="109"/>
      <c r="AD61" s="109"/>
      <c r="AE61" s="16"/>
      <c r="AF61" s="16"/>
      <c r="AG61" s="16"/>
      <c r="AH61" s="16"/>
      <c r="AI61" s="16"/>
      <c r="AJ61" s="16"/>
      <c r="AK61" s="16"/>
      <c r="AL61" s="16"/>
      <c r="AM61" s="16"/>
      <c r="AN61" s="16"/>
      <c r="AO61" s="16"/>
      <c r="AP61" s="16"/>
      <c r="AQ61" s="16"/>
      <c r="AR61" s="16"/>
      <c r="AS61" s="16"/>
      <c r="AT61" s="16"/>
      <c r="AU61" s="16"/>
      <c r="AV61" s="16"/>
      <c r="AW61" s="16"/>
      <c r="AX61" s="16"/>
      <c r="AY61" s="16"/>
      <c r="AZ61" s="16"/>
      <c r="BA61" s="16"/>
      <c r="BB61" s="16"/>
      <c r="BC61" s="16"/>
      <c r="BD61" s="68"/>
      <c r="BE61" s="68"/>
      <c r="BF61" s="68"/>
      <c r="BG61" s="68"/>
      <c r="BH61" s="68"/>
      <c r="BI61" s="68"/>
      <c r="BJ61" s="68"/>
      <c r="BK61" s="68"/>
      <c r="BL61" s="68"/>
      <c r="BM61" s="68"/>
      <c r="BN61" s="68"/>
      <c r="BO61" s="68"/>
      <c r="BP61" s="68"/>
      <c r="BQ61" s="68"/>
      <c r="BR61" s="68"/>
      <c r="BS61" s="68"/>
      <c r="BT61" s="68"/>
      <c r="BU61" s="1091">
        <v>1637.6470433609004</v>
      </c>
      <c r="BV61" s="46"/>
      <c r="BW61" s="46"/>
      <c r="BX61" s="46"/>
      <c r="BY61" s="46"/>
      <c r="BZ61" s="46"/>
      <c r="CA61" s="46"/>
      <c r="CB61" s="46"/>
      <c r="CC61" s="46"/>
      <c r="CD61" s="46"/>
      <c r="CE61" s="46"/>
      <c r="CF61" s="46"/>
      <c r="CG61" s="46"/>
      <c r="CH61" s="46"/>
      <c r="CI61" s="46"/>
      <c r="CJ61" s="46"/>
      <c r="CK61" s="46"/>
      <c r="CL61" s="46"/>
      <c r="CM61" s="46"/>
      <c r="CN61" s="46"/>
      <c r="CO61" s="46"/>
      <c r="CP61" s="46"/>
      <c r="CQ61" s="46"/>
      <c r="CR61" s="46"/>
      <c r="CS61" s="46"/>
      <c r="CT61" s="46"/>
      <c r="CU61" s="46"/>
      <c r="CV61" s="46"/>
      <c r="CW61" s="46"/>
      <c r="CX61" s="46"/>
      <c r="CY61" s="46"/>
      <c r="CZ61" s="46"/>
      <c r="DA61" s="46"/>
      <c r="DB61" s="46"/>
      <c r="DC61" s="46"/>
    </row>
    <row r="62" spans="1:107" hidden="1" outlineLevel="2">
      <c r="B62" s="1090" t="s">
        <v>475</v>
      </c>
      <c r="C62" s="16"/>
      <c r="D62" s="16"/>
      <c r="E62" s="16"/>
      <c r="F62" s="16"/>
      <c r="G62" s="16"/>
      <c r="H62" s="16"/>
      <c r="I62" s="16"/>
      <c r="J62" s="16"/>
      <c r="K62" s="16"/>
      <c r="L62" s="16"/>
      <c r="M62" s="16"/>
      <c r="N62" s="109"/>
      <c r="O62" s="109"/>
      <c r="P62" s="109"/>
      <c r="Q62" s="109"/>
      <c r="R62" s="109"/>
      <c r="S62" s="109"/>
      <c r="T62" s="109"/>
      <c r="U62" s="109"/>
      <c r="V62" s="109"/>
      <c r="W62" s="109"/>
      <c r="X62" s="109"/>
      <c r="Y62" s="109"/>
      <c r="Z62" s="109"/>
      <c r="AA62" s="109"/>
      <c r="AB62" s="109"/>
      <c r="AC62" s="109"/>
      <c r="AD62" s="109"/>
      <c r="AE62" s="16"/>
      <c r="AF62" s="16"/>
      <c r="AG62" s="16"/>
      <c r="AH62" s="16"/>
      <c r="AI62" s="16"/>
      <c r="AJ62" s="16"/>
      <c r="AK62" s="16"/>
      <c r="AL62" s="16"/>
      <c r="AM62" s="16"/>
      <c r="AN62" s="16"/>
      <c r="AO62" s="16"/>
      <c r="AP62" s="16"/>
      <c r="AQ62" s="16"/>
      <c r="AR62" s="16"/>
      <c r="AS62" s="16"/>
      <c r="AT62" s="16"/>
      <c r="AU62" s="16"/>
      <c r="AV62" s="16"/>
      <c r="AW62" s="16"/>
      <c r="AX62" s="16"/>
      <c r="AY62" s="16"/>
      <c r="AZ62" s="16"/>
      <c r="BA62" s="16"/>
      <c r="BB62" s="16"/>
      <c r="BC62" s="16"/>
      <c r="BD62" s="68"/>
      <c r="BE62" s="68"/>
      <c r="BF62" s="68"/>
      <c r="BG62" s="68"/>
      <c r="BH62" s="68"/>
      <c r="BI62" s="68"/>
      <c r="BJ62" s="68"/>
      <c r="BK62" s="68"/>
      <c r="BL62" s="68"/>
      <c r="BM62" s="68"/>
      <c r="BN62" s="68"/>
      <c r="BO62" s="68"/>
      <c r="BP62" s="68"/>
      <c r="BQ62" s="68"/>
      <c r="BR62" s="68"/>
      <c r="BS62" s="68"/>
      <c r="BT62" s="68"/>
      <c r="BU62" s="1091">
        <v>1962.7230482228019</v>
      </c>
      <c r="BV62" s="46"/>
      <c r="BW62" s="46"/>
      <c r="BX62" s="46"/>
      <c r="BY62" s="46"/>
      <c r="BZ62" s="46"/>
      <c r="CA62" s="46"/>
      <c r="CB62" s="46"/>
      <c r="CC62" s="46"/>
      <c r="CD62" s="46"/>
      <c r="CE62" s="46"/>
      <c r="CF62" s="46"/>
      <c r="CG62" s="46"/>
      <c r="CH62" s="46"/>
      <c r="CI62" s="46"/>
      <c r="CJ62" s="46"/>
      <c r="CK62" s="46"/>
      <c r="CL62" s="46"/>
      <c r="CM62" s="46"/>
      <c r="CN62" s="46"/>
      <c r="CO62" s="46"/>
      <c r="CP62" s="46"/>
      <c r="CQ62" s="46"/>
      <c r="CR62" s="46"/>
      <c r="CS62" s="46"/>
      <c r="CT62" s="46"/>
      <c r="CU62" s="46"/>
      <c r="CV62" s="46"/>
      <c r="CW62" s="46"/>
      <c r="CX62" s="46"/>
      <c r="CY62" s="46"/>
      <c r="CZ62" s="46"/>
      <c r="DA62" s="46"/>
      <c r="DB62" s="46"/>
      <c r="DC62" s="46"/>
    </row>
    <row r="63" spans="1:107" hidden="1" outlineLevel="2">
      <c r="B63" s="1090" t="s">
        <v>476</v>
      </c>
      <c r="C63" s="16"/>
      <c r="D63" s="16"/>
      <c r="E63" s="16"/>
      <c r="F63" s="16"/>
      <c r="G63" s="16"/>
      <c r="H63" s="16"/>
      <c r="I63" s="16"/>
      <c r="J63" s="16"/>
      <c r="K63" s="16"/>
      <c r="L63" s="16"/>
      <c r="M63" s="16"/>
      <c r="N63" s="109"/>
      <c r="O63" s="109"/>
      <c r="P63" s="109"/>
      <c r="Q63" s="109"/>
      <c r="R63" s="109"/>
      <c r="S63" s="109"/>
      <c r="T63" s="109"/>
      <c r="U63" s="109"/>
      <c r="V63" s="109"/>
      <c r="W63" s="109"/>
      <c r="X63" s="109"/>
      <c r="Y63" s="109"/>
      <c r="Z63" s="109"/>
      <c r="AA63" s="109"/>
      <c r="AB63" s="109"/>
      <c r="AC63" s="109"/>
      <c r="AD63" s="109"/>
      <c r="AE63" s="16"/>
      <c r="AF63" s="16"/>
      <c r="AG63" s="16"/>
      <c r="AH63" s="16"/>
      <c r="AI63" s="16"/>
      <c r="AJ63" s="16"/>
      <c r="AK63" s="16"/>
      <c r="AL63" s="16"/>
      <c r="AM63" s="16"/>
      <c r="AN63" s="16"/>
      <c r="AO63" s="16"/>
      <c r="AP63" s="16"/>
      <c r="AQ63" s="16"/>
      <c r="AR63" s="16"/>
      <c r="AS63" s="16"/>
      <c r="AT63" s="16"/>
      <c r="AU63" s="16"/>
      <c r="AV63" s="16"/>
      <c r="AW63" s="16"/>
      <c r="AX63" s="16"/>
      <c r="AY63" s="16"/>
      <c r="AZ63" s="16"/>
      <c r="BA63" s="16"/>
      <c r="BB63" s="16"/>
      <c r="BC63" s="16"/>
      <c r="BD63" s="68"/>
      <c r="BE63" s="68"/>
      <c r="BF63" s="68"/>
      <c r="BG63" s="68"/>
      <c r="BH63" s="68"/>
      <c r="BI63" s="68"/>
      <c r="BJ63" s="68"/>
      <c r="BK63" s="68"/>
      <c r="BL63" s="68"/>
      <c r="BM63" s="68"/>
      <c r="BN63" s="68"/>
      <c r="BO63" s="68"/>
      <c r="BP63" s="68"/>
      <c r="BQ63" s="68"/>
      <c r="BR63" s="68"/>
      <c r="BS63" s="68"/>
      <c r="BT63" s="68"/>
      <c r="BU63" s="1091">
        <v>1268.6551102950136</v>
      </c>
      <c r="BV63" s="46"/>
      <c r="BW63" s="46"/>
      <c r="BX63" s="46"/>
      <c r="BY63" s="46"/>
      <c r="BZ63" s="46"/>
      <c r="CA63" s="46"/>
      <c r="CB63" s="46"/>
      <c r="CC63" s="46"/>
      <c r="CD63" s="46"/>
      <c r="CE63" s="46"/>
      <c r="CF63" s="46"/>
      <c r="CG63" s="46"/>
      <c r="CH63" s="46"/>
      <c r="CI63" s="46"/>
      <c r="CJ63" s="46"/>
      <c r="CK63" s="46"/>
      <c r="CL63" s="46"/>
      <c r="CM63" s="46"/>
      <c r="CN63" s="46"/>
      <c r="CO63" s="46"/>
      <c r="CP63" s="46"/>
      <c r="CQ63" s="46"/>
      <c r="CR63" s="46"/>
      <c r="CS63" s="46"/>
      <c r="CT63" s="46"/>
      <c r="CU63" s="46"/>
      <c r="CV63" s="46"/>
      <c r="CW63" s="46"/>
      <c r="CX63" s="46"/>
      <c r="CY63" s="46"/>
      <c r="CZ63" s="46"/>
      <c r="DA63" s="46"/>
      <c r="DB63" s="46"/>
      <c r="DC63" s="46"/>
    </row>
    <row r="64" spans="1:107" hidden="1" outlineLevel="2">
      <c r="B64" s="1090" t="s">
        <v>477</v>
      </c>
      <c r="C64" s="16"/>
      <c r="D64" s="16"/>
      <c r="E64" s="16"/>
      <c r="F64" s="16"/>
      <c r="G64" s="16"/>
      <c r="H64" s="16"/>
      <c r="I64" s="16"/>
      <c r="J64" s="16"/>
      <c r="K64" s="16"/>
      <c r="L64" s="16"/>
      <c r="M64" s="16"/>
      <c r="N64" s="109"/>
      <c r="O64" s="109"/>
      <c r="P64" s="109"/>
      <c r="Q64" s="109"/>
      <c r="R64" s="109"/>
      <c r="S64" s="109"/>
      <c r="T64" s="109"/>
      <c r="U64" s="109"/>
      <c r="V64" s="109"/>
      <c r="W64" s="109"/>
      <c r="X64" s="109"/>
      <c r="Y64" s="109"/>
      <c r="Z64" s="109"/>
      <c r="AA64" s="109"/>
      <c r="AB64" s="109"/>
      <c r="AC64" s="109"/>
      <c r="AD64" s="109"/>
      <c r="AE64" s="16"/>
      <c r="AF64" s="16"/>
      <c r="AG64" s="16"/>
      <c r="AH64" s="16"/>
      <c r="AI64" s="16"/>
      <c r="AJ64" s="16"/>
      <c r="AK64" s="16"/>
      <c r="AL64" s="16"/>
      <c r="AM64" s="16"/>
      <c r="AN64" s="16"/>
      <c r="AO64" s="16"/>
      <c r="AP64" s="16"/>
      <c r="AQ64" s="16"/>
      <c r="AR64" s="16"/>
      <c r="AS64" s="16"/>
      <c r="AT64" s="16"/>
      <c r="AU64" s="16"/>
      <c r="AV64" s="16"/>
      <c r="AW64" s="16"/>
      <c r="AX64" s="16"/>
      <c r="AY64" s="16"/>
      <c r="AZ64" s="16"/>
      <c r="BA64" s="16"/>
      <c r="BB64" s="16"/>
      <c r="BC64" s="16"/>
      <c r="BD64" s="68"/>
      <c r="BE64" s="68"/>
      <c r="BF64" s="68"/>
      <c r="BG64" s="68"/>
      <c r="BH64" s="68"/>
      <c r="BI64" s="68"/>
      <c r="BJ64" s="68"/>
      <c r="BK64" s="68"/>
      <c r="BL64" s="68"/>
      <c r="BM64" s="68"/>
      <c r="BN64" s="68"/>
      <c r="BO64" s="68"/>
      <c r="BP64" s="68"/>
      <c r="BQ64" s="68"/>
      <c r="BR64" s="68"/>
      <c r="BS64" s="68"/>
      <c r="BT64" s="68"/>
      <c r="BU64" s="1091">
        <v>1472.0422861671016</v>
      </c>
      <c r="BV64" s="46"/>
      <c r="BW64" s="46"/>
      <c r="BX64" s="46"/>
      <c r="BY64" s="46"/>
      <c r="BZ64" s="46"/>
      <c r="CA64" s="46"/>
      <c r="CB64" s="46"/>
      <c r="CC64" s="46"/>
      <c r="CD64" s="46"/>
      <c r="CE64" s="46"/>
      <c r="CF64" s="46"/>
      <c r="CG64" s="46"/>
      <c r="CH64" s="46"/>
      <c r="CI64" s="46"/>
      <c r="CJ64" s="46"/>
      <c r="CK64" s="46"/>
      <c r="CL64" s="46"/>
      <c r="CM64" s="46"/>
      <c r="CN64" s="46"/>
      <c r="CO64" s="46"/>
      <c r="CP64" s="46"/>
      <c r="CQ64" s="46"/>
      <c r="CR64" s="46"/>
      <c r="CS64" s="46"/>
      <c r="CT64" s="46"/>
      <c r="CU64" s="46"/>
      <c r="CV64" s="46"/>
      <c r="CW64" s="46"/>
      <c r="CX64" s="46"/>
      <c r="CY64" s="46"/>
      <c r="CZ64" s="46"/>
      <c r="DA64" s="46"/>
      <c r="DB64" s="46"/>
      <c r="DC64" s="46"/>
    </row>
    <row r="65" spans="2:107" hidden="1" outlineLevel="2">
      <c r="B65" s="1090" t="s">
        <v>478</v>
      </c>
      <c r="C65" s="16"/>
      <c r="D65" s="16"/>
      <c r="E65" s="16"/>
      <c r="F65" s="16"/>
      <c r="G65" s="16"/>
      <c r="H65" s="16"/>
      <c r="I65" s="16"/>
      <c r="J65" s="16"/>
      <c r="K65" s="16"/>
      <c r="L65" s="16"/>
      <c r="M65" s="16"/>
      <c r="N65" s="109"/>
      <c r="O65" s="109"/>
      <c r="P65" s="109"/>
      <c r="Q65" s="109"/>
      <c r="R65" s="109"/>
      <c r="S65" s="109"/>
      <c r="T65" s="109"/>
      <c r="U65" s="109"/>
      <c r="V65" s="109"/>
      <c r="W65" s="109"/>
      <c r="X65" s="109"/>
      <c r="Y65" s="109"/>
      <c r="Z65" s="109"/>
      <c r="AA65" s="109"/>
      <c r="AB65" s="109"/>
      <c r="AC65" s="109"/>
      <c r="AD65" s="109"/>
      <c r="AE65" s="16"/>
      <c r="AF65" s="16"/>
      <c r="AG65" s="16"/>
      <c r="AH65" s="16"/>
      <c r="AI65" s="16"/>
      <c r="AJ65" s="16"/>
      <c r="AK65" s="16"/>
      <c r="AL65" s="16"/>
      <c r="AM65" s="16"/>
      <c r="AN65" s="16"/>
      <c r="AO65" s="16"/>
      <c r="AP65" s="16"/>
      <c r="AQ65" s="16"/>
      <c r="AR65" s="16"/>
      <c r="AS65" s="16"/>
      <c r="AT65" s="16"/>
      <c r="AU65" s="16"/>
      <c r="AV65" s="16"/>
      <c r="AW65" s="16"/>
      <c r="AX65" s="16"/>
      <c r="AY65" s="16"/>
      <c r="AZ65" s="16"/>
      <c r="BA65" s="16"/>
      <c r="BB65" s="16"/>
      <c r="BC65" s="16"/>
      <c r="BD65" s="68"/>
      <c r="BE65" s="68"/>
      <c r="BF65" s="68"/>
      <c r="BG65" s="68"/>
      <c r="BH65" s="68"/>
      <c r="BI65" s="68"/>
      <c r="BJ65" s="68"/>
      <c r="BK65" s="68"/>
      <c r="BL65" s="68"/>
      <c r="BM65" s="68"/>
      <c r="BN65" s="68"/>
      <c r="BO65" s="68"/>
      <c r="BP65" s="68"/>
      <c r="BQ65" s="68"/>
      <c r="BR65" s="68"/>
      <c r="BS65" s="68"/>
      <c r="BT65" s="68"/>
      <c r="BU65" s="1091">
        <v>1545.6444004754565</v>
      </c>
      <c r="BV65" s="46"/>
      <c r="BW65" s="46"/>
      <c r="BX65" s="46"/>
      <c r="BY65" s="46"/>
      <c r="BZ65" s="46"/>
      <c r="CA65" s="46"/>
      <c r="CB65" s="46"/>
      <c r="CC65" s="46"/>
      <c r="CD65" s="46"/>
      <c r="CE65" s="46"/>
      <c r="CF65" s="46"/>
      <c r="CG65" s="46"/>
      <c r="CH65" s="46"/>
      <c r="CI65" s="46"/>
      <c r="CJ65" s="46"/>
      <c r="CK65" s="46"/>
      <c r="CL65" s="46"/>
      <c r="CM65" s="46"/>
      <c r="CN65" s="46"/>
      <c r="CO65" s="46"/>
      <c r="CP65" s="46"/>
      <c r="CQ65" s="46"/>
      <c r="CR65" s="46"/>
      <c r="CS65" s="46"/>
      <c r="CT65" s="46"/>
      <c r="CU65" s="46"/>
      <c r="CV65" s="46"/>
      <c r="CW65" s="46"/>
      <c r="CX65" s="46"/>
      <c r="CY65" s="46"/>
      <c r="CZ65" s="46"/>
      <c r="DA65" s="46"/>
      <c r="DB65" s="46"/>
      <c r="DC65" s="46"/>
    </row>
    <row r="66" spans="2:107" hidden="1" outlineLevel="2">
      <c r="B66" s="1090" t="s">
        <v>479</v>
      </c>
      <c r="C66" s="16"/>
      <c r="D66" s="16"/>
      <c r="E66" s="16"/>
      <c r="F66" s="16"/>
      <c r="G66" s="16"/>
      <c r="H66" s="16"/>
      <c r="I66" s="16"/>
      <c r="J66" s="16"/>
      <c r="K66" s="16"/>
      <c r="L66" s="16"/>
      <c r="M66" s="16"/>
      <c r="N66" s="109"/>
      <c r="O66" s="109"/>
      <c r="P66" s="109"/>
      <c r="Q66" s="109"/>
      <c r="R66" s="109"/>
      <c r="S66" s="109"/>
      <c r="T66" s="109"/>
      <c r="U66" s="109"/>
      <c r="V66" s="109"/>
      <c r="W66" s="109"/>
      <c r="X66" s="109"/>
      <c r="Y66" s="109"/>
      <c r="Z66" s="109"/>
      <c r="AA66" s="109"/>
      <c r="AB66" s="109"/>
      <c r="AC66" s="109"/>
      <c r="AD66" s="109"/>
      <c r="AE66" s="16"/>
      <c r="AF66" s="16"/>
      <c r="AG66" s="16"/>
      <c r="AH66" s="16"/>
      <c r="AI66" s="16"/>
      <c r="AJ66" s="16"/>
      <c r="AK66" s="16"/>
      <c r="AL66" s="16"/>
      <c r="AM66" s="16"/>
      <c r="AN66" s="16"/>
      <c r="AO66" s="16"/>
      <c r="AP66" s="16"/>
      <c r="AQ66" s="16"/>
      <c r="AR66" s="16"/>
      <c r="AS66" s="16"/>
      <c r="AT66" s="16"/>
      <c r="AU66" s="16"/>
      <c r="AV66" s="16"/>
      <c r="AW66" s="16"/>
      <c r="AX66" s="16"/>
      <c r="AY66" s="16"/>
      <c r="AZ66" s="16"/>
      <c r="BA66" s="16"/>
      <c r="BB66" s="16"/>
      <c r="BC66" s="16"/>
      <c r="BD66" s="68"/>
      <c r="BE66" s="68"/>
      <c r="BF66" s="68"/>
      <c r="BG66" s="68"/>
      <c r="BH66" s="68"/>
      <c r="BI66" s="68"/>
      <c r="BJ66" s="68"/>
      <c r="BK66" s="68"/>
      <c r="BL66" s="68"/>
      <c r="BM66" s="68"/>
      <c r="BN66" s="68"/>
      <c r="BO66" s="68"/>
      <c r="BP66" s="68"/>
      <c r="BQ66" s="68"/>
      <c r="BR66" s="68"/>
      <c r="BS66" s="68"/>
      <c r="BT66" s="68"/>
      <c r="BU66" s="1091">
        <v>555.92903639005726</v>
      </c>
      <c r="BV66" s="46"/>
      <c r="BW66" s="46"/>
      <c r="BX66" s="46"/>
      <c r="BY66" s="46"/>
      <c r="BZ66" s="46"/>
      <c r="CA66" s="46"/>
      <c r="CB66" s="46"/>
      <c r="CC66" s="46"/>
      <c r="CD66" s="46"/>
      <c r="CE66" s="46"/>
      <c r="CF66" s="46"/>
      <c r="CG66" s="46"/>
      <c r="CH66" s="46"/>
      <c r="CI66" s="46"/>
      <c r="CJ66" s="46"/>
      <c r="CK66" s="46"/>
      <c r="CL66" s="46"/>
      <c r="CM66" s="46"/>
      <c r="CN66" s="46"/>
      <c r="CO66" s="46"/>
      <c r="CP66" s="46"/>
      <c r="CQ66" s="46"/>
      <c r="CR66" s="46"/>
      <c r="CS66" s="46"/>
      <c r="CT66" s="46"/>
      <c r="CU66" s="46"/>
      <c r="CV66" s="46"/>
      <c r="CW66" s="46"/>
      <c r="CX66" s="46"/>
      <c r="CY66" s="46"/>
      <c r="CZ66" s="46"/>
      <c r="DA66" s="46"/>
      <c r="DB66" s="46"/>
      <c r="DC66" s="46"/>
    </row>
    <row r="67" spans="2:107" hidden="1" outlineLevel="2">
      <c r="B67" s="1090" t="s">
        <v>480</v>
      </c>
      <c r="C67" s="16"/>
      <c r="D67" s="16"/>
      <c r="E67" s="16"/>
      <c r="F67" s="16"/>
      <c r="G67" s="16"/>
      <c r="H67" s="16"/>
      <c r="I67" s="16"/>
      <c r="J67" s="16"/>
      <c r="K67" s="16"/>
      <c r="L67" s="16"/>
      <c r="M67" s="16"/>
      <c r="N67" s="109"/>
      <c r="O67" s="109"/>
      <c r="P67" s="109"/>
      <c r="Q67" s="109"/>
      <c r="R67" s="109"/>
      <c r="S67" s="109"/>
      <c r="T67" s="109"/>
      <c r="U67" s="109"/>
      <c r="V67" s="109"/>
      <c r="W67" s="109"/>
      <c r="X67" s="109"/>
      <c r="Y67" s="109"/>
      <c r="Z67" s="109"/>
      <c r="AA67" s="109"/>
      <c r="AB67" s="109"/>
      <c r="AC67" s="109"/>
      <c r="AD67" s="109"/>
      <c r="AE67" s="16"/>
      <c r="AF67" s="16"/>
      <c r="AG67" s="16"/>
      <c r="AH67" s="16"/>
      <c r="AI67" s="16"/>
      <c r="AJ67" s="16"/>
      <c r="AK67" s="16"/>
      <c r="AL67" s="16"/>
      <c r="AM67" s="16"/>
      <c r="AN67" s="16"/>
      <c r="AO67" s="16"/>
      <c r="AP67" s="16"/>
      <c r="AQ67" s="16"/>
      <c r="AR67" s="16"/>
      <c r="AS67" s="16"/>
      <c r="AT67" s="16"/>
      <c r="AU67" s="16"/>
      <c r="AV67" s="16"/>
      <c r="AW67" s="16"/>
      <c r="AX67" s="16"/>
      <c r="AY67" s="16"/>
      <c r="AZ67" s="16"/>
      <c r="BA67" s="16"/>
      <c r="BB67" s="16"/>
      <c r="BC67" s="16"/>
      <c r="BD67" s="68"/>
      <c r="BE67" s="68"/>
      <c r="BF67" s="68"/>
      <c r="BG67" s="68"/>
      <c r="BH67" s="68"/>
      <c r="BI67" s="68"/>
      <c r="BJ67" s="68"/>
      <c r="BK67" s="68"/>
      <c r="BL67" s="68"/>
      <c r="BM67" s="68"/>
      <c r="BN67" s="68"/>
      <c r="BO67" s="68"/>
      <c r="BP67" s="68"/>
      <c r="BQ67" s="68"/>
      <c r="BR67" s="68"/>
      <c r="BS67" s="68"/>
      <c r="BT67" s="68"/>
      <c r="BU67" s="1091">
        <v>245.34038102785024</v>
      </c>
      <c r="BV67" s="46"/>
      <c r="BW67" s="46"/>
      <c r="BX67" s="46"/>
      <c r="BY67" s="46"/>
      <c r="BZ67" s="46"/>
      <c r="CA67" s="46"/>
      <c r="CB67" s="46"/>
      <c r="CC67" s="46"/>
      <c r="CD67" s="46"/>
      <c r="CE67" s="46"/>
      <c r="CF67" s="46"/>
      <c r="CG67" s="46"/>
      <c r="CH67" s="46"/>
      <c r="CI67" s="46"/>
      <c r="CJ67" s="46"/>
      <c r="CK67" s="46"/>
      <c r="CL67" s="46"/>
      <c r="CM67" s="46"/>
      <c r="CN67" s="46"/>
      <c r="CO67" s="46"/>
      <c r="CP67" s="46"/>
      <c r="CQ67" s="46"/>
      <c r="CR67" s="46"/>
      <c r="CS67" s="46"/>
      <c r="CT67" s="46"/>
      <c r="CU67" s="46"/>
      <c r="CV67" s="46"/>
      <c r="CW67" s="46"/>
      <c r="CX67" s="46"/>
      <c r="CY67" s="46"/>
      <c r="CZ67" s="46"/>
      <c r="DA67" s="46"/>
      <c r="DB67" s="46"/>
      <c r="DC67" s="46"/>
    </row>
    <row r="68" spans="2:107" hidden="1" outlineLevel="2">
      <c r="B68" s="1090" t="s">
        <v>481</v>
      </c>
      <c r="C68" s="16"/>
      <c r="D68" s="16"/>
      <c r="E68" s="16"/>
      <c r="F68" s="16"/>
      <c r="G68" s="16"/>
      <c r="H68" s="16"/>
      <c r="I68" s="16"/>
      <c r="J68" s="16"/>
      <c r="K68" s="16"/>
      <c r="L68" s="16"/>
      <c r="M68" s="16"/>
      <c r="N68" s="109"/>
      <c r="O68" s="109"/>
      <c r="P68" s="109"/>
      <c r="Q68" s="109"/>
      <c r="R68" s="109"/>
      <c r="S68" s="109"/>
      <c r="T68" s="109"/>
      <c r="U68" s="109"/>
      <c r="V68" s="109"/>
      <c r="W68" s="109"/>
      <c r="X68" s="109"/>
      <c r="Y68" s="109"/>
      <c r="Z68" s="109"/>
      <c r="AA68" s="109"/>
      <c r="AB68" s="109"/>
      <c r="AC68" s="109"/>
      <c r="AD68" s="109"/>
      <c r="AE68" s="16"/>
      <c r="AF68" s="16"/>
      <c r="AG68" s="16"/>
      <c r="AH68" s="16"/>
      <c r="AI68" s="16"/>
      <c r="AJ68" s="16"/>
      <c r="AK68" s="16"/>
      <c r="AL68" s="16"/>
      <c r="AM68" s="16"/>
      <c r="AN68" s="16"/>
      <c r="AO68" s="16"/>
      <c r="AP68" s="16"/>
      <c r="AQ68" s="16"/>
      <c r="AR68" s="16"/>
      <c r="AS68" s="16"/>
      <c r="AT68" s="16"/>
      <c r="AU68" s="16"/>
      <c r="AV68" s="16"/>
      <c r="AW68" s="16"/>
      <c r="AX68" s="16"/>
      <c r="AY68" s="16"/>
      <c r="AZ68" s="16"/>
      <c r="BA68" s="16"/>
      <c r="BB68" s="16"/>
      <c r="BC68" s="16"/>
      <c r="BD68" s="68"/>
      <c r="BE68" s="68"/>
      <c r="BF68" s="68"/>
      <c r="BG68" s="68"/>
      <c r="BH68" s="68"/>
      <c r="BI68" s="68"/>
      <c r="BJ68" s="68"/>
      <c r="BK68" s="68"/>
      <c r="BL68" s="68"/>
      <c r="BM68" s="68"/>
      <c r="BN68" s="68"/>
      <c r="BO68" s="68"/>
      <c r="BP68" s="68"/>
      <c r="BQ68" s="68"/>
      <c r="BR68" s="68"/>
      <c r="BS68" s="68"/>
      <c r="BT68" s="68"/>
      <c r="BU68" s="1091">
        <v>513.58328662465033</v>
      </c>
      <c r="BV68" s="46"/>
      <c r="BW68" s="46"/>
      <c r="BX68" s="46"/>
      <c r="BY68" s="46"/>
      <c r="BZ68" s="46"/>
      <c r="CA68" s="46"/>
      <c r="CB68" s="46"/>
      <c r="CC68" s="46"/>
      <c r="CD68" s="46"/>
      <c r="CE68" s="46"/>
      <c r="CF68" s="46"/>
      <c r="CG68" s="46"/>
      <c r="CH68" s="46"/>
      <c r="CI68" s="46"/>
      <c r="CJ68" s="46"/>
      <c r="CK68" s="46"/>
      <c r="CL68" s="46"/>
      <c r="CM68" s="46"/>
      <c r="CN68" s="46"/>
      <c r="CO68" s="46"/>
      <c r="CP68" s="46"/>
      <c r="CQ68" s="46"/>
      <c r="CR68" s="46"/>
      <c r="CS68" s="46"/>
      <c r="CT68" s="46"/>
      <c r="CU68" s="46"/>
      <c r="CV68" s="46"/>
      <c r="CW68" s="46"/>
      <c r="CX68" s="46"/>
      <c r="CY68" s="46"/>
      <c r="CZ68" s="46"/>
      <c r="DA68" s="46"/>
      <c r="DB68" s="46"/>
      <c r="DC68" s="46"/>
    </row>
    <row r="69" spans="2:107" ht="12.75" hidden="1" customHeight="1" outlineLevel="2">
      <c r="B69" s="58"/>
      <c r="C69" s="16"/>
      <c r="D69" s="16"/>
      <c r="E69" s="16"/>
      <c r="F69" s="16"/>
      <c r="G69" s="16"/>
      <c r="H69" s="16"/>
      <c r="I69" s="16"/>
      <c r="J69" s="16"/>
      <c r="K69" s="16"/>
      <c r="L69" s="16"/>
      <c r="M69" s="16"/>
      <c r="N69" s="109"/>
      <c r="O69" s="109"/>
      <c r="P69" s="109"/>
      <c r="Q69" s="109"/>
      <c r="R69" s="109"/>
      <c r="S69" s="109"/>
      <c r="T69" s="109"/>
      <c r="U69" s="109"/>
      <c r="V69" s="109"/>
      <c r="W69" s="109"/>
      <c r="X69" s="109"/>
      <c r="Y69" s="109"/>
      <c r="Z69" s="109"/>
      <c r="AA69" s="109"/>
      <c r="AB69" s="109"/>
      <c r="AC69" s="109"/>
      <c r="AD69" s="109"/>
      <c r="AE69" s="16"/>
      <c r="AF69" s="16"/>
      <c r="AG69" s="16"/>
      <c r="AH69" s="16"/>
      <c r="AI69" s="16"/>
      <c r="AJ69" s="16"/>
      <c r="AK69" s="16"/>
      <c r="AL69" s="16"/>
      <c r="AM69" s="16"/>
      <c r="AN69" s="16"/>
      <c r="AO69" s="16"/>
      <c r="AP69" s="16"/>
      <c r="AQ69" s="16"/>
      <c r="AR69" s="16"/>
      <c r="AS69" s="16"/>
      <c r="AT69" s="16"/>
      <c r="AU69" s="16"/>
      <c r="AV69" s="16"/>
      <c r="AW69" s="16"/>
      <c r="AX69" s="16"/>
      <c r="AY69" s="16"/>
      <c r="AZ69" s="16"/>
      <c r="BA69" s="16"/>
      <c r="BB69" s="16"/>
      <c r="BC69" s="16"/>
      <c r="BD69" s="68"/>
      <c r="BE69" s="68"/>
      <c r="BF69" s="68"/>
      <c r="BG69" s="68"/>
      <c r="BH69" s="68"/>
      <c r="BI69" s="68"/>
      <c r="BJ69" s="68"/>
      <c r="BK69" s="68"/>
      <c r="BL69" s="68"/>
      <c r="BM69" s="68"/>
      <c r="BN69" s="68"/>
      <c r="BO69" s="68"/>
      <c r="BP69" s="68"/>
      <c r="BQ69" s="68"/>
      <c r="BR69" s="68"/>
      <c r="BS69" s="68"/>
      <c r="BT69" s="68"/>
      <c r="BU69" s="68"/>
      <c r="BV69" s="46"/>
      <c r="BW69" s="46"/>
      <c r="BX69" s="46"/>
      <c r="BY69" s="46"/>
      <c r="BZ69" s="46"/>
      <c r="CA69" s="46"/>
      <c r="CB69" s="46"/>
      <c r="CC69" s="46"/>
      <c r="CD69" s="46"/>
      <c r="CE69" s="46"/>
      <c r="CF69" s="46"/>
      <c r="CG69" s="46"/>
      <c r="CH69" s="46"/>
      <c r="CI69" s="46"/>
      <c r="CJ69" s="46"/>
      <c r="CK69" s="46"/>
      <c r="CL69" s="46"/>
      <c r="CM69" s="46"/>
      <c r="CN69" s="46"/>
      <c r="CO69" s="46"/>
      <c r="CP69" s="46"/>
      <c r="CQ69" s="46"/>
      <c r="CR69" s="46"/>
      <c r="CS69" s="46"/>
      <c r="CT69" s="46"/>
      <c r="CU69" s="46"/>
      <c r="CV69" s="46"/>
      <c r="CW69" s="46"/>
      <c r="CX69" s="46"/>
      <c r="CY69" s="46"/>
      <c r="CZ69" s="46"/>
      <c r="DA69" s="46"/>
      <c r="DB69" s="46"/>
      <c r="DC69" s="46"/>
    </row>
    <row r="70" spans="2:107" hidden="1" outlineLevel="2">
      <c r="B70" s="1089" t="s">
        <v>150</v>
      </c>
      <c r="C70" s="16"/>
      <c r="D70" s="16"/>
      <c r="E70" s="16"/>
      <c r="F70" s="16"/>
      <c r="G70" s="16"/>
      <c r="H70" s="16"/>
      <c r="I70" s="16"/>
      <c r="J70" s="16"/>
      <c r="K70" s="16"/>
      <c r="L70" s="16"/>
      <c r="M70" s="16"/>
      <c r="N70" s="109"/>
      <c r="O70" s="109"/>
      <c r="P70" s="109"/>
      <c r="Q70" s="109"/>
      <c r="R70" s="109"/>
      <c r="S70" s="109"/>
      <c r="T70" s="109"/>
      <c r="U70" s="109"/>
      <c r="V70" s="109"/>
      <c r="W70" s="109"/>
      <c r="X70" s="109"/>
      <c r="Y70" s="109"/>
      <c r="Z70" s="109"/>
      <c r="AA70" s="109"/>
      <c r="AB70" s="109"/>
      <c r="AC70" s="109"/>
      <c r="AD70" s="109"/>
      <c r="AE70" s="16"/>
      <c r="AF70" s="16"/>
      <c r="AG70" s="16"/>
      <c r="AH70" s="16"/>
      <c r="AI70" s="16"/>
      <c r="AJ70" s="16"/>
      <c r="AK70" s="16"/>
      <c r="AL70" s="16"/>
      <c r="AM70" s="16"/>
      <c r="AN70" s="16"/>
      <c r="AO70" s="16"/>
      <c r="AP70" s="16"/>
      <c r="AQ70" s="16"/>
      <c r="AR70" s="16"/>
      <c r="AS70" s="16"/>
      <c r="AT70" s="16"/>
      <c r="AU70" s="16"/>
      <c r="AV70" s="16"/>
      <c r="AW70" s="16"/>
      <c r="AX70" s="16"/>
      <c r="AY70" s="16"/>
      <c r="AZ70" s="16"/>
      <c r="BA70" s="16"/>
      <c r="BB70" s="16"/>
      <c r="BC70" s="16"/>
      <c r="BD70" s="68"/>
      <c r="BE70" s="68"/>
      <c r="BF70" s="68"/>
      <c r="BG70" s="68"/>
      <c r="BH70" s="68"/>
      <c r="BI70" s="68"/>
      <c r="BJ70" s="68"/>
      <c r="BK70" s="68"/>
      <c r="BL70" s="68"/>
      <c r="BM70" s="68"/>
      <c r="BN70" s="68"/>
      <c r="BO70" s="68"/>
      <c r="BP70" s="68"/>
      <c r="BQ70" s="68"/>
      <c r="BR70" s="68"/>
      <c r="BS70" s="68"/>
      <c r="BT70" s="68"/>
      <c r="BU70" s="68"/>
      <c r="BV70" s="46"/>
      <c r="BW70" s="46"/>
      <c r="BX70" s="46"/>
      <c r="BY70" s="46"/>
      <c r="BZ70" s="46"/>
      <c r="CA70" s="46"/>
      <c r="CB70" s="46"/>
      <c r="CC70" s="46"/>
      <c r="CD70" s="46"/>
      <c r="CE70" s="46"/>
      <c r="CF70" s="46"/>
      <c r="CG70" s="46"/>
      <c r="CH70" s="46"/>
      <c r="CI70" s="46"/>
      <c r="CJ70" s="46"/>
      <c r="CK70" s="46"/>
      <c r="CL70" s="46"/>
      <c r="CM70" s="46"/>
      <c r="CN70" s="46"/>
      <c r="CO70" s="46"/>
      <c r="CP70" s="46"/>
      <c r="CQ70" s="46"/>
      <c r="CR70" s="46"/>
      <c r="CS70" s="46"/>
      <c r="CT70" s="46"/>
      <c r="CU70" s="46"/>
      <c r="CV70" s="46"/>
      <c r="CW70" s="46"/>
      <c r="CX70" s="46"/>
      <c r="CY70" s="46"/>
      <c r="CZ70" s="46"/>
      <c r="DA70" s="46"/>
      <c r="DB70" s="46"/>
      <c r="DC70" s="46"/>
    </row>
    <row r="71" spans="2:107" hidden="1" outlineLevel="2">
      <c r="B71" s="1090" t="s">
        <v>506</v>
      </c>
      <c r="C71" s="16"/>
      <c r="D71" s="16"/>
      <c r="E71" s="16"/>
      <c r="F71" s="16"/>
      <c r="G71" s="16"/>
      <c r="H71" s="16"/>
      <c r="I71" s="16"/>
      <c r="J71" s="16"/>
      <c r="K71" s="16"/>
      <c r="L71" s="16"/>
      <c r="M71" s="16"/>
      <c r="N71" s="109"/>
      <c r="O71" s="109"/>
      <c r="P71" s="109"/>
      <c r="Q71" s="109"/>
      <c r="R71" s="109"/>
      <c r="S71" s="109"/>
      <c r="T71" s="109"/>
      <c r="U71" s="109"/>
      <c r="V71" s="109"/>
      <c r="W71" s="109"/>
      <c r="X71" s="109"/>
      <c r="Y71" s="109"/>
      <c r="Z71" s="109"/>
      <c r="AA71" s="109"/>
      <c r="AB71" s="109"/>
      <c r="AC71" s="109"/>
      <c r="AD71" s="109"/>
      <c r="AE71" s="16"/>
      <c r="AF71" s="16"/>
      <c r="AG71" s="16"/>
      <c r="AH71" s="16"/>
      <c r="AI71" s="16"/>
      <c r="AJ71" s="16"/>
      <c r="AK71" s="16"/>
      <c r="AL71" s="16"/>
      <c r="AM71" s="16"/>
      <c r="AN71" s="16"/>
      <c r="AO71" s="16"/>
      <c r="AP71" s="16"/>
      <c r="AQ71" s="16"/>
      <c r="AR71" s="16"/>
      <c r="AS71" s="16"/>
      <c r="AT71" s="16"/>
      <c r="AU71" s="16"/>
      <c r="AV71" s="16"/>
      <c r="AW71" s="16"/>
      <c r="AX71" s="16"/>
      <c r="AY71" s="16"/>
      <c r="AZ71" s="16"/>
      <c r="BA71" s="16"/>
      <c r="BB71" s="16"/>
      <c r="BC71" s="16"/>
      <c r="BD71" s="68"/>
      <c r="BE71" s="68"/>
      <c r="BF71" s="68"/>
      <c r="BG71" s="68"/>
      <c r="BH71" s="68"/>
      <c r="BI71" s="68"/>
      <c r="BJ71" s="68"/>
      <c r="BK71" s="68"/>
      <c r="BL71" s="68"/>
      <c r="BM71" s="68"/>
      <c r="BN71" s="68"/>
      <c r="BO71" s="68"/>
      <c r="BP71" s="68"/>
      <c r="BQ71" s="68"/>
      <c r="BR71" s="68"/>
      <c r="BS71" s="68"/>
      <c r="BT71" s="68"/>
      <c r="BU71" s="1091">
        <v>1539.2532835496811</v>
      </c>
      <c r="BV71" s="46"/>
      <c r="BW71" s="46"/>
      <c r="BX71" s="46"/>
      <c r="BY71" s="46"/>
      <c r="BZ71" s="46"/>
      <c r="CA71" s="46"/>
      <c r="CB71" s="46"/>
      <c r="CC71" s="46"/>
      <c r="CD71" s="46"/>
      <c r="CE71" s="46"/>
      <c r="CF71" s="46"/>
      <c r="CG71" s="46"/>
      <c r="CH71" s="46"/>
      <c r="CI71" s="46"/>
      <c r="CJ71" s="46"/>
      <c r="CK71" s="46"/>
      <c r="CL71" s="46"/>
      <c r="CM71" s="46"/>
      <c r="CN71" s="46"/>
      <c r="CO71" s="46"/>
      <c r="CP71" s="46"/>
      <c r="CQ71" s="46"/>
      <c r="CR71" s="46"/>
      <c r="CS71" s="46"/>
      <c r="CT71" s="46"/>
      <c r="CU71" s="46"/>
      <c r="CV71" s="46"/>
      <c r="CW71" s="46"/>
      <c r="CX71" s="46"/>
      <c r="CY71" s="46"/>
      <c r="CZ71" s="46"/>
      <c r="DA71" s="46"/>
      <c r="DB71" s="46"/>
      <c r="DC71" s="46"/>
    </row>
    <row r="72" spans="2:107" hidden="1" outlineLevel="2">
      <c r="B72" s="1090" t="s">
        <v>507</v>
      </c>
      <c r="C72" s="16"/>
      <c r="D72" s="16"/>
      <c r="E72" s="16"/>
      <c r="F72" s="16"/>
      <c r="G72" s="16"/>
      <c r="H72" s="16"/>
      <c r="I72" s="16"/>
      <c r="J72" s="16"/>
      <c r="K72" s="16"/>
      <c r="L72" s="16"/>
      <c r="M72" s="16"/>
      <c r="N72" s="109"/>
      <c r="O72" s="109"/>
      <c r="P72" s="109"/>
      <c r="Q72" s="109"/>
      <c r="R72" s="109"/>
      <c r="S72" s="109"/>
      <c r="T72" s="109"/>
      <c r="U72" s="109"/>
      <c r="V72" s="109"/>
      <c r="W72" s="109"/>
      <c r="X72" s="109"/>
      <c r="Y72" s="109"/>
      <c r="Z72" s="109"/>
      <c r="AA72" s="109"/>
      <c r="AB72" s="109"/>
      <c r="AC72" s="109"/>
      <c r="AD72" s="109"/>
      <c r="AE72" s="16"/>
      <c r="AF72" s="16"/>
      <c r="AG72" s="16"/>
      <c r="AH72" s="16"/>
      <c r="AI72" s="16"/>
      <c r="AJ72" s="16"/>
      <c r="AK72" s="16"/>
      <c r="AL72" s="16"/>
      <c r="AM72" s="16"/>
      <c r="AN72" s="16"/>
      <c r="AO72" s="16"/>
      <c r="AP72" s="16"/>
      <c r="AQ72" s="16"/>
      <c r="AR72" s="16"/>
      <c r="AS72" s="16"/>
      <c r="AT72" s="16"/>
      <c r="AU72" s="16"/>
      <c r="AV72" s="16"/>
      <c r="AW72" s="16"/>
      <c r="AX72" s="16"/>
      <c r="AY72" s="16"/>
      <c r="AZ72" s="16"/>
      <c r="BA72" s="16"/>
      <c r="BB72" s="16"/>
      <c r="BC72" s="16"/>
      <c r="BD72" s="68"/>
      <c r="BE72" s="68"/>
      <c r="BF72" s="68"/>
      <c r="BG72" s="68"/>
      <c r="BH72" s="68"/>
      <c r="BI72" s="68"/>
      <c r="BJ72" s="68"/>
      <c r="BK72" s="68"/>
      <c r="BL72" s="68"/>
      <c r="BM72" s="68"/>
      <c r="BN72" s="68"/>
      <c r="BO72" s="68"/>
      <c r="BP72" s="68"/>
      <c r="BQ72" s="68"/>
      <c r="BR72" s="68"/>
      <c r="BS72" s="68"/>
      <c r="BT72" s="68"/>
      <c r="BU72" s="1091">
        <v>405.79299022006433</v>
      </c>
      <c r="BV72" s="46"/>
      <c r="BW72" s="46"/>
      <c r="BX72" s="46"/>
      <c r="BY72" s="46"/>
      <c r="BZ72" s="46"/>
      <c r="CA72" s="46"/>
      <c r="CB72" s="46"/>
      <c r="CC72" s="46"/>
      <c r="CD72" s="46"/>
      <c r="CE72" s="46"/>
      <c r="CF72" s="46"/>
      <c r="CG72" s="46"/>
      <c r="CH72" s="46"/>
      <c r="CI72" s="46"/>
      <c r="CJ72" s="46"/>
      <c r="CK72" s="46"/>
      <c r="CL72" s="46"/>
      <c r="CM72" s="46"/>
      <c r="CN72" s="46"/>
      <c r="CO72" s="46"/>
      <c r="CP72" s="46"/>
      <c r="CQ72" s="46"/>
      <c r="CR72" s="46"/>
      <c r="CS72" s="46"/>
      <c r="CT72" s="46"/>
      <c r="CU72" s="46"/>
      <c r="CV72" s="46"/>
      <c r="CW72" s="46"/>
      <c r="CX72" s="46"/>
      <c r="CY72" s="46"/>
      <c r="CZ72" s="46"/>
      <c r="DA72" s="46"/>
      <c r="DB72" s="46"/>
      <c r="DC72" s="46"/>
    </row>
    <row r="73" spans="2:107" hidden="1" outlineLevel="2">
      <c r="B73" s="1090" t="s">
        <v>508</v>
      </c>
      <c r="C73" s="16"/>
      <c r="D73" s="16"/>
      <c r="E73" s="16"/>
      <c r="F73" s="16"/>
      <c r="G73" s="16"/>
      <c r="H73" s="16"/>
      <c r="I73" s="16"/>
      <c r="J73" s="16"/>
      <c r="K73" s="16"/>
      <c r="L73" s="16"/>
      <c r="M73" s="16"/>
      <c r="N73" s="109"/>
      <c r="O73" s="109"/>
      <c r="P73" s="109"/>
      <c r="Q73" s="109"/>
      <c r="R73" s="109"/>
      <c r="S73" s="109"/>
      <c r="T73" s="109"/>
      <c r="U73" s="109"/>
      <c r="V73" s="109"/>
      <c r="W73" s="109"/>
      <c r="X73" s="109"/>
      <c r="Y73" s="109"/>
      <c r="Z73" s="109"/>
      <c r="AA73" s="109"/>
      <c r="AB73" s="109"/>
      <c r="AC73" s="109"/>
      <c r="AD73" s="109"/>
      <c r="AE73" s="16"/>
      <c r="AF73" s="16"/>
      <c r="AG73" s="16"/>
      <c r="AH73" s="16"/>
      <c r="AI73" s="16"/>
      <c r="AJ73" s="16"/>
      <c r="AK73" s="16"/>
      <c r="AL73" s="16"/>
      <c r="AM73" s="16"/>
      <c r="AN73" s="16"/>
      <c r="AO73" s="16"/>
      <c r="AP73" s="16"/>
      <c r="AQ73" s="16"/>
      <c r="AR73" s="16"/>
      <c r="AS73" s="16"/>
      <c r="AT73" s="16"/>
      <c r="AU73" s="16"/>
      <c r="AV73" s="16"/>
      <c r="AW73" s="16"/>
      <c r="AX73" s="16"/>
      <c r="AY73" s="16"/>
      <c r="AZ73" s="16"/>
      <c r="BA73" s="16"/>
      <c r="BB73" s="16"/>
      <c r="BC73" s="16"/>
      <c r="BD73" s="68"/>
      <c r="BE73" s="68"/>
      <c r="BF73" s="68"/>
      <c r="BG73" s="68"/>
      <c r="BH73" s="68"/>
      <c r="BI73" s="68"/>
      <c r="BJ73" s="68"/>
      <c r="BK73" s="68"/>
      <c r="BL73" s="68"/>
      <c r="BM73" s="68"/>
      <c r="BN73" s="68"/>
      <c r="BO73" s="68"/>
      <c r="BP73" s="68"/>
      <c r="BQ73" s="68"/>
      <c r="BR73" s="68"/>
      <c r="BS73" s="68"/>
      <c r="BT73" s="68"/>
      <c r="BU73" s="1091">
        <v>1311.1603313080886</v>
      </c>
      <c r="BV73" s="46"/>
      <c r="BW73" s="46"/>
      <c r="BX73" s="46"/>
      <c r="BY73" s="46"/>
      <c r="BZ73" s="46"/>
      <c r="CA73" s="46"/>
      <c r="CB73" s="46"/>
      <c r="CC73" s="46"/>
      <c r="CD73" s="46"/>
      <c r="CE73" s="46"/>
      <c r="CF73" s="46"/>
      <c r="CG73" s="46"/>
      <c r="CH73" s="46"/>
      <c r="CI73" s="46"/>
      <c r="CJ73" s="46"/>
      <c r="CK73" s="46"/>
      <c r="CL73" s="46"/>
      <c r="CM73" s="46"/>
      <c r="CN73" s="46"/>
      <c r="CO73" s="46"/>
      <c r="CP73" s="46"/>
      <c r="CQ73" s="46"/>
      <c r="CR73" s="46"/>
      <c r="CS73" s="46"/>
      <c r="CT73" s="46"/>
      <c r="CU73" s="46"/>
      <c r="CV73" s="46"/>
      <c r="CW73" s="46"/>
      <c r="CX73" s="46"/>
      <c r="CY73" s="46"/>
      <c r="CZ73" s="46"/>
      <c r="DA73" s="46"/>
      <c r="DB73" s="46"/>
      <c r="DC73" s="46"/>
    </row>
    <row r="74" spans="2:107" hidden="1" outlineLevel="2">
      <c r="B74" s="1090" t="s">
        <v>509</v>
      </c>
      <c r="C74" s="16"/>
      <c r="D74" s="16"/>
      <c r="E74" s="16"/>
      <c r="F74" s="16"/>
      <c r="G74" s="16"/>
      <c r="H74" s="16"/>
      <c r="I74" s="16"/>
      <c r="J74" s="16"/>
      <c r="K74" s="16"/>
      <c r="L74" s="16"/>
      <c r="M74" s="16"/>
      <c r="N74" s="109"/>
      <c r="O74" s="109"/>
      <c r="P74" s="109"/>
      <c r="Q74" s="109"/>
      <c r="R74" s="109"/>
      <c r="S74" s="109"/>
      <c r="T74" s="109"/>
      <c r="U74" s="109"/>
      <c r="V74" s="109"/>
      <c r="W74" s="109"/>
      <c r="X74" s="109"/>
      <c r="Y74" s="109"/>
      <c r="Z74" s="109"/>
      <c r="AA74" s="109"/>
      <c r="AB74" s="109"/>
      <c r="AC74" s="109"/>
      <c r="AD74" s="109"/>
      <c r="AE74" s="16"/>
      <c r="AF74" s="16"/>
      <c r="AG74" s="16"/>
      <c r="AH74" s="16"/>
      <c r="AI74" s="16"/>
      <c r="AJ74" s="16"/>
      <c r="AK74" s="16"/>
      <c r="AL74" s="16"/>
      <c r="AM74" s="16"/>
      <c r="AN74" s="16"/>
      <c r="AO74" s="16"/>
      <c r="AP74" s="16"/>
      <c r="AQ74" s="16"/>
      <c r="AR74" s="16"/>
      <c r="AS74" s="16"/>
      <c r="AT74" s="16"/>
      <c r="AU74" s="16"/>
      <c r="AV74" s="16"/>
      <c r="AW74" s="16"/>
      <c r="AX74" s="16"/>
      <c r="AY74" s="16"/>
      <c r="AZ74" s="16"/>
      <c r="BA74" s="16"/>
      <c r="BB74" s="16"/>
      <c r="BC74" s="16"/>
      <c r="BD74" s="68"/>
      <c r="BE74" s="68"/>
      <c r="BF74" s="68"/>
      <c r="BG74" s="68"/>
      <c r="BH74" s="68"/>
      <c r="BI74" s="68"/>
      <c r="BJ74" s="68"/>
      <c r="BK74" s="68"/>
      <c r="BL74" s="68"/>
      <c r="BM74" s="68"/>
      <c r="BN74" s="68"/>
      <c r="BO74" s="68"/>
      <c r="BP74" s="68"/>
      <c r="BQ74" s="68"/>
      <c r="BR74" s="68"/>
      <c r="BS74" s="68"/>
      <c r="BT74" s="68"/>
      <c r="BU74" s="1091">
        <v>1300.3040194476064</v>
      </c>
      <c r="BV74" s="46"/>
      <c r="BW74" s="46"/>
      <c r="BX74" s="46"/>
      <c r="BY74" s="46"/>
      <c r="BZ74" s="46"/>
      <c r="CA74" s="46"/>
      <c r="CB74" s="46"/>
      <c r="CC74" s="46"/>
      <c r="CD74" s="46"/>
      <c r="CE74" s="46"/>
      <c r="CF74" s="46"/>
      <c r="CG74" s="46"/>
      <c r="CH74" s="46"/>
      <c r="CI74" s="46"/>
      <c r="CJ74" s="46"/>
      <c r="CK74" s="46"/>
      <c r="CL74" s="46"/>
      <c r="CM74" s="46"/>
      <c r="CN74" s="46"/>
      <c r="CO74" s="46"/>
      <c r="CP74" s="46"/>
      <c r="CQ74" s="46"/>
      <c r="CR74" s="46"/>
      <c r="CS74" s="46"/>
      <c r="CT74" s="46"/>
      <c r="CU74" s="46"/>
      <c r="CV74" s="46"/>
      <c r="CW74" s="46"/>
      <c r="CX74" s="46"/>
      <c r="CY74" s="46"/>
      <c r="CZ74" s="46"/>
      <c r="DA74" s="46"/>
      <c r="DB74" s="46"/>
      <c r="DC74" s="46"/>
    </row>
    <row r="75" spans="2:107" hidden="1" outlineLevel="2">
      <c r="B75" s="1090" t="s">
        <v>512</v>
      </c>
      <c r="C75" s="16"/>
      <c r="D75" s="16"/>
      <c r="E75" s="16"/>
      <c r="F75" s="16"/>
      <c r="G75" s="16"/>
      <c r="H75" s="16"/>
      <c r="I75" s="16"/>
      <c r="J75" s="16"/>
      <c r="K75" s="16"/>
      <c r="L75" s="16"/>
      <c r="M75" s="16"/>
      <c r="N75" s="109"/>
      <c r="O75" s="109"/>
      <c r="P75" s="109"/>
      <c r="Q75" s="109"/>
      <c r="R75" s="109"/>
      <c r="S75" s="109"/>
      <c r="T75" s="109"/>
      <c r="U75" s="109"/>
      <c r="V75" s="109"/>
      <c r="W75" s="109"/>
      <c r="X75" s="109"/>
      <c r="Y75" s="109"/>
      <c r="Z75" s="109"/>
      <c r="AA75" s="109"/>
      <c r="AB75" s="109"/>
      <c r="AC75" s="109"/>
      <c r="AD75" s="109"/>
      <c r="AE75" s="16"/>
      <c r="AF75" s="16"/>
      <c r="AG75" s="16"/>
      <c r="AH75" s="16"/>
      <c r="AI75" s="16"/>
      <c r="AJ75" s="16"/>
      <c r="AK75" s="16"/>
      <c r="AL75" s="16"/>
      <c r="AM75" s="16"/>
      <c r="AN75" s="16"/>
      <c r="AO75" s="16"/>
      <c r="AP75" s="16"/>
      <c r="AQ75" s="16"/>
      <c r="AR75" s="16"/>
      <c r="AS75" s="16"/>
      <c r="AT75" s="16"/>
      <c r="AU75" s="16"/>
      <c r="AV75" s="16"/>
      <c r="AW75" s="16"/>
      <c r="AX75" s="16"/>
      <c r="AY75" s="16"/>
      <c r="AZ75" s="16"/>
      <c r="BA75" s="16"/>
      <c r="BB75" s="16"/>
      <c r="BC75" s="16"/>
      <c r="BD75" s="68"/>
      <c r="BE75" s="68"/>
      <c r="BF75" s="68"/>
      <c r="BG75" s="68"/>
      <c r="BH75" s="68"/>
      <c r="BI75" s="68"/>
      <c r="BJ75" s="68"/>
      <c r="BK75" s="68"/>
      <c r="BL75" s="68"/>
      <c r="BM75" s="68"/>
      <c r="BN75" s="68"/>
      <c r="BO75" s="68"/>
      <c r="BP75" s="68"/>
      <c r="BQ75" s="68"/>
      <c r="BR75" s="68"/>
      <c r="BS75" s="68"/>
      <c r="BT75" s="68"/>
      <c r="BU75" s="1091">
        <v>255.65694405007136</v>
      </c>
      <c r="BV75" s="46"/>
      <c r="BW75" s="46"/>
      <c r="BX75" s="46"/>
      <c r="BY75" s="46"/>
      <c r="BZ75" s="46"/>
      <c r="CA75" s="46"/>
      <c r="CB75" s="46"/>
      <c r="CC75" s="46"/>
      <c r="CD75" s="46"/>
      <c r="CE75" s="46"/>
      <c r="CF75" s="46"/>
      <c r="CG75" s="46"/>
      <c r="CH75" s="46"/>
      <c r="CI75" s="46"/>
      <c r="CJ75" s="46"/>
      <c r="CK75" s="46"/>
      <c r="CL75" s="46"/>
      <c r="CM75" s="46"/>
      <c r="CN75" s="46"/>
      <c r="CO75" s="46"/>
      <c r="CP75" s="46"/>
      <c r="CQ75" s="46"/>
      <c r="CR75" s="46"/>
      <c r="CS75" s="46"/>
      <c r="CT75" s="46"/>
      <c r="CU75" s="46"/>
      <c r="CV75" s="46"/>
      <c r="CW75" s="46"/>
      <c r="CX75" s="46"/>
      <c r="CY75" s="46"/>
      <c r="CZ75" s="46"/>
      <c r="DA75" s="46"/>
      <c r="DB75" s="46"/>
      <c r="DC75" s="46"/>
    </row>
    <row r="76" spans="2:107" ht="12.75" hidden="1" customHeight="1" outlineLevel="2">
      <c r="B76" s="58"/>
      <c r="C76" s="16"/>
      <c r="D76" s="16"/>
      <c r="E76" s="16"/>
      <c r="F76" s="16"/>
      <c r="G76" s="16"/>
      <c r="H76" s="16"/>
      <c r="I76" s="16"/>
      <c r="J76" s="16"/>
      <c r="K76" s="16"/>
      <c r="L76" s="16"/>
      <c r="M76" s="16"/>
      <c r="N76" s="109"/>
      <c r="O76" s="109"/>
      <c r="P76" s="109"/>
      <c r="Q76" s="109"/>
      <c r="R76" s="109"/>
      <c r="S76" s="109"/>
      <c r="T76" s="109"/>
      <c r="U76" s="109"/>
      <c r="V76" s="109"/>
      <c r="W76" s="109"/>
      <c r="X76" s="109"/>
      <c r="Y76" s="109"/>
      <c r="Z76" s="109"/>
      <c r="AA76" s="109"/>
      <c r="AB76" s="109"/>
      <c r="AC76" s="109"/>
      <c r="AD76" s="109"/>
      <c r="AE76" s="16"/>
      <c r="AF76" s="16"/>
      <c r="AG76" s="16"/>
      <c r="AH76" s="16"/>
      <c r="AI76" s="16"/>
      <c r="AJ76" s="16"/>
      <c r="AK76" s="16"/>
      <c r="AL76" s="16"/>
      <c r="AM76" s="16"/>
      <c r="AN76" s="16"/>
      <c r="AO76" s="16"/>
      <c r="AP76" s="16"/>
      <c r="AQ76" s="16"/>
      <c r="AR76" s="16"/>
      <c r="AS76" s="16"/>
      <c r="AT76" s="16"/>
      <c r="AU76" s="16"/>
      <c r="AV76" s="16"/>
      <c r="AW76" s="16"/>
      <c r="AX76" s="16"/>
      <c r="AY76" s="16"/>
      <c r="AZ76" s="16"/>
      <c r="BA76" s="16"/>
      <c r="BB76" s="16"/>
      <c r="BC76" s="16"/>
      <c r="BD76" s="68"/>
      <c r="BE76" s="68"/>
      <c r="BF76" s="68"/>
      <c r="BG76" s="68"/>
      <c r="BH76" s="68"/>
      <c r="BI76" s="68"/>
      <c r="BJ76" s="68"/>
      <c r="BK76" s="68"/>
      <c r="BL76" s="68"/>
      <c r="BM76" s="68"/>
      <c r="BN76" s="68"/>
      <c r="BO76" s="68"/>
      <c r="BP76" s="68"/>
      <c r="BQ76" s="68"/>
      <c r="BR76" s="68"/>
      <c r="BS76" s="68"/>
      <c r="BT76" s="68"/>
      <c r="BU76" s="68"/>
      <c r="BV76" s="46"/>
      <c r="BW76" s="46"/>
      <c r="BX76" s="46"/>
      <c r="BY76" s="46"/>
      <c r="BZ76" s="46"/>
      <c r="CA76" s="46"/>
      <c r="CB76" s="46"/>
      <c r="CC76" s="46"/>
      <c r="CD76" s="46"/>
      <c r="CE76" s="46"/>
      <c r="CF76" s="46"/>
      <c r="CG76" s="46"/>
      <c r="CH76" s="46"/>
      <c r="CI76" s="46"/>
      <c r="CJ76" s="46"/>
      <c r="CK76" s="46"/>
      <c r="CL76" s="46"/>
      <c r="CM76" s="46"/>
      <c r="CN76" s="46"/>
      <c r="CO76" s="46"/>
      <c r="CP76" s="46"/>
      <c r="CQ76" s="46"/>
      <c r="CR76" s="46"/>
      <c r="CS76" s="46"/>
      <c r="CT76" s="46"/>
      <c r="CU76" s="46"/>
      <c r="CV76" s="46"/>
      <c r="CW76" s="46"/>
      <c r="CX76" s="46"/>
      <c r="CY76" s="46"/>
      <c r="CZ76" s="46"/>
      <c r="DA76" s="46"/>
      <c r="DB76" s="46"/>
      <c r="DC76" s="46"/>
    </row>
    <row r="77" spans="2:107" ht="12" hidden="1" customHeight="1" outlineLevel="2">
      <c r="B77" s="1089" t="s">
        <v>151</v>
      </c>
      <c r="C77" s="16"/>
      <c r="D77" s="16"/>
      <c r="E77" s="16"/>
      <c r="F77" s="16"/>
      <c r="G77" s="16"/>
      <c r="H77" s="16"/>
      <c r="I77" s="16"/>
      <c r="J77" s="16"/>
      <c r="K77" s="16"/>
      <c r="L77" s="16"/>
      <c r="M77" s="16"/>
      <c r="N77" s="109"/>
      <c r="O77" s="109"/>
      <c r="P77" s="109"/>
      <c r="Q77" s="109"/>
      <c r="R77" s="109"/>
      <c r="S77" s="109"/>
      <c r="T77" s="109"/>
      <c r="U77" s="109"/>
      <c r="V77" s="109"/>
      <c r="W77" s="109"/>
      <c r="X77" s="109"/>
      <c r="Y77" s="109"/>
      <c r="Z77" s="109"/>
      <c r="AA77" s="109"/>
      <c r="AB77" s="109"/>
      <c r="AC77" s="109"/>
      <c r="AD77" s="109"/>
      <c r="AE77" s="16"/>
      <c r="AF77" s="16"/>
      <c r="AG77" s="16"/>
      <c r="AH77" s="16"/>
      <c r="AI77" s="16"/>
      <c r="AJ77" s="16"/>
      <c r="AK77" s="16"/>
      <c r="AL77" s="16"/>
      <c r="AM77" s="16"/>
      <c r="AN77" s="16"/>
      <c r="AO77" s="16"/>
      <c r="AP77" s="16"/>
      <c r="AQ77" s="16"/>
      <c r="AR77" s="16"/>
      <c r="AS77" s="16"/>
      <c r="AT77" s="16"/>
      <c r="AU77" s="16"/>
      <c r="AV77" s="16"/>
      <c r="AW77" s="16"/>
      <c r="AX77" s="16"/>
      <c r="AY77" s="16"/>
      <c r="AZ77" s="16"/>
      <c r="BA77" s="16"/>
      <c r="BB77" s="16"/>
      <c r="BC77" s="16"/>
      <c r="BD77" s="68"/>
      <c r="BE77" s="68"/>
      <c r="BF77" s="68"/>
      <c r="BG77" s="68"/>
      <c r="BH77" s="68"/>
      <c r="BI77" s="68"/>
      <c r="BJ77" s="68"/>
      <c r="BK77" s="68"/>
      <c r="BL77" s="68"/>
      <c r="BM77" s="68"/>
      <c r="BN77" s="68"/>
      <c r="BO77" s="68"/>
      <c r="BP77" s="68"/>
      <c r="BQ77" s="68"/>
      <c r="BR77" s="68"/>
      <c r="BS77" s="68"/>
      <c r="BT77" s="68"/>
      <c r="BU77" s="68"/>
      <c r="BV77" s="46"/>
      <c r="BW77" s="46"/>
      <c r="BX77" s="46"/>
      <c r="BY77" s="46"/>
      <c r="BZ77" s="46"/>
      <c r="CA77" s="46"/>
      <c r="CB77" s="46"/>
      <c r="CC77" s="46"/>
      <c r="CD77" s="46"/>
      <c r="CE77" s="46"/>
      <c r="CF77" s="46"/>
      <c r="CG77" s="46"/>
      <c r="CH77" s="46"/>
      <c r="CI77" s="46"/>
      <c r="CJ77" s="46"/>
      <c r="CK77" s="46"/>
      <c r="CL77" s="46"/>
      <c r="CM77" s="46"/>
      <c r="CN77" s="46"/>
      <c r="CO77" s="46"/>
      <c r="CP77" s="46"/>
      <c r="CQ77" s="46"/>
      <c r="CR77" s="46"/>
      <c r="CS77" s="46"/>
      <c r="CT77" s="46"/>
      <c r="CU77" s="46"/>
      <c r="CV77" s="46"/>
      <c r="CW77" s="46"/>
      <c r="CX77" s="46"/>
      <c r="CY77" s="46"/>
      <c r="CZ77" s="46"/>
      <c r="DA77" s="46"/>
      <c r="DB77" s="46"/>
      <c r="DC77" s="46"/>
    </row>
    <row r="78" spans="2:107" ht="12" hidden="1" customHeight="1" outlineLevel="2">
      <c r="B78" s="1090" t="s">
        <v>584</v>
      </c>
      <c r="C78" s="16"/>
      <c r="D78" s="16"/>
      <c r="E78" s="16"/>
      <c r="F78" s="16"/>
      <c r="G78" s="16"/>
      <c r="H78" s="16"/>
      <c r="I78" s="16"/>
      <c r="J78" s="16"/>
      <c r="K78" s="16"/>
      <c r="L78" s="16"/>
      <c r="M78" s="16"/>
      <c r="N78" s="109"/>
      <c r="O78" s="109"/>
      <c r="P78" s="109"/>
      <c r="Q78" s="109"/>
      <c r="R78" s="109"/>
      <c r="S78" s="109"/>
      <c r="T78" s="109"/>
      <c r="U78" s="109"/>
      <c r="V78" s="109"/>
      <c r="W78" s="109"/>
      <c r="X78" s="109"/>
      <c r="Y78" s="109"/>
      <c r="Z78" s="109"/>
      <c r="AA78" s="109"/>
      <c r="AB78" s="109"/>
      <c r="AC78" s="109"/>
      <c r="AD78" s="109"/>
      <c r="AE78" s="16"/>
      <c r="AF78" s="16"/>
      <c r="AG78" s="16"/>
      <c r="AH78" s="16"/>
      <c r="AI78" s="16"/>
      <c r="AJ78" s="16"/>
      <c r="AK78" s="16"/>
      <c r="AL78" s="16"/>
      <c r="AM78" s="16"/>
      <c r="AN78" s="16"/>
      <c r="AO78" s="16"/>
      <c r="AP78" s="16"/>
      <c r="AQ78" s="16"/>
      <c r="AR78" s="16"/>
      <c r="AS78" s="16"/>
      <c r="AT78" s="16"/>
      <c r="AU78" s="16"/>
      <c r="AV78" s="16"/>
      <c r="AW78" s="16"/>
      <c r="AX78" s="16"/>
      <c r="AY78" s="16"/>
      <c r="AZ78" s="16"/>
      <c r="BA78" s="16"/>
      <c r="BB78" s="16"/>
      <c r="BC78" s="16"/>
      <c r="BD78" s="68"/>
      <c r="BE78" s="68"/>
      <c r="BF78" s="68"/>
      <c r="BG78" s="68"/>
      <c r="BH78" s="68"/>
      <c r="BI78" s="68"/>
      <c r="BJ78" s="68"/>
      <c r="BK78" s="68"/>
      <c r="BL78" s="68"/>
      <c r="BM78" s="68"/>
      <c r="BN78" s="68"/>
      <c r="BO78" s="68"/>
      <c r="BP78" s="68"/>
      <c r="BQ78" s="68"/>
      <c r="BR78" s="68"/>
      <c r="BS78" s="68"/>
      <c r="BT78" s="68"/>
      <c r="BU78" s="1091">
        <v>755.31716405139116</v>
      </c>
      <c r="BV78" s="46"/>
      <c r="BW78" s="46"/>
      <c r="BX78" s="46"/>
      <c r="BY78" s="46"/>
      <c r="BZ78" s="46"/>
      <c r="CA78" s="46"/>
      <c r="CB78" s="46"/>
      <c r="CC78" s="46"/>
      <c r="CD78" s="46"/>
      <c r="CE78" s="46"/>
      <c r="CF78" s="46"/>
      <c r="CG78" s="46"/>
      <c r="CH78" s="46"/>
      <c r="CI78" s="46"/>
      <c r="CJ78" s="46"/>
      <c r="CK78" s="46"/>
      <c r="CL78" s="46"/>
      <c r="CM78" s="46"/>
      <c r="CN78" s="46"/>
      <c r="CO78" s="46"/>
      <c r="CP78" s="46"/>
      <c r="CQ78" s="46"/>
      <c r="CR78" s="46"/>
      <c r="CS78" s="46"/>
      <c r="CT78" s="46"/>
      <c r="CU78" s="46"/>
      <c r="CV78" s="46"/>
      <c r="CW78" s="46"/>
      <c r="CX78" s="46"/>
      <c r="CY78" s="46"/>
      <c r="CZ78" s="46"/>
      <c r="DA78" s="46"/>
      <c r="DB78" s="46"/>
      <c r="DC78" s="46"/>
    </row>
    <row r="79" spans="2:107" ht="12" hidden="1" customHeight="1" outlineLevel="2">
      <c r="B79" s="1090" t="s">
        <v>585</v>
      </c>
      <c r="C79" s="16"/>
      <c r="D79" s="16"/>
      <c r="E79" s="16"/>
      <c r="F79" s="16"/>
      <c r="G79" s="16"/>
      <c r="H79" s="16"/>
      <c r="I79" s="16"/>
      <c r="J79" s="16"/>
      <c r="K79" s="16"/>
      <c r="L79" s="16"/>
      <c r="M79" s="16"/>
      <c r="N79" s="109"/>
      <c r="O79" s="109"/>
      <c r="P79" s="109"/>
      <c r="Q79" s="109"/>
      <c r="R79" s="109"/>
      <c r="S79" s="109"/>
      <c r="T79" s="109"/>
      <c r="U79" s="109"/>
      <c r="V79" s="109"/>
      <c r="W79" s="109"/>
      <c r="X79" s="109"/>
      <c r="Y79" s="109"/>
      <c r="Z79" s="109"/>
      <c r="AA79" s="109"/>
      <c r="AB79" s="109"/>
      <c r="AC79" s="109"/>
      <c r="AD79" s="109"/>
      <c r="AE79" s="16"/>
      <c r="AF79" s="16"/>
      <c r="AG79" s="16"/>
      <c r="AH79" s="16"/>
      <c r="AI79" s="16"/>
      <c r="AJ79" s="16"/>
      <c r="AK79" s="16"/>
      <c r="AL79" s="16"/>
      <c r="AM79" s="16"/>
      <c r="AN79" s="16"/>
      <c r="AO79" s="16"/>
      <c r="AP79" s="16"/>
      <c r="AQ79" s="16"/>
      <c r="AR79" s="16"/>
      <c r="AS79" s="16"/>
      <c r="AT79" s="16"/>
      <c r="AU79" s="16"/>
      <c r="AV79" s="16"/>
      <c r="AW79" s="16"/>
      <c r="AX79" s="16"/>
      <c r="AY79" s="16"/>
      <c r="AZ79" s="16"/>
      <c r="BA79" s="16"/>
      <c r="BB79" s="16"/>
      <c r="BC79" s="16"/>
      <c r="BD79" s="68"/>
      <c r="BE79" s="68"/>
      <c r="BF79" s="68"/>
      <c r="BG79" s="68"/>
      <c r="BH79" s="68"/>
      <c r="BI79" s="68"/>
      <c r="BJ79" s="68"/>
      <c r="BK79" s="68"/>
      <c r="BL79" s="68"/>
      <c r="BM79" s="68"/>
      <c r="BN79" s="68"/>
      <c r="BO79" s="68"/>
      <c r="BP79" s="68"/>
      <c r="BQ79" s="68"/>
      <c r="BR79" s="68"/>
      <c r="BS79" s="68"/>
      <c r="BT79" s="68"/>
      <c r="BU79" s="1091">
        <v>212.57517314158085</v>
      </c>
      <c r="BV79" s="46"/>
      <c r="BW79" s="46"/>
      <c r="BX79" s="46"/>
      <c r="BY79" s="46"/>
      <c r="BZ79" s="46"/>
      <c r="CA79" s="46"/>
      <c r="CB79" s="46"/>
      <c r="CC79" s="46"/>
      <c r="CD79" s="46"/>
      <c r="CE79" s="46"/>
      <c r="CF79" s="46"/>
      <c r="CG79" s="46"/>
      <c r="CH79" s="46"/>
      <c r="CI79" s="46"/>
      <c r="CJ79" s="46"/>
      <c r="CK79" s="46"/>
      <c r="CL79" s="46"/>
      <c r="CM79" s="46"/>
      <c r="CN79" s="46"/>
      <c r="CO79" s="46"/>
      <c r="CP79" s="46"/>
      <c r="CQ79" s="46"/>
      <c r="CR79" s="46"/>
      <c r="CS79" s="46"/>
      <c r="CT79" s="46"/>
      <c r="CU79" s="46"/>
      <c r="CV79" s="46"/>
      <c r="CW79" s="46"/>
      <c r="CX79" s="46"/>
      <c r="CY79" s="46"/>
      <c r="CZ79" s="46"/>
      <c r="DA79" s="46"/>
      <c r="DB79" s="46"/>
      <c r="DC79" s="46"/>
    </row>
    <row r="80" spans="2:107" ht="12" hidden="1" customHeight="1" outlineLevel="2">
      <c r="B80" s="1090" t="s">
        <v>586</v>
      </c>
      <c r="C80" s="16"/>
      <c r="D80" s="16"/>
      <c r="E80" s="16"/>
      <c r="F80" s="16"/>
      <c r="G80" s="16"/>
      <c r="H80" s="16"/>
      <c r="I80" s="16"/>
      <c r="J80" s="16"/>
      <c r="K80" s="16"/>
      <c r="L80" s="16"/>
      <c r="M80" s="16"/>
      <c r="N80" s="109"/>
      <c r="O80" s="109"/>
      <c r="P80" s="109"/>
      <c r="Q80" s="109"/>
      <c r="R80" s="109"/>
      <c r="S80" s="109"/>
      <c r="T80" s="109"/>
      <c r="U80" s="109"/>
      <c r="V80" s="109"/>
      <c r="W80" s="109"/>
      <c r="X80" s="109"/>
      <c r="Y80" s="109"/>
      <c r="Z80" s="109"/>
      <c r="AA80" s="109"/>
      <c r="AB80" s="109"/>
      <c r="AC80" s="109"/>
      <c r="AD80" s="109"/>
      <c r="AE80" s="16"/>
      <c r="AF80" s="16"/>
      <c r="AG80" s="16"/>
      <c r="AH80" s="16"/>
      <c r="AI80" s="16"/>
      <c r="AJ80" s="16"/>
      <c r="AK80" s="16"/>
      <c r="AL80" s="16"/>
      <c r="AM80" s="16"/>
      <c r="AN80" s="16"/>
      <c r="AO80" s="16"/>
      <c r="AP80" s="16"/>
      <c r="AQ80" s="16"/>
      <c r="AR80" s="16"/>
      <c r="AS80" s="16"/>
      <c r="AT80" s="16"/>
      <c r="AU80" s="16"/>
      <c r="AV80" s="16"/>
      <c r="AW80" s="16"/>
      <c r="AX80" s="16"/>
      <c r="AY80" s="16"/>
      <c r="AZ80" s="16"/>
      <c r="BA80" s="16"/>
      <c r="BB80" s="16"/>
      <c r="BC80" s="16"/>
      <c r="BD80" s="68"/>
      <c r="BE80" s="68"/>
      <c r="BF80" s="68"/>
      <c r="BG80" s="68"/>
      <c r="BH80" s="68"/>
      <c r="BI80" s="68"/>
      <c r="BJ80" s="68"/>
      <c r="BK80" s="68"/>
      <c r="BL80" s="68"/>
      <c r="BM80" s="68"/>
      <c r="BN80" s="68"/>
      <c r="BO80" s="68"/>
      <c r="BP80" s="68"/>
      <c r="BQ80" s="68"/>
      <c r="BR80" s="68"/>
      <c r="BS80" s="68"/>
      <c r="BT80" s="68"/>
      <c r="BU80" s="1091">
        <v>210.55111499810107</v>
      </c>
      <c r="BV80" s="46"/>
      <c r="BW80" s="46"/>
      <c r="BX80" s="46"/>
      <c r="BY80" s="46"/>
      <c r="BZ80" s="46"/>
      <c r="CA80" s="46"/>
      <c r="CB80" s="46"/>
      <c r="CC80" s="46"/>
      <c r="CD80" s="46"/>
      <c r="CE80" s="46"/>
      <c r="CF80" s="46"/>
      <c r="CG80" s="46"/>
      <c r="CH80" s="46"/>
      <c r="CI80" s="46"/>
      <c r="CJ80" s="46"/>
      <c r="CK80" s="46"/>
      <c r="CL80" s="46"/>
      <c r="CM80" s="46"/>
      <c r="CN80" s="46"/>
      <c r="CO80" s="46"/>
      <c r="CP80" s="46"/>
      <c r="CQ80" s="46"/>
      <c r="CR80" s="46"/>
      <c r="CS80" s="46"/>
      <c r="CT80" s="46"/>
      <c r="CU80" s="46"/>
      <c r="CV80" s="46"/>
      <c r="CW80" s="46"/>
      <c r="CX80" s="46"/>
      <c r="CY80" s="46"/>
      <c r="CZ80" s="46"/>
      <c r="DA80" s="46"/>
      <c r="DB80" s="46"/>
      <c r="DC80" s="46"/>
    </row>
    <row r="81" spans="2:107" ht="12" hidden="1" customHeight="1" outlineLevel="2">
      <c r="B81" s="1090" t="s">
        <v>587</v>
      </c>
      <c r="C81" s="16"/>
      <c r="D81" s="16"/>
      <c r="E81" s="16"/>
      <c r="F81" s="16"/>
      <c r="G81" s="16"/>
      <c r="H81" s="16"/>
      <c r="I81" s="16"/>
      <c r="J81" s="16"/>
      <c r="K81" s="16"/>
      <c r="L81" s="16"/>
      <c r="M81" s="16"/>
      <c r="N81" s="109"/>
      <c r="O81" s="109"/>
      <c r="P81" s="109"/>
      <c r="Q81" s="109"/>
      <c r="R81" s="109"/>
      <c r="S81" s="109"/>
      <c r="T81" s="109"/>
      <c r="U81" s="109"/>
      <c r="V81" s="109"/>
      <c r="W81" s="109"/>
      <c r="X81" s="109"/>
      <c r="Y81" s="109"/>
      <c r="Z81" s="109"/>
      <c r="AA81" s="109"/>
      <c r="AB81" s="109"/>
      <c r="AC81" s="109"/>
      <c r="AD81" s="109"/>
      <c r="AE81" s="16"/>
      <c r="AF81" s="16"/>
      <c r="AG81" s="16"/>
      <c r="AH81" s="16"/>
      <c r="AI81" s="16"/>
      <c r="AJ81" s="16"/>
      <c r="AK81" s="16"/>
      <c r="AL81" s="16"/>
      <c r="AM81" s="16"/>
      <c r="AN81" s="16"/>
      <c r="AO81" s="16"/>
      <c r="AP81" s="16"/>
      <c r="AQ81" s="16"/>
      <c r="AR81" s="16"/>
      <c r="AS81" s="16"/>
      <c r="AT81" s="16"/>
      <c r="AU81" s="16"/>
      <c r="AV81" s="16"/>
      <c r="AW81" s="16"/>
      <c r="AX81" s="16"/>
      <c r="AY81" s="16"/>
      <c r="AZ81" s="16"/>
      <c r="BA81" s="16"/>
      <c r="BB81" s="16"/>
      <c r="BC81" s="16"/>
      <c r="BD81" s="68"/>
      <c r="BE81" s="68"/>
      <c r="BF81" s="68"/>
      <c r="BG81" s="68"/>
      <c r="BH81" s="68"/>
      <c r="BI81" s="68"/>
      <c r="BJ81" s="68"/>
      <c r="BK81" s="68"/>
      <c r="BL81" s="68"/>
      <c r="BM81" s="68"/>
      <c r="BN81" s="68"/>
      <c r="BO81" s="68"/>
      <c r="BP81" s="68"/>
      <c r="BQ81" s="68"/>
      <c r="BR81" s="68"/>
      <c r="BS81" s="68"/>
      <c r="BT81" s="68"/>
      <c r="BU81" s="1091">
        <v>177.22162423546763</v>
      </c>
      <c r="BV81" s="46"/>
      <c r="BW81" s="46"/>
      <c r="BX81" s="46"/>
      <c r="BY81" s="46"/>
      <c r="BZ81" s="46"/>
      <c r="CA81" s="46"/>
      <c r="CB81" s="46"/>
      <c r="CC81" s="46"/>
      <c r="CD81" s="46"/>
      <c r="CE81" s="46"/>
      <c r="CF81" s="46"/>
      <c r="CG81" s="46"/>
      <c r="CH81" s="46"/>
      <c r="CI81" s="46"/>
      <c r="CJ81" s="46"/>
      <c r="CK81" s="46"/>
      <c r="CL81" s="46"/>
      <c r="CM81" s="46"/>
      <c r="CN81" s="46"/>
      <c r="CO81" s="46"/>
      <c r="CP81" s="46"/>
      <c r="CQ81" s="46"/>
      <c r="CR81" s="46"/>
      <c r="CS81" s="46"/>
      <c r="CT81" s="46"/>
      <c r="CU81" s="46"/>
      <c r="CV81" s="46"/>
      <c r="CW81" s="46"/>
      <c r="CX81" s="46"/>
      <c r="CY81" s="46"/>
      <c r="CZ81" s="46"/>
      <c r="DA81" s="46"/>
      <c r="DB81" s="46"/>
      <c r="DC81" s="46"/>
    </row>
    <row r="82" spans="2:107" ht="12" hidden="1" customHeight="1" outlineLevel="2">
      <c r="B82" s="1090" t="s">
        <v>588</v>
      </c>
      <c r="C82" s="16"/>
      <c r="D82" s="16"/>
      <c r="E82" s="16"/>
      <c r="F82" s="16"/>
      <c r="G82" s="16"/>
      <c r="H82" s="16"/>
      <c r="I82" s="16"/>
      <c r="J82" s="16"/>
      <c r="K82" s="16"/>
      <c r="L82" s="16"/>
      <c r="M82" s="16"/>
      <c r="N82" s="109"/>
      <c r="O82" s="109"/>
      <c r="P82" s="109"/>
      <c r="Q82" s="109"/>
      <c r="R82" s="109"/>
      <c r="S82" s="109"/>
      <c r="T82" s="109"/>
      <c r="U82" s="109"/>
      <c r="V82" s="109"/>
      <c r="W82" s="109"/>
      <c r="X82" s="109"/>
      <c r="Y82" s="109"/>
      <c r="Z82" s="109"/>
      <c r="AA82" s="109"/>
      <c r="AB82" s="109"/>
      <c r="AC82" s="109"/>
      <c r="AD82" s="109"/>
      <c r="AE82" s="16"/>
      <c r="AF82" s="16"/>
      <c r="AG82" s="16"/>
      <c r="AH82" s="16"/>
      <c r="AI82" s="16"/>
      <c r="AJ82" s="16"/>
      <c r="AK82" s="16"/>
      <c r="AL82" s="16"/>
      <c r="AM82" s="16"/>
      <c r="AN82" s="16"/>
      <c r="AO82" s="16"/>
      <c r="AP82" s="16"/>
      <c r="AQ82" s="16"/>
      <c r="AR82" s="16"/>
      <c r="AS82" s="16"/>
      <c r="AT82" s="16"/>
      <c r="AU82" s="16"/>
      <c r="AV82" s="16"/>
      <c r="AW82" s="16"/>
      <c r="AX82" s="16"/>
      <c r="AY82" s="16"/>
      <c r="AZ82" s="16"/>
      <c r="BA82" s="16"/>
      <c r="BB82" s="16"/>
      <c r="BC82" s="16"/>
      <c r="BD82" s="68"/>
      <c r="BE82" s="68"/>
      <c r="BF82" s="68"/>
      <c r="BG82" s="68"/>
      <c r="BH82" s="68"/>
      <c r="BI82" s="68"/>
      <c r="BJ82" s="68"/>
      <c r="BK82" s="68"/>
      <c r="BL82" s="68"/>
      <c r="BM82" s="68"/>
      <c r="BN82" s="68"/>
      <c r="BO82" s="68"/>
      <c r="BP82" s="68"/>
      <c r="BQ82" s="68"/>
      <c r="BR82" s="68"/>
      <c r="BS82" s="68"/>
      <c r="BT82" s="68"/>
      <c r="BU82" s="1091">
        <v>212.57517314158085</v>
      </c>
      <c r="BV82" s="46"/>
      <c r="BW82" s="46"/>
      <c r="BX82" s="46"/>
      <c r="BY82" s="46"/>
      <c r="BZ82" s="46"/>
      <c r="CA82" s="46"/>
      <c r="CB82" s="46"/>
      <c r="CC82" s="46"/>
      <c r="CD82" s="46"/>
      <c r="CE82" s="46"/>
      <c r="CF82" s="46"/>
      <c r="CG82" s="46"/>
      <c r="CH82" s="46"/>
      <c r="CI82" s="46"/>
      <c r="CJ82" s="46"/>
      <c r="CK82" s="46"/>
      <c r="CL82" s="46"/>
      <c r="CM82" s="46"/>
      <c r="CN82" s="46"/>
      <c r="CO82" s="46"/>
      <c r="CP82" s="46"/>
      <c r="CQ82" s="46"/>
      <c r="CR82" s="46"/>
      <c r="CS82" s="46"/>
      <c r="CT82" s="46"/>
      <c r="CU82" s="46"/>
      <c r="CV82" s="46"/>
      <c r="CW82" s="46"/>
      <c r="CX82" s="46"/>
      <c r="CY82" s="46"/>
      <c r="CZ82" s="46"/>
      <c r="DA82" s="46"/>
      <c r="DB82" s="46"/>
      <c r="DC82" s="46"/>
    </row>
    <row r="83" spans="2:107" ht="12.75" hidden="1" customHeight="1" outlineLevel="2">
      <c r="B83" s="58"/>
      <c r="C83" s="16"/>
      <c r="D83" s="16"/>
      <c r="E83" s="16"/>
      <c r="F83" s="16"/>
      <c r="G83" s="16"/>
      <c r="H83" s="16"/>
      <c r="I83" s="16"/>
      <c r="J83" s="16"/>
      <c r="K83" s="16"/>
      <c r="L83" s="16"/>
      <c r="M83" s="16"/>
      <c r="N83" s="109"/>
      <c r="O83" s="109"/>
      <c r="P83" s="109"/>
      <c r="Q83" s="109"/>
      <c r="R83" s="109"/>
      <c r="S83" s="109"/>
      <c r="T83" s="109"/>
      <c r="U83" s="109"/>
      <c r="V83" s="109"/>
      <c r="W83" s="109"/>
      <c r="X83" s="109"/>
      <c r="Y83" s="109"/>
      <c r="Z83" s="109"/>
      <c r="AA83" s="109"/>
      <c r="AB83" s="109"/>
      <c r="AC83" s="109"/>
      <c r="AD83" s="109"/>
      <c r="AE83" s="16"/>
      <c r="AF83" s="16"/>
      <c r="AG83" s="16"/>
      <c r="AH83" s="16"/>
      <c r="AI83" s="16"/>
      <c r="AJ83" s="16"/>
      <c r="AK83" s="16"/>
      <c r="AL83" s="16"/>
      <c r="AM83" s="16"/>
      <c r="AN83" s="16"/>
      <c r="AO83" s="16"/>
      <c r="AP83" s="16"/>
      <c r="AQ83" s="16"/>
      <c r="AR83" s="16"/>
      <c r="AS83" s="16"/>
      <c r="AT83" s="16"/>
      <c r="AU83" s="16"/>
      <c r="AV83" s="16"/>
      <c r="AW83" s="16"/>
      <c r="AX83" s="16"/>
      <c r="AY83" s="16"/>
      <c r="AZ83" s="16"/>
      <c r="BA83" s="16"/>
      <c r="BB83" s="16"/>
      <c r="BC83" s="16"/>
      <c r="BD83" s="68"/>
      <c r="BE83" s="68"/>
      <c r="BF83" s="68"/>
      <c r="BG83" s="68"/>
      <c r="BH83" s="68"/>
      <c r="BI83" s="68"/>
      <c r="BJ83" s="68"/>
      <c r="BK83" s="68"/>
      <c r="BL83" s="68"/>
      <c r="BM83" s="68"/>
      <c r="BN83" s="68"/>
      <c r="BO83" s="68"/>
      <c r="BP83" s="68"/>
      <c r="BQ83" s="68"/>
      <c r="BR83" s="68"/>
      <c r="BS83" s="68"/>
      <c r="BT83" s="68"/>
      <c r="BU83" s="68"/>
      <c r="BV83" s="46"/>
      <c r="BW83" s="46"/>
      <c r="BX83" s="46"/>
      <c r="BY83" s="46"/>
      <c r="BZ83" s="46"/>
      <c r="CA83" s="46"/>
      <c r="CB83" s="46"/>
      <c r="CC83" s="46"/>
      <c r="CD83" s="46"/>
      <c r="CE83" s="46"/>
      <c r="CF83" s="46"/>
      <c r="CG83" s="46"/>
      <c r="CH83" s="46"/>
      <c r="CI83" s="46"/>
      <c r="CJ83" s="46"/>
      <c r="CK83" s="46"/>
      <c r="CL83" s="46"/>
      <c r="CM83" s="46"/>
      <c r="CN83" s="46"/>
      <c r="CO83" s="46"/>
      <c r="CP83" s="46"/>
      <c r="CQ83" s="46"/>
      <c r="CR83" s="46"/>
      <c r="CS83" s="46"/>
      <c r="CT83" s="46"/>
      <c r="CU83" s="46"/>
      <c r="CV83" s="46"/>
      <c r="CW83" s="46"/>
      <c r="CX83" s="46"/>
      <c r="CY83" s="46"/>
      <c r="CZ83" s="46"/>
      <c r="DA83" s="46"/>
      <c r="DB83" s="46"/>
      <c r="DC83" s="46"/>
    </row>
    <row r="84" spans="2:107" hidden="1" outlineLevel="2">
      <c r="B84" s="1089" t="s">
        <v>522</v>
      </c>
      <c r="C84" s="16"/>
      <c r="D84" s="16"/>
      <c r="E84" s="16"/>
      <c r="F84" s="16"/>
      <c r="G84" s="16"/>
      <c r="H84" s="16"/>
      <c r="I84" s="16"/>
      <c r="J84" s="16"/>
      <c r="K84" s="16"/>
      <c r="L84" s="16"/>
      <c r="M84" s="16"/>
      <c r="N84" s="109"/>
      <c r="O84" s="109"/>
      <c r="P84" s="109"/>
      <c r="Q84" s="109"/>
      <c r="R84" s="109"/>
      <c r="S84" s="109"/>
      <c r="T84" s="109"/>
      <c r="U84" s="109"/>
      <c r="V84" s="109"/>
      <c r="W84" s="109"/>
      <c r="X84" s="109"/>
      <c r="Y84" s="109"/>
      <c r="Z84" s="109"/>
      <c r="AA84" s="109"/>
      <c r="AB84" s="109"/>
      <c r="AC84" s="109"/>
      <c r="AD84" s="109"/>
      <c r="AE84" s="16"/>
      <c r="AF84" s="16"/>
      <c r="AG84" s="16"/>
      <c r="AH84" s="16"/>
      <c r="AI84" s="16"/>
      <c r="AJ84" s="16"/>
      <c r="AK84" s="16"/>
      <c r="AL84" s="16"/>
      <c r="AM84" s="16"/>
      <c r="AN84" s="16"/>
      <c r="AO84" s="16"/>
      <c r="AP84" s="16"/>
      <c r="AQ84" s="16"/>
      <c r="AR84" s="16"/>
      <c r="AS84" s="16"/>
      <c r="AT84" s="16"/>
      <c r="AU84" s="16"/>
      <c r="AV84" s="16"/>
      <c r="AW84" s="16"/>
      <c r="AX84" s="16"/>
      <c r="AY84" s="16"/>
      <c r="AZ84" s="16"/>
      <c r="BA84" s="16"/>
      <c r="BB84" s="16"/>
      <c r="BC84" s="16"/>
      <c r="BD84" s="68"/>
      <c r="BE84" s="68"/>
      <c r="BF84" s="68"/>
      <c r="BG84" s="68"/>
      <c r="BH84" s="68"/>
      <c r="BI84" s="68"/>
      <c r="BJ84" s="68"/>
      <c r="BK84" s="68"/>
      <c r="BL84" s="68"/>
      <c r="BM84" s="68"/>
      <c r="BN84" s="68"/>
      <c r="BO84" s="68"/>
      <c r="BP84" s="68"/>
      <c r="BQ84" s="68"/>
      <c r="BR84" s="68"/>
      <c r="BS84" s="68"/>
      <c r="BT84" s="68"/>
      <c r="BU84" s="68"/>
      <c r="BV84" s="46"/>
      <c r="BW84" s="46"/>
      <c r="BX84" s="46"/>
      <c r="BY84" s="46"/>
      <c r="BZ84" s="46"/>
      <c r="CA84" s="46"/>
      <c r="CB84" s="46"/>
      <c r="CC84" s="46"/>
      <c r="CD84" s="46"/>
      <c r="CE84" s="46"/>
      <c r="CF84" s="46"/>
      <c r="CG84" s="46"/>
      <c r="CH84" s="46"/>
      <c r="CI84" s="46"/>
      <c r="CJ84" s="46"/>
      <c r="CK84" s="46"/>
      <c r="CL84" s="46"/>
      <c r="CM84" s="46"/>
      <c r="CN84" s="46"/>
      <c r="CO84" s="46"/>
      <c r="CP84" s="46"/>
      <c r="CQ84" s="46"/>
      <c r="CR84" s="46"/>
      <c r="CS84" s="46"/>
      <c r="CT84" s="46"/>
      <c r="CU84" s="46"/>
      <c r="CV84" s="46"/>
      <c r="CW84" s="46"/>
      <c r="CX84" s="46"/>
      <c r="CY84" s="46"/>
      <c r="CZ84" s="46"/>
      <c r="DA84" s="46"/>
      <c r="DB84" s="46"/>
      <c r="DC84" s="46"/>
    </row>
    <row r="85" spans="2:107" hidden="1" outlineLevel="2">
      <c r="B85" s="1090" t="s">
        <v>513</v>
      </c>
      <c r="C85" s="16"/>
      <c r="D85" s="16"/>
      <c r="E85" s="16"/>
      <c r="F85" s="16"/>
      <c r="G85" s="16"/>
      <c r="H85" s="16"/>
      <c r="I85" s="16"/>
      <c r="J85" s="16"/>
      <c r="K85" s="16"/>
      <c r="L85" s="16"/>
      <c r="M85" s="16"/>
      <c r="N85" s="109"/>
      <c r="O85" s="109"/>
      <c r="P85" s="109"/>
      <c r="Q85" s="109"/>
      <c r="R85" s="109"/>
      <c r="S85" s="109"/>
      <c r="T85" s="109"/>
      <c r="U85" s="109"/>
      <c r="V85" s="109"/>
      <c r="W85" s="109"/>
      <c r="X85" s="109"/>
      <c r="Y85" s="109"/>
      <c r="Z85" s="109"/>
      <c r="AA85" s="109"/>
      <c r="AB85" s="109"/>
      <c r="AC85" s="109"/>
      <c r="AD85" s="109"/>
      <c r="AE85" s="16"/>
      <c r="AF85" s="16"/>
      <c r="AG85" s="16"/>
      <c r="AH85" s="16"/>
      <c r="AI85" s="16"/>
      <c r="AJ85" s="16"/>
      <c r="AK85" s="16"/>
      <c r="AL85" s="16"/>
      <c r="AM85" s="16"/>
      <c r="AN85" s="16"/>
      <c r="AO85" s="16"/>
      <c r="AP85" s="16"/>
      <c r="AQ85" s="16"/>
      <c r="AR85" s="16"/>
      <c r="AS85" s="16"/>
      <c r="AT85" s="16"/>
      <c r="AU85" s="16"/>
      <c r="AV85" s="16"/>
      <c r="AW85" s="16"/>
      <c r="AX85" s="16"/>
      <c r="AY85" s="16"/>
      <c r="AZ85" s="16"/>
      <c r="BA85" s="16"/>
      <c r="BB85" s="16"/>
      <c r="BC85" s="16"/>
      <c r="BD85" s="68"/>
      <c r="BE85" s="68"/>
      <c r="BF85" s="68"/>
      <c r="BG85" s="68"/>
      <c r="BH85" s="68"/>
      <c r="BI85" s="68"/>
      <c r="BJ85" s="68"/>
      <c r="BK85" s="68"/>
      <c r="BL85" s="68"/>
      <c r="BM85" s="68"/>
      <c r="BN85" s="68"/>
      <c r="BO85" s="68"/>
      <c r="BP85" s="68"/>
      <c r="BQ85" s="68"/>
      <c r="BR85" s="68"/>
      <c r="BS85" s="68"/>
      <c r="BT85" s="68"/>
      <c r="BU85" s="1091">
        <v>527.48181920987804</v>
      </c>
      <c r="BV85" s="46"/>
      <c r="BW85" s="46"/>
      <c r="BX85" s="46"/>
      <c r="BY85" s="46"/>
      <c r="BZ85" s="46"/>
      <c r="CA85" s="46"/>
      <c r="CB85" s="46"/>
      <c r="CC85" s="46"/>
      <c r="CD85" s="46"/>
      <c r="CE85" s="46"/>
      <c r="CF85" s="46"/>
      <c r="CG85" s="46"/>
      <c r="CH85" s="46"/>
      <c r="CI85" s="46"/>
      <c r="CJ85" s="46"/>
      <c r="CK85" s="46"/>
      <c r="CL85" s="46"/>
      <c r="CM85" s="46"/>
      <c r="CN85" s="46"/>
      <c r="CO85" s="46"/>
      <c r="CP85" s="46"/>
      <c r="CQ85" s="46"/>
      <c r="CR85" s="46"/>
      <c r="CS85" s="46"/>
      <c r="CT85" s="46"/>
      <c r="CU85" s="46"/>
      <c r="CV85" s="46"/>
      <c r="CW85" s="46"/>
      <c r="CX85" s="46"/>
      <c r="CY85" s="46"/>
      <c r="CZ85" s="46"/>
      <c r="DA85" s="46"/>
      <c r="DB85" s="46"/>
      <c r="DC85" s="46"/>
    </row>
    <row r="86" spans="2:107" hidden="1" outlineLevel="2">
      <c r="B86" s="1090" t="s">
        <v>515</v>
      </c>
      <c r="C86" s="16"/>
      <c r="D86" s="16"/>
      <c r="E86" s="16"/>
      <c r="F86" s="16"/>
      <c r="G86" s="16"/>
      <c r="H86" s="16"/>
      <c r="I86" s="16"/>
      <c r="J86" s="16"/>
      <c r="K86" s="16"/>
      <c r="L86" s="16"/>
      <c r="M86" s="16"/>
      <c r="N86" s="109"/>
      <c r="O86" s="109"/>
      <c r="P86" s="109"/>
      <c r="Q86" s="109"/>
      <c r="R86" s="109"/>
      <c r="S86" s="109"/>
      <c r="T86" s="109"/>
      <c r="U86" s="109"/>
      <c r="V86" s="109"/>
      <c r="W86" s="109"/>
      <c r="X86" s="109"/>
      <c r="Y86" s="109"/>
      <c r="Z86" s="109"/>
      <c r="AA86" s="109"/>
      <c r="AB86" s="109"/>
      <c r="AC86" s="109"/>
      <c r="AD86" s="109"/>
      <c r="AE86" s="16"/>
      <c r="AF86" s="16"/>
      <c r="AG86" s="16"/>
      <c r="AH86" s="16"/>
      <c r="AI86" s="16"/>
      <c r="AJ86" s="16"/>
      <c r="AK86" s="16"/>
      <c r="AL86" s="16"/>
      <c r="AM86" s="16"/>
      <c r="AN86" s="16"/>
      <c r="AO86" s="16"/>
      <c r="AP86" s="16"/>
      <c r="AQ86" s="16"/>
      <c r="AR86" s="16"/>
      <c r="AS86" s="16"/>
      <c r="AT86" s="16"/>
      <c r="AU86" s="16"/>
      <c r="AV86" s="16"/>
      <c r="AW86" s="16"/>
      <c r="AX86" s="16"/>
      <c r="AY86" s="16"/>
      <c r="AZ86" s="16"/>
      <c r="BA86" s="16"/>
      <c r="BB86" s="16"/>
      <c r="BC86" s="16"/>
      <c r="BD86" s="68"/>
      <c r="BE86" s="68"/>
      <c r="BF86" s="68"/>
      <c r="BG86" s="68"/>
      <c r="BH86" s="68"/>
      <c r="BI86" s="68"/>
      <c r="BJ86" s="68"/>
      <c r="BK86" s="68"/>
      <c r="BL86" s="68"/>
      <c r="BM86" s="68"/>
      <c r="BN86" s="68"/>
      <c r="BO86" s="68"/>
      <c r="BP86" s="68"/>
      <c r="BQ86" s="68"/>
      <c r="BR86" s="68"/>
      <c r="BS86" s="68"/>
      <c r="BT86" s="68"/>
      <c r="BU86" s="1091">
        <v>1810.6120119855348</v>
      </c>
      <c r="BV86" s="46"/>
      <c r="BW86" s="46"/>
      <c r="BX86" s="46"/>
      <c r="BY86" s="46"/>
      <c r="BZ86" s="46"/>
      <c r="CA86" s="46"/>
      <c r="CB86" s="46"/>
      <c r="CC86" s="46"/>
      <c r="CD86" s="46"/>
      <c r="CE86" s="46"/>
      <c r="CF86" s="46"/>
      <c r="CG86" s="46"/>
      <c r="CH86" s="46"/>
      <c r="CI86" s="46"/>
      <c r="CJ86" s="46"/>
      <c r="CK86" s="46"/>
      <c r="CL86" s="46"/>
      <c r="CM86" s="46"/>
      <c r="CN86" s="46"/>
      <c r="CO86" s="46"/>
      <c r="CP86" s="46"/>
      <c r="CQ86" s="46"/>
      <c r="CR86" s="46"/>
      <c r="CS86" s="46"/>
      <c r="CT86" s="46"/>
      <c r="CU86" s="46"/>
      <c r="CV86" s="46"/>
      <c r="CW86" s="46"/>
      <c r="CX86" s="46"/>
      <c r="CY86" s="46"/>
      <c r="CZ86" s="46"/>
      <c r="DA86" s="46"/>
      <c r="DB86" s="46"/>
      <c r="DC86" s="46"/>
    </row>
    <row r="87" spans="2:107" hidden="1" outlineLevel="2">
      <c r="B87" s="1090" t="s">
        <v>516</v>
      </c>
      <c r="C87" s="16"/>
      <c r="D87" s="16"/>
      <c r="E87" s="16"/>
      <c r="F87" s="16"/>
      <c r="G87" s="16"/>
      <c r="H87" s="16"/>
      <c r="I87" s="16"/>
      <c r="J87" s="16"/>
      <c r="K87" s="16"/>
      <c r="L87" s="16"/>
      <c r="M87" s="16"/>
      <c r="N87" s="109"/>
      <c r="O87" s="109"/>
      <c r="P87" s="109"/>
      <c r="Q87" s="109"/>
      <c r="R87" s="109"/>
      <c r="S87" s="109"/>
      <c r="T87" s="109"/>
      <c r="U87" s="109"/>
      <c r="V87" s="109"/>
      <c r="W87" s="109"/>
      <c r="X87" s="109"/>
      <c r="Y87" s="109"/>
      <c r="Z87" s="109"/>
      <c r="AA87" s="109"/>
      <c r="AB87" s="109"/>
      <c r="AC87" s="109"/>
      <c r="AD87" s="109"/>
      <c r="AE87" s="16"/>
      <c r="AF87" s="16"/>
      <c r="AG87" s="16"/>
      <c r="AH87" s="16"/>
      <c r="AI87" s="16"/>
      <c r="AJ87" s="16"/>
      <c r="AK87" s="16"/>
      <c r="AL87" s="16"/>
      <c r="AM87" s="16"/>
      <c r="AN87" s="16"/>
      <c r="AO87" s="16"/>
      <c r="AP87" s="16"/>
      <c r="AQ87" s="16"/>
      <c r="AR87" s="16"/>
      <c r="AS87" s="16"/>
      <c r="AT87" s="16"/>
      <c r="AU87" s="16"/>
      <c r="AV87" s="16"/>
      <c r="AW87" s="16"/>
      <c r="AX87" s="16"/>
      <c r="AY87" s="16"/>
      <c r="AZ87" s="16"/>
      <c r="BA87" s="16"/>
      <c r="BB87" s="16"/>
      <c r="BC87" s="16"/>
      <c r="BD87" s="68"/>
      <c r="BE87" s="68"/>
      <c r="BF87" s="68"/>
      <c r="BG87" s="68"/>
      <c r="BH87" s="68"/>
      <c r="BI87" s="68"/>
      <c r="BJ87" s="68"/>
      <c r="BK87" s="68"/>
      <c r="BL87" s="68"/>
      <c r="BM87" s="68"/>
      <c r="BN87" s="68"/>
      <c r="BO87" s="68"/>
      <c r="BP87" s="68"/>
      <c r="BQ87" s="68"/>
      <c r="BR87" s="68"/>
      <c r="BS87" s="68"/>
      <c r="BT87" s="68"/>
      <c r="BU87" s="1091">
        <v>1171.500319407985</v>
      </c>
      <c r="BV87" s="46"/>
      <c r="BW87" s="46"/>
      <c r="BX87" s="46"/>
      <c r="BY87" s="46"/>
      <c r="BZ87" s="46"/>
      <c r="CA87" s="46"/>
      <c r="CB87" s="46"/>
      <c r="CC87" s="46"/>
      <c r="CD87" s="46"/>
      <c r="CE87" s="46"/>
      <c r="CF87" s="46"/>
      <c r="CG87" s="46"/>
      <c r="CH87" s="46"/>
      <c r="CI87" s="46"/>
      <c r="CJ87" s="46"/>
      <c r="CK87" s="46"/>
      <c r="CL87" s="46"/>
      <c r="CM87" s="46"/>
      <c r="CN87" s="46"/>
      <c r="CO87" s="46"/>
      <c r="CP87" s="46"/>
      <c r="CQ87" s="46"/>
      <c r="CR87" s="46"/>
      <c r="CS87" s="46"/>
      <c r="CT87" s="46"/>
      <c r="CU87" s="46"/>
      <c r="CV87" s="46"/>
      <c r="CW87" s="46"/>
      <c r="CX87" s="46"/>
      <c r="CY87" s="46"/>
      <c r="CZ87" s="46"/>
      <c r="DA87" s="46"/>
      <c r="DB87" s="46"/>
      <c r="DC87" s="46"/>
    </row>
    <row r="88" spans="2:107" hidden="1" outlineLevel="2">
      <c r="B88" s="1090" t="s">
        <v>517</v>
      </c>
      <c r="C88" s="16"/>
      <c r="D88" s="16"/>
      <c r="E88" s="16"/>
      <c r="F88" s="16"/>
      <c r="G88" s="16"/>
      <c r="H88" s="16"/>
      <c r="I88" s="16"/>
      <c r="J88" s="16"/>
      <c r="K88" s="16"/>
      <c r="L88" s="16"/>
      <c r="M88" s="16"/>
      <c r="N88" s="109"/>
      <c r="O88" s="109"/>
      <c r="P88" s="109"/>
      <c r="Q88" s="109"/>
      <c r="R88" s="109"/>
      <c r="S88" s="109"/>
      <c r="T88" s="109"/>
      <c r="U88" s="109"/>
      <c r="V88" s="109"/>
      <c r="W88" s="109"/>
      <c r="X88" s="109"/>
      <c r="Y88" s="109"/>
      <c r="Z88" s="109"/>
      <c r="AA88" s="109"/>
      <c r="AB88" s="109"/>
      <c r="AC88" s="109"/>
      <c r="AD88" s="109"/>
      <c r="AE88" s="16"/>
      <c r="AF88" s="16"/>
      <c r="AG88" s="16"/>
      <c r="AH88" s="16"/>
      <c r="AI88" s="16"/>
      <c r="AJ88" s="16"/>
      <c r="AK88" s="16"/>
      <c r="AL88" s="16"/>
      <c r="AM88" s="16"/>
      <c r="AN88" s="16"/>
      <c r="AO88" s="16"/>
      <c r="AP88" s="16"/>
      <c r="AQ88" s="16"/>
      <c r="AR88" s="16"/>
      <c r="AS88" s="16"/>
      <c r="AT88" s="16"/>
      <c r="AU88" s="16"/>
      <c r="AV88" s="16"/>
      <c r="AW88" s="16"/>
      <c r="AX88" s="16"/>
      <c r="AY88" s="16"/>
      <c r="AZ88" s="16"/>
      <c r="BA88" s="16"/>
      <c r="BB88" s="16"/>
      <c r="BC88" s="16"/>
      <c r="BD88" s="68"/>
      <c r="BE88" s="68"/>
      <c r="BF88" s="68"/>
      <c r="BG88" s="68"/>
      <c r="BH88" s="68"/>
      <c r="BI88" s="68"/>
      <c r="BJ88" s="68"/>
      <c r="BK88" s="68"/>
      <c r="BL88" s="68"/>
      <c r="BM88" s="68"/>
      <c r="BN88" s="68"/>
      <c r="BO88" s="68"/>
      <c r="BP88" s="68"/>
      <c r="BQ88" s="68"/>
      <c r="BR88" s="68"/>
      <c r="BS88" s="68"/>
      <c r="BT88" s="68"/>
      <c r="BU88" s="1091">
        <v>1226.7019051392513</v>
      </c>
      <c r="BV88" s="46"/>
      <c r="BW88" s="46"/>
      <c r="BX88" s="46"/>
      <c r="BY88" s="46"/>
      <c r="BZ88" s="46"/>
      <c r="CA88" s="46"/>
      <c r="CB88" s="46"/>
      <c r="CC88" s="46"/>
      <c r="CD88" s="46"/>
      <c r="CE88" s="46"/>
      <c r="CF88" s="46"/>
      <c r="CG88" s="46"/>
      <c r="CH88" s="46"/>
      <c r="CI88" s="46"/>
      <c r="CJ88" s="46"/>
      <c r="CK88" s="46"/>
      <c r="CL88" s="46"/>
      <c r="CM88" s="46"/>
      <c r="CN88" s="46"/>
      <c r="CO88" s="46"/>
      <c r="CP88" s="46"/>
      <c r="CQ88" s="46"/>
      <c r="CR88" s="46"/>
      <c r="CS88" s="46"/>
      <c r="CT88" s="46"/>
      <c r="CU88" s="46"/>
      <c r="CV88" s="46"/>
      <c r="CW88" s="46"/>
      <c r="CX88" s="46"/>
      <c r="CY88" s="46"/>
      <c r="CZ88" s="46"/>
      <c r="DA88" s="46"/>
      <c r="DB88" s="46"/>
      <c r="DC88" s="46"/>
    </row>
    <row r="89" spans="2:107" hidden="1" outlineLevel="2">
      <c r="B89" s="1090" t="s">
        <v>518</v>
      </c>
      <c r="C89" s="16"/>
      <c r="D89" s="16"/>
      <c r="E89" s="16"/>
      <c r="F89" s="16"/>
      <c r="G89" s="16"/>
      <c r="H89" s="16"/>
      <c r="I89" s="16"/>
      <c r="J89" s="16"/>
      <c r="K89" s="16"/>
      <c r="L89" s="16"/>
      <c r="M89" s="16"/>
      <c r="N89" s="109"/>
      <c r="O89" s="109"/>
      <c r="P89" s="109"/>
      <c r="Q89" s="109"/>
      <c r="R89" s="109"/>
      <c r="S89" s="109"/>
      <c r="T89" s="109"/>
      <c r="U89" s="109"/>
      <c r="V89" s="109"/>
      <c r="W89" s="109"/>
      <c r="X89" s="109"/>
      <c r="Y89" s="109"/>
      <c r="Z89" s="109"/>
      <c r="AA89" s="109"/>
      <c r="AB89" s="109"/>
      <c r="AC89" s="109"/>
      <c r="AD89" s="109"/>
      <c r="AE89" s="16"/>
      <c r="AF89" s="16"/>
      <c r="AG89" s="16"/>
      <c r="AH89" s="16"/>
      <c r="AI89" s="16"/>
      <c r="AJ89" s="16"/>
      <c r="AK89" s="16"/>
      <c r="AL89" s="16"/>
      <c r="AM89" s="16"/>
      <c r="AN89" s="16"/>
      <c r="AO89" s="16"/>
      <c r="AP89" s="16"/>
      <c r="AQ89" s="16"/>
      <c r="AR89" s="16"/>
      <c r="AS89" s="16"/>
      <c r="AT89" s="16"/>
      <c r="AU89" s="16"/>
      <c r="AV89" s="16"/>
      <c r="AW89" s="16"/>
      <c r="AX89" s="16"/>
      <c r="AY89" s="16"/>
      <c r="AZ89" s="16"/>
      <c r="BA89" s="16"/>
      <c r="BB89" s="16"/>
      <c r="BC89" s="16"/>
      <c r="BD89" s="68"/>
      <c r="BE89" s="68"/>
      <c r="BF89" s="68"/>
      <c r="BG89" s="68"/>
      <c r="BH89" s="68"/>
      <c r="BI89" s="68"/>
      <c r="BJ89" s="68"/>
      <c r="BK89" s="68"/>
      <c r="BL89" s="68"/>
      <c r="BM89" s="68"/>
      <c r="BN89" s="68"/>
      <c r="BO89" s="68"/>
      <c r="BP89" s="68"/>
      <c r="BQ89" s="68"/>
      <c r="BR89" s="68"/>
      <c r="BS89" s="68"/>
      <c r="BT89" s="68"/>
      <c r="BU89" s="1091">
        <v>1128.5657527281112</v>
      </c>
      <c r="BV89" s="46"/>
      <c r="BW89" s="46"/>
      <c r="BX89" s="46"/>
      <c r="BY89" s="46"/>
      <c r="BZ89" s="46"/>
      <c r="CA89" s="46"/>
      <c r="CB89" s="46"/>
      <c r="CC89" s="46"/>
      <c r="CD89" s="46"/>
      <c r="CE89" s="46"/>
      <c r="CF89" s="46"/>
      <c r="CG89" s="46"/>
      <c r="CH89" s="46"/>
      <c r="CI89" s="46"/>
      <c r="CJ89" s="46"/>
      <c r="CK89" s="46"/>
      <c r="CL89" s="46"/>
      <c r="CM89" s="46"/>
      <c r="CN89" s="46"/>
      <c r="CO89" s="46"/>
      <c r="CP89" s="46"/>
      <c r="CQ89" s="46"/>
      <c r="CR89" s="46"/>
      <c r="CS89" s="46"/>
      <c r="CT89" s="46"/>
      <c r="CU89" s="46"/>
      <c r="CV89" s="46"/>
      <c r="CW89" s="46"/>
      <c r="CX89" s="46"/>
      <c r="CY89" s="46"/>
      <c r="CZ89" s="46"/>
      <c r="DA89" s="46"/>
      <c r="DB89" s="46"/>
      <c r="DC89" s="46"/>
    </row>
    <row r="90" spans="2:107" hidden="1" outlineLevel="2">
      <c r="B90" s="1090" t="s">
        <v>519</v>
      </c>
      <c r="C90" s="16"/>
      <c r="D90" s="16"/>
      <c r="E90" s="16"/>
      <c r="F90" s="16"/>
      <c r="G90" s="16"/>
      <c r="H90" s="16"/>
      <c r="I90" s="16"/>
      <c r="J90" s="16"/>
      <c r="K90" s="16"/>
      <c r="L90" s="16"/>
      <c r="M90" s="16"/>
      <c r="N90" s="109"/>
      <c r="O90" s="109"/>
      <c r="P90" s="109"/>
      <c r="Q90" s="109"/>
      <c r="R90" s="109"/>
      <c r="S90" s="109"/>
      <c r="T90" s="109"/>
      <c r="U90" s="109"/>
      <c r="V90" s="109"/>
      <c r="W90" s="109"/>
      <c r="X90" s="109"/>
      <c r="Y90" s="109"/>
      <c r="Z90" s="109"/>
      <c r="AA90" s="109"/>
      <c r="AB90" s="109"/>
      <c r="AC90" s="109"/>
      <c r="AD90" s="109"/>
      <c r="AE90" s="16"/>
      <c r="AF90" s="16"/>
      <c r="AG90" s="16"/>
      <c r="AH90" s="16"/>
      <c r="AI90" s="16"/>
      <c r="AJ90" s="16"/>
      <c r="AK90" s="16"/>
      <c r="AL90" s="16"/>
      <c r="AM90" s="16"/>
      <c r="AN90" s="16"/>
      <c r="AO90" s="16"/>
      <c r="AP90" s="16"/>
      <c r="AQ90" s="16"/>
      <c r="AR90" s="16"/>
      <c r="AS90" s="16"/>
      <c r="AT90" s="16"/>
      <c r="AU90" s="16"/>
      <c r="AV90" s="16"/>
      <c r="AW90" s="16"/>
      <c r="AX90" s="16"/>
      <c r="AY90" s="16"/>
      <c r="AZ90" s="16"/>
      <c r="BA90" s="16"/>
      <c r="BB90" s="16"/>
      <c r="BC90" s="16"/>
      <c r="BD90" s="68"/>
      <c r="BE90" s="68"/>
      <c r="BF90" s="68"/>
      <c r="BG90" s="68"/>
      <c r="BH90" s="68"/>
      <c r="BI90" s="68"/>
      <c r="BJ90" s="68"/>
      <c r="BK90" s="68"/>
      <c r="BL90" s="68"/>
      <c r="BM90" s="68"/>
      <c r="BN90" s="68"/>
      <c r="BO90" s="68"/>
      <c r="BP90" s="68"/>
      <c r="BQ90" s="68"/>
      <c r="BR90" s="68"/>
      <c r="BS90" s="68"/>
      <c r="BT90" s="68"/>
      <c r="BU90" s="1091">
        <v>187.14564264804417</v>
      </c>
      <c r="BV90" s="46"/>
      <c r="BW90" s="46"/>
      <c r="BX90" s="46"/>
      <c r="BY90" s="46"/>
      <c r="BZ90" s="46"/>
      <c r="CA90" s="46"/>
      <c r="CB90" s="46"/>
      <c r="CC90" s="46"/>
      <c r="CD90" s="46"/>
      <c r="CE90" s="46"/>
      <c r="CF90" s="46"/>
      <c r="CG90" s="46"/>
      <c r="CH90" s="46"/>
      <c r="CI90" s="46"/>
      <c r="CJ90" s="46"/>
      <c r="CK90" s="46"/>
      <c r="CL90" s="46"/>
      <c r="CM90" s="46"/>
      <c r="CN90" s="46"/>
      <c r="CO90" s="46"/>
      <c r="CP90" s="46"/>
      <c r="CQ90" s="46"/>
      <c r="CR90" s="46"/>
      <c r="CS90" s="46"/>
      <c r="CT90" s="46"/>
      <c r="CU90" s="46"/>
      <c r="CV90" s="46"/>
      <c r="CW90" s="46"/>
      <c r="CX90" s="46"/>
      <c r="CY90" s="46"/>
      <c r="CZ90" s="46"/>
      <c r="DA90" s="46"/>
      <c r="DB90" s="46"/>
      <c r="DC90" s="46"/>
    </row>
    <row r="91" spans="2:107" hidden="1" outlineLevel="2">
      <c r="B91" s="1090" t="s">
        <v>520</v>
      </c>
      <c r="C91" s="16"/>
      <c r="D91" s="16"/>
      <c r="E91" s="16"/>
      <c r="F91" s="16"/>
      <c r="G91" s="16"/>
      <c r="H91" s="16"/>
      <c r="I91" s="16"/>
      <c r="J91" s="16"/>
      <c r="K91" s="16"/>
      <c r="L91" s="16"/>
      <c r="M91" s="16"/>
      <c r="N91" s="109"/>
      <c r="O91" s="109"/>
      <c r="P91" s="109"/>
      <c r="Q91" s="109"/>
      <c r="R91" s="109"/>
      <c r="S91" s="109"/>
      <c r="T91" s="109"/>
      <c r="U91" s="109"/>
      <c r="V91" s="109"/>
      <c r="W91" s="109"/>
      <c r="X91" s="109"/>
      <c r="Y91" s="109"/>
      <c r="Z91" s="109"/>
      <c r="AA91" s="109"/>
      <c r="AB91" s="109"/>
      <c r="AC91" s="109"/>
      <c r="AD91" s="109"/>
      <c r="AE91" s="16"/>
      <c r="AF91" s="16"/>
      <c r="AG91" s="16"/>
      <c r="AH91" s="16"/>
      <c r="AI91" s="16"/>
      <c r="AJ91" s="16"/>
      <c r="AK91" s="16"/>
      <c r="AL91" s="16"/>
      <c r="AM91" s="16"/>
      <c r="AN91" s="16"/>
      <c r="AO91" s="16"/>
      <c r="AP91" s="16"/>
      <c r="AQ91" s="16"/>
      <c r="AR91" s="16"/>
      <c r="AS91" s="16"/>
      <c r="AT91" s="16"/>
      <c r="AU91" s="16"/>
      <c r="AV91" s="16"/>
      <c r="AW91" s="16"/>
      <c r="AX91" s="16"/>
      <c r="AY91" s="16"/>
      <c r="AZ91" s="16"/>
      <c r="BA91" s="16"/>
      <c r="BB91" s="16"/>
      <c r="BC91" s="16"/>
      <c r="BD91" s="68"/>
      <c r="BE91" s="68"/>
      <c r="BF91" s="68"/>
      <c r="BG91" s="68"/>
      <c r="BH91" s="68"/>
      <c r="BI91" s="68"/>
      <c r="BJ91" s="68"/>
      <c r="BK91" s="68"/>
      <c r="BL91" s="68"/>
      <c r="BM91" s="68"/>
      <c r="BN91" s="68"/>
      <c r="BO91" s="68"/>
      <c r="BP91" s="68"/>
      <c r="BQ91" s="68"/>
      <c r="BR91" s="68"/>
      <c r="BS91" s="68"/>
      <c r="BT91" s="68"/>
      <c r="BU91" s="1091">
        <v>544.43483953890245</v>
      </c>
      <c r="BV91" s="46"/>
      <c r="BW91" s="46"/>
      <c r="BX91" s="46"/>
      <c r="BY91" s="46"/>
      <c r="BZ91" s="46"/>
      <c r="CA91" s="46"/>
      <c r="CB91" s="46"/>
      <c r="CC91" s="46"/>
      <c r="CD91" s="46"/>
      <c r="CE91" s="46"/>
      <c r="CF91" s="46"/>
      <c r="CG91" s="46"/>
      <c r="CH91" s="46"/>
      <c r="CI91" s="46"/>
      <c r="CJ91" s="46"/>
      <c r="CK91" s="46"/>
      <c r="CL91" s="46"/>
      <c r="CM91" s="46"/>
      <c r="CN91" s="46"/>
      <c r="CO91" s="46"/>
      <c r="CP91" s="46"/>
      <c r="CQ91" s="46"/>
      <c r="CR91" s="46"/>
      <c r="CS91" s="46"/>
      <c r="CT91" s="46"/>
      <c r="CU91" s="46"/>
      <c r="CV91" s="46"/>
      <c r="CW91" s="46"/>
      <c r="CX91" s="46"/>
      <c r="CY91" s="46"/>
      <c r="CZ91" s="46"/>
      <c r="DA91" s="46"/>
      <c r="DB91" s="46"/>
      <c r="DC91" s="46"/>
    </row>
    <row r="92" spans="2:107" hidden="1" outlineLevel="2">
      <c r="B92" s="1090" t="s">
        <v>521</v>
      </c>
      <c r="C92" s="16"/>
      <c r="D92" s="16"/>
      <c r="E92" s="16"/>
      <c r="F92" s="16"/>
      <c r="G92" s="16"/>
      <c r="H92" s="16"/>
      <c r="I92" s="16"/>
      <c r="J92" s="16"/>
      <c r="K92" s="16"/>
      <c r="L92" s="16"/>
      <c r="M92" s="16"/>
      <c r="N92" s="109"/>
      <c r="O92" s="109"/>
      <c r="P92" s="109"/>
      <c r="Q92" s="109"/>
      <c r="R92" s="109"/>
      <c r="S92" s="109"/>
      <c r="T92" s="109"/>
      <c r="U92" s="109"/>
      <c r="V92" s="109"/>
      <c r="W92" s="109"/>
      <c r="X92" s="109"/>
      <c r="Y92" s="109"/>
      <c r="Z92" s="109"/>
      <c r="AA92" s="109"/>
      <c r="AB92" s="109"/>
      <c r="AC92" s="109"/>
      <c r="AD92" s="109"/>
      <c r="AE92" s="16"/>
      <c r="AF92" s="16"/>
      <c r="AG92" s="16"/>
      <c r="AH92" s="16"/>
      <c r="AI92" s="16"/>
      <c r="AJ92" s="16"/>
      <c r="AK92" s="16"/>
      <c r="AL92" s="16"/>
      <c r="AM92" s="16"/>
      <c r="AN92" s="16"/>
      <c r="AO92" s="16"/>
      <c r="AP92" s="16"/>
      <c r="AQ92" s="16"/>
      <c r="AR92" s="16"/>
      <c r="AS92" s="16"/>
      <c r="AT92" s="16"/>
      <c r="AU92" s="16"/>
      <c r="AV92" s="16"/>
      <c r="AW92" s="16"/>
      <c r="AX92" s="16"/>
      <c r="AY92" s="16"/>
      <c r="AZ92" s="16"/>
      <c r="BA92" s="16"/>
      <c r="BB92" s="16"/>
      <c r="BC92" s="16"/>
      <c r="BD92" s="68"/>
      <c r="BE92" s="68"/>
      <c r="BF92" s="68"/>
      <c r="BG92" s="68"/>
      <c r="BH92" s="68"/>
      <c r="BI92" s="68"/>
      <c r="BJ92" s="68"/>
      <c r="BK92" s="68"/>
      <c r="BL92" s="68"/>
      <c r="BM92" s="68"/>
      <c r="BN92" s="68"/>
      <c r="BO92" s="68"/>
      <c r="BP92" s="68"/>
      <c r="BQ92" s="68"/>
      <c r="BR92" s="68"/>
      <c r="BS92" s="68"/>
      <c r="BT92" s="68"/>
      <c r="BU92" s="1091">
        <v>301.47426020702238</v>
      </c>
      <c r="BV92" s="46"/>
      <c r="BW92" s="46"/>
      <c r="BX92" s="46"/>
      <c r="BY92" s="46"/>
      <c r="BZ92" s="46"/>
      <c r="CA92" s="46"/>
      <c r="CB92" s="46"/>
      <c r="CC92" s="46"/>
      <c r="CD92" s="46"/>
      <c r="CE92" s="46"/>
      <c r="CF92" s="46"/>
      <c r="CG92" s="46"/>
      <c r="CH92" s="46"/>
      <c r="CI92" s="46"/>
      <c r="CJ92" s="46"/>
      <c r="CK92" s="46"/>
      <c r="CL92" s="46"/>
      <c r="CM92" s="46"/>
      <c r="CN92" s="46"/>
      <c r="CO92" s="46"/>
      <c r="CP92" s="46"/>
      <c r="CQ92" s="46"/>
      <c r="CR92" s="46"/>
      <c r="CS92" s="46"/>
      <c r="CT92" s="46"/>
      <c r="CU92" s="46"/>
      <c r="CV92" s="46"/>
      <c r="CW92" s="46"/>
      <c r="CX92" s="46"/>
      <c r="CY92" s="46"/>
      <c r="CZ92" s="46"/>
      <c r="DA92" s="46"/>
      <c r="DB92" s="46"/>
      <c r="DC92" s="46"/>
    </row>
    <row r="93" spans="2:107" ht="12.75" hidden="1" customHeight="1" outlineLevel="2">
      <c r="B93" s="58"/>
      <c r="C93" s="16"/>
      <c r="D93" s="16"/>
      <c r="E93" s="16"/>
      <c r="F93" s="16"/>
      <c r="G93" s="16"/>
      <c r="H93" s="16"/>
      <c r="I93" s="16"/>
      <c r="J93" s="16"/>
      <c r="K93" s="16"/>
      <c r="L93" s="16"/>
      <c r="M93" s="16"/>
      <c r="N93" s="109"/>
      <c r="O93" s="109"/>
      <c r="P93" s="109"/>
      <c r="Q93" s="109"/>
      <c r="R93" s="109"/>
      <c r="S93" s="109"/>
      <c r="T93" s="109"/>
      <c r="U93" s="109"/>
      <c r="V93" s="109"/>
      <c r="W93" s="109"/>
      <c r="X93" s="109"/>
      <c r="Y93" s="109"/>
      <c r="Z93" s="109"/>
      <c r="AA93" s="109"/>
      <c r="AB93" s="109"/>
      <c r="AC93" s="109"/>
      <c r="AD93" s="109"/>
      <c r="AE93" s="16"/>
      <c r="AF93" s="16"/>
      <c r="AG93" s="16"/>
      <c r="AH93" s="16"/>
      <c r="AI93" s="16"/>
      <c r="AJ93" s="16"/>
      <c r="AK93" s="16"/>
      <c r="AL93" s="16"/>
      <c r="AM93" s="16"/>
      <c r="AN93" s="16"/>
      <c r="AO93" s="16"/>
      <c r="AP93" s="16"/>
      <c r="AQ93" s="16"/>
      <c r="AR93" s="16"/>
      <c r="AS93" s="16"/>
      <c r="AT93" s="16"/>
      <c r="AU93" s="16"/>
      <c r="AV93" s="16"/>
      <c r="AW93" s="16"/>
      <c r="AX93" s="16"/>
      <c r="AY93" s="16"/>
      <c r="AZ93" s="16"/>
      <c r="BA93" s="16"/>
      <c r="BB93" s="16"/>
      <c r="BC93" s="16"/>
      <c r="BD93" s="68"/>
      <c r="BE93" s="68"/>
      <c r="BF93" s="68"/>
      <c r="BG93" s="68"/>
      <c r="BH93" s="68"/>
      <c r="BI93" s="68"/>
      <c r="BJ93" s="68"/>
      <c r="BK93" s="68"/>
      <c r="BL93" s="68"/>
      <c r="BM93" s="68"/>
      <c r="BN93" s="68"/>
      <c r="BO93" s="68"/>
      <c r="BP93" s="68"/>
      <c r="BQ93" s="68"/>
      <c r="BR93" s="68"/>
      <c r="BS93" s="68"/>
      <c r="BT93" s="68"/>
      <c r="BU93" s="68"/>
      <c r="BV93" s="46"/>
      <c r="BW93" s="46"/>
      <c r="BX93" s="46"/>
      <c r="BY93" s="46"/>
      <c r="BZ93" s="46"/>
      <c r="CA93" s="46"/>
      <c r="CB93" s="46"/>
      <c r="CC93" s="46"/>
      <c r="CD93" s="46"/>
      <c r="CE93" s="46"/>
      <c r="CF93" s="46"/>
      <c r="CG93" s="46"/>
      <c r="CH93" s="46"/>
      <c r="CI93" s="46"/>
      <c r="CJ93" s="46"/>
      <c r="CK93" s="46"/>
      <c r="CL93" s="46"/>
      <c r="CM93" s="46"/>
      <c r="CN93" s="46"/>
      <c r="CO93" s="46"/>
      <c r="CP93" s="46"/>
      <c r="CQ93" s="46"/>
      <c r="CR93" s="46"/>
      <c r="CS93" s="46"/>
      <c r="CT93" s="46"/>
      <c r="CU93" s="46"/>
      <c r="CV93" s="46"/>
      <c r="CW93" s="46"/>
      <c r="CX93" s="46"/>
      <c r="CY93" s="46"/>
      <c r="CZ93" s="46"/>
      <c r="DA93" s="46"/>
      <c r="DB93" s="46"/>
      <c r="DC93" s="46"/>
    </row>
    <row r="94" spans="2:107" hidden="1" outlineLevel="2">
      <c r="B94" s="1089" t="s">
        <v>153</v>
      </c>
      <c r="C94" s="16"/>
      <c r="D94" s="16"/>
      <c r="E94" s="16"/>
      <c r="F94" s="16"/>
      <c r="G94" s="16"/>
      <c r="H94" s="16"/>
      <c r="I94" s="16"/>
      <c r="J94" s="16"/>
      <c r="K94" s="16"/>
      <c r="L94" s="16"/>
      <c r="M94" s="16"/>
      <c r="N94" s="109"/>
      <c r="O94" s="109"/>
      <c r="P94" s="109"/>
      <c r="Q94" s="109"/>
      <c r="R94" s="109"/>
      <c r="S94" s="109"/>
      <c r="T94" s="109"/>
      <c r="U94" s="109"/>
      <c r="V94" s="109"/>
      <c r="W94" s="109"/>
      <c r="X94" s="109"/>
      <c r="Y94" s="109"/>
      <c r="Z94" s="109"/>
      <c r="AA94" s="109"/>
      <c r="AB94" s="109"/>
      <c r="AC94" s="109"/>
      <c r="AD94" s="109"/>
      <c r="AE94" s="16"/>
      <c r="AF94" s="16"/>
      <c r="AG94" s="16"/>
      <c r="AH94" s="16"/>
      <c r="AI94" s="16"/>
      <c r="AJ94" s="16"/>
      <c r="AK94" s="16"/>
      <c r="AL94" s="16"/>
      <c r="AM94" s="16"/>
      <c r="AN94" s="16"/>
      <c r="AO94" s="16"/>
      <c r="AP94" s="16"/>
      <c r="AQ94" s="16"/>
      <c r="AR94" s="16"/>
      <c r="AS94" s="16"/>
      <c r="AT94" s="16"/>
      <c r="AU94" s="16"/>
      <c r="AV94" s="16"/>
      <c r="AW94" s="16"/>
      <c r="AX94" s="16"/>
      <c r="AY94" s="16"/>
      <c r="AZ94" s="16"/>
      <c r="BA94" s="16"/>
      <c r="BB94" s="16"/>
      <c r="BC94" s="16"/>
      <c r="BD94" s="68"/>
      <c r="BE94" s="68"/>
      <c r="BF94" s="68"/>
      <c r="BG94" s="68"/>
      <c r="BH94" s="68"/>
      <c r="BI94" s="68"/>
      <c r="BJ94" s="68"/>
      <c r="BK94" s="68"/>
      <c r="BL94" s="68"/>
      <c r="BM94" s="68"/>
      <c r="BN94" s="68"/>
      <c r="BO94" s="68"/>
      <c r="BP94" s="68"/>
      <c r="BQ94" s="68"/>
      <c r="BR94" s="68"/>
      <c r="BS94" s="68"/>
      <c r="BT94" s="68"/>
      <c r="BU94" s="68"/>
      <c r="BV94" s="46"/>
      <c r="BW94" s="46"/>
      <c r="BX94" s="46"/>
      <c r="BY94" s="46"/>
      <c r="BZ94" s="46"/>
      <c r="CA94" s="46"/>
      <c r="CB94" s="46"/>
      <c r="CC94" s="46"/>
      <c r="CD94" s="46"/>
      <c r="CE94" s="46"/>
      <c r="CF94" s="46"/>
      <c r="CG94" s="46"/>
      <c r="CH94" s="46"/>
      <c r="CI94" s="46"/>
      <c r="CJ94" s="46"/>
      <c r="CK94" s="46"/>
      <c r="CL94" s="46"/>
      <c r="CM94" s="46"/>
      <c r="CN94" s="46"/>
      <c r="CO94" s="46"/>
      <c r="CP94" s="46"/>
      <c r="CQ94" s="46"/>
      <c r="CR94" s="46"/>
      <c r="CS94" s="46"/>
      <c r="CT94" s="46"/>
      <c r="CU94" s="46"/>
      <c r="CV94" s="46"/>
      <c r="CW94" s="46"/>
      <c r="CX94" s="46"/>
      <c r="CY94" s="46"/>
      <c r="CZ94" s="46"/>
      <c r="DA94" s="46"/>
      <c r="DB94" s="46"/>
      <c r="DC94" s="46"/>
    </row>
    <row r="95" spans="2:107" hidden="1" outlineLevel="2">
      <c r="B95" s="1090" t="s">
        <v>523</v>
      </c>
      <c r="C95" s="16"/>
      <c r="D95" s="16"/>
      <c r="E95" s="16"/>
      <c r="F95" s="16"/>
      <c r="G95" s="16"/>
      <c r="H95" s="16"/>
      <c r="I95" s="16"/>
      <c r="J95" s="16"/>
      <c r="K95" s="16"/>
      <c r="L95" s="16"/>
      <c r="M95" s="16"/>
      <c r="N95" s="109"/>
      <c r="O95" s="109"/>
      <c r="P95" s="109"/>
      <c r="Q95" s="109"/>
      <c r="R95" s="109"/>
      <c r="S95" s="109"/>
      <c r="T95" s="109"/>
      <c r="U95" s="109"/>
      <c r="V95" s="109"/>
      <c r="W95" s="109"/>
      <c r="X95" s="109"/>
      <c r="Y95" s="109"/>
      <c r="Z95" s="109"/>
      <c r="AA95" s="109"/>
      <c r="AB95" s="109"/>
      <c r="AC95" s="109"/>
      <c r="AD95" s="109"/>
      <c r="AE95" s="16"/>
      <c r="AF95" s="16"/>
      <c r="AG95" s="16"/>
      <c r="AH95" s="16"/>
      <c r="AI95" s="16"/>
      <c r="AJ95" s="16"/>
      <c r="AK95" s="16"/>
      <c r="AL95" s="16"/>
      <c r="AM95" s="16"/>
      <c r="AN95" s="16"/>
      <c r="AO95" s="16"/>
      <c r="AP95" s="16"/>
      <c r="AQ95" s="16"/>
      <c r="AR95" s="16"/>
      <c r="AS95" s="16"/>
      <c r="AT95" s="16"/>
      <c r="AU95" s="16"/>
      <c r="AV95" s="16"/>
      <c r="AW95" s="16"/>
      <c r="AX95" s="16"/>
      <c r="AY95" s="16"/>
      <c r="AZ95" s="16"/>
      <c r="BA95" s="16"/>
      <c r="BB95" s="16"/>
      <c r="BC95" s="16"/>
      <c r="BD95" s="68"/>
      <c r="BE95" s="68"/>
      <c r="BF95" s="68"/>
      <c r="BG95" s="68"/>
      <c r="BH95" s="68"/>
      <c r="BI95" s="68"/>
      <c r="BJ95" s="68"/>
      <c r="BK95" s="68"/>
      <c r="BL95" s="68"/>
      <c r="BM95" s="68"/>
      <c r="BN95" s="68"/>
      <c r="BO95" s="68"/>
      <c r="BP95" s="68"/>
      <c r="BQ95" s="68"/>
      <c r="BR95" s="68"/>
      <c r="BS95" s="68"/>
      <c r="BT95" s="68"/>
      <c r="BU95" s="1091">
        <v>569.98704022295306</v>
      </c>
      <c r="BV95" s="46"/>
      <c r="BW95" s="46"/>
      <c r="BX95" s="46"/>
      <c r="BY95" s="46"/>
      <c r="BZ95" s="46"/>
      <c r="CA95" s="46"/>
      <c r="CB95" s="46"/>
      <c r="CC95" s="46"/>
      <c r="CD95" s="46"/>
      <c r="CE95" s="46"/>
      <c r="CF95" s="46"/>
      <c r="CG95" s="46"/>
      <c r="CH95" s="46"/>
      <c r="CI95" s="46"/>
      <c r="CJ95" s="46"/>
      <c r="CK95" s="46"/>
      <c r="CL95" s="46"/>
      <c r="CM95" s="46"/>
      <c r="CN95" s="46"/>
      <c r="CO95" s="46"/>
      <c r="CP95" s="46"/>
      <c r="CQ95" s="46"/>
      <c r="CR95" s="46"/>
      <c r="CS95" s="46"/>
      <c r="CT95" s="46"/>
      <c r="CU95" s="46"/>
      <c r="CV95" s="46"/>
      <c r="CW95" s="46"/>
      <c r="CX95" s="46"/>
      <c r="CY95" s="46"/>
      <c r="CZ95" s="46"/>
      <c r="DA95" s="46"/>
      <c r="DB95" s="46"/>
      <c r="DC95" s="46"/>
    </row>
    <row r="96" spans="2:107" hidden="1" outlineLevel="2">
      <c r="B96" s="1090" t="s">
        <v>524</v>
      </c>
      <c r="C96" s="16"/>
      <c r="D96" s="16"/>
      <c r="E96" s="16"/>
      <c r="F96" s="16"/>
      <c r="G96" s="16"/>
      <c r="H96" s="16"/>
      <c r="I96" s="16"/>
      <c r="J96" s="16"/>
      <c r="K96" s="16"/>
      <c r="L96" s="16"/>
      <c r="M96" s="16"/>
      <c r="N96" s="109"/>
      <c r="O96" s="109"/>
      <c r="P96" s="109"/>
      <c r="Q96" s="109"/>
      <c r="R96" s="109"/>
      <c r="S96" s="109"/>
      <c r="T96" s="109"/>
      <c r="U96" s="109"/>
      <c r="V96" s="109"/>
      <c r="W96" s="109"/>
      <c r="X96" s="109"/>
      <c r="Y96" s="109"/>
      <c r="Z96" s="109"/>
      <c r="AA96" s="109"/>
      <c r="AB96" s="109"/>
      <c r="AC96" s="109"/>
      <c r="AD96" s="109"/>
      <c r="AE96" s="16"/>
      <c r="AF96" s="16"/>
      <c r="AG96" s="16"/>
      <c r="AH96" s="16"/>
      <c r="AI96" s="16"/>
      <c r="AJ96" s="16"/>
      <c r="AK96" s="16"/>
      <c r="AL96" s="16"/>
      <c r="AM96" s="16"/>
      <c r="AN96" s="16"/>
      <c r="AO96" s="16"/>
      <c r="AP96" s="16"/>
      <c r="AQ96" s="16"/>
      <c r="AR96" s="16"/>
      <c r="AS96" s="16"/>
      <c r="AT96" s="16"/>
      <c r="AU96" s="16"/>
      <c r="AV96" s="16"/>
      <c r="AW96" s="16"/>
      <c r="AX96" s="16"/>
      <c r="AY96" s="16"/>
      <c r="AZ96" s="16"/>
      <c r="BA96" s="16"/>
      <c r="BB96" s="16"/>
      <c r="BC96" s="16"/>
      <c r="BD96" s="68"/>
      <c r="BE96" s="68"/>
      <c r="BF96" s="68"/>
      <c r="BG96" s="68"/>
      <c r="BH96" s="68"/>
      <c r="BI96" s="68"/>
      <c r="BJ96" s="68"/>
      <c r="BK96" s="68"/>
      <c r="BL96" s="68"/>
      <c r="BM96" s="68"/>
      <c r="BN96" s="68"/>
      <c r="BO96" s="68"/>
      <c r="BP96" s="68"/>
      <c r="BQ96" s="68"/>
      <c r="BR96" s="68"/>
      <c r="BS96" s="68"/>
      <c r="BT96" s="68"/>
      <c r="BU96" s="1091">
        <v>2255.9048035510832</v>
      </c>
      <c r="BV96" s="46"/>
      <c r="BW96" s="46"/>
      <c r="BX96" s="46"/>
      <c r="BY96" s="46"/>
      <c r="BZ96" s="46"/>
      <c r="CA96" s="46"/>
      <c r="CB96" s="46"/>
      <c r="CC96" s="46"/>
      <c r="CD96" s="46"/>
      <c r="CE96" s="46"/>
      <c r="CF96" s="46"/>
      <c r="CG96" s="46"/>
      <c r="CH96" s="46"/>
      <c r="CI96" s="46"/>
      <c r="CJ96" s="46"/>
      <c r="CK96" s="46"/>
      <c r="CL96" s="46"/>
      <c r="CM96" s="46"/>
      <c r="CN96" s="46"/>
      <c r="CO96" s="46"/>
      <c r="CP96" s="46"/>
      <c r="CQ96" s="46"/>
      <c r="CR96" s="46"/>
      <c r="CS96" s="46"/>
      <c r="CT96" s="46"/>
      <c r="CU96" s="46"/>
      <c r="CV96" s="46"/>
      <c r="CW96" s="46"/>
      <c r="CX96" s="46"/>
      <c r="CY96" s="46"/>
      <c r="CZ96" s="46"/>
      <c r="DA96" s="46"/>
      <c r="DB96" s="46"/>
      <c r="DC96" s="46"/>
    </row>
    <row r="97" spans="2:107" hidden="1" outlineLevel="2">
      <c r="B97" s="1090" t="s">
        <v>135</v>
      </c>
      <c r="C97" s="16"/>
      <c r="D97" s="16"/>
      <c r="E97" s="16"/>
      <c r="F97" s="16"/>
      <c r="G97" s="16"/>
      <c r="H97" s="16"/>
      <c r="I97" s="16"/>
      <c r="J97" s="16"/>
      <c r="K97" s="16"/>
      <c r="L97" s="16"/>
      <c r="M97" s="16"/>
      <c r="N97" s="109"/>
      <c r="O97" s="109"/>
      <c r="P97" s="109"/>
      <c r="Q97" s="109"/>
      <c r="R97" s="109"/>
      <c r="S97" s="109"/>
      <c r="T97" s="109"/>
      <c r="U97" s="109"/>
      <c r="V97" s="109"/>
      <c r="W97" s="109"/>
      <c r="X97" s="109"/>
      <c r="Y97" s="109"/>
      <c r="Z97" s="109"/>
      <c r="AA97" s="109"/>
      <c r="AB97" s="109"/>
      <c r="AC97" s="109"/>
      <c r="AD97" s="109"/>
      <c r="AE97" s="16"/>
      <c r="AF97" s="16"/>
      <c r="AG97" s="16"/>
      <c r="AH97" s="16"/>
      <c r="AI97" s="16"/>
      <c r="AJ97" s="16"/>
      <c r="AK97" s="16"/>
      <c r="AL97" s="16"/>
      <c r="AM97" s="16"/>
      <c r="AN97" s="16"/>
      <c r="AO97" s="16"/>
      <c r="AP97" s="16"/>
      <c r="AQ97" s="16"/>
      <c r="AR97" s="16"/>
      <c r="AS97" s="16"/>
      <c r="AT97" s="16"/>
      <c r="AU97" s="16"/>
      <c r="AV97" s="16"/>
      <c r="AW97" s="16"/>
      <c r="AX97" s="16"/>
      <c r="AY97" s="16"/>
      <c r="AZ97" s="16"/>
      <c r="BA97" s="16"/>
      <c r="BB97" s="16"/>
      <c r="BC97" s="16"/>
      <c r="BD97" s="68"/>
      <c r="BE97" s="68"/>
      <c r="BF97" s="68"/>
      <c r="BG97" s="68"/>
      <c r="BH97" s="68"/>
      <c r="BI97" s="68"/>
      <c r="BJ97" s="68"/>
      <c r="BK97" s="68"/>
      <c r="BL97" s="68"/>
      <c r="BM97" s="68"/>
      <c r="BN97" s="68"/>
      <c r="BO97" s="68"/>
      <c r="BP97" s="68"/>
      <c r="BQ97" s="68"/>
      <c r="BR97" s="68"/>
      <c r="BS97" s="68"/>
      <c r="BT97" s="68"/>
      <c r="BU97" s="1092" t="s">
        <v>981</v>
      </c>
      <c r="BV97" s="46"/>
      <c r="BW97" s="46"/>
      <c r="BX97" s="46"/>
      <c r="BY97" s="46"/>
      <c r="BZ97" s="46"/>
      <c r="CA97" s="46"/>
      <c r="CB97" s="46"/>
      <c r="CC97" s="46"/>
      <c r="CD97" s="46"/>
      <c r="CE97" s="46"/>
      <c r="CF97" s="46"/>
      <c r="CG97" s="46"/>
      <c r="CH97" s="46"/>
      <c r="CI97" s="46"/>
      <c r="CJ97" s="46"/>
      <c r="CK97" s="46"/>
      <c r="CL97" s="46"/>
      <c r="CM97" s="46"/>
      <c r="CN97" s="46"/>
      <c r="CO97" s="46"/>
      <c r="CP97" s="46"/>
      <c r="CQ97" s="46"/>
      <c r="CR97" s="46"/>
      <c r="CS97" s="46"/>
      <c r="CT97" s="46"/>
      <c r="CU97" s="46"/>
      <c r="CV97" s="46"/>
      <c r="CW97" s="46"/>
      <c r="CX97" s="46"/>
      <c r="CY97" s="46"/>
      <c r="CZ97" s="46"/>
      <c r="DA97" s="46"/>
      <c r="DB97" s="46"/>
      <c r="DC97" s="46"/>
    </row>
    <row r="98" spans="2:107" hidden="1" outlineLevel="2">
      <c r="B98" s="1090" t="s">
        <v>525</v>
      </c>
      <c r="C98" s="16"/>
      <c r="D98" s="16"/>
      <c r="E98" s="16"/>
      <c r="F98" s="16"/>
      <c r="G98" s="16"/>
      <c r="H98" s="16"/>
      <c r="I98" s="16"/>
      <c r="J98" s="16"/>
      <c r="K98" s="16"/>
      <c r="L98" s="16"/>
      <c r="M98" s="16"/>
      <c r="N98" s="109"/>
      <c r="O98" s="109"/>
      <c r="P98" s="109"/>
      <c r="Q98" s="109"/>
      <c r="R98" s="109"/>
      <c r="S98" s="109"/>
      <c r="T98" s="109"/>
      <c r="U98" s="109"/>
      <c r="V98" s="109"/>
      <c r="W98" s="109"/>
      <c r="X98" s="109"/>
      <c r="Y98" s="109"/>
      <c r="Z98" s="109"/>
      <c r="AA98" s="109"/>
      <c r="AB98" s="109"/>
      <c r="AC98" s="109"/>
      <c r="AD98" s="109"/>
      <c r="AE98" s="16"/>
      <c r="AF98" s="16"/>
      <c r="AG98" s="16"/>
      <c r="AH98" s="16"/>
      <c r="AI98" s="16"/>
      <c r="AJ98" s="16"/>
      <c r="AK98" s="16"/>
      <c r="AL98" s="16"/>
      <c r="AM98" s="16"/>
      <c r="AN98" s="16"/>
      <c r="AO98" s="16"/>
      <c r="AP98" s="16"/>
      <c r="AQ98" s="16"/>
      <c r="AR98" s="16"/>
      <c r="AS98" s="16"/>
      <c r="AT98" s="16"/>
      <c r="AU98" s="16"/>
      <c r="AV98" s="16"/>
      <c r="AW98" s="16"/>
      <c r="AX98" s="16"/>
      <c r="AY98" s="16"/>
      <c r="AZ98" s="16"/>
      <c r="BA98" s="16"/>
      <c r="BB98" s="16"/>
      <c r="BC98" s="16"/>
      <c r="BD98" s="68"/>
      <c r="BE98" s="68"/>
      <c r="BF98" s="68"/>
      <c r="BG98" s="68"/>
      <c r="BH98" s="68"/>
      <c r="BI98" s="68"/>
      <c r="BJ98" s="68"/>
      <c r="BK98" s="68"/>
      <c r="BL98" s="68"/>
      <c r="BM98" s="68"/>
      <c r="BN98" s="68"/>
      <c r="BO98" s="68"/>
      <c r="BP98" s="68"/>
      <c r="BQ98" s="68"/>
      <c r="BR98" s="68"/>
      <c r="BS98" s="68"/>
      <c r="BT98" s="68"/>
      <c r="BU98" s="1091">
        <v>4158.1146467933659</v>
      </c>
      <c r="BV98" s="46"/>
      <c r="BW98" s="46"/>
      <c r="BX98" s="46"/>
      <c r="BY98" s="46"/>
      <c r="BZ98" s="46"/>
      <c r="CA98" s="46"/>
      <c r="CB98" s="46"/>
      <c r="CC98" s="46"/>
      <c r="CD98" s="46"/>
      <c r="CE98" s="46"/>
      <c r="CF98" s="46"/>
      <c r="CG98" s="46"/>
      <c r="CH98" s="46"/>
      <c r="CI98" s="46"/>
      <c r="CJ98" s="46"/>
      <c r="CK98" s="46"/>
      <c r="CL98" s="46"/>
      <c r="CM98" s="46"/>
      <c r="CN98" s="46"/>
      <c r="CO98" s="46"/>
      <c r="CP98" s="46"/>
      <c r="CQ98" s="46"/>
      <c r="CR98" s="46"/>
      <c r="CS98" s="46"/>
      <c r="CT98" s="46"/>
      <c r="CU98" s="46"/>
      <c r="CV98" s="46"/>
      <c r="CW98" s="46"/>
      <c r="CX98" s="46"/>
      <c r="CY98" s="46"/>
      <c r="CZ98" s="46"/>
      <c r="DA98" s="46"/>
      <c r="DB98" s="46"/>
      <c r="DC98" s="46"/>
    </row>
    <row r="99" spans="2:107" hidden="1" outlineLevel="2">
      <c r="B99" s="1090" t="s">
        <v>526</v>
      </c>
      <c r="C99" s="16"/>
      <c r="D99" s="16"/>
      <c r="E99" s="16"/>
      <c r="F99" s="16"/>
      <c r="G99" s="16"/>
      <c r="H99" s="16"/>
      <c r="I99" s="16"/>
      <c r="J99" s="16"/>
      <c r="K99" s="16"/>
      <c r="L99" s="16"/>
      <c r="M99" s="16"/>
      <c r="N99" s="109"/>
      <c r="O99" s="109"/>
      <c r="P99" s="109"/>
      <c r="Q99" s="109"/>
      <c r="R99" s="109"/>
      <c r="S99" s="109"/>
      <c r="T99" s="109"/>
      <c r="U99" s="109"/>
      <c r="V99" s="109"/>
      <c r="W99" s="109"/>
      <c r="X99" s="109"/>
      <c r="Y99" s="109"/>
      <c r="Z99" s="109"/>
      <c r="AA99" s="109"/>
      <c r="AB99" s="109"/>
      <c r="AC99" s="109"/>
      <c r="AD99" s="109"/>
      <c r="AE99" s="16"/>
      <c r="AF99" s="16"/>
      <c r="AG99" s="16"/>
      <c r="AH99" s="16"/>
      <c r="AI99" s="16"/>
      <c r="AJ99" s="16"/>
      <c r="AK99" s="16"/>
      <c r="AL99" s="16"/>
      <c r="AM99" s="16"/>
      <c r="AN99" s="16"/>
      <c r="AO99" s="16"/>
      <c r="AP99" s="16"/>
      <c r="AQ99" s="16"/>
      <c r="AR99" s="16"/>
      <c r="AS99" s="16"/>
      <c r="AT99" s="16"/>
      <c r="AU99" s="16"/>
      <c r="AV99" s="16"/>
      <c r="AW99" s="16"/>
      <c r="AX99" s="16"/>
      <c r="AY99" s="16"/>
      <c r="AZ99" s="16"/>
      <c r="BA99" s="16"/>
      <c r="BB99" s="16"/>
      <c r="BC99" s="16"/>
      <c r="BD99" s="68"/>
      <c r="BE99" s="68"/>
      <c r="BF99" s="68"/>
      <c r="BG99" s="68"/>
      <c r="BH99" s="68"/>
      <c r="BI99" s="68"/>
      <c r="BJ99" s="68"/>
      <c r="BK99" s="68"/>
      <c r="BL99" s="68"/>
      <c r="BM99" s="68"/>
      <c r="BN99" s="68"/>
      <c r="BO99" s="68"/>
      <c r="BP99" s="68"/>
      <c r="BQ99" s="68"/>
      <c r="BR99" s="68"/>
      <c r="BS99" s="68"/>
      <c r="BT99" s="68"/>
      <c r="BU99" s="1091">
        <v>2006.1114946075772</v>
      </c>
      <c r="BV99" s="46"/>
      <c r="BW99" s="46"/>
      <c r="BX99" s="46"/>
      <c r="BY99" s="46"/>
      <c r="BZ99" s="46"/>
      <c r="CA99" s="46"/>
      <c r="CB99" s="46"/>
      <c r="CC99" s="46"/>
      <c r="CD99" s="46"/>
      <c r="CE99" s="46"/>
      <c r="CF99" s="46"/>
      <c r="CG99" s="46"/>
      <c r="CH99" s="46"/>
      <c r="CI99" s="46"/>
      <c r="CJ99" s="46"/>
      <c r="CK99" s="46"/>
      <c r="CL99" s="46"/>
      <c r="CM99" s="46"/>
      <c r="CN99" s="46"/>
      <c r="CO99" s="46"/>
      <c r="CP99" s="46"/>
      <c r="CQ99" s="46"/>
      <c r="CR99" s="46"/>
      <c r="CS99" s="46"/>
      <c r="CT99" s="46"/>
      <c r="CU99" s="46"/>
      <c r="CV99" s="46"/>
      <c r="CW99" s="46"/>
      <c r="CX99" s="46"/>
      <c r="CY99" s="46"/>
      <c r="CZ99" s="46"/>
      <c r="DA99" s="46"/>
      <c r="DB99" s="46"/>
      <c r="DC99" s="46"/>
    </row>
    <row r="100" spans="2:107" hidden="1" outlineLevel="2">
      <c r="B100" s="1090" t="s">
        <v>527</v>
      </c>
      <c r="C100" s="16"/>
      <c r="D100" s="16"/>
      <c r="E100" s="16"/>
      <c r="F100" s="16"/>
      <c r="G100" s="16"/>
      <c r="H100" s="16"/>
      <c r="I100" s="16"/>
      <c r="J100" s="16"/>
      <c r="K100" s="16"/>
      <c r="L100" s="16"/>
      <c r="M100" s="16"/>
      <c r="N100" s="109"/>
      <c r="O100" s="109"/>
      <c r="P100" s="109"/>
      <c r="Q100" s="109"/>
      <c r="R100" s="109"/>
      <c r="S100" s="109"/>
      <c r="T100" s="109"/>
      <c r="U100" s="109"/>
      <c r="V100" s="109"/>
      <c r="W100" s="109"/>
      <c r="X100" s="109"/>
      <c r="Y100" s="109"/>
      <c r="Z100" s="109"/>
      <c r="AA100" s="109"/>
      <c r="AB100" s="109"/>
      <c r="AC100" s="109"/>
      <c r="AD100" s="109"/>
      <c r="AE100" s="16"/>
      <c r="AF100" s="16"/>
      <c r="AG100" s="16"/>
      <c r="AH100" s="16"/>
      <c r="AI100" s="16"/>
      <c r="AJ100" s="16"/>
      <c r="AK100" s="16"/>
      <c r="AL100" s="16"/>
      <c r="AM100" s="16"/>
      <c r="AN100" s="16"/>
      <c r="AO100" s="16"/>
      <c r="AP100" s="16"/>
      <c r="AQ100" s="16"/>
      <c r="AR100" s="16"/>
      <c r="AS100" s="16"/>
      <c r="AT100" s="16"/>
      <c r="AU100" s="16"/>
      <c r="AV100" s="16"/>
      <c r="AW100" s="16"/>
      <c r="AX100" s="16"/>
      <c r="AY100" s="16"/>
      <c r="AZ100" s="16"/>
      <c r="BA100" s="16"/>
      <c r="BB100" s="16"/>
      <c r="BC100" s="16"/>
      <c r="BD100" s="68"/>
      <c r="BE100" s="68"/>
      <c r="BF100" s="68"/>
      <c r="BG100" s="68"/>
      <c r="BH100" s="68"/>
      <c r="BI100" s="68"/>
      <c r="BJ100" s="68"/>
      <c r="BK100" s="68"/>
      <c r="BL100" s="68"/>
      <c r="BM100" s="68"/>
      <c r="BN100" s="68"/>
      <c r="BO100" s="68"/>
      <c r="BP100" s="68"/>
      <c r="BQ100" s="68"/>
      <c r="BR100" s="68"/>
      <c r="BS100" s="68"/>
      <c r="BT100" s="68"/>
      <c r="BU100" s="1091">
        <v>223.70135942119384</v>
      </c>
      <c r="BV100" s="46"/>
      <c r="BW100" s="46"/>
      <c r="BX100" s="46"/>
      <c r="BY100" s="46"/>
      <c r="BZ100" s="46"/>
      <c r="CA100" s="46"/>
      <c r="CB100" s="46"/>
      <c r="CC100" s="46"/>
      <c r="CD100" s="46"/>
      <c r="CE100" s="46"/>
      <c r="CF100" s="46"/>
      <c r="CG100" s="46"/>
      <c r="CH100" s="46"/>
      <c r="CI100" s="46"/>
      <c r="CJ100" s="46"/>
      <c r="CK100" s="46"/>
      <c r="CL100" s="46"/>
      <c r="CM100" s="46"/>
      <c r="CN100" s="46"/>
      <c r="CO100" s="46"/>
      <c r="CP100" s="46"/>
      <c r="CQ100" s="46"/>
      <c r="CR100" s="46"/>
      <c r="CS100" s="46"/>
      <c r="CT100" s="46"/>
      <c r="CU100" s="46"/>
      <c r="CV100" s="46"/>
      <c r="CW100" s="46"/>
      <c r="CX100" s="46"/>
      <c r="CY100" s="46"/>
      <c r="CZ100" s="46"/>
      <c r="DA100" s="46"/>
      <c r="DB100" s="46"/>
      <c r="DC100" s="46"/>
    </row>
    <row r="101" spans="2:107" hidden="1" outlineLevel="2">
      <c r="B101" s="1090" t="s">
        <v>528</v>
      </c>
      <c r="C101" s="16"/>
      <c r="D101" s="16"/>
      <c r="E101" s="16"/>
      <c r="F101" s="16"/>
      <c r="G101" s="16"/>
      <c r="H101" s="16"/>
      <c r="I101" s="16"/>
      <c r="J101" s="16"/>
      <c r="K101" s="16"/>
      <c r="L101" s="16"/>
      <c r="M101" s="16"/>
      <c r="N101" s="109"/>
      <c r="O101" s="109"/>
      <c r="P101" s="109"/>
      <c r="Q101" s="109"/>
      <c r="R101" s="109"/>
      <c r="S101" s="109"/>
      <c r="T101" s="109"/>
      <c r="U101" s="109"/>
      <c r="V101" s="109"/>
      <c r="W101" s="109"/>
      <c r="X101" s="109"/>
      <c r="Y101" s="109"/>
      <c r="Z101" s="109"/>
      <c r="AA101" s="109"/>
      <c r="AB101" s="109"/>
      <c r="AC101" s="109"/>
      <c r="AD101" s="109"/>
      <c r="AE101" s="16"/>
      <c r="AF101" s="16"/>
      <c r="AG101" s="16"/>
      <c r="AH101" s="16"/>
      <c r="AI101" s="16"/>
      <c r="AJ101" s="16"/>
      <c r="AK101" s="16"/>
      <c r="AL101" s="16"/>
      <c r="AM101" s="16"/>
      <c r="AN101" s="16"/>
      <c r="AO101" s="16"/>
      <c r="AP101" s="16"/>
      <c r="AQ101" s="16"/>
      <c r="AR101" s="16"/>
      <c r="AS101" s="16"/>
      <c r="AT101" s="16"/>
      <c r="AU101" s="16"/>
      <c r="AV101" s="16"/>
      <c r="AW101" s="16"/>
      <c r="AX101" s="16"/>
      <c r="AY101" s="16"/>
      <c r="AZ101" s="16"/>
      <c r="BA101" s="16"/>
      <c r="BB101" s="16"/>
      <c r="BC101" s="16"/>
      <c r="BD101" s="68"/>
      <c r="BE101" s="68"/>
      <c r="BF101" s="68"/>
      <c r="BG101" s="68"/>
      <c r="BH101" s="68"/>
      <c r="BI101" s="68"/>
      <c r="BJ101" s="68"/>
      <c r="BK101" s="68"/>
      <c r="BL101" s="68"/>
      <c r="BM101" s="68"/>
      <c r="BN101" s="68"/>
      <c r="BO101" s="68"/>
      <c r="BP101" s="68"/>
      <c r="BQ101" s="68"/>
      <c r="BR101" s="68"/>
      <c r="BS101" s="68"/>
      <c r="BT101" s="68"/>
      <c r="BU101" s="1091">
        <v>206.73607207311801</v>
      </c>
      <c r="BV101" s="46"/>
      <c r="BW101" s="46"/>
      <c r="BX101" s="46"/>
      <c r="BY101" s="46"/>
      <c r="BZ101" s="46"/>
      <c r="CA101" s="46"/>
      <c r="CB101" s="46"/>
      <c r="CC101" s="46"/>
      <c r="CD101" s="46"/>
      <c r="CE101" s="46"/>
      <c r="CF101" s="46"/>
      <c r="CG101" s="46"/>
      <c r="CH101" s="46"/>
      <c r="CI101" s="46"/>
      <c r="CJ101" s="46"/>
      <c r="CK101" s="46"/>
      <c r="CL101" s="46"/>
      <c r="CM101" s="46"/>
      <c r="CN101" s="46"/>
      <c r="CO101" s="46"/>
      <c r="CP101" s="46"/>
      <c r="CQ101" s="46"/>
      <c r="CR101" s="46"/>
      <c r="CS101" s="46"/>
      <c r="CT101" s="46"/>
      <c r="CU101" s="46"/>
      <c r="CV101" s="46"/>
      <c r="CW101" s="46"/>
      <c r="CX101" s="46"/>
      <c r="CY101" s="46"/>
      <c r="CZ101" s="46"/>
      <c r="DA101" s="46"/>
      <c r="DB101" s="46"/>
      <c r="DC101" s="46"/>
    </row>
    <row r="102" spans="2:107" hidden="1" outlineLevel="2">
      <c r="B102" s="1090" t="s">
        <v>529</v>
      </c>
      <c r="C102" s="16"/>
      <c r="D102" s="16"/>
      <c r="E102" s="16"/>
      <c r="F102" s="16"/>
      <c r="G102" s="16"/>
      <c r="H102" s="16"/>
      <c r="I102" s="16"/>
      <c r="J102" s="16"/>
      <c r="K102" s="16"/>
      <c r="L102" s="16"/>
      <c r="M102" s="16"/>
      <c r="N102" s="109"/>
      <c r="O102" s="109"/>
      <c r="P102" s="109"/>
      <c r="Q102" s="109"/>
      <c r="R102" s="109"/>
      <c r="S102" s="109"/>
      <c r="T102" s="109"/>
      <c r="U102" s="109"/>
      <c r="V102" s="109"/>
      <c r="W102" s="109"/>
      <c r="X102" s="109"/>
      <c r="Y102" s="109"/>
      <c r="Z102" s="109"/>
      <c r="AA102" s="109"/>
      <c r="AB102" s="109"/>
      <c r="AC102" s="109"/>
      <c r="AD102" s="109"/>
      <c r="AE102" s="16"/>
      <c r="AF102" s="16"/>
      <c r="AG102" s="16"/>
      <c r="AH102" s="16"/>
      <c r="AI102" s="16"/>
      <c r="AJ102" s="16"/>
      <c r="AK102" s="16"/>
      <c r="AL102" s="16"/>
      <c r="AM102" s="16"/>
      <c r="AN102" s="16"/>
      <c r="AO102" s="16"/>
      <c r="AP102" s="16"/>
      <c r="AQ102" s="16"/>
      <c r="AR102" s="16"/>
      <c r="AS102" s="16"/>
      <c r="AT102" s="16"/>
      <c r="AU102" s="16"/>
      <c r="AV102" s="16"/>
      <c r="AW102" s="16"/>
      <c r="AX102" s="16"/>
      <c r="AY102" s="16"/>
      <c r="AZ102" s="16"/>
      <c r="BA102" s="16"/>
      <c r="BB102" s="16"/>
      <c r="BC102" s="16"/>
      <c r="BD102" s="68"/>
      <c r="BE102" s="68"/>
      <c r="BF102" s="68"/>
      <c r="BG102" s="68"/>
      <c r="BH102" s="68"/>
      <c r="BI102" s="68"/>
      <c r="BJ102" s="68"/>
      <c r="BK102" s="68"/>
      <c r="BL102" s="68"/>
      <c r="BM102" s="68"/>
      <c r="BN102" s="68"/>
      <c r="BO102" s="68"/>
      <c r="BP102" s="68"/>
      <c r="BQ102" s="68"/>
      <c r="BR102" s="68"/>
      <c r="BS102" s="68"/>
      <c r="BT102" s="68"/>
      <c r="BU102" s="1091">
        <v>683.5305685626422</v>
      </c>
      <c r="BV102" s="46"/>
      <c r="BW102" s="46"/>
      <c r="BX102" s="46"/>
      <c r="BY102" s="46"/>
      <c r="BZ102" s="46"/>
      <c r="CA102" s="46"/>
      <c r="CB102" s="46"/>
      <c r="CC102" s="46"/>
      <c r="CD102" s="46"/>
      <c r="CE102" s="46"/>
      <c r="CF102" s="46"/>
      <c r="CG102" s="46"/>
      <c r="CH102" s="46"/>
      <c r="CI102" s="46"/>
      <c r="CJ102" s="46"/>
      <c r="CK102" s="46"/>
      <c r="CL102" s="46"/>
      <c r="CM102" s="46"/>
      <c r="CN102" s="46"/>
      <c r="CO102" s="46"/>
      <c r="CP102" s="46"/>
      <c r="CQ102" s="46"/>
      <c r="CR102" s="46"/>
      <c r="CS102" s="46"/>
      <c r="CT102" s="46"/>
      <c r="CU102" s="46"/>
      <c r="CV102" s="46"/>
      <c r="CW102" s="46"/>
      <c r="CX102" s="46"/>
      <c r="CY102" s="46"/>
      <c r="CZ102" s="46"/>
      <c r="DA102" s="46"/>
      <c r="DB102" s="46"/>
      <c r="DC102" s="46"/>
    </row>
    <row r="103" spans="2:107" ht="12.75" hidden="1" customHeight="1" outlineLevel="2">
      <c r="B103" s="58"/>
      <c r="C103" s="16"/>
      <c r="D103" s="16"/>
      <c r="E103" s="16"/>
      <c r="F103" s="16"/>
      <c r="G103" s="16"/>
      <c r="H103" s="16"/>
      <c r="I103" s="16"/>
      <c r="J103" s="16"/>
      <c r="K103" s="16"/>
      <c r="L103" s="16"/>
      <c r="M103" s="16"/>
      <c r="N103" s="109"/>
      <c r="O103" s="109"/>
      <c r="P103" s="109"/>
      <c r="Q103" s="109"/>
      <c r="R103" s="109"/>
      <c r="S103" s="109"/>
      <c r="T103" s="109"/>
      <c r="U103" s="109"/>
      <c r="V103" s="109"/>
      <c r="W103" s="109"/>
      <c r="X103" s="109"/>
      <c r="Y103" s="109"/>
      <c r="Z103" s="109"/>
      <c r="AA103" s="109"/>
      <c r="AB103" s="109"/>
      <c r="AC103" s="109"/>
      <c r="AD103" s="109"/>
      <c r="AE103" s="16"/>
      <c r="AF103" s="16"/>
      <c r="AG103" s="16"/>
      <c r="AH103" s="16"/>
      <c r="AI103" s="16"/>
      <c r="AJ103" s="16"/>
      <c r="AK103" s="16"/>
      <c r="AL103" s="16"/>
      <c r="AM103" s="16"/>
      <c r="AN103" s="16"/>
      <c r="AO103" s="16"/>
      <c r="AP103" s="16"/>
      <c r="AQ103" s="16"/>
      <c r="AR103" s="16"/>
      <c r="AS103" s="16"/>
      <c r="AT103" s="16"/>
      <c r="AU103" s="16"/>
      <c r="AV103" s="16"/>
      <c r="AW103" s="16"/>
      <c r="AX103" s="16"/>
      <c r="AY103" s="16"/>
      <c r="AZ103" s="16"/>
      <c r="BA103" s="16"/>
      <c r="BB103" s="16"/>
      <c r="BC103" s="16"/>
      <c r="BD103" s="68"/>
      <c r="BE103" s="68"/>
      <c r="BF103" s="68"/>
      <c r="BG103" s="68"/>
      <c r="BH103" s="68"/>
      <c r="BI103" s="68"/>
      <c r="BJ103" s="68"/>
      <c r="BK103" s="68"/>
      <c r="BL103" s="68"/>
      <c r="BM103" s="68"/>
      <c r="BN103" s="68"/>
      <c r="BO103" s="68"/>
      <c r="BP103" s="68"/>
      <c r="BQ103" s="68"/>
      <c r="BR103" s="68"/>
      <c r="BS103" s="68"/>
      <c r="BT103" s="68"/>
      <c r="BU103" s="68"/>
      <c r="BV103" s="46"/>
      <c r="BW103" s="46"/>
      <c r="BX103" s="46"/>
      <c r="BY103" s="46"/>
      <c r="BZ103" s="46"/>
      <c r="CA103" s="46"/>
      <c r="CB103" s="46"/>
      <c r="CC103" s="46"/>
      <c r="CD103" s="46"/>
      <c r="CE103" s="46"/>
      <c r="CF103" s="46"/>
      <c r="CG103" s="46"/>
      <c r="CH103" s="46"/>
      <c r="CI103" s="46"/>
      <c r="CJ103" s="46"/>
      <c r="CK103" s="46"/>
      <c r="CL103" s="46"/>
      <c r="CM103" s="46"/>
      <c r="CN103" s="46"/>
      <c r="CO103" s="46"/>
      <c r="CP103" s="46"/>
      <c r="CQ103" s="46"/>
      <c r="CR103" s="46"/>
      <c r="CS103" s="46"/>
      <c r="CT103" s="46"/>
      <c r="CU103" s="46"/>
      <c r="CV103" s="46"/>
      <c r="CW103" s="46"/>
      <c r="CX103" s="46"/>
      <c r="CY103" s="46"/>
      <c r="CZ103" s="46"/>
      <c r="DA103" s="46"/>
      <c r="DB103" s="46"/>
      <c r="DC103" s="46"/>
    </row>
    <row r="104" spans="2:107" hidden="1" outlineLevel="2">
      <c r="B104" s="1089" t="s">
        <v>152</v>
      </c>
      <c r="C104" s="16"/>
      <c r="D104" s="16"/>
      <c r="E104" s="16"/>
      <c r="F104" s="16"/>
      <c r="G104" s="16"/>
      <c r="H104" s="16"/>
      <c r="I104" s="16"/>
      <c r="J104" s="16"/>
      <c r="K104" s="16"/>
      <c r="L104" s="16"/>
      <c r="M104" s="16"/>
      <c r="N104" s="109"/>
      <c r="O104" s="109"/>
      <c r="P104" s="109"/>
      <c r="Q104" s="109"/>
      <c r="R104" s="109"/>
      <c r="S104" s="109"/>
      <c r="T104" s="109"/>
      <c r="U104" s="109"/>
      <c r="V104" s="109"/>
      <c r="W104" s="109"/>
      <c r="X104" s="109"/>
      <c r="Y104" s="109"/>
      <c r="Z104" s="109"/>
      <c r="AA104" s="109"/>
      <c r="AB104" s="109"/>
      <c r="AC104" s="109"/>
      <c r="AD104" s="109"/>
      <c r="AE104" s="16"/>
      <c r="AF104" s="16"/>
      <c r="AG104" s="16"/>
      <c r="AH104" s="16"/>
      <c r="AI104" s="16"/>
      <c r="AJ104" s="16"/>
      <c r="AK104" s="16"/>
      <c r="AL104" s="16"/>
      <c r="AM104" s="16"/>
      <c r="AN104" s="16"/>
      <c r="AO104" s="16"/>
      <c r="AP104" s="16"/>
      <c r="AQ104" s="16"/>
      <c r="AR104" s="16"/>
      <c r="AS104" s="16"/>
      <c r="AT104" s="16"/>
      <c r="AU104" s="16"/>
      <c r="AV104" s="16"/>
      <c r="AW104" s="16"/>
      <c r="AX104" s="16"/>
      <c r="AY104" s="16"/>
      <c r="AZ104" s="16"/>
      <c r="BA104" s="16"/>
      <c r="BB104" s="16"/>
      <c r="BC104" s="16"/>
      <c r="BD104" s="68"/>
      <c r="BE104" s="68"/>
      <c r="BF104" s="68"/>
      <c r="BG104" s="68"/>
      <c r="BH104" s="68"/>
      <c r="BI104" s="68"/>
      <c r="BJ104" s="68"/>
      <c r="BK104" s="68"/>
      <c r="BL104" s="68"/>
      <c r="BM104" s="68"/>
      <c r="BN104" s="68"/>
      <c r="BO104" s="68"/>
      <c r="BP104" s="68"/>
      <c r="BQ104" s="68"/>
      <c r="BR104" s="68"/>
      <c r="BS104" s="68"/>
      <c r="BT104" s="68"/>
      <c r="BU104" s="68"/>
      <c r="BV104" s="46"/>
      <c r="BW104" s="46"/>
      <c r="BX104" s="46"/>
      <c r="BY104" s="46"/>
      <c r="BZ104" s="46"/>
      <c r="CA104" s="46"/>
      <c r="CB104" s="46"/>
      <c r="CC104" s="46"/>
      <c r="CD104" s="46"/>
      <c r="CE104" s="46"/>
      <c r="CF104" s="46"/>
      <c r="CG104" s="46"/>
      <c r="CH104" s="46"/>
      <c r="CI104" s="46"/>
      <c r="CJ104" s="46"/>
      <c r="CK104" s="46"/>
      <c r="CL104" s="46"/>
      <c r="CM104" s="46"/>
      <c r="CN104" s="46"/>
      <c r="CO104" s="46"/>
      <c r="CP104" s="46"/>
      <c r="CQ104" s="46"/>
      <c r="CR104" s="46"/>
      <c r="CS104" s="46"/>
      <c r="CT104" s="46"/>
      <c r="CU104" s="46"/>
      <c r="CV104" s="46"/>
      <c r="CW104" s="46"/>
      <c r="CX104" s="46"/>
      <c r="CY104" s="46"/>
      <c r="CZ104" s="46"/>
      <c r="DA104" s="46"/>
      <c r="DB104" s="46"/>
      <c r="DC104" s="46"/>
    </row>
    <row r="105" spans="2:107" hidden="1" outlineLevel="2">
      <c r="B105" s="1090" t="s">
        <v>530</v>
      </c>
      <c r="C105" s="16"/>
      <c r="D105" s="16"/>
      <c r="E105" s="16"/>
      <c r="F105" s="16"/>
      <c r="G105" s="16"/>
      <c r="H105" s="16"/>
      <c r="I105" s="16"/>
      <c r="J105" s="16"/>
      <c r="K105" s="16"/>
      <c r="L105" s="16"/>
      <c r="M105" s="16"/>
      <c r="N105" s="109"/>
      <c r="O105" s="109"/>
      <c r="P105" s="109"/>
      <c r="Q105" s="109"/>
      <c r="R105" s="109"/>
      <c r="S105" s="109"/>
      <c r="T105" s="109"/>
      <c r="U105" s="109"/>
      <c r="V105" s="109"/>
      <c r="W105" s="109"/>
      <c r="X105" s="109"/>
      <c r="Y105" s="109"/>
      <c r="Z105" s="109"/>
      <c r="AA105" s="109"/>
      <c r="AB105" s="109"/>
      <c r="AC105" s="109"/>
      <c r="AD105" s="109"/>
      <c r="AE105" s="16"/>
      <c r="AF105" s="16"/>
      <c r="AG105" s="16"/>
      <c r="AH105" s="16"/>
      <c r="AI105" s="16"/>
      <c r="AJ105" s="16"/>
      <c r="AK105" s="16"/>
      <c r="AL105" s="16"/>
      <c r="AM105" s="16"/>
      <c r="AN105" s="16"/>
      <c r="AO105" s="16"/>
      <c r="AP105" s="16"/>
      <c r="AQ105" s="16"/>
      <c r="AR105" s="16"/>
      <c r="AS105" s="16"/>
      <c r="AT105" s="16"/>
      <c r="AU105" s="16"/>
      <c r="AV105" s="16"/>
      <c r="AW105" s="16"/>
      <c r="AX105" s="16"/>
      <c r="AY105" s="16"/>
      <c r="AZ105" s="16"/>
      <c r="BA105" s="16"/>
      <c r="BB105" s="16"/>
      <c r="BC105" s="16"/>
      <c r="BD105" s="68"/>
      <c r="BE105" s="68"/>
      <c r="BF105" s="68"/>
      <c r="BG105" s="68"/>
      <c r="BH105" s="68"/>
      <c r="BI105" s="68"/>
      <c r="BJ105" s="68"/>
      <c r="BK105" s="68"/>
      <c r="BL105" s="68"/>
      <c r="BM105" s="68"/>
      <c r="BN105" s="68"/>
      <c r="BO105" s="68"/>
      <c r="BP105" s="68"/>
      <c r="BQ105" s="68"/>
      <c r="BR105" s="68"/>
      <c r="BS105" s="68"/>
      <c r="BT105" s="68"/>
      <c r="BU105" s="1091">
        <v>1761.9119463515065</v>
      </c>
      <c r="BV105" s="46"/>
      <c r="BW105" s="46"/>
      <c r="BX105" s="46"/>
      <c r="BY105" s="46"/>
      <c r="BZ105" s="46"/>
      <c r="CA105" s="46"/>
      <c r="CB105" s="46"/>
      <c r="CC105" s="46"/>
      <c r="CD105" s="46"/>
      <c r="CE105" s="46"/>
      <c r="CF105" s="46"/>
      <c r="CG105" s="46"/>
      <c r="CH105" s="46"/>
      <c r="CI105" s="46"/>
      <c r="CJ105" s="46"/>
      <c r="CK105" s="46"/>
      <c r="CL105" s="46"/>
      <c r="CM105" s="46"/>
      <c r="CN105" s="46"/>
      <c r="CO105" s="46"/>
      <c r="CP105" s="46"/>
      <c r="CQ105" s="46"/>
      <c r="CR105" s="46"/>
      <c r="CS105" s="46"/>
      <c r="CT105" s="46"/>
      <c r="CU105" s="46"/>
      <c r="CV105" s="46"/>
      <c r="CW105" s="46"/>
      <c r="CX105" s="46"/>
      <c r="CY105" s="46"/>
      <c r="CZ105" s="46"/>
      <c r="DA105" s="46"/>
      <c r="DB105" s="46"/>
      <c r="DC105" s="46"/>
    </row>
    <row r="106" spans="2:107" hidden="1" outlineLevel="2">
      <c r="B106" s="1090" t="s">
        <v>531</v>
      </c>
      <c r="C106" s="16"/>
      <c r="D106" s="16"/>
      <c r="E106" s="16"/>
      <c r="F106" s="16"/>
      <c r="G106" s="16"/>
      <c r="H106" s="16"/>
      <c r="I106" s="16"/>
      <c r="J106" s="16"/>
      <c r="K106" s="16"/>
      <c r="L106" s="16"/>
      <c r="M106" s="16"/>
      <c r="N106" s="109"/>
      <c r="O106" s="109"/>
      <c r="P106" s="109"/>
      <c r="Q106" s="109"/>
      <c r="R106" s="109"/>
      <c r="S106" s="109"/>
      <c r="T106" s="109"/>
      <c r="U106" s="109"/>
      <c r="V106" s="109"/>
      <c r="W106" s="109"/>
      <c r="X106" s="109"/>
      <c r="Y106" s="109"/>
      <c r="Z106" s="109"/>
      <c r="AA106" s="109"/>
      <c r="AB106" s="109"/>
      <c r="AC106" s="109"/>
      <c r="AD106" s="109"/>
      <c r="AE106" s="16"/>
      <c r="AF106" s="16"/>
      <c r="AG106" s="16"/>
      <c r="AH106" s="16"/>
      <c r="AI106" s="16"/>
      <c r="AJ106" s="16"/>
      <c r="AK106" s="16"/>
      <c r="AL106" s="16"/>
      <c r="AM106" s="16"/>
      <c r="AN106" s="16"/>
      <c r="AO106" s="16"/>
      <c r="AP106" s="16"/>
      <c r="AQ106" s="16"/>
      <c r="AR106" s="16"/>
      <c r="AS106" s="16"/>
      <c r="AT106" s="16"/>
      <c r="AU106" s="16"/>
      <c r="AV106" s="16"/>
      <c r="AW106" s="16"/>
      <c r="AX106" s="16"/>
      <c r="AY106" s="16"/>
      <c r="AZ106" s="16"/>
      <c r="BA106" s="16"/>
      <c r="BB106" s="16"/>
      <c r="BC106" s="16"/>
      <c r="BD106" s="68"/>
      <c r="BE106" s="68"/>
      <c r="BF106" s="68"/>
      <c r="BG106" s="68"/>
      <c r="BH106" s="68"/>
      <c r="BI106" s="68"/>
      <c r="BJ106" s="68"/>
      <c r="BK106" s="68"/>
      <c r="BL106" s="68"/>
      <c r="BM106" s="68"/>
      <c r="BN106" s="68"/>
      <c r="BO106" s="68"/>
      <c r="BP106" s="68"/>
      <c r="BQ106" s="68"/>
      <c r="BR106" s="68"/>
      <c r="BS106" s="68"/>
      <c r="BT106" s="68"/>
      <c r="BU106" s="1091">
        <v>1472.0422861671016</v>
      </c>
      <c r="BV106" s="46"/>
      <c r="BW106" s="46"/>
      <c r="BX106" s="46"/>
      <c r="BY106" s="46"/>
      <c r="BZ106" s="46"/>
      <c r="CA106" s="46"/>
      <c r="CB106" s="46"/>
      <c r="CC106" s="46"/>
      <c r="CD106" s="46"/>
      <c r="CE106" s="46"/>
      <c r="CF106" s="46"/>
      <c r="CG106" s="46"/>
      <c r="CH106" s="46"/>
      <c r="CI106" s="46"/>
      <c r="CJ106" s="46"/>
      <c r="CK106" s="46"/>
      <c r="CL106" s="46"/>
      <c r="CM106" s="46"/>
      <c r="CN106" s="46"/>
      <c r="CO106" s="46"/>
      <c r="CP106" s="46"/>
      <c r="CQ106" s="46"/>
      <c r="CR106" s="46"/>
      <c r="CS106" s="46"/>
      <c r="CT106" s="46"/>
      <c r="CU106" s="46"/>
      <c r="CV106" s="46"/>
      <c r="CW106" s="46"/>
      <c r="CX106" s="46"/>
      <c r="CY106" s="46"/>
      <c r="CZ106" s="46"/>
      <c r="DA106" s="46"/>
      <c r="DB106" s="46"/>
      <c r="DC106" s="46"/>
    </row>
    <row r="107" spans="2:107" hidden="1" outlineLevel="2">
      <c r="B107" s="1090" t="s">
        <v>532</v>
      </c>
      <c r="C107" s="16"/>
      <c r="D107" s="16"/>
      <c r="E107" s="16"/>
      <c r="F107" s="16"/>
      <c r="G107" s="16"/>
      <c r="H107" s="16"/>
      <c r="I107" s="16"/>
      <c r="J107" s="16"/>
      <c r="K107" s="16"/>
      <c r="L107" s="16"/>
      <c r="M107" s="16"/>
      <c r="N107" s="109"/>
      <c r="O107" s="109"/>
      <c r="P107" s="109"/>
      <c r="Q107" s="109"/>
      <c r="R107" s="109"/>
      <c r="S107" s="109"/>
      <c r="T107" s="109"/>
      <c r="U107" s="109"/>
      <c r="V107" s="109"/>
      <c r="W107" s="109"/>
      <c r="X107" s="109"/>
      <c r="Y107" s="109"/>
      <c r="Z107" s="109"/>
      <c r="AA107" s="109"/>
      <c r="AB107" s="109"/>
      <c r="AC107" s="109"/>
      <c r="AD107" s="109"/>
      <c r="AE107" s="16"/>
      <c r="AF107" s="16"/>
      <c r="AG107" s="16"/>
      <c r="AH107" s="16"/>
      <c r="AI107" s="16"/>
      <c r="AJ107" s="16"/>
      <c r="AK107" s="16"/>
      <c r="AL107" s="16"/>
      <c r="AM107" s="16"/>
      <c r="AN107" s="16"/>
      <c r="AO107" s="16"/>
      <c r="AP107" s="16"/>
      <c r="AQ107" s="16"/>
      <c r="AR107" s="16"/>
      <c r="AS107" s="16"/>
      <c r="AT107" s="16"/>
      <c r="AU107" s="16"/>
      <c r="AV107" s="16"/>
      <c r="AW107" s="16"/>
      <c r="AX107" s="16"/>
      <c r="AY107" s="16"/>
      <c r="AZ107" s="16"/>
      <c r="BA107" s="16"/>
      <c r="BB107" s="16"/>
      <c r="BC107" s="16"/>
      <c r="BD107" s="68"/>
      <c r="BE107" s="68"/>
      <c r="BF107" s="68"/>
      <c r="BG107" s="68"/>
      <c r="BH107" s="68"/>
      <c r="BI107" s="68"/>
      <c r="BJ107" s="68"/>
      <c r="BK107" s="68"/>
      <c r="BL107" s="68"/>
      <c r="BM107" s="68"/>
      <c r="BN107" s="68"/>
      <c r="BO107" s="68"/>
      <c r="BP107" s="68"/>
      <c r="BQ107" s="68"/>
      <c r="BR107" s="68"/>
      <c r="BS107" s="68"/>
      <c r="BT107" s="68"/>
      <c r="BU107" s="1091">
        <v>2796.8803437174929</v>
      </c>
      <c r="BV107" s="46"/>
      <c r="BW107" s="46"/>
      <c r="BX107" s="46"/>
      <c r="BY107" s="46"/>
      <c r="BZ107" s="46"/>
      <c r="CA107" s="46"/>
      <c r="CB107" s="46"/>
      <c r="CC107" s="46"/>
      <c r="CD107" s="46"/>
      <c r="CE107" s="46"/>
      <c r="CF107" s="46"/>
      <c r="CG107" s="46"/>
      <c r="CH107" s="46"/>
      <c r="CI107" s="46"/>
      <c r="CJ107" s="46"/>
      <c r="CK107" s="46"/>
      <c r="CL107" s="46"/>
      <c r="CM107" s="46"/>
      <c r="CN107" s="46"/>
      <c r="CO107" s="46"/>
      <c r="CP107" s="46"/>
      <c r="CQ107" s="46"/>
      <c r="CR107" s="46"/>
      <c r="CS107" s="46"/>
      <c r="CT107" s="46"/>
      <c r="CU107" s="46"/>
      <c r="CV107" s="46"/>
      <c r="CW107" s="46"/>
      <c r="CX107" s="46"/>
      <c r="CY107" s="46"/>
      <c r="CZ107" s="46"/>
      <c r="DA107" s="46"/>
      <c r="DB107" s="46"/>
      <c r="DC107" s="46"/>
    </row>
    <row r="108" spans="2:107" hidden="1" outlineLevel="2">
      <c r="B108" s="1090" t="s">
        <v>533</v>
      </c>
      <c r="C108" s="16"/>
      <c r="D108" s="16"/>
      <c r="E108" s="16"/>
      <c r="F108" s="16"/>
      <c r="G108" s="16"/>
      <c r="H108" s="16"/>
      <c r="I108" s="16"/>
      <c r="J108" s="16"/>
      <c r="K108" s="16"/>
      <c r="L108" s="16"/>
      <c r="M108" s="16"/>
      <c r="N108" s="109"/>
      <c r="O108" s="109"/>
      <c r="P108" s="109"/>
      <c r="Q108" s="109"/>
      <c r="R108" s="109"/>
      <c r="S108" s="109"/>
      <c r="T108" s="109"/>
      <c r="U108" s="109"/>
      <c r="V108" s="109"/>
      <c r="W108" s="109"/>
      <c r="X108" s="109"/>
      <c r="Y108" s="109"/>
      <c r="Z108" s="109"/>
      <c r="AA108" s="109"/>
      <c r="AB108" s="109"/>
      <c r="AC108" s="109"/>
      <c r="AD108" s="109"/>
      <c r="AE108" s="16"/>
      <c r="AF108" s="16"/>
      <c r="AG108" s="16"/>
      <c r="AH108" s="16"/>
      <c r="AI108" s="16"/>
      <c r="AJ108" s="16"/>
      <c r="AK108" s="16"/>
      <c r="AL108" s="16"/>
      <c r="AM108" s="16"/>
      <c r="AN108" s="16"/>
      <c r="AO108" s="16"/>
      <c r="AP108" s="16"/>
      <c r="AQ108" s="16"/>
      <c r="AR108" s="16"/>
      <c r="AS108" s="16"/>
      <c r="AT108" s="16"/>
      <c r="AU108" s="16"/>
      <c r="AV108" s="16"/>
      <c r="AW108" s="16"/>
      <c r="AX108" s="16"/>
      <c r="AY108" s="16"/>
      <c r="AZ108" s="16"/>
      <c r="BA108" s="16"/>
      <c r="BB108" s="16"/>
      <c r="BC108" s="16"/>
      <c r="BD108" s="68"/>
      <c r="BE108" s="68"/>
      <c r="BF108" s="68"/>
      <c r="BG108" s="68"/>
      <c r="BH108" s="68"/>
      <c r="BI108" s="68"/>
      <c r="BJ108" s="68"/>
      <c r="BK108" s="68"/>
      <c r="BL108" s="68"/>
      <c r="BM108" s="68"/>
      <c r="BN108" s="68"/>
      <c r="BO108" s="68"/>
      <c r="BP108" s="68"/>
      <c r="BQ108" s="68"/>
      <c r="BR108" s="68"/>
      <c r="BS108" s="68"/>
      <c r="BT108" s="68"/>
      <c r="BU108" s="1091">
        <v>237.98016959701474</v>
      </c>
      <c r="BV108" s="46"/>
      <c r="BW108" s="46"/>
      <c r="BX108" s="46"/>
      <c r="BY108" s="46"/>
      <c r="BZ108" s="46"/>
      <c r="CA108" s="46"/>
      <c r="CB108" s="46"/>
      <c r="CC108" s="46"/>
      <c r="CD108" s="46"/>
      <c r="CE108" s="46"/>
      <c r="CF108" s="46"/>
      <c r="CG108" s="46"/>
      <c r="CH108" s="46"/>
      <c r="CI108" s="46"/>
      <c r="CJ108" s="46"/>
      <c r="CK108" s="46"/>
      <c r="CL108" s="46"/>
      <c r="CM108" s="46"/>
      <c r="CN108" s="46"/>
      <c r="CO108" s="46"/>
      <c r="CP108" s="46"/>
      <c r="CQ108" s="46"/>
      <c r="CR108" s="46"/>
      <c r="CS108" s="46"/>
      <c r="CT108" s="46"/>
      <c r="CU108" s="46"/>
      <c r="CV108" s="46"/>
      <c r="CW108" s="46"/>
      <c r="CX108" s="46"/>
      <c r="CY108" s="46"/>
      <c r="CZ108" s="46"/>
      <c r="DA108" s="46"/>
      <c r="DB108" s="46"/>
      <c r="DC108" s="46"/>
    </row>
    <row r="109" spans="2:107" hidden="1" outlineLevel="2">
      <c r="B109" s="1090" t="s">
        <v>534</v>
      </c>
      <c r="C109" s="16"/>
      <c r="D109" s="16"/>
      <c r="E109" s="16"/>
      <c r="F109" s="16"/>
      <c r="G109" s="16"/>
      <c r="H109" s="16"/>
      <c r="I109" s="16"/>
      <c r="J109" s="16"/>
      <c r="K109" s="16"/>
      <c r="L109" s="16"/>
      <c r="M109" s="16"/>
      <c r="N109" s="109"/>
      <c r="O109" s="109"/>
      <c r="P109" s="109"/>
      <c r="Q109" s="109"/>
      <c r="R109" s="109"/>
      <c r="S109" s="109"/>
      <c r="T109" s="109"/>
      <c r="U109" s="109"/>
      <c r="V109" s="109"/>
      <c r="W109" s="109"/>
      <c r="X109" s="109"/>
      <c r="Y109" s="109"/>
      <c r="Z109" s="109"/>
      <c r="AA109" s="109"/>
      <c r="AB109" s="109"/>
      <c r="AC109" s="109"/>
      <c r="AD109" s="109"/>
      <c r="AE109" s="16"/>
      <c r="AF109" s="16"/>
      <c r="AG109" s="16"/>
      <c r="AH109" s="16"/>
      <c r="AI109" s="16"/>
      <c r="AJ109" s="16"/>
      <c r="AK109" s="16"/>
      <c r="AL109" s="16"/>
      <c r="AM109" s="16"/>
      <c r="AN109" s="16"/>
      <c r="AO109" s="16"/>
      <c r="AP109" s="16"/>
      <c r="AQ109" s="16"/>
      <c r="AR109" s="16"/>
      <c r="AS109" s="16"/>
      <c r="AT109" s="16"/>
      <c r="AU109" s="16"/>
      <c r="AV109" s="16"/>
      <c r="AW109" s="16"/>
      <c r="AX109" s="16"/>
      <c r="AY109" s="16"/>
      <c r="AZ109" s="16"/>
      <c r="BA109" s="16"/>
      <c r="BB109" s="16"/>
      <c r="BC109" s="16"/>
      <c r="BD109" s="68"/>
      <c r="BE109" s="68"/>
      <c r="BF109" s="68"/>
      <c r="BG109" s="68"/>
      <c r="BH109" s="68"/>
      <c r="BI109" s="68"/>
      <c r="BJ109" s="68"/>
      <c r="BK109" s="68"/>
      <c r="BL109" s="68"/>
      <c r="BM109" s="68"/>
      <c r="BN109" s="68"/>
      <c r="BO109" s="68"/>
      <c r="BP109" s="68"/>
      <c r="BQ109" s="68"/>
      <c r="BR109" s="68"/>
      <c r="BS109" s="68"/>
      <c r="BT109" s="68"/>
      <c r="BU109" s="1091">
        <v>266.78313032968435</v>
      </c>
      <c r="BV109" s="46"/>
      <c r="BW109" s="46"/>
      <c r="BX109" s="46"/>
      <c r="BY109" s="46"/>
      <c r="BZ109" s="46"/>
      <c r="CA109" s="46"/>
      <c r="CB109" s="46"/>
      <c r="CC109" s="46"/>
      <c r="CD109" s="46"/>
      <c r="CE109" s="46"/>
      <c r="CF109" s="46"/>
      <c r="CG109" s="46"/>
      <c r="CH109" s="46"/>
      <c r="CI109" s="46"/>
      <c r="CJ109" s="46"/>
      <c r="CK109" s="46"/>
      <c r="CL109" s="46"/>
      <c r="CM109" s="46"/>
      <c r="CN109" s="46"/>
      <c r="CO109" s="46"/>
      <c r="CP109" s="46"/>
      <c r="CQ109" s="46"/>
      <c r="CR109" s="46"/>
      <c r="CS109" s="46"/>
      <c r="CT109" s="46"/>
      <c r="CU109" s="46"/>
      <c r="CV109" s="46"/>
      <c r="CW109" s="46"/>
      <c r="CX109" s="46"/>
      <c r="CY109" s="46"/>
      <c r="CZ109" s="46"/>
      <c r="DA109" s="46"/>
      <c r="DB109" s="46"/>
      <c r="DC109" s="46"/>
    </row>
    <row r="110" spans="2:107" ht="12.75" hidden="1" customHeight="1" outlineLevel="2">
      <c r="B110" s="58"/>
      <c r="C110" s="16"/>
      <c r="D110" s="16"/>
      <c r="E110" s="16"/>
      <c r="F110" s="16"/>
      <c r="G110" s="16"/>
      <c r="H110" s="16"/>
      <c r="I110" s="16"/>
      <c r="J110" s="16"/>
      <c r="K110" s="16"/>
      <c r="L110" s="16"/>
      <c r="M110" s="16"/>
      <c r="N110" s="109"/>
      <c r="O110" s="109"/>
      <c r="P110" s="109"/>
      <c r="Q110" s="109"/>
      <c r="R110" s="109"/>
      <c r="S110" s="109"/>
      <c r="T110" s="109"/>
      <c r="U110" s="109"/>
      <c r="V110" s="109"/>
      <c r="W110" s="109"/>
      <c r="X110" s="109"/>
      <c r="Y110" s="109"/>
      <c r="Z110" s="109"/>
      <c r="AA110" s="109"/>
      <c r="AB110" s="109"/>
      <c r="AC110" s="109"/>
      <c r="AD110" s="109"/>
      <c r="AE110" s="16"/>
      <c r="AF110" s="16"/>
      <c r="AG110" s="16"/>
      <c r="AH110" s="16"/>
      <c r="AI110" s="16"/>
      <c r="AJ110" s="16"/>
      <c r="AK110" s="16"/>
      <c r="AL110" s="16"/>
      <c r="AM110" s="16"/>
      <c r="AN110" s="16"/>
      <c r="AO110" s="16"/>
      <c r="AP110" s="16"/>
      <c r="AQ110" s="16"/>
      <c r="AR110" s="16"/>
      <c r="AS110" s="16"/>
      <c r="AT110" s="16"/>
      <c r="AU110" s="16"/>
      <c r="AV110" s="16"/>
      <c r="AW110" s="16"/>
      <c r="AX110" s="16"/>
      <c r="AY110" s="16"/>
      <c r="AZ110" s="16"/>
      <c r="BA110" s="16"/>
      <c r="BB110" s="16"/>
      <c r="BC110" s="16"/>
      <c r="BD110" s="68"/>
      <c r="BE110" s="68"/>
      <c r="BF110" s="68"/>
      <c r="BG110" s="68"/>
      <c r="BH110" s="68"/>
      <c r="BI110" s="68"/>
      <c r="BJ110" s="68"/>
      <c r="BK110" s="68"/>
      <c r="BL110" s="68"/>
      <c r="BM110" s="68"/>
      <c r="BN110" s="68"/>
      <c r="BO110" s="68"/>
      <c r="BP110" s="68"/>
      <c r="BQ110" s="68"/>
      <c r="BR110" s="68"/>
      <c r="BS110" s="68"/>
      <c r="BT110" s="68"/>
      <c r="BU110" s="68"/>
      <c r="BV110" s="46"/>
      <c r="BW110" s="46"/>
      <c r="BX110" s="46"/>
      <c r="BY110" s="46"/>
      <c r="BZ110" s="46"/>
      <c r="CA110" s="46"/>
      <c r="CB110" s="46"/>
      <c r="CC110" s="46"/>
      <c r="CD110" s="46"/>
      <c r="CE110" s="46"/>
      <c r="CF110" s="46"/>
      <c r="CG110" s="46"/>
      <c r="CH110" s="46"/>
      <c r="CI110" s="46"/>
      <c r="CJ110" s="46"/>
      <c r="CK110" s="46"/>
      <c r="CL110" s="46"/>
      <c r="CM110" s="46"/>
      <c r="CN110" s="46"/>
      <c r="CO110" s="46"/>
      <c r="CP110" s="46"/>
      <c r="CQ110" s="46"/>
      <c r="CR110" s="46"/>
      <c r="CS110" s="46"/>
      <c r="CT110" s="46"/>
      <c r="CU110" s="46"/>
      <c r="CV110" s="46"/>
      <c r="CW110" s="46"/>
      <c r="CX110" s="46"/>
      <c r="CY110" s="46"/>
      <c r="CZ110" s="46"/>
      <c r="DA110" s="46"/>
      <c r="DB110" s="46"/>
      <c r="DC110" s="46"/>
    </row>
    <row r="111" spans="2:107" hidden="1" outlineLevel="2">
      <c r="B111" s="1089" t="s">
        <v>565</v>
      </c>
      <c r="C111" s="16"/>
      <c r="D111" s="16"/>
      <c r="E111" s="16"/>
      <c r="F111" s="16"/>
      <c r="G111" s="16"/>
      <c r="H111" s="16"/>
      <c r="I111" s="16"/>
      <c r="J111" s="16"/>
      <c r="K111" s="16"/>
      <c r="L111" s="16"/>
      <c r="M111" s="16"/>
      <c r="N111" s="109"/>
      <c r="O111" s="109"/>
      <c r="P111" s="109"/>
      <c r="Q111" s="109"/>
      <c r="R111" s="109"/>
      <c r="S111" s="109"/>
      <c r="T111" s="109"/>
      <c r="U111" s="109"/>
      <c r="V111" s="109"/>
      <c r="W111" s="109"/>
      <c r="X111" s="109"/>
      <c r="Y111" s="109"/>
      <c r="Z111" s="109"/>
      <c r="AA111" s="109"/>
      <c r="AB111" s="109"/>
      <c r="AC111" s="109"/>
      <c r="AD111" s="109"/>
      <c r="AE111" s="16"/>
      <c r="AF111" s="16"/>
      <c r="AG111" s="16"/>
      <c r="AH111" s="16"/>
      <c r="AI111" s="16"/>
      <c r="AJ111" s="16"/>
      <c r="AK111" s="16"/>
      <c r="AL111" s="16"/>
      <c r="AM111" s="16"/>
      <c r="AN111" s="16"/>
      <c r="AO111" s="16"/>
      <c r="AP111" s="16"/>
      <c r="AQ111" s="16"/>
      <c r="AR111" s="16"/>
      <c r="AS111" s="16"/>
      <c r="AT111" s="16"/>
      <c r="AU111" s="16"/>
      <c r="AV111" s="16"/>
      <c r="AW111" s="16"/>
      <c r="AX111" s="16"/>
      <c r="AY111" s="16"/>
      <c r="AZ111" s="16"/>
      <c r="BA111" s="16"/>
      <c r="BB111" s="16"/>
      <c r="BC111" s="16"/>
      <c r="BD111" s="68"/>
      <c r="BE111" s="68"/>
      <c r="BF111" s="68"/>
      <c r="BG111" s="68"/>
      <c r="BH111" s="68"/>
      <c r="BI111" s="68"/>
      <c r="BJ111" s="68"/>
      <c r="BK111" s="68"/>
      <c r="BL111" s="68"/>
      <c r="BM111" s="68"/>
      <c r="BN111" s="68"/>
      <c r="BO111" s="68"/>
      <c r="BP111" s="68"/>
      <c r="BQ111" s="68"/>
      <c r="BR111" s="68"/>
      <c r="BS111" s="68"/>
      <c r="BT111" s="68"/>
      <c r="BU111" s="68"/>
      <c r="BV111" s="46"/>
      <c r="BW111" s="46"/>
      <c r="BX111" s="46"/>
      <c r="BY111" s="46"/>
      <c r="BZ111" s="46"/>
      <c r="CA111" s="46"/>
      <c r="CB111" s="46"/>
      <c r="CC111" s="46"/>
      <c r="CD111" s="46"/>
      <c r="CE111" s="46"/>
      <c r="CF111" s="46"/>
      <c r="CG111" s="46"/>
      <c r="CH111" s="46"/>
      <c r="CI111" s="46"/>
      <c r="CJ111" s="46"/>
      <c r="CK111" s="46"/>
      <c r="CL111" s="46"/>
      <c r="CM111" s="46"/>
      <c r="CN111" s="46"/>
      <c r="CO111" s="46"/>
      <c r="CP111" s="46"/>
      <c r="CQ111" s="46"/>
      <c r="CR111" s="46"/>
      <c r="CS111" s="46"/>
      <c r="CT111" s="46"/>
      <c r="CU111" s="46"/>
      <c r="CV111" s="46"/>
      <c r="CW111" s="46"/>
      <c r="CX111" s="46"/>
      <c r="CY111" s="46"/>
      <c r="CZ111" s="46"/>
      <c r="DA111" s="46"/>
      <c r="DB111" s="46"/>
      <c r="DC111" s="46"/>
    </row>
    <row r="112" spans="2:107" hidden="1" outlineLevel="2">
      <c r="B112" s="1090" t="s">
        <v>535</v>
      </c>
      <c r="C112" s="16"/>
      <c r="D112" s="16"/>
      <c r="E112" s="16"/>
      <c r="F112" s="16"/>
      <c r="G112" s="16"/>
      <c r="H112" s="16"/>
      <c r="I112" s="16"/>
      <c r="J112" s="16"/>
      <c r="K112" s="16"/>
      <c r="L112" s="16"/>
      <c r="M112" s="16"/>
      <c r="N112" s="109"/>
      <c r="O112" s="109"/>
      <c r="P112" s="109"/>
      <c r="Q112" s="109"/>
      <c r="R112" s="109"/>
      <c r="S112" s="109"/>
      <c r="T112" s="109"/>
      <c r="U112" s="109"/>
      <c r="V112" s="109"/>
      <c r="W112" s="109"/>
      <c r="X112" s="109"/>
      <c r="Y112" s="109"/>
      <c r="Z112" s="109"/>
      <c r="AA112" s="109"/>
      <c r="AB112" s="109"/>
      <c r="AC112" s="109"/>
      <c r="AD112" s="109"/>
      <c r="AE112" s="16"/>
      <c r="AF112" s="16"/>
      <c r="AG112" s="16"/>
      <c r="AH112" s="16"/>
      <c r="AI112" s="16"/>
      <c r="AJ112" s="16"/>
      <c r="AK112" s="16"/>
      <c r="AL112" s="16"/>
      <c r="AM112" s="16"/>
      <c r="AN112" s="16"/>
      <c r="AO112" s="16"/>
      <c r="AP112" s="16"/>
      <c r="AQ112" s="16"/>
      <c r="AR112" s="16"/>
      <c r="AS112" s="16"/>
      <c r="AT112" s="16"/>
      <c r="AU112" s="16"/>
      <c r="AV112" s="16"/>
      <c r="AW112" s="16"/>
      <c r="AX112" s="16"/>
      <c r="AY112" s="16"/>
      <c r="AZ112" s="16"/>
      <c r="BA112" s="16"/>
      <c r="BB112" s="16"/>
      <c r="BC112" s="16"/>
      <c r="BD112" s="68"/>
      <c r="BE112" s="68"/>
      <c r="BF112" s="68"/>
      <c r="BG112" s="68"/>
      <c r="BH112" s="68"/>
      <c r="BI112" s="68"/>
      <c r="BJ112" s="68"/>
      <c r="BK112" s="68"/>
      <c r="BL112" s="68"/>
      <c r="BM112" s="68"/>
      <c r="BN112" s="68"/>
      <c r="BO112" s="68"/>
      <c r="BP112" s="68"/>
      <c r="BQ112" s="68"/>
      <c r="BR112" s="68"/>
      <c r="BS112" s="68"/>
      <c r="BT112" s="68"/>
      <c r="BU112" s="1091">
        <v>971.56017588933832</v>
      </c>
      <c r="BV112" s="46"/>
      <c r="BW112" s="46"/>
      <c r="BX112" s="46"/>
      <c r="BY112" s="46"/>
      <c r="BZ112" s="46"/>
      <c r="CA112" s="46"/>
      <c r="CB112" s="46"/>
      <c r="CC112" s="46"/>
      <c r="CD112" s="46"/>
      <c r="CE112" s="46"/>
      <c r="CF112" s="46"/>
      <c r="CG112" s="46"/>
      <c r="CH112" s="46"/>
      <c r="CI112" s="46"/>
      <c r="CJ112" s="46"/>
      <c r="CK112" s="46"/>
      <c r="CL112" s="46"/>
      <c r="CM112" s="46"/>
      <c r="CN112" s="46"/>
      <c r="CO112" s="46"/>
      <c r="CP112" s="46"/>
      <c r="CQ112" s="46"/>
      <c r="CR112" s="46"/>
      <c r="CS112" s="46"/>
      <c r="CT112" s="46"/>
      <c r="CU112" s="46"/>
      <c r="CV112" s="46"/>
      <c r="CW112" s="46"/>
      <c r="CX112" s="46"/>
      <c r="CY112" s="46"/>
      <c r="CZ112" s="46"/>
      <c r="DA112" s="46"/>
      <c r="DB112" s="46"/>
      <c r="DC112" s="46"/>
    </row>
    <row r="113" spans="2:107" hidden="1" outlineLevel="2">
      <c r="B113" s="1090" t="s">
        <v>536</v>
      </c>
      <c r="C113" s="16"/>
      <c r="D113" s="16"/>
      <c r="E113" s="16"/>
      <c r="F113" s="16"/>
      <c r="G113" s="16"/>
      <c r="H113" s="16"/>
      <c r="I113" s="16"/>
      <c r="J113" s="16"/>
      <c r="K113" s="16"/>
      <c r="L113" s="16"/>
      <c r="M113" s="16"/>
      <c r="N113" s="109"/>
      <c r="O113" s="109"/>
      <c r="P113" s="109"/>
      <c r="Q113" s="109"/>
      <c r="R113" s="109"/>
      <c r="S113" s="109"/>
      <c r="T113" s="109"/>
      <c r="U113" s="109"/>
      <c r="V113" s="109"/>
      <c r="W113" s="109"/>
      <c r="X113" s="109"/>
      <c r="Y113" s="109"/>
      <c r="Z113" s="109"/>
      <c r="AA113" s="109"/>
      <c r="AB113" s="109"/>
      <c r="AC113" s="109"/>
      <c r="AD113" s="109"/>
      <c r="AE113" s="16"/>
      <c r="AF113" s="16"/>
      <c r="AG113" s="16"/>
      <c r="AH113" s="16"/>
      <c r="AI113" s="16"/>
      <c r="AJ113" s="16"/>
      <c r="AK113" s="16"/>
      <c r="AL113" s="16"/>
      <c r="AM113" s="16"/>
      <c r="AN113" s="16"/>
      <c r="AO113" s="16"/>
      <c r="AP113" s="16"/>
      <c r="AQ113" s="16"/>
      <c r="AR113" s="16"/>
      <c r="AS113" s="16"/>
      <c r="AT113" s="16"/>
      <c r="AU113" s="16"/>
      <c r="AV113" s="16"/>
      <c r="AW113" s="16"/>
      <c r="AX113" s="16"/>
      <c r="AY113" s="16"/>
      <c r="AZ113" s="16"/>
      <c r="BA113" s="16"/>
      <c r="BB113" s="16"/>
      <c r="BC113" s="16"/>
      <c r="BD113" s="68"/>
      <c r="BE113" s="68"/>
      <c r="BF113" s="68"/>
      <c r="BG113" s="68"/>
      <c r="BH113" s="68"/>
      <c r="BI113" s="68"/>
      <c r="BJ113" s="68"/>
      <c r="BK113" s="68"/>
      <c r="BL113" s="68"/>
      <c r="BM113" s="68"/>
      <c r="BN113" s="68"/>
      <c r="BO113" s="68"/>
      <c r="BP113" s="68"/>
      <c r="BQ113" s="68"/>
      <c r="BR113" s="68"/>
      <c r="BS113" s="68"/>
      <c r="BT113" s="68"/>
      <c r="BU113" s="1091">
        <v>329.56573383471124</v>
      </c>
      <c r="BV113" s="46"/>
      <c r="BW113" s="46"/>
      <c r="BX113" s="46"/>
      <c r="BY113" s="46"/>
      <c r="BZ113" s="46"/>
      <c r="CA113" s="46"/>
      <c r="CB113" s="46"/>
      <c r="CC113" s="46"/>
      <c r="CD113" s="46"/>
      <c r="CE113" s="46"/>
      <c r="CF113" s="46"/>
      <c r="CG113" s="46"/>
      <c r="CH113" s="46"/>
      <c r="CI113" s="46"/>
      <c r="CJ113" s="46"/>
      <c r="CK113" s="46"/>
      <c r="CL113" s="46"/>
      <c r="CM113" s="46"/>
      <c r="CN113" s="46"/>
      <c r="CO113" s="46"/>
      <c r="CP113" s="46"/>
      <c r="CQ113" s="46"/>
      <c r="CR113" s="46"/>
      <c r="CS113" s="46"/>
      <c r="CT113" s="46"/>
      <c r="CU113" s="46"/>
      <c r="CV113" s="46"/>
      <c r="CW113" s="46"/>
      <c r="CX113" s="46"/>
      <c r="CY113" s="46"/>
      <c r="CZ113" s="46"/>
      <c r="DA113" s="46"/>
      <c r="DB113" s="46"/>
      <c r="DC113" s="46"/>
    </row>
    <row r="114" spans="2:107" ht="12.75" hidden="1" customHeight="1" outlineLevel="2">
      <c r="B114" s="1093"/>
      <c r="C114" s="16"/>
      <c r="D114" s="16"/>
      <c r="E114" s="16"/>
      <c r="F114" s="16"/>
      <c r="G114" s="16"/>
      <c r="H114" s="16"/>
      <c r="I114" s="16"/>
      <c r="J114" s="16"/>
      <c r="K114" s="16"/>
      <c r="L114" s="16"/>
      <c r="M114" s="16"/>
      <c r="N114" s="109"/>
      <c r="O114" s="109"/>
      <c r="P114" s="109"/>
      <c r="Q114" s="109"/>
      <c r="R114" s="109"/>
      <c r="S114" s="109"/>
      <c r="T114" s="109"/>
      <c r="U114" s="109"/>
      <c r="V114" s="109"/>
      <c r="W114" s="109"/>
      <c r="X114" s="109"/>
      <c r="Y114" s="109"/>
      <c r="Z114" s="109"/>
      <c r="AA114" s="109"/>
      <c r="AB114" s="109"/>
      <c r="AC114" s="109"/>
      <c r="AD114" s="109"/>
      <c r="AE114" s="16"/>
      <c r="AF114" s="16"/>
      <c r="AG114" s="16"/>
      <c r="AH114" s="16"/>
      <c r="AI114" s="16"/>
      <c r="AJ114" s="16"/>
      <c r="AK114" s="16"/>
      <c r="AL114" s="16"/>
      <c r="AM114" s="16"/>
      <c r="AN114" s="16"/>
      <c r="AO114" s="16"/>
      <c r="AP114" s="16"/>
      <c r="AQ114" s="16"/>
      <c r="AR114" s="16"/>
      <c r="AS114" s="16"/>
      <c r="AT114" s="16"/>
      <c r="AU114" s="16"/>
      <c r="AV114" s="16"/>
      <c r="AW114" s="16"/>
      <c r="AX114" s="16"/>
      <c r="AY114" s="16"/>
      <c r="AZ114" s="16"/>
      <c r="BA114" s="16"/>
      <c r="BB114" s="16"/>
      <c r="BC114" s="16"/>
      <c r="BD114" s="68"/>
      <c r="BE114" s="68"/>
      <c r="BF114" s="68"/>
      <c r="BG114" s="68"/>
      <c r="BH114" s="68"/>
      <c r="BI114" s="68"/>
      <c r="BJ114" s="68"/>
      <c r="BK114" s="68"/>
      <c r="BL114" s="68"/>
      <c r="BM114" s="68"/>
      <c r="BN114" s="68"/>
      <c r="BO114" s="68"/>
      <c r="BP114" s="68"/>
      <c r="BQ114" s="68"/>
      <c r="BR114" s="68"/>
      <c r="BS114" s="68"/>
      <c r="BT114" s="68"/>
      <c r="BU114" s="1091"/>
      <c r="BV114" s="46"/>
      <c r="BW114" s="46"/>
      <c r="BX114" s="46"/>
      <c r="BY114" s="46"/>
      <c r="BZ114" s="46"/>
      <c r="CA114" s="46"/>
      <c r="CB114" s="46"/>
      <c r="CC114" s="46"/>
      <c r="CD114" s="46"/>
      <c r="CE114" s="46"/>
      <c r="CF114" s="46"/>
      <c r="CG114" s="46"/>
      <c r="CH114" s="46"/>
      <c r="CI114" s="46"/>
      <c r="CJ114" s="46"/>
      <c r="CK114" s="46"/>
      <c r="CL114" s="46"/>
      <c r="CM114" s="46"/>
      <c r="CN114" s="46"/>
      <c r="CO114" s="46"/>
      <c r="CP114" s="46"/>
      <c r="CQ114" s="46"/>
      <c r="CR114" s="46"/>
      <c r="CS114" s="46"/>
      <c r="CT114" s="46"/>
      <c r="CU114" s="46"/>
      <c r="CV114" s="46"/>
      <c r="CW114" s="46"/>
      <c r="CX114" s="46"/>
      <c r="CY114" s="46"/>
      <c r="CZ114" s="46"/>
      <c r="DA114" s="46"/>
      <c r="DB114" s="46"/>
      <c r="DC114" s="46"/>
    </row>
    <row r="115" spans="2:107" hidden="1" outlineLevel="2">
      <c r="B115" s="1089" t="s">
        <v>566</v>
      </c>
      <c r="C115" s="16"/>
      <c r="D115" s="16"/>
      <c r="E115" s="16"/>
      <c r="F115" s="16"/>
      <c r="G115" s="16"/>
      <c r="H115" s="16"/>
      <c r="I115" s="16"/>
      <c r="J115" s="16"/>
      <c r="K115" s="16"/>
      <c r="L115" s="16"/>
      <c r="M115" s="16"/>
      <c r="N115" s="109"/>
      <c r="O115" s="109"/>
      <c r="P115" s="109"/>
      <c r="Q115" s="109"/>
      <c r="R115" s="109"/>
      <c r="S115" s="109"/>
      <c r="T115" s="109"/>
      <c r="U115" s="109"/>
      <c r="V115" s="109"/>
      <c r="W115" s="109"/>
      <c r="X115" s="109"/>
      <c r="Y115" s="109"/>
      <c r="Z115" s="109"/>
      <c r="AA115" s="109"/>
      <c r="AB115" s="109"/>
      <c r="AC115" s="109"/>
      <c r="AD115" s="109"/>
      <c r="AE115" s="16"/>
      <c r="AF115" s="16"/>
      <c r="AG115" s="16"/>
      <c r="AH115" s="16"/>
      <c r="AI115" s="16"/>
      <c r="AJ115" s="16"/>
      <c r="AK115" s="16"/>
      <c r="AL115" s="16"/>
      <c r="AM115" s="16"/>
      <c r="AN115" s="16"/>
      <c r="AO115" s="16"/>
      <c r="AP115" s="16"/>
      <c r="AQ115" s="16"/>
      <c r="AR115" s="16"/>
      <c r="AS115" s="16"/>
      <c r="AT115" s="16"/>
      <c r="AU115" s="16"/>
      <c r="AV115" s="16"/>
      <c r="AW115" s="16"/>
      <c r="AX115" s="16"/>
      <c r="AY115" s="16"/>
      <c r="AZ115" s="16"/>
      <c r="BA115" s="16"/>
      <c r="BB115" s="16"/>
      <c r="BC115" s="16"/>
      <c r="BD115" s="68"/>
      <c r="BE115" s="68"/>
      <c r="BF115" s="68"/>
      <c r="BG115" s="68"/>
      <c r="BH115" s="68"/>
      <c r="BI115" s="68"/>
      <c r="BJ115" s="68"/>
      <c r="BK115" s="68"/>
      <c r="BL115" s="68"/>
      <c r="BM115" s="68"/>
      <c r="BN115" s="68"/>
      <c r="BO115" s="68"/>
      <c r="BP115" s="68"/>
      <c r="BQ115" s="68"/>
      <c r="BR115" s="68"/>
      <c r="BS115" s="68"/>
      <c r="BT115" s="68"/>
      <c r="BU115" s="1091"/>
      <c r="BV115" s="46"/>
      <c r="BW115" s="46"/>
      <c r="BX115" s="46"/>
      <c r="BY115" s="46"/>
      <c r="BZ115" s="46"/>
      <c r="CA115" s="46"/>
      <c r="CB115" s="46"/>
      <c r="CC115" s="46"/>
      <c r="CD115" s="46"/>
      <c r="CE115" s="46"/>
      <c r="CF115" s="46"/>
      <c r="CG115" s="46"/>
      <c r="CH115" s="46"/>
      <c r="CI115" s="46"/>
      <c r="CJ115" s="46"/>
      <c r="CK115" s="46"/>
      <c r="CL115" s="46"/>
      <c r="CM115" s="46"/>
      <c r="CN115" s="46"/>
      <c r="CO115" s="46"/>
      <c r="CP115" s="46"/>
      <c r="CQ115" s="46"/>
      <c r="CR115" s="46"/>
      <c r="CS115" s="46"/>
      <c r="CT115" s="46"/>
      <c r="CU115" s="46"/>
      <c r="CV115" s="46"/>
      <c r="CW115" s="46"/>
      <c r="CX115" s="46"/>
      <c r="CY115" s="46"/>
      <c r="CZ115" s="46"/>
      <c r="DA115" s="46"/>
      <c r="DB115" s="46"/>
      <c r="DC115" s="46"/>
    </row>
    <row r="116" spans="2:107" hidden="1" outlineLevel="2">
      <c r="B116" s="1090" t="s">
        <v>537</v>
      </c>
      <c r="C116" s="16"/>
      <c r="D116" s="16"/>
      <c r="E116" s="16"/>
      <c r="F116" s="16"/>
      <c r="G116" s="16"/>
      <c r="H116" s="16"/>
      <c r="I116" s="16"/>
      <c r="J116" s="16"/>
      <c r="K116" s="16"/>
      <c r="L116" s="16"/>
      <c r="M116" s="16"/>
      <c r="N116" s="109"/>
      <c r="O116" s="109"/>
      <c r="P116" s="109"/>
      <c r="Q116" s="109"/>
      <c r="R116" s="109"/>
      <c r="S116" s="109"/>
      <c r="T116" s="109"/>
      <c r="U116" s="109"/>
      <c r="V116" s="109"/>
      <c r="W116" s="109"/>
      <c r="X116" s="109"/>
      <c r="Y116" s="109"/>
      <c r="Z116" s="109"/>
      <c r="AA116" s="109"/>
      <c r="AB116" s="109"/>
      <c r="AC116" s="109"/>
      <c r="AD116" s="109"/>
      <c r="AE116" s="16"/>
      <c r="AF116" s="16"/>
      <c r="AG116" s="16"/>
      <c r="AH116" s="16"/>
      <c r="AI116" s="16"/>
      <c r="AJ116" s="16"/>
      <c r="AK116" s="16"/>
      <c r="AL116" s="16"/>
      <c r="AM116" s="16"/>
      <c r="AN116" s="16"/>
      <c r="AO116" s="16"/>
      <c r="AP116" s="16"/>
      <c r="AQ116" s="16"/>
      <c r="AR116" s="16"/>
      <c r="AS116" s="16"/>
      <c r="AT116" s="16"/>
      <c r="AU116" s="16"/>
      <c r="AV116" s="16"/>
      <c r="AW116" s="16"/>
      <c r="AX116" s="16"/>
      <c r="AY116" s="16"/>
      <c r="AZ116" s="16"/>
      <c r="BA116" s="16"/>
      <c r="BB116" s="16"/>
      <c r="BC116" s="16"/>
      <c r="BD116" s="68"/>
      <c r="BE116" s="68"/>
      <c r="BF116" s="68"/>
      <c r="BG116" s="68"/>
      <c r="BH116" s="68"/>
      <c r="BI116" s="68"/>
      <c r="BJ116" s="68"/>
      <c r="BK116" s="68"/>
      <c r="BL116" s="68"/>
      <c r="BM116" s="68"/>
      <c r="BN116" s="68"/>
      <c r="BO116" s="68"/>
      <c r="BP116" s="68"/>
      <c r="BQ116" s="68"/>
      <c r="BR116" s="68"/>
      <c r="BS116" s="68"/>
      <c r="BT116" s="68"/>
      <c r="BU116" s="1091">
        <v>269.87441913063526</v>
      </c>
      <c r="BV116" s="46"/>
      <c r="BW116" s="46"/>
      <c r="BX116" s="46"/>
      <c r="BY116" s="46"/>
      <c r="BZ116" s="46"/>
      <c r="CA116" s="46"/>
      <c r="CB116" s="46"/>
      <c r="CC116" s="46"/>
      <c r="CD116" s="46"/>
      <c r="CE116" s="46"/>
      <c r="CF116" s="46"/>
      <c r="CG116" s="46"/>
      <c r="CH116" s="46"/>
      <c r="CI116" s="46"/>
      <c r="CJ116" s="46"/>
      <c r="CK116" s="46"/>
      <c r="CL116" s="46"/>
      <c r="CM116" s="46"/>
      <c r="CN116" s="46"/>
      <c r="CO116" s="46"/>
      <c r="CP116" s="46"/>
      <c r="CQ116" s="46"/>
      <c r="CR116" s="46"/>
      <c r="CS116" s="46"/>
      <c r="CT116" s="46"/>
      <c r="CU116" s="46"/>
      <c r="CV116" s="46"/>
      <c r="CW116" s="46"/>
      <c r="CX116" s="46"/>
      <c r="CY116" s="46"/>
      <c r="CZ116" s="46"/>
      <c r="DA116" s="46"/>
      <c r="DB116" s="46"/>
      <c r="DC116" s="46"/>
    </row>
    <row r="117" spans="2:107" ht="12.75" hidden="1" customHeight="1" outlineLevel="2">
      <c r="B117" s="1093"/>
      <c r="C117" s="16"/>
      <c r="D117" s="16"/>
      <c r="E117" s="16"/>
      <c r="F117" s="16"/>
      <c r="G117" s="16"/>
      <c r="H117" s="16"/>
      <c r="I117" s="16"/>
      <c r="J117" s="16"/>
      <c r="K117" s="16"/>
      <c r="L117" s="16"/>
      <c r="M117" s="16"/>
      <c r="N117" s="109"/>
      <c r="O117" s="109"/>
      <c r="P117" s="109"/>
      <c r="Q117" s="109"/>
      <c r="R117" s="109"/>
      <c r="S117" s="109"/>
      <c r="T117" s="109"/>
      <c r="U117" s="109"/>
      <c r="V117" s="109"/>
      <c r="W117" s="109"/>
      <c r="X117" s="109"/>
      <c r="Y117" s="109"/>
      <c r="Z117" s="109"/>
      <c r="AA117" s="109"/>
      <c r="AB117" s="109"/>
      <c r="AC117" s="109"/>
      <c r="AD117" s="109"/>
      <c r="AE117" s="16"/>
      <c r="AF117" s="16"/>
      <c r="AG117" s="16"/>
      <c r="AH117" s="16"/>
      <c r="AI117" s="16"/>
      <c r="AJ117" s="16"/>
      <c r="AK117" s="16"/>
      <c r="AL117" s="16"/>
      <c r="AM117" s="16"/>
      <c r="AN117" s="16"/>
      <c r="AO117" s="16"/>
      <c r="AP117" s="16"/>
      <c r="AQ117" s="16"/>
      <c r="AR117" s="16"/>
      <c r="AS117" s="16"/>
      <c r="AT117" s="16"/>
      <c r="AU117" s="16"/>
      <c r="AV117" s="16"/>
      <c r="AW117" s="16"/>
      <c r="AX117" s="16"/>
      <c r="AY117" s="16"/>
      <c r="AZ117" s="16"/>
      <c r="BA117" s="16"/>
      <c r="BB117" s="16"/>
      <c r="BC117" s="16"/>
      <c r="BD117" s="68"/>
      <c r="BE117" s="68"/>
      <c r="BF117" s="68"/>
      <c r="BG117" s="68"/>
      <c r="BH117" s="68"/>
      <c r="BI117" s="68"/>
      <c r="BJ117" s="68"/>
      <c r="BK117" s="68"/>
      <c r="BL117" s="68"/>
      <c r="BM117" s="68"/>
      <c r="BN117" s="68"/>
      <c r="BO117" s="68"/>
      <c r="BP117" s="68"/>
      <c r="BQ117" s="68"/>
      <c r="BR117" s="68"/>
      <c r="BS117" s="68"/>
      <c r="BT117" s="68"/>
      <c r="BU117" s="1091"/>
      <c r="BV117" s="46"/>
      <c r="BW117" s="46"/>
      <c r="BX117" s="46"/>
      <c r="BY117" s="46"/>
      <c r="BZ117" s="46"/>
      <c r="CA117" s="46"/>
      <c r="CB117" s="46"/>
      <c r="CC117" s="46"/>
      <c r="CD117" s="46"/>
      <c r="CE117" s="46"/>
      <c r="CF117" s="46"/>
      <c r="CG117" s="46"/>
      <c r="CH117" s="46"/>
      <c r="CI117" s="46"/>
      <c r="CJ117" s="46"/>
      <c r="CK117" s="46"/>
      <c r="CL117" s="46"/>
      <c r="CM117" s="46"/>
      <c r="CN117" s="46"/>
      <c r="CO117" s="46"/>
      <c r="CP117" s="46"/>
      <c r="CQ117" s="46"/>
      <c r="CR117" s="46"/>
      <c r="CS117" s="46"/>
      <c r="CT117" s="46"/>
      <c r="CU117" s="46"/>
      <c r="CV117" s="46"/>
      <c r="CW117" s="46"/>
      <c r="CX117" s="46"/>
      <c r="CY117" s="46"/>
      <c r="CZ117" s="46"/>
      <c r="DA117" s="46"/>
      <c r="DB117" s="46"/>
      <c r="DC117" s="46"/>
    </row>
    <row r="118" spans="2:107" hidden="1" outlineLevel="2">
      <c r="B118" s="1089" t="s">
        <v>567</v>
      </c>
      <c r="C118" s="16"/>
      <c r="D118" s="16"/>
      <c r="E118" s="16"/>
      <c r="F118" s="16"/>
      <c r="G118" s="16"/>
      <c r="H118" s="16"/>
      <c r="I118" s="16"/>
      <c r="J118" s="16"/>
      <c r="K118" s="16"/>
      <c r="L118" s="16"/>
      <c r="M118" s="16"/>
      <c r="N118" s="109"/>
      <c r="O118" s="109"/>
      <c r="P118" s="109"/>
      <c r="Q118" s="109"/>
      <c r="R118" s="109"/>
      <c r="S118" s="109"/>
      <c r="T118" s="109"/>
      <c r="U118" s="109"/>
      <c r="V118" s="109"/>
      <c r="W118" s="109"/>
      <c r="X118" s="109"/>
      <c r="Y118" s="109"/>
      <c r="Z118" s="109"/>
      <c r="AA118" s="109"/>
      <c r="AB118" s="109"/>
      <c r="AC118" s="109"/>
      <c r="AD118" s="109"/>
      <c r="AE118" s="16"/>
      <c r="AF118" s="16"/>
      <c r="AG118" s="16"/>
      <c r="AH118" s="16"/>
      <c r="AI118" s="16"/>
      <c r="AJ118" s="16"/>
      <c r="AK118" s="16"/>
      <c r="AL118" s="16"/>
      <c r="AM118" s="16"/>
      <c r="AN118" s="16"/>
      <c r="AO118" s="16"/>
      <c r="AP118" s="16"/>
      <c r="AQ118" s="16"/>
      <c r="AR118" s="16"/>
      <c r="AS118" s="16"/>
      <c r="AT118" s="16"/>
      <c r="AU118" s="16"/>
      <c r="AV118" s="16"/>
      <c r="AW118" s="16"/>
      <c r="AX118" s="16"/>
      <c r="AY118" s="16"/>
      <c r="AZ118" s="16"/>
      <c r="BA118" s="16"/>
      <c r="BB118" s="16"/>
      <c r="BC118" s="16"/>
      <c r="BD118" s="68"/>
      <c r="BE118" s="68"/>
      <c r="BF118" s="68"/>
      <c r="BG118" s="68"/>
      <c r="BH118" s="68"/>
      <c r="BI118" s="68"/>
      <c r="BJ118" s="68"/>
      <c r="BK118" s="68"/>
      <c r="BL118" s="68"/>
      <c r="BM118" s="68"/>
      <c r="BN118" s="68"/>
      <c r="BO118" s="68"/>
      <c r="BP118" s="68"/>
      <c r="BQ118" s="68"/>
      <c r="BR118" s="68"/>
      <c r="BS118" s="68"/>
      <c r="BT118" s="68"/>
      <c r="BU118" s="1091"/>
      <c r="BV118" s="46"/>
      <c r="BW118" s="46"/>
      <c r="BX118" s="46"/>
      <c r="BY118" s="46"/>
      <c r="BZ118" s="46"/>
      <c r="CA118" s="46"/>
      <c r="CB118" s="46"/>
      <c r="CC118" s="46"/>
      <c r="CD118" s="46"/>
      <c r="CE118" s="46"/>
      <c r="CF118" s="46"/>
      <c r="CG118" s="46"/>
      <c r="CH118" s="46"/>
      <c r="CI118" s="46"/>
      <c r="CJ118" s="46"/>
      <c r="CK118" s="46"/>
      <c r="CL118" s="46"/>
      <c r="CM118" s="46"/>
      <c r="CN118" s="46"/>
      <c r="CO118" s="46"/>
      <c r="CP118" s="46"/>
      <c r="CQ118" s="46"/>
      <c r="CR118" s="46"/>
      <c r="CS118" s="46"/>
      <c r="CT118" s="46"/>
      <c r="CU118" s="46"/>
      <c r="CV118" s="46"/>
      <c r="CW118" s="46"/>
      <c r="CX118" s="46"/>
      <c r="CY118" s="46"/>
      <c r="CZ118" s="46"/>
      <c r="DA118" s="46"/>
      <c r="DB118" s="46"/>
      <c r="DC118" s="46"/>
    </row>
    <row r="119" spans="2:107" hidden="1" outlineLevel="2">
      <c r="B119" s="1090" t="s">
        <v>538</v>
      </c>
      <c r="C119" s="16"/>
      <c r="D119" s="16"/>
      <c r="E119" s="16"/>
      <c r="F119" s="16"/>
      <c r="G119" s="16"/>
      <c r="H119" s="16"/>
      <c r="I119" s="16"/>
      <c r="J119" s="16"/>
      <c r="K119" s="16"/>
      <c r="L119" s="16"/>
      <c r="M119" s="16"/>
      <c r="N119" s="109"/>
      <c r="O119" s="109"/>
      <c r="P119" s="109"/>
      <c r="Q119" s="109"/>
      <c r="R119" s="109"/>
      <c r="S119" s="109"/>
      <c r="T119" s="109"/>
      <c r="U119" s="109"/>
      <c r="V119" s="109"/>
      <c r="W119" s="109"/>
      <c r="X119" s="109"/>
      <c r="Y119" s="109"/>
      <c r="Z119" s="109"/>
      <c r="AA119" s="109"/>
      <c r="AB119" s="109"/>
      <c r="AC119" s="109"/>
      <c r="AD119" s="109"/>
      <c r="AE119" s="16"/>
      <c r="AF119" s="16"/>
      <c r="AG119" s="16"/>
      <c r="AH119" s="16"/>
      <c r="AI119" s="16"/>
      <c r="AJ119" s="16"/>
      <c r="AK119" s="16"/>
      <c r="AL119" s="16"/>
      <c r="AM119" s="16"/>
      <c r="AN119" s="16"/>
      <c r="AO119" s="16"/>
      <c r="AP119" s="16"/>
      <c r="AQ119" s="16"/>
      <c r="AR119" s="16"/>
      <c r="AS119" s="16"/>
      <c r="AT119" s="16"/>
      <c r="AU119" s="16"/>
      <c r="AV119" s="16"/>
      <c r="AW119" s="16"/>
      <c r="AX119" s="16"/>
      <c r="AY119" s="16"/>
      <c r="AZ119" s="16"/>
      <c r="BA119" s="16"/>
      <c r="BB119" s="16"/>
      <c r="BC119" s="16"/>
      <c r="BD119" s="68"/>
      <c r="BE119" s="68"/>
      <c r="BF119" s="68"/>
      <c r="BG119" s="68"/>
      <c r="BH119" s="68"/>
      <c r="BI119" s="68"/>
      <c r="BJ119" s="68"/>
      <c r="BK119" s="68"/>
      <c r="BL119" s="68"/>
      <c r="BM119" s="68"/>
      <c r="BN119" s="68"/>
      <c r="BO119" s="68"/>
      <c r="BP119" s="68"/>
      <c r="BQ119" s="68"/>
      <c r="BR119" s="68"/>
      <c r="BS119" s="68"/>
      <c r="BT119" s="68"/>
      <c r="BU119" s="1091">
        <v>302.98310355034369</v>
      </c>
      <c r="BV119" s="46"/>
      <c r="BW119" s="46"/>
      <c r="BX119" s="46"/>
      <c r="BY119" s="46"/>
      <c r="BZ119" s="46"/>
      <c r="CA119" s="46"/>
      <c r="CB119" s="46"/>
      <c r="CC119" s="46"/>
      <c r="CD119" s="46"/>
      <c r="CE119" s="46"/>
      <c r="CF119" s="46"/>
      <c r="CG119" s="46"/>
      <c r="CH119" s="46"/>
      <c r="CI119" s="46"/>
      <c r="CJ119" s="46"/>
      <c r="CK119" s="46"/>
      <c r="CL119" s="46"/>
      <c r="CM119" s="46"/>
      <c r="CN119" s="46"/>
      <c r="CO119" s="46"/>
      <c r="CP119" s="46"/>
      <c r="CQ119" s="46"/>
      <c r="CR119" s="46"/>
      <c r="CS119" s="46"/>
      <c r="CT119" s="46"/>
      <c r="CU119" s="46"/>
      <c r="CV119" s="46"/>
      <c r="CW119" s="46"/>
      <c r="CX119" s="46"/>
      <c r="CY119" s="46"/>
      <c r="CZ119" s="46"/>
      <c r="DA119" s="46"/>
      <c r="DB119" s="46"/>
      <c r="DC119" s="46"/>
    </row>
    <row r="120" spans="2:107" ht="12.75" hidden="1" customHeight="1" outlineLevel="2">
      <c r="B120" s="1093"/>
      <c r="C120" s="16"/>
      <c r="D120" s="16"/>
      <c r="E120" s="16"/>
      <c r="F120" s="16"/>
      <c r="G120" s="16"/>
      <c r="H120" s="16"/>
      <c r="I120" s="16"/>
      <c r="J120" s="16"/>
      <c r="K120" s="16"/>
      <c r="L120" s="16"/>
      <c r="M120" s="16"/>
      <c r="N120" s="109"/>
      <c r="O120" s="109"/>
      <c r="P120" s="109"/>
      <c r="Q120" s="109"/>
      <c r="R120" s="109"/>
      <c r="S120" s="109"/>
      <c r="T120" s="109"/>
      <c r="U120" s="109"/>
      <c r="V120" s="109"/>
      <c r="W120" s="109"/>
      <c r="X120" s="109"/>
      <c r="Y120" s="109"/>
      <c r="Z120" s="109"/>
      <c r="AA120" s="109"/>
      <c r="AB120" s="109"/>
      <c r="AC120" s="109"/>
      <c r="AD120" s="109"/>
      <c r="AE120" s="16"/>
      <c r="AF120" s="16"/>
      <c r="AG120" s="16"/>
      <c r="AH120" s="16"/>
      <c r="AI120" s="16"/>
      <c r="AJ120" s="16"/>
      <c r="AK120" s="16"/>
      <c r="AL120" s="16"/>
      <c r="AM120" s="16"/>
      <c r="AN120" s="16"/>
      <c r="AO120" s="16"/>
      <c r="AP120" s="16"/>
      <c r="AQ120" s="16"/>
      <c r="AR120" s="16"/>
      <c r="AS120" s="16"/>
      <c r="AT120" s="16"/>
      <c r="AU120" s="16"/>
      <c r="AV120" s="16"/>
      <c r="AW120" s="16"/>
      <c r="AX120" s="16"/>
      <c r="AY120" s="16"/>
      <c r="AZ120" s="16"/>
      <c r="BA120" s="16"/>
      <c r="BB120" s="16"/>
      <c r="BC120" s="16"/>
      <c r="BD120" s="68"/>
      <c r="BE120" s="68"/>
      <c r="BF120" s="68"/>
      <c r="BG120" s="68"/>
      <c r="BH120" s="68"/>
      <c r="BI120" s="68"/>
      <c r="BJ120" s="68"/>
      <c r="BK120" s="68"/>
      <c r="BL120" s="68"/>
      <c r="BM120" s="68"/>
      <c r="BN120" s="68"/>
      <c r="BO120" s="68"/>
      <c r="BP120" s="68"/>
      <c r="BQ120" s="68"/>
      <c r="BR120" s="68"/>
      <c r="BS120" s="68"/>
      <c r="BT120" s="68"/>
      <c r="BU120" s="1091"/>
      <c r="BV120" s="46"/>
      <c r="BW120" s="46"/>
      <c r="BX120" s="46"/>
      <c r="BY120" s="46"/>
      <c r="BZ120" s="46"/>
      <c r="CA120" s="46"/>
      <c r="CB120" s="46"/>
      <c r="CC120" s="46"/>
      <c r="CD120" s="46"/>
      <c r="CE120" s="46"/>
      <c r="CF120" s="46"/>
      <c r="CG120" s="46"/>
      <c r="CH120" s="46"/>
      <c r="CI120" s="46"/>
      <c r="CJ120" s="46"/>
      <c r="CK120" s="46"/>
      <c r="CL120" s="46"/>
      <c r="CM120" s="46"/>
      <c r="CN120" s="46"/>
      <c r="CO120" s="46"/>
      <c r="CP120" s="46"/>
      <c r="CQ120" s="46"/>
      <c r="CR120" s="46"/>
      <c r="CS120" s="46"/>
      <c r="CT120" s="46"/>
      <c r="CU120" s="46"/>
      <c r="CV120" s="46"/>
      <c r="CW120" s="46"/>
      <c r="CX120" s="46"/>
      <c r="CY120" s="46"/>
      <c r="CZ120" s="46"/>
      <c r="DA120" s="46"/>
      <c r="DB120" s="46"/>
      <c r="DC120" s="46"/>
    </row>
    <row r="121" spans="2:107" hidden="1" outlineLevel="2">
      <c r="B121" s="1089" t="s">
        <v>568</v>
      </c>
      <c r="C121" s="16"/>
      <c r="D121" s="16"/>
      <c r="E121" s="16"/>
      <c r="F121" s="16"/>
      <c r="G121" s="16"/>
      <c r="H121" s="16"/>
      <c r="I121" s="16"/>
      <c r="J121" s="16"/>
      <c r="K121" s="16"/>
      <c r="L121" s="16"/>
      <c r="M121" s="16"/>
      <c r="N121" s="109"/>
      <c r="O121" s="109"/>
      <c r="P121" s="109"/>
      <c r="Q121" s="109"/>
      <c r="R121" s="109"/>
      <c r="S121" s="109"/>
      <c r="T121" s="109"/>
      <c r="U121" s="109"/>
      <c r="V121" s="109"/>
      <c r="W121" s="109"/>
      <c r="X121" s="109"/>
      <c r="Y121" s="109"/>
      <c r="Z121" s="109"/>
      <c r="AA121" s="109"/>
      <c r="AB121" s="109"/>
      <c r="AC121" s="109"/>
      <c r="AD121" s="109"/>
      <c r="AE121" s="16"/>
      <c r="AF121" s="16"/>
      <c r="AG121" s="16"/>
      <c r="AH121" s="16"/>
      <c r="AI121" s="16"/>
      <c r="AJ121" s="16"/>
      <c r="AK121" s="16"/>
      <c r="AL121" s="16"/>
      <c r="AM121" s="16"/>
      <c r="AN121" s="16"/>
      <c r="AO121" s="16"/>
      <c r="AP121" s="16"/>
      <c r="AQ121" s="16"/>
      <c r="AR121" s="16"/>
      <c r="AS121" s="16"/>
      <c r="AT121" s="16"/>
      <c r="AU121" s="16"/>
      <c r="AV121" s="16"/>
      <c r="AW121" s="16"/>
      <c r="AX121" s="16"/>
      <c r="AY121" s="16"/>
      <c r="AZ121" s="16"/>
      <c r="BA121" s="16"/>
      <c r="BB121" s="16"/>
      <c r="BC121" s="16"/>
      <c r="BD121" s="68"/>
      <c r="BE121" s="68"/>
      <c r="BF121" s="68"/>
      <c r="BG121" s="68"/>
      <c r="BH121" s="68"/>
      <c r="BI121" s="68"/>
      <c r="BJ121" s="68"/>
      <c r="BK121" s="68"/>
      <c r="BL121" s="68"/>
      <c r="BM121" s="68"/>
      <c r="BN121" s="68"/>
      <c r="BO121" s="68"/>
      <c r="BP121" s="68"/>
      <c r="BQ121" s="68"/>
      <c r="BR121" s="68"/>
      <c r="BS121" s="68"/>
      <c r="BT121" s="68"/>
      <c r="BU121" s="1091"/>
      <c r="BV121" s="46"/>
      <c r="BW121" s="46"/>
      <c r="BX121" s="46"/>
      <c r="BY121" s="46"/>
      <c r="BZ121" s="46"/>
      <c r="CA121" s="46"/>
      <c r="CB121" s="46"/>
      <c r="CC121" s="46"/>
      <c r="CD121" s="46"/>
      <c r="CE121" s="46"/>
      <c r="CF121" s="46"/>
      <c r="CG121" s="46"/>
      <c r="CH121" s="46"/>
      <c r="CI121" s="46"/>
      <c r="CJ121" s="46"/>
      <c r="CK121" s="46"/>
      <c r="CL121" s="46"/>
      <c r="CM121" s="46"/>
      <c r="CN121" s="46"/>
      <c r="CO121" s="46"/>
      <c r="CP121" s="46"/>
      <c r="CQ121" s="46"/>
      <c r="CR121" s="46"/>
      <c r="CS121" s="46"/>
      <c r="CT121" s="46"/>
      <c r="CU121" s="46"/>
      <c r="CV121" s="46"/>
      <c r="CW121" s="46"/>
      <c r="CX121" s="46"/>
      <c r="CY121" s="46"/>
      <c r="CZ121" s="46"/>
      <c r="DA121" s="46"/>
      <c r="DB121" s="46"/>
      <c r="DC121" s="46"/>
    </row>
    <row r="122" spans="2:107" hidden="1" outlineLevel="2">
      <c r="B122" s="1090" t="s">
        <v>539</v>
      </c>
      <c r="C122" s="16"/>
      <c r="D122" s="16"/>
      <c r="E122" s="16"/>
      <c r="F122" s="16"/>
      <c r="G122" s="16"/>
      <c r="H122" s="16"/>
      <c r="I122" s="16"/>
      <c r="J122" s="16"/>
      <c r="K122" s="16"/>
      <c r="L122" s="16"/>
      <c r="M122" s="16"/>
      <c r="N122" s="109"/>
      <c r="O122" s="109"/>
      <c r="P122" s="109"/>
      <c r="Q122" s="109"/>
      <c r="R122" s="109"/>
      <c r="S122" s="109"/>
      <c r="T122" s="109"/>
      <c r="U122" s="109"/>
      <c r="V122" s="109"/>
      <c r="W122" s="109"/>
      <c r="X122" s="109"/>
      <c r="Y122" s="109"/>
      <c r="Z122" s="109"/>
      <c r="AA122" s="109"/>
      <c r="AB122" s="109"/>
      <c r="AC122" s="109"/>
      <c r="AD122" s="109"/>
      <c r="AE122" s="16"/>
      <c r="AF122" s="16"/>
      <c r="AG122" s="16"/>
      <c r="AH122" s="16"/>
      <c r="AI122" s="16"/>
      <c r="AJ122" s="16"/>
      <c r="AK122" s="16"/>
      <c r="AL122" s="16"/>
      <c r="AM122" s="16"/>
      <c r="AN122" s="16"/>
      <c r="AO122" s="16"/>
      <c r="AP122" s="16"/>
      <c r="AQ122" s="16"/>
      <c r="AR122" s="16"/>
      <c r="AS122" s="16"/>
      <c r="AT122" s="16"/>
      <c r="AU122" s="16"/>
      <c r="AV122" s="16"/>
      <c r="AW122" s="16"/>
      <c r="AX122" s="16"/>
      <c r="AY122" s="16"/>
      <c r="AZ122" s="16"/>
      <c r="BA122" s="16"/>
      <c r="BB122" s="16"/>
      <c r="BC122" s="16"/>
      <c r="BD122" s="68"/>
      <c r="BE122" s="68"/>
      <c r="BF122" s="68"/>
      <c r="BG122" s="68"/>
      <c r="BH122" s="68"/>
      <c r="BI122" s="68"/>
      <c r="BJ122" s="68"/>
      <c r="BK122" s="68"/>
      <c r="BL122" s="68"/>
      <c r="BM122" s="68"/>
      <c r="BN122" s="68"/>
      <c r="BO122" s="68"/>
      <c r="BP122" s="68"/>
      <c r="BQ122" s="68"/>
      <c r="BR122" s="68"/>
      <c r="BS122" s="68"/>
      <c r="BT122" s="68"/>
      <c r="BU122" s="1091">
        <v>148.40639648374662</v>
      </c>
      <c r="BV122" s="46"/>
      <c r="BW122" s="46"/>
      <c r="BX122" s="46"/>
      <c r="BY122" s="46"/>
      <c r="BZ122" s="46"/>
      <c r="CA122" s="46"/>
      <c r="CB122" s="46"/>
      <c r="CC122" s="46"/>
      <c r="CD122" s="46"/>
      <c r="CE122" s="46"/>
      <c r="CF122" s="46"/>
      <c r="CG122" s="46"/>
      <c r="CH122" s="46"/>
      <c r="CI122" s="46"/>
      <c r="CJ122" s="46"/>
      <c r="CK122" s="46"/>
      <c r="CL122" s="46"/>
      <c r="CM122" s="46"/>
      <c r="CN122" s="46"/>
      <c r="CO122" s="46"/>
      <c r="CP122" s="46"/>
      <c r="CQ122" s="46"/>
      <c r="CR122" s="46"/>
      <c r="CS122" s="46"/>
      <c r="CT122" s="46"/>
      <c r="CU122" s="46"/>
      <c r="CV122" s="46"/>
      <c r="CW122" s="46"/>
      <c r="CX122" s="46"/>
      <c r="CY122" s="46"/>
      <c r="CZ122" s="46"/>
      <c r="DA122" s="46"/>
      <c r="DB122" s="46"/>
      <c r="DC122" s="46"/>
    </row>
    <row r="123" spans="2:107" ht="12.75" hidden="1" customHeight="1" outlineLevel="2">
      <c r="B123" s="1093"/>
      <c r="C123" s="16"/>
      <c r="D123" s="16"/>
      <c r="E123" s="16"/>
      <c r="F123" s="16"/>
      <c r="G123" s="16"/>
      <c r="H123" s="16"/>
      <c r="I123" s="16"/>
      <c r="J123" s="16"/>
      <c r="K123" s="16"/>
      <c r="L123" s="16"/>
      <c r="M123" s="16"/>
      <c r="N123" s="109"/>
      <c r="O123" s="109"/>
      <c r="P123" s="109"/>
      <c r="Q123" s="109"/>
      <c r="R123" s="109"/>
      <c r="S123" s="109"/>
      <c r="T123" s="109"/>
      <c r="U123" s="109"/>
      <c r="V123" s="109"/>
      <c r="W123" s="109"/>
      <c r="X123" s="109"/>
      <c r="Y123" s="109"/>
      <c r="Z123" s="109"/>
      <c r="AA123" s="109"/>
      <c r="AB123" s="109"/>
      <c r="AC123" s="109"/>
      <c r="AD123" s="109"/>
      <c r="AE123" s="16"/>
      <c r="AF123" s="16"/>
      <c r="AG123" s="16"/>
      <c r="AH123" s="16"/>
      <c r="AI123" s="16"/>
      <c r="AJ123" s="16"/>
      <c r="AK123" s="16"/>
      <c r="AL123" s="16"/>
      <c r="AM123" s="16"/>
      <c r="AN123" s="16"/>
      <c r="AO123" s="16"/>
      <c r="AP123" s="16"/>
      <c r="AQ123" s="16"/>
      <c r="AR123" s="16"/>
      <c r="AS123" s="16"/>
      <c r="AT123" s="16"/>
      <c r="AU123" s="16"/>
      <c r="AV123" s="16"/>
      <c r="AW123" s="16"/>
      <c r="AX123" s="16"/>
      <c r="AY123" s="16"/>
      <c r="AZ123" s="16"/>
      <c r="BA123" s="16"/>
      <c r="BB123" s="16"/>
      <c r="BC123" s="16"/>
      <c r="BD123" s="68"/>
      <c r="BE123" s="68"/>
      <c r="BF123" s="68"/>
      <c r="BG123" s="68"/>
      <c r="BH123" s="68"/>
      <c r="BI123" s="68"/>
      <c r="BJ123" s="68"/>
      <c r="BK123" s="68"/>
      <c r="BL123" s="68"/>
      <c r="BM123" s="68"/>
      <c r="BN123" s="68"/>
      <c r="BO123" s="68"/>
      <c r="BP123" s="68"/>
      <c r="BQ123" s="68"/>
      <c r="BR123" s="68"/>
      <c r="BS123" s="68"/>
      <c r="BT123" s="68"/>
      <c r="BU123" s="1091"/>
      <c r="BV123" s="46"/>
      <c r="BW123" s="46"/>
      <c r="BX123" s="46"/>
      <c r="BY123" s="46"/>
      <c r="BZ123" s="46"/>
      <c r="CA123" s="46"/>
      <c r="CB123" s="46"/>
      <c r="CC123" s="46"/>
      <c r="CD123" s="46"/>
      <c r="CE123" s="46"/>
      <c r="CF123" s="46"/>
      <c r="CG123" s="46"/>
      <c r="CH123" s="46"/>
      <c r="CI123" s="46"/>
      <c r="CJ123" s="46"/>
      <c r="CK123" s="46"/>
      <c r="CL123" s="46"/>
      <c r="CM123" s="46"/>
      <c r="CN123" s="46"/>
      <c r="CO123" s="46"/>
      <c r="CP123" s="46"/>
      <c r="CQ123" s="46"/>
      <c r="CR123" s="46"/>
      <c r="CS123" s="46"/>
      <c r="CT123" s="46"/>
      <c r="CU123" s="46"/>
      <c r="CV123" s="46"/>
      <c r="CW123" s="46"/>
      <c r="CX123" s="46"/>
      <c r="CY123" s="46"/>
      <c r="CZ123" s="46"/>
      <c r="DA123" s="46"/>
      <c r="DB123" s="46"/>
      <c r="DC123" s="46"/>
    </row>
    <row r="124" spans="2:107" hidden="1" outlineLevel="2">
      <c r="B124" s="1089" t="s">
        <v>569</v>
      </c>
      <c r="C124" s="16"/>
      <c r="D124" s="16"/>
      <c r="E124" s="16"/>
      <c r="F124" s="16"/>
      <c r="G124" s="16"/>
      <c r="H124" s="16"/>
      <c r="I124" s="16"/>
      <c r="J124" s="16"/>
      <c r="K124" s="16"/>
      <c r="L124" s="16"/>
      <c r="M124" s="16"/>
      <c r="N124" s="109"/>
      <c r="O124" s="109"/>
      <c r="P124" s="109"/>
      <c r="Q124" s="109"/>
      <c r="R124" s="109"/>
      <c r="S124" s="109"/>
      <c r="T124" s="109"/>
      <c r="U124" s="109"/>
      <c r="V124" s="109"/>
      <c r="W124" s="109"/>
      <c r="X124" s="109"/>
      <c r="Y124" s="109"/>
      <c r="Z124" s="109"/>
      <c r="AA124" s="109"/>
      <c r="AB124" s="109"/>
      <c r="AC124" s="109"/>
      <c r="AD124" s="109"/>
      <c r="AE124" s="16"/>
      <c r="AF124" s="16"/>
      <c r="AG124" s="16"/>
      <c r="AH124" s="16"/>
      <c r="AI124" s="16"/>
      <c r="AJ124" s="16"/>
      <c r="AK124" s="16"/>
      <c r="AL124" s="16"/>
      <c r="AM124" s="16"/>
      <c r="AN124" s="16"/>
      <c r="AO124" s="16"/>
      <c r="AP124" s="16"/>
      <c r="AQ124" s="16"/>
      <c r="AR124" s="16"/>
      <c r="AS124" s="16"/>
      <c r="AT124" s="16"/>
      <c r="AU124" s="16"/>
      <c r="AV124" s="16"/>
      <c r="AW124" s="16"/>
      <c r="AX124" s="16"/>
      <c r="AY124" s="16"/>
      <c r="AZ124" s="16"/>
      <c r="BA124" s="16"/>
      <c r="BB124" s="16"/>
      <c r="BC124" s="16"/>
      <c r="BD124" s="68"/>
      <c r="BE124" s="68"/>
      <c r="BF124" s="68"/>
      <c r="BG124" s="68"/>
      <c r="BH124" s="68"/>
      <c r="BI124" s="68"/>
      <c r="BJ124" s="68"/>
      <c r="BK124" s="68"/>
      <c r="BL124" s="68"/>
      <c r="BM124" s="68"/>
      <c r="BN124" s="68"/>
      <c r="BO124" s="68"/>
      <c r="BP124" s="68"/>
      <c r="BQ124" s="68"/>
      <c r="BR124" s="68"/>
      <c r="BS124" s="68"/>
      <c r="BT124" s="68"/>
      <c r="BU124" s="1091"/>
      <c r="BV124" s="46"/>
      <c r="BW124" s="46"/>
      <c r="BX124" s="46"/>
      <c r="BY124" s="46"/>
      <c r="BZ124" s="46"/>
      <c r="CA124" s="46"/>
      <c r="CB124" s="46"/>
      <c r="CC124" s="46"/>
      <c r="CD124" s="46"/>
      <c r="CE124" s="46"/>
      <c r="CF124" s="46"/>
      <c r="CG124" s="46"/>
      <c r="CH124" s="46"/>
      <c r="CI124" s="46"/>
      <c r="CJ124" s="46"/>
      <c r="CK124" s="46"/>
      <c r="CL124" s="46"/>
      <c r="CM124" s="46"/>
      <c r="CN124" s="46"/>
      <c r="CO124" s="46"/>
      <c r="CP124" s="46"/>
      <c r="CQ124" s="46"/>
      <c r="CR124" s="46"/>
      <c r="CS124" s="46"/>
      <c r="CT124" s="46"/>
      <c r="CU124" s="46"/>
      <c r="CV124" s="46"/>
      <c r="CW124" s="46"/>
      <c r="CX124" s="46"/>
      <c r="CY124" s="46"/>
      <c r="CZ124" s="46"/>
      <c r="DA124" s="46"/>
      <c r="DB124" s="46"/>
      <c r="DC124" s="46"/>
    </row>
    <row r="125" spans="2:107" hidden="1" outlineLevel="2">
      <c r="B125" s="1090" t="s">
        <v>540</v>
      </c>
      <c r="C125" s="16"/>
      <c r="D125" s="16"/>
      <c r="E125" s="16"/>
      <c r="F125" s="16"/>
      <c r="G125" s="16"/>
      <c r="H125" s="16"/>
      <c r="I125" s="16"/>
      <c r="J125" s="16"/>
      <c r="K125" s="16"/>
      <c r="L125" s="16"/>
      <c r="M125" s="16"/>
      <c r="N125" s="109"/>
      <c r="O125" s="109"/>
      <c r="P125" s="109"/>
      <c r="Q125" s="109"/>
      <c r="R125" s="109"/>
      <c r="S125" s="109"/>
      <c r="T125" s="109"/>
      <c r="U125" s="109"/>
      <c r="V125" s="109"/>
      <c r="W125" s="109"/>
      <c r="X125" s="109"/>
      <c r="Y125" s="109"/>
      <c r="Z125" s="109"/>
      <c r="AA125" s="109"/>
      <c r="AB125" s="109"/>
      <c r="AC125" s="109"/>
      <c r="AD125" s="109"/>
      <c r="AE125" s="16"/>
      <c r="AF125" s="16"/>
      <c r="AG125" s="16"/>
      <c r="AH125" s="16"/>
      <c r="AI125" s="16"/>
      <c r="AJ125" s="16"/>
      <c r="AK125" s="16"/>
      <c r="AL125" s="16"/>
      <c r="AM125" s="16"/>
      <c r="AN125" s="16"/>
      <c r="AO125" s="16"/>
      <c r="AP125" s="16"/>
      <c r="AQ125" s="16"/>
      <c r="AR125" s="16"/>
      <c r="AS125" s="16"/>
      <c r="AT125" s="16"/>
      <c r="AU125" s="16"/>
      <c r="AV125" s="16"/>
      <c r="AW125" s="16"/>
      <c r="AX125" s="16"/>
      <c r="AY125" s="16"/>
      <c r="AZ125" s="16"/>
      <c r="BA125" s="16"/>
      <c r="BB125" s="16"/>
      <c r="BC125" s="16"/>
      <c r="BD125" s="68"/>
      <c r="BE125" s="68"/>
      <c r="BF125" s="68"/>
      <c r="BG125" s="68"/>
      <c r="BH125" s="68"/>
      <c r="BI125" s="68"/>
      <c r="BJ125" s="68"/>
      <c r="BK125" s="68"/>
      <c r="BL125" s="68"/>
      <c r="BM125" s="68"/>
      <c r="BN125" s="68"/>
      <c r="BO125" s="68"/>
      <c r="BP125" s="68"/>
      <c r="BQ125" s="68"/>
      <c r="BR125" s="68"/>
      <c r="BS125" s="68"/>
      <c r="BT125" s="68"/>
      <c r="BU125" s="1091">
        <v>231.84666007131847</v>
      </c>
      <c r="BV125" s="46"/>
      <c r="BW125" s="46"/>
      <c r="BX125" s="46"/>
      <c r="BY125" s="46"/>
      <c r="BZ125" s="46"/>
      <c r="CA125" s="46"/>
      <c r="CB125" s="46"/>
      <c r="CC125" s="46"/>
      <c r="CD125" s="46"/>
      <c r="CE125" s="46"/>
      <c r="CF125" s="46"/>
      <c r="CG125" s="46"/>
      <c r="CH125" s="46"/>
      <c r="CI125" s="46"/>
      <c r="CJ125" s="46"/>
      <c r="CK125" s="46"/>
      <c r="CL125" s="46"/>
      <c r="CM125" s="46"/>
      <c r="CN125" s="46"/>
      <c r="CO125" s="46"/>
      <c r="CP125" s="46"/>
      <c r="CQ125" s="46"/>
      <c r="CR125" s="46"/>
      <c r="CS125" s="46"/>
      <c r="CT125" s="46"/>
      <c r="CU125" s="46"/>
      <c r="CV125" s="46"/>
      <c r="CW125" s="46"/>
      <c r="CX125" s="46"/>
      <c r="CY125" s="46"/>
      <c r="CZ125" s="46"/>
      <c r="DA125" s="46"/>
      <c r="DB125" s="46"/>
      <c r="DC125" s="46"/>
    </row>
    <row r="126" spans="2:107" ht="12.75" hidden="1" customHeight="1" outlineLevel="2">
      <c r="B126" s="1093"/>
      <c r="C126" s="16"/>
      <c r="D126" s="16"/>
      <c r="E126" s="16"/>
      <c r="F126" s="16"/>
      <c r="G126" s="16"/>
      <c r="H126" s="16"/>
      <c r="I126" s="16"/>
      <c r="J126" s="16"/>
      <c r="K126" s="16"/>
      <c r="L126" s="16"/>
      <c r="M126" s="16"/>
      <c r="N126" s="109"/>
      <c r="O126" s="109"/>
      <c r="P126" s="109"/>
      <c r="Q126" s="109"/>
      <c r="R126" s="109"/>
      <c r="S126" s="109"/>
      <c r="T126" s="109"/>
      <c r="U126" s="109"/>
      <c r="V126" s="109"/>
      <c r="W126" s="109"/>
      <c r="X126" s="109"/>
      <c r="Y126" s="109"/>
      <c r="Z126" s="109"/>
      <c r="AA126" s="109"/>
      <c r="AB126" s="109"/>
      <c r="AC126" s="109"/>
      <c r="AD126" s="109"/>
      <c r="AE126" s="16"/>
      <c r="AF126" s="16"/>
      <c r="AG126" s="16"/>
      <c r="AH126" s="16"/>
      <c r="AI126" s="16"/>
      <c r="AJ126" s="16"/>
      <c r="AK126" s="16"/>
      <c r="AL126" s="16"/>
      <c r="AM126" s="16"/>
      <c r="AN126" s="16"/>
      <c r="AO126" s="16"/>
      <c r="AP126" s="16"/>
      <c r="AQ126" s="16"/>
      <c r="AR126" s="16"/>
      <c r="AS126" s="16"/>
      <c r="AT126" s="16"/>
      <c r="AU126" s="16"/>
      <c r="AV126" s="16"/>
      <c r="AW126" s="16"/>
      <c r="AX126" s="16"/>
      <c r="AY126" s="16"/>
      <c r="AZ126" s="16"/>
      <c r="BA126" s="16"/>
      <c r="BB126" s="16"/>
      <c r="BC126" s="16"/>
      <c r="BD126" s="68"/>
      <c r="BE126" s="68"/>
      <c r="BF126" s="68"/>
      <c r="BG126" s="68"/>
      <c r="BH126" s="68"/>
      <c r="BI126" s="68"/>
      <c r="BJ126" s="68"/>
      <c r="BK126" s="68"/>
      <c r="BL126" s="68"/>
      <c r="BM126" s="68"/>
      <c r="BN126" s="68"/>
      <c r="BO126" s="68"/>
      <c r="BP126" s="68"/>
      <c r="BQ126" s="68"/>
      <c r="BR126" s="68"/>
      <c r="BS126" s="68"/>
      <c r="BT126" s="68"/>
      <c r="BU126" s="1091"/>
      <c r="BV126" s="46"/>
      <c r="BW126" s="46"/>
      <c r="BX126" s="46"/>
      <c r="BY126" s="46"/>
      <c r="BZ126" s="46"/>
      <c r="CA126" s="46"/>
      <c r="CB126" s="46"/>
      <c r="CC126" s="46"/>
      <c r="CD126" s="46"/>
      <c r="CE126" s="46"/>
      <c r="CF126" s="46"/>
      <c r="CG126" s="46"/>
      <c r="CH126" s="46"/>
      <c r="CI126" s="46"/>
      <c r="CJ126" s="46"/>
      <c r="CK126" s="46"/>
      <c r="CL126" s="46"/>
      <c r="CM126" s="46"/>
      <c r="CN126" s="46"/>
      <c r="CO126" s="46"/>
      <c r="CP126" s="46"/>
      <c r="CQ126" s="46"/>
      <c r="CR126" s="46"/>
      <c r="CS126" s="46"/>
      <c r="CT126" s="46"/>
      <c r="CU126" s="46"/>
      <c r="CV126" s="46"/>
      <c r="CW126" s="46"/>
      <c r="CX126" s="46"/>
      <c r="CY126" s="46"/>
      <c r="CZ126" s="46"/>
      <c r="DA126" s="46"/>
      <c r="DB126" s="46"/>
      <c r="DC126" s="46"/>
    </row>
    <row r="127" spans="2:107" hidden="1" outlineLevel="2">
      <c r="B127" s="1089" t="s">
        <v>570</v>
      </c>
      <c r="C127" s="16"/>
      <c r="D127" s="16"/>
      <c r="E127" s="16"/>
      <c r="F127" s="16"/>
      <c r="G127" s="16"/>
      <c r="H127" s="16"/>
      <c r="I127" s="16"/>
      <c r="J127" s="16"/>
      <c r="K127" s="16"/>
      <c r="L127" s="16"/>
      <c r="M127" s="16"/>
      <c r="N127" s="109"/>
      <c r="O127" s="109"/>
      <c r="P127" s="109"/>
      <c r="Q127" s="109"/>
      <c r="R127" s="109"/>
      <c r="S127" s="109"/>
      <c r="T127" s="109"/>
      <c r="U127" s="109"/>
      <c r="V127" s="109"/>
      <c r="W127" s="109"/>
      <c r="X127" s="109"/>
      <c r="Y127" s="109"/>
      <c r="Z127" s="109"/>
      <c r="AA127" s="109"/>
      <c r="AB127" s="109"/>
      <c r="AC127" s="109"/>
      <c r="AD127" s="109"/>
      <c r="AE127" s="16"/>
      <c r="AF127" s="16"/>
      <c r="AG127" s="16"/>
      <c r="AH127" s="16"/>
      <c r="AI127" s="16"/>
      <c r="AJ127" s="16"/>
      <c r="AK127" s="16"/>
      <c r="AL127" s="16"/>
      <c r="AM127" s="16"/>
      <c r="AN127" s="16"/>
      <c r="AO127" s="16"/>
      <c r="AP127" s="16"/>
      <c r="AQ127" s="16"/>
      <c r="AR127" s="16"/>
      <c r="AS127" s="16"/>
      <c r="AT127" s="16"/>
      <c r="AU127" s="16"/>
      <c r="AV127" s="16"/>
      <c r="AW127" s="16"/>
      <c r="AX127" s="16"/>
      <c r="AY127" s="16"/>
      <c r="AZ127" s="16"/>
      <c r="BA127" s="16"/>
      <c r="BB127" s="16"/>
      <c r="BC127" s="16"/>
      <c r="BD127" s="68"/>
      <c r="BE127" s="68"/>
      <c r="BF127" s="68"/>
      <c r="BG127" s="68"/>
      <c r="BH127" s="68"/>
      <c r="BI127" s="68"/>
      <c r="BJ127" s="68"/>
      <c r="BK127" s="68"/>
      <c r="BL127" s="68"/>
      <c r="BM127" s="68"/>
      <c r="BN127" s="68"/>
      <c r="BO127" s="68"/>
      <c r="BP127" s="68"/>
      <c r="BQ127" s="68"/>
      <c r="BR127" s="68"/>
      <c r="BS127" s="68"/>
      <c r="BT127" s="68"/>
      <c r="BU127" s="1091"/>
      <c r="BV127" s="46"/>
      <c r="BW127" s="46"/>
      <c r="BX127" s="46"/>
      <c r="BY127" s="46"/>
      <c r="BZ127" s="46"/>
      <c r="CA127" s="46"/>
      <c r="CB127" s="46"/>
      <c r="CC127" s="46"/>
      <c r="CD127" s="46"/>
      <c r="CE127" s="46"/>
      <c r="CF127" s="46"/>
      <c r="CG127" s="46"/>
      <c r="CH127" s="46"/>
      <c r="CI127" s="46"/>
      <c r="CJ127" s="46"/>
      <c r="CK127" s="46"/>
      <c r="CL127" s="46"/>
      <c r="CM127" s="46"/>
      <c r="CN127" s="46"/>
      <c r="CO127" s="46"/>
      <c r="CP127" s="46"/>
      <c r="CQ127" s="46"/>
      <c r="CR127" s="46"/>
      <c r="CS127" s="46"/>
      <c r="CT127" s="46"/>
      <c r="CU127" s="46"/>
      <c r="CV127" s="46"/>
      <c r="CW127" s="46"/>
      <c r="CX127" s="46"/>
      <c r="CY127" s="46"/>
      <c r="CZ127" s="46"/>
      <c r="DA127" s="46"/>
      <c r="DB127" s="46"/>
      <c r="DC127" s="46"/>
    </row>
    <row r="128" spans="2:107" hidden="1" outlineLevel="2">
      <c r="B128" s="1090" t="s">
        <v>541</v>
      </c>
      <c r="C128" s="16"/>
      <c r="D128" s="16"/>
      <c r="E128" s="16"/>
      <c r="F128" s="16"/>
      <c r="G128" s="16"/>
      <c r="H128" s="16"/>
      <c r="I128" s="16"/>
      <c r="J128" s="16"/>
      <c r="K128" s="16"/>
      <c r="L128" s="16"/>
      <c r="M128" s="16"/>
      <c r="N128" s="109"/>
      <c r="O128" s="109"/>
      <c r="P128" s="109"/>
      <c r="Q128" s="109"/>
      <c r="R128" s="109"/>
      <c r="S128" s="109"/>
      <c r="T128" s="109"/>
      <c r="U128" s="109"/>
      <c r="V128" s="109"/>
      <c r="W128" s="109"/>
      <c r="X128" s="109"/>
      <c r="Y128" s="109"/>
      <c r="Z128" s="109"/>
      <c r="AA128" s="109"/>
      <c r="AB128" s="109"/>
      <c r="AC128" s="109"/>
      <c r="AD128" s="109"/>
      <c r="AE128" s="16"/>
      <c r="AF128" s="16"/>
      <c r="AG128" s="16"/>
      <c r="AH128" s="16"/>
      <c r="AI128" s="16"/>
      <c r="AJ128" s="16"/>
      <c r="AK128" s="16"/>
      <c r="AL128" s="16"/>
      <c r="AM128" s="16"/>
      <c r="AN128" s="16"/>
      <c r="AO128" s="16"/>
      <c r="AP128" s="16"/>
      <c r="AQ128" s="16"/>
      <c r="AR128" s="16"/>
      <c r="AS128" s="16"/>
      <c r="AT128" s="16"/>
      <c r="AU128" s="16"/>
      <c r="AV128" s="16"/>
      <c r="AW128" s="16"/>
      <c r="AX128" s="16"/>
      <c r="AY128" s="16"/>
      <c r="AZ128" s="16"/>
      <c r="BA128" s="16"/>
      <c r="BB128" s="16"/>
      <c r="BC128" s="16"/>
      <c r="BD128" s="68"/>
      <c r="BE128" s="68"/>
      <c r="BF128" s="68"/>
      <c r="BG128" s="68"/>
      <c r="BH128" s="68"/>
      <c r="BI128" s="68"/>
      <c r="BJ128" s="68"/>
      <c r="BK128" s="68"/>
      <c r="BL128" s="68"/>
      <c r="BM128" s="68"/>
      <c r="BN128" s="68"/>
      <c r="BO128" s="68"/>
      <c r="BP128" s="68"/>
      <c r="BQ128" s="68"/>
      <c r="BR128" s="68"/>
      <c r="BS128" s="68"/>
      <c r="BT128" s="68"/>
      <c r="BU128" s="1091">
        <v>147.20422861671014</v>
      </c>
      <c r="BV128" s="46"/>
      <c r="BW128" s="46"/>
      <c r="BX128" s="46"/>
      <c r="BY128" s="46"/>
      <c r="BZ128" s="46"/>
      <c r="CA128" s="46"/>
      <c r="CB128" s="46"/>
      <c r="CC128" s="46"/>
      <c r="CD128" s="46"/>
      <c r="CE128" s="46"/>
      <c r="CF128" s="46"/>
      <c r="CG128" s="46"/>
      <c r="CH128" s="46"/>
      <c r="CI128" s="46"/>
      <c r="CJ128" s="46"/>
      <c r="CK128" s="46"/>
      <c r="CL128" s="46"/>
      <c r="CM128" s="46"/>
      <c r="CN128" s="46"/>
      <c r="CO128" s="46"/>
      <c r="CP128" s="46"/>
      <c r="CQ128" s="46"/>
      <c r="CR128" s="46"/>
      <c r="CS128" s="46"/>
      <c r="CT128" s="46"/>
      <c r="CU128" s="46"/>
      <c r="CV128" s="46"/>
      <c r="CW128" s="46"/>
      <c r="CX128" s="46"/>
      <c r="CY128" s="46"/>
      <c r="CZ128" s="46"/>
      <c r="DA128" s="46"/>
      <c r="DB128" s="46"/>
      <c r="DC128" s="46"/>
    </row>
    <row r="129" spans="2:107" ht="12.75" hidden="1" customHeight="1" outlineLevel="2">
      <c r="B129" s="1093"/>
      <c r="C129" s="16"/>
      <c r="D129" s="16"/>
      <c r="E129" s="16"/>
      <c r="F129" s="16"/>
      <c r="G129" s="16"/>
      <c r="H129" s="16"/>
      <c r="I129" s="16"/>
      <c r="J129" s="16"/>
      <c r="K129" s="16"/>
      <c r="L129" s="16"/>
      <c r="M129" s="16"/>
      <c r="N129" s="109"/>
      <c r="O129" s="109"/>
      <c r="P129" s="109"/>
      <c r="Q129" s="109"/>
      <c r="R129" s="109"/>
      <c r="S129" s="109"/>
      <c r="T129" s="109"/>
      <c r="U129" s="109"/>
      <c r="V129" s="109"/>
      <c r="W129" s="109"/>
      <c r="X129" s="109"/>
      <c r="Y129" s="109"/>
      <c r="Z129" s="109"/>
      <c r="AA129" s="109"/>
      <c r="AB129" s="109"/>
      <c r="AC129" s="109"/>
      <c r="AD129" s="109"/>
      <c r="AE129" s="16"/>
      <c r="AF129" s="16"/>
      <c r="AG129" s="16"/>
      <c r="AH129" s="16"/>
      <c r="AI129" s="16"/>
      <c r="AJ129" s="16"/>
      <c r="AK129" s="16"/>
      <c r="AL129" s="16"/>
      <c r="AM129" s="16"/>
      <c r="AN129" s="16"/>
      <c r="AO129" s="16"/>
      <c r="AP129" s="16"/>
      <c r="AQ129" s="16"/>
      <c r="AR129" s="16"/>
      <c r="AS129" s="16"/>
      <c r="AT129" s="16"/>
      <c r="AU129" s="16"/>
      <c r="AV129" s="16"/>
      <c r="AW129" s="16"/>
      <c r="AX129" s="16"/>
      <c r="AY129" s="16"/>
      <c r="AZ129" s="16"/>
      <c r="BA129" s="16"/>
      <c r="BB129" s="16"/>
      <c r="BC129" s="16"/>
      <c r="BD129" s="68"/>
      <c r="BE129" s="68"/>
      <c r="BF129" s="68"/>
      <c r="BG129" s="68"/>
      <c r="BH129" s="68"/>
      <c r="BI129" s="68"/>
      <c r="BJ129" s="68"/>
      <c r="BK129" s="68"/>
      <c r="BL129" s="68"/>
      <c r="BM129" s="68"/>
      <c r="BN129" s="68"/>
      <c r="BO129" s="68"/>
      <c r="BP129" s="68"/>
      <c r="BQ129" s="68"/>
      <c r="BR129" s="68"/>
      <c r="BS129" s="68"/>
      <c r="BT129" s="68"/>
      <c r="BU129" s="1091"/>
      <c r="BV129" s="46"/>
      <c r="BW129" s="46"/>
      <c r="BX129" s="46"/>
      <c r="BY129" s="46"/>
      <c r="BZ129" s="46"/>
      <c r="CA129" s="46"/>
      <c r="CB129" s="46"/>
      <c r="CC129" s="46"/>
      <c r="CD129" s="46"/>
      <c r="CE129" s="46"/>
      <c r="CF129" s="46"/>
      <c r="CG129" s="46"/>
      <c r="CH129" s="46"/>
      <c r="CI129" s="46"/>
      <c r="CJ129" s="46"/>
      <c r="CK129" s="46"/>
      <c r="CL129" s="46"/>
      <c r="CM129" s="46"/>
      <c r="CN129" s="46"/>
      <c r="CO129" s="46"/>
      <c r="CP129" s="46"/>
      <c r="CQ129" s="46"/>
      <c r="CR129" s="46"/>
      <c r="CS129" s="46"/>
      <c r="CT129" s="46"/>
      <c r="CU129" s="46"/>
      <c r="CV129" s="46"/>
      <c r="CW129" s="46"/>
      <c r="CX129" s="46"/>
      <c r="CY129" s="46"/>
      <c r="CZ129" s="46"/>
      <c r="DA129" s="46"/>
      <c r="DB129" s="46"/>
      <c r="DC129" s="46"/>
    </row>
    <row r="130" spans="2:107" hidden="1" outlineLevel="2">
      <c r="B130" s="1089" t="s">
        <v>571</v>
      </c>
      <c r="C130" s="16"/>
      <c r="D130" s="16"/>
      <c r="E130" s="16"/>
      <c r="F130" s="16"/>
      <c r="G130" s="16"/>
      <c r="H130" s="16"/>
      <c r="I130" s="16"/>
      <c r="J130" s="16"/>
      <c r="K130" s="16"/>
      <c r="L130" s="16"/>
      <c r="M130" s="16"/>
      <c r="N130" s="109"/>
      <c r="O130" s="109"/>
      <c r="P130" s="109"/>
      <c r="Q130" s="109"/>
      <c r="R130" s="109"/>
      <c r="S130" s="109"/>
      <c r="T130" s="109"/>
      <c r="U130" s="109"/>
      <c r="V130" s="109"/>
      <c r="W130" s="109"/>
      <c r="X130" s="109"/>
      <c r="Y130" s="109"/>
      <c r="Z130" s="109"/>
      <c r="AA130" s="109"/>
      <c r="AB130" s="109"/>
      <c r="AC130" s="109"/>
      <c r="AD130" s="109"/>
      <c r="AE130" s="16"/>
      <c r="AF130" s="16"/>
      <c r="AG130" s="16"/>
      <c r="AH130" s="16"/>
      <c r="AI130" s="16"/>
      <c r="AJ130" s="16"/>
      <c r="AK130" s="16"/>
      <c r="AL130" s="16"/>
      <c r="AM130" s="16"/>
      <c r="AN130" s="16"/>
      <c r="AO130" s="16"/>
      <c r="AP130" s="16"/>
      <c r="AQ130" s="16"/>
      <c r="AR130" s="16"/>
      <c r="AS130" s="16"/>
      <c r="AT130" s="16"/>
      <c r="AU130" s="16"/>
      <c r="AV130" s="16"/>
      <c r="AW130" s="16"/>
      <c r="AX130" s="16"/>
      <c r="AY130" s="16"/>
      <c r="AZ130" s="16"/>
      <c r="BA130" s="16"/>
      <c r="BB130" s="16"/>
      <c r="BC130" s="16"/>
      <c r="BD130" s="68"/>
      <c r="BE130" s="68"/>
      <c r="BF130" s="68"/>
      <c r="BG130" s="68"/>
      <c r="BH130" s="68"/>
      <c r="BI130" s="68"/>
      <c r="BJ130" s="68"/>
      <c r="BK130" s="68"/>
      <c r="BL130" s="68"/>
      <c r="BM130" s="68"/>
      <c r="BN130" s="68"/>
      <c r="BO130" s="68"/>
      <c r="BP130" s="68"/>
      <c r="BQ130" s="68"/>
      <c r="BR130" s="68"/>
      <c r="BS130" s="68"/>
      <c r="BT130" s="68"/>
      <c r="BU130" s="1091"/>
      <c r="BV130" s="46"/>
      <c r="BW130" s="46"/>
      <c r="BX130" s="46"/>
      <c r="BY130" s="46"/>
      <c r="BZ130" s="46"/>
      <c r="CA130" s="46"/>
      <c r="CB130" s="46"/>
      <c r="CC130" s="46"/>
      <c r="CD130" s="46"/>
      <c r="CE130" s="46"/>
      <c r="CF130" s="46"/>
      <c r="CG130" s="46"/>
      <c r="CH130" s="46"/>
      <c r="CI130" s="46"/>
      <c r="CJ130" s="46"/>
      <c r="CK130" s="46"/>
      <c r="CL130" s="46"/>
      <c r="CM130" s="46"/>
      <c r="CN130" s="46"/>
      <c r="CO130" s="46"/>
      <c r="CP130" s="46"/>
      <c r="CQ130" s="46"/>
      <c r="CR130" s="46"/>
      <c r="CS130" s="46"/>
      <c r="CT130" s="46"/>
      <c r="CU130" s="46"/>
      <c r="CV130" s="46"/>
      <c r="CW130" s="46"/>
      <c r="CX130" s="46"/>
      <c r="CY130" s="46"/>
      <c r="CZ130" s="46"/>
      <c r="DA130" s="46"/>
      <c r="DB130" s="46"/>
      <c r="DC130" s="46"/>
    </row>
    <row r="131" spans="2:107" hidden="1" outlineLevel="2">
      <c r="B131" s="1090" t="s">
        <v>542</v>
      </c>
      <c r="C131" s="16"/>
      <c r="D131" s="16"/>
      <c r="E131" s="16"/>
      <c r="F131" s="16"/>
      <c r="G131" s="16"/>
      <c r="H131" s="16"/>
      <c r="I131" s="16"/>
      <c r="J131" s="16"/>
      <c r="K131" s="16"/>
      <c r="L131" s="16"/>
      <c r="M131" s="16"/>
      <c r="N131" s="109"/>
      <c r="O131" s="109"/>
      <c r="P131" s="109"/>
      <c r="Q131" s="109"/>
      <c r="R131" s="109"/>
      <c r="S131" s="109"/>
      <c r="T131" s="109"/>
      <c r="U131" s="109"/>
      <c r="V131" s="109"/>
      <c r="W131" s="109"/>
      <c r="X131" s="109"/>
      <c r="Y131" s="109"/>
      <c r="Z131" s="109"/>
      <c r="AA131" s="109"/>
      <c r="AB131" s="109"/>
      <c r="AC131" s="109"/>
      <c r="AD131" s="109"/>
      <c r="AE131" s="16"/>
      <c r="AF131" s="16"/>
      <c r="AG131" s="16"/>
      <c r="AH131" s="16"/>
      <c r="AI131" s="16"/>
      <c r="AJ131" s="16"/>
      <c r="AK131" s="16"/>
      <c r="AL131" s="16"/>
      <c r="AM131" s="16"/>
      <c r="AN131" s="16"/>
      <c r="AO131" s="16"/>
      <c r="AP131" s="16"/>
      <c r="AQ131" s="16"/>
      <c r="AR131" s="16"/>
      <c r="AS131" s="16"/>
      <c r="AT131" s="16"/>
      <c r="AU131" s="16"/>
      <c r="AV131" s="16"/>
      <c r="AW131" s="16"/>
      <c r="AX131" s="16"/>
      <c r="AY131" s="16"/>
      <c r="AZ131" s="16"/>
      <c r="BA131" s="16"/>
      <c r="BB131" s="16"/>
      <c r="BC131" s="16"/>
      <c r="BD131" s="68"/>
      <c r="BE131" s="68"/>
      <c r="BF131" s="68"/>
      <c r="BG131" s="68"/>
      <c r="BH131" s="68"/>
      <c r="BI131" s="68"/>
      <c r="BJ131" s="68"/>
      <c r="BK131" s="68"/>
      <c r="BL131" s="68"/>
      <c r="BM131" s="68"/>
      <c r="BN131" s="68"/>
      <c r="BO131" s="68"/>
      <c r="BP131" s="68"/>
      <c r="BQ131" s="68"/>
      <c r="BR131" s="68"/>
      <c r="BS131" s="68"/>
      <c r="BT131" s="68"/>
      <c r="BU131" s="1091">
        <v>178.98807497886816</v>
      </c>
      <c r="BV131" s="46"/>
      <c r="BW131" s="46"/>
      <c r="BX131" s="46"/>
      <c r="BY131" s="46"/>
      <c r="BZ131" s="46"/>
      <c r="CA131" s="46"/>
      <c r="CB131" s="46"/>
      <c r="CC131" s="46"/>
      <c r="CD131" s="46"/>
      <c r="CE131" s="46"/>
      <c r="CF131" s="46"/>
      <c r="CG131" s="46"/>
      <c r="CH131" s="46"/>
      <c r="CI131" s="46"/>
      <c r="CJ131" s="46"/>
      <c r="CK131" s="46"/>
      <c r="CL131" s="46"/>
      <c r="CM131" s="46"/>
      <c r="CN131" s="46"/>
      <c r="CO131" s="46"/>
      <c r="CP131" s="46"/>
      <c r="CQ131" s="46"/>
      <c r="CR131" s="46"/>
      <c r="CS131" s="46"/>
      <c r="CT131" s="46"/>
      <c r="CU131" s="46"/>
      <c r="CV131" s="46"/>
      <c r="CW131" s="46"/>
      <c r="CX131" s="46"/>
      <c r="CY131" s="46"/>
      <c r="CZ131" s="46"/>
      <c r="DA131" s="46"/>
      <c r="DB131" s="46"/>
      <c r="DC131" s="46"/>
    </row>
    <row r="132" spans="2:107" ht="12.75" hidden="1" customHeight="1" outlineLevel="2">
      <c r="B132" s="1093"/>
      <c r="C132" s="16"/>
      <c r="D132" s="16"/>
      <c r="E132" s="16"/>
      <c r="F132" s="16"/>
      <c r="G132" s="16"/>
      <c r="H132" s="16"/>
      <c r="I132" s="16"/>
      <c r="J132" s="16"/>
      <c r="K132" s="16"/>
      <c r="L132" s="16"/>
      <c r="M132" s="16"/>
      <c r="N132" s="109"/>
      <c r="O132" s="109"/>
      <c r="P132" s="109"/>
      <c r="Q132" s="109"/>
      <c r="R132" s="109"/>
      <c r="S132" s="109"/>
      <c r="T132" s="109"/>
      <c r="U132" s="109"/>
      <c r="V132" s="109"/>
      <c r="W132" s="109"/>
      <c r="X132" s="109"/>
      <c r="Y132" s="109"/>
      <c r="Z132" s="109"/>
      <c r="AA132" s="109"/>
      <c r="AB132" s="109"/>
      <c r="AC132" s="109"/>
      <c r="AD132" s="109"/>
      <c r="AE132" s="16"/>
      <c r="AF132" s="16"/>
      <c r="AG132" s="16"/>
      <c r="AH132" s="16"/>
      <c r="AI132" s="16"/>
      <c r="AJ132" s="16"/>
      <c r="AK132" s="16"/>
      <c r="AL132" s="16"/>
      <c r="AM132" s="16"/>
      <c r="AN132" s="16"/>
      <c r="AO132" s="16"/>
      <c r="AP132" s="16"/>
      <c r="AQ132" s="16"/>
      <c r="AR132" s="16"/>
      <c r="AS132" s="16"/>
      <c r="AT132" s="16"/>
      <c r="AU132" s="16"/>
      <c r="AV132" s="16"/>
      <c r="AW132" s="16"/>
      <c r="AX132" s="16"/>
      <c r="AY132" s="16"/>
      <c r="AZ132" s="16"/>
      <c r="BA132" s="16"/>
      <c r="BB132" s="16"/>
      <c r="BC132" s="16"/>
      <c r="BD132" s="68"/>
      <c r="BE132" s="68"/>
      <c r="BF132" s="68"/>
      <c r="BG132" s="68"/>
      <c r="BH132" s="68"/>
      <c r="BI132" s="68"/>
      <c r="BJ132" s="68"/>
      <c r="BK132" s="68"/>
      <c r="BL132" s="68"/>
      <c r="BM132" s="68"/>
      <c r="BN132" s="68"/>
      <c r="BO132" s="68"/>
      <c r="BP132" s="68"/>
      <c r="BQ132" s="68"/>
      <c r="BR132" s="68"/>
      <c r="BS132" s="68"/>
      <c r="BT132" s="68"/>
      <c r="BU132" s="1091"/>
      <c r="BV132" s="46"/>
      <c r="BW132" s="46"/>
      <c r="BX132" s="46"/>
      <c r="BY132" s="46"/>
      <c r="BZ132" s="46"/>
      <c r="CA132" s="46"/>
      <c r="CB132" s="46"/>
      <c r="CC132" s="46"/>
      <c r="CD132" s="46"/>
      <c r="CE132" s="46"/>
      <c r="CF132" s="46"/>
      <c r="CG132" s="46"/>
      <c r="CH132" s="46"/>
      <c r="CI132" s="46"/>
      <c r="CJ132" s="46"/>
      <c r="CK132" s="46"/>
      <c r="CL132" s="46"/>
      <c r="CM132" s="46"/>
      <c r="CN132" s="46"/>
      <c r="CO132" s="46"/>
      <c r="CP132" s="46"/>
      <c r="CQ132" s="46"/>
      <c r="CR132" s="46"/>
      <c r="CS132" s="46"/>
      <c r="CT132" s="46"/>
      <c r="CU132" s="46"/>
      <c r="CV132" s="46"/>
      <c r="CW132" s="46"/>
      <c r="CX132" s="46"/>
      <c r="CY132" s="46"/>
      <c r="CZ132" s="46"/>
      <c r="DA132" s="46"/>
      <c r="DB132" s="46"/>
      <c r="DC132" s="46"/>
    </row>
    <row r="133" spans="2:107" hidden="1" outlineLevel="2">
      <c r="B133" s="1089" t="s">
        <v>575</v>
      </c>
      <c r="C133" s="16"/>
      <c r="D133" s="16"/>
      <c r="E133" s="16"/>
      <c r="F133" s="16"/>
      <c r="G133" s="16"/>
      <c r="H133" s="16"/>
      <c r="I133" s="16"/>
      <c r="J133" s="16"/>
      <c r="K133" s="16"/>
      <c r="L133" s="16"/>
      <c r="M133" s="16"/>
      <c r="N133" s="109"/>
      <c r="O133" s="109"/>
      <c r="P133" s="109"/>
      <c r="Q133" s="109"/>
      <c r="R133" s="109"/>
      <c r="S133" s="109"/>
      <c r="T133" s="109"/>
      <c r="U133" s="109"/>
      <c r="V133" s="109"/>
      <c r="W133" s="109"/>
      <c r="X133" s="109"/>
      <c r="Y133" s="109"/>
      <c r="Z133" s="109"/>
      <c r="AA133" s="109"/>
      <c r="AB133" s="109"/>
      <c r="AC133" s="109"/>
      <c r="AD133" s="109"/>
      <c r="AE133" s="16"/>
      <c r="AF133" s="16"/>
      <c r="AG133" s="16"/>
      <c r="AH133" s="16"/>
      <c r="AI133" s="16"/>
      <c r="AJ133" s="16"/>
      <c r="AK133" s="16"/>
      <c r="AL133" s="16"/>
      <c r="AM133" s="16"/>
      <c r="AN133" s="16"/>
      <c r="AO133" s="16"/>
      <c r="AP133" s="16"/>
      <c r="AQ133" s="16"/>
      <c r="AR133" s="16"/>
      <c r="AS133" s="16"/>
      <c r="AT133" s="16"/>
      <c r="AU133" s="16"/>
      <c r="AV133" s="16"/>
      <c r="AW133" s="16"/>
      <c r="AX133" s="16"/>
      <c r="AY133" s="16"/>
      <c r="AZ133" s="16"/>
      <c r="BA133" s="16"/>
      <c r="BB133" s="16"/>
      <c r="BC133" s="16"/>
      <c r="BD133" s="68"/>
      <c r="BE133" s="68"/>
      <c r="BF133" s="68"/>
      <c r="BG133" s="68"/>
      <c r="BH133" s="68"/>
      <c r="BI133" s="68"/>
      <c r="BJ133" s="68"/>
      <c r="BK133" s="68"/>
      <c r="BL133" s="68"/>
      <c r="BM133" s="68"/>
      <c r="BN133" s="68"/>
      <c r="BO133" s="68"/>
      <c r="BP133" s="68"/>
      <c r="BQ133" s="68"/>
      <c r="BR133" s="68"/>
      <c r="BS133" s="68"/>
      <c r="BT133" s="68"/>
      <c r="BU133" s="1091"/>
      <c r="BV133" s="46"/>
      <c r="BW133" s="46"/>
      <c r="BX133" s="46"/>
      <c r="BY133" s="46"/>
      <c r="BZ133" s="46"/>
      <c r="CA133" s="46"/>
      <c r="CB133" s="46"/>
      <c r="CC133" s="46"/>
      <c r="CD133" s="46"/>
      <c r="CE133" s="46"/>
      <c r="CF133" s="46"/>
      <c r="CG133" s="46"/>
      <c r="CH133" s="46"/>
      <c r="CI133" s="46"/>
      <c r="CJ133" s="46"/>
      <c r="CK133" s="46"/>
      <c r="CL133" s="46"/>
      <c r="CM133" s="46"/>
      <c r="CN133" s="46"/>
      <c r="CO133" s="46"/>
      <c r="CP133" s="46"/>
      <c r="CQ133" s="46"/>
      <c r="CR133" s="46"/>
      <c r="CS133" s="46"/>
      <c r="CT133" s="46"/>
      <c r="CU133" s="46"/>
      <c r="CV133" s="46"/>
      <c r="CW133" s="46"/>
      <c r="CX133" s="46"/>
      <c r="CY133" s="46"/>
      <c r="CZ133" s="46"/>
      <c r="DA133" s="46"/>
      <c r="DB133" s="46"/>
      <c r="DC133" s="46"/>
    </row>
    <row r="134" spans="2:107" hidden="1" outlineLevel="2">
      <c r="B134" s="1090" t="s">
        <v>545</v>
      </c>
      <c r="C134" s="16"/>
      <c r="D134" s="16"/>
      <c r="E134" s="16"/>
      <c r="F134" s="16"/>
      <c r="G134" s="16"/>
      <c r="H134" s="16"/>
      <c r="I134" s="16"/>
      <c r="J134" s="16"/>
      <c r="K134" s="16"/>
      <c r="L134" s="16"/>
      <c r="M134" s="16"/>
      <c r="N134" s="109"/>
      <c r="O134" s="109"/>
      <c r="P134" s="109"/>
      <c r="Q134" s="109"/>
      <c r="R134" s="109"/>
      <c r="S134" s="109"/>
      <c r="T134" s="109"/>
      <c r="U134" s="109"/>
      <c r="V134" s="109"/>
      <c r="W134" s="109"/>
      <c r="X134" s="109"/>
      <c r="Y134" s="109"/>
      <c r="Z134" s="109"/>
      <c r="AA134" s="109"/>
      <c r="AB134" s="109"/>
      <c r="AC134" s="109"/>
      <c r="AD134" s="109"/>
      <c r="AE134" s="16"/>
      <c r="AF134" s="16"/>
      <c r="AG134" s="16"/>
      <c r="AH134" s="16"/>
      <c r="AI134" s="16"/>
      <c r="AJ134" s="16"/>
      <c r="AK134" s="16"/>
      <c r="AL134" s="16"/>
      <c r="AM134" s="16"/>
      <c r="AN134" s="16"/>
      <c r="AO134" s="16"/>
      <c r="AP134" s="16"/>
      <c r="AQ134" s="16"/>
      <c r="AR134" s="16"/>
      <c r="AS134" s="16"/>
      <c r="AT134" s="16"/>
      <c r="AU134" s="16"/>
      <c r="AV134" s="16"/>
      <c r="AW134" s="16"/>
      <c r="AX134" s="16"/>
      <c r="AY134" s="16"/>
      <c r="AZ134" s="16"/>
      <c r="BA134" s="16"/>
      <c r="BB134" s="16"/>
      <c r="BC134" s="16"/>
      <c r="BD134" s="68"/>
      <c r="BE134" s="68"/>
      <c r="BF134" s="68"/>
      <c r="BG134" s="68"/>
      <c r="BH134" s="68"/>
      <c r="BI134" s="68"/>
      <c r="BJ134" s="68"/>
      <c r="BK134" s="68"/>
      <c r="BL134" s="68"/>
      <c r="BM134" s="68"/>
      <c r="BN134" s="68"/>
      <c r="BO134" s="68"/>
      <c r="BP134" s="68"/>
      <c r="BQ134" s="68"/>
      <c r="BR134" s="68"/>
      <c r="BS134" s="68"/>
      <c r="BT134" s="68"/>
      <c r="BU134" s="1091">
        <v>184.0052857708877</v>
      </c>
      <c r="BV134" s="46"/>
      <c r="BW134" s="46"/>
      <c r="BX134" s="46"/>
      <c r="BY134" s="46"/>
      <c r="BZ134" s="46"/>
      <c r="CA134" s="46"/>
      <c r="CB134" s="46"/>
      <c r="CC134" s="46"/>
      <c r="CD134" s="46"/>
      <c r="CE134" s="46"/>
      <c r="CF134" s="46"/>
      <c r="CG134" s="46"/>
      <c r="CH134" s="46"/>
      <c r="CI134" s="46"/>
      <c r="CJ134" s="46"/>
      <c r="CK134" s="46"/>
      <c r="CL134" s="46"/>
      <c r="CM134" s="46"/>
      <c r="CN134" s="46"/>
      <c r="CO134" s="46"/>
      <c r="CP134" s="46"/>
      <c r="CQ134" s="46"/>
      <c r="CR134" s="46"/>
      <c r="CS134" s="46"/>
      <c r="CT134" s="46"/>
      <c r="CU134" s="46"/>
      <c r="CV134" s="46"/>
      <c r="CW134" s="46"/>
      <c r="CX134" s="46"/>
      <c r="CY134" s="46"/>
      <c r="CZ134" s="46"/>
      <c r="DA134" s="46"/>
      <c r="DB134" s="46"/>
      <c r="DC134" s="46"/>
    </row>
    <row r="135" spans="2:107" hidden="1" outlineLevel="2">
      <c r="B135" s="1090" t="s">
        <v>546</v>
      </c>
      <c r="C135" s="16"/>
      <c r="D135" s="16"/>
      <c r="E135" s="16"/>
      <c r="F135" s="16"/>
      <c r="G135" s="16"/>
      <c r="H135" s="16"/>
      <c r="I135" s="16"/>
      <c r="J135" s="16"/>
      <c r="K135" s="16"/>
      <c r="L135" s="16"/>
      <c r="M135" s="16"/>
      <c r="N135" s="109"/>
      <c r="O135" s="109"/>
      <c r="P135" s="109"/>
      <c r="Q135" s="109"/>
      <c r="R135" s="109"/>
      <c r="S135" s="109"/>
      <c r="T135" s="109"/>
      <c r="U135" s="109"/>
      <c r="V135" s="109"/>
      <c r="W135" s="109"/>
      <c r="X135" s="109"/>
      <c r="Y135" s="109"/>
      <c r="Z135" s="109"/>
      <c r="AA135" s="109"/>
      <c r="AB135" s="109"/>
      <c r="AC135" s="109"/>
      <c r="AD135" s="109"/>
      <c r="AE135" s="16"/>
      <c r="AF135" s="16"/>
      <c r="AG135" s="16"/>
      <c r="AH135" s="16"/>
      <c r="AI135" s="16"/>
      <c r="AJ135" s="16"/>
      <c r="AK135" s="16"/>
      <c r="AL135" s="16"/>
      <c r="AM135" s="16"/>
      <c r="AN135" s="16"/>
      <c r="AO135" s="16"/>
      <c r="AP135" s="16"/>
      <c r="AQ135" s="16"/>
      <c r="AR135" s="16"/>
      <c r="AS135" s="16"/>
      <c r="AT135" s="16"/>
      <c r="AU135" s="16"/>
      <c r="AV135" s="16"/>
      <c r="AW135" s="16"/>
      <c r="AX135" s="16"/>
      <c r="AY135" s="16"/>
      <c r="AZ135" s="16"/>
      <c r="BA135" s="16"/>
      <c r="BB135" s="16"/>
      <c r="BC135" s="16"/>
      <c r="BD135" s="68"/>
      <c r="BE135" s="68"/>
      <c r="BF135" s="68"/>
      <c r="BG135" s="68"/>
      <c r="BH135" s="68"/>
      <c r="BI135" s="68"/>
      <c r="BJ135" s="68"/>
      <c r="BK135" s="68"/>
      <c r="BL135" s="68"/>
      <c r="BM135" s="68"/>
      <c r="BN135" s="68"/>
      <c r="BO135" s="68"/>
      <c r="BP135" s="68"/>
      <c r="BQ135" s="68"/>
      <c r="BR135" s="68"/>
      <c r="BS135" s="68"/>
      <c r="BT135" s="68"/>
      <c r="BU135" s="1091">
        <v>215.22484925668164</v>
      </c>
      <c r="BV135" s="46"/>
      <c r="BW135" s="46"/>
      <c r="BX135" s="46"/>
      <c r="BY135" s="46"/>
      <c r="BZ135" s="46"/>
      <c r="CA135" s="46"/>
      <c r="CB135" s="46"/>
      <c r="CC135" s="46"/>
      <c r="CD135" s="46"/>
      <c r="CE135" s="46"/>
      <c r="CF135" s="46"/>
      <c r="CG135" s="46"/>
      <c r="CH135" s="46"/>
      <c r="CI135" s="46"/>
      <c r="CJ135" s="46"/>
      <c r="CK135" s="46"/>
      <c r="CL135" s="46"/>
      <c r="CM135" s="46"/>
      <c r="CN135" s="46"/>
      <c r="CO135" s="46"/>
      <c r="CP135" s="46"/>
      <c r="CQ135" s="46"/>
      <c r="CR135" s="46"/>
      <c r="CS135" s="46"/>
      <c r="CT135" s="46"/>
      <c r="CU135" s="46"/>
      <c r="CV135" s="46"/>
      <c r="CW135" s="46"/>
      <c r="CX135" s="46"/>
      <c r="CY135" s="46"/>
      <c r="CZ135" s="46"/>
      <c r="DA135" s="46"/>
      <c r="DB135" s="46"/>
      <c r="DC135" s="46"/>
    </row>
    <row r="136" spans="2:107" ht="12.75" hidden="1" customHeight="1" outlineLevel="2">
      <c r="B136" s="1093"/>
      <c r="C136" s="16"/>
      <c r="D136" s="16"/>
      <c r="E136" s="16"/>
      <c r="F136" s="16"/>
      <c r="G136" s="16"/>
      <c r="H136" s="16"/>
      <c r="I136" s="16"/>
      <c r="J136" s="16"/>
      <c r="K136" s="16"/>
      <c r="L136" s="16"/>
      <c r="M136" s="16"/>
      <c r="N136" s="109"/>
      <c r="O136" s="109"/>
      <c r="P136" s="109"/>
      <c r="Q136" s="109"/>
      <c r="R136" s="109"/>
      <c r="S136" s="109"/>
      <c r="T136" s="109"/>
      <c r="U136" s="109"/>
      <c r="V136" s="109"/>
      <c r="W136" s="109"/>
      <c r="X136" s="109"/>
      <c r="Y136" s="109"/>
      <c r="Z136" s="109"/>
      <c r="AA136" s="109"/>
      <c r="AB136" s="109"/>
      <c r="AC136" s="109"/>
      <c r="AD136" s="109"/>
      <c r="AE136" s="16"/>
      <c r="AF136" s="16"/>
      <c r="AG136" s="16"/>
      <c r="AH136" s="16"/>
      <c r="AI136" s="16"/>
      <c r="AJ136" s="16"/>
      <c r="AK136" s="16"/>
      <c r="AL136" s="16"/>
      <c r="AM136" s="16"/>
      <c r="AN136" s="16"/>
      <c r="AO136" s="16"/>
      <c r="AP136" s="16"/>
      <c r="AQ136" s="16"/>
      <c r="AR136" s="16"/>
      <c r="AS136" s="16"/>
      <c r="AT136" s="16"/>
      <c r="AU136" s="16"/>
      <c r="AV136" s="16"/>
      <c r="AW136" s="16"/>
      <c r="AX136" s="16"/>
      <c r="AY136" s="16"/>
      <c r="AZ136" s="16"/>
      <c r="BA136" s="16"/>
      <c r="BB136" s="16"/>
      <c r="BC136" s="16"/>
      <c r="BD136" s="68"/>
      <c r="BE136" s="68"/>
      <c r="BF136" s="68"/>
      <c r="BG136" s="68"/>
      <c r="BH136" s="68"/>
      <c r="BI136" s="68"/>
      <c r="BJ136" s="68"/>
      <c r="BK136" s="68"/>
      <c r="BL136" s="68"/>
      <c r="BM136" s="68"/>
      <c r="BN136" s="68"/>
      <c r="BO136" s="68"/>
      <c r="BP136" s="68"/>
      <c r="BQ136" s="68"/>
      <c r="BR136" s="68"/>
      <c r="BS136" s="68"/>
      <c r="BT136" s="68"/>
      <c r="BU136" s="1091"/>
      <c r="BV136" s="46"/>
      <c r="BW136" s="46"/>
      <c r="BX136" s="46"/>
      <c r="BY136" s="46"/>
      <c r="BZ136" s="46"/>
      <c r="CA136" s="46"/>
      <c r="CB136" s="46"/>
      <c r="CC136" s="46"/>
      <c r="CD136" s="46"/>
      <c r="CE136" s="46"/>
      <c r="CF136" s="46"/>
      <c r="CG136" s="46"/>
      <c r="CH136" s="46"/>
      <c r="CI136" s="46"/>
      <c r="CJ136" s="46"/>
      <c r="CK136" s="46"/>
      <c r="CL136" s="46"/>
      <c r="CM136" s="46"/>
      <c r="CN136" s="46"/>
      <c r="CO136" s="46"/>
      <c r="CP136" s="46"/>
      <c r="CQ136" s="46"/>
      <c r="CR136" s="46"/>
      <c r="CS136" s="46"/>
      <c r="CT136" s="46"/>
      <c r="CU136" s="46"/>
      <c r="CV136" s="46"/>
      <c r="CW136" s="46"/>
      <c r="CX136" s="46"/>
      <c r="CY136" s="46"/>
      <c r="CZ136" s="46"/>
      <c r="DA136" s="46"/>
      <c r="DB136" s="46"/>
      <c r="DC136" s="46"/>
    </row>
    <row r="137" spans="2:107" hidden="1" outlineLevel="2">
      <c r="B137" s="1089" t="s">
        <v>576</v>
      </c>
      <c r="C137" s="16"/>
      <c r="D137" s="16"/>
      <c r="E137" s="16"/>
      <c r="F137" s="16"/>
      <c r="G137" s="16"/>
      <c r="H137" s="16"/>
      <c r="I137" s="16"/>
      <c r="J137" s="16"/>
      <c r="K137" s="16"/>
      <c r="L137" s="16"/>
      <c r="M137" s="16"/>
      <c r="N137" s="109"/>
      <c r="O137" s="109"/>
      <c r="P137" s="109"/>
      <c r="Q137" s="109"/>
      <c r="R137" s="109"/>
      <c r="S137" s="109"/>
      <c r="T137" s="109"/>
      <c r="U137" s="109"/>
      <c r="V137" s="109"/>
      <c r="W137" s="109"/>
      <c r="X137" s="109"/>
      <c r="Y137" s="109"/>
      <c r="Z137" s="109"/>
      <c r="AA137" s="109"/>
      <c r="AB137" s="109"/>
      <c r="AC137" s="109"/>
      <c r="AD137" s="109"/>
      <c r="AE137" s="16"/>
      <c r="AF137" s="16"/>
      <c r="AG137" s="16"/>
      <c r="AH137" s="16"/>
      <c r="AI137" s="16"/>
      <c r="AJ137" s="16"/>
      <c r="AK137" s="16"/>
      <c r="AL137" s="16"/>
      <c r="AM137" s="16"/>
      <c r="AN137" s="16"/>
      <c r="AO137" s="16"/>
      <c r="AP137" s="16"/>
      <c r="AQ137" s="16"/>
      <c r="AR137" s="16"/>
      <c r="AS137" s="16"/>
      <c r="AT137" s="16"/>
      <c r="AU137" s="16"/>
      <c r="AV137" s="16"/>
      <c r="AW137" s="16"/>
      <c r="AX137" s="16"/>
      <c r="AY137" s="16"/>
      <c r="AZ137" s="16"/>
      <c r="BA137" s="16"/>
      <c r="BB137" s="16"/>
      <c r="BC137" s="16"/>
      <c r="BD137" s="68"/>
      <c r="BE137" s="68"/>
      <c r="BF137" s="68"/>
      <c r="BG137" s="68"/>
      <c r="BH137" s="68"/>
      <c r="BI137" s="68"/>
      <c r="BJ137" s="68"/>
      <c r="BK137" s="68"/>
      <c r="BL137" s="68"/>
      <c r="BM137" s="68"/>
      <c r="BN137" s="68"/>
      <c r="BO137" s="68"/>
      <c r="BP137" s="68"/>
      <c r="BQ137" s="68"/>
      <c r="BR137" s="68"/>
      <c r="BS137" s="68"/>
      <c r="BT137" s="68"/>
      <c r="BU137" s="1091"/>
      <c r="BV137" s="46"/>
      <c r="BW137" s="46"/>
      <c r="BX137" s="46"/>
      <c r="BY137" s="46"/>
      <c r="BZ137" s="46"/>
      <c r="CA137" s="46"/>
      <c r="CB137" s="46"/>
      <c r="CC137" s="46"/>
      <c r="CD137" s="46"/>
      <c r="CE137" s="46"/>
      <c r="CF137" s="46"/>
      <c r="CG137" s="46"/>
      <c r="CH137" s="46"/>
      <c r="CI137" s="46"/>
      <c r="CJ137" s="46"/>
      <c r="CK137" s="46"/>
      <c r="CL137" s="46"/>
      <c r="CM137" s="46"/>
      <c r="CN137" s="46"/>
      <c r="CO137" s="46"/>
      <c r="CP137" s="46"/>
      <c r="CQ137" s="46"/>
      <c r="CR137" s="46"/>
      <c r="CS137" s="46"/>
      <c r="CT137" s="46"/>
      <c r="CU137" s="46"/>
      <c r="CV137" s="46"/>
      <c r="CW137" s="46"/>
      <c r="CX137" s="46"/>
      <c r="CY137" s="46"/>
      <c r="CZ137" s="46"/>
      <c r="DA137" s="46"/>
      <c r="DB137" s="46"/>
      <c r="DC137" s="46"/>
    </row>
    <row r="138" spans="2:107" hidden="1" outlineLevel="2">
      <c r="B138" s="1090" t="s">
        <v>548</v>
      </c>
      <c r="C138" s="16"/>
      <c r="D138" s="16"/>
      <c r="E138" s="16"/>
      <c r="F138" s="16"/>
      <c r="G138" s="16"/>
      <c r="H138" s="16"/>
      <c r="I138" s="16"/>
      <c r="J138" s="16"/>
      <c r="K138" s="16"/>
      <c r="L138" s="16"/>
      <c r="M138" s="16"/>
      <c r="N138" s="109"/>
      <c r="O138" s="109"/>
      <c r="P138" s="109"/>
      <c r="Q138" s="109"/>
      <c r="R138" s="109"/>
      <c r="S138" s="109"/>
      <c r="T138" s="109"/>
      <c r="U138" s="109"/>
      <c r="V138" s="109"/>
      <c r="W138" s="109"/>
      <c r="X138" s="109"/>
      <c r="Y138" s="109"/>
      <c r="Z138" s="109"/>
      <c r="AA138" s="109"/>
      <c r="AB138" s="109"/>
      <c r="AC138" s="109"/>
      <c r="AD138" s="109"/>
      <c r="AE138" s="16"/>
      <c r="AF138" s="16"/>
      <c r="AG138" s="16"/>
      <c r="AH138" s="16"/>
      <c r="AI138" s="16"/>
      <c r="AJ138" s="16"/>
      <c r="AK138" s="16"/>
      <c r="AL138" s="16"/>
      <c r="AM138" s="16"/>
      <c r="AN138" s="16"/>
      <c r="AO138" s="16"/>
      <c r="AP138" s="16"/>
      <c r="AQ138" s="16"/>
      <c r="AR138" s="16"/>
      <c r="AS138" s="16"/>
      <c r="AT138" s="16"/>
      <c r="AU138" s="16"/>
      <c r="AV138" s="16"/>
      <c r="AW138" s="16"/>
      <c r="AX138" s="16"/>
      <c r="AY138" s="16"/>
      <c r="AZ138" s="16"/>
      <c r="BA138" s="16"/>
      <c r="BB138" s="16"/>
      <c r="BC138" s="16"/>
      <c r="BD138" s="68"/>
      <c r="BE138" s="68"/>
      <c r="BF138" s="68"/>
      <c r="BG138" s="68"/>
      <c r="BH138" s="68"/>
      <c r="BI138" s="68"/>
      <c r="BJ138" s="68"/>
      <c r="BK138" s="68"/>
      <c r="BL138" s="68"/>
      <c r="BM138" s="68"/>
      <c r="BN138" s="68"/>
      <c r="BO138" s="68"/>
      <c r="BP138" s="68"/>
      <c r="BQ138" s="68"/>
      <c r="BR138" s="68"/>
      <c r="BS138" s="68"/>
      <c r="BT138" s="68"/>
      <c r="BU138" s="1091">
        <v>241.12052647417121</v>
      </c>
      <c r="BV138" s="46"/>
      <c r="BW138" s="46"/>
      <c r="BX138" s="46"/>
      <c r="BY138" s="46"/>
      <c r="BZ138" s="46"/>
      <c r="CA138" s="46"/>
      <c r="CB138" s="46"/>
      <c r="CC138" s="46"/>
      <c r="CD138" s="46"/>
      <c r="CE138" s="46"/>
      <c r="CF138" s="46"/>
      <c r="CG138" s="46"/>
      <c r="CH138" s="46"/>
      <c r="CI138" s="46"/>
      <c r="CJ138" s="46"/>
      <c r="CK138" s="46"/>
      <c r="CL138" s="46"/>
      <c r="CM138" s="46"/>
      <c r="CN138" s="46"/>
      <c r="CO138" s="46"/>
      <c r="CP138" s="46"/>
      <c r="CQ138" s="46"/>
      <c r="CR138" s="46"/>
      <c r="CS138" s="46"/>
      <c r="CT138" s="46"/>
      <c r="CU138" s="46"/>
      <c r="CV138" s="46"/>
      <c r="CW138" s="46"/>
      <c r="CX138" s="46"/>
      <c r="CY138" s="46"/>
      <c r="CZ138" s="46"/>
      <c r="DA138" s="46"/>
      <c r="DB138" s="46"/>
      <c r="DC138" s="46"/>
    </row>
    <row r="139" spans="2:107" ht="12.75" hidden="1" customHeight="1" outlineLevel="2">
      <c r="B139" s="1093"/>
      <c r="C139" s="16"/>
      <c r="D139" s="16"/>
      <c r="E139" s="16"/>
      <c r="F139" s="16"/>
      <c r="G139" s="16"/>
      <c r="H139" s="16"/>
      <c r="I139" s="16"/>
      <c r="J139" s="16"/>
      <c r="K139" s="16"/>
      <c r="L139" s="16"/>
      <c r="M139" s="16"/>
      <c r="N139" s="109"/>
      <c r="O139" s="109"/>
      <c r="P139" s="109"/>
      <c r="Q139" s="109"/>
      <c r="R139" s="109"/>
      <c r="S139" s="109"/>
      <c r="T139" s="109"/>
      <c r="U139" s="109"/>
      <c r="V139" s="109"/>
      <c r="W139" s="109"/>
      <c r="X139" s="109"/>
      <c r="Y139" s="109"/>
      <c r="Z139" s="109"/>
      <c r="AA139" s="109"/>
      <c r="AB139" s="109"/>
      <c r="AC139" s="109"/>
      <c r="AD139" s="109"/>
      <c r="AE139" s="16"/>
      <c r="AF139" s="16"/>
      <c r="AG139" s="16"/>
      <c r="AH139" s="16"/>
      <c r="AI139" s="16"/>
      <c r="AJ139" s="16"/>
      <c r="AK139" s="16"/>
      <c r="AL139" s="16"/>
      <c r="AM139" s="16"/>
      <c r="AN139" s="16"/>
      <c r="AO139" s="16"/>
      <c r="AP139" s="16"/>
      <c r="AQ139" s="16"/>
      <c r="AR139" s="16"/>
      <c r="AS139" s="16"/>
      <c r="AT139" s="16"/>
      <c r="AU139" s="16"/>
      <c r="AV139" s="16"/>
      <c r="AW139" s="16"/>
      <c r="AX139" s="16"/>
      <c r="AY139" s="16"/>
      <c r="AZ139" s="16"/>
      <c r="BA139" s="16"/>
      <c r="BB139" s="16"/>
      <c r="BC139" s="16"/>
      <c r="BD139" s="68"/>
      <c r="BE139" s="68"/>
      <c r="BF139" s="68"/>
      <c r="BG139" s="68"/>
      <c r="BH139" s="68"/>
      <c r="BI139" s="68"/>
      <c r="BJ139" s="68"/>
      <c r="BK139" s="68"/>
      <c r="BL139" s="68"/>
      <c r="BM139" s="68"/>
      <c r="BN139" s="68"/>
      <c r="BO139" s="68"/>
      <c r="BP139" s="68"/>
      <c r="BQ139" s="68"/>
      <c r="BR139" s="68"/>
      <c r="BS139" s="68"/>
      <c r="BT139" s="68"/>
      <c r="BU139" s="1091"/>
      <c r="BV139" s="46"/>
      <c r="BW139" s="46"/>
      <c r="BX139" s="46"/>
      <c r="BY139" s="46"/>
      <c r="BZ139" s="46"/>
      <c r="CA139" s="46"/>
      <c r="CB139" s="46"/>
      <c r="CC139" s="46"/>
      <c r="CD139" s="46"/>
      <c r="CE139" s="46"/>
      <c r="CF139" s="46"/>
      <c r="CG139" s="46"/>
      <c r="CH139" s="46"/>
      <c r="CI139" s="46"/>
      <c r="CJ139" s="46"/>
      <c r="CK139" s="46"/>
      <c r="CL139" s="46"/>
      <c r="CM139" s="46"/>
      <c r="CN139" s="46"/>
      <c r="CO139" s="46"/>
      <c r="CP139" s="46"/>
      <c r="CQ139" s="46"/>
      <c r="CR139" s="46"/>
      <c r="CS139" s="46"/>
      <c r="CT139" s="46"/>
      <c r="CU139" s="46"/>
      <c r="CV139" s="46"/>
      <c r="CW139" s="46"/>
      <c r="CX139" s="46"/>
      <c r="CY139" s="46"/>
      <c r="CZ139" s="46"/>
      <c r="DA139" s="46"/>
      <c r="DB139" s="46"/>
      <c r="DC139" s="46"/>
    </row>
    <row r="140" spans="2:107" hidden="1" outlineLevel="2">
      <c r="B140" s="1089" t="s">
        <v>577</v>
      </c>
      <c r="C140" s="16"/>
      <c r="D140" s="16"/>
      <c r="E140" s="16"/>
      <c r="F140" s="16"/>
      <c r="G140" s="16"/>
      <c r="H140" s="16"/>
      <c r="I140" s="16"/>
      <c r="J140" s="16"/>
      <c r="K140" s="16"/>
      <c r="L140" s="16"/>
      <c r="M140" s="16"/>
      <c r="N140" s="109"/>
      <c r="O140" s="109"/>
      <c r="P140" s="109"/>
      <c r="Q140" s="109"/>
      <c r="R140" s="109"/>
      <c r="S140" s="109"/>
      <c r="T140" s="109"/>
      <c r="U140" s="109"/>
      <c r="V140" s="109"/>
      <c r="W140" s="109"/>
      <c r="X140" s="109"/>
      <c r="Y140" s="109"/>
      <c r="Z140" s="109"/>
      <c r="AA140" s="109"/>
      <c r="AB140" s="109"/>
      <c r="AC140" s="109"/>
      <c r="AD140" s="109"/>
      <c r="AE140" s="16"/>
      <c r="AF140" s="16"/>
      <c r="AG140" s="16"/>
      <c r="AH140" s="16"/>
      <c r="AI140" s="16"/>
      <c r="AJ140" s="16"/>
      <c r="AK140" s="16"/>
      <c r="AL140" s="16"/>
      <c r="AM140" s="16"/>
      <c r="AN140" s="16"/>
      <c r="AO140" s="16"/>
      <c r="AP140" s="16"/>
      <c r="AQ140" s="16"/>
      <c r="AR140" s="16"/>
      <c r="AS140" s="16"/>
      <c r="AT140" s="16"/>
      <c r="AU140" s="16"/>
      <c r="AV140" s="16"/>
      <c r="AW140" s="16"/>
      <c r="AX140" s="16"/>
      <c r="AY140" s="16"/>
      <c r="AZ140" s="16"/>
      <c r="BA140" s="16"/>
      <c r="BB140" s="16"/>
      <c r="BC140" s="16"/>
      <c r="BD140" s="68"/>
      <c r="BE140" s="68"/>
      <c r="BF140" s="68"/>
      <c r="BG140" s="68"/>
      <c r="BH140" s="68"/>
      <c r="BI140" s="68"/>
      <c r="BJ140" s="68"/>
      <c r="BK140" s="68"/>
      <c r="BL140" s="68"/>
      <c r="BM140" s="68"/>
      <c r="BN140" s="68"/>
      <c r="BO140" s="68"/>
      <c r="BP140" s="68"/>
      <c r="BQ140" s="68"/>
      <c r="BR140" s="68"/>
      <c r="BS140" s="68"/>
      <c r="BT140" s="68"/>
      <c r="BU140" s="1091"/>
      <c r="BV140" s="46"/>
      <c r="BW140" s="46"/>
      <c r="BX140" s="46"/>
      <c r="BY140" s="46"/>
      <c r="BZ140" s="46"/>
      <c r="CA140" s="46"/>
      <c r="CB140" s="46"/>
      <c r="CC140" s="46"/>
      <c r="CD140" s="46"/>
      <c r="CE140" s="46"/>
      <c r="CF140" s="46"/>
      <c r="CG140" s="46"/>
      <c r="CH140" s="46"/>
      <c r="CI140" s="46"/>
      <c r="CJ140" s="46"/>
      <c r="CK140" s="46"/>
      <c r="CL140" s="46"/>
      <c r="CM140" s="46"/>
      <c r="CN140" s="46"/>
      <c r="CO140" s="46"/>
      <c r="CP140" s="46"/>
      <c r="CQ140" s="46"/>
      <c r="CR140" s="46"/>
      <c r="CS140" s="46"/>
      <c r="CT140" s="46"/>
      <c r="CU140" s="46"/>
      <c r="CV140" s="46"/>
      <c r="CW140" s="46"/>
      <c r="CX140" s="46"/>
      <c r="CY140" s="46"/>
      <c r="CZ140" s="46"/>
      <c r="DA140" s="46"/>
      <c r="DB140" s="46"/>
      <c r="DC140" s="46"/>
    </row>
    <row r="141" spans="2:107" hidden="1" outlineLevel="2">
      <c r="B141" s="1090" t="s">
        <v>549</v>
      </c>
      <c r="C141" s="16"/>
      <c r="D141" s="16"/>
      <c r="E141" s="16"/>
      <c r="F141" s="16"/>
      <c r="G141" s="16"/>
      <c r="H141" s="16"/>
      <c r="I141" s="16"/>
      <c r="J141" s="16"/>
      <c r="K141" s="16"/>
      <c r="L141" s="16"/>
      <c r="M141" s="16"/>
      <c r="N141" s="109"/>
      <c r="O141" s="109"/>
      <c r="P141" s="109"/>
      <c r="Q141" s="109"/>
      <c r="R141" s="109"/>
      <c r="S141" s="109"/>
      <c r="T141" s="109"/>
      <c r="U141" s="109"/>
      <c r="V141" s="109"/>
      <c r="W141" s="109"/>
      <c r="X141" s="109"/>
      <c r="Y141" s="109"/>
      <c r="Z141" s="109"/>
      <c r="AA141" s="109"/>
      <c r="AB141" s="109"/>
      <c r="AC141" s="109"/>
      <c r="AD141" s="109"/>
      <c r="AE141" s="16"/>
      <c r="AF141" s="16"/>
      <c r="AG141" s="16"/>
      <c r="AH141" s="16"/>
      <c r="AI141" s="16"/>
      <c r="AJ141" s="16"/>
      <c r="AK141" s="16"/>
      <c r="AL141" s="16"/>
      <c r="AM141" s="16"/>
      <c r="AN141" s="16"/>
      <c r="AO141" s="16"/>
      <c r="AP141" s="16"/>
      <c r="AQ141" s="16"/>
      <c r="AR141" s="16"/>
      <c r="AS141" s="16"/>
      <c r="AT141" s="16"/>
      <c r="AU141" s="16"/>
      <c r="AV141" s="16"/>
      <c r="AW141" s="16"/>
      <c r="AX141" s="16"/>
      <c r="AY141" s="16"/>
      <c r="AZ141" s="16"/>
      <c r="BA141" s="16"/>
      <c r="BB141" s="16"/>
      <c r="BC141" s="16"/>
      <c r="BD141" s="68"/>
      <c r="BE141" s="68"/>
      <c r="BF141" s="68"/>
      <c r="BG141" s="68"/>
      <c r="BH141" s="68"/>
      <c r="BI141" s="68"/>
      <c r="BJ141" s="68"/>
      <c r="BK141" s="68"/>
      <c r="BL141" s="68"/>
      <c r="BM141" s="68"/>
      <c r="BN141" s="68"/>
      <c r="BO141" s="68"/>
      <c r="BP141" s="68"/>
      <c r="BQ141" s="68"/>
      <c r="BR141" s="68"/>
      <c r="BS141" s="68"/>
      <c r="BT141" s="68"/>
      <c r="BU141" s="1091">
        <v>261.44697704232863</v>
      </c>
      <c r="BV141" s="46"/>
      <c r="BW141" s="46"/>
      <c r="BX141" s="46"/>
      <c r="BY141" s="46"/>
      <c r="BZ141" s="46"/>
      <c r="CA141" s="46"/>
      <c r="CB141" s="46"/>
      <c r="CC141" s="46"/>
      <c r="CD141" s="46"/>
      <c r="CE141" s="46"/>
      <c r="CF141" s="46"/>
      <c r="CG141" s="46"/>
      <c r="CH141" s="46"/>
      <c r="CI141" s="46"/>
      <c r="CJ141" s="46"/>
      <c r="CK141" s="46"/>
      <c r="CL141" s="46"/>
      <c r="CM141" s="46"/>
      <c r="CN141" s="46"/>
      <c r="CO141" s="46"/>
      <c r="CP141" s="46"/>
      <c r="CQ141" s="46"/>
      <c r="CR141" s="46"/>
      <c r="CS141" s="46"/>
      <c r="CT141" s="46"/>
      <c r="CU141" s="46"/>
      <c r="CV141" s="46"/>
      <c r="CW141" s="46"/>
      <c r="CX141" s="46"/>
      <c r="CY141" s="46"/>
      <c r="CZ141" s="46"/>
      <c r="DA141" s="46"/>
      <c r="DB141" s="46"/>
      <c r="DC141" s="46"/>
    </row>
    <row r="142" spans="2:107" hidden="1" outlineLevel="2">
      <c r="B142" s="1090" t="s">
        <v>550</v>
      </c>
      <c r="C142" s="16"/>
      <c r="D142" s="16"/>
      <c r="E142" s="16"/>
      <c r="F142" s="16"/>
      <c r="G142" s="16"/>
      <c r="H142" s="16"/>
      <c r="I142" s="16"/>
      <c r="J142" s="16"/>
      <c r="K142" s="16"/>
      <c r="L142" s="16"/>
      <c r="M142" s="16"/>
      <c r="N142" s="109"/>
      <c r="O142" s="109"/>
      <c r="P142" s="109"/>
      <c r="Q142" s="109"/>
      <c r="R142" s="109"/>
      <c r="S142" s="109"/>
      <c r="T142" s="109"/>
      <c r="U142" s="109"/>
      <c r="V142" s="109"/>
      <c r="W142" s="109"/>
      <c r="X142" s="109"/>
      <c r="Y142" s="109"/>
      <c r="Z142" s="109"/>
      <c r="AA142" s="109"/>
      <c r="AB142" s="109"/>
      <c r="AC142" s="109"/>
      <c r="AD142" s="109"/>
      <c r="AE142" s="16"/>
      <c r="AF142" s="16"/>
      <c r="AG142" s="16"/>
      <c r="AH142" s="16"/>
      <c r="AI142" s="16"/>
      <c r="AJ142" s="16"/>
      <c r="AK142" s="16"/>
      <c r="AL142" s="16"/>
      <c r="AM142" s="16"/>
      <c r="AN142" s="16"/>
      <c r="AO142" s="16"/>
      <c r="AP142" s="16"/>
      <c r="AQ142" s="16"/>
      <c r="AR142" s="16"/>
      <c r="AS142" s="16"/>
      <c r="AT142" s="16"/>
      <c r="AU142" s="16"/>
      <c r="AV142" s="16"/>
      <c r="AW142" s="16"/>
      <c r="AX142" s="16"/>
      <c r="AY142" s="16"/>
      <c r="AZ142" s="16"/>
      <c r="BA142" s="16"/>
      <c r="BB142" s="16"/>
      <c r="BC142" s="16"/>
      <c r="BD142" s="68"/>
      <c r="BE142" s="68"/>
      <c r="BF142" s="68"/>
      <c r="BG142" s="68"/>
      <c r="BH142" s="68"/>
      <c r="BI142" s="68"/>
      <c r="BJ142" s="68"/>
      <c r="BK142" s="68"/>
      <c r="BL142" s="68"/>
      <c r="BM142" s="68"/>
      <c r="BN142" s="68"/>
      <c r="BO142" s="68"/>
      <c r="BP142" s="68"/>
      <c r="BQ142" s="68"/>
      <c r="BR142" s="68"/>
      <c r="BS142" s="68"/>
      <c r="BT142" s="68"/>
      <c r="BU142" s="1091">
        <v>251.9645713156022</v>
      </c>
      <c r="BV142" s="46"/>
      <c r="BW142" s="46"/>
      <c r="BX142" s="46"/>
      <c r="BY142" s="46"/>
      <c r="BZ142" s="46"/>
      <c r="CA142" s="46"/>
      <c r="CB142" s="46"/>
      <c r="CC142" s="46"/>
      <c r="CD142" s="46"/>
      <c r="CE142" s="46"/>
      <c r="CF142" s="46"/>
      <c r="CG142" s="46"/>
      <c r="CH142" s="46"/>
      <c r="CI142" s="46"/>
      <c r="CJ142" s="46"/>
      <c r="CK142" s="46"/>
      <c r="CL142" s="46"/>
      <c r="CM142" s="46"/>
      <c r="CN142" s="46"/>
      <c r="CO142" s="46"/>
      <c r="CP142" s="46"/>
      <c r="CQ142" s="46"/>
      <c r="CR142" s="46"/>
      <c r="CS142" s="46"/>
      <c r="CT142" s="46"/>
      <c r="CU142" s="46"/>
      <c r="CV142" s="46"/>
      <c r="CW142" s="46"/>
      <c r="CX142" s="46"/>
      <c r="CY142" s="46"/>
      <c r="CZ142" s="46"/>
      <c r="DA142" s="46"/>
      <c r="DB142" s="46"/>
      <c r="DC142" s="46"/>
    </row>
    <row r="143" spans="2:107" ht="12.75" hidden="1" customHeight="1" outlineLevel="2">
      <c r="B143" s="1093"/>
      <c r="C143" s="16"/>
      <c r="D143" s="16"/>
      <c r="E143" s="16"/>
      <c r="F143" s="16"/>
      <c r="G143" s="16"/>
      <c r="H143" s="16"/>
      <c r="I143" s="16"/>
      <c r="J143" s="16"/>
      <c r="K143" s="16"/>
      <c r="L143" s="16"/>
      <c r="M143" s="16"/>
      <c r="N143" s="109"/>
      <c r="O143" s="109"/>
      <c r="P143" s="109"/>
      <c r="Q143" s="109"/>
      <c r="R143" s="109"/>
      <c r="S143" s="109"/>
      <c r="T143" s="109"/>
      <c r="U143" s="109"/>
      <c r="V143" s="109"/>
      <c r="W143" s="109"/>
      <c r="X143" s="109"/>
      <c r="Y143" s="109"/>
      <c r="Z143" s="109"/>
      <c r="AA143" s="109"/>
      <c r="AB143" s="109"/>
      <c r="AC143" s="109"/>
      <c r="AD143" s="109"/>
      <c r="AE143" s="16"/>
      <c r="AF143" s="16"/>
      <c r="AG143" s="16"/>
      <c r="AH143" s="16"/>
      <c r="AI143" s="16"/>
      <c r="AJ143" s="16"/>
      <c r="AK143" s="16"/>
      <c r="AL143" s="16"/>
      <c r="AM143" s="16"/>
      <c r="AN143" s="16"/>
      <c r="AO143" s="16"/>
      <c r="AP143" s="16"/>
      <c r="AQ143" s="16"/>
      <c r="AR143" s="16"/>
      <c r="AS143" s="16"/>
      <c r="AT143" s="16"/>
      <c r="AU143" s="16"/>
      <c r="AV143" s="16"/>
      <c r="AW143" s="16"/>
      <c r="AX143" s="16"/>
      <c r="AY143" s="16"/>
      <c r="AZ143" s="16"/>
      <c r="BA143" s="16"/>
      <c r="BB143" s="16"/>
      <c r="BC143" s="16"/>
      <c r="BD143" s="68"/>
      <c r="BE143" s="68"/>
      <c r="BF143" s="68"/>
      <c r="BG143" s="68"/>
      <c r="BH143" s="68"/>
      <c r="BI143" s="68"/>
      <c r="BJ143" s="68"/>
      <c r="BK143" s="68"/>
      <c r="BL143" s="68"/>
      <c r="BM143" s="68"/>
      <c r="BN143" s="68"/>
      <c r="BO143" s="68"/>
      <c r="BP143" s="68"/>
      <c r="BQ143" s="68"/>
      <c r="BR143" s="68"/>
      <c r="BS143" s="68"/>
      <c r="BT143" s="68"/>
      <c r="BU143" s="1091"/>
      <c r="BV143" s="46"/>
      <c r="BW143" s="46"/>
      <c r="BX143" s="46"/>
      <c r="BY143" s="46"/>
      <c r="BZ143" s="46"/>
      <c r="CA143" s="46"/>
      <c r="CB143" s="46"/>
      <c r="CC143" s="46"/>
      <c r="CD143" s="46"/>
      <c r="CE143" s="46"/>
      <c r="CF143" s="46"/>
      <c r="CG143" s="46"/>
      <c r="CH143" s="46"/>
      <c r="CI143" s="46"/>
      <c r="CJ143" s="46"/>
      <c r="CK143" s="46"/>
      <c r="CL143" s="46"/>
      <c r="CM143" s="46"/>
      <c r="CN143" s="46"/>
      <c r="CO143" s="46"/>
      <c r="CP143" s="46"/>
      <c r="CQ143" s="46"/>
      <c r="CR143" s="46"/>
      <c r="CS143" s="46"/>
      <c r="CT143" s="46"/>
      <c r="CU143" s="46"/>
      <c r="CV143" s="46"/>
      <c r="CW143" s="46"/>
      <c r="CX143" s="46"/>
      <c r="CY143" s="46"/>
      <c r="CZ143" s="46"/>
      <c r="DA143" s="46"/>
      <c r="DB143" s="46"/>
      <c r="DC143" s="46"/>
    </row>
    <row r="144" spans="2:107" hidden="1" outlineLevel="2">
      <c r="B144" s="1089" t="s">
        <v>578</v>
      </c>
      <c r="C144" s="16"/>
      <c r="D144" s="16"/>
      <c r="E144" s="16"/>
      <c r="F144" s="16"/>
      <c r="G144" s="16"/>
      <c r="H144" s="16"/>
      <c r="I144" s="16"/>
      <c r="J144" s="16"/>
      <c r="K144" s="16"/>
      <c r="L144" s="16"/>
      <c r="M144" s="16"/>
      <c r="N144" s="109"/>
      <c r="O144" s="109"/>
      <c r="P144" s="109"/>
      <c r="Q144" s="109"/>
      <c r="R144" s="109"/>
      <c r="S144" s="109"/>
      <c r="T144" s="109"/>
      <c r="U144" s="109"/>
      <c r="V144" s="109"/>
      <c r="W144" s="109"/>
      <c r="X144" s="109"/>
      <c r="Y144" s="109"/>
      <c r="Z144" s="109"/>
      <c r="AA144" s="109"/>
      <c r="AB144" s="109"/>
      <c r="AC144" s="109"/>
      <c r="AD144" s="109"/>
      <c r="AE144" s="16"/>
      <c r="AF144" s="16"/>
      <c r="AG144" s="16"/>
      <c r="AH144" s="16"/>
      <c r="AI144" s="16"/>
      <c r="AJ144" s="16"/>
      <c r="AK144" s="16"/>
      <c r="AL144" s="16"/>
      <c r="AM144" s="16"/>
      <c r="AN144" s="16"/>
      <c r="AO144" s="16"/>
      <c r="AP144" s="16"/>
      <c r="AQ144" s="16"/>
      <c r="AR144" s="16"/>
      <c r="AS144" s="16"/>
      <c r="AT144" s="16"/>
      <c r="AU144" s="16"/>
      <c r="AV144" s="16"/>
      <c r="AW144" s="16"/>
      <c r="AX144" s="16"/>
      <c r="AY144" s="16"/>
      <c r="AZ144" s="16"/>
      <c r="BA144" s="16"/>
      <c r="BB144" s="16"/>
      <c r="BC144" s="16"/>
      <c r="BD144" s="68"/>
      <c r="BE144" s="68"/>
      <c r="BF144" s="68"/>
      <c r="BG144" s="68"/>
      <c r="BH144" s="68"/>
      <c r="BI144" s="68"/>
      <c r="BJ144" s="68"/>
      <c r="BK144" s="68"/>
      <c r="BL144" s="68"/>
      <c r="BM144" s="68"/>
      <c r="BN144" s="68"/>
      <c r="BO144" s="68"/>
      <c r="BP144" s="68"/>
      <c r="BQ144" s="68"/>
      <c r="BR144" s="68"/>
      <c r="BS144" s="68"/>
      <c r="BT144" s="68"/>
      <c r="BU144" s="1091"/>
      <c r="BV144" s="46"/>
      <c r="BW144" s="46"/>
      <c r="BX144" s="46"/>
      <c r="BY144" s="46"/>
      <c r="BZ144" s="46"/>
      <c r="CA144" s="46"/>
      <c r="CB144" s="46"/>
      <c r="CC144" s="46"/>
      <c r="CD144" s="46"/>
      <c r="CE144" s="46"/>
      <c r="CF144" s="46"/>
      <c r="CG144" s="46"/>
      <c r="CH144" s="46"/>
      <c r="CI144" s="46"/>
      <c r="CJ144" s="46"/>
      <c r="CK144" s="46"/>
      <c r="CL144" s="46"/>
      <c r="CM144" s="46"/>
      <c r="CN144" s="46"/>
      <c r="CO144" s="46"/>
      <c r="CP144" s="46"/>
      <c r="CQ144" s="46"/>
      <c r="CR144" s="46"/>
      <c r="CS144" s="46"/>
      <c r="CT144" s="46"/>
      <c r="CU144" s="46"/>
      <c r="CV144" s="46"/>
      <c r="CW144" s="46"/>
      <c r="CX144" s="46"/>
      <c r="CY144" s="46"/>
      <c r="CZ144" s="46"/>
      <c r="DA144" s="46"/>
      <c r="DB144" s="46"/>
      <c r="DC144" s="46"/>
    </row>
    <row r="145" spans="2:107" hidden="1" outlineLevel="2">
      <c r="B145" s="1090" t="s">
        <v>551</v>
      </c>
      <c r="C145" s="16"/>
      <c r="D145" s="16"/>
      <c r="E145" s="16"/>
      <c r="F145" s="16"/>
      <c r="G145" s="16"/>
      <c r="H145" s="16"/>
      <c r="I145" s="16"/>
      <c r="J145" s="16"/>
      <c r="K145" s="16"/>
      <c r="L145" s="16"/>
      <c r="M145" s="16"/>
      <c r="N145" s="109"/>
      <c r="O145" s="109"/>
      <c r="P145" s="109"/>
      <c r="Q145" s="109"/>
      <c r="R145" s="109"/>
      <c r="S145" s="109"/>
      <c r="T145" s="109"/>
      <c r="U145" s="109"/>
      <c r="V145" s="109"/>
      <c r="W145" s="109"/>
      <c r="X145" s="109"/>
      <c r="Y145" s="109"/>
      <c r="Z145" s="109"/>
      <c r="AA145" s="109"/>
      <c r="AB145" s="109"/>
      <c r="AC145" s="109"/>
      <c r="AD145" s="109"/>
      <c r="AE145" s="16"/>
      <c r="AF145" s="16"/>
      <c r="AG145" s="16"/>
      <c r="AH145" s="16"/>
      <c r="AI145" s="16"/>
      <c r="AJ145" s="16"/>
      <c r="AK145" s="16"/>
      <c r="AL145" s="16"/>
      <c r="AM145" s="16"/>
      <c r="AN145" s="16"/>
      <c r="AO145" s="16"/>
      <c r="AP145" s="16"/>
      <c r="AQ145" s="16"/>
      <c r="AR145" s="16"/>
      <c r="AS145" s="16"/>
      <c r="AT145" s="16"/>
      <c r="AU145" s="16"/>
      <c r="AV145" s="16"/>
      <c r="AW145" s="16"/>
      <c r="AX145" s="16"/>
      <c r="AY145" s="16"/>
      <c r="AZ145" s="16"/>
      <c r="BA145" s="16"/>
      <c r="BB145" s="16"/>
      <c r="BC145" s="16"/>
      <c r="BD145" s="68"/>
      <c r="BE145" s="68"/>
      <c r="BF145" s="68"/>
      <c r="BG145" s="68"/>
      <c r="BH145" s="68"/>
      <c r="BI145" s="68"/>
      <c r="BJ145" s="68"/>
      <c r="BK145" s="68"/>
      <c r="BL145" s="68"/>
      <c r="BM145" s="68"/>
      <c r="BN145" s="68"/>
      <c r="BO145" s="68"/>
      <c r="BP145" s="68"/>
      <c r="BQ145" s="68"/>
      <c r="BR145" s="68"/>
      <c r="BS145" s="68"/>
      <c r="BT145" s="68"/>
      <c r="BU145" s="1091">
        <v>173.57831957720404</v>
      </c>
      <c r="BV145" s="46"/>
      <c r="BW145" s="46"/>
      <c r="BX145" s="46"/>
      <c r="BY145" s="46"/>
      <c r="BZ145" s="46"/>
      <c r="CA145" s="46"/>
      <c r="CB145" s="46"/>
      <c r="CC145" s="46"/>
      <c r="CD145" s="46"/>
      <c r="CE145" s="46"/>
      <c r="CF145" s="46"/>
      <c r="CG145" s="46"/>
      <c r="CH145" s="46"/>
      <c r="CI145" s="46"/>
      <c r="CJ145" s="46"/>
      <c r="CK145" s="46"/>
      <c r="CL145" s="46"/>
      <c r="CM145" s="46"/>
      <c r="CN145" s="46"/>
      <c r="CO145" s="46"/>
      <c r="CP145" s="46"/>
      <c r="CQ145" s="46"/>
      <c r="CR145" s="46"/>
      <c r="CS145" s="46"/>
      <c r="CT145" s="46"/>
      <c r="CU145" s="46"/>
      <c r="CV145" s="46"/>
      <c r="CW145" s="46"/>
      <c r="CX145" s="46"/>
      <c r="CY145" s="46"/>
      <c r="CZ145" s="46"/>
      <c r="DA145" s="46"/>
      <c r="DB145" s="46"/>
      <c r="DC145" s="46"/>
    </row>
    <row r="146" spans="2:107" ht="12.75" hidden="1" customHeight="1" outlineLevel="2">
      <c r="B146" s="1093"/>
      <c r="C146" s="16"/>
      <c r="D146" s="16"/>
      <c r="E146" s="16"/>
      <c r="F146" s="16"/>
      <c r="G146" s="16"/>
      <c r="H146" s="16"/>
      <c r="I146" s="16"/>
      <c r="J146" s="16"/>
      <c r="K146" s="16"/>
      <c r="L146" s="16"/>
      <c r="M146" s="16"/>
      <c r="N146" s="109"/>
      <c r="O146" s="109"/>
      <c r="P146" s="109"/>
      <c r="Q146" s="109"/>
      <c r="R146" s="109"/>
      <c r="S146" s="109"/>
      <c r="T146" s="109"/>
      <c r="U146" s="109"/>
      <c r="V146" s="109"/>
      <c r="W146" s="109"/>
      <c r="X146" s="109"/>
      <c r="Y146" s="109"/>
      <c r="Z146" s="109"/>
      <c r="AA146" s="109"/>
      <c r="AB146" s="109"/>
      <c r="AC146" s="109"/>
      <c r="AD146" s="109"/>
      <c r="AE146" s="16"/>
      <c r="AF146" s="16"/>
      <c r="AG146" s="16"/>
      <c r="AH146" s="16"/>
      <c r="AI146" s="16"/>
      <c r="AJ146" s="16"/>
      <c r="AK146" s="16"/>
      <c r="AL146" s="16"/>
      <c r="AM146" s="16"/>
      <c r="AN146" s="16"/>
      <c r="AO146" s="16"/>
      <c r="AP146" s="16"/>
      <c r="AQ146" s="16"/>
      <c r="AR146" s="16"/>
      <c r="AS146" s="16"/>
      <c r="AT146" s="16"/>
      <c r="AU146" s="16"/>
      <c r="AV146" s="16"/>
      <c r="AW146" s="16"/>
      <c r="AX146" s="16"/>
      <c r="AY146" s="16"/>
      <c r="AZ146" s="16"/>
      <c r="BA146" s="16"/>
      <c r="BB146" s="16"/>
      <c r="BC146" s="16"/>
      <c r="BD146" s="68"/>
      <c r="BE146" s="68"/>
      <c r="BF146" s="68"/>
      <c r="BG146" s="68"/>
      <c r="BH146" s="68"/>
      <c r="BI146" s="68"/>
      <c r="BJ146" s="68"/>
      <c r="BK146" s="68"/>
      <c r="BL146" s="68"/>
      <c r="BM146" s="68"/>
      <c r="BN146" s="68"/>
      <c r="BO146" s="68"/>
      <c r="BP146" s="68"/>
      <c r="BQ146" s="68"/>
      <c r="BR146" s="68"/>
      <c r="BS146" s="68"/>
      <c r="BT146" s="68"/>
      <c r="BU146" s="1091"/>
      <c r="BV146" s="46"/>
      <c r="BW146" s="46"/>
      <c r="BX146" s="46"/>
      <c r="BY146" s="46"/>
      <c r="BZ146" s="46"/>
      <c r="CA146" s="46"/>
      <c r="CB146" s="46"/>
      <c r="CC146" s="46"/>
      <c r="CD146" s="46"/>
      <c r="CE146" s="46"/>
      <c r="CF146" s="46"/>
      <c r="CG146" s="46"/>
      <c r="CH146" s="46"/>
      <c r="CI146" s="46"/>
      <c r="CJ146" s="46"/>
      <c r="CK146" s="46"/>
      <c r="CL146" s="46"/>
      <c r="CM146" s="46"/>
      <c r="CN146" s="46"/>
      <c r="CO146" s="46"/>
      <c r="CP146" s="46"/>
      <c r="CQ146" s="46"/>
      <c r="CR146" s="46"/>
      <c r="CS146" s="46"/>
      <c r="CT146" s="46"/>
      <c r="CU146" s="46"/>
      <c r="CV146" s="46"/>
      <c r="CW146" s="46"/>
      <c r="CX146" s="46"/>
      <c r="CY146" s="46"/>
      <c r="CZ146" s="46"/>
      <c r="DA146" s="46"/>
      <c r="DB146" s="46"/>
      <c r="DC146" s="46"/>
    </row>
    <row r="147" spans="2:107" hidden="1" outlineLevel="2">
      <c r="B147" s="1089" t="s">
        <v>579</v>
      </c>
      <c r="C147" s="16"/>
      <c r="D147" s="16"/>
      <c r="E147" s="16"/>
      <c r="F147" s="16"/>
      <c r="G147" s="16"/>
      <c r="H147" s="16"/>
      <c r="I147" s="16"/>
      <c r="J147" s="16"/>
      <c r="K147" s="16"/>
      <c r="L147" s="16"/>
      <c r="M147" s="16"/>
      <c r="N147" s="109"/>
      <c r="O147" s="109"/>
      <c r="P147" s="109"/>
      <c r="Q147" s="109"/>
      <c r="R147" s="109"/>
      <c r="S147" s="109"/>
      <c r="T147" s="109"/>
      <c r="U147" s="109"/>
      <c r="V147" s="109"/>
      <c r="W147" s="109"/>
      <c r="X147" s="109"/>
      <c r="Y147" s="109"/>
      <c r="Z147" s="109"/>
      <c r="AA147" s="109"/>
      <c r="AB147" s="109"/>
      <c r="AC147" s="109"/>
      <c r="AD147" s="109"/>
      <c r="AE147" s="16"/>
      <c r="AF147" s="16"/>
      <c r="AG147" s="16"/>
      <c r="AH147" s="16"/>
      <c r="AI147" s="16"/>
      <c r="AJ147" s="16"/>
      <c r="AK147" s="16"/>
      <c r="AL147" s="16"/>
      <c r="AM147" s="16"/>
      <c r="AN147" s="16"/>
      <c r="AO147" s="16"/>
      <c r="AP147" s="16"/>
      <c r="AQ147" s="16"/>
      <c r="AR147" s="16"/>
      <c r="AS147" s="16"/>
      <c r="AT147" s="16"/>
      <c r="AU147" s="16"/>
      <c r="AV147" s="16"/>
      <c r="AW147" s="16"/>
      <c r="AX147" s="16"/>
      <c r="AY147" s="16"/>
      <c r="AZ147" s="16"/>
      <c r="BA147" s="16"/>
      <c r="BB147" s="16"/>
      <c r="BC147" s="16"/>
      <c r="BD147" s="68"/>
      <c r="BE147" s="68"/>
      <c r="BF147" s="68"/>
      <c r="BG147" s="68"/>
      <c r="BH147" s="68"/>
      <c r="BI147" s="68"/>
      <c r="BJ147" s="68"/>
      <c r="BK147" s="68"/>
      <c r="BL147" s="68"/>
      <c r="BM147" s="68"/>
      <c r="BN147" s="68"/>
      <c r="BO147" s="68"/>
      <c r="BP147" s="68"/>
      <c r="BQ147" s="68"/>
      <c r="BR147" s="68"/>
      <c r="BS147" s="68"/>
      <c r="BT147" s="68"/>
      <c r="BU147" s="1091"/>
      <c r="BV147" s="46"/>
      <c r="BW147" s="46"/>
      <c r="BX147" s="46"/>
      <c r="BY147" s="46"/>
      <c r="BZ147" s="46"/>
      <c r="CA147" s="46"/>
      <c r="CB147" s="46"/>
      <c r="CC147" s="46"/>
      <c r="CD147" s="46"/>
      <c r="CE147" s="46"/>
      <c r="CF147" s="46"/>
      <c r="CG147" s="46"/>
      <c r="CH147" s="46"/>
      <c r="CI147" s="46"/>
      <c r="CJ147" s="46"/>
      <c r="CK147" s="46"/>
      <c r="CL147" s="46"/>
      <c r="CM147" s="46"/>
      <c r="CN147" s="46"/>
      <c r="CO147" s="46"/>
      <c r="CP147" s="46"/>
      <c r="CQ147" s="46"/>
      <c r="CR147" s="46"/>
      <c r="CS147" s="46"/>
      <c r="CT147" s="46"/>
      <c r="CU147" s="46"/>
      <c r="CV147" s="46"/>
      <c r="CW147" s="46"/>
      <c r="CX147" s="46"/>
      <c r="CY147" s="46"/>
      <c r="CZ147" s="46"/>
      <c r="DA147" s="46"/>
      <c r="DB147" s="46"/>
      <c r="DC147" s="46"/>
    </row>
    <row r="148" spans="2:107" hidden="1" outlineLevel="2">
      <c r="B148" s="1090" t="s">
        <v>552</v>
      </c>
      <c r="C148" s="16"/>
      <c r="D148" s="16"/>
      <c r="E148" s="16"/>
      <c r="F148" s="16"/>
      <c r="G148" s="16"/>
      <c r="H148" s="16"/>
      <c r="I148" s="16"/>
      <c r="J148" s="16"/>
      <c r="K148" s="16"/>
      <c r="L148" s="16"/>
      <c r="M148" s="16"/>
      <c r="N148" s="109"/>
      <c r="O148" s="109"/>
      <c r="P148" s="109"/>
      <c r="Q148" s="109"/>
      <c r="R148" s="109"/>
      <c r="S148" s="109"/>
      <c r="T148" s="109"/>
      <c r="U148" s="109"/>
      <c r="V148" s="109"/>
      <c r="W148" s="109"/>
      <c r="X148" s="109"/>
      <c r="Y148" s="109"/>
      <c r="Z148" s="109"/>
      <c r="AA148" s="109"/>
      <c r="AB148" s="109"/>
      <c r="AC148" s="109"/>
      <c r="AD148" s="109"/>
      <c r="AE148" s="16"/>
      <c r="AF148" s="16"/>
      <c r="AG148" s="16"/>
      <c r="AH148" s="16"/>
      <c r="AI148" s="16"/>
      <c r="AJ148" s="16"/>
      <c r="AK148" s="16"/>
      <c r="AL148" s="16"/>
      <c r="AM148" s="16"/>
      <c r="AN148" s="16"/>
      <c r="AO148" s="16"/>
      <c r="AP148" s="16"/>
      <c r="AQ148" s="16"/>
      <c r="AR148" s="16"/>
      <c r="AS148" s="16"/>
      <c r="AT148" s="16"/>
      <c r="AU148" s="16"/>
      <c r="AV148" s="16"/>
      <c r="AW148" s="16"/>
      <c r="AX148" s="16"/>
      <c r="AY148" s="16"/>
      <c r="AZ148" s="16"/>
      <c r="BA148" s="16"/>
      <c r="BB148" s="16"/>
      <c r="BC148" s="16"/>
      <c r="BD148" s="68"/>
      <c r="BE148" s="68"/>
      <c r="BF148" s="68"/>
      <c r="BG148" s="68"/>
      <c r="BH148" s="68"/>
      <c r="BI148" s="68"/>
      <c r="BJ148" s="68"/>
      <c r="BK148" s="68"/>
      <c r="BL148" s="68"/>
      <c r="BM148" s="68"/>
      <c r="BN148" s="68"/>
      <c r="BO148" s="68"/>
      <c r="BP148" s="68"/>
      <c r="BQ148" s="68"/>
      <c r="BR148" s="68"/>
      <c r="BS148" s="68"/>
      <c r="BT148" s="68"/>
      <c r="BU148" s="1091">
        <v>254.14810070675006</v>
      </c>
      <c r="BV148" s="46"/>
      <c r="BW148" s="46"/>
      <c r="BX148" s="46"/>
      <c r="BY148" s="46"/>
      <c r="BZ148" s="46"/>
      <c r="CA148" s="46"/>
      <c r="CB148" s="46"/>
      <c r="CC148" s="46"/>
      <c r="CD148" s="46"/>
      <c r="CE148" s="46"/>
      <c r="CF148" s="46"/>
      <c r="CG148" s="46"/>
      <c r="CH148" s="46"/>
      <c r="CI148" s="46"/>
      <c r="CJ148" s="46"/>
      <c r="CK148" s="46"/>
      <c r="CL148" s="46"/>
      <c r="CM148" s="46"/>
      <c r="CN148" s="46"/>
      <c r="CO148" s="46"/>
      <c r="CP148" s="46"/>
      <c r="CQ148" s="46"/>
      <c r="CR148" s="46"/>
      <c r="CS148" s="46"/>
      <c r="CT148" s="46"/>
      <c r="CU148" s="46"/>
      <c r="CV148" s="46"/>
      <c r="CW148" s="46"/>
      <c r="CX148" s="46"/>
      <c r="CY148" s="46"/>
      <c r="CZ148" s="46"/>
      <c r="DA148" s="46"/>
      <c r="DB148" s="46"/>
      <c r="DC148" s="46"/>
    </row>
    <row r="149" spans="2:107" ht="12.75" hidden="1" customHeight="1" outlineLevel="2">
      <c r="B149" s="1093"/>
      <c r="C149" s="16"/>
      <c r="D149" s="16"/>
      <c r="E149" s="16"/>
      <c r="F149" s="16"/>
      <c r="G149" s="16"/>
      <c r="H149" s="16"/>
      <c r="I149" s="16"/>
      <c r="J149" s="16"/>
      <c r="K149" s="16"/>
      <c r="L149" s="16"/>
      <c r="M149" s="16"/>
      <c r="N149" s="109"/>
      <c r="O149" s="109"/>
      <c r="P149" s="109"/>
      <c r="Q149" s="109"/>
      <c r="R149" s="109"/>
      <c r="S149" s="109"/>
      <c r="T149" s="109"/>
      <c r="U149" s="109"/>
      <c r="V149" s="109"/>
      <c r="W149" s="109"/>
      <c r="X149" s="109"/>
      <c r="Y149" s="109"/>
      <c r="Z149" s="109"/>
      <c r="AA149" s="109"/>
      <c r="AB149" s="109"/>
      <c r="AC149" s="109"/>
      <c r="AD149" s="109"/>
      <c r="AE149" s="16"/>
      <c r="AF149" s="16"/>
      <c r="AG149" s="16"/>
      <c r="AH149" s="16"/>
      <c r="AI149" s="16"/>
      <c r="AJ149" s="16"/>
      <c r="AK149" s="16"/>
      <c r="AL149" s="16"/>
      <c r="AM149" s="16"/>
      <c r="AN149" s="16"/>
      <c r="AO149" s="16"/>
      <c r="AP149" s="16"/>
      <c r="AQ149" s="16"/>
      <c r="AR149" s="16"/>
      <c r="AS149" s="16"/>
      <c r="AT149" s="16"/>
      <c r="AU149" s="16"/>
      <c r="AV149" s="16"/>
      <c r="AW149" s="16"/>
      <c r="AX149" s="16"/>
      <c r="AY149" s="16"/>
      <c r="AZ149" s="16"/>
      <c r="BA149" s="16"/>
      <c r="BB149" s="16"/>
      <c r="BC149" s="16"/>
      <c r="BD149" s="68"/>
      <c r="BE149" s="68"/>
      <c r="BF149" s="68"/>
      <c r="BG149" s="68"/>
      <c r="BH149" s="68"/>
      <c r="BI149" s="68"/>
      <c r="BJ149" s="68"/>
      <c r="BK149" s="68"/>
      <c r="BL149" s="68"/>
      <c r="BM149" s="68"/>
      <c r="BN149" s="68"/>
      <c r="BO149" s="68"/>
      <c r="BP149" s="68"/>
      <c r="BQ149" s="68"/>
      <c r="BR149" s="68"/>
      <c r="BS149" s="68"/>
      <c r="BT149" s="68"/>
      <c r="BU149" s="1091"/>
      <c r="BV149" s="46"/>
      <c r="BW149" s="46"/>
      <c r="BX149" s="46"/>
      <c r="BY149" s="46"/>
      <c r="BZ149" s="46"/>
      <c r="CA149" s="46"/>
      <c r="CB149" s="46"/>
      <c r="CC149" s="46"/>
      <c r="CD149" s="46"/>
      <c r="CE149" s="46"/>
      <c r="CF149" s="46"/>
      <c r="CG149" s="46"/>
      <c r="CH149" s="46"/>
      <c r="CI149" s="46"/>
      <c r="CJ149" s="46"/>
      <c r="CK149" s="46"/>
      <c r="CL149" s="46"/>
      <c r="CM149" s="46"/>
      <c r="CN149" s="46"/>
      <c r="CO149" s="46"/>
      <c r="CP149" s="46"/>
      <c r="CQ149" s="46"/>
      <c r="CR149" s="46"/>
      <c r="CS149" s="46"/>
      <c r="CT149" s="46"/>
      <c r="CU149" s="46"/>
      <c r="CV149" s="46"/>
      <c r="CW149" s="46"/>
      <c r="CX149" s="46"/>
      <c r="CY149" s="46"/>
      <c r="CZ149" s="46"/>
      <c r="DA149" s="46"/>
      <c r="DB149" s="46"/>
      <c r="DC149" s="46"/>
    </row>
    <row r="150" spans="2:107" hidden="1" outlineLevel="2">
      <c r="B150" s="1089" t="s">
        <v>580</v>
      </c>
      <c r="C150" s="16"/>
      <c r="D150" s="16"/>
      <c r="E150" s="16"/>
      <c r="F150" s="16"/>
      <c r="G150" s="16"/>
      <c r="H150" s="16"/>
      <c r="I150" s="16"/>
      <c r="J150" s="16"/>
      <c r="K150" s="16"/>
      <c r="L150" s="16"/>
      <c r="M150" s="16"/>
      <c r="N150" s="109"/>
      <c r="O150" s="109"/>
      <c r="P150" s="109"/>
      <c r="Q150" s="109"/>
      <c r="R150" s="109"/>
      <c r="S150" s="109"/>
      <c r="T150" s="109"/>
      <c r="U150" s="109"/>
      <c r="V150" s="109"/>
      <c r="W150" s="109"/>
      <c r="X150" s="109"/>
      <c r="Y150" s="109"/>
      <c r="Z150" s="109"/>
      <c r="AA150" s="109"/>
      <c r="AB150" s="109"/>
      <c r="AC150" s="109"/>
      <c r="AD150" s="109"/>
      <c r="AE150" s="16"/>
      <c r="AF150" s="16"/>
      <c r="AG150" s="16"/>
      <c r="AH150" s="16"/>
      <c r="AI150" s="16"/>
      <c r="AJ150" s="16"/>
      <c r="AK150" s="16"/>
      <c r="AL150" s="16"/>
      <c r="AM150" s="16"/>
      <c r="AN150" s="16"/>
      <c r="AO150" s="16"/>
      <c r="AP150" s="16"/>
      <c r="AQ150" s="16"/>
      <c r="AR150" s="16"/>
      <c r="AS150" s="16"/>
      <c r="AT150" s="16"/>
      <c r="AU150" s="16"/>
      <c r="AV150" s="16"/>
      <c r="AW150" s="16"/>
      <c r="AX150" s="16"/>
      <c r="AY150" s="16"/>
      <c r="AZ150" s="16"/>
      <c r="BA150" s="16"/>
      <c r="BB150" s="16"/>
      <c r="BC150" s="16"/>
      <c r="BD150" s="68"/>
      <c r="BE150" s="68"/>
      <c r="BF150" s="68"/>
      <c r="BG150" s="68"/>
      <c r="BH150" s="68"/>
      <c r="BI150" s="68"/>
      <c r="BJ150" s="68"/>
      <c r="BK150" s="68"/>
      <c r="BL150" s="68"/>
      <c r="BM150" s="68"/>
      <c r="BN150" s="68"/>
      <c r="BO150" s="68"/>
      <c r="BP150" s="68"/>
      <c r="BQ150" s="68"/>
      <c r="BR150" s="68"/>
      <c r="BS150" s="68"/>
      <c r="BT150" s="68"/>
      <c r="BU150" s="1091"/>
      <c r="BV150" s="46"/>
      <c r="BW150" s="46"/>
      <c r="BX150" s="46"/>
      <c r="BY150" s="46"/>
      <c r="BZ150" s="46"/>
      <c r="CA150" s="46"/>
      <c r="CB150" s="46"/>
      <c r="CC150" s="46"/>
      <c r="CD150" s="46"/>
      <c r="CE150" s="46"/>
      <c r="CF150" s="46"/>
      <c r="CG150" s="46"/>
      <c r="CH150" s="46"/>
      <c r="CI150" s="46"/>
      <c r="CJ150" s="46"/>
      <c r="CK150" s="46"/>
      <c r="CL150" s="46"/>
      <c r="CM150" s="46"/>
      <c r="CN150" s="46"/>
      <c r="CO150" s="46"/>
      <c r="CP150" s="46"/>
      <c r="CQ150" s="46"/>
      <c r="CR150" s="46"/>
      <c r="CS150" s="46"/>
      <c r="CT150" s="46"/>
      <c r="CU150" s="46"/>
      <c r="CV150" s="46"/>
      <c r="CW150" s="46"/>
      <c r="CX150" s="46"/>
      <c r="CY150" s="46"/>
      <c r="CZ150" s="46"/>
      <c r="DA150" s="46"/>
      <c r="DB150" s="46"/>
      <c r="DC150" s="46"/>
    </row>
    <row r="151" spans="2:107" hidden="1" outlineLevel="2">
      <c r="B151" s="1090" t="s">
        <v>560</v>
      </c>
      <c r="C151" s="16"/>
      <c r="D151" s="16"/>
      <c r="E151" s="16"/>
      <c r="F151" s="16"/>
      <c r="G151" s="16"/>
      <c r="H151" s="16"/>
      <c r="I151" s="16"/>
      <c r="J151" s="16"/>
      <c r="K151" s="16"/>
      <c r="L151" s="16"/>
      <c r="M151" s="16"/>
      <c r="N151" s="109"/>
      <c r="O151" s="109"/>
      <c r="P151" s="109"/>
      <c r="Q151" s="109"/>
      <c r="R151" s="109"/>
      <c r="S151" s="109"/>
      <c r="T151" s="109"/>
      <c r="U151" s="109"/>
      <c r="V151" s="109"/>
      <c r="W151" s="109"/>
      <c r="X151" s="109"/>
      <c r="Y151" s="109"/>
      <c r="Z151" s="109"/>
      <c r="AA151" s="109"/>
      <c r="AB151" s="109"/>
      <c r="AC151" s="109"/>
      <c r="AD151" s="109"/>
      <c r="AE151" s="16"/>
      <c r="AF151" s="16"/>
      <c r="AG151" s="16"/>
      <c r="AH151" s="16"/>
      <c r="AI151" s="16"/>
      <c r="AJ151" s="16"/>
      <c r="AK151" s="16"/>
      <c r="AL151" s="16"/>
      <c r="AM151" s="16"/>
      <c r="AN151" s="16"/>
      <c r="AO151" s="16"/>
      <c r="AP151" s="16"/>
      <c r="AQ151" s="16"/>
      <c r="AR151" s="16"/>
      <c r="AS151" s="16"/>
      <c r="AT151" s="16"/>
      <c r="AU151" s="16"/>
      <c r="AV151" s="16"/>
      <c r="AW151" s="16"/>
      <c r="AX151" s="16"/>
      <c r="AY151" s="16"/>
      <c r="AZ151" s="16"/>
      <c r="BA151" s="16"/>
      <c r="BB151" s="16"/>
      <c r="BC151" s="16"/>
      <c r="BD151" s="68"/>
      <c r="BE151" s="68"/>
      <c r="BF151" s="68"/>
      <c r="BG151" s="68"/>
      <c r="BH151" s="68"/>
      <c r="BI151" s="68"/>
      <c r="BJ151" s="68"/>
      <c r="BK151" s="68"/>
      <c r="BL151" s="68"/>
      <c r="BM151" s="68"/>
      <c r="BN151" s="68"/>
      <c r="BO151" s="68"/>
      <c r="BP151" s="68"/>
      <c r="BQ151" s="68"/>
      <c r="BR151" s="68"/>
      <c r="BS151" s="68"/>
      <c r="BT151" s="68"/>
      <c r="BU151" s="1091">
        <v>234.7662106055499</v>
      </c>
      <c r="BV151" s="46"/>
      <c r="BW151" s="46"/>
      <c r="BX151" s="46"/>
      <c r="BY151" s="46"/>
      <c r="BZ151" s="46"/>
      <c r="CA151" s="46"/>
      <c r="CB151" s="46"/>
      <c r="CC151" s="46"/>
      <c r="CD151" s="46"/>
      <c r="CE151" s="46"/>
      <c r="CF151" s="46"/>
      <c r="CG151" s="46"/>
      <c r="CH151" s="46"/>
      <c r="CI151" s="46"/>
      <c r="CJ151" s="46"/>
      <c r="CK151" s="46"/>
      <c r="CL151" s="46"/>
      <c r="CM151" s="46"/>
      <c r="CN151" s="46"/>
      <c r="CO151" s="46"/>
      <c r="CP151" s="46"/>
      <c r="CQ151" s="46"/>
      <c r="CR151" s="46"/>
      <c r="CS151" s="46"/>
      <c r="CT151" s="46"/>
      <c r="CU151" s="46"/>
      <c r="CV151" s="46"/>
      <c r="CW151" s="46"/>
      <c r="CX151" s="46"/>
      <c r="CY151" s="46"/>
      <c r="CZ151" s="46"/>
      <c r="DA151" s="46"/>
      <c r="DB151" s="46"/>
      <c r="DC151" s="46"/>
    </row>
    <row r="152" spans="2:107" hidden="1" outlineLevel="2">
      <c r="B152" s="1090" t="s">
        <v>561</v>
      </c>
      <c r="C152" s="16"/>
      <c r="D152" s="16"/>
      <c r="E152" s="16"/>
      <c r="F152" s="16"/>
      <c r="G152" s="16"/>
      <c r="H152" s="16"/>
      <c r="I152" s="16"/>
      <c r="J152" s="16"/>
      <c r="K152" s="16"/>
      <c r="L152" s="16"/>
      <c r="M152" s="16"/>
      <c r="N152" s="109"/>
      <c r="O152" s="109"/>
      <c r="P152" s="109"/>
      <c r="Q152" s="109"/>
      <c r="R152" s="109"/>
      <c r="S152" s="109"/>
      <c r="T152" s="109"/>
      <c r="U152" s="109"/>
      <c r="V152" s="109"/>
      <c r="W152" s="109"/>
      <c r="X152" s="109"/>
      <c r="Y152" s="109"/>
      <c r="Z152" s="109"/>
      <c r="AA152" s="109"/>
      <c r="AB152" s="109"/>
      <c r="AC152" s="109"/>
      <c r="AD152" s="109"/>
      <c r="AE152" s="16"/>
      <c r="AF152" s="16"/>
      <c r="AG152" s="16"/>
      <c r="AH152" s="16"/>
      <c r="AI152" s="16"/>
      <c r="AJ152" s="16"/>
      <c r="AK152" s="16"/>
      <c r="AL152" s="16"/>
      <c r="AM152" s="16"/>
      <c r="AN152" s="16"/>
      <c r="AO152" s="16"/>
      <c r="AP152" s="16"/>
      <c r="AQ152" s="16"/>
      <c r="AR152" s="16"/>
      <c r="AS152" s="16"/>
      <c r="AT152" s="16"/>
      <c r="AU152" s="16"/>
      <c r="AV152" s="16"/>
      <c r="AW152" s="16"/>
      <c r="AX152" s="16"/>
      <c r="AY152" s="16"/>
      <c r="AZ152" s="16"/>
      <c r="BA152" s="16"/>
      <c r="BB152" s="16"/>
      <c r="BC152" s="16"/>
      <c r="BD152" s="68"/>
      <c r="BE152" s="68"/>
      <c r="BF152" s="68"/>
      <c r="BG152" s="68"/>
      <c r="BH152" s="68"/>
      <c r="BI152" s="68"/>
      <c r="BJ152" s="68"/>
      <c r="BK152" s="68"/>
      <c r="BL152" s="68"/>
      <c r="BM152" s="68"/>
      <c r="BN152" s="68"/>
      <c r="BO152" s="68"/>
      <c r="BP152" s="68"/>
      <c r="BQ152" s="68"/>
      <c r="BR152" s="68"/>
      <c r="BS152" s="68"/>
      <c r="BT152" s="68"/>
      <c r="BU152" s="1091">
        <v>534.96470083122745</v>
      </c>
      <c r="BV152" s="46"/>
      <c r="BW152" s="46"/>
      <c r="BX152" s="46"/>
      <c r="BY152" s="46"/>
      <c r="BZ152" s="46"/>
      <c r="CA152" s="46"/>
      <c r="CB152" s="46"/>
      <c r="CC152" s="46"/>
      <c r="CD152" s="46"/>
      <c r="CE152" s="46"/>
      <c r="CF152" s="46"/>
      <c r="CG152" s="46"/>
      <c r="CH152" s="46"/>
      <c r="CI152" s="46"/>
      <c r="CJ152" s="46"/>
      <c r="CK152" s="46"/>
      <c r="CL152" s="46"/>
      <c r="CM152" s="46"/>
      <c r="CN152" s="46"/>
      <c r="CO152" s="46"/>
      <c r="CP152" s="46"/>
      <c r="CQ152" s="46"/>
      <c r="CR152" s="46"/>
      <c r="CS152" s="46"/>
      <c r="CT152" s="46"/>
      <c r="CU152" s="46"/>
      <c r="CV152" s="46"/>
      <c r="CW152" s="46"/>
      <c r="CX152" s="46"/>
      <c r="CY152" s="46"/>
      <c r="CZ152" s="46"/>
      <c r="DA152" s="46"/>
      <c r="DB152" s="46"/>
      <c r="DC152" s="46"/>
    </row>
    <row r="153" spans="2:107" ht="12.75" hidden="1" customHeight="1" outlineLevel="2">
      <c r="B153" s="1093"/>
      <c r="C153" s="16"/>
      <c r="D153" s="16"/>
      <c r="E153" s="16"/>
      <c r="F153" s="16"/>
      <c r="G153" s="16"/>
      <c r="H153" s="16"/>
      <c r="I153" s="16"/>
      <c r="J153" s="16"/>
      <c r="K153" s="16"/>
      <c r="L153" s="16"/>
      <c r="M153" s="16"/>
      <c r="N153" s="109"/>
      <c r="O153" s="109"/>
      <c r="P153" s="109"/>
      <c r="Q153" s="109"/>
      <c r="R153" s="109"/>
      <c r="S153" s="109"/>
      <c r="T153" s="109"/>
      <c r="U153" s="109"/>
      <c r="V153" s="109"/>
      <c r="W153" s="109"/>
      <c r="X153" s="109"/>
      <c r="Y153" s="109"/>
      <c r="Z153" s="109"/>
      <c r="AA153" s="109"/>
      <c r="AB153" s="109"/>
      <c r="AC153" s="109"/>
      <c r="AD153" s="109"/>
      <c r="AE153" s="16"/>
      <c r="AF153" s="16"/>
      <c r="AG153" s="16"/>
      <c r="AH153" s="16"/>
      <c r="AI153" s="16"/>
      <c r="AJ153" s="16"/>
      <c r="AK153" s="16"/>
      <c r="AL153" s="16"/>
      <c r="AM153" s="16"/>
      <c r="AN153" s="16"/>
      <c r="AO153" s="16"/>
      <c r="AP153" s="16"/>
      <c r="AQ153" s="16"/>
      <c r="AR153" s="16"/>
      <c r="AS153" s="16"/>
      <c r="AT153" s="16"/>
      <c r="AU153" s="16"/>
      <c r="AV153" s="16"/>
      <c r="AW153" s="16"/>
      <c r="AX153" s="16"/>
      <c r="AY153" s="16"/>
      <c r="AZ153" s="16"/>
      <c r="BA153" s="16"/>
      <c r="BB153" s="16"/>
      <c r="BC153" s="16"/>
      <c r="BD153" s="68"/>
      <c r="BE153" s="68"/>
      <c r="BF153" s="68"/>
      <c r="BG153" s="68"/>
      <c r="BH153" s="68"/>
      <c r="BI153" s="68"/>
      <c r="BJ153" s="68"/>
      <c r="BK153" s="68"/>
      <c r="BL153" s="68"/>
      <c r="BM153" s="68"/>
      <c r="BN153" s="68"/>
      <c r="BO153" s="68"/>
      <c r="BP153" s="68"/>
      <c r="BQ153" s="68"/>
      <c r="BR153" s="68"/>
      <c r="BS153" s="68"/>
      <c r="BT153" s="68"/>
      <c r="BU153" s="1091"/>
      <c r="BV153" s="46"/>
      <c r="BW153" s="46"/>
      <c r="BX153" s="46"/>
      <c r="BY153" s="46"/>
      <c r="BZ153" s="46"/>
      <c r="CA153" s="46"/>
      <c r="CB153" s="46"/>
      <c r="CC153" s="46"/>
      <c r="CD153" s="46"/>
      <c r="CE153" s="46"/>
      <c r="CF153" s="46"/>
      <c r="CG153" s="46"/>
      <c r="CH153" s="46"/>
      <c r="CI153" s="46"/>
      <c r="CJ153" s="46"/>
      <c r="CK153" s="46"/>
      <c r="CL153" s="46"/>
      <c r="CM153" s="46"/>
      <c r="CN153" s="46"/>
      <c r="CO153" s="46"/>
      <c r="CP153" s="46"/>
      <c r="CQ153" s="46"/>
      <c r="CR153" s="46"/>
      <c r="CS153" s="46"/>
      <c r="CT153" s="46"/>
      <c r="CU153" s="46"/>
      <c r="CV153" s="46"/>
      <c r="CW153" s="46"/>
      <c r="CX153" s="46"/>
      <c r="CY153" s="46"/>
      <c r="CZ153" s="46"/>
      <c r="DA153" s="46"/>
      <c r="DB153" s="46"/>
      <c r="DC153" s="46"/>
    </row>
    <row r="154" spans="2:107" hidden="1" outlineLevel="2">
      <c r="B154" s="1089" t="s">
        <v>581</v>
      </c>
      <c r="C154" s="16"/>
      <c r="D154" s="16"/>
      <c r="E154" s="16"/>
      <c r="F154" s="16"/>
      <c r="G154" s="16"/>
      <c r="H154" s="16"/>
      <c r="I154" s="16"/>
      <c r="J154" s="16"/>
      <c r="K154" s="16"/>
      <c r="L154" s="16"/>
      <c r="M154" s="16"/>
      <c r="N154" s="109"/>
      <c r="O154" s="109"/>
      <c r="P154" s="109"/>
      <c r="Q154" s="109"/>
      <c r="R154" s="109"/>
      <c r="S154" s="109"/>
      <c r="T154" s="109"/>
      <c r="U154" s="109"/>
      <c r="V154" s="109"/>
      <c r="W154" s="109"/>
      <c r="X154" s="109"/>
      <c r="Y154" s="109"/>
      <c r="Z154" s="109"/>
      <c r="AA154" s="109"/>
      <c r="AB154" s="109"/>
      <c r="AC154" s="109"/>
      <c r="AD154" s="109"/>
      <c r="AE154" s="16"/>
      <c r="AF154" s="16"/>
      <c r="AG154" s="16"/>
      <c r="AH154" s="16"/>
      <c r="AI154" s="16"/>
      <c r="AJ154" s="16"/>
      <c r="AK154" s="16"/>
      <c r="AL154" s="16"/>
      <c r="AM154" s="16"/>
      <c r="AN154" s="16"/>
      <c r="AO154" s="16"/>
      <c r="AP154" s="16"/>
      <c r="AQ154" s="16"/>
      <c r="AR154" s="16"/>
      <c r="AS154" s="16"/>
      <c r="AT154" s="16"/>
      <c r="AU154" s="16"/>
      <c r="AV154" s="16"/>
      <c r="AW154" s="16"/>
      <c r="AX154" s="16"/>
      <c r="AY154" s="16"/>
      <c r="AZ154" s="16"/>
      <c r="BA154" s="16"/>
      <c r="BB154" s="16"/>
      <c r="BC154" s="16"/>
      <c r="BD154" s="68"/>
      <c r="BE154" s="68"/>
      <c r="BF154" s="68"/>
      <c r="BG154" s="68"/>
      <c r="BH154" s="68"/>
      <c r="BI154" s="68"/>
      <c r="BJ154" s="68"/>
      <c r="BK154" s="68"/>
      <c r="BL154" s="68"/>
      <c r="BM154" s="68"/>
      <c r="BN154" s="68"/>
      <c r="BO154" s="68"/>
      <c r="BP154" s="68"/>
      <c r="BQ154" s="68"/>
      <c r="BR154" s="68"/>
      <c r="BS154" s="68"/>
      <c r="BT154" s="68"/>
      <c r="BU154" s="1091"/>
      <c r="BV154" s="46"/>
      <c r="BW154" s="46"/>
      <c r="BX154" s="46"/>
      <c r="BY154" s="46"/>
      <c r="BZ154" s="46"/>
      <c r="CA154" s="46"/>
      <c r="CB154" s="46"/>
      <c r="CC154" s="46"/>
      <c r="CD154" s="46"/>
      <c r="CE154" s="46"/>
      <c r="CF154" s="46"/>
      <c r="CG154" s="46"/>
      <c r="CH154" s="46"/>
      <c r="CI154" s="46"/>
      <c r="CJ154" s="46"/>
      <c r="CK154" s="46"/>
      <c r="CL154" s="46"/>
      <c r="CM154" s="46"/>
      <c r="CN154" s="46"/>
      <c r="CO154" s="46"/>
      <c r="CP154" s="46"/>
      <c r="CQ154" s="46"/>
      <c r="CR154" s="46"/>
      <c r="CS154" s="46"/>
      <c r="CT154" s="46"/>
      <c r="CU154" s="46"/>
      <c r="CV154" s="46"/>
      <c r="CW154" s="46"/>
      <c r="CX154" s="46"/>
      <c r="CY154" s="46"/>
      <c r="CZ154" s="46"/>
      <c r="DA154" s="46"/>
      <c r="DB154" s="46"/>
      <c r="DC154" s="46"/>
    </row>
    <row r="155" spans="2:107" hidden="1" outlineLevel="2">
      <c r="B155" s="1090" t="s">
        <v>562</v>
      </c>
      <c r="C155" s="16"/>
      <c r="D155" s="16"/>
      <c r="E155" s="16"/>
      <c r="F155" s="16"/>
      <c r="G155" s="16"/>
      <c r="H155" s="16"/>
      <c r="I155" s="16"/>
      <c r="J155" s="16"/>
      <c r="K155" s="16"/>
      <c r="L155" s="16"/>
      <c r="M155" s="16"/>
      <c r="N155" s="109"/>
      <c r="O155" s="109"/>
      <c r="P155" s="109"/>
      <c r="Q155" s="109"/>
      <c r="R155" s="109"/>
      <c r="S155" s="109"/>
      <c r="T155" s="109"/>
      <c r="U155" s="109"/>
      <c r="V155" s="109"/>
      <c r="W155" s="109"/>
      <c r="X155" s="109"/>
      <c r="Y155" s="109"/>
      <c r="Z155" s="109"/>
      <c r="AA155" s="109"/>
      <c r="AB155" s="109"/>
      <c r="AC155" s="109"/>
      <c r="AD155" s="109"/>
      <c r="AE155" s="16"/>
      <c r="AF155" s="16"/>
      <c r="AG155" s="16"/>
      <c r="AH155" s="16"/>
      <c r="AI155" s="16"/>
      <c r="AJ155" s="16"/>
      <c r="AK155" s="16"/>
      <c r="AL155" s="16"/>
      <c r="AM155" s="16"/>
      <c r="AN155" s="16"/>
      <c r="AO155" s="16"/>
      <c r="AP155" s="16"/>
      <c r="AQ155" s="16"/>
      <c r="AR155" s="16"/>
      <c r="AS155" s="16"/>
      <c r="AT155" s="16"/>
      <c r="AU155" s="16"/>
      <c r="AV155" s="16"/>
      <c r="AW155" s="16"/>
      <c r="AX155" s="16"/>
      <c r="AY155" s="16"/>
      <c r="AZ155" s="16"/>
      <c r="BA155" s="16"/>
      <c r="BB155" s="16"/>
      <c r="BC155" s="16"/>
      <c r="BD155" s="68"/>
      <c r="BE155" s="68"/>
      <c r="BF155" s="68"/>
      <c r="BG155" s="68"/>
      <c r="BH155" s="68"/>
      <c r="BI155" s="68"/>
      <c r="BJ155" s="68"/>
      <c r="BK155" s="68"/>
      <c r="BL155" s="68"/>
      <c r="BM155" s="68"/>
      <c r="BN155" s="68"/>
      <c r="BO155" s="68"/>
      <c r="BP155" s="68"/>
      <c r="BQ155" s="68"/>
      <c r="BR155" s="68"/>
      <c r="BS155" s="68"/>
      <c r="BT155" s="68"/>
      <c r="BU155" s="1091">
        <v>269.39600538763096</v>
      </c>
      <c r="BV155" s="46"/>
      <c r="BW155" s="46"/>
      <c r="BX155" s="46"/>
      <c r="BY155" s="46"/>
      <c r="BZ155" s="46"/>
      <c r="CA155" s="46"/>
      <c r="CB155" s="46"/>
      <c r="CC155" s="46"/>
      <c r="CD155" s="46"/>
      <c r="CE155" s="46"/>
      <c r="CF155" s="46"/>
      <c r="CG155" s="46"/>
      <c r="CH155" s="46"/>
      <c r="CI155" s="46"/>
      <c r="CJ155" s="46"/>
      <c r="CK155" s="46"/>
      <c r="CL155" s="46"/>
      <c r="CM155" s="46"/>
      <c r="CN155" s="46"/>
      <c r="CO155" s="46"/>
      <c r="CP155" s="46"/>
      <c r="CQ155" s="46"/>
      <c r="CR155" s="46"/>
      <c r="CS155" s="46"/>
      <c r="CT155" s="46"/>
      <c r="CU155" s="46"/>
      <c r="CV155" s="46"/>
      <c r="CW155" s="46"/>
      <c r="CX155" s="46"/>
      <c r="CY155" s="46"/>
      <c r="CZ155" s="46"/>
      <c r="DA155" s="46"/>
      <c r="DB155" s="46"/>
      <c r="DC155" s="46"/>
    </row>
    <row r="156" spans="2:107" ht="12.75" hidden="1" customHeight="1" outlineLevel="2">
      <c r="B156" s="1093"/>
      <c r="C156" s="16"/>
      <c r="D156" s="16"/>
      <c r="E156" s="16"/>
      <c r="F156" s="16"/>
      <c r="G156" s="16"/>
      <c r="H156" s="16"/>
      <c r="I156" s="16"/>
      <c r="J156" s="16"/>
      <c r="K156" s="16"/>
      <c r="L156" s="16"/>
      <c r="M156" s="16"/>
      <c r="N156" s="109"/>
      <c r="O156" s="109"/>
      <c r="P156" s="109"/>
      <c r="Q156" s="109"/>
      <c r="R156" s="109"/>
      <c r="S156" s="109"/>
      <c r="T156" s="109"/>
      <c r="U156" s="109"/>
      <c r="V156" s="109"/>
      <c r="W156" s="109"/>
      <c r="X156" s="109"/>
      <c r="Y156" s="109"/>
      <c r="Z156" s="109"/>
      <c r="AA156" s="109"/>
      <c r="AB156" s="109"/>
      <c r="AC156" s="109"/>
      <c r="AD156" s="109"/>
      <c r="AE156" s="16"/>
      <c r="AF156" s="16"/>
      <c r="AG156" s="16"/>
      <c r="AH156" s="16"/>
      <c r="AI156" s="16"/>
      <c r="AJ156" s="16"/>
      <c r="AK156" s="16"/>
      <c r="AL156" s="16"/>
      <c r="AM156" s="16"/>
      <c r="AN156" s="16"/>
      <c r="AO156" s="16"/>
      <c r="AP156" s="16"/>
      <c r="AQ156" s="16"/>
      <c r="AR156" s="16"/>
      <c r="AS156" s="16"/>
      <c r="AT156" s="16"/>
      <c r="AU156" s="16"/>
      <c r="AV156" s="16"/>
      <c r="AW156" s="16"/>
      <c r="AX156" s="16"/>
      <c r="AY156" s="16"/>
      <c r="AZ156" s="16"/>
      <c r="BA156" s="16"/>
      <c r="BB156" s="16"/>
      <c r="BC156" s="16"/>
      <c r="BD156" s="68"/>
      <c r="BE156" s="68"/>
      <c r="BF156" s="68"/>
      <c r="BG156" s="68"/>
      <c r="BH156" s="68"/>
      <c r="BI156" s="68"/>
      <c r="BJ156" s="68"/>
      <c r="BK156" s="68"/>
      <c r="BL156" s="68"/>
      <c r="BM156" s="68"/>
      <c r="BN156" s="68"/>
      <c r="BO156" s="68"/>
      <c r="BP156" s="68"/>
      <c r="BQ156" s="68"/>
      <c r="BR156" s="68"/>
      <c r="BS156" s="68"/>
      <c r="BT156" s="68"/>
      <c r="BU156" s="1091"/>
      <c r="BV156" s="46"/>
      <c r="BW156" s="46"/>
      <c r="BX156" s="46"/>
      <c r="BY156" s="46"/>
      <c r="BZ156" s="46"/>
      <c r="CA156" s="46"/>
      <c r="CB156" s="46"/>
      <c r="CC156" s="46"/>
      <c r="CD156" s="46"/>
      <c r="CE156" s="46"/>
      <c r="CF156" s="46"/>
      <c r="CG156" s="46"/>
      <c r="CH156" s="46"/>
      <c r="CI156" s="46"/>
      <c r="CJ156" s="46"/>
      <c r="CK156" s="46"/>
      <c r="CL156" s="46"/>
      <c r="CM156" s="46"/>
      <c r="CN156" s="46"/>
      <c r="CO156" s="46"/>
      <c r="CP156" s="46"/>
      <c r="CQ156" s="46"/>
      <c r="CR156" s="46"/>
      <c r="CS156" s="46"/>
      <c r="CT156" s="46"/>
      <c r="CU156" s="46"/>
      <c r="CV156" s="46"/>
      <c r="CW156" s="46"/>
      <c r="CX156" s="46"/>
      <c r="CY156" s="46"/>
      <c r="CZ156" s="46"/>
      <c r="DA156" s="46"/>
      <c r="DB156" s="46"/>
      <c r="DC156" s="46"/>
    </row>
    <row r="157" spans="2:107" hidden="1" outlineLevel="2">
      <c r="B157" s="1089" t="s">
        <v>582</v>
      </c>
      <c r="C157" s="16"/>
      <c r="D157" s="16"/>
      <c r="E157" s="16"/>
      <c r="F157" s="16"/>
      <c r="G157" s="16"/>
      <c r="H157" s="16"/>
      <c r="I157" s="16"/>
      <c r="J157" s="16"/>
      <c r="K157" s="16"/>
      <c r="L157" s="16"/>
      <c r="M157" s="16"/>
      <c r="N157" s="109"/>
      <c r="O157" s="109"/>
      <c r="P157" s="109"/>
      <c r="Q157" s="109"/>
      <c r="R157" s="109"/>
      <c r="S157" s="109"/>
      <c r="T157" s="109"/>
      <c r="U157" s="109"/>
      <c r="V157" s="109"/>
      <c r="W157" s="109"/>
      <c r="X157" s="109"/>
      <c r="Y157" s="109"/>
      <c r="Z157" s="109"/>
      <c r="AA157" s="109"/>
      <c r="AB157" s="109"/>
      <c r="AC157" s="109"/>
      <c r="AD157" s="109"/>
      <c r="AE157" s="16"/>
      <c r="AF157" s="16"/>
      <c r="AG157" s="16"/>
      <c r="AH157" s="16"/>
      <c r="AI157" s="16"/>
      <c r="AJ157" s="16"/>
      <c r="AK157" s="16"/>
      <c r="AL157" s="16"/>
      <c r="AM157" s="16"/>
      <c r="AN157" s="16"/>
      <c r="AO157" s="16"/>
      <c r="AP157" s="16"/>
      <c r="AQ157" s="16"/>
      <c r="AR157" s="16"/>
      <c r="AS157" s="16"/>
      <c r="AT157" s="16"/>
      <c r="AU157" s="16"/>
      <c r="AV157" s="16"/>
      <c r="AW157" s="16"/>
      <c r="AX157" s="16"/>
      <c r="AY157" s="16"/>
      <c r="AZ157" s="16"/>
      <c r="BA157" s="16"/>
      <c r="BB157" s="16"/>
      <c r="BC157" s="16"/>
      <c r="BD157" s="68"/>
      <c r="BE157" s="68"/>
      <c r="BF157" s="68"/>
      <c r="BG157" s="68"/>
      <c r="BH157" s="68"/>
      <c r="BI157" s="68"/>
      <c r="BJ157" s="68"/>
      <c r="BK157" s="68"/>
      <c r="BL157" s="68"/>
      <c r="BM157" s="68"/>
      <c r="BN157" s="68"/>
      <c r="BO157" s="68"/>
      <c r="BP157" s="68"/>
      <c r="BQ157" s="68"/>
      <c r="BR157" s="68"/>
      <c r="BS157" s="68"/>
      <c r="BT157" s="68"/>
      <c r="BU157" s="1091"/>
      <c r="BV157" s="46"/>
      <c r="BW157" s="46"/>
      <c r="BX157" s="46"/>
      <c r="BY157" s="46"/>
      <c r="BZ157" s="46"/>
      <c r="CA157" s="46"/>
      <c r="CB157" s="46"/>
      <c r="CC157" s="46"/>
      <c r="CD157" s="46"/>
      <c r="CE157" s="46"/>
      <c r="CF157" s="46"/>
      <c r="CG157" s="46"/>
      <c r="CH157" s="46"/>
      <c r="CI157" s="46"/>
      <c r="CJ157" s="46"/>
      <c r="CK157" s="46"/>
      <c r="CL157" s="46"/>
      <c r="CM157" s="46"/>
      <c r="CN157" s="46"/>
      <c r="CO157" s="46"/>
      <c r="CP157" s="46"/>
      <c r="CQ157" s="46"/>
      <c r="CR157" s="46"/>
      <c r="CS157" s="46"/>
      <c r="CT157" s="46"/>
      <c r="CU157" s="46"/>
      <c r="CV157" s="46"/>
      <c r="CW157" s="46"/>
      <c r="CX157" s="46"/>
      <c r="CY157" s="46"/>
      <c r="CZ157" s="46"/>
      <c r="DA157" s="46"/>
      <c r="DB157" s="46"/>
      <c r="DC157" s="46"/>
    </row>
    <row r="158" spans="2:107" hidden="1" outlineLevel="2">
      <c r="B158" s="1090" t="s">
        <v>563</v>
      </c>
      <c r="C158" s="16"/>
      <c r="D158" s="16"/>
      <c r="E158" s="16"/>
      <c r="F158" s="16"/>
      <c r="G158" s="16"/>
      <c r="H158" s="16"/>
      <c r="I158" s="16"/>
      <c r="J158" s="16"/>
      <c r="K158" s="16"/>
      <c r="L158" s="16"/>
      <c r="M158" s="16"/>
      <c r="N158" s="109"/>
      <c r="O158" s="109"/>
      <c r="P158" s="109"/>
      <c r="Q158" s="109"/>
      <c r="R158" s="109"/>
      <c r="S158" s="109"/>
      <c r="T158" s="109"/>
      <c r="U158" s="109"/>
      <c r="V158" s="109"/>
      <c r="W158" s="109"/>
      <c r="X158" s="109"/>
      <c r="Y158" s="109"/>
      <c r="Z158" s="109"/>
      <c r="AA158" s="109"/>
      <c r="AB158" s="109"/>
      <c r="AC158" s="109"/>
      <c r="AD158" s="109"/>
      <c r="AE158" s="16"/>
      <c r="AF158" s="16"/>
      <c r="AG158" s="16"/>
      <c r="AH158" s="16"/>
      <c r="AI158" s="16"/>
      <c r="AJ158" s="16"/>
      <c r="AK158" s="16"/>
      <c r="AL158" s="16"/>
      <c r="AM158" s="16"/>
      <c r="AN158" s="16"/>
      <c r="AO158" s="16"/>
      <c r="AP158" s="16"/>
      <c r="AQ158" s="16"/>
      <c r="AR158" s="16"/>
      <c r="AS158" s="16"/>
      <c r="AT158" s="16"/>
      <c r="AU158" s="16"/>
      <c r="AV158" s="16"/>
      <c r="AW158" s="16"/>
      <c r="AX158" s="16"/>
      <c r="AY158" s="16"/>
      <c r="AZ158" s="16"/>
      <c r="BA158" s="16"/>
      <c r="BB158" s="16"/>
      <c r="BC158" s="16"/>
      <c r="BD158" s="68"/>
      <c r="BE158" s="68"/>
      <c r="BF158" s="68"/>
      <c r="BG158" s="68"/>
      <c r="BH158" s="68"/>
      <c r="BI158" s="68"/>
      <c r="BJ158" s="68"/>
      <c r="BK158" s="68"/>
      <c r="BL158" s="68"/>
      <c r="BM158" s="68"/>
      <c r="BN158" s="68"/>
      <c r="BO158" s="68"/>
      <c r="BP158" s="68"/>
      <c r="BQ158" s="68"/>
      <c r="BR158" s="68"/>
      <c r="BS158" s="68"/>
      <c r="BT158" s="68"/>
      <c r="BU158" s="1091">
        <v>161.42170369727407</v>
      </c>
      <c r="BV158" s="46"/>
      <c r="BW158" s="46"/>
      <c r="BX158" s="46"/>
      <c r="BY158" s="46"/>
      <c r="BZ158" s="46"/>
      <c r="CA158" s="46"/>
      <c r="CB158" s="46"/>
      <c r="CC158" s="46"/>
      <c r="CD158" s="46"/>
      <c r="CE158" s="46"/>
      <c r="CF158" s="46"/>
      <c r="CG158" s="46"/>
      <c r="CH158" s="46"/>
      <c r="CI158" s="46"/>
      <c r="CJ158" s="46"/>
      <c r="CK158" s="46"/>
      <c r="CL158" s="46"/>
      <c r="CM158" s="46"/>
      <c r="CN158" s="46"/>
      <c r="CO158" s="46"/>
      <c r="CP158" s="46"/>
      <c r="CQ158" s="46"/>
      <c r="CR158" s="46"/>
      <c r="CS158" s="46"/>
      <c r="CT158" s="46"/>
      <c r="CU158" s="46"/>
      <c r="CV158" s="46"/>
      <c r="CW158" s="46"/>
      <c r="CX158" s="46"/>
      <c r="CY158" s="46"/>
      <c r="CZ158" s="46"/>
      <c r="DA158" s="46"/>
      <c r="DB158" s="46"/>
      <c r="DC158" s="46"/>
    </row>
    <row r="159" spans="2:107" ht="12.75" hidden="1" customHeight="1" outlineLevel="2">
      <c r="B159" s="16"/>
      <c r="C159" s="16"/>
      <c r="D159" s="16"/>
      <c r="E159" s="16"/>
      <c r="F159" s="16"/>
      <c r="G159" s="16"/>
      <c r="H159" s="16"/>
      <c r="I159" s="16"/>
      <c r="J159" s="16"/>
      <c r="K159" s="16"/>
      <c r="L159" s="16"/>
      <c r="M159" s="16"/>
      <c r="N159" s="109"/>
      <c r="O159" s="109"/>
      <c r="P159" s="109"/>
      <c r="Q159" s="109"/>
      <c r="R159" s="109"/>
      <c r="S159" s="109"/>
      <c r="T159" s="109"/>
      <c r="U159" s="109"/>
      <c r="V159" s="109"/>
      <c r="W159" s="109"/>
      <c r="X159" s="109"/>
      <c r="Y159" s="109"/>
      <c r="Z159" s="109"/>
      <c r="AA159" s="109"/>
      <c r="AB159" s="109"/>
      <c r="AC159" s="109"/>
      <c r="AD159" s="109"/>
      <c r="AE159" s="16"/>
      <c r="AF159" s="16"/>
      <c r="AG159" s="16"/>
      <c r="AH159" s="16"/>
      <c r="AI159" s="16"/>
      <c r="AJ159" s="16"/>
      <c r="AK159" s="16"/>
      <c r="AL159" s="16"/>
      <c r="AM159" s="16"/>
      <c r="AN159" s="16"/>
      <c r="AO159" s="16"/>
      <c r="AP159" s="16"/>
      <c r="AQ159" s="16"/>
      <c r="AR159" s="16"/>
      <c r="AS159" s="16"/>
      <c r="AT159" s="16"/>
      <c r="AU159" s="16"/>
      <c r="AV159" s="16"/>
      <c r="AW159" s="16"/>
      <c r="AX159" s="16"/>
      <c r="AY159" s="16"/>
      <c r="AZ159" s="16"/>
      <c r="BA159" s="16"/>
      <c r="BB159" s="16"/>
      <c r="BC159" s="16"/>
      <c r="BD159" s="68"/>
      <c r="BE159" s="68"/>
      <c r="BF159" s="68"/>
      <c r="BG159" s="68"/>
      <c r="BH159" s="68"/>
      <c r="BI159" s="68"/>
      <c r="BJ159" s="68"/>
      <c r="BK159" s="68"/>
      <c r="BL159" s="68"/>
      <c r="BM159" s="68"/>
      <c r="BN159" s="68"/>
      <c r="BO159" s="68"/>
      <c r="BP159" s="68"/>
      <c r="BQ159" s="68"/>
      <c r="BR159" s="68"/>
      <c r="BS159" s="68"/>
      <c r="BT159" s="68"/>
      <c r="BU159" s="1091"/>
      <c r="BV159" s="46"/>
      <c r="BW159" s="46"/>
      <c r="BX159" s="46"/>
      <c r="BY159" s="46"/>
      <c r="BZ159" s="46"/>
      <c r="CA159" s="46"/>
      <c r="CB159" s="46"/>
      <c r="CC159" s="46"/>
      <c r="CD159" s="46"/>
      <c r="CE159" s="46"/>
      <c r="CF159" s="46"/>
      <c r="CG159" s="46"/>
      <c r="CH159" s="46"/>
      <c r="CI159" s="46"/>
      <c r="CJ159" s="46"/>
      <c r="CK159" s="46"/>
      <c r="CL159" s="46"/>
      <c r="CM159" s="46"/>
      <c r="CN159" s="46"/>
      <c r="CO159" s="46"/>
      <c r="CP159" s="46"/>
      <c r="CQ159" s="46"/>
      <c r="CR159" s="46"/>
      <c r="CS159" s="46"/>
      <c r="CT159" s="46"/>
      <c r="CU159" s="46"/>
      <c r="CV159" s="46"/>
      <c r="CW159" s="46"/>
      <c r="CX159" s="46"/>
      <c r="CY159" s="46"/>
      <c r="CZ159" s="46"/>
      <c r="DA159" s="46"/>
      <c r="DB159" s="46"/>
      <c r="DC159" s="46"/>
    </row>
    <row r="160" spans="2:107" hidden="1" outlineLevel="2">
      <c r="B160" s="1089" t="s">
        <v>583</v>
      </c>
      <c r="C160" s="16"/>
      <c r="D160" s="16"/>
      <c r="E160" s="16"/>
      <c r="F160" s="16"/>
      <c r="G160" s="16"/>
      <c r="H160" s="16"/>
      <c r="I160" s="16"/>
      <c r="J160" s="16"/>
      <c r="K160" s="16"/>
      <c r="L160" s="16"/>
      <c r="M160" s="16"/>
      <c r="N160" s="109"/>
      <c r="O160" s="109"/>
      <c r="P160" s="109"/>
      <c r="Q160" s="109"/>
      <c r="R160" s="109"/>
      <c r="S160" s="109"/>
      <c r="T160" s="109"/>
      <c r="U160" s="109"/>
      <c r="V160" s="109"/>
      <c r="W160" s="109"/>
      <c r="X160" s="109"/>
      <c r="Y160" s="109"/>
      <c r="Z160" s="109"/>
      <c r="AA160" s="109"/>
      <c r="AB160" s="109"/>
      <c r="AC160" s="109"/>
      <c r="AD160" s="109"/>
      <c r="AE160" s="16"/>
      <c r="AF160" s="16"/>
      <c r="AG160" s="16"/>
      <c r="AH160" s="16"/>
      <c r="AI160" s="16"/>
      <c r="AJ160" s="16"/>
      <c r="AK160" s="16"/>
      <c r="AL160" s="16"/>
      <c r="AM160" s="16"/>
      <c r="AN160" s="16"/>
      <c r="AO160" s="16"/>
      <c r="AP160" s="16"/>
      <c r="AQ160" s="16"/>
      <c r="AR160" s="16"/>
      <c r="AS160" s="16"/>
      <c r="AT160" s="16"/>
      <c r="AU160" s="16"/>
      <c r="AV160" s="16"/>
      <c r="AW160" s="16"/>
      <c r="AX160" s="16"/>
      <c r="AY160" s="16"/>
      <c r="AZ160" s="16"/>
      <c r="BA160" s="16"/>
      <c r="BB160" s="16"/>
      <c r="BC160" s="16"/>
      <c r="BD160" s="68"/>
      <c r="BE160" s="68"/>
      <c r="BF160" s="68"/>
      <c r="BG160" s="68"/>
      <c r="BH160" s="68"/>
      <c r="BI160" s="68"/>
      <c r="BJ160" s="68"/>
      <c r="BK160" s="68"/>
      <c r="BL160" s="68"/>
      <c r="BM160" s="68"/>
      <c r="BN160" s="68"/>
      <c r="BO160" s="68"/>
      <c r="BP160" s="68"/>
      <c r="BQ160" s="68"/>
      <c r="BR160" s="68"/>
      <c r="BS160" s="68"/>
      <c r="BT160" s="68"/>
      <c r="BU160" s="1091"/>
      <c r="BV160" s="46"/>
      <c r="BW160" s="46"/>
      <c r="BX160" s="46"/>
      <c r="BY160" s="46"/>
      <c r="BZ160" s="46"/>
      <c r="CA160" s="46"/>
      <c r="CB160" s="46"/>
      <c r="CC160" s="46"/>
      <c r="CD160" s="46"/>
      <c r="CE160" s="46"/>
      <c r="CF160" s="46"/>
      <c r="CG160" s="46"/>
      <c r="CH160" s="46"/>
      <c r="CI160" s="46"/>
      <c r="CJ160" s="46"/>
      <c r="CK160" s="46"/>
      <c r="CL160" s="46"/>
      <c r="CM160" s="46"/>
      <c r="CN160" s="46"/>
      <c r="CO160" s="46"/>
      <c r="CP160" s="46"/>
      <c r="CQ160" s="46"/>
      <c r="CR160" s="46"/>
      <c r="CS160" s="46"/>
      <c r="CT160" s="46"/>
      <c r="CU160" s="46"/>
      <c r="CV160" s="46"/>
      <c r="CW160" s="46"/>
      <c r="CX160" s="46"/>
      <c r="CY160" s="46"/>
      <c r="CZ160" s="46"/>
      <c r="DA160" s="46"/>
      <c r="DB160" s="46"/>
      <c r="DC160" s="46"/>
    </row>
    <row r="161" spans="2:107" hidden="1" outlineLevel="2">
      <c r="B161" s="1090" t="s">
        <v>564</v>
      </c>
      <c r="C161" s="16"/>
      <c r="D161" s="16"/>
      <c r="E161" s="16"/>
      <c r="F161" s="16"/>
      <c r="G161" s="16"/>
      <c r="H161" s="16"/>
      <c r="I161" s="16"/>
      <c r="J161" s="16"/>
      <c r="K161" s="16"/>
      <c r="L161" s="16"/>
      <c r="M161" s="16"/>
      <c r="N161" s="109"/>
      <c r="O161" s="109"/>
      <c r="P161" s="109"/>
      <c r="Q161" s="109"/>
      <c r="R161" s="109"/>
      <c r="S161" s="109"/>
      <c r="T161" s="109"/>
      <c r="U161" s="109"/>
      <c r="V161" s="109"/>
      <c r="W161" s="109"/>
      <c r="X161" s="109"/>
      <c r="Y161" s="109"/>
      <c r="Z161" s="109"/>
      <c r="AA161" s="109"/>
      <c r="AB161" s="109"/>
      <c r="AC161" s="109"/>
      <c r="AD161" s="109"/>
      <c r="AE161" s="16"/>
      <c r="AF161" s="16"/>
      <c r="AG161" s="16"/>
      <c r="AH161" s="16"/>
      <c r="AI161" s="16"/>
      <c r="AJ161" s="16"/>
      <c r="AK161" s="16"/>
      <c r="AL161" s="16"/>
      <c r="AM161" s="16"/>
      <c r="AN161" s="16"/>
      <c r="AO161" s="16"/>
      <c r="AP161" s="16"/>
      <c r="AQ161" s="16"/>
      <c r="AR161" s="16"/>
      <c r="AS161" s="16"/>
      <c r="AT161" s="16"/>
      <c r="AU161" s="16"/>
      <c r="AV161" s="16"/>
      <c r="AW161" s="16"/>
      <c r="AX161" s="16"/>
      <c r="AY161" s="16"/>
      <c r="AZ161" s="16"/>
      <c r="BA161" s="16"/>
      <c r="BB161" s="16"/>
      <c r="BC161" s="16"/>
      <c r="BD161" s="68"/>
      <c r="BE161" s="68"/>
      <c r="BF161" s="68"/>
      <c r="BG161" s="68"/>
      <c r="BH161" s="68"/>
      <c r="BI161" s="68"/>
      <c r="BJ161" s="68"/>
      <c r="BK161" s="68"/>
      <c r="BL161" s="68"/>
      <c r="BM161" s="68"/>
      <c r="BN161" s="68"/>
      <c r="BO161" s="68"/>
      <c r="BP161" s="68"/>
      <c r="BQ161" s="68"/>
      <c r="BR161" s="68"/>
      <c r="BS161" s="68"/>
      <c r="BT161" s="68"/>
      <c r="BU161" s="1091">
        <v>317.96113381209392</v>
      </c>
      <c r="BV161" s="46"/>
      <c r="BW161" s="46"/>
      <c r="BX161" s="46"/>
      <c r="BY161" s="46"/>
      <c r="BZ161" s="46"/>
      <c r="CA161" s="46"/>
      <c r="CB161" s="46"/>
      <c r="CC161" s="46"/>
      <c r="CD161" s="46"/>
      <c r="CE161" s="46"/>
      <c r="CF161" s="46"/>
      <c r="CG161" s="46"/>
      <c r="CH161" s="46"/>
      <c r="CI161" s="46"/>
      <c r="CJ161" s="46"/>
      <c r="CK161" s="46"/>
      <c r="CL161" s="46"/>
      <c r="CM161" s="46"/>
      <c r="CN161" s="46"/>
      <c r="CO161" s="46"/>
      <c r="CP161" s="46"/>
      <c r="CQ161" s="46"/>
      <c r="CR161" s="46"/>
      <c r="CS161" s="46"/>
      <c r="CT161" s="46"/>
      <c r="CU161" s="46"/>
      <c r="CV161" s="46"/>
      <c r="CW161" s="46"/>
      <c r="CX161" s="46"/>
      <c r="CY161" s="46"/>
      <c r="CZ161" s="46"/>
      <c r="DA161" s="46"/>
      <c r="DB161" s="46"/>
      <c r="DC161" s="46"/>
    </row>
    <row r="162" spans="2:107" hidden="1" outlineLevel="2" collapsed="1">
      <c r="B162" s="1090"/>
      <c r="C162" s="16"/>
      <c r="D162" s="16"/>
      <c r="E162" s="16"/>
      <c r="F162" s="16"/>
      <c r="G162" s="16"/>
      <c r="H162" s="16"/>
      <c r="I162" s="16"/>
      <c r="J162" s="16"/>
      <c r="K162" s="16"/>
      <c r="L162" s="16"/>
      <c r="M162" s="16"/>
      <c r="N162" s="109"/>
      <c r="O162" s="109"/>
      <c r="P162" s="109"/>
      <c r="Q162" s="109"/>
      <c r="R162" s="109"/>
      <c r="S162" s="109"/>
      <c r="T162" s="109"/>
      <c r="U162" s="109"/>
      <c r="V162" s="109"/>
      <c r="W162" s="109"/>
      <c r="X162" s="109"/>
      <c r="Y162" s="109"/>
      <c r="Z162" s="109"/>
      <c r="AA162" s="109"/>
      <c r="AB162" s="109"/>
      <c r="AC162" s="109"/>
      <c r="AD162" s="109"/>
      <c r="AE162" s="16"/>
      <c r="AF162" s="16"/>
      <c r="AG162" s="16"/>
      <c r="AH162" s="16"/>
      <c r="AI162" s="16"/>
      <c r="AJ162" s="16"/>
      <c r="AK162" s="16"/>
      <c r="AL162" s="16"/>
      <c r="AM162" s="16"/>
      <c r="AN162" s="16"/>
      <c r="AO162" s="16"/>
      <c r="AP162" s="16"/>
      <c r="AQ162" s="16"/>
      <c r="AR162" s="16"/>
      <c r="AS162" s="16"/>
      <c r="AT162" s="16"/>
      <c r="AU162" s="16"/>
      <c r="AV162" s="16"/>
      <c r="AW162" s="16"/>
      <c r="AX162" s="16"/>
      <c r="AY162" s="16"/>
      <c r="AZ162" s="16"/>
      <c r="BA162" s="16"/>
      <c r="BB162" s="16"/>
      <c r="BC162" s="16"/>
      <c r="BD162" s="68"/>
      <c r="BE162" s="68"/>
      <c r="BF162" s="68"/>
      <c r="BG162" s="68"/>
      <c r="BH162" s="68"/>
      <c r="BI162" s="68"/>
      <c r="BJ162" s="68"/>
      <c r="BK162" s="68"/>
      <c r="BL162" s="68"/>
      <c r="BM162" s="68"/>
      <c r="BN162" s="68"/>
      <c r="BO162" s="68"/>
      <c r="BP162" s="68"/>
      <c r="BQ162" s="68"/>
      <c r="BR162" s="68"/>
      <c r="BS162" s="68"/>
      <c r="BT162" s="68"/>
      <c r="BU162" s="1091"/>
      <c r="BV162" s="46"/>
      <c r="BW162" s="46"/>
      <c r="BX162" s="46"/>
      <c r="BY162" s="46"/>
      <c r="BZ162" s="46"/>
      <c r="CA162" s="46"/>
      <c r="CB162" s="46"/>
      <c r="CC162" s="46"/>
      <c r="CD162" s="46"/>
      <c r="CE162" s="46"/>
      <c r="CF162" s="46"/>
      <c r="CG162" s="46"/>
      <c r="CH162" s="46"/>
      <c r="CI162" s="46"/>
      <c r="CJ162" s="46"/>
      <c r="CK162" s="46"/>
      <c r="CL162" s="46"/>
      <c r="CM162" s="46"/>
      <c r="CN162" s="46"/>
      <c r="CO162" s="46"/>
      <c r="CP162" s="46"/>
      <c r="CQ162" s="46"/>
      <c r="CR162" s="46"/>
      <c r="CS162" s="46"/>
      <c r="CT162" s="46"/>
      <c r="CU162" s="46"/>
      <c r="CV162" s="46"/>
      <c r="CW162" s="46"/>
      <c r="CX162" s="46"/>
      <c r="CY162" s="46"/>
      <c r="CZ162" s="46"/>
      <c r="DA162" s="46"/>
      <c r="DB162" s="46"/>
      <c r="DC162" s="46"/>
    </row>
    <row r="163" spans="2:107" collapsed="1">
      <c r="B163" s="111" t="s">
        <v>590</v>
      </c>
      <c r="C163" s="52"/>
      <c r="D163" s="48"/>
      <c r="E163" s="48"/>
      <c r="F163" s="48"/>
      <c r="G163" s="48"/>
      <c r="H163" s="48"/>
      <c r="I163" s="48"/>
      <c r="J163" s="48"/>
      <c r="K163" s="48"/>
      <c r="L163" s="52"/>
      <c r="M163" s="52"/>
      <c r="N163" s="53"/>
      <c r="O163" s="53"/>
      <c r="P163" s="53"/>
      <c r="Q163" s="53"/>
      <c r="R163" s="53"/>
      <c r="S163" s="53"/>
      <c r="T163" s="53"/>
      <c r="U163" s="53"/>
      <c r="V163" s="53"/>
      <c r="W163" s="53"/>
      <c r="X163" s="53"/>
      <c r="Y163" s="53"/>
      <c r="Z163" s="53"/>
      <c r="AA163" s="53"/>
      <c r="AB163" s="53"/>
      <c r="AC163" s="53"/>
      <c r="AD163" s="53"/>
      <c r="AE163" s="52"/>
      <c r="AF163" s="52"/>
      <c r="AG163" s="52"/>
      <c r="AH163" s="52"/>
      <c r="AI163" s="52"/>
      <c r="AJ163" s="52"/>
      <c r="AK163" s="52"/>
      <c r="AL163" s="52"/>
      <c r="AM163" s="52"/>
      <c r="AN163" s="52"/>
      <c r="AO163" s="52"/>
      <c r="AP163" s="52"/>
      <c r="AQ163" s="52"/>
      <c r="AR163" s="52"/>
      <c r="AS163" s="52"/>
      <c r="AT163" s="52"/>
      <c r="AU163" s="52"/>
      <c r="AV163" s="52"/>
      <c r="AW163" s="52"/>
      <c r="AX163" s="52"/>
      <c r="AY163" s="52"/>
      <c r="AZ163" s="52"/>
      <c r="BA163" s="52"/>
      <c r="BB163" s="52"/>
      <c r="BC163" s="52"/>
      <c r="BD163" s="47"/>
      <c r="BE163" s="47"/>
      <c r="BF163" s="47"/>
      <c r="BG163" s="47"/>
      <c r="BH163" s="47"/>
      <c r="BI163" s="47"/>
      <c r="BJ163" s="47"/>
      <c r="BK163" s="47"/>
      <c r="BL163" s="47"/>
      <c r="BM163" s="47"/>
      <c r="BN163" s="47"/>
      <c r="BO163" s="47"/>
      <c r="BP163" s="47"/>
      <c r="BQ163" s="47"/>
      <c r="BR163" s="47"/>
      <c r="BS163" s="47"/>
      <c r="BT163" s="47"/>
      <c r="BU163" s="112"/>
      <c r="BV163" s="270"/>
      <c r="BW163" s="270"/>
      <c r="BX163" s="270"/>
      <c r="BY163" s="57"/>
      <c r="BZ163" s="57"/>
      <c r="CA163" s="57"/>
      <c r="CB163" s="57"/>
      <c r="CC163" s="57"/>
      <c r="CD163" s="57"/>
      <c r="CE163" s="57"/>
      <c r="CF163" s="57"/>
      <c r="CG163" s="57"/>
      <c r="CH163" s="57"/>
      <c r="CI163" s="57"/>
      <c r="CJ163" s="57"/>
      <c r="CK163" s="57"/>
      <c r="CL163" s="57"/>
      <c r="CM163" s="57"/>
      <c r="CN163" s="57"/>
      <c r="CO163" s="57"/>
      <c r="CP163" s="57"/>
      <c r="CQ163" s="57"/>
      <c r="CR163" s="57"/>
      <c r="CS163" s="57"/>
      <c r="CT163" s="57"/>
      <c r="CU163" s="57"/>
      <c r="CV163" s="57"/>
      <c r="CW163" s="57"/>
      <c r="CX163" s="57"/>
      <c r="CY163" s="57"/>
      <c r="CZ163" s="57"/>
      <c r="DA163" s="57"/>
      <c r="DB163" s="57"/>
      <c r="DC163" s="57"/>
    </row>
    <row r="164" spans="2:107">
      <c r="B164" s="58"/>
      <c r="C164" s="23"/>
      <c r="D164" s="15"/>
      <c r="E164" s="15"/>
      <c r="F164" s="15"/>
      <c r="G164" s="15"/>
      <c r="H164" s="15"/>
      <c r="I164" s="15"/>
      <c r="J164" s="15"/>
      <c r="K164" s="15"/>
      <c r="L164" s="23"/>
      <c r="M164" s="23"/>
      <c r="N164" s="27"/>
      <c r="O164" s="27"/>
      <c r="P164" s="27"/>
      <c r="Q164" s="27"/>
      <c r="R164" s="27"/>
      <c r="S164" s="27"/>
      <c r="T164" s="27"/>
      <c r="U164" s="27"/>
      <c r="V164" s="27"/>
      <c r="W164" s="27"/>
      <c r="X164" s="27"/>
      <c r="Y164" s="27"/>
      <c r="Z164" s="27"/>
      <c r="AA164" s="27"/>
      <c r="AB164" s="27"/>
      <c r="AC164" s="27"/>
      <c r="AD164" s="27"/>
      <c r="AE164" s="23"/>
      <c r="AF164" s="23"/>
      <c r="AG164" s="23"/>
      <c r="AH164" s="23"/>
      <c r="AI164" s="23"/>
      <c r="AJ164" s="23"/>
      <c r="AK164" s="23"/>
      <c r="AL164" s="23"/>
      <c r="AM164" s="23"/>
      <c r="AN164" s="23"/>
      <c r="AO164" s="23"/>
      <c r="AP164" s="23"/>
      <c r="AQ164" s="23"/>
      <c r="AR164" s="23"/>
      <c r="AS164" s="23"/>
      <c r="AT164" s="23"/>
      <c r="AU164" s="23"/>
      <c r="AV164" s="23"/>
      <c r="AW164" s="23"/>
      <c r="AX164" s="23"/>
      <c r="AY164" s="23"/>
      <c r="AZ164" s="23"/>
      <c r="BA164" s="23"/>
      <c r="BB164" s="23"/>
      <c r="BC164" s="23"/>
      <c r="BD164" s="68"/>
      <c r="BE164" s="68"/>
      <c r="BF164" s="68"/>
      <c r="BG164" s="68"/>
      <c r="BH164" s="68"/>
      <c r="BI164" s="68"/>
      <c r="BJ164" s="68"/>
      <c r="BK164" s="68"/>
      <c r="BL164" s="68"/>
      <c r="BM164" s="68"/>
      <c r="BN164" s="68"/>
      <c r="BO164" s="68"/>
      <c r="BP164" s="68"/>
      <c r="BQ164" s="68"/>
      <c r="BR164" s="68"/>
      <c r="BS164" s="68"/>
      <c r="BT164" s="68"/>
      <c r="BU164" s="33"/>
      <c r="BV164" s="46"/>
      <c r="BW164" s="46"/>
      <c r="BX164" s="46"/>
      <c r="BY164" s="46"/>
      <c r="BZ164" s="46"/>
      <c r="CA164" s="46"/>
      <c r="CB164" s="46"/>
      <c r="CC164" s="46"/>
      <c r="CD164" s="46"/>
      <c r="CE164" s="46"/>
      <c r="CF164" s="46"/>
      <c r="CG164" s="46"/>
      <c r="CH164" s="46"/>
      <c r="CI164" s="46"/>
      <c r="CJ164" s="46"/>
      <c r="CK164" s="46"/>
      <c r="CL164" s="46"/>
      <c r="CM164" s="46"/>
      <c r="CN164" s="46"/>
      <c r="CO164" s="46"/>
      <c r="CP164" s="46"/>
      <c r="CQ164" s="46"/>
      <c r="CR164" s="46"/>
      <c r="CS164" s="46"/>
      <c r="CT164" s="46"/>
      <c r="CU164" s="46"/>
      <c r="CV164" s="46"/>
      <c r="CW164" s="46"/>
      <c r="CX164" s="46"/>
      <c r="CY164" s="46"/>
      <c r="CZ164" s="46"/>
      <c r="DA164" s="46"/>
      <c r="DB164" s="46"/>
      <c r="DC164" s="46"/>
    </row>
    <row r="165" spans="2:107" hidden="1" outlineLevel="1">
      <c r="B165" s="19" t="s">
        <v>630</v>
      </c>
      <c r="C165" s="23"/>
      <c r="D165" s="15"/>
      <c r="E165" s="15"/>
      <c r="F165" s="15"/>
      <c r="G165" s="15"/>
      <c r="H165" s="15"/>
      <c r="I165" s="15"/>
      <c r="J165" s="15"/>
      <c r="K165" s="15"/>
      <c r="L165" s="23"/>
      <c r="M165" s="16">
        <f>BO165</f>
        <v>27100</v>
      </c>
      <c r="N165" s="109">
        <f>BS165</f>
        <v>28900</v>
      </c>
      <c r="O165" s="109">
        <f>BW165</f>
        <v>33600</v>
      </c>
      <c r="P165" s="109">
        <f>CA165</f>
        <v>33400</v>
      </c>
      <c r="Q165" s="109">
        <f t="shared" ref="Q165:W166" si="144">CE165</f>
        <v>38200</v>
      </c>
      <c r="R165" s="109">
        <f t="shared" si="144"/>
        <v>40100</v>
      </c>
      <c r="S165" s="109">
        <f t="shared" si="144"/>
        <v>40200</v>
      </c>
      <c r="T165" s="109">
        <f t="shared" si="144"/>
        <v>41100</v>
      </c>
      <c r="U165" s="109">
        <f t="shared" si="144"/>
        <v>41500</v>
      </c>
      <c r="V165" s="109">
        <f t="shared" si="144"/>
        <v>44400</v>
      </c>
      <c r="W165" s="109">
        <f t="shared" si="144"/>
        <v>44900</v>
      </c>
      <c r="X165" s="109">
        <f>W165+X225</f>
        <v>51900</v>
      </c>
      <c r="Y165" s="109">
        <f>X165+Y225</f>
        <v>57900</v>
      </c>
      <c r="Z165" s="109">
        <f>Y165+Z225</f>
        <v>63650</v>
      </c>
      <c r="AA165" s="109">
        <f t="shared" ref="AA165:AD165" si="145">Z165+AA225</f>
        <v>69150</v>
      </c>
      <c r="AB165" s="109">
        <f t="shared" si="145"/>
        <v>74400</v>
      </c>
      <c r="AC165" s="109">
        <f t="shared" si="145"/>
        <v>79400</v>
      </c>
      <c r="AD165" s="109">
        <f t="shared" si="145"/>
        <v>84150</v>
      </c>
      <c r="AE165" s="23"/>
      <c r="AF165" s="23"/>
      <c r="AG165" s="23"/>
      <c r="AH165" s="23"/>
      <c r="AI165" s="23"/>
      <c r="AJ165" s="23"/>
      <c r="AK165" s="23"/>
      <c r="AL165" s="23"/>
      <c r="AM165" s="23"/>
      <c r="AN165" s="23"/>
      <c r="AO165" s="23"/>
      <c r="AP165" s="23"/>
      <c r="AQ165" s="23"/>
      <c r="AR165" s="23"/>
      <c r="AS165" s="23"/>
      <c r="AT165" s="23"/>
      <c r="AU165" s="23"/>
      <c r="AV165" s="23"/>
      <c r="AW165" s="23"/>
      <c r="AX165" s="23"/>
      <c r="AY165" s="23"/>
      <c r="AZ165" s="23"/>
      <c r="BA165" s="23"/>
      <c r="BB165" s="23"/>
      <c r="BC165" s="23"/>
      <c r="BD165" s="108">
        <v>21300</v>
      </c>
      <c r="BE165" s="108">
        <v>24400</v>
      </c>
      <c r="BF165" s="108">
        <v>26200</v>
      </c>
      <c r="BG165" s="108">
        <v>26200</v>
      </c>
      <c r="BH165" s="108">
        <v>20500</v>
      </c>
      <c r="BI165" s="108">
        <v>20300</v>
      </c>
      <c r="BJ165" s="108">
        <v>20300</v>
      </c>
      <c r="BK165" s="108">
        <v>24500</v>
      </c>
      <c r="BL165" s="108">
        <v>24200</v>
      </c>
      <c r="BM165" s="108">
        <v>27200</v>
      </c>
      <c r="BN165" s="108">
        <v>27100</v>
      </c>
      <c r="BO165" s="108">
        <v>27100</v>
      </c>
      <c r="BP165" s="196">
        <v>27100</v>
      </c>
      <c r="BQ165" s="196">
        <v>28000</v>
      </c>
      <c r="BR165" s="196">
        <v>28400</v>
      </c>
      <c r="BS165" s="196">
        <v>28900</v>
      </c>
      <c r="BT165" s="196">
        <v>29700</v>
      </c>
      <c r="BU165" s="196">
        <v>30800</v>
      </c>
      <c r="BV165" s="196">
        <v>32100</v>
      </c>
      <c r="BW165" s="196">
        <v>33600</v>
      </c>
      <c r="BX165" s="196">
        <v>34200</v>
      </c>
      <c r="BY165" s="109">
        <f t="shared" ref="BY165:CW165" si="146">BX165+BY225</f>
        <v>34200</v>
      </c>
      <c r="BZ165" s="1215">
        <f t="shared" si="146"/>
        <v>32000</v>
      </c>
      <c r="CA165" s="1215">
        <f t="shared" si="146"/>
        <v>33400</v>
      </c>
      <c r="CB165" s="1215">
        <f t="shared" si="146"/>
        <v>34200</v>
      </c>
      <c r="CC165" s="1215">
        <f t="shared" si="146"/>
        <v>34900</v>
      </c>
      <c r="CD165" s="1215">
        <f t="shared" si="146"/>
        <v>37500</v>
      </c>
      <c r="CE165" s="1215">
        <f t="shared" si="146"/>
        <v>38200</v>
      </c>
      <c r="CF165" s="1215">
        <f t="shared" si="146"/>
        <v>40100</v>
      </c>
      <c r="CG165" s="1215">
        <f t="shared" si="146"/>
        <v>40200</v>
      </c>
      <c r="CH165" s="1215">
        <f t="shared" si="146"/>
        <v>41100</v>
      </c>
      <c r="CI165" s="1215">
        <f t="shared" si="146"/>
        <v>41500</v>
      </c>
      <c r="CJ165" s="1215">
        <f t="shared" si="146"/>
        <v>44400</v>
      </c>
      <c r="CK165" s="1215">
        <f t="shared" si="146"/>
        <v>44900</v>
      </c>
      <c r="CL165" s="1215">
        <f t="shared" si="146"/>
        <v>45800</v>
      </c>
      <c r="CM165" s="1215">
        <f t="shared" si="146"/>
        <v>45800</v>
      </c>
      <c r="CN165" s="1215">
        <f t="shared" si="146"/>
        <v>47300</v>
      </c>
      <c r="CO165" s="1215">
        <f t="shared" si="146"/>
        <v>48100</v>
      </c>
      <c r="CP165" s="1215">
        <f t="shared" si="146"/>
        <v>49300</v>
      </c>
      <c r="CQ165" s="1215">
        <f t="shared" si="146"/>
        <v>50900</v>
      </c>
      <c r="CR165" s="1215">
        <f t="shared" si="146"/>
        <v>51500</v>
      </c>
      <c r="CS165" s="1215">
        <f t="shared" si="146"/>
        <v>51700</v>
      </c>
      <c r="CT165" s="1215">
        <f t="shared" si="146"/>
        <v>51700</v>
      </c>
      <c r="CU165" s="1215">
        <f t="shared" si="146"/>
        <v>53400</v>
      </c>
      <c r="CV165" s="1215">
        <f t="shared" si="146"/>
        <v>55000</v>
      </c>
      <c r="CW165" s="1215">
        <f t="shared" si="146"/>
        <v>55930</v>
      </c>
      <c r="CX165" s="1215">
        <f>CW165+CX225</f>
        <v>58615</v>
      </c>
      <c r="CY165" s="1215">
        <f>CX165+CY225</f>
        <v>58865</v>
      </c>
      <c r="CZ165" s="1215">
        <f t="shared" ref="CZ165:DC165" si="147">CY165+CZ225</f>
        <v>60080</v>
      </c>
      <c r="DA165" s="1215">
        <f t="shared" si="147"/>
        <v>61555</v>
      </c>
      <c r="DB165" s="1215">
        <f t="shared" si="147"/>
        <v>64480</v>
      </c>
      <c r="DC165" s="1215">
        <f t="shared" si="147"/>
        <v>68830</v>
      </c>
    </row>
    <row r="166" spans="2:107" hidden="1" outlineLevel="1">
      <c r="B166" s="19" t="s">
        <v>631</v>
      </c>
      <c r="C166" s="23"/>
      <c r="D166" s="15"/>
      <c r="E166" s="15"/>
      <c r="F166" s="15"/>
      <c r="G166" s="15"/>
      <c r="H166" s="15"/>
      <c r="I166" s="15"/>
      <c r="J166" s="15"/>
      <c r="K166" s="15"/>
      <c r="L166" s="23"/>
      <c r="M166" s="16"/>
      <c r="N166" s="109"/>
      <c r="O166" s="109">
        <f>BW166</f>
        <v>14400</v>
      </c>
      <c r="P166" s="109">
        <f>CA166</f>
        <v>15450</v>
      </c>
      <c r="Q166" s="109">
        <f t="shared" si="144"/>
        <v>15450</v>
      </c>
      <c r="R166" s="109">
        <f t="shared" si="144"/>
        <v>15450</v>
      </c>
      <c r="S166" s="109">
        <f t="shared" si="144"/>
        <v>15450</v>
      </c>
      <c r="T166" s="109">
        <f t="shared" si="144"/>
        <v>15450</v>
      </c>
      <c r="U166" s="109">
        <f t="shared" si="144"/>
        <v>15450</v>
      </c>
      <c r="V166" s="109">
        <f t="shared" si="144"/>
        <v>15450</v>
      </c>
      <c r="W166" s="109">
        <f t="shared" si="144"/>
        <v>15450</v>
      </c>
      <c r="X166" s="109">
        <f>W166</f>
        <v>15450</v>
      </c>
      <c r="Y166" s="109">
        <f>X166</f>
        <v>15450</v>
      </c>
      <c r="Z166" s="109">
        <f>Y166</f>
        <v>15450</v>
      </c>
      <c r="AA166" s="109">
        <f t="shared" ref="AA166:AD166" si="148">Z166</f>
        <v>15450</v>
      </c>
      <c r="AB166" s="109">
        <f t="shared" si="148"/>
        <v>15450</v>
      </c>
      <c r="AC166" s="109">
        <f t="shared" si="148"/>
        <v>15450</v>
      </c>
      <c r="AD166" s="109">
        <f t="shared" si="148"/>
        <v>15450</v>
      </c>
      <c r="AE166" s="23"/>
      <c r="AF166" s="23"/>
      <c r="AG166" s="23"/>
      <c r="AH166" s="23"/>
      <c r="AI166" s="23"/>
      <c r="AJ166" s="23"/>
      <c r="AK166" s="23"/>
      <c r="AL166" s="23"/>
      <c r="AM166" s="23"/>
      <c r="AN166" s="23"/>
      <c r="AO166" s="23"/>
      <c r="AP166" s="23"/>
      <c r="AQ166" s="23"/>
      <c r="AR166" s="23"/>
      <c r="AS166" s="23"/>
      <c r="AT166" s="23"/>
      <c r="AU166" s="23"/>
      <c r="AV166" s="23"/>
      <c r="AW166" s="23"/>
      <c r="AX166" s="23"/>
      <c r="AY166" s="23"/>
      <c r="AZ166" s="23"/>
      <c r="BA166" s="23"/>
      <c r="BB166" s="23"/>
      <c r="BC166" s="23"/>
      <c r="BD166" s="68"/>
      <c r="BE166" s="68"/>
      <c r="BF166" s="68"/>
      <c r="BG166" s="68"/>
      <c r="BH166" s="68"/>
      <c r="BI166" s="68"/>
      <c r="BJ166" s="68"/>
      <c r="BK166" s="68"/>
      <c r="BL166" s="68"/>
      <c r="BM166" s="68"/>
      <c r="BN166" s="68"/>
      <c r="BO166" s="68"/>
      <c r="BP166" s="109">
        <f>SDXC!BL54</f>
        <v>13019.867549668874</v>
      </c>
      <c r="BQ166" s="109">
        <f>SDXC!BM54</f>
        <v>13042.48366013072</v>
      </c>
      <c r="BR166" s="109">
        <f>SDXC!BN54</f>
        <v>14055.459272097054</v>
      </c>
      <c r="BS166" s="109">
        <f>SDXC!BO54</f>
        <v>14009.78792822186</v>
      </c>
      <c r="BT166" s="109">
        <f>SDXC!BP54</f>
        <v>14003.139717425431</v>
      </c>
      <c r="BU166" s="196">
        <v>14000</v>
      </c>
      <c r="BV166" s="196">
        <v>14400</v>
      </c>
      <c r="BW166" s="196">
        <v>14400</v>
      </c>
      <c r="BX166" s="196">
        <f>BW166+1050</f>
        <v>15450</v>
      </c>
      <c r="BY166" s="109">
        <f t="shared" ref="BY166:CE166" si="149">BX166</f>
        <v>15450</v>
      </c>
      <c r="BZ166" s="1215">
        <f t="shared" si="149"/>
        <v>15450</v>
      </c>
      <c r="CA166" s="1215">
        <f t="shared" si="149"/>
        <v>15450</v>
      </c>
      <c r="CB166" s="1215">
        <f t="shared" si="149"/>
        <v>15450</v>
      </c>
      <c r="CC166" s="1215">
        <f t="shared" si="149"/>
        <v>15450</v>
      </c>
      <c r="CD166" s="1215">
        <f t="shared" si="149"/>
        <v>15450</v>
      </c>
      <c r="CE166" s="1215">
        <f t="shared" si="149"/>
        <v>15450</v>
      </c>
      <c r="CF166" s="1215">
        <f t="shared" ref="CF166:CW166" si="150">CE166</f>
        <v>15450</v>
      </c>
      <c r="CG166" s="1215">
        <f t="shared" si="150"/>
        <v>15450</v>
      </c>
      <c r="CH166" s="1215">
        <f t="shared" si="150"/>
        <v>15450</v>
      </c>
      <c r="CI166" s="1215">
        <f t="shared" si="150"/>
        <v>15450</v>
      </c>
      <c r="CJ166" s="1215">
        <f t="shared" si="150"/>
        <v>15450</v>
      </c>
      <c r="CK166" s="1215">
        <f t="shared" si="150"/>
        <v>15450</v>
      </c>
      <c r="CL166" s="1215">
        <f t="shared" si="150"/>
        <v>15450</v>
      </c>
      <c r="CM166" s="1215">
        <f t="shared" si="150"/>
        <v>15450</v>
      </c>
      <c r="CN166" s="1215">
        <f t="shared" si="150"/>
        <v>15450</v>
      </c>
      <c r="CO166" s="1215">
        <f t="shared" si="150"/>
        <v>15450</v>
      </c>
      <c r="CP166" s="1215">
        <f t="shared" si="150"/>
        <v>15450</v>
      </c>
      <c r="CQ166" s="1215">
        <f t="shared" si="150"/>
        <v>15450</v>
      </c>
      <c r="CR166" s="1215">
        <f t="shared" si="150"/>
        <v>15450</v>
      </c>
      <c r="CS166" s="1215">
        <f t="shared" si="150"/>
        <v>15450</v>
      </c>
      <c r="CT166" s="1215">
        <f t="shared" si="150"/>
        <v>15450</v>
      </c>
      <c r="CU166" s="1215">
        <f t="shared" si="150"/>
        <v>15450</v>
      </c>
      <c r="CV166" s="1215">
        <f t="shared" si="150"/>
        <v>15450</v>
      </c>
      <c r="CW166" s="1215">
        <f t="shared" si="150"/>
        <v>15450</v>
      </c>
      <c r="CX166" s="1215">
        <f>CW166</f>
        <v>15450</v>
      </c>
      <c r="CY166" s="1215">
        <f>CX166</f>
        <v>15450</v>
      </c>
      <c r="CZ166" s="1215">
        <f t="shared" ref="CZ166:DC166" si="151">CY166</f>
        <v>15450</v>
      </c>
      <c r="DA166" s="1215">
        <f t="shared" si="151"/>
        <v>15450</v>
      </c>
      <c r="DB166" s="1215">
        <f t="shared" si="151"/>
        <v>15450</v>
      </c>
      <c r="DC166" s="1215">
        <f t="shared" si="151"/>
        <v>15450</v>
      </c>
    </row>
    <row r="167" spans="2:107" collapsed="1">
      <c r="B167" s="22" t="s">
        <v>462</v>
      </c>
      <c r="C167" s="23"/>
      <c r="D167" s="15"/>
      <c r="E167" s="15"/>
      <c r="F167" s="15"/>
      <c r="G167" s="15"/>
      <c r="H167" s="15"/>
      <c r="I167" s="15"/>
      <c r="J167" s="15"/>
      <c r="K167" s="15"/>
      <c r="L167" s="23"/>
      <c r="M167" s="23"/>
      <c r="N167" s="27"/>
      <c r="O167" s="46">
        <f>BW167</f>
        <v>44300</v>
      </c>
      <c r="P167" s="46">
        <f>CA167</f>
        <v>45100</v>
      </c>
      <c r="Q167" s="46">
        <f>CE167</f>
        <v>49900</v>
      </c>
      <c r="R167" s="46">
        <f>+CI167</f>
        <v>53200</v>
      </c>
      <c r="S167" s="46">
        <f>+CM167</f>
        <v>57500</v>
      </c>
      <c r="T167" s="46">
        <f>+CQ167</f>
        <v>62600</v>
      </c>
      <c r="U167" s="46">
        <f>+CU167</f>
        <v>65100</v>
      </c>
      <c r="V167" s="46">
        <f>+CY167</f>
        <v>96300</v>
      </c>
      <c r="W167" s="46">
        <f>+DC167</f>
        <v>106265</v>
      </c>
      <c r="X167" s="46">
        <f>W167+X225</f>
        <v>113265</v>
      </c>
      <c r="Y167" s="46">
        <f>X167+Y225</f>
        <v>119265</v>
      </c>
      <c r="Z167" s="46">
        <f>Y167+Z225</f>
        <v>125015</v>
      </c>
      <c r="AA167" s="46">
        <f t="shared" ref="AA167:AD167" si="152">Z167+AA225</f>
        <v>130515</v>
      </c>
      <c r="AB167" s="46">
        <f t="shared" si="152"/>
        <v>135765</v>
      </c>
      <c r="AC167" s="46">
        <f t="shared" si="152"/>
        <v>140765</v>
      </c>
      <c r="AD167" s="46">
        <f t="shared" si="152"/>
        <v>145515</v>
      </c>
      <c r="AE167" s="23"/>
      <c r="AF167" s="23"/>
      <c r="AG167" s="23"/>
      <c r="AH167" s="23"/>
      <c r="AI167" s="23"/>
      <c r="AJ167" s="23"/>
      <c r="AK167" s="23"/>
      <c r="AL167" s="23"/>
      <c r="AM167" s="23"/>
      <c r="AN167" s="23"/>
      <c r="AO167" s="23"/>
      <c r="AP167" s="23"/>
      <c r="AQ167" s="23"/>
      <c r="AR167" s="23"/>
      <c r="AS167" s="23"/>
      <c r="AT167" s="23"/>
      <c r="AU167" s="23"/>
      <c r="AV167" s="23"/>
      <c r="AW167" s="23"/>
      <c r="AX167" s="23"/>
      <c r="AY167" s="23"/>
      <c r="AZ167" s="23"/>
      <c r="BA167" s="23"/>
      <c r="BB167" s="23"/>
      <c r="BC167" s="23"/>
      <c r="BD167" s="68"/>
      <c r="BE167" s="68"/>
      <c r="BF167" s="68"/>
      <c r="BG167" s="68"/>
      <c r="BH167" s="68"/>
      <c r="BI167" s="68"/>
      <c r="BJ167" s="68"/>
      <c r="BK167" s="68"/>
      <c r="BL167" s="68"/>
      <c r="BM167" s="68"/>
      <c r="BN167" s="68"/>
      <c r="BO167" s="68"/>
      <c r="BP167" s="68"/>
      <c r="BQ167" s="68"/>
      <c r="BR167" s="68"/>
      <c r="BS167" s="68"/>
      <c r="BT167" s="68"/>
      <c r="BU167" s="1077">
        <v>41100</v>
      </c>
      <c r="BV167" s="1077">
        <v>42800</v>
      </c>
      <c r="BW167" s="1077">
        <v>44300</v>
      </c>
      <c r="BX167" s="1077">
        <v>45900</v>
      </c>
      <c r="BY167" s="1077">
        <v>45900</v>
      </c>
      <c r="BZ167" s="1077">
        <v>43700</v>
      </c>
      <c r="CA167" s="1077">
        <v>45100</v>
      </c>
      <c r="CB167" s="1077">
        <v>45900</v>
      </c>
      <c r="CC167" s="1077">
        <v>46600</v>
      </c>
      <c r="CD167" s="1077">
        <f>49200</f>
        <v>49200</v>
      </c>
      <c r="CE167" s="1077">
        <v>49900</v>
      </c>
      <c r="CF167" s="1077">
        <v>51800</v>
      </c>
      <c r="CG167" s="1077">
        <v>51900</v>
      </c>
      <c r="CH167" s="1077">
        <v>52800</v>
      </c>
      <c r="CI167" s="1077">
        <v>53200</v>
      </c>
      <c r="CJ167" s="1077">
        <v>56100</v>
      </c>
      <c r="CK167" s="1077">
        <v>56600</v>
      </c>
      <c r="CL167" s="1077">
        <v>57500</v>
      </c>
      <c r="CM167" s="1077">
        <v>57500</v>
      </c>
      <c r="CN167" s="1077">
        <v>59000</v>
      </c>
      <c r="CO167" s="1077">
        <v>59800</v>
      </c>
      <c r="CP167" s="1077">
        <v>61000</v>
      </c>
      <c r="CQ167" s="1077">
        <v>62600</v>
      </c>
      <c r="CR167" s="1077">
        <v>63200</v>
      </c>
      <c r="CS167" s="1077">
        <v>63400</v>
      </c>
      <c r="CT167" s="1077">
        <v>63400</v>
      </c>
      <c r="CU167" s="1077">
        <v>65100</v>
      </c>
      <c r="CV167" s="1077">
        <v>66700</v>
      </c>
      <c r="CW167" s="1077">
        <v>67300</v>
      </c>
      <c r="CX167" s="1077">
        <v>69600</v>
      </c>
      <c r="CY167" s="1077">
        <v>96300</v>
      </c>
      <c r="CZ167" s="46">
        <f t="shared" ref="CZ167:DC167" si="153">CY167+CZ225</f>
        <v>97515</v>
      </c>
      <c r="DA167" s="46">
        <f t="shared" si="153"/>
        <v>98990</v>
      </c>
      <c r="DB167" s="46">
        <f t="shared" si="153"/>
        <v>101915</v>
      </c>
      <c r="DC167" s="46">
        <f t="shared" si="153"/>
        <v>106265</v>
      </c>
    </row>
    <row r="168" spans="2:107">
      <c r="B168" s="926" t="s">
        <v>230</v>
      </c>
      <c r="C168" s="23"/>
      <c r="D168" s="15"/>
      <c r="E168" s="15"/>
      <c r="F168" s="15"/>
      <c r="G168" s="15"/>
      <c r="H168" s="15"/>
      <c r="I168" s="15"/>
      <c r="J168" s="15"/>
      <c r="K168" s="15"/>
      <c r="L168" s="23"/>
      <c r="M168" s="23"/>
      <c r="N168" s="27"/>
      <c r="O168" s="27"/>
      <c r="P168" s="27">
        <f t="shared" ref="P168:Z168" si="154">P167-O167</f>
        <v>800</v>
      </c>
      <c r="Q168" s="27">
        <f t="shared" si="154"/>
        <v>4800</v>
      </c>
      <c r="R168" s="27">
        <f t="shared" si="154"/>
        <v>3300</v>
      </c>
      <c r="S168" s="27">
        <f t="shared" si="154"/>
        <v>4300</v>
      </c>
      <c r="T168" s="27">
        <f t="shared" si="154"/>
        <v>5100</v>
      </c>
      <c r="U168" s="27">
        <f t="shared" si="154"/>
        <v>2500</v>
      </c>
      <c r="V168" s="27">
        <f t="shared" si="154"/>
        <v>31200</v>
      </c>
      <c r="W168" s="27">
        <f t="shared" si="154"/>
        <v>9965</v>
      </c>
      <c r="X168" s="27">
        <f t="shared" si="154"/>
        <v>7000</v>
      </c>
      <c r="Y168" s="27">
        <f t="shared" si="154"/>
        <v>6000</v>
      </c>
      <c r="Z168" s="27">
        <f t="shared" si="154"/>
        <v>5750</v>
      </c>
      <c r="AA168" s="27">
        <f t="shared" ref="AA168" si="155">AA167-Z167</f>
        <v>5500</v>
      </c>
      <c r="AB168" s="27">
        <f t="shared" ref="AB168" si="156">AB167-AA167</f>
        <v>5250</v>
      </c>
      <c r="AC168" s="27">
        <f t="shared" ref="AC168" si="157">AC167-AB167</f>
        <v>5000</v>
      </c>
      <c r="AD168" s="27">
        <f t="shared" ref="AD168" si="158">AD167-AC167</f>
        <v>4750</v>
      </c>
      <c r="AE168" s="23"/>
      <c r="AF168" s="23"/>
      <c r="AG168" s="23"/>
      <c r="AH168" s="23"/>
      <c r="AI168" s="23"/>
      <c r="AJ168" s="23"/>
      <c r="AK168" s="23"/>
      <c r="AL168" s="23"/>
      <c r="AM168" s="23"/>
      <c r="AN168" s="23"/>
      <c r="AO168" s="23"/>
      <c r="AP168" s="23"/>
      <c r="AQ168" s="23"/>
      <c r="AR168" s="23"/>
      <c r="AS168" s="23"/>
      <c r="AT168" s="23"/>
      <c r="AU168" s="23"/>
      <c r="AV168" s="23"/>
      <c r="AW168" s="23"/>
      <c r="AX168" s="23"/>
      <c r="AY168" s="23"/>
      <c r="AZ168" s="23"/>
      <c r="BA168" s="23"/>
      <c r="BB168" s="23"/>
      <c r="BC168" s="23"/>
      <c r="BD168" s="68"/>
      <c r="BE168" s="68"/>
      <c r="BF168" s="68"/>
      <c r="BG168" s="68"/>
      <c r="BH168" s="68"/>
      <c r="BI168" s="68"/>
      <c r="BJ168" s="68"/>
      <c r="BK168" s="68"/>
      <c r="BL168" s="68"/>
      <c r="BM168" s="68"/>
      <c r="BN168" s="68"/>
      <c r="BO168" s="68"/>
      <c r="BP168" s="68"/>
      <c r="BQ168" s="68"/>
      <c r="BR168" s="68"/>
      <c r="BS168" s="68"/>
      <c r="BT168" s="68"/>
      <c r="BU168" s="113"/>
      <c r="BV168" s="113"/>
      <c r="BW168" s="113"/>
      <c r="BX168" s="113"/>
      <c r="BY168" s="46"/>
      <c r="BZ168" s="46"/>
      <c r="CA168" s="46"/>
      <c r="CB168" s="46"/>
      <c r="CC168" s="46"/>
      <c r="CD168" s="46"/>
      <c r="CE168" s="46"/>
      <c r="CF168" s="46"/>
      <c r="CG168" s="46"/>
      <c r="CH168" s="46"/>
      <c r="CI168" s="46"/>
      <c r="CJ168" s="46"/>
      <c r="CK168" s="46"/>
      <c r="CL168" s="46"/>
      <c r="CM168" s="46"/>
      <c r="CN168" s="46"/>
      <c r="CO168" s="46"/>
      <c r="CP168" s="46"/>
      <c r="CQ168" s="46"/>
      <c r="CR168" s="46"/>
      <c r="CS168" s="46"/>
      <c r="CT168" s="46"/>
      <c r="CU168" s="46"/>
      <c r="CV168" s="46"/>
      <c r="CW168" s="46"/>
      <c r="CX168" s="46"/>
      <c r="CY168" s="46"/>
      <c r="CZ168" s="46"/>
      <c r="DA168" s="46"/>
      <c r="DB168" s="46"/>
      <c r="DC168" s="46"/>
    </row>
    <row r="169" spans="2:107" ht="12.75" customHeight="1">
      <c r="B169" s="58"/>
      <c r="C169" s="23"/>
      <c r="D169" s="15"/>
      <c r="E169" s="15"/>
      <c r="F169" s="15"/>
      <c r="G169" s="15"/>
      <c r="H169" s="15"/>
      <c r="I169" s="15"/>
      <c r="J169" s="15"/>
      <c r="K169" s="15"/>
      <c r="L169" s="23"/>
      <c r="M169" s="23"/>
      <c r="N169" s="27"/>
      <c r="O169" s="27"/>
      <c r="P169" s="27"/>
      <c r="Q169" s="27"/>
      <c r="R169" s="27"/>
      <c r="S169" s="27"/>
      <c r="T169" s="27"/>
      <c r="U169" s="27"/>
      <c r="V169" s="27"/>
      <c r="W169" s="27"/>
      <c r="X169" s="27"/>
      <c r="Y169" s="27"/>
      <c r="Z169" s="27"/>
      <c r="AA169" s="27"/>
      <c r="AB169" s="27"/>
      <c r="AC169" s="27"/>
      <c r="AD169" s="27"/>
      <c r="AE169" s="23"/>
      <c r="AF169" s="23"/>
      <c r="AG169" s="23"/>
      <c r="AH169" s="23"/>
      <c r="AI169" s="23"/>
      <c r="AJ169" s="23"/>
      <c r="AK169" s="23"/>
      <c r="AL169" s="23"/>
      <c r="AM169" s="23"/>
      <c r="AN169" s="23"/>
      <c r="AO169" s="23"/>
      <c r="AP169" s="23"/>
      <c r="AQ169" s="23"/>
      <c r="AR169" s="23"/>
      <c r="AS169" s="23"/>
      <c r="AT169" s="23"/>
      <c r="AU169" s="23"/>
      <c r="AV169" s="23"/>
      <c r="AW169" s="23"/>
      <c r="AX169" s="23"/>
      <c r="AY169" s="23"/>
      <c r="AZ169" s="23"/>
      <c r="BA169" s="23"/>
      <c r="BB169" s="23"/>
      <c r="BC169" s="23"/>
      <c r="BD169" s="68"/>
      <c r="BE169" s="68"/>
      <c r="BF169" s="68"/>
      <c r="BG169" s="68"/>
      <c r="BH169" s="68"/>
      <c r="BI169" s="68"/>
      <c r="BJ169" s="68"/>
      <c r="BK169" s="68"/>
      <c r="BL169" s="68"/>
      <c r="BM169" s="68"/>
      <c r="BN169" s="68"/>
      <c r="BO169" s="68"/>
      <c r="BP169" s="68"/>
      <c r="BQ169" s="68"/>
      <c r="BR169" s="68"/>
      <c r="BS169" s="68"/>
      <c r="BT169" s="68"/>
      <c r="BU169" s="68"/>
      <c r="BV169" s="46"/>
      <c r="BW169" s="46"/>
      <c r="BX169" s="46"/>
      <c r="BY169" s="46"/>
      <c r="BZ169" s="46"/>
      <c r="CA169" s="46"/>
      <c r="CB169" s="46"/>
      <c r="CC169" s="46"/>
      <c r="CD169" s="46"/>
      <c r="CE169" s="46"/>
      <c r="CF169" s="46"/>
      <c r="CG169" s="46"/>
      <c r="CH169" s="46"/>
      <c r="CI169" s="46"/>
      <c r="CJ169" s="46"/>
      <c r="CK169" s="46"/>
      <c r="CL169" s="46"/>
      <c r="CM169" s="46"/>
      <c r="CN169" s="46"/>
      <c r="CO169" s="46"/>
      <c r="CP169" s="46"/>
      <c r="CQ169" s="46"/>
      <c r="CR169" s="46"/>
      <c r="CS169" s="46"/>
      <c r="CT169" s="46"/>
      <c r="CU169" s="46"/>
      <c r="CV169" s="46"/>
      <c r="CW169" s="46"/>
      <c r="CX169" s="46"/>
      <c r="CY169" s="46"/>
      <c r="CZ169" s="46"/>
      <c r="DA169" s="46"/>
      <c r="DB169" s="46"/>
      <c r="DC169" s="46"/>
    </row>
    <row r="170" spans="2:107">
      <c r="B170" s="114" t="s">
        <v>591</v>
      </c>
      <c r="C170" s="59"/>
      <c r="D170" s="60"/>
      <c r="E170" s="60"/>
      <c r="F170" s="60"/>
      <c r="G170" s="60"/>
      <c r="H170" s="60"/>
      <c r="I170" s="60"/>
      <c r="J170" s="60"/>
      <c r="K170" s="60"/>
      <c r="L170" s="59"/>
      <c r="M170" s="59"/>
      <c r="N170" s="115"/>
      <c r="O170" s="115"/>
      <c r="P170" s="115"/>
      <c r="Q170" s="115"/>
      <c r="R170" s="115"/>
      <c r="S170" s="115"/>
      <c r="T170" s="115"/>
      <c r="U170" s="115"/>
      <c r="V170" s="115"/>
      <c r="W170" s="115"/>
      <c r="X170" s="115"/>
      <c r="Y170" s="115"/>
      <c r="Z170" s="115"/>
      <c r="AA170" s="115"/>
      <c r="AB170" s="115"/>
      <c r="AC170" s="115"/>
      <c r="AD170" s="115"/>
      <c r="AE170" s="59"/>
      <c r="AF170" s="59"/>
      <c r="AG170" s="59"/>
      <c r="AH170" s="59"/>
      <c r="AI170" s="59"/>
      <c r="AJ170" s="59"/>
      <c r="AK170" s="59"/>
      <c r="AL170" s="59"/>
      <c r="AM170" s="59"/>
      <c r="AN170" s="59"/>
      <c r="AO170" s="59"/>
      <c r="AP170" s="59"/>
      <c r="AQ170" s="59"/>
      <c r="AR170" s="59"/>
      <c r="AS170" s="59"/>
      <c r="AT170" s="59"/>
      <c r="AU170" s="59"/>
      <c r="AV170" s="59"/>
      <c r="AW170" s="59"/>
      <c r="AX170" s="59"/>
      <c r="AY170" s="59"/>
      <c r="AZ170" s="59"/>
      <c r="BA170" s="59"/>
      <c r="BB170" s="59"/>
      <c r="BC170" s="59"/>
      <c r="BD170" s="70"/>
      <c r="BE170" s="70"/>
      <c r="BF170" s="70"/>
      <c r="BG170" s="70"/>
      <c r="BH170" s="70"/>
      <c r="BI170" s="70"/>
      <c r="BJ170" s="70"/>
      <c r="BK170" s="70"/>
      <c r="BL170" s="70"/>
      <c r="BM170" s="70"/>
      <c r="BN170" s="70"/>
      <c r="BO170" s="70"/>
      <c r="BP170" s="70"/>
      <c r="BQ170" s="70"/>
      <c r="BR170" s="70"/>
      <c r="BS170" s="70"/>
      <c r="BT170" s="70"/>
      <c r="BU170" s="70"/>
      <c r="BV170" s="62"/>
      <c r="BW170" s="62"/>
      <c r="BX170" s="62"/>
      <c r="BY170" s="62"/>
      <c r="BZ170" s="62"/>
      <c r="CA170" s="62"/>
      <c r="CB170" s="62"/>
      <c r="CC170" s="62"/>
      <c r="CD170" s="62"/>
      <c r="CE170" s="62"/>
      <c r="CF170" s="62"/>
      <c r="CG170" s="62"/>
      <c r="CH170" s="62"/>
      <c r="CI170" s="62"/>
      <c r="CJ170" s="62"/>
      <c r="CK170" s="62"/>
      <c r="CL170" s="62"/>
      <c r="CM170" s="62"/>
      <c r="CN170" s="62"/>
      <c r="CO170" s="62"/>
      <c r="CP170" s="62"/>
      <c r="CQ170" s="62"/>
      <c r="CR170" s="62"/>
      <c r="CS170" s="62"/>
      <c r="CT170" s="62"/>
      <c r="CU170" s="62"/>
      <c r="CV170" s="62"/>
      <c r="CW170" s="62"/>
      <c r="CX170" s="62"/>
      <c r="CY170" s="62"/>
      <c r="CZ170" s="62"/>
      <c r="DA170" s="62"/>
      <c r="DB170" s="62"/>
      <c r="DC170" s="62"/>
    </row>
    <row r="171" spans="2:107">
      <c r="B171" s="25" t="s">
        <v>471</v>
      </c>
      <c r="C171" s="23"/>
      <c r="D171" s="15"/>
      <c r="E171" s="15"/>
      <c r="F171" s="15"/>
      <c r="G171" s="15"/>
      <c r="H171" s="15"/>
      <c r="I171" s="15"/>
      <c r="J171" s="15"/>
      <c r="K171" s="15"/>
      <c r="L171" s="23"/>
      <c r="M171" s="54"/>
      <c r="N171" s="27"/>
      <c r="O171" s="23">
        <f>SUM(BT171:BW171)</f>
        <v>1450</v>
      </c>
      <c r="P171" s="23">
        <f>SUM(BX171:CA171)</f>
        <v>0</v>
      </c>
      <c r="Q171" s="23">
        <f>SUM(CB171:CE171)</f>
        <v>0</v>
      </c>
      <c r="R171" s="23">
        <f t="shared" ref="R171:R224" si="159">+SUM(CF171:CI171)</f>
        <v>0</v>
      </c>
      <c r="S171" s="23">
        <f t="shared" ref="S171:S224" si="160">+SUM(CJ171:CM171)</f>
        <v>0</v>
      </c>
      <c r="T171" s="23">
        <f t="shared" ref="T171:T224" si="161">+SUM(CN171:CQ171)</f>
        <v>0</v>
      </c>
      <c r="U171" s="23">
        <f>+SUM(CR171:CU171)</f>
        <v>0</v>
      </c>
      <c r="V171" s="23">
        <f>+SUM(CV171:CY171)</f>
        <v>0</v>
      </c>
      <c r="W171" s="23">
        <f>+SUM(CZ171:DC171)</f>
        <v>0</v>
      </c>
      <c r="X171" s="23"/>
      <c r="Y171" s="23"/>
      <c r="Z171" s="23"/>
      <c r="AA171" s="23"/>
      <c r="AB171" s="23"/>
      <c r="AC171" s="23"/>
      <c r="AD171" s="23"/>
      <c r="AE171" s="23"/>
      <c r="AF171" s="23"/>
      <c r="AG171" s="23"/>
      <c r="AH171" s="23"/>
      <c r="AI171" s="23"/>
      <c r="AJ171" s="23"/>
      <c r="AK171" s="23"/>
      <c r="AL171" s="23"/>
      <c r="AM171" s="23"/>
      <c r="AN171" s="23"/>
      <c r="AO171" s="23"/>
      <c r="AP171" s="23"/>
      <c r="AQ171" s="23"/>
      <c r="AR171" s="23"/>
      <c r="AS171" s="23"/>
      <c r="AT171" s="23"/>
      <c r="AU171" s="23"/>
      <c r="AV171" s="23"/>
      <c r="AW171" s="23"/>
      <c r="AX171" s="23"/>
      <c r="AY171" s="23"/>
      <c r="AZ171" s="23"/>
      <c r="BA171" s="23"/>
      <c r="BB171" s="23"/>
      <c r="BC171" s="23"/>
      <c r="BD171" s="36"/>
      <c r="BE171" s="36"/>
      <c r="BF171" s="36"/>
      <c r="BG171" s="36"/>
      <c r="BH171" s="36"/>
      <c r="BI171" s="36"/>
      <c r="BJ171" s="36"/>
      <c r="BK171" s="36"/>
      <c r="BL171" s="36"/>
      <c r="BM171" s="36"/>
      <c r="BN171" s="36"/>
      <c r="BO171" s="36"/>
      <c r="BP171" s="23"/>
      <c r="BQ171" s="35"/>
      <c r="BR171" s="35"/>
      <c r="BS171" s="23"/>
      <c r="BT171" s="117"/>
      <c r="BU171" s="117"/>
      <c r="BV171" s="117">
        <v>1450</v>
      </c>
      <c r="BW171" s="117"/>
      <c r="BX171" s="117"/>
      <c r="BY171" s="117"/>
      <c r="BZ171" s="117"/>
      <c r="CA171" s="117"/>
      <c r="CB171" s="117"/>
      <c r="CC171" s="117"/>
      <c r="CD171" s="117"/>
      <c r="CE171" s="117"/>
      <c r="CF171" s="117"/>
      <c r="CG171" s="117"/>
      <c r="CH171" s="117"/>
      <c r="CI171" s="117"/>
      <c r="CJ171" s="117"/>
      <c r="CK171" s="117"/>
      <c r="CL171" s="117"/>
      <c r="CM171" s="117"/>
      <c r="CN171" s="117"/>
      <c r="CO171" s="117"/>
      <c r="CP171" s="117"/>
      <c r="CQ171" s="117"/>
      <c r="CR171" s="117"/>
      <c r="CS171" s="117"/>
      <c r="CT171" s="117"/>
      <c r="CU171" s="117"/>
      <c r="CV171" s="117"/>
      <c r="CW171" s="117"/>
      <c r="CX171" s="117"/>
      <c r="CY171" s="117"/>
      <c r="CZ171" s="117"/>
      <c r="DA171" s="117"/>
      <c r="DB171" s="117"/>
      <c r="DC171" s="117"/>
    </row>
    <row r="172" spans="2:107">
      <c r="B172" s="1036" t="s">
        <v>1979</v>
      </c>
      <c r="C172" s="23"/>
      <c r="D172" s="15"/>
      <c r="E172" s="15"/>
      <c r="F172" s="15"/>
      <c r="G172" s="15"/>
      <c r="H172" s="15"/>
      <c r="I172" s="15"/>
      <c r="J172" s="15"/>
      <c r="K172" s="15"/>
      <c r="L172" s="23"/>
      <c r="M172" s="54"/>
      <c r="N172" s="27"/>
      <c r="O172" s="23"/>
      <c r="P172" s="23"/>
      <c r="Q172" s="23"/>
      <c r="R172" s="23">
        <f>+SUM(CF172:CI172)</f>
        <v>0</v>
      </c>
      <c r="S172" s="23">
        <f>+SUM(CJ172:CM172)</f>
        <v>0</v>
      </c>
      <c r="T172" s="23">
        <f t="shared" si="161"/>
        <v>0</v>
      </c>
      <c r="U172" s="23">
        <f t="shared" ref="U172:U224" si="162">+SUM(CR172:CU172)</f>
        <v>365</v>
      </c>
      <c r="V172" s="23">
        <f t="shared" ref="V172:V224" si="163">+SUM(CV172:CY172)</f>
        <v>0</v>
      </c>
      <c r="W172" s="23">
        <f t="shared" ref="W172:W224" si="164">+SUM(CZ172:DC172)</f>
        <v>0</v>
      </c>
      <c r="X172" s="23"/>
      <c r="Y172" s="23"/>
      <c r="Z172" s="23"/>
      <c r="AA172" s="23"/>
      <c r="AB172" s="23"/>
      <c r="AC172" s="23"/>
      <c r="AD172" s="23"/>
      <c r="AE172" s="23"/>
      <c r="AF172" s="23"/>
      <c r="AG172" s="23"/>
      <c r="AH172" s="23"/>
      <c r="AI172" s="23"/>
      <c r="AJ172" s="23"/>
      <c r="AK172" s="23"/>
      <c r="AL172" s="23"/>
      <c r="AM172" s="23"/>
      <c r="AN172" s="23"/>
      <c r="AO172" s="23"/>
      <c r="AP172" s="23"/>
      <c r="AQ172" s="23"/>
      <c r="AR172" s="23"/>
      <c r="AS172" s="23"/>
      <c r="AT172" s="23"/>
      <c r="AU172" s="23"/>
      <c r="AV172" s="23"/>
      <c r="AW172" s="23"/>
      <c r="AX172" s="23"/>
      <c r="AY172" s="23"/>
      <c r="AZ172" s="23"/>
      <c r="BA172" s="23"/>
      <c r="BB172" s="23"/>
      <c r="BC172" s="23"/>
      <c r="BD172" s="36"/>
      <c r="BE172" s="36"/>
      <c r="BF172" s="36"/>
      <c r="BG172" s="36"/>
      <c r="BH172" s="36"/>
      <c r="BI172" s="36"/>
      <c r="BJ172" s="36"/>
      <c r="BK172" s="36"/>
      <c r="BL172" s="36"/>
      <c r="BM172" s="36"/>
      <c r="BN172" s="36"/>
      <c r="BO172" s="36"/>
      <c r="BP172" s="23"/>
      <c r="BQ172" s="35"/>
      <c r="BR172" s="35"/>
      <c r="BS172" s="23"/>
      <c r="BT172" s="23"/>
      <c r="BU172" s="35"/>
      <c r="BV172" s="197"/>
      <c r="BW172" s="197"/>
      <c r="BX172" s="117"/>
      <c r="BY172" s="197"/>
      <c r="BZ172" s="197"/>
      <c r="CA172" s="197"/>
      <c r="CB172" s="197"/>
      <c r="CC172" s="197"/>
      <c r="CD172" s="197"/>
      <c r="CE172" s="197"/>
      <c r="CF172" s="197"/>
      <c r="CG172" s="197"/>
      <c r="CH172" s="197"/>
      <c r="CI172" s="197"/>
      <c r="CJ172" s="197"/>
      <c r="CK172" s="197"/>
      <c r="CL172" s="197"/>
      <c r="CM172" s="197"/>
      <c r="CN172" s="2100"/>
      <c r="CO172" s="2100"/>
      <c r="CP172" s="2100"/>
      <c r="CQ172" s="2100"/>
      <c r="CR172" s="2100"/>
      <c r="CS172" s="197"/>
      <c r="CT172" s="117">
        <v>365</v>
      </c>
      <c r="CU172" s="197"/>
      <c r="CV172" s="197"/>
      <c r="CW172" s="197"/>
      <c r="CX172" s="197"/>
      <c r="CY172" s="197"/>
      <c r="CZ172" s="197"/>
      <c r="DA172" s="197"/>
      <c r="DB172" s="197"/>
      <c r="DC172" s="197"/>
    </row>
    <row r="173" spans="2:107">
      <c r="B173" s="25" t="s">
        <v>1519</v>
      </c>
      <c r="C173" s="23"/>
      <c r="D173" s="15"/>
      <c r="E173" s="15"/>
      <c r="F173" s="15"/>
      <c r="G173" s="15"/>
      <c r="H173" s="15"/>
      <c r="I173" s="15"/>
      <c r="J173" s="15"/>
      <c r="K173" s="15"/>
      <c r="L173" s="23"/>
      <c r="M173" s="54"/>
      <c r="N173" s="27"/>
      <c r="O173" s="23">
        <f>SUM(BT173:BW173)</f>
        <v>0</v>
      </c>
      <c r="P173" s="23">
        <f>SUM(BX173:CA173)</f>
        <v>600</v>
      </c>
      <c r="Q173" s="23">
        <f>SUM(CB173:CE173)</f>
        <v>680</v>
      </c>
      <c r="R173" s="23">
        <f t="shared" si="159"/>
        <v>0</v>
      </c>
      <c r="S173" s="23">
        <f t="shared" si="160"/>
        <v>0</v>
      </c>
      <c r="T173" s="23">
        <f t="shared" si="161"/>
        <v>0</v>
      </c>
      <c r="U173" s="23">
        <f t="shared" si="162"/>
        <v>0</v>
      </c>
      <c r="V173" s="23">
        <f t="shared" si="163"/>
        <v>0</v>
      </c>
      <c r="W173" s="23">
        <f t="shared" si="164"/>
        <v>0</v>
      </c>
      <c r="X173" s="23"/>
      <c r="Y173" s="23"/>
      <c r="Z173" s="23"/>
      <c r="AA173" s="23"/>
      <c r="AB173" s="23"/>
      <c r="AC173" s="23"/>
      <c r="AD173" s="23"/>
      <c r="AE173" s="23"/>
      <c r="AF173" s="23"/>
      <c r="AG173" s="23"/>
      <c r="AH173" s="23"/>
      <c r="AI173" s="23"/>
      <c r="AJ173" s="23"/>
      <c r="AK173" s="23"/>
      <c r="AL173" s="23"/>
      <c r="AM173" s="23"/>
      <c r="AN173" s="23"/>
      <c r="AO173" s="23"/>
      <c r="AP173" s="23"/>
      <c r="AQ173" s="23"/>
      <c r="AR173" s="23"/>
      <c r="AS173" s="23"/>
      <c r="AT173" s="23"/>
      <c r="AU173" s="23"/>
      <c r="AV173" s="23"/>
      <c r="AW173" s="23"/>
      <c r="AX173" s="23"/>
      <c r="AY173" s="23"/>
      <c r="AZ173" s="23"/>
      <c r="BA173" s="23"/>
      <c r="BB173" s="23"/>
      <c r="BC173" s="23"/>
      <c r="BD173" s="36"/>
      <c r="BE173" s="36"/>
      <c r="BF173" s="36"/>
      <c r="BG173" s="36"/>
      <c r="BH173" s="36"/>
      <c r="BI173" s="36"/>
      <c r="BJ173" s="36"/>
      <c r="BK173" s="36"/>
      <c r="BL173" s="36"/>
      <c r="BM173" s="36"/>
      <c r="BN173" s="36"/>
      <c r="BO173" s="36"/>
      <c r="BP173" s="23"/>
      <c r="BQ173" s="35"/>
      <c r="BR173" s="35"/>
      <c r="BS173" s="23"/>
      <c r="BT173" s="23"/>
      <c r="BU173" s="35"/>
      <c r="BV173" s="197"/>
      <c r="BW173" s="197"/>
      <c r="BX173" s="117"/>
      <c r="BY173" s="197"/>
      <c r="BZ173" s="197"/>
      <c r="CA173" s="197">
        <v>600</v>
      </c>
      <c r="CB173" s="197">
        <v>680</v>
      </c>
      <c r="CC173" s="197"/>
      <c r="CD173" s="197"/>
      <c r="CE173" s="197"/>
      <c r="CF173" s="197"/>
      <c r="CG173" s="197"/>
      <c r="CH173" s="197"/>
      <c r="CI173" s="197"/>
      <c r="CJ173" s="197"/>
      <c r="CK173" s="197"/>
      <c r="CL173" s="197"/>
      <c r="CM173" s="197"/>
      <c r="CN173" s="197"/>
      <c r="CO173" s="197"/>
      <c r="CP173" s="197"/>
      <c r="CQ173" s="197"/>
      <c r="CR173" s="197"/>
      <c r="CS173" s="197"/>
      <c r="CT173" s="197"/>
      <c r="CU173" s="197"/>
      <c r="CV173" s="197"/>
      <c r="CW173" s="197"/>
      <c r="CX173" s="197"/>
      <c r="CY173" s="197"/>
      <c r="CZ173" s="197"/>
      <c r="DA173" s="197"/>
      <c r="DB173" s="197"/>
      <c r="DC173" s="197"/>
    </row>
    <row r="174" spans="2:107">
      <c r="B174" s="25" t="s">
        <v>5</v>
      </c>
      <c r="C174" s="23"/>
      <c r="D174" s="15"/>
      <c r="E174" s="15"/>
      <c r="F174" s="15"/>
      <c r="G174" s="15"/>
      <c r="H174" s="15"/>
      <c r="I174" s="15"/>
      <c r="J174" s="15"/>
      <c r="K174" s="15"/>
      <c r="L174" s="23"/>
      <c r="M174" s="54"/>
      <c r="N174" s="27"/>
      <c r="O174" s="23"/>
      <c r="P174" s="23"/>
      <c r="Q174" s="23"/>
      <c r="R174" s="23">
        <f t="shared" si="159"/>
        <v>630</v>
      </c>
      <c r="S174" s="23">
        <f t="shared" si="160"/>
        <v>0</v>
      </c>
      <c r="T174" s="23">
        <f t="shared" si="161"/>
        <v>0</v>
      </c>
      <c r="U174" s="23">
        <f t="shared" si="162"/>
        <v>0</v>
      </c>
      <c r="V174" s="23">
        <f t="shared" si="163"/>
        <v>0</v>
      </c>
      <c r="W174" s="23">
        <f t="shared" si="164"/>
        <v>0</v>
      </c>
      <c r="X174" s="23"/>
      <c r="Y174" s="23"/>
      <c r="Z174" s="23"/>
      <c r="AA174" s="23"/>
      <c r="AB174" s="23"/>
      <c r="AC174" s="23"/>
      <c r="AD174" s="23"/>
      <c r="AE174" s="23"/>
      <c r="AF174" s="23"/>
      <c r="AG174" s="23"/>
      <c r="AH174" s="23"/>
      <c r="AI174" s="23"/>
      <c r="AJ174" s="23"/>
      <c r="AK174" s="23"/>
      <c r="AL174" s="23"/>
      <c r="AM174" s="23"/>
      <c r="AN174" s="23"/>
      <c r="AO174" s="23"/>
      <c r="AP174" s="23"/>
      <c r="AQ174" s="23"/>
      <c r="AR174" s="23"/>
      <c r="AS174" s="23"/>
      <c r="AT174" s="23"/>
      <c r="AU174" s="23"/>
      <c r="AV174" s="23"/>
      <c r="AW174" s="23"/>
      <c r="AX174" s="23"/>
      <c r="AY174" s="23"/>
      <c r="AZ174" s="23"/>
      <c r="BA174" s="23"/>
      <c r="BB174" s="23"/>
      <c r="BC174" s="23"/>
      <c r="BD174" s="36"/>
      <c r="BE174" s="36"/>
      <c r="BF174" s="36"/>
      <c r="BG174" s="36"/>
      <c r="BH174" s="36"/>
      <c r="BI174" s="36"/>
      <c r="BJ174" s="36"/>
      <c r="BK174" s="36"/>
      <c r="BL174" s="36"/>
      <c r="BM174" s="36"/>
      <c r="BN174" s="36"/>
      <c r="BO174" s="36"/>
      <c r="BP174" s="23"/>
      <c r="BQ174" s="35"/>
      <c r="BR174" s="35"/>
      <c r="BS174" s="23"/>
      <c r="BT174" s="23"/>
      <c r="BU174" s="35"/>
      <c r="BV174" s="197"/>
      <c r="BW174" s="197"/>
      <c r="BX174" s="117"/>
      <c r="BY174" s="197"/>
      <c r="BZ174" s="197"/>
      <c r="CA174" s="197"/>
      <c r="CB174" s="197"/>
      <c r="CC174" s="197"/>
      <c r="CD174" s="197"/>
      <c r="CE174" s="197"/>
      <c r="CF174" s="197">
        <v>630</v>
      </c>
      <c r="CG174" s="197"/>
      <c r="CH174" s="197"/>
      <c r="CI174" s="197"/>
      <c r="CJ174" s="197"/>
      <c r="CK174" s="197"/>
      <c r="CL174" s="197"/>
      <c r="CM174" s="197"/>
      <c r="CN174" s="197"/>
      <c r="CO174" s="197"/>
      <c r="CP174" s="197"/>
      <c r="CQ174" s="197"/>
      <c r="CR174" s="197"/>
      <c r="CS174" s="197"/>
      <c r="CT174" s="197"/>
      <c r="CU174" s="197"/>
      <c r="CV174" s="197"/>
      <c r="CW174" s="197"/>
      <c r="CX174" s="197"/>
      <c r="CY174" s="197"/>
      <c r="CZ174" s="197"/>
      <c r="DA174" s="197"/>
      <c r="DB174" s="197"/>
      <c r="DC174" s="197"/>
    </row>
    <row r="175" spans="2:107">
      <c r="B175" s="1036" t="s">
        <v>2622</v>
      </c>
      <c r="C175" s="23"/>
      <c r="D175" s="15"/>
      <c r="E175" s="15"/>
      <c r="F175" s="15"/>
      <c r="G175" s="15"/>
      <c r="H175" s="15"/>
      <c r="I175" s="15"/>
      <c r="J175" s="15"/>
      <c r="K175" s="15"/>
      <c r="L175" s="23"/>
      <c r="M175" s="54"/>
      <c r="N175" s="27"/>
      <c r="O175" s="23"/>
      <c r="P175" s="23"/>
      <c r="Q175" s="23"/>
      <c r="R175" s="23">
        <f>+SUM(CF175:CI175)</f>
        <v>0</v>
      </c>
      <c r="S175" s="23">
        <f>+SUM(CJ175:CM175)</f>
        <v>0</v>
      </c>
      <c r="T175" s="23">
        <f>+SUM(CN175:CQ175)</f>
        <v>0</v>
      </c>
      <c r="U175" s="23">
        <f>+SUM(CR175:CU175)</f>
        <v>0</v>
      </c>
      <c r="V175" s="23">
        <f>+SUM(CV175:CY175)</f>
        <v>0</v>
      </c>
      <c r="W175" s="23">
        <f t="shared" si="164"/>
        <v>715</v>
      </c>
      <c r="X175" s="23"/>
      <c r="Y175" s="23"/>
      <c r="Z175" s="23"/>
      <c r="AA175" s="23"/>
      <c r="AB175" s="23"/>
      <c r="AC175" s="23"/>
      <c r="AD175" s="23"/>
      <c r="AE175" s="23"/>
      <c r="AF175" s="23"/>
      <c r="AG175" s="23"/>
      <c r="AH175" s="23"/>
      <c r="AI175" s="23"/>
      <c r="AJ175" s="23"/>
      <c r="AK175" s="23"/>
      <c r="AL175" s="23"/>
      <c r="AM175" s="23"/>
      <c r="AN175" s="23"/>
      <c r="AO175" s="23"/>
      <c r="AP175" s="23"/>
      <c r="AQ175" s="23"/>
      <c r="AR175" s="23"/>
      <c r="AS175" s="23"/>
      <c r="AT175" s="23"/>
      <c r="AU175" s="23"/>
      <c r="AV175" s="23"/>
      <c r="AW175" s="23"/>
      <c r="AX175" s="23"/>
      <c r="AY175" s="23"/>
      <c r="AZ175" s="23"/>
      <c r="BA175" s="23"/>
      <c r="BB175" s="23"/>
      <c r="BC175" s="23"/>
      <c r="BD175" s="36"/>
      <c r="BE175" s="36"/>
      <c r="BF175" s="36"/>
      <c r="BG175" s="36"/>
      <c r="BH175" s="36"/>
      <c r="BI175" s="36"/>
      <c r="BJ175" s="36"/>
      <c r="BK175" s="36"/>
      <c r="BL175" s="36"/>
      <c r="BM175" s="36"/>
      <c r="BN175" s="36"/>
      <c r="BO175" s="36"/>
      <c r="BP175" s="23"/>
      <c r="BQ175" s="35"/>
      <c r="BR175" s="35"/>
      <c r="BS175" s="23"/>
      <c r="BT175" s="23"/>
      <c r="BU175" s="35"/>
      <c r="BV175" s="197"/>
      <c r="BW175" s="197"/>
      <c r="BX175" s="117"/>
      <c r="BY175" s="197"/>
      <c r="BZ175" s="197"/>
      <c r="CA175" s="197"/>
      <c r="CB175" s="197"/>
      <c r="CC175" s="197"/>
      <c r="CD175" s="197"/>
      <c r="CE175" s="197"/>
      <c r="CF175" s="197"/>
      <c r="CG175" s="197"/>
      <c r="CH175" s="197"/>
      <c r="CI175" s="197"/>
      <c r="CJ175" s="197"/>
      <c r="CK175" s="197"/>
      <c r="CL175" s="197"/>
      <c r="CM175" s="197"/>
      <c r="CN175" s="197"/>
      <c r="CO175" s="197"/>
      <c r="CP175" s="197"/>
      <c r="CQ175" s="197"/>
      <c r="CR175" s="197"/>
      <c r="CS175" s="197"/>
      <c r="CT175" s="197"/>
      <c r="CU175" s="197"/>
      <c r="CV175" s="197"/>
      <c r="CW175" s="197"/>
      <c r="CX175" s="197"/>
      <c r="CY175" s="197"/>
      <c r="CZ175" s="2100">
        <v>715</v>
      </c>
      <c r="DA175" s="197"/>
      <c r="DB175" s="197"/>
      <c r="DC175" s="197"/>
    </row>
    <row r="176" spans="2:107">
      <c r="B176" s="25" t="s">
        <v>245</v>
      </c>
      <c r="C176" s="23"/>
      <c r="D176" s="15"/>
      <c r="E176" s="15"/>
      <c r="F176" s="15"/>
      <c r="G176" s="15"/>
      <c r="H176" s="15"/>
      <c r="I176" s="15"/>
      <c r="J176" s="15"/>
      <c r="K176" s="15"/>
      <c r="L176" s="23"/>
      <c r="M176" s="54"/>
      <c r="N176" s="27"/>
      <c r="O176" s="23">
        <f>SUM(BT176:BW176)</f>
        <v>600</v>
      </c>
      <c r="P176" s="23">
        <f>SUM(BX176:CA176)</f>
        <v>0</v>
      </c>
      <c r="Q176" s="23">
        <f>SUM(CB176:CE176)</f>
        <v>0</v>
      </c>
      <c r="R176" s="23">
        <f t="shared" si="159"/>
        <v>0</v>
      </c>
      <c r="S176" s="23">
        <f t="shared" si="160"/>
        <v>0</v>
      </c>
      <c r="T176" s="23">
        <f t="shared" si="161"/>
        <v>0</v>
      </c>
      <c r="U176" s="23">
        <f t="shared" si="162"/>
        <v>0</v>
      </c>
      <c r="V176" s="23">
        <f t="shared" si="163"/>
        <v>0</v>
      </c>
      <c r="W176" s="23">
        <f t="shared" si="164"/>
        <v>0</v>
      </c>
      <c r="X176" s="23"/>
      <c r="Y176" s="23"/>
      <c r="Z176" s="23"/>
      <c r="AA176" s="23"/>
      <c r="AB176" s="23"/>
      <c r="AC176" s="23"/>
      <c r="AD176" s="23"/>
      <c r="AE176" s="23"/>
      <c r="AF176" s="23"/>
      <c r="AG176" s="23"/>
      <c r="AH176" s="23"/>
      <c r="AI176" s="23"/>
      <c r="AJ176" s="23"/>
      <c r="AK176" s="23"/>
      <c r="AL176" s="23"/>
      <c r="AM176" s="23"/>
      <c r="AN176" s="23"/>
      <c r="AO176" s="23"/>
      <c r="AP176" s="23"/>
      <c r="AQ176" s="23"/>
      <c r="AR176" s="23"/>
      <c r="AS176" s="23"/>
      <c r="AT176" s="23"/>
      <c r="AU176" s="23"/>
      <c r="AV176" s="23"/>
      <c r="AW176" s="23"/>
      <c r="AX176" s="23"/>
      <c r="AY176" s="23"/>
      <c r="AZ176" s="23"/>
      <c r="BA176" s="23"/>
      <c r="BB176" s="23"/>
      <c r="BC176" s="23"/>
      <c r="BD176" s="36"/>
      <c r="BE176" s="36"/>
      <c r="BF176" s="36"/>
      <c r="BG176" s="36"/>
      <c r="BH176" s="36"/>
      <c r="BI176" s="36"/>
      <c r="BJ176" s="36"/>
      <c r="BK176" s="36"/>
      <c r="BL176" s="36"/>
      <c r="BM176" s="36"/>
      <c r="BN176" s="36"/>
      <c r="BO176" s="36"/>
      <c r="BP176" s="20"/>
      <c r="BQ176" s="35"/>
      <c r="BR176" s="35"/>
      <c r="BS176" s="35"/>
      <c r="BT176" s="117">
        <v>600</v>
      </c>
      <c r="BU176" s="117"/>
      <c r="BV176" s="117"/>
      <c r="BW176" s="117"/>
      <c r="BX176" s="117"/>
      <c r="BY176" s="117"/>
      <c r="BZ176" s="117"/>
      <c r="CA176" s="117"/>
      <c r="CB176" s="117"/>
      <c r="CC176" s="117"/>
      <c r="CD176" s="117"/>
      <c r="CE176" s="117"/>
      <c r="CF176" s="117"/>
      <c r="CG176" s="117"/>
      <c r="CH176" s="117"/>
      <c r="CI176" s="117"/>
      <c r="CJ176" s="117"/>
      <c r="CK176" s="117"/>
      <c r="CL176" s="117"/>
      <c r="CM176" s="117"/>
      <c r="CN176" s="117"/>
      <c r="CO176" s="117"/>
      <c r="CP176" s="117"/>
      <c r="CQ176" s="117"/>
      <c r="CR176" s="117"/>
      <c r="CS176" s="117"/>
      <c r="CT176" s="117"/>
      <c r="CU176" s="117"/>
      <c r="CV176" s="117"/>
      <c r="CW176" s="117"/>
      <c r="CX176" s="117"/>
      <c r="CY176" s="117"/>
      <c r="CZ176" s="117"/>
      <c r="DA176" s="117"/>
      <c r="DB176" s="117"/>
      <c r="DC176" s="117"/>
    </row>
    <row r="177" spans="2:107">
      <c r="B177" s="1036" t="s">
        <v>2757</v>
      </c>
      <c r="C177" s="23"/>
      <c r="D177" s="15"/>
      <c r="E177" s="15"/>
      <c r="F177" s="15"/>
      <c r="G177" s="15"/>
      <c r="H177" s="15"/>
      <c r="I177" s="15"/>
      <c r="J177" s="15"/>
      <c r="K177" s="15"/>
      <c r="L177" s="23"/>
      <c r="M177" s="54"/>
      <c r="N177" s="27"/>
      <c r="O177" s="23"/>
      <c r="P177" s="23"/>
      <c r="Q177" s="23"/>
      <c r="R177" s="23">
        <f>+SUM(CF177:CI177)</f>
        <v>0</v>
      </c>
      <c r="S177" s="23">
        <f>+SUM(CJ177:CM177)</f>
        <v>0</v>
      </c>
      <c r="T177" s="23">
        <f>+SUM(CN177:CQ177)</f>
        <v>0</v>
      </c>
      <c r="U177" s="23">
        <f>+SUM(CR177:CU177)</f>
        <v>0</v>
      </c>
      <c r="V177" s="23">
        <f>+SUM(CV177:CY177)</f>
        <v>0</v>
      </c>
      <c r="W177" s="23">
        <f t="shared" ref="W177" si="165">+SUM(CZ177:DC177)</f>
        <v>775</v>
      </c>
      <c r="X177" s="23"/>
      <c r="Y177" s="23"/>
      <c r="Z177" s="23"/>
      <c r="AA177" s="23"/>
      <c r="AB177" s="23"/>
      <c r="AC177" s="23"/>
      <c r="AD177" s="23"/>
      <c r="AE177" s="23"/>
      <c r="AF177" s="23"/>
      <c r="AG177" s="23"/>
      <c r="AH177" s="23"/>
      <c r="AI177" s="23"/>
      <c r="AJ177" s="23"/>
      <c r="AK177" s="23"/>
      <c r="AL177" s="23"/>
      <c r="AM177" s="23"/>
      <c r="AN177" s="23"/>
      <c r="AO177" s="23"/>
      <c r="AP177" s="23"/>
      <c r="AQ177" s="23"/>
      <c r="AR177" s="23"/>
      <c r="AS177" s="23"/>
      <c r="AT177" s="23"/>
      <c r="AU177" s="23"/>
      <c r="AV177" s="23"/>
      <c r="AW177" s="23"/>
      <c r="AX177" s="23"/>
      <c r="AY177" s="23"/>
      <c r="AZ177" s="23"/>
      <c r="BA177" s="23"/>
      <c r="BB177" s="23"/>
      <c r="BC177" s="23"/>
      <c r="BD177" s="36"/>
      <c r="BE177" s="36"/>
      <c r="BF177" s="36"/>
      <c r="BG177" s="36"/>
      <c r="BH177" s="36"/>
      <c r="BI177" s="36"/>
      <c r="BJ177" s="36"/>
      <c r="BK177" s="36"/>
      <c r="BL177" s="36"/>
      <c r="BM177" s="36"/>
      <c r="BN177" s="36"/>
      <c r="BO177" s="36"/>
      <c r="BP177" s="23"/>
      <c r="BQ177" s="35"/>
      <c r="BR177" s="35"/>
      <c r="BS177" s="23"/>
      <c r="BT177" s="23"/>
      <c r="BU177" s="35"/>
      <c r="BV177" s="197"/>
      <c r="BW177" s="197"/>
      <c r="BX177" s="117"/>
      <c r="BY177" s="197"/>
      <c r="BZ177" s="197"/>
      <c r="CA177" s="197"/>
      <c r="CB177" s="197"/>
      <c r="CC177" s="197"/>
      <c r="CD177" s="197"/>
      <c r="CE177" s="197"/>
      <c r="CF177" s="197"/>
      <c r="CG177" s="197"/>
      <c r="CH177" s="197"/>
      <c r="CI177" s="197"/>
      <c r="CJ177" s="197"/>
      <c r="CK177" s="197"/>
      <c r="CL177" s="197"/>
      <c r="CM177" s="197"/>
      <c r="CN177" s="197"/>
      <c r="CO177" s="197"/>
      <c r="CP177" s="197"/>
      <c r="CQ177" s="197"/>
      <c r="CR177" s="197"/>
      <c r="CS177" s="197"/>
      <c r="CT177" s="197"/>
      <c r="CU177" s="197"/>
      <c r="CV177" s="197"/>
      <c r="CW177" s="197"/>
      <c r="CX177" s="197"/>
      <c r="CY177" s="197"/>
      <c r="CZ177" s="197"/>
      <c r="DA177" s="197"/>
      <c r="DB177" s="197">
        <v>775</v>
      </c>
      <c r="DC177" s="197"/>
    </row>
    <row r="178" spans="2:107">
      <c r="B178" s="25" t="s">
        <v>592</v>
      </c>
      <c r="C178" s="23"/>
      <c r="D178" s="15"/>
      <c r="E178" s="15"/>
      <c r="F178" s="15"/>
      <c r="G178" s="15"/>
      <c r="H178" s="15"/>
      <c r="I178" s="15"/>
      <c r="J178" s="15"/>
      <c r="K178" s="15"/>
      <c r="L178" s="23"/>
      <c r="M178" s="54"/>
      <c r="N178" s="27"/>
      <c r="O178" s="23">
        <f>SUM(BT178:BW178)</f>
        <v>0</v>
      </c>
      <c r="P178" s="23">
        <f>SUM(BX178:CA178)</f>
        <v>450</v>
      </c>
      <c r="Q178" s="23">
        <f>SUM(CB178:CE178)</f>
        <v>0</v>
      </c>
      <c r="R178" s="23">
        <f t="shared" si="159"/>
        <v>0</v>
      </c>
      <c r="S178" s="23">
        <f t="shared" si="160"/>
        <v>0</v>
      </c>
      <c r="T178" s="23">
        <f t="shared" si="161"/>
        <v>0</v>
      </c>
      <c r="U178" s="23">
        <f t="shared" si="162"/>
        <v>0</v>
      </c>
      <c r="V178" s="23">
        <f t="shared" si="163"/>
        <v>0</v>
      </c>
      <c r="W178" s="23">
        <f t="shared" si="164"/>
        <v>0</v>
      </c>
      <c r="X178" s="23"/>
      <c r="Y178" s="23"/>
      <c r="Z178" s="23"/>
      <c r="AA178" s="23"/>
      <c r="AB178" s="23"/>
      <c r="AC178" s="23"/>
      <c r="AD178" s="23"/>
      <c r="AE178" s="23"/>
      <c r="AF178" s="23"/>
      <c r="AG178" s="23"/>
      <c r="AH178" s="23"/>
      <c r="AI178" s="23"/>
      <c r="AJ178" s="23"/>
      <c r="AK178" s="23"/>
      <c r="AL178" s="23"/>
      <c r="AM178" s="23"/>
      <c r="AN178" s="23"/>
      <c r="AO178" s="23"/>
      <c r="AP178" s="23"/>
      <c r="AQ178" s="23"/>
      <c r="AR178" s="23"/>
      <c r="AS178" s="23"/>
      <c r="AT178" s="23"/>
      <c r="AU178" s="23"/>
      <c r="AV178" s="23"/>
      <c r="AW178" s="23"/>
      <c r="AX178" s="23"/>
      <c r="AY178" s="23"/>
      <c r="AZ178" s="23"/>
      <c r="BA178" s="23"/>
      <c r="BB178" s="23"/>
      <c r="BC178" s="23"/>
      <c r="BD178" s="36"/>
      <c r="BE178" s="36"/>
      <c r="BF178" s="36"/>
      <c r="BG178" s="36"/>
      <c r="BH178" s="36"/>
      <c r="BI178" s="36"/>
      <c r="BJ178" s="36"/>
      <c r="BK178" s="36"/>
      <c r="BL178" s="36"/>
      <c r="BM178" s="36"/>
      <c r="BN178" s="36"/>
      <c r="BO178" s="36"/>
      <c r="BP178" s="23"/>
      <c r="BQ178" s="35"/>
      <c r="BR178" s="35"/>
      <c r="BS178" s="23"/>
      <c r="BT178" s="23"/>
      <c r="BU178" s="35"/>
      <c r="BV178" s="197"/>
      <c r="BW178" s="197"/>
      <c r="BX178" s="117">
        <v>450</v>
      </c>
      <c r="BY178" s="197"/>
      <c r="BZ178" s="197"/>
      <c r="CA178" s="197"/>
      <c r="CB178" s="197"/>
      <c r="CC178" s="197"/>
      <c r="CD178" s="197"/>
      <c r="CE178" s="197"/>
      <c r="CF178" s="197"/>
      <c r="CG178" s="197"/>
      <c r="CH178" s="197"/>
      <c r="CI178" s="197"/>
      <c r="CJ178" s="197"/>
      <c r="CK178" s="197"/>
      <c r="CL178" s="197"/>
      <c r="CM178" s="197"/>
      <c r="CN178" s="197"/>
      <c r="CO178" s="197"/>
      <c r="CP178" s="197"/>
      <c r="CQ178" s="197"/>
      <c r="CR178" s="197"/>
      <c r="CS178" s="197"/>
      <c r="CT178" s="197"/>
      <c r="CU178" s="197"/>
      <c r="CV178" s="197"/>
      <c r="CW178" s="197"/>
      <c r="CX178" s="197"/>
      <c r="CY178" s="197"/>
      <c r="CZ178" s="197"/>
      <c r="DA178" s="197"/>
      <c r="DB178" s="197"/>
      <c r="DC178" s="197"/>
    </row>
    <row r="179" spans="2:107">
      <c r="B179" s="1036" t="s">
        <v>1902</v>
      </c>
      <c r="C179" s="23"/>
      <c r="D179" s="15"/>
      <c r="E179" s="15"/>
      <c r="F179" s="15"/>
      <c r="G179" s="15"/>
      <c r="H179" s="15"/>
      <c r="I179" s="15"/>
      <c r="J179" s="15"/>
      <c r="K179" s="15"/>
      <c r="L179" s="23"/>
      <c r="M179" s="54"/>
      <c r="N179" s="27"/>
      <c r="O179" s="23">
        <f>SUM(BT179:BW179)</f>
        <v>0</v>
      </c>
      <c r="P179" s="23">
        <f>SUM(BX179:CA179)</f>
        <v>0</v>
      </c>
      <c r="Q179" s="23">
        <f>SUM(CB179:CE179)</f>
        <v>0</v>
      </c>
      <c r="R179" s="23">
        <f>+SUM(CF179:CI179)</f>
        <v>0</v>
      </c>
      <c r="S179" s="23">
        <f>+SUM(CJ179:CM179)</f>
        <v>0</v>
      </c>
      <c r="T179" s="23">
        <f t="shared" si="161"/>
        <v>500</v>
      </c>
      <c r="U179" s="23">
        <f t="shared" si="162"/>
        <v>0</v>
      </c>
      <c r="V179" s="23">
        <f t="shared" si="163"/>
        <v>0</v>
      </c>
      <c r="W179" s="23">
        <f t="shared" si="164"/>
        <v>0</v>
      </c>
      <c r="X179" s="23"/>
      <c r="Y179" s="23"/>
      <c r="Z179" s="23"/>
      <c r="AA179" s="23"/>
      <c r="AB179" s="23"/>
      <c r="AC179" s="23"/>
      <c r="AD179" s="23"/>
      <c r="AE179" s="23"/>
      <c r="AF179" s="23"/>
      <c r="AG179" s="23"/>
      <c r="AH179" s="23"/>
      <c r="AI179" s="23"/>
      <c r="AJ179" s="23"/>
      <c r="AK179" s="23"/>
      <c r="AL179" s="23"/>
      <c r="AM179" s="23"/>
      <c r="AN179" s="23"/>
      <c r="AO179" s="23"/>
      <c r="AP179" s="23"/>
      <c r="AQ179" s="23"/>
      <c r="AR179" s="23"/>
      <c r="AS179" s="23"/>
      <c r="AT179" s="23"/>
      <c r="AU179" s="23"/>
      <c r="AV179" s="23"/>
      <c r="AW179" s="23"/>
      <c r="AX179" s="23"/>
      <c r="AY179" s="23"/>
      <c r="AZ179" s="23"/>
      <c r="BA179" s="23"/>
      <c r="BB179" s="23"/>
      <c r="BC179" s="23"/>
      <c r="BD179" s="36"/>
      <c r="BE179" s="36"/>
      <c r="BF179" s="36"/>
      <c r="BG179" s="36"/>
      <c r="BH179" s="36"/>
      <c r="BI179" s="36"/>
      <c r="BJ179" s="36"/>
      <c r="BK179" s="36"/>
      <c r="BL179" s="36"/>
      <c r="BM179" s="36"/>
      <c r="BN179" s="36"/>
      <c r="BO179" s="36"/>
      <c r="BP179" s="23"/>
      <c r="BQ179" s="35"/>
      <c r="BR179" s="35"/>
      <c r="BS179" s="23"/>
      <c r="BT179" s="23"/>
      <c r="BU179" s="35"/>
      <c r="BV179" s="197"/>
      <c r="BW179" s="197"/>
      <c r="BX179" s="117"/>
      <c r="BY179" s="197"/>
      <c r="BZ179" s="197"/>
      <c r="CA179" s="197"/>
      <c r="CB179" s="197"/>
      <c r="CC179" s="197"/>
      <c r="CD179" s="197"/>
      <c r="CE179" s="197"/>
      <c r="CF179" s="197"/>
      <c r="CG179" s="197"/>
      <c r="CH179" s="197"/>
      <c r="CI179" s="197"/>
      <c r="CJ179" s="197"/>
      <c r="CK179" s="197"/>
      <c r="CL179" s="197"/>
      <c r="CM179" s="197"/>
      <c r="CN179" s="197"/>
      <c r="CO179" s="197"/>
      <c r="CP179" s="197"/>
      <c r="CQ179" s="197">
        <v>500</v>
      </c>
      <c r="CR179" s="197"/>
      <c r="CS179" s="197"/>
      <c r="CT179" s="197"/>
      <c r="CU179" s="197"/>
      <c r="CV179" s="197"/>
      <c r="CW179" s="197"/>
      <c r="CX179" s="197"/>
      <c r="CY179" s="197"/>
      <c r="CZ179" s="197"/>
      <c r="DA179" s="197"/>
      <c r="DB179" s="197"/>
      <c r="DC179" s="197"/>
    </row>
    <row r="180" spans="2:107">
      <c r="B180" s="25" t="s">
        <v>1835</v>
      </c>
      <c r="C180" s="23"/>
      <c r="D180" s="15"/>
      <c r="E180" s="15"/>
      <c r="F180" s="15"/>
      <c r="G180" s="15"/>
      <c r="H180" s="15"/>
      <c r="I180" s="15"/>
      <c r="J180" s="15"/>
      <c r="K180" s="15"/>
      <c r="L180" s="23"/>
      <c r="M180" s="54"/>
      <c r="N180" s="27"/>
      <c r="O180" s="23"/>
      <c r="P180" s="23"/>
      <c r="Q180" s="23">
        <f>SUM(CB180:CE180)</f>
        <v>0</v>
      </c>
      <c r="R180" s="23">
        <f t="shared" si="159"/>
        <v>0</v>
      </c>
      <c r="S180" s="23">
        <f t="shared" si="160"/>
        <v>0</v>
      </c>
      <c r="T180" s="23">
        <f t="shared" si="161"/>
        <v>0</v>
      </c>
      <c r="U180" s="23">
        <f t="shared" si="162"/>
        <v>0</v>
      </c>
      <c r="V180" s="23">
        <f t="shared" si="163"/>
        <v>0</v>
      </c>
      <c r="W180" s="23">
        <f t="shared" si="164"/>
        <v>0</v>
      </c>
      <c r="X180" s="23"/>
      <c r="Y180" s="23"/>
      <c r="Z180" s="23"/>
      <c r="AA180" s="23"/>
      <c r="AB180" s="23"/>
      <c r="AC180" s="23"/>
      <c r="AD180" s="23"/>
      <c r="AE180" s="23"/>
      <c r="AF180" s="23"/>
      <c r="AG180" s="23"/>
      <c r="AH180" s="23"/>
      <c r="AI180" s="23"/>
      <c r="AJ180" s="23"/>
      <c r="AK180" s="23"/>
      <c r="AL180" s="23"/>
      <c r="AM180" s="23"/>
      <c r="AN180" s="23"/>
      <c r="AO180" s="23"/>
      <c r="AP180" s="23"/>
      <c r="AQ180" s="23"/>
      <c r="AR180" s="23"/>
      <c r="AS180" s="23"/>
      <c r="AT180" s="23"/>
      <c r="AU180" s="23"/>
      <c r="AV180" s="23"/>
      <c r="AW180" s="23"/>
      <c r="AX180" s="23"/>
      <c r="AY180" s="23"/>
      <c r="AZ180" s="23"/>
      <c r="BA180" s="23"/>
      <c r="BB180" s="23"/>
      <c r="BC180" s="23"/>
      <c r="BD180" s="36"/>
      <c r="BE180" s="36"/>
      <c r="BF180" s="36"/>
      <c r="BG180" s="36"/>
      <c r="BH180" s="36"/>
      <c r="BI180" s="36"/>
      <c r="BJ180" s="36"/>
      <c r="BK180" s="36"/>
      <c r="BL180" s="36"/>
      <c r="BM180" s="36"/>
      <c r="BN180" s="36"/>
      <c r="BO180" s="36"/>
      <c r="BP180" s="23"/>
      <c r="BQ180" s="35"/>
      <c r="BR180" s="35"/>
      <c r="BS180" s="23"/>
      <c r="BT180" s="23"/>
      <c r="BU180" s="35"/>
      <c r="BV180" s="197"/>
      <c r="BW180" s="197"/>
      <c r="BX180" s="117"/>
      <c r="BY180" s="197"/>
      <c r="BZ180" s="197"/>
      <c r="CA180" s="197"/>
      <c r="CB180" s="197"/>
      <c r="CC180" s="197"/>
      <c r="CD180" s="197"/>
      <c r="CE180" s="197"/>
      <c r="CF180" s="197"/>
      <c r="CG180" s="197"/>
      <c r="CH180" s="197"/>
      <c r="CI180" s="197"/>
      <c r="CJ180" s="197"/>
      <c r="CK180" s="197"/>
      <c r="CL180" s="197"/>
      <c r="CM180" s="197"/>
      <c r="CN180" s="197"/>
      <c r="CO180" s="197"/>
      <c r="CP180" s="197"/>
      <c r="CQ180" s="197"/>
      <c r="CR180" s="197"/>
      <c r="CS180" s="197"/>
      <c r="CT180" s="197"/>
      <c r="CU180" s="197"/>
      <c r="CV180" s="197"/>
      <c r="CW180" s="197"/>
      <c r="CX180" s="197"/>
      <c r="CY180" s="197"/>
      <c r="CZ180" s="197"/>
      <c r="DA180" s="197"/>
      <c r="DB180" s="197"/>
      <c r="DC180" s="197"/>
    </row>
    <row r="181" spans="2:107">
      <c r="B181" s="25" t="s">
        <v>1263</v>
      </c>
      <c r="C181" s="23"/>
      <c r="D181" s="15"/>
      <c r="E181" s="15"/>
      <c r="F181" s="15"/>
      <c r="G181" s="15"/>
      <c r="H181" s="15"/>
      <c r="I181" s="15"/>
      <c r="J181" s="15"/>
      <c r="K181" s="15"/>
      <c r="L181" s="23"/>
      <c r="M181" s="54"/>
      <c r="N181" s="27"/>
      <c r="O181" s="23"/>
      <c r="P181" s="23"/>
      <c r="Q181" s="23">
        <f>SUM(CB181:CE181)</f>
        <v>550</v>
      </c>
      <c r="R181" s="23">
        <f t="shared" si="159"/>
        <v>0</v>
      </c>
      <c r="S181" s="23">
        <f t="shared" si="160"/>
        <v>0</v>
      </c>
      <c r="T181" s="23">
        <f t="shared" si="161"/>
        <v>0</v>
      </c>
      <c r="U181" s="23">
        <f t="shared" si="162"/>
        <v>0</v>
      </c>
      <c r="V181" s="23">
        <f t="shared" si="163"/>
        <v>0</v>
      </c>
      <c r="W181" s="23">
        <f t="shared" si="164"/>
        <v>0</v>
      </c>
      <c r="X181" s="23"/>
      <c r="Y181" s="23"/>
      <c r="Z181" s="23"/>
      <c r="AA181" s="23"/>
      <c r="AB181" s="23"/>
      <c r="AC181" s="23"/>
      <c r="AD181" s="23"/>
      <c r="AE181" s="23"/>
      <c r="AF181" s="23"/>
      <c r="AG181" s="23"/>
      <c r="AH181" s="23"/>
      <c r="AI181" s="23"/>
      <c r="AJ181" s="23"/>
      <c r="AK181" s="23"/>
      <c r="AL181" s="23"/>
      <c r="AM181" s="23"/>
      <c r="AN181" s="23"/>
      <c r="AO181" s="23"/>
      <c r="AP181" s="23"/>
      <c r="AQ181" s="23"/>
      <c r="AR181" s="23"/>
      <c r="AS181" s="23"/>
      <c r="AT181" s="23"/>
      <c r="AU181" s="23"/>
      <c r="AV181" s="23"/>
      <c r="AW181" s="23"/>
      <c r="AX181" s="23"/>
      <c r="AY181" s="23"/>
      <c r="AZ181" s="23"/>
      <c r="BA181" s="23"/>
      <c r="BB181" s="23"/>
      <c r="BC181" s="23"/>
      <c r="BD181" s="36"/>
      <c r="BE181" s="36"/>
      <c r="BF181" s="36"/>
      <c r="BG181" s="36"/>
      <c r="BH181" s="36"/>
      <c r="BI181" s="36"/>
      <c r="BJ181" s="36"/>
      <c r="BK181" s="36"/>
      <c r="BL181" s="36"/>
      <c r="BM181" s="36"/>
      <c r="BN181" s="36"/>
      <c r="BO181" s="36"/>
      <c r="BP181" s="23"/>
      <c r="BQ181" s="35"/>
      <c r="BR181" s="35"/>
      <c r="BS181" s="23"/>
      <c r="BT181" s="23"/>
      <c r="BU181" s="35"/>
      <c r="BV181" s="197"/>
      <c r="BW181" s="197"/>
      <c r="BX181" s="117"/>
      <c r="BY181" s="197"/>
      <c r="BZ181" s="197"/>
      <c r="CA181" s="197"/>
      <c r="CB181" s="197"/>
      <c r="CC181" s="197"/>
      <c r="CD181" s="197">
        <v>550</v>
      </c>
      <c r="CE181" s="197"/>
      <c r="CF181" s="197"/>
      <c r="CG181" s="197"/>
      <c r="CH181" s="197"/>
      <c r="CI181" s="197"/>
      <c r="CJ181" s="197"/>
      <c r="CK181" s="197"/>
      <c r="CL181" s="197"/>
      <c r="CM181" s="197"/>
      <c r="CN181" s="197"/>
      <c r="CO181" s="197"/>
      <c r="CP181" s="197"/>
      <c r="CQ181" s="197"/>
      <c r="CR181" s="197"/>
      <c r="CS181" s="197"/>
      <c r="CT181" s="197"/>
      <c r="CU181" s="197"/>
      <c r="CV181" s="197"/>
      <c r="CW181" s="197"/>
      <c r="CX181" s="197"/>
      <c r="CY181" s="197"/>
      <c r="CZ181" s="197"/>
      <c r="DA181" s="197"/>
      <c r="DB181" s="197"/>
      <c r="DC181" s="197"/>
    </row>
    <row r="182" spans="2:107">
      <c r="B182" s="25" t="s">
        <v>273</v>
      </c>
      <c r="C182" s="23"/>
      <c r="D182" s="15"/>
      <c r="E182" s="15"/>
      <c r="F182" s="15"/>
      <c r="G182" s="15"/>
      <c r="H182" s="15"/>
      <c r="I182" s="15"/>
      <c r="J182" s="15"/>
      <c r="K182" s="15"/>
      <c r="L182" s="23"/>
      <c r="M182" s="54"/>
      <c r="N182" s="27"/>
      <c r="O182" s="23"/>
      <c r="P182" s="23"/>
      <c r="Q182" s="23"/>
      <c r="R182" s="23">
        <f t="shared" si="159"/>
        <v>0</v>
      </c>
      <c r="S182" s="23">
        <f t="shared" si="160"/>
        <v>450</v>
      </c>
      <c r="T182" s="23">
        <f t="shared" si="161"/>
        <v>0</v>
      </c>
      <c r="U182" s="23">
        <f t="shared" si="162"/>
        <v>0</v>
      </c>
      <c r="V182" s="23">
        <f t="shared" si="163"/>
        <v>0</v>
      </c>
      <c r="W182" s="23">
        <f t="shared" si="164"/>
        <v>0</v>
      </c>
      <c r="X182" s="23"/>
      <c r="Y182" s="23"/>
      <c r="Z182" s="23"/>
      <c r="AA182" s="23"/>
      <c r="AB182" s="23"/>
      <c r="AC182" s="23"/>
      <c r="AD182" s="23"/>
      <c r="AE182" s="23"/>
      <c r="AF182" s="23"/>
      <c r="AG182" s="23"/>
      <c r="AH182" s="23"/>
      <c r="AI182" s="23"/>
      <c r="AJ182" s="23"/>
      <c r="AK182" s="23"/>
      <c r="AL182" s="23"/>
      <c r="AM182" s="23"/>
      <c r="AN182" s="23"/>
      <c r="AO182" s="23"/>
      <c r="AP182" s="23"/>
      <c r="AQ182" s="23"/>
      <c r="AR182" s="23"/>
      <c r="AS182" s="23"/>
      <c r="AT182" s="23"/>
      <c r="AU182" s="23"/>
      <c r="AV182" s="23"/>
      <c r="AW182" s="23"/>
      <c r="AX182" s="23"/>
      <c r="AY182" s="23"/>
      <c r="AZ182" s="23"/>
      <c r="BA182" s="23"/>
      <c r="BB182" s="23"/>
      <c r="BC182" s="23"/>
      <c r="BD182" s="36"/>
      <c r="BE182" s="36"/>
      <c r="BF182" s="36"/>
      <c r="BG182" s="36"/>
      <c r="BH182" s="36"/>
      <c r="BI182" s="36"/>
      <c r="BJ182" s="36"/>
      <c r="BK182" s="36"/>
      <c r="BL182" s="36"/>
      <c r="BM182" s="36"/>
      <c r="BN182" s="36"/>
      <c r="BO182" s="36"/>
      <c r="BP182" s="23"/>
      <c r="BQ182" s="35"/>
      <c r="BR182" s="35"/>
      <c r="BS182" s="23"/>
      <c r="BT182" s="23"/>
      <c r="BU182" s="35"/>
      <c r="BV182" s="197"/>
      <c r="BW182" s="197"/>
      <c r="BX182" s="117"/>
      <c r="BY182" s="197"/>
      <c r="BZ182" s="197"/>
      <c r="CA182" s="197"/>
      <c r="CB182" s="197"/>
      <c r="CC182" s="197"/>
      <c r="CD182" s="197"/>
      <c r="CE182" s="197"/>
      <c r="CF182" s="197"/>
      <c r="CG182" s="197"/>
      <c r="CH182" s="197"/>
      <c r="CI182" s="197"/>
      <c r="CJ182" s="197">
        <v>450</v>
      </c>
      <c r="CK182" s="197"/>
      <c r="CL182" s="197"/>
      <c r="CM182" s="197"/>
      <c r="CN182" s="197"/>
      <c r="CO182" s="197"/>
      <c r="CP182" s="197"/>
      <c r="CQ182" s="197"/>
      <c r="CR182" s="197"/>
      <c r="CS182" s="197"/>
      <c r="CT182" s="197"/>
      <c r="CU182" s="197"/>
      <c r="CV182" s="197"/>
      <c r="CW182" s="197"/>
      <c r="CX182" s="197"/>
      <c r="CY182" s="197"/>
      <c r="CZ182" s="197"/>
      <c r="DA182" s="197"/>
      <c r="DB182" s="197"/>
      <c r="DC182" s="197"/>
    </row>
    <row r="183" spans="2:107">
      <c r="B183" s="1036" t="s">
        <v>2586</v>
      </c>
      <c r="C183" s="23"/>
      <c r="D183" s="15"/>
      <c r="E183" s="15"/>
      <c r="F183" s="15"/>
      <c r="G183" s="15"/>
      <c r="H183" s="15"/>
      <c r="I183" s="15"/>
      <c r="J183" s="15"/>
      <c r="K183" s="15"/>
      <c r="L183" s="23"/>
      <c r="M183" s="54"/>
      <c r="N183" s="27"/>
      <c r="O183" s="23"/>
      <c r="P183" s="23"/>
      <c r="Q183" s="23"/>
      <c r="R183" s="23">
        <f>+SUM(CF183:CI183)</f>
        <v>0</v>
      </c>
      <c r="S183" s="23">
        <f>+SUM(CJ183:CM183)</f>
        <v>0</v>
      </c>
      <c r="T183" s="23">
        <f>+SUM(CN183:CQ183)</f>
        <v>0</v>
      </c>
      <c r="U183" s="23">
        <f>+SUM(CR183:CU183)</f>
        <v>0</v>
      </c>
      <c r="V183" s="23">
        <f t="shared" si="163"/>
        <v>445</v>
      </c>
      <c r="W183" s="23">
        <f t="shared" si="164"/>
        <v>0</v>
      </c>
      <c r="X183" s="23"/>
      <c r="Y183" s="23"/>
      <c r="Z183" s="23"/>
      <c r="AA183" s="23"/>
      <c r="AB183" s="23"/>
      <c r="AC183" s="23"/>
      <c r="AD183" s="23"/>
      <c r="AE183" s="23"/>
      <c r="AF183" s="23"/>
      <c r="AG183" s="23"/>
      <c r="AH183" s="23"/>
      <c r="AI183" s="23"/>
      <c r="AJ183" s="23"/>
      <c r="AK183" s="23"/>
      <c r="AL183" s="23"/>
      <c r="AM183" s="23"/>
      <c r="AN183" s="23"/>
      <c r="AO183" s="23"/>
      <c r="AP183" s="23"/>
      <c r="AQ183" s="23"/>
      <c r="AR183" s="23"/>
      <c r="AS183" s="23"/>
      <c r="AT183" s="23"/>
      <c r="AU183" s="23"/>
      <c r="AV183" s="23"/>
      <c r="AW183" s="23"/>
      <c r="AX183" s="23"/>
      <c r="AY183" s="23"/>
      <c r="AZ183" s="23"/>
      <c r="BA183" s="23"/>
      <c r="BB183" s="23"/>
      <c r="BC183" s="23"/>
      <c r="BD183" s="36"/>
      <c r="BE183" s="36"/>
      <c r="BF183" s="36"/>
      <c r="BG183" s="36"/>
      <c r="BH183" s="36"/>
      <c r="BI183" s="36"/>
      <c r="BJ183" s="36"/>
      <c r="BK183" s="36"/>
      <c r="BL183" s="36"/>
      <c r="BM183" s="36"/>
      <c r="BN183" s="36"/>
      <c r="BO183" s="36"/>
      <c r="BP183" s="23"/>
      <c r="BQ183" s="35"/>
      <c r="BR183" s="35"/>
      <c r="BS183" s="23"/>
      <c r="BT183" s="23"/>
      <c r="BU183" s="35"/>
      <c r="BV183" s="197"/>
      <c r="BW183" s="197"/>
      <c r="BX183" s="117"/>
      <c r="BY183" s="197"/>
      <c r="BZ183" s="197"/>
      <c r="CA183" s="197"/>
      <c r="CB183" s="197"/>
      <c r="CC183" s="197"/>
      <c r="CD183" s="197"/>
      <c r="CE183" s="197"/>
      <c r="CF183" s="197"/>
      <c r="CG183" s="197"/>
      <c r="CH183" s="197"/>
      <c r="CI183" s="197"/>
      <c r="CJ183" s="197"/>
      <c r="CK183" s="197"/>
      <c r="CL183" s="197"/>
      <c r="CM183" s="197"/>
      <c r="CN183" s="2100"/>
      <c r="CO183" s="2100"/>
      <c r="CP183" s="2100"/>
      <c r="CQ183" s="117"/>
      <c r="CR183" s="117"/>
      <c r="CS183" s="117"/>
      <c r="CT183" s="117"/>
      <c r="CU183" s="117"/>
      <c r="CV183" s="117"/>
      <c r="CW183" s="117"/>
      <c r="CX183" s="117">
        <v>445</v>
      </c>
      <c r="CY183" s="117"/>
      <c r="CZ183" s="117"/>
      <c r="DA183" s="117"/>
      <c r="DB183" s="117"/>
      <c r="DC183" s="117"/>
    </row>
    <row r="184" spans="2:107">
      <c r="B184" s="1036" t="s">
        <v>2009</v>
      </c>
      <c r="C184" s="23"/>
      <c r="D184" s="15"/>
      <c r="E184" s="15"/>
      <c r="F184" s="15"/>
      <c r="G184" s="15"/>
      <c r="H184" s="15"/>
      <c r="I184" s="15"/>
      <c r="J184" s="15"/>
      <c r="K184" s="15"/>
      <c r="L184" s="23"/>
      <c r="M184" s="54"/>
      <c r="N184" s="27"/>
      <c r="O184" s="23"/>
      <c r="P184" s="23"/>
      <c r="Q184" s="23"/>
      <c r="R184" s="23">
        <f>+SUM(CF184:CI184)</f>
        <v>0</v>
      </c>
      <c r="S184" s="23">
        <f>+SUM(CJ184:CM184)</f>
        <v>0</v>
      </c>
      <c r="T184" s="23">
        <f t="shared" si="161"/>
        <v>1100</v>
      </c>
      <c r="U184" s="23">
        <f t="shared" si="162"/>
        <v>0</v>
      </c>
      <c r="V184" s="23">
        <f t="shared" si="163"/>
        <v>0</v>
      </c>
      <c r="W184" s="23">
        <f t="shared" si="164"/>
        <v>0</v>
      </c>
      <c r="X184" s="23"/>
      <c r="Y184" s="23"/>
      <c r="Z184" s="23"/>
      <c r="AA184" s="23"/>
      <c r="AB184" s="23"/>
      <c r="AC184" s="23"/>
      <c r="AD184" s="23"/>
      <c r="AE184" s="23"/>
      <c r="AF184" s="23"/>
      <c r="AG184" s="23"/>
      <c r="AH184" s="23"/>
      <c r="AI184" s="23"/>
      <c r="AJ184" s="23"/>
      <c r="AK184" s="23"/>
      <c r="AL184" s="23"/>
      <c r="AM184" s="23"/>
      <c r="AN184" s="23"/>
      <c r="AO184" s="23"/>
      <c r="AP184" s="23"/>
      <c r="AQ184" s="23"/>
      <c r="AR184" s="23"/>
      <c r="AS184" s="23"/>
      <c r="AT184" s="23"/>
      <c r="AU184" s="23"/>
      <c r="AV184" s="23"/>
      <c r="AW184" s="23"/>
      <c r="AX184" s="23"/>
      <c r="AY184" s="23"/>
      <c r="AZ184" s="23"/>
      <c r="BA184" s="23"/>
      <c r="BB184" s="23"/>
      <c r="BC184" s="23"/>
      <c r="BD184" s="36"/>
      <c r="BE184" s="36"/>
      <c r="BF184" s="36"/>
      <c r="BG184" s="36"/>
      <c r="BH184" s="36"/>
      <c r="BI184" s="36"/>
      <c r="BJ184" s="36"/>
      <c r="BK184" s="36"/>
      <c r="BL184" s="36"/>
      <c r="BM184" s="36"/>
      <c r="BN184" s="36"/>
      <c r="BO184" s="36"/>
      <c r="BP184" s="23"/>
      <c r="BQ184" s="35"/>
      <c r="BR184" s="35"/>
      <c r="BS184" s="23"/>
      <c r="BT184" s="23"/>
      <c r="BU184" s="35"/>
      <c r="BV184" s="197"/>
      <c r="BW184" s="197"/>
      <c r="BX184" s="117"/>
      <c r="BY184" s="197"/>
      <c r="BZ184" s="197"/>
      <c r="CA184" s="197"/>
      <c r="CB184" s="197"/>
      <c r="CC184" s="197"/>
      <c r="CD184" s="197"/>
      <c r="CE184" s="197"/>
      <c r="CF184" s="197"/>
      <c r="CG184" s="197"/>
      <c r="CH184" s="197"/>
      <c r="CI184" s="197"/>
      <c r="CJ184" s="197"/>
      <c r="CK184" s="197"/>
      <c r="CL184" s="197"/>
      <c r="CM184" s="197"/>
      <c r="CN184" s="2100"/>
      <c r="CO184" s="2100"/>
      <c r="CP184" s="2100"/>
      <c r="CQ184" s="117">
        <v>1100</v>
      </c>
      <c r="CR184" s="117"/>
      <c r="CS184" s="117"/>
      <c r="CT184" s="117"/>
      <c r="CU184" s="117"/>
      <c r="CV184" s="117"/>
      <c r="CW184" s="117"/>
      <c r="CX184" s="117"/>
      <c r="CY184" s="117"/>
      <c r="CZ184" s="117"/>
      <c r="DA184" s="117"/>
      <c r="DB184" s="117"/>
      <c r="DC184" s="117"/>
    </row>
    <row r="185" spans="2:107">
      <c r="B185" s="1036" t="s">
        <v>2529</v>
      </c>
      <c r="C185" s="23"/>
      <c r="D185" s="15"/>
      <c r="E185" s="15"/>
      <c r="F185" s="15"/>
      <c r="G185" s="15"/>
      <c r="H185" s="15"/>
      <c r="I185" s="15"/>
      <c r="J185" s="15"/>
      <c r="K185" s="15"/>
      <c r="L185" s="23"/>
      <c r="M185" s="54"/>
      <c r="N185" s="27"/>
      <c r="O185" s="23"/>
      <c r="P185" s="23"/>
      <c r="Q185" s="23"/>
      <c r="R185" s="23">
        <f>+SUM(CF185:CI185)</f>
        <v>0</v>
      </c>
      <c r="S185" s="23">
        <f>+SUM(CJ185:CM185)</f>
        <v>0</v>
      </c>
      <c r="T185" s="23">
        <f>+SUM(CN185:CQ185)</f>
        <v>0</v>
      </c>
      <c r="U185" s="23">
        <f>+SUM(CR185:CU185)</f>
        <v>230</v>
      </c>
      <c r="V185" s="23">
        <f t="shared" si="163"/>
        <v>0</v>
      </c>
      <c r="W185" s="23">
        <f t="shared" si="164"/>
        <v>0</v>
      </c>
      <c r="X185" s="23"/>
      <c r="Y185" s="23"/>
      <c r="Z185" s="23"/>
      <c r="AA185" s="23"/>
      <c r="AB185" s="23"/>
      <c r="AC185" s="23"/>
      <c r="AD185" s="23"/>
      <c r="AE185" s="23"/>
      <c r="AF185" s="23"/>
      <c r="AG185" s="23"/>
      <c r="AH185" s="23"/>
      <c r="AI185" s="23"/>
      <c r="AJ185" s="23"/>
      <c r="AK185" s="23"/>
      <c r="AL185" s="23"/>
      <c r="AM185" s="23"/>
      <c r="AN185" s="23"/>
      <c r="AO185" s="23"/>
      <c r="AP185" s="23"/>
      <c r="AQ185" s="23"/>
      <c r="AR185" s="23"/>
      <c r="AS185" s="23"/>
      <c r="AT185" s="23"/>
      <c r="AU185" s="23"/>
      <c r="AV185" s="23"/>
      <c r="AW185" s="23"/>
      <c r="AX185" s="23"/>
      <c r="AY185" s="23"/>
      <c r="AZ185" s="23"/>
      <c r="BA185" s="23"/>
      <c r="BB185" s="23"/>
      <c r="BC185" s="23"/>
      <c r="BD185" s="36"/>
      <c r="BE185" s="36"/>
      <c r="BF185" s="36"/>
      <c r="BG185" s="36"/>
      <c r="BH185" s="36"/>
      <c r="BI185" s="36"/>
      <c r="BJ185" s="36"/>
      <c r="BK185" s="36"/>
      <c r="BL185" s="36"/>
      <c r="BM185" s="36"/>
      <c r="BN185" s="36"/>
      <c r="BO185" s="36"/>
      <c r="BP185" s="23"/>
      <c r="BQ185" s="35"/>
      <c r="BR185" s="35"/>
      <c r="BS185" s="23"/>
      <c r="BT185" s="23"/>
      <c r="BU185" s="35"/>
      <c r="BV185" s="197"/>
      <c r="BW185" s="197"/>
      <c r="BX185" s="117"/>
      <c r="BY185" s="197"/>
      <c r="BZ185" s="197"/>
      <c r="CA185" s="197"/>
      <c r="CB185" s="197"/>
      <c r="CC185" s="197"/>
      <c r="CD185" s="197"/>
      <c r="CE185" s="197"/>
      <c r="CF185" s="197"/>
      <c r="CG185" s="197"/>
      <c r="CH185" s="197"/>
      <c r="CI185" s="197"/>
      <c r="CJ185" s="197"/>
      <c r="CK185" s="197"/>
      <c r="CL185" s="197"/>
      <c r="CM185" s="197"/>
      <c r="CN185" s="2100"/>
      <c r="CO185" s="2100"/>
      <c r="CP185" s="2100"/>
      <c r="CQ185" s="117"/>
      <c r="CR185" s="117"/>
      <c r="CS185" s="117"/>
      <c r="CT185" s="117"/>
      <c r="CU185" s="117">
        <v>230</v>
      </c>
      <c r="CV185" s="117"/>
      <c r="CW185" s="117"/>
      <c r="CX185" s="117"/>
      <c r="CY185" s="117"/>
      <c r="CZ185" s="117"/>
      <c r="DA185" s="117"/>
      <c r="DB185" s="117"/>
      <c r="DC185" s="117"/>
    </row>
    <row r="186" spans="2:107">
      <c r="B186" s="25" t="s">
        <v>993</v>
      </c>
      <c r="C186" s="23"/>
      <c r="D186" s="15"/>
      <c r="E186" s="15"/>
      <c r="F186" s="15"/>
      <c r="G186" s="15"/>
      <c r="H186" s="15"/>
      <c r="I186" s="15"/>
      <c r="J186" s="15"/>
      <c r="K186" s="15"/>
      <c r="L186" s="23"/>
      <c r="M186" s="54"/>
      <c r="N186" s="27"/>
      <c r="O186" s="23">
        <f>SUM(BT186:BW186)</f>
        <v>0</v>
      </c>
      <c r="P186" s="23">
        <f>SUM(BX186:CA186)</f>
        <v>0</v>
      </c>
      <c r="Q186" s="23">
        <f>SUM(CB186:CE186)</f>
        <v>0</v>
      </c>
      <c r="R186" s="23">
        <f t="shared" si="159"/>
        <v>0</v>
      </c>
      <c r="S186" s="23">
        <f t="shared" si="160"/>
        <v>0</v>
      </c>
      <c r="T186" s="23">
        <f t="shared" si="161"/>
        <v>0</v>
      </c>
      <c r="U186" s="23">
        <f t="shared" si="162"/>
        <v>0</v>
      </c>
      <c r="V186" s="23">
        <f t="shared" si="163"/>
        <v>0</v>
      </c>
      <c r="W186" s="23">
        <f t="shared" si="164"/>
        <v>0</v>
      </c>
      <c r="X186" s="23"/>
      <c r="Y186" s="23"/>
      <c r="Z186" s="23"/>
      <c r="AA186" s="23"/>
      <c r="AB186" s="23"/>
      <c r="AC186" s="23"/>
      <c r="AD186" s="23"/>
      <c r="AE186" s="23"/>
      <c r="AF186" s="23"/>
      <c r="AG186" s="23"/>
      <c r="AH186" s="23"/>
      <c r="AI186" s="23"/>
      <c r="AJ186" s="23"/>
      <c r="AK186" s="23"/>
      <c r="AL186" s="23"/>
      <c r="AM186" s="23"/>
      <c r="AN186" s="23"/>
      <c r="AO186" s="23"/>
      <c r="AP186" s="23"/>
      <c r="AQ186" s="23"/>
      <c r="AR186" s="23"/>
      <c r="AS186" s="23"/>
      <c r="AT186" s="23"/>
      <c r="AU186" s="23"/>
      <c r="AV186" s="23"/>
      <c r="AW186" s="23"/>
      <c r="AX186" s="23"/>
      <c r="AY186" s="23"/>
      <c r="AZ186" s="23"/>
      <c r="BA186" s="23"/>
      <c r="BB186" s="23"/>
      <c r="BC186" s="23"/>
      <c r="BD186" s="36"/>
      <c r="BE186" s="36"/>
      <c r="BF186" s="36"/>
      <c r="BG186" s="36"/>
      <c r="BH186" s="36"/>
      <c r="BI186" s="36"/>
      <c r="BJ186" s="36"/>
      <c r="BK186" s="36"/>
      <c r="BL186" s="36"/>
      <c r="BM186" s="36"/>
      <c r="BN186" s="36"/>
      <c r="BO186" s="36"/>
      <c r="BP186" s="23"/>
      <c r="BQ186" s="35"/>
      <c r="BR186" s="35"/>
      <c r="BS186" s="23"/>
      <c r="BT186" s="23"/>
      <c r="BU186" s="35"/>
      <c r="BV186" s="197"/>
      <c r="BW186" s="197"/>
      <c r="BX186" s="117"/>
      <c r="BY186" s="197"/>
      <c r="BZ186" s="197"/>
      <c r="CA186" s="197"/>
      <c r="CB186" s="197"/>
      <c r="CC186" s="197"/>
      <c r="CD186" s="197"/>
      <c r="CE186" s="197"/>
      <c r="CF186" s="197"/>
      <c r="CG186" s="197"/>
      <c r="CH186" s="197"/>
      <c r="CI186" s="197"/>
      <c r="CJ186" s="197"/>
      <c r="CK186" s="197"/>
      <c r="CL186" s="197"/>
      <c r="CM186" s="197"/>
      <c r="CN186" s="197"/>
      <c r="CO186" s="197"/>
      <c r="CP186" s="197"/>
      <c r="CQ186" s="197"/>
      <c r="CR186" s="197"/>
      <c r="CS186" s="197"/>
      <c r="CT186" s="197"/>
      <c r="CU186" s="197"/>
      <c r="CV186" s="197"/>
      <c r="CW186" s="197"/>
      <c r="CX186" s="197"/>
      <c r="CY186" s="197"/>
      <c r="CZ186" s="197"/>
      <c r="DA186" s="197"/>
      <c r="DB186" s="197"/>
      <c r="DC186" s="197"/>
    </row>
    <row r="187" spans="2:107">
      <c r="B187" s="25" t="s">
        <v>89</v>
      </c>
      <c r="C187" s="23"/>
      <c r="D187" s="15"/>
      <c r="E187" s="15"/>
      <c r="F187" s="15"/>
      <c r="G187" s="15"/>
      <c r="H187" s="15"/>
      <c r="I187" s="15"/>
      <c r="J187" s="15"/>
      <c r="K187" s="15"/>
      <c r="L187" s="23"/>
      <c r="M187" s="54"/>
      <c r="N187" s="27"/>
      <c r="O187" s="23"/>
      <c r="P187" s="23"/>
      <c r="Q187" s="23">
        <f>SUM(CB187:CE187)</f>
        <v>680</v>
      </c>
      <c r="R187" s="23">
        <f t="shared" si="159"/>
        <v>0</v>
      </c>
      <c r="S187" s="23">
        <f t="shared" si="160"/>
        <v>0</v>
      </c>
      <c r="T187" s="23">
        <f t="shared" si="161"/>
        <v>0</v>
      </c>
      <c r="U187" s="23">
        <f t="shared" si="162"/>
        <v>0</v>
      </c>
      <c r="V187" s="23">
        <f t="shared" si="163"/>
        <v>0</v>
      </c>
      <c r="W187" s="23">
        <f t="shared" si="164"/>
        <v>0</v>
      </c>
      <c r="X187" s="23"/>
      <c r="Y187" s="23"/>
      <c r="Z187" s="23"/>
      <c r="AA187" s="23"/>
      <c r="AB187" s="23"/>
      <c r="AC187" s="23"/>
      <c r="AD187" s="23"/>
      <c r="AE187" s="23"/>
      <c r="AF187" s="23"/>
      <c r="AG187" s="23"/>
      <c r="AH187" s="23"/>
      <c r="AI187" s="23"/>
      <c r="AJ187" s="23"/>
      <c r="AK187" s="23"/>
      <c r="AL187" s="23"/>
      <c r="AM187" s="23"/>
      <c r="AN187" s="23"/>
      <c r="AO187" s="23"/>
      <c r="AP187" s="23"/>
      <c r="AQ187" s="23"/>
      <c r="AR187" s="23"/>
      <c r="AS187" s="23"/>
      <c r="AT187" s="23"/>
      <c r="AU187" s="23"/>
      <c r="AV187" s="23"/>
      <c r="AW187" s="23"/>
      <c r="AX187" s="23"/>
      <c r="AY187" s="23"/>
      <c r="AZ187" s="23"/>
      <c r="BA187" s="23"/>
      <c r="BB187" s="23"/>
      <c r="BC187" s="23"/>
      <c r="BD187" s="36"/>
      <c r="BE187" s="36"/>
      <c r="BF187" s="36"/>
      <c r="BG187" s="36"/>
      <c r="BH187" s="36"/>
      <c r="BI187" s="36"/>
      <c r="BJ187" s="36"/>
      <c r="BK187" s="36"/>
      <c r="BL187" s="36"/>
      <c r="BM187" s="36"/>
      <c r="BN187" s="36"/>
      <c r="BO187" s="36"/>
      <c r="BP187" s="23"/>
      <c r="BQ187" s="35"/>
      <c r="BR187" s="35"/>
      <c r="BS187" s="23"/>
      <c r="BT187" s="23"/>
      <c r="BU187" s="35"/>
      <c r="BV187" s="197"/>
      <c r="BW187" s="197"/>
      <c r="BX187" s="117"/>
      <c r="BY187" s="197"/>
      <c r="BZ187" s="197"/>
      <c r="CA187" s="197"/>
      <c r="CB187" s="197"/>
      <c r="CC187" s="197"/>
      <c r="CD187" s="197"/>
      <c r="CE187" s="197">
        <v>680</v>
      </c>
      <c r="CF187" s="197"/>
      <c r="CG187" s="197"/>
      <c r="CH187" s="197"/>
      <c r="CI187" s="197"/>
      <c r="CJ187" s="197"/>
      <c r="CK187" s="197"/>
      <c r="CL187" s="197"/>
      <c r="CM187" s="197"/>
      <c r="CN187" s="197"/>
      <c r="CO187" s="197"/>
      <c r="CP187" s="197"/>
      <c r="CQ187" s="197"/>
      <c r="CR187" s="197"/>
      <c r="CS187" s="197"/>
      <c r="CT187" s="197"/>
      <c r="CU187" s="197"/>
      <c r="CV187" s="197"/>
      <c r="CW187" s="197"/>
      <c r="CX187" s="197"/>
      <c r="CY187" s="197"/>
      <c r="CZ187" s="197"/>
      <c r="DA187" s="197"/>
      <c r="DB187" s="197"/>
      <c r="DC187" s="197"/>
    </row>
    <row r="188" spans="2:107">
      <c r="B188" s="25" t="s">
        <v>272</v>
      </c>
      <c r="C188" s="23"/>
      <c r="D188" s="15"/>
      <c r="E188" s="15"/>
      <c r="F188" s="15"/>
      <c r="G188" s="15"/>
      <c r="H188" s="15"/>
      <c r="I188" s="15"/>
      <c r="J188" s="15"/>
      <c r="K188" s="15"/>
      <c r="L188" s="23"/>
      <c r="M188" s="54"/>
      <c r="N188" s="27"/>
      <c r="O188" s="23"/>
      <c r="P188" s="23"/>
      <c r="Q188" s="23"/>
      <c r="R188" s="23">
        <f t="shared" si="159"/>
        <v>680</v>
      </c>
      <c r="S188" s="23">
        <f t="shared" si="160"/>
        <v>0</v>
      </c>
      <c r="T188" s="23">
        <f t="shared" si="161"/>
        <v>0</v>
      </c>
      <c r="U188" s="23">
        <f t="shared" si="162"/>
        <v>0</v>
      </c>
      <c r="V188" s="23">
        <f t="shared" si="163"/>
        <v>0</v>
      </c>
      <c r="W188" s="23">
        <f t="shared" si="164"/>
        <v>0</v>
      </c>
      <c r="X188" s="23"/>
      <c r="Y188" s="23"/>
      <c r="Z188" s="23"/>
      <c r="AA188" s="23"/>
      <c r="AB188" s="23"/>
      <c r="AC188" s="23"/>
      <c r="AD188" s="23"/>
      <c r="AE188" s="23"/>
      <c r="AF188" s="23"/>
      <c r="AG188" s="23"/>
      <c r="AH188" s="23"/>
      <c r="AI188" s="23"/>
      <c r="AJ188" s="23"/>
      <c r="AK188" s="23"/>
      <c r="AL188" s="23"/>
      <c r="AM188" s="23"/>
      <c r="AN188" s="23"/>
      <c r="AO188" s="23"/>
      <c r="AP188" s="23"/>
      <c r="AQ188" s="23"/>
      <c r="AR188" s="23"/>
      <c r="AS188" s="23"/>
      <c r="AT188" s="23"/>
      <c r="AU188" s="23"/>
      <c r="AV188" s="23"/>
      <c r="AW188" s="23"/>
      <c r="AX188" s="23"/>
      <c r="AY188" s="23"/>
      <c r="AZ188" s="23"/>
      <c r="BA188" s="23"/>
      <c r="BB188" s="23"/>
      <c r="BC188" s="23"/>
      <c r="BD188" s="36"/>
      <c r="BE188" s="36"/>
      <c r="BF188" s="36"/>
      <c r="BG188" s="36"/>
      <c r="BH188" s="36"/>
      <c r="BI188" s="36"/>
      <c r="BJ188" s="36"/>
      <c r="BK188" s="36"/>
      <c r="BL188" s="36"/>
      <c r="BM188" s="36"/>
      <c r="BN188" s="36"/>
      <c r="BO188" s="36"/>
      <c r="BP188" s="23"/>
      <c r="BQ188" s="35"/>
      <c r="BR188" s="35"/>
      <c r="BS188" s="23"/>
      <c r="BT188" s="23"/>
      <c r="BU188" s="35"/>
      <c r="BV188" s="197"/>
      <c r="BW188" s="197"/>
      <c r="BX188" s="117"/>
      <c r="BY188" s="197"/>
      <c r="BZ188" s="197"/>
      <c r="CA188" s="197"/>
      <c r="CB188" s="197"/>
      <c r="CC188" s="197"/>
      <c r="CD188" s="197"/>
      <c r="CE188" s="197"/>
      <c r="CF188" s="197"/>
      <c r="CG188" s="197"/>
      <c r="CH188" s="197"/>
      <c r="CI188" s="197">
        <v>680</v>
      </c>
      <c r="CJ188" s="197"/>
      <c r="CK188" s="197"/>
      <c r="CL188" s="197"/>
      <c r="CM188" s="197"/>
      <c r="CN188" s="197"/>
      <c r="CO188" s="197"/>
      <c r="CP188" s="197"/>
      <c r="CQ188" s="197"/>
      <c r="CR188" s="197"/>
      <c r="CS188" s="197"/>
      <c r="CT188" s="197"/>
      <c r="CU188" s="197"/>
      <c r="CV188" s="197"/>
      <c r="CW188" s="197"/>
      <c r="CX188" s="197"/>
      <c r="CY188" s="197"/>
      <c r="CZ188" s="197"/>
      <c r="DA188" s="197"/>
      <c r="DB188" s="197"/>
      <c r="DC188" s="197"/>
    </row>
    <row r="189" spans="2:107">
      <c r="B189" s="1036" t="s">
        <v>1978</v>
      </c>
      <c r="C189" s="23"/>
      <c r="D189" s="15"/>
      <c r="E189" s="15"/>
      <c r="F189" s="15"/>
      <c r="G189" s="15"/>
      <c r="H189" s="15"/>
      <c r="I189" s="15"/>
      <c r="J189" s="15"/>
      <c r="K189" s="15"/>
      <c r="L189" s="23"/>
      <c r="M189" s="54"/>
      <c r="N189" s="27"/>
      <c r="O189" s="23"/>
      <c r="P189" s="23"/>
      <c r="Q189" s="23"/>
      <c r="R189" s="23">
        <f>+SUM(CF189:CI189)</f>
        <v>0</v>
      </c>
      <c r="S189" s="23">
        <f>+SUM(CJ189:CM189)</f>
        <v>0</v>
      </c>
      <c r="T189" s="23">
        <f t="shared" si="161"/>
        <v>950</v>
      </c>
      <c r="U189" s="23">
        <f t="shared" si="162"/>
        <v>0</v>
      </c>
      <c r="V189" s="23">
        <f t="shared" si="163"/>
        <v>0</v>
      </c>
      <c r="W189" s="23">
        <f t="shared" si="164"/>
        <v>0</v>
      </c>
      <c r="X189" s="23"/>
      <c r="Y189" s="23"/>
      <c r="Z189" s="23"/>
      <c r="AA189" s="23"/>
      <c r="AB189" s="23"/>
      <c r="AC189" s="23"/>
      <c r="AD189" s="23"/>
      <c r="AE189" s="23"/>
      <c r="AF189" s="23"/>
      <c r="AG189" s="23"/>
      <c r="AH189" s="23"/>
      <c r="AI189" s="23"/>
      <c r="AJ189" s="23"/>
      <c r="AK189" s="23"/>
      <c r="AL189" s="23"/>
      <c r="AM189" s="23"/>
      <c r="AN189" s="23"/>
      <c r="AO189" s="23"/>
      <c r="AP189" s="23"/>
      <c r="AQ189" s="23"/>
      <c r="AR189" s="23"/>
      <c r="AS189" s="23"/>
      <c r="AT189" s="23"/>
      <c r="AU189" s="23"/>
      <c r="AV189" s="23"/>
      <c r="AW189" s="23"/>
      <c r="AX189" s="23"/>
      <c r="AY189" s="23"/>
      <c r="AZ189" s="23"/>
      <c r="BA189" s="23"/>
      <c r="BB189" s="23"/>
      <c r="BC189" s="23"/>
      <c r="BD189" s="36"/>
      <c r="BE189" s="36"/>
      <c r="BF189" s="36"/>
      <c r="BG189" s="36"/>
      <c r="BH189" s="36"/>
      <c r="BI189" s="36"/>
      <c r="BJ189" s="36"/>
      <c r="BK189" s="36"/>
      <c r="BL189" s="36"/>
      <c r="BM189" s="36"/>
      <c r="BN189" s="36"/>
      <c r="BO189" s="36"/>
      <c r="BP189" s="23"/>
      <c r="BQ189" s="35"/>
      <c r="BR189" s="35"/>
      <c r="BS189" s="23"/>
      <c r="BT189" s="23"/>
      <c r="BU189" s="35"/>
      <c r="BV189" s="197"/>
      <c r="BW189" s="197"/>
      <c r="BX189" s="117"/>
      <c r="BY189" s="197"/>
      <c r="BZ189" s="197"/>
      <c r="CA189" s="197"/>
      <c r="CB189" s="197"/>
      <c r="CC189" s="197"/>
      <c r="CD189" s="197"/>
      <c r="CE189" s="197"/>
      <c r="CF189" s="197"/>
      <c r="CG189" s="197"/>
      <c r="CH189" s="197"/>
      <c r="CI189" s="197"/>
      <c r="CJ189" s="197"/>
      <c r="CK189" s="197"/>
      <c r="CL189" s="197"/>
      <c r="CM189" s="197"/>
      <c r="CN189" s="197"/>
      <c r="CO189" s="197"/>
      <c r="CP189" s="197"/>
      <c r="CQ189" s="197">
        <v>950</v>
      </c>
      <c r="CR189" s="197"/>
      <c r="CS189" s="197"/>
      <c r="CT189" s="197"/>
      <c r="CU189" s="197"/>
      <c r="CV189" s="197"/>
      <c r="CW189" s="197"/>
      <c r="CX189" s="197"/>
      <c r="CY189" s="197"/>
      <c r="CZ189" s="197"/>
      <c r="DA189" s="197"/>
      <c r="DB189" s="197"/>
      <c r="DC189" s="197"/>
    </row>
    <row r="190" spans="2:107">
      <c r="B190" s="25" t="s">
        <v>91</v>
      </c>
      <c r="C190" s="23"/>
      <c r="D190" s="15"/>
      <c r="E190" s="15"/>
      <c r="F190" s="15"/>
      <c r="G190" s="15"/>
      <c r="H190" s="15"/>
      <c r="I190" s="15"/>
      <c r="J190" s="15"/>
      <c r="K190" s="15"/>
      <c r="L190" s="23"/>
      <c r="M190" s="54"/>
      <c r="N190" s="27"/>
      <c r="O190" s="23"/>
      <c r="P190" s="23"/>
      <c r="Q190" s="23"/>
      <c r="R190" s="23">
        <f t="shared" si="159"/>
        <v>1200</v>
      </c>
      <c r="S190" s="23">
        <f t="shared" si="160"/>
        <v>0</v>
      </c>
      <c r="T190" s="23">
        <f t="shared" si="161"/>
        <v>0</v>
      </c>
      <c r="U190" s="23">
        <f t="shared" si="162"/>
        <v>0</v>
      </c>
      <c r="V190" s="23">
        <f t="shared" si="163"/>
        <v>0</v>
      </c>
      <c r="W190" s="23">
        <f t="shared" si="164"/>
        <v>0</v>
      </c>
      <c r="X190" s="23"/>
      <c r="Y190" s="23"/>
      <c r="Z190" s="23"/>
      <c r="AA190" s="23"/>
      <c r="AB190" s="23"/>
      <c r="AC190" s="23"/>
      <c r="AD190" s="23"/>
      <c r="AE190" s="23"/>
      <c r="AF190" s="23"/>
      <c r="AG190" s="23"/>
      <c r="AH190" s="23"/>
      <c r="AI190" s="23"/>
      <c r="AJ190" s="23"/>
      <c r="AK190" s="23"/>
      <c r="AL190" s="23"/>
      <c r="AM190" s="23"/>
      <c r="AN190" s="23"/>
      <c r="AO190" s="23"/>
      <c r="AP190" s="23"/>
      <c r="AQ190" s="23"/>
      <c r="AR190" s="23"/>
      <c r="AS190" s="23"/>
      <c r="AT190" s="23"/>
      <c r="AU190" s="23"/>
      <c r="AV190" s="23"/>
      <c r="AW190" s="23"/>
      <c r="AX190" s="23"/>
      <c r="AY190" s="23"/>
      <c r="AZ190" s="23"/>
      <c r="BA190" s="23"/>
      <c r="BB190" s="23"/>
      <c r="BC190" s="23"/>
      <c r="BD190" s="36"/>
      <c r="BE190" s="36"/>
      <c r="BF190" s="36"/>
      <c r="BG190" s="36"/>
      <c r="BH190" s="36"/>
      <c r="BI190" s="36"/>
      <c r="BJ190" s="36"/>
      <c r="BK190" s="36"/>
      <c r="BL190" s="36"/>
      <c r="BM190" s="36"/>
      <c r="BN190" s="36"/>
      <c r="BO190" s="36"/>
      <c r="BP190" s="23"/>
      <c r="BQ190" s="35"/>
      <c r="BR190" s="35"/>
      <c r="BS190" s="23"/>
      <c r="BT190" s="23"/>
      <c r="BU190" s="35"/>
      <c r="BV190" s="197"/>
      <c r="BW190" s="197"/>
      <c r="BX190" s="117"/>
      <c r="BY190" s="197"/>
      <c r="BZ190" s="197"/>
      <c r="CA190" s="197"/>
      <c r="CB190" s="197"/>
      <c r="CC190" s="197"/>
      <c r="CD190" s="197"/>
      <c r="CE190" s="197"/>
      <c r="CF190" s="197">
        <v>1200</v>
      </c>
      <c r="CG190" s="197"/>
      <c r="CH190" s="197"/>
      <c r="CI190" s="197"/>
      <c r="CJ190" s="197"/>
      <c r="CK190" s="197"/>
      <c r="CL190" s="197"/>
      <c r="CM190" s="197"/>
      <c r="CN190" s="197"/>
      <c r="CO190" s="197"/>
      <c r="CP190" s="197"/>
      <c r="CQ190" s="197"/>
      <c r="CR190" s="197"/>
      <c r="CS190" s="197"/>
      <c r="CT190" s="197"/>
      <c r="CU190" s="197"/>
      <c r="CV190" s="197"/>
      <c r="CW190" s="197"/>
      <c r="CX190" s="197"/>
      <c r="CY190" s="197"/>
      <c r="CZ190" s="197"/>
      <c r="DA190" s="197"/>
      <c r="DB190" s="197"/>
      <c r="DC190" s="197"/>
    </row>
    <row r="191" spans="2:107">
      <c r="B191" s="1036" t="s">
        <v>1879</v>
      </c>
      <c r="C191" s="23"/>
      <c r="D191" s="15"/>
      <c r="E191" s="15"/>
      <c r="F191" s="15"/>
      <c r="G191" s="15"/>
      <c r="H191" s="15"/>
      <c r="I191" s="15"/>
      <c r="J191" s="15"/>
      <c r="K191" s="15"/>
      <c r="L191" s="23"/>
      <c r="M191" s="54"/>
      <c r="N191" s="27"/>
      <c r="O191" s="23"/>
      <c r="P191" s="23"/>
      <c r="Q191" s="23"/>
      <c r="R191" s="23">
        <f>+SUM(CF191:CI191)</f>
        <v>0</v>
      </c>
      <c r="S191" s="23">
        <f>+SUM(CJ191:CM191)</f>
        <v>0</v>
      </c>
      <c r="T191" s="23">
        <f t="shared" si="161"/>
        <v>390</v>
      </c>
      <c r="U191" s="23">
        <f t="shared" si="162"/>
        <v>0</v>
      </c>
      <c r="V191" s="23">
        <f t="shared" si="163"/>
        <v>0</v>
      </c>
      <c r="W191" s="23">
        <f t="shared" si="164"/>
        <v>0</v>
      </c>
      <c r="X191" s="23"/>
      <c r="Y191" s="23"/>
      <c r="Z191" s="23"/>
      <c r="AA191" s="23"/>
      <c r="AB191" s="23"/>
      <c r="AC191" s="23"/>
      <c r="AD191" s="23"/>
      <c r="AE191" s="23"/>
      <c r="AF191" s="23"/>
      <c r="AG191" s="23"/>
      <c r="AH191" s="23"/>
      <c r="AI191" s="23"/>
      <c r="AJ191" s="23"/>
      <c r="AK191" s="23"/>
      <c r="AL191" s="23"/>
      <c r="AM191" s="23"/>
      <c r="AN191" s="23"/>
      <c r="AO191" s="23"/>
      <c r="AP191" s="23"/>
      <c r="AQ191" s="23"/>
      <c r="AR191" s="23"/>
      <c r="AS191" s="23"/>
      <c r="AT191" s="23"/>
      <c r="AU191" s="23"/>
      <c r="AV191" s="23"/>
      <c r="AW191" s="23"/>
      <c r="AX191" s="23"/>
      <c r="AY191" s="23"/>
      <c r="AZ191" s="23"/>
      <c r="BA191" s="23"/>
      <c r="BB191" s="23"/>
      <c r="BC191" s="23"/>
      <c r="BD191" s="36"/>
      <c r="BE191" s="36"/>
      <c r="BF191" s="36"/>
      <c r="BG191" s="36"/>
      <c r="BH191" s="36"/>
      <c r="BI191" s="36"/>
      <c r="BJ191" s="36"/>
      <c r="BK191" s="36"/>
      <c r="BL191" s="36"/>
      <c r="BM191" s="36"/>
      <c r="BN191" s="36"/>
      <c r="BO191" s="36"/>
      <c r="BP191" s="23"/>
      <c r="BQ191" s="35"/>
      <c r="BR191" s="35"/>
      <c r="BS191" s="23"/>
      <c r="BT191" s="23"/>
      <c r="BU191" s="35"/>
      <c r="BV191" s="197"/>
      <c r="BW191" s="197"/>
      <c r="BX191" s="117"/>
      <c r="BY191" s="197"/>
      <c r="BZ191" s="197"/>
      <c r="CA191" s="197"/>
      <c r="CB191" s="197"/>
      <c r="CC191" s="197"/>
      <c r="CD191" s="197"/>
      <c r="CE191" s="197"/>
      <c r="CF191" s="197"/>
      <c r="CG191" s="197"/>
      <c r="CH191" s="197"/>
      <c r="CI191" s="197"/>
      <c r="CJ191" s="197"/>
      <c r="CK191" s="197"/>
      <c r="CL191" s="197"/>
      <c r="CM191" s="197"/>
      <c r="CN191" s="197"/>
      <c r="CO191" s="197"/>
      <c r="CP191" s="31">
        <v>390</v>
      </c>
      <c r="CQ191" s="197"/>
      <c r="CR191" s="197"/>
      <c r="CS191" s="197"/>
      <c r="CT191" s="197"/>
      <c r="CU191" s="197"/>
      <c r="CV191" s="197"/>
      <c r="CW191" s="197"/>
      <c r="CX191" s="197"/>
      <c r="CY191" s="197"/>
      <c r="CZ191" s="197"/>
      <c r="DA191" s="197"/>
      <c r="DB191" s="197"/>
      <c r="DC191" s="197"/>
    </row>
    <row r="192" spans="2:107" s="15" customFormat="1">
      <c r="B192" s="1036" t="s">
        <v>2530</v>
      </c>
      <c r="C192" s="23"/>
      <c r="L192" s="23"/>
      <c r="M192" s="54"/>
      <c r="N192" s="27"/>
      <c r="O192" s="23"/>
      <c r="P192" s="23"/>
      <c r="Q192" s="23"/>
      <c r="R192" s="23">
        <f>+SUM(CF192:CI192)</f>
        <v>0</v>
      </c>
      <c r="S192" s="23">
        <f>+SUM(CJ192:CM192)</f>
        <v>0</v>
      </c>
      <c r="T192" s="23">
        <f>+SUM(CN192:CQ192)</f>
        <v>0</v>
      </c>
      <c r="U192" s="23">
        <f>+SUM(CR192:CU192)</f>
        <v>1745</v>
      </c>
      <c r="V192" s="23">
        <f t="shared" si="163"/>
        <v>0</v>
      </c>
      <c r="W192" s="23">
        <f t="shared" si="164"/>
        <v>0</v>
      </c>
      <c r="X192" s="23"/>
      <c r="Y192" s="23"/>
      <c r="Z192" s="23"/>
      <c r="AA192" s="23"/>
      <c r="AB192" s="23"/>
      <c r="AC192" s="23"/>
      <c r="AD192" s="23"/>
      <c r="AE192" s="23"/>
      <c r="AF192" s="23"/>
      <c r="AG192" s="23"/>
      <c r="AH192" s="23"/>
      <c r="AI192" s="23"/>
      <c r="AJ192" s="23"/>
      <c r="AK192" s="23"/>
      <c r="AL192" s="23"/>
      <c r="AM192" s="23"/>
      <c r="AN192" s="23"/>
      <c r="AO192" s="23"/>
      <c r="AP192" s="23"/>
      <c r="AQ192" s="23"/>
      <c r="AR192" s="23"/>
      <c r="AS192" s="23"/>
      <c r="AT192" s="23"/>
      <c r="AU192" s="23"/>
      <c r="AV192" s="23"/>
      <c r="AW192" s="23"/>
      <c r="AX192" s="23"/>
      <c r="AY192" s="23"/>
      <c r="AZ192" s="23"/>
      <c r="BA192" s="23"/>
      <c r="BB192" s="23"/>
      <c r="BC192" s="23"/>
      <c r="BD192" s="36"/>
      <c r="BE192" s="36"/>
      <c r="BF192" s="36"/>
      <c r="BG192" s="36"/>
      <c r="BH192" s="36"/>
      <c r="BI192" s="36"/>
      <c r="BJ192" s="36"/>
      <c r="BK192" s="36"/>
      <c r="BL192" s="36"/>
      <c r="BM192" s="36"/>
      <c r="BN192" s="36"/>
      <c r="BO192" s="36"/>
      <c r="BP192" s="23"/>
      <c r="BQ192" s="35"/>
      <c r="BR192" s="35"/>
      <c r="BS192" s="23"/>
      <c r="BT192" s="23"/>
      <c r="BU192" s="35"/>
      <c r="BV192" s="197"/>
      <c r="BW192" s="197"/>
      <c r="BX192" s="117"/>
      <c r="BY192" s="197"/>
      <c r="BZ192" s="197"/>
      <c r="CA192" s="197"/>
      <c r="CB192" s="197"/>
      <c r="CC192" s="197"/>
      <c r="CD192" s="197"/>
      <c r="CE192" s="197"/>
      <c r="CF192" s="197"/>
      <c r="CG192" s="197"/>
      <c r="CH192" s="197"/>
      <c r="CI192" s="197"/>
      <c r="CJ192" s="197"/>
      <c r="CK192" s="197"/>
      <c r="CL192"/>
      <c r="CM192"/>
      <c r="CN192"/>
      <c r="CO192"/>
      <c r="CP192" s="197"/>
      <c r="CQ192" s="197"/>
      <c r="CR192" s="197"/>
      <c r="CS192" s="197"/>
      <c r="CT192" s="197"/>
      <c r="CU192" s="197">
        <v>1745</v>
      </c>
      <c r="CV192" s="197"/>
      <c r="CW192" s="197"/>
      <c r="CX192" s="197"/>
      <c r="CY192" s="197"/>
      <c r="CZ192" s="197"/>
      <c r="DA192" s="197"/>
      <c r="DB192" s="197"/>
      <c r="DC192" s="197"/>
    </row>
    <row r="193" spans="2:107" s="15" customFormat="1">
      <c r="B193" s="1036" t="s">
        <v>2564</v>
      </c>
      <c r="C193" s="23"/>
      <c r="L193" s="23"/>
      <c r="M193" s="54"/>
      <c r="N193" s="27"/>
      <c r="O193" s="23"/>
      <c r="P193" s="23"/>
      <c r="Q193" s="23"/>
      <c r="R193" s="23">
        <f>+SUM(CF193:CI193)</f>
        <v>0</v>
      </c>
      <c r="S193" s="23">
        <f>+SUM(CJ193:CM193)</f>
        <v>0</v>
      </c>
      <c r="T193" s="23">
        <f>+SUM(CN193:CQ193)</f>
        <v>0</v>
      </c>
      <c r="U193" s="23">
        <f>+SUM(CR193:CU193)</f>
        <v>0</v>
      </c>
      <c r="V193" s="23">
        <f t="shared" si="163"/>
        <v>1500</v>
      </c>
      <c r="W193" s="23">
        <f t="shared" si="164"/>
        <v>0</v>
      </c>
      <c r="X193" s="23"/>
      <c r="Y193" s="23"/>
      <c r="Z193" s="23"/>
      <c r="AA193" s="23"/>
      <c r="AB193" s="23"/>
      <c r="AC193" s="23"/>
      <c r="AD193" s="23"/>
      <c r="AE193" s="23"/>
      <c r="AF193" s="23"/>
      <c r="AG193" s="23"/>
      <c r="AH193" s="23"/>
      <c r="AI193" s="23"/>
      <c r="AJ193" s="23"/>
      <c r="AK193" s="23"/>
      <c r="AL193" s="23"/>
      <c r="AM193" s="23"/>
      <c r="AN193" s="23"/>
      <c r="AO193" s="23"/>
      <c r="AP193" s="23"/>
      <c r="AQ193" s="23"/>
      <c r="AR193" s="23"/>
      <c r="AS193" s="23"/>
      <c r="AT193" s="23"/>
      <c r="AU193" s="23"/>
      <c r="AV193" s="23"/>
      <c r="AW193" s="23"/>
      <c r="AX193" s="23"/>
      <c r="AY193" s="23"/>
      <c r="AZ193" s="23"/>
      <c r="BA193" s="23"/>
      <c r="BB193" s="23"/>
      <c r="BC193" s="23"/>
      <c r="BD193" s="36"/>
      <c r="BE193" s="36"/>
      <c r="BF193" s="36"/>
      <c r="BG193" s="36"/>
      <c r="BH193" s="36"/>
      <c r="BI193" s="36"/>
      <c r="BJ193" s="36"/>
      <c r="BK193" s="36"/>
      <c r="BL193" s="36"/>
      <c r="BM193" s="36"/>
      <c r="BN193" s="36"/>
      <c r="BO193" s="36"/>
      <c r="BP193" s="23"/>
      <c r="BQ193" s="35"/>
      <c r="BR193" s="35"/>
      <c r="BS193" s="23"/>
      <c r="BT193" s="23"/>
      <c r="BU193" s="35"/>
      <c r="BV193" s="197"/>
      <c r="BW193" s="197"/>
      <c r="BX193" s="117"/>
      <c r="BY193" s="197"/>
      <c r="BZ193" s="197"/>
      <c r="CA193" s="197"/>
      <c r="CB193" s="197"/>
      <c r="CC193" s="197"/>
      <c r="CD193" s="197"/>
      <c r="CE193" s="197"/>
      <c r="CF193" s="197"/>
      <c r="CG193" s="197"/>
      <c r="CH193" s="197"/>
      <c r="CI193" s="197"/>
      <c r="CJ193" s="197"/>
      <c r="CK193" s="197"/>
      <c r="CL193"/>
      <c r="CM193"/>
      <c r="CN193"/>
      <c r="CO193"/>
      <c r="CP193" s="197"/>
      <c r="CQ193" s="197"/>
      <c r="CR193" s="197"/>
      <c r="CS193" s="197"/>
      <c r="CT193" s="197"/>
      <c r="CU193" s="197"/>
      <c r="CV193" s="197"/>
      <c r="CW193" s="197"/>
      <c r="CX193" s="197">
        <v>1500</v>
      </c>
      <c r="CY193" s="197"/>
      <c r="CZ193" s="197"/>
      <c r="DA193" s="197"/>
      <c r="DB193" s="197"/>
      <c r="DC193" s="197"/>
    </row>
    <row r="194" spans="2:107" s="15" customFormat="1">
      <c r="B194" s="1036" t="s">
        <v>2760</v>
      </c>
      <c r="C194" s="23"/>
      <c r="L194" s="23"/>
      <c r="M194" s="54"/>
      <c r="N194" s="27"/>
      <c r="O194" s="23"/>
      <c r="P194" s="23"/>
      <c r="Q194" s="23"/>
      <c r="R194" s="23">
        <f>+SUM(CF194:CI194)</f>
        <v>0</v>
      </c>
      <c r="S194" s="23">
        <f>+SUM(CJ194:CM194)</f>
        <v>0</v>
      </c>
      <c r="T194" s="23">
        <f t="shared" ref="T194" si="166">+SUM(CN194:CQ194)</f>
        <v>0</v>
      </c>
      <c r="U194" s="23">
        <f t="shared" ref="U194" si="167">+SUM(CR194:CU194)</f>
        <v>0</v>
      </c>
      <c r="V194" s="23">
        <f t="shared" si="163"/>
        <v>0</v>
      </c>
      <c r="W194" s="23">
        <f t="shared" ref="W194" si="168">+SUM(CZ194:DC194)</f>
        <v>1500</v>
      </c>
      <c r="X194" s="23"/>
      <c r="Y194" s="23"/>
      <c r="Z194" s="23"/>
      <c r="AA194" s="23"/>
      <c r="AB194" s="23"/>
      <c r="AC194" s="23"/>
      <c r="AD194" s="23"/>
      <c r="AE194" s="23"/>
      <c r="AF194" s="23"/>
      <c r="AG194" s="23"/>
      <c r="AH194" s="23"/>
      <c r="AI194" s="23"/>
      <c r="AJ194" s="23"/>
      <c r="AK194" s="23"/>
      <c r="AL194" s="23"/>
      <c r="AM194" s="23"/>
      <c r="AN194" s="23"/>
      <c r="AO194" s="23"/>
      <c r="AP194" s="23"/>
      <c r="AQ194" s="23"/>
      <c r="AR194" s="23"/>
      <c r="AS194" s="23"/>
      <c r="AT194" s="23"/>
      <c r="AU194" s="23"/>
      <c r="AV194" s="23"/>
      <c r="AW194" s="23"/>
      <c r="AX194" s="23"/>
      <c r="AY194" s="23"/>
      <c r="AZ194" s="23"/>
      <c r="BA194" s="23"/>
      <c r="BB194" s="23"/>
      <c r="BC194" s="23"/>
      <c r="BD194" s="36"/>
      <c r="BE194" s="36"/>
      <c r="BF194" s="36"/>
      <c r="BG194" s="36"/>
      <c r="BH194" s="36"/>
      <c r="BI194" s="36"/>
      <c r="BJ194" s="36"/>
      <c r="BK194" s="36"/>
      <c r="BL194" s="36"/>
      <c r="BM194" s="36"/>
      <c r="BN194" s="36"/>
      <c r="BO194" s="36"/>
      <c r="BP194" s="23"/>
      <c r="BQ194" s="35"/>
      <c r="BR194" s="35"/>
      <c r="BS194" s="23"/>
      <c r="BT194" s="23"/>
      <c r="BU194" s="35"/>
      <c r="BV194" s="197"/>
      <c r="BW194" s="197"/>
      <c r="BX194" s="117"/>
      <c r="BY194" s="197"/>
      <c r="BZ194" s="197"/>
      <c r="CA194" s="197"/>
      <c r="CB194" s="197"/>
      <c r="CC194" s="197"/>
      <c r="CD194" s="197"/>
      <c r="CE194" s="197"/>
      <c r="CF194" s="197"/>
      <c r="CG194" s="197"/>
      <c r="CH194" s="197"/>
      <c r="CI194" s="197"/>
      <c r="CJ194" s="197"/>
      <c r="CK194" s="197"/>
      <c r="CL194"/>
      <c r="CM194"/>
      <c r="CN194"/>
      <c r="CO194"/>
      <c r="CP194" s="197"/>
      <c r="CQ194" s="197"/>
      <c r="CR194" s="197"/>
      <c r="CS194" s="197"/>
      <c r="CT194" s="197"/>
      <c r="CU194" s="197"/>
      <c r="CV194" s="197"/>
      <c r="CW194" s="197"/>
      <c r="CX194" s="197"/>
      <c r="CY194" s="197"/>
      <c r="CZ194" s="197"/>
      <c r="DA194" s="197"/>
      <c r="DB194" s="197"/>
      <c r="DC194" s="197">
        <v>1500</v>
      </c>
    </row>
    <row r="195" spans="2:107">
      <c r="B195" s="25" t="s">
        <v>199</v>
      </c>
      <c r="C195" s="23"/>
      <c r="D195" s="15"/>
      <c r="E195" s="15"/>
      <c r="F195" s="15"/>
      <c r="G195" s="15"/>
      <c r="H195" s="15"/>
      <c r="I195" s="15"/>
      <c r="J195" s="15"/>
      <c r="K195" s="15"/>
      <c r="L195" s="23"/>
      <c r="M195" s="54"/>
      <c r="N195" s="27"/>
      <c r="O195" s="23">
        <f>SUM(BT195:BW195)</f>
        <v>1750</v>
      </c>
      <c r="P195" s="23">
        <f>SUM(BX195:CA195)</f>
        <v>0</v>
      </c>
      <c r="Q195" s="23">
        <f>SUM(CB195:CE195)</f>
        <v>0</v>
      </c>
      <c r="R195" s="23">
        <f t="shared" si="159"/>
        <v>0</v>
      </c>
      <c r="S195" s="23">
        <f t="shared" si="160"/>
        <v>0</v>
      </c>
      <c r="T195" s="23">
        <f t="shared" si="161"/>
        <v>0</v>
      </c>
      <c r="U195" s="23">
        <f t="shared" si="162"/>
        <v>0</v>
      </c>
      <c r="V195" s="23">
        <f t="shared" si="163"/>
        <v>0</v>
      </c>
      <c r="W195" s="23">
        <f t="shared" si="164"/>
        <v>0</v>
      </c>
      <c r="X195" s="23"/>
      <c r="Y195" s="23"/>
      <c r="Z195" s="23"/>
      <c r="AA195" s="23"/>
      <c r="AB195" s="23"/>
      <c r="AC195" s="23"/>
      <c r="AD195" s="23"/>
      <c r="AE195" s="23"/>
      <c r="AF195" s="23"/>
      <c r="AG195" s="23"/>
      <c r="AH195" s="23"/>
      <c r="AI195" s="23"/>
      <c r="AJ195" s="23"/>
      <c r="AK195" s="23"/>
      <c r="AL195" s="23"/>
      <c r="AM195" s="23"/>
      <c r="AN195" s="23"/>
      <c r="AO195" s="23"/>
      <c r="AP195" s="23"/>
      <c r="AQ195" s="23"/>
      <c r="AR195" s="23"/>
      <c r="AS195" s="23"/>
      <c r="AT195" s="23"/>
      <c r="AU195" s="23"/>
      <c r="AV195" s="23"/>
      <c r="AW195" s="23"/>
      <c r="AX195" s="23"/>
      <c r="AY195" s="23"/>
      <c r="AZ195" s="23"/>
      <c r="BA195" s="23"/>
      <c r="BB195" s="23"/>
      <c r="BC195" s="23"/>
      <c r="BD195" s="36"/>
      <c r="BE195" s="36"/>
      <c r="BF195" s="36"/>
      <c r="BG195" s="36"/>
      <c r="BH195" s="36"/>
      <c r="BI195" s="36"/>
      <c r="BJ195" s="36"/>
      <c r="BK195" s="36"/>
      <c r="BL195" s="36"/>
      <c r="BM195" s="36"/>
      <c r="BN195" s="36"/>
      <c r="BO195" s="36"/>
      <c r="BP195" s="23"/>
      <c r="BQ195" s="35"/>
      <c r="BR195" s="35"/>
      <c r="BS195" s="35"/>
      <c r="BT195" s="117"/>
      <c r="BU195" s="117"/>
      <c r="BV195" s="117">
        <v>1750</v>
      </c>
      <c r="BW195" s="117"/>
      <c r="BX195" s="117"/>
      <c r="BY195" s="117"/>
      <c r="BZ195" s="117"/>
      <c r="CA195" s="117"/>
      <c r="CB195" s="117"/>
      <c r="CC195" s="117"/>
      <c r="CD195" s="117"/>
      <c r="CE195" s="117"/>
      <c r="CF195" s="117"/>
      <c r="CG195" s="117"/>
      <c r="CH195" s="117"/>
      <c r="CI195" s="117"/>
      <c r="CJ195" s="117"/>
      <c r="CK195" s="117"/>
      <c r="CL195" s="117"/>
      <c r="CM195" s="117"/>
      <c r="CN195" s="117"/>
      <c r="CO195" s="117"/>
      <c r="CP195" s="117"/>
      <c r="CQ195" s="117"/>
      <c r="CR195" s="117"/>
      <c r="CS195" s="117"/>
      <c r="CT195" s="117"/>
      <c r="CU195" s="117"/>
      <c r="CV195" s="117"/>
      <c r="CW195" s="117"/>
      <c r="CX195" s="117"/>
      <c r="CY195" s="117"/>
      <c r="CZ195" s="117"/>
      <c r="DA195" s="117"/>
      <c r="DB195" s="117"/>
      <c r="DC195" s="117"/>
    </row>
    <row r="196" spans="2:107">
      <c r="B196" s="1036" t="s">
        <v>2713</v>
      </c>
      <c r="C196" s="23"/>
      <c r="D196" s="15"/>
      <c r="E196" s="15"/>
      <c r="F196" s="15"/>
      <c r="G196" s="15"/>
      <c r="H196" s="15"/>
      <c r="I196" s="15"/>
      <c r="J196" s="15"/>
      <c r="K196" s="15"/>
      <c r="L196" s="23"/>
      <c r="M196" s="54"/>
      <c r="N196" s="27"/>
      <c r="O196" s="23"/>
      <c r="P196" s="23"/>
      <c r="Q196" s="23"/>
      <c r="R196" s="23">
        <f>+SUM(CF196:CI196)</f>
        <v>0</v>
      </c>
      <c r="S196" s="23">
        <f>+SUM(CJ196:CM196)</f>
        <v>0</v>
      </c>
      <c r="T196" s="23">
        <f>+SUM(CN196:CQ196)</f>
        <v>0</v>
      </c>
      <c r="U196" s="23">
        <f>+SUM(CR196:CU196)</f>
        <v>0</v>
      </c>
      <c r="V196" s="23">
        <f>+SUM(CV196:CY196)</f>
        <v>0</v>
      </c>
      <c r="W196" s="23">
        <f t="shared" si="164"/>
        <v>475</v>
      </c>
      <c r="X196" s="23"/>
      <c r="Y196" s="23"/>
      <c r="Z196" s="23"/>
      <c r="AA196" s="23"/>
      <c r="AB196" s="23"/>
      <c r="AC196" s="23"/>
      <c r="AD196" s="23"/>
      <c r="AE196" s="23"/>
      <c r="AF196" s="23"/>
      <c r="AG196" s="23"/>
      <c r="AH196" s="23"/>
      <c r="AI196" s="23"/>
      <c r="AJ196" s="23"/>
      <c r="AK196" s="23"/>
      <c r="AL196" s="23"/>
      <c r="AM196" s="23"/>
      <c r="AN196" s="23"/>
      <c r="AO196" s="23"/>
      <c r="AP196" s="23"/>
      <c r="AQ196" s="23"/>
      <c r="AR196" s="23"/>
      <c r="AS196" s="23"/>
      <c r="AT196" s="23"/>
      <c r="AU196" s="23"/>
      <c r="AV196" s="23"/>
      <c r="AW196" s="23"/>
      <c r="AX196" s="23"/>
      <c r="AY196" s="23"/>
      <c r="AZ196" s="23"/>
      <c r="BA196" s="23"/>
      <c r="BB196" s="23"/>
      <c r="BC196" s="23"/>
      <c r="BD196" s="36"/>
      <c r="BE196" s="36"/>
      <c r="BF196" s="36"/>
      <c r="BG196" s="36"/>
      <c r="BH196" s="36"/>
      <c r="BI196" s="36"/>
      <c r="BJ196" s="36"/>
      <c r="BK196" s="36"/>
      <c r="BL196" s="36"/>
      <c r="BM196" s="36"/>
      <c r="BN196" s="36"/>
      <c r="BO196" s="36"/>
      <c r="BP196" s="23"/>
      <c r="BQ196" s="35"/>
      <c r="BR196" s="35"/>
      <c r="BS196" s="23"/>
      <c r="BT196" s="23"/>
      <c r="BU196" s="35"/>
      <c r="BV196" s="197"/>
      <c r="BW196" s="197"/>
      <c r="BX196" s="117"/>
      <c r="BY196" s="197"/>
      <c r="BZ196" s="197"/>
      <c r="CA196" s="197"/>
      <c r="CB196" s="197"/>
      <c r="CC196" s="197"/>
      <c r="CD196" s="197"/>
      <c r="CE196" s="197"/>
      <c r="CF196" s="197"/>
      <c r="CG196" s="197"/>
      <c r="CH196" s="197"/>
      <c r="CI196" s="197"/>
      <c r="CJ196" s="197"/>
      <c r="CK196" s="197"/>
      <c r="CL196" s="197"/>
      <c r="CM196" s="197"/>
      <c r="CN196" s="197"/>
      <c r="CO196" s="197"/>
      <c r="CP196" s="197"/>
      <c r="CQ196" s="197"/>
      <c r="CR196" s="197"/>
      <c r="CS196" s="197"/>
      <c r="CT196" s="197"/>
      <c r="CU196" s="197"/>
      <c r="CV196" s="197"/>
      <c r="CW196" s="197"/>
      <c r="CX196" s="197"/>
      <c r="CY196" s="197"/>
      <c r="CZ196" s="197"/>
      <c r="DA196" s="2100">
        <v>475</v>
      </c>
      <c r="DB196" s="197"/>
      <c r="DC196" s="197"/>
    </row>
    <row r="197" spans="2:107">
      <c r="B197" s="1036" t="s">
        <v>2758</v>
      </c>
      <c r="C197" s="23"/>
      <c r="D197" s="15"/>
      <c r="E197" s="15"/>
      <c r="F197" s="15"/>
      <c r="G197" s="15"/>
      <c r="H197" s="15"/>
      <c r="I197" s="15"/>
      <c r="J197" s="15"/>
      <c r="K197" s="15"/>
      <c r="L197" s="23"/>
      <c r="M197" s="54"/>
      <c r="N197" s="27"/>
      <c r="O197" s="23"/>
      <c r="P197" s="23"/>
      <c r="Q197" s="23"/>
      <c r="R197" s="23">
        <f>+SUM(CF197:CI197)</f>
        <v>0</v>
      </c>
      <c r="S197" s="23">
        <f>+SUM(CJ197:CM197)</f>
        <v>0</v>
      </c>
      <c r="T197" s="23">
        <f>+SUM(CN197:CQ197)</f>
        <v>0</v>
      </c>
      <c r="U197" s="23">
        <f>+SUM(CR197:CU197)</f>
        <v>0</v>
      </c>
      <c r="V197" s="23">
        <f>+SUM(CV197:CY197)</f>
        <v>0</v>
      </c>
      <c r="W197" s="23">
        <f t="shared" si="164"/>
        <v>600</v>
      </c>
      <c r="X197" s="23"/>
      <c r="Y197" s="23"/>
      <c r="Z197" s="23"/>
      <c r="AA197" s="23"/>
      <c r="AB197" s="23"/>
      <c r="AC197" s="23"/>
      <c r="AD197" s="23"/>
      <c r="AE197" s="23"/>
      <c r="AF197" s="23"/>
      <c r="AG197" s="23"/>
      <c r="AH197" s="23"/>
      <c r="AI197" s="23"/>
      <c r="AJ197" s="23"/>
      <c r="AK197" s="23"/>
      <c r="AL197" s="23"/>
      <c r="AM197" s="23"/>
      <c r="AN197" s="23"/>
      <c r="AO197" s="23"/>
      <c r="AP197" s="23"/>
      <c r="AQ197" s="23"/>
      <c r="AR197" s="23"/>
      <c r="AS197" s="23"/>
      <c r="AT197" s="23"/>
      <c r="AU197" s="23"/>
      <c r="AV197" s="23"/>
      <c r="AW197" s="23"/>
      <c r="AX197" s="23"/>
      <c r="AY197" s="23"/>
      <c r="AZ197" s="23"/>
      <c r="BA197" s="23"/>
      <c r="BB197" s="23"/>
      <c r="BC197" s="23"/>
      <c r="BD197" s="36"/>
      <c r="BE197" s="36"/>
      <c r="BF197" s="36"/>
      <c r="BG197" s="36"/>
      <c r="BH197" s="36"/>
      <c r="BI197" s="36"/>
      <c r="BJ197" s="36"/>
      <c r="BK197" s="36"/>
      <c r="BL197" s="36"/>
      <c r="BM197" s="36"/>
      <c r="BN197" s="36"/>
      <c r="BO197" s="36"/>
      <c r="BP197" s="23"/>
      <c r="BQ197" s="35"/>
      <c r="BR197" s="35"/>
      <c r="BS197" s="23"/>
      <c r="BT197" s="23"/>
      <c r="BU197" s="35"/>
      <c r="BV197" s="197"/>
      <c r="BW197" s="197"/>
      <c r="BX197" s="117"/>
      <c r="BY197" s="197"/>
      <c r="BZ197" s="197"/>
      <c r="CA197" s="197"/>
      <c r="CB197" s="197"/>
      <c r="CC197" s="197"/>
      <c r="CD197" s="197"/>
      <c r="CE197" s="197"/>
      <c r="CF197" s="197"/>
      <c r="CG197" s="197"/>
      <c r="CH197" s="197"/>
      <c r="CI197" s="197"/>
      <c r="CJ197" s="197"/>
      <c r="CK197" s="197"/>
      <c r="CL197" s="197"/>
      <c r="CM197" s="197"/>
      <c r="CN197" s="197"/>
      <c r="CO197" s="197"/>
      <c r="CP197" s="197"/>
      <c r="CQ197" s="197"/>
      <c r="CR197" s="197"/>
      <c r="CS197" s="197"/>
      <c r="CT197" s="197"/>
      <c r="CU197" s="197"/>
      <c r="CV197" s="197"/>
      <c r="CW197" s="197"/>
      <c r="CX197" s="197"/>
      <c r="CY197" s="197"/>
      <c r="CZ197" s="197"/>
      <c r="DA197" s="197"/>
      <c r="DB197" s="197">
        <v>600</v>
      </c>
      <c r="DC197" s="197"/>
    </row>
    <row r="198" spans="2:107">
      <c r="B198" s="25" t="s">
        <v>1424</v>
      </c>
      <c r="C198" s="23"/>
      <c r="D198" s="15"/>
      <c r="E198" s="15"/>
      <c r="F198" s="15"/>
      <c r="G198" s="15"/>
      <c r="H198" s="15"/>
      <c r="I198" s="15"/>
      <c r="J198" s="15"/>
      <c r="K198" s="15"/>
      <c r="L198" s="23"/>
      <c r="M198" s="23"/>
      <c r="N198" s="23"/>
      <c r="O198" s="23">
        <f>SUM(BT198:BW198)</f>
        <v>500</v>
      </c>
      <c r="P198" s="23">
        <f>SUM(BX198:CA198)</f>
        <v>0</v>
      </c>
      <c r="Q198" s="23">
        <f>SUM(CB198:CE198)</f>
        <v>0</v>
      </c>
      <c r="R198" s="23">
        <f t="shared" si="159"/>
        <v>0</v>
      </c>
      <c r="S198" s="23">
        <f t="shared" si="160"/>
        <v>0</v>
      </c>
      <c r="T198" s="23">
        <f t="shared" si="161"/>
        <v>0</v>
      </c>
      <c r="U198" s="23">
        <f t="shared" si="162"/>
        <v>0</v>
      </c>
      <c r="V198" s="23">
        <f t="shared" si="163"/>
        <v>0</v>
      </c>
      <c r="W198" s="23">
        <f t="shared" si="164"/>
        <v>0</v>
      </c>
      <c r="X198" s="23"/>
      <c r="Y198" s="23"/>
      <c r="Z198" s="23"/>
      <c r="AA198" s="23"/>
      <c r="AB198" s="23"/>
      <c r="AC198" s="23"/>
      <c r="AD198" s="23"/>
      <c r="AE198" s="23"/>
      <c r="AF198" s="23"/>
      <c r="AG198" s="23"/>
      <c r="AH198" s="23"/>
      <c r="AI198" s="23"/>
      <c r="AJ198" s="23"/>
      <c r="AK198" s="23"/>
      <c r="AL198" s="23"/>
      <c r="AM198" s="23"/>
      <c r="AN198" s="23"/>
      <c r="AO198" s="23"/>
      <c r="AP198" s="23"/>
      <c r="AQ198" s="23"/>
      <c r="AR198" s="23"/>
      <c r="AS198" s="23"/>
      <c r="AT198" s="23"/>
      <c r="AU198" s="23"/>
      <c r="AV198" s="23"/>
      <c r="AW198" s="23"/>
      <c r="AX198" s="23"/>
      <c r="AY198" s="23"/>
      <c r="AZ198" s="23"/>
      <c r="BA198" s="23"/>
      <c r="BB198" s="23"/>
      <c r="BC198" s="23"/>
      <c r="BD198" s="36"/>
      <c r="BE198" s="36"/>
      <c r="BF198" s="36"/>
      <c r="BG198" s="36"/>
      <c r="BH198" s="36"/>
      <c r="BI198" s="36"/>
      <c r="BJ198" s="36"/>
      <c r="BK198" s="36"/>
      <c r="BL198" s="36"/>
      <c r="BM198" s="36"/>
      <c r="BN198" s="36"/>
      <c r="BO198" s="36"/>
      <c r="BP198" s="20"/>
      <c r="BQ198" s="35"/>
      <c r="BR198" s="35"/>
      <c r="BS198" s="35"/>
      <c r="BT198" s="117">
        <v>500</v>
      </c>
      <c r="BU198" s="117"/>
      <c r="BV198" s="117"/>
      <c r="BW198" s="117"/>
      <c r="BX198" s="117"/>
      <c r="BY198" s="117"/>
      <c r="BZ198" s="117"/>
      <c r="CA198" s="117"/>
      <c r="CB198" s="117"/>
      <c r="CC198" s="117"/>
      <c r="CD198" s="117"/>
      <c r="CE198" s="117"/>
      <c r="CF198" s="117"/>
      <c r="CG198" s="117"/>
      <c r="CH198" s="117"/>
      <c r="CI198" s="117"/>
      <c r="CJ198" s="117"/>
      <c r="CK198" s="117"/>
      <c r="CL198" s="117"/>
      <c r="CM198" s="117"/>
      <c r="CN198" s="117"/>
      <c r="CO198" s="117"/>
      <c r="CP198" s="117"/>
      <c r="CQ198" s="117"/>
      <c r="CR198" s="117"/>
      <c r="CS198" s="117"/>
      <c r="CT198" s="117"/>
      <c r="CU198" s="117"/>
      <c r="CV198" s="117"/>
      <c r="CW198" s="117"/>
      <c r="CX198" s="117"/>
      <c r="CY198" s="117"/>
      <c r="CZ198" s="117"/>
      <c r="DA198" s="117"/>
      <c r="DB198" s="117"/>
      <c r="DC198" s="117"/>
    </row>
    <row r="199" spans="2:107">
      <c r="B199" s="25" t="s">
        <v>90</v>
      </c>
      <c r="C199" s="23"/>
      <c r="D199" s="15"/>
      <c r="E199" s="15"/>
      <c r="F199" s="15"/>
      <c r="G199" s="15"/>
      <c r="H199" s="15"/>
      <c r="I199" s="15"/>
      <c r="J199" s="15"/>
      <c r="K199" s="15"/>
      <c r="L199" s="23"/>
      <c r="M199" s="54"/>
      <c r="N199" s="27"/>
      <c r="O199" s="23"/>
      <c r="P199" s="23"/>
      <c r="Q199" s="23">
        <f>SUM(CB199:CE199)</f>
        <v>450</v>
      </c>
      <c r="R199" s="23">
        <f t="shared" si="159"/>
        <v>0</v>
      </c>
      <c r="S199" s="23">
        <f t="shared" si="160"/>
        <v>0</v>
      </c>
      <c r="T199" s="23">
        <f t="shared" si="161"/>
        <v>0</v>
      </c>
      <c r="U199" s="23">
        <f t="shared" si="162"/>
        <v>0</v>
      </c>
      <c r="V199" s="23">
        <f t="shared" si="163"/>
        <v>0</v>
      </c>
      <c r="W199" s="23">
        <f t="shared" si="164"/>
        <v>0</v>
      </c>
      <c r="X199" s="23"/>
      <c r="Y199" s="23"/>
      <c r="Z199" s="23"/>
      <c r="AA199" s="23"/>
      <c r="AB199" s="23"/>
      <c r="AC199" s="23"/>
      <c r="AD199" s="23"/>
      <c r="AE199" s="23"/>
      <c r="AF199" s="23"/>
      <c r="AG199" s="23"/>
      <c r="AH199" s="23"/>
      <c r="AI199" s="23"/>
      <c r="AJ199" s="23"/>
      <c r="AK199" s="23"/>
      <c r="AL199" s="23"/>
      <c r="AM199" s="23"/>
      <c r="AN199" s="23"/>
      <c r="AO199" s="23"/>
      <c r="AP199" s="23"/>
      <c r="AQ199" s="23"/>
      <c r="AR199" s="23"/>
      <c r="AS199" s="23"/>
      <c r="AT199" s="23"/>
      <c r="AU199" s="23"/>
      <c r="AV199" s="23"/>
      <c r="AW199" s="23"/>
      <c r="AX199" s="23"/>
      <c r="AY199" s="23"/>
      <c r="AZ199" s="23"/>
      <c r="BA199" s="23"/>
      <c r="BB199" s="23"/>
      <c r="BC199" s="23"/>
      <c r="BD199" s="36"/>
      <c r="BE199" s="36"/>
      <c r="BF199" s="36"/>
      <c r="BG199" s="36"/>
      <c r="BH199" s="36"/>
      <c r="BI199" s="36"/>
      <c r="BJ199" s="36"/>
      <c r="BK199" s="36"/>
      <c r="BL199" s="36"/>
      <c r="BM199" s="36"/>
      <c r="BN199" s="36"/>
      <c r="BO199" s="36"/>
      <c r="BP199" s="23"/>
      <c r="BQ199" s="35"/>
      <c r="BR199" s="35"/>
      <c r="BS199" s="23"/>
      <c r="BT199" s="23"/>
      <c r="BU199" s="35"/>
      <c r="BV199" s="197"/>
      <c r="BW199" s="197"/>
      <c r="BX199" s="117"/>
      <c r="BY199" s="197"/>
      <c r="BZ199" s="197"/>
      <c r="CA199" s="197"/>
      <c r="CB199" s="197"/>
      <c r="CC199" s="197"/>
      <c r="CD199" s="197">
        <v>450</v>
      </c>
      <c r="CE199" s="197"/>
      <c r="CF199" s="197"/>
      <c r="CG199" s="197"/>
      <c r="CH199" s="197"/>
      <c r="CI199" s="197"/>
      <c r="CJ199" s="197"/>
      <c r="CK199" s="197"/>
      <c r="CL199" s="197"/>
      <c r="CM199" s="197"/>
      <c r="CN199" s="197"/>
      <c r="CO199" s="197"/>
      <c r="CP199" s="197"/>
      <c r="CQ199" s="197"/>
      <c r="CR199" s="197"/>
      <c r="CS199" s="197"/>
      <c r="CT199" s="197"/>
      <c r="CU199" s="197"/>
      <c r="CV199" s="197"/>
      <c r="CW199" s="197"/>
      <c r="CX199" s="197"/>
      <c r="CY199" s="197"/>
      <c r="CZ199" s="197"/>
      <c r="DA199" s="197"/>
      <c r="DB199" s="197"/>
      <c r="DC199" s="197"/>
    </row>
    <row r="200" spans="2:107">
      <c r="B200" s="1036" t="s">
        <v>2684</v>
      </c>
      <c r="C200" s="23"/>
      <c r="D200" s="15"/>
      <c r="E200" s="15"/>
      <c r="F200" s="15"/>
      <c r="G200" s="15"/>
      <c r="H200" s="15"/>
      <c r="I200" s="15"/>
      <c r="J200" s="15"/>
      <c r="K200" s="15"/>
      <c r="L200" s="23"/>
      <c r="M200" s="54"/>
      <c r="N200" s="27"/>
      <c r="O200" s="23"/>
      <c r="P200" s="23"/>
      <c r="Q200" s="23"/>
      <c r="R200" s="23">
        <f>+SUM(CF200:CI200)</f>
        <v>0</v>
      </c>
      <c r="S200" s="23">
        <f>+SUM(CJ200:CM200)</f>
        <v>0</v>
      </c>
      <c r="T200" s="23">
        <f>+SUM(CN200:CQ200)</f>
        <v>0</v>
      </c>
      <c r="U200" s="23">
        <f>+SUM(CR200:CU200)</f>
        <v>0</v>
      </c>
      <c r="V200" s="23">
        <f>+SUM(CV200:CY200)</f>
        <v>250</v>
      </c>
      <c r="W200" s="23">
        <f t="shared" si="164"/>
        <v>0</v>
      </c>
      <c r="X200" s="23"/>
      <c r="Y200" s="23"/>
      <c r="Z200" s="23"/>
      <c r="AA200" s="23"/>
      <c r="AB200" s="23"/>
      <c r="AC200" s="23"/>
      <c r="AD200" s="23"/>
      <c r="AE200" s="23"/>
      <c r="AF200" s="23"/>
      <c r="AG200" s="23"/>
      <c r="AH200" s="23"/>
      <c r="AI200" s="23"/>
      <c r="AJ200" s="23"/>
      <c r="AK200" s="23"/>
      <c r="AL200" s="23"/>
      <c r="AM200" s="23"/>
      <c r="AN200" s="23"/>
      <c r="AO200" s="23"/>
      <c r="AP200" s="23"/>
      <c r="AQ200" s="23"/>
      <c r="AR200" s="23"/>
      <c r="AS200" s="23"/>
      <c r="AT200" s="23"/>
      <c r="AU200" s="23"/>
      <c r="AV200" s="23"/>
      <c r="AW200" s="23"/>
      <c r="AX200" s="23"/>
      <c r="AY200" s="23"/>
      <c r="AZ200" s="23"/>
      <c r="BA200" s="23"/>
      <c r="BB200" s="23"/>
      <c r="BC200" s="23"/>
      <c r="BD200" s="36"/>
      <c r="BE200" s="36"/>
      <c r="BF200" s="36"/>
      <c r="BG200" s="36"/>
      <c r="BH200" s="36"/>
      <c r="BI200" s="36"/>
      <c r="BJ200" s="36"/>
      <c r="BK200" s="36"/>
      <c r="BL200" s="36"/>
      <c r="BM200" s="36"/>
      <c r="BN200" s="36"/>
      <c r="BO200" s="36"/>
      <c r="BP200" s="23"/>
      <c r="BQ200" s="35"/>
      <c r="BR200" s="35"/>
      <c r="BS200" s="23"/>
      <c r="BT200" s="23"/>
      <c r="BU200" s="35"/>
      <c r="BV200" s="197"/>
      <c r="BW200" s="197"/>
      <c r="BX200" s="117"/>
      <c r="BY200" s="197"/>
      <c r="BZ200" s="197"/>
      <c r="CA200" s="197"/>
      <c r="CB200" s="197"/>
      <c r="CC200" s="197"/>
      <c r="CD200" s="197"/>
      <c r="CE200" s="197"/>
      <c r="CF200" s="197"/>
      <c r="CG200" s="197"/>
      <c r="CH200" s="197"/>
      <c r="CI200" s="197"/>
      <c r="CJ200" s="197"/>
      <c r="CK200" s="197"/>
      <c r="CL200" s="197"/>
      <c r="CM200" s="197"/>
      <c r="CN200" s="197"/>
      <c r="CO200" s="197"/>
      <c r="CP200" s="197"/>
      <c r="CQ200" s="197"/>
      <c r="CR200" s="197"/>
      <c r="CS200" s="197"/>
      <c r="CT200" s="197"/>
      <c r="CU200" s="197"/>
      <c r="CV200" s="197"/>
      <c r="CW200" s="197"/>
      <c r="CX200" s="197"/>
      <c r="CY200" s="197">
        <v>250</v>
      </c>
      <c r="CZ200" s="197"/>
      <c r="DA200" s="197"/>
      <c r="DB200" s="197"/>
      <c r="DC200" s="197"/>
    </row>
    <row r="201" spans="2:107">
      <c r="B201" s="1036" t="s">
        <v>2714</v>
      </c>
      <c r="C201" s="23"/>
      <c r="D201" s="15"/>
      <c r="E201" s="15"/>
      <c r="F201" s="15"/>
      <c r="G201" s="15"/>
      <c r="H201" s="15"/>
      <c r="I201" s="15"/>
      <c r="J201" s="15"/>
      <c r="K201" s="15"/>
      <c r="L201" s="23"/>
      <c r="M201" s="54"/>
      <c r="N201" s="27"/>
      <c r="O201" s="23"/>
      <c r="P201" s="23"/>
      <c r="Q201" s="23"/>
      <c r="R201" s="23">
        <f>+SUM(CF201:CI201)</f>
        <v>0</v>
      </c>
      <c r="S201" s="23">
        <f>+SUM(CJ201:CM201)</f>
        <v>0</v>
      </c>
      <c r="T201" s="23">
        <f>+SUM(CN201:CQ201)</f>
        <v>0</v>
      </c>
      <c r="U201" s="23">
        <f>+SUM(CR201:CU201)</f>
        <v>0</v>
      </c>
      <c r="V201" s="23">
        <f>+SUM(CV201:CY201)</f>
        <v>0</v>
      </c>
      <c r="W201" s="23">
        <f t="shared" si="164"/>
        <v>1100</v>
      </c>
      <c r="X201" s="23"/>
      <c r="Y201" s="23"/>
      <c r="Z201" s="23"/>
      <c r="AA201" s="23"/>
      <c r="AB201" s="23"/>
      <c r="AC201" s="23"/>
      <c r="AD201" s="23"/>
      <c r="AE201" s="23"/>
      <c r="AF201" s="23"/>
      <c r="AG201" s="23"/>
      <c r="AH201" s="23"/>
      <c r="AI201" s="23"/>
      <c r="AJ201" s="23"/>
      <c r="AK201" s="23"/>
      <c r="AL201" s="23"/>
      <c r="AM201" s="23"/>
      <c r="AN201" s="23"/>
      <c r="AO201" s="23"/>
      <c r="AP201" s="23"/>
      <c r="AQ201" s="23"/>
      <c r="AR201" s="23"/>
      <c r="AS201" s="23"/>
      <c r="AT201" s="23"/>
      <c r="AU201" s="23"/>
      <c r="AV201" s="23"/>
      <c r="AW201" s="23"/>
      <c r="AX201" s="23"/>
      <c r="AY201" s="23"/>
      <c r="AZ201" s="23"/>
      <c r="BA201" s="23"/>
      <c r="BB201" s="23"/>
      <c r="BC201" s="23"/>
      <c r="BD201" s="36"/>
      <c r="BE201" s="36"/>
      <c r="BF201" s="36"/>
      <c r="BG201" s="36"/>
      <c r="BH201" s="36"/>
      <c r="BI201" s="36"/>
      <c r="BJ201" s="36"/>
      <c r="BK201" s="36"/>
      <c r="BL201" s="36"/>
      <c r="BM201" s="36"/>
      <c r="BN201" s="36"/>
      <c r="BO201" s="36"/>
      <c r="BP201" s="23"/>
      <c r="BQ201" s="35"/>
      <c r="BR201" s="35"/>
      <c r="BS201" s="23"/>
      <c r="BT201" s="23"/>
      <c r="BU201" s="35"/>
      <c r="BV201" s="197"/>
      <c r="BW201" s="197"/>
      <c r="BX201" s="117"/>
      <c r="BY201" s="197"/>
      <c r="BZ201" s="197"/>
      <c r="CA201" s="197"/>
      <c r="CB201" s="197"/>
      <c r="CC201" s="197"/>
      <c r="CD201" s="197"/>
      <c r="CE201" s="197"/>
      <c r="CF201" s="197"/>
      <c r="CG201" s="197"/>
      <c r="CH201" s="197"/>
      <c r="CI201" s="197"/>
      <c r="CJ201" s="197"/>
      <c r="CK201" s="197"/>
      <c r="CL201" s="197"/>
      <c r="CM201" s="197"/>
      <c r="CN201" s="197"/>
      <c r="CO201" s="197"/>
      <c r="CP201" s="197"/>
      <c r="CQ201" s="197"/>
      <c r="CR201" s="197"/>
      <c r="CS201" s="197"/>
      <c r="CT201" s="197"/>
      <c r="CU201" s="197"/>
      <c r="CV201" s="197"/>
      <c r="CW201" s="197"/>
      <c r="CX201" s="197"/>
      <c r="CY201" s="197"/>
      <c r="CZ201" s="197"/>
      <c r="DA201" s="197"/>
      <c r="DB201" s="197">
        <v>1100</v>
      </c>
      <c r="DC201" s="197"/>
    </row>
    <row r="202" spans="2:107">
      <c r="B202" s="25" t="s">
        <v>198</v>
      </c>
      <c r="C202" s="23"/>
      <c r="D202" s="15"/>
      <c r="E202" s="15"/>
      <c r="F202" s="15"/>
      <c r="G202" s="15"/>
      <c r="H202" s="15"/>
      <c r="I202" s="15"/>
      <c r="J202" s="15"/>
      <c r="K202" s="15"/>
      <c r="L202" s="23"/>
      <c r="M202" s="54"/>
      <c r="N202" s="27"/>
      <c r="O202" s="23">
        <f>SUM(BU202:BW202)</f>
        <v>1250</v>
      </c>
      <c r="P202" s="23">
        <f>SUM(BX202:CA202)</f>
        <v>0</v>
      </c>
      <c r="Q202" s="23">
        <f>SUM(CB202:CE202)</f>
        <v>0</v>
      </c>
      <c r="R202" s="23">
        <f t="shared" si="159"/>
        <v>0</v>
      </c>
      <c r="S202" s="23">
        <f t="shared" si="160"/>
        <v>0</v>
      </c>
      <c r="T202" s="23">
        <f t="shared" si="161"/>
        <v>0</v>
      </c>
      <c r="U202" s="23">
        <f t="shared" si="162"/>
        <v>0</v>
      </c>
      <c r="V202" s="23">
        <f t="shared" si="163"/>
        <v>0</v>
      </c>
      <c r="W202" s="23">
        <f t="shared" si="164"/>
        <v>0</v>
      </c>
      <c r="X202" s="23"/>
      <c r="Y202" s="23"/>
      <c r="Z202" s="23"/>
      <c r="AA202" s="23"/>
      <c r="AB202" s="23"/>
      <c r="AC202" s="23"/>
      <c r="AD202" s="23"/>
      <c r="AE202" s="23"/>
      <c r="AF202" s="23"/>
      <c r="AG202" s="23"/>
      <c r="AH202" s="23"/>
      <c r="AI202" s="23"/>
      <c r="AJ202" s="23"/>
      <c r="AK202" s="23"/>
      <c r="AL202" s="23"/>
      <c r="AM202" s="23"/>
      <c r="AN202" s="23"/>
      <c r="AO202" s="23"/>
      <c r="AP202" s="23"/>
      <c r="AQ202" s="23"/>
      <c r="AR202" s="23"/>
      <c r="AS202" s="23"/>
      <c r="AT202" s="23"/>
      <c r="AU202" s="23"/>
      <c r="AV202" s="23"/>
      <c r="AW202" s="23"/>
      <c r="AX202" s="23"/>
      <c r="AY202" s="23"/>
      <c r="AZ202" s="23"/>
      <c r="BA202" s="23"/>
      <c r="BB202" s="23"/>
      <c r="BC202" s="23"/>
      <c r="BD202" s="36"/>
      <c r="BE202" s="36"/>
      <c r="BF202" s="36"/>
      <c r="BG202" s="36"/>
      <c r="BH202" s="36"/>
      <c r="BI202" s="36"/>
      <c r="BJ202" s="36"/>
      <c r="BK202" s="36"/>
      <c r="BL202" s="36"/>
      <c r="BM202" s="36"/>
      <c r="BN202" s="36"/>
      <c r="BO202" s="36"/>
      <c r="BP202" s="23"/>
      <c r="BQ202" s="35"/>
      <c r="BR202" s="35"/>
      <c r="BS202" s="35"/>
      <c r="BT202" s="117"/>
      <c r="BU202" s="117">
        <v>1250</v>
      </c>
      <c r="BV202" s="117"/>
      <c r="BW202" s="117"/>
      <c r="BX202" s="117"/>
      <c r="BY202" s="117"/>
      <c r="BZ202" s="117"/>
      <c r="CA202" s="117"/>
      <c r="CB202" s="117"/>
      <c r="CC202" s="117"/>
      <c r="CD202" s="117"/>
      <c r="CE202" s="117"/>
      <c r="CF202" s="117"/>
      <c r="CG202" s="117"/>
      <c r="CH202" s="117"/>
      <c r="CI202" s="117"/>
      <c r="CJ202" s="117"/>
      <c r="CK202" s="117"/>
      <c r="CL202" s="117"/>
      <c r="CM202" s="117"/>
      <c r="CN202" s="117"/>
      <c r="CO202" s="117"/>
      <c r="CP202" s="117"/>
      <c r="CQ202" s="117"/>
      <c r="CR202" s="117"/>
      <c r="CS202" s="117"/>
      <c r="CT202" s="117"/>
      <c r="CU202" s="117"/>
      <c r="CV202" s="117"/>
      <c r="CW202" s="117"/>
      <c r="CX202" s="117"/>
      <c r="CY202" s="117"/>
      <c r="CZ202" s="117"/>
      <c r="DA202" s="117"/>
      <c r="DB202" s="117"/>
      <c r="DC202" s="117"/>
    </row>
    <row r="203" spans="2:107">
      <c r="B203" s="25" t="s">
        <v>991</v>
      </c>
      <c r="C203" s="23"/>
      <c r="D203" s="15"/>
      <c r="E203" s="15"/>
      <c r="F203" s="15"/>
      <c r="G203" s="15"/>
      <c r="H203" s="15"/>
      <c r="I203" s="15"/>
      <c r="J203" s="15"/>
      <c r="K203" s="15"/>
      <c r="L203" s="23"/>
      <c r="M203" s="54"/>
      <c r="N203" s="27"/>
      <c r="O203" s="23">
        <f>SUM(BT203:BW203)</f>
        <v>0</v>
      </c>
      <c r="P203" s="23">
        <f>SUM(BX203:CA203)</f>
        <v>0</v>
      </c>
      <c r="Q203" s="23">
        <f>SUM(CB203:CE203)</f>
        <v>1400</v>
      </c>
      <c r="R203" s="23">
        <f t="shared" si="159"/>
        <v>0</v>
      </c>
      <c r="S203" s="23">
        <f t="shared" si="160"/>
        <v>0</v>
      </c>
      <c r="T203" s="23">
        <f t="shared" si="161"/>
        <v>0</v>
      </c>
      <c r="U203" s="23">
        <f t="shared" si="162"/>
        <v>0</v>
      </c>
      <c r="V203" s="23">
        <f t="shared" si="163"/>
        <v>0</v>
      </c>
      <c r="W203" s="23">
        <f t="shared" si="164"/>
        <v>0</v>
      </c>
      <c r="X203" s="23"/>
      <c r="Y203" s="23"/>
      <c r="Z203" s="23"/>
      <c r="AA203" s="23"/>
      <c r="AB203" s="23"/>
      <c r="AC203" s="23"/>
      <c r="AD203" s="23"/>
      <c r="AE203" s="23"/>
      <c r="AF203" s="23"/>
      <c r="AG203" s="23"/>
      <c r="AH203" s="23"/>
      <c r="AI203" s="23"/>
      <c r="AJ203" s="23"/>
      <c r="AK203" s="23"/>
      <c r="AL203" s="23"/>
      <c r="AM203" s="23"/>
      <c r="AN203" s="23"/>
      <c r="AO203" s="23"/>
      <c r="AP203" s="23"/>
      <c r="AQ203" s="23"/>
      <c r="AR203" s="23"/>
      <c r="AS203" s="23"/>
      <c r="AT203" s="23"/>
      <c r="AU203" s="23"/>
      <c r="AV203" s="23"/>
      <c r="AW203" s="23"/>
      <c r="AX203" s="23"/>
      <c r="AY203" s="23"/>
      <c r="AZ203" s="23"/>
      <c r="BA203" s="23"/>
      <c r="BB203" s="23"/>
      <c r="BC203" s="23"/>
      <c r="BD203" s="36"/>
      <c r="BE203" s="36"/>
      <c r="BF203" s="36"/>
      <c r="BG203" s="36"/>
      <c r="BH203" s="36"/>
      <c r="BI203" s="36"/>
      <c r="BJ203" s="36"/>
      <c r="BK203" s="36"/>
      <c r="BL203" s="36"/>
      <c r="BM203" s="36"/>
      <c r="BN203" s="36"/>
      <c r="BO203" s="36"/>
      <c r="BP203" s="23"/>
      <c r="BQ203" s="35"/>
      <c r="BR203" s="35"/>
      <c r="BS203" s="23"/>
      <c r="BT203" s="23"/>
      <c r="BU203" s="35"/>
      <c r="BV203" s="197"/>
      <c r="BW203" s="197"/>
      <c r="BX203" s="117"/>
      <c r="BY203" s="197"/>
      <c r="BZ203" s="197"/>
      <c r="CA203" s="197"/>
      <c r="CB203" s="197"/>
      <c r="CC203" s="197"/>
      <c r="CD203" s="197">
        <v>1400</v>
      </c>
      <c r="CE203" s="197"/>
      <c r="CF203" s="197"/>
      <c r="CG203" s="197"/>
      <c r="CH203" s="197"/>
      <c r="CI203" s="197"/>
      <c r="CJ203" s="197"/>
      <c r="CK203" s="197"/>
      <c r="CL203" s="197"/>
      <c r="CM203" s="197"/>
      <c r="CN203" s="197"/>
      <c r="CO203" s="197"/>
      <c r="CP203" s="197"/>
      <c r="CQ203" s="197"/>
      <c r="CR203" s="197"/>
      <c r="CS203" s="197"/>
      <c r="CT203" s="197"/>
      <c r="CU203" s="197"/>
      <c r="CV203" s="197"/>
      <c r="CW203" s="197"/>
      <c r="CX203" s="197"/>
      <c r="CY203" s="197"/>
      <c r="CZ203" s="197"/>
      <c r="DA203" s="197"/>
      <c r="DB203" s="197"/>
      <c r="DC203" s="197"/>
    </row>
    <row r="204" spans="2:107" s="15" customFormat="1">
      <c r="B204" s="1036" t="s">
        <v>2532</v>
      </c>
      <c r="C204" s="23"/>
      <c r="L204" s="23"/>
      <c r="M204" s="54"/>
      <c r="N204" s="27"/>
      <c r="O204" s="23"/>
      <c r="P204" s="23"/>
      <c r="Q204" s="23"/>
      <c r="R204" s="23">
        <f>+SUM(CF204:CI204)</f>
        <v>0</v>
      </c>
      <c r="S204" s="23">
        <f>+SUM(CJ204:CM204)</f>
        <v>0</v>
      </c>
      <c r="T204" s="23">
        <f>+SUM(CN204:CQ204)</f>
        <v>0</v>
      </c>
      <c r="U204" s="23">
        <f>+SUM(CR204:CU204)</f>
        <v>0</v>
      </c>
      <c r="V204" s="23">
        <f t="shared" si="163"/>
        <v>1200</v>
      </c>
      <c r="W204" s="23">
        <f t="shared" si="164"/>
        <v>0</v>
      </c>
      <c r="X204" s="23"/>
      <c r="Y204" s="23"/>
      <c r="Z204" s="23"/>
      <c r="AA204" s="23"/>
      <c r="AB204" s="23"/>
      <c r="AC204" s="23"/>
      <c r="AD204" s="23"/>
      <c r="AE204" s="23"/>
      <c r="AF204" s="23"/>
      <c r="AG204" s="23"/>
      <c r="AH204" s="23"/>
      <c r="AI204" s="23"/>
      <c r="AJ204" s="23"/>
      <c r="AK204" s="23"/>
      <c r="AL204" s="23"/>
      <c r="AM204" s="23"/>
      <c r="AN204" s="23"/>
      <c r="AO204" s="23"/>
      <c r="AP204" s="23"/>
      <c r="AQ204" s="23"/>
      <c r="AR204" s="23"/>
      <c r="AS204" s="23"/>
      <c r="AT204" s="23"/>
      <c r="AU204" s="23"/>
      <c r="AV204" s="23"/>
      <c r="AW204" s="23"/>
      <c r="AX204" s="23"/>
      <c r="AY204" s="23"/>
      <c r="AZ204" s="23"/>
      <c r="BA204" s="23"/>
      <c r="BB204" s="23"/>
      <c r="BC204" s="23"/>
      <c r="BD204" s="36"/>
      <c r="BE204" s="36"/>
      <c r="BF204" s="36"/>
      <c r="BG204" s="36"/>
      <c r="BH204" s="36"/>
      <c r="BI204" s="36"/>
      <c r="BJ204" s="36"/>
      <c r="BK204" s="36"/>
      <c r="BL204" s="36"/>
      <c r="BM204" s="36"/>
      <c r="BN204" s="36"/>
      <c r="BO204" s="36"/>
      <c r="BP204" s="23"/>
      <c r="BQ204" s="35"/>
      <c r="BR204" s="35"/>
      <c r="BS204" s="23"/>
      <c r="BT204" s="23"/>
      <c r="BU204" s="35"/>
      <c r="BV204" s="197"/>
      <c r="BW204" s="197"/>
      <c r="BX204" s="117"/>
      <c r="BY204" s="197"/>
      <c r="BZ204" s="197"/>
      <c r="CA204" s="197"/>
      <c r="CB204" s="197"/>
      <c r="CC204" s="197"/>
      <c r="CD204" s="197"/>
      <c r="CE204" s="197"/>
      <c r="CF204" s="197"/>
      <c r="CG204" s="197"/>
      <c r="CH204" s="197"/>
      <c r="CI204" s="197"/>
      <c r="CJ204" s="197"/>
      <c r="CK204" s="197"/>
      <c r="CL204"/>
      <c r="CM204"/>
      <c r="CN204"/>
      <c r="CO204"/>
      <c r="CP204" s="197"/>
      <c r="CQ204" s="197"/>
      <c r="CR204" s="197"/>
      <c r="CS204" s="197"/>
      <c r="CT204" s="197"/>
      <c r="CU204" s="197"/>
      <c r="CV204" s="197">
        <v>1200</v>
      </c>
      <c r="CW204" s="197"/>
      <c r="CX204" s="197"/>
      <c r="CY204" s="197"/>
      <c r="CZ204" s="197"/>
      <c r="DA204" s="197"/>
      <c r="DB204" s="197"/>
      <c r="DC204" s="197"/>
    </row>
    <row r="205" spans="2:107" s="15" customFormat="1">
      <c r="B205" s="25" t="s">
        <v>348</v>
      </c>
      <c r="C205" s="23"/>
      <c r="L205" s="23"/>
      <c r="M205" s="54"/>
      <c r="N205" s="27"/>
      <c r="O205" s="23"/>
      <c r="P205" s="23"/>
      <c r="Q205" s="23"/>
      <c r="R205" s="23">
        <f t="shared" si="159"/>
        <v>0</v>
      </c>
      <c r="S205" s="23">
        <f t="shared" si="160"/>
        <v>0</v>
      </c>
      <c r="T205" s="23">
        <f t="shared" si="161"/>
        <v>720</v>
      </c>
      <c r="U205" s="23">
        <f t="shared" si="162"/>
        <v>0</v>
      </c>
      <c r="V205" s="23">
        <f t="shared" si="163"/>
        <v>0</v>
      </c>
      <c r="W205" s="23">
        <f t="shared" si="164"/>
        <v>0</v>
      </c>
      <c r="X205" s="23"/>
      <c r="Y205" s="23"/>
      <c r="Z205" s="23"/>
      <c r="AA205" s="23"/>
      <c r="AB205" s="23"/>
      <c r="AC205" s="23"/>
      <c r="AD205" s="23"/>
      <c r="AE205" s="23"/>
      <c r="AF205" s="23"/>
      <c r="AG205" s="23"/>
      <c r="AH205" s="23"/>
      <c r="AI205" s="23"/>
      <c r="AJ205" s="23"/>
      <c r="AK205" s="23"/>
      <c r="AL205" s="23"/>
      <c r="AM205" s="23"/>
      <c r="AN205" s="23"/>
      <c r="AO205" s="23"/>
      <c r="AP205" s="23"/>
      <c r="AQ205" s="23"/>
      <c r="AR205" s="23"/>
      <c r="AS205" s="23"/>
      <c r="AT205" s="23"/>
      <c r="AU205" s="23"/>
      <c r="AV205" s="23"/>
      <c r="AW205" s="23"/>
      <c r="AX205" s="23"/>
      <c r="AY205" s="23"/>
      <c r="AZ205" s="23"/>
      <c r="BA205" s="23"/>
      <c r="BB205" s="23"/>
      <c r="BC205" s="23"/>
      <c r="BD205" s="36"/>
      <c r="BE205" s="36"/>
      <c r="BF205" s="36"/>
      <c r="BG205" s="36"/>
      <c r="BH205" s="36"/>
      <c r="BI205" s="36"/>
      <c r="BJ205" s="36"/>
      <c r="BK205" s="36"/>
      <c r="BL205" s="36"/>
      <c r="BM205" s="36"/>
      <c r="BN205" s="36"/>
      <c r="BO205" s="36"/>
      <c r="BP205" s="23"/>
      <c r="BQ205" s="35"/>
      <c r="BR205" s="35"/>
      <c r="BS205" s="23"/>
      <c r="BT205" s="23"/>
      <c r="BU205" s="35"/>
      <c r="BV205" s="197"/>
      <c r="BW205" s="197"/>
      <c r="BX205" s="117"/>
      <c r="BY205" s="197"/>
      <c r="BZ205" s="197"/>
      <c r="CA205" s="197"/>
      <c r="CB205" s="197"/>
      <c r="CC205" s="197"/>
      <c r="CD205" s="197"/>
      <c r="CE205" s="197"/>
      <c r="CF205" s="197"/>
      <c r="CG205" s="197"/>
      <c r="CH205" s="197"/>
      <c r="CI205" s="197"/>
      <c r="CJ205" s="197"/>
      <c r="CK205" s="197"/>
      <c r="CL205" s="197"/>
      <c r="CM205" s="197"/>
      <c r="CN205" s="31">
        <v>720</v>
      </c>
      <c r="CO205" s="31"/>
      <c r="CP205" s="197"/>
      <c r="CQ205" s="197"/>
      <c r="CR205" s="197"/>
      <c r="CS205" s="197"/>
      <c r="CT205" s="197"/>
      <c r="CU205" s="197"/>
      <c r="CV205" s="197"/>
      <c r="CW205" s="197"/>
      <c r="CX205" s="197"/>
      <c r="CY205" s="197"/>
      <c r="CZ205" s="197"/>
      <c r="DA205" s="197"/>
      <c r="DB205" s="197"/>
      <c r="DC205" s="197"/>
    </row>
    <row r="206" spans="2:107">
      <c r="B206" s="25" t="s">
        <v>88</v>
      </c>
      <c r="C206" s="23"/>
      <c r="D206" s="15"/>
      <c r="E206" s="15"/>
      <c r="F206" s="15"/>
      <c r="G206" s="15"/>
      <c r="H206" s="15"/>
      <c r="I206" s="15"/>
      <c r="J206" s="15"/>
      <c r="K206" s="15"/>
      <c r="L206" s="23"/>
      <c r="M206" s="54"/>
      <c r="N206" s="27"/>
      <c r="O206" s="23"/>
      <c r="P206" s="23"/>
      <c r="Q206" s="23">
        <f>SUM(CB206:CE206)</f>
        <v>450</v>
      </c>
      <c r="R206" s="23">
        <f t="shared" si="159"/>
        <v>0</v>
      </c>
      <c r="S206" s="23">
        <f t="shared" si="160"/>
        <v>0</v>
      </c>
      <c r="T206" s="23">
        <f t="shared" si="161"/>
        <v>0</v>
      </c>
      <c r="U206" s="23">
        <f t="shared" si="162"/>
        <v>0</v>
      </c>
      <c r="V206" s="23">
        <f t="shared" si="163"/>
        <v>0</v>
      </c>
      <c r="W206" s="23">
        <f t="shared" si="164"/>
        <v>0</v>
      </c>
      <c r="X206" s="23"/>
      <c r="Y206" s="23"/>
      <c r="Z206" s="23"/>
      <c r="AA206" s="23"/>
      <c r="AB206" s="23"/>
      <c r="AC206" s="23"/>
      <c r="AD206" s="23"/>
      <c r="AE206" s="23"/>
      <c r="AF206" s="23"/>
      <c r="AG206" s="23"/>
      <c r="AH206" s="23"/>
      <c r="AI206" s="23"/>
      <c r="AJ206" s="23"/>
      <c r="AK206" s="23"/>
      <c r="AL206" s="23"/>
      <c r="AM206" s="23"/>
      <c r="AN206" s="23"/>
      <c r="AO206" s="23"/>
      <c r="AP206" s="23"/>
      <c r="AQ206" s="23"/>
      <c r="AR206" s="23"/>
      <c r="AS206" s="23"/>
      <c r="AT206" s="23"/>
      <c r="AU206" s="23"/>
      <c r="AV206" s="23"/>
      <c r="AW206" s="23"/>
      <c r="AX206" s="23"/>
      <c r="AY206" s="23"/>
      <c r="AZ206" s="23"/>
      <c r="BA206" s="23"/>
      <c r="BB206" s="23"/>
      <c r="BC206" s="23"/>
      <c r="BD206" s="36"/>
      <c r="BE206" s="36"/>
      <c r="BF206" s="36"/>
      <c r="BG206" s="36"/>
      <c r="BH206" s="36"/>
      <c r="BI206" s="36"/>
      <c r="BJ206" s="36"/>
      <c r="BK206" s="36"/>
      <c r="BL206" s="36"/>
      <c r="BM206" s="36"/>
      <c r="BN206" s="36"/>
      <c r="BO206" s="36"/>
      <c r="BP206" s="23"/>
      <c r="BQ206" s="35"/>
      <c r="BR206" s="35"/>
      <c r="BS206" s="23"/>
      <c r="BT206" s="23"/>
      <c r="BU206" s="35"/>
      <c r="BV206" s="197"/>
      <c r="BW206" s="197"/>
      <c r="BX206" s="117"/>
      <c r="BY206" s="197"/>
      <c r="BZ206" s="197"/>
      <c r="CA206" s="197"/>
      <c r="CB206" s="197"/>
      <c r="CC206" s="197"/>
      <c r="CD206" s="197">
        <v>450</v>
      </c>
      <c r="CE206" s="197"/>
      <c r="CF206" s="197"/>
      <c r="CG206" s="197"/>
      <c r="CH206" s="197"/>
      <c r="CI206" s="197"/>
      <c r="CJ206" s="197"/>
      <c r="CK206" s="197"/>
      <c r="CL206" s="197"/>
      <c r="CM206" s="197"/>
      <c r="CN206" s="197"/>
      <c r="CO206" s="197"/>
      <c r="CP206" s="197"/>
      <c r="CQ206" s="197"/>
      <c r="CR206" s="197"/>
      <c r="CS206" s="197"/>
      <c r="CT206" s="197"/>
      <c r="CU206" s="197"/>
      <c r="CV206" s="197"/>
      <c r="CW206" s="197"/>
      <c r="CX206" s="197"/>
      <c r="CY206" s="197"/>
      <c r="CZ206" s="197"/>
      <c r="DA206" s="197"/>
      <c r="DB206" s="197"/>
      <c r="DC206" s="197"/>
    </row>
    <row r="207" spans="2:107">
      <c r="B207" s="25" t="s">
        <v>287</v>
      </c>
      <c r="C207" s="23"/>
      <c r="D207" s="15"/>
      <c r="E207" s="15"/>
      <c r="F207" s="15"/>
      <c r="G207" s="15"/>
      <c r="H207" s="15"/>
      <c r="I207" s="15"/>
      <c r="J207" s="15"/>
      <c r="K207" s="15"/>
      <c r="L207" s="23"/>
      <c r="M207" s="54"/>
      <c r="N207" s="27"/>
      <c r="O207" s="23"/>
      <c r="P207" s="23"/>
      <c r="Q207" s="23"/>
      <c r="R207" s="23"/>
      <c r="S207" s="23">
        <f>+SUM(CJ207:CM207)</f>
        <v>0</v>
      </c>
      <c r="T207" s="23">
        <f t="shared" si="161"/>
        <v>300</v>
      </c>
      <c r="U207" s="23">
        <f t="shared" si="162"/>
        <v>0</v>
      </c>
      <c r="V207" s="23">
        <f t="shared" si="163"/>
        <v>0</v>
      </c>
      <c r="W207" s="23">
        <f t="shared" si="164"/>
        <v>0</v>
      </c>
      <c r="X207" s="23"/>
      <c r="Y207" s="23"/>
      <c r="Z207" s="23"/>
      <c r="AA207" s="23"/>
      <c r="AB207" s="23"/>
      <c r="AC207" s="23"/>
      <c r="AD207" s="23"/>
      <c r="AE207" s="23"/>
      <c r="AF207" s="23"/>
      <c r="AG207" s="23"/>
      <c r="AH207" s="23"/>
      <c r="AI207" s="23"/>
      <c r="AJ207" s="23"/>
      <c r="AK207" s="23"/>
      <c r="AL207" s="23"/>
      <c r="AM207" s="23"/>
      <c r="AN207" s="23"/>
      <c r="AO207" s="23"/>
      <c r="AP207" s="23"/>
      <c r="AQ207" s="23"/>
      <c r="AR207" s="23"/>
      <c r="AS207" s="23"/>
      <c r="AT207" s="23"/>
      <c r="AU207" s="23"/>
      <c r="AV207" s="23"/>
      <c r="AW207" s="23"/>
      <c r="AX207" s="23"/>
      <c r="AY207" s="23"/>
      <c r="AZ207" s="23"/>
      <c r="BA207" s="23"/>
      <c r="BB207" s="23"/>
      <c r="BC207" s="23"/>
      <c r="BD207" s="36"/>
      <c r="BE207" s="36"/>
      <c r="BF207" s="36"/>
      <c r="BG207" s="36"/>
      <c r="BH207" s="36"/>
      <c r="BI207" s="36"/>
      <c r="BJ207" s="36"/>
      <c r="BK207" s="36"/>
      <c r="BL207" s="36"/>
      <c r="BM207" s="36"/>
      <c r="BN207" s="36"/>
      <c r="BO207" s="36"/>
      <c r="BP207" s="23"/>
      <c r="BQ207" s="35"/>
      <c r="BR207" s="35"/>
      <c r="BS207" s="23"/>
      <c r="BT207" s="23"/>
      <c r="BU207" s="35"/>
      <c r="BV207" s="197"/>
      <c r="BW207" s="197"/>
      <c r="BX207" s="117"/>
      <c r="BY207" s="197"/>
      <c r="BZ207" s="197"/>
      <c r="CA207" s="197"/>
      <c r="CB207" s="197"/>
      <c r="CC207" s="197"/>
      <c r="CD207" s="197"/>
      <c r="CE207" s="197"/>
      <c r="CF207" s="197"/>
      <c r="CG207" s="197"/>
      <c r="CH207" s="197"/>
      <c r="CI207" s="197"/>
      <c r="CJ207" s="197"/>
      <c r="CK207" s="197"/>
      <c r="CL207" s="197"/>
      <c r="CM207" s="197"/>
      <c r="CN207" s="197"/>
      <c r="CO207" s="197">
        <v>300</v>
      </c>
      <c r="CP207" s="197"/>
      <c r="CQ207" s="197"/>
      <c r="CR207" s="197"/>
      <c r="CS207" s="197"/>
      <c r="CT207" s="197"/>
      <c r="CU207" s="197"/>
      <c r="CV207" s="197"/>
      <c r="CW207" s="197"/>
      <c r="CX207" s="197"/>
      <c r="CY207" s="197"/>
      <c r="CZ207" s="197"/>
      <c r="DA207" s="197"/>
      <c r="DB207" s="197"/>
      <c r="DC207" s="197"/>
    </row>
    <row r="208" spans="2:107">
      <c r="B208" s="25" t="s">
        <v>270</v>
      </c>
      <c r="C208" s="23"/>
      <c r="D208" s="15"/>
      <c r="E208" s="15"/>
      <c r="F208" s="15"/>
      <c r="G208" s="15"/>
      <c r="H208" s="15"/>
      <c r="I208" s="15"/>
      <c r="J208" s="15"/>
      <c r="K208" s="15"/>
      <c r="L208" s="23"/>
      <c r="M208" s="54"/>
      <c r="N208" s="27"/>
      <c r="O208" s="23"/>
      <c r="P208" s="23"/>
      <c r="Q208" s="23"/>
      <c r="R208" s="23">
        <f t="shared" si="159"/>
        <v>320</v>
      </c>
      <c r="S208" s="23">
        <f t="shared" si="160"/>
        <v>0</v>
      </c>
      <c r="T208" s="23">
        <f t="shared" si="161"/>
        <v>0</v>
      </c>
      <c r="U208" s="23">
        <f t="shared" si="162"/>
        <v>0</v>
      </c>
      <c r="V208" s="23">
        <f t="shared" si="163"/>
        <v>0</v>
      </c>
      <c r="W208" s="23">
        <f t="shared" si="164"/>
        <v>0</v>
      </c>
      <c r="X208" s="23"/>
      <c r="Y208" s="23"/>
      <c r="Z208" s="23"/>
      <c r="AA208" s="23"/>
      <c r="AB208" s="23"/>
      <c r="AC208" s="23"/>
      <c r="AD208" s="23"/>
      <c r="AE208" s="23"/>
      <c r="AF208" s="23"/>
      <c r="AG208" s="23"/>
      <c r="AH208" s="23"/>
      <c r="AI208" s="23"/>
      <c r="AJ208" s="23"/>
      <c r="AK208" s="23"/>
      <c r="AL208" s="23"/>
      <c r="AM208" s="23"/>
      <c r="AN208" s="23"/>
      <c r="AO208" s="23"/>
      <c r="AP208" s="23"/>
      <c r="AQ208" s="23"/>
      <c r="AR208" s="23"/>
      <c r="AS208" s="23"/>
      <c r="AT208" s="23"/>
      <c r="AU208" s="23"/>
      <c r="AV208" s="23"/>
      <c r="AW208" s="23"/>
      <c r="AX208" s="23"/>
      <c r="AY208" s="23"/>
      <c r="AZ208" s="23"/>
      <c r="BA208" s="23"/>
      <c r="BB208" s="23"/>
      <c r="BC208" s="23"/>
      <c r="BD208" s="36"/>
      <c r="BE208" s="36"/>
      <c r="BF208" s="36"/>
      <c r="BG208" s="36"/>
      <c r="BH208" s="36"/>
      <c r="BI208" s="36"/>
      <c r="BJ208" s="36"/>
      <c r="BK208" s="36"/>
      <c r="BL208" s="36"/>
      <c r="BM208" s="36"/>
      <c r="BN208" s="36"/>
      <c r="BO208" s="36"/>
      <c r="BP208" s="23"/>
      <c r="BQ208" s="35"/>
      <c r="BR208" s="35"/>
      <c r="BS208" s="23"/>
      <c r="BT208" s="23"/>
      <c r="BU208" s="35"/>
      <c r="BV208" s="197"/>
      <c r="BW208" s="197"/>
      <c r="BX208" s="117"/>
      <c r="BY208" s="197"/>
      <c r="BZ208" s="197"/>
      <c r="CA208" s="197"/>
      <c r="CB208" s="197"/>
      <c r="CC208" s="197"/>
      <c r="CD208" s="197"/>
      <c r="CE208" s="197"/>
      <c r="CF208" s="197"/>
      <c r="CG208" s="197"/>
      <c r="CH208" s="197">
        <v>320</v>
      </c>
      <c r="CI208" s="197"/>
      <c r="CJ208" s="197"/>
      <c r="CK208" s="197"/>
      <c r="CL208" s="197"/>
      <c r="CM208" s="197"/>
      <c r="CN208" s="197"/>
      <c r="CO208" s="197"/>
      <c r="CP208" s="197"/>
      <c r="CQ208" s="197"/>
      <c r="CR208" s="197"/>
      <c r="CS208" s="197"/>
      <c r="CT208" s="197"/>
      <c r="CU208" s="197"/>
      <c r="CV208" s="197"/>
      <c r="CW208" s="197"/>
      <c r="CX208" s="197"/>
      <c r="CY208" s="197"/>
      <c r="CZ208" s="197"/>
      <c r="DA208" s="197"/>
      <c r="DB208" s="197"/>
      <c r="DC208" s="197"/>
    </row>
    <row r="209" spans="2:107">
      <c r="B209" s="1036" t="s">
        <v>1878</v>
      </c>
      <c r="C209" s="23"/>
      <c r="D209" s="15"/>
      <c r="E209" s="15"/>
      <c r="F209" s="15"/>
      <c r="G209" s="15"/>
      <c r="H209" s="15"/>
      <c r="I209" s="15"/>
      <c r="J209" s="15"/>
      <c r="K209" s="15"/>
      <c r="L209" s="23"/>
      <c r="M209" s="54"/>
      <c r="N209" s="27"/>
      <c r="O209" s="23"/>
      <c r="P209" s="23"/>
      <c r="Q209" s="23"/>
      <c r="R209" s="23">
        <f>+SUM(CF209:CI209)</f>
        <v>0</v>
      </c>
      <c r="S209" s="23">
        <f>+SUM(CJ209:CM209)</f>
        <v>0</v>
      </c>
      <c r="T209" s="23">
        <f t="shared" si="161"/>
        <v>310</v>
      </c>
      <c r="U209" s="23">
        <f t="shared" si="162"/>
        <v>0</v>
      </c>
      <c r="V209" s="23">
        <f t="shared" si="163"/>
        <v>0</v>
      </c>
      <c r="W209" s="23">
        <f t="shared" si="164"/>
        <v>0</v>
      </c>
      <c r="X209" s="23"/>
      <c r="Y209" s="23"/>
      <c r="Z209" s="23"/>
      <c r="AA209" s="23"/>
      <c r="AB209" s="23"/>
      <c r="AC209" s="23"/>
      <c r="AD209" s="23"/>
      <c r="AE209" s="23"/>
      <c r="AF209" s="23"/>
      <c r="AG209" s="23"/>
      <c r="AH209" s="23"/>
      <c r="AI209" s="23"/>
      <c r="AJ209" s="23"/>
      <c r="AK209" s="23"/>
      <c r="AL209" s="23"/>
      <c r="AM209" s="23"/>
      <c r="AN209" s="23"/>
      <c r="AO209" s="23"/>
      <c r="AP209" s="23"/>
      <c r="AQ209" s="23"/>
      <c r="AR209" s="23"/>
      <c r="AS209" s="23"/>
      <c r="AT209" s="23"/>
      <c r="AU209" s="23"/>
      <c r="AV209" s="23"/>
      <c r="AW209" s="23"/>
      <c r="AX209" s="23"/>
      <c r="AY209" s="23"/>
      <c r="AZ209" s="23"/>
      <c r="BA209" s="23"/>
      <c r="BB209" s="23"/>
      <c r="BC209" s="23"/>
      <c r="BD209" s="36"/>
      <c r="BE209" s="36"/>
      <c r="BF209" s="36"/>
      <c r="BG209" s="36"/>
      <c r="BH209" s="36"/>
      <c r="BI209" s="36"/>
      <c r="BJ209" s="36"/>
      <c r="BK209" s="36"/>
      <c r="BL209" s="36"/>
      <c r="BM209" s="36"/>
      <c r="BN209" s="36"/>
      <c r="BO209" s="36"/>
      <c r="BP209" s="23"/>
      <c r="BQ209" s="35"/>
      <c r="BR209" s="35"/>
      <c r="BS209" s="23"/>
      <c r="BT209" s="23"/>
      <c r="BU209" s="35"/>
      <c r="BV209" s="197"/>
      <c r="BW209" s="197"/>
      <c r="BX209" s="117"/>
      <c r="BY209" s="197"/>
      <c r="BZ209" s="197"/>
      <c r="CA209" s="197"/>
      <c r="CB209" s="197"/>
      <c r="CC209" s="197"/>
      <c r="CD209" s="197"/>
      <c r="CE209" s="197"/>
      <c r="CF209" s="197"/>
      <c r="CG209" s="197"/>
      <c r="CH209" s="197"/>
      <c r="CI209" s="197"/>
      <c r="CJ209" s="197"/>
      <c r="CK209" s="197"/>
      <c r="CL209" s="197"/>
      <c r="CM209" s="197"/>
      <c r="CN209" s="197"/>
      <c r="CO209" s="197"/>
      <c r="CP209" s="197">
        <v>310</v>
      </c>
      <c r="CQ209" s="197"/>
      <c r="CR209" s="197"/>
      <c r="CS209" s="197"/>
      <c r="CT209" s="197"/>
      <c r="CU209" s="197"/>
      <c r="CV209" s="197"/>
      <c r="CW209" s="197"/>
      <c r="CX209" s="197"/>
      <c r="CY209" s="197"/>
      <c r="CZ209" s="197"/>
      <c r="DA209" s="197"/>
      <c r="DB209" s="197"/>
      <c r="DC209" s="197"/>
    </row>
    <row r="210" spans="2:107">
      <c r="B210" s="1036" t="s">
        <v>2620</v>
      </c>
      <c r="C210" s="23"/>
      <c r="D210" s="15"/>
      <c r="E210" s="15"/>
      <c r="F210" s="15"/>
      <c r="G210" s="15"/>
      <c r="H210" s="15"/>
      <c r="I210" s="15"/>
      <c r="J210" s="15"/>
      <c r="K210" s="15"/>
      <c r="L210" s="23"/>
      <c r="M210" s="54"/>
      <c r="N210" s="27"/>
      <c r="O210" s="23"/>
      <c r="P210" s="23"/>
      <c r="Q210" s="23"/>
      <c r="R210" s="23">
        <f>+SUM(CF210:CI210)</f>
        <v>0</v>
      </c>
      <c r="S210" s="23">
        <f>+SUM(CJ210:CM210)</f>
        <v>0</v>
      </c>
      <c r="T210" s="23">
        <f>+SUM(CN210:CQ210)</f>
        <v>0</v>
      </c>
      <c r="U210" s="23">
        <f>+SUM(CR210:CU210)</f>
        <v>0</v>
      </c>
      <c r="V210" s="23">
        <f>+SUM(CV210:CY210)</f>
        <v>0</v>
      </c>
      <c r="W210" s="23">
        <f t="shared" si="164"/>
        <v>500</v>
      </c>
      <c r="X210" s="23"/>
      <c r="Y210" s="23"/>
      <c r="Z210" s="23"/>
      <c r="AA210" s="23"/>
      <c r="AB210" s="23"/>
      <c r="AC210" s="23"/>
      <c r="AD210" s="23"/>
      <c r="AE210" s="23"/>
      <c r="AF210" s="23"/>
      <c r="AG210" s="23"/>
      <c r="AH210" s="23"/>
      <c r="AI210" s="23"/>
      <c r="AJ210" s="23"/>
      <c r="AK210" s="23"/>
      <c r="AL210" s="23"/>
      <c r="AM210" s="23"/>
      <c r="AN210" s="23"/>
      <c r="AO210" s="23"/>
      <c r="AP210" s="23"/>
      <c r="AQ210" s="23"/>
      <c r="AR210" s="23"/>
      <c r="AS210" s="23"/>
      <c r="AT210" s="23"/>
      <c r="AU210" s="23"/>
      <c r="AV210" s="23"/>
      <c r="AW210" s="23"/>
      <c r="AX210" s="23"/>
      <c r="AY210" s="23"/>
      <c r="AZ210" s="23"/>
      <c r="BA210" s="23"/>
      <c r="BB210" s="23"/>
      <c r="BC210" s="23"/>
      <c r="BD210" s="36"/>
      <c r="BE210" s="36"/>
      <c r="BF210" s="36"/>
      <c r="BG210" s="36"/>
      <c r="BH210" s="36"/>
      <c r="BI210" s="36"/>
      <c r="BJ210" s="36"/>
      <c r="BK210" s="36"/>
      <c r="BL210" s="36"/>
      <c r="BM210" s="36"/>
      <c r="BN210" s="36"/>
      <c r="BO210" s="36"/>
      <c r="BP210" s="23"/>
      <c r="BQ210" s="35"/>
      <c r="BR210" s="35"/>
      <c r="BS210" s="23"/>
      <c r="BT210" s="23"/>
      <c r="BU210" s="35"/>
      <c r="BV210" s="197"/>
      <c r="BW210" s="197"/>
      <c r="BX210" s="117"/>
      <c r="BY210" s="197"/>
      <c r="BZ210" s="197"/>
      <c r="CA210" s="197"/>
      <c r="CB210" s="197"/>
      <c r="CC210" s="197"/>
      <c r="CD210" s="197"/>
      <c r="CE210" s="197"/>
      <c r="CF210" s="197"/>
      <c r="CG210" s="197"/>
      <c r="CH210" s="197"/>
      <c r="CI210" s="197"/>
      <c r="CJ210" s="197"/>
      <c r="CK210" s="197"/>
      <c r="CL210" s="197"/>
      <c r="CM210" s="197"/>
      <c r="CN210" s="197"/>
      <c r="CO210" s="197"/>
      <c r="CP210" s="197"/>
      <c r="CQ210" s="197"/>
      <c r="CR210" s="197"/>
      <c r="CS210" s="197"/>
      <c r="CT210" s="197"/>
      <c r="CU210" s="197"/>
      <c r="CV210" s="197"/>
      <c r="CW210" s="197"/>
      <c r="CX210" s="197"/>
      <c r="CY210" s="197"/>
      <c r="CZ210" s="197">
        <v>500</v>
      </c>
      <c r="DA210" s="197"/>
      <c r="DB210" s="197"/>
      <c r="DC210" s="197"/>
    </row>
    <row r="211" spans="2:107">
      <c r="B211" s="25" t="s">
        <v>1836</v>
      </c>
      <c r="C211" s="23"/>
      <c r="D211" s="15"/>
      <c r="E211" s="15"/>
      <c r="F211" s="15"/>
      <c r="G211" s="15"/>
      <c r="H211" s="15"/>
      <c r="I211" s="15"/>
      <c r="J211" s="15"/>
      <c r="K211" s="15"/>
      <c r="L211" s="23"/>
      <c r="M211" s="54"/>
      <c r="N211" s="27"/>
      <c r="O211" s="23"/>
      <c r="P211" s="23"/>
      <c r="Q211" s="23">
        <f>SUM(CB211:CE211)</f>
        <v>0</v>
      </c>
      <c r="R211" s="23">
        <f t="shared" si="159"/>
        <v>1100</v>
      </c>
      <c r="S211" s="23">
        <f t="shared" si="160"/>
        <v>0</v>
      </c>
      <c r="T211" s="23">
        <f t="shared" si="161"/>
        <v>0</v>
      </c>
      <c r="U211" s="23">
        <f t="shared" si="162"/>
        <v>0</v>
      </c>
      <c r="V211" s="23">
        <f t="shared" si="163"/>
        <v>0</v>
      </c>
      <c r="W211" s="23">
        <f t="shared" si="164"/>
        <v>0</v>
      </c>
      <c r="X211" s="23"/>
      <c r="Y211" s="23"/>
      <c r="Z211" s="23"/>
      <c r="AA211" s="23"/>
      <c r="AB211" s="23"/>
      <c r="AC211" s="23"/>
      <c r="AD211" s="23"/>
      <c r="AE211" s="23"/>
      <c r="AF211" s="23"/>
      <c r="AG211" s="23"/>
      <c r="AH211" s="23"/>
      <c r="AI211" s="23"/>
      <c r="AJ211" s="23"/>
      <c r="AK211" s="23"/>
      <c r="AL211" s="23"/>
      <c r="AM211" s="23"/>
      <c r="AN211" s="23"/>
      <c r="AO211" s="23"/>
      <c r="AP211" s="23"/>
      <c r="AQ211" s="23"/>
      <c r="AR211" s="23"/>
      <c r="AS211" s="23"/>
      <c r="AT211" s="23"/>
      <c r="AU211" s="23"/>
      <c r="AV211" s="23"/>
      <c r="AW211" s="23"/>
      <c r="AX211" s="23"/>
      <c r="AY211" s="23"/>
      <c r="AZ211" s="23"/>
      <c r="BA211" s="23"/>
      <c r="BB211" s="23"/>
      <c r="BC211" s="23"/>
      <c r="BD211" s="36"/>
      <c r="BE211" s="36"/>
      <c r="BF211" s="36"/>
      <c r="BG211" s="36"/>
      <c r="BH211" s="36"/>
      <c r="BI211" s="36"/>
      <c r="BJ211" s="36"/>
      <c r="BK211" s="36"/>
      <c r="BL211" s="36"/>
      <c r="BM211" s="36"/>
      <c r="BN211" s="36"/>
      <c r="BO211" s="36"/>
      <c r="BP211" s="23"/>
      <c r="BQ211" s="35"/>
      <c r="BR211" s="35"/>
      <c r="BS211" s="23"/>
      <c r="BT211" s="23"/>
      <c r="BU211" s="35"/>
      <c r="BV211" s="197"/>
      <c r="BW211" s="197"/>
      <c r="BX211" s="117"/>
      <c r="BY211" s="197"/>
      <c r="BZ211" s="197"/>
      <c r="CA211" s="197"/>
      <c r="CB211" s="197"/>
      <c r="CC211" s="197"/>
      <c r="CD211" s="197"/>
      <c r="CE211" s="197"/>
      <c r="CF211" s="197">
        <v>1100</v>
      </c>
      <c r="CG211" s="197"/>
      <c r="CH211" s="197"/>
      <c r="CI211" s="197"/>
      <c r="CJ211" s="197"/>
      <c r="CK211" s="197"/>
      <c r="CL211" s="197"/>
      <c r="CM211" s="197"/>
      <c r="CN211" s="197"/>
      <c r="CO211" s="197"/>
      <c r="CP211" s="197"/>
      <c r="CQ211" s="197"/>
      <c r="CR211" s="197"/>
      <c r="CS211" s="197"/>
      <c r="CT211" s="197"/>
      <c r="CU211" s="197"/>
      <c r="CV211" s="197"/>
      <c r="CW211" s="197"/>
      <c r="CX211" s="197"/>
      <c r="CY211" s="197"/>
      <c r="CZ211" s="197"/>
      <c r="DA211" s="197"/>
      <c r="DB211" s="197"/>
      <c r="DC211" s="197"/>
    </row>
    <row r="212" spans="2:107">
      <c r="B212" s="1036" t="s">
        <v>1877</v>
      </c>
      <c r="C212" s="23"/>
      <c r="D212" s="15"/>
      <c r="E212" s="15"/>
      <c r="F212" s="15"/>
      <c r="G212" s="15"/>
      <c r="H212" s="15"/>
      <c r="I212" s="15"/>
      <c r="J212" s="15"/>
      <c r="K212" s="15"/>
      <c r="L212" s="23"/>
      <c r="M212" s="54"/>
      <c r="N212" s="27"/>
      <c r="O212" s="23"/>
      <c r="P212" s="23"/>
      <c r="Q212" s="23">
        <f>SUM(CB212:CE212)</f>
        <v>0</v>
      </c>
      <c r="R212" s="23">
        <f>+SUM(CF212:CI212)</f>
        <v>0</v>
      </c>
      <c r="S212" s="23">
        <f>+SUM(CJ212:CM212)</f>
        <v>0</v>
      </c>
      <c r="T212" s="23">
        <f t="shared" si="161"/>
        <v>575</v>
      </c>
      <c r="U212" s="23">
        <f t="shared" si="162"/>
        <v>0</v>
      </c>
      <c r="V212" s="23">
        <f t="shared" si="163"/>
        <v>0</v>
      </c>
      <c r="W212" s="23">
        <f t="shared" si="164"/>
        <v>0</v>
      </c>
      <c r="X212" s="23"/>
      <c r="Y212" s="23"/>
      <c r="Z212" s="23"/>
      <c r="AA212" s="23"/>
      <c r="AB212" s="23"/>
      <c r="AC212" s="23"/>
      <c r="AD212" s="23"/>
      <c r="AE212" s="23"/>
      <c r="AF212" s="23"/>
      <c r="AG212" s="23"/>
      <c r="AH212" s="23"/>
      <c r="AI212" s="23"/>
      <c r="AJ212" s="23"/>
      <c r="AK212" s="23"/>
      <c r="AL212" s="23"/>
      <c r="AM212" s="23"/>
      <c r="AN212" s="23"/>
      <c r="AO212" s="23"/>
      <c r="AP212" s="23"/>
      <c r="AQ212" s="23"/>
      <c r="AR212" s="23"/>
      <c r="AS212" s="23"/>
      <c r="AT212" s="23"/>
      <c r="AU212" s="23"/>
      <c r="AV212" s="23"/>
      <c r="AW212" s="23"/>
      <c r="AX212" s="23"/>
      <c r="AY212" s="23"/>
      <c r="AZ212" s="23"/>
      <c r="BA212" s="23"/>
      <c r="BB212" s="23"/>
      <c r="BC212" s="23"/>
      <c r="BD212" s="36"/>
      <c r="BE212" s="36"/>
      <c r="BF212" s="36"/>
      <c r="BG212" s="36"/>
      <c r="BH212" s="36"/>
      <c r="BI212" s="36"/>
      <c r="BJ212" s="36"/>
      <c r="BK212" s="36"/>
      <c r="BL212" s="36"/>
      <c r="BM212" s="36"/>
      <c r="BN212" s="36"/>
      <c r="BO212" s="36"/>
      <c r="BP212" s="23"/>
      <c r="BQ212" s="35"/>
      <c r="BR212" s="35"/>
      <c r="BS212" s="23"/>
      <c r="BT212" s="23"/>
      <c r="BU212" s="35"/>
      <c r="BV212" s="197"/>
      <c r="BW212" s="197"/>
      <c r="BX212" s="117"/>
      <c r="BY212" s="197"/>
      <c r="BZ212" s="197"/>
      <c r="CA212" s="197"/>
      <c r="CB212" s="197"/>
      <c r="CC212" s="197"/>
      <c r="CD212" s="197"/>
      <c r="CE212" s="197"/>
      <c r="CF212" s="197"/>
      <c r="CG212" s="197"/>
      <c r="CH212" s="197"/>
      <c r="CI212" s="197"/>
      <c r="CJ212" s="197"/>
      <c r="CK212" s="197"/>
      <c r="CL212" s="197"/>
      <c r="CM212" s="197"/>
      <c r="CN212" s="197"/>
      <c r="CO212" s="197">
        <v>575</v>
      </c>
      <c r="CP212" s="197"/>
      <c r="CQ212" s="197"/>
      <c r="CR212" s="197"/>
      <c r="CS212" s="197"/>
      <c r="CT212" s="197"/>
      <c r="CU212" s="197"/>
      <c r="CV212" s="197"/>
      <c r="CW212" s="197"/>
      <c r="CX212" s="197"/>
      <c r="CY212" s="197"/>
      <c r="CZ212" s="197"/>
      <c r="DA212" s="197"/>
      <c r="DB212" s="197"/>
      <c r="DC212" s="197"/>
    </row>
    <row r="213" spans="2:107" s="15" customFormat="1">
      <c r="B213" s="25" t="s">
        <v>347</v>
      </c>
      <c r="C213" s="23"/>
      <c r="L213" s="23"/>
      <c r="M213" s="54"/>
      <c r="N213" s="27"/>
      <c r="O213" s="23"/>
      <c r="P213" s="23"/>
      <c r="Q213" s="23"/>
      <c r="R213" s="23">
        <f t="shared" si="159"/>
        <v>0</v>
      </c>
      <c r="S213" s="23">
        <f t="shared" si="160"/>
        <v>600</v>
      </c>
      <c r="T213" s="23">
        <f t="shared" si="161"/>
        <v>0</v>
      </c>
      <c r="U213" s="23">
        <f t="shared" si="162"/>
        <v>0</v>
      </c>
      <c r="V213" s="23">
        <f t="shared" si="163"/>
        <v>0</v>
      </c>
      <c r="W213" s="23">
        <f t="shared" si="164"/>
        <v>0</v>
      </c>
      <c r="X213" s="23"/>
      <c r="Y213" s="23"/>
      <c r="Z213" s="23"/>
      <c r="AA213" s="23"/>
      <c r="AB213" s="23"/>
      <c r="AC213" s="23"/>
      <c r="AD213" s="23"/>
      <c r="AE213" s="23"/>
      <c r="AF213" s="23"/>
      <c r="AG213" s="23"/>
      <c r="AH213" s="23"/>
      <c r="AI213" s="23"/>
      <c r="AJ213" s="23"/>
      <c r="AK213" s="23"/>
      <c r="AL213" s="23"/>
      <c r="AM213" s="23"/>
      <c r="AN213" s="23"/>
      <c r="AO213" s="23"/>
      <c r="AP213" s="23"/>
      <c r="AQ213" s="23"/>
      <c r="AR213" s="23"/>
      <c r="AS213" s="23"/>
      <c r="AT213" s="23"/>
      <c r="AU213" s="23"/>
      <c r="AV213" s="23"/>
      <c r="AW213" s="23"/>
      <c r="AX213" s="23"/>
      <c r="AY213" s="23"/>
      <c r="AZ213" s="23"/>
      <c r="BA213" s="23"/>
      <c r="BB213" s="23"/>
      <c r="BC213" s="23"/>
      <c r="BD213" s="36"/>
      <c r="BE213" s="36"/>
      <c r="BF213" s="36"/>
      <c r="BG213" s="36"/>
      <c r="BH213" s="36"/>
      <c r="BI213" s="36"/>
      <c r="BJ213" s="36"/>
      <c r="BK213" s="36"/>
      <c r="BL213" s="36"/>
      <c r="BM213" s="36"/>
      <c r="BN213" s="36"/>
      <c r="BO213" s="36"/>
      <c r="BP213" s="23"/>
      <c r="BQ213" s="35"/>
      <c r="BR213" s="35"/>
      <c r="BS213" s="23"/>
      <c r="BT213" s="23"/>
      <c r="BU213" s="35"/>
      <c r="BV213" s="197"/>
      <c r="BW213" s="197"/>
      <c r="BX213" s="117"/>
      <c r="BY213" s="197"/>
      <c r="BZ213" s="197"/>
      <c r="CA213" s="197"/>
      <c r="CB213" s="197"/>
      <c r="CC213" s="197"/>
      <c r="CD213" s="197"/>
      <c r="CE213" s="197"/>
      <c r="CF213" s="197"/>
      <c r="CG213" s="197"/>
      <c r="CH213" s="197"/>
      <c r="CI213" s="197"/>
      <c r="CJ213" s="197"/>
      <c r="CK213" s="197">
        <v>600</v>
      </c>
      <c r="CL213"/>
      <c r="CM213"/>
      <c r="CN213"/>
      <c r="CO213"/>
      <c r="CP213" s="197"/>
      <c r="CQ213" s="197"/>
      <c r="CR213" s="197"/>
      <c r="CS213" s="197"/>
      <c r="CT213" s="197"/>
      <c r="CU213" s="197"/>
      <c r="CV213" s="197"/>
      <c r="CW213" s="197"/>
      <c r="CX213" s="197"/>
      <c r="CY213" s="197"/>
      <c r="CZ213" s="197"/>
      <c r="DA213" s="197"/>
      <c r="DB213" s="197"/>
      <c r="DC213" s="197"/>
    </row>
    <row r="214" spans="2:107" s="15" customFormat="1">
      <c r="B214" s="25" t="s">
        <v>347</v>
      </c>
      <c r="C214" s="23"/>
      <c r="L214" s="23"/>
      <c r="M214" s="54"/>
      <c r="N214" s="27"/>
      <c r="O214" s="23"/>
      <c r="P214" s="23"/>
      <c r="Q214" s="23"/>
      <c r="R214" s="23">
        <f>+SUM(CF214:CI214)</f>
        <v>0</v>
      </c>
      <c r="S214" s="23">
        <f>+SUM(CJ214:CM214)</f>
        <v>0</v>
      </c>
      <c r="T214" s="23">
        <f t="shared" si="161"/>
        <v>0</v>
      </c>
      <c r="U214" s="23">
        <f t="shared" si="162"/>
        <v>0</v>
      </c>
      <c r="V214" s="23">
        <f t="shared" si="163"/>
        <v>725</v>
      </c>
      <c r="W214" s="23">
        <f t="shared" si="164"/>
        <v>0</v>
      </c>
      <c r="X214" s="23"/>
      <c r="Y214" s="23"/>
      <c r="Z214" s="23"/>
      <c r="AA214" s="23"/>
      <c r="AB214" s="23"/>
      <c r="AC214" s="23"/>
      <c r="AD214" s="23"/>
      <c r="AE214" s="23"/>
      <c r="AF214" s="23"/>
      <c r="AG214" s="23"/>
      <c r="AH214" s="23"/>
      <c r="AI214" s="23"/>
      <c r="AJ214" s="23"/>
      <c r="AK214" s="23"/>
      <c r="AL214" s="23"/>
      <c r="AM214" s="23"/>
      <c r="AN214" s="23"/>
      <c r="AO214" s="23"/>
      <c r="AP214" s="23"/>
      <c r="AQ214" s="23"/>
      <c r="AR214" s="23"/>
      <c r="AS214" s="23"/>
      <c r="AT214" s="23"/>
      <c r="AU214" s="23"/>
      <c r="AV214" s="23"/>
      <c r="AW214" s="23"/>
      <c r="AX214" s="23"/>
      <c r="AY214" s="23"/>
      <c r="AZ214" s="23"/>
      <c r="BA214" s="23"/>
      <c r="BB214" s="23"/>
      <c r="BC214" s="23"/>
      <c r="BD214" s="36"/>
      <c r="BE214" s="36"/>
      <c r="BF214" s="36"/>
      <c r="BG214" s="36"/>
      <c r="BH214" s="36"/>
      <c r="BI214" s="36"/>
      <c r="BJ214" s="36"/>
      <c r="BK214" s="36"/>
      <c r="BL214" s="36"/>
      <c r="BM214" s="36"/>
      <c r="BN214" s="36"/>
      <c r="BO214" s="36"/>
      <c r="BP214" s="23"/>
      <c r="BQ214" s="35"/>
      <c r="BR214" s="35"/>
      <c r="BS214" s="23"/>
      <c r="BT214" s="23"/>
      <c r="BU214" s="35"/>
      <c r="BV214" s="197"/>
      <c r="BW214" s="197"/>
      <c r="BX214" s="117"/>
      <c r="BY214" s="197"/>
      <c r="BZ214" s="197"/>
      <c r="CA214" s="197"/>
      <c r="CB214" s="197"/>
      <c r="CC214" s="197"/>
      <c r="CD214" s="197"/>
      <c r="CE214" s="197"/>
      <c r="CF214" s="197"/>
      <c r="CG214" s="197"/>
      <c r="CH214" s="197"/>
      <c r="CI214" s="197"/>
      <c r="CJ214" s="197"/>
      <c r="CK214" s="197"/>
      <c r="CL214"/>
      <c r="CM214"/>
      <c r="CN214"/>
      <c r="CO214"/>
      <c r="CP214" s="197"/>
      <c r="CQ214" s="197"/>
      <c r="CR214" s="197"/>
      <c r="CS214" s="197"/>
      <c r="CT214" s="197"/>
      <c r="CU214" s="197"/>
      <c r="CV214" s="197">
        <v>725</v>
      </c>
      <c r="CW214" s="197"/>
      <c r="CX214" s="197"/>
      <c r="CY214" s="197"/>
      <c r="CZ214" s="197"/>
      <c r="DA214" s="197"/>
      <c r="DB214" s="197"/>
      <c r="DC214" s="197"/>
    </row>
    <row r="215" spans="2:107" s="15" customFormat="1">
      <c r="B215" s="1036" t="s">
        <v>2715</v>
      </c>
      <c r="C215" s="23"/>
      <c r="L215" s="23"/>
      <c r="M215" s="54"/>
      <c r="N215" s="27"/>
      <c r="O215" s="23"/>
      <c r="P215" s="23"/>
      <c r="Q215" s="23"/>
      <c r="R215" s="23">
        <f>+SUM(CF215:CI215)</f>
        <v>0</v>
      </c>
      <c r="S215" s="23">
        <f>+SUM(CJ215:CM215)</f>
        <v>0</v>
      </c>
      <c r="T215" s="23">
        <f t="shared" ref="T215" si="169">+SUM(CN215:CQ215)</f>
        <v>0</v>
      </c>
      <c r="U215" s="23">
        <f t="shared" ref="U215" si="170">+SUM(CR215:CU215)</f>
        <v>0</v>
      </c>
      <c r="V215" s="23">
        <f t="shared" ref="V215" si="171">+SUM(CV215:CY215)</f>
        <v>0</v>
      </c>
      <c r="W215" s="23">
        <f t="shared" si="164"/>
        <v>950</v>
      </c>
      <c r="X215" s="23"/>
      <c r="Y215" s="23"/>
      <c r="Z215" s="23"/>
      <c r="AA215" s="23"/>
      <c r="AB215" s="23"/>
      <c r="AC215" s="23"/>
      <c r="AD215" s="23"/>
      <c r="AE215" s="23"/>
      <c r="AF215" s="23"/>
      <c r="AG215" s="23"/>
      <c r="AH215" s="23"/>
      <c r="AI215" s="23"/>
      <c r="AJ215" s="23"/>
      <c r="AK215" s="23"/>
      <c r="AL215" s="23"/>
      <c r="AM215" s="23"/>
      <c r="AN215" s="23"/>
      <c r="AO215" s="23"/>
      <c r="AP215" s="23"/>
      <c r="AQ215" s="23"/>
      <c r="AR215" s="23"/>
      <c r="AS215" s="23"/>
      <c r="AT215" s="23"/>
      <c r="AU215" s="23"/>
      <c r="AV215" s="23"/>
      <c r="AW215" s="23"/>
      <c r="AX215" s="23"/>
      <c r="AY215" s="23"/>
      <c r="AZ215" s="23"/>
      <c r="BA215" s="23"/>
      <c r="BB215" s="23"/>
      <c r="BC215" s="23"/>
      <c r="BD215" s="36"/>
      <c r="BE215" s="36"/>
      <c r="BF215" s="36"/>
      <c r="BG215" s="36"/>
      <c r="BH215" s="36"/>
      <c r="BI215" s="36"/>
      <c r="BJ215" s="36"/>
      <c r="BK215" s="36"/>
      <c r="BL215" s="36"/>
      <c r="BM215" s="36"/>
      <c r="BN215" s="36"/>
      <c r="BO215" s="36"/>
      <c r="BP215" s="23"/>
      <c r="BQ215" s="35"/>
      <c r="BR215" s="35"/>
      <c r="BS215" s="23"/>
      <c r="BT215" s="23"/>
      <c r="BU215" s="35"/>
      <c r="BV215" s="197"/>
      <c r="BW215" s="197"/>
      <c r="BX215" s="117"/>
      <c r="BY215" s="197"/>
      <c r="BZ215" s="197"/>
      <c r="CA215" s="197"/>
      <c r="CB215" s="197"/>
      <c r="CC215" s="197"/>
      <c r="CD215" s="197"/>
      <c r="CE215" s="197"/>
      <c r="CF215" s="197"/>
      <c r="CG215" s="197"/>
      <c r="CH215" s="197"/>
      <c r="CI215" s="197"/>
      <c r="CJ215" s="197"/>
      <c r="CK215" s="197"/>
      <c r="CL215"/>
      <c r="CM215"/>
      <c r="CN215"/>
      <c r="CO215"/>
      <c r="CP215" s="197"/>
      <c r="CQ215" s="197"/>
      <c r="CR215" s="197"/>
      <c r="CS215" s="197"/>
      <c r="CT215" s="197"/>
      <c r="CU215" s="197"/>
      <c r="CV215" s="197"/>
      <c r="CW215" s="197"/>
      <c r="CX215" s="197"/>
      <c r="CY215" s="197"/>
      <c r="CZ215" s="197"/>
      <c r="DA215" s="197"/>
      <c r="DB215" s="197"/>
      <c r="DC215" s="197">
        <v>950</v>
      </c>
    </row>
    <row r="216" spans="2:107">
      <c r="B216" s="1036" t="s">
        <v>2759</v>
      </c>
      <c r="C216" s="23"/>
      <c r="D216" s="15"/>
      <c r="E216" s="15"/>
      <c r="F216" s="15"/>
      <c r="G216" s="15"/>
      <c r="H216" s="15"/>
      <c r="I216" s="15"/>
      <c r="J216" s="15"/>
      <c r="K216" s="15"/>
      <c r="L216" s="23"/>
      <c r="M216" s="54"/>
      <c r="N216" s="27"/>
      <c r="O216" s="23"/>
      <c r="P216" s="23"/>
      <c r="Q216" s="23"/>
      <c r="R216" s="23">
        <f>+SUM(CF216:CI216)</f>
        <v>0</v>
      </c>
      <c r="S216" s="23">
        <f>+SUM(CJ216:CM216)</f>
        <v>0</v>
      </c>
      <c r="T216" s="23">
        <f>+SUM(CN216:CQ216)</f>
        <v>0</v>
      </c>
      <c r="U216" s="23">
        <f>+SUM(CR216:CU216)</f>
        <v>0</v>
      </c>
      <c r="V216" s="23">
        <f>+SUM(CV216:CY216)</f>
        <v>0</v>
      </c>
      <c r="W216" s="23">
        <f t="shared" ref="W216" si="172">+SUM(CZ216:DC216)</f>
        <v>450</v>
      </c>
      <c r="X216" s="23"/>
      <c r="Y216" s="23"/>
      <c r="Z216" s="23"/>
      <c r="AA216" s="23"/>
      <c r="AB216" s="23"/>
      <c r="AC216" s="23"/>
      <c r="AD216" s="23"/>
      <c r="AE216" s="23"/>
      <c r="AF216" s="23"/>
      <c r="AG216" s="23"/>
      <c r="AH216" s="23"/>
      <c r="AI216" s="23"/>
      <c r="AJ216" s="23"/>
      <c r="AK216" s="23"/>
      <c r="AL216" s="23"/>
      <c r="AM216" s="23"/>
      <c r="AN216" s="23"/>
      <c r="AO216" s="23"/>
      <c r="AP216" s="23"/>
      <c r="AQ216" s="23"/>
      <c r="AR216" s="23"/>
      <c r="AS216" s="23"/>
      <c r="AT216" s="23"/>
      <c r="AU216" s="23"/>
      <c r="AV216" s="23"/>
      <c r="AW216" s="23"/>
      <c r="AX216" s="23"/>
      <c r="AY216" s="23"/>
      <c r="AZ216" s="23"/>
      <c r="BA216" s="23"/>
      <c r="BB216" s="23"/>
      <c r="BC216" s="23"/>
      <c r="BD216" s="36"/>
      <c r="BE216" s="36"/>
      <c r="BF216" s="36"/>
      <c r="BG216" s="36"/>
      <c r="BH216" s="36"/>
      <c r="BI216" s="36"/>
      <c r="BJ216" s="36"/>
      <c r="BK216" s="36"/>
      <c r="BL216" s="36"/>
      <c r="BM216" s="36"/>
      <c r="BN216" s="36"/>
      <c r="BO216" s="36"/>
      <c r="BP216" s="23"/>
      <c r="BQ216" s="35"/>
      <c r="BR216" s="35"/>
      <c r="BS216" s="23"/>
      <c r="BT216" s="23"/>
      <c r="BU216" s="35"/>
      <c r="BV216" s="197"/>
      <c r="BW216" s="197"/>
      <c r="BX216" s="117"/>
      <c r="BY216" s="197"/>
      <c r="BZ216" s="197"/>
      <c r="CA216" s="197"/>
      <c r="CB216" s="197"/>
      <c r="CC216" s="197"/>
      <c r="CD216" s="197"/>
      <c r="CE216" s="197"/>
      <c r="CF216" s="197"/>
      <c r="CG216" s="197"/>
      <c r="CH216" s="197"/>
      <c r="CI216" s="197"/>
      <c r="CJ216" s="197"/>
      <c r="CK216" s="197"/>
      <c r="CL216" s="197"/>
      <c r="CM216" s="197"/>
      <c r="CN216" s="197"/>
      <c r="CO216" s="197"/>
      <c r="CP216" s="197"/>
      <c r="CQ216" s="197"/>
      <c r="CR216" s="197"/>
      <c r="CS216" s="197"/>
      <c r="CT216" s="197"/>
      <c r="CU216" s="197"/>
      <c r="CV216" s="197"/>
      <c r="CW216" s="197"/>
      <c r="CX216" s="197"/>
      <c r="CY216" s="197"/>
      <c r="CZ216" s="197"/>
      <c r="DA216" s="197"/>
      <c r="DB216" s="197">
        <v>450</v>
      </c>
      <c r="DC216" s="197"/>
    </row>
    <row r="217" spans="2:107">
      <c r="B217" s="25" t="s">
        <v>209</v>
      </c>
      <c r="C217" s="23"/>
      <c r="D217" s="15"/>
      <c r="E217" s="15"/>
      <c r="F217" s="15"/>
      <c r="G217" s="15"/>
      <c r="H217" s="15"/>
      <c r="I217" s="15"/>
      <c r="J217" s="15"/>
      <c r="K217" s="15"/>
      <c r="L217" s="23"/>
      <c r="M217" s="54"/>
      <c r="N217" s="27"/>
      <c r="O217" s="23">
        <f>SUM(BT217:BW217)</f>
        <v>1000</v>
      </c>
      <c r="P217" s="23">
        <f>SUM(BX217:CA217)</f>
        <v>0</v>
      </c>
      <c r="Q217" s="23">
        <f>SUM(CB217:CE217)</f>
        <v>0</v>
      </c>
      <c r="R217" s="23">
        <f t="shared" si="159"/>
        <v>0</v>
      </c>
      <c r="S217" s="23">
        <f t="shared" si="160"/>
        <v>0</v>
      </c>
      <c r="T217" s="23">
        <f t="shared" si="161"/>
        <v>0</v>
      </c>
      <c r="U217" s="23">
        <f t="shared" si="162"/>
        <v>0</v>
      </c>
      <c r="V217" s="23">
        <f t="shared" si="163"/>
        <v>0</v>
      </c>
      <c r="W217" s="23">
        <f t="shared" si="164"/>
        <v>0</v>
      </c>
      <c r="X217" s="23"/>
      <c r="Y217" s="23"/>
      <c r="Z217" s="23"/>
      <c r="AA217" s="23"/>
      <c r="AB217" s="23"/>
      <c r="AC217" s="23"/>
      <c r="AD217" s="23"/>
      <c r="AE217" s="23"/>
      <c r="AF217" s="23"/>
      <c r="AG217" s="23"/>
      <c r="AH217" s="23"/>
      <c r="AI217" s="23"/>
      <c r="AJ217" s="23"/>
      <c r="AK217" s="23"/>
      <c r="AL217" s="23"/>
      <c r="AM217" s="23"/>
      <c r="AN217" s="23"/>
      <c r="AO217" s="23"/>
      <c r="AP217" s="23"/>
      <c r="AQ217" s="23"/>
      <c r="AR217" s="23"/>
      <c r="AS217" s="23"/>
      <c r="AT217" s="23"/>
      <c r="AU217" s="23"/>
      <c r="AV217" s="23"/>
      <c r="AW217" s="23"/>
      <c r="AX217" s="23"/>
      <c r="AY217" s="23"/>
      <c r="AZ217" s="23"/>
      <c r="BA217" s="23"/>
      <c r="BB217" s="23"/>
      <c r="BC217" s="23"/>
      <c r="BD217" s="36"/>
      <c r="BE217" s="36"/>
      <c r="BF217" s="36"/>
      <c r="BG217" s="36"/>
      <c r="BH217" s="36"/>
      <c r="BI217" s="36"/>
      <c r="BJ217" s="36"/>
      <c r="BK217" s="36"/>
      <c r="BL217" s="36"/>
      <c r="BM217" s="36"/>
      <c r="BN217" s="36"/>
      <c r="BO217" s="36"/>
      <c r="BP217" s="23"/>
      <c r="BQ217" s="35"/>
      <c r="BR217" s="35"/>
      <c r="BS217" s="23"/>
      <c r="BT217" s="117"/>
      <c r="BU217" s="117"/>
      <c r="BV217" s="117"/>
      <c r="BW217" s="117">
        <v>1000</v>
      </c>
      <c r="BX217" s="117"/>
      <c r="BY217" s="117"/>
      <c r="BZ217" s="117"/>
      <c r="CA217" s="117"/>
      <c r="CB217" s="117"/>
      <c r="CC217" s="117"/>
      <c r="CD217" s="117"/>
      <c r="CE217" s="117"/>
      <c r="CF217" s="117"/>
      <c r="CG217" s="117"/>
      <c r="CH217" s="117"/>
      <c r="CI217" s="117"/>
      <c r="CJ217" s="117"/>
      <c r="CK217" s="117"/>
      <c r="CL217" s="117"/>
      <c r="CM217" s="117"/>
      <c r="CN217" s="117"/>
      <c r="CO217" s="117"/>
      <c r="CP217" s="117"/>
      <c r="CQ217" s="117"/>
      <c r="CR217" s="117"/>
      <c r="CS217" s="117"/>
      <c r="CT217" s="117"/>
      <c r="CU217" s="117"/>
      <c r="CV217" s="117"/>
      <c r="CW217" s="117"/>
      <c r="CX217" s="117"/>
      <c r="CY217" s="117"/>
      <c r="CZ217" s="117"/>
      <c r="DA217" s="117"/>
      <c r="DB217" s="117"/>
      <c r="DC217" s="117"/>
    </row>
    <row r="218" spans="2:107">
      <c r="B218" s="25" t="s">
        <v>271</v>
      </c>
      <c r="C218" s="23"/>
      <c r="D218" s="15"/>
      <c r="E218" s="15"/>
      <c r="F218" s="15"/>
      <c r="G218" s="15"/>
      <c r="H218" s="15"/>
      <c r="I218" s="15"/>
      <c r="J218" s="15"/>
      <c r="K218" s="15"/>
      <c r="L218" s="23"/>
      <c r="M218" s="54"/>
      <c r="N218" s="27"/>
      <c r="O218" s="23"/>
      <c r="P218" s="23"/>
      <c r="Q218" s="23"/>
      <c r="R218" s="23">
        <f t="shared" si="159"/>
        <v>715</v>
      </c>
      <c r="S218" s="23">
        <f t="shared" si="160"/>
        <v>0</v>
      </c>
      <c r="T218" s="23">
        <f t="shared" si="161"/>
        <v>0</v>
      </c>
      <c r="U218" s="23">
        <f t="shared" si="162"/>
        <v>0</v>
      </c>
      <c r="V218" s="23">
        <f t="shared" si="163"/>
        <v>0</v>
      </c>
      <c r="W218" s="23">
        <f t="shared" si="164"/>
        <v>0</v>
      </c>
      <c r="X218" s="23"/>
      <c r="Y218" s="23"/>
      <c r="Z218" s="23"/>
      <c r="AA218" s="23"/>
      <c r="AB218" s="23"/>
      <c r="AC218" s="23"/>
      <c r="AD218" s="23"/>
      <c r="AE218" s="23"/>
      <c r="AF218" s="23"/>
      <c r="AG218" s="23"/>
      <c r="AH218" s="23"/>
      <c r="AI218" s="23"/>
      <c r="AJ218" s="23"/>
      <c r="AK218" s="23"/>
      <c r="AL218" s="23"/>
      <c r="AM218" s="23"/>
      <c r="AN218" s="23"/>
      <c r="AO218" s="23"/>
      <c r="AP218" s="23"/>
      <c r="AQ218" s="23"/>
      <c r="AR218" s="23"/>
      <c r="AS218" s="23"/>
      <c r="AT218" s="23"/>
      <c r="AU218" s="23"/>
      <c r="AV218" s="23"/>
      <c r="AW218" s="23"/>
      <c r="AX218" s="23"/>
      <c r="AY218" s="23"/>
      <c r="AZ218" s="23"/>
      <c r="BA218" s="23"/>
      <c r="BB218" s="23"/>
      <c r="BC218" s="23"/>
      <c r="BD218" s="36"/>
      <c r="BE218" s="36"/>
      <c r="BF218" s="36"/>
      <c r="BG218" s="36"/>
      <c r="BH218" s="36"/>
      <c r="BI218" s="36"/>
      <c r="BJ218" s="36"/>
      <c r="BK218" s="36"/>
      <c r="BL218" s="36"/>
      <c r="BM218" s="36"/>
      <c r="BN218" s="36"/>
      <c r="BO218" s="36"/>
      <c r="BP218" s="23"/>
      <c r="BQ218" s="35"/>
      <c r="BR218" s="35"/>
      <c r="BS218" s="23"/>
      <c r="BT218" s="23"/>
      <c r="BU218" s="35"/>
      <c r="BV218" s="197"/>
      <c r="BW218" s="197"/>
      <c r="BX218" s="117"/>
      <c r="BY218" s="197"/>
      <c r="BZ218" s="197"/>
      <c r="CA218" s="197"/>
      <c r="CB218" s="197"/>
      <c r="CC218" s="197"/>
      <c r="CD218" s="197"/>
      <c r="CE218" s="197"/>
      <c r="CF218" s="197"/>
      <c r="CG218" s="197"/>
      <c r="CH218" s="197"/>
      <c r="CI218" s="197">
        <v>715</v>
      </c>
      <c r="CJ218" s="197"/>
      <c r="CK218" s="197"/>
      <c r="CL218" s="197"/>
      <c r="CM218" s="197"/>
      <c r="CN218" s="197"/>
      <c r="CO218" s="197"/>
      <c r="CP218" s="197"/>
      <c r="CQ218" s="197"/>
      <c r="CR218" s="197"/>
      <c r="CS218" s="197"/>
      <c r="CT218" s="197"/>
      <c r="CU218" s="197"/>
      <c r="CV218" s="197"/>
      <c r="CW218" s="197"/>
      <c r="CX218" s="197"/>
      <c r="CY218" s="197"/>
      <c r="CZ218" s="197"/>
      <c r="DA218" s="197"/>
      <c r="DB218" s="197"/>
      <c r="DC218" s="197"/>
    </row>
    <row r="219" spans="2:107">
      <c r="B219" s="1036" t="s">
        <v>1901</v>
      </c>
      <c r="C219" s="23"/>
      <c r="D219" s="15"/>
      <c r="E219" s="15"/>
      <c r="F219" s="15"/>
      <c r="G219" s="15"/>
      <c r="H219" s="15"/>
      <c r="I219" s="15"/>
      <c r="J219" s="15"/>
      <c r="K219" s="15"/>
      <c r="L219" s="23"/>
      <c r="M219" s="54"/>
      <c r="N219" s="27"/>
      <c r="O219" s="23"/>
      <c r="P219" s="23"/>
      <c r="Q219" s="23"/>
      <c r="R219" s="23">
        <f>+SUM(CF219:CI219)</f>
        <v>0</v>
      </c>
      <c r="S219" s="23">
        <f>+SUM(CJ219:CM219)</f>
        <v>0</v>
      </c>
      <c r="T219" s="23">
        <f t="shared" si="161"/>
        <v>850</v>
      </c>
      <c r="U219" s="23">
        <f t="shared" si="162"/>
        <v>0</v>
      </c>
      <c r="V219" s="23">
        <f t="shared" si="163"/>
        <v>0</v>
      </c>
      <c r="W219" s="23">
        <f t="shared" si="164"/>
        <v>0</v>
      </c>
      <c r="X219" s="23"/>
      <c r="Y219" s="23"/>
      <c r="Z219" s="23"/>
      <c r="AA219" s="23"/>
      <c r="AB219" s="23"/>
      <c r="AC219" s="23"/>
      <c r="AD219" s="23"/>
      <c r="AE219" s="23"/>
      <c r="AF219" s="23"/>
      <c r="AG219" s="23"/>
      <c r="AH219" s="23"/>
      <c r="AI219" s="23"/>
      <c r="AJ219" s="23"/>
      <c r="AK219" s="23"/>
      <c r="AL219" s="23"/>
      <c r="AM219" s="23"/>
      <c r="AN219" s="23"/>
      <c r="AO219" s="23"/>
      <c r="AP219" s="23"/>
      <c r="AQ219" s="23"/>
      <c r="AR219" s="23"/>
      <c r="AS219" s="23"/>
      <c r="AT219" s="23"/>
      <c r="AU219" s="23"/>
      <c r="AV219" s="23"/>
      <c r="AW219" s="23"/>
      <c r="AX219" s="23"/>
      <c r="AY219" s="23"/>
      <c r="AZ219" s="23"/>
      <c r="BA219" s="23"/>
      <c r="BB219" s="23"/>
      <c r="BC219" s="23"/>
      <c r="BD219" s="36"/>
      <c r="BE219" s="36"/>
      <c r="BF219" s="36"/>
      <c r="BG219" s="36"/>
      <c r="BH219" s="36"/>
      <c r="BI219" s="36"/>
      <c r="BJ219" s="36"/>
      <c r="BK219" s="36"/>
      <c r="BL219" s="36"/>
      <c r="BM219" s="36"/>
      <c r="BN219" s="36"/>
      <c r="BO219" s="36"/>
      <c r="BP219" s="23"/>
      <c r="BQ219" s="35"/>
      <c r="BR219" s="35"/>
      <c r="BS219" s="23"/>
      <c r="BT219" s="23"/>
      <c r="BU219" s="35"/>
      <c r="BV219" s="197"/>
      <c r="BW219" s="197"/>
      <c r="BX219" s="117"/>
      <c r="BY219" s="197"/>
      <c r="BZ219" s="197"/>
      <c r="CA219" s="197"/>
      <c r="CB219" s="197"/>
      <c r="CC219" s="197"/>
      <c r="CD219" s="197"/>
      <c r="CE219" s="197"/>
      <c r="CF219" s="197"/>
      <c r="CG219" s="197"/>
      <c r="CH219" s="197"/>
      <c r="CI219" s="197"/>
      <c r="CJ219" s="197"/>
      <c r="CK219" s="197"/>
      <c r="CL219" s="197"/>
      <c r="CM219" s="197"/>
      <c r="CN219" s="197"/>
      <c r="CO219" s="197"/>
      <c r="CP219" s="2100">
        <v>850</v>
      </c>
      <c r="CQ219" s="197"/>
      <c r="CR219" s="197"/>
      <c r="CS219" s="197"/>
      <c r="CT219" s="197"/>
      <c r="CU219" s="197"/>
      <c r="CV219" s="197"/>
      <c r="CW219" s="197"/>
      <c r="CX219" s="197"/>
      <c r="CY219" s="197"/>
      <c r="CZ219" s="197"/>
      <c r="DA219" s="197"/>
      <c r="DB219" s="197"/>
      <c r="DC219" s="197"/>
    </row>
    <row r="220" spans="2:107" s="15" customFormat="1">
      <c r="B220" s="1036" t="s">
        <v>2531</v>
      </c>
      <c r="C220" s="23"/>
      <c r="L220" s="23"/>
      <c r="M220" s="54"/>
      <c r="N220" s="27"/>
      <c r="O220" s="23"/>
      <c r="P220" s="23"/>
      <c r="Q220" s="23"/>
      <c r="R220" s="23">
        <f>+SUM(CF220:CI220)</f>
        <v>0</v>
      </c>
      <c r="S220" s="23">
        <f>+SUM(CJ220:CM220)</f>
        <v>0</v>
      </c>
      <c r="T220" s="23">
        <f t="shared" si="161"/>
        <v>0</v>
      </c>
      <c r="U220" s="23">
        <f t="shared" si="162"/>
        <v>0</v>
      </c>
      <c r="V220" s="23">
        <f t="shared" si="163"/>
        <v>930</v>
      </c>
      <c r="W220" s="23">
        <f t="shared" si="164"/>
        <v>0</v>
      </c>
      <c r="X220" s="23"/>
      <c r="Y220" s="23"/>
      <c r="Z220" s="23"/>
      <c r="AA220" s="23"/>
      <c r="AB220" s="23"/>
      <c r="AC220" s="23"/>
      <c r="AD220" s="23"/>
      <c r="AE220" s="23"/>
      <c r="AF220" s="23"/>
      <c r="AG220" s="23"/>
      <c r="AH220" s="23"/>
      <c r="AI220" s="23"/>
      <c r="AJ220" s="23"/>
      <c r="AK220" s="23"/>
      <c r="AL220" s="23"/>
      <c r="AM220" s="23"/>
      <c r="AN220" s="23"/>
      <c r="AO220" s="23"/>
      <c r="AP220" s="23"/>
      <c r="AQ220" s="23"/>
      <c r="AR220" s="23"/>
      <c r="AS220" s="23"/>
      <c r="AT220" s="23"/>
      <c r="AU220" s="23"/>
      <c r="AV220" s="23"/>
      <c r="AW220" s="23"/>
      <c r="AX220" s="23"/>
      <c r="AY220" s="23"/>
      <c r="AZ220" s="23"/>
      <c r="BA220" s="23"/>
      <c r="BB220" s="23"/>
      <c r="BC220" s="23"/>
      <c r="BD220" s="36"/>
      <c r="BE220" s="36"/>
      <c r="BF220" s="36"/>
      <c r="BG220" s="36"/>
      <c r="BH220" s="36"/>
      <c r="BI220" s="36"/>
      <c r="BJ220" s="36"/>
      <c r="BK220" s="36"/>
      <c r="BL220" s="36"/>
      <c r="BM220" s="36"/>
      <c r="BN220" s="36"/>
      <c r="BO220" s="36"/>
      <c r="BP220" s="23"/>
      <c r="BQ220" s="35"/>
      <c r="BR220" s="35"/>
      <c r="BS220" s="23"/>
      <c r="BT220" s="23"/>
      <c r="BU220" s="35"/>
      <c r="BV220" s="197"/>
      <c r="BW220" s="197"/>
      <c r="BX220" s="117"/>
      <c r="BY220" s="197"/>
      <c r="BZ220" s="197"/>
      <c r="CA220" s="197"/>
      <c r="CB220" s="197"/>
      <c r="CC220" s="197"/>
      <c r="CD220" s="197"/>
      <c r="CE220" s="197"/>
      <c r="CF220" s="197"/>
      <c r="CG220" s="197"/>
      <c r="CH220" s="197"/>
      <c r="CI220" s="197"/>
      <c r="CJ220" s="197"/>
      <c r="CK220" s="197"/>
      <c r="CL220"/>
      <c r="CM220"/>
      <c r="CN220"/>
      <c r="CO220"/>
      <c r="CP220" s="197"/>
      <c r="CQ220" s="197"/>
      <c r="CR220" s="197"/>
      <c r="CS220" s="197"/>
      <c r="CT220" s="197"/>
      <c r="CU220" s="197"/>
      <c r="CV220" s="197"/>
      <c r="CW220" s="197">
        <v>930</v>
      </c>
      <c r="CX220" s="197"/>
      <c r="CY220" s="197"/>
      <c r="CZ220" s="197"/>
      <c r="DA220" s="197"/>
      <c r="DB220" s="197"/>
      <c r="DC220" s="197"/>
    </row>
    <row r="221" spans="2:107" s="15" customFormat="1">
      <c r="B221" s="1036" t="s">
        <v>2761</v>
      </c>
      <c r="C221" s="23"/>
      <c r="L221" s="23"/>
      <c r="M221" s="54"/>
      <c r="N221" s="27"/>
      <c r="O221" s="23"/>
      <c r="P221" s="23"/>
      <c r="Q221" s="23"/>
      <c r="R221" s="23">
        <f>+SUM(CF221:CI221)</f>
        <v>0</v>
      </c>
      <c r="S221" s="23">
        <f>+SUM(CJ221:CM221)</f>
        <v>0</v>
      </c>
      <c r="T221" s="23">
        <f t="shared" si="161"/>
        <v>0</v>
      </c>
      <c r="U221" s="23">
        <f t="shared" si="162"/>
        <v>0</v>
      </c>
      <c r="V221" s="23">
        <f t="shared" ref="V221" si="173">+SUM(CV221:CY221)</f>
        <v>0</v>
      </c>
      <c r="W221" s="23">
        <f t="shared" si="164"/>
        <v>1900</v>
      </c>
      <c r="X221" s="23"/>
      <c r="Y221" s="23"/>
      <c r="Z221" s="23"/>
      <c r="AA221" s="23"/>
      <c r="AB221" s="23"/>
      <c r="AC221" s="23"/>
      <c r="AD221" s="23"/>
      <c r="AE221" s="23"/>
      <c r="AF221" s="23"/>
      <c r="AG221" s="23"/>
      <c r="AH221" s="23"/>
      <c r="AI221" s="23"/>
      <c r="AJ221" s="23"/>
      <c r="AK221" s="23"/>
      <c r="AL221" s="23"/>
      <c r="AM221" s="23"/>
      <c r="AN221" s="23"/>
      <c r="AO221" s="23"/>
      <c r="AP221" s="23"/>
      <c r="AQ221" s="23"/>
      <c r="AR221" s="23"/>
      <c r="AS221" s="23"/>
      <c r="AT221" s="23"/>
      <c r="AU221" s="23"/>
      <c r="AV221" s="23"/>
      <c r="AW221" s="23"/>
      <c r="AX221" s="23"/>
      <c r="AY221" s="23"/>
      <c r="AZ221" s="23"/>
      <c r="BA221" s="23"/>
      <c r="BB221" s="23"/>
      <c r="BC221" s="23"/>
      <c r="BD221" s="36"/>
      <c r="BE221" s="36"/>
      <c r="BF221" s="36"/>
      <c r="BG221" s="36"/>
      <c r="BH221" s="36"/>
      <c r="BI221" s="36"/>
      <c r="BJ221" s="36"/>
      <c r="BK221" s="36"/>
      <c r="BL221" s="36"/>
      <c r="BM221" s="36"/>
      <c r="BN221" s="36"/>
      <c r="BO221" s="36"/>
      <c r="BP221" s="23"/>
      <c r="BQ221" s="35"/>
      <c r="BR221" s="35"/>
      <c r="BS221" s="23"/>
      <c r="BT221" s="23"/>
      <c r="BU221" s="35"/>
      <c r="BV221" s="197"/>
      <c r="BW221" s="197"/>
      <c r="BX221" s="117"/>
      <c r="BY221" s="197"/>
      <c r="BZ221" s="197"/>
      <c r="CA221" s="197"/>
      <c r="CB221" s="197"/>
      <c r="CC221" s="197"/>
      <c r="CD221" s="197"/>
      <c r="CE221" s="197"/>
      <c r="CF221" s="197"/>
      <c r="CG221" s="197"/>
      <c r="CH221" s="197"/>
      <c r="CI221" s="197"/>
      <c r="CJ221" s="197"/>
      <c r="CK221" s="197"/>
      <c r="CL221"/>
      <c r="CM221"/>
      <c r="CN221"/>
      <c r="CO221"/>
      <c r="CP221" s="197"/>
      <c r="CQ221" s="197"/>
      <c r="CR221" s="197"/>
      <c r="CS221" s="197"/>
      <c r="CT221" s="197"/>
      <c r="CU221" s="197"/>
      <c r="CV221" s="197"/>
      <c r="CW221" s="197"/>
      <c r="CX221" s="197"/>
      <c r="CY221" s="197"/>
      <c r="CZ221" s="197"/>
      <c r="DA221" s="197"/>
      <c r="DB221" s="197"/>
      <c r="DC221" s="197">
        <v>1900</v>
      </c>
    </row>
    <row r="222" spans="2:107">
      <c r="B222" s="25" t="s">
        <v>547</v>
      </c>
      <c r="C222" s="23"/>
      <c r="D222" s="15"/>
      <c r="E222" s="15"/>
      <c r="F222" s="15"/>
      <c r="G222" s="15"/>
      <c r="H222" s="15"/>
      <c r="I222" s="15"/>
      <c r="J222" s="15"/>
      <c r="K222" s="15"/>
      <c r="L222" s="23"/>
      <c r="M222" s="54"/>
      <c r="N222" s="27"/>
      <c r="O222" s="23"/>
      <c r="P222" s="23"/>
      <c r="Q222" s="23"/>
      <c r="R222" s="23">
        <f t="shared" si="159"/>
        <v>0</v>
      </c>
      <c r="S222" s="23">
        <f t="shared" si="160"/>
        <v>0</v>
      </c>
      <c r="T222" s="23">
        <f t="shared" si="161"/>
        <v>675</v>
      </c>
      <c r="U222" s="23">
        <f t="shared" si="162"/>
        <v>0</v>
      </c>
      <c r="V222" s="23">
        <f t="shared" si="163"/>
        <v>0</v>
      </c>
      <c r="W222" s="23">
        <f t="shared" si="164"/>
        <v>0</v>
      </c>
      <c r="X222" s="23"/>
      <c r="Y222" s="23"/>
      <c r="Z222" s="23"/>
      <c r="AA222" s="23"/>
      <c r="AB222" s="23"/>
      <c r="AC222" s="23"/>
      <c r="AD222" s="23"/>
      <c r="AE222" s="23"/>
      <c r="AF222" s="23"/>
      <c r="AG222" s="23"/>
      <c r="AH222" s="23"/>
      <c r="AI222" s="23"/>
      <c r="AJ222" s="23"/>
      <c r="AK222" s="23"/>
      <c r="AL222" s="23"/>
      <c r="AM222" s="23"/>
      <c r="AN222" s="23"/>
      <c r="AO222" s="23"/>
      <c r="AP222" s="23"/>
      <c r="AQ222" s="23"/>
      <c r="AR222" s="23"/>
      <c r="AS222" s="23"/>
      <c r="AT222" s="23"/>
      <c r="AU222" s="23"/>
      <c r="AV222" s="23"/>
      <c r="AW222" s="23"/>
      <c r="AX222" s="23"/>
      <c r="AY222" s="23"/>
      <c r="AZ222" s="23"/>
      <c r="BA222" s="23"/>
      <c r="BB222" s="23"/>
      <c r="BC222" s="23"/>
      <c r="BD222" s="36"/>
      <c r="BE222" s="36"/>
      <c r="BF222" s="36"/>
      <c r="BG222" s="36"/>
      <c r="BH222" s="36"/>
      <c r="BI222" s="36"/>
      <c r="BJ222" s="36"/>
      <c r="BK222" s="36"/>
      <c r="BL222" s="36"/>
      <c r="BM222" s="36"/>
      <c r="BN222" s="36"/>
      <c r="BO222" s="36"/>
      <c r="BP222" s="23"/>
      <c r="BQ222" s="35"/>
      <c r="BR222" s="35"/>
      <c r="BS222" s="23"/>
      <c r="BT222" s="23"/>
      <c r="BU222" s="35"/>
      <c r="BV222" s="197"/>
      <c r="BW222" s="197"/>
      <c r="BX222" s="117"/>
      <c r="BY222" s="197"/>
      <c r="BZ222" s="197"/>
      <c r="CA222" s="197"/>
      <c r="CB222" s="197"/>
      <c r="CC222" s="197"/>
      <c r="CD222" s="197"/>
      <c r="CE222" s="197"/>
      <c r="CF222" s="197"/>
      <c r="CG222" s="197"/>
      <c r="CH222" s="197"/>
      <c r="CI222" s="197"/>
      <c r="CJ222" s="197"/>
      <c r="CK222" s="197"/>
      <c r="CL222" s="197"/>
      <c r="CM222" s="197"/>
      <c r="CN222" s="2100">
        <v>675</v>
      </c>
      <c r="CO222" s="2100"/>
      <c r="CP222" s="2100"/>
      <c r="CQ222" s="2100"/>
      <c r="CR222" s="2100"/>
      <c r="CS222" s="197"/>
      <c r="CT222" s="197"/>
      <c r="CU222" s="197"/>
      <c r="CV222" s="197"/>
      <c r="CW222" s="197"/>
      <c r="CX222" s="197"/>
      <c r="CY222" s="197"/>
      <c r="CZ222" s="197"/>
      <c r="DA222" s="197"/>
      <c r="DB222" s="197"/>
      <c r="DC222" s="197"/>
    </row>
    <row r="223" spans="2:107">
      <c r="B223" s="1036" t="s">
        <v>2621</v>
      </c>
      <c r="C223" s="23"/>
      <c r="D223" s="15"/>
      <c r="E223" s="15"/>
      <c r="F223" s="15"/>
      <c r="G223" s="15"/>
      <c r="H223" s="15"/>
      <c r="I223" s="15"/>
      <c r="J223" s="15"/>
      <c r="K223" s="15"/>
      <c r="L223" s="23"/>
      <c r="M223" s="54"/>
      <c r="N223" s="27"/>
      <c r="O223" s="23"/>
      <c r="P223" s="23"/>
      <c r="Q223" s="23"/>
      <c r="R223" s="23">
        <f>+SUM(CF223:CI223)</f>
        <v>0</v>
      </c>
      <c r="S223" s="23">
        <f>+SUM(CJ223:CM223)</f>
        <v>0</v>
      </c>
      <c r="T223" s="23">
        <f>+SUM(CN223:CQ223)</f>
        <v>0</v>
      </c>
      <c r="U223" s="23">
        <f>+SUM(CR223:CU223)</f>
        <v>0</v>
      </c>
      <c r="V223" s="23">
        <f>+SUM(CV223:CY223)</f>
        <v>740</v>
      </c>
      <c r="W223" s="23">
        <f t="shared" si="164"/>
        <v>0</v>
      </c>
      <c r="X223" s="23"/>
      <c r="Y223" s="23"/>
      <c r="Z223" s="23"/>
      <c r="AA223" s="23"/>
      <c r="AB223" s="23"/>
      <c r="AC223" s="23"/>
      <c r="AD223" s="23"/>
      <c r="AE223" s="23"/>
      <c r="AF223" s="23"/>
      <c r="AG223" s="23"/>
      <c r="AH223" s="23"/>
      <c r="AI223" s="23"/>
      <c r="AJ223" s="23"/>
      <c r="AK223" s="23"/>
      <c r="AL223" s="23"/>
      <c r="AM223" s="23"/>
      <c r="AN223" s="23"/>
      <c r="AO223" s="23"/>
      <c r="AP223" s="23"/>
      <c r="AQ223" s="23"/>
      <c r="AR223" s="23"/>
      <c r="AS223" s="23"/>
      <c r="AT223" s="23"/>
      <c r="AU223" s="23"/>
      <c r="AV223" s="23"/>
      <c r="AW223" s="23"/>
      <c r="AX223" s="23"/>
      <c r="AY223" s="23"/>
      <c r="AZ223" s="23"/>
      <c r="BA223" s="23"/>
      <c r="BB223" s="23"/>
      <c r="BC223" s="23"/>
      <c r="BD223" s="36"/>
      <c r="BE223" s="36"/>
      <c r="BF223" s="36"/>
      <c r="BG223" s="36"/>
      <c r="BH223" s="36"/>
      <c r="BI223" s="36"/>
      <c r="BJ223" s="36"/>
      <c r="BK223" s="36"/>
      <c r="BL223" s="36"/>
      <c r="BM223" s="36"/>
      <c r="BN223" s="36"/>
      <c r="BO223" s="36"/>
      <c r="BP223" s="23"/>
      <c r="BQ223" s="35"/>
      <c r="BR223" s="35"/>
      <c r="BS223" s="23"/>
      <c r="BT223" s="23"/>
      <c r="BU223" s="35"/>
      <c r="BV223" s="197"/>
      <c r="BW223" s="197"/>
      <c r="BX223" s="117"/>
      <c r="BY223" s="197"/>
      <c r="BZ223" s="197"/>
      <c r="CA223" s="197"/>
      <c r="CB223" s="197"/>
      <c r="CC223" s="197"/>
      <c r="CD223" s="197"/>
      <c r="CE223" s="197"/>
      <c r="CF223" s="197"/>
      <c r="CG223" s="197"/>
      <c r="CH223" s="197"/>
      <c r="CI223" s="197"/>
      <c r="CJ223" s="197"/>
      <c r="CK223" s="197"/>
      <c r="CL223" s="197"/>
      <c r="CM223" s="197"/>
      <c r="CN223" s="2100"/>
      <c r="CO223" s="2100"/>
      <c r="CP223" s="2100"/>
      <c r="CQ223" s="2100"/>
      <c r="CR223" s="2100"/>
      <c r="CS223" s="197"/>
      <c r="CT223" s="197"/>
      <c r="CU223" s="197"/>
      <c r="CV223" s="197"/>
      <c r="CW223" s="197"/>
      <c r="CX223" s="2100">
        <v>740</v>
      </c>
      <c r="CY223" s="197"/>
      <c r="CZ223" s="197"/>
      <c r="DA223" s="197"/>
      <c r="DB223" s="197"/>
      <c r="DC223" s="197"/>
    </row>
    <row r="224" spans="2:107">
      <c r="B224" s="25" t="s">
        <v>1184</v>
      </c>
      <c r="C224" s="23"/>
      <c r="D224" s="15"/>
      <c r="E224" s="15"/>
      <c r="F224" s="15"/>
      <c r="G224" s="15"/>
      <c r="H224" s="15"/>
      <c r="I224" s="15"/>
      <c r="J224" s="15"/>
      <c r="K224" s="15"/>
      <c r="L224" s="23"/>
      <c r="M224" s="54"/>
      <c r="N224" s="27"/>
      <c r="O224" s="23">
        <f>SUM(BT224:BW224)</f>
        <v>-450</v>
      </c>
      <c r="P224" s="23">
        <f>SUM(BX224:CA224)</f>
        <v>-250</v>
      </c>
      <c r="Q224" s="23">
        <f>SUM(CB224:CE224)</f>
        <v>590</v>
      </c>
      <c r="R224" s="23">
        <f t="shared" si="159"/>
        <v>-1345</v>
      </c>
      <c r="S224" s="23">
        <f t="shared" si="160"/>
        <v>3250</v>
      </c>
      <c r="T224" s="23">
        <f t="shared" si="161"/>
        <v>-1270</v>
      </c>
      <c r="U224" s="23">
        <f t="shared" si="162"/>
        <v>160</v>
      </c>
      <c r="V224" s="23">
        <f t="shared" si="163"/>
        <v>-325</v>
      </c>
      <c r="W224" s="23">
        <f t="shared" si="164"/>
        <v>1000</v>
      </c>
      <c r="X224" s="117">
        <v>7000</v>
      </c>
      <c r="Y224" s="117">
        <v>6000</v>
      </c>
      <c r="Z224" s="117">
        <f t="shared" ref="Z224:AD224" si="174">+Y224-250</f>
        <v>5750</v>
      </c>
      <c r="AA224" s="117">
        <f t="shared" si="174"/>
        <v>5500</v>
      </c>
      <c r="AB224" s="117">
        <f t="shared" si="174"/>
        <v>5250</v>
      </c>
      <c r="AC224" s="117">
        <f t="shared" si="174"/>
        <v>5000</v>
      </c>
      <c r="AD224" s="117">
        <f t="shared" si="174"/>
        <v>4750</v>
      </c>
      <c r="AE224" s="23"/>
      <c r="AF224" s="23"/>
      <c r="AG224" s="23"/>
      <c r="AH224" s="23"/>
      <c r="AI224" s="23"/>
      <c r="AJ224" s="23"/>
      <c r="AK224" s="23"/>
      <c r="AL224" s="23"/>
      <c r="AM224" s="23"/>
      <c r="AN224" s="23"/>
      <c r="AO224" s="23"/>
      <c r="AP224" s="23"/>
      <c r="AQ224" s="23"/>
      <c r="AR224" s="23"/>
      <c r="AS224" s="23"/>
      <c r="AT224" s="23"/>
      <c r="AU224" s="23"/>
      <c r="AV224" s="23"/>
      <c r="AW224" s="23"/>
      <c r="AX224" s="23"/>
      <c r="AY224" s="23"/>
      <c r="AZ224" s="23"/>
      <c r="BA224" s="23"/>
      <c r="BB224" s="23"/>
      <c r="BC224" s="23"/>
      <c r="BD224" s="36"/>
      <c r="BE224" s="36"/>
      <c r="BF224" s="36"/>
      <c r="BG224" s="36"/>
      <c r="BH224" s="36"/>
      <c r="BI224" s="36"/>
      <c r="BJ224" s="36"/>
      <c r="BK224" s="36"/>
      <c r="BL224" s="36"/>
      <c r="BM224" s="36"/>
      <c r="BN224" s="36"/>
      <c r="BO224" s="36"/>
      <c r="BP224" s="23"/>
      <c r="BQ224" s="35"/>
      <c r="BR224" s="35"/>
      <c r="BS224" s="23"/>
      <c r="BT224" s="27">
        <f t="shared" ref="BT224:CA224" si="175">+BT225-SUM(BT171:BT205)</f>
        <v>-300</v>
      </c>
      <c r="BU224" s="27">
        <f t="shared" si="175"/>
        <v>-150</v>
      </c>
      <c r="BV224" s="27">
        <f t="shared" si="175"/>
        <v>-1500</v>
      </c>
      <c r="BW224" s="27">
        <f t="shared" si="175"/>
        <v>1500</v>
      </c>
      <c r="BX224" s="27">
        <f t="shared" si="175"/>
        <v>1150</v>
      </c>
      <c r="BY224" s="27">
        <f t="shared" si="175"/>
        <v>0</v>
      </c>
      <c r="BZ224" s="27">
        <f t="shared" si="175"/>
        <v>-2200</v>
      </c>
      <c r="CA224" s="27">
        <f t="shared" si="175"/>
        <v>800</v>
      </c>
      <c r="CB224" s="27">
        <f t="shared" ref="CB224:CH224" si="176">+CB225-SUM(CB171:CB217)</f>
        <v>120</v>
      </c>
      <c r="CC224" s="27">
        <f t="shared" si="176"/>
        <v>700</v>
      </c>
      <c r="CD224" s="27">
        <f t="shared" si="176"/>
        <v>-250</v>
      </c>
      <c r="CE224" s="27">
        <f t="shared" si="176"/>
        <v>20</v>
      </c>
      <c r="CF224" s="27">
        <f t="shared" si="176"/>
        <v>-1030</v>
      </c>
      <c r="CG224" s="27">
        <f t="shared" si="176"/>
        <v>100</v>
      </c>
      <c r="CH224" s="27">
        <f t="shared" si="176"/>
        <v>580</v>
      </c>
      <c r="CI224" s="27">
        <f t="shared" ref="CI224:CN224" si="177">+CI225-SUM(CI171:CI222)</f>
        <v>-995</v>
      </c>
      <c r="CJ224" s="27">
        <f t="shared" si="177"/>
        <v>2450</v>
      </c>
      <c r="CK224" s="27">
        <f t="shared" si="177"/>
        <v>-100</v>
      </c>
      <c r="CL224" s="27">
        <f t="shared" si="177"/>
        <v>900</v>
      </c>
      <c r="CM224" s="27">
        <f t="shared" si="177"/>
        <v>0</v>
      </c>
      <c r="CN224" s="27">
        <f t="shared" si="177"/>
        <v>105</v>
      </c>
      <c r="CO224" s="27">
        <f t="shared" ref="CO224:CT224" si="178">+CO225-SUM(CO171:CO222)</f>
        <v>-75</v>
      </c>
      <c r="CP224" s="27">
        <f t="shared" si="178"/>
        <v>-350</v>
      </c>
      <c r="CQ224" s="27">
        <f t="shared" si="178"/>
        <v>-950</v>
      </c>
      <c r="CR224" s="27">
        <f t="shared" si="178"/>
        <v>600</v>
      </c>
      <c r="CS224" s="27">
        <f t="shared" si="178"/>
        <v>200</v>
      </c>
      <c r="CT224" s="27">
        <f t="shared" si="178"/>
        <v>-365</v>
      </c>
      <c r="CU224" s="27">
        <f>+CU225-SUM(CU171:CU222)</f>
        <v>-275</v>
      </c>
      <c r="CV224" s="27">
        <f>+CV225-SUM(CV171:CV222)</f>
        <v>-325</v>
      </c>
      <c r="CW224" s="117"/>
      <c r="CX224" s="117"/>
      <c r="CY224" s="117"/>
      <c r="CZ224" s="117"/>
      <c r="DA224" s="117">
        <v>1000</v>
      </c>
      <c r="DB224" s="117"/>
      <c r="DC224" s="117"/>
    </row>
    <row r="225" spans="2:109">
      <c r="B225" s="106" t="s">
        <v>473</v>
      </c>
      <c r="C225" s="23"/>
      <c r="D225" s="15"/>
      <c r="E225" s="15"/>
      <c r="F225" s="15"/>
      <c r="G225" s="15"/>
      <c r="H225" s="15"/>
      <c r="I225" s="15"/>
      <c r="J225" s="15"/>
      <c r="K225" s="15"/>
      <c r="L225" s="23"/>
      <c r="M225" s="54"/>
      <c r="N225" s="46">
        <f>N165-M165</f>
        <v>1800</v>
      </c>
      <c r="O225" s="46">
        <f t="shared" ref="O225:Z225" si="179">SUM(O171:O224)</f>
        <v>6100</v>
      </c>
      <c r="P225" s="46">
        <f t="shared" si="179"/>
        <v>800</v>
      </c>
      <c r="Q225" s="46">
        <f t="shared" si="179"/>
        <v>4800</v>
      </c>
      <c r="R225" s="46">
        <f t="shared" si="179"/>
        <v>3300</v>
      </c>
      <c r="S225" s="46">
        <f t="shared" si="179"/>
        <v>4300</v>
      </c>
      <c r="T225" s="46">
        <f>SUM(T171:T224)</f>
        <v>5100</v>
      </c>
      <c r="U225" s="46">
        <f>SUM(U171:U224)</f>
        <v>2500</v>
      </c>
      <c r="V225" s="46">
        <f>SUM(V171:V224)</f>
        <v>5465</v>
      </c>
      <c r="W225" s="46">
        <f>SUM(W171:W224)</f>
        <v>9965</v>
      </c>
      <c r="X225" s="46">
        <f t="shared" si="179"/>
        <v>7000</v>
      </c>
      <c r="Y225" s="46">
        <f t="shared" si="179"/>
        <v>6000</v>
      </c>
      <c r="Z225" s="46">
        <f t="shared" si="179"/>
        <v>5750</v>
      </c>
      <c r="AA225" s="46">
        <f t="shared" ref="AA225:AD225" si="180">SUM(AA171:AA224)</f>
        <v>5500</v>
      </c>
      <c r="AB225" s="46">
        <f t="shared" si="180"/>
        <v>5250</v>
      </c>
      <c r="AC225" s="46">
        <f t="shared" si="180"/>
        <v>5000</v>
      </c>
      <c r="AD225" s="46">
        <f t="shared" si="180"/>
        <v>4750</v>
      </c>
      <c r="AE225" s="23"/>
      <c r="AF225" s="23"/>
      <c r="AG225" s="23"/>
      <c r="AH225" s="23"/>
      <c r="AI225" s="23"/>
      <c r="AJ225" s="23"/>
      <c r="AK225" s="23"/>
      <c r="AL225" s="23"/>
      <c r="AM225" s="23"/>
      <c r="AN225" s="23"/>
      <c r="AO225" s="23"/>
      <c r="AP225" s="23"/>
      <c r="AQ225" s="23"/>
      <c r="AR225" s="23"/>
      <c r="AS225" s="23"/>
      <c r="AT225" s="23"/>
      <c r="AU225" s="23"/>
      <c r="AV225" s="23"/>
      <c r="AW225" s="23"/>
      <c r="AX225" s="23"/>
      <c r="AY225" s="23"/>
      <c r="AZ225" s="23"/>
      <c r="BA225" s="23"/>
      <c r="BB225" s="23"/>
      <c r="BC225" s="23"/>
      <c r="BD225" s="36"/>
      <c r="BE225" s="46">
        <f t="shared" ref="BE225:BU225" si="181">BE165-BD165</f>
        <v>3100</v>
      </c>
      <c r="BF225" s="46">
        <f t="shared" si="181"/>
        <v>1800</v>
      </c>
      <c r="BG225" s="46">
        <f t="shared" si="181"/>
        <v>0</v>
      </c>
      <c r="BH225" s="46">
        <f t="shared" si="181"/>
        <v>-5700</v>
      </c>
      <c r="BI225" s="46">
        <f t="shared" si="181"/>
        <v>-200</v>
      </c>
      <c r="BJ225" s="46">
        <f t="shared" si="181"/>
        <v>0</v>
      </c>
      <c r="BK225" s="46">
        <f t="shared" si="181"/>
        <v>4200</v>
      </c>
      <c r="BL225" s="46">
        <f t="shared" si="181"/>
        <v>-300</v>
      </c>
      <c r="BM225" s="46">
        <f t="shared" si="181"/>
        <v>3000</v>
      </c>
      <c r="BN225" s="46">
        <f t="shared" si="181"/>
        <v>-100</v>
      </c>
      <c r="BO225" s="46">
        <f t="shared" si="181"/>
        <v>0</v>
      </c>
      <c r="BP225" s="46">
        <f t="shared" si="181"/>
        <v>0</v>
      </c>
      <c r="BQ225" s="46">
        <f t="shared" si="181"/>
        <v>900</v>
      </c>
      <c r="BR225" s="46">
        <f t="shared" si="181"/>
        <v>400</v>
      </c>
      <c r="BS225" s="46">
        <f t="shared" si="181"/>
        <v>500</v>
      </c>
      <c r="BT225" s="46">
        <f t="shared" si="181"/>
        <v>800</v>
      </c>
      <c r="BU225" s="46">
        <f t="shared" si="181"/>
        <v>1100</v>
      </c>
      <c r="BV225" s="46">
        <f t="shared" ref="BV225:CV225" si="182">BV167-BU167</f>
        <v>1700</v>
      </c>
      <c r="BW225" s="46">
        <f t="shared" si="182"/>
        <v>1500</v>
      </c>
      <c r="BX225" s="46">
        <f t="shared" si="182"/>
        <v>1600</v>
      </c>
      <c r="BY225" s="46">
        <f t="shared" si="182"/>
        <v>0</v>
      </c>
      <c r="BZ225" s="46">
        <f t="shared" si="182"/>
        <v>-2200</v>
      </c>
      <c r="CA225" s="46">
        <f t="shared" si="182"/>
        <v>1400</v>
      </c>
      <c r="CB225" s="46">
        <f t="shared" si="182"/>
        <v>800</v>
      </c>
      <c r="CC225" s="46">
        <f t="shared" si="182"/>
        <v>700</v>
      </c>
      <c r="CD225" s="46">
        <f t="shared" si="182"/>
        <v>2600</v>
      </c>
      <c r="CE225" s="46">
        <f t="shared" si="182"/>
        <v>700</v>
      </c>
      <c r="CF225" s="46">
        <f t="shared" si="182"/>
        <v>1900</v>
      </c>
      <c r="CG225" s="46">
        <f t="shared" si="182"/>
        <v>100</v>
      </c>
      <c r="CH225" s="46">
        <f t="shared" si="182"/>
        <v>900</v>
      </c>
      <c r="CI225" s="46">
        <f t="shared" si="182"/>
        <v>400</v>
      </c>
      <c r="CJ225" s="46">
        <f t="shared" si="182"/>
        <v>2900</v>
      </c>
      <c r="CK225" s="46">
        <f t="shared" si="182"/>
        <v>500</v>
      </c>
      <c r="CL225" s="46">
        <f t="shared" si="182"/>
        <v>900</v>
      </c>
      <c r="CM225" s="46">
        <f t="shared" si="182"/>
        <v>0</v>
      </c>
      <c r="CN225" s="46">
        <f t="shared" si="182"/>
        <v>1500</v>
      </c>
      <c r="CO225" s="46">
        <f t="shared" si="182"/>
        <v>800</v>
      </c>
      <c r="CP225" s="46">
        <f t="shared" si="182"/>
        <v>1200</v>
      </c>
      <c r="CQ225" s="46">
        <f t="shared" si="182"/>
        <v>1600</v>
      </c>
      <c r="CR225" s="46">
        <f t="shared" si="182"/>
        <v>600</v>
      </c>
      <c r="CS225" s="46">
        <f t="shared" si="182"/>
        <v>200</v>
      </c>
      <c r="CT225" s="46">
        <f t="shared" si="182"/>
        <v>0</v>
      </c>
      <c r="CU225" s="46">
        <f t="shared" si="182"/>
        <v>1700</v>
      </c>
      <c r="CV225" s="46">
        <f t="shared" si="182"/>
        <v>1600</v>
      </c>
      <c r="CW225" s="14">
        <f>SUM(CW171:CW224)</f>
        <v>930</v>
      </c>
      <c r="CX225" s="14">
        <f>SUM(CX171:CX224)</f>
        <v>2685</v>
      </c>
      <c r="CY225" s="14">
        <f>SUM(CY171:CY224)</f>
        <v>250</v>
      </c>
      <c r="CZ225" s="14">
        <f t="shared" ref="CZ225:DC225" si="183">SUM(CZ171:CZ224)</f>
        <v>1215</v>
      </c>
      <c r="DA225" s="14">
        <f t="shared" si="183"/>
        <v>1475</v>
      </c>
      <c r="DB225" s="14">
        <f t="shared" si="183"/>
        <v>2925</v>
      </c>
      <c r="DC225" s="14">
        <f t="shared" si="183"/>
        <v>4350</v>
      </c>
      <c r="DD225" s="14"/>
      <c r="DE225" s="14"/>
    </row>
    <row r="226" spans="2:109">
      <c r="B226" s="116" t="s">
        <v>1237</v>
      </c>
      <c r="C226" s="23"/>
      <c r="D226" s="15"/>
      <c r="E226" s="15"/>
      <c r="F226" s="15"/>
      <c r="G226" s="15"/>
      <c r="H226" s="15"/>
      <c r="I226" s="15"/>
      <c r="J226" s="15"/>
      <c r="K226" s="15"/>
      <c r="L226" s="23"/>
      <c r="M226" s="54"/>
      <c r="N226" s="46"/>
      <c r="O226" s="113">
        <f t="shared" ref="O226:Z226" si="184">SUM(O171:O224)-O225</f>
        <v>0</v>
      </c>
      <c r="P226" s="113">
        <f t="shared" si="184"/>
        <v>0</v>
      </c>
      <c r="Q226" s="113">
        <f t="shared" si="184"/>
        <v>0</v>
      </c>
      <c r="R226" s="113">
        <f t="shared" si="184"/>
        <v>0</v>
      </c>
      <c r="S226" s="113">
        <f t="shared" si="184"/>
        <v>0</v>
      </c>
      <c r="T226" s="113">
        <f>SUM(T171:T224)-T225</f>
        <v>0</v>
      </c>
      <c r="U226" s="113">
        <f>SUM(U171:U224)-U225</f>
        <v>0</v>
      </c>
      <c r="V226" s="113">
        <f>SUM(V171:V224)-V225</f>
        <v>0</v>
      </c>
      <c r="W226" s="113">
        <f>SUM(W171:W224)-W225</f>
        <v>0</v>
      </c>
      <c r="X226" s="113">
        <f t="shared" si="184"/>
        <v>0</v>
      </c>
      <c r="Y226" s="113">
        <f t="shared" si="184"/>
        <v>0</v>
      </c>
      <c r="Z226" s="113">
        <f t="shared" si="184"/>
        <v>0</v>
      </c>
      <c r="AA226" s="113">
        <f t="shared" ref="AA226:AD226" si="185">SUM(AA171:AA224)-AA225</f>
        <v>0</v>
      </c>
      <c r="AB226" s="113">
        <f t="shared" si="185"/>
        <v>0</v>
      </c>
      <c r="AC226" s="113">
        <f t="shared" si="185"/>
        <v>0</v>
      </c>
      <c r="AD226" s="113">
        <f t="shared" si="185"/>
        <v>0</v>
      </c>
      <c r="AE226" s="23"/>
      <c r="AF226" s="23"/>
      <c r="AG226" s="23"/>
      <c r="AH226" s="23"/>
      <c r="AI226" s="23"/>
      <c r="AJ226" s="23"/>
      <c r="AK226" s="23"/>
      <c r="AL226" s="23"/>
      <c r="AM226" s="23"/>
      <c r="AN226" s="23"/>
      <c r="AO226" s="23"/>
      <c r="AP226" s="23"/>
      <c r="AQ226" s="23"/>
      <c r="AR226" s="23"/>
      <c r="AS226" s="23"/>
      <c r="AT226" s="23"/>
      <c r="AU226" s="23"/>
      <c r="AV226" s="23"/>
      <c r="AW226" s="23"/>
      <c r="AX226" s="23"/>
      <c r="AY226" s="23"/>
      <c r="AZ226" s="23"/>
      <c r="BA226" s="23"/>
      <c r="BB226" s="23"/>
      <c r="BC226" s="23"/>
      <c r="BD226" s="36"/>
      <c r="BE226" s="36"/>
      <c r="BF226" s="36"/>
      <c r="BG226" s="36"/>
      <c r="BH226" s="46"/>
      <c r="BI226" s="46"/>
      <c r="BJ226" s="46"/>
      <c r="BK226" s="46"/>
      <c r="BL226" s="46"/>
      <c r="BM226" s="46"/>
      <c r="BN226" s="46"/>
      <c r="BO226" s="46"/>
      <c r="BP226" s="46"/>
      <c r="BQ226" s="46"/>
      <c r="BR226" s="46"/>
      <c r="BS226" s="46"/>
      <c r="BT226" s="113">
        <f t="shared" ref="BT226:CJ226" si="186">SUM(BT171:BT224)-BT225</f>
        <v>0</v>
      </c>
      <c r="BU226" s="113">
        <f t="shared" si="186"/>
        <v>0</v>
      </c>
      <c r="BV226" s="113">
        <f t="shared" si="186"/>
        <v>0</v>
      </c>
      <c r="BW226" s="113">
        <f t="shared" si="186"/>
        <v>1000</v>
      </c>
      <c r="BX226" s="113">
        <f t="shared" si="186"/>
        <v>0</v>
      </c>
      <c r="BY226" s="113">
        <f t="shared" si="186"/>
        <v>0</v>
      </c>
      <c r="BZ226" s="113">
        <f t="shared" si="186"/>
        <v>0</v>
      </c>
      <c r="CA226" s="113">
        <f t="shared" si="186"/>
        <v>0</v>
      </c>
      <c r="CB226" s="113">
        <f t="shared" si="186"/>
        <v>0</v>
      </c>
      <c r="CC226" s="113">
        <f t="shared" si="186"/>
        <v>0</v>
      </c>
      <c r="CD226" s="113">
        <f t="shared" si="186"/>
        <v>0</v>
      </c>
      <c r="CE226" s="113">
        <f t="shared" si="186"/>
        <v>0</v>
      </c>
      <c r="CF226" s="113">
        <f t="shared" si="186"/>
        <v>0</v>
      </c>
      <c r="CG226" s="113">
        <f t="shared" si="186"/>
        <v>0</v>
      </c>
      <c r="CH226" s="113">
        <f t="shared" si="186"/>
        <v>0</v>
      </c>
      <c r="CI226" s="113">
        <f t="shared" si="186"/>
        <v>0</v>
      </c>
      <c r="CJ226" s="113">
        <f t="shared" si="186"/>
        <v>0</v>
      </c>
      <c r="CK226" s="113">
        <f t="shared" ref="CK226:CP226" si="187">SUM(CK171:CK224)-CK225</f>
        <v>0</v>
      </c>
      <c r="CL226" s="113">
        <f t="shared" si="187"/>
        <v>0</v>
      </c>
      <c r="CM226" s="113">
        <f t="shared" si="187"/>
        <v>0</v>
      </c>
      <c r="CN226" s="113">
        <f t="shared" si="187"/>
        <v>0</v>
      </c>
      <c r="CO226" s="113">
        <f t="shared" si="187"/>
        <v>0</v>
      </c>
      <c r="CP226" s="113">
        <f t="shared" si="187"/>
        <v>0</v>
      </c>
      <c r="CQ226" s="113">
        <f t="shared" ref="CQ226:CX226" si="188">SUM(CQ171:CQ224)-CQ225</f>
        <v>0</v>
      </c>
      <c r="CR226" s="113">
        <f t="shared" si="188"/>
        <v>0</v>
      </c>
      <c r="CS226" s="113">
        <f t="shared" si="188"/>
        <v>0</v>
      </c>
      <c r="CT226" s="113">
        <f t="shared" si="188"/>
        <v>0</v>
      </c>
      <c r="CU226" s="113">
        <f t="shared" si="188"/>
        <v>0</v>
      </c>
      <c r="CV226" s="113">
        <f t="shared" si="188"/>
        <v>0</v>
      </c>
      <c r="CW226" s="113">
        <f t="shared" si="188"/>
        <v>0</v>
      </c>
      <c r="CX226" s="113">
        <f t="shared" si="188"/>
        <v>0</v>
      </c>
      <c r="CY226" s="113">
        <f t="shared" ref="CY226" si="189">SUM(CY171:CY224)-CY225</f>
        <v>0</v>
      </c>
      <c r="CZ226" s="113">
        <f t="shared" ref="CZ226:DC226" si="190">SUM(CZ171:CZ224)-CZ225</f>
        <v>0</v>
      </c>
      <c r="DA226" s="113">
        <f t="shared" si="190"/>
        <v>0</v>
      </c>
      <c r="DB226" s="113">
        <f t="shared" si="190"/>
        <v>0</v>
      </c>
      <c r="DC226" s="113">
        <f t="shared" si="190"/>
        <v>0</v>
      </c>
    </row>
    <row r="227" spans="2:109">
      <c r="B227" s="116"/>
      <c r="C227" s="23"/>
      <c r="D227" s="15"/>
      <c r="E227" s="15"/>
      <c r="F227" s="15"/>
      <c r="G227" s="15"/>
      <c r="H227" s="15"/>
      <c r="I227" s="15"/>
      <c r="J227" s="15"/>
      <c r="K227" s="15"/>
      <c r="L227" s="23"/>
      <c r="M227" s="54"/>
      <c r="N227" s="46"/>
      <c r="O227" s="113"/>
      <c r="P227" s="113"/>
      <c r="Q227" s="113"/>
      <c r="R227" s="113"/>
      <c r="S227" s="113"/>
      <c r="T227" s="113"/>
      <c r="U227" s="113"/>
      <c r="V227" s="113"/>
      <c r="W227" s="113"/>
      <c r="X227" s="113"/>
      <c r="Y227" s="113"/>
      <c r="Z227" s="113"/>
      <c r="AA227" s="113"/>
      <c r="AB227" s="113"/>
      <c r="AC227" s="113"/>
      <c r="AD227" s="113"/>
      <c r="AE227" s="23"/>
      <c r="AF227" s="23"/>
      <c r="AG227" s="23"/>
      <c r="AH227" s="23"/>
      <c r="AI227" s="23"/>
      <c r="AJ227" s="23"/>
      <c r="AK227" s="23"/>
      <c r="AL227" s="23"/>
      <c r="AM227" s="23"/>
      <c r="AN227" s="23"/>
      <c r="AO227" s="23"/>
      <c r="AP227" s="23"/>
      <c r="AQ227" s="23"/>
      <c r="AR227" s="23"/>
      <c r="AS227" s="23"/>
      <c r="AT227" s="23"/>
      <c r="AU227" s="23"/>
      <c r="AV227" s="23"/>
      <c r="AW227" s="23"/>
      <c r="AX227" s="23"/>
      <c r="AY227" s="23"/>
      <c r="AZ227" s="23"/>
      <c r="BA227" s="23"/>
      <c r="BB227" s="23"/>
      <c r="BC227" s="23"/>
      <c r="BD227" s="36"/>
      <c r="BE227" s="36"/>
      <c r="BF227" s="36"/>
      <c r="BG227" s="36"/>
      <c r="BH227" s="46"/>
      <c r="BI227" s="46"/>
      <c r="BJ227" s="46"/>
      <c r="BK227" s="46"/>
      <c r="BL227" s="46"/>
      <c r="BM227" s="46"/>
      <c r="BN227" s="46"/>
      <c r="BO227" s="46"/>
      <c r="BP227" s="46"/>
      <c r="BQ227" s="46"/>
      <c r="BR227" s="46"/>
      <c r="BS227" s="46"/>
      <c r="BT227" s="113"/>
      <c r="BU227" s="113"/>
      <c r="BV227" s="113"/>
      <c r="BW227" s="113"/>
      <c r="BX227" s="113"/>
      <c r="BY227" s="113"/>
      <c r="BZ227" s="113"/>
      <c r="CA227" s="113"/>
      <c r="CB227" s="113"/>
      <c r="CC227" s="113"/>
      <c r="CD227" s="113"/>
      <c r="CE227" s="113"/>
      <c r="CF227" s="113"/>
      <c r="CG227" s="113"/>
      <c r="CH227" s="113"/>
      <c r="CI227" s="113"/>
      <c r="CJ227" s="113"/>
      <c r="CK227" s="113"/>
      <c r="CL227" s="113"/>
      <c r="CM227" s="113"/>
      <c r="CN227" s="113"/>
      <c r="CO227" s="113"/>
      <c r="CP227" s="113"/>
      <c r="CQ227" s="113"/>
      <c r="CR227" s="113"/>
      <c r="CS227" s="113"/>
      <c r="CT227" s="113"/>
      <c r="CU227" s="113"/>
      <c r="CV227" s="113"/>
      <c r="CW227" s="113"/>
      <c r="CX227" s="113"/>
      <c r="CY227" s="113"/>
      <c r="CZ227" s="113"/>
      <c r="DA227" s="113"/>
      <c r="DB227" s="113"/>
      <c r="DC227" s="113"/>
    </row>
    <row r="228" spans="2:109">
      <c r="B228" s="21"/>
      <c r="C228" s="23"/>
      <c r="D228" s="15"/>
      <c r="E228" s="15"/>
      <c r="F228" s="15"/>
      <c r="G228" s="15"/>
      <c r="H228" s="15"/>
      <c r="I228" s="15"/>
      <c r="J228" s="15"/>
      <c r="K228" s="15"/>
      <c r="L228" s="23"/>
      <c r="M228" s="23"/>
      <c r="N228" s="27"/>
      <c r="O228" s="27"/>
      <c r="P228" s="27"/>
      <c r="Q228" s="27"/>
      <c r="R228" s="27"/>
      <c r="S228" s="27"/>
      <c r="T228" s="27"/>
      <c r="U228" s="27"/>
      <c r="V228" s="27"/>
      <c r="W228" s="27"/>
      <c r="X228" s="27"/>
      <c r="Y228" s="27"/>
      <c r="Z228" s="27"/>
      <c r="AA228" s="27"/>
      <c r="AB228" s="27"/>
      <c r="AC228" s="27"/>
      <c r="AD228" s="27"/>
      <c r="AE228" s="23"/>
      <c r="AF228" s="23"/>
      <c r="AG228" s="23"/>
      <c r="AH228" s="23"/>
      <c r="AI228" s="23"/>
      <c r="AJ228" s="23"/>
      <c r="AK228" s="23"/>
      <c r="AL228" s="23"/>
      <c r="AM228" s="23"/>
      <c r="AN228" s="23"/>
      <c r="AO228" s="23"/>
      <c r="AP228" s="23"/>
      <c r="AQ228" s="23"/>
      <c r="AR228" s="23"/>
      <c r="AS228" s="23"/>
      <c r="AT228" s="23"/>
      <c r="AU228" s="23"/>
      <c r="AV228" s="23"/>
      <c r="AW228" s="23"/>
      <c r="AX228" s="23"/>
      <c r="AY228" s="23"/>
      <c r="AZ228" s="23"/>
      <c r="BA228" s="23"/>
      <c r="BB228" s="23"/>
      <c r="BC228" s="23"/>
      <c r="BD228" s="68"/>
      <c r="BE228" s="68"/>
      <c r="BF228" s="68"/>
      <c r="BG228" s="68"/>
      <c r="BH228" s="68"/>
      <c r="BI228" s="68"/>
      <c r="BJ228" s="68"/>
      <c r="BK228" s="68"/>
      <c r="BL228" s="68"/>
      <c r="BM228" s="68"/>
      <c r="BN228" s="68"/>
      <c r="BO228" s="68"/>
      <c r="BP228" s="68"/>
      <c r="BQ228" s="68"/>
      <c r="BR228" s="68"/>
      <c r="BS228" s="68"/>
      <c r="BT228" s="68"/>
      <c r="BU228" s="68"/>
      <c r="BV228" s="46"/>
      <c r="BW228" s="46"/>
      <c r="BX228" s="46"/>
      <c r="BY228" s="46"/>
      <c r="BZ228" s="46"/>
      <c r="CA228" s="46"/>
      <c r="CB228" s="46"/>
      <c r="CC228" s="46"/>
      <c r="CD228" s="46"/>
      <c r="CE228" s="46"/>
      <c r="CF228" s="46"/>
      <c r="CG228" s="46"/>
      <c r="CH228" s="46"/>
      <c r="CI228" s="46"/>
      <c r="CJ228" s="46"/>
      <c r="CK228" s="46"/>
      <c r="CL228" s="46"/>
      <c r="CM228" s="46"/>
      <c r="CN228" s="46"/>
      <c r="CO228" s="46"/>
      <c r="CP228" s="46"/>
      <c r="CQ228" s="46"/>
      <c r="CR228" s="46"/>
      <c r="CS228" s="46"/>
      <c r="CT228" s="46"/>
      <c r="CU228" s="46"/>
      <c r="CV228" s="46"/>
      <c r="CW228" s="1077"/>
      <c r="CX228" s="1077"/>
      <c r="CY228" s="1077"/>
      <c r="CZ228" s="1077"/>
      <c r="DA228" s="1077"/>
      <c r="DB228" s="1077"/>
      <c r="DC228" s="1077"/>
    </row>
    <row r="229" spans="2:109" ht="14.25" hidden="1" customHeight="1" outlineLevel="1">
      <c r="B229" s="114" t="s">
        <v>704</v>
      </c>
      <c r="C229" s="59"/>
      <c r="D229" s="60"/>
      <c r="E229" s="60"/>
      <c r="F229" s="60"/>
      <c r="G229" s="60"/>
      <c r="H229" s="60"/>
      <c r="I229" s="60"/>
      <c r="J229" s="60"/>
      <c r="K229" s="60"/>
      <c r="L229" s="59"/>
      <c r="M229" s="61"/>
      <c r="N229" s="62"/>
      <c r="O229" s="62"/>
      <c r="P229" s="70"/>
      <c r="Q229" s="70"/>
      <c r="R229" s="70"/>
      <c r="S229" s="70"/>
      <c r="T229" s="70"/>
      <c r="U229" s="70"/>
      <c r="V229" s="70"/>
      <c r="W229" s="70"/>
      <c r="X229" s="63"/>
      <c r="Y229" s="63"/>
      <c r="Z229" s="63"/>
      <c r="AA229" s="63"/>
      <c r="AB229" s="63"/>
      <c r="AC229" s="63"/>
      <c r="AD229" s="63"/>
      <c r="AE229" s="59"/>
      <c r="AF229" s="59"/>
      <c r="AG229" s="59"/>
      <c r="AH229" s="59"/>
      <c r="AI229" s="59"/>
      <c r="AJ229" s="59"/>
      <c r="AK229" s="59"/>
      <c r="AL229" s="59"/>
      <c r="AM229" s="59"/>
      <c r="AN229" s="59"/>
      <c r="AO229" s="59"/>
      <c r="AP229" s="59"/>
      <c r="AQ229" s="59"/>
      <c r="AR229" s="59"/>
      <c r="AS229" s="59"/>
      <c r="AT229" s="59"/>
      <c r="AU229" s="59"/>
      <c r="AV229" s="59"/>
      <c r="AW229" s="59"/>
      <c r="AX229" s="59"/>
      <c r="AY229" s="59"/>
      <c r="AZ229" s="59"/>
      <c r="BA229" s="59"/>
      <c r="BB229" s="59"/>
      <c r="BC229" s="59"/>
      <c r="BD229" s="65"/>
      <c r="BE229" s="65"/>
      <c r="BF229" s="65"/>
      <c r="BG229" s="65"/>
      <c r="BH229" s="62"/>
      <c r="BI229" s="62"/>
      <c r="BJ229" s="62"/>
      <c r="BK229" s="62"/>
      <c r="BL229" s="62"/>
      <c r="BM229" s="62"/>
      <c r="BN229" s="62"/>
      <c r="BO229" s="62"/>
      <c r="BP229" s="62"/>
      <c r="BQ229" s="62"/>
      <c r="BR229" s="62"/>
      <c r="BS229" s="62"/>
      <c r="BT229" s="62"/>
      <c r="BU229" s="62"/>
      <c r="BV229" s="66"/>
      <c r="BW229" s="66"/>
      <c r="BX229" s="66"/>
      <c r="BY229" s="66"/>
      <c r="BZ229" s="66"/>
      <c r="CA229" s="66"/>
      <c r="CB229" s="66"/>
      <c r="CC229" s="66"/>
      <c r="CD229" s="66"/>
      <c r="CE229" s="66"/>
      <c r="CF229" s="66"/>
      <c r="CG229" s="66"/>
      <c r="CH229" s="66"/>
      <c r="CI229" s="66"/>
      <c r="CJ229" s="66"/>
      <c r="CK229" s="66"/>
      <c r="CL229" s="66"/>
      <c r="CM229" s="66"/>
      <c r="CN229" s="66"/>
      <c r="CO229" s="66"/>
      <c r="CP229" s="66"/>
      <c r="CQ229" s="66"/>
      <c r="CR229" s="66"/>
      <c r="CS229" s="66"/>
      <c r="CT229" s="66"/>
      <c r="CU229" s="66"/>
      <c r="CV229" s="66"/>
      <c r="CW229" s="66"/>
      <c r="CX229" s="66"/>
      <c r="CY229" s="66"/>
      <c r="CZ229" s="66"/>
      <c r="DA229" s="66"/>
      <c r="DB229" s="66"/>
      <c r="DC229" s="66"/>
    </row>
    <row r="230" spans="2:109" ht="11.25" hidden="1" customHeight="1" outlineLevel="1">
      <c r="B230" s="141" t="s">
        <v>714</v>
      </c>
      <c r="C230" s="23"/>
      <c r="D230" s="15"/>
      <c r="E230" s="15"/>
      <c r="F230" s="15"/>
      <c r="G230" s="15"/>
      <c r="H230" s="15"/>
      <c r="I230" s="15"/>
      <c r="J230" s="15"/>
      <c r="K230" s="15"/>
      <c r="L230" s="23"/>
      <c r="M230" s="54"/>
      <c r="N230" s="27">
        <f>AVERAGE(BP230:BS230)</f>
        <v>22687.5</v>
      </c>
      <c r="O230" s="27">
        <f>AVERAGE(BT230:BW230)</f>
        <v>24500</v>
      </c>
      <c r="P230" s="109">
        <f>AVERAGE(BX230:CA230)</f>
        <v>10100</v>
      </c>
      <c r="Q230" s="109">
        <f t="shared" ref="Q230:W230" si="191">AVERAGE(CB230:CE230)</f>
        <v>0</v>
      </c>
      <c r="R230" s="109">
        <f t="shared" si="191"/>
        <v>0</v>
      </c>
      <c r="S230" s="109">
        <f t="shared" si="191"/>
        <v>0</v>
      </c>
      <c r="T230" s="109">
        <f t="shared" si="191"/>
        <v>0</v>
      </c>
      <c r="U230" s="109">
        <f t="shared" si="191"/>
        <v>0</v>
      </c>
      <c r="V230" s="109">
        <f t="shared" si="191"/>
        <v>0</v>
      </c>
      <c r="W230" s="109">
        <f t="shared" si="191"/>
        <v>0</v>
      </c>
      <c r="X230" s="109">
        <f>AVERAGE(W231:X231)</f>
        <v>0</v>
      </c>
      <c r="Y230" s="109">
        <f>AVERAGE(X231:Y231)</f>
        <v>0</v>
      </c>
      <c r="Z230" s="109">
        <f>AVERAGE(Y231:Z231)</f>
        <v>0</v>
      </c>
      <c r="AA230" s="109">
        <f t="shared" ref="AA230:AD230" si="192">AVERAGE(Z231:AA231)</f>
        <v>0</v>
      </c>
      <c r="AB230" s="109">
        <f t="shared" si="192"/>
        <v>0</v>
      </c>
      <c r="AC230" s="109">
        <f t="shared" si="192"/>
        <v>0</v>
      </c>
      <c r="AD230" s="109">
        <f t="shared" si="192"/>
        <v>0</v>
      </c>
      <c r="AE230" s="23"/>
      <c r="AF230" s="23"/>
      <c r="AG230" s="23"/>
      <c r="AH230" s="23"/>
      <c r="AI230" s="23"/>
      <c r="AJ230" s="23"/>
      <c r="AK230" s="23"/>
      <c r="AL230" s="23"/>
      <c r="AM230" s="23"/>
      <c r="AN230" s="23"/>
      <c r="AO230" s="23"/>
      <c r="AP230" s="23"/>
      <c r="AQ230" s="23"/>
      <c r="AR230" s="23"/>
      <c r="AS230" s="23"/>
      <c r="AT230" s="23"/>
      <c r="AU230" s="23"/>
      <c r="AV230" s="23"/>
      <c r="AW230" s="23"/>
      <c r="AX230" s="23"/>
      <c r="AY230" s="23"/>
      <c r="AZ230" s="23"/>
      <c r="BA230" s="23"/>
      <c r="BB230" s="23"/>
      <c r="BC230" s="23"/>
      <c r="BD230" s="36"/>
      <c r="BE230" s="36"/>
      <c r="BF230" s="36"/>
      <c r="BG230" s="36"/>
      <c r="BH230" s="46"/>
      <c r="BI230" s="46"/>
      <c r="BJ230" s="46"/>
      <c r="BK230" s="46"/>
      <c r="BL230" s="118">
        <v>18909</v>
      </c>
      <c r="BM230" s="118">
        <v>19700</v>
      </c>
      <c r="BN230" s="118">
        <v>20800</v>
      </c>
      <c r="BO230" s="118">
        <v>21400</v>
      </c>
      <c r="BP230" s="118">
        <v>21750</v>
      </c>
      <c r="BQ230" s="118">
        <v>22400</v>
      </c>
      <c r="BR230" s="118">
        <v>23100</v>
      </c>
      <c r="BS230" s="118">
        <v>23500</v>
      </c>
      <c r="BT230" s="118">
        <v>23600</v>
      </c>
      <c r="BU230" s="118">
        <v>24000</v>
      </c>
      <c r="BV230" s="118">
        <v>24600</v>
      </c>
      <c r="BW230" s="109">
        <f>BW231</f>
        <v>25800</v>
      </c>
      <c r="BX230" s="109">
        <f t="shared" ref="BX230:CV230" si="193">AVERAGE(BW231:BX231)</f>
        <v>26650</v>
      </c>
      <c r="BY230" s="109">
        <f t="shared" si="193"/>
        <v>13750</v>
      </c>
      <c r="BZ230" s="109">
        <f t="shared" si="193"/>
        <v>0</v>
      </c>
      <c r="CA230" s="109">
        <f t="shared" si="193"/>
        <v>0</v>
      </c>
      <c r="CB230" s="109">
        <f t="shared" si="193"/>
        <v>0</v>
      </c>
      <c r="CC230" s="109">
        <f t="shared" si="193"/>
        <v>0</v>
      </c>
      <c r="CD230" s="109">
        <f t="shared" si="193"/>
        <v>0</v>
      </c>
      <c r="CE230" s="109">
        <f t="shared" si="193"/>
        <v>0</v>
      </c>
      <c r="CF230" s="109">
        <f t="shared" si="193"/>
        <v>0</v>
      </c>
      <c r="CG230" s="109">
        <f t="shared" si="193"/>
        <v>0</v>
      </c>
      <c r="CH230" s="109">
        <f t="shared" si="193"/>
        <v>0</v>
      </c>
      <c r="CI230" s="109">
        <f t="shared" si="193"/>
        <v>0</v>
      </c>
      <c r="CJ230" s="109">
        <f t="shared" si="193"/>
        <v>0</v>
      </c>
      <c r="CK230" s="109">
        <f t="shared" si="193"/>
        <v>0</v>
      </c>
      <c r="CL230" s="109">
        <f t="shared" si="193"/>
        <v>0</v>
      </c>
      <c r="CM230" s="109">
        <f t="shared" si="193"/>
        <v>0</v>
      </c>
      <c r="CN230" s="109">
        <f t="shared" si="193"/>
        <v>0</v>
      </c>
      <c r="CO230" s="109">
        <f t="shared" si="193"/>
        <v>0</v>
      </c>
      <c r="CP230" s="109">
        <f t="shared" si="193"/>
        <v>0</v>
      </c>
      <c r="CQ230" s="109">
        <f t="shared" si="193"/>
        <v>0</v>
      </c>
      <c r="CR230" s="109">
        <f t="shared" si="193"/>
        <v>0</v>
      </c>
      <c r="CS230" s="109">
        <f t="shared" si="193"/>
        <v>0</v>
      </c>
      <c r="CT230" s="109">
        <f t="shared" si="193"/>
        <v>0</v>
      </c>
      <c r="CU230" s="109">
        <f t="shared" si="193"/>
        <v>0</v>
      </c>
      <c r="CV230" s="109">
        <f t="shared" si="193"/>
        <v>0</v>
      </c>
      <c r="CW230" s="109">
        <f>AVERAGE(CV231:CW231)</f>
        <v>0</v>
      </c>
      <c r="CX230" s="109">
        <f>AVERAGE(CW231:CX231)</f>
        <v>0</v>
      </c>
      <c r="CY230" s="109">
        <f>AVERAGE(CX231:CY231)</f>
        <v>0</v>
      </c>
      <c r="CZ230" s="109">
        <f t="shared" ref="CZ230:DC230" si="194">AVERAGE(CY231:CZ231)</f>
        <v>0</v>
      </c>
      <c r="DA230" s="109">
        <f t="shared" si="194"/>
        <v>0</v>
      </c>
      <c r="DB230" s="109">
        <f t="shared" si="194"/>
        <v>0</v>
      </c>
      <c r="DC230" s="109">
        <f t="shared" si="194"/>
        <v>0</v>
      </c>
    </row>
    <row r="231" spans="2:109" ht="11.25" hidden="1" customHeight="1" outlineLevel="1">
      <c r="B231" s="141" t="s">
        <v>705</v>
      </c>
      <c r="C231" s="23"/>
      <c r="D231" s="15"/>
      <c r="E231" s="15"/>
      <c r="F231" s="15"/>
      <c r="G231" s="15"/>
      <c r="H231" s="15"/>
      <c r="I231" s="15"/>
      <c r="J231" s="15"/>
      <c r="K231" s="15"/>
      <c r="L231" s="23"/>
      <c r="M231" s="27"/>
      <c r="N231" s="27">
        <f>BS231</f>
        <v>23600</v>
      </c>
      <c r="O231" s="27">
        <f>O234*O165</f>
        <v>25800</v>
      </c>
      <c r="P231" s="109">
        <f>CA231</f>
        <v>0</v>
      </c>
      <c r="Q231" s="27">
        <f t="shared" ref="Q231:W231" si="195">CE231</f>
        <v>0</v>
      </c>
      <c r="R231" s="27">
        <f t="shared" si="195"/>
        <v>0</v>
      </c>
      <c r="S231" s="27">
        <f t="shared" si="195"/>
        <v>0</v>
      </c>
      <c r="T231" s="27">
        <f t="shared" si="195"/>
        <v>0</v>
      </c>
      <c r="U231" s="27">
        <f t="shared" si="195"/>
        <v>0</v>
      </c>
      <c r="V231" s="27">
        <f t="shared" si="195"/>
        <v>0</v>
      </c>
      <c r="W231" s="27">
        <f t="shared" si="195"/>
        <v>0</v>
      </c>
      <c r="X231" s="27">
        <f>X234*X165</f>
        <v>0</v>
      </c>
      <c r="Y231" s="27">
        <f>Y234*Y165</f>
        <v>0</v>
      </c>
      <c r="Z231" s="27">
        <f>Z234*Z165</f>
        <v>0</v>
      </c>
      <c r="AA231" s="27">
        <f t="shared" ref="AA231:AD231" si="196">AA234*AA165</f>
        <v>0</v>
      </c>
      <c r="AB231" s="27">
        <f t="shared" si="196"/>
        <v>0</v>
      </c>
      <c r="AC231" s="27">
        <f t="shared" si="196"/>
        <v>0</v>
      </c>
      <c r="AD231" s="27">
        <f t="shared" si="196"/>
        <v>0</v>
      </c>
      <c r="AE231" s="23"/>
      <c r="AF231" s="23"/>
      <c r="AG231" s="23"/>
      <c r="AH231" s="23"/>
      <c r="AI231" s="23"/>
      <c r="AJ231" s="23"/>
      <c r="AK231" s="23"/>
      <c r="AL231" s="23"/>
      <c r="AM231" s="23"/>
      <c r="AN231" s="23"/>
      <c r="AO231" s="23"/>
      <c r="AP231" s="23"/>
      <c r="AQ231" s="23"/>
      <c r="AR231" s="23"/>
      <c r="AS231" s="23"/>
      <c r="AT231" s="23"/>
      <c r="AU231" s="23"/>
      <c r="AV231" s="23"/>
      <c r="AW231" s="23"/>
      <c r="AX231" s="23"/>
      <c r="AY231" s="23"/>
      <c r="AZ231" s="23"/>
      <c r="BA231" s="23"/>
      <c r="BB231" s="23"/>
      <c r="BC231" s="23"/>
      <c r="BD231" s="36"/>
      <c r="BE231" s="36"/>
      <c r="BF231" s="36"/>
      <c r="BG231" s="118">
        <v>14100</v>
      </c>
      <c r="BH231" s="118">
        <v>14800</v>
      </c>
      <c r="BI231" s="118">
        <v>15500</v>
      </c>
      <c r="BJ231" s="118">
        <v>16500</v>
      </c>
      <c r="BK231" s="118">
        <v>17600</v>
      </c>
      <c r="BL231" s="118">
        <v>18900</v>
      </c>
      <c r="BM231" s="118">
        <v>20000</v>
      </c>
      <c r="BN231" s="118">
        <v>21100</v>
      </c>
      <c r="BO231" s="118">
        <v>21550</v>
      </c>
      <c r="BP231" s="118">
        <v>21900</v>
      </c>
      <c r="BQ231" s="118">
        <v>22800</v>
      </c>
      <c r="BR231" s="118">
        <v>23200</v>
      </c>
      <c r="BS231" s="118">
        <v>23600</v>
      </c>
      <c r="BT231" s="118">
        <v>23600</v>
      </c>
      <c r="BU231" s="118">
        <v>24200</v>
      </c>
      <c r="BV231" s="118">
        <v>24800</v>
      </c>
      <c r="BW231" s="118">
        <v>25800</v>
      </c>
      <c r="BX231" s="118">
        <v>27500</v>
      </c>
      <c r="BY231" s="27">
        <f t="shared" ref="BY231:CK231" si="197">BY234*BY165</f>
        <v>0</v>
      </c>
      <c r="BZ231" s="27">
        <f t="shared" si="197"/>
        <v>0</v>
      </c>
      <c r="CA231" s="27">
        <f t="shared" si="197"/>
        <v>0</v>
      </c>
      <c r="CB231" s="27">
        <f t="shared" si="197"/>
        <v>0</v>
      </c>
      <c r="CC231" s="27">
        <f t="shared" si="197"/>
        <v>0</v>
      </c>
      <c r="CD231" s="27">
        <f t="shared" si="197"/>
        <v>0</v>
      </c>
      <c r="CE231" s="27">
        <f t="shared" si="197"/>
        <v>0</v>
      </c>
      <c r="CF231" s="27">
        <f t="shared" si="197"/>
        <v>0</v>
      </c>
      <c r="CG231" s="27">
        <f t="shared" si="197"/>
        <v>0</v>
      </c>
      <c r="CH231" s="27">
        <f t="shared" si="197"/>
        <v>0</v>
      </c>
      <c r="CI231" s="27">
        <f t="shared" si="197"/>
        <v>0</v>
      </c>
      <c r="CJ231" s="27">
        <f t="shared" si="197"/>
        <v>0</v>
      </c>
      <c r="CK231" s="27">
        <f t="shared" si="197"/>
        <v>0</v>
      </c>
      <c r="CL231" s="27">
        <f t="shared" ref="CL231:CT231" si="198">CL234*CL165</f>
        <v>0</v>
      </c>
      <c r="CM231" s="27">
        <f t="shared" si="198"/>
        <v>0</v>
      </c>
      <c r="CN231" s="27">
        <f t="shared" si="198"/>
        <v>0</v>
      </c>
      <c r="CO231" s="27">
        <f t="shared" si="198"/>
        <v>0</v>
      </c>
      <c r="CP231" s="27">
        <f t="shared" si="198"/>
        <v>0</v>
      </c>
      <c r="CQ231" s="27">
        <f t="shared" si="198"/>
        <v>0</v>
      </c>
      <c r="CR231" s="27">
        <f t="shared" si="198"/>
        <v>0</v>
      </c>
      <c r="CS231" s="27">
        <f t="shared" si="198"/>
        <v>0</v>
      </c>
      <c r="CT231" s="27">
        <f t="shared" si="198"/>
        <v>0</v>
      </c>
      <c r="CU231" s="27">
        <f>CU234*CU165</f>
        <v>0</v>
      </c>
      <c r="CV231" s="27">
        <f>CV234*CV165</f>
        <v>0</v>
      </c>
      <c r="CW231" s="27">
        <f>CW234*CW165</f>
        <v>0</v>
      </c>
      <c r="CX231" s="27">
        <f>CX234*CX165</f>
        <v>0</v>
      </c>
      <c r="CY231" s="27">
        <f>CY234*CY165</f>
        <v>0</v>
      </c>
      <c r="CZ231" s="27">
        <f t="shared" ref="CZ231:DC231" si="199">CZ234*CZ165</f>
        <v>0</v>
      </c>
      <c r="DA231" s="27">
        <f t="shared" si="199"/>
        <v>0</v>
      </c>
      <c r="DB231" s="27">
        <f t="shared" si="199"/>
        <v>0</v>
      </c>
      <c r="DC231" s="27">
        <f t="shared" si="199"/>
        <v>0</v>
      </c>
    </row>
    <row r="232" spans="2:109" ht="11.25" hidden="1" customHeight="1" outlineLevel="1">
      <c r="B232" s="141" t="s">
        <v>707</v>
      </c>
      <c r="C232" s="23"/>
      <c r="D232" s="15"/>
      <c r="E232" s="15"/>
      <c r="F232" s="15"/>
      <c r="G232" s="15"/>
      <c r="H232" s="15"/>
      <c r="I232" s="15"/>
      <c r="J232" s="15"/>
      <c r="K232" s="15"/>
      <c r="L232" s="23"/>
      <c r="M232" s="27"/>
      <c r="N232" s="27"/>
      <c r="O232" s="109">
        <f t="shared" ref="O232:Z232" si="200">O231-N231</f>
        <v>2200</v>
      </c>
      <c r="P232" s="109">
        <f t="shared" si="200"/>
        <v>-25800</v>
      </c>
      <c r="Q232" s="109">
        <f t="shared" si="200"/>
        <v>0</v>
      </c>
      <c r="R232" s="109">
        <f t="shared" si="200"/>
        <v>0</v>
      </c>
      <c r="S232" s="109">
        <f t="shared" si="200"/>
        <v>0</v>
      </c>
      <c r="T232" s="109">
        <f t="shared" si="200"/>
        <v>0</v>
      </c>
      <c r="U232" s="109">
        <f t="shared" si="200"/>
        <v>0</v>
      </c>
      <c r="V232" s="109">
        <f t="shared" si="200"/>
        <v>0</v>
      </c>
      <c r="W232" s="109">
        <f t="shared" si="200"/>
        <v>0</v>
      </c>
      <c r="X232" s="109">
        <f t="shared" si="200"/>
        <v>0</v>
      </c>
      <c r="Y232" s="109">
        <f t="shared" si="200"/>
        <v>0</v>
      </c>
      <c r="Z232" s="109">
        <f t="shared" si="200"/>
        <v>0</v>
      </c>
      <c r="AA232" s="109">
        <f t="shared" ref="AA232" si="201">AA231-Z231</f>
        <v>0</v>
      </c>
      <c r="AB232" s="109">
        <f t="shared" ref="AB232" si="202">AB231-AA231</f>
        <v>0</v>
      </c>
      <c r="AC232" s="109">
        <f t="shared" ref="AC232" si="203">AC231-AB231</f>
        <v>0</v>
      </c>
      <c r="AD232" s="109">
        <f t="shared" ref="AD232" si="204">AD231-AC231</f>
        <v>0</v>
      </c>
      <c r="AE232" s="23"/>
      <c r="AF232" s="23"/>
      <c r="AG232" s="23"/>
      <c r="AH232" s="23"/>
      <c r="AI232" s="23"/>
      <c r="AJ232" s="23"/>
      <c r="AK232" s="23"/>
      <c r="AL232" s="23"/>
      <c r="AM232" s="23"/>
      <c r="AN232" s="23"/>
      <c r="AO232" s="23"/>
      <c r="AP232" s="23"/>
      <c r="AQ232" s="23"/>
      <c r="AR232" s="23"/>
      <c r="AS232" s="23"/>
      <c r="AT232" s="23"/>
      <c r="AU232" s="23"/>
      <c r="AV232" s="23"/>
      <c r="AW232" s="23"/>
      <c r="AX232" s="23"/>
      <c r="AY232" s="23"/>
      <c r="AZ232" s="23"/>
      <c r="BA232" s="23"/>
      <c r="BB232" s="23"/>
      <c r="BC232" s="23"/>
      <c r="BD232" s="36"/>
      <c r="BE232" s="36"/>
      <c r="BF232" s="36"/>
      <c r="BG232" s="15"/>
      <c r="BH232" s="16">
        <f t="shared" ref="BH232:CV232" si="205">BH231-BG231</f>
        <v>700</v>
      </c>
      <c r="BI232" s="16">
        <f t="shared" si="205"/>
        <v>700</v>
      </c>
      <c r="BJ232" s="16">
        <f t="shared" si="205"/>
        <v>1000</v>
      </c>
      <c r="BK232" s="16">
        <f t="shared" si="205"/>
        <v>1100</v>
      </c>
      <c r="BL232" s="16">
        <f t="shared" si="205"/>
        <v>1300</v>
      </c>
      <c r="BM232" s="16">
        <f t="shared" si="205"/>
        <v>1100</v>
      </c>
      <c r="BN232" s="16">
        <f t="shared" si="205"/>
        <v>1100</v>
      </c>
      <c r="BO232" s="16">
        <f t="shared" si="205"/>
        <v>450</v>
      </c>
      <c r="BP232" s="16">
        <f t="shared" si="205"/>
        <v>350</v>
      </c>
      <c r="BQ232" s="16">
        <f t="shared" si="205"/>
        <v>900</v>
      </c>
      <c r="BR232" s="16">
        <f t="shared" si="205"/>
        <v>400</v>
      </c>
      <c r="BS232" s="16">
        <f t="shared" si="205"/>
        <v>400</v>
      </c>
      <c r="BT232" s="16">
        <f t="shared" si="205"/>
        <v>0</v>
      </c>
      <c r="BU232" s="16">
        <f t="shared" si="205"/>
        <v>600</v>
      </c>
      <c r="BV232" s="109">
        <f t="shared" si="205"/>
        <v>600</v>
      </c>
      <c r="BW232" s="109">
        <f t="shared" si="205"/>
        <v>1000</v>
      </c>
      <c r="BX232" s="109">
        <f t="shared" si="205"/>
        <v>1700</v>
      </c>
      <c r="BY232" s="109">
        <f t="shared" si="205"/>
        <v>-27500</v>
      </c>
      <c r="BZ232" s="109">
        <f t="shared" si="205"/>
        <v>0</v>
      </c>
      <c r="CA232" s="109">
        <f t="shared" si="205"/>
        <v>0</v>
      </c>
      <c r="CB232" s="109">
        <f t="shared" si="205"/>
        <v>0</v>
      </c>
      <c r="CC232" s="109">
        <f t="shared" si="205"/>
        <v>0</v>
      </c>
      <c r="CD232" s="109">
        <f t="shared" si="205"/>
        <v>0</v>
      </c>
      <c r="CE232" s="109">
        <f t="shared" si="205"/>
        <v>0</v>
      </c>
      <c r="CF232" s="109">
        <f t="shared" si="205"/>
        <v>0</v>
      </c>
      <c r="CG232" s="109">
        <f t="shared" si="205"/>
        <v>0</v>
      </c>
      <c r="CH232" s="109">
        <f t="shared" si="205"/>
        <v>0</v>
      </c>
      <c r="CI232" s="109">
        <f t="shared" si="205"/>
        <v>0</v>
      </c>
      <c r="CJ232" s="109">
        <f t="shared" si="205"/>
        <v>0</v>
      </c>
      <c r="CK232" s="109">
        <f t="shared" si="205"/>
        <v>0</v>
      </c>
      <c r="CL232" s="109">
        <f t="shared" si="205"/>
        <v>0</v>
      </c>
      <c r="CM232" s="109">
        <f t="shared" si="205"/>
        <v>0</v>
      </c>
      <c r="CN232" s="109">
        <f t="shared" si="205"/>
        <v>0</v>
      </c>
      <c r="CO232" s="109">
        <f t="shared" si="205"/>
        <v>0</v>
      </c>
      <c r="CP232" s="109">
        <f t="shared" si="205"/>
        <v>0</v>
      </c>
      <c r="CQ232" s="109">
        <f t="shared" si="205"/>
        <v>0</v>
      </c>
      <c r="CR232" s="109">
        <f t="shared" si="205"/>
        <v>0</v>
      </c>
      <c r="CS232" s="109">
        <f t="shared" si="205"/>
        <v>0</v>
      </c>
      <c r="CT232" s="109">
        <f t="shared" si="205"/>
        <v>0</v>
      </c>
      <c r="CU232" s="109">
        <f t="shared" si="205"/>
        <v>0</v>
      </c>
      <c r="CV232" s="109">
        <f t="shared" si="205"/>
        <v>0</v>
      </c>
      <c r="CW232" s="109">
        <f>CW231-CV231</f>
        <v>0</v>
      </c>
      <c r="CX232" s="109">
        <f>CX231-CW231</f>
        <v>0</v>
      </c>
      <c r="CY232" s="109">
        <f>CY231-CX231</f>
        <v>0</v>
      </c>
      <c r="CZ232" s="109">
        <f t="shared" ref="CZ232:DC232" si="206">CZ231-CY231</f>
        <v>0</v>
      </c>
      <c r="DA232" s="109">
        <f t="shared" si="206"/>
        <v>0</v>
      </c>
      <c r="DB232" s="109">
        <f t="shared" si="206"/>
        <v>0</v>
      </c>
      <c r="DC232" s="109">
        <f t="shared" si="206"/>
        <v>0</v>
      </c>
    </row>
    <row r="233" spans="2:109" ht="12.75" hidden="1" customHeight="1" outlineLevel="1">
      <c r="B233" s="141"/>
      <c r="C233" s="23"/>
      <c r="D233" s="15"/>
      <c r="E233" s="15"/>
      <c r="F233" s="15"/>
      <c r="G233" s="15"/>
      <c r="H233" s="15"/>
      <c r="I233" s="15"/>
      <c r="J233" s="15"/>
      <c r="K233" s="15"/>
      <c r="L233" s="23"/>
      <c r="M233" s="27"/>
      <c r="N233" s="27"/>
      <c r="O233" s="16"/>
      <c r="P233" s="16"/>
      <c r="Q233" s="16"/>
      <c r="R233" s="16"/>
      <c r="S233" s="16"/>
      <c r="T233" s="16"/>
      <c r="U233" s="16"/>
      <c r="V233" s="16"/>
      <c r="W233" s="16"/>
      <c r="X233" s="16"/>
      <c r="Y233" s="16"/>
      <c r="Z233" s="16"/>
      <c r="AA233" s="16"/>
      <c r="AB233" s="16"/>
      <c r="AC233" s="16"/>
      <c r="AD233" s="16"/>
      <c r="AE233" s="23"/>
      <c r="AF233" s="23"/>
      <c r="AG233" s="23"/>
      <c r="AH233" s="23"/>
      <c r="AI233" s="23"/>
      <c r="AJ233" s="23"/>
      <c r="AK233" s="23"/>
      <c r="AL233" s="23"/>
      <c r="AM233" s="23"/>
      <c r="AN233" s="23"/>
      <c r="AO233" s="23"/>
      <c r="AP233" s="23"/>
      <c r="AQ233" s="23"/>
      <c r="AR233" s="23"/>
      <c r="AS233" s="23"/>
      <c r="AT233" s="23"/>
      <c r="AU233" s="23"/>
      <c r="AV233" s="23"/>
      <c r="AW233" s="23"/>
      <c r="AX233" s="23"/>
      <c r="AY233" s="23"/>
      <c r="AZ233" s="23"/>
      <c r="BA233" s="23"/>
      <c r="BB233" s="23"/>
      <c r="BC233" s="23"/>
      <c r="BD233" s="36"/>
      <c r="BE233" s="36"/>
      <c r="BF233" s="36"/>
      <c r="BG233" s="36"/>
      <c r="BH233" s="46"/>
      <c r="BI233" s="46"/>
      <c r="BJ233" s="46"/>
      <c r="BK233" s="46"/>
      <c r="BL233" s="46"/>
      <c r="BM233" s="46"/>
      <c r="BN233" s="46"/>
      <c r="BO233" s="46"/>
      <c r="BP233" s="16"/>
      <c r="BQ233" s="16"/>
      <c r="BR233" s="16"/>
      <c r="BS233" s="16"/>
      <c r="BT233" s="16"/>
      <c r="BU233" s="16"/>
      <c r="BV233" s="16"/>
      <c r="BW233" s="16"/>
      <c r="BX233" s="16"/>
      <c r="BY233" s="16"/>
      <c r="BZ233" s="16"/>
      <c r="CA233" s="16"/>
      <c r="CB233" s="16"/>
      <c r="CC233" s="16"/>
      <c r="CD233" s="16"/>
      <c r="CE233" s="16"/>
      <c r="CF233" s="16"/>
      <c r="CG233" s="16"/>
      <c r="CH233" s="16"/>
      <c r="CI233" s="16"/>
      <c r="CJ233" s="16"/>
      <c r="CK233" s="16"/>
      <c r="CL233" s="16"/>
      <c r="CM233" s="16"/>
      <c r="CN233" s="16"/>
      <c r="CO233" s="16"/>
      <c r="CP233" s="16"/>
      <c r="CQ233" s="16"/>
      <c r="CR233" s="16"/>
      <c r="CS233" s="16"/>
      <c r="CT233" s="16"/>
      <c r="CU233" s="16"/>
      <c r="CV233" s="16"/>
      <c r="CW233" s="16"/>
      <c r="CX233" s="16"/>
      <c r="CY233" s="16"/>
      <c r="CZ233" s="16"/>
      <c r="DA233" s="16"/>
      <c r="DB233" s="16"/>
      <c r="DC233" s="16"/>
    </row>
    <row r="234" spans="2:109" hidden="1" outlineLevel="1">
      <c r="B234" s="142" t="s">
        <v>706</v>
      </c>
      <c r="C234" s="23"/>
      <c r="D234" s="15"/>
      <c r="E234" s="15"/>
      <c r="F234" s="15"/>
      <c r="G234" s="15"/>
      <c r="H234" s="15"/>
      <c r="I234" s="15"/>
      <c r="J234" s="15"/>
      <c r="K234" s="15"/>
      <c r="L234" s="51"/>
      <c r="M234" s="24"/>
      <c r="N234" s="55">
        <f>BS234</f>
        <v>0.81660899653979235</v>
      </c>
      <c r="O234" s="55">
        <f>BW234</f>
        <v>0.7678571428571429</v>
      </c>
      <c r="P234" s="55">
        <f>CA234</f>
        <v>0</v>
      </c>
      <c r="Q234" s="55">
        <f t="shared" ref="Q234:W234" si="207">CE234</f>
        <v>0</v>
      </c>
      <c r="R234" s="55">
        <f t="shared" si="207"/>
        <v>0</v>
      </c>
      <c r="S234" s="55">
        <f t="shared" si="207"/>
        <v>0</v>
      </c>
      <c r="T234" s="55">
        <f t="shared" si="207"/>
        <v>0</v>
      </c>
      <c r="U234" s="55">
        <f t="shared" si="207"/>
        <v>0</v>
      </c>
      <c r="V234" s="55">
        <f t="shared" si="207"/>
        <v>0</v>
      </c>
      <c r="W234" s="55">
        <f t="shared" si="207"/>
        <v>0</v>
      </c>
      <c r="X234" s="143">
        <f t="shared" ref="X234:AD234" si="208">CHOOSE(mode,X235,X236,X237)</f>
        <v>0</v>
      </c>
      <c r="Y234" s="143">
        <f t="shared" si="208"/>
        <v>0</v>
      </c>
      <c r="Z234" s="143">
        <f t="shared" si="208"/>
        <v>0</v>
      </c>
      <c r="AA234" s="143">
        <f t="shared" si="208"/>
        <v>0</v>
      </c>
      <c r="AB234" s="143">
        <f t="shared" si="208"/>
        <v>0</v>
      </c>
      <c r="AC234" s="143">
        <f t="shared" si="208"/>
        <v>0</v>
      </c>
      <c r="AD234" s="143">
        <f t="shared" si="208"/>
        <v>0</v>
      </c>
      <c r="AE234" s="23"/>
      <c r="AF234" s="23"/>
      <c r="AG234" s="23"/>
      <c r="AH234" s="23"/>
      <c r="AI234" s="23"/>
      <c r="AJ234" s="23"/>
      <c r="AK234" s="23"/>
      <c r="AL234" s="23"/>
      <c r="AM234" s="23"/>
      <c r="AN234" s="23"/>
      <c r="AO234" s="23"/>
      <c r="AP234" s="23"/>
      <c r="AQ234" s="23"/>
      <c r="AR234" s="23"/>
      <c r="AS234" s="23"/>
      <c r="AT234" s="23"/>
      <c r="AU234" s="23"/>
      <c r="AV234" s="23"/>
      <c r="AW234" s="23"/>
      <c r="AX234" s="23"/>
      <c r="AY234" s="23"/>
      <c r="AZ234" s="23"/>
      <c r="BA234" s="23"/>
      <c r="BB234" s="23"/>
      <c r="BC234" s="23"/>
      <c r="BD234" s="23"/>
      <c r="BE234" s="51"/>
      <c r="BF234" s="51"/>
      <c r="BG234" s="55">
        <f t="shared" ref="BG234:BX234" si="209">BG231/BG165</f>
        <v>0.53816793893129766</v>
      </c>
      <c r="BH234" s="55">
        <f t="shared" si="209"/>
        <v>0.7219512195121951</v>
      </c>
      <c r="BI234" s="55">
        <f t="shared" si="209"/>
        <v>0.76354679802955661</v>
      </c>
      <c r="BJ234" s="55">
        <f t="shared" si="209"/>
        <v>0.81280788177339902</v>
      </c>
      <c r="BK234" s="55">
        <f t="shared" si="209"/>
        <v>0.71836734693877546</v>
      </c>
      <c r="BL234" s="55">
        <f t="shared" si="209"/>
        <v>0.78099173553719003</v>
      </c>
      <c r="BM234" s="55">
        <f t="shared" si="209"/>
        <v>0.73529411764705888</v>
      </c>
      <c r="BN234" s="55">
        <f t="shared" si="209"/>
        <v>0.77859778597785978</v>
      </c>
      <c r="BO234" s="55">
        <f t="shared" si="209"/>
        <v>0.79520295202952029</v>
      </c>
      <c r="BP234" s="55">
        <f t="shared" si="209"/>
        <v>0.80811808118081185</v>
      </c>
      <c r="BQ234" s="55">
        <f t="shared" si="209"/>
        <v>0.81428571428571428</v>
      </c>
      <c r="BR234" s="55">
        <f t="shared" si="209"/>
        <v>0.81690140845070425</v>
      </c>
      <c r="BS234" s="55">
        <f t="shared" si="209"/>
        <v>0.81660899653979235</v>
      </c>
      <c r="BT234" s="55">
        <f t="shared" si="209"/>
        <v>0.79461279461279466</v>
      </c>
      <c r="BU234" s="55">
        <f t="shared" si="209"/>
        <v>0.7857142857142857</v>
      </c>
      <c r="BV234" s="55">
        <f t="shared" si="209"/>
        <v>0.77258566978193144</v>
      </c>
      <c r="BW234" s="55">
        <f t="shared" si="209"/>
        <v>0.7678571428571429</v>
      </c>
      <c r="BX234" s="55">
        <f t="shared" si="209"/>
        <v>0.80409356725146197</v>
      </c>
      <c r="BY234" s="143">
        <f t="shared" ref="BY234:CE234" si="210">CHOOSE(mode,BY235,BY236,BY237)</f>
        <v>0</v>
      </c>
      <c r="BZ234" s="143">
        <f t="shared" si="210"/>
        <v>0</v>
      </c>
      <c r="CA234" s="143">
        <f t="shared" si="210"/>
        <v>0</v>
      </c>
      <c r="CB234" s="143">
        <f t="shared" si="210"/>
        <v>0</v>
      </c>
      <c r="CC234" s="143">
        <f t="shared" si="210"/>
        <v>0</v>
      </c>
      <c r="CD234" s="143">
        <f t="shared" si="210"/>
        <v>0</v>
      </c>
      <c r="CE234" s="143">
        <f t="shared" si="210"/>
        <v>0</v>
      </c>
      <c r="CF234" s="143">
        <f t="shared" ref="CF234:CM234" si="211">CHOOSE(mode,CF235,CF236,CF237)</f>
        <v>0</v>
      </c>
      <c r="CG234" s="143">
        <f t="shared" si="211"/>
        <v>0</v>
      </c>
      <c r="CH234" s="143">
        <f t="shared" si="211"/>
        <v>0</v>
      </c>
      <c r="CI234" s="143">
        <f t="shared" si="211"/>
        <v>0</v>
      </c>
      <c r="CJ234" s="143">
        <f t="shared" si="211"/>
        <v>0</v>
      </c>
      <c r="CK234" s="143">
        <f t="shared" si="211"/>
        <v>0</v>
      </c>
      <c r="CL234" s="143">
        <f t="shared" si="211"/>
        <v>0</v>
      </c>
      <c r="CM234" s="143">
        <f t="shared" si="211"/>
        <v>0</v>
      </c>
      <c r="CN234" s="143">
        <f t="shared" ref="CN234:CX234" si="212">CHOOSE(mode,CN235,CN236,CN237)</f>
        <v>0</v>
      </c>
      <c r="CO234" s="143">
        <f t="shared" si="212"/>
        <v>0</v>
      </c>
      <c r="CP234" s="143">
        <f t="shared" si="212"/>
        <v>0</v>
      </c>
      <c r="CQ234" s="143">
        <f t="shared" si="212"/>
        <v>0</v>
      </c>
      <c r="CR234" s="143">
        <f t="shared" si="212"/>
        <v>0</v>
      </c>
      <c r="CS234" s="143">
        <f t="shared" si="212"/>
        <v>0</v>
      </c>
      <c r="CT234" s="143">
        <f t="shared" si="212"/>
        <v>0</v>
      </c>
      <c r="CU234" s="143">
        <f t="shared" si="212"/>
        <v>0</v>
      </c>
      <c r="CV234" s="143">
        <f>CHOOSE(mode,CV235,CV236,CV237)</f>
        <v>0</v>
      </c>
      <c r="CW234" s="143">
        <f t="shared" si="212"/>
        <v>0</v>
      </c>
      <c r="CX234" s="143">
        <f t="shared" si="212"/>
        <v>0</v>
      </c>
      <c r="CY234" s="143">
        <f t="shared" ref="CY234" si="213">CHOOSE(mode,CY235,CY236,CY237)</f>
        <v>0</v>
      </c>
      <c r="CZ234" s="143">
        <f t="shared" ref="CZ234:DC234" si="214">CHOOSE(mode,CZ235,CZ236,CZ237)</f>
        <v>0</v>
      </c>
      <c r="DA234" s="143">
        <f t="shared" si="214"/>
        <v>0</v>
      </c>
      <c r="DB234" s="143">
        <f t="shared" si="214"/>
        <v>0</v>
      </c>
      <c r="DC234" s="143">
        <f t="shared" si="214"/>
        <v>0</v>
      </c>
    </row>
    <row r="235" spans="2:109" hidden="1" outlineLevel="2">
      <c r="B235" s="134" t="s">
        <v>1046</v>
      </c>
      <c r="C235" s="135"/>
      <c r="D235" s="135"/>
      <c r="E235" s="135"/>
      <c r="F235" s="135"/>
      <c r="G235" s="135"/>
      <c r="H235" s="135"/>
      <c r="I235" s="135"/>
      <c r="J235" s="135"/>
      <c r="K235" s="135"/>
      <c r="L235" s="135"/>
      <c r="M235" s="136"/>
      <c r="N235" s="136"/>
      <c r="O235" s="136"/>
      <c r="P235" s="136"/>
      <c r="Q235" s="136"/>
      <c r="R235" s="136"/>
      <c r="S235" s="136"/>
      <c r="T235" s="136"/>
      <c r="U235" s="136"/>
      <c r="V235" s="136"/>
      <c r="W235" s="136"/>
      <c r="X235" s="136"/>
      <c r="Y235" s="136"/>
      <c r="Z235" s="136"/>
      <c r="AA235" s="136"/>
      <c r="AB235" s="136"/>
      <c r="AC235" s="136"/>
      <c r="AD235" s="136"/>
      <c r="AE235" s="135"/>
      <c r="AF235" s="135"/>
      <c r="AG235" s="135"/>
      <c r="AH235" s="135"/>
      <c r="AI235" s="135"/>
      <c r="AJ235" s="135"/>
      <c r="AK235" s="135"/>
      <c r="AL235" s="135"/>
      <c r="AM235" s="135"/>
      <c r="AN235" s="135"/>
      <c r="AO235" s="135"/>
      <c r="AP235" s="135"/>
      <c r="AQ235" s="135"/>
      <c r="AR235" s="135"/>
      <c r="AS235" s="135"/>
      <c r="AT235" s="135"/>
      <c r="AU235" s="135"/>
      <c r="AV235" s="135"/>
      <c r="AW235" s="135"/>
      <c r="AX235" s="135"/>
      <c r="AY235" s="135"/>
      <c r="AZ235" s="135"/>
      <c r="BA235" s="135"/>
      <c r="BB235" s="135"/>
      <c r="BC235" s="135"/>
      <c r="BD235" s="137"/>
      <c r="BE235" s="137"/>
      <c r="BF235" s="137"/>
      <c r="BG235" s="137"/>
      <c r="BH235" s="137"/>
      <c r="BI235" s="137"/>
      <c r="BJ235" s="137"/>
      <c r="BK235" s="137"/>
      <c r="BL235" s="137"/>
      <c r="BM235" s="137"/>
      <c r="BN235" s="137"/>
      <c r="BO235" s="137"/>
      <c r="BP235" s="136"/>
      <c r="BQ235" s="136"/>
      <c r="BR235" s="136"/>
      <c r="BS235" s="136"/>
      <c r="BT235" s="136"/>
      <c r="BU235" s="136"/>
      <c r="BV235" s="136"/>
      <c r="BW235" s="136"/>
      <c r="BX235" s="136"/>
      <c r="BY235" s="136"/>
      <c r="BZ235" s="136"/>
      <c r="CA235" s="136"/>
      <c r="CB235" s="136"/>
      <c r="CC235" s="136"/>
      <c r="CD235" s="136"/>
      <c r="CE235" s="136"/>
      <c r="CF235" s="136"/>
      <c r="CG235" s="136"/>
      <c r="CH235" s="136"/>
      <c r="CI235" s="136"/>
      <c r="CJ235" s="136"/>
      <c r="CK235" s="136"/>
      <c r="CL235" s="136"/>
      <c r="CM235" s="136"/>
      <c r="CN235" s="136"/>
      <c r="CO235" s="136"/>
      <c r="CP235" s="136"/>
      <c r="CQ235" s="136"/>
      <c r="CR235" s="136"/>
      <c r="CS235" s="136"/>
      <c r="CT235" s="136"/>
      <c r="CU235" s="136"/>
      <c r="CV235" s="136"/>
      <c r="CW235" s="136"/>
      <c r="CX235" s="136"/>
      <c r="CY235" s="136"/>
      <c r="CZ235" s="136"/>
      <c r="DA235" s="136"/>
      <c r="DB235" s="136"/>
      <c r="DC235" s="136"/>
    </row>
    <row r="236" spans="2:109" hidden="1" outlineLevel="2">
      <c r="B236" s="134" t="s">
        <v>1047</v>
      </c>
      <c r="C236" s="135"/>
      <c r="D236" s="135"/>
      <c r="E236" s="135"/>
      <c r="F236" s="135"/>
      <c r="G236" s="135"/>
      <c r="H236" s="135"/>
      <c r="I236" s="135"/>
      <c r="J236" s="135"/>
      <c r="K236" s="135"/>
      <c r="L236" s="135"/>
      <c r="M236" s="136"/>
      <c r="N236" s="136"/>
      <c r="O236" s="136"/>
      <c r="P236" s="136"/>
      <c r="Q236" s="136"/>
      <c r="R236" s="136"/>
      <c r="S236" s="136"/>
      <c r="T236" s="136"/>
      <c r="U236" s="136"/>
      <c r="V236" s="136"/>
      <c r="W236" s="136"/>
      <c r="X236" s="136"/>
      <c r="Y236" s="136"/>
      <c r="Z236" s="136"/>
      <c r="AA236" s="136"/>
      <c r="AB236" s="136"/>
      <c r="AC236" s="136"/>
      <c r="AD236" s="136"/>
      <c r="AE236" s="135"/>
      <c r="AF236" s="135"/>
      <c r="AG236" s="135"/>
      <c r="AH236" s="135"/>
      <c r="AI236" s="135"/>
      <c r="AJ236" s="135"/>
      <c r="AK236" s="135"/>
      <c r="AL236" s="135"/>
      <c r="AM236" s="135"/>
      <c r="AN236" s="135"/>
      <c r="AO236" s="135"/>
      <c r="AP236" s="135"/>
      <c r="AQ236" s="135"/>
      <c r="AR236" s="135"/>
      <c r="AS236" s="135"/>
      <c r="AT236" s="135"/>
      <c r="AU236" s="135"/>
      <c r="AV236" s="135"/>
      <c r="AW236" s="135"/>
      <c r="AX236" s="135"/>
      <c r="AY236" s="135"/>
      <c r="AZ236" s="135"/>
      <c r="BA236" s="135"/>
      <c r="BB236" s="135"/>
      <c r="BC236" s="135"/>
      <c r="BD236" s="137"/>
      <c r="BE236" s="137"/>
      <c r="BF236" s="137"/>
      <c r="BG236" s="137"/>
      <c r="BH236" s="137"/>
      <c r="BI236" s="137"/>
      <c r="BJ236" s="137"/>
      <c r="BK236" s="137"/>
      <c r="BL236" s="137"/>
      <c r="BM236" s="137"/>
      <c r="BN236" s="137"/>
      <c r="BO236" s="137"/>
      <c r="BP236" s="136"/>
      <c r="BQ236" s="136"/>
      <c r="BR236" s="136"/>
      <c r="BS236" s="136"/>
      <c r="BT236" s="136"/>
      <c r="BU236" s="136"/>
      <c r="BV236" s="136"/>
      <c r="BW236" s="136"/>
      <c r="BX236" s="136"/>
      <c r="BY236" s="136"/>
      <c r="BZ236" s="136"/>
      <c r="CA236" s="136"/>
      <c r="CB236" s="136"/>
      <c r="CC236" s="136"/>
      <c r="CD236" s="136"/>
      <c r="CE236" s="136"/>
      <c r="CF236" s="136"/>
      <c r="CG236" s="136"/>
      <c r="CH236" s="136"/>
      <c r="CI236" s="136"/>
      <c r="CJ236" s="136"/>
      <c r="CK236" s="136"/>
      <c r="CL236" s="136"/>
      <c r="CM236" s="136"/>
      <c r="CN236" s="136"/>
      <c r="CO236" s="136"/>
      <c r="CP236" s="136"/>
      <c r="CQ236" s="136"/>
      <c r="CR236" s="136"/>
      <c r="CS236" s="136"/>
      <c r="CT236" s="136"/>
      <c r="CU236" s="136"/>
      <c r="CV236" s="136"/>
      <c r="CW236" s="136"/>
      <c r="CX236" s="136"/>
      <c r="CY236" s="136"/>
      <c r="CZ236" s="136"/>
      <c r="DA236" s="136"/>
      <c r="DB236" s="136"/>
      <c r="DC236" s="136"/>
    </row>
    <row r="237" spans="2:109" hidden="1" outlineLevel="2">
      <c r="B237" s="134" t="s">
        <v>1048</v>
      </c>
      <c r="C237" s="135"/>
      <c r="D237" s="135"/>
      <c r="E237" s="135"/>
      <c r="F237" s="135"/>
      <c r="G237" s="135"/>
      <c r="H237" s="135"/>
      <c r="I237" s="135"/>
      <c r="J237" s="135"/>
      <c r="K237" s="135"/>
      <c r="L237" s="135"/>
      <c r="M237" s="136"/>
      <c r="N237" s="136"/>
      <c r="O237" s="136"/>
      <c r="P237" s="136"/>
      <c r="Q237" s="136"/>
      <c r="R237" s="136"/>
      <c r="S237" s="136"/>
      <c r="T237" s="136"/>
      <c r="U237" s="136"/>
      <c r="V237" s="136"/>
      <c r="W237" s="136"/>
      <c r="X237" s="136"/>
      <c r="Y237" s="136"/>
      <c r="Z237" s="136"/>
      <c r="AA237" s="136"/>
      <c r="AB237" s="136"/>
      <c r="AC237" s="136"/>
      <c r="AD237" s="136"/>
      <c r="AE237" s="135"/>
      <c r="AF237" s="135"/>
      <c r="AG237" s="135"/>
      <c r="AH237" s="135"/>
      <c r="AI237" s="135"/>
      <c r="AJ237" s="135"/>
      <c r="AK237" s="135"/>
      <c r="AL237" s="135"/>
      <c r="AM237" s="135"/>
      <c r="AN237" s="135"/>
      <c r="AO237" s="135"/>
      <c r="AP237" s="135"/>
      <c r="AQ237" s="135"/>
      <c r="AR237" s="135"/>
      <c r="AS237" s="135"/>
      <c r="AT237" s="135"/>
      <c r="AU237" s="135"/>
      <c r="AV237" s="135"/>
      <c r="AW237" s="135"/>
      <c r="AX237" s="135"/>
      <c r="AY237" s="135"/>
      <c r="AZ237" s="135"/>
      <c r="BA237" s="135"/>
      <c r="BB237" s="135"/>
      <c r="BC237" s="135"/>
      <c r="BD237" s="137"/>
      <c r="BE237" s="137"/>
      <c r="BF237" s="137"/>
      <c r="BG237" s="137"/>
      <c r="BH237" s="137"/>
      <c r="BI237" s="137"/>
      <c r="BJ237" s="137"/>
      <c r="BK237" s="137"/>
      <c r="BL237" s="137"/>
      <c r="BM237" s="137"/>
      <c r="BN237" s="137"/>
      <c r="BO237" s="137"/>
      <c r="BP237" s="136"/>
      <c r="BQ237" s="136"/>
      <c r="BR237" s="136"/>
      <c r="BS237" s="136"/>
      <c r="BT237" s="136"/>
      <c r="BU237" s="136"/>
      <c r="BV237" s="136"/>
      <c r="BW237" s="136"/>
      <c r="BX237" s="136"/>
      <c r="BY237" s="136"/>
      <c r="BZ237" s="136"/>
      <c r="CA237" s="136"/>
      <c r="CB237" s="136"/>
      <c r="CC237" s="136"/>
      <c r="CD237" s="136"/>
      <c r="CE237" s="136"/>
      <c r="CF237" s="136"/>
      <c r="CG237" s="136"/>
      <c r="CH237" s="136"/>
      <c r="CI237" s="136"/>
      <c r="CJ237" s="136"/>
      <c r="CK237" s="136"/>
      <c r="CL237" s="136"/>
      <c r="CM237" s="136"/>
      <c r="CN237" s="136"/>
      <c r="CO237" s="136"/>
      <c r="CP237" s="136"/>
      <c r="CQ237" s="136"/>
      <c r="CR237" s="136"/>
      <c r="CS237" s="136"/>
      <c r="CT237" s="136"/>
      <c r="CU237" s="136"/>
      <c r="CV237" s="136"/>
      <c r="CW237" s="136"/>
      <c r="CX237" s="136"/>
      <c r="CY237" s="136"/>
      <c r="CZ237" s="136"/>
      <c r="DA237" s="136"/>
      <c r="DB237" s="136"/>
      <c r="DC237" s="136"/>
    </row>
    <row r="238" spans="2:109" hidden="1" outlineLevel="1">
      <c r="B238" s="198"/>
      <c r="C238" s="197"/>
      <c r="D238" s="31"/>
      <c r="E238" s="31"/>
      <c r="F238" s="31"/>
      <c r="G238" s="31"/>
      <c r="H238" s="31"/>
      <c r="I238" s="31"/>
      <c r="J238" s="31"/>
      <c r="K238" s="31"/>
      <c r="L238" s="31"/>
      <c r="M238" s="199"/>
      <c r="N238" s="199"/>
      <c r="O238" s="199"/>
      <c r="P238" s="199"/>
      <c r="Q238" s="199"/>
      <c r="R238" s="199"/>
      <c r="S238" s="199"/>
      <c r="T238" s="199"/>
      <c r="U238" s="199"/>
      <c r="V238" s="199"/>
      <c r="W238" s="199"/>
      <c r="X238" s="199"/>
      <c r="Y238" s="199"/>
      <c r="Z238" s="199"/>
      <c r="AA238" s="199"/>
      <c r="AB238" s="199"/>
      <c r="AC238" s="199"/>
      <c r="AD238" s="199"/>
      <c r="AE238" s="197"/>
      <c r="AF238" s="31"/>
      <c r="AG238" s="31"/>
      <c r="AH238" s="31"/>
      <c r="AI238" s="31"/>
      <c r="AJ238" s="31"/>
      <c r="AK238" s="31"/>
      <c r="AL238" s="31"/>
      <c r="AM238" s="31"/>
      <c r="AN238" s="31"/>
      <c r="AO238" s="31"/>
      <c r="AP238" s="31"/>
      <c r="AQ238" s="31"/>
      <c r="AR238" s="31"/>
      <c r="AS238" s="31"/>
      <c r="AT238" s="31"/>
      <c r="AU238" s="31"/>
      <c r="AV238" s="31"/>
      <c r="AW238" s="31"/>
      <c r="AX238" s="31"/>
      <c r="AY238" s="31"/>
      <c r="AZ238" s="31"/>
      <c r="BA238" s="31"/>
      <c r="BB238" s="31"/>
      <c r="BC238" s="31"/>
      <c r="BD238" s="32"/>
      <c r="BE238" s="32"/>
      <c r="BF238" s="32"/>
      <c r="BG238" s="32"/>
      <c r="BH238" s="32"/>
      <c r="BI238" s="32"/>
      <c r="BJ238" s="32"/>
      <c r="BK238" s="32"/>
      <c r="BL238" s="32"/>
      <c r="BM238" s="32"/>
      <c r="BN238" s="32"/>
      <c r="BO238" s="32"/>
      <c r="BP238" s="199"/>
      <c r="BQ238" s="199"/>
      <c r="BR238" s="199"/>
      <c r="BS238" s="199"/>
      <c r="BT238" s="199"/>
      <c r="BU238" s="199"/>
      <c r="BV238" s="199"/>
      <c r="BW238" s="199"/>
      <c r="BX238" s="199"/>
      <c r="BY238" s="199"/>
      <c r="BZ238" s="199"/>
      <c r="CA238" s="199"/>
      <c r="CB238" s="199"/>
      <c r="CC238" s="199"/>
      <c r="CD238" s="199"/>
      <c r="CE238" s="199"/>
      <c r="CF238" s="199"/>
      <c r="CG238" s="199"/>
      <c r="CH238" s="199"/>
      <c r="CI238" s="199"/>
      <c r="CJ238" s="199"/>
      <c r="CK238" s="199"/>
      <c r="CL238" s="199"/>
      <c r="CM238" s="199"/>
      <c r="CN238" s="199"/>
      <c r="CO238" s="199"/>
      <c r="CP238" s="199"/>
      <c r="CQ238" s="199"/>
      <c r="CR238" s="199"/>
      <c r="CS238" s="199"/>
      <c r="CT238" s="199"/>
      <c r="CU238" s="199"/>
      <c r="CV238" s="199"/>
      <c r="CW238" s="199"/>
      <c r="CX238" s="199"/>
      <c r="CY238" s="199"/>
      <c r="CZ238" s="199"/>
      <c r="DA238" s="199"/>
      <c r="DB238" s="199"/>
      <c r="DC238" s="199"/>
    </row>
    <row r="239" spans="2:109" hidden="1" outlineLevel="1">
      <c r="B239" s="154" t="s">
        <v>714</v>
      </c>
      <c r="C239" s="197"/>
      <c r="D239" s="31"/>
      <c r="E239" s="31"/>
      <c r="F239" s="31"/>
      <c r="G239" s="31"/>
      <c r="H239" s="31"/>
      <c r="I239" s="31"/>
      <c r="J239" s="31"/>
      <c r="K239" s="31"/>
      <c r="L239" s="31"/>
      <c r="M239" s="199"/>
      <c r="N239" s="109">
        <f>AVERAGE(BP239:BS239)</f>
        <v>8136</v>
      </c>
      <c r="O239" s="109">
        <f>AVERAGE(BT239:BW239)</f>
        <v>9005</v>
      </c>
      <c r="P239" s="109">
        <f>AVERAGE(BX239:CA239)</f>
        <v>3462</v>
      </c>
      <c r="Q239" s="109">
        <f t="shared" ref="Q239:W239" si="215">AVERAGE(CB239:CE239)</f>
        <v>0</v>
      </c>
      <c r="R239" s="109">
        <f t="shared" si="215"/>
        <v>0</v>
      </c>
      <c r="S239" s="109">
        <f t="shared" si="215"/>
        <v>0</v>
      </c>
      <c r="T239" s="109">
        <f t="shared" si="215"/>
        <v>0</v>
      </c>
      <c r="U239" s="109">
        <f t="shared" si="215"/>
        <v>0</v>
      </c>
      <c r="V239" s="109">
        <f t="shared" si="215"/>
        <v>0</v>
      </c>
      <c r="W239" s="109">
        <f t="shared" si="215"/>
        <v>0</v>
      </c>
      <c r="X239" s="109">
        <f>AVERAGE(W240:X240)</f>
        <v>0</v>
      </c>
      <c r="Y239" s="109">
        <f>AVERAGE(X240:Y240)</f>
        <v>0</v>
      </c>
      <c r="Z239" s="109">
        <f>AVERAGE(Y240:Z240)</f>
        <v>0</v>
      </c>
      <c r="AA239" s="109">
        <f t="shared" ref="AA239:AD239" si="216">AVERAGE(Z240:AA240)</f>
        <v>0</v>
      </c>
      <c r="AB239" s="109">
        <f t="shared" si="216"/>
        <v>0</v>
      </c>
      <c r="AC239" s="109">
        <f t="shared" si="216"/>
        <v>0</v>
      </c>
      <c r="AD239" s="109">
        <f t="shared" si="216"/>
        <v>0</v>
      </c>
      <c r="AE239" s="197"/>
      <c r="AF239" s="31"/>
      <c r="AG239" s="31"/>
      <c r="AH239" s="31"/>
      <c r="AI239" s="31"/>
      <c r="AJ239" s="31"/>
      <c r="AK239" s="31"/>
      <c r="AL239" s="31"/>
      <c r="AM239" s="31"/>
      <c r="AN239" s="31"/>
      <c r="AO239" s="31"/>
      <c r="AP239" s="31"/>
      <c r="AQ239" s="31"/>
      <c r="AR239" s="31"/>
      <c r="AS239" s="31"/>
      <c r="AT239" s="31"/>
      <c r="AU239" s="31"/>
      <c r="AV239" s="31"/>
      <c r="AW239" s="31"/>
      <c r="AX239" s="31"/>
      <c r="AY239" s="31"/>
      <c r="AZ239" s="31"/>
      <c r="BA239" s="31"/>
      <c r="BB239" s="31"/>
      <c r="BC239" s="31"/>
      <c r="BD239" s="32"/>
      <c r="BE239" s="32"/>
      <c r="BF239" s="32"/>
      <c r="BG239" s="32"/>
      <c r="BH239" s="32"/>
      <c r="BI239" s="32"/>
      <c r="BJ239" s="32"/>
      <c r="BK239" s="32"/>
      <c r="BL239" s="32"/>
      <c r="BM239" s="32"/>
      <c r="BN239" s="32"/>
      <c r="BO239" s="32"/>
      <c r="BP239" s="109">
        <f>BP240</f>
        <v>7864</v>
      </c>
      <c r="BQ239" s="109">
        <f>BQ240</f>
        <v>7982</v>
      </c>
      <c r="BR239" s="109">
        <f>BR240</f>
        <v>8110</v>
      </c>
      <c r="BS239" s="109">
        <f>BS240</f>
        <v>8588</v>
      </c>
      <c r="BT239" s="109">
        <f>BT240</f>
        <v>8920</v>
      </c>
      <c r="BU239" s="118">
        <v>9100</v>
      </c>
      <c r="BV239" s="118">
        <v>9000</v>
      </c>
      <c r="BW239" s="109">
        <f>BW240</f>
        <v>9000</v>
      </c>
      <c r="BX239" s="109">
        <f t="shared" ref="BX239:CV239" si="217">AVERAGE(BW240:BX240)</f>
        <v>9174</v>
      </c>
      <c r="BY239" s="109">
        <f t="shared" si="217"/>
        <v>4674</v>
      </c>
      <c r="BZ239" s="109">
        <f t="shared" si="217"/>
        <v>0</v>
      </c>
      <c r="CA239" s="109">
        <f t="shared" si="217"/>
        <v>0</v>
      </c>
      <c r="CB239" s="109">
        <f t="shared" si="217"/>
        <v>0</v>
      </c>
      <c r="CC239" s="109">
        <f t="shared" si="217"/>
        <v>0</v>
      </c>
      <c r="CD239" s="109">
        <f t="shared" si="217"/>
        <v>0</v>
      </c>
      <c r="CE239" s="109">
        <f t="shared" si="217"/>
        <v>0</v>
      </c>
      <c r="CF239" s="109">
        <f t="shared" si="217"/>
        <v>0</v>
      </c>
      <c r="CG239" s="109">
        <f t="shared" si="217"/>
        <v>0</v>
      </c>
      <c r="CH239" s="109">
        <f t="shared" si="217"/>
        <v>0</v>
      </c>
      <c r="CI239" s="109">
        <f t="shared" si="217"/>
        <v>0</v>
      </c>
      <c r="CJ239" s="109">
        <f t="shared" si="217"/>
        <v>0</v>
      </c>
      <c r="CK239" s="109">
        <f t="shared" si="217"/>
        <v>0</v>
      </c>
      <c r="CL239" s="109">
        <f t="shared" si="217"/>
        <v>0</v>
      </c>
      <c r="CM239" s="109">
        <f t="shared" si="217"/>
        <v>0</v>
      </c>
      <c r="CN239" s="109">
        <f t="shared" si="217"/>
        <v>0</v>
      </c>
      <c r="CO239" s="109">
        <f t="shared" si="217"/>
        <v>0</v>
      </c>
      <c r="CP239" s="109">
        <f t="shared" si="217"/>
        <v>0</v>
      </c>
      <c r="CQ239" s="109">
        <f t="shared" si="217"/>
        <v>0</v>
      </c>
      <c r="CR239" s="109">
        <f t="shared" si="217"/>
        <v>0</v>
      </c>
      <c r="CS239" s="109">
        <f t="shared" si="217"/>
        <v>0</v>
      </c>
      <c r="CT239" s="109">
        <f t="shared" si="217"/>
        <v>0</v>
      </c>
      <c r="CU239" s="109">
        <f t="shared" si="217"/>
        <v>0</v>
      </c>
      <c r="CV239" s="109">
        <f t="shared" si="217"/>
        <v>0</v>
      </c>
      <c r="CW239" s="109">
        <f>AVERAGE(CV240:CW240)</f>
        <v>0</v>
      </c>
      <c r="CX239" s="109">
        <f>AVERAGE(CW240:CX240)</f>
        <v>0</v>
      </c>
      <c r="CY239" s="109">
        <f>AVERAGE(CX240:CY240)</f>
        <v>0</v>
      </c>
      <c r="CZ239" s="109">
        <f t="shared" ref="CZ239:DC239" si="218">AVERAGE(CY240:CZ240)</f>
        <v>0</v>
      </c>
      <c r="DA239" s="109">
        <f t="shared" si="218"/>
        <v>0</v>
      </c>
      <c r="DB239" s="109">
        <f t="shared" si="218"/>
        <v>0</v>
      </c>
      <c r="DC239" s="109">
        <f t="shared" si="218"/>
        <v>0</v>
      </c>
    </row>
    <row r="240" spans="2:109" hidden="1" outlineLevel="1">
      <c r="B240" s="154" t="s">
        <v>705</v>
      </c>
      <c r="C240" s="197"/>
      <c r="D240" s="31"/>
      <c r="E240" s="31"/>
      <c r="F240" s="31"/>
      <c r="G240" s="31"/>
      <c r="H240" s="31"/>
      <c r="I240" s="31"/>
      <c r="J240" s="31"/>
      <c r="K240" s="31"/>
      <c r="L240" s="31"/>
      <c r="M240" s="199"/>
      <c r="N240" s="109">
        <f>BS240</f>
        <v>8588</v>
      </c>
      <c r="O240" s="109">
        <f>BW240</f>
        <v>9000</v>
      </c>
      <c r="P240" s="109">
        <f>CA240</f>
        <v>0</v>
      </c>
      <c r="Q240" s="109">
        <f t="shared" ref="Q240:W240" si="219">CE240</f>
        <v>0</v>
      </c>
      <c r="R240" s="109">
        <f t="shared" si="219"/>
        <v>0</v>
      </c>
      <c r="S240" s="109">
        <f t="shared" si="219"/>
        <v>0</v>
      </c>
      <c r="T240" s="109">
        <f t="shared" si="219"/>
        <v>0</v>
      </c>
      <c r="U240" s="109">
        <f t="shared" si="219"/>
        <v>0</v>
      </c>
      <c r="V240" s="109">
        <f t="shared" si="219"/>
        <v>0</v>
      </c>
      <c r="W240" s="109">
        <f t="shared" si="219"/>
        <v>0</v>
      </c>
      <c r="X240" s="109">
        <f>X242*X166</f>
        <v>0</v>
      </c>
      <c r="Y240" s="109">
        <f>Y242*Y166</f>
        <v>0</v>
      </c>
      <c r="Z240" s="109">
        <f>Z242*Z166</f>
        <v>0</v>
      </c>
      <c r="AA240" s="109">
        <f t="shared" ref="AA240:AD240" si="220">AA242*AA166</f>
        <v>0</v>
      </c>
      <c r="AB240" s="109">
        <f t="shared" si="220"/>
        <v>0</v>
      </c>
      <c r="AC240" s="109">
        <f t="shared" si="220"/>
        <v>0</v>
      </c>
      <c r="AD240" s="109">
        <f t="shared" si="220"/>
        <v>0</v>
      </c>
      <c r="AE240" s="197"/>
      <c r="AF240" s="31"/>
      <c r="AG240" s="31"/>
      <c r="AH240" s="31"/>
      <c r="AI240" s="31"/>
      <c r="AJ240" s="31"/>
      <c r="AK240" s="31"/>
      <c r="AL240" s="31"/>
      <c r="AM240" s="31"/>
      <c r="AN240" s="31"/>
      <c r="AO240" s="31"/>
      <c r="AP240" s="31"/>
      <c r="AQ240" s="31"/>
      <c r="AR240" s="31"/>
      <c r="AS240" s="31"/>
      <c r="AT240" s="31"/>
      <c r="AU240" s="31"/>
      <c r="AV240" s="31"/>
      <c r="AW240" s="31"/>
      <c r="AX240" s="31"/>
      <c r="AY240" s="31"/>
      <c r="AZ240" s="31"/>
      <c r="BA240" s="31"/>
      <c r="BB240" s="31"/>
      <c r="BC240" s="31"/>
      <c r="BD240" s="32"/>
      <c r="BE240" s="32"/>
      <c r="BF240" s="32"/>
      <c r="BG240" s="32"/>
      <c r="BH240" s="32"/>
      <c r="BI240" s="32"/>
      <c r="BJ240" s="32"/>
      <c r="BK240" s="32"/>
      <c r="BL240" s="32"/>
      <c r="BM240" s="32"/>
      <c r="BN240" s="32"/>
      <c r="BO240" s="32"/>
      <c r="BP240" s="109">
        <f>SDXC!BL52</f>
        <v>7864</v>
      </c>
      <c r="BQ240" s="109">
        <f>SDXC!BM52</f>
        <v>7982</v>
      </c>
      <c r="BR240" s="109">
        <f>SDXC!BN52</f>
        <v>8110</v>
      </c>
      <c r="BS240" s="109">
        <f>SDXC!BO52</f>
        <v>8588</v>
      </c>
      <c r="BT240" s="109">
        <f>SDXC!BP52</f>
        <v>8920</v>
      </c>
      <c r="BU240" s="118">
        <v>9100</v>
      </c>
      <c r="BV240" s="118">
        <v>9000</v>
      </c>
      <c r="BW240" s="118">
        <v>9000</v>
      </c>
      <c r="BX240" s="118">
        <f>BW240+348</f>
        <v>9348</v>
      </c>
      <c r="BY240" s="109">
        <f t="shared" ref="BY240:CK240" si="221">BY242*BY166</f>
        <v>0</v>
      </c>
      <c r="BZ240" s="109">
        <f t="shared" si="221"/>
        <v>0</v>
      </c>
      <c r="CA240" s="109">
        <f t="shared" si="221"/>
        <v>0</v>
      </c>
      <c r="CB240" s="109">
        <f t="shared" si="221"/>
        <v>0</v>
      </c>
      <c r="CC240" s="109">
        <f t="shared" si="221"/>
        <v>0</v>
      </c>
      <c r="CD240" s="109">
        <f t="shared" si="221"/>
        <v>0</v>
      </c>
      <c r="CE240" s="109">
        <f t="shared" si="221"/>
        <v>0</v>
      </c>
      <c r="CF240" s="109">
        <f t="shared" si="221"/>
        <v>0</v>
      </c>
      <c r="CG240" s="109">
        <f t="shared" si="221"/>
        <v>0</v>
      </c>
      <c r="CH240" s="109">
        <f t="shared" si="221"/>
        <v>0</v>
      </c>
      <c r="CI240" s="109">
        <f t="shared" si="221"/>
        <v>0</v>
      </c>
      <c r="CJ240" s="109">
        <f t="shared" si="221"/>
        <v>0</v>
      </c>
      <c r="CK240" s="109">
        <f t="shared" si="221"/>
        <v>0</v>
      </c>
      <c r="CL240" s="109">
        <f t="shared" ref="CL240:CT240" si="222">CL242*CL166</f>
        <v>0</v>
      </c>
      <c r="CM240" s="109">
        <f t="shared" si="222"/>
        <v>0</v>
      </c>
      <c r="CN240" s="109">
        <f t="shared" si="222"/>
        <v>0</v>
      </c>
      <c r="CO240" s="109">
        <f t="shared" si="222"/>
        <v>0</v>
      </c>
      <c r="CP240" s="109">
        <f t="shared" si="222"/>
        <v>0</v>
      </c>
      <c r="CQ240" s="109">
        <f t="shared" si="222"/>
        <v>0</v>
      </c>
      <c r="CR240" s="109">
        <f t="shared" si="222"/>
        <v>0</v>
      </c>
      <c r="CS240" s="109">
        <f t="shared" si="222"/>
        <v>0</v>
      </c>
      <c r="CT240" s="109">
        <f t="shared" si="222"/>
        <v>0</v>
      </c>
      <c r="CU240" s="109">
        <f>CU242*CU166</f>
        <v>0</v>
      </c>
      <c r="CV240" s="109">
        <f>CV242*CV166</f>
        <v>0</v>
      </c>
      <c r="CW240" s="109">
        <f>CW242*CW166</f>
        <v>0</v>
      </c>
      <c r="CX240" s="109">
        <f>CX242*CX166</f>
        <v>0</v>
      </c>
      <c r="CY240" s="109">
        <f>CY242*CY166</f>
        <v>0</v>
      </c>
      <c r="CZ240" s="109">
        <f t="shared" ref="CZ240:DC240" si="223">CZ242*CZ166</f>
        <v>0</v>
      </c>
      <c r="DA240" s="109">
        <f t="shared" si="223"/>
        <v>0</v>
      </c>
      <c r="DB240" s="109">
        <f t="shared" si="223"/>
        <v>0</v>
      </c>
      <c r="DC240" s="109">
        <f t="shared" si="223"/>
        <v>0</v>
      </c>
    </row>
    <row r="241" spans="2:107" hidden="1" outlineLevel="1">
      <c r="B241" s="154" t="s">
        <v>707</v>
      </c>
      <c r="C241" s="197"/>
      <c r="D241" s="31"/>
      <c r="E241" s="31"/>
      <c r="F241" s="31"/>
      <c r="G241" s="31"/>
      <c r="H241" s="31"/>
      <c r="I241" s="31"/>
      <c r="J241" s="31"/>
      <c r="K241" s="31"/>
      <c r="L241" s="31"/>
      <c r="M241" s="199"/>
      <c r="N241" s="199"/>
      <c r="O241" s="199"/>
      <c r="P241" s="109">
        <f t="shared" ref="P241:Z241" si="224">P240-O240</f>
        <v>-9000</v>
      </c>
      <c r="Q241" s="109">
        <f t="shared" si="224"/>
        <v>0</v>
      </c>
      <c r="R241" s="109">
        <f t="shared" si="224"/>
        <v>0</v>
      </c>
      <c r="S241" s="109">
        <f t="shared" si="224"/>
        <v>0</v>
      </c>
      <c r="T241" s="109">
        <f t="shared" si="224"/>
        <v>0</v>
      </c>
      <c r="U241" s="109">
        <f t="shared" si="224"/>
        <v>0</v>
      </c>
      <c r="V241" s="109">
        <f t="shared" si="224"/>
        <v>0</v>
      </c>
      <c r="W241" s="109">
        <f t="shared" si="224"/>
        <v>0</v>
      </c>
      <c r="X241" s="109">
        <f t="shared" si="224"/>
        <v>0</v>
      </c>
      <c r="Y241" s="109">
        <f t="shared" si="224"/>
        <v>0</v>
      </c>
      <c r="Z241" s="109">
        <f t="shared" si="224"/>
        <v>0</v>
      </c>
      <c r="AA241" s="109">
        <f t="shared" ref="AA241" si="225">AA240-Z240</f>
        <v>0</v>
      </c>
      <c r="AB241" s="109">
        <f t="shared" ref="AB241" si="226">AB240-AA240</f>
        <v>0</v>
      </c>
      <c r="AC241" s="109">
        <f t="shared" ref="AC241" si="227">AC240-AB240</f>
        <v>0</v>
      </c>
      <c r="AD241" s="109">
        <f t="shared" ref="AD241" si="228">AD240-AC240</f>
        <v>0</v>
      </c>
      <c r="AE241" s="197"/>
      <c r="AF241" s="31"/>
      <c r="AG241" s="31"/>
      <c r="AH241" s="31"/>
      <c r="AI241" s="31"/>
      <c r="AJ241" s="31"/>
      <c r="AK241" s="31"/>
      <c r="AL241" s="31"/>
      <c r="AM241" s="31"/>
      <c r="AN241" s="31"/>
      <c r="AO241" s="31"/>
      <c r="AP241" s="31"/>
      <c r="AQ241" s="31"/>
      <c r="AR241" s="31"/>
      <c r="AS241" s="31"/>
      <c r="AT241" s="31"/>
      <c r="AU241" s="31"/>
      <c r="AV241" s="31"/>
      <c r="AW241" s="31"/>
      <c r="AX241" s="31"/>
      <c r="AY241" s="31"/>
      <c r="AZ241" s="31"/>
      <c r="BA241" s="31"/>
      <c r="BB241" s="31"/>
      <c r="BC241" s="31"/>
      <c r="BD241" s="32"/>
      <c r="BE241" s="32"/>
      <c r="BF241" s="32"/>
      <c r="BG241" s="32"/>
      <c r="BH241" s="32"/>
      <c r="BI241" s="32"/>
      <c r="BJ241" s="32"/>
      <c r="BK241" s="32"/>
      <c r="BL241" s="32"/>
      <c r="BM241" s="32"/>
      <c r="BN241" s="32"/>
      <c r="BO241" s="32"/>
      <c r="BP241" s="199"/>
      <c r="BQ241" s="199"/>
      <c r="BR241" s="199"/>
      <c r="BS241" s="199"/>
      <c r="BT241" s="199"/>
      <c r="BU241" s="199"/>
      <c r="BV241" s="109">
        <f t="shared" ref="BV241:CV241" si="229">BV240-BU240</f>
        <v>-100</v>
      </c>
      <c r="BW241" s="109">
        <f t="shared" si="229"/>
        <v>0</v>
      </c>
      <c r="BX241" s="109">
        <f t="shared" si="229"/>
        <v>348</v>
      </c>
      <c r="BY241" s="109">
        <f t="shared" si="229"/>
        <v>-9348</v>
      </c>
      <c r="BZ241" s="109">
        <f t="shared" si="229"/>
        <v>0</v>
      </c>
      <c r="CA241" s="109">
        <f t="shared" si="229"/>
        <v>0</v>
      </c>
      <c r="CB241" s="109">
        <f t="shared" si="229"/>
        <v>0</v>
      </c>
      <c r="CC241" s="109">
        <f t="shared" si="229"/>
        <v>0</v>
      </c>
      <c r="CD241" s="109">
        <f t="shared" si="229"/>
        <v>0</v>
      </c>
      <c r="CE241" s="109">
        <f t="shared" si="229"/>
        <v>0</v>
      </c>
      <c r="CF241" s="109">
        <f t="shared" si="229"/>
        <v>0</v>
      </c>
      <c r="CG241" s="109">
        <f t="shared" si="229"/>
        <v>0</v>
      </c>
      <c r="CH241" s="109">
        <f t="shared" si="229"/>
        <v>0</v>
      </c>
      <c r="CI241" s="109">
        <f t="shared" si="229"/>
        <v>0</v>
      </c>
      <c r="CJ241" s="109">
        <f t="shared" si="229"/>
        <v>0</v>
      </c>
      <c r="CK241" s="109">
        <f t="shared" si="229"/>
        <v>0</v>
      </c>
      <c r="CL241" s="109">
        <f t="shared" si="229"/>
        <v>0</v>
      </c>
      <c r="CM241" s="109">
        <f t="shared" si="229"/>
        <v>0</v>
      </c>
      <c r="CN241" s="109">
        <f t="shared" si="229"/>
        <v>0</v>
      </c>
      <c r="CO241" s="109">
        <f t="shared" si="229"/>
        <v>0</v>
      </c>
      <c r="CP241" s="109">
        <f t="shared" si="229"/>
        <v>0</v>
      </c>
      <c r="CQ241" s="109">
        <f t="shared" si="229"/>
        <v>0</v>
      </c>
      <c r="CR241" s="109">
        <f t="shared" si="229"/>
        <v>0</v>
      </c>
      <c r="CS241" s="109">
        <f t="shared" si="229"/>
        <v>0</v>
      </c>
      <c r="CT241" s="109">
        <f t="shared" si="229"/>
        <v>0</v>
      </c>
      <c r="CU241" s="109">
        <f t="shared" si="229"/>
        <v>0</v>
      </c>
      <c r="CV241" s="109">
        <f t="shared" si="229"/>
        <v>0</v>
      </c>
      <c r="CW241" s="109">
        <f>CW240-CV240</f>
        <v>0</v>
      </c>
      <c r="CX241" s="109">
        <f>CX240-CW240</f>
        <v>0</v>
      </c>
      <c r="CY241" s="109">
        <f>CY240-CX240</f>
        <v>0</v>
      </c>
      <c r="CZ241" s="109">
        <f t="shared" ref="CZ241:DC241" si="230">CZ240-CY240</f>
        <v>0</v>
      </c>
      <c r="DA241" s="109">
        <f t="shared" si="230"/>
        <v>0</v>
      </c>
      <c r="DB241" s="109">
        <f t="shared" si="230"/>
        <v>0</v>
      </c>
      <c r="DC241" s="109">
        <f t="shared" si="230"/>
        <v>0</v>
      </c>
    </row>
    <row r="242" spans="2:107" hidden="1" outlineLevel="1">
      <c r="B242" s="200" t="s">
        <v>715</v>
      </c>
      <c r="C242" s="197"/>
      <c r="D242" s="31"/>
      <c r="E242" s="31"/>
      <c r="F242" s="31"/>
      <c r="G242" s="31"/>
      <c r="H242" s="31"/>
      <c r="I242" s="31"/>
      <c r="J242" s="31"/>
      <c r="K242" s="31"/>
      <c r="L242" s="31"/>
      <c r="M242" s="199"/>
      <c r="N242" s="55"/>
      <c r="O242" s="55">
        <f t="shared" ref="O242:T242" si="231">O240/O166</f>
        <v>0.625</v>
      </c>
      <c r="P242" s="55">
        <f t="shared" si="231"/>
        <v>0</v>
      </c>
      <c r="Q242" s="55">
        <f t="shared" si="231"/>
        <v>0</v>
      </c>
      <c r="R242" s="55">
        <f t="shared" si="231"/>
        <v>0</v>
      </c>
      <c r="S242" s="55">
        <f t="shared" si="231"/>
        <v>0</v>
      </c>
      <c r="T242" s="55">
        <f t="shared" si="231"/>
        <v>0</v>
      </c>
      <c r="U242" s="55">
        <f>U240/U166</f>
        <v>0</v>
      </c>
      <c r="V242" s="55">
        <f>V240/V166</f>
        <v>0</v>
      </c>
      <c r="W242" s="55">
        <f>W240/W166</f>
        <v>0</v>
      </c>
      <c r="X242" s="143">
        <f t="shared" ref="X242:AD242" si="232">CHOOSE(mode,X243,X244,X245)</f>
        <v>0</v>
      </c>
      <c r="Y242" s="143">
        <f t="shared" si="232"/>
        <v>0</v>
      </c>
      <c r="Z242" s="143">
        <f t="shared" si="232"/>
        <v>0</v>
      </c>
      <c r="AA242" s="143">
        <f t="shared" si="232"/>
        <v>0</v>
      </c>
      <c r="AB242" s="143">
        <f t="shared" si="232"/>
        <v>0</v>
      </c>
      <c r="AC242" s="143">
        <f t="shared" si="232"/>
        <v>0</v>
      </c>
      <c r="AD242" s="143">
        <f t="shared" si="232"/>
        <v>0</v>
      </c>
      <c r="AE242" s="197"/>
      <c r="AF242" s="31"/>
      <c r="AG242" s="31"/>
      <c r="AH242" s="31"/>
      <c r="AI242" s="31"/>
      <c r="AJ242" s="31"/>
      <c r="AK242" s="31"/>
      <c r="AL242" s="31"/>
      <c r="AM242" s="31"/>
      <c r="AN242" s="31"/>
      <c r="AO242" s="31"/>
      <c r="AP242" s="31"/>
      <c r="AQ242" s="31"/>
      <c r="AR242" s="31"/>
      <c r="AS242" s="31"/>
      <c r="AT242" s="31"/>
      <c r="AU242" s="31"/>
      <c r="AV242" s="31"/>
      <c r="AW242" s="31"/>
      <c r="AX242" s="31"/>
      <c r="AY242" s="31"/>
      <c r="AZ242" s="31"/>
      <c r="BA242" s="31"/>
      <c r="BB242" s="31"/>
      <c r="BC242" s="31"/>
      <c r="BD242" s="32"/>
      <c r="BE242" s="32"/>
      <c r="BF242" s="32"/>
      <c r="BG242" s="32"/>
      <c r="BH242" s="32"/>
      <c r="BI242" s="32"/>
      <c r="BJ242" s="32"/>
      <c r="BK242" s="32"/>
      <c r="BL242" s="32"/>
      <c r="BM242" s="32"/>
      <c r="BN242" s="32"/>
      <c r="BO242" s="32"/>
      <c r="BP242" s="199"/>
      <c r="BQ242" s="199"/>
      <c r="BR242" s="199"/>
      <c r="BS242" s="199"/>
      <c r="BT242" s="199"/>
      <c r="BU242" s="201">
        <v>0.65</v>
      </c>
      <c r="BV242" s="201">
        <v>0.63</v>
      </c>
      <c r="BW242" s="201">
        <v>0.62</v>
      </c>
      <c r="BX242" s="55">
        <f>BX240/BX166</f>
        <v>0.60504854368932037</v>
      </c>
      <c r="BY242" s="143">
        <f t="shared" ref="BY242:CE242" si="233">CHOOSE(mode,BY243,BY244,BY245)</f>
        <v>0</v>
      </c>
      <c r="BZ242" s="143">
        <f t="shared" si="233"/>
        <v>0</v>
      </c>
      <c r="CA242" s="143">
        <f t="shared" si="233"/>
        <v>0</v>
      </c>
      <c r="CB242" s="143">
        <f t="shared" si="233"/>
        <v>0</v>
      </c>
      <c r="CC242" s="143">
        <f t="shared" si="233"/>
        <v>0</v>
      </c>
      <c r="CD242" s="143">
        <f t="shared" si="233"/>
        <v>0</v>
      </c>
      <c r="CE242" s="143">
        <f t="shared" si="233"/>
        <v>0</v>
      </c>
      <c r="CF242" s="143">
        <f t="shared" ref="CF242:CM242" si="234">CHOOSE(mode,CF243,CF244,CF245)</f>
        <v>0</v>
      </c>
      <c r="CG242" s="143">
        <f t="shared" si="234"/>
        <v>0</v>
      </c>
      <c r="CH242" s="143">
        <f t="shared" si="234"/>
        <v>0</v>
      </c>
      <c r="CI242" s="143">
        <f t="shared" si="234"/>
        <v>0</v>
      </c>
      <c r="CJ242" s="143">
        <f t="shared" si="234"/>
        <v>0</v>
      </c>
      <c r="CK242" s="143">
        <f t="shared" si="234"/>
        <v>0</v>
      </c>
      <c r="CL242" s="143">
        <f t="shared" si="234"/>
        <v>0</v>
      </c>
      <c r="CM242" s="143">
        <f t="shared" si="234"/>
        <v>0</v>
      </c>
      <c r="CN242" s="143">
        <f t="shared" ref="CN242:CX242" si="235">CHOOSE(mode,CN243,CN244,CN245)</f>
        <v>0</v>
      </c>
      <c r="CO242" s="143">
        <f t="shared" si="235"/>
        <v>0</v>
      </c>
      <c r="CP242" s="143">
        <f t="shared" si="235"/>
        <v>0</v>
      </c>
      <c r="CQ242" s="143">
        <f t="shared" si="235"/>
        <v>0</v>
      </c>
      <c r="CR242" s="143">
        <f t="shared" si="235"/>
        <v>0</v>
      </c>
      <c r="CS242" s="143">
        <f t="shared" si="235"/>
        <v>0</v>
      </c>
      <c r="CT242" s="143">
        <f t="shared" si="235"/>
        <v>0</v>
      </c>
      <c r="CU242" s="143">
        <f t="shared" si="235"/>
        <v>0</v>
      </c>
      <c r="CV242" s="143">
        <f>CHOOSE(mode,CV243,CV244,CV245)</f>
        <v>0</v>
      </c>
      <c r="CW242" s="143">
        <f t="shared" si="235"/>
        <v>0</v>
      </c>
      <c r="CX242" s="143">
        <f t="shared" si="235"/>
        <v>0</v>
      </c>
      <c r="CY242" s="143">
        <f t="shared" ref="CY242" si="236">CHOOSE(mode,CY243,CY244,CY245)</f>
        <v>0</v>
      </c>
      <c r="CZ242" s="143">
        <f t="shared" ref="CZ242:DC242" si="237">CHOOSE(mode,CZ243,CZ244,CZ245)</f>
        <v>0</v>
      </c>
      <c r="DA242" s="143">
        <f t="shared" si="237"/>
        <v>0</v>
      </c>
      <c r="DB242" s="143">
        <f t="shared" si="237"/>
        <v>0</v>
      </c>
      <c r="DC242" s="143">
        <f t="shared" si="237"/>
        <v>0</v>
      </c>
    </row>
    <row r="243" spans="2:107" hidden="1" outlineLevel="2">
      <c r="B243" s="134" t="s">
        <v>1046</v>
      </c>
      <c r="C243" s="135"/>
      <c r="D243" s="135"/>
      <c r="E243" s="135"/>
      <c r="F243" s="135"/>
      <c r="G243" s="135"/>
      <c r="H243" s="135"/>
      <c r="I243" s="135"/>
      <c r="J243" s="135"/>
      <c r="K243" s="135"/>
      <c r="L243" s="135"/>
      <c r="M243" s="136"/>
      <c r="N243" s="136"/>
      <c r="O243" s="136"/>
      <c r="P243" s="136"/>
      <c r="Q243" s="136"/>
      <c r="R243" s="136"/>
      <c r="S243" s="136"/>
      <c r="T243" s="136"/>
      <c r="U243" s="136"/>
      <c r="V243" s="136"/>
      <c r="W243" s="136"/>
      <c r="X243" s="136"/>
      <c r="Y243" s="136"/>
      <c r="Z243" s="136"/>
      <c r="AA243" s="136"/>
      <c r="AB243" s="136"/>
      <c r="AC243" s="136"/>
      <c r="AD243" s="136"/>
      <c r="AE243" s="135"/>
      <c r="AF243" s="135"/>
      <c r="AG243" s="135"/>
      <c r="AH243" s="135"/>
      <c r="AI243" s="135"/>
      <c r="AJ243" s="135"/>
      <c r="AK243" s="135"/>
      <c r="AL243" s="135"/>
      <c r="AM243" s="135"/>
      <c r="AN243" s="135"/>
      <c r="AO243" s="135"/>
      <c r="AP243" s="135"/>
      <c r="AQ243" s="135"/>
      <c r="AR243" s="135"/>
      <c r="AS243" s="135"/>
      <c r="AT243" s="135"/>
      <c r="AU243" s="135"/>
      <c r="AV243" s="135"/>
      <c r="AW243" s="135"/>
      <c r="AX243" s="135"/>
      <c r="AY243" s="135"/>
      <c r="AZ243" s="135"/>
      <c r="BA243" s="135"/>
      <c r="BB243" s="135"/>
      <c r="BC243" s="135"/>
      <c r="BD243" s="137"/>
      <c r="BE243" s="137"/>
      <c r="BF243" s="137"/>
      <c r="BG243" s="137"/>
      <c r="BH243" s="137"/>
      <c r="BI243" s="137"/>
      <c r="BJ243" s="137"/>
      <c r="BK243" s="137"/>
      <c r="BL243" s="137"/>
      <c r="BM243" s="137"/>
      <c r="BN243" s="137"/>
      <c r="BO243" s="137"/>
      <c r="BP243" s="136"/>
      <c r="BQ243" s="136"/>
      <c r="BR243" s="136"/>
      <c r="BS243" s="136"/>
      <c r="BT243" s="136"/>
      <c r="BU243" s="136"/>
      <c r="BV243" s="136"/>
      <c r="BW243" s="136"/>
      <c r="BX243" s="136"/>
      <c r="BY243" s="136"/>
      <c r="BZ243" s="136"/>
      <c r="CA243" s="136"/>
      <c r="CB243" s="136"/>
      <c r="CC243" s="136"/>
      <c r="CD243" s="136"/>
      <c r="CE243" s="136"/>
      <c r="CF243" s="136"/>
      <c r="CG243" s="136"/>
      <c r="CH243" s="136"/>
      <c r="CI243" s="136"/>
      <c r="CJ243" s="136"/>
      <c r="CK243" s="136"/>
      <c r="CL243" s="136"/>
      <c r="CM243" s="136"/>
      <c r="CN243" s="136"/>
      <c r="CO243" s="136"/>
      <c r="CP243" s="136"/>
      <c r="CQ243" s="136"/>
      <c r="CR243" s="136"/>
      <c r="CS243" s="136"/>
      <c r="CT243" s="136"/>
      <c r="CU243" s="136"/>
      <c r="CV243" s="136"/>
      <c r="CW243" s="136"/>
      <c r="CX243" s="136"/>
      <c r="CY243" s="136"/>
      <c r="CZ243" s="136"/>
      <c r="DA243" s="136"/>
      <c r="DB243" s="136"/>
      <c r="DC243" s="136"/>
    </row>
    <row r="244" spans="2:107" hidden="1" outlineLevel="2">
      <c r="B244" s="134" t="s">
        <v>1047</v>
      </c>
      <c r="C244" s="135"/>
      <c r="D244" s="135"/>
      <c r="E244" s="135"/>
      <c r="F244" s="135"/>
      <c r="G244" s="135"/>
      <c r="H244" s="135"/>
      <c r="I244" s="135"/>
      <c r="J244" s="135"/>
      <c r="K244" s="135"/>
      <c r="L244" s="135"/>
      <c r="M244" s="136"/>
      <c r="N244" s="136"/>
      <c r="O244" s="136"/>
      <c r="P244" s="136"/>
      <c r="Q244" s="136"/>
      <c r="R244" s="136"/>
      <c r="S244" s="136"/>
      <c r="T244" s="136"/>
      <c r="U244" s="136"/>
      <c r="V244" s="136"/>
      <c r="W244" s="136"/>
      <c r="X244" s="136"/>
      <c r="Y244" s="136"/>
      <c r="Z244" s="136"/>
      <c r="AA244" s="136"/>
      <c r="AB244" s="136"/>
      <c r="AC244" s="136"/>
      <c r="AD244" s="136"/>
      <c r="AE244" s="135"/>
      <c r="AF244" s="135"/>
      <c r="AG244" s="135"/>
      <c r="AH244" s="135"/>
      <c r="AI244" s="135"/>
      <c r="AJ244" s="135"/>
      <c r="AK244" s="135"/>
      <c r="AL244" s="135"/>
      <c r="AM244" s="135"/>
      <c r="AN244" s="135"/>
      <c r="AO244" s="135"/>
      <c r="AP244" s="135"/>
      <c r="AQ244" s="135"/>
      <c r="AR244" s="135"/>
      <c r="AS244" s="135"/>
      <c r="AT244" s="135"/>
      <c r="AU244" s="135"/>
      <c r="AV244" s="135"/>
      <c r="AW244" s="135"/>
      <c r="AX244" s="135"/>
      <c r="AY244" s="135"/>
      <c r="AZ244" s="135"/>
      <c r="BA244" s="135"/>
      <c r="BB244" s="135"/>
      <c r="BC244" s="135"/>
      <c r="BD244" s="137"/>
      <c r="BE244" s="137"/>
      <c r="BF244" s="137"/>
      <c r="BG244" s="137"/>
      <c r="BH244" s="137"/>
      <c r="BI244" s="137"/>
      <c r="BJ244" s="137"/>
      <c r="BK244" s="137"/>
      <c r="BL244" s="137"/>
      <c r="BM244" s="137"/>
      <c r="BN244" s="137"/>
      <c r="BO244" s="137"/>
      <c r="BP244" s="136"/>
      <c r="BQ244" s="136"/>
      <c r="BR244" s="136"/>
      <c r="BS244" s="136"/>
      <c r="BT244" s="136"/>
      <c r="BU244" s="136"/>
      <c r="BV244" s="136"/>
      <c r="BW244" s="136"/>
      <c r="BX244" s="136"/>
      <c r="BY244" s="136"/>
      <c r="BZ244" s="136"/>
      <c r="CA244" s="136"/>
      <c r="CB244" s="136"/>
      <c r="CC244" s="136"/>
      <c r="CD244" s="136"/>
      <c r="CE244" s="136"/>
      <c r="CF244" s="136"/>
      <c r="CG244" s="136"/>
      <c r="CH244" s="136"/>
      <c r="CI244" s="136"/>
      <c r="CJ244" s="136"/>
      <c r="CK244" s="136"/>
      <c r="CL244" s="136"/>
      <c r="CM244" s="136"/>
      <c r="CN244" s="136"/>
      <c r="CO244" s="136"/>
      <c r="CP244" s="136"/>
      <c r="CQ244" s="136"/>
      <c r="CR244" s="136"/>
      <c r="CS244" s="136"/>
      <c r="CT244" s="136"/>
      <c r="CU244" s="136"/>
      <c r="CV244" s="136"/>
      <c r="CW244" s="136"/>
      <c r="CX244" s="136"/>
      <c r="CY244" s="136"/>
      <c r="CZ244" s="136"/>
      <c r="DA244" s="136"/>
      <c r="DB244" s="136"/>
      <c r="DC244" s="136"/>
    </row>
    <row r="245" spans="2:107" hidden="1" outlineLevel="2">
      <c r="B245" s="134" t="s">
        <v>1048</v>
      </c>
      <c r="C245" s="135"/>
      <c r="D245" s="135"/>
      <c r="E245" s="135"/>
      <c r="F245" s="135"/>
      <c r="G245" s="135"/>
      <c r="H245" s="135"/>
      <c r="I245" s="135"/>
      <c r="J245" s="135"/>
      <c r="K245" s="135"/>
      <c r="L245" s="135"/>
      <c r="M245" s="136"/>
      <c r="N245" s="136"/>
      <c r="O245" s="136"/>
      <c r="P245" s="136"/>
      <c r="Q245" s="136"/>
      <c r="R245" s="136"/>
      <c r="S245" s="136"/>
      <c r="T245" s="136"/>
      <c r="U245" s="136"/>
      <c r="V245" s="136"/>
      <c r="W245" s="136"/>
      <c r="X245" s="136"/>
      <c r="Y245" s="136"/>
      <c r="Z245" s="136"/>
      <c r="AA245" s="136"/>
      <c r="AB245" s="136"/>
      <c r="AC245" s="136"/>
      <c r="AD245" s="136"/>
      <c r="AE245" s="135"/>
      <c r="AF245" s="135"/>
      <c r="AG245" s="135"/>
      <c r="AH245" s="135"/>
      <c r="AI245" s="135"/>
      <c r="AJ245" s="135"/>
      <c r="AK245" s="135"/>
      <c r="AL245" s="135"/>
      <c r="AM245" s="135"/>
      <c r="AN245" s="135"/>
      <c r="AO245" s="135"/>
      <c r="AP245" s="135"/>
      <c r="AQ245" s="135"/>
      <c r="AR245" s="135"/>
      <c r="AS245" s="135"/>
      <c r="AT245" s="135"/>
      <c r="AU245" s="135"/>
      <c r="AV245" s="135"/>
      <c r="AW245" s="135"/>
      <c r="AX245" s="135"/>
      <c r="AY245" s="135"/>
      <c r="AZ245" s="135"/>
      <c r="BA245" s="135"/>
      <c r="BB245" s="135"/>
      <c r="BC245" s="135"/>
      <c r="BD245" s="137"/>
      <c r="BE245" s="137"/>
      <c r="BF245" s="137"/>
      <c r="BG245" s="137"/>
      <c r="BH245" s="137"/>
      <c r="BI245" s="137"/>
      <c r="BJ245" s="137"/>
      <c r="BK245" s="137"/>
      <c r="BL245" s="137"/>
      <c r="BM245" s="137"/>
      <c r="BN245" s="137"/>
      <c r="BO245" s="137"/>
      <c r="BP245" s="136"/>
      <c r="BQ245" s="136"/>
      <c r="BR245" s="136"/>
      <c r="BS245" s="136"/>
      <c r="BT245" s="136"/>
      <c r="BU245" s="136"/>
      <c r="BV245" s="136"/>
      <c r="BW245" s="136"/>
      <c r="BX245" s="136"/>
      <c r="BY245" s="136"/>
      <c r="BZ245" s="136"/>
      <c r="CA245" s="136"/>
      <c r="CB245" s="136"/>
      <c r="CC245" s="136"/>
      <c r="CD245" s="136"/>
      <c r="CE245" s="136"/>
      <c r="CF245" s="136"/>
      <c r="CG245" s="136"/>
      <c r="CH245" s="136"/>
      <c r="CI245" s="136"/>
      <c r="CJ245" s="136"/>
      <c r="CK245" s="136"/>
      <c r="CL245" s="136"/>
      <c r="CM245" s="136"/>
      <c r="CN245" s="136"/>
      <c r="CO245" s="136"/>
      <c r="CP245" s="136"/>
      <c r="CQ245" s="136"/>
      <c r="CR245" s="136"/>
      <c r="CS245" s="136"/>
      <c r="CT245" s="136"/>
      <c r="CU245" s="136"/>
      <c r="CV245" s="136"/>
      <c r="CW245" s="136"/>
      <c r="CX245" s="136"/>
      <c r="CY245" s="136"/>
      <c r="CZ245" s="136"/>
      <c r="DA245" s="136"/>
      <c r="DB245" s="136"/>
      <c r="DC245" s="136"/>
    </row>
    <row r="246" spans="2:107" hidden="1" outlineLevel="1">
      <c r="B246" s="198"/>
      <c r="C246" s="197"/>
      <c r="D246" s="31"/>
      <c r="E246" s="31"/>
      <c r="F246" s="31"/>
      <c r="G246" s="31"/>
      <c r="H246" s="31"/>
      <c r="I246" s="31"/>
      <c r="J246" s="31"/>
      <c r="K246" s="31"/>
      <c r="L246" s="31"/>
      <c r="M246" s="199"/>
      <c r="N246" s="199"/>
      <c r="O246" s="199"/>
      <c r="P246" s="199"/>
      <c r="Q246" s="199"/>
      <c r="R246" s="199"/>
      <c r="S246" s="199"/>
      <c r="T246" s="199"/>
      <c r="U246" s="199"/>
      <c r="V246" s="199"/>
      <c r="W246" s="199"/>
      <c r="X246" s="199"/>
      <c r="Y246" s="199"/>
      <c r="Z246" s="199"/>
      <c r="AA246" s="199"/>
      <c r="AB246" s="199"/>
      <c r="AC246" s="199"/>
      <c r="AD246" s="199"/>
      <c r="AE246" s="197"/>
      <c r="AF246" s="31"/>
      <c r="AG246" s="31"/>
      <c r="AH246" s="31"/>
      <c r="AI246" s="31"/>
      <c r="AJ246" s="31"/>
      <c r="AK246" s="31"/>
      <c r="AL246" s="31"/>
      <c r="AM246" s="31"/>
      <c r="AN246" s="31"/>
      <c r="AO246" s="31"/>
      <c r="AP246" s="31"/>
      <c r="AQ246" s="31"/>
      <c r="AR246" s="31"/>
      <c r="AS246" s="31"/>
      <c r="AT246" s="31"/>
      <c r="AU246" s="31"/>
      <c r="AV246" s="31"/>
      <c r="AW246" s="31"/>
      <c r="AX246" s="31"/>
      <c r="AY246" s="31"/>
      <c r="AZ246" s="31"/>
      <c r="BA246" s="31"/>
      <c r="BB246" s="31"/>
      <c r="BC246" s="31"/>
      <c r="BD246" s="32"/>
      <c r="BE246" s="32"/>
      <c r="BF246" s="32"/>
      <c r="BG246" s="32"/>
      <c r="BH246" s="32"/>
      <c r="BI246" s="32"/>
      <c r="BJ246" s="32"/>
      <c r="BK246" s="32"/>
      <c r="BL246" s="32"/>
      <c r="BM246" s="32"/>
      <c r="BN246" s="32"/>
      <c r="BO246" s="32"/>
      <c r="BP246" s="199"/>
      <c r="BQ246" s="199"/>
      <c r="BR246" s="199"/>
      <c r="BS246" s="199"/>
      <c r="BT246" s="199"/>
      <c r="BU246" s="199"/>
      <c r="BV246" s="199"/>
      <c r="BW246" s="806"/>
      <c r="BX246" s="199"/>
      <c r="BY246" s="199"/>
      <c r="BZ246" s="199"/>
      <c r="CA246" s="199"/>
      <c r="CB246" s="199"/>
      <c r="CC246" s="199"/>
      <c r="CD246" s="199"/>
      <c r="CE246" s="199"/>
      <c r="CF246" s="199"/>
      <c r="CG246" s="199"/>
      <c r="CH246" s="199"/>
      <c r="CI246" s="199"/>
      <c r="CJ246" s="199"/>
      <c r="CK246" s="199"/>
      <c r="CL246" s="199"/>
      <c r="CM246" s="199"/>
      <c r="CN246" s="199"/>
      <c r="CO246" s="199"/>
      <c r="CP246" s="199"/>
      <c r="CQ246" s="199"/>
      <c r="CR246" s="199"/>
      <c r="CS246" s="199"/>
      <c r="CT246" s="199"/>
      <c r="CU246" s="199"/>
      <c r="CV246" s="199"/>
      <c r="CW246" s="199"/>
      <c r="CX246" s="199"/>
      <c r="CY246" s="199"/>
      <c r="CZ246" s="199"/>
      <c r="DA246" s="199"/>
      <c r="DB246" s="199"/>
      <c r="DC246" s="199"/>
    </row>
    <row r="247" spans="2:107" collapsed="1">
      <c r="B247" s="114" t="s">
        <v>229</v>
      </c>
      <c r="C247" s="59"/>
      <c r="D247" s="60"/>
      <c r="E247" s="60"/>
      <c r="F247" s="60"/>
      <c r="G247" s="60"/>
      <c r="H247" s="60"/>
      <c r="I247" s="60"/>
      <c r="J247" s="60"/>
      <c r="K247" s="60"/>
      <c r="L247" s="59"/>
      <c r="M247" s="61"/>
      <c r="N247" s="62"/>
      <c r="O247" s="62"/>
      <c r="P247" s="1634"/>
      <c r="Q247" s="1634"/>
      <c r="R247" s="1634"/>
      <c r="S247" s="1634"/>
      <c r="T247" s="1634"/>
      <c r="U247" s="1634"/>
      <c r="V247" s="1634"/>
      <c r="W247" s="1634"/>
      <c r="X247" s="1634"/>
      <c r="Y247" s="1634"/>
      <c r="Z247" s="1634"/>
      <c r="AA247" s="1634"/>
      <c r="AB247" s="1634"/>
      <c r="AC247" s="1634"/>
      <c r="AD247" s="1634"/>
      <c r="AE247" s="59"/>
      <c r="AF247" s="59"/>
      <c r="AG247" s="59"/>
      <c r="AH247" s="59"/>
      <c r="AI247" s="59"/>
      <c r="AJ247" s="59"/>
      <c r="AK247" s="59"/>
      <c r="AL247" s="59"/>
      <c r="AM247" s="59"/>
      <c r="AN247" s="59"/>
      <c r="AO247" s="59"/>
      <c r="AP247" s="59"/>
      <c r="AQ247" s="59"/>
      <c r="AR247" s="59"/>
      <c r="AS247" s="59"/>
      <c r="AT247" s="59"/>
      <c r="AU247" s="59"/>
      <c r="AV247" s="59"/>
      <c r="AW247" s="59"/>
      <c r="AX247" s="59"/>
      <c r="AY247" s="59"/>
      <c r="AZ247" s="59"/>
      <c r="BA247" s="59"/>
      <c r="BB247" s="59"/>
      <c r="BC247" s="59"/>
      <c r="BD247" s="65"/>
      <c r="BE247" s="65"/>
      <c r="BF247" s="65"/>
      <c r="BG247" s="65"/>
      <c r="BH247" s="62"/>
      <c r="BI247" s="62"/>
      <c r="BJ247" s="62"/>
      <c r="BK247" s="62"/>
      <c r="BL247" s="62"/>
      <c r="BM247" s="62"/>
      <c r="BN247" s="62"/>
      <c r="BO247" s="62"/>
      <c r="BP247" s="62"/>
      <c r="BQ247" s="62"/>
      <c r="BR247" s="62"/>
      <c r="BS247" s="62"/>
      <c r="BT247" s="62"/>
      <c r="BU247" s="62"/>
      <c r="BV247" s="66"/>
      <c r="BW247" s="66"/>
      <c r="BX247" s="66"/>
      <c r="BY247" s="66"/>
      <c r="BZ247" s="66"/>
      <c r="CA247" s="66"/>
      <c r="CB247" s="66"/>
      <c r="CC247" s="66"/>
      <c r="CD247" s="66"/>
      <c r="CE247" s="66"/>
      <c r="CF247" s="66"/>
      <c r="CG247" s="66"/>
      <c r="CH247" s="66"/>
      <c r="CI247" s="66"/>
      <c r="CJ247" s="66"/>
      <c r="CK247" s="66"/>
      <c r="CL247" s="66"/>
      <c r="CM247" s="66"/>
      <c r="CN247" s="66"/>
      <c r="CO247" s="66"/>
      <c r="CP247" s="66"/>
      <c r="CQ247" s="66"/>
      <c r="CR247" s="66"/>
      <c r="CS247" s="66"/>
      <c r="CT247" s="66"/>
      <c r="CU247" s="66"/>
      <c r="CV247" s="66"/>
      <c r="CW247" s="66"/>
      <c r="CX247" s="66"/>
      <c r="CY247" s="66"/>
      <c r="CZ247" s="66"/>
      <c r="DA247" s="66"/>
      <c r="DB247" s="66"/>
      <c r="DC247" s="66"/>
    </row>
    <row r="248" spans="2:107">
      <c r="B248" s="141" t="s">
        <v>714</v>
      </c>
      <c r="C248" s="23"/>
      <c r="D248" s="15"/>
      <c r="E248" s="15"/>
      <c r="F248" s="15"/>
      <c r="G248" s="15"/>
      <c r="H248" s="15"/>
      <c r="I248" s="15"/>
      <c r="J248" s="15"/>
      <c r="K248" s="15"/>
      <c r="L248" s="23"/>
      <c r="M248" s="54"/>
      <c r="N248" s="27"/>
      <c r="O248" s="27">
        <f t="shared" ref="O248:W248" si="238">+AVERAGE(N249:O249)</f>
        <v>34800</v>
      </c>
      <c r="P248" s="109">
        <f t="shared" si="238"/>
        <v>36150</v>
      </c>
      <c r="Q248" s="109">
        <f t="shared" si="238"/>
        <v>39050</v>
      </c>
      <c r="R248" s="109">
        <f t="shared" si="238"/>
        <v>42000</v>
      </c>
      <c r="S248" s="109">
        <f t="shared" si="238"/>
        <v>44400</v>
      </c>
      <c r="T248" s="109">
        <f t="shared" si="238"/>
        <v>48000</v>
      </c>
      <c r="U248" s="109">
        <f t="shared" si="238"/>
        <v>52050</v>
      </c>
      <c r="V248" s="109">
        <f t="shared" si="238"/>
        <v>66200</v>
      </c>
      <c r="W248" s="109">
        <f t="shared" si="238"/>
        <v>81690.337499999994</v>
      </c>
      <c r="X248" s="109">
        <f>AVERAGE(W249:X249)</f>
        <v>88254.243749999994</v>
      </c>
      <c r="Y248" s="109">
        <f>AVERAGE(X249:Y249)</f>
        <v>94614.393749999988</v>
      </c>
      <c r="Z248" s="109">
        <f>AVERAGE(Y249:Z249)</f>
        <v>99700.368749999994</v>
      </c>
      <c r="AA248" s="109">
        <f t="shared" ref="AA248:AD248" si="239">AVERAGE(Z249:AA249)</f>
        <v>104611.03124999997</v>
      </c>
      <c r="AB248" s="109">
        <f t="shared" si="239"/>
        <v>109344.50624999998</v>
      </c>
      <c r="AC248" s="109">
        <f t="shared" si="239"/>
        <v>113898.91874999995</v>
      </c>
      <c r="AD248" s="109">
        <f t="shared" si="239"/>
        <v>118272.39374999996</v>
      </c>
      <c r="AE248" s="23"/>
      <c r="AF248" s="23"/>
      <c r="AG248" s="23"/>
      <c r="AH248" s="23"/>
      <c r="AI248" s="23"/>
      <c r="AJ248" s="23"/>
      <c r="AK248" s="23"/>
      <c r="AL248" s="23"/>
      <c r="AM248" s="23"/>
      <c r="AN248" s="23"/>
      <c r="AO248" s="23"/>
      <c r="AP248" s="23"/>
      <c r="AQ248" s="23"/>
      <c r="AR248" s="23"/>
      <c r="AS248" s="23"/>
      <c r="AT248" s="23"/>
      <c r="AU248" s="23"/>
      <c r="AV248" s="23"/>
      <c r="AW248" s="23"/>
      <c r="AX248" s="23"/>
      <c r="AY248" s="23"/>
      <c r="AZ248" s="23"/>
      <c r="BA248" s="23"/>
      <c r="BB248" s="23"/>
      <c r="BC248" s="23"/>
      <c r="BD248" s="36"/>
      <c r="BE248" s="36"/>
      <c r="BF248" s="36"/>
      <c r="BG248" s="36"/>
      <c r="BH248" s="46"/>
      <c r="BI248" s="46"/>
      <c r="BJ248" s="46"/>
      <c r="BK248" s="46"/>
      <c r="BL248" s="118"/>
      <c r="BM248" s="118"/>
      <c r="BN248" s="118"/>
      <c r="BO248" s="118"/>
      <c r="BP248" s="118"/>
      <c r="BQ248" s="118"/>
      <c r="BR248" s="118"/>
      <c r="BS248" s="118"/>
      <c r="BT248" s="118"/>
      <c r="BU248" s="109">
        <f t="shared" ref="BU248:CY248" si="240">AVERAGE(BT249:BU249)</f>
        <v>33300</v>
      </c>
      <c r="BV248" s="109">
        <f t="shared" si="240"/>
        <v>33600</v>
      </c>
      <c r="BW248" s="109">
        <f t="shared" si="240"/>
        <v>34350</v>
      </c>
      <c r="BX248" s="109">
        <f t="shared" si="240"/>
        <v>35800</v>
      </c>
      <c r="BY248" s="109">
        <f t="shared" si="240"/>
        <v>37050</v>
      </c>
      <c r="BZ248" s="109">
        <f t="shared" si="240"/>
        <v>37150</v>
      </c>
      <c r="CA248" s="109">
        <f t="shared" si="240"/>
        <v>37250</v>
      </c>
      <c r="CB248" s="109">
        <f t="shared" si="240"/>
        <v>37950</v>
      </c>
      <c r="CC248" s="109">
        <f t="shared" si="240"/>
        <v>38900</v>
      </c>
      <c r="CD248" s="109">
        <f t="shared" si="240"/>
        <v>39300</v>
      </c>
      <c r="CE248" s="109">
        <f t="shared" si="240"/>
        <v>39900</v>
      </c>
      <c r="CF248" s="109">
        <f t="shared" si="240"/>
        <v>41250</v>
      </c>
      <c r="CG248" s="109">
        <f t="shared" si="240"/>
        <v>41850</v>
      </c>
      <c r="CH248" s="109">
        <f t="shared" si="240"/>
        <v>42200</v>
      </c>
      <c r="CI248" s="109">
        <f t="shared" si="240"/>
        <v>43000</v>
      </c>
      <c r="CJ248" s="109">
        <f t="shared" si="240"/>
        <v>43250</v>
      </c>
      <c r="CK248" s="109">
        <f t="shared" si="240"/>
        <v>43150</v>
      </c>
      <c r="CL248" s="109">
        <f t="shared" si="240"/>
        <v>44050</v>
      </c>
      <c r="CM248" s="109">
        <f t="shared" si="240"/>
        <v>45150</v>
      </c>
      <c r="CN248" s="109">
        <f t="shared" si="240"/>
        <v>46000</v>
      </c>
      <c r="CO248" s="109">
        <f t="shared" si="240"/>
        <v>47150</v>
      </c>
      <c r="CP248" s="109">
        <f t="shared" si="240"/>
        <v>48450</v>
      </c>
      <c r="CQ248" s="109">
        <f t="shared" si="240"/>
        <v>49900</v>
      </c>
      <c r="CR248" s="109">
        <f t="shared" si="240"/>
        <v>50750</v>
      </c>
      <c r="CS248" s="109">
        <f t="shared" si="240"/>
        <v>51450</v>
      </c>
      <c r="CT248" s="109">
        <f t="shared" si="240"/>
        <v>52400</v>
      </c>
      <c r="CU248" s="109">
        <f t="shared" si="240"/>
        <v>53150</v>
      </c>
      <c r="CV248" s="109">
        <f t="shared" si="240"/>
        <v>53400</v>
      </c>
      <c r="CW248" s="109">
        <f t="shared" si="240"/>
        <v>53500</v>
      </c>
      <c r="CX248" s="109">
        <f t="shared" si="240"/>
        <v>54200</v>
      </c>
      <c r="CY248" s="109">
        <f t="shared" si="240"/>
        <v>66800</v>
      </c>
      <c r="CZ248" s="109">
        <f t="shared" ref="CZ248:DC248" si="241">AVERAGE(CY249:CZ249)</f>
        <v>79309.256250000006</v>
      </c>
      <c r="DA248" s="109">
        <f t="shared" si="241"/>
        <v>80445.15625</v>
      </c>
      <c r="DB248" s="109">
        <f t="shared" si="241"/>
        <v>81988.868749999994</v>
      </c>
      <c r="DC248" s="109">
        <f t="shared" si="241"/>
        <v>83643.306249999994</v>
      </c>
    </row>
    <row r="249" spans="2:107">
      <c r="B249" s="141" t="s">
        <v>705</v>
      </c>
      <c r="C249" s="23"/>
      <c r="D249" s="15"/>
      <c r="E249" s="15"/>
      <c r="F249" s="15"/>
      <c r="G249" s="15"/>
      <c r="H249" s="15"/>
      <c r="I249" s="15"/>
      <c r="J249" s="15"/>
      <c r="K249" s="15"/>
      <c r="L249" s="23"/>
      <c r="M249" s="27"/>
      <c r="N249" s="27"/>
      <c r="O249" s="27">
        <f>BW249</f>
        <v>34800</v>
      </c>
      <c r="P249" s="109">
        <f>CA249</f>
        <v>37500</v>
      </c>
      <c r="Q249" s="27">
        <f>CE249</f>
        <v>40600</v>
      </c>
      <c r="R249" s="27">
        <f>CI249</f>
        <v>43400</v>
      </c>
      <c r="S249" s="27">
        <f>CM249</f>
        <v>45400</v>
      </c>
      <c r="T249" s="27">
        <f>CQ249</f>
        <v>50600</v>
      </c>
      <c r="U249" s="27">
        <f>CU249</f>
        <v>53500</v>
      </c>
      <c r="V249" s="27">
        <f>CY249</f>
        <v>78900</v>
      </c>
      <c r="W249" s="27">
        <f>DC249</f>
        <v>84480.675000000003</v>
      </c>
      <c r="X249" s="27">
        <f>X252*X167</f>
        <v>92027.8125</v>
      </c>
      <c r="Y249" s="27">
        <f>Y252*Y167</f>
        <v>97200.974999999991</v>
      </c>
      <c r="Z249" s="27">
        <f>Z252*Z167</f>
        <v>102199.76249999998</v>
      </c>
      <c r="AA249" s="27">
        <f t="shared" ref="AA249:AD249" si="242">AA252*AA167</f>
        <v>107022.29999999997</v>
      </c>
      <c r="AB249" s="27">
        <f t="shared" si="242"/>
        <v>111666.71249999997</v>
      </c>
      <c r="AC249" s="27">
        <f t="shared" si="242"/>
        <v>116131.12499999996</v>
      </c>
      <c r="AD249" s="27">
        <f t="shared" si="242"/>
        <v>120413.66249999995</v>
      </c>
      <c r="AE249" s="23"/>
      <c r="AF249" s="23"/>
      <c r="AG249" s="23"/>
      <c r="AH249" s="23"/>
      <c r="AI249" s="23"/>
      <c r="AJ249" s="23"/>
      <c r="AK249" s="23"/>
      <c r="AL249" s="23"/>
      <c r="AM249" s="23"/>
      <c r="AN249" s="23"/>
      <c r="AO249" s="23"/>
      <c r="AP249" s="23"/>
      <c r="AQ249" s="23"/>
      <c r="AR249" s="23"/>
      <c r="AS249" s="23"/>
      <c r="AT249" s="23"/>
      <c r="AU249" s="23"/>
      <c r="AV249" s="23"/>
      <c r="AW249" s="23"/>
      <c r="AX249" s="23"/>
      <c r="AY249" s="23"/>
      <c r="AZ249" s="23"/>
      <c r="BA249" s="23"/>
      <c r="BB249" s="23"/>
      <c r="BC249" s="23"/>
      <c r="BD249" s="36"/>
      <c r="BE249" s="36"/>
      <c r="BF249" s="36"/>
      <c r="BG249" s="118"/>
      <c r="BH249" s="118"/>
      <c r="BI249" s="118"/>
      <c r="BJ249" s="118"/>
      <c r="BK249" s="118"/>
      <c r="BL249" s="118"/>
      <c r="BM249" s="118"/>
      <c r="BN249" s="118"/>
      <c r="BO249" s="118"/>
      <c r="BP249" s="118"/>
      <c r="BQ249" s="118"/>
      <c r="BR249" s="118"/>
      <c r="BS249" s="118"/>
      <c r="BT249" s="118"/>
      <c r="BU249" s="118">
        <v>33300</v>
      </c>
      <c r="BV249" s="118">
        <v>33900</v>
      </c>
      <c r="BW249" s="118">
        <v>34800</v>
      </c>
      <c r="BX249" s="118">
        <v>36800</v>
      </c>
      <c r="BY249" s="118">
        <v>37300</v>
      </c>
      <c r="BZ249" s="118">
        <v>37000</v>
      </c>
      <c r="CA249" s="118">
        <v>37500</v>
      </c>
      <c r="CB249" s="118">
        <v>38400</v>
      </c>
      <c r="CC249" s="118">
        <v>39400</v>
      </c>
      <c r="CD249" s="118">
        <v>39200</v>
      </c>
      <c r="CE249" s="118">
        <v>40600</v>
      </c>
      <c r="CF249" s="118">
        <v>41900</v>
      </c>
      <c r="CG249" s="118">
        <v>41800</v>
      </c>
      <c r="CH249" s="118">
        <v>42600</v>
      </c>
      <c r="CI249" s="118">
        <v>43400</v>
      </c>
      <c r="CJ249" s="118">
        <v>43100</v>
      </c>
      <c r="CK249" s="118">
        <v>43200</v>
      </c>
      <c r="CL249" s="118">
        <v>44900</v>
      </c>
      <c r="CM249" s="118">
        <v>45400</v>
      </c>
      <c r="CN249" s="118">
        <v>46600</v>
      </c>
      <c r="CO249" s="118">
        <v>47700</v>
      </c>
      <c r="CP249" s="118">
        <v>49200</v>
      </c>
      <c r="CQ249" s="118">
        <v>50600</v>
      </c>
      <c r="CR249" s="118">
        <v>50900</v>
      </c>
      <c r="CS249" s="118">
        <v>52000</v>
      </c>
      <c r="CT249" s="118">
        <v>52800</v>
      </c>
      <c r="CU249" s="118">
        <v>53500</v>
      </c>
      <c r="CV249" s="118">
        <v>53300</v>
      </c>
      <c r="CW249" s="118">
        <v>53700</v>
      </c>
      <c r="CX249" s="118">
        <v>54700</v>
      </c>
      <c r="CY249" s="118">
        <v>78900</v>
      </c>
      <c r="CZ249" s="27">
        <f t="shared" ref="CZ249:DC249" si="243">CZ252*CZ167</f>
        <v>79718.512499999997</v>
      </c>
      <c r="DA249" s="27">
        <f t="shared" si="243"/>
        <v>81171.799999999988</v>
      </c>
      <c r="DB249" s="27">
        <f t="shared" si="243"/>
        <v>82805.9375</v>
      </c>
      <c r="DC249" s="27">
        <f t="shared" si="243"/>
        <v>84480.675000000003</v>
      </c>
    </row>
    <row r="250" spans="2:107">
      <c r="B250" s="141" t="s">
        <v>707</v>
      </c>
      <c r="C250" s="23"/>
      <c r="D250" s="15"/>
      <c r="E250" s="15"/>
      <c r="F250" s="15"/>
      <c r="G250" s="15"/>
      <c r="H250" s="15"/>
      <c r="I250" s="15"/>
      <c r="J250" s="15"/>
      <c r="K250" s="15"/>
      <c r="L250" s="23"/>
      <c r="M250" s="27"/>
      <c r="N250" s="27"/>
      <c r="O250" s="109"/>
      <c r="P250" s="109">
        <f t="shared" ref="P250:Z250" si="244">P249-O249</f>
        <v>2700</v>
      </c>
      <c r="Q250" s="109">
        <f t="shared" si="244"/>
        <v>3100</v>
      </c>
      <c r="R250" s="109">
        <f t="shared" si="244"/>
        <v>2800</v>
      </c>
      <c r="S250" s="109">
        <f t="shared" si="244"/>
        <v>2000</v>
      </c>
      <c r="T250" s="109">
        <f t="shared" si="244"/>
        <v>5200</v>
      </c>
      <c r="U250" s="109">
        <f t="shared" si="244"/>
        <v>2900</v>
      </c>
      <c r="V250" s="109">
        <f t="shared" si="244"/>
        <v>25400</v>
      </c>
      <c r="W250" s="109">
        <f t="shared" si="244"/>
        <v>5580.6750000000029</v>
      </c>
      <c r="X250" s="109">
        <f t="shared" si="244"/>
        <v>7547.1374999999971</v>
      </c>
      <c r="Y250" s="109">
        <f t="shared" si="244"/>
        <v>5173.1624999999913</v>
      </c>
      <c r="Z250" s="109">
        <f t="shared" si="244"/>
        <v>4998.7874999999913</v>
      </c>
      <c r="AA250" s="109">
        <f t="shared" ref="AA250" si="245">AA249-Z249</f>
        <v>4822.5374999999913</v>
      </c>
      <c r="AB250" s="109">
        <f t="shared" ref="AB250" si="246">AB249-AA249</f>
        <v>4644.4124999999913</v>
      </c>
      <c r="AC250" s="109">
        <f t="shared" ref="AC250" si="247">AC249-AB249</f>
        <v>4464.4124999999913</v>
      </c>
      <c r="AD250" s="109">
        <f t="shared" ref="AD250" si="248">AD249-AC249</f>
        <v>4282.5374999999913</v>
      </c>
      <c r="AE250" s="23"/>
      <c r="AF250" s="23"/>
      <c r="AG250" s="23"/>
      <c r="AH250" s="23"/>
      <c r="AI250" s="23"/>
      <c r="AJ250" s="23"/>
      <c r="AK250" s="23"/>
      <c r="AL250" s="23"/>
      <c r="AM250" s="23"/>
      <c r="AN250" s="23"/>
      <c r="AO250" s="23"/>
      <c r="AP250" s="23"/>
      <c r="AQ250" s="23"/>
      <c r="AR250" s="23"/>
      <c r="AS250" s="23"/>
      <c r="AT250" s="23"/>
      <c r="AU250" s="23"/>
      <c r="AV250" s="23"/>
      <c r="AW250" s="23"/>
      <c r="AX250" s="23"/>
      <c r="AY250" s="23"/>
      <c r="AZ250" s="23"/>
      <c r="BA250" s="23"/>
      <c r="BB250" s="23"/>
      <c r="BC250" s="23"/>
      <c r="BD250" s="36"/>
      <c r="BE250" s="36"/>
      <c r="BF250" s="36"/>
      <c r="BG250" s="15"/>
      <c r="BH250" s="16"/>
      <c r="BI250" s="16"/>
      <c r="BJ250" s="16"/>
      <c r="BK250" s="16"/>
      <c r="BL250" s="16"/>
      <c r="BM250" s="16"/>
      <c r="BN250" s="16"/>
      <c r="BO250" s="16"/>
      <c r="BP250" s="16"/>
      <c r="BQ250" s="16"/>
      <c r="BR250" s="16"/>
      <c r="BS250" s="16"/>
      <c r="BT250" s="16"/>
      <c r="BU250" s="16">
        <f t="shared" ref="BU250:CY250" si="249">BU249-BT249</f>
        <v>33300</v>
      </c>
      <c r="BV250" s="109">
        <f t="shared" si="249"/>
        <v>600</v>
      </c>
      <c r="BW250" s="109">
        <f t="shared" si="249"/>
        <v>900</v>
      </c>
      <c r="BX250" s="109">
        <f t="shared" si="249"/>
        <v>2000</v>
      </c>
      <c r="BY250" s="109">
        <f t="shared" si="249"/>
        <v>500</v>
      </c>
      <c r="BZ250" s="109">
        <f t="shared" si="249"/>
        <v>-300</v>
      </c>
      <c r="CA250" s="109">
        <f t="shared" si="249"/>
        <v>500</v>
      </c>
      <c r="CB250" s="109">
        <f t="shared" si="249"/>
        <v>900</v>
      </c>
      <c r="CC250" s="109">
        <f t="shared" si="249"/>
        <v>1000</v>
      </c>
      <c r="CD250" s="109">
        <f t="shared" si="249"/>
        <v>-200</v>
      </c>
      <c r="CE250" s="109">
        <f t="shared" si="249"/>
        <v>1400</v>
      </c>
      <c r="CF250" s="109">
        <f t="shared" si="249"/>
        <v>1300</v>
      </c>
      <c r="CG250" s="109">
        <f t="shared" si="249"/>
        <v>-100</v>
      </c>
      <c r="CH250" s="109">
        <f t="shared" si="249"/>
        <v>800</v>
      </c>
      <c r="CI250" s="109">
        <f t="shared" si="249"/>
        <v>800</v>
      </c>
      <c r="CJ250" s="109">
        <f t="shared" si="249"/>
        <v>-300</v>
      </c>
      <c r="CK250" s="109">
        <f t="shared" si="249"/>
        <v>100</v>
      </c>
      <c r="CL250" s="109">
        <f t="shared" si="249"/>
        <v>1700</v>
      </c>
      <c r="CM250" s="109">
        <f t="shared" si="249"/>
        <v>500</v>
      </c>
      <c r="CN250" s="109">
        <f t="shared" si="249"/>
        <v>1200</v>
      </c>
      <c r="CO250" s="109">
        <f t="shared" si="249"/>
        <v>1100</v>
      </c>
      <c r="CP250" s="109">
        <f t="shared" si="249"/>
        <v>1500</v>
      </c>
      <c r="CQ250" s="109">
        <f t="shared" si="249"/>
        <v>1400</v>
      </c>
      <c r="CR250" s="109">
        <f t="shared" si="249"/>
        <v>300</v>
      </c>
      <c r="CS250" s="109">
        <f t="shared" si="249"/>
        <v>1100</v>
      </c>
      <c r="CT250" s="109">
        <f t="shared" si="249"/>
        <v>800</v>
      </c>
      <c r="CU250" s="109">
        <f t="shared" si="249"/>
        <v>700</v>
      </c>
      <c r="CV250" s="109">
        <f t="shared" si="249"/>
        <v>-200</v>
      </c>
      <c r="CW250" s="109">
        <f t="shared" si="249"/>
        <v>400</v>
      </c>
      <c r="CX250" s="109">
        <f t="shared" si="249"/>
        <v>1000</v>
      </c>
      <c r="CY250" s="109">
        <f t="shared" si="249"/>
        <v>24200</v>
      </c>
      <c r="CZ250" s="109">
        <f t="shared" ref="CZ250:DC250" si="250">CZ249-CY249</f>
        <v>818.51249999999709</v>
      </c>
      <c r="DA250" s="109">
        <f t="shared" si="250"/>
        <v>1453.2874999999913</v>
      </c>
      <c r="DB250" s="109">
        <f t="shared" si="250"/>
        <v>1634.1375000000116</v>
      </c>
      <c r="DC250" s="109">
        <f t="shared" si="250"/>
        <v>1674.7375000000029</v>
      </c>
    </row>
    <row r="251" spans="2:107">
      <c r="B251" s="141"/>
      <c r="C251" s="23"/>
      <c r="D251" s="15"/>
      <c r="E251" s="15"/>
      <c r="F251" s="15"/>
      <c r="G251" s="15"/>
      <c r="H251" s="15"/>
      <c r="I251" s="15"/>
      <c r="J251" s="15"/>
      <c r="K251" s="15"/>
      <c r="L251" s="23"/>
      <c r="M251" s="27"/>
      <c r="N251" s="27"/>
      <c r="O251" s="16"/>
      <c r="P251" s="16"/>
      <c r="Q251" s="16"/>
      <c r="R251" s="16"/>
      <c r="S251" s="16"/>
      <c r="T251" s="16"/>
      <c r="U251" s="16"/>
      <c r="V251" s="16"/>
      <c r="W251" s="16"/>
      <c r="X251" s="16"/>
      <c r="Y251" s="16"/>
      <c r="Z251" s="16"/>
      <c r="AA251" s="16"/>
      <c r="AB251" s="16"/>
      <c r="AC251" s="16"/>
      <c r="AD251" s="16"/>
      <c r="AE251" s="23"/>
      <c r="AF251" s="23"/>
      <c r="AG251" s="23"/>
      <c r="AH251" s="23"/>
      <c r="AI251" s="23"/>
      <c r="AJ251" s="23"/>
      <c r="AK251" s="23"/>
      <c r="AL251" s="23"/>
      <c r="AM251" s="23"/>
      <c r="AN251" s="23"/>
      <c r="AO251" s="23"/>
      <c r="AP251" s="23"/>
      <c r="AQ251" s="23"/>
      <c r="AR251" s="23"/>
      <c r="AS251" s="23"/>
      <c r="AT251" s="23"/>
      <c r="AU251" s="23"/>
      <c r="AV251" s="23"/>
      <c r="AW251" s="23"/>
      <c r="AX251" s="23"/>
      <c r="AY251" s="23"/>
      <c r="AZ251" s="23"/>
      <c r="BA251" s="23"/>
      <c r="BB251" s="23"/>
      <c r="BC251" s="23"/>
      <c r="BD251" s="36"/>
      <c r="BE251" s="36"/>
      <c r="BF251" s="36"/>
      <c r="BG251" s="36"/>
      <c r="BH251" s="46"/>
      <c r="BI251" s="46"/>
      <c r="BJ251" s="46"/>
      <c r="BK251" s="46"/>
      <c r="BL251" s="46"/>
      <c r="BM251" s="46"/>
      <c r="BN251" s="46"/>
      <c r="BO251" s="46"/>
      <c r="BP251" s="16"/>
      <c r="BQ251" s="16"/>
      <c r="BR251" s="16"/>
      <c r="BS251" s="16"/>
      <c r="BT251" s="16"/>
      <c r="BU251" s="16"/>
      <c r="BV251" s="16"/>
      <c r="BW251" s="16"/>
      <c r="BX251" s="16"/>
      <c r="BY251" s="16"/>
      <c r="BZ251" s="16"/>
      <c r="CA251" s="16"/>
      <c r="CB251" s="16"/>
      <c r="CC251" s="16"/>
      <c r="CD251" s="16"/>
      <c r="CE251" s="16"/>
      <c r="CF251" s="16"/>
      <c r="CG251" s="16"/>
      <c r="CH251" s="16"/>
      <c r="CI251" s="16"/>
      <c r="CJ251" s="16"/>
      <c r="CK251" s="16"/>
      <c r="CL251" s="16"/>
      <c r="CM251" s="16"/>
      <c r="CN251" s="16"/>
      <c r="CO251" s="16"/>
      <c r="CP251" s="16"/>
      <c r="CQ251" s="16"/>
      <c r="CR251" s="16"/>
      <c r="CS251" s="16"/>
      <c r="CT251" s="16"/>
      <c r="CU251" s="16"/>
      <c r="CV251" s="16"/>
      <c r="CW251" s="16"/>
      <c r="CX251" s="16"/>
      <c r="CY251" s="16"/>
      <c r="CZ251" s="16"/>
      <c r="DA251" s="16"/>
      <c r="DB251" s="16"/>
      <c r="DC251" s="16"/>
    </row>
    <row r="252" spans="2:107">
      <c r="B252" s="142" t="s">
        <v>706</v>
      </c>
      <c r="C252" s="23"/>
      <c r="D252" s="15"/>
      <c r="E252" s="15"/>
      <c r="F252" s="15"/>
      <c r="G252" s="15"/>
      <c r="H252" s="15"/>
      <c r="I252" s="15"/>
      <c r="J252" s="15"/>
      <c r="K252" s="15"/>
      <c r="L252" s="51"/>
      <c r="M252" s="24"/>
      <c r="N252" s="55"/>
      <c r="O252" s="55">
        <f>BW252</f>
        <v>0.78555304740406318</v>
      </c>
      <c r="P252" s="55">
        <f>CA252</f>
        <v>0.83148558758314861</v>
      </c>
      <c r="Q252" s="55">
        <f>CE252</f>
        <v>0.81362725450901807</v>
      </c>
      <c r="R252" s="55">
        <f t="shared" ref="R252:W252" si="251">R249/R167</f>
        <v>0.81578947368421051</v>
      </c>
      <c r="S252" s="55">
        <f t="shared" si="251"/>
        <v>0.78956521739130436</v>
      </c>
      <c r="T252" s="55">
        <f t="shared" si="251"/>
        <v>0.80830670926517567</v>
      </c>
      <c r="U252" s="55">
        <f t="shared" si="251"/>
        <v>0.82181259600614442</v>
      </c>
      <c r="V252" s="55">
        <f t="shared" si="251"/>
        <v>0.81931464174454827</v>
      </c>
      <c r="W252" s="55">
        <f t="shared" si="251"/>
        <v>0.79500000000000004</v>
      </c>
      <c r="X252" s="143">
        <f t="shared" ref="X252:AD252" si="252">CHOOSE(mode,X254,X255,X256)</f>
        <v>0.8125</v>
      </c>
      <c r="Y252" s="143">
        <f t="shared" si="252"/>
        <v>0.81499999999999995</v>
      </c>
      <c r="Z252" s="143">
        <f t="shared" si="252"/>
        <v>0.81749999999999989</v>
      </c>
      <c r="AA252" s="143">
        <f t="shared" si="252"/>
        <v>0.81999999999999984</v>
      </c>
      <c r="AB252" s="143">
        <f t="shared" si="252"/>
        <v>0.82249999999999979</v>
      </c>
      <c r="AC252" s="143">
        <f t="shared" si="252"/>
        <v>0.82499999999999973</v>
      </c>
      <c r="AD252" s="143">
        <f t="shared" si="252"/>
        <v>0.82749999999999968</v>
      </c>
      <c r="AE252" s="23"/>
      <c r="AF252" s="23"/>
      <c r="AG252" s="23"/>
      <c r="AH252" s="23"/>
      <c r="AI252" s="23"/>
      <c r="AJ252" s="23"/>
      <c r="AK252" s="23"/>
      <c r="AL252" s="23"/>
      <c r="AM252" s="23"/>
      <c r="AN252" s="23"/>
      <c r="AO252" s="23"/>
      <c r="AP252" s="23"/>
      <c r="AQ252" s="23"/>
      <c r="AR252" s="23"/>
      <c r="AS252" s="23"/>
      <c r="AT252" s="23"/>
      <c r="AU252" s="23"/>
      <c r="AV252" s="23"/>
      <c r="AW252" s="23"/>
      <c r="AX252" s="23"/>
      <c r="AY252" s="23"/>
      <c r="AZ252" s="23"/>
      <c r="BA252" s="23"/>
      <c r="BB252" s="23"/>
      <c r="BC252" s="23"/>
      <c r="BD252" s="23"/>
      <c r="BE252" s="51"/>
      <c r="BF252" s="51"/>
      <c r="BG252" s="55"/>
      <c r="BH252" s="55"/>
      <c r="BI252" s="55"/>
      <c r="BJ252" s="55"/>
      <c r="BK252" s="55"/>
      <c r="BL252" s="55"/>
      <c r="BM252" s="55"/>
      <c r="BN252" s="55"/>
      <c r="BO252" s="55"/>
      <c r="BP252" s="55"/>
      <c r="BQ252" s="55"/>
      <c r="BR252" s="55"/>
      <c r="BS252" s="55"/>
      <c r="BT252" s="55"/>
      <c r="BU252" s="55">
        <f t="shared" ref="BU252:CH252" si="253">BU249/BU167</f>
        <v>0.81021897810218979</v>
      </c>
      <c r="BV252" s="55">
        <f t="shared" si="253"/>
        <v>0.79205607476635509</v>
      </c>
      <c r="BW252" s="55">
        <f t="shared" si="253"/>
        <v>0.78555304740406318</v>
      </c>
      <c r="BX252" s="55">
        <f t="shared" si="253"/>
        <v>0.80174291938997821</v>
      </c>
      <c r="BY252" s="55">
        <f t="shared" si="253"/>
        <v>0.81263616557734208</v>
      </c>
      <c r="BZ252" s="55">
        <f t="shared" si="253"/>
        <v>0.84668192219679639</v>
      </c>
      <c r="CA252" s="55">
        <f t="shared" si="253"/>
        <v>0.83148558758314861</v>
      </c>
      <c r="CB252" s="55">
        <f t="shared" si="253"/>
        <v>0.83660130718954251</v>
      </c>
      <c r="CC252" s="55">
        <f t="shared" si="253"/>
        <v>0.84549356223175964</v>
      </c>
      <c r="CD252" s="55">
        <f t="shared" si="253"/>
        <v>0.7967479674796748</v>
      </c>
      <c r="CE252" s="55">
        <f t="shared" si="253"/>
        <v>0.81362725450901807</v>
      </c>
      <c r="CF252" s="55">
        <f t="shared" si="253"/>
        <v>0.80888030888030893</v>
      </c>
      <c r="CG252" s="55">
        <f t="shared" si="253"/>
        <v>0.80539499036608864</v>
      </c>
      <c r="CH252" s="55">
        <f t="shared" si="253"/>
        <v>0.80681818181818177</v>
      </c>
      <c r="CI252" s="55">
        <f t="shared" ref="CI252:CN252" si="254">CI249/CI167</f>
        <v>0.81578947368421051</v>
      </c>
      <c r="CJ252" s="55">
        <f t="shared" si="254"/>
        <v>0.76827094474153301</v>
      </c>
      <c r="CK252" s="55">
        <f t="shared" si="254"/>
        <v>0.76325088339222613</v>
      </c>
      <c r="CL252" s="55">
        <f t="shared" si="254"/>
        <v>0.78086956521739126</v>
      </c>
      <c r="CM252" s="55">
        <f t="shared" si="254"/>
        <v>0.78956521739130436</v>
      </c>
      <c r="CN252" s="55">
        <f t="shared" si="254"/>
        <v>0.78983050847457625</v>
      </c>
      <c r="CO252" s="55">
        <f t="shared" ref="CO252:CT252" si="255">CO249/CO167</f>
        <v>0.7976588628762542</v>
      </c>
      <c r="CP252" s="55">
        <f t="shared" si="255"/>
        <v>0.80655737704918029</v>
      </c>
      <c r="CQ252" s="55">
        <f t="shared" si="255"/>
        <v>0.80830670926517567</v>
      </c>
      <c r="CR252" s="55">
        <f t="shared" si="255"/>
        <v>0.805379746835443</v>
      </c>
      <c r="CS252" s="55">
        <f t="shared" si="255"/>
        <v>0.82018927444794953</v>
      </c>
      <c r="CT252" s="55">
        <f t="shared" si="255"/>
        <v>0.83280757097791802</v>
      </c>
      <c r="CU252" s="55">
        <f>CU249/CU167</f>
        <v>0.82181259600614442</v>
      </c>
      <c r="CV252" s="55">
        <f>CV249/CV167</f>
        <v>0.79910044977511241</v>
      </c>
      <c r="CW252" s="55">
        <f>CW249/CW167</f>
        <v>0.79791976225854389</v>
      </c>
      <c r="CX252" s="55">
        <f>CX249/CX167</f>
        <v>0.78591954022988508</v>
      </c>
      <c r="CY252" s="55">
        <f>CY249/CY167</f>
        <v>0.81931464174454827</v>
      </c>
      <c r="CZ252" s="143">
        <f>CHOOSE(mode,CZ254,CZ255,CZ256)</f>
        <v>0.8175</v>
      </c>
      <c r="DA252" s="143">
        <f>CHOOSE(mode,DA254,DA255,DA256)</f>
        <v>0.82</v>
      </c>
      <c r="DB252" s="143">
        <f>CHOOSE(mode,DB254,DB255,DB256)</f>
        <v>0.8125</v>
      </c>
      <c r="DC252" s="143">
        <f>CHOOSE(mode,DC254,DC255,DC256)</f>
        <v>0.79500000000000004</v>
      </c>
    </row>
    <row r="253" spans="2:107">
      <c r="B253" s="23"/>
      <c r="C253" s="23"/>
      <c r="D253" s="15"/>
      <c r="E253" s="15"/>
      <c r="F253" s="15"/>
      <c r="G253" s="15"/>
      <c r="H253" s="15"/>
      <c r="I253" s="15"/>
      <c r="J253" s="15"/>
      <c r="K253" s="15"/>
      <c r="L253" s="23"/>
      <c r="M253" s="24"/>
      <c r="N253" s="24"/>
      <c r="O253" s="24"/>
      <c r="P253" s="23"/>
      <c r="Q253" s="23"/>
      <c r="R253" s="23"/>
      <c r="S253" s="23"/>
      <c r="T253" s="23"/>
      <c r="U253" s="23"/>
      <c r="V253" s="23"/>
      <c r="W253" s="23"/>
      <c r="X253" s="23"/>
      <c r="Y253" s="23"/>
      <c r="Z253" s="23"/>
      <c r="AA253" s="23"/>
      <c r="AB253" s="23"/>
      <c r="AC253" s="23"/>
      <c r="AD253" s="23"/>
      <c r="AE253" s="23"/>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c r="BK253" s="15"/>
      <c r="BL253" s="23"/>
      <c r="BM253" s="23"/>
      <c r="BN253" s="23"/>
      <c r="BO253" s="23"/>
      <c r="BP253" s="24"/>
      <c r="BQ253" s="24"/>
      <c r="BR253" s="24"/>
      <c r="BS253" s="24"/>
      <c r="BT253" s="24"/>
      <c r="BU253" s="24"/>
      <c r="BV253" s="24"/>
      <c r="BW253" s="24"/>
      <c r="BX253" s="24"/>
      <c r="BY253" s="24"/>
      <c r="BZ253" s="24"/>
      <c r="CA253" s="24"/>
      <c r="CB253" s="24"/>
      <c r="CC253" s="24"/>
      <c r="CD253" s="24"/>
      <c r="CE253" s="24"/>
      <c r="CF253" s="24"/>
      <c r="CG253" s="24"/>
      <c r="CH253" s="24"/>
      <c r="CI253" s="24"/>
      <c r="CJ253" s="24"/>
      <c r="CK253" s="24"/>
      <c r="CL253" s="24"/>
      <c r="CM253" s="24"/>
      <c r="CN253" s="24"/>
      <c r="CO253" s="24"/>
      <c r="CP253" s="24"/>
      <c r="CQ253" s="24"/>
      <c r="CR253" s="24"/>
      <c r="CS253" s="24"/>
      <c r="CT253" s="24"/>
      <c r="CU253" s="24"/>
      <c r="CV253" s="24"/>
      <c r="CW253" s="24"/>
      <c r="CX253" s="24"/>
      <c r="CY253" s="24"/>
      <c r="CZ253" s="24"/>
      <c r="DA253" s="24"/>
      <c r="DB253" s="24"/>
      <c r="DC253" s="24"/>
    </row>
    <row r="254" spans="2:107">
      <c r="B254" s="134" t="s">
        <v>1046</v>
      </c>
      <c r="C254" s="135"/>
      <c r="D254" s="135"/>
      <c r="E254" s="135"/>
      <c r="F254" s="135"/>
      <c r="G254" s="135"/>
      <c r="H254" s="135"/>
      <c r="I254" s="135"/>
      <c r="J254" s="135"/>
      <c r="K254" s="135"/>
      <c r="L254" s="135"/>
      <c r="M254" s="136"/>
      <c r="N254" s="136"/>
      <c r="O254" s="136"/>
      <c r="P254" s="136"/>
      <c r="Q254" s="136"/>
      <c r="R254" s="136"/>
      <c r="S254" s="136"/>
      <c r="T254" s="136"/>
      <c r="U254" s="136"/>
      <c r="V254" s="136"/>
      <c r="W254" s="136"/>
      <c r="X254" s="136">
        <f>X255+0.05</f>
        <v>0.86250000000000004</v>
      </c>
      <c r="Y254" s="136">
        <f>Y255+0.05</f>
        <v>0.86499999999999999</v>
      </c>
      <c r="Z254" s="136">
        <f>Z255+0.05</f>
        <v>0.86749999999999994</v>
      </c>
      <c r="AA254" s="136">
        <f t="shared" ref="AA254:AD254" si="256">AA255+0.05</f>
        <v>0.86999999999999988</v>
      </c>
      <c r="AB254" s="136">
        <f t="shared" si="256"/>
        <v>0.87249999999999983</v>
      </c>
      <c r="AC254" s="136">
        <f t="shared" si="256"/>
        <v>0.87499999999999978</v>
      </c>
      <c r="AD254" s="136">
        <f t="shared" si="256"/>
        <v>0.87749999999999972</v>
      </c>
      <c r="AE254" s="135"/>
      <c r="AF254" s="135"/>
      <c r="AG254" s="135"/>
      <c r="AH254" s="135"/>
      <c r="AI254" s="135"/>
      <c r="AJ254" s="135"/>
      <c r="AK254" s="135"/>
      <c r="AL254" s="135"/>
      <c r="AM254" s="135"/>
      <c r="AN254" s="135"/>
      <c r="AO254" s="135"/>
      <c r="AP254" s="135"/>
      <c r="AQ254" s="135"/>
      <c r="AR254" s="135"/>
      <c r="AS254" s="135"/>
      <c r="AT254" s="135"/>
      <c r="AU254" s="135"/>
      <c r="AV254" s="135"/>
      <c r="AW254" s="135"/>
      <c r="AX254" s="135"/>
      <c r="AY254" s="135"/>
      <c r="AZ254" s="135"/>
      <c r="BA254" s="135"/>
      <c r="BB254" s="135"/>
      <c r="BC254" s="135"/>
      <c r="BD254" s="137"/>
      <c r="BE254" s="137"/>
      <c r="BF254" s="137"/>
      <c r="BG254" s="137"/>
      <c r="BH254" s="137"/>
      <c r="BI254" s="137"/>
      <c r="BJ254" s="137"/>
      <c r="BK254" s="137"/>
      <c r="BL254" s="137"/>
      <c r="BM254" s="137"/>
      <c r="BN254" s="137"/>
      <c r="BO254" s="137"/>
      <c r="BP254" s="136"/>
      <c r="BQ254" s="136"/>
      <c r="BR254" s="136"/>
      <c r="BS254" s="136"/>
      <c r="BT254" s="136"/>
      <c r="BU254" s="136"/>
      <c r="BV254" s="136"/>
      <c r="BW254" s="136"/>
      <c r="BX254" s="136"/>
      <c r="BY254" s="136"/>
      <c r="BZ254" s="136"/>
      <c r="CA254" s="136"/>
      <c r="CB254" s="136"/>
      <c r="CC254" s="136"/>
      <c r="CD254" s="136"/>
      <c r="CE254" s="136"/>
      <c r="CF254" s="136"/>
      <c r="CG254" s="136"/>
      <c r="CH254" s="136"/>
      <c r="CI254" s="136"/>
      <c r="CJ254" s="136"/>
      <c r="CK254" s="136"/>
      <c r="CL254" s="136"/>
      <c r="CM254" s="136"/>
      <c r="CN254" s="136"/>
      <c r="CO254" s="136"/>
      <c r="CP254" s="136"/>
      <c r="CQ254" s="136"/>
      <c r="CR254" s="136"/>
      <c r="CS254" s="136"/>
      <c r="CT254" s="136"/>
      <c r="CU254" s="136"/>
      <c r="CV254" s="136"/>
      <c r="CW254" s="136"/>
      <c r="CX254" s="136"/>
      <c r="CY254" s="136"/>
      <c r="CZ254" s="136">
        <f t="shared" ref="CZ254:DC254" si="257">CZ255+0.025</f>
        <v>0.84250000000000003</v>
      </c>
      <c r="DA254" s="136">
        <f t="shared" si="257"/>
        <v>0.84499999999999997</v>
      </c>
      <c r="DB254" s="136">
        <f t="shared" si="257"/>
        <v>0.83750000000000002</v>
      </c>
      <c r="DC254" s="136">
        <f t="shared" si="257"/>
        <v>0.82000000000000006</v>
      </c>
    </row>
    <row r="255" spans="2:107">
      <c r="B255" s="134" t="s">
        <v>1047</v>
      </c>
      <c r="C255" s="135"/>
      <c r="D255" s="135"/>
      <c r="E255" s="135"/>
      <c r="F255" s="135"/>
      <c r="G255" s="135"/>
      <c r="H255" s="135"/>
      <c r="I255" s="135"/>
      <c r="J255" s="135"/>
      <c r="K255" s="135"/>
      <c r="L255" s="135"/>
      <c r="M255" s="136"/>
      <c r="N255" s="136"/>
      <c r="O255" s="136"/>
      <c r="P255" s="136"/>
      <c r="Q255" s="136"/>
      <c r="R255" s="136"/>
      <c r="S255" s="136"/>
      <c r="T255" s="136"/>
      <c r="U255" s="136"/>
      <c r="V255" s="136"/>
      <c r="W255" s="136"/>
      <c r="X255" s="136">
        <v>0.8125</v>
      </c>
      <c r="Y255" s="136">
        <f>X255+0.25%</f>
        <v>0.81499999999999995</v>
      </c>
      <c r="Z255" s="136">
        <f>Y255+0.25%</f>
        <v>0.81749999999999989</v>
      </c>
      <c r="AA255" s="136">
        <f t="shared" ref="AA255:AD255" si="258">Z255+0.25%</f>
        <v>0.81999999999999984</v>
      </c>
      <c r="AB255" s="136">
        <f t="shared" si="258"/>
        <v>0.82249999999999979</v>
      </c>
      <c r="AC255" s="136">
        <f t="shared" si="258"/>
        <v>0.82499999999999973</v>
      </c>
      <c r="AD255" s="136">
        <f t="shared" si="258"/>
        <v>0.82749999999999968</v>
      </c>
      <c r="AE255" s="135"/>
      <c r="AF255" s="135"/>
      <c r="AG255" s="135"/>
      <c r="AH255" s="135"/>
      <c r="AI255" s="135"/>
      <c r="AJ255" s="135"/>
      <c r="AK255" s="135"/>
      <c r="AL255" s="135"/>
      <c r="AM255" s="135"/>
      <c r="AN255" s="135"/>
      <c r="AO255" s="135"/>
      <c r="AP255" s="135"/>
      <c r="AQ255" s="135"/>
      <c r="AR255" s="135"/>
      <c r="AS255" s="135"/>
      <c r="AT255" s="135"/>
      <c r="AU255" s="135"/>
      <c r="AV255" s="135"/>
      <c r="AW255" s="135"/>
      <c r="AX255" s="135"/>
      <c r="AY255" s="135"/>
      <c r="AZ255" s="135"/>
      <c r="BA255" s="135"/>
      <c r="BB255" s="135"/>
      <c r="BC255" s="135"/>
      <c r="BD255" s="137"/>
      <c r="BE255" s="137"/>
      <c r="BF255" s="137"/>
      <c r="BG255" s="137"/>
      <c r="BH255" s="137"/>
      <c r="BI255" s="137"/>
      <c r="BJ255" s="137"/>
      <c r="BK255" s="137"/>
      <c r="BL255" s="137"/>
      <c r="BM255" s="137"/>
      <c r="BN255" s="137"/>
      <c r="BO255" s="137"/>
      <c r="BP255" s="136"/>
      <c r="BQ255" s="136"/>
      <c r="BR255" s="136"/>
      <c r="BS255" s="136"/>
      <c r="BT255" s="136"/>
      <c r="BU255" s="136"/>
      <c r="BV255" s="136"/>
      <c r="BW255" s="136"/>
      <c r="BX255" s="136"/>
      <c r="BY255" s="136"/>
      <c r="BZ255" s="136"/>
      <c r="CA255" s="136"/>
      <c r="CB255" s="1614">
        <f t="shared" ref="CB255:CG255" si="259">+CB252</f>
        <v>0.83660130718954251</v>
      </c>
      <c r="CC255" s="1614">
        <f t="shared" si="259"/>
        <v>0.84549356223175964</v>
      </c>
      <c r="CD255" s="1614">
        <f t="shared" si="259"/>
        <v>0.7967479674796748</v>
      </c>
      <c r="CE255" s="1614">
        <f t="shared" si="259"/>
        <v>0.81362725450901807</v>
      </c>
      <c r="CF255" s="1614">
        <f t="shared" si="259"/>
        <v>0.80888030888030893</v>
      </c>
      <c r="CG255" s="1614">
        <f t="shared" si="259"/>
        <v>0.80539499036608864</v>
      </c>
      <c r="CH255" s="1614">
        <f t="shared" ref="CH255:CM255" si="260">+CH252</f>
        <v>0.80681818181818177</v>
      </c>
      <c r="CI255" s="1614">
        <f t="shared" si="260"/>
        <v>0.81578947368421051</v>
      </c>
      <c r="CJ255" s="1614">
        <f t="shared" si="260"/>
        <v>0.76827094474153301</v>
      </c>
      <c r="CK255" s="1614">
        <f t="shared" si="260"/>
        <v>0.76325088339222613</v>
      </c>
      <c r="CL255" s="1614">
        <f t="shared" si="260"/>
        <v>0.78086956521739126</v>
      </c>
      <c r="CM255" s="1614">
        <f t="shared" si="260"/>
        <v>0.78956521739130436</v>
      </c>
      <c r="CN255" s="1614">
        <f t="shared" ref="CN255:CS255" si="261">+CN252</f>
        <v>0.78983050847457625</v>
      </c>
      <c r="CO255" s="1614">
        <f t="shared" si="261"/>
        <v>0.7976588628762542</v>
      </c>
      <c r="CP255" s="1614">
        <f t="shared" si="261"/>
        <v>0.80655737704918029</v>
      </c>
      <c r="CQ255" s="1614">
        <f t="shared" si="261"/>
        <v>0.80830670926517567</v>
      </c>
      <c r="CR255" s="1614">
        <f t="shared" si="261"/>
        <v>0.805379746835443</v>
      </c>
      <c r="CS255" s="1614">
        <f t="shared" si="261"/>
        <v>0.82018927444794953</v>
      </c>
      <c r="CT255" s="1614">
        <f t="shared" ref="CT255:CY255" si="262">+CT252</f>
        <v>0.83280757097791802</v>
      </c>
      <c r="CU255" s="1614">
        <f t="shared" si="262"/>
        <v>0.82181259600614442</v>
      </c>
      <c r="CV255" s="1614">
        <f t="shared" si="262"/>
        <v>0.79910044977511241</v>
      </c>
      <c r="CW255" s="1614">
        <f t="shared" si="262"/>
        <v>0.79791976225854389</v>
      </c>
      <c r="CX255" s="1614">
        <f t="shared" si="262"/>
        <v>0.78591954022988508</v>
      </c>
      <c r="CY255" s="1614">
        <f t="shared" si="262"/>
        <v>0.81931464174454827</v>
      </c>
      <c r="CZ255" s="136">
        <v>0.8175</v>
      </c>
      <c r="DA255" s="136">
        <v>0.82</v>
      </c>
      <c r="DB255" s="136">
        <v>0.8125</v>
      </c>
      <c r="DC255" s="136">
        <v>0.79500000000000004</v>
      </c>
    </row>
    <row r="256" spans="2:107">
      <c r="B256" s="134" t="s">
        <v>1048</v>
      </c>
      <c r="C256" s="135"/>
      <c r="D256" s="135"/>
      <c r="E256" s="135"/>
      <c r="F256" s="135"/>
      <c r="G256" s="135"/>
      <c r="H256" s="135"/>
      <c r="I256" s="135"/>
      <c r="J256" s="135"/>
      <c r="K256" s="135"/>
      <c r="L256" s="135"/>
      <c r="M256" s="136"/>
      <c r="N256" s="136"/>
      <c r="O256" s="136"/>
      <c r="P256" s="136"/>
      <c r="Q256" s="136"/>
      <c r="R256" s="136"/>
      <c r="S256" s="136"/>
      <c r="T256" s="136"/>
      <c r="U256" s="136"/>
      <c r="V256" s="136"/>
      <c r="W256" s="136"/>
      <c r="X256" s="136">
        <f>X255-0.03</f>
        <v>0.78249999999999997</v>
      </c>
      <c r="Y256" s="136">
        <f>Y255-0.03</f>
        <v>0.78499999999999992</v>
      </c>
      <c r="Z256" s="136">
        <f>Z255-0.03</f>
        <v>0.78749999999999987</v>
      </c>
      <c r="AA256" s="136">
        <f t="shared" ref="AA256:AD256" si="263">AA255-0.03</f>
        <v>0.78999999999999981</v>
      </c>
      <c r="AB256" s="136">
        <f t="shared" si="263"/>
        <v>0.79249999999999976</v>
      </c>
      <c r="AC256" s="136">
        <f t="shared" si="263"/>
        <v>0.79499999999999971</v>
      </c>
      <c r="AD256" s="136">
        <f t="shared" si="263"/>
        <v>0.79749999999999965</v>
      </c>
      <c r="AE256" s="135"/>
      <c r="AF256" s="135"/>
      <c r="AG256" s="135"/>
      <c r="AH256" s="135"/>
      <c r="AI256" s="135"/>
      <c r="AJ256" s="135"/>
      <c r="AK256" s="135"/>
      <c r="AL256" s="135"/>
      <c r="AM256" s="135"/>
      <c r="AN256" s="135"/>
      <c r="AO256" s="135"/>
      <c r="AP256" s="135"/>
      <c r="AQ256" s="135"/>
      <c r="AR256" s="135"/>
      <c r="AS256" s="135"/>
      <c r="AT256" s="135"/>
      <c r="AU256" s="135"/>
      <c r="AV256" s="135"/>
      <c r="AW256" s="135"/>
      <c r="AX256" s="135"/>
      <c r="AY256" s="135"/>
      <c r="AZ256" s="135"/>
      <c r="BA256" s="135"/>
      <c r="BB256" s="135"/>
      <c r="BC256" s="135"/>
      <c r="BD256" s="137"/>
      <c r="BE256" s="137"/>
      <c r="BF256" s="137"/>
      <c r="BG256" s="137"/>
      <c r="BH256" s="137"/>
      <c r="BI256" s="137"/>
      <c r="BJ256" s="137"/>
      <c r="BK256" s="137"/>
      <c r="BL256" s="137"/>
      <c r="BM256" s="137"/>
      <c r="BN256" s="137"/>
      <c r="BO256" s="137"/>
      <c r="BP256" s="136"/>
      <c r="BQ256" s="136"/>
      <c r="BR256" s="136"/>
      <c r="BS256" s="136"/>
      <c r="BT256" s="136"/>
      <c r="BU256" s="136"/>
      <c r="BV256" s="136"/>
      <c r="BW256" s="136"/>
      <c r="BX256" s="136"/>
      <c r="BY256" s="136"/>
      <c r="BZ256" s="136"/>
      <c r="CA256" s="136"/>
      <c r="CB256" s="136"/>
      <c r="CC256" s="136"/>
      <c r="CD256" s="136"/>
      <c r="CE256" s="136"/>
      <c r="CF256" s="136"/>
      <c r="CG256" s="136"/>
      <c r="CH256" s="136"/>
      <c r="CI256" s="136"/>
      <c r="CJ256" s="136"/>
      <c r="CK256" s="136"/>
      <c r="CL256" s="136"/>
      <c r="CM256" s="136"/>
      <c r="CN256" s="136"/>
      <c r="CO256" s="136"/>
      <c r="CP256" s="136"/>
      <c r="CQ256" s="136"/>
      <c r="CR256" s="136"/>
      <c r="CS256" s="136"/>
      <c r="CT256" s="136"/>
      <c r="CU256" s="136"/>
      <c r="CV256" s="136"/>
      <c r="CW256" s="136"/>
      <c r="CX256" s="136"/>
      <c r="CY256" s="136"/>
      <c r="CZ256" s="136">
        <f t="shared" ref="CZ256:DC256" si="264">CZ255-0.03</f>
        <v>0.78749999999999998</v>
      </c>
      <c r="DA256" s="136">
        <f t="shared" si="264"/>
        <v>0.78999999999999992</v>
      </c>
      <c r="DB256" s="136">
        <f t="shared" si="264"/>
        <v>0.78249999999999997</v>
      </c>
      <c r="DC256" s="136">
        <f t="shared" si="264"/>
        <v>0.76500000000000001</v>
      </c>
    </row>
    <row r="257" spans="2:107">
      <c r="B257" s="198"/>
      <c r="C257" s="197"/>
      <c r="D257" s="31"/>
      <c r="E257" s="31"/>
      <c r="F257" s="31"/>
      <c r="G257" s="31"/>
      <c r="H257" s="31"/>
      <c r="I257" s="31"/>
      <c r="J257" s="31"/>
      <c r="K257" s="31"/>
      <c r="L257" s="31"/>
      <c r="M257" s="199"/>
      <c r="N257" s="199"/>
      <c r="O257" s="199"/>
      <c r="P257" s="199"/>
      <c r="Q257" s="199"/>
      <c r="R257" s="199"/>
      <c r="S257" s="199"/>
      <c r="T257" s="199"/>
      <c r="U257" s="199"/>
      <c r="V257" s="199"/>
      <c r="W257" s="199"/>
      <c r="X257" s="199"/>
      <c r="Y257" s="199"/>
      <c r="Z257" s="199"/>
      <c r="AA257" s="199"/>
      <c r="AB257" s="199"/>
      <c r="AC257" s="199"/>
      <c r="AD257" s="199"/>
      <c r="AE257" s="197"/>
      <c r="AF257" s="31"/>
      <c r="AG257" s="31"/>
      <c r="AH257" s="31"/>
      <c r="AI257" s="31"/>
      <c r="AJ257" s="31"/>
      <c r="AK257" s="31"/>
      <c r="AL257" s="31"/>
      <c r="AM257" s="31"/>
      <c r="AN257" s="31"/>
      <c r="AO257" s="31"/>
      <c r="AP257" s="31"/>
      <c r="AQ257" s="31"/>
      <c r="AR257" s="31"/>
      <c r="AS257" s="31"/>
      <c r="AT257" s="31"/>
      <c r="AU257" s="31"/>
      <c r="AV257" s="31"/>
      <c r="AW257" s="31"/>
      <c r="AX257" s="31"/>
      <c r="AY257" s="31"/>
      <c r="AZ257" s="31"/>
      <c r="BA257" s="31"/>
      <c r="BB257" s="31"/>
      <c r="BC257" s="31"/>
      <c r="BD257" s="32"/>
      <c r="BE257" s="32"/>
      <c r="BF257" s="32"/>
      <c r="BG257" s="32"/>
      <c r="BH257" s="32"/>
      <c r="BI257" s="32"/>
      <c r="BJ257" s="32"/>
      <c r="BK257" s="32"/>
      <c r="BL257" s="32"/>
      <c r="BM257" s="32"/>
      <c r="BN257" s="32"/>
      <c r="BO257" s="32"/>
      <c r="BP257" s="199"/>
      <c r="BQ257" s="199"/>
      <c r="BR257" s="199"/>
      <c r="BS257" s="199"/>
      <c r="BT257" s="199"/>
      <c r="BU257" s="199"/>
      <c r="BV257" s="199"/>
      <c r="BW257" s="806"/>
      <c r="BX257" s="199"/>
      <c r="BY257" s="199"/>
      <c r="BZ257" s="199"/>
      <c r="CA257" s="199"/>
      <c r="CB257" s="199"/>
      <c r="CC257" s="199"/>
      <c r="CD257" s="199"/>
      <c r="CE257" s="199"/>
      <c r="CF257" s="199"/>
      <c r="CG257" s="199"/>
      <c r="CH257" s="199"/>
      <c r="CI257" s="199"/>
      <c r="CJ257" s="199"/>
      <c r="CK257" s="199"/>
      <c r="CL257" s="199"/>
      <c r="CM257" s="199"/>
      <c r="CN257" s="199"/>
      <c r="CO257" s="199"/>
      <c r="CP257" s="199"/>
      <c r="CQ257" s="199"/>
      <c r="CR257" s="199"/>
      <c r="CS257" s="199"/>
      <c r="CT257" s="199"/>
      <c r="CU257" s="199"/>
      <c r="CV257" s="199"/>
      <c r="CW257" s="199"/>
      <c r="CX257" s="199"/>
      <c r="CY257" s="199"/>
      <c r="CZ257" s="199"/>
      <c r="DA257" s="199"/>
      <c r="DB257" s="199"/>
      <c r="DC257" s="199"/>
    </row>
    <row r="258" spans="2:107" ht="14.25" customHeight="1">
      <c r="B258" s="114" t="s">
        <v>708</v>
      </c>
      <c r="C258" s="59"/>
      <c r="D258" s="60"/>
      <c r="E258" s="60"/>
      <c r="F258" s="60"/>
      <c r="G258" s="60"/>
      <c r="H258" s="60"/>
      <c r="I258" s="60"/>
      <c r="J258" s="60"/>
      <c r="K258" s="60"/>
      <c r="L258" s="59"/>
      <c r="M258" s="61"/>
      <c r="N258" s="62"/>
      <c r="O258" s="62"/>
      <c r="P258" s="70"/>
      <c r="Q258" s="70"/>
      <c r="R258" s="70"/>
      <c r="S258" s="70"/>
      <c r="T258" s="70"/>
      <c r="U258" s="70"/>
      <c r="V258" s="70"/>
      <c r="W258" s="70"/>
      <c r="X258" s="63"/>
      <c r="Y258" s="63"/>
      <c r="Z258" s="63"/>
      <c r="AA258" s="63"/>
      <c r="AB258" s="63"/>
      <c r="AC258" s="63"/>
      <c r="AD258" s="63"/>
      <c r="AE258" s="59"/>
      <c r="AF258" s="59"/>
      <c r="AG258" s="59"/>
      <c r="AH258" s="59"/>
      <c r="AI258" s="59"/>
      <c r="AJ258" s="59"/>
      <c r="AK258" s="59"/>
      <c r="AL258" s="59"/>
      <c r="AM258" s="59"/>
      <c r="AN258" s="59"/>
      <c r="AO258" s="59"/>
      <c r="AP258" s="59"/>
      <c r="AQ258" s="59"/>
      <c r="AR258" s="59"/>
      <c r="AS258" s="59"/>
      <c r="AT258" s="59"/>
      <c r="AU258" s="59"/>
      <c r="AV258" s="59"/>
      <c r="AW258" s="59"/>
      <c r="AX258" s="59"/>
      <c r="AY258" s="59"/>
      <c r="AZ258" s="59"/>
      <c r="BA258" s="59"/>
      <c r="BB258" s="59"/>
      <c r="BC258" s="59"/>
      <c r="BD258" s="65"/>
      <c r="BE258" s="65"/>
      <c r="BF258" s="65"/>
      <c r="BG258" s="65"/>
      <c r="BH258" s="62"/>
      <c r="BI258" s="62"/>
      <c r="BJ258" s="62"/>
      <c r="BK258" s="62"/>
      <c r="BL258" s="62"/>
      <c r="BM258" s="62"/>
      <c r="BN258" s="62"/>
      <c r="BO258" s="62"/>
      <c r="BP258" s="62"/>
      <c r="BQ258" s="62"/>
      <c r="BR258" s="62"/>
      <c r="BS258" s="62"/>
      <c r="BT258" s="62"/>
      <c r="BU258" s="62"/>
      <c r="BV258" s="66"/>
      <c r="BW258" s="66"/>
      <c r="BX258" s="66"/>
      <c r="BY258" s="66"/>
      <c r="BZ258" s="66"/>
      <c r="CA258" s="66"/>
      <c r="CB258" s="66"/>
      <c r="CC258" s="66"/>
      <c r="CD258" s="66"/>
      <c r="CE258" s="66"/>
      <c r="CF258" s="66"/>
      <c r="CG258" s="66"/>
      <c r="CH258" s="66"/>
      <c r="CI258" s="66"/>
      <c r="CJ258" s="66"/>
      <c r="CK258" s="66"/>
      <c r="CL258" s="66"/>
      <c r="CM258" s="66"/>
      <c r="CN258" s="66"/>
      <c r="CO258" s="66"/>
      <c r="CP258" s="66"/>
      <c r="CQ258" s="66"/>
      <c r="CR258" s="66"/>
      <c r="CS258" s="66"/>
      <c r="CT258" s="66"/>
      <c r="CU258" s="66"/>
      <c r="CV258" s="66"/>
      <c r="CW258" s="66"/>
      <c r="CX258" s="66"/>
      <c r="CY258" s="66"/>
      <c r="CZ258" s="66"/>
      <c r="DA258" s="66"/>
      <c r="DB258" s="66"/>
      <c r="DC258" s="66"/>
    </row>
    <row r="259" spans="2:107" s="15" customFormat="1" ht="14.25" customHeight="1">
      <c r="B259" s="21"/>
      <c r="C259" s="23"/>
      <c r="L259" s="23"/>
      <c r="M259" s="54"/>
      <c r="N259" s="46"/>
      <c r="O259" s="46"/>
      <c r="P259" s="68"/>
      <c r="Q259" s="68"/>
      <c r="R259" s="68"/>
      <c r="S259" s="68"/>
      <c r="T259" s="68"/>
      <c r="U259" s="68"/>
      <c r="V259" s="68"/>
      <c r="W259" s="68"/>
      <c r="X259" s="805"/>
      <c r="Y259" s="805"/>
      <c r="Z259" s="805"/>
      <c r="AA259" s="805"/>
      <c r="AB259" s="805"/>
      <c r="AC259" s="805"/>
      <c r="AD259" s="805"/>
      <c r="AE259" s="23"/>
      <c r="AF259" s="23"/>
      <c r="AG259" s="23"/>
      <c r="AH259" s="23"/>
      <c r="AI259" s="23"/>
      <c r="AJ259" s="23"/>
      <c r="AK259" s="23"/>
      <c r="AL259" s="23"/>
      <c r="AM259" s="23"/>
      <c r="AN259" s="23"/>
      <c r="AO259" s="23"/>
      <c r="AP259" s="23"/>
      <c r="AQ259" s="23"/>
      <c r="AR259" s="23"/>
      <c r="AS259" s="23"/>
      <c r="AT259" s="23"/>
      <c r="AU259" s="23"/>
      <c r="AV259" s="23"/>
      <c r="AW259" s="23"/>
      <c r="AX259" s="23"/>
      <c r="AY259" s="23"/>
      <c r="AZ259" s="23"/>
      <c r="BA259" s="23"/>
      <c r="BB259" s="23"/>
      <c r="BC259" s="23"/>
      <c r="BD259" s="36"/>
      <c r="BE259" s="36"/>
      <c r="BF259" s="36"/>
      <c r="BG259" s="36"/>
      <c r="BH259" s="46"/>
      <c r="BI259" s="46"/>
      <c r="BJ259" s="46"/>
      <c r="BK259" s="46"/>
      <c r="BL259" s="46"/>
      <c r="BM259" s="46"/>
      <c r="BN259" s="46"/>
      <c r="BO259" s="46"/>
      <c r="BP259" s="46"/>
      <c r="BQ259" s="46"/>
      <c r="BR259" s="46"/>
      <c r="BS259" s="46"/>
      <c r="BT259" s="46"/>
      <c r="BU259" s="14"/>
      <c r="BV259" s="14"/>
      <c r="BW259" s="14"/>
      <c r="BX259" s="14"/>
      <c r="BY259" s="14"/>
      <c r="BZ259" s="14"/>
      <c r="CA259" s="55"/>
      <c r="CB259" s="55"/>
      <c r="CC259" s="55"/>
      <c r="CD259" s="55"/>
      <c r="CE259" s="55"/>
      <c r="CF259" s="55"/>
      <c r="CG259" s="55"/>
      <c r="CH259" s="55"/>
      <c r="CI259" s="55"/>
      <c r="CJ259" s="55"/>
      <c r="CK259" s="55"/>
      <c r="CL259" s="55"/>
      <c r="CM259" s="55"/>
      <c r="CN259" s="55"/>
      <c r="CO259" s="55"/>
      <c r="CP259" s="55"/>
      <c r="CQ259" s="55"/>
      <c r="CR259" s="55"/>
      <c r="CS259" s="55"/>
      <c r="CT259" s="55"/>
      <c r="CU259" s="55"/>
      <c r="CV259" s="55"/>
      <c r="CW259" s="55"/>
      <c r="CX259" s="55"/>
      <c r="CY259" s="55"/>
      <c r="CZ259" s="14"/>
      <c r="DA259" s="14"/>
      <c r="DB259" s="14"/>
      <c r="DC259" s="14"/>
    </row>
    <row r="260" spans="2:107" hidden="1" outlineLevel="1">
      <c r="B260" s="142" t="s">
        <v>706</v>
      </c>
      <c r="C260" s="23"/>
      <c r="D260" s="15"/>
      <c r="E260" s="15"/>
      <c r="F260" s="15"/>
      <c r="G260" s="15"/>
      <c r="H260" s="15"/>
      <c r="I260" s="15"/>
      <c r="J260" s="15"/>
      <c r="K260" s="15"/>
      <c r="L260" s="51"/>
      <c r="M260" s="24"/>
      <c r="N260" s="150">
        <f>AVERAGE(BP260:BS260)</f>
        <v>1916.25</v>
      </c>
      <c r="O260" s="150">
        <f>AVERAGE(BT260:BW260)</f>
        <v>2054</v>
      </c>
      <c r="P260" s="150">
        <f>AVERAGE(BX260:CA260)</f>
        <v>2057.75</v>
      </c>
      <c r="Q260" s="1154">
        <f t="shared" ref="Q260:W260" si="265">AVERAGE(CB260:CE260)</f>
        <v>2055</v>
      </c>
      <c r="R260" s="1154">
        <f t="shared" si="265"/>
        <v>2055</v>
      </c>
      <c r="S260" s="1154">
        <f t="shared" si="265"/>
        <v>2055</v>
      </c>
      <c r="T260" s="1154">
        <f t="shared" si="265"/>
        <v>2055</v>
      </c>
      <c r="U260" s="1154">
        <f t="shared" si="265"/>
        <v>2055</v>
      </c>
      <c r="V260" s="1154">
        <f t="shared" si="265"/>
        <v>2055</v>
      </c>
      <c r="W260" s="1154">
        <f t="shared" si="265"/>
        <v>2055</v>
      </c>
      <c r="X260" s="149">
        <f t="shared" ref="X260:AD260" si="266">CHOOSE(mode,X263,X264,X265)</f>
        <v>2000</v>
      </c>
      <c r="Y260" s="149">
        <f t="shared" si="266"/>
        <v>2000</v>
      </c>
      <c r="Z260" s="149">
        <f t="shared" si="266"/>
        <v>2000</v>
      </c>
      <c r="AA260" s="149">
        <f t="shared" si="266"/>
        <v>2000</v>
      </c>
      <c r="AB260" s="149">
        <f t="shared" si="266"/>
        <v>2000</v>
      </c>
      <c r="AC260" s="149">
        <f t="shared" si="266"/>
        <v>2000</v>
      </c>
      <c r="AD260" s="149">
        <f t="shared" si="266"/>
        <v>2000</v>
      </c>
      <c r="AE260" s="23"/>
      <c r="AF260" s="23"/>
      <c r="AG260" s="23"/>
      <c r="AH260" s="23"/>
      <c r="AI260" s="23"/>
      <c r="AJ260" s="23"/>
      <c r="AK260" s="23"/>
      <c r="AL260" s="23"/>
      <c r="AM260" s="23"/>
      <c r="AN260" s="23"/>
      <c r="AO260" s="23"/>
      <c r="AP260" s="23"/>
      <c r="AQ260" s="23"/>
      <c r="AR260" s="23"/>
      <c r="AS260" s="23"/>
      <c r="AT260" s="23"/>
      <c r="AU260" s="23"/>
      <c r="AV260" s="23"/>
      <c r="AW260" s="23"/>
      <c r="AX260" s="23"/>
      <c r="AY260" s="23"/>
      <c r="AZ260" s="23"/>
      <c r="BA260" s="23"/>
      <c r="BB260" s="23"/>
      <c r="BC260" s="23"/>
      <c r="BD260" s="144">
        <v>1414</v>
      </c>
      <c r="BE260" s="144">
        <v>1442</v>
      </c>
      <c r="BF260" s="144">
        <v>1475</v>
      </c>
      <c r="BG260" s="144">
        <v>1492</v>
      </c>
      <c r="BH260" s="144">
        <v>1498</v>
      </c>
      <c r="BI260" s="144">
        <v>1632</v>
      </c>
      <c r="BJ260" s="144">
        <v>1661</v>
      </c>
      <c r="BK260" s="144">
        <v>1681</v>
      </c>
      <c r="BL260" s="144">
        <v>1816</v>
      </c>
      <c r="BM260" s="144">
        <v>1746</v>
      </c>
      <c r="BN260" s="144">
        <v>1756</v>
      </c>
      <c r="BO260" s="144">
        <v>1816</v>
      </c>
      <c r="BP260" s="144">
        <v>1858</v>
      </c>
      <c r="BQ260" s="144">
        <v>1893</v>
      </c>
      <c r="BR260" s="144">
        <v>1910</v>
      </c>
      <c r="BS260" s="144">
        <v>2004</v>
      </c>
      <c r="BT260" s="144">
        <v>2026</v>
      </c>
      <c r="BU260" s="144">
        <v>2062</v>
      </c>
      <c r="BV260" s="144">
        <v>2069</v>
      </c>
      <c r="BW260" s="144">
        <v>2059</v>
      </c>
      <c r="BX260" s="144">
        <v>2066</v>
      </c>
      <c r="BY260" s="149">
        <f t="shared" ref="BY260:CE260" si="267">CHOOSE(mode,BY263,BY264,BY265)</f>
        <v>2055</v>
      </c>
      <c r="BZ260" s="149">
        <f t="shared" si="267"/>
        <v>2055</v>
      </c>
      <c r="CA260" s="149">
        <f t="shared" si="267"/>
        <v>2055</v>
      </c>
      <c r="CB260" s="149">
        <f t="shared" si="267"/>
        <v>2055</v>
      </c>
      <c r="CC260" s="149">
        <f t="shared" si="267"/>
        <v>2055</v>
      </c>
      <c r="CD260" s="149">
        <f t="shared" si="267"/>
        <v>2055</v>
      </c>
      <c r="CE260" s="149">
        <f t="shared" si="267"/>
        <v>2055</v>
      </c>
      <c r="CF260" s="149">
        <f t="shared" ref="CF260:CM260" si="268">CHOOSE(mode,CF263,CF264,CF265)</f>
        <v>2055</v>
      </c>
      <c r="CG260" s="149">
        <f t="shared" si="268"/>
        <v>2055</v>
      </c>
      <c r="CH260" s="149">
        <f t="shared" si="268"/>
        <v>2055</v>
      </c>
      <c r="CI260" s="149">
        <f t="shared" si="268"/>
        <v>2055</v>
      </c>
      <c r="CJ260" s="149">
        <f t="shared" si="268"/>
        <v>2055</v>
      </c>
      <c r="CK260" s="149">
        <f t="shared" si="268"/>
        <v>2055</v>
      </c>
      <c r="CL260" s="149">
        <f t="shared" si="268"/>
        <v>2055</v>
      </c>
      <c r="CM260" s="149">
        <f t="shared" si="268"/>
        <v>2055</v>
      </c>
      <c r="CN260" s="149">
        <f t="shared" ref="CN260:CU260" si="269">CHOOSE(mode,CN263,CN264,CN265)</f>
        <v>2055</v>
      </c>
      <c r="CO260" s="149">
        <f t="shared" si="269"/>
        <v>2055</v>
      </c>
      <c r="CP260" s="149">
        <f t="shared" si="269"/>
        <v>2055</v>
      </c>
      <c r="CQ260" s="149">
        <f t="shared" si="269"/>
        <v>2055</v>
      </c>
      <c r="CR260" s="149">
        <f t="shared" si="269"/>
        <v>2055</v>
      </c>
      <c r="CS260" s="149">
        <f t="shared" si="269"/>
        <v>2055</v>
      </c>
      <c r="CT260" s="149">
        <f t="shared" si="269"/>
        <v>2055</v>
      </c>
      <c r="CU260" s="149">
        <f t="shared" si="269"/>
        <v>2055</v>
      </c>
      <c r="CV260" s="149">
        <f>CHOOSE(mode,CV263,CV264,CV265)</f>
        <v>2055</v>
      </c>
      <c r="CW260" s="149">
        <f>CHOOSE(mode,CW263,CW264,CW265)</f>
        <v>2055</v>
      </c>
      <c r="CX260" s="149">
        <f>CHOOSE(mode,CX263,CX264,CX265)</f>
        <v>2055</v>
      </c>
      <c r="CY260" s="149">
        <f>CHOOSE(mode,CY263,CY264,CY265)</f>
        <v>2055</v>
      </c>
      <c r="CZ260" s="149">
        <f t="shared" ref="CZ260:DC260" si="270">CHOOSE(mode,CZ263,CZ264,CZ265)</f>
        <v>2030</v>
      </c>
      <c r="DA260" s="149">
        <f t="shared" si="270"/>
        <v>2030</v>
      </c>
      <c r="DB260" s="149">
        <f t="shared" si="270"/>
        <v>2030</v>
      </c>
      <c r="DC260" s="149">
        <f t="shared" si="270"/>
        <v>2030</v>
      </c>
    </row>
    <row r="261" spans="2:107" hidden="1" outlineLevel="1">
      <c r="B261" s="18" t="s">
        <v>709</v>
      </c>
      <c r="C261" s="23"/>
      <c r="D261" s="15"/>
      <c r="E261" s="15"/>
      <c r="F261" s="15"/>
      <c r="G261" s="15"/>
      <c r="H261" s="15"/>
      <c r="I261" s="15"/>
      <c r="J261" s="15"/>
      <c r="K261" s="15"/>
      <c r="L261" s="51"/>
      <c r="M261" s="24"/>
      <c r="N261" s="55"/>
      <c r="O261" s="56">
        <f t="shared" ref="O261:Z261" si="271">O260/N260-1</f>
        <v>7.1885192433137624E-2</v>
      </c>
      <c r="P261" s="56">
        <f t="shared" si="271"/>
        <v>1.8257059396300512E-3</v>
      </c>
      <c r="Q261" s="56">
        <f t="shared" si="271"/>
        <v>-1.3364111286598979E-3</v>
      </c>
      <c r="R261" s="56">
        <f t="shared" si="271"/>
        <v>0</v>
      </c>
      <c r="S261" s="56">
        <f t="shared" si="271"/>
        <v>0</v>
      </c>
      <c r="T261" s="56">
        <f t="shared" si="271"/>
        <v>0</v>
      </c>
      <c r="U261" s="56">
        <f t="shared" si="271"/>
        <v>0</v>
      </c>
      <c r="V261" s="56">
        <f t="shared" si="271"/>
        <v>0</v>
      </c>
      <c r="W261" s="56">
        <f t="shared" si="271"/>
        <v>0</v>
      </c>
      <c r="X261" s="56">
        <f t="shared" si="271"/>
        <v>-2.676399026763987E-2</v>
      </c>
      <c r="Y261" s="56">
        <f t="shared" si="271"/>
        <v>0</v>
      </c>
      <c r="Z261" s="56">
        <f t="shared" si="271"/>
        <v>0</v>
      </c>
      <c r="AA261" s="56">
        <f t="shared" ref="AA261" si="272">AA260/Z260-1</f>
        <v>0</v>
      </c>
      <c r="AB261" s="56">
        <f t="shared" ref="AB261" si="273">AB260/AA260-1</f>
        <v>0</v>
      </c>
      <c r="AC261" s="56">
        <f t="shared" ref="AC261" si="274">AC260/AB260-1</f>
        <v>0</v>
      </c>
      <c r="AD261" s="56">
        <f t="shared" ref="AD261" si="275">AD260/AC260-1</f>
        <v>0</v>
      </c>
      <c r="AE261" s="23"/>
      <c r="AF261" s="23"/>
      <c r="AG261" s="23"/>
      <c r="AH261" s="23"/>
      <c r="AI261" s="23"/>
      <c r="AJ261" s="23"/>
      <c r="AK261" s="23"/>
      <c r="AL261" s="23"/>
      <c r="AM261" s="23"/>
      <c r="AN261" s="23"/>
      <c r="AO261" s="23"/>
      <c r="AP261" s="23"/>
      <c r="AQ261" s="23"/>
      <c r="AR261" s="23"/>
      <c r="AS261" s="23"/>
      <c r="AT261" s="23"/>
      <c r="AU261" s="23"/>
      <c r="AV261" s="23"/>
      <c r="AW261" s="23"/>
      <c r="AX261" s="23"/>
      <c r="AY261" s="23"/>
      <c r="AZ261" s="23"/>
      <c r="BA261" s="23"/>
      <c r="BB261" s="23"/>
      <c r="BC261" s="23"/>
      <c r="BD261" s="23"/>
      <c r="BE261" s="51"/>
      <c r="BF261" s="51"/>
      <c r="BG261" s="56"/>
      <c r="BH261" s="56">
        <f t="shared" ref="BH261:CY261" si="276">BH260/BD260-1</f>
        <v>5.9405940594059459E-2</v>
      </c>
      <c r="BI261" s="56">
        <f t="shared" si="276"/>
        <v>0.13176144244105403</v>
      </c>
      <c r="BJ261" s="56">
        <f t="shared" si="276"/>
        <v>0.12610169491525425</v>
      </c>
      <c r="BK261" s="56">
        <f t="shared" si="276"/>
        <v>0.12667560321715809</v>
      </c>
      <c r="BL261" s="56">
        <f t="shared" si="276"/>
        <v>0.2122830440587451</v>
      </c>
      <c r="BM261" s="56">
        <f t="shared" si="276"/>
        <v>6.9852941176470562E-2</v>
      </c>
      <c r="BN261" s="56">
        <f t="shared" si="276"/>
        <v>5.7194461167971111E-2</v>
      </c>
      <c r="BO261" s="56">
        <f t="shared" si="276"/>
        <v>8.0309339678762637E-2</v>
      </c>
      <c r="BP261" s="56">
        <f t="shared" si="276"/>
        <v>2.312775330396466E-2</v>
      </c>
      <c r="BQ261" s="56">
        <f t="shared" si="276"/>
        <v>8.4192439862542878E-2</v>
      </c>
      <c r="BR261" s="56">
        <f t="shared" si="276"/>
        <v>8.7699316628701673E-2</v>
      </c>
      <c r="BS261" s="56">
        <f t="shared" si="276"/>
        <v>0.1035242290748899</v>
      </c>
      <c r="BT261" s="56">
        <f t="shared" si="276"/>
        <v>9.0419806243272394E-2</v>
      </c>
      <c r="BU261" s="56">
        <f t="shared" si="276"/>
        <v>8.9276281035393534E-2</v>
      </c>
      <c r="BV261" s="56">
        <f t="shared" si="276"/>
        <v>8.3246073298429257E-2</v>
      </c>
      <c r="BW261" s="56">
        <f t="shared" si="276"/>
        <v>2.7445109780439125E-2</v>
      </c>
      <c r="BX261" s="56">
        <f t="shared" si="276"/>
        <v>1.9743336623889496E-2</v>
      </c>
      <c r="BY261" s="56">
        <f t="shared" si="276"/>
        <v>-3.3947623666343851E-3</v>
      </c>
      <c r="BZ261" s="56">
        <f t="shared" si="276"/>
        <v>-6.766553890768523E-3</v>
      </c>
      <c r="CA261" s="56">
        <f t="shared" si="276"/>
        <v>-1.9426906265177513E-3</v>
      </c>
      <c r="CB261" s="56">
        <f t="shared" si="276"/>
        <v>-5.3242981606970163E-3</v>
      </c>
      <c r="CC261" s="56">
        <f t="shared" si="276"/>
        <v>0</v>
      </c>
      <c r="CD261" s="56">
        <f t="shared" si="276"/>
        <v>0</v>
      </c>
      <c r="CE261" s="56">
        <f t="shared" si="276"/>
        <v>0</v>
      </c>
      <c r="CF261" s="56">
        <f t="shared" si="276"/>
        <v>0</v>
      </c>
      <c r="CG261" s="56">
        <f t="shared" si="276"/>
        <v>0</v>
      </c>
      <c r="CH261" s="56">
        <f t="shared" si="276"/>
        <v>0</v>
      </c>
      <c r="CI261" s="56">
        <f t="shared" si="276"/>
        <v>0</v>
      </c>
      <c r="CJ261" s="56">
        <f t="shared" si="276"/>
        <v>0</v>
      </c>
      <c r="CK261" s="56">
        <f t="shared" si="276"/>
        <v>0</v>
      </c>
      <c r="CL261" s="56">
        <f t="shared" si="276"/>
        <v>0</v>
      </c>
      <c r="CM261" s="56">
        <f t="shared" si="276"/>
        <v>0</v>
      </c>
      <c r="CN261" s="56">
        <f t="shared" si="276"/>
        <v>0</v>
      </c>
      <c r="CO261" s="56">
        <f t="shared" si="276"/>
        <v>0</v>
      </c>
      <c r="CP261" s="56">
        <f t="shared" si="276"/>
        <v>0</v>
      </c>
      <c r="CQ261" s="56">
        <f t="shared" si="276"/>
        <v>0</v>
      </c>
      <c r="CR261" s="56">
        <f t="shared" si="276"/>
        <v>0</v>
      </c>
      <c r="CS261" s="56">
        <f t="shared" si="276"/>
        <v>0</v>
      </c>
      <c r="CT261" s="56">
        <f t="shared" si="276"/>
        <v>0</v>
      </c>
      <c r="CU261" s="56">
        <f t="shared" si="276"/>
        <v>0</v>
      </c>
      <c r="CV261" s="56">
        <f t="shared" si="276"/>
        <v>0</v>
      </c>
      <c r="CW261" s="56">
        <f t="shared" si="276"/>
        <v>0</v>
      </c>
      <c r="CX261" s="56">
        <f t="shared" si="276"/>
        <v>0</v>
      </c>
      <c r="CY261" s="56">
        <f t="shared" si="276"/>
        <v>0</v>
      </c>
      <c r="CZ261" s="56">
        <f t="shared" ref="CZ261:DC261" si="277">CZ260/CV260-1</f>
        <v>-1.2165450121654486E-2</v>
      </c>
      <c r="DA261" s="56">
        <f t="shared" si="277"/>
        <v>-1.2165450121654486E-2</v>
      </c>
      <c r="DB261" s="56">
        <f t="shared" si="277"/>
        <v>-1.2165450121654486E-2</v>
      </c>
      <c r="DC261" s="56">
        <f t="shared" si="277"/>
        <v>-1.2165450121654486E-2</v>
      </c>
    </row>
    <row r="262" spans="2:107" hidden="1" outlineLevel="1">
      <c r="B262" s="18" t="s">
        <v>710</v>
      </c>
      <c r="C262" s="23"/>
      <c r="D262" s="15"/>
      <c r="E262" s="15"/>
      <c r="F262" s="15"/>
      <c r="G262" s="15"/>
      <c r="H262" s="15"/>
      <c r="I262" s="15"/>
      <c r="J262" s="15"/>
      <c r="K262" s="15"/>
      <c r="L262" s="51"/>
      <c r="M262" s="24"/>
      <c r="N262" s="55"/>
      <c r="O262" s="55"/>
      <c r="P262" s="55"/>
      <c r="Q262" s="55"/>
      <c r="R262" s="55"/>
      <c r="S262" s="55"/>
      <c r="T262" s="55"/>
      <c r="U262" s="55"/>
      <c r="V262" s="55"/>
      <c r="W262" s="55"/>
      <c r="X262" s="55"/>
      <c r="Y262" s="55"/>
      <c r="Z262" s="55"/>
      <c r="AA262" s="55"/>
      <c r="AB262" s="55"/>
      <c r="AC262" s="55"/>
      <c r="AD262" s="55"/>
      <c r="AE262" s="23"/>
      <c r="AF262" s="23"/>
      <c r="AG262" s="23"/>
      <c r="AH262" s="23"/>
      <c r="AI262" s="23"/>
      <c r="AJ262" s="23"/>
      <c r="AK262" s="23"/>
      <c r="AL262" s="23"/>
      <c r="AM262" s="23"/>
      <c r="AN262" s="23"/>
      <c r="AO262" s="23"/>
      <c r="AP262" s="23"/>
      <c r="AQ262" s="23"/>
      <c r="AR262" s="23"/>
      <c r="AS262" s="23"/>
      <c r="AT262" s="23"/>
      <c r="AU262" s="23"/>
      <c r="AV262" s="23"/>
      <c r="AW262" s="23"/>
      <c r="AX262" s="23"/>
      <c r="AY262" s="23"/>
      <c r="AZ262" s="23"/>
      <c r="BA262" s="23"/>
      <c r="BB262" s="23"/>
      <c r="BC262" s="23"/>
      <c r="BD262" s="23"/>
      <c r="BE262" s="56">
        <f t="shared" ref="BE262:CY262" si="278">BE260/BD260-1</f>
        <v>1.980198019801982E-2</v>
      </c>
      <c r="BF262" s="56">
        <f t="shared" si="278"/>
        <v>2.2884882108183069E-2</v>
      </c>
      <c r="BG262" s="56">
        <f t="shared" si="278"/>
        <v>1.15254237288136E-2</v>
      </c>
      <c r="BH262" s="56">
        <f t="shared" si="278"/>
        <v>4.0214477211795163E-3</v>
      </c>
      <c r="BI262" s="56">
        <f t="shared" si="278"/>
        <v>8.9452603471295022E-2</v>
      </c>
      <c r="BJ262" s="56">
        <f t="shared" si="278"/>
        <v>1.7769607843137303E-2</v>
      </c>
      <c r="BK262" s="56">
        <f t="shared" si="278"/>
        <v>1.2040939193256994E-2</v>
      </c>
      <c r="BL262" s="56">
        <f t="shared" si="278"/>
        <v>8.0309339678762637E-2</v>
      </c>
      <c r="BM262" s="56">
        <f t="shared" si="278"/>
        <v>-3.8546255506607952E-2</v>
      </c>
      <c r="BN262" s="56">
        <f t="shared" si="278"/>
        <v>5.7273768613974596E-3</v>
      </c>
      <c r="BO262" s="56">
        <f t="shared" si="278"/>
        <v>3.4168564920273425E-2</v>
      </c>
      <c r="BP262" s="56">
        <f t="shared" si="278"/>
        <v>2.312775330396466E-2</v>
      </c>
      <c r="BQ262" s="56">
        <f t="shared" si="278"/>
        <v>1.8837459634015064E-2</v>
      </c>
      <c r="BR262" s="56">
        <f t="shared" si="278"/>
        <v>8.9804543053353392E-3</v>
      </c>
      <c r="BS262" s="56">
        <f t="shared" si="278"/>
        <v>4.9214659685863804E-2</v>
      </c>
      <c r="BT262" s="56">
        <f t="shared" si="278"/>
        <v>1.0978043912175606E-2</v>
      </c>
      <c r="BU262" s="56">
        <f t="shared" si="278"/>
        <v>1.7769002961500524E-2</v>
      </c>
      <c r="BV262" s="56">
        <f t="shared" si="278"/>
        <v>3.3947623666343851E-3</v>
      </c>
      <c r="BW262" s="56">
        <f t="shared" si="278"/>
        <v>-4.8332527791203894E-3</v>
      </c>
      <c r="BX262" s="56">
        <f t="shared" si="278"/>
        <v>3.3997085964059259E-3</v>
      </c>
      <c r="BY262" s="56">
        <f t="shared" si="278"/>
        <v>-5.3242981606970163E-3</v>
      </c>
      <c r="BZ262" s="56">
        <f t="shared" si="278"/>
        <v>0</v>
      </c>
      <c r="CA262" s="56">
        <f t="shared" si="278"/>
        <v>0</v>
      </c>
      <c r="CB262" s="56">
        <f t="shared" si="278"/>
        <v>0</v>
      </c>
      <c r="CC262" s="56">
        <f t="shared" si="278"/>
        <v>0</v>
      </c>
      <c r="CD262" s="56">
        <f t="shared" si="278"/>
        <v>0</v>
      </c>
      <c r="CE262" s="56">
        <f t="shared" si="278"/>
        <v>0</v>
      </c>
      <c r="CF262" s="56">
        <f t="shared" si="278"/>
        <v>0</v>
      </c>
      <c r="CG262" s="56">
        <f t="shared" si="278"/>
        <v>0</v>
      </c>
      <c r="CH262" s="56">
        <f t="shared" si="278"/>
        <v>0</v>
      </c>
      <c r="CI262" s="56">
        <f t="shared" si="278"/>
        <v>0</v>
      </c>
      <c r="CJ262" s="56">
        <f t="shared" si="278"/>
        <v>0</v>
      </c>
      <c r="CK262" s="56">
        <f t="shared" si="278"/>
        <v>0</v>
      </c>
      <c r="CL262" s="56">
        <f t="shared" si="278"/>
        <v>0</v>
      </c>
      <c r="CM262" s="56">
        <f t="shared" si="278"/>
        <v>0</v>
      </c>
      <c r="CN262" s="56">
        <f t="shared" si="278"/>
        <v>0</v>
      </c>
      <c r="CO262" s="56">
        <f t="shared" si="278"/>
        <v>0</v>
      </c>
      <c r="CP262" s="56">
        <f t="shared" si="278"/>
        <v>0</v>
      </c>
      <c r="CQ262" s="56">
        <f t="shared" si="278"/>
        <v>0</v>
      </c>
      <c r="CR262" s="56">
        <f t="shared" si="278"/>
        <v>0</v>
      </c>
      <c r="CS262" s="56">
        <f t="shared" si="278"/>
        <v>0</v>
      </c>
      <c r="CT262" s="56">
        <f t="shared" si="278"/>
        <v>0</v>
      </c>
      <c r="CU262" s="56">
        <f t="shared" si="278"/>
        <v>0</v>
      </c>
      <c r="CV262" s="56">
        <f t="shared" si="278"/>
        <v>0</v>
      </c>
      <c r="CW262" s="56">
        <f t="shared" si="278"/>
        <v>0</v>
      </c>
      <c r="CX262" s="56">
        <f t="shared" si="278"/>
        <v>0</v>
      </c>
      <c r="CY262" s="56">
        <f t="shared" si="278"/>
        <v>0</v>
      </c>
      <c r="CZ262" s="56">
        <f t="shared" ref="CZ262:DC262" si="279">CZ260/CY260-1</f>
        <v>-1.2165450121654486E-2</v>
      </c>
      <c r="DA262" s="56">
        <f t="shared" si="279"/>
        <v>0</v>
      </c>
      <c r="DB262" s="56">
        <f t="shared" si="279"/>
        <v>0</v>
      </c>
      <c r="DC262" s="56">
        <f t="shared" si="279"/>
        <v>0</v>
      </c>
    </row>
    <row r="263" spans="2:107" hidden="1" outlineLevel="2">
      <c r="B263" s="134" t="s">
        <v>1046</v>
      </c>
      <c r="C263" s="135"/>
      <c r="D263" s="135"/>
      <c r="E263" s="135"/>
      <c r="F263" s="135"/>
      <c r="G263" s="135"/>
      <c r="H263" s="135"/>
      <c r="I263" s="135"/>
      <c r="J263" s="135"/>
      <c r="K263" s="135"/>
      <c r="L263" s="135"/>
      <c r="M263" s="136"/>
      <c r="N263" s="136"/>
      <c r="O263" s="136"/>
      <c r="P263" s="147"/>
      <c r="Q263" s="147"/>
      <c r="R263" s="147"/>
      <c r="S263" s="147"/>
      <c r="T263" s="147"/>
      <c r="U263" s="147"/>
      <c r="V263" s="147"/>
      <c r="W263" s="147"/>
      <c r="X263" s="147">
        <f>X264+75</f>
        <v>2075</v>
      </c>
      <c r="Y263" s="147">
        <f>Y264+75</f>
        <v>2075</v>
      </c>
      <c r="Z263" s="147">
        <f>Z264+75</f>
        <v>2075</v>
      </c>
      <c r="AA263" s="147">
        <f t="shared" ref="AA263:AD263" si="280">AA264+75</f>
        <v>2075</v>
      </c>
      <c r="AB263" s="147">
        <f t="shared" si="280"/>
        <v>2075</v>
      </c>
      <c r="AC263" s="147">
        <f t="shared" si="280"/>
        <v>2075</v>
      </c>
      <c r="AD263" s="147">
        <f t="shared" si="280"/>
        <v>2075</v>
      </c>
      <c r="AE263" s="135"/>
      <c r="AF263" s="135"/>
      <c r="AG263" s="135"/>
      <c r="AH263" s="135"/>
      <c r="AI263" s="135"/>
      <c r="AJ263" s="135"/>
      <c r="AK263" s="135"/>
      <c r="AL263" s="135"/>
      <c r="AM263" s="135"/>
      <c r="AN263" s="135"/>
      <c r="AO263" s="135"/>
      <c r="AP263" s="135"/>
      <c r="AQ263" s="135"/>
      <c r="AR263" s="135"/>
      <c r="AS263" s="135"/>
      <c r="AT263" s="135"/>
      <c r="AU263" s="135"/>
      <c r="AV263" s="135"/>
      <c r="AW263" s="135"/>
      <c r="AX263" s="135"/>
      <c r="AY263" s="135"/>
      <c r="AZ263" s="135"/>
      <c r="BA263" s="135"/>
      <c r="BB263" s="135"/>
      <c r="BC263" s="135"/>
      <c r="BD263" s="137"/>
      <c r="BE263" s="137"/>
      <c r="BF263" s="137"/>
      <c r="BG263" s="137"/>
      <c r="BH263" s="137"/>
      <c r="BI263" s="137"/>
      <c r="BJ263" s="137"/>
      <c r="BK263" s="137"/>
      <c r="BL263" s="137"/>
      <c r="BM263" s="137"/>
      <c r="BN263" s="137"/>
      <c r="BO263" s="137"/>
      <c r="BP263" s="136"/>
      <c r="BQ263" s="136"/>
      <c r="BR263" s="136"/>
      <c r="BS263" s="136"/>
      <c r="BT263" s="136"/>
      <c r="BU263" s="136"/>
      <c r="BV263" s="147"/>
      <c r="BW263" s="147"/>
      <c r="BX263" s="147"/>
      <c r="BY263" s="147">
        <f t="shared" ref="BY263:DC263" si="281">BY264+10</f>
        <v>2065</v>
      </c>
      <c r="BZ263" s="147">
        <f t="shared" si="281"/>
        <v>2065</v>
      </c>
      <c r="CA263" s="147">
        <f t="shared" si="281"/>
        <v>2065</v>
      </c>
      <c r="CB263" s="147">
        <f t="shared" si="281"/>
        <v>2065</v>
      </c>
      <c r="CC263" s="147">
        <f t="shared" si="281"/>
        <v>2065</v>
      </c>
      <c r="CD263" s="147">
        <f t="shared" si="281"/>
        <v>2065</v>
      </c>
      <c r="CE263" s="147">
        <f t="shared" si="281"/>
        <v>2065</v>
      </c>
      <c r="CF263" s="147">
        <f t="shared" si="281"/>
        <v>2065</v>
      </c>
      <c r="CG263" s="147">
        <f t="shared" si="281"/>
        <v>2065</v>
      </c>
      <c r="CH263" s="147">
        <f t="shared" si="281"/>
        <v>2065</v>
      </c>
      <c r="CI263" s="147">
        <f t="shared" si="281"/>
        <v>2065</v>
      </c>
      <c r="CJ263" s="147">
        <f t="shared" si="281"/>
        <v>2065</v>
      </c>
      <c r="CK263" s="147">
        <f t="shared" si="281"/>
        <v>2065</v>
      </c>
      <c r="CL263" s="147">
        <f t="shared" si="281"/>
        <v>2065</v>
      </c>
      <c r="CM263" s="147">
        <f t="shared" si="281"/>
        <v>2065</v>
      </c>
      <c r="CN263" s="147">
        <f t="shared" si="281"/>
        <v>2065</v>
      </c>
      <c r="CO263" s="147">
        <f t="shared" si="281"/>
        <v>2065</v>
      </c>
      <c r="CP263" s="147">
        <f t="shared" si="281"/>
        <v>2065</v>
      </c>
      <c r="CQ263" s="147">
        <f t="shared" si="281"/>
        <v>2065</v>
      </c>
      <c r="CR263" s="147">
        <f t="shared" si="281"/>
        <v>2065</v>
      </c>
      <c r="CS263" s="147">
        <f t="shared" si="281"/>
        <v>2065</v>
      </c>
      <c r="CT263" s="147">
        <f t="shared" si="281"/>
        <v>2065</v>
      </c>
      <c r="CU263" s="147">
        <f t="shared" si="281"/>
        <v>2065</v>
      </c>
      <c r="CV263" s="147">
        <f t="shared" si="281"/>
        <v>2065</v>
      </c>
      <c r="CW263" s="147">
        <f t="shared" si="281"/>
        <v>2065</v>
      </c>
      <c r="CX263" s="147">
        <f t="shared" si="281"/>
        <v>2065</v>
      </c>
      <c r="CY263" s="147">
        <f t="shared" si="281"/>
        <v>2065</v>
      </c>
      <c r="CZ263" s="147">
        <f t="shared" si="281"/>
        <v>2040</v>
      </c>
      <c r="DA263" s="147">
        <f t="shared" si="281"/>
        <v>2040</v>
      </c>
      <c r="DB263" s="147">
        <f t="shared" si="281"/>
        <v>2040</v>
      </c>
      <c r="DC263" s="147">
        <f t="shared" si="281"/>
        <v>2040</v>
      </c>
    </row>
    <row r="264" spans="2:107" hidden="1" outlineLevel="2">
      <c r="B264" s="134" t="s">
        <v>1047</v>
      </c>
      <c r="C264" s="135"/>
      <c r="D264" s="135"/>
      <c r="E264" s="135"/>
      <c r="F264" s="135"/>
      <c r="G264" s="135"/>
      <c r="H264" s="135"/>
      <c r="I264" s="135"/>
      <c r="J264" s="135"/>
      <c r="K264" s="135"/>
      <c r="L264" s="135"/>
      <c r="M264" s="136"/>
      <c r="N264" s="136"/>
      <c r="O264" s="136"/>
      <c r="P264" s="147"/>
      <c r="Q264" s="147"/>
      <c r="R264" s="147"/>
      <c r="S264" s="147"/>
      <c r="T264" s="147"/>
      <c r="U264" s="147"/>
      <c r="V264" s="147"/>
      <c r="W264" s="147"/>
      <c r="X264" s="147">
        <v>2000</v>
      </c>
      <c r="Y264" s="147">
        <v>2000</v>
      </c>
      <c r="Z264" s="147">
        <v>2000</v>
      </c>
      <c r="AA264" s="147">
        <v>2000</v>
      </c>
      <c r="AB264" s="147">
        <v>2000</v>
      </c>
      <c r="AC264" s="147">
        <v>2000</v>
      </c>
      <c r="AD264" s="147">
        <v>2000</v>
      </c>
      <c r="AE264" s="135"/>
      <c r="AF264" s="135"/>
      <c r="AG264" s="135"/>
      <c r="AH264" s="135"/>
      <c r="AI264" s="135"/>
      <c r="AJ264" s="135"/>
      <c r="AK264" s="135"/>
      <c r="AL264" s="135"/>
      <c r="AM264" s="135"/>
      <c r="AN264" s="135"/>
      <c r="AO264" s="135"/>
      <c r="AP264" s="135"/>
      <c r="AQ264" s="135"/>
      <c r="AR264" s="135"/>
      <c r="AS264" s="135"/>
      <c r="AT264" s="135"/>
      <c r="AU264" s="135"/>
      <c r="AV264" s="135"/>
      <c r="AW264" s="135"/>
      <c r="AX264" s="135"/>
      <c r="AY264" s="135"/>
      <c r="AZ264" s="135"/>
      <c r="BA264" s="135"/>
      <c r="BB264" s="135"/>
      <c r="BC264" s="135"/>
      <c r="BD264" s="137"/>
      <c r="BE264" s="137"/>
      <c r="BF264" s="137"/>
      <c r="BG264" s="137"/>
      <c r="BH264" s="137"/>
      <c r="BI264" s="137"/>
      <c r="BJ264" s="137"/>
      <c r="BK264" s="137"/>
      <c r="BL264" s="137"/>
      <c r="BM264" s="137"/>
      <c r="BN264" s="137"/>
      <c r="BO264" s="137"/>
      <c r="BP264" s="136"/>
      <c r="BQ264" s="136"/>
      <c r="BR264" s="136"/>
      <c r="BS264" s="136"/>
      <c r="BT264" s="136"/>
      <c r="BU264" s="136"/>
      <c r="BV264" s="147"/>
      <c r="BW264" s="147"/>
      <c r="BX264" s="147"/>
      <c r="BY264" s="147">
        <v>2055</v>
      </c>
      <c r="BZ264" s="147">
        <v>2055</v>
      </c>
      <c r="CA264" s="147">
        <v>2055</v>
      </c>
      <c r="CB264" s="147">
        <v>2055</v>
      </c>
      <c r="CC264" s="147">
        <v>2055</v>
      </c>
      <c r="CD264" s="147">
        <v>2055</v>
      </c>
      <c r="CE264" s="147">
        <v>2055</v>
      </c>
      <c r="CF264" s="147">
        <v>2055</v>
      </c>
      <c r="CG264" s="147">
        <v>2055</v>
      </c>
      <c r="CH264" s="147">
        <v>2055</v>
      </c>
      <c r="CI264" s="147">
        <v>2055</v>
      </c>
      <c r="CJ264" s="147">
        <v>2055</v>
      </c>
      <c r="CK264" s="147">
        <v>2055</v>
      </c>
      <c r="CL264" s="147">
        <v>2055</v>
      </c>
      <c r="CM264" s="147">
        <v>2055</v>
      </c>
      <c r="CN264" s="147">
        <v>2055</v>
      </c>
      <c r="CO264" s="147">
        <v>2055</v>
      </c>
      <c r="CP264" s="147">
        <v>2055</v>
      </c>
      <c r="CQ264" s="147">
        <v>2055</v>
      </c>
      <c r="CR264" s="147">
        <v>2055</v>
      </c>
      <c r="CS264" s="147">
        <v>2055</v>
      </c>
      <c r="CT264" s="147">
        <v>2055</v>
      </c>
      <c r="CU264" s="147">
        <v>2055</v>
      </c>
      <c r="CV264" s="147">
        <v>2055</v>
      </c>
      <c r="CW264" s="147">
        <v>2055</v>
      </c>
      <c r="CX264" s="147">
        <v>2055</v>
      </c>
      <c r="CY264" s="147">
        <v>2055</v>
      </c>
      <c r="CZ264" s="147">
        <v>2030</v>
      </c>
      <c r="DA264" s="147">
        <v>2030</v>
      </c>
      <c r="DB264" s="147">
        <v>2030</v>
      </c>
      <c r="DC264" s="147">
        <v>2030</v>
      </c>
    </row>
    <row r="265" spans="2:107" hidden="1" outlineLevel="2">
      <c r="B265" s="134" t="s">
        <v>1048</v>
      </c>
      <c r="C265" s="135"/>
      <c r="D265" s="135"/>
      <c r="E265" s="135"/>
      <c r="F265" s="135"/>
      <c r="G265" s="135"/>
      <c r="H265" s="135"/>
      <c r="I265" s="135"/>
      <c r="J265" s="135"/>
      <c r="K265" s="135"/>
      <c r="L265" s="135"/>
      <c r="M265" s="136"/>
      <c r="N265" s="136"/>
      <c r="O265" s="136"/>
      <c r="P265" s="147"/>
      <c r="Q265" s="147"/>
      <c r="R265" s="147"/>
      <c r="S265" s="147"/>
      <c r="T265" s="147"/>
      <c r="U265" s="147"/>
      <c r="V265" s="147"/>
      <c r="W265" s="147"/>
      <c r="X265" s="147">
        <f>X264-35</f>
        <v>1965</v>
      </c>
      <c r="Y265" s="147">
        <f>Y264-35</f>
        <v>1965</v>
      </c>
      <c r="Z265" s="147">
        <f>Z264-35</f>
        <v>1965</v>
      </c>
      <c r="AA265" s="147">
        <f t="shared" ref="AA265:AD265" si="282">AA264-35</f>
        <v>1965</v>
      </c>
      <c r="AB265" s="147">
        <f t="shared" si="282"/>
        <v>1965</v>
      </c>
      <c r="AC265" s="147">
        <f t="shared" si="282"/>
        <v>1965</v>
      </c>
      <c r="AD265" s="147">
        <f t="shared" si="282"/>
        <v>1965</v>
      </c>
      <c r="AE265" s="135"/>
      <c r="AF265" s="135"/>
      <c r="AG265" s="135"/>
      <c r="AH265" s="135"/>
      <c r="AI265" s="135"/>
      <c r="AJ265" s="135"/>
      <c r="AK265" s="135"/>
      <c r="AL265" s="135"/>
      <c r="AM265" s="135"/>
      <c r="AN265" s="135"/>
      <c r="AO265" s="135"/>
      <c r="AP265" s="135"/>
      <c r="AQ265" s="135"/>
      <c r="AR265" s="135"/>
      <c r="AS265" s="135"/>
      <c r="AT265" s="135"/>
      <c r="AU265" s="135"/>
      <c r="AV265" s="135"/>
      <c r="AW265" s="135"/>
      <c r="AX265" s="135"/>
      <c r="AY265" s="135"/>
      <c r="AZ265" s="135"/>
      <c r="BA265" s="135"/>
      <c r="BB265" s="135"/>
      <c r="BC265" s="135"/>
      <c r="BD265" s="137"/>
      <c r="BE265" s="137"/>
      <c r="BF265" s="137"/>
      <c r="BG265" s="137"/>
      <c r="BH265" s="137"/>
      <c r="BI265" s="137"/>
      <c r="BJ265" s="137"/>
      <c r="BK265" s="137"/>
      <c r="BL265" s="137"/>
      <c r="BM265" s="137"/>
      <c r="BN265" s="137"/>
      <c r="BO265" s="137"/>
      <c r="BP265" s="136"/>
      <c r="BQ265" s="136"/>
      <c r="BR265" s="136"/>
      <c r="BS265" s="136"/>
      <c r="BT265" s="136"/>
      <c r="BU265" s="136"/>
      <c r="BV265" s="147"/>
      <c r="BW265" s="147"/>
      <c r="BX265" s="147"/>
      <c r="BY265" s="147">
        <f t="shared" ref="BY265:CJ265" si="283">BY264-10</f>
        <v>2045</v>
      </c>
      <c r="BZ265" s="147">
        <f t="shared" si="283"/>
        <v>2045</v>
      </c>
      <c r="CA265" s="147">
        <f t="shared" si="283"/>
        <v>2045</v>
      </c>
      <c r="CB265" s="147">
        <f t="shared" si="283"/>
        <v>2045</v>
      </c>
      <c r="CC265" s="147">
        <f t="shared" si="283"/>
        <v>2045</v>
      </c>
      <c r="CD265" s="147">
        <f t="shared" si="283"/>
        <v>2045</v>
      </c>
      <c r="CE265" s="147">
        <f t="shared" si="283"/>
        <v>2045</v>
      </c>
      <c r="CF265" s="147">
        <f t="shared" si="283"/>
        <v>2045</v>
      </c>
      <c r="CG265" s="147">
        <f t="shared" si="283"/>
        <v>2045</v>
      </c>
      <c r="CH265" s="147">
        <f t="shared" si="283"/>
        <v>2045</v>
      </c>
      <c r="CI265" s="147">
        <f t="shared" si="283"/>
        <v>2045</v>
      </c>
      <c r="CJ265" s="147">
        <f t="shared" si="283"/>
        <v>2045</v>
      </c>
      <c r="CK265" s="147">
        <f t="shared" ref="CK265:CU265" si="284">CK264-10</f>
        <v>2045</v>
      </c>
      <c r="CL265" s="147">
        <f t="shared" si="284"/>
        <v>2045</v>
      </c>
      <c r="CM265" s="147">
        <f t="shared" si="284"/>
        <v>2045</v>
      </c>
      <c r="CN265" s="147">
        <f t="shared" si="284"/>
        <v>2045</v>
      </c>
      <c r="CO265" s="147">
        <f t="shared" si="284"/>
        <v>2045</v>
      </c>
      <c r="CP265" s="147">
        <f t="shared" si="284"/>
        <v>2045</v>
      </c>
      <c r="CQ265" s="147">
        <f t="shared" si="284"/>
        <v>2045</v>
      </c>
      <c r="CR265" s="147">
        <f t="shared" si="284"/>
        <v>2045</v>
      </c>
      <c r="CS265" s="147">
        <f t="shared" si="284"/>
        <v>2045</v>
      </c>
      <c r="CT265" s="147">
        <f t="shared" si="284"/>
        <v>2045</v>
      </c>
      <c r="CU265" s="147">
        <f t="shared" si="284"/>
        <v>2045</v>
      </c>
      <c r="CV265" s="147">
        <f>CV264-10</f>
        <v>2045</v>
      </c>
      <c r="CW265" s="147">
        <f>CW264-10</f>
        <v>2045</v>
      </c>
      <c r="CX265" s="147">
        <f>CX264-10</f>
        <v>2045</v>
      </c>
      <c r="CY265" s="147">
        <f>CY264-10</f>
        <v>2045</v>
      </c>
      <c r="CZ265" s="147">
        <f t="shared" ref="CZ265:DC265" si="285">CZ264-10</f>
        <v>2020</v>
      </c>
      <c r="DA265" s="147">
        <f t="shared" si="285"/>
        <v>2020</v>
      </c>
      <c r="DB265" s="147">
        <f t="shared" si="285"/>
        <v>2020</v>
      </c>
      <c r="DC265" s="147">
        <f t="shared" si="285"/>
        <v>2020</v>
      </c>
    </row>
    <row r="266" spans="2:107" hidden="1" outlineLevel="1">
      <c r="B266" s="198"/>
      <c r="C266" s="197"/>
      <c r="D266" s="31"/>
      <c r="E266" s="31"/>
      <c r="F266" s="31"/>
      <c r="G266" s="31"/>
      <c r="H266" s="31"/>
      <c r="I266" s="31"/>
      <c r="J266" s="31"/>
      <c r="K266" s="31"/>
      <c r="L266" s="31"/>
      <c r="M266" s="199"/>
      <c r="N266" s="199"/>
      <c r="O266" s="199"/>
      <c r="P266" s="199"/>
      <c r="Q266" s="199"/>
      <c r="R266" s="199"/>
      <c r="S266" s="199"/>
      <c r="T266" s="199"/>
      <c r="U266" s="199"/>
      <c r="V266" s="199"/>
      <c r="W266" s="199"/>
      <c r="X266" s="199"/>
      <c r="Y266" s="199"/>
      <c r="Z266" s="199"/>
      <c r="AA266" s="199"/>
      <c r="AB266" s="199"/>
      <c r="AC266" s="199"/>
      <c r="AD266" s="199"/>
      <c r="AE266" s="197"/>
      <c r="AF266" s="31"/>
      <c r="AG266" s="31"/>
      <c r="AH266" s="31"/>
      <c r="AI266" s="31"/>
      <c r="AJ266" s="31"/>
      <c r="AK266" s="31"/>
      <c r="AL266" s="31"/>
      <c r="AM266" s="31"/>
      <c r="AN266" s="31"/>
      <c r="AO266" s="31"/>
      <c r="AP266" s="31"/>
      <c r="AQ266" s="31"/>
      <c r="AR266" s="31"/>
      <c r="AS266" s="31"/>
      <c r="AT266" s="31"/>
      <c r="AU266" s="31"/>
      <c r="AV266" s="31"/>
      <c r="AW266" s="31"/>
      <c r="AX266" s="31"/>
      <c r="AY266" s="31"/>
      <c r="AZ266" s="31"/>
      <c r="BA266" s="31"/>
      <c r="BB266" s="31"/>
      <c r="BC266" s="31"/>
      <c r="BD266" s="32"/>
      <c r="BE266" s="32"/>
      <c r="BF266" s="32"/>
      <c r="BG266" s="32"/>
      <c r="BH266" s="32"/>
      <c r="BI266" s="32"/>
      <c r="BJ266" s="32"/>
      <c r="BK266" s="32"/>
      <c r="BL266" s="32"/>
      <c r="BM266" s="32"/>
      <c r="BN266" s="32"/>
      <c r="BO266" s="32"/>
      <c r="BP266" s="199"/>
      <c r="BQ266" s="199"/>
      <c r="BR266" s="199"/>
      <c r="BS266" s="199"/>
      <c r="BT266" s="199"/>
      <c r="BU266" s="199"/>
      <c r="BV266" s="199"/>
      <c r="BW266" s="199"/>
      <c r="BX266" s="199"/>
      <c r="BY266" s="199"/>
      <c r="BZ266" s="199"/>
      <c r="CA266" s="199"/>
      <c r="CB266" s="199"/>
      <c r="CC266" s="199"/>
      <c r="CD266" s="199"/>
      <c r="CE266" s="199"/>
      <c r="CF266" s="199"/>
      <c r="CG266" s="199"/>
      <c r="CH266" s="199"/>
      <c r="CI266" s="199"/>
      <c r="CJ266" s="199"/>
      <c r="CK266" s="199"/>
      <c r="CL266" s="199"/>
      <c r="CM266" s="199"/>
      <c r="CN266" s="199"/>
      <c r="CO266" s="199"/>
      <c r="CP266" s="199"/>
      <c r="CQ266" s="199"/>
      <c r="CR266" s="199"/>
      <c r="CS266" s="199"/>
      <c r="CT266" s="199"/>
      <c r="CU266" s="199"/>
      <c r="CV266" s="199"/>
      <c r="CW266" s="199"/>
      <c r="CX266" s="199"/>
      <c r="CY266" s="199"/>
      <c r="CZ266" s="199"/>
      <c r="DA266" s="199"/>
      <c r="DB266" s="199"/>
      <c r="DC266" s="199"/>
    </row>
    <row r="267" spans="2:107" hidden="1" outlineLevel="1">
      <c r="B267" s="155" t="s">
        <v>715</v>
      </c>
      <c r="C267" s="23"/>
      <c r="D267" s="15"/>
      <c r="E267" s="15"/>
      <c r="F267" s="15"/>
      <c r="G267" s="15"/>
      <c r="H267" s="15"/>
      <c r="I267" s="15"/>
      <c r="J267" s="15"/>
      <c r="K267" s="15"/>
      <c r="L267" s="51"/>
      <c r="M267" s="24"/>
      <c r="N267" s="150">
        <f>AVERAGE(BP267:BS267)</f>
        <v>1988.4260475442934</v>
      </c>
      <c r="O267" s="150">
        <f>AVERAGE(BT267:BW267)</f>
        <v>2055.0611529967255</v>
      </c>
      <c r="P267" s="150">
        <f>AVERAGE(BX267:CA267)</f>
        <v>2068.5</v>
      </c>
      <c r="Q267" s="1154">
        <f t="shared" ref="Q267:W267" si="286">AVERAGE(CB267:CE267)</f>
        <v>2068</v>
      </c>
      <c r="R267" s="1154">
        <f t="shared" si="286"/>
        <v>2068</v>
      </c>
      <c r="S267" s="1154">
        <f t="shared" si="286"/>
        <v>2068</v>
      </c>
      <c r="T267" s="1154">
        <f t="shared" si="286"/>
        <v>2068</v>
      </c>
      <c r="U267" s="1154">
        <f t="shared" si="286"/>
        <v>2068</v>
      </c>
      <c r="V267" s="1154">
        <f t="shared" si="286"/>
        <v>2068</v>
      </c>
      <c r="W267" s="1154">
        <f t="shared" si="286"/>
        <v>2068</v>
      </c>
      <c r="X267" s="149">
        <f t="shared" ref="X267:AD267" si="287">CHOOSE(mode,X270,X271,X272)</f>
        <v>-5</v>
      </c>
      <c r="Y267" s="149">
        <f t="shared" si="287"/>
        <v>-10</v>
      </c>
      <c r="Z267" s="149">
        <f t="shared" si="287"/>
        <v>-15</v>
      </c>
      <c r="AA267" s="149">
        <f t="shared" si="287"/>
        <v>-20</v>
      </c>
      <c r="AB267" s="149">
        <f t="shared" si="287"/>
        <v>-25</v>
      </c>
      <c r="AC267" s="149">
        <f t="shared" si="287"/>
        <v>-30</v>
      </c>
      <c r="AD267" s="149">
        <f t="shared" si="287"/>
        <v>-35</v>
      </c>
      <c r="AE267" s="23"/>
      <c r="AF267" s="23"/>
      <c r="AG267" s="23"/>
      <c r="AH267" s="23"/>
      <c r="AI267" s="23"/>
      <c r="AJ267" s="23"/>
      <c r="AK267" s="23"/>
      <c r="AL267" s="23"/>
      <c r="AM267" s="23"/>
      <c r="AN267" s="23"/>
      <c r="AO267" s="23"/>
      <c r="AP267" s="23"/>
      <c r="AQ267" s="23"/>
      <c r="AR267" s="23"/>
      <c r="AS267" s="23"/>
      <c r="AT267" s="23"/>
      <c r="AU267" s="23"/>
      <c r="AV267" s="23"/>
      <c r="AW267" s="23"/>
      <c r="AX267" s="23"/>
      <c r="AY267" s="23"/>
      <c r="AZ267" s="23"/>
      <c r="BA267" s="23"/>
      <c r="BB267" s="23"/>
      <c r="BC267" s="23"/>
      <c r="BD267" s="23"/>
      <c r="BE267" s="51"/>
      <c r="BF267" s="51"/>
      <c r="BG267" s="51"/>
      <c r="BH267" s="51"/>
      <c r="BI267" s="51"/>
      <c r="BJ267" s="51"/>
      <c r="BK267" s="51"/>
      <c r="BL267" s="51"/>
      <c r="BM267" s="51"/>
      <c r="BN267" s="51"/>
      <c r="BO267" s="51"/>
      <c r="BP267" s="2">
        <f>SDXC!BL70</f>
        <v>1934.325140146615</v>
      </c>
      <c r="BQ267" s="2">
        <f>SDXC!BM70</f>
        <v>1976.56611552863</v>
      </c>
      <c r="BR267" s="2">
        <f>SDXC!BN70</f>
        <v>2022.371364653244</v>
      </c>
      <c r="BS267" s="2">
        <f>SDXC!BO70</f>
        <v>2020.4415698486844</v>
      </c>
      <c r="BT267" s="2">
        <f>SDXC!BP70</f>
        <v>2048.244611986901</v>
      </c>
      <c r="BU267" s="144">
        <v>2050</v>
      </c>
      <c r="BV267" s="144">
        <v>2051</v>
      </c>
      <c r="BW267" s="144">
        <v>2071</v>
      </c>
      <c r="BX267" s="144">
        <v>2070</v>
      </c>
      <c r="BY267" s="149">
        <f t="shared" ref="BY267:CE267" si="288">CHOOSE(mode,BY270,BY271,BY272)</f>
        <v>2068</v>
      </c>
      <c r="BZ267" s="149">
        <f t="shared" si="288"/>
        <v>2068</v>
      </c>
      <c r="CA267" s="149">
        <f t="shared" si="288"/>
        <v>2068</v>
      </c>
      <c r="CB267" s="149">
        <f t="shared" si="288"/>
        <v>2068</v>
      </c>
      <c r="CC267" s="149">
        <f t="shared" si="288"/>
        <v>2068</v>
      </c>
      <c r="CD267" s="149">
        <f t="shared" si="288"/>
        <v>2068</v>
      </c>
      <c r="CE267" s="149">
        <f t="shared" si="288"/>
        <v>2068</v>
      </c>
      <c r="CF267" s="149">
        <f t="shared" ref="CF267:CM267" si="289">CHOOSE(mode,CF270,CF271,CF272)</f>
        <v>2068</v>
      </c>
      <c r="CG267" s="149">
        <f t="shared" si="289"/>
        <v>2068</v>
      </c>
      <c r="CH267" s="149">
        <f t="shared" si="289"/>
        <v>2068</v>
      </c>
      <c r="CI267" s="149">
        <f t="shared" si="289"/>
        <v>2068</v>
      </c>
      <c r="CJ267" s="149">
        <f t="shared" si="289"/>
        <v>2068</v>
      </c>
      <c r="CK267" s="149">
        <f t="shared" si="289"/>
        <v>2068</v>
      </c>
      <c r="CL267" s="149">
        <f t="shared" si="289"/>
        <v>2068</v>
      </c>
      <c r="CM267" s="149">
        <f t="shared" si="289"/>
        <v>2068</v>
      </c>
      <c r="CN267" s="149">
        <f t="shared" ref="CN267:CU267" si="290">CHOOSE(mode,CN270,CN271,CN272)</f>
        <v>2068</v>
      </c>
      <c r="CO267" s="149">
        <f t="shared" si="290"/>
        <v>2068</v>
      </c>
      <c r="CP267" s="149">
        <f t="shared" si="290"/>
        <v>2068</v>
      </c>
      <c r="CQ267" s="149">
        <f t="shared" si="290"/>
        <v>2068</v>
      </c>
      <c r="CR267" s="149">
        <f t="shared" si="290"/>
        <v>2068</v>
      </c>
      <c r="CS267" s="149">
        <f t="shared" si="290"/>
        <v>2068</v>
      </c>
      <c r="CT267" s="149">
        <f t="shared" si="290"/>
        <v>2068</v>
      </c>
      <c r="CU267" s="149">
        <f t="shared" si="290"/>
        <v>2068</v>
      </c>
      <c r="CV267" s="149">
        <f>CHOOSE(mode,CV270,CV271,CV272)</f>
        <v>2068</v>
      </c>
      <c r="CW267" s="149">
        <f>CHOOSE(mode,CW270,CW271,CW272)</f>
        <v>2068</v>
      </c>
      <c r="CX267" s="149">
        <f>CHOOSE(mode,CX270,CX271,CX272)</f>
        <v>2068</v>
      </c>
      <c r="CY267" s="149">
        <f>CHOOSE(mode,CY270,CY271,CY272)</f>
        <v>2068</v>
      </c>
      <c r="CZ267" s="149">
        <f t="shared" ref="CZ267:DC267" si="291">CHOOSE(mode,CZ270,CZ271,CZ272)</f>
        <v>2062</v>
      </c>
      <c r="DA267" s="149">
        <f t="shared" si="291"/>
        <v>2062</v>
      </c>
      <c r="DB267" s="149">
        <f t="shared" si="291"/>
        <v>2062</v>
      </c>
      <c r="DC267" s="149">
        <f t="shared" si="291"/>
        <v>2062</v>
      </c>
    </row>
    <row r="268" spans="2:107" hidden="1" outlineLevel="1">
      <c r="B268" s="156" t="s">
        <v>709</v>
      </c>
      <c r="C268" s="23"/>
      <c r="D268" s="15"/>
      <c r="E268" s="15"/>
      <c r="F268" s="15"/>
      <c r="G268" s="15"/>
      <c r="H268" s="15"/>
      <c r="I268" s="15"/>
      <c r="J268" s="15"/>
      <c r="K268" s="15"/>
      <c r="L268" s="51"/>
      <c r="M268" s="24"/>
      <c r="N268" s="55"/>
      <c r="O268" s="56"/>
      <c r="P268" s="56">
        <f t="shared" ref="P268:Z268" si="292">P267/O267-1</f>
        <v>6.5393903162822564E-3</v>
      </c>
      <c r="Q268" s="56">
        <f t="shared" si="292"/>
        <v>-2.4172105390374288E-4</v>
      </c>
      <c r="R268" s="56">
        <f t="shared" si="292"/>
        <v>0</v>
      </c>
      <c r="S268" s="56">
        <f t="shared" si="292"/>
        <v>0</v>
      </c>
      <c r="T268" s="56">
        <f t="shared" si="292"/>
        <v>0</v>
      </c>
      <c r="U268" s="56">
        <f t="shared" si="292"/>
        <v>0</v>
      </c>
      <c r="V268" s="56">
        <f t="shared" si="292"/>
        <v>0</v>
      </c>
      <c r="W268" s="56">
        <f t="shared" si="292"/>
        <v>0</v>
      </c>
      <c r="X268" s="56">
        <f t="shared" si="292"/>
        <v>-1.0024177949709865</v>
      </c>
      <c r="Y268" s="56">
        <f t="shared" si="292"/>
        <v>1</v>
      </c>
      <c r="Z268" s="56">
        <f t="shared" si="292"/>
        <v>0.5</v>
      </c>
      <c r="AA268" s="56">
        <f t="shared" ref="AA268" si="293">AA267/Z267-1</f>
        <v>0.33333333333333326</v>
      </c>
      <c r="AB268" s="56">
        <f t="shared" ref="AB268" si="294">AB267/AA267-1</f>
        <v>0.25</v>
      </c>
      <c r="AC268" s="56">
        <f t="shared" ref="AC268" si="295">AC267/AB267-1</f>
        <v>0.19999999999999996</v>
      </c>
      <c r="AD268" s="56">
        <f t="shared" ref="AD268" si="296">AD267/AC267-1</f>
        <v>0.16666666666666674</v>
      </c>
      <c r="AE268" s="23"/>
      <c r="AF268" s="23"/>
      <c r="AG268" s="23"/>
      <c r="AH268" s="23"/>
      <c r="AI268" s="23"/>
      <c r="AJ268" s="23"/>
      <c r="AK268" s="23"/>
      <c r="AL268" s="23"/>
      <c r="AM268" s="23"/>
      <c r="AN268" s="23"/>
      <c r="AO268" s="23"/>
      <c r="AP268" s="23"/>
      <c r="AQ268" s="23"/>
      <c r="AR268" s="23"/>
      <c r="AS268" s="23"/>
      <c r="AT268" s="23"/>
      <c r="AU268" s="23"/>
      <c r="AV268" s="23"/>
      <c r="AW268" s="23"/>
      <c r="AX268" s="23"/>
      <c r="AY268" s="23"/>
      <c r="AZ268" s="23"/>
      <c r="BA268" s="23"/>
      <c r="BB268" s="23"/>
      <c r="BC268" s="23"/>
      <c r="BD268" s="23"/>
      <c r="BE268" s="51"/>
      <c r="BF268" s="51"/>
      <c r="BG268" s="51"/>
      <c r="BH268" s="51"/>
      <c r="BI268" s="51"/>
      <c r="BJ268" s="51"/>
      <c r="BK268" s="51"/>
      <c r="BL268" s="51"/>
      <c r="BM268" s="51"/>
      <c r="BN268" s="51"/>
      <c r="BO268" s="51"/>
      <c r="BP268" s="144"/>
      <c r="BQ268" s="144"/>
      <c r="BR268" s="144"/>
      <c r="BS268" s="56"/>
      <c r="BT268" s="56"/>
      <c r="BU268" s="56"/>
      <c r="BV268" s="56"/>
      <c r="BW268" s="56"/>
      <c r="BX268" s="56"/>
      <c r="BY268" s="56"/>
      <c r="BZ268" s="56"/>
      <c r="CA268" s="56"/>
      <c r="CB268" s="56"/>
      <c r="CC268" s="56"/>
      <c r="CD268" s="56"/>
      <c r="CE268" s="56"/>
      <c r="CF268" s="56"/>
      <c r="CG268" s="56"/>
      <c r="CH268" s="56"/>
      <c r="CI268" s="56"/>
      <c r="CJ268" s="56"/>
      <c r="CK268" s="56"/>
      <c r="CL268" s="56"/>
      <c r="CM268" s="56"/>
      <c r="CN268" s="56"/>
      <c r="CO268" s="56"/>
      <c r="CP268" s="56"/>
      <c r="CQ268" s="56"/>
      <c r="CR268" s="56"/>
      <c r="CS268" s="56"/>
      <c r="CT268" s="56"/>
      <c r="CU268" s="56"/>
      <c r="CV268" s="56"/>
      <c r="CW268" s="56"/>
      <c r="CX268" s="56"/>
      <c r="CY268" s="56"/>
      <c r="CZ268" s="56"/>
      <c r="DA268" s="56"/>
      <c r="DB268" s="56"/>
      <c r="DC268" s="56"/>
    </row>
    <row r="269" spans="2:107" hidden="1" outlineLevel="1">
      <c r="B269" s="156" t="s">
        <v>710</v>
      </c>
      <c r="C269" s="23"/>
      <c r="D269" s="15"/>
      <c r="E269" s="15"/>
      <c r="F269" s="15"/>
      <c r="G269" s="15"/>
      <c r="H269" s="15"/>
      <c r="I269" s="15"/>
      <c r="J269" s="15"/>
      <c r="K269" s="15"/>
      <c r="L269" s="51"/>
      <c r="M269" s="24"/>
      <c r="N269" s="55"/>
      <c r="O269" s="55"/>
      <c r="P269" s="55"/>
      <c r="Q269" s="55"/>
      <c r="R269" s="55"/>
      <c r="S269" s="55"/>
      <c r="T269" s="55"/>
      <c r="U269" s="55"/>
      <c r="V269" s="55"/>
      <c r="W269" s="55"/>
      <c r="X269" s="55"/>
      <c r="Y269" s="55"/>
      <c r="Z269" s="55"/>
      <c r="AA269" s="55"/>
      <c r="AB269" s="55"/>
      <c r="AC269" s="55"/>
      <c r="AD269" s="55"/>
      <c r="AE269" s="23"/>
      <c r="AF269" s="23"/>
      <c r="AG269" s="23"/>
      <c r="AH269" s="23"/>
      <c r="AI269" s="23"/>
      <c r="AJ269" s="23"/>
      <c r="AK269" s="23"/>
      <c r="AL269" s="23"/>
      <c r="AM269" s="23"/>
      <c r="AN269" s="23"/>
      <c r="AO269" s="23"/>
      <c r="AP269" s="23"/>
      <c r="AQ269" s="23"/>
      <c r="AR269" s="23"/>
      <c r="AS269" s="23"/>
      <c r="AT269" s="23"/>
      <c r="AU269" s="23"/>
      <c r="AV269" s="23"/>
      <c r="AW269" s="23"/>
      <c r="AX269" s="23"/>
      <c r="AY269" s="23"/>
      <c r="AZ269" s="23"/>
      <c r="BA269" s="23"/>
      <c r="BB269" s="23"/>
      <c r="BC269" s="23"/>
      <c r="BD269" s="23"/>
      <c r="BE269" s="51"/>
      <c r="BF269" s="51"/>
      <c r="BG269" s="51"/>
      <c r="BH269" s="51"/>
      <c r="BI269" s="51"/>
      <c r="BJ269" s="51"/>
      <c r="BK269" s="51"/>
      <c r="BL269" s="51"/>
      <c r="BM269" s="51"/>
      <c r="BN269" s="51"/>
      <c r="BO269" s="51"/>
      <c r="BP269" s="144"/>
      <c r="BQ269" s="56"/>
      <c r="BR269" s="56"/>
      <c r="BS269" s="56"/>
      <c r="BT269" s="56"/>
      <c r="BU269" s="56"/>
      <c r="BV269" s="56">
        <f t="shared" ref="BV269:CY269" si="297">BV267/BU267-1</f>
        <v>4.8780487804878092E-4</v>
      </c>
      <c r="BW269" s="56">
        <f t="shared" si="297"/>
        <v>9.7513408093612419E-3</v>
      </c>
      <c r="BX269" s="56">
        <f t="shared" si="297"/>
        <v>-4.8285852245288918E-4</v>
      </c>
      <c r="BY269" s="56">
        <f t="shared" si="297"/>
        <v>-9.6618357487920914E-4</v>
      </c>
      <c r="BZ269" s="56">
        <f t="shared" si="297"/>
        <v>0</v>
      </c>
      <c r="CA269" s="56">
        <f t="shared" si="297"/>
        <v>0</v>
      </c>
      <c r="CB269" s="56">
        <f t="shared" si="297"/>
        <v>0</v>
      </c>
      <c r="CC269" s="56">
        <f t="shared" si="297"/>
        <v>0</v>
      </c>
      <c r="CD269" s="56">
        <f t="shared" si="297"/>
        <v>0</v>
      </c>
      <c r="CE269" s="56">
        <f t="shared" si="297"/>
        <v>0</v>
      </c>
      <c r="CF269" s="56">
        <f t="shared" si="297"/>
        <v>0</v>
      </c>
      <c r="CG269" s="56">
        <f t="shared" si="297"/>
        <v>0</v>
      </c>
      <c r="CH269" s="56">
        <f t="shared" si="297"/>
        <v>0</v>
      </c>
      <c r="CI269" s="56">
        <f t="shared" si="297"/>
        <v>0</v>
      </c>
      <c r="CJ269" s="56">
        <f t="shared" si="297"/>
        <v>0</v>
      </c>
      <c r="CK269" s="56">
        <f t="shared" si="297"/>
        <v>0</v>
      </c>
      <c r="CL269" s="56">
        <f t="shared" si="297"/>
        <v>0</v>
      </c>
      <c r="CM269" s="56">
        <f t="shared" si="297"/>
        <v>0</v>
      </c>
      <c r="CN269" s="56">
        <f t="shared" si="297"/>
        <v>0</v>
      </c>
      <c r="CO269" s="56">
        <f t="shared" si="297"/>
        <v>0</v>
      </c>
      <c r="CP269" s="56">
        <f t="shared" si="297"/>
        <v>0</v>
      </c>
      <c r="CQ269" s="56">
        <f t="shared" si="297"/>
        <v>0</v>
      </c>
      <c r="CR269" s="56">
        <f t="shared" si="297"/>
        <v>0</v>
      </c>
      <c r="CS269" s="56">
        <f t="shared" si="297"/>
        <v>0</v>
      </c>
      <c r="CT269" s="56">
        <f t="shared" si="297"/>
        <v>0</v>
      </c>
      <c r="CU269" s="56">
        <f t="shared" si="297"/>
        <v>0</v>
      </c>
      <c r="CV269" s="56">
        <f t="shared" si="297"/>
        <v>0</v>
      </c>
      <c r="CW269" s="56">
        <f t="shared" si="297"/>
        <v>0</v>
      </c>
      <c r="CX269" s="56">
        <f t="shared" si="297"/>
        <v>0</v>
      </c>
      <c r="CY269" s="56">
        <f t="shared" si="297"/>
        <v>0</v>
      </c>
      <c r="CZ269" s="56">
        <f t="shared" ref="CZ269:DC269" si="298">CZ267/CY267-1</f>
        <v>-2.9013539651837617E-3</v>
      </c>
      <c r="DA269" s="56">
        <f t="shared" si="298"/>
        <v>0</v>
      </c>
      <c r="DB269" s="56">
        <f t="shared" si="298"/>
        <v>0</v>
      </c>
      <c r="DC269" s="56">
        <f t="shared" si="298"/>
        <v>0</v>
      </c>
    </row>
    <row r="270" spans="2:107" hidden="1" outlineLevel="2">
      <c r="B270" s="134" t="s">
        <v>1046</v>
      </c>
      <c r="C270" s="135"/>
      <c r="D270" s="135"/>
      <c r="E270" s="135"/>
      <c r="F270" s="135"/>
      <c r="G270" s="135"/>
      <c r="H270" s="135"/>
      <c r="I270" s="135"/>
      <c r="J270" s="135"/>
      <c r="K270" s="135"/>
      <c r="L270" s="135"/>
      <c r="M270" s="136"/>
      <c r="N270" s="136"/>
      <c r="O270" s="136"/>
      <c r="P270" s="147"/>
      <c r="Q270" s="147"/>
      <c r="R270" s="147"/>
      <c r="S270" s="147"/>
      <c r="T270" s="147"/>
      <c r="U270" s="147"/>
      <c r="V270" s="147"/>
      <c r="W270" s="147"/>
      <c r="X270" s="147">
        <f>X271+75</f>
        <v>70</v>
      </c>
      <c r="Y270" s="147">
        <f>Y271+75</f>
        <v>65</v>
      </c>
      <c r="Z270" s="147">
        <f>Z271+75</f>
        <v>60</v>
      </c>
      <c r="AA270" s="147">
        <f t="shared" ref="AA270:AD270" si="299">AA271+75</f>
        <v>55</v>
      </c>
      <c r="AB270" s="147">
        <f t="shared" si="299"/>
        <v>50</v>
      </c>
      <c r="AC270" s="147">
        <f t="shared" si="299"/>
        <v>45</v>
      </c>
      <c r="AD270" s="147">
        <f t="shared" si="299"/>
        <v>40</v>
      </c>
      <c r="AE270" s="135"/>
      <c r="AF270" s="135"/>
      <c r="AG270" s="135"/>
      <c r="AH270" s="135"/>
      <c r="AI270" s="135"/>
      <c r="AJ270" s="135"/>
      <c r="AK270" s="135"/>
      <c r="AL270" s="135"/>
      <c r="AM270" s="135"/>
      <c r="AN270" s="135"/>
      <c r="AO270" s="135"/>
      <c r="AP270" s="135"/>
      <c r="AQ270" s="135"/>
      <c r="AR270" s="135"/>
      <c r="AS270" s="135"/>
      <c r="AT270" s="135"/>
      <c r="AU270" s="135"/>
      <c r="AV270" s="135"/>
      <c r="AW270" s="135"/>
      <c r="AX270" s="135"/>
      <c r="AY270" s="135"/>
      <c r="AZ270" s="135"/>
      <c r="BA270" s="135"/>
      <c r="BB270" s="135"/>
      <c r="BC270" s="135"/>
      <c r="BD270" s="137"/>
      <c r="BE270" s="137"/>
      <c r="BF270" s="137"/>
      <c r="BG270" s="137"/>
      <c r="BH270" s="137"/>
      <c r="BI270" s="137"/>
      <c r="BJ270" s="137"/>
      <c r="BK270" s="137"/>
      <c r="BL270" s="137"/>
      <c r="BM270" s="137"/>
      <c r="BN270" s="137"/>
      <c r="BO270" s="137"/>
      <c r="BP270" s="136"/>
      <c r="BQ270" s="136"/>
      <c r="BR270" s="136"/>
      <c r="BS270" s="136"/>
      <c r="BT270" s="136"/>
      <c r="BU270" s="136"/>
      <c r="BV270" s="147"/>
      <c r="BW270" s="147"/>
      <c r="BX270" s="147"/>
      <c r="BY270" s="147">
        <f t="shared" ref="BY270:DC270" si="300">BY271+10</f>
        <v>2078</v>
      </c>
      <c r="BZ270" s="147">
        <f t="shared" si="300"/>
        <v>2078</v>
      </c>
      <c r="CA270" s="147">
        <f t="shared" si="300"/>
        <v>2078</v>
      </c>
      <c r="CB270" s="147">
        <f t="shared" si="300"/>
        <v>2078</v>
      </c>
      <c r="CC270" s="147">
        <f t="shared" si="300"/>
        <v>2078</v>
      </c>
      <c r="CD270" s="147">
        <f t="shared" si="300"/>
        <v>2078</v>
      </c>
      <c r="CE270" s="147">
        <f t="shared" si="300"/>
        <v>2078</v>
      </c>
      <c r="CF270" s="147">
        <f t="shared" si="300"/>
        <v>2078</v>
      </c>
      <c r="CG270" s="147">
        <f t="shared" si="300"/>
        <v>2078</v>
      </c>
      <c r="CH270" s="147">
        <f t="shared" si="300"/>
        <v>2078</v>
      </c>
      <c r="CI270" s="147">
        <f t="shared" si="300"/>
        <v>2078</v>
      </c>
      <c r="CJ270" s="147">
        <f t="shared" si="300"/>
        <v>2078</v>
      </c>
      <c r="CK270" s="147">
        <f t="shared" si="300"/>
        <v>2078</v>
      </c>
      <c r="CL270" s="147">
        <f t="shared" si="300"/>
        <v>2078</v>
      </c>
      <c r="CM270" s="147">
        <f t="shared" si="300"/>
        <v>2078</v>
      </c>
      <c r="CN270" s="147">
        <f t="shared" si="300"/>
        <v>2078</v>
      </c>
      <c r="CO270" s="147">
        <f t="shared" si="300"/>
        <v>2078</v>
      </c>
      <c r="CP270" s="147">
        <f t="shared" si="300"/>
        <v>2078</v>
      </c>
      <c r="CQ270" s="147">
        <f t="shared" si="300"/>
        <v>2078</v>
      </c>
      <c r="CR270" s="147">
        <f t="shared" si="300"/>
        <v>2078</v>
      </c>
      <c r="CS270" s="147">
        <f t="shared" si="300"/>
        <v>2078</v>
      </c>
      <c r="CT270" s="147">
        <f t="shared" si="300"/>
        <v>2078</v>
      </c>
      <c r="CU270" s="147">
        <f t="shared" si="300"/>
        <v>2078</v>
      </c>
      <c r="CV270" s="147">
        <f t="shared" si="300"/>
        <v>2078</v>
      </c>
      <c r="CW270" s="147">
        <f t="shared" si="300"/>
        <v>2078</v>
      </c>
      <c r="CX270" s="147">
        <f t="shared" si="300"/>
        <v>2078</v>
      </c>
      <c r="CY270" s="147">
        <f t="shared" si="300"/>
        <v>2078</v>
      </c>
      <c r="CZ270" s="147">
        <f t="shared" si="300"/>
        <v>2072</v>
      </c>
      <c r="DA270" s="147">
        <f t="shared" si="300"/>
        <v>2072</v>
      </c>
      <c r="DB270" s="147">
        <f t="shared" si="300"/>
        <v>2072</v>
      </c>
      <c r="DC270" s="147">
        <f t="shared" si="300"/>
        <v>2072</v>
      </c>
    </row>
    <row r="271" spans="2:107" hidden="1" outlineLevel="2">
      <c r="B271" s="134" t="s">
        <v>1047</v>
      </c>
      <c r="C271" s="135"/>
      <c r="D271" s="135"/>
      <c r="E271" s="135"/>
      <c r="F271" s="135"/>
      <c r="G271" s="135"/>
      <c r="H271" s="135"/>
      <c r="I271" s="135"/>
      <c r="J271" s="135"/>
      <c r="K271" s="135"/>
      <c r="L271" s="135"/>
      <c r="M271" s="136"/>
      <c r="N271" s="136"/>
      <c r="O271" s="136"/>
      <c r="P271" s="147"/>
      <c r="Q271" s="147"/>
      <c r="R271" s="147"/>
      <c r="S271" s="147"/>
      <c r="T271" s="147"/>
      <c r="U271" s="147"/>
      <c r="V271" s="147"/>
      <c r="W271" s="147"/>
      <c r="X271" s="147">
        <f>W271-5</f>
        <v>-5</v>
      </c>
      <c r="Y271" s="147">
        <f>X271-5</f>
        <v>-10</v>
      </c>
      <c r="Z271" s="147">
        <f>Y271-5</f>
        <v>-15</v>
      </c>
      <c r="AA271" s="147">
        <f t="shared" ref="AA271:AD271" si="301">Z271-5</f>
        <v>-20</v>
      </c>
      <c r="AB271" s="147">
        <f t="shared" si="301"/>
        <v>-25</v>
      </c>
      <c r="AC271" s="147">
        <f t="shared" si="301"/>
        <v>-30</v>
      </c>
      <c r="AD271" s="147">
        <f t="shared" si="301"/>
        <v>-35</v>
      </c>
      <c r="AE271" s="135"/>
      <c r="AF271" s="135"/>
      <c r="AG271" s="135"/>
      <c r="AH271" s="135"/>
      <c r="AI271" s="135"/>
      <c r="AJ271" s="135"/>
      <c r="AK271" s="135"/>
      <c r="AL271" s="135"/>
      <c r="AM271" s="135"/>
      <c r="AN271" s="135"/>
      <c r="AO271" s="135"/>
      <c r="AP271" s="135"/>
      <c r="AQ271" s="135"/>
      <c r="AR271" s="135"/>
      <c r="AS271" s="135"/>
      <c r="AT271" s="135"/>
      <c r="AU271" s="135"/>
      <c r="AV271" s="135"/>
      <c r="AW271" s="135"/>
      <c r="AX271" s="135"/>
      <c r="AY271" s="135"/>
      <c r="AZ271" s="135"/>
      <c r="BA271" s="135"/>
      <c r="BB271" s="135"/>
      <c r="BC271" s="135"/>
      <c r="BD271" s="137"/>
      <c r="BE271" s="137"/>
      <c r="BF271" s="137"/>
      <c r="BG271" s="137"/>
      <c r="BH271" s="137"/>
      <c r="BI271" s="137"/>
      <c r="BJ271" s="137"/>
      <c r="BK271" s="137"/>
      <c r="BL271" s="137"/>
      <c r="BM271" s="137"/>
      <c r="BN271" s="137"/>
      <c r="BO271" s="137"/>
      <c r="BP271" s="136"/>
      <c r="BQ271" s="136"/>
      <c r="BR271" s="136"/>
      <c r="BS271" s="136"/>
      <c r="BT271" s="136"/>
      <c r="BU271" s="136"/>
      <c r="BV271" s="147"/>
      <c r="BW271" s="147"/>
      <c r="BX271" s="147"/>
      <c r="BY271" s="147">
        <v>2068</v>
      </c>
      <c r="BZ271" s="147">
        <v>2068</v>
      </c>
      <c r="CA271" s="147">
        <v>2068</v>
      </c>
      <c r="CB271" s="147">
        <v>2068</v>
      </c>
      <c r="CC271" s="147">
        <v>2068</v>
      </c>
      <c r="CD271" s="147">
        <v>2068</v>
      </c>
      <c r="CE271" s="147">
        <v>2068</v>
      </c>
      <c r="CF271" s="147">
        <v>2068</v>
      </c>
      <c r="CG271" s="147">
        <v>2068</v>
      </c>
      <c r="CH271" s="147">
        <v>2068</v>
      </c>
      <c r="CI271" s="147">
        <v>2068</v>
      </c>
      <c r="CJ271" s="147">
        <v>2068</v>
      </c>
      <c r="CK271" s="147">
        <v>2068</v>
      </c>
      <c r="CL271" s="147">
        <v>2068</v>
      </c>
      <c r="CM271" s="147">
        <v>2068</v>
      </c>
      <c r="CN271" s="147">
        <v>2068</v>
      </c>
      <c r="CO271" s="147">
        <v>2068</v>
      </c>
      <c r="CP271" s="147">
        <v>2068</v>
      </c>
      <c r="CQ271" s="147">
        <v>2068</v>
      </c>
      <c r="CR271" s="147">
        <v>2068</v>
      </c>
      <c r="CS271" s="147">
        <v>2068</v>
      </c>
      <c r="CT271" s="147">
        <v>2068</v>
      </c>
      <c r="CU271" s="147">
        <v>2068</v>
      </c>
      <c r="CV271" s="147">
        <v>2068</v>
      </c>
      <c r="CW271" s="147">
        <v>2068</v>
      </c>
      <c r="CX271" s="147">
        <v>2068</v>
      </c>
      <c r="CY271" s="147">
        <v>2068</v>
      </c>
      <c r="CZ271" s="147">
        <v>2062</v>
      </c>
      <c r="DA271" s="147">
        <v>2062</v>
      </c>
      <c r="DB271" s="147">
        <v>2062</v>
      </c>
      <c r="DC271" s="147">
        <v>2062</v>
      </c>
    </row>
    <row r="272" spans="2:107" hidden="1" outlineLevel="2">
      <c r="B272" s="134" t="s">
        <v>1048</v>
      </c>
      <c r="C272" s="135"/>
      <c r="D272" s="135"/>
      <c r="E272" s="135"/>
      <c r="F272" s="135"/>
      <c r="G272" s="135"/>
      <c r="H272" s="135"/>
      <c r="I272" s="135"/>
      <c r="J272" s="135"/>
      <c r="K272" s="135"/>
      <c r="L272" s="135"/>
      <c r="M272" s="136"/>
      <c r="N272" s="136"/>
      <c r="O272" s="136"/>
      <c r="P272" s="147"/>
      <c r="Q272" s="147"/>
      <c r="R272" s="147"/>
      <c r="S272" s="147"/>
      <c r="T272" s="147"/>
      <c r="U272" s="147"/>
      <c r="V272" s="147"/>
      <c r="W272" s="147"/>
      <c r="X272" s="147">
        <f>X271-25</f>
        <v>-30</v>
      </c>
      <c r="Y272" s="147">
        <f>Y271-25</f>
        <v>-35</v>
      </c>
      <c r="Z272" s="147">
        <f>Z271-25</f>
        <v>-40</v>
      </c>
      <c r="AA272" s="147">
        <f t="shared" ref="AA272:AD272" si="302">AA271-25</f>
        <v>-45</v>
      </c>
      <c r="AB272" s="147">
        <f t="shared" si="302"/>
        <v>-50</v>
      </c>
      <c r="AC272" s="147">
        <f t="shared" si="302"/>
        <v>-55</v>
      </c>
      <c r="AD272" s="147">
        <f t="shared" si="302"/>
        <v>-60</v>
      </c>
      <c r="AE272" s="135"/>
      <c r="AF272" s="135"/>
      <c r="AG272" s="135"/>
      <c r="AH272" s="135"/>
      <c r="AI272" s="135"/>
      <c r="AJ272" s="135"/>
      <c r="AK272" s="135"/>
      <c r="AL272" s="135"/>
      <c r="AM272" s="135"/>
      <c r="AN272" s="135"/>
      <c r="AO272" s="135"/>
      <c r="AP272" s="135"/>
      <c r="AQ272" s="135"/>
      <c r="AR272" s="135"/>
      <c r="AS272" s="135"/>
      <c r="AT272" s="135"/>
      <c r="AU272" s="135"/>
      <c r="AV272" s="135"/>
      <c r="AW272" s="135"/>
      <c r="AX272" s="135"/>
      <c r="AY272" s="135"/>
      <c r="AZ272" s="135"/>
      <c r="BA272" s="135"/>
      <c r="BB272" s="135"/>
      <c r="BC272" s="135"/>
      <c r="BD272" s="137"/>
      <c r="BE272" s="137"/>
      <c r="BF272" s="137"/>
      <c r="BG272" s="137"/>
      <c r="BH272" s="137"/>
      <c r="BI272" s="137"/>
      <c r="BJ272" s="137"/>
      <c r="BK272" s="137"/>
      <c r="BL272" s="137"/>
      <c r="BM272" s="137"/>
      <c r="BN272" s="137"/>
      <c r="BO272" s="137"/>
      <c r="BP272" s="136"/>
      <c r="BQ272" s="136"/>
      <c r="BR272" s="136"/>
      <c r="BS272" s="136"/>
      <c r="BT272" s="136"/>
      <c r="BU272" s="136"/>
      <c r="BV272" s="147"/>
      <c r="BW272" s="147"/>
      <c r="BX272" s="147"/>
      <c r="BY272" s="147">
        <f t="shared" ref="BY272:CJ272" si="303">BY271-10</f>
        <v>2058</v>
      </c>
      <c r="BZ272" s="147">
        <f t="shared" si="303"/>
        <v>2058</v>
      </c>
      <c r="CA272" s="147">
        <f t="shared" si="303"/>
        <v>2058</v>
      </c>
      <c r="CB272" s="147">
        <f t="shared" si="303"/>
        <v>2058</v>
      </c>
      <c r="CC272" s="147">
        <f t="shared" si="303"/>
        <v>2058</v>
      </c>
      <c r="CD272" s="147">
        <f t="shared" si="303"/>
        <v>2058</v>
      </c>
      <c r="CE272" s="147">
        <f t="shared" si="303"/>
        <v>2058</v>
      </c>
      <c r="CF272" s="147">
        <f t="shared" si="303"/>
        <v>2058</v>
      </c>
      <c r="CG272" s="147">
        <f t="shared" si="303"/>
        <v>2058</v>
      </c>
      <c r="CH272" s="147">
        <f t="shared" si="303"/>
        <v>2058</v>
      </c>
      <c r="CI272" s="147">
        <f t="shared" si="303"/>
        <v>2058</v>
      </c>
      <c r="CJ272" s="147">
        <f t="shared" si="303"/>
        <v>2058</v>
      </c>
      <c r="CK272" s="147">
        <f t="shared" ref="CK272:CU272" si="304">CK271-10</f>
        <v>2058</v>
      </c>
      <c r="CL272" s="147">
        <f t="shared" si="304"/>
        <v>2058</v>
      </c>
      <c r="CM272" s="147">
        <f t="shared" si="304"/>
        <v>2058</v>
      </c>
      <c r="CN272" s="147">
        <f t="shared" si="304"/>
        <v>2058</v>
      </c>
      <c r="CO272" s="147">
        <f t="shared" si="304"/>
        <v>2058</v>
      </c>
      <c r="CP272" s="147">
        <f t="shared" si="304"/>
        <v>2058</v>
      </c>
      <c r="CQ272" s="147">
        <f t="shared" si="304"/>
        <v>2058</v>
      </c>
      <c r="CR272" s="147">
        <f t="shared" si="304"/>
        <v>2058</v>
      </c>
      <c r="CS272" s="147">
        <f t="shared" si="304"/>
        <v>2058</v>
      </c>
      <c r="CT272" s="147">
        <f t="shared" si="304"/>
        <v>2058</v>
      </c>
      <c r="CU272" s="147">
        <f t="shared" si="304"/>
        <v>2058</v>
      </c>
      <c r="CV272" s="147">
        <f>CV271-10</f>
        <v>2058</v>
      </c>
      <c r="CW272" s="147">
        <f>CW271-10</f>
        <v>2058</v>
      </c>
      <c r="CX272" s="147">
        <f>CX271-10</f>
        <v>2058</v>
      </c>
      <c r="CY272" s="147">
        <f>CY271-10</f>
        <v>2058</v>
      </c>
      <c r="CZ272" s="147">
        <f t="shared" ref="CZ272:DC272" si="305">CZ271-10</f>
        <v>2052</v>
      </c>
      <c r="DA272" s="147">
        <f t="shared" si="305"/>
        <v>2052</v>
      </c>
      <c r="DB272" s="147">
        <f t="shared" si="305"/>
        <v>2052</v>
      </c>
      <c r="DC272" s="147">
        <f t="shared" si="305"/>
        <v>2052</v>
      </c>
    </row>
    <row r="273" spans="2:107" hidden="1" outlineLevel="1">
      <c r="B273" s="198"/>
      <c r="C273" s="197"/>
      <c r="D273" s="31"/>
      <c r="E273" s="31"/>
      <c r="F273" s="31"/>
      <c r="G273" s="31"/>
      <c r="H273" s="31"/>
      <c r="I273" s="31"/>
      <c r="J273" s="31"/>
      <c r="K273" s="31"/>
      <c r="L273" s="31"/>
      <c r="M273" s="199"/>
      <c r="N273" s="199"/>
      <c r="O273" s="199"/>
      <c r="P273" s="199"/>
      <c r="Q273" s="199"/>
      <c r="R273" s="199"/>
      <c r="S273" s="199"/>
      <c r="T273" s="199"/>
      <c r="U273" s="199"/>
      <c r="V273" s="199"/>
      <c r="W273" s="199"/>
      <c r="X273" s="199"/>
      <c r="Y273" s="199"/>
      <c r="Z273" s="199"/>
      <c r="AA273" s="199"/>
      <c r="AB273" s="199"/>
      <c r="AC273" s="199"/>
      <c r="AD273" s="199"/>
      <c r="AE273" s="197"/>
      <c r="AF273" s="31"/>
      <c r="AG273" s="31"/>
      <c r="AH273" s="31"/>
      <c r="AI273" s="31"/>
      <c r="AJ273" s="31"/>
      <c r="AK273" s="31"/>
      <c r="AL273" s="31"/>
      <c r="AM273" s="31"/>
      <c r="AN273" s="31"/>
      <c r="AO273" s="31"/>
      <c r="AP273" s="31"/>
      <c r="AQ273" s="31"/>
      <c r="AR273" s="31"/>
      <c r="AS273" s="31"/>
      <c r="AT273" s="31"/>
      <c r="AU273" s="31"/>
      <c r="AV273" s="31"/>
      <c r="AW273" s="31"/>
      <c r="AX273" s="31"/>
      <c r="AY273" s="31"/>
      <c r="AZ273" s="31"/>
      <c r="BA273" s="31"/>
      <c r="BB273" s="31"/>
      <c r="BC273" s="31"/>
      <c r="BD273" s="32"/>
      <c r="BE273" s="32"/>
      <c r="BF273" s="32"/>
      <c r="BG273" s="32"/>
      <c r="BH273" s="32"/>
      <c r="BI273" s="32"/>
      <c r="BJ273" s="32"/>
      <c r="BK273" s="32"/>
      <c r="BL273" s="32"/>
      <c r="BM273" s="32"/>
      <c r="BN273" s="32"/>
      <c r="BO273" s="32"/>
      <c r="BP273" s="199"/>
      <c r="BQ273" s="199"/>
      <c r="BR273" s="199"/>
      <c r="BS273" s="199"/>
      <c r="BT273" s="199"/>
      <c r="BU273" s="199"/>
      <c r="BV273" s="199"/>
      <c r="BW273" s="199"/>
      <c r="BX273" s="199"/>
      <c r="BY273" s="199"/>
      <c r="BZ273" s="199"/>
      <c r="CA273" s="199"/>
      <c r="CB273" s="199"/>
      <c r="CC273" s="199"/>
      <c r="CD273" s="199"/>
      <c r="CE273" s="199"/>
      <c r="CF273" s="199"/>
      <c r="CG273" s="199"/>
      <c r="CH273" s="199"/>
      <c r="CI273" s="199"/>
      <c r="CJ273" s="199"/>
      <c r="CK273" s="199"/>
      <c r="CL273" s="199"/>
      <c r="CM273" s="199"/>
      <c r="CN273" s="199"/>
      <c r="CO273" s="199"/>
      <c r="CP273" s="199"/>
      <c r="CQ273" s="199"/>
      <c r="CR273" s="199"/>
      <c r="CS273" s="199"/>
      <c r="CT273" s="199"/>
      <c r="CU273" s="199"/>
      <c r="CV273" s="199"/>
      <c r="CW273" s="199"/>
      <c r="CX273" s="199"/>
      <c r="CY273" s="199"/>
      <c r="CZ273" s="199"/>
      <c r="DA273" s="199"/>
      <c r="DB273" s="199"/>
      <c r="DC273" s="199"/>
    </row>
    <row r="274" spans="2:107" collapsed="1">
      <c r="B274" s="142" t="s">
        <v>231</v>
      </c>
      <c r="C274" s="23"/>
      <c r="D274" s="15"/>
      <c r="E274" s="15"/>
      <c r="F274" s="15"/>
      <c r="G274" s="15"/>
      <c r="H274" s="15"/>
      <c r="I274" s="15"/>
      <c r="J274" s="15"/>
      <c r="K274" s="15"/>
      <c r="L274" s="51"/>
      <c r="M274" s="24"/>
      <c r="N274" s="150"/>
      <c r="O274" s="150"/>
      <c r="P274" s="150">
        <f>AVERAGE(BX274:CA274)</f>
        <v>2121.75</v>
      </c>
      <c r="Q274" s="150">
        <f>AVERAGE(CB274:CE274)</f>
        <v>2224.75</v>
      </c>
      <c r="R274" s="150">
        <f>AVERAGE(CF274:CI274)</f>
        <v>2243</v>
      </c>
      <c r="S274" s="150">
        <f>AVERAGE(CJ274:CM274)</f>
        <v>2393.25</v>
      </c>
      <c r="T274" s="150">
        <f>AVERAGE(CN274:CQ274)</f>
        <v>2453.5</v>
      </c>
      <c r="U274" s="150">
        <f>AVERAGE(CR274:CU274)</f>
        <v>2517.5</v>
      </c>
      <c r="V274" s="150">
        <f>AVERAGE(CV274:CY274)</f>
        <v>2524</v>
      </c>
      <c r="W274" s="150">
        <f ca="1">AVERAGE(CZ274:DC274)</f>
        <v>2378.4130240245704</v>
      </c>
      <c r="X274" s="1154">
        <f ca="1">+W274*(1+X275)</f>
        <v>2390.3050891446928</v>
      </c>
      <c r="Y274" s="1154">
        <f ca="1">+X274*(1+Y275)</f>
        <v>2401.0614620458437</v>
      </c>
      <c r="Z274" s="1154">
        <f ca="1">+Y274*(1+Z275)</f>
        <v>2410.665707894027</v>
      </c>
      <c r="AA274" s="1154">
        <f t="shared" ref="AA274:AD274" ca="1" si="306">+Z274*(1+AA275)</f>
        <v>2419.1030378716564</v>
      </c>
      <c r="AB274" s="1154">
        <f t="shared" ca="1" si="306"/>
        <v>2426.360346985271</v>
      </c>
      <c r="AC274" s="1154">
        <f t="shared" ca="1" si="306"/>
        <v>2432.4262478527339</v>
      </c>
      <c r="AD274" s="1154">
        <f t="shared" ca="1" si="306"/>
        <v>2437.2911003484396</v>
      </c>
      <c r="AE274" s="23"/>
      <c r="AF274" s="23"/>
      <c r="AG274" s="23"/>
      <c r="AH274" s="23"/>
      <c r="AI274" s="23"/>
      <c r="AJ274" s="23"/>
      <c r="AK274" s="23"/>
      <c r="AL274" s="23"/>
      <c r="AM274" s="23"/>
      <c r="AN274" s="23"/>
      <c r="AO274" s="23"/>
      <c r="AP274" s="23"/>
      <c r="AQ274" s="23"/>
      <c r="AR274" s="23"/>
      <c r="AS274" s="23"/>
      <c r="AT274" s="23"/>
      <c r="AU274" s="23"/>
      <c r="AV274" s="23"/>
      <c r="AW274" s="23"/>
      <c r="AX274" s="23"/>
      <c r="AY274" s="23"/>
      <c r="AZ274" s="23"/>
      <c r="BA274" s="23"/>
      <c r="BB274" s="23"/>
      <c r="BC274" s="23"/>
      <c r="BD274" s="144"/>
      <c r="BE274" s="144"/>
      <c r="BF274" s="144"/>
      <c r="BG274" s="144"/>
      <c r="BH274" s="144"/>
      <c r="BI274" s="144"/>
      <c r="BJ274" s="144"/>
      <c r="BK274" s="144"/>
      <c r="BL274" s="144"/>
      <c r="BM274" s="144"/>
      <c r="BN274" s="144"/>
      <c r="BO274" s="144"/>
      <c r="BP274" s="144"/>
      <c r="BQ274" s="144"/>
      <c r="BR274" s="144"/>
      <c r="BS274" s="144"/>
      <c r="BT274" s="144"/>
      <c r="BU274" s="144">
        <v>2051</v>
      </c>
      <c r="BV274" s="144">
        <v>2059</v>
      </c>
      <c r="BW274" s="144">
        <v>2056</v>
      </c>
      <c r="BX274" s="144">
        <v>2080</v>
      </c>
      <c r="BY274" s="144">
        <v>2100</v>
      </c>
      <c r="BZ274" s="144">
        <v>2141</v>
      </c>
      <c r="CA274" s="144">
        <v>2166</v>
      </c>
      <c r="CB274" s="144">
        <v>2207</v>
      </c>
      <c r="CC274" s="144">
        <v>2212</v>
      </c>
      <c r="CD274" s="144">
        <v>2232</v>
      </c>
      <c r="CE274" s="144">
        <v>2248</v>
      </c>
      <c r="CF274" s="144">
        <v>2223</v>
      </c>
      <c r="CG274" s="144">
        <v>2225</v>
      </c>
      <c r="CH274" s="144">
        <v>2262</v>
      </c>
      <c r="CI274" s="144">
        <v>2262</v>
      </c>
      <c r="CJ274" s="144">
        <v>2354</v>
      </c>
      <c r="CK274" s="144">
        <v>2378</v>
      </c>
      <c r="CL274" s="144">
        <v>2403</v>
      </c>
      <c r="CM274" s="144">
        <v>2438</v>
      </c>
      <c r="CN274" s="144">
        <v>2450</v>
      </c>
      <c r="CO274" s="144">
        <v>2450</v>
      </c>
      <c r="CP274" s="144">
        <v>2454</v>
      </c>
      <c r="CQ274" s="144">
        <v>2460</v>
      </c>
      <c r="CR274" s="144">
        <v>2482</v>
      </c>
      <c r="CS274" s="144">
        <v>2518</v>
      </c>
      <c r="CT274" s="144">
        <v>2524</v>
      </c>
      <c r="CU274" s="144">
        <v>2546</v>
      </c>
      <c r="CV274" s="144">
        <v>2567</v>
      </c>
      <c r="CW274" s="144">
        <v>2578</v>
      </c>
      <c r="CX274" s="144">
        <v>2580</v>
      </c>
      <c r="CY274" s="144">
        <v>2371</v>
      </c>
      <c r="CZ274" s="149">
        <f t="shared" ref="CZ274:DC274" ca="1" si="307">+CY274*(1+CZ276)</f>
        <v>2365.0725000000002</v>
      </c>
      <c r="DA274" s="149">
        <f t="shared" ca="1" si="307"/>
        <v>2370.9851812500001</v>
      </c>
      <c r="DB274" s="149">
        <f t="shared" ca="1" si="307"/>
        <v>2382.8401071562498</v>
      </c>
      <c r="DC274" s="149">
        <f t="shared" ca="1" si="307"/>
        <v>2394.754307692031</v>
      </c>
    </row>
    <row r="275" spans="2:107">
      <c r="B275" s="18" t="s">
        <v>709</v>
      </c>
      <c r="C275" s="23"/>
      <c r="D275" s="15"/>
      <c r="E275" s="15"/>
      <c r="F275" s="15"/>
      <c r="G275" s="15"/>
      <c r="H275" s="15"/>
      <c r="I275" s="15"/>
      <c r="J275" s="15"/>
      <c r="K275" s="15"/>
      <c r="L275" s="51"/>
      <c r="M275" s="24"/>
      <c r="N275" s="55"/>
      <c r="O275" s="56"/>
      <c r="P275" s="56"/>
      <c r="Q275" s="56">
        <f t="shared" ref="Q275:W275" si="308">Q274/P274-1</f>
        <v>4.8544833274419608E-2</v>
      </c>
      <c r="R275" s="56">
        <f t="shared" si="308"/>
        <v>8.2031688953814186E-3</v>
      </c>
      <c r="S275" s="56">
        <f t="shared" si="308"/>
        <v>6.6986179224253206E-2</v>
      </c>
      <c r="T275" s="56">
        <f t="shared" si="308"/>
        <v>2.5174971273373092E-2</v>
      </c>
      <c r="U275" s="56">
        <f t="shared" si="308"/>
        <v>2.6085184430405528E-2</v>
      </c>
      <c r="V275" s="56">
        <f t="shared" si="308"/>
        <v>2.5819265143991466E-3</v>
      </c>
      <c r="W275" s="56">
        <f t="shared" ca="1" si="308"/>
        <v>-5.7681052288205081E-2</v>
      </c>
      <c r="X275" s="1621">
        <f t="shared" ref="X275:AD275" si="309">CHOOSE(mode,X277,X278,X279)</f>
        <v>5.0000000000000001E-3</v>
      </c>
      <c r="Y275" s="1621">
        <f t="shared" si="309"/>
        <v>4.5000000000000005E-3</v>
      </c>
      <c r="Z275" s="1621">
        <f t="shared" si="309"/>
        <v>4.0000000000000001E-3</v>
      </c>
      <c r="AA275" s="1621">
        <f t="shared" si="309"/>
        <v>3.5000000000000001E-3</v>
      </c>
      <c r="AB275" s="1621">
        <f t="shared" si="309"/>
        <v>3.0000000000000001E-3</v>
      </c>
      <c r="AC275" s="1621">
        <f t="shared" si="309"/>
        <v>2.5000000000000001E-3</v>
      </c>
      <c r="AD275" s="1621">
        <f t="shared" si="309"/>
        <v>2E-3</v>
      </c>
      <c r="AE275" s="23"/>
      <c r="AF275" s="23"/>
      <c r="AG275" s="23"/>
      <c r="AH275" s="23"/>
      <c r="AI275" s="23"/>
      <c r="AJ275" s="23"/>
      <c r="AK275" s="23"/>
      <c r="AL275" s="23"/>
      <c r="AM275" s="23"/>
      <c r="AN275" s="23"/>
      <c r="AO275" s="23"/>
      <c r="AP275" s="23"/>
      <c r="AQ275" s="23"/>
      <c r="AR275" s="23"/>
      <c r="AS275" s="23"/>
      <c r="AT275" s="23"/>
      <c r="AU275" s="23"/>
      <c r="AV275" s="23"/>
      <c r="AW275" s="23"/>
      <c r="AX275" s="23"/>
      <c r="AY275" s="23"/>
      <c r="AZ275" s="23"/>
      <c r="BA275" s="23"/>
      <c r="BB275" s="23"/>
      <c r="BC275" s="23"/>
      <c r="BD275" s="23"/>
      <c r="BE275" s="51"/>
      <c r="BF275" s="51"/>
      <c r="BG275" s="56"/>
      <c r="BH275" s="56"/>
      <c r="BI275" s="56"/>
      <c r="BJ275" s="56"/>
      <c r="BK275" s="56"/>
      <c r="BL275" s="56"/>
      <c r="BM275" s="56"/>
      <c r="BN275" s="56"/>
      <c r="BO275" s="56"/>
      <c r="BP275" s="56"/>
      <c r="BQ275" s="56"/>
      <c r="BR275" s="56"/>
      <c r="BS275" s="56"/>
      <c r="BT275" s="56"/>
      <c r="BU275" s="56"/>
      <c r="BV275" s="56"/>
      <c r="BW275" s="56"/>
      <c r="BX275" s="56"/>
      <c r="BY275" s="56">
        <f t="shared" ref="BY275:CY275" si="310">BY274/BU274-1</f>
        <v>2.3890784982935065E-2</v>
      </c>
      <c r="BZ275" s="56">
        <f t="shared" si="310"/>
        <v>3.9825157843613512E-2</v>
      </c>
      <c r="CA275" s="56">
        <f t="shared" si="310"/>
        <v>5.3501945525291861E-2</v>
      </c>
      <c r="CB275" s="56">
        <f t="shared" si="310"/>
        <v>6.1057692307692202E-2</v>
      </c>
      <c r="CC275" s="56">
        <f t="shared" si="310"/>
        <v>5.3333333333333233E-2</v>
      </c>
      <c r="CD275" s="56">
        <f t="shared" si="310"/>
        <v>4.2503503035964396E-2</v>
      </c>
      <c r="CE275" s="56">
        <f t="shared" si="310"/>
        <v>3.7857802400738771E-2</v>
      </c>
      <c r="CF275" s="56">
        <f t="shared" si="310"/>
        <v>7.2496601721794285E-3</v>
      </c>
      <c r="CG275" s="56">
        <f t="shared" si="310"/>
        <v>5.8770343580469842E-3</v>
      </c>
      <c r="CH275" s="56">
        <f t="shared" si="310"/>
        <v>1.3440860215053752E-2</v>
      </c>
      <c r="CI275" s="56">
        <f t="shared" si="310"/>
        <v>6.2277580071175009E-3</v>
      </c>
      <c r="CJ275" s="56">
        <f t="shared" si="310"/>
        <v>5.8929374718848404E-2</v>
      </c>
      <c r="CK275" s="56">
        <f t="shared" si="310"/>
        <v>6.8764044943820268E-2</v>
      </c>
      <c r="CL275" s="56">
        <f t="shared" si="310"/>
        <v>6.2334217506631262E-2</v>
      </c>
      <c r="CM275" s="56">
        <f t="shared" si="310"/>
        <v>7.78072502210434E-2</v>
      </c>
      <c r="CN275" s="56">
        <f t="shared" si="310"/>
        <v>4.0781648258283676E-2</v>
      </c>
      <c r="CO275" s="56">
        <f t="shared" si="310"/>
        <v>3.0277544154751812E-2</v>
      </c>
      <c r="CP275" s="56">
        <f t="shared" si="310"/>
        <v>2.1223470661672961E-2</v>
      </c>
      <c r="CQ275" s="56">
        <f t="shared" si="310"/>
        <v>9.0237899917966491E-3</v>
      </c>
      <c r="CR275" s="56">
        <f t="shared" si="310"/>
        <v>1.3061224489795853E-2</v>
      </c>
      <c r="CS275" s="56">
        <f t="shared" si="310"/>
        <v>2.7755102040816437E-2</v>
      </c>
      <c r="CT275" s="56">
        <f t="shared" si="310"/>
        <v>2.8524857375713086E-2</v>
      </c>
      <c r="CU275" s="56">
        <f t="shared" si="310"/>
        <v>3.4959349593495892E-2</v>
      </c>
      <c r="CV275" s="56">
        <f t="shared" si="310"/>
        <v>3.4246575342465668E-2</v>
      </c>
      <c r="CW275" s="56">
        <f t="shared" si="310"/>
        <v>2.3828435266084247E-2</v>
      </c>
      <c r="CX275" s="56">
        <f t="shared" si="310"/>
        <v>2.2187004754358197E-2</v>
      </c>
      <c r="CY275" s="56">
        <f t="shared" si="310"/>
        <v>-6.8735271013354304E-2</v>
      </c>
      <c r="CZ275" s="56">
        <f t="shared" ref="CZ275:DC275" ca="1" si="311">CZ274/CV274-1</f>
        <v>-7.8662835995325198E-2</v>
      </c>
      <c r="DA275" s="56">
        <f t="shared" ca="1" si="311"/>
        <v>-8.030055032971295E-2</v>
      </c>
      <c r="DB275" s="56">
        <f t="shared" ca="1" si="311"/>
        <v>-7.6418563117732652E-2</v>
      </c>
      <c r="DC275" s="56">
        <f t="shared" ca="1" si="311"/>
        <v>1.0018687343749999E-2</v>
      </c>
    </row>
    <row r="276" spans="2:107">
      <c r="B276" s="18" t="s">
        <v>710</v>
      </c>
      <c r="C276" s="23"/>
      <c r="D276" s="15"/>
      <c r="E276" s="15"/>
      <c r="F276" s="15"/>
      <c r="G276" s="15"/>
      <c r="H276" s="15"/>
      <c r="I276" s="15"/>
      <c r="J276" s="15"/>
      <c r="K276" s="15"/>
      <c r="L276" s="51"/>
      <c r="M276" s="24"/>
      <c r="N276" s="55"/>
      <c r="O276" s="55"/>
      <c r="P276" s="55"/>
      <c r="Q276" s="55"/>
      <c r="R276" s="55"/>
      <c r="S276" s="55"/>
      <c r="T276" s="55"/>
      <c r="U276" s="55"/>
      <c r="V276" s="55"/>
      <c r="W276" s="55"/>
      <c r="X276" s="55"/>
      <c r="Y276" s="55"/>
      <c r="Z276" s="55"/>
      <c r="AA276" s="55"/>
      <c r="AB276" s="55"/>
      <c r="AC276" s="55"/>
      <c r="AD276" s="55"/>
      <c r="AE276" s="23"/>
      <c r="AF276" s="23"/>
      <c r="AG276" s="23"/>
      <c r="AH276" s="23"/>
      <c r="AI276" s="23"/>
      <c r="AJ276" s="23"/>
      <c r="AK276" s="23"/>
      <c r="AL276" s="23"/>
      <c r="AM276" s="23"/>
      <c r="AN276" s="23"/>
      <c r="AO276" s="23"/>
      <c r="AP276" s="23"/>
      <c r="AQ276" s="23"/>
      <c r="AR276" s="23"/>
      <c r="AS276" s="23"/>
      <c r="AT276" s="23"/>
      <c r="AU276" s="23"/>
      <c r="AV276" s="23"/>
      <c r="AW276" s="23"/>
      <c r="AX276" s="23"/>
      <c r="AY276" s="23"/>
      <c r="AZ276" s="23"/>
      <c r="BA276" s="23"/>
      <c r="BB276" s="23"/>
      <c r="BC276" s="23"/>
      <c r="BD276" s="23"/>
      <c r="BE276" s="56"/>
      <c r="BF276" s="56"/>
      <c r="BG276" s="56"/>
      <c r="BH276" s="56"/>
      <c r="BI276" s="56"/>
      <c r="BJ276" s="56"/>
      <c r="BK276" s="56"/>
      <c r="BL276" s="56"/>
      <c r="BM276" s="56"/>
      <c r="BN276" s="56"/>
      <c r="BO276" s="56"/>
      <c r="BP276" s="56"/>
      <c r="BQ276" s="56"/>
      <c r="BR276" s="56"/>
      <c r="BS276" s="56"/>
      <c r="BT276" s="56"/>
      <c r="BU276" s="56"/>
      <c r="BV276" s="56">
        <f t="shared" ref="BV276:CY276" si="312">BV274/BU274-1</f>
        <v>3.9005363237445412E-3</v>
      </c>
      <c r="BW276" s="56">
        <f t="shared" si="312"/>
        <v>-1.4570179698882857E-3</v>
      </c>
      <c r="BX276" s="56">
        <f t="shared" si="312"/>
        <v>1.1673151750972721E-2</v>
      </c>
      <c r="BY276" s="56">
        <f t="shared" si="312"/>
        <v>9.6153846153845812E-3</v>
      </c>
      <c r="BZ276" s="56">
        <f t="shared" si="312"/>
        <v>1.9523809523809499E-2</v>
      </c>
      <c r="CA276" s="56">
        <f t="shared" si="312"/>
        <v>1.1676786548341811E-2</v>
      </c>
      <c r="CB276" s="56">
        <f t="shared" si="312"/>
        <v>1.8928901200369275E-2</v>
      </c>
      <c r="CC276" s="56">
        <f t="shared" si="312"/>
        <v>2.2655188038060992E-3</v>
      </c>
      <c r="CD276" s="56">
        <f t="shared" si="312"/>
        <v>9.0415913200723175E-3</v>
      </c>
      <c r="CE276" s="56">
        <f t="shared" si="312"/>
        <v>7.1684587813620748E-3</v>
      </c>
      <c r="CF276" s="56">
        <f t="shared" si="312"/>
        <v>-1.1120996441281172E-2</v>
      </c>
      <c r="CG276" s="56">
        <f t="shared" si="312"/>
        <v>8.9968511021143449E-4</v>
      </c>
      <c r="CH276" s="56">
        <f t="shared" si="312"/>
        <v>1.6629213483146055E-2</v>
      </c>
      <c r="CI276" s="56">
        <f t="shared" si="312"/>
        <v>0</v>
      </c>
      <c r="CJ276" s="56">
        <f t="shared" si="312"/>
        <v>4.0671971706454535E-2</v>
      </c>
      <c r="CK276" s="56">
        <f t="shared" si="312"/>
        <v>1.0195412064570863E-2</v>
      </c>
      <c r="CL276" s="56">
        <f t="shared" si="312"/>
        <v>1.0513036164844447E-2</v>
      </c>
      <c r="CM276" s="56">
        <f t="shared" si="312"/>
        <v>1.4565126924677596E-2</v>
      </c>
      <c r="CN276" s="56">
        <f t="shared" si="312"/>
        <v>4.9220672682526168E-3</v>
      </c>
      <c r="CO276" s="56">
        <f t="shared" si="312"/>
        <v>0</v>
      </c>
      <c r="CP276" s="56">
        <f t="shared" si="312"/>
        <v>1.6326530612245094E-3</v>
      </c>
      <c r="CQ276" s="56">
        <f t="shared" si="312"/>
        <v>2.4449877750611915E-3</v>
      </c>
      <c r="CR276" s="56">
        <f t="shared" si="312"/>
        <v>8.9430894308943909E-3</v>
      </c>
      <c r="CS276" s="56">
        <f t="shared" si="312"/>
        <v>1.4504431909750259E-2</v>
      </c>
      <c r="CT276" s="56">
        <f t="shared" si="312"/>
        <v>2.3828435266084469E-3</v>
      </c>
      <c r="CU276" s="56">
        <f t="shared" si="312"/>
        <v>8.7163232963549664E-3</v>
      </c>
      <c r="CV276" s="56">
        <f t="shared" si="312"/>
        <v>8.2482325216024499E-3</v>
      </c>
      <c r="CW276" s="56">
        <f t="shared" si="312"/>
        <v>4.2851577717180067E-3</v>
      </c>
      <c r="CX276" s="56">
        <f t="shared" si="312"/>
        <v>7.7579519006976128E-4</v>
      </c>
      <c r="CY276" s="56">
        <f t="shared" si="312"/>
        <v>-8.1007751937984485E-2</v>
      </c>
      <c r="CZ276" s="1621">
        <f ca="1">+OFFSET(CZ276,mode,0)</f>
        <v>-2.5000000000000001E-3</v>
      </c>
      <c r="DA276" s="1621">
        <f ca="1">+OFFSET(DA276,mode,0)</f>
        <v>2.5000000000000001E-3</v>
      </c>
      <c r="DB276" s="1621">
        <f ca="1">+OFFSET(DB276,mode,0)</f>
        <v>5.0000000000000001E-3</v>
      </c>
      <c r="DC276" s="1621">
        <f ca="1">+OFFSET(DC276,mode,0)</f>
        <v>5.0000000000000001E-3</v>
      </c>
    </row>
    <row r="277" spans="2:107">
      <c r="B277" s="134" t="s">
        <v>1046</v>
      </c>
      <c r="C277" s="135"/>
      <c r="D277" s="135"/>
      <c r="E277" s="135"/>
      <c r="F277" s="135"/>
      <c r="G277" s="135"/>
      <c r="H277" s="135"/>
      <c r="I277" s="135"/>
      <c r="J277" s="135"/>
      <c r="K277" s="135"/>
      <c r="L277" s="135"/>
      <c r="M277" s="136"/>
      <c r="N277" s="136"/>
      <c r="O277" s="136"/>
      <c r="P277" s="147"/>
      <c r="Q277" s="147"/>
      <c r="R277" s="147"/>
      <c r="S277" s="147"/>
      <c r="T277" s="147"/>
      <c r="U277" s="147"/>
      <c r="V277" s="147"/>
      <c r="W277" s="147"/>
      <c r="X277" s="136">
        <f>+X278+0.0125</f>
        <v>1.7500000000000002E-2</v>
      </c>
      <c r="Y277" s="136">
        <f>+Y278+0.0125</f>
        <v>1.7000000000000001E-2</v>
      </c>
      <c r="Z277" s="136">
        <f>+Z278+0.0125</f>
        <v>1.6500000000000001E-2</v>
      </c>
      <c r="AA277" s="136">
        <f t="shared" ref="AA277:AD277" si="313">+AA278+0.0125</f>
        <v>1.6E-2</v>
      </c>
      <c r="AB277" s="136">
        <f t="shared" si="313"/>
        <v>1.55E-2</v>
      </c>
      <c r="AC277" s="136">
        <f t="shared" si="313"/>
        <v>1.5000000000000001E-2</v>
      </c>
      <c r="AD277" s="136">
        <f t="shared" si="313"/>
        <v>1.4500000000000001E-2</v>
      </c>
      <c r="AE277" s="135"/>
      <c r="AF277" s="135"/>
      <c r="AG277" s="135"/>
      <c r="AH277" s="135"/>
      <c r="AI277" s="135"/>
      <c r="AJ277" s="135"/>
      <c r="AK277" s="135"/>
      <c r="AL277" s="135"/>
      <c r="AM277" s="135"/>
      <c r="AN277" s="135"/>
      <c r="AO277" s="135"/>
      <c r="AP277" s="135"/>
      <c r="AQ277" s="135"/>
      <c r="AR277" s="135"/>
      <c r="AS277" s="135"/>
      <c r="AT277" s="135"/>
      <c r="AU277" s="135"/>
      <c r="AV277" s="135"/>
      <c r="AW277" s="135"/>
      <c r="AX277" s="135"/>
      <c r="AY277" s="135"/>
      <c r="AZ277" s="135"/>
      <c r="BA277" s="135"/>
      <c r="BB277" s="135"/>
      <c r="BC277" s="135"/>
      <c r="BD277" s="137"/>
      <c r="BE277" s="137"/>
      <c r="BF277" s="137"/>
      <c r="BG277" s="137"/>
      <c r="BH277" s="137"/>
      <c r="BI277" s="137"/>
      <c r="BJ277" s="137"/>
      <c r="BK277" s="137"/>
      <c r="BL277" s="137"/>
      <c r="BM277" s="137"/>
      <c r="BN277" s="137"/>
      <c r="BO277" s="137"/>
      <c r="BP277" s="136"/>
      <c r="BQ277" s="136"/>
      <c r="BR277" s="136"/>
      <c r="BS277" s="136"/>
      <c r="BT277" s="136"/>
      <c r="BU277" s="136"/>
      <c r="BV277" s="147"/>
      <c r="BW277" s="147"/>
      <c r="BX277" s="147"/>
      <c r="BY277" s="147"/>
      <c r="BZ277" s="147"/>
      <c r="CA277" s="147"/>
      <c r="CB277" s="147"/>
      <c r="CC277" s="147"/>
      <c r="CD277" s="147"/>
      <c r="CE277" s="147"/>
      <c r="CF277" s="147"/>
      <c r="CG277" s="147"/>
      <c r="CH277" s="147"/>
      <c r="CI277" s="147"/>
      <c r="CJ277" s="147"/>
      <c r="CK277" s="147"/>
      <c r="CL277" s="147"/>
      <c r="CM277" s="147"/>
      <c r="CN277" s="147"/>
      <c r="CO277" s="147"/>
      <c r="CP277" s="147"/>
      <c r="CQ277" s="147"/>
      <c r="CR277" s="147"/>
      <c r="CS277" s="147"/>
      <c r="CT277" s="147"/>
      <c r="CU277" s="147"/>
      <c r="CV277" s="147"/>
      <c r="CW277" s="147"/>
      <c r="CX277" s="147"/>
      <c r="CY277" s="147"/>
      <c r="CZ277" s="136">
        <f>+CZ278+0.005</f>
        <v>2.5000000000000001E-3</v>
      </c>
      <c r="DA277" s="136">
        <f t="shared" ref="DA277:DC277" si="314">+DA278+0.005</f>
        <v>7.4999999999999997E-3</v>
      </c>
      <c r="DB277" s="136">
        <f t="shared" si="314"/>
        <v>0.01</v>
      </c>
      <c r="DC277" s="136">
        <f t="shared" si="314"/>
        <v>0.01</v>
      </c>
    </row>
    <row r="278" spans="2:107">
      <c r="B278" s="134" t="s">
        <v>1047</v>
      </c>
      <c r="C278" s="135"/>
      <c r="D278" s="135"/>
      <c r="E278" s="135"/>
      <c r="F278" s="135"/>
      <c r="G278" s="135"/>
      <c r="H278" s="135"/>
      <c r="I278" s="135"/>
      <c r="J278" s="135"/>
      <c r="K278" s="135"/>
      <c r="L278" s="135"/>
      <c r="M278" s="136"/>
      <c r="N278" s="136"/>
      <c r="O278" s="136"/>
      <c r="P278" s="147"/>
      <c r="Q278" s="147"/>
      <c r="R278" s="147"/>
      <c r="S278" s="147"/>
      <c r="T278" s="147"/>
      <c r="U278" s="147"/>
      <c r="V278" s="147"/>
      <c r="W278" s="147"/>
      <c r="X278" s="136">
        <v>5.0000000000000001E-3</v>
      </c>
      <c r="Y278" s="136">
        <f>+X278-0.0005</f>
        <v>4.5000000000000005E-3</v>
      </c>
      <c r="Z278" s="136">
        <f>+Y278-0.0005</f>
        <v>4.0000000000000001E-3</v>
      </c>
      <c r="AA278" s="136">
        <f t="shared" ref="AA278:AD278" si="315">+Z278-0.0005</f>
        <v>3.5000000000000001E-3</v>
      </c>
      <c r="AB278" s="136">
        <f t="shared" si="315"/>
        <v>3.0000000000000001E-3</v>
      </c>
      <c r="AC278" s="136">
        <f t="shared" si="315"/>
        <v>2.5000000000000001E-3</v>
      </c>
      <c r="AD278" s="136">
        <f t="shared" si="315"/>
        <v>2E-3</v>
      </c>
      <c r="AE278" s="135"/>
      <c r="AF278" s="135"/>
      <c r="AG278" s="135"/>
      <c r="AH278" s="135"/>
      <c r="AI278" s="135"/>
      <c r="AJ278" s="135"/>
      <c r="AK278" s="135"/>
      <c r="AL278" s="135"/>
      <c r="AM278" s="135"/>
      <c r="AN278" s="135"/>
      <c r="AO278" s="135"/>
      <c r="AP278" s="135"/>
      <c r="AQ278" s="135"/>
      <c r="AR278" s="135"/>
      <c r="AS278" s="135"/>
      <c r="AT278" s="135"/>
      <c r="AU278" s="135"/>
      <c r="AV278" s="135"/>
      <c r="AW278" s="135"/>
      <c r="AX278" s="135"/>
      <c r="AY278" s="135"/>
      <c r="AZ278" s="135"/>
      <c r="BA278" s="135"/>
      <c r="BB278" s="135"/>
      <c r="BC278" s="135"/>
      <c r="BD278" s="137"/>
      <c r="BE278" s="137"/>
      <c r="BF278" s="137"/>
      <c r="BG278" s="137"/>
      <c r="BH278" s="137"/>
      <c r="BI278" s="137"/>
      <c r="BJ278" s="137"/>
      <c r="BK278" s="137"/>
      <c r="BL278" s="137"/>
      <c r="BM278" s="137"/>
      <c r="BN278" s="137"/>
      <c r="BO278" s="137"/>
      <c r="BP278" s="136"/>
      <c r="BQ278" s="136"/>
      <c r="BR278" s="136"/>
      <c r="BS278" s="136"/>
      <c r="BT278" s="136"/>
      <c r="BU278" s="136"/>
      <c r="BV278" s="147"/>
      <c r="BW278" s="147"/>
      <c r="BX278" s="147"/>
      <c r="BY278" s="147"/>
      <c r="BZ278" s="147"/>
      <c r="CA278" s="147"/>
      <c r="CB278" s="1615"/>
      <c r="CC278" s="1615"/>
      <c r="CD278" s="1615"/>
      <c r="CE278" s="1615"/>
      <c r="CF278" s="1615"/>
      <c r="CG278" s="1615"/>
      <c r="CH278" s="1615"/>
      <c r="CI278" s="1615"/>
      <c r="CJ278" s="1615"/>
      <c r="CK278" s="1615"/>
      <c r="CL278" s="1615"/>
      <c r="CM278" s="1615"/>
      <c r="CN278" s="1615"/>
      <c r="CO278" s="1615"/>
      <c r="CP278" s="1615"/>
      <c r="CQ278" s="1615"/>
      <c r="CR278" s="1615"/>
      <c r="CS278" s="1615"/>
      <c r="CT278" s="1615"/>
      <c r="CU278" s="1615"/>
      <c r="CV278" s="1615"/>
      <c r="CW278" s="1615"/>
      <c r="CX278" s="1615"/>
      <c r="CY278" s="1615"/>
      <c r="CZ278" s="136">
        <v>-2.5000000000000001E-3</v>
      </c>
      <c r="DA278" s="136">
        <v>2.5000000000000001E-3</v>
      </c>
      <c r="DB278" s="136">
        <v>5.0000000000000001E-3</v>
      </c>
      <c r="DC278" s="136">
        <v>5.0000000000000001E-3</v>
      </c>
    </row>
    <row r="279" spans="2:107">
      <c r="B279" s="134" t="s">
        <v>1048</v>
      </c>
      <c r="C279" s="135"/>
      <c r="D279" s="135"/>
      <c r="E279" s="135"/>
      <c r="F279" s="135"/>
      <c r="G279" s="135"/>
      <c r="H279" s="135"/>
      <c r="I279" s="135"/>
      <c r="J279" s="135"/>
      <c r="K279" s="135"/>
      <c r="L279" s="135"/>
      <c r="M279" s="136"/>
      <c r="N279" s="136"/>
      <c r="O279" s="136"/>
      <c r="P279" s="147"/>
      <c r="Q279" s="147"/>
      <c r="R279" s="147"/>
      <c r="S279" s="147"/>
      <c r="T279" s="147"/>
      <c r="U279" s="147"/>
      <c r="V279" s="147"/>
      <c r="W279" s="147"/>
      <c r="X279" s="136">
        <f>+X278-0.003</f>
        <v>2E-3</v>
      </c>
      <c r="Y279" s="136">
        <f>+Y278-0.003</f>
        <v>1.5000000000000005E-3</v>
      </c>
      <c r="Z279" s="136">
        <f>+Z278-0.003</f>
        <v>1E-3</v>
      </c>
      <c r="AA279" s="136">
        <f t="shared" ref="AA279:AD279" si="316">+AA278-0.003</f>
        <v>5.0000000000000001E-4</v>
      </c>
      <c r="AB279" s="136">
        <f t="shared" si="316"/>
        <v>0</v>
      </c>
      <c r="AC279" s="136">
        <f t="shared" si="316"/>
        <v>-5.0000000000000001E-4</v>
      </c>
      <c r="AD279" s="136">
        <f t="shared" si="316"/>
        <v>-1E-3</v>
      </c>
      <c r="AE279" s="135"/>
      <c r="AF279" s="135"/>
      <c r="AG279" s="135"/>
      <c r="AH279" s="135"/>
      <c r="AI279" s="135"/>
      <c r="AJ279" s="135"/>
      <c r="AK279" s="135"/>
      <c r="AL279" s="135"/>
      <c r="AM279" s="135"/>
      <c r="AN279" s="135"/>
      <c r="AO279" s="135"/>
      <c r="AP279" s="135"/>
      <c r="AQ279" s="135"/>
      <c r="AR279" s="135"/>
      <c r="AS279" s="135"/>
      <c r="AT279" s="135"/>
      <c r="AU279" s="135"/>
      <c r="AV279" s="135"/>
      <c r="AW279" s="135"/>
      <c r="AX279" s="135"/>
      <c r="AY279" s="135"/>
      <c r="AZ279" s="135"/>
      <c r="BA279" s="135"/>
      <c r="BB279" s="135"/>
      <c r="BC279" s="135"/>
      <c r="BD279" s="137"/>
      <c r="BE279" s="137"/>
      <c r="BF279" s="137"/>
      <c r="BG279" s="137"/>
      <c r="BH279" s="137"/>
      <c r="BI279" s="137"/>
      <c r="BJ279" s="137"/>
      <c r="BK279" s="137"/>
      <c r="BL279" s="137"/>
      <c r="BM279" s="137"/>
      <c r="BN279" s="137"/>
      <c r="BO279" s="137"/>
      <c r="BP279" s="136"/>
      <c r="BQ279" s="136"/>
      <c r="BR279" s="136"/>
      <c r="BS279" s="136"/>
      <c r="BT279" s="136"/>
      <c r="BU279" s="136"/>
      <c r="BV279" s="147"/>
      <c r="BW279" s="147"/>
      <c r="BX279" s="147"/>
      <c r="BY279" s="147"/>
      <c r="BZ279" s="147"/>
      <c r="CA279" s="147"/>
      <c r="CB279" s="147"/>
      <c r="CC279" s="147"/>
      <c r="CD279" s="147"/>
      <c r="CE279" s="147"/>
      <c r="CF279" s="147"/>
      <c r="CG279" s="147"/>
      <c r="CH279" s="147"/>
      <c r="CI279" s="147"/>
      <c r="CJ279" s="147"/>
      <c r="CK279" s="147"/>
      <c r="CL279" s="147"/>
      <c r="CM279" s="147"/>
      <c r="CN279" s="147"/>
      <c r="CO279" s="147"/>
      <c r="CP279" s="147"/>
      <c r="CQ279" s="147"/>
      <c r="CR279" s="147"/>
      <c r="CS279" s="147"/>
      <c r="CT279" s="147"/>
      <c r="CU279" s="147"/>
      <c r="CV279" s="147"/>
      <c r="CW279" s="147"/>
      <c r="CX279" s="147"/>
      <c r="CY279" s="147"/>
      <c r="CZ279" s="136">
        <f>+CZ278-0.005</f>
        <v>-7.4999999999999997E-3</v>
      </c>
      <c r="DA279" s="136">
        <f t="shared" ref="DA279:DC279" si="317">+DA278-0.005</f>
        <v>-2.5000000000000001E-3</v>
      </c>
      <c r="DB279" s="136">
        <f t="shared" si="317"/>
        <v>0</v>
      </c>
      <c r="DC279" s="136">
        <f t="shared" si="317"/>
        <v>0</v>
      </c>
    </row>
    <row r="280" spans="2:107">
      <c r="B280" s="198"/>
      <c r="C280" s="197"/>
      <c r="D280" s="31"/>
      <c r="E280" s="31"/>
      <c r="F280" s="31"/>
      <c r="G280" s="31"/>
      <c r="H280" s="31"/>
      <c r="I280" s="31"/>
      <c r="J280" s="31"/>
      <c r="K280" s="31"/>
      <c r="L280" s="31"/>
      <c r="M280" s="199"/>
      <c r="N280" s="199"/>
      <c r="O280" s="199"/>
      <c r="P280" s="199"/>
      <c r="Q280" s="199"/>
      <c r="R280" s="199"/>
      <c r="S280" s="199"/>
      <c r="T280" s="199"/>
      <c r="U280" s="199"/>
      <c r="V280" s="199"/>
      <c r="W280" s="199"/>
      <c r="X280" s="199"/>
      <c r="Y280" s="199"/>
      <c r="Z280" s="199"/>
      <c r="AA280" s="199"/>
      <c r="AB280" s="199"/>
      <c r="AC280" s="199"/>
      <c r="AD280" s="199"/>
      <c r="AE280" s="197"/>
      <c r="AF280" s="31"/>
      <c r="AG280" s="31"/>
      <c r="AH280" s="31"/>
      <c r="AI280" s="31"/>
      <c r="AJ280" s="31"/>
      <c r="AK280" s="31"/>
      <c r="AL280" s="31"/>
      <c r="AM280" s="31"/>
      <c r="AN280" s="31"/>
      <c r="AO280" s="31"/>
      <c r="AP280" s="31"/>
      <c r="AQ280" s="31"/>
      <c r="AR280" s="31"/>
      <c r="AS280" s="31"/>
      <c r="AT280" s="31"/>
      <c r="AU280" s="31"/>
      <c r="AV280" s="31"/>
      <c r="AW280" s="31"/>
      <c r="AX280" s="31"/>
      <c r="AY280" s="31"/>
      <c r="AZ280" s="31"/>
      <c r="BA280" s="31"/>
      <c r="BB280" s="31"/>
      <c r="BC280" s="31"/>
      <c r="BD280" s="32"/>
      <c r="BE280" s="32"/>
      <c r="BF280" s="32"/>
      <c r="BG280" s="32"/>
      <c r="BH280" s="32"/>
      <c r="BI280" s="32"/>
      <c r="BJ280" s="32"/>
      <c r="BK280" s="32"/>
      <c r="BL280" s="32"/>
      <c r="BM280" s="32"/>
      <c r="BN280" s="32"/>
      <c r="BO280" s="32"/>
      <c r="BP280" s="199"/>
      <c r="BQ280" s="199"/>
      <c r="BR280" s="199"/>
      <c r="BS280" s="199"/>
      <c r="BT280" s="199"/>
      <c r="BU280" s="199"/>
      <c r="BV280" s="199"/>
      <c r="BW280" s="199"/>
      <c r="BX280" s="199"/>
      <c r="BY280" s="199"/>
      <c r="BZ280" s="199"/>
      <c r="CA280" s="199"/>
      <c r="CB280" s="199"/>
      <c r="CC280" s="199"/>
      <c r="CD280" s="199"/>
      <c r="CE280" s="199"/>
      <c r="CF280" s="199"/>
      <c r="CG280" s="199"/>
      <c r="CH280" s="199"/>
      <c r="CI280" s="199"/>
      <c r="CJ280" s="199"/>
      <c r="CK280" s="199"/>
      <c r="CL280" s="199"/>
      <c r="CM280" s="199"/>
      <c r="CN280" s="199"/>
      <c r="CO280" s="199"/>
      <c r="CP280" s="199"/>
      <c r="CQ280" s="199"/>
      <c r="CR280" s="199"/>
      <c r="CS280" s="199"/>
      <c r="CT280" s="199"/>
      <c r="CU280" s="199"/>
      <c r="CV280" s="199"/>
      <c r="CW280" s="199"/>
      <c r="CX280" s="199"/>
      <c r="CY280" s="199"/>
      <c r="CZ280" s="199"/>
      <c r="DA280" s="199"/>
      <c r="DB280" s="199"/>
      <c r="DC280" s="199"/>
    </row>
    <row r="281" spans="2:107">
      <c r="B281" s="198" t="s">
        <v>987</v>
      </c>
      <c r="C281" s="197"/>
      <c r="D281" s="31"/>
      <c r="E281" s="31"/>
      <c r="F281" s="31"/>
      <c r="G281" s="31"/>
      <c r="H281" s="31"/>
      <c r="I281" s="31"/>
      <c r="J281" s="31"/>
      <c r="K281" s="31"/>
      <c r="L281" s="31"/>
      <c r="M281" s="199"/>
      <c r="N281" s="199"/>
      <c r="O281" s="199"/>
      <c r="P281" s="941">
        <f>SUM(BX281:CA281)</f>
        <v>46.9</v>
      </c>
      <c r="Q281" s="802">
        <f>SUM(CB281:CE281)</f>
        <v>73.5</v>
      </c>
      <c r="R281" s="802">
        <f>SUM(CF281:CI281)</f>
        <v>82.687049999999942</v>
      </c>
      <c r="S281" s="802">
        <f>SUM(CJ281:CM281)</f>
        <v>50.470849999999928</v>
      </c>
      <c r="T281" s="802">
        <f>SUM(CN281:CQ281)</f>
        <v>22.480600000000095</v>
      </c>
      <c r="U281" s="802">
        <f>SUM(CR281:CU281)</f>
        <v>23.813699999999983</v>
      </c>
      <c r="V281" s="802">
        <f>SUM(CV281:CY281)</f>
        <v>32.446050000000071</v>
      </c>
      <c r="W281" s="802">
        <f>SUM(CZ281:DC281)</f>
        <v>34.389799999999923</v>
      </c>
      <c r="X281" s="802">
        <f>W281*(1+X282)</f>
        <v>34.389799999999923</v>
      </c>
      <c r="Y281" s="802">
        <f>X281*(1+Y282)</f>
        <v>34.389799999999923</v>
      </c>
      <c r="Z281" s="802">
        <f>Y281*(1+Z282)</f>
        <v>34.389799999999923</v>
      </c>
      <c r="AA281" s="802">
        <f t="shared" ref="AA281:AD281" si="318">Z281*(1+AA282)</f>
        <v>34.389799999999923</v>
      </c>
      <c r="AB281" s="802">
        <f t="shared" si="318"/>
        <v>34.389799999999923</v>
      </c>
      <c r="AC281" s="802">
        <f t="shared" si="318"/>
        <v>34.389799999999923</v>
      </c>
      <c r="AD281" s="802">
        <f t="shared" si="318"/>
        <v>34.389799999999923</v>
      </c>
      <c r="AE281" s="197"/>
      <c r="AF281" s="31"/>
      <c r="AG281" s="31"/>
      <c r="AH281" s="31"/>
      <c r="AI281" s="31"/>
      <c r="AJ281" s="31"/>
      <c r="AK281" s="31"/>
      <c r="AL281" s="31"/>
      <c r="AM281" s="31"/>
      <c r="AN281" s="31"/>
      <c r="AO281" s="31"/>
      <c r="AP281" s="31"/>
      <c r="AQ281" s="31"/>
      <c r="AR281" s="31"/>
      <c r="AS281" s="31"/>
      <c r="AT281" s="31"/>
      <c r="AU281" s="31"/>
      <c r="AV281" s="31"/>
      <c r="AW281" s="31"/>
      <c r="AX281" s="31"/>
      <c r="AY281" s="31"/>
      <c r="AZ281" s="31"/>
      <c r="BA281" s="31"/>
      <c r="BB281" s="31"/>
      <c r="BC281" s="31"/>
      <c r="BD281" s="32"/>
      <c r="BE281" s="32"/>
      <c r="BF281" s="32"/>
      <c r="BG281" s="32"/>
      <c r="BH281" s="32"/>
      <c r="BI281" s="32"/>
      <c r="BJ281" s="32"/>
      <c r="BK281" s="32"/>
      <c r="BL281" s="32"/>
      <c r="BM281" s="32"/>
      <c r="BN281" s="32"/>
      <c r="BO281" s="32"/>
      <c r="BP281" s="199"/>
      <c r="BQ281" s="199"/>
      <c r="BR281" s="199"/>
      <c r="BS281" s="199"/>
      <c r="BT281" s="199"/>
      <c r="BU281" s="199"/>
      <c r="BV281" s="199"/>
      <c r="BW281" s="199"/>
      <c r="BX281" s="199"/>
      <c r="BY281" s="1078">
        <v>11.7</v>
      </c>
      <c r="BZ281" s="1078">
        <v>17.899999999999999</v>
      </c>
      <c r="CA281" s="1078">
        <v>17.3</v>
      </c>
      <c r="CB281" s="1078">
        <v>18.7</v>
      </c>
      <c r="CC281" s="1078">
        <v>17.7</v>
      </c>
      <c r="CD281" s="1078">
        <v>17.7</v>
      </c>
      <c r="CE281" s="1078">
        <v>19.399999999999999</v>
      </c>
      <c r="CF281" s="1078">
        <v>21</v>
      </c>
      <c r="CG281" s="1619">
        <f t="shared" ref="CG281:CU281" si="319">+CG293-(CG274*3*CG248)/1000000</f>
        <v>20.75324999999998</v>
      </c>
      <c r="CH281" s="1619">
        <f t="shared" si="319"/>
        <v>19.920799999999986</v>
      </c>
      <c r="CI281" s="1619">
        <f t="shared" si="319"/>
        <v>21.012999999999977</v>
      </c>
      <c r="CJ281" s="1619">
        <f t="shared" si="319"/>
        <v>9.54849999999999</v>
      </c>
      <c r="CK281" s="1619">
        <f t="shared" si="319"/>
        <v>17.319899999999905</v>
      </c>
      <c r="CL281" s="1619">
        <f t="shared" si="319"/>
        <v>13.126550000000009</v>
      </c>
      <c r="CM281" s="1619">
        <f t="shared" si="319"/>
        <v>10.475900000000024</v>
      </c>
      <c r="CN281" s="1619">
        <f t="shared" si="319"/>
        <v>8.9540000000000077</v>
      </c>
      <c r="CO281" s="1619">
        <f t="shared" si="319"/>
        <v>7.0525000000000659</v>
      </c>
      <c r="CP281" s="1619">
        <f t="shared" si="319"/>
        <v>3.9981000000000222</v>
      </c>
      <c r="CQ281" s="1619">
        <f t="shared" si="319"/>
        <v>2.4759999999999991</v>
      </c>
      <c r="CR281" s="1619">
        <f t="shared" si="319"/>
        <v>2.27150000000006</v>
      </c>
      <c r="CS281" s="1619">
        <f t="shared" si="319"/>
        <v>4.8256999999999834</v>
      </c>
      <c r="CT281" s="1619">
        <f t="shared" si="319"/>
        <v>7.6891999999999712</v>
      </c>
      <c r="CU281" s="1619">
        <f t="shared" si="319"/>
        <v>9.0272999999999683</v>
      </c>
      <c r="CV281" s="1619">
        <f>+CV293-(CV274*3*CV248)/1000000</f>
        <v>4.8695999999999913</v>
      </c>
      <c r="CW281" s="2346">
        <f>+CW293-CW284-(CW274*3*CW248)/1000000</f>
        <v>9.4510000000000218</v>
      </c>
      <c r="CX281" s="2346">
        <f>+CX293-CX284-(CX274*3*CX248)/1000000</f>
        <v>9.5280000000000769</v>
      </c>
      <c r="CY281" s="2346">
        <f>+CY293-CY284-(2579*3*55150)/1000000</f>
        <v>8.5974499999999807</v>
      </c>
      <c r="CZ281" s="802">
        <f t="shared" ref="CZ281:DC281" si="320">CY281*(1+CZ282)</f>
        <v>8.5974499999999807</v>
      </c>
      <c r="DA281" s="802">
        <f t="shared" si="320"/>
        <v>8.5974499999999807</v>
      </c>
      <c r="DB281" s="802">
        <f t="shared" si="320"/>
        <v>8.5974499999999807</v>
      </c>
      <c r="DC281" s="802">
        <f t="shared" si="320"/>
        <v>8.5974499999999807</v>
      </c>
    </row>
    <row r="282" spans="2:107">
      <c r="B282" s="198"/>
      <c r="C282" s="197"/>
      <c r="D282" s="31"/>
      <c r="E282" s="31"/>
      <c r="F282" s="31"/>
      <c r="G282" s="31"/>
      <c r="H282" s="31"/>
      <c r="I282" s="31"/>
      <c r="J282" s="31"/>
      <c r="K282" s="31"/>
      <c r="L282" s="31"/>
      <c r="M282" s="199"/>
      <c r="N282" s="199"/>
      <c r="O282" s="199"/>
      <c r="P282" s="199"/>
      <c r="Q282" s="199"/>
      <c r="R282" s="199"/>
      <c r="S282" s="199"/>
      <c r="T282" s="199"/>
      <c r="U282" s="199"/>
      <c r="V282" s="199"/>
      <c r="W282" s="199"/>
      <c r="X282" s="199">
        <f>+W282</f>
        <v>0</v>
      </c>
      <c r="Y282" s="199">
        <f>+X282</f>
        <v>0</v>
      </c>
      <c r="Z282" s="199">
        <f>+Y282</f>
        <v>0</v>
      </c>
      <c r="AA282" s="199">
        <f t="shared" ref="AA282:AD282" si="321">+Z282</f>
        <v>0</v>
      </c>
      <c r="AB282" s="199">
        <f t="shared" si="321"/>
        <v>0</v>
      </c>
      <c r="AC282" s="199">
        <f t="shared" si="321"/>
        <v>0</v>
      </c>
      <c r="AD282" s="199">
        <f t="shared" si="321"/>
        <v>0</v>
      </c>
      <c r="AE282" s="197"/>
      <c r="AF282" s="31"/>
      <c r="AG282" s="31"/>
      <c r="AH282" s="31"/>
      <c r="AI282" s="31"/>
      <c r="AJ282" s="31"/>
      <c r="AK282" s="31"/>
      <c r="AL282" s="31"/>
      <c r="AM282" s="31"/>
      <c r="AN282" s="31"/>
      <c r="AO282" s="31"/>
      <c r="AP282" s="31"/>
      <c r="AQ282" s="31"/>
      <c r="AR282" s="31"/>
      <c r="AS282" s="31"/>
      <c r="AT282" s="31"/>
      <c r="AU282" s="31"/>
      <c r="AV282" s="31"/>
      <c r="AW282" s="31"/>
      <c r="AX282" s="31"/>
      <c r="AY282" s="31"/>
      <c r="AZ282" s="31"/>
      <c r="BA282" s="31"/>
      <c r="BB282" s="31"/>
      <c r="BC282" s="31"/>
      <c r="BD282" s="32"/>
      <c r="BE282" s="32"/>
      <c r="BF282" s="32"/>
      <c r="BG282" s="32"/>
      <c r="BH282" s="32"/>
      <c r="BI282" s="32"/>
      <c r="BJ282" s="32"/>
      <c r="BK282" s="32"/>
      <c r="BL282" s="32"/>
      <c r="BM282" s="32"/>
      <c r="BN282" s="32"/>
      <c r="BO282" s="32"/>
      <c r="BP282" s="199"/>
      <c r="BQ282" s="199"/>
      <c r="BR282" s="199"/>
      <c r="BS282" s="199"/>
      <c r="BT282" s="199"/>
      <c r="BU282" s="199"/>
      <c r="BV282" s="199"/>
      <c r="BW282" s="199"/>
      <c r="BX282" s="199"/>
      <c r="BY282" s="199"/>
      <c r="BZ282" s="24">
        <f t="shared" ref="BZ282:CY282" si="322">+BZ281/BY281-1</f>
        <v>0.52991452991452981</v>
      </c>
      <c r="CA282" s="24">
        <f t="shared" si="322"/>
        <v>-3.3519553072625552E-2</v>
      </c>
      <c r="CB282" s="24">
        <f t="shared" si="322"/>
        <v>8.0924855491329328E-2</v>
      </c>
      <c r="CC282" s="24">
        <f t="shared" si="322"/>
        <v>-5.3475935828876997E-2</v>
      </c>
      <c r="CD282" s="24">
        <f t="shared" si="322"/>
        <v>0</v>
      </c>
      <c r="CE282" s="24">
        <f t="shared" si="322"/>
        <v>9.6045197740112886E-2</v>
      </c>
      <c r="CF282" s="24">
        <f t="shared" si="322"/>
        <v>8.2474226804123862E-2</v>
      </c>
      <c r="CG282" s="24">
        <f t="shared" si="322"/>
        <v>-1.1750000000000926E-2</v>
      </c>
      <c r="CH282" s="24">
        <f t="shared" si="322"/>
        <v>-4.0111789719682212E-2</v>
      </c>
      <c r="CI282" s="24">
        <f t="shared" si="322"/>
        <v>5.4827115376891999E-2</v>
      </c>
      <c r="CJ282" s="24">
        <f t="shared" si="322"/>
        <v>-0.54559082472754961</v>
      </c>
      <c r="CK282" s="24">
        <f t="shared" si="322"/>
        <v>0.8138869979577863</v>
      </c>
      <c r="CL282" s="24">
        <f t="shared" si="322"/>
        <v>-0.24211167500966624</v>
      </c>
      <c r="CM282" s="24">
        <f t="shared" si="322"/>
        <v>-0.20193043869104854</v>
      </c>
      <c r="CN282" s="24">
        <f t="shared" si="322"/>
        <v>-0.14527630084288823</v>
      </c>
      <c r="CO282" s="24">
        <f t="shared" si="322"/>
        <v>-0.21236318963591028</v>
      </c>
      <c r="CP282" s="24">
        <f t="shared" si="322"/>
        <v>-0.4330946472881978</v>
      </c>
      <c r="CQ282" s="24">
        <f t="shared" si="322"/>
        <v>-0.38070583527175772</v>
      </c>
      <c r="CR282" s="24">
        <f t="shared" si="322"/>
        <v>-8.2592891760880138E-2</v>
      </c>
      <c r="CS282" s="24">
        <f t="shared" si="322"/>
        <v>1.1244552058110746</v>
      </c>
      <c r="CT282" s="24">
        <f t="shared" si="322"/>
        <v>0.59338541558737545</v>
      </c>
      <c r="CU282" s="24">
        <f t="shared" si="322"/>
        <v>0.17402330541538813</v>
      </c>
      <c r="CV282" s="24">
        <f t="shared" si="322"/>
        <v>-0.46056960552989179</v>
      </c>
      <c r="CW282" s="24">
        <f t="shared" si="322"/>
        <v>0.94081649416790669</v>
      </c>
      <c r="CX282" s="24">
        <f t="shared" si="322"/>
        <v>8.1472860014870641E-3</v>
      </c>
      <c r="CY282" s="24">
        <f t="shared" si="322"/>
        <v>-9.7664777497910249E-2</v>
      </c>
      <c r="CZ282" s="1079">
        <v>0</v>
      </c>
      <c r="DA282" s="1079">
        <v>0</v>
      </c>
      <c r="DB282" s="1079">
        <v>0</v>
      </c>
      <c r="DC282" s="1079">
        <v>0</v>
      </c>
    </row>
    <row r="283" spans="2:107">
      <c r="B283" s="198"/>
      <c r="C283" s="197"/>
      <c r="D283" s="31"/>
      <c r="E283" s="31"/>
      <c r="F283" s="31"/>
      <c r="G283" s="31"/>
      <c r="H283" s="31"/>
      <c r="I283" s="31"/>
      <c r="J283" s="31"/>
      <c r="K283" s="31"/>
      <c r="L283" s="31"/>
      <c r="M283" s="199"/>
      <c r="N283" s="199"/>
      <c r="O283" s="199"/>
      <c r="P283" s="199"/>
      <c r="Q283" s="199"/>
      <c r="R283" s="199"/>
      <c r="S283" s="199"/>
      <c r="T283" s="199"/>
      <c r="U283" s="199"/>
      <c r="V283" s="199"/>
      <c r="W283" s="199"/>
      <c r="X283" s="199"/>
      <c r="Y283" s="199"/>
      <c r="Z283" s="199"/>
      <c r="AA283" s="199"/>
      <c r="AB283" s="199"/>
      <c r="AC283" s="199"/>
      <c r="AD283" s="199"/>
      <c r="AE283" s="197"/>
      <c r="AF283" s="31"/>
      <c r="AG283" s="31"/>
      <c r="AH283" s="31"/>
      <c r="AI283" s="31"/>
      <c r="AJ283" s="31"/>
      <c r="AK283" s="31"/>
      <c r="AL283" s="31"/>
      <c r="AM283" s="31"/>
      <c r="AN283" s="31"/>
      <c r="AO283" s="31"/>
      <c r="AP283" s="31"/>
      <c r="AQ283" s="31"/>
      <c r="AR283" s="31"/>
      <c r="AS283" s="31"/>
      <c r="AT283" s="31"/>
      <c r="AU283" s="31"/>
      <c r="AV283" s="31"/>
      <c r="AW283" s="31"/>
      <c r="AX283" s="31"/>
      <c r="AY283" s="31"/>
      <c r="AZ283" s="31"/>
      <c r="BA283" s="31"/>
      <c r="BB283" s="31"/>
      <c r="BC283" s="31"/>
      <c r="BD283" s="32"/>
      <c r="BE283" s="32"/>
      <c r="BF283" s="32"/>
      <c r="BG283" s="32"/>
      <c r="BH283" s="32"/>
      <c r="BI283" s="32"/>
      <c r="BJ283" s="32"/>
      <c r="BK283" s="32"/>
      <c r="BL283" s="32"/>
      <c r="BM283" s="32"/>
      <c r="BN283" s="32"/>
      <c r="BO283" s="32"/>
      <c r="BP283" s="199"/>
      <c r="BQ283" s="199"/>
      <c r="BR283" s="199"/>
      <c r="BS283" s="199"/>
      <c r="BT283" s="199"/>
      <c r="BU283" s="199"/>
      <c r="BV283" s="199"/>
      <c r="BW283" s="199"/>
      <c r="BX283" s="199"/>
      <c r="BY283" s="199"/>
      <c r="BZ283" s="199"/>
      <c r="CA283" s="199"/>
      <c r="CB283" s="199"/>
      <c r="CC283" s="199"/>
      <c r="CD283" s="199"/>
      <c r="CE283" s="199"/>
      <c r="CF283" s="199"/>
      <c r="CG283" s="199"/>
      <c r="CH283" s="199"/>
      <c r="CI283" s="199"/>
      <c r="CJ283" s="199"/>
      <c r="CK283" s="199"/>
      <c r="CL283" s="199"/>
      <c r="CM283" s="199"/>
      <c r="CN283" s="199"/>
      <c r="CO283" s="199"/>
      <c r="CP283" s="199"/>
      <c r="CQ283" s="199"/>
      <c r="CR283" s="199"/>
      <c r="CS283" s="199"/>
      <c r="CT283" s="199"/>
      <c r="CU283" s="199"/>
      <c r="CV283" s="199"/>
      <c r="CW283" s="199"/>
      <c r="CX283" s="199"/>
      <c r="CY283" s="199"/>
      <c r="CZ283" s="199"/>
      <c r="DA283" s="199"/>
      <c r="DB283" s="199"/>
      <c r="DC283" s="199"/>
    </row>
    <row r="284" spans="2:107" s="15" customFormat="1" collapsed="1">
      <c r="B284" s="2254" t="s">
        <v>2633</v>
      </c>
      <c r="C284" s="2255"/>
      <c r="D284" s="2256"/>
      <c r="E284" s="2256"/>
      <c r="F284" s="2256"/>
      <c r="G284" s="2256"/>
      <c r="H284" s="2256"/>
      <c r="I284" s="2256"/>
      <c r="J284" s="2256"/>
      <c r="K284" s="2256"/>
      <c r="L284" s="2256"/>
      <c r="M284" s="2257"/>
      <c r="N284" s="2257"/>
      <c r="O284" s="2257"/>
      <c r="P284" s="2258"/>
      <c r="Q284" s="2259"/>
      <c r="R284" s="2259"/>
      <c r="S284" s="2259"/>
      <c r="T284" s="2259"/>
      <c r="U284" s="2259"/>
      <c r="V284" s="2259">
        <f>+SUM(CV284:CY284)</f>
        <v>358.7</v>
      </c>
      <c r="W284" s="2259"/>
      <c r="X284" s="2259"/>
      <c r="Y284" s="2259"/>
      <c r="Z284" s="2259"/>
      <c r="AA284" s="2259"/>
      <c r="AB284" s="2259"/>
      <c r="AC284" s="2259"/>
      <c r="AD284" s="2259"/>
      <c r="AE284" s="2255"/>
      <c r="AF284" s="2256"/>
      <c r="AG284" s="2256"/>
      <c r="AH284" s="2256"/>
      <c r="AI284" s="2256"/>
      <c r="AJ284" s="2256"/>
      <c r="AK284" s="2256"/>
      <c r="AL284" s="2256"/>
      <c r="AM284" s="2256"/>
      <c r="AN284" s="2256"/>
      <c r="AO284" s="2256"/>
      <c r="AP284" s="2256"/>
      <c r="AQ284" s="2256"/>
      <c r="AR284" s="2256"/>
      <c r="AS284" s="2256"/>
      <c r="AT284" s="2256"/>
      <c r="AU284" s="2256"/>
      <c r="AV284" s="2256"/>
      <c r="AW284" s="2256"/>
      <c r="AX284" s="2256"/>
      <c r="AY284" s="2256"/>
      <c r="AZ284" s="2256"/>
      <c r="BA284" s="2256"/>
      <c r="BB284" s="2256"/>
      <c r="BC284" s="2256"/>
      <c r="BD284" s="2260"/>
      <c r="BE284" s="2260"/>
      <c r="BF284" s="2260"/>
      <c r="BG284" s="2260"/>
      <c r="BH284" s="2260"/>
      <c r="BI284" s="2260"/>
      <c r="BJ284" s="2260"/>
      <c r="BK284" s="2260"/>
      <c r="BL284" s="2260"/>
      <c r="BM284" s="2260"/>
      <c r="BN284" s="2260"/>
      <c r="BO284" s="2260"/>
      <c r="BP284" s="2257"/>
      <c r="BQ284" s="2257"/>
      <c r="BR284" s="2257"/>
      <c r="BS284" s="2257"/>
      <c r="BT284" s="2257"/>
      <c r="BU284" s="2257"/>
      <c r="BV284" s="2257"/>
      <c r="BW284" s="2257"/>
      <c r="BX284" s="2257"/>
      <c r="BY284" s="2261"/>
      <c r="BZ284" s="2261"/>
      <c r="CA284" s="2261"/>
      <c r="CB284" s="2261"/>
      <c r="CC284" s="2261"/>
      <c r="CD284" s="2262"/>
      <c r="CE284" s="2262"/>
      <c r="CF284" s="2263"/>
      <c r="CG284" s="2259"/>
      <c r="CH284" s="2259"/>
      <c r="CI284" s="2259"/>
      <c r="CJ284" s="2259"/>
      <c r="CK284" s="2259"/>
      <c r="CL284" s="2259"/>
      <c r="CM284" s="2259"/>
      <c r="CN284" s="2259"/>
      <c r="CO284" s="2259"/>
      <c r="CP284" s="2259"/>
      <c r="CQ284" s="2304"/>
      <c r="CR284" s="2304"/>
      <c r="CS284" s="2304"/>
      <c r="CT284" s="2304"/>
      <c r="CU284" s="2304"/>
      <c r="CV284" s="2304"/>
      <c r="CW284" s="2304">
        <v>86.7</v>
      </c>
      <c r="CX284" s="2304">
        <v>137</v>
      </c>
      <c r="CY284" s="2304">
        <v>135</v>
      </c>
      <c r="CZ284" s="2259"/>
      <c r="DA284" s="2259"/>
      <c r="DB284" s="2259"/>
      <c r="DC284" s="2259"/>
    </row>
    <row r="285" spans="2:107" s="15" customFormat="1">
      <c r="B285" s="2264" t="s">
        <v>2037</v>
      </c>
      <c r="C285" s="2255"/>
      <c r="D285" s="2256"/>
      <c r="E285" s="2256"/>
      <c r="F285" s="2256"/>
      <c r="G285" s="2256"/>
      <c r="H285" s="2256"/>
      <c r="I285" s="2256"/>
      <c r="J285" s="2256"/>
      <c r="K285" s="2256"/>
      <c r="L285" s="2256"/>
      <c r="M285" s="2257"/>
      <c r="N285" s="2257"/>
      <c r="O285" s="2257"/>
      <c r="P285" s="2258"/>
      <c r="Q285" s="2259"/>
      <c r="R285" s="2259"/>
      <c r="S285" s="2259"/>
      <c r="T285" s="2259"/>
      <c r="U285" s="2259"/>
      <c r="V285" s="2259"/>
      <c r="W285" s="2259"/>
      <c r="X285" s="2268"/>
      <c r="Y285" s="2268"/>
      <c r="Z285" s="2268"/>
      <c r="AA285" s="2268"/>
      <c r="AB285" s="2268"/>
      <c r="AC285" s="2268"/>
      <c r="AD285" s="2268"/>
      <c r="AE285" s="2255"/>
      <c r="AF285" s="2256"/>
      <c r="AG285" s="2256"/>
      <c r="AH285" s="2256"/>
      <c r="AI285" s="2256"/>
      <c r="AJ285" s="2256"/>
      <c r="AK285" s="2256"/>
      <c r="AL285" s="2256"/>
      <c r="AM285" s="2256"/>
      <c r="AN285" s="2256"/>
      <c r="AO285" s="2256"/>
      <c r="AP285" s="2256"/>
      <c r="AQ285" s="2256"/>
      <c r="AR285" s="2256"/>
      <c r="AS285" s="2256"/>
      <c r="AT285" s="2256"/>
      <c r="AU285" s="2256"/>
      <c r="AV285" s="2256"/>
      <c r="AW285" s="2256"/>
      <c r="AX285" s="2256"/>
      <c r="AY285" s="2256"/>
      <c r="AZ285" s="2256"/>
      <c r="BA285" s="2256"/>
      <c r="BB285" s="2256"/>
      <c r="BC285" s="2256"/>
      <c r="BD285" s="2260"/>
      <c r="BE285" s="2260"/>
      <c r="BF285" s="2260"/>
      <c r="BG285" s="2260"/>
      <c r="BH285" s="2260"/>
      <c r="BI285" s="2260"/>
      <c r="BJ285" s="2260"/>
      <c r="BK285" s="2260"/>
      <c r="BL285" s="2260"/>
      <c r="BM285" s="2260"/>
      <c r="BN285" s="2260"/>
      <c r="BO285" s="2260"/>
      <c r="BP285" s="2257"/>
      <c r="BQ285" s="2257"/>
      <c r="BR285" s="2257"/>
      <c r="BS285" s="2257"/>
      <c r="BT285" s="2257"/>
      <c r="BU285" s="2257"/>
      <c r="BV285" s="2257"/>
      <c r="BW285" s="2257"/>
      <c r="BX285" s="2257"/>
      <c r="BY285" s="2261"/>
      <c r="BZ285" s="2261"/>
      <c r="CA285" s="2261"/>
      <c r="CB285" s="2261"/>
      <c r="CC285" s="2261"/>
      <c r="CD285" s="2262"/>
      <c r="CE285" s="2262"/>
      <c r="CF285" s="2263"/>
      <c r="CG285" s="2259"/>
      <c r="CH285" s="2265"/>
      <c r="CI285" s="2265"/>
      <c r="CJ285" s="2265"/>
      <c r="CK285" s="2265"/>
      <c r="CL285" s="2266"/>
      <c r="CM285" s="2266"/>
      <c r="CN285" s="2266"/>
      <c r="CO285" s="2266"/>
      <c r="CP285" s="2259"/>
      <c r="CQ285" s="2259"/>
      <c r="CR285" s="2259"/>
      <c r="CS285" s="2259"/>
      <c r="CT285" s="2259"/>
      <c r="CU285" s="2259"/>
      <c r="CV285" s="2259"/>
      <c r="CW285" s="2259"/>
      <c r="CX285" s="2259"/>
      <c r="CY285" s="2259"/>
      <c r="CZ285" s="2259"/>
      <c r="DA285" s="2259"/>
      <c r="DB285" s="2259"/>
      <c r="DC285" s="2259"/>
    </row>
    <row r="286" spans="2:107" s="15" customFormat="1">
      <c r="B286" s="2264" t="s">
        <v>2038</v>
      </c>
      <c r="C286" s="2255"/>
      <c r="D286" s="2256"/>
      <c r="E286" s="2256"/>
      <c r="F286" s="2256"/>
      <c r="G286" s="2256"/>
      <c r="H286" s="2256"/>
      <c r="I286" s="2256"/>
      <c r="J286" s="2256"/>
      <c r="K286" s="2256"/>
      <c r="L286" s="2256"/>
      <c r="M286" s="2257"/>
      <c r="N286" s="2257"/>
      <c r="O286" s="2257"/>
      <c r="P286" s="2258"/>
      <c r="Q286" s="2259"/>
      <c r="R286" s="2259"/>
      <c r="S286" s="2259"/>
      <c r="T286" s="2259"/>
      <c r="U286" s="2259"/>
      <c r="V286" s="2259"/>
      <c r="W286" s="2259"/>
      <c r="X286" s="2259"/>
      <c r="Y286" s="2259"/>
      <c r="Z286" s="2259"/>
      <c r="AA286" s="2259"/>
      <c r="AB286" s="2259"/>
      <c r="AC286" s="2259"/>
      <c r="AD286" s="2259"/>
      <c r="AE286" s="2255"/>
      <c r="AF286" s="2256"/>
      <c r="AG286" s="2256"/>
      <c r="AH286" s="2256"/>
      <c r="AI286" s="2256"/>
      <c r="AJ286" s="2256"/>
      <c r="AK286" s="2256"/>
      <c r="AL286" s="2256"/>
      <c r="AM286" s="2256"/>
      <c r="AN286" s="2256"/>
      <c r="AO286" s="2256"/>
      <c r="AP286" s="2256"/>
      <c r="AQ286" s="2256"/>
      <c r="AR286" s="2256"/>
      <c r="AS286" s="2256"/>
      <c r="AT286" s="2256"/>
      <c r="AU286" s="2256"/>
      <c r="AV286" s="2256"/>
      <c r="AW286" s="2256"/>
      <c r="AX286" s="2256"/>
      <c r="AY286" s="2256"/>
      <c r="AZ286" s="2256"/>
      <c r="BA286" s="2256"/>
      <c r="BB286" s="2256"/>
      <c r="BC286" s="2256"/>
      <c r="BD286" s="2260"/>
      <c r="BE286" s="2260"/>
      <c r="BF286" s="2260"/>
      <c r="BG286" s="2260"/>
      <c r="BH286" s="2260"/>
      <c r="BI286" s="2260"/>
      <c r="BJ286" s="2260"/>
      <c r="BK286" s="2260"/>
      <c r="BL286" s="2260"/>
      <c r="BM286" s="2260"/>
      <c r="BN286" s="2260"/>
      <c r="BO286" s="2260"/>
      <c r="BP286" s="2257"/>
      <c r="BQ286" s="2257"/>
      <c r="BR286" s="2257"/>
      <c r="BS286" s="2257"/>
      <c r="BT286" s="2257"/>
      <c r="BU286" s="2257"/>
      <c r="BV286" s="2257"/>
      <c r="BW286" s="2257"/>
      <c r="BX286" s="2257"/>
      <c r="BY286" s="2261"/>
      <c r="BZ286" s="2261"/>
      <c r="CA286" s="2261"/>
      <c r="CB286" s="2261"/>
      <c r="CC286" s="2261"/>
      <c r="CD286" s="2262"/>
      <c r="CE286" s="2262"/>
      <c r="CF286" s="2263"/>
      <c r="CG286" s="2259"/>
      <c r="CH286" s="2265"/>
      <c r="CI286" s="2266"/>
      <c r="CJ286" s="2266"/>
      <c r="CK286" s="2266"/>
      <c r="CL286" s="2266"/>
      <c r="CM286" s="2266"/>
      <c r="CN286" s="2266"/>
      <c r="CO286" s="2266"/>
      <c r="CP286" s="2266"/>
      <c r="CQ286" s="2266"/>
      <c r="CR286" s="2266"/>
      <c r="CS286" s="2266"/>
      <c r="CT286" s="2266"/>
      <c r="CU286" s="2266"/>
      <c r="CV286" s="2266"/>
      <c r="CW286" s="2268"/>
      <c r="CX286" s="2268"/>
      <c r="CY286" s="2268"/>
      <c r="CZ286" s="2268"/>
      <c r="DA286" s="2268"/>
      <c r="DB286" s="2268"/>
      <c r="DC286" s="2268"/>
    </row>
    <row r="287" spans="2:107">
      <c r="B287" s="198"/>
      <c r="C287" s="197"/>
      <c r="D287" s="31"/>
      <c r="E287" s="31"/>
      <c r="F287" s="31"/>
      <c r="G287" s="31"/>
      <c r="H287" s="31"/>
      <c r="I287" s="31"/>
      <c r="J287" s="31"/>
      <c r="K287" s="31"/>
      <c r="L287" s="31"/>
      <c r="M287" s="199"/>
      <c r="N287" s="199"/>
      <c r="O287" s="199"/>
      <c r="P287" s="199"/>
      <c r="Q287" s="199"/>
      <c r="R287" s="199"/>
      <c r="S287" s="199"/>
      <c r="T287" s="199"/>
      <c r="U287" s="199"/>
      <c r="V287" s="199"/>
      <c r="W287" s="199"/>
      <c r="X287" s="199"/>
      <c r="Y287" s="199"/>
      <c r="Z287" s="199"/>
      <c r="AA287" s="199"/>
      <c r="AB287" s="199"/>
      <c r="AC287" s="199"/>
      <c r="AD287" s="199"/>
      <c r="AE287" s="197"/>
      <c r="AF287" s="31"/>
      <c r="AG287" s="31"/>
      <c r="AH287" s="31"/>
      <c r="AI287" s="31"/>
      <c r="AJ287" s="31"/>
      <c r="AK287" s="31"/>
      <c r="AL287" s="31"/>
      <c r="AM287" s="31"/>
      <c r="AN287" s="31"/>
      <c r="AO287" s="31"/>
      <c r="AP287" s="31"/>
      <c r="AQ287" s="31"/>
      <c r="AR287" s="31"/>
      <c r="AS287" s="31"/>
      <c r="AT287" s="31"/>
      <c r="AU287" s="31"/>
      <c r="AV287" s="31"/>
      <c r="AW287" s="31"/>
      <c r="AX287" s="31"/>
      <c r="AY287" s="31"/>
      <c r="AZ287" s="31"/>
      <c r="BA287" s="31"/>
      <c r="BB287" s="31"/>
      <c r="BC287" s="31"/>
      <c r="BD287" s="32"/>
      <c r="BE287" s="32"/>
      <c r="BF287" s="32"/>
      <c r="BG287" s="32"/>
      <c r="BH287" s="32"/>
      <c r="BI287" s="32"/>
      <c r="BJ287" s="32"/>
      <c r="BK287" s="32"/>
      <c r="BL287" s="32"/>
      <c r="BM287" s="32"/>
      <c r="BN287" s="32"/>
      <c r="BO287" s="32"/>
      <c r="BP287" s="199"/>
      <c r="BQ287" s="199"/>
      <c r="BR287" s="199"/>
      <c r="BS287" s="199"/>
      <c r="BT287" s="199"/>
      <c r="BU287" s="199"/>
      <c r="BV287" s="199"/>
      <c r="BW287" s="199"/>
      <c r="BX287" s="199"/>
      <c r="BY287" s="199"/>
      <c r="BZ287" s="199"/>
      <c r="CA287" s="199"/>
      <c r="CB287" s="199"/>
      <c r="CC287" s="199"/>
      <c r="CD287" s="199"/>
      <c r="CE287" s="199"/>
      <c r="CF287" s="199"/>
      <c r="CG287" s="199"/>
      <c r="CH287" s="199"/>
      <c r="CI287" s="199"/>
      <c r="CJ287" s="199"/>
      <c r="CK287" s="199"/>
      <c r="CL287" s="199"/>
      <c r="CM287" s="199"/>
      <c r="CN287" s="199"/>
      <c r="CO287" s="199"/>
      <c r="CP287" s="199"/>
      <c r="CQ287" s="199"/>
      <c r="CR287" s="199"/>
      <c r="CS287" s="199"/>
      <c r="CT287" s="199"/>
      <c r="CU287" s="199"/>
      <c r="CV287" s="199"/>
      <c r="CW287" s="199"/>
      <c r="CX287" s="199"/>
      <c r="CY287" s="199"/>
      <c r="CZ287" s="199"/>
      <c r="DA287" s="199"/>
      <c r="DB287" s="199"/>
      <c r="DC287" s="199"/>
    </row>
    <row r="288" spans="2:107" ht="15" customHeight="1">
      <c r="B288" s="71" t="s">
        <v>716</v>
      </c>
      <c r="C288" s="151"/>
      <c r="D288" s="151"/>
      <c r="E288" s="151"/>
      <c r="F288" s="151"/>
      <c r="G288" s="151"/>
      <c r="H288" s="151"/>
      <c r="I288" s="132"/>
      <c r="J288" s="132"/>
      <c r="K288" s="132"/>
      <c r="L288" s="132"/>
      <c r="M288" s="89"/>
      <c r="N288" s="89"/>
      <c r="O288" s="89"/>
      <c r="P288" s="89"/>
      <c r="Q288" s="89"/>
      <c r="R288" s="133"/>
      <c r="S288" s="133"/>
      <c r="T288" s="133"/>
      <c r="U288" s="133"/>
      <c r="V288" s="133"/>
      <c r="W288" s="133"/>
      <c r="X288" s="133"/>
      <c r="Y288" s="133"/>
      <c r="Z288" s="133"/>
      <c r="AA288" s="133"/>
      <c r="AB288" s="133"/>
      <c r="AC288" s="133"/>
      <c r="AD288" s="133"/>
      <c r="AE288" s="89"/>
      <c r="AF288" s="132"/>
      <c r="AG288" s="132"/>
      <c r="AH288" s="132"/>
      <c r="AI288" s="132"/>
      <c r="AJ288" s="132"/>
      <c r="AK288" s="132"/>
      <c r="AL288" s="132"/>
      <c r="AM288" s="132"/>
      <c r="AN288" s="132"/>
      <c r="AO288" s="132"/>
      <c r="AP288" s="132"/>
      <c r="AQ288" s="132"/>
      <c r="AR288" s="132"/>
      <c r="AS288" s="132"/>
      <c r="AT288" s="132"/>
      <c r="AU288" s="132"/>
      <c r="AV288" s="132"/>
      <c r="AW288" s="132"/>
      <c r="AX288" s="132"/>
      <c r="AY288" s="132"/>
      <c r="AZ288" s="132"/>
      <c r="BA288" s="132"/>
      <c r="BB288" s="132"/>
      <c r="BC288" s="132"/>
      <c r="BD288" s="152"/>
      <c r="BE288" s="152"/>
      <c r="BF288" s="152"/>
      <c r="BG288" s="152"/>
      <c r="BH288" s="152"/>
      <c r="BI288" s="152"/>
      <c r="BJ288" s="152"/>
      <c r="BK288" s="153"/>
      <c r="BL288" s="132"/>
      <c r="BM288" s="132"/>
      <c r="BN288" s="132"/>
      <c r="BO288" s="132"/>
      <c r="BP288" s="202"/>
      <c r="BQ288" s="202"/>
      <c r="BR288" s="202"/>
      <c r="BS288" s="202"/>
      <c r="BT288" s="202"/>
      <c r="BU288" s="202"/>
      <c r="BV288" s="89"/>
      <c r="BW288" s="89"/>
      <c r="BX288" s="89"/>
      <c r="BY288" s="1639"/>
      <c r="BZ288" s="1639"/>
      <c r="CA288" s="1639"/>
      <c r="CB288" s="1639"/>
      <c r="CC288" s="1639"/>
      <c r="CD288" s="1639"/>
      <c r="CE288" s="1639"/>
      <c r="CF288" s="1639"/>
      <c r="CG288" s="1639"/>
      <c r="CH288" s="1639"/>
      <c r="CI288" s="1639"/>
      <c r="CJ288" s="1639"/>
      <c r="CK288" s="1639"/>
      <c r="CL288" s="1639"/>
      <c r="CM288" s="1639"/>
      <c r="CN288" s="1639"/>
      <c r="CO288" s="1639"/>
      <c r="CP288" s="1639"/>
      <c r="CQ288" s="1639"/>
      <c r="CR288" s="1639"/>
      <c r="CS288" s="1639"/>
      <c r="CT288" s="1639"/>
      <c r="CU288" s="1639"/>
      <c r="CV288" s="1639"/>
      <c r="CW288" s="1639"/>
      <c r="CX288" s="1639"/>
      <c r="CY288" s="1639"/>
      <c r="CZ288" s="1639"/>
      <c r="DA288" s="1639"/>
      <c r="DB288" s="1639"/>
      <c r="DC288" s="1639"/>
    </row>
    <row r="289" spans="2:107">
      <c r="B289" s="19" t="s">
        <v>1050</v>
      </c>
      <c r="C289" s="16"/>
      <c r="D289" s="16"/>
      <c r="E289" s="16"/>
      <c r="F289" s="16"/>
      <c r="G289" s="16"/>
      <c r="H289" s="16"/>
      <c r="I289" s="15"/>
      <c r="J289" s="15"/>
      <c r="K289" s="15"/>
      <c r="L289" s="26">
        <f>SUM(BH289:BK289)</f>
        <v>187.96199999999999</v>
      </c>
      <c r="M289" s="54">
        <f>SUM(BL289:BO289)</f>
        <v>339.47199999999998</v>
      </c>
      <c r="N289" s="54">
        <f>SUM(BP289:BS289)</f>
        <v>424.08300000000003</v>
      </c>
      <c r="O289" s="54">
        <f>SUM(BT289:BW289)</f>
        <v>598.63099999999997</v>
      </c>
      <c r="P289" s="54">
        <f>SUM(BX289:CA289)</f>
        <v>760.1930000000001</v>
      </c>
      <c r="Q289" s="1002">
        <f>SUM(CB289:CE289)-SUM(CB332:CC332)</f>
        <v>842.09500000000003</v>
      </c>
      <c r="R289" s="54">
        <f>+SUM(CF289:CI289)</f>
        <v>917.08900000000006</v>
      </c>
      <c r="S289" s="54">
        <f>+SUM(CJ289:CM289)</f>
        <v>978.50300000000004</v>
      </c>
      <c r="T289" s="54">
        <f>+SUM(CN289:CQ289)</f>
        <v>1064.8009999999999</v>
      </c>
      <c r="U289" s="54">
        <f>+SUM(CR289:CU289)</f>
        <v>1167.0260000000001</v>
      </c>
      <c r="V289" s="54">
        <f>+SUM(CV289:CY289)</f>
        <v>1518.9290000000001</v>
      </c>
      <c r="W289" s="54">
        <f ca="1">SUM(CZ289:DC289)</f>
        <v>1687.9723933443618</v>
      </c>
      <c r="X289" s="54">
        <f ca="1">X293-X292-X291-X290</f>
        <v>1836.7806384957535</v>
      </c>
      <c r="Y289" s="54">
        <f ca="1">Y293-Y292-Y291-Y290</f>
        <v>1973.9742828476649</v>
      </c>
      <c r="Z289" s="54">
        <f ca="1">Z293-Z292-Z291-Z290</f>
        <v>2083.3615166030954</v>
      </c>
      <c r="AA289" s="54">
        <f t="shared" ref="AA289:AD289" ca="1" si="323">AA293-AA292-AA291-AA290</f>
        <v>2187.788491431686</v>
      </c>
      <c r="AB289" s="54">
        <f t="shared" ca="1" si="323"/>
        <v>2286.9799415795942</v>
      </c>
      <c r="AC289" s="54">
        <f t="shared" ca="1" si="323"/>
        <v>2380.67459577612</v>
      </c>
      <c r="AD289" s="54">
        <f t="shared" ca="1" si="323"/>
        <v>2468.6263967724753</v>
      </c>
      <c r="AE289" s="23"/>
      <c r="AF289" s="15"/>
      <c r="AG289" s="15"/>
      <c r="AH289" s="15"/>
      <c r="AI289" s="15"/>
      <c r="AJ289" s="15"/>
      <c r="AK289" s="15"/>
      <c r="AL289" s="15"/>
      <c r="AM289" s="15"/>
      <c r="AN289" s="15"/>
      <c r="AO289" s="15"/>
      <c r="AP289" s="15"/>
      <c r="AQ289" s="15"/>
      <c r="AR289" s="15"/>
      <c r="AS289" s="15"/>
      <c r="AT289" s="15"/>
      <c r="AU289" s="15"/>
      <c r="AV289" s="15"/>
      <c r="AW289" s="15"/>
      <c r="AX289" s="15"/>
      <c r="AY289" s="15"/>
      <c r="AZ289" s="15"/>
      <c r="BA289" s="15"/>
      <c r="BB289" s="15"/>
      <c r="BC289" s="15"/>
      <c r="BD289" s="807"/>
      <c r="BE289" s="807"/>
      <c r="BF289" s="809"/>
      <c r="BG289" s="809"/>
      <c r="BH289" s="809"/>
      <c r="BI289" s="784">
        <v>57.993000000000002</v>
      </c>
      <c r="BJ289" s="784">
        <v>62.231999999999999</v>
      </c>
      <c r="BK289" s="784">
        <v>67.736999999999995</v>
      </c>
      <c r="BL289" s="784">
        <v>75.231999999999999</v>
      </c>
      <c r="BM289" s="784">
        <v>82.141999999999996</v>
      </c>
      <c r="BN289" s="784">
        <v>88.128</v>
      </c>
      <c r="BO289" s="784">
        <v>93.97</v>
      </c>
      <c r="BP289" s="784">
        <v>97.915000000000006</v>
      </c>
      <c r="BQ289" s="784">
        <v>102.455</v>
      </c>
      <c r="BR289" s="784">
        <v>108.018</v>
      </c>
      <c r="BS289" s="784">
        <v>115.69499999999999</v>
      </c>
      <c r="BT289" s="784">
        <v>118.932</v>
      </c>
      <c r="BU289" s="784">
        <v>148.56899999999999</v>
      </c>
      <c r="BV289" s="784">
        <v>164.65299999999999</v>
      </c>
      <c r="BW289" s="784">
        <v>166.477</v>
      </c>
      <c r="BX289" s="784">
        <v>176.196</v>
      </c>
      <c r="BY289" s="784">
        <v>187.84</v>
      </c>
      <c r="BZ289" s="784">
        <v>193.31700000000001</v>
      </c>
      <c r="CA289" s="784">
        <v>202.84</v>
      </c>
      <c r="CB289" s="784">
        <v>203.702</v>
      </c>
      <c r="CC289" s="784">
        <v>209.536</v>
      </c>
      <c r="CD289" s="784">
        <v>212.80500000000001</v>
      </c>
      <c r="CE289" s="784">
        <v>216.05199999999999</v>
      </c>
      <c r="CF289" s="784">
        <v>223.285</v>
      </c>
      <c r="CG289" s="784">
        <v>226.29</v>
      </c>
      <c r="CH289" s="784">
        <v>230.583</v>
      </c>
      <c r="CI289" s="784">
        <v>236.93100000000001</v>
      </c>
      <c r="CJ289" s="784">
        <v>236.614</v>
      </c>
      <c r="CK289" s="784">
        <v>242.87299999999999</v>
      </c>
      <c r="CL289" s="784">
        <v>244.97900000000001</v>
      </c>
      <c r="CM289" s="784">
        <v>254.03700000000001</v>
      </c>
      <c r="CN289" s="784">
        <v>257.93200000000002</v>
      </c>
      <c r="CO289" s="784">
        <v>262.93400000000003</v>
      </c>
      <c r="CP289" s="784">
        <v>268.15600000000001</v>
      </c>
      <c r="CQ289" s="784">
        <v>275.779</v>
      </c>
      <c r="CR289" s="784">
        <v>282.32100000000003</v>
      </c>
      <c r="CS289" s="784">
        <v>289.57799999999997</v>
      </c>
      <c r="CT289" s="784">
        <v>295.92700000000002</v>
      </c>
      <c r="CU289" s="784">
        <v>299.2</v>
      </c>
      <c r="CV289" s="784">
        <v>299.27300000000002</v>
      </c>
      <c r="CW289" s="784">
        <v>374.76400000000001</v>
      </c>
      <c r="CX289" s="784">
        <v>422.24400000000003</v>
      </c>
      <c r="CY289" s="784">
        <v>422.64800000000002</v>
      </c>
      <c r="CZ289" s="54">
        <f t="shared" ref="CZ289:DC289" ca="1" si="324">CZ293-CZ292-CZ291-CZ290</f>
        <v>409.35154731237986</v>
      </c>
      <c r="DA289" s="54">
        <f t="shared" ca="1" si="324"/>
        <v>415.91917949725377</v>
      </c>
      <c r="DB289" s="54">
        <f t="shared" ca="1" si="324"/>
        <v>425.99147186711679</v>
      </c>
      <c r="DC289" s="54">
        <f t="shared" ca="1" si="324"/>
        <v>436.7101946676114</v>
      </c>
    </row>
    <row r="290" spans="2:107">
      <c r="B290" s="19" t="s">
        <v>1124</v>
      </c>
      <c r="C290" s="16"/>
      <c r="D290" s="16"/>
      <c r="E290" s="16"/>
      <c r="F290" s="16"/>
      <c r="G290" s="16"/>
      <c r="H290" s="16"/>
      <c r="I290" s="15"/>
      <c r="J290" s="15"/>
      <c r="K290" s="15"/>
      <c r="L290" s="26">
        <f>SUM(BH290:BK290)</f>
        <v>52.054000000000002</v>
      </c>
      <c r="M290" s="54">
        <f>SUM(BL290:BO290)</f>
        <v>81.69</v>
      </c>
      <c r="N290" s="54">
        <f>SUM(BP290:BS290)</f>
        <v>89.013999999999996</v>
      </c>
      <c r="O290" s="54">
        <f>SUM(BT290:BW290)</f>
        <v>145.38099999999997</v>
      </c>
      <c r="P290" s="54">
        <f>SUM(BX290:CA290)</f>
        <v>197.62300000000002</v>
      </c>
      <c r="Q290" s="1002">
        <f>SUM(CB290:CE290)-SUM(CB333:CC333)</f>
        <v>216.15600000000001</v>
      </c>
      <c r="R290" s="809">
        <f>+SUM(CF290:CI290)</f>
        <v>242.29599999999999</v>
      </c>
      <c r="S290" s="809">
        <f>+SUM(CJ290:CM290)</f>
        <v>272.25700000000001</v>
      </c>
      <c r="T290" s="809">
        <f>+SUM(CN290:CQ290)</f>
        <v>315.25799999999998</v>
      </c>
      <c r="U290" s="809">
        <f>+SUM(CR290:CU290)</f>
        <v>369.05799999999999</v>
      </c>
      <c r="V290" s="809">
        <f>+SUM(CV290:CY290)</f>
        <v>469.26800000000003</v>
      </c>
      <c r="W290" s="809">
        <f>SUM(CZ290:DC290)</f>
        <v>588.44324787787809</v>
      </c>
      <c r="X290" s="809">
        <f>X383*12*X387*X248/1000000</f>
        <v>647.65597719514017</v>
      </c>
      <c r="Y290" s="809">
        <f>Y383*12*Y387*Y248/1000000</f>
        <v>703.60721220780829</v>
      </c>
      <c r="Z290" s="809">
        <f>Z383*12*Z387*Z248/1000000</f>
        <v>750.75140351707557</v>
      </c>
      <c r="AA290" s="809">
        <f t="shared" ref="AA290:AD290" si="325">AA383*12*AA387*AA248/1000000</f>
        <v>797.47167046945412</v>
      </c>
      <c r="AB290" s="809">
        <f t="shared" si="325"/>
        <v>843.71194792860206</v>
      </c>
      <c r="AC290" s="809">
        <f t="shared" si="325"/>
        <v>889.41583905842936</v>
      </c>
      <c r="AD290" s="809">
        <f t="shared" si="325"/>
        <v>934.52643567290022</v>
      </c>
      <c r="AE290" s="23"/>
      <c r="AF290" s="15"/>
      <c r="AG290" s="15"/>
      <c r="AH290" s="15"/>
      <c r="AI290" s="15"/>
      <c r="AJ290" s="15"/>
      <c r="AK290" s="15"/>
      <c r="AL290" s="15"/>
      <c r="AM290" s="15"/>
      <c r="AN290" s="15"/>
      <c r="AO290" s="15"/>
      <c r="AP290" s="15"/>
      <c r="AQ290" s="15"/>
      <c r="AR290" s="15"/>
      <c r="AS290" s="15"/>
      <c r="AT290" s="15"/>
      <c r="AU290" s="15"/>
      <c r="AV290" s="15"/>
      <c r="AW290" s="15"/>
      <c r="AX290" s="15"/>
      <c r="AY290" s="15"/>
      <c r="AZ290" s="15"/>
      <c r="BA290" s="15"/>
      <c r="BB290" s="15"/>
      <c r="BC290" s="15"/>
      <c r="BD290" s="807"/>
      <c r="BE290" s="807"/>
      <c r="BF290" s="809"/>
      <c r="BG290" s="809"/>
      <c r="BH290" s="809"/>
      <c r="BI290" s="784">
        <v>16.66</v>
      </c>
      <c r="BJ290" s="784">
        <v>17.448</v>
      </c>
      <c r="BK290" s="784">
        <v>17.946000000000002</v>
      </c>
      <c r="BL290" s="784">
        <v>19.018999999999998</v>
      </c>
      <c r="BM290" s="784">
        <v>20.106000000000002</v>
      </c>
      <c r="BN290" s="784">
        <v>20.756</v>
      </c>
      <c r="BO290" s="784">
        <v>21.809000000000001</v>
      </c>
      <c r="BP290" s="784">
        <v>21.515999999999998</v>
      </c>
      <c r="BQ290" s="784">
        <v>21.956</v>
      </c>
      <c r="BR290" s="784">
        <v>22.494</v>
      </c>
      <c r="BS290" s="784">
        <v>23.047999999999998</v>
      </c>
      <c r="BT290" s="784">
        <v>23.763999999999999</v>
      </c>
      <c r="BU290" s="784">
        <v>35.072000000000003</v>
      </c>
      <c r="BV290" s="784">
        <v>42.101999999999997</v>
      </c>
      <c r="BW290" s="784">
        <v>44.442999999999998</v>
      </c>
      <c r="BX290" s="784">
        <v>45.921999999999997</v>
      </c>
      <c r="BY290" s="784">
        <v>49.886000000000003</v>
      </c>
      <c r="BZ290" s="784">
        <v>49.432000000000002</v>
      </c>
      <c r="CA290" s="784">
        <v>52.383000000000003</v>
      </c>
      <c r="CB290" s="784">
        <v>51.738999999999997</v>
      </c>
      <c r="CC290" s="784">
        <v>53.048000000000002</v>
      </c>
      <c r="CD290" s="784">
        <v>54.942999999999998</v>
      </c>
      <c r="CE290" s="784">
        <v>56.426000000000002</v>
      </c>
      <c r="CF290" s="784">
        <v>58.206000000000003</v>
      </c>
      <c r="CG290" s="784">
        <v>59.8</v>
      </c>
      <c r="CH290" s="784">
        <v>61.984000000000002</v>
      </c>
      <c r="CI290" s="784">
        <v>62.305999999999997</v>
      </c>
      <c r="CJ290" s="784">
        <v>64.302000000000007</v>
      </c>
      <c r="CK290" s="784">
        <v>66.450999999999993</v>
      </c>
      <c r="CL290" s="784">
        <v>69.512</v>
      </c>
      <c r="CM290" s="784">
        <v>71.992000000000004</v>
      </c>
      <c r="CN290" s="784">
        <v>75.085999999999999</v>
      </c>
      <c r="CO290" s="784">
        <v>77.102000000000004</v>
      </c>
      <c r="CP290" s="784">
        <v>79.902000000000001</v>
      </c>
      <c r="CQ290" s="784">
        <v>83.168000000000006</v>
      </c>
      <c r="CR290" s="784">
        <v>85.936000000000007</v>
      </c>
      <c r="CS290" s="784">
        <v>89.86</v>
      </c>
      <c r="CT290" s="784">
        <v>92.802999999999997</v>
      </c>
      <c r="CU290" s="784">
        <v>100.459</v>
      </c>
      <c r="CV290" s="784">
        <v>100.85</v>
      </c>
      <c r="CW290" s="784">
        <v>116.248</v>
      </c>
      <c r="CX290" s="784">
        <v>124.377</v>
      </c>
      <c r="CY290" s="784">
        <v>127.79300000000001</v>
      </c>
      <c r="CZ290" s="54">
        <f t="shared" ref="CZ290:DC290" si="326">CZ387*3*CZ383*CZ248/1000000</f>
        <v>142.06032554460461</v>
      </c>
      <c r="DA290" s="54">
        <f t="shared" si="326"/>
        <v>144.92909061901872</v>
      </c>
      <c r="DB290" s="54">
        <f t="shared" si="326"/>
        <v>148.70307252649224</v>
      </c>
      <c r="DC290" s="54">
        <f t="shared" si="326"/>
        <v>152.7507591877625</v>
      </c>
    </row>
    <row r="291" spans="2:107">
      <c r="B291" s="19" t="s">
        <v>1221</v>
      </c>
      <c r="C291" s="16"/>
      <c r="D291" s="16"/>
      <c r="E291" s="16"/>
      <c r="F291" s="16"/>
      <c r="G291" s="16"/>
      <c r="H291" s="16"/>
      <c r="I291" s="15"/>
      <c r="J291" s="15"/>
      <c r="K291" s="15"/>
      <c r="L291" s="26">
        <f>SUM(BH291:BK291)</f>
        <v>1.7199999999999998</v>
      </c>
      <c r="M291" s="54">
        <f>SUM(BL291:BO291)</f>
        <v>2.1639999999999997</v>
      </c>
      <c r="N291" s="54">
        <f>SUM(BP291:BS291)</f>
        <v>2.161</v>
      </c>
      <c r="O291" s="54">
        <f>SUM(BT291:BW291)</f>
        <v>2.8849999999999998</v>
      </c>
      <c r="P291" s="54">
        <f>SUM(BX291:CA291)</f>
        <v>36.192999999999998</v>
      </c>
      <c r="Q291" s="1650">
        <f>SUM(CB291:CE291)-SUM(CB334:CC334)</f>
        <v>49.586999999999996</v>
      </c>
      <c r="R291" s="133">
        <f>+SUM(CF291:CI291)</f>
        <v>52.43</v>
      </c>
      <c r="S291" s="133">
        <f>+SUM(CJ291:CM291)</f>
        <v>57.070999999999998</v>
      </c>
      <c r="T291" s="133">
        <f>+SUM(CN291:CQ291)</f>
        <v>48.894000000000005</v>
      </c>
      <c r="U291" s="133">
        <f>+SUM(CR291:CU291)</f>
        <v>53.64</v>
      </c>
      <c r="V291" s="133">
        <f>+SUM(CV291:CY291)</f>
        <v>68.937000000000012</v>
      </c>
      <c r="W291" s="133">
        <f>SUM(CZ291:DC291)</f>
        <v>74.048000000000002</v>
      </c>
      <c r="X291" s="133">
        <f t="shared" ref="X291:Z292" si="327">W291+0.75</f>
        <v>74.798000000000002</v>
      </c>
      <c r="Y291" s="133">
        <f t="shared" si="327"/>
        <v>75.548000000000002</v>
      </c>
      <c r="Z291" s="133">
        <f t="shared" si="327"/>
        <v>76.298000000000002</v>
      </c>
      <c r="AA291" s="133">
        <f t="shared" ref="AA291:AA292" si="328">Z291+0.75</f>
        <v>77.048000000000002</v>
      </c>
      <c r="AB291" s="133">
        <f t="shared" ref="AB291:AB292" si="329">AA291+0.75</f>
        <v>77.798000000000002</v>
      </c>
      <c r="AC291" s="133">
        <f t="shared" ref="AC291:AC292" si="330">AB291+0.75</f>
        <v>78.548000000000002</v>
      </c>
      <c r="AD291" s="133">
        <f t="shared" ref="AD291:AD292" si="331">AC291+0.75</f>
        <v>79.298000000000002</v>
      </c>
      <c r="AE291" s="23"/>
      <c r="AF291" s="15"/>
      <c r="AG291" s="15"/>
      <c r="AH291" s="15"/>
      <c r="AI291" s="15"/>
      <c r="AJ291" s="15"/>
      <c r="AK291" s="15"/>
      <c r="AL291" s="15"/>
      <c r="AM291" s="15"/>
      <c r="AN291" s="15"/>
      <c r="AO291" s="15"/>
      <c r="AP291" s="15"/>
      <c r="AQ291" s="15"/>
      <c r="AR291" s="15"/>
      <c r="AS291" s="15"/>
      <c r="AT291" s="15"/>
      <c r="AU291" s="15"/>
      <c r="AV291" s="15"/>
      <c r="AW291" s="15"/>
      <c r="AX291" s="15"/>
      <c r="AY291" s="15"/>
      <c r="AZ291" s="15"/>
      <c r="BA291" s="15"/>
      <c r="BB291" s="15"/>
      <c r="BC291" s="15"/>
      <c r="BD291" s="818"/>
      <c r="BE291" s="818"/>
      <c r="BF291" s="809"/>
      <c r="BG291" s="809"/>
      <c r="BH291" s="809"/>
      <c r="BI291" s="784">
        <v>0.57499999999999996</v>
      </c>
      <c r="BJ291" s="784">
        <v>0.54700000000000004</v>
      </c>
      <c r="BK291" s="784">
        <v>0.59799999999999998</v>
      </c>
      <c r="BL291" s="784">
        <v>0.55400000000000005</v>
      </c>
      <c r="BM291" s="784">
        <v>0.503</v>
      </c>
      <c r="BN291" s="784">
        <v>0.54500000000000004</v>
      </c>
      <c r="BO291" s="784">
        <v>0.56200000000000006</v>
      </c>
      <c r="BP291" s="784">
        <v>0.56899999999999995</v>
      </c>
      <c r="BQ291" s="784">
        <v>0.52200000000000002</v>
      </c>
      <c r="BR291" s="784">
        <v>0.52900000000000003</v>
      </c>
      <c r="BS291" s="784">
        <v>0.54100000000000004</v>
      </c>
      <c r="BT291" s="784">
        <v>0.53900000000000003</v>
      </c>
      <c r="BU291" s="784">
        <v>0.746</v>
      </c>
      <c r="BV291" s="784">
        <v>0.82099999999999995</v>
      </c>
      <c r="BW291" s="784">
        <v>0.77900000000000003</v>
      </c>
      <c r="BX291" s="784">
        <v>0.76700000000000002</v>
      </c>
      <c r="BY291" s="784">
        <v>6.984</v>
      </c>
      <c r="BZ291" s="784">
        <v>15.965999999999999</v>
      </c>
      <c r="CA291" s="784">
        <v>12.476000000000001</v>
      </c>
      <c r="CB291" s="784">
        <v>13.464</v>
      </c>
      <c r="CC291" s="784">
        <v>12.125</v>
      </c>
      <c r="CD291" s="784">
        <v>12.016999999999999</v>
      </c>
      <c r="CE291" s="784">
        <v>11.981</v>
      </c>
      <c r="CF291" s="784">
        <v>13.147</v>
      </c>
      <c r="CG291" s="784">
        <v>13.567</v>
      </c>
      <c r="CH291" s="784">
        <v>12.904999999999999</v>
      </c>
      <c r="CI291" s="784">
        <v>12.811</v>
      </c>
      <c r="CJ291" s="784">
        <v>13.112</v>
      </c>
      <c r="CK291" s="784">
        <v>14.885</v>
      </c>
      <c r="CL291" s="784">
        <v>15.214</v>
      </c>
      <c r="CM291" s="784">
        <v>13.86</v>
      </c>
      <c r="CN291" s="784">
        <v>13.295</v>
      </c>
      <c r="CO291" s="784">
        <v>12.837</v>
      </c>
      <c r="CP291" s="784">
        <v>11.788</v>
      </c>
      <c r="CQ291" s="784">
        <v>10.974</v>
      </c>
      <c r="CR291" s="784">
        <v>11.17</v>
      </c>
      <c r="CS291" s="784">
        <v>13.255000000000001</v>
      </c>
      <c r="CT291" s="784">
        <v>14.83</v>
      </c>
      <c r="CU291" s="784">
        <v>14.385</v>
      </c>
      <c r="CV291" s="784">
        <v>15.061</v>
      </c>
      <c r="CW291" s="784">
        <v>17.004999999999999</v>
      </c>
      <c r="CX291" s="784">
        <v>18.359000000000002</v>
      </c>
      <c r="CY291" s="784">
        <v>18.512</v>
      </c>
      <c r="CZ291" s="133">
        <f t="shared" ref="CZ291:DC291" si="332">+CY291</f>
        <v>18.512</v>
      </c>
      <c r="DA291" s="133">
        <f t="shared" si="332"/>
        <v>18.512</v>
      </c>
      <c r="DB291" s="133">
        <f t="shared" si="332"/>
        <v>18.512</v>
      </c>
      <c r="DC291" s="133">
        <f t="shared" si="332"/>
        <v>18.512</v>
      </c>
    </row>
    <row r="292" spans="2:107">
      <c r="B292" s="19" t="s">
        <v>1222</v>
      </c>
      <c r="C292" s="14"/>
      <c r="D292" s="14"/>
      <c r="E292" s="14"/>
      <c r="F292" s="14"/>
      <c r="G292" s="14"/>
      <c r="H292" s="14"/>
      <c r="I292" s="14"/>
      <c r="J292" s="14"/>
      <c r="K292" s="14"/>
      <c r="L292" s="26">
        <f>SUM(BH292:BK292)</f>
        <v>0.79700000000000004</v>
      </c>
      <c r="M292" s="54">
        <f>SUM(BL292:BO292)</f>
        <v>0.61399999999999999</v>
      </c>
      <c r="N292" s="54">
        <f>SUM(BP292:BS292)</f>
        <v>0.52200000000000002</v>
      </c>
      <c r="O292" s="54">
        <f>SUM(BT292:BW292)</f>
        <v>1.7509999999999999</v>
      </c>
      <c r="P292" s="54">
        <f>SUM(BX292:CA292)</f>
        <v>2.0060000000000002</v>
      </c>
      <c r="Q292" s="1650">
        <f>SUM(CB292:CE292)-SUM(CB335:CC335)</f>
        <v>1.843</v>
      </c>
      <c r="R292" s="133">
        <f>+SUM(CF292:CI292)</f>
        <v>2.4859999999999998</v>
      </c>
      <c r="S292" s="133">
        <f>+SUM(CJ292:CM292)</f>
        <v>3.6870000000000003</v>
      </c>
      <c r="T292" s="133">
        <f>+SUM(CN292:CQ292)</f>
        <v>3.1310000000000002</v>
      </c>
      <c r="U292" s="133">
        <f>+SUM(CR292:CU292)</f>
        <v>3.3600000000000003</v>
      </c>
      <c r="V292" s="133">
        <f>+SUM(CV292:CY292)</f>
        <v>5.218</v>
      </c>
      <c r="W292" s="133">
        <f>SUM(CZ292:DC292)</f>
        <v>5.86</v>
      </c>
      <c r="X292" s="133">
        <f t="shared" si="327"/>
        <v>6.61</v>
      </c>
      <c r="Y292" s="133">
        <f t="shared" si="327"/>
        <v>7.36</v>
      </c>
      <c r="Z292" s="133">
        <f t="shared" si="327"/>
        <v>8.11</v>
      </c>
      <c r="AA292" s="133">
        <f t="shared" si="328"/>
        <v>8.86</v>
      </c>
      <c r="AB292" s="133">
        <f t="shared" si="329"/>
        <v>9.61</v>
      </c>
      <c r="AC292" s="133">
        <f t="shared" si="330"/>
        <v>10.36</v>
      </c>
      <c r="AD292" s="133">
        <f t="shared" si="331"/>
        <v>11.11</v>
      </c>
      <c r="AE292" s="14"/>
      <c r="AF292" s="14"/>
      <c r="AG292" s="14"/>
      <c r="AH292" s="14"/>
      <c r="AI292" s="14"/>
      <c r="AJ292" s="14"/>
      <c r="AK292" s="14"/>
      <c r="AL292" s="14"/>
      <c r="AM292" s="14"/>
      <c r="AN292" s="14"/>
      <c r="AO292" s="14"/>
      <c r="AP292" s="14"/>
      <c r="AQ292" s="14"/>
      <c r="AR292" s="14"/>
      <c r="AS292" s="14"/>
      <c r="AT292" s="14"/>
      <c r="AU292" s="14"/>
      <c r="AV292" s="14"/>
      <c r="AW292" s="14"/>
      <c r="AX292" s="14"/>
      <c r="AY292" s="14"/>
      <c r="AZ292" s="14"/>
      <c r="BA292" s="14"/>
      <c r="BB292" s="14"/>
      <c r="BC292" s="14"/>
      <c r="BD292" s="14"/>
      <c r="BE292" s="14"/>
      <c r="BF292" s="809"/>
      <c r="BG292" s="809"/>
      <c r="BH292" s="809"/>
      <c r="BI292" s="784">
        <v>0.32500000000000001</v>
      </c>
      <c r="BJ292" s="784">
        <v>0.35599999999999998</v>
      </c>
      <c r="BK292" s="784">
        <v>0.11600000000000001</v>
      </c>
      <c r="BL292" s="784">
        <v>0.248</v>
      </c>
      <c r="BM292" s="784">
        <v>0.11700000000000001</v>
      </c>
      <c r="BN292" s="784">
        <v>0.13300000000000001</v>
      </c>
      <c r="BO292" s="784">
        <v>0.11600000000000001</v>
      </c>
      <c r="BP292" s="784">
        <v>0.161</v>
      </c>
      <c r="BQ292" s="784">
        <v>0.11799999999999999</v>
      </c>
      <c r="BR292" s="784">
        <v>0.123</v>
      </c>
      <c r="BS292" s="784">
        <v>0.12</v>
      </c>
      <c r="BT292" s="784">
        <v>0.182</v>
      </c>
      <c r="BU292" s="784">
        <v>0.40699999999999997</v>
      </c>
      <c r="BV292" s="784">
        <v>0.52</v>
      </c>
      <c r="BW292" s="784">
        <v>0.64200000000000002</v>
      </c>
      <c r="BX292" s="784">
        <v>0.504</v>
      </c>
      <c r="BY292" s="784">
        <v>0.48899999999999999</v>
      </c>
      <c r="BZ292" s="784">
        <v>0.55000000000000004</v>
      </c>
      <c r="CA292" s="784">
        <v>0.46300000000000002</v>
      </c>
      <c r="CB292" s="784">
        <v>0.439</v>
      </c>
      <c r="CC292" s="784">
        <v>0.44500000000000001</v>
      </c>
      <c r="CD292" s="784">
        <v>0.46899999999999997</v>
      </c>
      <c r="CE292" s="784">
        <v>0.49</v>
      </c>
      <c r="CF292" s="784">
        <v>0.46</v>
      </c>
      <c r="CG292" s="784">
        <v>0.44500000000000001</v>
      </c>
      <c r="CH292" s="784">
        <v>0.81799999999999995</v>
      </c>
      <c r="CI292" s="784">
        <v>0.76300000000000001</v>
      </c>
      <c r="CJ292" s="784">
        <v>0.95199999999999996</v>
      </c>
      <c r="CK292" s="784">
        <v>0.94299999999999995</v>
      </c>
      <c r="CL292" s="784">
        <v>0.97799999999999998</v>
      </c>
      <c r="CM292" s="784">
        <v>0.81399999999999995</v>
      </c>
      <c r="CN292" s="784">
        <v>0.74099999999999999</v>
      </c>
      <c r="CO292" s="784">
        <v>0.73199999999999998</v>
      </c>
      <c r="CP292" s="784">
        <v>0.84099999999999997</v>
      </c>
      <c r="CQ292" s="784">
        <v>0.81699999999999995</v>
      </c>
      <c r="CR292" s="784">
        <v>0.72899999999999998</v>
      </c>
      <c r="CS292" s="784">
        <v>0.78600000000000003</v>
      </c>
      <c r="CT292" s="784">
        <v>0.90200000000000002</v>
      </c>
      <c r="CU292" s="784">
        <v>0.94299999999999995</v>
      </c>
      <c r="CV292" s="784">
        <v>0.91900000000000004</v>
      </c>
      <c r="CW292" s="784">
        <v>1.903</v>
      </c>
      <c r="CX292" s="784">
        <v>1.056</v>
      </c>
      <c r="CY292" s="784">
        <v>1.34</v>
      </c>
      <c r="CZ292" s="133">
        <f t="shared" ref="CZ292:DC292" si="333">CY292+0.05</f>
        <v>1.3900000000000001</v>
      </c>
      <c r="DA292" s="133">
        <f t="shared" si="333"/>
        <v>1.4400000000000002</v>
      </c>
      <c r="DB292" s="133">
        <f t="shared" si="333"/>
        <v>1.4900000000000002</v>
      </c>
      <c r="DC292" s="133">
        <f t="shared" si="333"/>
        <v>1.5400000000000003</v>
      </c>
    </row>
    <row r="293" spans="2:107">
      <c r="B293" s="14" t="s">
        <v>1407</v>
      </c>
      <c r="C293" s="14"/>
      <c r="D293" s="14"/>
      <c r="E293" s="14"/>
      <c r="F293" s="14"/>
      <c r="G293" s="14"/>
      <c r="H293" s="14"/>
      <c r="I293" s="14"/>
      <c r="J293" s="14"/>
      <c r="K293" s="14"/>
      <c r="L293" s="195">
        <f t="shared" ref="L293:S293" si="334">SUM(L289:L292)</f>
        <v>242.53299999999999</v>
      </c>
      <c r="M293" s="195">
        <f t="shared" si="334"/>
        <v>423.93999999999994</v>
      </c>
      <c r="N293" s="195">
        <f t="shared" si="334"/>
        <v>515.78</v>
      </c>
      <c r="O293" s="195">
        <f t="shared" si="334"/>
        <v>748.64799999999991</v>
      </c>
      <c r="P293" s="195">
        <f t="shared" si="334"/>
        <v>996.0150000000001</v>
      </c>
      <c r="Q293" s="1651">
        <f t="shared" si="334"/>
        <v>1109.681</v>
      </c>
      <c r="R293" s="195">
        <f t="shared" si="334"/>
        <v>1214.3010000000002</v>
      </c>
      <c r="S293" s="195">
        <f t="shared" si="334"/>
        <v>1311.5179999999998</v>
      </c>
      <c r="T293" s="195">
        <f>SUM(T289:T292)</f>
        <v>1432.0840000000001</v>
      </c>
      <c r="U293" s="195">
        <f>SUM(U289:U292)</f>
        <v>1593.0840000000001</v>
      </c>
      <c r="V293" s="195">
        <f>SUM(V289:V292)</f>
        <v>2062.3519999999999</v>
      </c>
      <c r="W293" s="195">
        <f ca="1">SUM(W289:W292)</f>
        <v>2356.32364122224</v>
      </c>
      <c r="X293" s="195">
        <f ca="1">(X274*12*X248)/1000000+X281</f>
        <v>2565.844615690894</v>
      </c>
      <c r="Y293" s="195">
        <f ca="1">(Y274*12*Y248)/1000000+Y281</f>
        <v>2760.4894950554731</v>
      </c>
      <c r="Z293" s="195">
        <f ca="1">(Z274*12*Z248)/1000000+Z281</f>
        <v>2918.520920120171</v>
      </c>
      <c r="AA293" s="195">
        <f t="shared" ref="AA293:AD293" ca="1" si="335">(AA274*12*AA248)/1000000+AA281</f>
        <v>3071.1681619011401</v>
      </c>
      <c r="AB293" s="195">
        <f t="shared" ca="1" si="335"/>
        <v>3218.0998895081966</v>
      </c>
      <c r="AC293" s="195">
        <f t="shared" ca="1" si="335"/>
        <v>3358.9984348345492</v>
      </c>
      <c r="AD293" s="195">
        <f t="shared" ca="1" si="335"/>
        <v>3493.560832445376</v>
      </c>
      <c r="AE293" s="14"/>
      <c r="AF293" s="14"/>
      <c r="AG293" s="14"/>
      <c r="AH293" s="14"/>
      <c r="AI293" s="14"/>
      <c r="AJ293" s="14"/>
      <c r="AK293" s="14"/>
      <c r="AL293" s="14"/>
      <c r="AM293" s="14"/>
      <c r="AN293" s="14"/>
      <c r="AO293" s="14"/>
      <c r="AP293" s="14"/>
      <c r="AQ293" s="14"/>
      <c r="AR293" s="14"/>
      <c r="AS293" s="14"/>
      <c r="AT293" s="14"/>
      <c r="AU293" s="14"/>
      <c r="AV293" s="14"/>
      <c r="AW293" s="14"/>
      <c r="AX293" s="14"/>
      <c r="AY293" s="14"/>
      <c r="AZ293" s="14"/>
      <c r="BA293" s="14"/>
      <c r="BB293" s="14"/>
      <c r="BC293" s="14"/>
      <c r="BD293" s="14"/>
      <c r="BE293" s="14"/>
      <c r="BF293" s="195"/>
      <c r="BG293" s="195"/>
      <c r="BH293" s="195"/>
      <c r="BI293" s="195">
        <f t="shared" ref="BI293:CG293" si="336">SUM(BI289:BI292)</f>
        <v>75.553000000000011</v>
      </c>
      <c r="BJ293" s="195">
        <f t="shared" si="336"/>
        <v>80.582999999999998</v>
      </c>
      <c r="BK293" s="195">
        <f t="shared" si="336"/>
        <v>86.396999999999991</v>
      </c>
      <c r="BL293" s="195">
        <f t="shared" si="336"/>
        <v>95.053000000000011</v>
      </c>
      <c r="BM293" s="195">
        <f t="shared" si="336"/>
        <v>102.86799999999999</v>
      </c>
      <c r="BN293" s="195">
        <f t="shared" si="336"/>
        <v>109.562</v>
      </c>
      <c r="BO293" s="195">
        <f t="shared" si="336"/>
        <v>116.45699999999999</v>
      </c>
      <c r="BP293" s="195">
        <f t="shared" si="336"/>
        <v>120.16100000000002</v>
      </c>
      <c r="BQ293" s="195">
        <f t="shared" si="336"/>
        <v>125.051</v>
      </c>
      <c r="BR293" s="195">
        <f t="shared" si="336"/>
        <v>131.16399999999999</v>
      </c>
      <c r="BS293" s="195">
        <f t="shared" si="336"/>
        <v>139.404</v>
      </c>
      <c r="BT293" s="195">
        <f t="shared" si="336"/>
        <v>143.41699999999997</v>
      </c>
      <c r="BU293" s="195">
        <f t="shared" si="336"/>
        <v>184.79400000000001</v>
      </c>
      <c r="BV293" s="195">
        <f t="shared" si="336"/>
        <v>208.096</v>
      </c>
      <c r="BW293" s="195">
        <f t="shared" si="336"/>
        <v>212.34100000000001</v>
      </c>
      <c r="BX293" s="195">
        <f t="shared" si="336"/>
        <v>223.38899999999998</v>
      </c>
      <c r="BY293" s="195">
        <f t="shared" si="336"/>
        <v>245.19900000000001</v>
      </c>
      <c r="BZ293" s="195">
        <f t="shared" si="336"/>
        <v>259.26500000000004</v>
      </c>
      <c r="CA293" s="195">
        <f t="shared" si="336"/>
        <v>268.16200000000003</v>
      </c>
      <c r="CB293" s="195">
        <f t="shared" si="336"/>
        <v>269.34400000000005</v>
      </c>
      <c r="CC293" s="195">
        <f t="shared" si="336"/>
        <v>275.154</v>
      </c>
      <c r="CD293" s="195">
        <f t="shared" si="336"/>
        <v>280.23399999999998</v>
      </c>
      <c r="CE293" s="195">
        <f t="shared" si="336"/>
        <v>284.94900000000001</v>
      </c>
      <c r="CF293" s="195">
        <f t="shared" si="336"/>
        <v>295.09799999999996</v>
      </c>
      <c r="CG293" s="195">
        <f t="shared" si="336"/>
        <v>300.10199999999998</v>
      </c>
      <c r="CH293" s="195">
        <f t="shared" ref="CH293:CM293" si="337">SUM(CH289:CH292)</f>
        <v>306.28999999999996</v>
      </c>
      <c r="CI293" s="195">
        <f t="shared" si="337"/>
        <v>312.81099999999998</v>
      </c>
      <c r="CJ293" s="195">
        <f t="shared" si="337"/>
        <v>314.98</v>
      </c>
      <c r="CK293" s="195">
        <f t="shared" si="337"/>
        <v>325.15199999999993</v>
      </c>
      <c r="CL293" s="195">
        <f t="shared" si="337"/>
        <v>330.68299999999999</v>
      </c>
      <c r="CM293" s="195">
        <f t="shared" si="337"/>
        <v>340.70300000000003</v>
      </c>
      <c r="CN293" s="195">
        <f t="shared" ref="CN293:CS293" si="338">SUM(CN289:CN292)</f>
        <v>347.05400000000003</v>
      </c>
      <c r="CO293" s="195">
        <f t="shared" si="338"/>
        <v>353.60500000000008</v>
      </c>
      <c r="CP293" s="195">
        <f t="shared" si="338"/>
        <v>360.68700000000001</v>
      </c>
      <c r="CQ293" s="195">
        <f t="shared" si="338"/>
        <v>370.738</v>
      </c>
      <c r="CR293" s="195">
        <f t="shared" si="338"/>
        <v>380.15600000000006</v>
      </c>
      <c r="CS293" s="195">
        <f t="shared" si="338"/>
        <v>393.47899999999998</v>
      </c>
      <c r="CT293" s="195">
        <f t="shared" ref="CT293:CY293" si="339">SUM(CT289:CT292)</f>
        <v>404.46199999999999</v>
      </c>
      <c r="CU293" s="195">
        <f t="shared" si="339"/>
        <v>414.98699999999997</v>
      </c>
      <c r="CV293" s="195">
        <f t="shared" si="339"/>
        <v>416.10300000000001</v>
      </c>
      <c r="CW293" s="195">
        <f t="shared" si="339"/>
        <v>509.92</v>
      </c>
      <c r="CX293" s="195">
        <f t="shared" si="339"/>
        <v>566.03600000000006</v>
      </c>
      <c r="CY293" s="195">
        <f t="shared" si="339"/>
        <v>570.29300000000001</v>
      </c>
      <c r="CZ293" s="195">
        <f ca="1">(CZ274*3*CZ248)/1000000+CZ281</f>
        <v>571.31387285698452</v>
      </c>
      <c r="DA293" s="195">
        <f t="shared" ref="DA293:DC293" ca="1" si="340">(DA274*3*DA248)/1000000+DA281</f>
        <v>580.80027011627249</v>
      </c>
      <c r="DB293" s="195">
        <f t="shared" ca="1" si="340"/>
        <v>594.69654439360897</v>
      </c>
      <c r="DC293" s="195">
        <f t="shared" ca="1" si="340"/>
        <v>609.51295385537389</v>
      </c>
    </row>
    <row r="294" spans="2:107">
      <c r="B294" s="16" t="s">
        <v>1408</v>
      </c>
      <c r="C294" s="16"/>
      <c r="D294" s="16"/>
      <c r="E294" s="16"/>
      <c r="F294" s="16"/>
      <c r="G294" s="16"/>
      <c r="H294" s="16"/>
      <c r="I294" s="15"/>
      <c r="J294" s="15"/>
      <c r="K294" s="15"/>
      <c r="L294" s="26">
        <f>SUM(BH294:BK294)</f>
        <v>9.8189999999999991</v>
      </c>
      <c r="M294" s="54">
        <f>SUM(BL294:BO294)</f>
        <v>18.863</v>
      </c>
      <c r="N294" s="54">
        <f>SUM(BP294:BS294)</f>
        <v>19.709</v>
      </c>
      <c r="O294" s="54">
        <f>SUM(BT294:BW294)</f>
        <v>27.527000000000001</v>
      </c>
      <c r="P294" s="54">
        <f>SUM(BX294:CA294)</f>
        <v>36.758000000000003</v>
      </c>
      <c r="Q294" s="1650">
        <f>SUM(CB294:CE294)-SUM(CB337:CC337)</f>
        <v>40.161999999999999</v>
      </c>
      <c r="R294" s="133">
        <f>+SUM(CF294:CI294)</f>
        <v>50.472999999999999</v>
      </c>
      <c r="S294" s="133">
        <f>+SUM(CJ294:CM294)</f>
        <v>64.584999999999994</v>
      </c>
      <c r="T294" s="133">
        <f>+SUM(CN294:CQ294)</f>
        <v>80.451000000000008</v>
      </c>
      <c r="U294" s="133">
        <f>+SUM(CR294:CU294)</f>
        <v>86.465000000000003</v>
      </c>
      <c r="V294" s="133">
        <f>+SUM(CV294:CY294)</f>
        <v>110.40799999999999</v>
      </c>
      <c r="W294" s="133">
        <f>SUM(CZ294:DC294)</f>
        <v>145.49600000000004</v>
      </c>
      <c r="X294" s="133">
        <f>W294+2</f>
        <v>147.49600000000004</v>
      </c>
      <c r="Y294" s="133">
        <f>X294+2</f>
        <v>149.49600000000004</v>
      </c>
      <c r="Z294" s="133">
        <f>Y294+2</f>
        <v>151.49600000000004</v>
      </c>
      <c r="AA294" s="133">
        <f t="shared" ref="AA294:AD294" si="341">Z294+2</f>
        <v>153.49600000000004</v>
      </c>
      <c r="AB294" s="133">
        <f t="shared" si="341"/>
        <v>155.49600000000004</v>
      </c>
      <c r="AC294" s="133">
        <f t="shared" si="341"/>
        <v>157.49600000000004</v>
      </c>
      <c r="AD294" s="133">
        <f t="shared" si="341"/>
        <v>159.49600000000004</v>
      </c>
      <c r="AE294" s="23"/>
      <c r="AF294" s="15"/>
      <c r="AG294" s="15"/>
      <c r="AH294" s="15"/>
      <c r="AI294" s="15"/>
      <c r="AJ294" s="15"/>
      <c r="AK294" s="15"/>
      <c r="AL294" s="15"/>
      <c r="AM294" s="15"/>
      <c r="AN294" s="15"/>
      <c r="AO294" s="15"/>
      <c r="AP294" s="15"/>
      <c r="AQ294" s="15"/>
      <c r="AR294" s="15"/>
      <c r="AS294" s="15"/>
      <c r="AT294" s="15"/>
      <c r="AU294" s="15"/>
      <c r="AV294" s="15"/>
      <c r="AW294" s="15"/>
      <c r="AX294" s="15"/>
      <c r="AY294" s="15"/>
      <c r="AZ294" s="15"/>
      <c r="BA294" s="15"/>
      <c r="BB294" s="15"/>
      <c r="BC294" s="15"/>
      <c r="BD294" s="16"/>
      <c r="BE294" s="16"/>
      <c r="BF294" s="16"/>
      <c r="BG294" s="26"/>
      <c r="BH294" s="26"/>
      <c r="BI294" s="398">
        <v>2.6970000000000001</v>
      </c>
      <c r="BJ294" s="398">
        <v>3.1019999999999999</v>
      </c>
      <c r="BK294" s="398">
        <v>4.0199999999999996</v>
      </c>
      <c r="BL294" s="398">
        <v>4.1429999999999998</v>
      </c>
      <c r="BM294" s="398">
        <v>4.3789999999999996</v>
      </c>
      <c r="BN294" s="398">
        <v>5.2969999999999997</v>
      </c>
      <c r="BO294" s="398">
        <v>5.0439999999999996</v>
      </c>
      <c r="BP294" s="398">
        <v>4.7329999999999997</v>
      </c>
      <c r="BQ294" s="398">
        <v>4.6950000000000003</v>
      </c>
      <c r="BR294" s="398">
        <v>5.17</v>
      </c>
      <c r="BS294" s="398">
        <v>5.1109999999999998</v>
      </c>
      <c r="BT294" s="398">
        <v>5.1390000000000002</v>
      </c>
      <c r="BU294" s="398">
        <v>6.8520000000000003</v>
      </c>
      <c r="BV294" s="398">
        <v>7.2290000000000001</v>
      </c>
      <c r="BW294" s="398">
        <v>8.3070000000000004</v>
      </c>
      <c r="BX294" s="398">
        <v>9.1379999999999999</v>
      </c>
      <c r="BY294" s="398">
        <v>8.69</v>
      </c>
      <c r="BZ294" s="398">
        <v>9.5890000000000004</v>
      </c>
      <c r="CA294" s="398">
        <v>9.3409999999999993</v>
      </c>
      <c r="CB294" s="398">
        <v>7.6630000000000003</v>
      </c>
      <c r="CC294" s="398">
        <v>10.874000000000001</v>
      </c>
      <c r="CD294" s="398">
        <v>11.602</v>
      </c>
      <c r="CE294" s="398">
        <v>10.023</v>
      </c>
      <c r="CF294" s="398">
        <v>10.694000000000001</v>
      </c>
      <c r="CG294" s="398">
        <v>13.366</v>
      </c>
      <c r="CH294" s="398">
        <v>13.122999999999999</v>
      </c>
      <c r="CI294" s="398">
        <v>13.29</v>
      </c>
      <c r="CJ294" s="398">
        <v>15.053000000000001</v>
      </c>
      <c r="CK294" s="398">
        <v>17.103999999999999</v>
      </c>
      <c r="CL294" s="398">
        <v>16.728999999999999</v>
      </c>
      <c r="CM294" s="398">
        <v>15.699</v>
      </c>
      <c r="CN294" s="398">
        <v>16.914999999999999</v>
      </c>
      <c r="CO294" s="398">
        <v>17.841999999999999</v>
      </c>
      <c r="CP294" s="398">
        <v>21.943000000000001</v>
      </c>
      <c r="CQ294" s="398">
        <v>23.751000000000001</v>
      </c>
      <c r="CR294" s="398">
        <v>24.238</v>
      </c>
      <c r="CS294" s="398">
        <v>19.992000000000001</v>
      </c>
      <c r="CT294" s="398">
        <v>20.68</v>
      </c>
      <c r="CU294" s="398">
        <v>21.555</v>
      </c>
      <c r="CV294" s="398">
        <v>20.344000000000001</v>
      </c>
      <c r="CW294" s="398">
        <v>23.687999999999999</v>
      </c>
      <c r="CX294" s="398">
        <v>30.501999999999999</v>
      </c>
      <c r="CY294" s="398">
        <v>35.874000000000002</v>
      </c>
      <c r="CZ294" s="1657">
        <f t="shared" ref="CZ294:DC294" si="342">CY294+0.2</f>
        <v>36.074000000000005</v>
      </c>
      <c r="DA294" s="1657">
        <f t="shared" si="342"/>
        <v>36.274000000000008</v>
      </c>
      <c r="DB294" s="1657">
        <f t="shared" si="342"/>
        <v>36.474000000000011</v>
      </c>
      <c r="DC294" s="1657">
        <f t="shared" si="342"/>
        <v>36.674000000000014</v>
      </c>
    </row>
    <row r="295" spans="2:107">
      <c r="B295" s="14" t="s">
        <v>720</v>
      </c>
      <c r="C295" s="14"/>
      <c r="D295" s="14"/>
      <c r="E295" s="14"/>
      <c r="F295" s="14"/>
      <c r="G295" s="14"/>
      <c r="H295" s="14"/>
      <c r="I295" s="14"/>
      <c r="J295" s="195">
        <f>SUM(AZ295:BC295)</f>
        <v>191.39000000000001</v>
      </c>
      <c r="K295" s="195">
        <f>SUM(BD295:BG295)</f>
        <v>247.245</v>
      </c>
      <c r="L295" s="195">
        <f t="shared" ref="L295:S295" si="343">L294+L293</f>
        <v>252.35199999999998</v>
      </c>
      <c r="M295" s="195">
        <f t="shared" si="343"/>
        <v>442.80299999999994</v>
      </c>
      <c r="N295" s="195">
        <f t="shared" si="343"/>
        <v>535.48899999999992</v>
      </c>
      <c r="O295" s="195">
        <f t="shared" si="343"/>
        <v>776.17499999999995</v>
      </c>
      <c r="P295" s="195">
        <f t="shared" si="343"/>
        <v>1032.7730000000001</v>
      </c>
      <c r="Q295" s="1651">
        <f t="shared" si="343"/>
        <v>1149.8430000000001</v>
      </c>
      <c r="R295" s="195">
        <f t="shared" si="343"/>
        <v>1264.7740000000001</v>
      </c>
      <c r="S295" s="195">
        <f t="shared" si="343"/>
        <v>1376.1029999999998</v>
      </c>
      <c r="T295" s="195">
        <f t="shared" ref="T295:Z295" si="344">T294+T293</f>
        <v>1512.5350000000001</v>
      </c>
      <c r="U295" s="195">
        <f t="shared" si="344"/>
        <v>1679.549</v>
      </c>
      <c r="V295" s="195">
        <f>V294+V293</f>
        <v>2172.7599999999998</v>
      </c>
      <c r="W295" s="195">
        <f ca="1">W294+W293</f>
        <v>2501.8196412222401</v>
      </c>
      <c r="X295" s="195">
        <f t="shared" ca="1" si="344"/>
        <v>2713.3406156908941</v>
      </c>
      <c r="Y295" s="195">
        <f t="shared" ca="1" si="344"/>
        <v>2909.9854950554732</v>
      </c>
      <c r="Z295" s="195">
        <f t="shared" ca="1" si="344"/>
        <v>3070.0169201201711</v>
      </c>
      <c r="AA295" s="195">
        <f t="shared" ref="AA295:AD295" ca="1" si="345">AA294+AA293</f>
        <v>3224.6641619011402</v>
      </c>
      <c r="AB295" s="195">
        <f t="shared" ca="1" si="345"/>
        <v>3373.5958895081967</v>
      </c>
      <c r="AC295" s="195">
        <f t="shared" ca="1" si="345"/>
        <v>3516.4944348345493</v>
      </c>
      <c r="AD295" s="195">
        <f t="shared" ca="1" si="345"/>
        <v>3653.0568324453761</v>
      </c>
      <c r="AE295" s="14"/>
      <c r="AF295" s="14"/>
      <c r="AG295" s="14"/>
      <c r="AH295" s="14"/>
      <c r="AI295" s="14"/>
      <c r="AJ295" s="14"/>
      <c r="AK295" s="14"/>
      <c r="AL295" s="14"/>
      <c r="AM295" s="14"/>
      <c r="AN295" s="14"/>
      <c r="AO295" s="14"/>
      <c r="AP295" s="14"/>
      <c r="AQ295" s="14"/>
      <c r="AR295" s="14"/>
      <c r="AS295" s="14"/>
      <c r="AT295" s="14"/>
      <c r="AU295" s="14"/>
      <c r="AV295" s="14"/>
      <c r="AW295" s="14"/>
      <c r="AX295" s="14"/>
      <c r="AY295" s="14"/>
      <c r="AZ295" s="814">
        <v>42.015999999999998</v>
      </c>
      <c r="BA295" s="814">
        <v>45.384</v>
      </c>
      <c r="BB295" s="814">
        <v>50.527000000000001</v>
      </c>
      <c r="BC295" s="814">
        <v>53.463000000000001</v>
      </c>
      <c r="BD295" s="814">
        <v>55.84</v>
      </c>
      <c r="BE295" s="814">
        <v>58.9</v>
      </c>
      <c r="BF295" s="814">
        <v>63.654000000000003</v>
      </c>
      <c r="BG295" s="814">
        <v>68.850999999999999</v>
      </c>
      <c r="BH295" s="814">
        <v>72.525999999999996</v>
      </c>
      <c r="BI295" s="195">
        <f t="shared" ref="BI295:CJ295" si="346">BI294+BI293</f>
        <v>78.250000000000014</v>
      </c>
      <c r="BJ295" s="195">
        <f t="shared" si="346"/>
        <v>83.685000000000002</v>
      </c>
      <c r="BK295" s="195">
        <f t="shared" si="346"/>
        <v>90.416999999999987</v>
      </c>
      <c r="BL295" s="195">
        <f t="shared" si="346"/>
        <v>99.196000000000012</v>
      </c>
      <c r="BM295" s="195">
        <f t="shared" si="346"/>
        <v>107.247</v>
      </c>
      <c r="BN295" s="195">
        <f t="shared" si="346"/>
        <v>114.85899999999999</v>
      </c>
      <c r="BO295" s="195">
        <f t="shared" si="346"/>
        <v>121.50099999999999</v>
      </c>
      <c r="BP295" s="195">
        <f t="shared" si="346"/>
        <v>124.89400000000002</v>
      </c>
      <c r="BQ295" s="195">
        <f t="shared" si="346"/>
        <v>129.74600000000001</v>
      </c>
      <c r="BR295" s="195">
        <f t="shared" si="346"/>
        <v>136.33399999999997</v>
      </c>
      <c r="BS295" s="195">
        <f t="shared" si="346"/>
        <v>144.51499999999999</v>
      </c>
      <c r="BT295" s="195">
        <f t="shared" si="346"/>
        <v>148.55599999999998</v>
      </c>
      <c r="BU295" s="195">
        <f t="shared" si="346"/>
        <v>191.64600000000002</v>
      </c>
      <c r="BV295" s="195">
        <f t="shared" si="346"/>
        <v>215.32500000000002</v>
      </c>
      <c r="BW295" s="195">
        <f t="shared" si="346"/>
        <v>220.648</v>
      </c>
      <c r="BX295" s="195">
        <f t="shared" si="346"/>
        <v>232.52699999999999</v>
      </c>
      <c r="BY295" s="195">
        <f t="shared" si="346"/>
        <v>253.88900000000001</v>
      </c>
      <c r="BZ295" s="195">
        <f t="shared" si="346"/>
        <v>268.85400000000004</v>
      </c>
      <c r="CA295" s="195">
        <f t="shared" si="346"/>
        <v>277.50300000000004</v>
      </c>
      <c r="CB295" s="195">
        <f t="shared" si="346"/>
        <v>277.00700000000006</v>
      </c>
      <c r="CC295" s="195">
        <f t="shared" si="346"/>
        <v>286.02800000000002</v>
      </c>
      <c r="CD295" s="195">
        <f t="shared" si="346"/>
        <v>291.83599999999996</v>
      </c>
      <c r="CE295" s="195">
        <f t="shared" si="346"/>
        <v>294.97200000000004</v>
      </c>
      <c r="CF295" s="195">
        <f t="shared" si="346"/>
        <v>305.79199999999997</v>
      </c>
      <c r="CG295" s="195">
        <f t="shared" si="346"/>
        <v>313.46799999999996</v>
      </c>
      <c r="CH295" s="195">
        <f t="shared" si="346"/>
        <v>319.41299999999995</v>
      </c>
      <c r="CI295" s="195">
        <f t="shared" si="346"/>
        <v>326.101</v>
      </c>
      <c r="CJ295" s="195">
        <f t="shared" si="346"/>
        <v>330.03300000000002</v>
      </c>
      <c r="CK295" s="195">
        <f t="shared" ref="CK295:CQ295" si="347">CK294+CK293</f>
        <v>342.25599999999991</v>
      </c>
      <c r="CL295" s="195">
        <f t="shared" si="347"/>
        <v>347.41199999999998</v>
      </c>
      <c r="CM295" s="195">
        <f t="shared" si="347"/>
        <v>356.40200000000004</v>
      </c>
      <c r="CN295" s="195">
        <f t="shared" si="347"/>
        <v>363.96900000000005</v>
      </c>
      <c r="CO295" s="195">
        <f t="shared" si="347"/>
        <v>371.44700000000006</v>
      </c>
      <c r="CP295" s="195">
        <f t="shared" si="347"/>
        <v>382.63</v>
      </c>
      <c r="CQ295" s="195">
        <f t="shared" si="347"/>
        <v>394.48899999999998</v>
      </c>
      <c r="CR295" s="195">
        <f t="shared" ref="CR295:CU295" si="348">CR294+CR293</f>
        <v>404.39400000000006</v>
      </c>
      <c r="CS295" s="195">
        <f t="shared" si="348"/>
        <v>413.471</v>
      </c>
      <c r="CT295" s="195">
        <f t="shared" si="348"/>
        <v>425.142</v>
      </c>
      <c r="CU295" s="195">
        <f t="shared" si="348"/>
        <v>436.54199999999997</v>
      </c>
      <c r="CV295" s="195">
        <f>CV294+CV293</f>
        <v>436.447</v>
      </c>
      <c r="CW295" s="195">
        <f>CW294+CW293</f>
        <v>533.60800000000006</v>
      </c>
      <c r="CX295" s="195">
        <f>CX294+CX293</f>
        <v>596.53800000000001</v>
      </c>
      <c r="CY295" s="195">
        <f>CY294+CY293</f>
        <v>606.16700000000003</v>
      </c>
      <c r="CZ295" s="791">
        <f t="shared" ref="CZ295:DC295" ca="1" si="349">CZ294+CZ293</f>
        <v>607.38787285698447</v>
      </c>
      <c r="DA295" s="791">
        <f t="shared" ca="1" si="349"/>
        <v>617.07427011627249</v>
      </c>
      <c r="DB295" s="791">
        <f t="shared" ca="1" si="349"/>
        <v>631.17054439360902</v>
      </c>
      <c r="DC295" s="791">
        <f t="shared" ca="1" si="349"/>
        <v>646.18695385537387</v>
      </c>
    </row>
    <row r="296" spans="2:107">
      <c r="B296" s="14"/>
      <c r="C296" s="14"/>
      <c r="D296" s="14"/>
      <c r="E296" s="14"/>
      <c r="F296" s="14"/>
      <c r="G296" s="14"/>
      <c r="H296" s="14"/>
      <c r="I296" s="14"/>
      <c r="J296" s="14"/>
      <c r="K296" s="195"/>
      <c r="L296" s="195"/>
      <c r="M296" s="14"/>
      <c r="N296" s="14"/>
      <c r="O296" s="14"/>
      <c r="P296" s="14"/>
      <c r="Q296" s="195"/>
      <c r="R296" s="14"/>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14"/>
      <c r="AR296" s="14"/>
      <c r="AS296" s="14"/>
      <c r="AT296" s="14"/>
      <c r="AU296" s="14"/>
      <c r="AV296" s="14"/>
      <c r="AW296" s="14"/>
      <c r="AX296" s="14"/>
      <c r="AY296" s="14"/>
      <c r="AZ296" s="195"/>
      <c r="BA296" s="195"/>
      <c r="BB296" s="195"/>
      <c r="BC296" s="195"/>
      <c r="BD296" s="195"/>
      <c r="BE296" s="195"/>
      <c r="BF296" s="195"/>
      <c r="BG296" s="195"/>
      <c r="BH296" s="195"/>
      <c r="BI296" s="195"/>
      <c r="BJ296" s="195"/>
      <c r="BK296" s="195"/>
      <c r="BL296" s="195"/>
      <c r="BM296" s="195"/>
      <c r="BN296" s="195"/>
      <c r="BO296" s="195"/>
      <c r="BP296" s="195"/>
      <c r="BQ296" s="195"/>
      <c r="BR296" s="195"/>
      <c r="BS296" s="195"/>
      <c r="BT296" s="195"/>
      <c r="BU296" s="195"/>
      <c r="BV296" s="23"/>
      <c r="BW296" s="23"/>
      <c r="BX296" s="23"/>
      <c r="BY296" s="23"/>
      <c r="BZ296" s="23"/>
      <c r="CA296" s="23"/>
      <c r="CB296" s="23"/>
      <c r="CC296" s="23"/>
      <c r="CD296" s="23"/>
      <c r="CE296" s="23"/>
      <c r="CF296" s="54"/>
      <c r="CG296" s="54"/>
      <c r="CH296" s="54"/>
      <c r="CI296" s="54"/>
      <c r="CJ296" s="54"/>
      <c r="CK296" s="54"/>
      <c r="CL296" s="54"/>
      <c r="CM296" s="54"/>
      <c r="CN296" s="54"/>
      <c r="CO296" s="54"/>
      <c r="CP296" s="54"/>
      <c r="CQ296" s="54"/>
      <c r="CR296" s="54"/>
      <c r="CS296" s="54"/>
      <c r="CT296" s="54"/>
      <c r="CU296" s="54"/>
      <c r="CV296" s="54"/>
      <c r="CW296" s="54"/>
      <c r="CX296" s="54"/>
      <c r="CY296" s="54"/>
      <c r="CZ296" s="23"/>
      <c r="DA296" s="23"/>
      <c r="DB296" s="23"/>
      <c r="DC296" s="23"/>
    </row>
    <row r="297" spans="2:107">
      <c r="B297" s="16" t="s">
        <v>712</v>
      </c>
      <c r="C297" s="16"/>
      <c r="D297" s="16"/>
      <c r="E297" s="16"/>
      <c r="F297" s="16"/>
      <c r="G297" s="16"/>
      <c r="H297" s="16"/>
      <c r="I297" s="15"/>
      <c r="J297" s="15"/>
      <c r="K297" s="15"/>
      <c r="L297" s="26">
        <f>SUM(BH297:BK297)</f>
        <v>91.545999999999992</v>
      </c>
      <c r="M297" s="54">
        <f>SUM(BL297:BO297)</f>
        <v>141.35500000000002</v>
      </c>
      <c r="N297" s="54">
        <f>SUM(BP297:BS297)</f>
        <v>164.49099999999999</v>
      </c>
      <c r="O297" s="54">
        <f>SUM(BT297:BW297)</f>
        <v>249.89800000000002</v>
      </c>
      <c r="P297" s="23"/>
      <c r="Q297" s="23"/>
      <c r="R297" s="23"/>
      <c r="S297" s="23"/>
      <c r="T297" s="23"/>
      <c r="U297" s="23"/>
      <c r="V297" s="23"/>
      <c r="W297" s="23"/>
      <c r="X297" s="23"/>
      <c r="Y297" s="23"/>
      <c r="Z297" s="23"/>
      <c r="AA297" s="23"/>
      <c r="AB297" s="23"/>
      <c r="AC297" s="23"/>
      <c r="AD297" s="23"/>
      <c r="AE297" s="23"/>
      <c r="AF297" s="15"/>
      <c r="AG297" s="15"/>
      <c r="AH297" s="15"/>
      <c r="AI297" s="15"/>
      <c r="AJ297" s="15"/>
      <c r="AK297" s="15"/>
      <c r="AL297" s="15"/>
      <c r="AM297" s="15"/>
      <c r="AN297" s="15"/>
      <c r="AO297" s="15"/>
      <c r="AP297" s="15"/>
      <c r="AQ297" s="15"/>
      <c r="AR297" s="15"/>
      <c r="AS297" s="15"/>
      <c r="AT297" s="15"/>
      <c r="AU297" s="15"/>
      <c r="AV297" s="15"/>
      <c r="AW297" s="15"/>
      <c r="AX297" s="15"/>
      <c r="AY297" s="15"/>
      <c r="AZ297" s="15"/>
      <c r="BA297" s="15"/>
      <c r="BB297" s="15"/>
      <c r="BC297" s="15"/>
      <c r="BD297" s="807"/>
      <c r="BE297" s="807"/>
      <c r="BF297" s="807"/>
      <c r="BG297" s="26"/>
      <c r="BH297" s="26"/>
      <c r="BI297" s="398">
        <v>27.899000000000001</v>
      </c>
      <c r="BJ297" s="398">
        <v>30.677</v>
      </c>
      <c r="BK297" s="398">
        <v>32.97</v>
      </c>
      <c r="BL297" s="398">
        <v>33.006</v>
      </c>
      <c r="BM297" s="398">
        <v>33.587000000000003</v>
      </c>
      <c r="BN297" s="398">
        <v>37.506</v>
      </c>
      <c r="BO297" s="398">
        <v>37.256</v>
      </c>
      <c r="BP297" s="398">
        <v>38.600999999999999</v>
      </c>
      <c r="BQ297" s="398">
        <v>40.054000000000002</v>
      </c>
      <c r="BR297" s="398">
        <v>43.122999999999998</v>
      </c>
      <c r="BS297" s="398">
        <v>42.713000000000001</v>
      </c>
      <c r="BT297" s="398">
        <v>44.148000000000003</v>
      </c>
      <c r="BU297" s="398">
        <v>61.22</v>
      </c>
      <c r="BV297" s="398">
        <v>71.879000000000005</v>
      </c>
      <c r="BW297" s="398">
        <v>72.650999999999996</v>
      </c>
      <c r="BX297" s="398">
        <v>70.209999999999994</v>
      </c>
      <c r="BY297" s="398">
        <v>81.885999999999996</v>
      </c>
      <c r="BZ297" s="398">
        <v>86.503</v>
      </c>
      <c r="CA297" s="398">
        <v>84.664000000000001</v>
      </c>
      <c r="CB297" s="398">
        <v>80.650000000000006</v>
      </c>
      <c r="CC297" s="398">
        <v>80.805999999999997</v>
      </c>
      <c r="CD297" s="398">
        <v>84.771000000000001</v>
      </c>
      <c r="CE297" s="398">
        <v>82.665000000000006</v>
      </c>
      <c r="CF297" s="398">
        <v>87.724000000000004</v>
      </c>
      <c r="CG297" s="398">
        <v>89.89</v>
      </c>
      <c r="CH297" s="398">
        <v>92.882000000000005</v>
      </c>
      <c r="CI297" s="398">
        <v>87.793999999999997</v>
      </c>
      <c r="CJ297" s="398">
        <v>91.037000000000006</v>
      </c>
      <c r="CK297" s="398">
        <v>94.683999999999997</v>
      </c>
      <c r="CL297" s="398">
        <v>97.775000000000006</v>
      </c>
      <c r="CM297" s="398">
        <v>97.396000000000001</v>
      </c>
      <c r="CN297" s="398">
        <v>95.162000000000006</v>
      </c>
      <c r="CO297" s="398">
        <v>102.249</v>
      </c>
      <c r="CP297" s="398">
        <v>105.864</v>
      </c>
      <c r="CQ297" s="398">
        <v>107.64</v>
      </c>
      <c r="CR297" s="398">
        <v>109.02</v>
      </c>
      <c r="CS297" s="398">
        <v>109.29600000000001</v>
      </c>
      <c r="CT297" s="398">
        <v>114.934</v>
      </c>
      <c r="CU297" s="398">
        <v>115.83799999999999</v>
      </c>
      <c r="CV297" s="398">
        <v>113.059</v>
      </c>
      <c r="CW297" s="398">
        <v>148.589</v>
      </c>
      <c r="CX297" s="398">
        <v>168.90100000000001</v>
      </c>
      <c r="CY297" s="398">
        <v>179.88399999999999</v>
      </c>
      <c r="CZ297" s="23"/>
      <c r="DA297" s="23"/>
      <c r="DB297" s="23"/>
      <c r="DC297" s="23"/>
    </row>
    <row r="298" spans="2:107">
      <c r="B298" s="19" t="s">
        <v>1109</v>
      </c>
      <c r="C298" s="16"/>
      <c r="D298" s="16"/>
      <c r="E298" s="16"/>
      <c r="F298" s="16"/>
      <c r="G298" s="16"/>
      <c r="H298" s="16"/>
      <c r="I298" s="15"/>
      <c r="J298" s="15"/>
      <c r="K298" s="15"/>
      <c r="L298" s="26">
        <f>L295-L297</f>
        <v>160.80599999999998</v>
      </c>
      <c r="M298" s="54">
        <f>M295-M297</f>
        <v>301.44799999999992</v>
      </c>
      <c r="N298" s="54">
        <f>N295-N297</f>
        <v>370.99799999999993</v>
      </c>
      <c r="O298" s="54">
        <f>O295-O297</f>
        <v>526.27699999999993</v>
      </c>
      <c r="P298" s="23"/>
      <c r="Q298" s="23"/>
      <c r="R298" s="23"/>
      <c r="S298" s="23"/>
      <c r="T298" s="23"/>
      <c r="U298" s="23"/>
      <c r="V298" s="23"/>
      <c r="W298" s="23"/>
      <c r="X298" s="23"/>
      <c r="Y298" s="23"/>
      <c r="Z298" s="23"/>
      <c r="AA298" s="23"/>
      <c r="AB298" s="23"/>
      <c r="AC298" s="23"/>
      <c r="AD298" s="23"/>
      <c r="AE298" s="23"/>
      <c r="AF298" s="15"/>
      <c r="AG298" s="15"/>
      <c r="AH298" s="15"/>
      <c r="AI298" s="15"/>
      <c r="AJ298" s="15"/>
      <c r="AK298" s="15"/>
      <c r="AL298" s="15"/>
      <c r="AM298" s="15"/>
      <c r="AN298" s="15"/>
      <c r="AO298" s="15"/>
      <c r="AP298" s="15"/>
      <c r="AQ298" s="15"/>
      <c r="AR298" s="15"/>
      <c r="AS298" s="15"/>
      <c r="AT298" s="15"/>
      <c r="AU298" s="15"/>
      <c r="AV298" s="15"/>
      <c r="AW298" s="15"/>
      <c r="AX298" s="15"/>
      <c r="AY298" s="15"/>
      <c r="AZ298" s="15"/>
      <c r="BA298" s="15"/>
      <c r="BB298" s="15"/>
      <c r="BC298" s="15"/>
      <c r="BD298" s="807"/>
      <c r="BE298" s="807"/>
      <c r="BF298" s="807"/>
      <c r="BG298" s="26"/>
      <c r="BH298" s="26"/>
      <c r="BI298" s="26">
        <f t="shared" ref="BI298:CJ298" si="350">BI295-BI297</f>
        <v>50.351000000000013</v>
      </c>
      <c r="BJ298" s="26">
        <f t="shared" si="350"/>
        <v>53.008000000000003</v>
      </c>
      <c r="BK298" s="26">
        <f t="shared" si="350"/>
        <v>57.446999999999989</v>
      </c>
      <c r="BL298" s="26">
        <f t="shared" si="350"/>
        <v>66.190000000000012</v>
      </c>
      <c r="BM298" s="26">
        <f t="shared" si="350"/>
        <v>73.66</v>
      </c>
      <c r="BN298" s="26">
        <f t="shared" si="350"/>
        <v>77.352999999999994</v>
      </c>
      <c r="BO298" s="26">
        <f t="shared" si="350"/>
        <v>84.24499999999999</v>
      </c>
      <c r="BP298" s="54">
        <f t="shared" si="350"/>
        <v>86.293000000000021</v>
      </c>
      <c r="BQ298" s="54">
        <f t="shared" si="350"/>
        <v>89.692000000000007</v>
      </c>
      <c r="BR298" s="54">
        <f t="shared" si="350"/>
        <v>93.210999999999984</v>
      </c>
      <c r="BS298" s="54">
        <f t="shared" si="350"/>
        <v>101.80199999999999</v>
      </c>
      <c r="BT298" s="54">
        <f t="shared" si="350"/>
        <v>104.40799999999999</v>
      </c>
      <c r="BU298" s="54">
        <f t="shared" si="350"/>
        <v>130.42600000000002</v>
      </c>
      <c r="BV298" s="54">
        <f t="shared" si="350"/>
        <v>143.44600000000003</v>
      </c>
      <c r="BW298" s="54">
        <f t="shared" si="350"/>
        <v>147.99700000000001</v>
      </c>
      <c r="BX298" s="54">
        <f t="shared" si="350"/>
        <v>162.31700000000001</v>
      </c>
      <c r="BY298" s="54">
        <f t="shared" si="350"/>
        <v>172.00300000000001</v>
      </c>
      <c r="BZ298" s="54">
        <f t="shared" si="350"/>
        <v>182.35100000000006</v>
      </c>
      <c r="CA298" s="54">
        <f t="shared" si="350"/>
        <v>192.83900000000006</v>
      </c>
      <c r="CB298" s="54">
        <f t="shared" si="350"/>
        <v>196.35700000000006</v>
      </c>
      <c r="CC298" s="54">
        <f t="shared" si="350"/>
        <v>205.22200000000004</v>
      </c>
      <c r="CD298" s="54">
        <f t="shared" si="350"/>
        <v>207.06499999999994</v>
      </c>
      <c r="CE298" s="54">
        <f t="shared" si="350"/>
        <v>212.30700000000002</v>
      </c>
      <c r="CF298" s="54">
        <f t="shared" si="350"/>
        <v>218.06799999999998</v>
      </c>
      <c r="CG298" s="54">
        <f t="shared" si="350"/>
        <v>223.57799999999997</v>
      </c>
      <c r="CH298" s="54">
        <f t="shared" si="350"/>
        <v>226.53099999999995</v>
      </c>
      <c r="CI298" s="54">
        <f t="shared" si="350"/>
        <v>238.30700000000002</v>
      </c>
      <c r="CJ298" s="54">
        <f t="shared" si="350"/>
        <v>238.99600000000001</v>
      </c>
      <c r="CK298" s="54">
        <f t="shared" ref="CK298:CP298" si="351">CK295-CK297</f>
        <v>247.57199999999992</v>
      </c>
      <c r="CL298" s="54">
        <f t="shared" si="351"/>
        <v>249.63699999999997</v>
      </c>
      <c r="CM298" s="54">
        <f t="shared" si="351"/>
        <v>259.00600000000003</v>
      </c>
      <c r="CN298" s="54">
        <f t="shared" si="351"/>
        <v>268.80700000000002</v>
      </c>
      <c r="CO298" s="54">
        <f t="shared" si="351"/>
        <v>269.19800000000009</v>
      </c>
      <c r="CP298" s="54">
        <f t="shared" si="351"/>
        <v>276.76599999999996</v>
      </c>
      <c r="CQ298" s="54">
        <f t="shared" ref="CQ298:CV298" si="352">CQ295-CQ297</f>
        <v>286.84899999999999</v>
      </c>
      <c r="CR298" s="54">
        <f t="shared" si="352"/>
        <v>295.37400000000008</v>
      </c>
      <c r="CS298" s="54">
        <f t="shared" si="352"/>
        <v>304.17500000000001</v>
      </c>
      <c r="CT298" s="54">
        <f t="shared" si="352"/>
        <v>310.20799999999997</v>
      </c>
      <c r="CU298" s="54">
        <f t="shared" si="352"/>
        <v>320.70399999999995</v>
      </c>
      <c r="CV298" s="54">
        <f t="shared" si="352"/>
        <v>323.38800000000003</v>
      </c>
      <c r="CW298" s="54">
        <f t="shared" ref="CW298" si="353">CW295-CW297</f>
        <v>385.01900000000006</v>
      </c>
      <c r="CX298" s="54">
        <f t="shared" ref="CX298:CY298" si="354">CX295-CX297</f>
        <v>427.637</v>
      </c>
      <c r="CY298" s="54">
        <f t="shared" si="354"/>
        <v>426.28300000000002</v>
      </c>
      <c r="CZ298" s="23"/>
      <c r="DA298" s="23"/>
      <c r="DB298" s="23"/>
      <c r="DC298" s="23"/>
    </row>
    <row r="299" spans="2:107">
      <c r="B299" s="18" t="s">
        <v>711</v>
      </c>
      <c r="C299" s="16"/>
      <c r="D299" s="16"/>
      <c r="E299" s="16"/>
      <c r="F299" s="16"/>
      <c r="G299" s="16"/>
      <c r="H299" s="16"/>
      <c r="I299" s="15"/>
      <c r="J299" s="15"/>
      <c r="K299" s="15"/>
      <c r="L299" s="38">
        <f>L298/L295</f>
        <v>0.63722895003804214</v>
      </c>
      <c r="M299" s="38">
        <f>M298/M295</f>
        <v>0.68077226215721209</v>
      </c>
      <c r="N299" s="38">
        <f>N298/N295</f>
        <v>0.6928209543053172</v>
      </c>
      <c r="O299" s="38">
        <f>O298/O295</f>
        <v>0.67803910200663509</v>
      </c>
      <c r="P299" s="23"/>
      <c r="Q299" s="23"/>
      <c r="R299" s="23"/>
      <c r="S299" s="23"/>
      <c r="T299" s="23"/>
      <c r="U299" s="23"/>
      <c r="V299" s="23"/>
      <c r="W299" s="23"/>
      <c r="X299" s="23"/>
      <c r="Y299" s="23"/>
      <c r="Z299" s="23"/>
      <c r="AA299" s="23"/>
      <c r="AB299" s="23"/>
      <c r="AC299" s="23"/>
      <c r="AD299" s="23"/>
      <c r="AE299" s="23"/>
      <c r="AF299" s="15"/>
      <c r="AG299" s="15"/>
      <c r="AH299" s="15"/>
      <c r="AI299" s="15"/>
      <c r="AJ299" s="15"/>
      <c r="AK299" s="15"/>
      <c r="AL299" s="15"/>
      <c r="AM299" s="15"/>
      <c r="AN299" s="15"/>
      <c r="AO299" s="15"/>
      <c r="AP299" s="15"/>
      <c r="AQ299" s="15"/>
      <c r="AR299" s="15"/>
      <c r="AS299" s="15"/>
      <c r="AT299" s="15"/>
      <c r="AU299" s="15"/>
      <c r="AV299" s="15"/>
      <c r="AW299" s="15"/>
      <c r="AX299" s="15"/>
      <c r="AY299" s="15"/>
      <c r="AZ299" s="15"/>
      <c r="BA299" s="15"/>
      <c r="BB299" s="15"/>
      <c r="BC299" s="15"/>
      <c r="BD299" s="807"/>
      <c r="BE299" s="807"/>
      <c r="BF299" s="807"/>
      <c r="BG299" s="768"/>
      <c r="BH299" s="768"/>
      <c r="BI299" s="768">
        <f t="shared" ref="BI299:CJ299" si="355">BI298/BI295</f>
        <v>0.64346325878594257</v>
      </c>
      <c r="BJ299" s="768">
        <f t="shared" si="355"/>
        <v>0.63342295512935409</v>
      </c>
      <c r="BK299" s="768">
        <f t="shared" si="355"/>
        <v>0.63535618301868013</v>
      </c>
      <c r="BL299" s="768">
        <f t="shared" si="355"/>
        <v>0.66726480906488173</v>
      </c>
      <c r="BM299" s="768">
        <f t="shared" si="355"/>
        <v>0.68682573871530206</v>
      </c>
      <c r="BN299" s="768">
        <f t="shared" si="355"/>
        <v>0.67346050374807376</v>
      </c>
      <c r="BO299" s="768">
        <f t="shared" si="355"/>
        <v>0.69336877885778714</v>
      </c>
      <c r="BP299" s="24">
        <f t="shared" si="355"/>
        <v>0.69092990856246106</v>
      </c>
      <c r="BQ299" s="24">
        <f t="shared" si="355"/>
        <v>0.69128913415442483</v>
      </c>
      <c r="BR299" s="24">
        <f t="shared" si="355"/>
        <v>0.68369592324731909</v>
      </c>
      <c r="BS299" s="24">
        <f t="shared" si="355"/>
        <v>0.7044389855724319</v>
      </c>
      <c r="BT299" s="24">
        <f t="shared" si="355"/>
        <v>0.70281913891057912</v>
      </c>
      <c r="BU299" s="24">
        <f t="shared" si="355"/>
        <v>0.68055686004403959</v>
      </c>
      <c r="BV299" s="24">
        <f t="shared" si="355"/>
        <v>0.6661836758388483</v>
      </c>
      <c r="BW299" s="24">
        <f t="shared" si="355"/>
        <v>0.67073800804901929</v>
      </c>
      <c r="BX299" s="24">
        <f t="shared" si="355"/>
        <v>0.69805656977469288</v>
      </c>
      <c r="BY299" s="24">
        <f t="shared" si="355"/>
        <v>0.6774732264887412</v>
      </c>
      <c r="BZ299" s="24">
        <f t="shared" si="355"/>
        <v>0.67825288074568368</v>
      </c>
      <c r="CA299" s="24">
        <f t="shared" si="355"/>
        <v>0.69490780279852837</v>
      </c>
      <c r="CB299" s="24">
        <f t="shared" si="355"/>
        <v>0.70885212287054122</v>
      </c>
      <c r="CC299" s="24">
        <f t="shared" si="355"/>
        <v>0.71748919686184576</v>
      </c>
      <c r="CD299" s="24">
        <f t="shared" si="355"/>
        <v>0.70952521279074543</v>
      </c>
      <c r="CE299" s="24">
        <f t="shared" si="355"/>
        <v>0.71975306130751393</v>
      </c>
      <c r="CF299" s="24">
        <f t="shared" si="355"/>
        <v>0.71312526161573886</v>
      </c>
      <c r="CG299" s="24">
        <f t="shared" si="355"/>
        <v>0.71324026694909848</v>
      </c>
      <c r="CH299" s="24">
        <f t="shared" si="355"/>
        <v>0.70921033270405398</v>
      </c>
      <c r="CI299" s="24">
        <f t="shared" si="355"/>
        <v>0.73077666121845686</v>
      </c>
      <c r="CJ299" s="24">
        <f t="shared" si="355"/>
        <v>0.72415788724157881</v>
      </c>
      <c r="CK299" s="24">
        <f t="shared" ref="CK299:CP299" si="356">CK298/CK295</f>
        <v>0.72335327941657701</v>
      </c>
      <c r="CL299" s="24">
        <f t="shared" si="356"/>
        <v>0.71856182285010306</v>
      </c>
      <c r="CM299" s="24">
        <f t="shared" si="356"/>
        <v>0.72672431692302508</v>
      </c>
      <c r="CN299" s="24">
        <f t="shared" si="356"/>
        <v>0.73854366718044662</v>
      </c>
      <c r="CO299" s="24">
        <f t="shared" si="356"/>
        <v>0.72472788850091685</v>
      </c>
      <c r="CP299" s="24">
        <f t="shared" si="356"/>
        <v>0.72332540574445281</v>
      </c>
      <c r="CQ299" s="24">
        <f t="shared" ref="CQ299:CV299" si="357">CQ298/CQ295</f>
        <v>0.72714068072874027</v>
      </c>
      <c r="CR299" s="24">
        <f t="shared" si="357"/>
        <v>0.73041143043665346</v>
      </c>
      <c r="CS299" s="24">
        <f t="shared" si="357"/>
        <v>0.73566223507815542</v>
      </c>
      <c r="CT299" s="24">
        <f t="shared" si="357"/>
        <v>0.72965738506193223</v>
      </c>
      <c r="CU299" s="24">
        <f t="shared" si="357"/>
        <v>0.7346463799588584</v>
      </c>
      <c r="CV299" s="24">
        <f t="shared" si="357"/>
        <v>0.74095594654104624</v>
      </c>
      <c r="CW299" s="24">
        <f t="shared" ref="CW299" si="358">CW298/CW295</f>
        <v>0.72153903239831485</v>
      </c>
      <c r="CX299" s="24">
        <f t="shared" ref="CX299:CY299" si="359">CX298/CX295</f>
        <v>0.71686464231951696</v>
      </c>
      <c r="CY299" s="24">
        <f t="shared" si="359"/>
        <v>0.70324349560434662</v>
      </c>
      <c r="CZ299" s="23"/>
      <c r="DA299" s="23"/>
      <c r="DB299" s="23"/>
      <c r="DC299" s="23"/>
    </row>
    <row r="300" spans="2:107">
      <c r="B300" s="16" t="s">
        <v>713</v>
      </c>
      <c r="C300" s="16"/>
      <c r="D300" s="16"/>
      <c r="E300" s="16"/>
      <c r="F300" s="16"/>
      <c r="G300" s="16"/>
      <c r="H300" s="16"/>
      <c r="I300" s="15"/>
      <c r="J300" s="15"/>
      <c r="K300" s="15"/>
      <c r="L300" s="26">
        <f>SUM(BH300:BK300)</f>
        <v>57.400999999999996</v>
      </c>
      <c r="M300" s="54">
        <f>SUM(BL300:BO300)</f>
        <v>89.697000000000003</v>
      </c>
      <c r="N300" s="54">
        <f>SUM(BP300:BS300)</f>
        <v>98.502999999999986</v>
      </c>
      <c r="O300" s="54">
        <f>SUM(BT300:BW300)</f>
        <v>162.554</v>
      </c>
      <c r="P300" s="23"/>
      <c r="Q300" s="23"/>
      <c r="R300" s="23"/>
      <c r="S300" s="23"/>
      <c r="T300" s="23"/>
      <c r="U300" s="23"/>
      <c r="V300" s="23"/>
      <c r="W300" s="23"/>
      <c r="X300" s="23"/>
      <c r="Y300" s="23"/>
      <c r="Z300" s="23"/>
      <c r="AA300" s="23"/>
      <c r="AB300" s="23"/>
      <c r="AC300" s="23"/>
      <c r="AD300" s="23"/>
      <c r="AE300" s="23"/>
      <c r="AF300" s="15"/>
      <c r="AG300" s="15"/>
      <c r="AH300" s="15"/>
      <c r="AI300" s="15"/>
      <c r="AJ300" s="15"/>
      <c r="AK300" s="15"/>
      <c r="AL300" s="15"/>
      <c r="AM300" s="15"/>
      <c r="AN300" s="15"/>
      <c r="AO300" s="15"/>
      <c r="AP300" s="15"/>
      <c r="AQ300" s="15"/>
      <c r="AR300" s="15"/>
      <c r="AS300" s="15"/>
      <c r="AT300" s="15"/>
      <c r="AU300" s="15"/>
      <c r="AV300" s="15"/>
      <c r="AW300" s="15"/>
      <c r="AX300" s="15"/>
      <c r="AY300" s="15"/>
      <c r="AZ300" s="15"/>
      <c r="BA300" s="15"/>
      <c r="BB300" s="15"/>
      <c r="BC300" s="15"/>
      <c r="BD300" s="807"/>
      <c r="BE300" s="807"/>
      <c r="BF300" s="807"/>
      <c r="BG300" s="26"/>
      <c r="BH300" s="26"/>
      <c r="BI300" s="398">
        <v>19.327999999999999</v>
      </c>
      <c r="BJ300" s="398">
        <v>17.565000000000001</v>
      </c>
      <c r="BK300" s="398">
        <v>20.507999999999999</v>
      </c>
      <c r="BL300" s="398">
        <v>20.053999999999998</v>
      </c>
      <c r="BM300" s="398">
        <v>22.846</v>
      </c>
      <c r="BN300" s="398">
        <v>22.728000000000002</v>
      </c>
      <c r="BO300" s="398">
        <v>24.068999999999999</v>
      </c>
      <c r="BP300" s="398">
        <v>23.33</v>
      </c>
      <c r="BQ300" s="398">
        <v>23.678000000000001</v>
      </c>
      <c r="BR300" s="398">
        <v>25.187000000000001</v>
      </c>
      <c r="BS300" s="398">
        <v>26.308</v>
      </c>
      <c r="BT300" s="398">
        <v>30.626000000000001</v>
      </c>
      <c r="BU300" s="398">
        <v>40.96</v>
      </c>
      <c r="BV300" s="398">
        <v>45.499000000000002</v>
      </c>
      <c r="BW300" s="398">
        <v>45.469000000000001</v>
      </c>
      <c r="BX300" s="398">
        <v>48.811999999999998</v>
      </c>
      <c r="BY300" s="398">
        <v>49.499000000000002</v>
      </c>
      <c r="BZ300" s="398">
        <v>54.838000000000001</v>
      </c>
      <c r="CA300" s="398">
        <v>59.881</v>
      </c>
      <c r="CB300" s="398">
        <v>66.849000000000004</v>
      </c>
      <c r="CC300" s="398">
        <v>65.774000000000001</v>
      </c>
      <c r="CD300" s="398">
        <v>67.135999999999996</v>
      </c>
      <c r="CE300" s="398">
        <v>65.465999999999994</v>
      </c>
      <c r="CF300" s="398">
        <v>73.551000000000002</v>
      </c>
      <c r="CG300" s="398">
        <v>69.287000000000006</v>
      </c>
      <c r="CH300" s="398">
        <v>76.227000000000004</v>
      </c>
      <c r="CI300" s="398">
        <v>78.700999999999993</v>
      </c>
      <c r="CJ300" s="398">
        <v>89.433000000000007</v>
      </c>
      <c r="CK300" s="398">
        <v>89.447000000000003</v>
      </c>
      <c r="CL300" s="398">
        <v>89.561999999999998</v>
      </c>
      <c r="CM300" s="398">
        <v>91.762</v>
      </c>
      <c r="CN300" s="398">
        <v>96.072999999999993</v>
      </c>
      <c r="CO300" s="398">
        <v>98.311999999999998</v>
      </c>
      <c r="CP300" s="398">
        <v>102.596</v>
      </c>
      <c r="CQ300" s="398">
        <v>106.035</v>
      </c>
      <c r="CR300" s="398">
        <v>110.914</v>
      </c>
      <c r="CS300" s="398">
        <v>109.14700000000001</v>
      </c>
      <c r="CT300" s="398">
        <v>108.077</v>
      </c>
      <c r="CU300" s="398">
        <v>115.012</v>
      </c>
      <c r="CV300" s="398">
        <v>124.76900000000001</v>
      </c>
      <c r="CW300" s="398">
        <v>126.86799999999999</v>
      </c>
      <c r="CX300" s="398">
        <v>135.536</v>
      </c>
      <c r="CY300" s="398">
        <v>140.46</v>
      </c>
      <c r="CZ300" s="23"/>
      <c r="DA300" s="23"/>
      <c r="DB300" s="23"/>
      <c r="DC300" s="23"/>
    </row>
    <row r="301" spans="2:107">
      <c r="B301" s="22" t="s">
        <v>994</v>
      </c>
      <c r="C301" s="14"/>
      <c r="D301" s="14"/>
      <c r="E301" s="14"/>
      <c r="F301" s="14"/>
      <c r="G301" s="14"/>
      <c r="H301" s="14"/>
      <c r="I301" s="14"/>
      <c r="J301" s="15"/>
      <c r="K301" s="15"/>
      <c r="L301" s="26">
        <f>L298-L300</f>
        <v>103.40499999999999</v>
      </c>
      <c r="M301" s="54">
        <f>M298-M300</f>
        <v>211.75099999999992</v>
      </c>
      <c r="N301" s="54">
        <f>N298-N300</f>
        <v>272.49499999999995</v>
      </c>
      <c r="O301" s="54">
        <f>O298-O300</f>
        <v>363.72299999999996</v>
      </c>
      <c r="P301" s="14"/>
      <c r="Q301" s="14"/>
      <c r="R301" s="14"/>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14"/>
      <c r="AR301" s="14"/>
      <c r="AS301" s="14"/>
      <c r="AT301" s="14"/>
      <c r="AU301" s="14"/>
      <c r="AV301" s="14"/>
      <c r="AW301" s="14"/>
      <c r="AX301" s="14"/>
      <c r="AY301" s="14"/>
      <c r="AZ301" s="14"/>
      <c r="BA301" s="14"/>
      <c r="BB301" s="14"/>
      <c r="BC301" s="14"/>
      <c r="BD301" s="815"/>
      <c r="BE301" s="815"/>
      <c r="BF301" s="815"/>
      <c r="BG301" s="195"/>
      <c r="BH301" s="195"/>
      <c r="BI301" s="195">
        <f t="shared" ref="BI301:CJ301" si="360">BI298-BI300</f>
        <v>31.023000000000014</v>
      </c>
      <c r="BJ301" s="195">
        <f t="shared" si="360"/>
        <v>35.442999999999998</v>
      </c>
      <c r="BK301" s="195">
        <f t="shared" si="360"/>
        <v>36.938999999999993</v>
      </c>
      <c r="BL301" s="195">
        <f t="shared" si="360"/>
        <v>46.13600000000001</v>
      </c>
      <c r="BM301" s="195">
        <f t="shared" si="360"/>
        <v>50.813999999999993</v>
      </c>
      <c r="BN301" s="195">
        <f t="shared" si="360"/>
        <v>54.624999999999993</v>
      </c>
      <c r="BO301" s="195">
        <f t="shared" si="360"/>
        <v>60.175999999999988</v>
      </c>
      <c r="BP301" s="195">
        <f t="shared" si="360"/>
        <v>62.963000000000022</v>
      </c>
      <c r="BQ301" s="195">
        <f t="shared" si="360"/>
        <v>66.01400000000001</v>
      </c>
      <c r="BR301" s="195">
        <f t="shared" si="360"/>
        <v>68.023999999999987</v>
      </c>
      <c r="BS301" s="195">
        <f t="shared" si="360"/>
        <v>75.494</v>
      </c>
      <c r="BT301" s="195">
        <f t="shared" si="360"/>
        <v>73.781999999999982</v>
      </c>
      <c r="BU301" s="195">
        <f t="shared" si="360"/>
        <v>89.466000000000008</v>
      </c>
      <c r="BV301" s="195">
        <f t="shared" si="360"/>
        <v>97.947000000000031</v>
      </c>
      <c r="BW301" s="195">
        <f t="shared" si="360"/>
        <v>102.52800000000002</v>
      </c>
      <c r="BX301" s="195">
        <f t="shared" si="360"/>
        <v>113.50500000000001</v>
      </c>
      <c r="BY301" s="195">
        <f t="shared" si="360"/>
        <v>122.50400000000002</v>
      </c>
      <c r="BZ301" s="195">
        <f t="shared" si="360"/>
        <v>127.51300000000006</v>
      </c>
      <c r="CA301" s="195">
        <f t="shared" si="360"/>
        <v>132.95800000000006</v>
      </c>
      <c r="CB301" s="195">
        <f t="shared" si="360"/>
        <v>129.50800000000004</v>
      </c>
      <c r="CC301" s="195">
        <f t="shared" si="360"/>
        <v>139.44800000000004</v>
      </c>
      <c r="CD301" s="195">
        <f t="shared" si="360"/>
        <v>139.92899999999995</v>
      </c>
      <c r="CE301" s="195">
        <f t="shared" si="360"/>
        <v>146.84100000000001</v>
      </c>
      <c r="CF301" s="195">
        <f t="shared" si="360"/>
        <v>144.517</v>
      </c>
      <c r="CG301" s="195">
        <f t="shared" si="360"/>
        <v>154.29099999999997</v>
      </c>
      <c r="CH301" s="195">
        <f t="shared" si="360"/>
        <v>150.30399999999995</v>
      </c>
      <c r="CI301" s="195">
        <f t="shared" si="360"/>
        <v>159.60600000000002</v>
      </c>
      <c r="CJ301" s="195">
        <f t="shared" si="360"/>
        <v>149.56299999999999</v>
      </c>
      <c r="CK301" s="195">
        <f t="shared" ref="CK301:CP301" si="361">CK298-CK300</f>
        <v>158.12499999999991</v>
      </c>
      <c r="CL301" s="195">
        <f t="shared" si="361"/>
        <v>160.07499999999999</v>
      </c>
      <c r="CM301" s="195">
        <f t="shared" si="361"/>
        <v>167.24400000000003</v>
      </c>
      <c r="CN301" s="195">
        <f t="shared" si="361"/>
        <v>172.73400000000004</v>
      </c>
      <c r="CO301" s="195">
        <f t="shared" si="361"/>
        <v>170.88600000000008</v>
      </c>
      <c r="CP301" s="195">
        <f t="shared" si="361"/>
        <v>174.16999999999996</v>
      </c>
      <c r="CQ301" s="195">
        <f t="shared" ref="CQ301:CV301" si="362">CQ298-CQ300</f>
        <v>180.81399999999999</v>
      </c>
      <c r="CR301" s="195">
        <f t="shared" si="362"/>
        <v>184.46000000000009</v>
      </c>
      <c r="CS301" s="195">
        <f t="shared" si="362"/>
        <v>195.02800000000002</v>
      </c>
      <c r="CT301" s="195">
        <f t="shared" si="362"/>
        <v>202.13099999999997</v>
      </c>
      <c r="CU301" s="195">
        <f t="shared" si="362"/>
        <v>205.69199999999995</v>
      </c>
      <c r="CV301" s="195">
        <f t="shared" si="362"/>
        <v>198.61900000000003</v>
      </c>
      <c r="CW301" s="195">
        <f t="shared" ref="CW301" si="363">CW298-CW300</f>
        <v>258.15100000000007</v>
      </c>
      <c r="CX301" s="195">
        <f t="shared" ref="CX301:CY301" si="364">CX298-CX300</f>
        <v>292.101</v>
      </c>
      <c r="CY301" s="195">
        <f t="shared" si="364"/>
        <v>285.82299999999998</v>
      </c>
      <c r="CZ301" s="23"/>
      <c r="DA301" s="23"/>
      <c r="DB301" s="23"/>
      <c r="DC301" s="23"/>
    </row>
    <row r="302" spans="2:107">
      <c r="B302" s="810" t="s">
        <v>725</v>
      </c>
      <c r="C302" s="811"/>
      <c r="D302" s="811"/>
      <c r="E302" s="811"/>
      <c r="F302" s="811"/>
      <c r="G302" s="811"/>
      <c r="H302" s="811"/>
      <c r="I302" s="48"/>
      <c r="J302" s="48"/>
      <c r="K302" s="812"/>
      <c r="L302" s="813">
        <f>L301/L295</f>
        <v>0.40976493152422011</v>
      </c>
      <c r="M302" s="813">
        <f>M301/M295</f>
        <v>0.47820588388064206</v>
      </c>
      <c r="N302" s="813">
        <f>N301/N295</f>
        <v>0.50887133069026624</v>
      </c>
      <c r="O302" s="813">
        <f>O301/O295</f>
        <v>0.46860952749057877</v>
      </c>
      <c r="P302" s="52"/>
      <c r="Q302" s="52"/>
      <c r="R302" s="52"/>
      <c r="S302" s="52"/>
      <c r="T302" s="52"/>
      <c r="U302" s="52"/>
      <c r="V302" s="52"/>
      <c r="W302" s="52"/>
      <c r="X302" s="52"/>
      <c r="Y302" s="52"/>
      <c r="Z302" s="52"/>
      <c r="AA302" s="52"/>
      <c r="AB302" s="52"/>
      <c r="AC302" s="52"/>
      <c r="AD302" s="52"/>
      <c r="AE302" s="52"/>
      <c r="AF302" s="48"/>
      <c r="AG302" s="48"/>
      <c r="AH302" s="48"/>
      <c r="AI302" s="48"/>
      <c r="AJ302" s="48"/>
      <c r="AK302" s="48"/>
      <c r="AL302" s="48"/>
      <c r="AM302" s="48"/>
      <c r="AN302" s="48"/>
      <c r="AO302" s="48"/>
      <c r="AP302" s="48"/>
      <c r="AQ302" s="48"/>
      <c r="AR302" s="48"/>
      <c r="AS302" s="48"/>
      <c r="AT302" s="48"/>
      <c r="AU302" s="48"/>
      <c r="AV302" s="48"/>
      <c r="AW302" s="48"/>
      <c r="AX302" s="48"/>
      <c r="AY302" s="48"/>
      <c r="AZ302" s="48"/>
      <c r="BA302" s="48"/>
      <c r="BB302" s="48"/>
      <c r="BC302" s="48"/>
      <c r="BD302" s="816"/>
      <c r="BE302" s="816"/>
      <c r="BF302" s="816"/>
      <c r="BG302" s="817"/>
      <c r="BH302" s="817"/>
      <c r="BI302" s="817">
        <f t="shared" ref="BI302:CJ302" si="365">BI301/BI295</f>
        <v>0.39646006389776367</v>
      </c>
      <c r="BJ302" s="817">
        <f t="shared" si="365"/>
        <v>0.42352870884865862</v>
      </c>
      <c r="BK302" s="817">
        <f t="shared" si="365"/>
        <v>0.40854042934403928</v>
      </c>
      <c r="BL302" s="817">
        <f t="shared" si="365"/>
        <v>0.46509939916932136</v>
      </c>
      <c r="BM302" s="817">
        <f t="shared" si="365"/>
        <v>0.47380346303393095</v>
      </c>
      <c r="BN302" s="817">
        <f t="shared" si="365"/>
        <v>0.47558310624330696</v>
      </c>
      <c r="BO302" s="817">
        <f t="shared" si="365"/>
        <v>0.49527164385478301</v>
      </c>
      <c r="BP302" s="813">
        <f t="shared" si="365"/>
        <v>0.50413150351498082</v>
      </c>
      <c r="BQ302" s="813">
        <f t="shared" si="365"/>
        <v>0.50879410540594705</v>
      </c>
      <c r="BR302" s="813">
        <f t="shared" si="365"/>
        <v>0.49895110537356785</v>
      </c>
      <c r="BS302" s="813">
        <f t="shared" si="365"/>
        <v>0.52239559907276067</v>
      </c>
      <c r="BT302" s="813">
        <f t="shared" si="365"/>
        <v>0.49666119173914208</v>
      </c>
      <c r="BU302" s="813">
        <f t="shared" si="365"/>
        <v>0.46682946682946685</v>
      </c>
      <c r="BV302" s="813">
        <f t="shared" si="365"/>
        <v>0.45487983281086741</v>
      </c>
      <c r="BW302" s="813">
        <f t="shared" si="365"/>
        <v>0.46466770602951318</v>
      </c>
      <c r="BX302" s="813">
        <f t="shared" si="365"/>
        <v>0.48813686152575836</v>
      </c>
      <c r="BY302" s="813">
        <f t="shared" si="365"/>
        <v>0.48251007329974915</v>
      </c>
      <c r="BZ302" s="813">
        <f t="shared" si="365"/>
        <v>0.47428344008272161</v>
      </c>
      <c r="CA302" s="813">
        <f t="shared" si="365"/>
        <v>0.47912274822254186</v>
      </c>
      <c r="CB302" s="813">
        <f t="shared" si="365"/>
        <v>0.46752609139841234</v>
      </c>
      <c r="CC302" s="813">
        <f t="shared" si="365"/>
        <v>0.4875326891073602</v>
      </c>
      <c r="CD302" s="813">
        <f t="shared" si="365"/>
        <v>0.4794782000849791</v>
      </c>
      <c r="CE302" s="813">
        <f t="shared" si="365"/>
        <v>0.49781335177576175</v>
      </c>
      <c r="CF302" s="813">
        <f t="shared" si="365"/>
        <v>0.4725990215571369</v>
      </c>
      <c r="CG302" s="813">
        <f t="shared" si="365"/>
        <v>0.49220654101854094</v>
      </c>
      <c r="CH302" s="813">
        <f t="shared" si="365"/>
        <v>0.47056318935046465</v>
      </c>
      <c r="CI302" s="813">
        <f t="shared" si="365"/>
        <v>0.48943732156601794</v>
      </c>
      <c r="CJ302" s="813">
        <f t="shared" si="365"/>
        <v>0.45317589453175888</v>
      </c>
      <c r="CK302" s="813">
        <f t="shared" ref="CK302:CP302" si="366">CK301/CK295</f>
        <v>0.46200797064185861</v>
      </c>
      <c r="CL302" s="813">
        <f t="shared" si="366"/>
        <v>0.46076416473812071</v>
      </c>
      <c r="CM302" s="813">
        <f t="shared" si="366"/>
        <v>0.46925662594486006</v>
      </c>
      <c r="CN302" s="813">
        <f t="shared" si="366"/>
        <v>0.47458437394393482</v>
      </c>
      <c r="CO302" s="813">
        <f t="shared" si="366"/>
        <v>0.46005486650854643</v>
      </c>
      <c r="CP302" s="813">
        <f t="shared" si="366"/>
        <v>0.45519169955309297</v>
      </c>
      <c r="CQ302" s="813">
        <f t="shared" ref="CQ302:CV302" si="367">CQ301/CQ295</f>
        <v>0.45834991596723862</v>
      </c>
      <c r="CR302" s="813">
        <f t="shared" si="367"/>
        <v>0.45613930968313099</v>
      </c>
      <c r="CS302" s="813">
        <f t="shared" si="367"/>
        <v>0.47168483400286842</v>
      </c>
      <c r="CT302" s="813">
        <f t="shared" si="367"/>
        <v>0.4754434988780219</v>
      </c>
      <c r="CU302" s="813">
        <f t="shared" si="367"/>
        <v>0.47118490317082884</v>
      </c>
      <c r="CV302" s="813">
        <f t="shared" si="367"/>
        <v>0.45508160211892862</v>
      </c>
      <c r="CW302" s="813">
        <f t="shared" ref="CW302" si="368">CW301/CW295</f>
        <v>0.48378397625223019</v>
      </c>
      <c r="CX302" s="813">
        <f t="shared" ref="CX302:CY302" si="369">CX301/CX295</f>
        <v>0.48966034016273902</v>
      </c>
      <c r="CY302" s="813">
        <f t="shared" si="369"/>
        <v>0.4715251737557471</v>
      </c>
      <c r="CZ302" s="52"/>
      <c r="DA302" s="52"/>
      <c r="DB302" s="52"/>
      <c r="DC302" s="52"/>
    </row>
    <row r="303" spans="2:107">
      <c r="B303" s="198"/>
      <c r="C303" s="197"/>
      <c r="D303" s="31"/>
      <c r="E303" s="31"/>
      <c r="F303" s="31"/>
      <c r="G303" s="31"/>
      <c r="H303" s="31"/>
      <c r="I303" s="31"/>
      <c r="J303" s="31"/>
      <c r="K303" s="31"/>
      <c r="L303" s="31"/>
      <c r="M303" s="199"/>
      <c r="N303" s="199"/>
      <c r="O303" s="199"/>
      <c r="P303" s="199"/>
      <c r="Q303" s="199"/>
      <c r="R303" s="199"/>
      <c r="S303" s="199"/>
      <c r="T303" s="199"/>
      <c r="U303" s="199"/>
      <c r="V303" s="199"/>
      <c r="W303" s="199"/>
      <c r="X303" s="199"/>
      <c r="Y303" s="199"/>
      <c r="Z303" s="199"/>
      <c r="AA303" s="199"/>
      <c r="AB303" s="199"/>
      <c r="AC303" s="199"/>
      <c r="AD303" s="199"/>
      <c r="AE303" s="197"/>
      <c r="AF303" s="31"/>
      <c r="AG303" s="31"/>
      <c r="AH303" s="31"/>
      <c r="AI303" s="31"/>
      <c r="AJ303" s="31"/>
      <c r="AK303" s="31"/>
      <c r="AL303" s="31"/>
      <c r="AM303" s="31"/>
      <c r="AN303" s="31"/>
      <c r="AO303" s="31"/>
      <c r="AP303" s="31"/>
      <c r="AQ303" s="31"/>
      <c r="AR303" s="31"/>
      <c r="AS303" s="31"/>
      <c r="AT303" s="31"/>
      <c r="AU303" s="31"/>
      <c r="AV303" s="31"/>
      <c r="AW303" s="31"/>
      <c r="AX303" s="31"/>
      <c r="AY303" s="31"/>
      <c r="AZ303" s="31"/>
      <c r="BA303" s="31"/>
      <c r="BB303" s="31"/>
      <c r="BC303" s="31"/>
      <c r="BD303" s="32"/>
      <c r="BE303" s="32"/>
      <c r="BF303" s="32"/>
      <c r="BG303" s="32"/>
      <c r="BH303" s="32"/>
      <c r="BI303" s="32"/>
      <c r="BJ303" s="32"/>
      <c r="BK303" s="32"/>
      <c r="BL303" s="32"/>
      <c r="BM303" s="32"/>
      <c r="BN303" s="32"/>
      <c r="BO303" s="32"/>
      <c r="BP303" s="199"/>
      <c r="BQ303" s="199"/>
      <c r="BR303" s="199"/>
      <c r="BS303" s="199"/>
      <c r="BT303" s="199"/>
      <c r="BU303" s="199"/>
      <c r="BV303" s="199"/>
      <c r="BW303" s="199"/>
      <c r="BX303" s="199"/>
      <c r="BY303" s="199"/>
      <c r="BZ303" s="199"/>
      <c r="CA303" s="199"/>
      <c r="CB303" s="199"/>
      <c r="CC303" s="199"/>
      <c r="CD303" s="199"/>
      <c r="CE303" s="199"/>
      <c r="CF303" s="199"/>
      <c r="CG303" s="199"/>
      <c r="CH303" s="199"/>
      <c r="CI303" s="199"/>
      <c r="CJ303" s="199"/>
      <c r="CK303" s="199"/>
      <c r="CL303" s="199"/>
      <c r="CM303" s="199"/>
      <c r="CN303" s="199"/>
      <c r="CO303" s="199"/>
      <c r="CP303" s="199"/>
      <c r="CQ303" s="199"/>
      <c r="CR303" s="199"/>
      <c r="CS303" s="199"/>
      <c r="CT303" s="199"/>
      <c r="CU303" s="199"/>
      <c r="CV303" s="199"/>
      <c r="CW303" s="199"/>
      <c r="CX303" s="199"/>
      <c r="CY303" s="199"/>
      <c r="CZ303" s="199"/>
      <c r="DA303" s="199"/>
      <c r="DB303" s="199"/>
      <c r="DC303" s="199"/>
    </row>
    <row r="304" spans="2:107" hidden="1" outlineLevel="1">
      <c r="B304" s="71" t="s">
        <v>623</v>
      </c>
      <c r="C304" s="151"/>
      <c r="D304" s="151"/>
      <c r="E304" s="151"/>
      <c r="F304" s="151"/>
      <c r="G304" s="151"/>
      <c r="H304" s="151"/>
      <c r="I304" s="132"/>
      <c r="J304" s="132"/>
      <c r="K304" s="132"/>
      <c r="L304" s="132"/>
      <c r="M304" s="89"/>
      <c r="N304" s="89"/>
      <c r="O304" s="89"/>
      <c r="P304" s="89"/>
      <c r="Q304" s="89"/>
      <c r="R304" s="133"/>
      <c r="S304" s="133"/>
      <c r="T304" s="133"/>
      <c r="U304" s="133"/>
      <c r="V304" s="133"/>
      <c r="W304" s="133"/>
      <c r="X304" s="133"/>
      <c r="Y304" s="133"/>
      <c r="Z304" s="133"/>
      <c r="AA304" s="133"/>
      <c r="AB304" s="133"/>
      <c r="AC304" s="133"/>
      <c r="AD304" s="133"/>
      <c r="AE304" s="89"/>
      <c r="AF304" s="132"/>
      <c r="AG304" s="132"/>
      <c r="AH304" s="132"/>
      <c r="AI304" s="132"/>
      <c r="AJ304" s="132"/>
      <c r="AK304" s="132"/>
      <c r="AL304" s="132"/>
      <c r="AM304" s="132"/>
      <c r="AN304" s="132"/>
      <c r="AO304" s="132"/>
      <c r="AP304" s="132"/>
      <c r="AQ304" s="132"/>
      <c r="AR304" s="132"/>
      <c r="AS304" s="132"/>
      <c r="AT304" s="132"/>
      <c r="AU304" s="132"/>
      <c r="AV304" s="132"/>
      <c r="AW304" s="132"/>
      <c r="AX304" s="132"/>
      <c r="AY304" s="132"/>
      <c r="AZ304" s="132"/>
      <c r="BA304" s="132"/>
      <c r="BB304" s="132"/>
      <c r="BC304" s="132"/>
      <c r="BD304" s="152"/>
      <c r="BE304" s="152"/>
      <c r="BF304" s="152"/>
      <c r="BG304" s="152"/>
      <c r="BH304" s="152"/>
      <c r="BI304" s="152"/>
      <c r="BJ304" s="152"/>
      <c r="BK304" s="153"/>
      <c r="BL304" s="132"/>
      <c r="BM304" s="132"/>
      <c r="BN304" s="132"/>
      <c r="BO304" s="132"/>
      <c r="BP304" s="202"/>
      <c r="BQ304" s="202"/>
      <c r="BR304" s="202"/>
      <c r="BS304" s="202"/>
      <c r="BT304" s="202"/>
      <c r="BU304" s="202"/>
      <c r="BV304" s="89"/>
      <c r="BW304" s="89"/>
      <c r="BX304" s="89"/>
      <c r="BY304" s="1639"/>
      <c r="BZ304" s="1639"/>
      <c r="CA304" s="1639"/>
      <c r="CB304" s="1639"/>
      <c r="CC304" s="1639"/>
      <c r="CD304" s="1639"/>
      <c r="CE304" s="1639"/>
      <c r="CF304" s="1639"/>
      <c r="CG304" s="1639"/>
      <c r="CH304" s="1639"/>
      <c r="CI304" s="1639"/>
      <c r="CJ304" s="1639"/>
      <c r="CK304" s="1639"/>
      <c r="CL304" s="1639"/>
      <c r="CM304" s="1639"/>
      <c r="CN304" s="1639"/>
      <c r="CO304" s="1639"/>
      <c r="CP304" s="1639"/>
      <c r="CQ304" s="1639"/>
      <c r="CR304" s="1639"/>
      <c r="CS304" s="1639"/>
      <c r="CT304" s="1639"/>
      <c r="CU304" s="1639"/>
      <c r="CV304" s="1639"/>
      <c r="CW304" s="1639"/>
      <c r="CX304" s="1639"/>
      <c r="CY304" s="1639"/>
      <c r="CZ304" s="1639"/>
      <c r="DA304" s="1639"/>
      <c r="DB304" s="1639"/>
      <c r="DC304" s="1639"/>
    </row>
    <row r="305" spans="2:107" s="15" customFormat="1" hidden="1" outlineLevel="1">
      <c r="B305" s="14"/>
      <c r="C305" s="16"/>
      <c r="D305" s="16"/>
      <c r="E305" s="16"/>
      <c r="F305" s="16"/>
      <c r="G305" s="16"/>
      <c r="H305" s="16"/>
      <c r="M305" s="23"/>
      <c r="N305" s="23"/>
      <c r="O305" s="23"/>
      <c r="P305" s="23"/>
      <c r="Q305" s="23"/>
      <c r="R305" s="54"/>
      <c r="S305" s="54"/>
      <c r="T305" s="54"/>
      <c r="U305" s="54"/>
      <c r="V305" s="54"/>
      <c r="W305" s="54"/>
      <c r="X305" s="54"/>
      <c r="Y305" s="54"/>
      <c r="Z305" s="54"/>
      <c r="AA305" s="54"/>
      <c r="AB305" s="54"/>
      <c r="AC305" s="54"/>
      <c r="AD305" s="54"/>
      <c r="AE305" s="23"/>
      <c r="BD305" s="807"/>
      <c r="BE305" s="807"/>
      <c r="BF305" s="807"/>
      <c r="BG305" s="807"/>
      <c r="BH305" s="807"/>
      <c r="BI305" s="807"/>
      <c r="BJ305" s="807"/>
      <c r="BK305" s="808"/>
      <c r="BP305" s="2"/>
      <c r="BQ305" s="2"/>
      <c r="BR305" s="2"/>
      <c r="BS305" s="2"/>
      <c r="BT305" s="2"/>
      <c r="BU305" s="2"/>
      <c r="BV305" s="23"/>
      <c r="BW305" s="23"/>
      <c r="BX305" s="23"/>
      <c r="BY305" s="1636"/>
      <c r="BZ305" s="1636"/>
      <c r="CA305" s="1636"/>
      <c r="CB305" s="1636"/>
      <c r="CC305" s="1636"/>
      <c r="CD305" s="1636"/>
      <c r="CE305" s="1636"/>
      <c r="CF305" s="1636"/>
      <c r="CG305" s="1636"/>
      <c r="CH305" s="1636"/>
      <c r="CI305" s="1636"/>
      <c r="CJ305" s="1636"/>
      <c r="CK305" s="1636"/>
      <c r="CL305" s="1636"/>
      <c r="CM305" s="1636"/>
      <c r="CN305" s="1636"/>
      <c r="CO305" s="1636"/>
      <c r="CP305" s="1636"/>
      <c r="CQ305" s="1636"/>
      <c r="CR305" s="1636"/>
      <c r="CS305" s="1636"/>
      <c r="CT305" s="1636"/>
      <c r="CU305" s="1636"/>
      <c r="CV305" s="1636"/>
      <c r="CW305" s="1636"/>
      <c r="CX305" s="1636"/>
      <c r="CY305" s="1636"/>
      <c r="CZ305" s="1636"/>
      <c r="DA305" s="1636"/>
      <c r="DB305" s="1636"/>
      <c r="DC305" s="1636"/>
    </row>
    <row r="306" spans="2:107" s="15" customFormat="1" hidden="1" outlineLevel="1">
      <c r="B306" s="857" t="s">
        <v>612</v>
      </c>
      <c r="C306" s="16"/>
      <c r="D306" s="16"/>
      <c r="E306" s="16"/>
      <c r="F306" s="16"/>
      <c r="G306" s="16"/>
      <c r="H306" s="16"/>
      <c r="M306" s="23"/>
      <c r="N306" s="23"/>
      <c r="O306" s="23"/>
      <c r="P306" s="23"/>
      <c r="Q306" s="23"/>
      <c r="R306" s="54"/>
      <c r="S306" s="54"/>
      <c r="T306" s="54"/>
      <c r="U306" s="54"/>
      <c r="V306" s="54"/>
      <c r="W306" s="54"/>
      <c r="X306" s="54"/>
      <c r="Y306" s="54"/>
      <c r="Z306" s="54"/>
      <c r="AA306" s="54"/>
      <c r="AB306" s="54"/>
      <c r="AC306" s="54"/>
      <c r="AD306" s="54"/>
      <c r="AE306" s="23"/>
      <c r="BD306" s="807"/>
      <c r="BE306" s="807"/>
      <c r="BF306" s="807"/>
      <c r="BG306" s="807"/>
      <c r="BH306" s="807"/>
      <c r="BI306" s="807"/>
      <c r="BJ306" s="807"/>
      <c r="BK306" s="808"/>
      <c r="BP306" s="2"/>
      <c r="BQ306" s="2"/>
      <c r="BR306" s="2"/>
      <c r="BS306" s="2"/>
      <c r="BT306" s="2"/>
      <c r="BU306" s="2"/>
      <c r="BV306" s="23"/>
      <c r="BW306" s="23"/>
      <c r="BX306" s="23"/>
      <c r="BY306" s="1636"/>
      <c r="BZ306" s="1636"/>
      <c r="CA306" s="1636"/>
      <c r="CB306" s="1636"/>
      <c r="CC306" s="1636"/>
      <c r="CD306" s="1636"/>
      <c r="CE306" s="1636"/>
      <c r="CF306" s="1636"/>
      <c r="CG306" s="1636"/>
      <c r="CH306" s="1636"/>
      <c r="CI306" s="1636"/>
      <c r="CJ306" s="1636"/>
      <c r="CK306" s="1636"/>
      <c r="CL306" s="1636"/>
      <c r="CM306" s="1636"/>
      <c r="CN306" s="1636"/>
      <c r="CO306" s="1636"/>
      <c r="CP306" s="1636"/>
      <c r="CQ306" s="1636"/>
      <c r="CR306" s="1636"/>
      <c r="CS306" s="1636"/>
      <c r="CT306" s="1636"/>
      <c r="CU306" s="1636"/>
      <c r="CV306" s="1636"/>
      <c r="CW306" s="1636"/>
      <c r="CX306" s="1636"/>
      <c r="CY306" s="1636"/>
      <c r="CZ306" s="1636"/>
      <c r="DA306" s="1636"/>
      <c r="DB306" s="1636"/>
      <c r="DC306" s="1636"/>
    </row>
    <row r="307" spans="2:107" s="15" customFormat="1" hidden="1" outlineLevel="1">
      <c r="B307" s="14"/>
      <c r="C307" s="16"/>
      <c r="D307" s="16"/>
      <c r="E307" s="16"/>
      <c r="F307" s="16"/>
      <c r="G307" s="16"/>
      <c r="H307" s="16"/>
      <c r="M307" s="23"/>
      <c r="N307" s="23"/>
      <c r="O307" s="23"/>
      <c r="P307" s="23"/>
      <c r="Q307" s="23"/>
      <c r="R307" s="54"/>
      <c r="S307" s="54"/>
      <c r="T307" s="54"/>
      <c r="U307" s="54"/>
      <c r="V307" s="54"/>
      <c r="W307" s="54"/>
      <c r="X307" s="54"/>
      <c r="Y307" s="54"/>
      <c r="Z307" s="54"/>
      <c r="AA307" s="54"/>
      <c r="AB307" s="54"/>
      <c r="AC307" s="54"/>
      <c r="AD307" s="54"/>
      <c r="AE307" s="23"/>
      <c r="BD307" s="807"/>
      <c r="BE307" s="807"/>
      <c r="BF307" s="807"/>
      <c r="BG307" s="807"/>
      <c r="BH307" s="807"/>
      <c r="BI307" s="807"/>
      <c r="BJ307" s="807"/>
      <c r="BK307" s="808"/>
      <c r="BP307" s="2"/>
      <c r="BQ307" s="2"/>
      <c r="BR307" s="2"/>
      <c r="BS307" s="2"/>
      <c r="BT307" s="2"/>
      <c r="BU307" s="2"/>
      <c r="BV307" s="23"/>
      <c r="BW307" s="23"/>
      <c r="BX307" s="23"/>
      <c r="BY307" s="1636"/>
      <c r="BZ307" s="1636"/>
      <c r="CA307" s="1636"/>
      <c r="CB307" s="1636"/>
      <c r="CC307" s="1636"/>
      <c r="CD307" s="1636"/>
      <c r="CE307" s="1636"/>
      <c r="CF307" s="1636"/>
      <c r="CG307" s="1636"/>
      <c r="CH307" s="1636"/>
      <c r="CI307" s="1636"/>
      <c r="CJ307" s="1636"/>
      <c r="CK307" s="1636"/>
      <c r="CL307" s="1636"/>
      <c r="CM307" s="1636"/>
      <c r="CN307" s="1636"/>
      <c r="CO307" s="1636"/>
      <c r="CP307" s="1636"/>
      <c r="CQ307" s="1636"/>
      <c r="CR307" s="1636"/>
      <c r="CS307" s="1636"/>
      <c r="CT307" s="1636"/>
      <c r="CU307" s="1636"/>
      <c r="CV307" s="1636"/>
      <c r="CW307" s="1636"/>
      <c r="CX307" s="1636"/>
      <c r="CY307" s="1636"/>
      <c r="CZ307" s="1636"/>
      <c r="DA307" s="1636"/>
      <c r="DB307" s="1636"/>
      <c r="DC307" s="1636"/>
    </row>
    <row r="308" spans="2:107" s="15" customFormat="1" hidden="1" outlineLevel="1">
      <c r="B308" s="19" t="s">
        <v>1219</v>
      </c>
      <c r="C308" s="16"/>
      <c r="D308" s="16"/>
      <c r="E308" s="16"/>
      <c r="F308" s="16"/>
      <c r="G308" s="16"/>
      <c r="H308" s="16"/>
      <c r="M308" s="23"/>
      <c r="N308" s="23"/>
      <c r="O308" s="23"/>
      <c r="P308" s="1483">
        <f>+SUM(BX308:CA308)</f>
        <v>36.108000000000004</v>
      </c>
      <c r="Q308" s="1483">
        <f>+SUM(CB308:CE308)</f>
        <v>0</v>
      </c>
      <c r="R308" s="1483"/>
      <c r="S308" s="1483"/>
      <c r="T308" s="1483"/>
      <c r="U308" s="1483"/>
      <c r="V308" s="1483"/>
      <c r="W308" s="1483"/>
      <c r="X308" s="1483"/>
      <c r="Y308" s="1483"/>
      <c r="Z308" s="1483"/>
      <c r="AA308" s="1483"/>
      <c r="AB308" s="1483"/>
      <c r="AC308" s="1483"/>
      <c r="AD308" s="1483"/>
      <c r="AE308" s="23"/>
      <c r="BD308" s="807"/>
      <c r="BE308" s="807"/>
      <c r="BF308" s="807"/>
      <c r="BG308" s="807"/>
      <c r="BH308" s="807"/>
      <c r="BI308" s="807"/>
      <c r="BJ308" s="807"/>
      <c r="BK308" s="808"/>
      <c r="BP308" s="2"/>
      <c r="BQ308" s="2"/>
      <c r="BR308" s="2"/>
      <c r="BS308" s="2"/>
      <c r="BT308" s="2"/>
      <c r="BU308" s="1485">
        <v>5.968</v>
      </c>
      <c r="BV308" s="1485">
        <v>8.7590000000000003</v>
      </c>
      <c r="BW308" s="1485">
        <v>8.9049999999999994</v>
      </c>
      <c r="BX308" s="1485">
        <v>8.8620000000000001</v>
      </c>
      <c r="BY308" s="1485">
        <v>9.14</v>
      </c>
      <c r="BZ308" s="1485">
        <v>9.1370000000000005</v>
      </c>
      <c r="CA308" s="1485">
        <v>8.9689999999999994</v>
      </c>
      <c r="CB308" s="1485"/>
      <c r="CC308" s="1485"/>
      <c r="CD308" s="1485"/>
      <c r="CE308" s="1485"/>
      <c r="CF308" s="1485"/>
      <c r="CG308" s="1485"/>
      <c r="CH308" s="1485"/>
      <c r="CI308" s="1485"/>
      <c r="CJ308" s="1485"/>
      <c r="CK308" s="1485"/>
      <c r="CL308" s="1485"/>
      <c r="CM308" s="1485"/>
      <c r="CN308" s="1485"/>
      <c r="CO308" s="1485"/>
      <c r="CP308" s="1485"/>
      <c r="CQ308" s="1485"/>
      <c r="CR308" s="1485"/>
      <c r="CS308" s="1485"/>
      <c r="CT308" s="1485"/>
      <c r="CU308" s="1485"/>
      <c r="CV308" s="1485"/>
      <c r="CW308" s="1485"/>
      <c r="CX308" s="1485"/>
      <c r="CY308" s="1485"/>
      <c r="CZ308" s="1483"/>
      <c r="DA308" s="1483"/>
      <c r="DB308" s="1483"/>
      <c r="DC308" s="1483"/>
    </row>
    <row r="309" spans="2:107" s="15" customFormat="1" hidden="1" outlineLevel="1">
      <c r="B309" s="19" t="s">
        <v>1220</v>
      </c>
      <c r="C309" s="16"/>
      <c r="D309" s="16"/>
      <c r="E309" s="16"/>
      <c r="F309" s="16"/>
      <c r="G309" s="16"/>
      <c r="H309" s="16"/>
      <c r="M309" s="23"/>
      <c r="N309" s="23"/>
      <c r="O309" s="23"/>
      <c r="P309" s="1483">
        <f>+SUM(BX309:CA309)</f>
        <v>0.95</v>
      </c>
      <c r="Q309" s="1483">
        <f>+SUM(CB309:CE309)</f>
        <v>0</v>
      </c>
      <c r="R309" s="1519"/>
      <c r="S309" s="1519"/>
      <c r="T309" s="1519"/>
      <c r="U309" s="1519"/>
      <c r="V309" s="1519"/>
      <c r="W309" s="1519"/>
      <c r="X309" s="1519"/>
      <c r="Y309" s="1519"/>
      <c r="Z309" s="1519"/>
      <c r="AA309" s="1519"/>
      <c r="AB309" s="1519"/>
      <c r="AC309" s="1519"/>
      <c r="AD309" s="1519"/>
      <c r="AE309" s="23"/>
      <c r="BD309" s="807"/>
      <c r="BE309" s="807"/>
      <c r="BF309" s="807"/>
      <c r="BG309" s="807"/>
      <c r="BH309" s="807"/>
      <c r="BI309" s="807"/>
      <c r="BJ309" s="807"/>
      <c r="BK309" s="808"/>
      <c r="BP309" s="2"/>
      <c r="BQ309" s="2"/>
      <c r="BR309" s="2"/>
      <c r="BS309" s="2"/>
      <c r="BT309" s="2"/>
      <c r="BU309" s="1518">
        <v>0.109</v>
      </c>
      <c r="BV309" s="1518">
        <v>0.19400000000000001</v>
      </c>
      <c r="BW309" s="1518">
        <v>0.185</v>
      </c>
      <c r="BX309" s="1518">
        <v>0.218</v>
      </c>
      <c r="BY309" s="1518">
        <v>0.249</v>
      </c>
      <c r="BZ309" s="1518">
        <v>0.25600000000000001</v>
      </c>
      <c r="CA309" s="1518">
        <v>0.22700000000000001</v>
      </c>
      <c r="CB309" s="1518"/>
      <c r="CC309" s="1518"/>
      <c r="CD309" s="1518"/>
      <c r="CE309" s="1518"/>
      <c r="CF309" s="1518"/>
      <c r="CG309" s="1518"/>
      <c r="CH309" s="1518"/>
      <c r="CI309" s="1518"/>
      <c r="CJ309" s="1518"/>
      <c r="CK309" s="1518"/>
      <c r="CL309" s="1518"/>
      <c r="CM309" s="1518"/>
      <c r="CN309" s="1518"/>
      <c r="CO309" s="1518"/>
      <c r="CP309" s="1518"/>
      <c r="CQ309" s="1518"/>
      <c r="CR309" s="1518"/>
      <c r="CS309" s="1518"/>
      <c r="CT309" s="1518"/>
      <c r="CU309" s="1518"/>
      <c r="CV309" s="1518"/>
      <c r="CW309" s="1518"/>
      <c r="CX309" s="1518"/>
      <c r="CY309" s="1518"/>
      <c r="CZ309" s="1519"/>
      <c r="DA309" s="1519"/>
      <c r="DB309" s="1519"/>
      <c r="DC309" s="1519"/>
    </row>
    <row r="310" spans="2:107" s="15" customFormat="1" hidden="1" outlineLevel="1">
      <c r="B310" s="14" t="s">
        <v>613</v>
      </c>
      <c r="C310" s="16"/>
      <c r="D310" s="16"/>
      <c r="E310" s="16"/>
      <c r="F310" s="16"/>
      <c r="G310" s="16"/>
      <c r="H310" s="16"/>
      <c r="M310" s="23"/>
      <c r="N310" s="23"/>
      <c r="O310" s="23"/>
      <c r="P310" s="1483">
        <f>SUM(P308:P309)</f>
        <v>37.058000000000007</v>
      </c>
      <c r="Q310" s="1483">
        <f>SUM(Q308:Q309)</f>
        <v>0</v>
      </c>
      <c r="R310" s="1483"/>
      <c r="S310" s="1483"/>
      <c r="T310" s="1483"/>
      <c r="U310" s="1483"/>
      <c r="V310" s="1483"/>
      <c r="W310" s="1483"/>
      <c r="X310" s="1483"/>
      <c r="Y310" s="1483"/>
      <c r="Z310" s="1483"/>
      <c r="AA310" s="1483"/>
      <c r="AB310" s="1483"/>
      <c r="AC310" s="1483"/>
      <c r="AD310" s="1483"/>
      <c r="AE310" s="23"/>
      <c r="BD310" s="807"/>
      <c r="BE310" s="807"/>
      <c r="BF310" s="807"/>
      <c r="BG310" s="807"/>
      <c r="BH310" s="807"/>
      <c r="BI310" s="807"/>
      <c r="BJ310" s="807"/>
      <c r="BK310" s="808"/>
      <c r="BP310" s="2"/>
      <c r="BQ310" s="2"/>
      <c r="BR310" s="2"/>
      <c r="BS310" s="2"/>
      <c r="BT310" s="2"/>
      <c r="BU310" s="1483">
        <f>SUM(BU308:BU309)</f>
        <v>6.077</v>
      </c>
      <c r="BV310" s="1483">
        <f t="shared" ref="BV310:CA310" si="370">SUM(BV308:BV309)</f>
        <v>8.9530000000000012</v>
      </c>
      <c r="BW310" s="1483">
        <f t="shared" si="370"/>
        <v>9.09</v>
      </c>
      <c r="BX310" s="1483">
        <f t="shared" si="370"/>
        <v>9.08</v>
      </c>
      <c r="BY310" s="1483">
        <f t="shared" si="370"/>
        <v>9.3890000000000011</v>
      </c>
      <c r="BZ310" s="1483">
        <f t="shared" si="370"/>
        <v>9.3930000000000007</v>
      </c>
      <c r="CA310" s="1483">
        <f t="shared" si="370"/>
        <v>9.1959999999999997</v>
      </c>
      <c r="CB310" s="1483"/>
      <c r="CC310" s="1483"/>
      <c r="CD310" s="1483"/>
      <c r="CE310" s="1483"/>
      <c r="CF310" s="1483"/>
      <c r="CG310" s="1483"/>
      <c r="CH310" s="1483"/>
      <c r="CI310" s="1483"/>
      <c r="CJ310" s="1483"/>
      <c r="CK310" s="1483"/>
      <c r="CL310" s="1483"/>
      <c r="CM310" s="1483"/>
      <c r="CN310" s="1483"/>
      <c r="CO310" s="1483"/>
      <c r="CP310" s="1483"/>
      <c r="CQ310" s="1483"/>
      <c r="CR310" s="1483"/>
      <c r="CS310" s="1483"/>
      <c r="CT310" s="1483"/>
      <c r="CU310" s="1483"/>
      <c r="CV310" s="1483"/>
      <c r="CW310" s="1483"/>
      <c r="CX310" s="1483"/>
      <c r="CY310" s="1483"/>
      <c r="CZ310" s="1483"/>
      <c r="DA310" s="1483"/>
      <c r="DB310" s="1483"/>
      <c r="DC310" s="1483"/>
    </row>
    <row r="311" spans="2:107" s="15" customFormat="1" hidden="1" outlineLevel="1">
      <c r="B311" s="14"/>
      <c r="C311" s="16"/>
      <c r="D311" s="16"/>
      <c r="E311" s="16"/>
      <c r="F311" s="16"/>
      <c r="G311" s="16"/>
      <c r="H311" s="16"/>
      <c r="M311" s="23"/>
      <c r="N311" s="23"/>
      <c r="O311" s="23"/>
      <c r="P311" s="23"/>
      <c r="Q311" s="23"/>
      <c r="R311" s="1483"/>
      <c r="S311" s="1483"/>
      <c r="T311" s="1483"/>
      <c r="U311" s="1483"/>
      <c r="V311" s="1483"/>
      <c r="W311" s="1483"/>
      <c r="X311" s="1483"/>
      <c r="Y311" s="1483"/>
      <c r="Z311" s="1483"/>
      <c r="AA311" s="1483"/>
      <c r="AB311" s="1483"/>
      <c r="AC311" s="1483"/>
      <c r="AD311" s="1483"/>
      <c r="AE311" s="23"/>
      <c r="BD311" s="807"/>
      <c r="BE311" s="807"/>
      <c r="BF311" s="807"/>
      <c r="BG311" s="807"/>
      <c r="BH311" s="807"/>
      <c r="BI311" s="807"/>
      <c r="BJ311" s="807"/>
      <c r="BK311" s="808"/>
      <c r="BP311" s="2"/>
      <c r="BQ311" s="2"/>
      <c r="BR311" s="2"/>
      <c r="BS311" s="2"/>
      <c r="BT311" s="2"/>
      <c r="BU311" s="1483"/>
      <c r="BV311" s="1483"/>
      <c r="BW311" s="1483"/>
      <c r="BX311" s="1483"/>
      <c r="BY311" s="1483"/>
      <c r="BZ311" s="1483"/>
      <c r="CA311" s="1483"/>
      <c r="CB311" s="1483"/>
      <c r="CC311" s="1483"/>
      <c r="CD311" s="1483"/>
      <c r="CE311" s="1483"/>
      <c r="CF311" s="1483"/>
      <c r="CG311" s="1483"/>
      <c r="CH311" s="1483"/>
      <c r="CI311" s="1483"/>
      <c r="CJ311" s="1483"/>
      <c r="CK311" s="1483"/>
      <c r="CL311" s="1483"/>
      <c r="CM311" s="1483"/>
      <c r="CN311" s="1483"/>
      <c r="CO311" s="1483"/>
      <c r="CP311" s="1483"/>
      <c r="CQ311" s="1483"/>
      <c r="CR311" s="1483"/>
      <c r="CS311" s="1483"/>
      <c r="CT311" s="1483"/>
      <c r="CU311" s="1483"/>
      <c r="CV311" s="1483"/>
      <c r="CW311" s="1483"/>
      <c r="CX311" s="1483"/>
      <c r="CY311" s="1483"/>
      <c r="CZ311" s="1483"/>
      <c r="DA311" s="1483"/>
      <c r="DB311" s="1483"/>
      <c r="DC311" s="1483"/>
    </row>
    <row r="312" spans="2:107" s="15" customFormat="1" hidden="1" outlineLevel="1">
      <c r="B312" s="14" t="s">
        <v>614</v>
      </c>
      <c r="C312" s="16"/>
      <c r="D312" s="16"/>
      <c r="E312" s="16"/>
      <c r="F312" s="16"/>
      <c r="G312" s="16"/>
      <c r="H312" s="16"/>
      <c r="M312" s="23"/>
      <c r="N312" s="23"/>
      <c r="O312" s="23"/>
      <c r="P312" s="1483">
        <f>+SUM(BX312:CA312)</f>
        <v>33.79</v>
      </c>
      <c r="Q312" s="1483">
        <f>+SUM(CB312:CE312)</f>
        <v>0</v>
      </c>
      <c r="R312" s="1483"/>
      <c r="S312" s="1483"/>
      <c r="T312" s="1483"/>
      <c r="U312" s="1483"/>
      <c r="V312" s="1483"/>
      <c r="W312" s="1483"/>
      <c r="X312" s="1483"/>
      <c r="Y312" s="1483"/>
      <c r="Z312" s="1483"/>
      <c r="AA312" s="1483"/>
      <c r="AB312" s="1483"/>
      <c r="AC312" s="1483"/>
      <c r="AD312" s="1483"/>
      <c r="AE312" s="23"/>
      <c r="BD312" s="807"/>
      <c r="BE312" s="807"/>
      <c r="BF312" s="807"/>
      <c r="BG312" s="807"/>
      <c r="BH312" s="807"/>
      <c r="BI312" s="807"/>
      <c r="BJ312" s="807"/>
      <c r="BK312" s="808"/>
      <c r="BP312" s="2"/>
      <c r="BQ312" s="2"/>
      <c r="BR312" s="2"/>
      <c r="BS312" s="2"/>
      <c r="BT312" s="2"/>
      <c r="BU312" s="1485">
        <v>5.5380000000000003</v>
      </c>
      <c r="BV312" s="1485">
        <v>8.3309999999999995</v>
      </c>
      <c r="BW312" s="1485">
        <v>8.6419999999999995</v>
      </c>
      <c r="BX312" s="1485">
        <v>7.9669999999999996</v>
      </c>
      <c r="BY312" s="1485">
        <v>9.3249999999999993</v>
      </c>
      <c r="BZ312" s="1485">
        <v>8.4290000000000003</v>
      </c>
      <c r="CA312" s="1485">
        <v>8.0690000000000008</v>
      </c>
      <c r="CB312" s="1485"/>
      <c r="CC312" s="1485"/>
      <c r="CD312" s="1485"/>
      <c r="CE312" s="1485"/>
      <c r="CF312" s="1485"/>
      <c r="CG312" s="1485"/>
      <c r="CH312" s="1485"/>
      <c r="CI312" s="1485"/>
      <c r="CJ312" s="1485"/>
      <c r="CK312" s="1485"/>
      <c r="CL312" s="1485"/>
      <c r="CM312" s="1485"/>
      <c r="CN312" s="1485"/>
      <c r="CO312" s="1485"/>
      <c r="CP312" s="1485"/>
      <c r="CQ312" s="1485"/>
      <c r="CR312" s="1485"/>
      <c r="CS312" s="1485"/>
      <c r="CT312" s="1485"/>
      <c r="CU312" s="1485"/>
      <c r="CV312" s="1485"/>
      <c r="CW312" s="1485"/>
      <c r="CX312" s="1485"/>
      <c r="CY312" s="1485"/>
      <c r="CZ312" s="1483"/>
      <c r="DA312" s="1483"/>
      <c r="DB312" s="1483"/>
      <c r="DC312" s="1483"/>
    </row>
    <row r="313" spans="2:107" s="15" customFormat="1" hidden="1" outlineLevel="1">
      <c r="B313" s="19" t="s">
        <v>279</v>
      </c>
      <c r="C313" s="16"/>
      <c r="D313" s="16"/>
      <c r="E313" s="16"/>
      <c r="F313" s="16"/>
      <c r="G313" s="16"/>
      <c r="H313" s="16"/>
      <c r="M313" s="23"/>
      <c r="N313" s="23"/>
      <c r="O313" s="23"/>
      <c r="P313" s="1483">
        <f>+P310-P312</f>
        <v>3.2680000000000078</v>
      </c>
      <c r="Q313" s="1483">
        <f>+Q310-Q312</f>
        <v>0</v>
      </c>
      <c r="R313" s="1483"/>
      <c r="S313" s="1483"/>
      <c r="T313" s="1483"/>
      <c r="U313" s="1483"/>
      <c r="V313" s="1483"/>
      <c r="W313" s="1483"/>
      <c r="X313" s="1483"/>
      <c r="Y313" s="1483"/>
      <c r="Z313" s="1483"/>
      <c r="AA313" s="1483"/>
      <c r="AB313" s="1483"/>
      <c r="AC313" s="1483"/>
      <c r="AD313" s="1483"/>
      <c r="AE313" s="23"/>
      <c r="BD313" s="807"/>
      <c r="BE313" s="807"/>
      <c r="BF313" s="807"/>
      <c r="BG313" s="807"/>
      <c r="BH313" s="807"/>
      <c r="BI313" s="807"/>
      <c r="BJ313" s="807"/>
      <c r="BK313" s="808"/>
      <c r="BP313" s="2"/>
      <c r="BQ313" s="2"/>
      <c r="BR313" s="2"/>
      <c r="BS313" s="2"/>
      <c r="BT313" s="2"/>
      <c r="BU313" s="1483">
        <f>+BU310-BU312</f>
        <v>0.5389999999999997</v>
      </c>
      <c r="BV313" s="1483">
        <f t="shared" ref="BV313:CA313" si="371">+BV310-BV312</f>
        <v>0.62200000000000166</v>
      </c>
      <c r="BW313" s="1483">
        <f t="shared" si="371"/>
        <v>0.4480000000000004</v>
      </c>
      <c r="BX313" s="1483">
        <f t="shared" si="371"/>
        <v>1.1130000000000004</v>
      </c>
      <c r="BY313" s="1483">
        <f t="shared" si="371"/>
        <v>6.4000000000001833E-2</v>
      </c>
      <c r="BZ313" s="1483">
        <f t="shared" si="371"/>
        <v>0.96400000000000041</v>
      </c>
      <c r="CA313" s="1483">
        <f t="shared" si="371"/>
        <v>1.1269999999999989</v>
      </c>
      <c r="CB313" s="1483"/>
      <c r="CC313" s="1483"/>
      <c r="CD313" s="1483"/>
      <c r="CE313" s="1483"/>
      <c r="CF313" s="1483"/>
      <c r="CG313" s="1483"/>
      <c r="CH313" s="1483"/>
      <c r="CI313" s="1483"/>
      <c r="CJ313" s="1483"/>
      <c r="CK313" s="1483"/>
      <c r="CL313" s="1483"/>
      <c r="CM313" s="1483"/>
      <c r="CN313" s="1483"/>
      <c r="CO313" s="1483"/>
      <c r="CP313" s="1483"/>
      <c r="CQ313" s="1483"/>
      <c r="CR313" s="1483"/>
      <c r="CS313" s="1483"/>
      <c r="CT313" s="1483"/>
      <c r="CU313" s="1483"/>
      <c r="CV313" s="1483"/>
      <c r="CW313" s="1483"/>
      <c r="CX313" s="1483"/>
      <c r="CY313" s="1483"/>
      <c r="CZ313" s="1483"/>
      <c r="DA313" s="1483"/>
      <c r="DB313" s="1483"/>
      <c r="DC313" s="1483"/>
    </row>
    <row r="314" spans="2:107" s="773" customFormat="1" hidden="1" outlineLevel="1">
      <c r="B314" s="18" t="s">
        <v>291</v>
      </c>
      <c r="P314" s="1680">
        <f>+P313/P310</f>
        <v>8.8186086674942182E-2</v>
      </c>
      <c r="Q314" s="1680"/>
      <c r="R314" s="1911"/>
      <c r="S314" s="1911"/>
      <c r="T314" s="1911"/>
      <c r="U314" s="1911"/>
      <c r="V314" s="1911"/>
      <c r="W314" s="1911"/>
      <c r="X314" s="1680"/>
      <c r="Y314" s="1680"/>
      <c r="Z314" s="1680"/>
      <c r="AA314" s="1680"/>
      <c r="AB314" s="1680"/>
      <c r="AC314" s="1680"/>
      <c r="AD314" s="1680"/>
      <c r="BD314" s="1681"/>
      <c r="BE314" s="1681"/>
      <c r="BF314" s="1681"/>
      <c r="BG314" s="1681"/>
      <c r="BH314" s="1681"/>
      <c r="BI314" s="1681"/>
      <c r="BJ314" s="1681"/>
      <c r="BK314" s="1682"/>
      <c r="BP314" s="1683"/>
      <c r="BQ314" s="1683"/>
      <c r="BR314" s="1683"/>
      <c r="BS314" s="1683"/>
      <c r="BT314" s="1683"/>
      <c r="BU314" s="1680">
        <f>+BU313/BU310</f>
        <v>8.8695079809116298E-2</v>
      </c>
      <c r="BV314" s="1680">
        <f t="shared" ref="BV314:CA314" si="372">+BV313/BV310</f>
        <v>6.9473919356640407E-2</v>
      </c>
      <c r="BW314" s="1680">
        <f t="shared" si="372"/>
        <v>4.9284928492849329E-2</v>
      </c>
      <c r="BX314" s="1680">
        <f t="shared" si="372"/>
        <v>0.12257709251101326</v>
      </c>
      <c r="BY314" s="1680">
        <f t="shared" si="372"/>
        <v>6.8164873788477817E-3</v>
      </c>
      <c r="BZ314" s="1680">
        <f t="shared" si="372"/>
        <v>0.10262961780048976</v>
      </c>
      <c r="CA314" s="1680">
        <f t="shared" si="372"/>
        <v>0.12255328403653751</v>
      </c>
      <c r="CB314" s="1680"/>
      <c r="CC314" s="1680"/>
      <c r="CD314" s="1680"/>
      <c r="CE314" s="1680"/>
      <c r="CF314" s="1680"/>
      <c r="CG314" s="1680"/>
      <c r="CH314" s="1680"/>
      <c r="CI314" s="1680"/>
      <c r="CJ314" s="1680"/>
      <c r="CK314" s="1680"/>
      <c r="CL314" s="1680"/>
      <c r="CM314" s="1680"/>
      <c r="CN314" s="1680"/>
      <c r="CO314" s="1680"/>
      <c r="CP314" s="1680"/>
      <c r="CQ314" s="1680"/>
      <c r="CR314" s="1680"/>
      <c r="CS314" s="1680"/>
      <c r="CT314" s="1680"/>
      <c r="CU314" s="1680"/>
      <c r="CV314" s="1680"/>
      <c r="CW314" s="1680"/>
      <c r="CX314" s="1680"/>
      <c r="CY314" s="1680"/>
      <c r="CZ314" s="1680"/>
      <c r="DA314" s="1680"/>
      <c r="DB314" s="1680"/>
      <c r="DC314" s="1680"/>
    </row>
    <row r="315" spans="2:107" s="15" customFormat="1" hidden="1" outlineLevel="1">
      <c r="B315" s="14" t="s">
        <v>618</v>
      </c>
      <c r="C315" s="16"/>
      <c r="D315" s="16"/>
      <c r="E315" s="16"/>
      <c r="F315" s="16"/>
      <c r="G315" s="16"/>
      <c r="H315" s="16"/>
      <c r="M315" s="23"/>
      <c r="N315" s="23"/>
      <c r="O315" s="23"/>
      <c r="P315" s="1483">
        <f>+SUM(BX315:CA315)</f>
        <v>14.895</v>
      </c>
      <c r="Q315" s="1483">
        <f>+SUM(CB315:CE315)</f>
        <v>0</v>
      </c>
      <c r="R315" s="1483"/>
      <c r="S315" s="1483"/>
      <c r="T315" s="1483"/>
      <c r="U315" s="1483"/>
      <c r="V315" s="1483"/>
      <c r="W315" s="1483"/>
      <c r="X315" s="1483"/>
      <c r="Y315" s="1483"/>
      <c r="Z315" s="1483"/>
      <c r="AA315" s="1483"/>
      <c r="AB315" s="1483"/>
      <c r="AC315" s="1483"/>
      <c r="AD315" s="1483"/>
      <c r="AE315" s="23"/>
      <c r="BD315" s="807"/>
      <c r="BE315" s="807"/>
      <c r="BF315" s="807"/>
      <c r="BG315" s="807"/>
      <c r="BH315" s="807"/>
      <c r="BI315" s="807"/>
      <c r="BJ315" s="807"/>
      <c r="BK315" s="808"/>
      <c r="BP315" s="2"/>
      <c r="BQ315" s="2"/>
      <c r="BR315" s="2"/>
      <c r="BS315" s="2"/>
      <c r="BT315" s="2"/>
      <c r="BU315" s="1485">
        <v>2.3010000000000002</v>
      </c>
      <c r="BV315" s="1485">
        <v>3.7040000000000002</v>
      </c>
      <c r="BW315" s="1485">
        <v>3.9540000000000002</v>
      </c>
      <c r="BX315" s="1485">
        <v>3.746</v>
      </c>
      <c r="BY315" s="1485">
        <v>3.7549999999999999</v>
      </c>
      <c r="BZ315" s="1485">
        <v>3.7309999999999999</v>
      </c>
      <c r="CA315" s="1485">
        <v>3.6629999999999998</v>
      </c>
      <c r="CB315" s="1485"/>
      <c r="CC315" s="1485"/>
      <c r="CD315" s="1485"/>
      <c r="CE315" s="1485"/>
      <c r="CF315" s="1485"/>
      <c r="CG315" s="1485"/>
      <c r="CH315" s="1485"/>
      <c r="CI315" s="1485"/>
      <c r="CJ315" s="1485"/>
      <c r="CK315" s="1485"/>
      <c r="CL315" s="1485"/>
      <c r="CM315" s="1485"/>
      <c r="CN315" s="1485"/>
      <c r="CO315" s="1485"/>
      <c r="CP315" s="1485"/>
      <c r="CQ315" s="1485"/>
      <c r="CR315" s="1485"/>
      <c r="CS315" s="1485"/>
      <c r="CT315" s="1485"/>
      <c r="CU315" s="1485"/>
      <c r="CV315" s="1485"/>
      <c r="CW315" s="1485"/>
      <c r="CX315" s="1485"/>
      <c r="CY315" s="1485"/>
      <c r="CZ315" s="1483"/>
      <c r="DA315" s="1483"/>
      <c r="DB315" s="1483"/>
      <c r="DC315" s="1483"/>
    </row>
    <row r="316" spans="2:107" s="15" customFormat="1" hidden="1" outlineLevel="1">
      <c r="B316" s="14" t="s">
        <v>1185</v>
      </c>
      <c r="C316" s="16"/>
      <c r="D316" s="16"/>
      <c r="E316" s="16"/>
      <c r="F316" s="16"/>
      <c r="G316" s="16"/>
      <c r="H316" s="16"/>
      <c r="M316" s="23"/>
      <c r="N316" s="23"/>
      <c r="O316" s="23"/>
      <c r="P316" s="1483">
        <f>+SUM(BX316:CA316)</f>
        <v>0.39500000000000002</v>
      </c>
      <c r="Q316" s="1483">
        <f>+SUM(CB316:CE316)</f>
        <v>0</v>
      </c>
      <c r="R316" s="1483"/>
      <c r="S316" s="1483"/>
      <c r="T316" s="1483"/>
      <c r="U316" s="1483"/>
      <c r="V316" s="1483"/>
      <c r="W316" s="1483"/>
      <c r="X316" s="1483"/>
      <c r="Y316" s="1483"/>
      <c r="Z316" s="1483"/>
      <c r="AA316" s="1483"/>
      <c r="AB316" s="1483"/>
      <c r="AC316" s="1483"/>
      <c r="AD316" s="1483"/>
      <c r="AE316" s="23"/>
      <c r="BD316" s="807"/>
      <c r="BE316" s="807"/>
      <c r="BF316" s="807"/>
      <c r="BG316" s="807"/>
      <c r="BH316" s="807"/>
      <c r="BI316" s="807"/>
      <c r="BJ316" s="807"/>
      <c r="BK316" s="808"/>
      <c r="BP316" s="2"/>
      <c r="BQ316" s="2"/>
      <c r="BR316" s="2"/>
      <c r="BS316" s="2"/>
      <c r="BT316" s="2"/>
      <c r="BU316" s="1485">
        <v>3.1E-2</v>
      </c>
      <c r="BV316" s="1485">
        <v>4.9000000000000002E-2</v>
      </c>
      <c r="BW316" s="1485">
        <v>0.16600000000000001</v>
      </c>
      <c r="BX316" s="1485">
        <v>0.09</v>
      </c>
      <c r="BY316" s="1485">
        <v>0.10299999999999999</v>
      </c>
      <c r="BZ316" s="1485">
        <v>0.105</v>
      </c>
      <c r="CA316" s="1485">
        <v>9.7000000000000003E-2</v>
      </c>
      <c r="CB316" s="1485"/>
      <c r="CC316" s="1485"/>
      <c r="CD316" s="1485"/>
      <c r="CE316" s="1485"/>
      <c r="CF316" s="1485"/>
      <c r="CG316" s="1485"/>
      <c r="CH316" s="1485"/>
      <c r="CI316" s="1485"/>
      <c r="CJ316" s="1485"/>
      <c r="CK316" s="1485"/>
      <c r="CL316" s="1485"/>
      <c r="CM316" s="1485"/>
      <c r="CN316" s="1485"/>
      <c r="CO316" s="1485"/>
      <c r="CP316" s="1485"/>
      <c r="CQ316" s="1485"/>
      <c r="CR316" s="1485"/>
      <c r="CS316" s="1485"/>
      <c r="CT316" s="1485"/>
      <c r="CU316" s="1485"/>
      <c r="CV316" s="1485"/>
      <c r="CW316" s="1485"/>
      <c r="CX316" s="1485"/>
      <c r="CY316" s="1485"/>
      <c r="CZ316" s="1483"/>
      <c r="DA316" s="1483"/>
      <c r="DB316" s="1483"/>
      <c r="DC316" s="1483"/>
    </row>
    <row r="317" spans="2:107" s="15" customFormat="1" hidden="1" outlineLevel="1">
      <c r="B317" s="14" t="s">
        <v>615</v>
      </c>
      <c r="C317" s="16"/>
      <c r="D317" s="16"/>
      <c r="E317" s="16"/>
      <c r="F317" s="16"/>
      <c r="G317" s="16"/>
      <c r="H317" s="16"/>
      <c r="M317" s="23"/>
      <c r="N317" s="23"/>
      <c r="O317" s="23"/>
      <c r="P317" s="1483">
        <f>+P312-P315-P316</f>
        <v>18.5</v>
      </c>
      <c r="Q317" s="1483">
        <f>+Q312-Q315-Q316</f>
        <v>0</v>
      </c>
      <c r="R317" s="1483"/>
      <c r="S317" s="1483"/>
      <c r="T317" s="1483"/>
      <c r="U317" s="1483"/>
      <c r="V317" s="1483"/>
      <c r="W317" s="1483"/>
      <c r="X317" s="1483"/>
      <c r="Y317" s="1483"/>
      <c r="Z317" s="1483"/>
      <c r="AA317" s="1483"/>
      <c r="AB317" s="1483"/>
      <c r="AC317" s="1483"/>
      <c r="AD317" s="1483"/>
      <c r="AE317" s="23"/>
      <c r="BD317" s="807"/>
      <c r="BE317" s="807"/>
      <c r="BF317" s="807"/>
      <c r="BG317" s="807"/>
      <c r="BH317" s="807"/>
      <c r="BI317" s="807"/>
      <c r="BJ317" s="807"/>
      <c r="BK317" s="808"/>
      <c r="BP317" s="2"/>
      <c r="BQ317" s="2"/>
      <c r="BR317" s="2"/>
      <c r="BS317" s="2"/>
      <c r="BT317" s="2"/>
      <c r="BU317" s="1483">
        <f>+BU312-BU315-BU316</f>
        <v>3.206</v>
      </c>
      <c r="BV317" s="1483">
        <f t="shared" ref="BV317:CA317" si="373">+BV312-BV315-BV316</f>
        <v>4.5779999999999985</v>
      </c>
      <c r="BW317" s="1483">
        <f t="shared" si="373"/>
        <v>4.5219999999999985</v>
      </c>
      <c r="BX317" s="1483">
        <f t="shared" si="373"/>
        <v>4.1310000000000002</v>
      </c>
      <c r="BY317" s="1483">
        <f t="shared" si="373"/>
        <v>5.4669999999999996</v>
      </c>
      <c r="BZ317" s="1483">
        <f t="shared" si="373"/>
        <v>4.593</v>
      </c>
      <c r="CA317" s="1483">
        <f t="shared" si="373"/>
        <v>4.3090000000000002</v>
      </c>
      <c r="CB317" s="1483"/>
      <c r="CC317" s="1483"/>
      <c r="CD317" s="1483"/>
      <c r="CE317" s="1483"/>
      <c r="CF317" s="1483"/>
      <c r="CG317" s="1483"/>
      <c r="CH317" s="1483"/>
      <c r="CI317" s="1483"/>
      <c r="CJ317" s="1483"/>
      <c r="CK317" s="1483"/>
      <c r="CL317" s="1483"/>
      <c r="CM317" s="1483"/>
      <c r="CN317" s="1483"/>
      <c r="CO317" s="1483"/>
      <c r="CP317" s="1483"/>
      <c r="CQ317" s="1483"/>
      <c r="CR317" s="1483"/>
      <c r="CS317" s="1483"/>
      <c r="CT317" s="1483"/>
      <c r="CU317" s="1483"/>
      <c r="CV317" s="1483"/>
      <c r="CW317" s="1483"/>
      <c r="CX317" s="1483"/>
      <c r="CY317" s="1483"/>
      <c r="CZ317" s="1483"/>
      <c r="DA317" s="1483"/>
      <c r="DB317" s="1483"/>
      <c r="DC317" s="1483"/>
    </row>
    <row r="318" spans="2:107" s="15" customFormat="1" hidden="1" outlineLevel="1">
      <c r="B318" s="19" t="s">
        <v>616</v>
      </c>
      <c r="C318" s="16"/>
      <c r="D318" s="16"/>
      <c r="E318" s="16"/>
      <c r="F318" s="16"/>
      <c r="G318" s="16"/>
      <c r="H318" s="16"/>
      <c r="M318" s="23"/>
      <c r="N318" s="23"/>
      <c r="O318" s="23"/>
      <c r="P318" s="1483">
        <f>+P310-P317</f>
        <v>18.558000000000007</v>
      </c>
      <c r="Q318" s="1483">
        <f>+Q310-Q317</f>
        <v>0</v>
      </c>
      <c r="R318" s="1483"/>
      <c r="S318" s="1483"/>
      <c r="T318" s="1483"/>
      <c r="U318" s="1483"/>
      <c r="V318" s="1483"/>
      <c r="W318" s="1483"/>
      <c r="X318" s="1483"/>
      <c r="Y318" s="1483"/>
      <c r="Z318" s="1483"/>
      <c r="AA318" s="1483"/>
      <c r="AB318" s="1483"/>
      <c r="AC318" s="1483"/>
      <c r="AD318" s="1483"/>
      <c r="AE318" s="23"/>
      <c r="BD318" s="807"/>
      <c r="BE318" s="807"/>
      <c r="BF318" s="807"/>
      <c r="BG318" s="807"/>
      <c r="BH318" s="807"/>
      <c r="BI318" s="807"/>
      <c r="BJ318" s="807"/>
      <c r="BK318" s="808"/>
      <c r="BP318" s="2"/>
      <c r="BQ318" s="2"/>
      <c r="BR318" s="2"/>
      <c r="BS318" s="2"/>
      <c r="BT318" s="2"/>
      <c r="BU318" s="1483">
        <f>+BU310-BU317</f>
        <v>2.871</v>
      </c>
      <c r="BV318" s="1483">
        <f t="shared" ref="BV318:CA318" si="374">+BV310-BV317</f>
        <v>4.3750000000000027</v>
      </c>
      <c r="BW318" s="1483">
        <f t="shared" si="374"/>
        <v>4.5680000000000014</v>
      </c>
      <c r="BX318" s="1483">
        <f t="shared" si="374"/>
        <v>4.9489999999999998</v>
      </c>
      <c r="BY318" s="1483">
        <f t="shared" si="374"/>
        <v>3.9220000000000015</v>
      </c>
      <c r="BZ318" s="1483">
        <f t="shared" si="374"/>
        <v>4.8000000000000007</v>
      </c>
      <c r="CA318" s="1483">
        <f t="shared" si="374"/>
        <v>4.8869999999999996</v>
      </c>
      <c r="CB318" s="1483"/>
      <c r="CC318" s="1483"/>
      <c r="CD318" s="1483"/>
      <c r="CE318" s="1483"/>
      <c r="CF318" s="1483"/>
      <c r="CG318" s="1483"/>
      <c r="CH318" s="1483"/>
      <c r="CI318" s="1483"/>
      <c r="CJ318" s="1483"/>
      <c r="CK318" s="1483"/>
      <c r="CL318" s="1483"/>
      <c r="CM318" s="1483"/>
      <c r="CN318" s="1483"/>
      <c r="CO318" s="1483"/>
      <c r="CP318" s="1483"/>
      <c r="CQ318" s="1483"/>
      <c r="CR318" s="1483"/>
      <c r="CS318" s="1483"/>
      <c r="CT318" s="1483"/>
      <c r="CU318" s="1483"/>
      <c r="CV318" s="1483"/>
      <c r="CW318" s="1483"/>
      <c r="CX318" s="1483"/>
      <c r="CY318" s="1483"/>
      <c r="CZ318" s="1483"/>
      <c r="DA318" s="1483"/>
      <c r="DB318" s="1483"/>
      <c r="DC318" s="1483"/>
    </row>
    <row r="319" spans="2:107" s="773" customFormat="1" hidden="1" outlineLevel="1">
      <c r="B319" s="18" t="s">
        <v>617</v>
      </c>
      <c r="P319" s="1680">
        <f>+P318/P310</f>
        <v>0.50078255707269692</v>
      </c>
      <c r="Q319" s="1680"/>
      <c r="R319" s="1911"/>
      <c r="S319" s="1911"/>
      <c r="T319" s="1911"/>
      <c r="U319" s="1911"/>
      <c r="V319" s="1911"/>
      <c r="W319" s="1911"/>
      <c r="X319" s="1680"/>
      <c r="Y319" s="1680"/>
      <c r="Z319" s="1680"/>
      <c r="AA319" s="1680"/>
      <c r="AB319" s="1680"/>
      <c r="AC319" s="1680"/>
      <c r="AD319" s="1680"/>
      <c r="BD319" s="1681"/>
      <c r="BE319" s="1681"/>
      <c r="BF319" s="1681"/>
      <c r="BG319" s="1681"/>
      <c r="BH319" s="1681"/>
      <c r="BI319" s="1681"/>
      <c r="BJ319" s="1681"/>
      <c r="BK319" s="1682"/>
      <c r="BP319" s="1683"/>
      <c r="BQ319" s="1683"/>
      <c r="BR319" s="1683"/>
      <c r="BS319" s="1683"/>
      <c r="BT319" s="1683"/>
      <c r="BU319" s="1680">
        <f>+BU318/BU310</f>
        <v>0.47243705775876255</v>
      </c>
      <c r="BV319" s="1680">
        <f t="shared" ref="BV319:CA319" si="375">+BV318/BV310</f>
        <v>0.48866301798279932</v>
      </c>
      <c r="BW319" s="1680">
        <f t="shared" si="375"/>
        <v>0.50253025302530274</v>
      </c>
      <c r="BX319" s="1680">
        <f t="shared" si="375"/>
        <v>0.54504405286343616</v>
      </c>
      <c r="BY319" s="1680">
        <f t="shared" si="375"/>
        <v>0.41772286718500384</v>
      </c>
      <c r="BZ319" s="1680">
        <f t="shared" si="375"/>
        <v>0.51101884381986584</v>
      </c>
      <c r="CA319" s="1680">
        <f t="shared" si="375"/>
        <v>0.53142670726402785</v>
      </c>
      <c r="CB319" s="1680"/>
      <c r="CC319" s="1680"/>
      <c r="CD319" s="1680"/>
      <c r="CE319" s="1680"/>
      <c r="CF319" s="1680"/>
      <c r="CG319" s="1680"/>
      <c r="CH319" s="1680"/>
      <c r="CI319" s="1680"/>
      <c r="CJ319" s="1680"/>
      <c r="CK319" s="1680"/>
      <c r="CL319" s="1680"/>
      <c r="CM319" s="1680"/>
      <c r="CN319" s="1680"/>
      <c r="CO319" s="1680"/>
      <c r="CP319" s="1680"/>
      <c r="CQ319" s="1680"/>
      <c r="CR319" s="1680"/>
      <c r="CS319" s="1680"/>
      <c r="CT319" s="1680"/>
      <c r="CU319" s="1680"/>
      <c r="CV319" s="1680"/>
      <c r="CW319" s="1680"/>
      <c r="CX319" s="1680"/>
      <c r="CY319" s="1680"/>
      <c r="CZ319" s="1680"/>
      <c r="DA319" s="1680"/>
      <c r="DB319" s="1680"/>
      <c r="DC319" s="1680"/>
    </row>
    <row r="320" spans="2:107" s="15" customFormat="1" hidden="1" outlineLevel="1">
      <c r="B320" s="14"/>
      <c r="C320" s="16"/>
      <c r="D320" s="16"/>
      <c r="E320" s="16"/>
      <c r="F320" s="16"/>
      <c r="G320" s="16"/>
      <c r="H320" s="16"/>
      <c r="M320" s="23"/>
      <c r="N320" s="23"/>
      <c r="O320" s="23"/>
      <c r="P320" s="23"/>
      <c r="Q320" s="23"/>
      <c r="R320" s="54"/>
      <c r="S320" s="54"/>
      <c r="T320" s="54"/>
      <c r="U320" s="54"/>
      <c r="V320" s="54"/>
      <c r="W320" s="54"/>
      <c r="X320" s="54"/>
      <c r="Y320" s="54"/>
      <c r="Z320" s="54"/>
      <c r="AA320" s="54"/>
      <c r="AB320" s="54"/>
      <c r="AC320" s="54"/>
      <c r="AD320" s="54"/>
      <c r="AE320" s="23"/>
      <c r="BD320" s="807"/>
      <c r="BE320" s="807"/>
      <c r="BF320" s="807"/>
      <c r="BG320" s="807"/>
      <c r="BH320" s="807"/>
      <c r="BI320" s="807"/>
      <c r="BJ320" s="807"/>
      <c r="BK320" s="808"/>
      <c r="BP320" s="2"/>
      <c r="BQ320" s="2"/>
      <c r="BR320" s="2"/>
      <c r="BS320" s="2"/>
      <c r="BT320" s="2"/>
      <c r="BU320" s="2"/>
      <c r="BV320" s="23"/>
      <c r="BW320" s="23"/>
      <c r="BX320" s="23"/>
      <c r="BY320" s="1636"/>
      <c r="BZ320" s="1636"/>
      <c r="CA320" s="1636"/>
      <c r="CB320" s="1636"/>
      <c r="CC320" s="1636"/>
      <c r="CD320" s="1636"/>
      <c r="CE320" s="1636"/>
      <c r="CF320" s="1636"/>
      <c r="CG320" s="1636"/>
      <c r="CH320" s="1636"/>
      <c r="CI320" s="1636"/>
      <c r="CJ320" s="1636"/>
      <c r="CK320" s="1636"/>
      <c r="CL320" s="1636"/>
      <c r="CM320" s="1636"/>
      <c r="CN320" s="1636"/>
      <c r="CO320" s="1636"/>
      <c r="CP320" s="1636"/>
      <c r="CQ320" s="1636"/>
      <c r="CR320" s="1636"/>
      <c r="CS320" s="1636"/>
      <c r="CT320" s="1636"/>
      <c r="CU320" s="1636"/>
      <c r="CV320" s="1636"/>
      <c r="CW320" s="1636"/>
      <c r="CX320" s="1636"/>
      <c r="CY320" s="1636"/>
      <c r="CZ320" s="1636"/>
      <c r="DA320" s="1636"/>
      <c r="DB320" s="1636"/>
      <c r="DC320" s="1636"/>
    </row>
    <row r="321" spans="2:107" hidden="1" outlineLevel="1">
      <c r="B321" s="14" t="s">
        <v>924</v>
      </c>
      <c r="C321" s="14"/>
      <c r="D321" s="14"/>
      <c r="E321" s="14"/>
      <c r="F321" s="14"/>
      <c r="G321" s="14"/>
      <c r="H321" s="14"/>
      <c r="I321" s="14"/>
      <c r="J321" s="195"/>
      <c r="K321" s="195"/>
      <c r="L321" s="195"/>
      <c r="M321" s="195"/>
      <c r="N321" s="195"/>
      <c r="O321" s="195">
        <f>+SUM(BT321:BW321)</f>
        <v>1.6090000000000018</v>
      </c>
      <c r="P321" s="195">
        <f>+SUM(BX321:CA321)</f>
        <v>3.2680000000000016</v>
      </c>
      <c r="Q321" s="195">
        <f>+SUM(CB321:CE321)</f>
        <v>0</v>
      </c>
      <c r="R321" s="195"/>
      <c r="S321" s="195"/>
      <c r="T321" s="195"/>
      <c r="U321" s="195"/>
      <c r="V321" s="195"/>
      <c r="W321" s="195"/>
      <c r="X321" s="195"/>
      <c r="Y321" s="195"/>
      <c r="Z321" s="195"/>
      <c r="AA321" s="195"/>
      <c r="AB321" s="195"/>
      <c r="AC321" s="195"/>
      <c r="AD321" s="195"/>
      <c r="AE321" s="14"/>
      <c r="AF321" s="14"/>
      <c r="AG321" s="14"/>
      <c r="AH321" s="14"/>
      <c r="AI321" s="14"/>
      <c r="AJ321" s="14"/>
      <c r="AK321" s="14"/>
      <c r="AL321" s="14"/>
      <c r="AM321" s="14"/>
      <c r="AN321" s="14"/>
      <c r="AO321" s="14"/>
      <c r="AP321" s="14"/>
      <c r="AQ321" s="14"/>
      <c r="AR321" s="14"/>
      <c r="AS321" s="14"/>
      <c r="AT321" s="14"/>
      <c r="AU321" s="14"/>
      <c r="AV321" s="14"/>
      <c r="AW321" s="14"/>
      <c r="AX321" s="14"/>
      <c r="AY321" s="14"/>
      <c r="AZ321" s="814"/>
      <c r="BA321" s="814"/>
      <c r="BB321" s="814"/>
      <c r="BC321" s="814"/>
      <c r="BD321" s="814"/>
      <c r="BE321" s="814"/>
      <c r="BF321" s="814"/>
      <c r="BG321" s="814"/>
      <c r="BH321" s="814"/>
      <c r="BI321" s="195"/>
      <c r="BJ321" s="195"/>
      <c r="BK321" s="195"/>
      <c r="BL321" s="195"/>
      <c r="BM321" s="195"/>
      <c r="BN321" s="195"/>
      <c r="BO321" s="195"/>
      <c r="BP321" s="195"/>
      <c r="BQ321" s="195"/>
      <c r="BR321" s="195"/>
      <c r="BS321" s="195"/>
      <c r="BT321" s="195"/>
      <c r="BU321" s="195">
        <f t="shared" ref="BU321:CA321" si="376">+BU310*BU314</f>
        <v>0.5389999999999997</v>
      </c>
      <c r="BV321" s="195">
        <f t="shared" si="376"/>
        <v>0.62200000000000166</v>
      </c>
      <c r="BW321" s="195">
        <f t="shared" si="376"/>
        <v>0.4480000000000004</v>
      </c>
      <c r="BX321" s="195">
        <f t="shared" si="376"/>
        <v>1.1130000000000004</v>
      </c>
      <c r="BY321" s="195">
        <f t="shared" si="376"/>
        <v>6.4000000000001833E-2</v>
      </c>
      <c r="BZ321" s="195">
        <f t="shared" si="376"/>
        <v>0.96400000000000041</v>
      </c>
      <c r="CA321" s="195">
        <f t="shared" si="376"/>
        <v>1.1269999999999989</v>
      </c>
      <c r="CB321" s="195"/>
      <c r="CC321" s="195"/>
      <c r="CD321" s="195"/>
      <c r="CE321" s="195"/>
      <c r="CF321" s="195"/>
      <c r="CG321" s="195"/>
      <c r="CH321" s="195"/>
      <c r="CI321" s="195"/>
      <c r="CJ321" s="195"/>
      <c r="CK321" s="195"/>
      <c r="CL321" s="195"/>
      <c r="CM321" s="195"/>
      <c r="CN321" s="195"/>
      <c r="CO321" s="195"/>
      <c r="CP321" s="195"/>
      <c r="CQ321" s="195"/>
      <c r="CR321" s="195"/>
      <c r="CS321" s="195"/>
      <c r="CT321" s="195"/>
      <c r="CU321" s="195"/>
      <c r="CV321" s="195"/>
      <c r="CW321" s="195"/>
      <c r="CX321" s="195"/>
      <c r="CY321" s="195"/>
      <c r="CZ321" s="195"/>
      <c r="DA321" s="195"/>
      <c r="DB321" s="195"/>
      <c r="DC321" s="195"/>
    </row>
    <row r="322" spans="2:107" hidden="1" outlineLevel="1">
      <c r="B322" s="14"/>
      <c r="C322" s="14"/>
      <c r="D322" s="14"/>
      <c r="E322" s="14"/>
      <c r="F322" s="14"/>
      <c r="G322" s="14"/>
      <c r="H322" s="14"/>
      <c r="I322" s="14"/>
      <c r="J322" s="195"/>
      <c r="K322" s="195"/>
      <c r="L322" s="195"/>
      <c r="M322" s="195"/>
      <c r="N322" s="195"/>
      <c r="O322" s="195"/>
      <c r="P322" s="195"/>
      <c r="Q322" s="195"/>
      <c r="R322" s="195"/>
      <c r="S322" s="195"/>
      <c r="T322" s="195"/>
      <c r="U322" s="195"/>
      <c r="V322" s="195"/>
      <c r="W322" s="195"/>
      <c r="X322" s="195"/>
      <c r="Y322" s="195"/>
      <c r="Z322" s="195"/>
      <c r="AA322" s="195"/>
      <c r="AB322" s="195"/>
      <c r="AC322" s="195"/>
      <c r="AD322" s="195"/>
      <c r="AE322" s="14"/>
      <c r="AF322" s="14"/>
      <c r="AG322" s="14"/>
      <c r="AH322" s="14"/>
      <c r="AI322" s="14"/>
      <c r="AJ322" s="14"/>
      <c r="AK322" s="14"/>
      <c r="AL322" s="14"/>
      <c r="AM322" s="14"/>
      <c r="AN322" s="14"/>
      <c r="AO322" s="14"/>
      <c r="AP322" s="14"/>
      <c r="AQ322" s="14"/>
      <c r="AR322" s="14"/>
      <c r="AS322" s="14"/>
      <c r="AT322" s="14"/>
      <c r="AU322" s="14"/>
      <c r="AV322" s="14"/>
      <c r="AW322" s="14"/>
      <c r="AX322" s="14"/>
      <c r="AY322" s="14"/>
      <c r="AZ322" s="814"/>
      <c r="BA322" s="814"/>
      <c r="BB322" s="814"/>
      <c r="BC322" s="814"/>
      <c r="BD322" s="814"/>
      <c r="BE322" s="814"/>
      <c r="BF322" s="814"/>
      <c r="BG322" s="814"/>
      <c r="BH322" s="814"/>
      <c r="BI322" s="195"/>
      <c r="BJ322" s="195"/>
      <c r="BK322" s="195"/>
      <c r="BL322" s="195"/>
      <c r="BM322" s="195"/>
      <c r="BN322" s="195"/>
      <c r="BO322" s="195"/>
      <c r="BP322" s="195"/>
      <c r="BQ322" s="195"/>
      <c r="BR322" s="195"/>
      <c r="BS322" s="195"/>
      <c r="BT322" s="195"/>
      <c r="BU322" s="195"/>
      <c r="BV322" s="195"/>
      <c r="BW322" s="195"/>
      <c r="BX322" s="195"/>
      <c r="BY322" s="195"/>
      <c r="BZ322" s="195"/>
      <c r="CA322" s="195"/>
      <c r="CB322" s="195"/>
      <c r="CC322" s="195"/>
      <c r="CD322" s="195"/>
      <c r="CE322" s="195"/>
      <c r="CF322" s="195"/>
      <c r="CG322" s="195"/>
      <c r="CH322" s="195"/>
      <c r="CI322" s="195"/>
      <c r="CJ322" s="195"/>
      <c r="CK322" s="195"/>
      <c r="CL322" s="195"/>
      <c r="CM322" s="195"/>
      <c r="CN322" s="195"/>
      <c r="CO322" s="195"/>
      <c r="CP322" s="195"/>
      <c r="CQ322" s="195"/>
      <c r="CR322" s="195"/>
      <c r="CS322" s="195"/>
      <c r="CT322" s="195"/>
      <c r="CU322" s="195"/>
      <c r="CV322" s="195"/>
      <c r="CW322" s="195"/>
      <c r="CX322" s="195"/>
      <c r="CY322" s="195"/>
      <c r="CZ322" s="195"/>
      <c r="DA322" s="195"/>
      <c r="DB322" s="195"/>
      <c r="DC322" s="195"/>
    </row>
    <row r="323" spans="2:107" s="15" customFormat="1" hidden="1" outlineLevel="1">
      <c r="B323" s="857" t="s">
        <v>619</v>
      </c>
      <c r="C323" s="16"/>
      <c r="D323" s="16"/>
      <c r="E323" s="16"/>
      <c r="F323" s="16"/>
      <c r="G323" s="16"/>
      <c r="H323" s="16"/>
      <c r="M323" s="23"/>
      <c r="N323" s="23"/>
      <c r="O323" s="23"/>
      <c r="P323" s="23"/>
      <c r="Q323" s="23"/>
      <c r="R323" s="54"/>
      <c r="S323" s="54"/>
      <c r="T323" s="54"/>
      <c r="U323" s="54"/>
      <c r="V323" s="54"/>
      <c r="W323" s="54"/>
      <c r="X323" s="54"/>
      <c r="Y323" s="54"/>
      <c r="Z323" s="54"/>
      <c r="AA323" s="54"/>
      <c r="AB323" s="54"/>
      <c r="AC323" s="54"/>
      <c r="AD323" s="54"/>
      <c r="AE323" s="23"/>
      <c r="BD323" s="807"/>
      <c r="BE323" s="807"/>
      <c r="BF323" s="807"/>
      <c r="BG323" s="807"/>
      <c r="BH323" s="807"/>
      <c r="BI323" s="807"/>
      <c r="BJ323" s="807"/>
      <c r="BK323" s="808"/>
      <c r="BP323" s="2"/>
      <c r="BQ323" s="2"/>
      <c r="BR323" s="2"/>
      <c r="BS323" s="2"/>
      <c r="BT323" s="2"/>
      <c r="BU323" s="2"/>
      <c r="BV323" s="23"/>
      <c r="BW323" s="23"/>
      <c r="BX323" s="23"/>
      <c r="BY323" s="1636"/>
      <c r="BZ323" s="1636"/>
      <c r="CA323" s="1636"/>
      <c r="CB323" s="1636"/>
      <c r="CC323" s="1636"/>
      <c r="CD323" s="1636"/>
      <c r="CE323" s="1636"/>
      <c r="CF323" s="1636"/>
      <c r="CG323" s="1636"/>
      <c r="CH323" s="1636"/>
      <c r="CI323" s="1636"/>
      <c r="CJ323" s="1636"/>
      <c r="CK323" s="1636"/>
      <c r="CL323" s="1636"/>
      <c r="CM323" s="1636"/>
      <c r="CN323" s="1636"/>
      <c r="CO323" s="1636"/>
      <c r="CP323" s="1636"/>
      <c r="CQ323" s="1636"/>
      <c r="CR323" s="1636"/>
      <c r="CS323" s="1636"/>
      <c r="CT323" s="1636"/>
      <c r="CU323" s="1636"/>
      <c r="CV323" s="1636"/>
      <c r="CW323" s="1636"/>
      <c r="CX323" s="1636"/>
      <c r="CY323" s="1636"/>
      <c r="CZ323" s="1636"/>
      <c r="DA323" s="1636"/>
      <c r="DB323" s="1636"/>
      <c r="DC323" s="1636"/>
    </row>
    <row r="324" spans="2:107" s="15" customFormat="1" hidden="1" outlineLevel="1">
      <c r="B324" s="14"/>
      <c r="C324" s="16"/>
      <c r="D324" s="16"/>
      <c r="E324" s="16"/>
      <c r="F324" s="16"/>
      <c r="G324" s="16"/>
      <c r="H324" s="16"/>
      <c r="M324" s="23"/>
      <c r="N324" s="23"/>
      <c r="O324" s="23"/>
      <c r="P324" s="23"/>
      <c r="Q324" s="23"/>
      <c r="R324" s="54"/>
      <c r="S324" s="54"/>
      <c r="T324" s="54"/>
      <c r="U324" s="54"/>
      <c r="V324" s="54"/>
      <c r="W324" s="54"/>
      <c r="X324" s="54"/>
      <c r="Y324" s="54"/>
      <c r="Z324" s="54"/>
      <c r="AA324" s="54"/>
      <c r="AB324" s="54"/>
      <c r="AC324" s="54"/>
      <c r="AD324" s="54"/>
      <c r="AE324" s="23"/>
      <c r="BD324" s="807"/>
      <c r="BE324" s="807"/>
      <c r="BF324" s="807"/>
      <c r="BG324" s="807"/>
      <c r="BH324" s="807"/>
      <c r="BI324" s="807"/>
      <c r="BJ324" s="807"/>
      <c r="BK324" s="808"/>
      <c r="BP324" s="2"/>
      <c r="BQ324" s="2"/>
      <c r="BR324" s="2"/>
      <c r="BS324" s="2"/>
      <c r="BT324" s="2"/>
      <c r="BU324" s="2"/>
      <c r="BV324" s="23"/>
      <c r="BW324" s="23"/>
      <c r="BX324" s="23"/>
      <c r="BY324" s="1636"/>
      <c r="BZ324" s="1636"/>
      <c r="CA324" s="1636"/>
      <c r="CB324" s="1636"/>
      <c r="CC324" s="1636"/>
      <c r="CD324" s="1636"/>
      <c r="CE324" s="1636"/>
      <c r="CF324" s="1636"/>
      <c r="CG324" s="1636"/>
      <c r="CH324" s="1636"/>
      <c r="CI324" s="1636"/>
      <c r="CJ324" s="1636"/>
      <c r="CK324" s="1636"/>
      <c r="CL324" s="1636"/>
      <c r="CM324" s="1636"/>
      <c r="CN324" s="1636"/>
      <c r="CO324" s="1636"/>
      <c r="CP324" s="1636"/>
      <c r="CQ324" s="1636"/>
      <c r="CR324" s="1636"/>
      <c r="CS324" s="1636"/>
      <c r="CT324" s="1636"/>
      <c r="CU324" s="1636"/>
      <c r="CV324" s="1636"/>
      <c r="CW324" s="1636"/>
      <c r="CX324" s="1636"/>
      <c r="CY324" s="1636"/>
      <c r="CZ324" s="1636"/>
      <c r="DA324" s="1636"/>
      <c r="DB324" s="1636"/>
      <c r="DC324" s="1636"/>
    </row>
    <row r="325" spans="2:107" s="15" customFormat="1" hidden="1" outlineLevel="1">
      <c r="B325" s="857" t="s">
        <v>620</v>
      </c>
      <c r="C325" s="16"/>
      <c r="D325" s="16"/>
      <c r="E325" s="16"/>
      <c r="F325" s="16"/>
      <c r="G325" s="16"/>
      <c r="H325" s="16"/>
      <c r="M325" s="23"/>
      <c r="N325" s="23"/>
      <c r="O325" s="23"/>
      <c r="P325" s="23"/>
      <c r="Q325" s="23"/>
      <c r="R325" s="54"/>
      <c r="S325" s="54"/>
      <c r="T325" s="54"/>
      <c r="U325" s="54"/>
      <c r="V325" s="54"/>
      <c r="W325" s="54"/>
      <c r="X325" s="54"/>
      <c r="Y325" s="54"/>
      <c r="Z325" s="54"/>
      <c r="AA325" s="54"/>
      <c r="AB325" s="54"/>
      <c r="AC325" s="54"/>
      <c r="AD325" s="54"/>
      <c r="AE325" s="23"/>
      <c r="BD325" s="807"/>
      <c r="BE325" s="807"/>
      <c r="BF325" s="807"/>
      <c r="BG325" s="807"/>
      <c r="BH325" s="807"/>
      <c r="BI325" s="807"/>
      <c r="BJ325" s="807"/>
      <c r="BK325" s="808"/>
      <c r="BP325" s="2"/>
      <c r="BQ325" s="2"/>
      <c r="BR325" s="2"/>
      <c r="BS325" s="2"/>
      <c r="BT325" s="2"/>
      <c r="BU325" s="2"/>
      <c r="BV325" s="23"/>
      <c r="BW325" s="23"/>
      <c r="BX325" s="23"/>
      <c r="BY325" s="1636"/>
      <c r="BZ325" s="1636"/>
      <c r="CA325" s="1636"/>
      <c r="CB325" s="1636"/>
      <c r="CC325" s="1636"/>
      <c r="CD325" s="1636"/>
      <c r="CE325" s="1636"/>
      <c r="CF325" s="1636"/>
      <c r="CG325" s="1636"/>
      <c r="CH325" s="1636"/>
      <c r="CI325" s="1636"/>
      <c r="CJ325" s="1636"/>
      <c r="CK325" s="1636"/>
      <c r="CL325" s="1636"/>
      <c r="CM325" s="1636"/>
      <c r="CN325" s="1636"/>
      <c r="CO325" s="1636"/>
      <c r="CP325" s="1636"/>
      <c r="CQ325" s="1636"/>
      <c r="CR325" s="1636"/>
      <c r="CS325" s="1636"/>
      <c r="CT325" s="1636"/>
      <c r="CU325" s="1636"/>
      <c r="CV325" s="1636"/>
      <c r="CW325" s="1636"/>
      <c r="CX325" s="1636"/>
      <c r="CY325" s="1636"/>
      <c r="CZ325" s="1636"/>
      <c r="DA325" s="1636"/>
      <c r="DB325" s="1636"/>
      <c r="DC325" s="1636"/>
    </row>
    <row r="326" spans="2:107" s="15" customFormat="1" hidden="1" outlineLevel="1">
      <c r="B326" s="19" t="s">
        <v>1050</v>
      </c>
      <c r="C326" s="16"/>
      <c r="D326" s="16"/>
      <c r="E326" s="16"/>
      <c r="F326" s="16"/>
      <c r="G326" s="16"/>
      <c r="H326" s="16"/>
      <c r="M326" s="23"/>
      <c r="N326" s="23"/>
      <c r="O326" s="23"/>
      <c r="P326" s="23"/>
      <c r="Q326" s="23"/>
      <c r="R326" s="54"/>
      <c r="S326" s="54"/>
      <c r="T326" s="54"/>
      <c r="U326" s="54"/>
      <c r="V326" s="54"/>
      <c r="W326" s="54"/>
      <c r="X326" s="54"/>
      <c r="Y326" s="54"/>
      <c r="Z326" s="54"/>
      <c r="AA326" s="54"/>
      <c r="AB326" s="54"/>
      <c r="AC326" s="54"/>
      <c r="AD326" s="54"/>
      <c r="AE326" s="23"/>
      <c r="BD326" s="807"/>
      <c r="BE326" s="807"/>
      <c r="BF326" s="807"/>
      <c r="BG326" s="807"/>
      <c r="BH326" s="807"/>
      <c r="BI326" s="807"/>
      <c r="BJ326" s="807"/>
      <c r="BK326" s="808"/>
      <c r="BP326" s="2"/>
      <c r="BQ326" s="2"/>
      <c r="BR326" s="2"/>
      <c r="BS326" s="2"/>
      <c r="BT326" s="2"/>
      <c r="BU326" s="1677">
        <f>+BU289/BU$293</f>
        <v>0.80397090814636829</v>
      </c>
      <c r="BV326" s="1677">
        <f t="shared" ref="BV326:CA326" si="377">+BV289/BV$293</f>
        <v>0.79123577579578652</v>
      </c>
      <c r="BW326" s="1677">
        <f t="shared" si="377"/>
        <v>0.78400779877649629</v>
      </c>
      <c r="BX326" s="1677">
        <f t="shared" si="377"/>
        <v>0.78874071686609459</v>
      </c>
      <c r="BY326" s="1677">
        <f t="shared" si="377"/>
        <v>0.76607163977014581</v>
      </c>
      <c r="BZ326" s="1677">
        <f t="shared" si="377"/>
        <v>0.74563477522997701</v>
      </c>
      <c r="CA326" s="1677">
        <f t="shared" si="377"/>
        <v>0.75640843967452498</v>
      </c>
      <c r="CB326" s="1677"/>
      <c r="CC326" s="1677"/>
      <c r="CD326" s="1677"/>
      <c r="CE326" s="1677"/>
      <c r="CF326" s="1677"/>
      <c r="CG326" s="1677"/>
      <c r="CH326" s="1677"/>
      <c r="CI326" s="1677"/>
      <c r="CJ326" s="1677"/>
      <c r="CK326" s="1677"/>
      <c r="CL326" s="1677"/>
      <c r="CM326" s="1677"/>
      <c r="CN326" s="1677"/>
      <c r="CO326" s="1677"/>
      <c r="CP326" s="1677"/>
      <c r="CQ326" s="1677"/>
      <c r="CR326" s="1677"/>
      <c r="CS326" s="1677"/>
      <c r="CT326" s="1677"/>
      <c r="CU326" s="1677"/>
      <c r="CV326" s="1677"/>
      <c r="CW326" s="1677"/>
      <c r="CX326" s="1677"/>
      <c r="CY326" s="1677"/>
      <c r="CZ326" s="1636"/>
      <c r="DA326" s="1636"/>
      <c r="DB326" s="1636"/>
      <c r="DC326" s="1636"/>
    </row>
    <row r="327" spans="2:107" s="15" customFormat="1" hidden="1" outlineLevel="1">
      <c r="B327" s="19" t="s">
        <v>1124</v>
      </c>
      <c r="C327" s="16"/>
      <c r="D327" s="16"/>
      <c r="E327" s="16"/>
      <c r="F327" s="16"/>
      <c r="G327" s="16"/>
      <c r="H327" s="16"/>
      <c r="M327" s="23"/>
      <c r="N327" s="23"/>
      <c r="O327" s="23"/>
      <c r="P327" s="23"/>
      <c r="Q327" s="23"/>
      <c r="R327" s="54"/>
      <c r="S327" s="54"/>
      <c r="T327" s="54"/>
      <c r="U327" s="54"/>
      <c r="V327" s="54"/>
      <c r="W327" s="54"/>
      <c r="X327" s="54"/>
      <c r="Y327" s="54"/>
      <c r="Z327" s="54"/>
      <c r="AA327" s="54"/>
      <c r="AB327" s="54"/>
      <c r="AC327" s="54"/>
      <c r="AD327" s="54"/>
      <c r="AE327" s="23"/>
      <c r="BD327" s="807"/>
      <c r="BE327" s="807"/>
      <c r="BF327" s="807"/>
      <c r="BG327" s="807"/>
      <c r="BH327" s="807"/>
      <c r="BI327" s="807"/>
      <c r="BJ327" s="807"/>
      <c r="BK327" s="808"/>
      <c r="BP327" s="2"/>
      <c r="BQ327" s="2"/>
      <c r="BR327" s="2"/>
      <c r="BS327" s="2"/>
      <c r="BT327" s="2"/>
      <c r="BU327" s="1677">
        <f t="shared" ref="BU327:CA329" si="378">+BU290/BU$293</f>
        <v>0.18978971178717924</v>
      </c>
      <c r="BV327" s="1677">
        <f t="shared" si="378"/>
        <v>0.20232008303859755</v>
      </c>
      <c r="BW327" s="1677">
        <f t="shared" si="378"/>
        <v>0.20930013515995496</v>
      </c>
      <c r="BX327" s="1677">
        <f t="shared" si="378"/>
        <v>0.20556965651844988</v>
      </c>
      <c r="BY327" s="1677">
        <f t="shared" si="378"/>
        <v>0.20345107443341939</v>
      </c>
      <c r="BZ327" s="1677">
        <f t="shared" si="378"/>
        <v>0.19066206391144194</v>
      </c>
      <c r="CA327" s="1677">
        <f t="shared" si="378"/>
        <v>0.19534087603761904</v>
      </c>
      <c r="CB327" s="1677"/>
      <c r="CC327" s="1677"/>
      <c r="CD327" s="1677"/>
      <c r="CE327" s="1677"/>
      <c r="CF327" s="1677"/>
      <c r="CG327" s="1677"/>
      <c r="CH327" s="1677"/>
      <c r="CI327" s="1677"/>
      <c r="CJ327" s="1677"/>
      <c r="CK327" s="1677"/>
      <c r="CL327" s="1677"/>
      <c r="CM327" s="1677"/>
      <c r="CN327" s="1677"/>
      <c r="CO327" s="1677"/>
      <c r="CP327" s="1677"/>
      <c r="CQ327" s="1677"/>
      <c r="CR327" s="1677"/>
      <c r="CS327" s="1677"/>
      <c r="CT327" s="1677"/>
      <c r="CU327" s="1677"/>
      <c r="CV327" s="1677"/>
      <c r="CW327" s="1677"/>
      <c r="CX327" s="1677"/>
      <c r="CY327" s="1677"/>
      <c r="CZ327" s="1636"/>
      <c r="DA327" s="1636"/>
      <c r="DB327" s="1636"/>
      <c r="DC327" s="1636"/>
    </row>
    <row r="328" spans="2:107" s="15" customFormat="1" hidden="1" outlineLevel="1">
      <c r="B328" s="19" t="s">
        <v>1221</v>
      </c>
      <c r="C328" s="16"/>
      <c r="D328" s="16"/>
      <c r="E328" s="16"/>
      <c r="F328" s="16"/>
      <c r="G328" s="16"/>
      <c r="H328" s="16"/>
      <c r="M328" s="23"/>
      <c r="N328" s="23"/>
      <c r="O328" s="23"/>
      <c r="P328" s="23"/>
      <c r="Q328" s="23"/>
      <c r="R328" s="54"/>
      <c r="S328" s="54"/>
      <c r="T328" s="54"/>
      <c r="U328" s="54"/>
      <c r="V328" s="54"/>
      <c r="W328" s="54"/>
      <c r="X328" s="54"/>
      <c r="Y328" s="54"/>
      <c r="Z328" s="54"/>
      <c r="AA328" s="54"/>
      <c r="AB328" s="54"/>
      <c r="AC328" s="54"/>
      <c r="AD328" s="54"/>
      <c r="AE328" s="23"/>
      <c r="BD328" s="807"/>
      <c r="BE328" s="807"/>
      <c r="BF328" s="807"/>
      <c r="BG328" s="807"/>
      <c r="BH328" s="807"/>
      <c r="BI328" s="807"/>
      <c r="BJ328" s="807"/>
      <c r="BK328" s="808"/>
      <c r="BP328" s="2"/>
      <c r="BQ328" s="2"/>
      <c r="BR328" s="2"/>
      <c r="BS328" s="2"/>
      <c r="BT328" s="2"/>
      <c r="BU328" s="1677">
        <f t="shared" si="378"/>
        <v>4.0369276058746491E-3</v>
      </c>
      <c r="BV328" s="1677">
        <f t="shared" si="378"/>
        <v>3.9452944794710135E-3</v>
      </c>
      <c r="BW328" s="1677">
        <f t="shared" si="378"/>
        <v>3.6686273494049666E-3</v>
      </c>
      <c r="BX328" s="1677">
        <f t="shared" si="378"/>
        <v>3.4334725523638143E-3</v>
      </c>
      <c r="BY328" s="1677">
        <f t="shared" si="378"/>
        <v>2.8482987287876377E-2</v>
      </c>
      <c r="BZ328" s="1677">
        <f t="shared" si="378"/>
        <v>6.1581779260602071E-2</v>
      </c>
      <c r="CA328" s="1677">
        <f t="shared" si="378"/>
        <v>4.6524116019421094E-2</v>
      </c>
      <c r="CB328" s="1677"/>
      <c r="CC328" s="1677"/>
      <c r="CD328" s="1677"/>
      <c r="CE328" s="1677"/>
      <c r="CF328" s="1677"/>
      <c r="CG328" s="1677"/>
      <c r="CH328" s="1677"/>
      <c r="CI328" s="1677"/>
      <c r="CJ328" s="1677"/>
      <c r="CK328" s="1677"/>
      <c r="CL328" s="1677"/>
      <c r="CM328" s="1677"/>
      <c r="CN328" s="1677"/>
      <c r="CO328" s="1677"/>
      <c r="CP328" s="1677"/>
      <c r="CQ328" s="1677"/>
      <c r="CR328" s="1677"/>
      <c r="CS328" s="1677"/>
      <c r="CT328" s="1677"/>
      <c r="CU328" s="1677"/>
      <c r="CV328" s="1677"/>
      <c r="CW328" s="1677"/>
      <c r="CX328" s="1677"/>
      <c r="CY328" s="1677"/>
      <c r="CZ328" s="1636"/>
      <c r="DA328" s="1636"/>
      <c r="DB328" s="1636"/>
      <c r="DC328" s="1636"/>
    </row>
    <row r="329" spans="2:107" s="15" customFormat="1" hidden="1" outlineLevel="1">
      <c r="B329" s="19" t="s">
        <v>1222</v>
      </c>
      <c r="C329" s="16"/>
      <c r="D329" s="16"/>
      <c r="E329" s="16"/>
      <c r="F329" s="16"/>
      <c r="G329" s="16"/>
      <c r="H329" s="16"/>
      <c r="M329" s="23"/>
      <c r="N329" s="23"/>
      <c r="O329" s="23"/>
      <c r="P329" s="23"/>
      <c r="Q329" s="23"/>
      <c r="R329" s="54"/>
      <c r="S329" s="54"/>
      <c r="T329" s="54"/>
      <c r="U329" s="54"/>
      <c r="V329" s="54"/>
      <c r="W329" s="54"/>
      <c r="X329" s="54"/>
      <c r="Y329" s="54"/>
      <c r="Z329" s="54"/>
      <c r="AA329" s="54"/>
      <c r="AB329" s="54"/>
      <c r="AC329" s="54"/>
      <c r="AD329" s="54"/>
      <c r="AE329" s="23"/>
      <c r="BD329" s="807"/>
      <c r="BE329" s="807"/>
      <c r="BF329" s="807"/>
      <c r="BG329" s="807"/>
      <c r="BH329" s="807"/>
      <c r="BI329" s="807"/>
      <c r="BJ329" s="807"/>
      <c r="BK329" s="808"/>
      <c r="BP329" s="2"/>
      <c r="BQ329" s="2"/>
      <c r="BR329" s="2"/>
      <c r="BS329" s="2"/>
      <c r="BT329" s="2"/>
      <c r="BU329" s="1677">
        <f t="shared" si="378"/>
        <v>2.2024524605777241E-3</v>
      </c>
      <c r="BV329" s="1677">
        <f t="shared" si="378"/>
        <v>2.4988466861448561E-3</v>
      </c>
      <c r="BW329" s="1677">
        <f t="shared" si="378"/>
        <v>3.0234387141437591E-3</v>
      </c>
      <c r="BX329" s="1677">
        <f t="shared" si="378"/>
        <v>2.2561540630917369E-3</v>
      </c>
      <c r="BY329" s="1677">
        <f t="shared" si="378"/>
        <v>1.9942985085583545E-3</v>
      </c>
      <c r="BZ329" s="1677">
        <f t="shared" si="378"/>
        <v>2.1213815979789015E-3</v>
      </c>
      <c r="CA329" s="1677">
        <f t="shared" si="378"/>
        <v>1.726568268434752E-3</v>
      </c>
      <c r="CB329" s="1677"/>
      <c r="CC329" s="1677"/>
      <c r="CD329" s="1677"/>
      <c r="CE329" s="1677"/>
      <c r="CF329" s="1677"/>
      <c r="CG329" s="1677"/>
      <c r="CH329" s="1677"/>
      <c r="CI329" s="1677"/>
      <c r="CJ329" s="1677"/>
      <c r="CK329" s="1677"/>
      <c r="CL329" s="1677"/>
      <c r="CM329" s="1677"/>
      <c r="CN329" s="1677"/>
      <c r="CO329" s="1677"/>
      <c r="CP329" s="1677"/>
      <c r="CQ329" s="1677"/>
      <c r="CR329" s="1677"/>
      <c r="CS329" s="1677"/>
      <c r="CT329" s="1677"/>
      <c r="CU329" s="1677"/>
      <c r="CV329" s="1677"/>
      <c r="CW329" s="1677"/>
      <c r="CX329" s="1677"/>
      <c r="CY329" s="1677"/>
      <c r="CZ329" s="1636"/>
      <c r="DA329" s="1636"/>
      <c r="DB329" s="1636"/>
      <c r="DC329" s="1636"/>
    </row>
    <row r="330" spans="2:107" s="15" customFormat="1" hidden="1" outlineLevel="1">
      <c r="B330" s="14"/>
      <c r="C330" s="16"/>
      <c r="D330" s="16"/>
      <c r="E330" s="16"/>
      <c r="F330" s="16"/>
      <c r="G330" s="16"/>
      <c r="H330" s="16"/>
      <c r="M330" s="23"/>
      <c r="N330" s="23"/>
      <c r="O330" s="23"/>
      <c r="P330" s="23"/>
      <c r="Q330" s="23"/>
      <c r="R330" s="54"/>
      <c r="S330" s="54"/>
      <c r="T330" s="54"/>
      <c r="U330" s="54"/>
      <c r="V330" s="54"/>
      <c r="W330" s="54"/>
      <c r="X330" s="54"/>
      <c r="Y330" s="54"/>
      <c r="Z330" s="54"/>
      <c r="AA330" s="54"/>
      <c r="AB330" s="54"/>
      <c r="AC330" s="54"/>
      <c r="AD330" s="54"/>
      <c r="AE330" s="23"/>
      <c r="BD330" s="807"/>
      <c r="BE330" s="807"/>
      <c r="BF330" s="807"/>
      <c r="BG330" s="807"/>
      <c r="BH330" s="807"/>
      <c r="BI330" s="807"/>
      <c r="BJ330" s="807"/>
      <c r="BK330" s="808"/>
      <c r="BP330" s="2"/>
      <c r="BQ330" s="2"/>
      <c r="BR330" s="2"/>
      <c r="BS330" s="2"/>
      <c r="BT330" s="2"/>
      <c r="BU330" s="2"/>
      <c r="BV330" s="23"/>
      <c r="BW330" s="23"/>
      <c r="BX330" s="23"/>
      <c r="BY330" s="1636"/>
      <c r="BZ330" s="1636"/>
      <c r="CA330" s="1636"/>
      <c r="CB330" s="1636"/>
      <c r="CC330" s="1636"/>
      <c r="CD330" s="1636"/>
      <c r="CE330" s="1636"/>
      <c r="CF330" s="1636"/>
      <c r="CG330" s="1636"/>
      <c r="CH330" s="1636"/>
      <c r="CI330" s="1636"/>
      <c r="CJ330" s="1636"/>
      <c r="CK330" s="1636"/>
      <c r="CL330" s="1636"/>
      <c r="CM330" s="1636"/>
      <c r="CN330" s="1636"/>
      <c r="CO330" s="1636"/>
      <c r="CP330" s="1636"/>
      <c r="CQ330" s="1636"/>
      <c r="CR330" s="1636"/>
      <c r="CS330" s="1636"/>
      <c r="CT330" s="1636"/>
      <c r="CU330" s="1636"/>
      <c r="CV330" s="1636"/>
      <c r="CW330" s="1636"/>
      <c r="CX330" s="1636"/>
      <c r="CY330" s="1636"/>
      <c r="CZ330" s="1636"/>
      <c r="DA330" s="1636"/>
      <c r="DB330" s="1636"/>
      <c r="DC330" s="1636"/>
    </row>
    <row r="331" spans="2:107" s="15" customFormat="1" hidden="1" outlineLevel="1">
      <c r="B331" s="857" t="s">
        <v>621</v>
      </c>
      <c r="C331" s="16"/>
      <c r="D331" s="16"/>
      <c r="E331" s="16"/>
      <c r="F331" s="16"/>
      <c r="G331" s="16"/>
      <c r="H331" s="16"/>
      <c r="M331" s="23"/>
      <c r="N331" s="23"/>
      <c r="O331" s="23"/>
      <c r="P331" s="23"/>
      <c r="Q331" s="23"/>
      <c r="R331" s="54"/>
      <c r="S331" s="54"/>
      <c r="T331" s="54"/>
      <c r="U331" s="54"/>
      <c r="V331" s="54"/>
      <c r="W331" s="54"/>
      <c r="X331" s="54"/>
      <c r="Y331" s="54"/>
      <c r="Z331" s="54"/>
      <c r="AA331" s="54"/>
      <c r="AB331" s="54"/>
      <c r="AC331" s="54"/>
      <c r="AD331" s="54"/>
      <c r="AE331" s="23"/>
      <c r="BD331" s="807"/>
      <c r="BE331" s="807"/>
      <c r="BF331" s="807"/>
      <c r="BG331" s="807"/>
      <c r="BH331" s="807"/>
      <c r="BI331" s="807"/>
      <c r="BJ331" s="807"/>
      <c r="BK331" s="808"/>
      <c r="BP331" s="2"/>
      <c r="BQ331" s="2"/>
      <c r="BR331" s="2"/>
      <c r="BS331" s="2"/>
      <c r="BT331" s="2"/>
      <c r="BU331" s="2"/>
      <c r="BV331" s="23"/>
      <c r="BW331" s="23"/>
      <c r="BX331" s="23"/>
      <c r="BY331" s="1636"/>
      <c r="BZ331" s="1636"/>
      <c r="CA331" s="1636"/>
      <c r="CB331" s="1636"/>
      <c r="CC331" s="1636"/>
      <c r="CD331" s="1636"/>
      <c r="CE331" s="1636"/>
      <c r="CF331" s="1636"/>
      <c r="CG331" s="1636"/>
      <c r="CH331" s="1636"/>
      <c r="CI331" s="1636"/>
      <c r="CJ331" s="1636"/>
      <c r="CK331" s="1636"/>
      <c r="CL331" s="1636"/>
      <c r="CM331" s="1636"/>
      <c r="CN331" s="1636"/>
      <c r="CO331" s="1636"/>
      <c r="CP331" s="1636"/>
      <c r="CQ331" s="1636"/>
      <c r="CR331" s="1636"/>
      <c r="CS331" s="1636"/>
      <c r="CT331" s="1636"/>
      <c r="CU331" s="1636"/>
      <c r="CV331" s="1636"/>
      <c r="CW331" s="1636"/>
      <c r="CX331" s="1636"/>
      <c r="CY331" s="1636"/>
      <c r="CZ331" s="1636"/>
      <c r="DA331" s="1636"/>
      <c r="DB331" s="1636"/>
      <c r="DC331" s="1636"/>
    </row>
    <row r="332" spans="2:107" hidden="1" outlineLevel="1">
      <c r="B332" s="19" t="s">
        <v>1050</v>
      </c>
      <c r="C332" s="16"/>
      <c r="D332" s="16"/>
      <c r="E332" s="16"/>
      <c r="F332" s="16"/>
      <c r="G332" s="16"/>
      <c r="H332" s="16"/>
      <c r="I332" s="15"/>
      <c r="J332" s="15"/>
      <c r="K332" s="15"/>
      <c r="L332" s="26">
        <v>187.96199999999999</v>
      </c>
      <c r="M332" s="54"/>
      <c r="N332" s="54"/>
      <c r="O332" s="54">
        <f>+SUM(BT332:BW332)</f>
        <v>18.710121988117521</v>
      </c>
      <c r="P332" s="54">
        <f>+SUM(BX332:CA332)</f>
        <v>27.58880725708358</v>
      </c>
      <c r="Q332" s="1002">
        <f t="shared" ref="Q332:Q337" si="379">+SUM(CB332:CE332)</f>
        <v>0</v>
      </c>
      <c r="R332" s="54"/>
      <c r="S332" s="54"/>
      <c r="T332" s="54"/>
      <c r="U332" s="54"/>
      <c r="V332" s="54"/>
      <c r="W332" s="54"/>
      <c r="X332" s="54"/>
      <c r="Y332" s="54"/>
      <c r="Z332" s="54"/>
      <c r="AA332" s="54"/>
      <c r="AB332" s="54"/>
      <c r="AC332" s="54"/>
      <c r="AD332" s="54"/>
      <c r="AE332" s="23"/>
      <c r="AF332" s="15"/>
      <c r="AG332" s="15"/>
      <c r="AH332" s="15"/>
      <c r="AI332" s="15"/>
      <c r="AJ332" s="15"/>
      <c r="AK332" s="15"/>
      <c r="AL332" s="15"/>
      <c r="AM332" s="15"/>
      <c r="AN332" s="15"/>
      <c r="AO332" s="15"/>
      <c r="AP332" s="15"/>
      <c r="AQ332" s="15"/>
      <c r="AR332" s="15"/>
      <c r="AS332" s="15"/>
      <c r="AT332" s="15"/>
      <c r="AU332" s="15"/>
      <c r="AV332" s="15"/>
      <c r="AW332" s="15"/>
      <c r="AX332" s="15"/>
      <c r="AY332" s="15"/>
      <c r="AZ332" s="15"/>
      <c r="BA332" s="15"/>
      <c r="BB332" s="15"/>
      <c r="BC332" s="15"/>
      <c r="BD332" s="807"/>
      <c r="BE332" s="807"/>
      <c r="BF332" s="809"/>
      <c r="BG332" s="809"/>
      <c r="BH332" s="809"/>
      <c r="BI332" s="784"/>
      <c r="BJ332" s="784"/>
      <c r="BK332" s="784"/>
      <c r="BL332" s="784"/>
      <c r="BM332" s="784"/>
      <c r="BN332" s="784"/>
      <c r="BO332" s="784"/>
      <c r="BP332" s="784"/>
      <c r="BQ332" s="784"/>
      <c r="BR332" s="784"/>
      <c r="BS332" s="784"/>
      <c r="BT332" s="784"/>
      <c r="BU332" s="809">
        <f>+BU326*BU$308</f>
        <v>4.7980983798175263</v>
      </c>
      <c r="BV332" s="809">
        <f t="shared" ref="BV332:CA332" si="380">+BV326*BV$308</f>
        <v>6.9304341601952943</v>
      </c>
      <c r="BW332" s="809">
        <f t="shared" si="380"/>
        <v>6.9815894481046987</v>
      </c>
      <c r="BX332" s="809">
        <f t="shared" si="380"/>
        <v>6.9898202328673307</v>
      </c>
      <c r="BY332" s="809">
        <f t="shared" si="380"/>
        <v>7.0018947874991335</v>
      </c>
      <c r="BZ332" s="809">
        <f t="shared" si="380"/>
        <v>6.8128649412763007</v>
      </c>
      <c r="CA332" s="809">
        <f t="shared" si="380"/>
        <v>6.7842272954408145</v>
      </c>
      <c r="CB332" s="809"/>
      <c r="CC332" s="809"/>
      <c r="CD332" s="809"/>
      <c r="CE332" s="809"/>
      <c r="CF332" s="809"/>
      <c r="CG332" s="809"/>
      <c r="CH332" s="809"/>
      <c r="CI332" s="809"/>
      <c r="CJ332" s="809"/>
      <c r="CK332" s="809"/>
      <c r="CL332" s="809"/>
      <c r="CM332" s="809"/>
      <c r="CN332" s="809"/>
      <c r="CO332" s="809"/>
      <c r="CP332" s="809"/>
      <c r="CQ332" s="809"/>
      <c r="CR332" s="809"/>
      <c r="CS332" s="809"/>
      <c r="CT332" s="809"/>
      <c r="CU332" s="809"/>
      <c r="CV332" s="809"/>
      <c r="CW332" s="809"/>
      <c r="CX332" s="809"/>
      <c r="CY332" s="809"/>
      <c r="CZ332" s="54"/>
      <c r="DA332" s="54"/>
      <c r="DB332" s="54"/>
      <c r="DC332" s="54"/>
    </row>
    <row r="333" spans="2:107" hidden="1" outlineLevel="1">
      <c r="B333" s="19" t="s">
        <v>1124</v>
      </c>
      <c r="C333" s="16"/>
      <c r="D333" s="16"/>
      <c r="E333" s="16"/>
      <c r="F333" s="16"/>
      <c r="G333" s="16"/>
      <c r="H333" s="16"/>
      <c r="I333" s="15"/>
      <c r="J333" s="15"/>
      <c r="K333" s="15"/>
      <c r="L333" s="26">
        <v>52.054000000000002</v>
      </c>
      <c r="M333" s="54"/>
      <c r="N333" s="54"/>
      <c r="O333" s="54">
        <f t="shared" ref="O333:O338" si="381">+SUM(BT333:BW333)</f>
        <v>4.7686043108803613</v>
      </c>
      <c r="P333" s="54">
        <f t="shared" ref="P333:P338" si="382">+SUM(BX333:CA333)</f>
        <v>7.1753927115282075</v>
      </c>
      <c r="Q333" s="1002">
        <f t="shared" si="379"/>
        <v>0</v>
      </c>
      <c r="R333" s="809"/>
      <c r="S333" s="809"/>
      <c r="T333" s="809"/>
      <c r="U333" s="809"/>
      <c r="V333" s="809"/>
      <c r="W333" s="809"/>
      <c r="X333" s="809"/>
      <c r="Y333" s="809"/>
      <c r="Z333" s="809"/>
      <c r="AA333" s="809"/>
      <c r="AB333" s="809"/>
      <c r="AC333" s="809"/>
      <c r="AD333" s="809"/>
      <c r="AE333" s="23"/>
      <c r="AF333" s="15"/>
      <c r="AG333" s="15"/>
      <c r="AH333" s="15"/>
      <c r="AI333" s="15"/>
      <c r="AJ333" s="15"/>
      <c r="AK333" s="15"/>
      <c r="AL333" s="15"/>
      <c r="AM333" s="15"/>
      <c r="AN333" s="15"/>
      <c r="AO333" s="15"/>
      <c r="AP333" s="15"/>
      <c r="AQ333" s="15"/>
      <c r="AR333" s="15"/>
      <c r="AS333" s="15"/>
      <c r="AT333" s="15"/>
      <c r="AU333" s="15"/>
      <c r="AV333" s="15"/>
      <c r="AW333" s="15"/>
      <c r="AX333" s="15"/>
      <c r="AY333" s="15"/>
      <c r="AZ333" s="15"/>
      <c r="BA333" s="15"/>
      <c r="BB333" s="15"/>
      <c r="BC333" s="15"/>
      <c r="BD333" s="807"/>
      <c r="BE333" s="807"/>
      <c r="BF333" s="809"/>
      <c r="BG333" s="809"/>
      <c r="BH333" s="809"/>
      <c r="BI333" s="784"/>
      <c r="BJ333" s="784"/>
      <c r="BK333" s="784"/>
      <c r="BL333" s="784"/>
      <c r="BM333" s="784"/>
      <c r="BN333" s="784"/>
      <c r="BO333" s="784"/>
      <c r="BP333" s="784"/>
      <c r="BQ333" s="784"/>
      <c r="BR333" s="784"/>
      <c r="BS333" s="784"/>
      <c r="BT333" s="784"/>
      <c r="BU333" s="809">
        <f t="shared" ref="BU333:CA335" si="383">+BU327*BU$308</f>
        <v>1.1326649999458858</v>
      </c>
      <c r="BV333" s="809">
        <f t="shared" si="383"/>
        <v>1.7721216073350761</v>
      </c>
      <c r="BW333" s="809">
        <f t="shared" si="383"/>
        <v>1.8638177035993988</v>
      </c>
      <c r="BX333" s="809">
        <f t="shared" si="383"/>
        <v>1.8217582960665029</v>
      </c>
      <c r="BY333" s="809">
        <f t="shared" si="383"/>
        <v>1.8595428203214535</v>
      </c>
      <c r="BZ333" s="809">
        <f t="shared" si="383"/>
        <v>1.7420792779588452</v>
      </c>
      <c r="CA333" s="809">
        <f t="shared" si="383"/>
        <v>1.752012317181405</v>
      </c>
      <c r="CB333" s="809"/>
      <c r="CC333" s="809"/>
      <c r="CD333" s="809"/>
      <c r="CE333" s="809"/>
      <c r="CF333" s="809"/>
      <c r="CG333" s="809"/>
      <c r="CH333" s="809"/>
      <c r="CI333" s="809"/>
      <c r="CJ333" s="809"/>
      <c r="CK333" s="809"/>
      <c r="CL333" s="809"/>
      <c r="CM333" s="809"/>
      <c r="CN333" s="809"/>
      <c r="CO333" s="809"/>
      <c r="CP333" s="809"/>
      <c r="CQ333" s="809"/>
      <c r="CR333" s="809"/>
      <c r="CS333" s="809"/>
      <c r="CT333" s="809"/>
      <c r="CU333" s="809"/>
      <c r="CV333" s="809"/>
      <c r="CW333" s="809"/>
      <c r="CX333" s="809"/>
      <c r="CY333" s="809"/>
      <c r="CZ333" s="809"/>
      <c r="DA333" s="809"/>
      <c r="DB333" s="809"/>
      <c r="DC333" s="809"/>
    </row>
    <row r="334" spans="2:107" hidden="1" outlineLevel="1">
      <c r="B334" s="19" t="s">
        <v>1221</v>
      </c>
      <c r="C334" s="16"/>
      <c r="D334" s="16"/>
      <c r="E334" s="16"/>
      <c r="F334" s="16"/>
      <c r="G334" s="16"/>
      <c r="H334" s="16"/>
      <c r="I334" s="15"/>
      <c r="J334" s="15"/>
      <c r="K334" s="15"/>
      <c r="L334" s="26">
        <v>1.72</v>
      </c>
      <c r="M334" s="54"/>
      <c r="N334" s="54"/>
      <c r="O334" s="54">
        <f t="shared" si="381"/>
        <v>9.1318344843997729E-2</v>
      </c>
      <c r="P334" s="54">
        <f t="shared" si="382"/>
        <v>1.2707094512525472</v>
      </c>
      <c r="Q334" s="1002">
        <f t="shared" si="379"/>
        <v>0</v>
      </c>
      <c r="R334" s="54"/>
      <c r="S334" s="54"/>
      <c r="T334" s="54"/>
      <c r="U334" s="54"/>
      <c r="V334" s="54"/>
      <c r="W334" s="54"/>
      <c r="X334" s="54"/>
      <c r="Y334" s="54"/>
      <c r="Z334" s="54"/>
      <c r="AA334" s="54"/>
      <c r="AB334" s="54"/>
      <c r="AC334" s="54"/>
      <c r="AD334" s="54"/>
      <c r="AE334" s="23"/>
      <c r="AF334" s="15"/>
      <c r="AG334" s="15"/>
      <c r="AH334" s="15"/>
      <c r="AI334" s="15"/>
      <c r="AJ334" s="15"/>
      <c r="AK334" s="15"/>
      <c r="AL334" s="15"/>
      <c r="AM334" s="15"/>
      <c r="AN334" s="15"/>
      <c r="AO334" s="15"/>
      <c r="AP334" s="15"/>
      <c r="AQ334" s="15"/>
      <c r="AR334" s="15"/>
      <c r="AS334" s="15"/>
      <c r="AT334" s="15"/>
      <c r="AU334" s="15"/>
      <c r="AV334" s="15"/>
      <c r="AW334" s="15"/>
      <c r="AX334" s="15"/>
      <c r="AY334" s="15"/>
      <c r="AZ334" s="15"/>
      <c r="BA334" s="15"/>
      <c r="BB334" s="15"/>
      <c r="BC334" s="15"/>
      <c r="BD334" s="818"/>
      <c r="BE334" s="818"/>
      <c r="BF334" s="809"/>
      <c r="BG334" s="809"/>
      <c r="BH334" s="809"/>
      <c r="BI334" s="784"/>
      <c r="BJ334" s="784"/>
      <c r="BK334" s="784"/>
      <c r="BL334" s="784"/>
      <c r="BM334" s="784"/>
      <c r="BN334" s="784"/>
      <c r="BO334" s="784"/>
      <c r="BP334" s="784"/>
      <c r="BQ334" s="784"/>
      <c r="BR334" s="784"/>
      <c r="BS334" s="784"/>
      <c r="BT334" s="784"/>
      <c r="BU334" s="809">
        <f t="shared" si="383"/>
        <v>2.4092383951859905E-2</v>
      </c>
      <c r="BV334" s="809">
        <f t="shared" si="383"/>
        <v>3.4556834345686606E-2</v>
      </c>
      <c r="BW334" s="809">
        <f t="shared" si="383"/>
        <v>3.2669126546451224E-2</v>
      </c>
      <c r="BX334" s="809">
        <f t="shared" si="383"/>
        <v>3.0427433759048123E-2</v>
      </c>
      <c r="BY334" s="809">
        <f t="shared" si="383"/>
        <v>0.26033450381119011</v>
      </c>
      <c r="BZ334" s="809">
        <f t="shared" si="383"/>
        <v>0.56267271710412115</v>
      </c>
      <c r="CA334" s="809">
        <f t="shared" si="383"/>
        <v>0.41727479657818778</v>
      </c>
      <c r="CB334" s="809"/>
      <c r="CC334" s="809"/>
      <c r="CD334" s="809"/>
      <c r="CE334" s="809"/>
      <c r="CF334" s="809"/>
      <c r="CG334" s="809"/>
      <c r="CH334" s="809"/>
      <c r="CI334" s="809"/>
      <c r="CJ334" s="809"/>
      <c r="CK334" s="809"/>
      <c r="CL334" s="809"/>
      <c r="CM334" s="809"/>
      <c r="CN334" s="809"/>
      <c r="CO334" s="809"/>
      <c r="CP334" s="809"/>
      <c r="CQ334" s="809"/>
      <c r="CR334" s="809"/>
      <c r="CS334" s="809"/>
      <c r="CT334" s="809"/>
      <c r="CU334" s="809"/>
      <c r="CV334" s="809"/>
      <c r="CW334" s="809"/>
      <c r="CX334" s="809"/>
      <c r="CY334" s="809"/>
      <c r="CZ334" s="54"/>
      <c r="DA334" s="54"/>
      <c r="DB334" s="54"/>
      <c r="DC334" s="54"/>
    </row>
    <row r="335" spans="2:107" hidden="1" outlineLevel="1">
      <c r="B335" s="19" t="s">
        <v>1222</v>
      </c>
      <c r="C335" s="14"/>
      <c r="D335" s="14"/>
      <c r="E335" s="14"/>
      <c r="F335" s="14"/>
      <c r="G335" s="14"/>
      <c r="H335" s="14"/>
      <c r="I335" s="14"/>
      <c r="J335" s="14"/>
      <c r="K335" s="14"/>
      <c r="L335" s="26">
        <v>0.79700000000000004</v>
      </c>
      <c r="M335" s="54"/>
      <c r="N335" s="54"/>
      <c r="O335" s="786">
        <f t="shared" si="381"/>
        <v>6.1955356158120825E-2</v>
      </c>
      <c r="P335" s="786">
        <f t="shared" si="382"/>
        <v>7.3090580135666855E-2</v>
      </c>
      <c r="Q335" s="1656">
        <f t="shared" si="379"/>
        <v>0</v>
      </c>
      <c r="R335" s="786"/>
      <c r="S335" s="786"/>
      <c r="T335" s="786"/>
      <c r="U335" s="786"/>
      <c r="V335" s="786"/>
      <c r="W335" s="786"/>
      <c r="X335" s="786"/>
      <c r="Y335" s="786"/>
      <c r="Z335" s="786"/>
      <c r="AA335" s="786"/>
      <c r="AB335" s="786"/>
      <c r="AC335" s="786"/>
      <c r="AD335" s="786"/>
      <c r="AE335" s="14"/>
      <c r="AF335" s="14"/>
      <c r="AG335" s="14"/>
      <c r="AH335" s="14"/>
      <c r="AI335" s="14"/>
      <c r="AJ335" s="14"/>
      <c r="AK335" s="14"/>
      <c r="AL335" s="14"/>
      <c r="AM335" s="14"/>
      <c r="AN335" s="14"/>
      <c r="AO335" s="14"/>
      <c r="AP335" s="14"/>
      <c r="AQ335" s="14"/>
      <c r="AR335" s="14"/>
      <c r="AS335" s="14"/>
      <c r="AT335" s="14"/>
      <c r="AU335" s="14"/>
      <c r="AV335" s="14"/>
      <c r="AW335" s="14"/>
      <c r="AX335" s="14"/>
      <c r="AY335" s="14"/>
      <c r="AZ335" s="14"/>
      <c r="BA335" s="14"/>
      <c r="BB335" s="14"/>
      <c r="BC335" s="14"/>
      <c r="BD335" s="14"/>
      <c r="BE335" s="14"/>
      <c r="BF335" s="809"/>
      <c r="BG335" s="809"/>
      <c r="BH335" s="809"/>
      <c r="BI335" s="784"/>
      <c r="BJ335" s="784"/>
      <c r="BK335" s="784"/>
      <c r="BL335" s="784"/>
      <c r="BM335" s="784"/>
      <c r="BN335" s="784"/>
      <c r="BO335" s="784"/>
      <c r="BP335" s="784"/>
      <c r="BQ335" s="784"/>
      <c r="BR335" s="784"/>
      <c r="BS335" s="784"/>
      <c r="BT335" s="784"/>
      <c r="BU335" s="1684">
        <f t="shared" si="383"/>
        <v>1.3144236284727858E-2</v>
      </c>
      <c r="BV335" s="1684">
        <f t="shared" si="383"/>
        <v>2.1887398123942796E-2</v>
      </c>
      <c r="BW335" s="1684">
        <f t="shared" si="383"/>
        <v>2.6923721749450173E-2</v>
      </c>
      <c r="BX335" s="1684">
        <f t="shared" si="383"/>
        <v>1.9994037307118972E-2</v>
      </c>
      <c r="BY335" s="1684">
        <f t="shared" si="383"/>
        <v>1.8227888368223363E-2</v>
      </c>
      <c r="BZ335" s="1684">
        <f t="shared" si="383"/>
        <v>1.9383063660733224E-2</v>
      </c>
      <c r="CA335" s="1684">
        <f t="shared" si="383"/>
        <v>1.5485590799591289E-2</v>
      </c>
      <c r="CB335" s="1684"/>
      <c r="CC335" s="1684"/>
      <c r="CD335" s="1684"/>
      <c r="CE335" s="1684"/>
      <c r="CF335" s="1684"/>
      <c r="CG335" s="1684"/>
      <c r="CH335" s="1684"/>
      <c r="CI335" s="1684"/>
      <c r="CJ335" s="1684"/>
      <c r="CK335" s="1684"/>
      <c r="CL335" s="1684"/>
      <c r="CM335" s="1684"/>
      <c r="CN335" s="1684"/>
      <c r="CO335" s="1684"/>
      <c r="CP335" s="1684"/>
      <c r="CQ335" s="1684"/>
      <c r="CR335" s="1684"/>
      <c r="CS335" s="1684"/>
      <c r="CT335" s="1684"/>
      <c r="CU335" s="1684"/>
      <c r="CV335" s="1684"/>
      <c r="CW335" s="1684"/>
      <c r="CX335" s="1684"/>
      <c r="CY335" s="1684"/>
      <c r="CZ335" s="1684"/>
      <c r="DA335" s="1684"/>
      <c r="DB335" s="1684"/>
      <c r="DC335" s="1684"/>
    </row>
    <row r="336" spans="2:107" hidden="1" outlineLevel="1">
      <c r="B336" s="14" t="s">
        <v>1407</v>
      </c>
      <c r="C336" s="14"/>
      <c r="D336" s="14"/>
      <c r="E336" s="14"/>
      <c r="F336" s="14"/>
      <c r="G336" s="14"/>
      <c r="H336" s="14"/>
      <c r="I336" s="14"/>
      <c r="J336" s="14"/>
      <c r="K336" s="14"/>
      <c r="L336" s="195">
        <v>242.53299999999999</v>
      </c>
      <c r="M336" s="195"/>
      <c r="N336" s="195"/>
      <c r="O336" s="54">
        <f t="shared" si="381"/>
        <v>23.631999999999998</v>
      </c>
      <c r="P336" s="54">
        <f t="shared" si="382"/>
        <v>36.108000000000004</v>
      </c>
      <c r="Q336" s="1651">
        <f t="shared" si="379"/>
        <v>0</v>
      </c>
      <c r="R336" s="195"/>
      <c r="S336" s="195"/>
      <c r="T336" s="195"/>
      <c r="U336" s="195"/>
      <c r="V336" s="195"/>
      <c r="W336" s="195"/>
      <c r="X336" s="195"/>
      <c r="Y336" s="195"/>
      <c r="Z336" s="195"/>
      <c r="AA336" s="195"/>
      <c r="AB336" s="195"/>
      <c r="AC336" s="195"/>
      <c r="AD336" s="195"/>
      <c r="AE336" s="14"/>
      <c r="AF336" s="14"/>
      <c r="AG336" s="14"/>
      <c r="AH336" s="14"/>
      <c r="AI336" s="14"/>
      <c r="AJ336" s="14"/>
      <c r="AK336" s="14"/>
      <c r="AL336" s="14"/>
      <c r="AM336" s="14"/>
      <c r="AN336" s="14"/>
      <c r="AO336" s="14"/>
      <c r="AP336" s="14"/>
      <c r="AQ336" s="14"/>
      <c r="AR336" s="14"/>
      <c r="AS336" s="14"/>
      <c r="AT336" s="14"/>
      <c r="AU336" s="14"/>
      <c r="AV336" s="14"/>
      <c r="AW336" s="14"/>
      <c r="AX336" s="14"/>
      <c r="AY336" s="14"/>
      <c r="AZ336" s="14"/>
      <c r="BA336" s="14"/>
      <c r="BB336" s="14"/>
      <c r="BC336" s="14"/>
      <c r="BD336" s="14"/>
      <c r="BE336" s="14"/>
      <c r="BF336" s="195"/>
      <c r="BG336" s="195"/>
      <c r="BH336" s="195"/>
      <c r="BI336" s="195"/>
      <c r="BJ336" s="195"/>
      <c r="BK336" s="195"/>
      <c r="BL336" s="195"/>
      <c r="BM336" s="195"/>
      <c r="BN336" s="195"/>
      <c r="BO336" s="195"/>
      <c r="BP336" s="195"/>
      <c r="BQ336" s="195"/>
      <c r="BR336" s="195"/>
      <c r="BS336" s="195"/>
      <c r="BT336" s="195"/>
      <c r="BU336" s="195">
        <f>SUM(BU332:BU335)</f>
        <v>5.9680000000000009</v>
      </c>
      <c r="BV336" s="195">
        <f t="shared" ref="BV336:CA336" si="384">SUM(BV332:BV335)</f>
        <v>8.7589999999999986</v>
      </c>
      <c r="BW336" s="195">
        <f t="shared" si="384"/>
        <v>8.9049999999999994</v>
      </c>
      <c r="BX336" s="195">
        <f t="shared" si="384"/>
        <v>8.8620000000000001</v>
      </c>
      <c r="BY336" s="195">
        <f t="shared" si="384"/>
        <v>9.14</v>
      </c>
      <c r="BZ336" s="195">
        <f t="shared" si="384"/>
        <v>9.1370000000000005</v>
      </c>
      <c r="CA336" s="195">
        <f t="shared" si="384"/>
        <v>8.9689999999999976</v>
      </c>
      <c r="CB336" s="195"/>
      <c r="CC336" s="195"/>
      <c r="CD336" s="195"/>
      <c r="CE336" s="195"/>
      <c r="CF336" s="195"/>
      <c r="CG336" s="195"/>
      <c r="CH336" s="195"/>
      <c r="CI336" s="195"/>
      <c r="CJ336" s="195"/>
      <c r="CK336" s="195"/>
      <c r="CL336" s="195"/>
      <c r="CM336" s="195"/>
      <c r="CN336" s="195"/>
      <c r="CO336" s="195"/>
      <c r="CP336" s="195"/>
      <c r="CQ336" s="195"/>
      <c r="CR336" s="195"/>
      <c r="CS336" s="195"/>
      <c r="CT336" s="195"/>
      <c r="CU336" s="195"/>
      <c r="CV336" s="195"/>
      <c r="CW336" s="195"/>
      <c r="CX336" s="195"/>
      <c r="CY336" s="195"/>
      <c r="CZ336" s="195"/>
      <c r="DA336" s="195"/>
      <c r="DB336" s="195"/>
      <c r="DC336" s="195"/>
    </row>
    <row r="337" spans="2:107" hidden="1" outlineLevel="1">
      <c r="B337" s="16" t="s">
        <v>1408</v>
      </c>
      <c r="C337" s="16"/>
      <c r="D337" s="16"/>
      <c r="E337" s="16"/>
      <c r="F337" s="16"/>
      <c r="G337" s="16"/>
      <c r="H337" s="16"/>
      <c r="I337" s="15"/>
      <c r="J337" s="15"/>
      <c r="K337" s="15"/>
      <c r="L337" s="26">
        <v>9.8189999999999991</v>
      </c>
      <c r="M337" s="54"/>
      <c r="N337" s="54"/>
      <c r="O337" s="786">
        <f t="shared" si="381"/>
        <v>0.48799999999999999</v>
      </c>
      <c r="P337" s="786">
        <f t="shared" si="382"/>
        <v>0.95</v>
      </c>
      <c r="Q337" s="1656">
        <f t="shared" si="379"/>
        <v>0</v>
      </c>
      <c r="R337" s="786"/>
      <c r="S337" s="786"/>
      <c r="T337" s="786"/>
      <c r="U337" s="786"/>
      <c r="V337" s="786"/>
      <c r="W337" s="786"/>
      <c r="X337" s="786"/>
      <c r="Y337" s="786"/>
      <c r="Z337" s="786"/>
      <c r="AA337" s="786"/>
      <c r="AB337" s="786"/>
      <c r="AC337" s="786"/>
      <c r="AD337" s="786"/>
      <c r="AE337" s="23"/>
      <c r="AF337" s="15"/>
      <c r="AG337" s="15"/>
      <c r="AH337" s="15"/>
      <c r="AI337" s="15"/>
      <c r="AJ337" s="15"/>
      <c r="AK337" s="15"/>
      <c r="AL337" s="15"/>
      <c r="AM337" s="15"/>
      <c r="AN337" s="15"/>
      <c r="AO337" s="15"/>
      <c r="AP337" s="15"/>
      <c r="AQ337" s="15"/>
      <c r="AR337" s="15"/>
      <c r="AS337" s="15"/>
      <c r="AT337" s="15"/>
      <c r="AU337" s="15"/>
      <c r="AV337" s="15"/>
      <c r="AW337" s="15"/>
      <c r="AX337" s="15"/>
      <c r="AY337" s="15"/>
      <c r="AZ337" s="15"/>
      <c r="BA337" s="15"/>
      <c r="BB337" s="15"/>
      <c r="BC337" s="15"/>
      <c r="BD337" s="16"/>
      <c r="BE337" s="16"/>
      <c r="BF337" s="16"/>
      <c r="BG337" s="26"/>
      <c r="BH337" s="26"/>
      <c r="BI337" s="398"/>
      <c r="BJ337" s="398"/>
      <c r="BK337" s="398"/>
      <c r="BL337" s="398"/>
      <c r="BM337" s="398"/>
      <c r="BN337" s="398"/>
      <c r="BO337" s="398"/>
      <c r="BP337" s="398"/>
      <c r="BQ337" s="398"/>
      <c r="BR337" s="398"/>
      <c r="BS337" s="398"/>
      <c r="BT337" s="398"/>
      <c r="BU337" s="786">
        <f>+BU309</f>
        <v>0.109</v>
      </c>
      <c r="BV337" s="786">
        <f t="shared" ref="BV337:CA337" si="385">+BV309</f>
        <v>0.19400000000000001</v>
      </c>
      <c r="BW337" s="786">
        <f t="shared" si="385"/>
        <v>0.185</v>
      </c>
      <c r="BX337" s="786">
        <f t="shared" si="385"/>
        <v>0.218</v>
      </c>
      <c r="BY337" s="786">
        <f t="shared" si="385"/>
        <v>0.249</v>
      </c>
      <c r="BZ337" s="786">
        <f t="shared" si="385"/>
        <v>0.25600000000000001</v>
      </c>
      <c r="CA337" s="786">
        <f t="shared" si="385"/>
        <v>0.22700000000000001</v>
      </c>
      <c r="CB337" s="786"/>
      <c r="CC337" s="786"/>
      <c r="CD337" s="786"/>
      <c r="CE337" s="786"/>
      <c r="CF337" s="786"/>
      <c r="CG337" s="786"/>
      <c r="CH337" s="786"/>
      <c r="CI337" s="786"/>
      <c r="CJ337" s="786"/>
      <c r="CK337" s="786"/>
      <c r="CL337" s="786"/>
      <c r="CM337" s="786"/>
      <c r="CN337" s="786"/>
      <c r="CO337" s="786"/>
      <c r="CP337" s="786"/>
      <c r="CQ337" s="786"/>
      <c r="CR337" s="786"/>
      <c r="CS337" s="786"/>
      <c r="CT337" s="786"/>
      <c r="CU337" s="786"/>
      <c r="CV337" s="786"/>
      <c r="CW337" s="786"/>
      <c r="CX337" s="786"/>
      <c r="CY337" s="786"/>
      <c r="CZ337" s="786"/>
      <c r="DA337" s="786"/>
      <c r="DB337" s="786"/>
      <c r="DC337" s="786"/>
    </row>
    <row r="338" spans="2:107" hidden="1" outlineLevel="1">
      <c r="B338" s="14" t="s">
        <v>720</v>
      </c>
      <c r="C338" s="14"/>
      <c r="D338" s="14"/>
      <c r="E338" s="14"/>
      <c r="F338" s="14"/>
      <c r="G338" s="14"/>
      <c r="H338" s="14"/>
      <c r="I338" s="14"/>
      <c r="J338" s="195">
        <v>191.39</v>
      </c>
      <c r="K338" s="195">
        <v>247.245</v>
      </c>
      <c r="L338" s="195">
        <v>252.35199999999998</v>
      </c>
      <c r="M338" s="195"/>
      <c r="N338" s="195"/>
      <c r="O338" s="54">
        <f t="shared" si="381"/>
        <v>24.12</v>
      </c>
      <c r="P338" s="54">
        <f t="shared" si="382"/>
        <v>37.058</v>
      </c>
      <c r="Q338" s="1651">
        <f>+SUM(CB338:CE338)</f>
        <v>0</v>
      </c>
      <c r="R338" s="195"/>
      <c r="S338" s="195"/>
      <c r="T338" s="195"/>
      <c r="U338" s="195"/>
      <c r="V338" s="195"/>
      <c r="W338" s="195"/>
      <c r="X338" s="195"/>
      <c r="Y338" s="195"/>
      <c r="Z338" s="195"/>
      <c r="AA338" s="195"/>
      <c r="AB338" s="195"/>
      <c r="AC338" s="195"/>
      <c r="AD338" s="195"/>
      <c r="AE338" s="14"/>
      <c r="AF338" s="14"/>
      <c r="AG338" s="14"/>
      <c r="AH338" s="14"/>
      <c r="AI338" s="14"/>
      <c r="AJ338" s="14"/>
      <c r="AK338" s="14"/>
      <c r="AL338" s="14"/>
      <c r="AM338" s="14"/>
      <c r="AN338" s="14"/>
      <c r="AO338" s="14"/>
      <c r="AP338" s="14"/>
      <c r="AQ338" s="14"/>
      <c r="AR338" s="14"/>
      <c r="AS338" s="14"/>
      <c r="AT338" s="14"/>
      <c r="AU338" s="14"/>
      <c r="AV338" s="14"/>
      <c r="AW338" s="14"/>
      <c r="AX338" s="14"/>
      <c r="AY338" s="14"/>
      <c r="AZ338" s="814"/>
      <c r="BA338" s="814"/>
      <c r="BB338" s="814"/>
      <c r="BC338" s="814"/>
      <c r="BD338" s="814"/>
      <c r="BE338" s="814"/>
      <c r="BF338" s="814"/>
      <c r="BG338" s="814"/>
      <c r="BH338" s="814"/>
      <c r="BI338" s="195"/>
      <c r="BJ338" s="195"/>
      <c r="BK338" s="195"/>
      <c r="BL338" s="195"/>
      <c r="BM338" s="195"/>
      <c r="BN338" s="195"/>
      <c r="BO338" s="195"/>
      <c r="BP338" s="195"/>
      <c r="BQ338" s="195"/>
      <c r="BR338" s="195"/>
      <c r="BS338" s="195"/>
      <c r="BT338" s="195"/>
      <c r="BU338" s="195">
        <f>+SUM(BU336:BU337)</f>
        <v>6.0770000000000008</v>
      </c>
      <c r="BV338" s="195">
        <f t="shared" ref="BV338:CA338" si="386">+SUM(BV336:BV337)</f>
        <v>8.9529999999999994</v>
      </c>
      <c r="BW338" s="195">
        <f t="shared" si="386"/>
        <v>9.09</v>
      </c>
      <c r="BX338" s="195">
        <f t="shared" si="386"/>
        <v>9.08</v>
      </c>
      <c r="BY338" s="195">
        <f t="shared" si="386"/>
        <v>9.3890000000000011</v>
      </c>
      <c r="BZ338" s="195">
        <f t="shared" si="386"/>
        <v>9.3930000000000007</v>
      </c>
      <c r="CA338" s="195">
        <f t="shared" si="386"/>
        <v>9.195999999999998</v>
      </c>
      <c r="CB338" s="195"/>
      <c r="CC338" s="195"/>
      <c r="CD338" s="195"/>
      <c r="CE338" s="195"/>
      <c r="CF338" s="195"/>
      <c r="CG338" s="195"/>
      <c r="CH338" s="195"/>
      <c r="CI338" s="195"/>
      <c r="CJ338" s="195"/>
      <c r="CK338" s="195"/>
      <c r="CL338" s="195"/>
      <c r="CM338" s="195"/>
      <c r="CN338" s="195"/>
      <c r="CO338" s="195"/>
      <c r="CP338" s="195"/>
      <c r="CQ338" s="195"/>
      <c r="CR338" s="195"/>
      <c r="CS338" s="195"/>
      <c r="CT338" s="195"/>
      <c r="CU338" s="195"/>
      <c r="CV338" s="195"/>
      <c r="CW338" s="195"/>
      <c r="CX338" s="195"/>
      <c r="CY338" s="195"/>
      <c r="CZ338" s="195"/>
      <c r="DA338" s="195"/>
      <c r="DB338" s="195"/>
      <c r="DC338" s="195"/>
    </row>
    <row r="339" spans="2:107" hidden="1" outlineLevel="1">
      <c r="B339" s="14"/>
      <c r="C339" s="14"/>
      <c r="D339" s="14"/>
      <c r="E339" s="14"/>
      <c r="F339" s="14"/>
      <c r="G339" s="14"/>
      <c r="H339" s="14"/>
      <c r="I339" s="14"/>
      <c r="J339" s="195"/>
      <c r="K339" s="195"/>
      <c r="L339" s="195"/>
      <c r="M339" s="195"/>
      <c r="N339" s="195"/>
      <c r="O339" s="195"/>
      <c r="P339" s="195"/>
      <c r="Q339" s="195"/>
      <c r="R339" s="195"/>
      <c r="S339" s="195"/>
      <c r="T339" s="195"/>
      <c r="U339" s="195"/>
      <c r="V339" s="195"/>
      <c r="W339" s="195"/>
      <c r="X339" s="195"/>
      <c r="Y339" s="195"/>
      <c r="Z339" s="195"/>
      <c r="AA339" s="195"/>
      <c r="AB339" s="195"/>
      <c r="AC339" s="195"/>
      <c r="AD339" s="195"/>
      <c r="AE339" s="14"/>
      <c r="AF339" s="14"/>
      <c r="AG339" s="14"/>
      <c r="AH339" s="14"/>
      <c r="AI339" s="14"/>
      <c r="AJ339" s="14"/>
      <c r="AK339" s="14"/>
      <c r="AL339" s="14"/>
      <c r="AM339" s="14"/>
      <c r="AN339" s="14"/>
      <c r="AO339" s="14"/>
      <c r="AP339" s="14"/>
      <c r="AQ339" s="14"/>
      <c r="AR339" s="14"/>
      <c r="AS339" s="14"/>
      <c r="AT339" s="14"/>
      <c r="AU339" s="14"/>
      <c r="AV339" s="14"/>
      <c r="AW339" s="14"/>
      <c r="AX339" s="14"/>
      <c r="AY339" s="14"/>
      <c r="AZ339" s="814"/>
      <c r="BA339" s="814"/>
      <c r="BB339" s="814"/>
      <c r="BC339" s="814"/>
      <c r="BD339" s="814"/>
      <c r="BE339" s="814"/>
      <c r="BF339" s="814"/>
      <c r="BG339" s="814"/>
      <c r="BH339" s="814"/>
      <c r="BI339" s="195"/>
      <c r="BJ339" s="195"/>
      <c r="BK339" s="195"/>
      <c r="BL339" s="195"/>
      <c r="BM339" s="195"/>
      <c r="BN339" s="195"/>
      <c r="BO339" s="195"/>
      <c r="BP339" s="195"/>
      <c r="BQ339" s="195"/>
      <c r="BR339" s="195"/>
      <c r="BS339" s="195"/>
      <c r="BT339" s="195"/>
      <c r="BU339" s="195"/>
      <c r="BV339" s="195"/>
      <c r="BW339" s="195"/>
      <c r="BX339" s="195"/>
      <c r="BY339" s="195"/>
      <c r="BZ339" s="195"/>
      <c r="CA339" s="195"/>
      <c r="CB339" s="195"/>
      <c r="CC339" s="195"/>
      <c r="CD339" s="195"/>
      <c r="CE339" s="195"/>
      <c r="CF339" s="195"/>
      <c r="CG339" s="195"/>
      <c r="CH339" s="195"/>
      <c r="CI339" s="195"/>
      <c r="CJ339" s="195"/>
      <c r="CK339" s="195"/>
      <c r="CL339" s="195"/>
      <c r="CM339" s="195"/>
      <c r="CN339" s="195"/>
      <c r="CO339" s="195"/>
      <c r="CP339" s="195"/>
      <c r="CQ339" s="195"/>
      <c r="CR339" s="195"/>
      <c r="CS339" s="195"/>
      <c r="CT339" s="195"/>
      <c r="CU339" s="195"/>
      <c r="CV339" s="195"/>
      <c r="CW339" s="195"/>
      <c r="CX339" s="195"/>
      <c r="CY339" s="195"/>
      <c r="CZ339" s="195"/>
      <c r="DA339" s="195"/>
      <c r="DB339" s="195"/>
      <c r="DC339" s="195"/>
    </row>
    <row r="340" spans="2:107" hidden="1" outlineLevel="1">
      <c r="B340" s="857" t="s">
        <v>4</v>
      </c>
      <c r="C340" s="14"/>
      <c r="D340" s="14"/>
      <c r="E340" s="14"/>
      <c r="F340" s="14"/>
      <c r="G340" s="14"/>
      <c r="H340" s="14"/>
      <c r="I340" s="14"/>
      <c r="J340" s="195"/>
      <c r="K340" s="195"/>
      <c r="L340" s="195"/>
      <c r="M340" s="195"/>
      <c r="N340" s="195"/>
      <c r="O340" s="195"/>
      <c r="P340" s="195"/>
      <c r="Q340" s="195"/>
      <c r="R340" s="195"/>
      <c r="S340" s="195"/>
      <c r="T340" s="195"/>
      <c r="U340" s="195"/>
      <c r="V340" s="195"/>
      <c r="W340" s="195"/>
      <c r="X340" s="195"/>
      <c r="Y340" s="195"/>
      <c r="Z340" s="195"/>
      <c r="AA340" s="195"/>
      <c r="AB340" s="195"/>
      <c r="AC340" s="195"/>
      <c r="AD340" s="195"/>
      <c r="AE340" s="14"/>
      <c r="AF340" s="14"/>
      <c r="AG340" s="14"/>
      <c r="AH340" s="14"/>
      <c r="AI340" s="14"/>
      <c r="AJ340" s="14"/>
      <c r="AK340" s="14"/>
      <c r="AL340" s="14"/>
      <c r="AM340" s="14"/>
      <c r="AN340" s="14"/>
      <c r="AO340" s="14"/>
      <c r="AP340" s="14"/>
      <c r="AQ340" s="14"/>
      <c r="AR340" s="14"/>
      <c r="AS340" s="14"/>
      <c r="AT340" s="14"/>
      <c r="AU340" s="14"/>
      <c r="AV340" s="14"/>
      <c r="AW340" s="14"/>
      <c r="AX340" s="14"/>
      <c r="AY340" s="14"/>
      <c r="AZ340" s="814"/>
      <c r="BA340" s="814"/>
      <c r="BB340" s="814"/>
      <c r="BC340" s="814"/>
      <c r="BD340" s="814"/>
      <c r="BE340" s="814"/>
      <c r="BF340" s="814"/>
      <c r="BG340" s="814"/>
      <c r="BH340" s="814"/>
      <c r="BI340" s="195"/>
      <c r="BJ340" s="195"/>
      <c r="BK340" s="195"/>
      <c r="BL340" s="195"/>
      <c r="BM340" s="195"/>
      <c r="BN340" s="195"/>
      <c r="BO340" s="195"/>
      <c r="BP340" s="195"/>
      <c r="BQ340" s="195"/>
      <c r="BR340" s="195"/>
      <c r="BS340" s="195"/>
      <c r="BT340" s="195"/>
      <c r="BU340" s="195"/>
      <c r="BV340" s="195"/>
      <c r="BW340" s="195"/>
      <c r="BX340" s="195"/>
      <c r="BY340" s="195"/>
      <c r="BZ340" s="195"/>
      <c r="CA340" s="195"/>
      <c r="CB340" s="195"/>
      <c r="CC340" s="195"/>
      <c r="CD340" s="195"/>
      <c r="CE340" s="195"/>
      <c r="CF340" s="195"/>
      <c r="CG340" s="195"/>
      <c r="CH340" s="195"/>
      <c r="CI340" s="195"/>
      <c r="CJ340" s="195"/>
      <c r="CK340" s="195"/>
      <c r="CL340" s="195"/>
      <c r="CM340" s="195"/>
      <c r="CN340" s="195"/>
      <c r="CO340" s="195"/>
      <c r="CP340" s="195"/>
      <c r="CQ340" s="195"/>
      <c r="CR340" s="195"/>
      <c r="CS340" s="195"/>
      <c r="CT340" s="195"/>
      <c r="CU340" s="195"/>
      <c r="CV340" s="195"/>
      <c r="CW340" s="195"/>
      <c r="CX340" s="195"/>
      <c r="CY340" s="195"/>
      <c r="CZ340" s="195"/>
      <c r="DA340" s="195"/>
      <c r="DB340" s="195"/>
      <c r="DC340" s="195"/>
    </row>
    <row r="341" spans="2:107" hidden="1" outlineLevel="1">
      <c r="B341" s="14" t="s">
        <v>1407</v>
      </c>
      <c r="C341" s="14"/>
      <c r="D341" s="14"/>
      <c r="E341" s="14"/>
      <c r="F341" s="14"/>
      <c r="G341" s="14"/>
      <c r="H341" s="14"/>
      <c r="I341" s="14"/>
      <c r="J341" s="195"/>
      <c r="K341" s="195"/>
      <c r="L341" s="195"/>
      <c r="M341" s="195"/>
      <c r="N341" s="195"/>
      <c r="O341" s="195"/>
      <c r="P341" s="195"/>
      <c r="Q341" s="1654"/>
      <c r="R341" s="1654"/>
      <c r="S341" s="1654"/>
      <c r="T341" s="1654"/>
      <c r="U341" s="1654"/>
      <c r="V341" s="1654"/>
      <c r="W341" s="1654"/>
      <c r="X341" s="1655"/>
      <c r="Y341" s="1655"/>
      <c r="Z341" s="1655"/>
      <c r="AA341" s="1655"/>
      <c r="AB341" s="1655"/>
      <c r="AC341" s="1655"/>
      <c r="AD341" s="1655"/>
      <c r="AE341" s="14"/>
      <c r="AF341" s="14"/>
      <c r="AG341" s="14"/>
      <c r="AH341" s="14"/>
      <c r="AI341" s="14"/>
      <c r="AJ341" s="14"/>
      <c r="AK341" s="14"/>
      <c r="AL341" s="14"/>
      <c r="AM341" s="14"/>
      <c r="AN341" s="14"/>
      <c r="AO341" s="14"/>
      <c r="AP341" s="14"/>
      <c r="AQ341" s="14"/>
      <c r="AR341" s="14"/>
      <c r="AS341" s="14"/>
      <c r="AT341" s="14"/>
      <c r="AU341" s="14"/>
      <c r="AV341" s="14"/>
      <c r="AW341" s="14"/>
      <c r="AX341" s="14"/>
      <c r="AY341" s="14"/>
      <c r="AZ341" s="814"/>
      <c r="BA341" s="814"/>
      <c r="BB341" s="814"/>
      <c r="BC341" s="814"/>
      <c r="BD341" s="814"/>
      <c r="BE341" s="814"/>
      <c r="BF341" s="814"/>
      <c r="BG341" s="814"/>
      <c r="BH341" s="814"/>
      <c r="BI341" s="195"/>
      <c r="BJ341" s="195"/>
      <c r="BK341" s="195"/>
      <c r="BL341" s="195"/>
      <c r="BM341" s="195"/>
      <c r="BN341" s="195"/>
      <c r="BO341" s="195"/>
      <c r="BP341" s="195"/>
      <c r="BQ341" s="195"/>
      <c r="BR341" s="195"/>
      <c r="BS341" s="195"/>
      <c r="BT341" s="195"/>
      <c r="BU341" s="195"/>
      <c r="BV341" s="1654">
        <f t="shared" ref="BV341:CA342" si="387">+BV308/BU308-1</f>
        <v>0.46766085790884726</v>
      </c>
      <c r="BW341" s="1654">
        <f t="shared" si="387"/>
        <v>1.6668569471400829E-2</v>
      </c>
      <c r="BX341" s="1654">
        <f t="shared" si="387"/>
        <v>-4.8287478944412099E-3</v>
      </c>
      <c r="BY341" s="1654">
        <f t="shared" si="387"/>
        <v>3.1369893929135584E-2</v>
      </c>
      <c r="BZ341" s="1654">
        <f t="shared" si="387"/>
        <v>-3.2822757111594658E-4</v>
      </c>
      <c r="CA341" s="1654">
        <f t="shared" si="387"/>
        <v>-1.838677903031638E-2</v>
      </c>
      <c r="CB341" s="1654"/>
      <c r="CC341" s="1654"/>
      <c r="CD341" s="1654"/>
      <c r="CE341" s="1654"/>
      <c r="CF341" s="1654"/>
      <c r="CG341" s="1654"/>
      <c r="CH341" s="1654"/>
      <c r="CI341" s="1654"/>
      <c r="CJ341" s="1654"/>
      <c r="CK341" s="1654"/>
      <c r="CL341" s="1654"/>
      <c r="CM341" s="1654"/>
      <c r="CN341" s="1654"/>
      <c r="CO341" s="1654"/>
      <c r="CP341" s="1654"/>
      <c r="CQ341" s="1654"/>
      <c r="CR341" s="1654"/>
      <c r="CS341" s="1654"/>
      <c r="CT341" s="1654"/>
      <c r="CU341" s="1654"/>
      <c r="CV341" s="1654"/>
      <c r="CW341" s="1654"/>
      <c r="CX341" s="1654"/>
      <c r="CY341" s="1654"/>
      <c r="CZ341" s="1655"/>
      <c r="DA341" s="1655"/>
      <c r="DB341" s="1655"/>
      <c r="DC341" s="1655"/>
    </row>
    <row r="342" spans="2:107" hidden="1" outlineLevel="1">
      <c r="B342" s="16" t="s">
        <v>1408</v>
      </c>
      <c r="C342" s="14"/>
      <c r="D342" s="14"/>
      <c r="E342" s="14"/>
      <c r="F342" s="14"/>
      <c r="G342" s="14"/>
      <c r="H342" s="14"/>
      <c r="I342" s="14"/>
      <c r="J342" s="195"/>
      <c r="K342" s="195"/>
      <c r="L342" s="195"/>
      <c r="M342" s="195"/>
      <c r="N342" s="195"/>
      <c r="O342" s="195"/>
      <c r="P342" s="195"/>
      <c r="Q342" s="1654"/>
      <c r="R342" s="1654"/>
      <c r="S342" s="1654"/>
      <c r="T342" s="1654"/>
      <c r="U342" s="1654"/>
      <c r="V342" s="1654"/>
      <c r="W342" s="1654"/>
      <c r="X342" s="1655"/>
      <c r="Y342" s="1655"/>
      <c r="Z342" s="1655"/>
      <c r="AA342" s="1655"/>
      <c r="AB342" s="1655"/>
      <c r="AC342" s="1655"/>
      <c r="AD342" s="1655"/>
      <c r="AE342" s="14"/>
      <c r="AF342" s="14"/>
      <c r="AG342" s="14"/>
      <c r="AH342" s="14"/>
      <c r="AI342" s="14"/>
      <c r="AJ342" s="14"/>
      <c r="AK342" s="14"/>
      <c r="AL342" s="14"/>
      <c r="AM342" s="14"/>
      <c r="AN342" s="14"/>
      <c r="AO342" s="14"/>
      <c r="AP342" s="14"/>
      <c r="AQ342" s="14"/>
      <c r="AR342" s="14"/>
      <c r="AS342" s="14"/>
      <c r="AT342" s="14"/>
      <c r="AU342" s="14"/>
      <c r="AV342" s="14"/>
      <c r="AW342" s="14"/>
      <c r="AX342" s="14"/>
      <c r="AY342" s="14"/>
      <c r="AZ342" s="814"/>
      <c r="BA342" s="814"/>
      <c r="BB342" s="814"/>
      <c r="BC342" s="814"/>
      <c r="BD342" s="814"/>
      <c r="BE342" s="814"/>
      <c r="BF342" s="814"/>
      <c r="BG342" s="814"/>
      <c r="BH342" s="814"/>
      <c r="BI342" s="195"/>
      <c r="BJ342" s="195"/>
      <c r="BK342" s="195"/>
      <c r="BL342" s="195"/>
      <c r="BM342" s="195"/>
      <c r="BN342" s="195"/>
      <c r="BO342" s="195"/>
      <c r="BP342" s="195"/>
      <c r="BQ342" s="195"/>
      <c r="BR342" s="195"/>
      <c r="BS342" s="195"/>
      <c r="BT342" s="195"/>
      <c r="BU342" s="195"/>
      <c r="BV342" s="1654">
        <f t="shared" si="387"/>
        <v>0.77981651376146788</v>
      </c>
      <c r="BW342" s="1654">
        <f t="shared" si="387"/>
        <v>-4.6391752577319645E-2</v>
      </c>
      <c r="BX342" s="1654">
        <f t="shared" si="387"/>
        <v>0.17837837837837833</v>
      </c>
      <c r="BY342" s="1654">
        <f t="shared" si="387"/>
        <v>0.14220183486238525</v>
      </c>
      <c r="BZ342" s="1654">
        <f t="shared" si="387"/>
        <v>2.8112449799196915E-2</v>
      </c>
      <c r="CA342" s="1654">
        <f t="shared" si="387"/>
        <v>-0.11328125</v>
      </c>
      <c r="CB342" s="1654"/>
      <c r="CC342" s="1654"/>
      <c r="CD342" s="1654"/>
      <c r="CE342" s="1654"/>
      <c r="CF342" s="1654"/>
      <c r="CG342" s="1654"/>
      <c r="CH342" s="1654"/>
      <c r="CI342" s="1654"/>
      <c r="CJ342" s="1654"/>
      <c r="CK342" s="1654"/>
      <c r="CL342" s="1654"/>
      <c r="CM342" s="1654"/>
      <c r="CN342" s="1654"/>
      <c r="CO342" s="1654"/>
      <c r="CP342" s="1654"/>
      <c r="CQ342" s="1654"/>
      <c r="CR342" s="1654"/>
      <c r="CS342" s="1654"/>
      <c r="CT342" s="1654"/>
      <c r="CU342" s="1654"/>
      <c r="CV342" s="1654"/>
      <c r="CW342" s="1654"/>
      <c r="CX342" s="1654"/>
      <c r="CY342" s="1654"/>
      <c r="CZ342" s="1655"/>
      <c r="DA342" s="1655"/>
      <c r="DB342" s="1655"/>
      <c r="DC342" s="1655"/>
    </row>
    <row r="343" spans="2:107" hidden="1" outlineLevel="1">
      <c r="B343" s="16"/>
      <c r="C343" s="14"/>
      <c r="D343" s="14"/>
      <c r="E343" s="14"/>
      <c r="F343" s="14"/>
      <c r="G343" s="14"/>
      <c r="H343" s="14"/>
      <c r="I343" s="14"/>
      <c r="J343" s="195"/>
      <c r="K343" s="195"/>
      <c r="L343" s="195"/>
      <c r="M343" s="195"/>
      <c r="N343" s="195"/>
      <c r="O343" s="195"/>
      <c r="P343" s="195"/>
      <c r="Q343" s="1654"/>
      <c r="R343" s="1654"/>
      <c r="S343" s="1654"/>
      <c r="T343" s="1654"/>
      <c r="U343" s="1654"/>
      <c r="V343" s="1654"/>
      <c r="W343" s="1654"/>
      <c r="X343" s="1655"/>
      <c r="Y343" s="1655"/>
      <c r="Z343" s="1655"/>
      <c r="AA343" s="1655"/>
      <c r="AB343" s="1655"/>
      <c r="AC343" s="1655"/>
      <c r="AD343" s="1655"/>
      <c r="AE343" s="14"/>
      <c r="AF343" s="14"/>
      <c r="AG343" s="14"/>
      <c r="AH343" s="14"/>
      <c r="AI343" s="14"/>
      <c r="AJ343" s="14"/>
      <c r="AK343" s="14"/>
      <c r="AL343" s="14"/>
      <c r="AM343" s="14"/>
      <c r="AN343" s="14"/>
      <c r="AO343" s="14"/>
      <c r="AP343" s="14"/>
      <c r="AQ343" s="14"/>
      <c r="AR343" s="14"/>
      <c r="AS343" s="14"/>
      <c r="AT343" s="14"/>
      <c r="AU343" s="14"/>
      <c r="AV343" s="14"/>
      <c r="AW343" s="14"/>
      <c r="AX343" s="14"/>
      <c r="AY343" s="14"/>
      <c r="AZ343" s="814"/>
      <c r="BA343" s="814"/>
      <c r="BB343" s="814"/>
      <c r="BC343" s="814"/>
      <c r="BD343" s="814"/>
      <c r="BE343" s="814"/>
      <c r="BF343" s="814"/>
      <c r="BG343" s="814"/>
      <c r="BH343" s="814"/>
      <c r="BI343" s="195"/>
      <c r="BJ343" s="195"/>
      <c r="BK343" s="195"/>
      <c r="BL343" s="195"/>
      <c r="BM343" s="195"/>
      <c r="BN343" s="195"/>
      <c r="BO343" s="195"/>
      <c r="BP343" s="195"/>
      <c r="BQ343" s="195"/>
      <c r="BR343" s="195"/>
      <c r="BS343" s="195"/>
      <c r="BT343" s="195"/>
      <c r="BU343" s="195"/>
      <c r="BV343" s="1654"/>
      <c r="BW343" s="1654"/>
      <c r="BX343" s="1654"/>
      <c r="BY343" s="1654"/>
      <c r="BZ343" s="1654"/>
      <c r="CA343" s="1654"/>
      <c r="CB343" s="1654"/>
      <c r="CC343" s="1654"/>
      <c r="CD343" s="1654"/>
      <c r="CE343" s="1654"/>
      <c r="CF343" s="1654"/>
      <c r="CG343" s="1654"/>
      <c r="CH343" s="1654"/>
      <c r="CI343" s="1654"/>
      <c r="CJ343" s="1654"/>
      <c r="CK343" s="1654"/>
      <c r="CL343" s="1654"/>
      <c r="CM343" s="1654"/>
      <c r="CN343" s="1654"/>
      <c r="CO343" s="1654"/>
      <c r="CP343" s="1654"/>
      <c r="CQ343" s="1654"/>
      <c r="CR343" s="1654"/>
      <c r="CS343" s="1654"/>
      <c r="CT343" s="1654"/>
      <c r="CU343" s="1654"/>
      <c r="CV343" s="1654"/>
      <c r="CW343" s="1654"/>
      <c r="CX343" s="1654"/>
      <c r="CY343" s="1654"/>
      <c r="CZ343" s="1655"/>
      <c r="DA343" s="1655"/>
      <c r="DB343" s="1655"/>
      <c r="DC343" s="1655"/>
    </row>
    <row r="344" spans="2:107" collapsed="1">
      <c r="B344" s="203" t="s">
        <v>728</v>
      </c>
      <c r="C344" s="204"/>
      <c r="D344" s="138"/>
      <c r="E344" s="138"/>
      <c r="F344" s="138"/>
      <c r="G344" s="138"/>
      <c r="H344" s="138"/>
      <c r="I344" s="138"/>
      <c r="J344" s="138"/>
      <c r="K344" s="138"/>
      <c r="L344" s="138"/>
      <c r="M344" s="205"/>
      <c r="N344" s="205"/>
      <c r="O344" s="205"/>
      <c r="P344" s="205"/>
      <c r="Q344" s="205"/>
      <c r="R344" s="205"/>
      <c r="S344" s="205"/>
      <c r="T344" s="205"/>
      <c r="U344" s="205"/>
      <c r="V344" s="205"/>
      <c r="W344" s="205"/>
      <c r="X344" s="205"/>
      <c r="Y344" s="205"/>
      <c r="Z344" s="205"/>
      <c r="AA344" s="205"/>
      <c r="AB344" s="205"/>
      <c r="AC344" s="205"/>
      <c r="AD344" s="205"/>
      <c r="AE344" s="204"/>
      <c r="AF344" s="138"/>
      <c r="AG344" s="138"/>
      <c r="AH344" s="138"/>
      <c r="AI344" s="138"/>
      <c r="AJ344" s="138"/>
      <c r="AK344" s="138"/>
      <c r="AL344" s="138"/>
      <c r="AM344" s="138"/>
      <c r="AN344" s="138"/>
      <c r="AO344" s="138"/>
      <c r="AP344" s="138"/>
      <c r="AQ344" s="138"/>
      <c r="AR344" s="138"/>
      <c r="AS344" s="138"/>
      <c r="AT344" s="138"/>
      <c r="AU344" s="138"/>
      <c r="AV344" s="138"/>
      <c r="AW344" s="138"/>
      <c r="AX344" s="138"/>
      <c r="AY344" s="138"/>
      <c r="AZ344" s="138"/>
      <c r="BA344" s="138"/>
      <c r="BB344" s="138"/>
      <c r="BC344" s="138"/>
      <c r="BD344" s="140"/>
      <c r="BE344" s="140"/>
      <c r="BF344" s="140"/>
      <c r="BG344" s="140"/>
      <c r="BH344" s="140"/>
      <c r="BI344" s="140"/>
      <c r="BJ344" s="140"/>
      <c r="BK344" s="140"/>
      <c r="BL344" s="140"/>
      <c r="BM344" s="140"/>
      <c r="BN344" s="140"/>
      <c r="BO344" s="140"/>
      <c r="BP344" s="205"/>
      <c r="BQ344" s="205"/>
      <c r="BR344" s="205"/>
      <c r="BS344" s="576"/>
      <c r="BT344" s="576"/>
      <c r="BU344" s="576"/>
      <c r="BV344" s="576"/>
      <c r="BW344" s="576"/>
      <c r="BX344" s="205"/>
      <c r="BY344" s="205"/>
      <c r="BZ344" s="1632"/>
      <c r="CA344" s="1632"/>
      <c r="CB344" s="1632"/>
      <c r="CC344" s="1632"/>
      <c r="CD344" s="1632"/>
      <c r="CE344" s="1632"/>
      <c r="CF344" s="1632"/>
      <c r="CG344" s="1632"/>
      <c r="CH344" s="1632"/>
      <c r="CI344" s="1632"/>
      <c r="CJ344" s="1632"/>
      <c r="CK344" s="1632"/>
      <c r="CL344" s="1632"/>
      <c r="CM344" s="1632"/>
      <c r="CN344" s="1632"/>
      <c r="CO344" s="1632"/>
      <c r="CP344" s="1632"/>
      <c r="CQ344" s="1632"/>
      <c r="CR344" s="1632"/>
      <c r="CS344" s="1632"/>
      <c r="CT344" s="1632"/>
      <c r="CU344" s="1632"/>
      <c r="CV344" s="1632"/>
      <c r="CW344" s="1632"/>
      <c r="CX344" s="1632"/>
      <c r="CY344" s="1632"/>
      <c r="CZ344" s="205"/>
      <c r="DA344" s="205"/>
      <c r="DB344" s="205"/>
      <c r="DC344" s="205"/>
    </row>
    <row r="345" spans="2:107" ht="12.75" customHeight="1">
      <c r="B345" s="206"/>
      <c r="C345" s="197"/>
      <c r="D345" s="31"/>
      <c r="E345" s="31"/>
      <c r="F345" s="31"/>
      <c r="G345" s="31"/>
      <c r="H345" s="31"/>
      <c r="I345" s="31"/>
      <c r="J345" s="31"/>
      <c r="K345" s="31"/>
      <c r="L345" s="31"/>
      <c r="M345" s="199"/>
      <c r="N345" s="199"/>
      <c r="O345" s="199"/>
      <c r="P345" s="199"/>
      <c r="Q345" s="199"/>
      <c r="R345" s="199"/>
      <c r="S345" s="199"/>
      <c r="T345" s="199"/>
      <c r="U345" s="199"/>
      <c r="V345" s="199"/>
      <c r="W345" s="199"/>
      <c r="X345" s="199"/>
      <c r="Y345" s="199"/>
      <c r="Z345" s="199"/>
      <c r="AA345" s="199"/>
      <c r="AB345" s="199"/>
      <c r="AC345" s="199"/>
      <c r="AD345" s="199"/>
      <c r="AE345" s="197"/>
      <c r="AF345" s="31"/>
      <c r="AG345" s="31"/>
      <c r="AH345" s="31"/>
      <c r="AI345" s="31"/>
      <c r="AJ345" s="31"/>
      <c r="AK345" s="31"/>
      <c r="AL345" s="31"/>
      <c r="AM345" s="31"/>
      <c r="AN345" s="31"/>
      <c r="AO345" s="31"/>
      <c r="AP345" s="31"/>
      <c r="AQ345" s="31"/>
      <c r="AR345" s="31"/>
      <c r="AS345" s="31"/>
      <c r="AT345" s="31"/>
      <c r="AU345" s="31"/>
      <c r="AV345" s="31"/>
      <c r="AW345" s="31"/>
      <c r="AX345" s="31"/>
      <c r="AY345" s="31"/>
      <c r="AZ345" s="31"/>
      <c r="BA345" s="31"/>
      <c r="BB345" s="31"/>
      <c r="BC345" s="31"/>
      <c r="BD345" s="32"/>
      <c r="BE345" s="32"/>
      <c r="BF345" s="32"/>
      <c r="BG345" s="32"/>
      <c r="BH345" s="32"/>
      <c r="BI345" s="32"/>
      <c r="BJ345" s="32"/>
      <c r="BK345" s="32"/>
      <c r="BL345" s="32"/>
      <c r="BM345" s="32"/>
      <c r="BN345" s="32"/>
      <c r="BO345" s="32"/>
      <c r="BP345" s="199"/>
      <c r="BQ345" s="199"/>
      <c r="BR345" s="199"/>
      <c r="BS345" s="199"/>
      <c r="BT345" s="199"/>
      <c r="BU345" s="199"/>
      <c r="BV345" s="199"/>
      <c r="BW345" s="199"/>
      <c r="BX345" s="199"/>
      <c r="BY345" s="199"/>
      <c r="BZ345" s="199"/>
      <c r="CA345" s="199"/>
      <c r="CB345" s="199"/>
      <c r="CC345" s="199"/>
      <c r="CD345" s="199"/>
      <c r="CE345" s="199"/>
      <c r="CF345" s="199"/>
      <c r="CG345" s="199"/>
      <c r="CH345" s="199"/>
      <c r="CI345" s="199"/>
      <c r="CJ345" s="199"/>
      <c r="CK345" s="199"/>
      <c r="CL345" s="199"/>
      <c r="CM345" s="199"/>
      <c r="CN345" s="199"/>
      <c r="CO345" s="199"/>
      <c r="CP345" s="199"/>
      <c r="CQ345" s="199"/>
      <c r="CR345" s="199"/>
      <c r="CS345" s="199"/>
      <c r="CT345" s="199"/>
      <c r="CU345" s="199"/>
      <c r="CV345" s="199"/>
      <c r="CW345" s="199"/>
      <c r="CX345" s="199"/>
      <c r="CY345" s="199"/>
      <c r="CZ345" s="199"/>
      <c r="DA345" s="199"/>
      <c r="DB345" s="199"/>
      <c r="DC345" s="199"/>
    </row>
    <row r="346" spans="2:107" hidden="1" outlineLevel="1">
      <c r="B346" s="164" t="s">
        <v>729</v>
      </c>
      <c r="C346" s="197"/>
      <c r="D346" s="31"/>
      <c r="E346" s="31"/>
      <c r="F346" s="31"/>
      <c r="G346" s="31"/>
      <c r="H346" s="31"/>
      <c r="I346" s="31"/>
      <c r="J346" s="31"/>
      <c r="K346" s="31"/>
      <c r="L346" s="31"/>
      <c r="M346" s="199"/>
      <c r="N346" s="27">
        <f>BS346</f>
        <v>25888</v>
      </c>
      <c r="O346" s="27">
        <f>BW346</f>
        <v>31059</v>
      </c>
      <c r="P346" s="27">
        <f>CA346</f>
        <v>38656.806312000001</v>
      </c>
      <c r="Q346" s="27">
        <f t="shared" ref="Q346:W346" si="388">CE346</f>
        <v>48803.327316082577</v>
      </c>
      <c r="R346" s="27">
        <f t="shared" si="388"/>
        <v>51731.526955047535</v>
      </c>
      <c r="S346" s="27">
        <f t="shared" si="388"/>
        <v>54835.418572350391</v>
      </c>
      <c r="T346" s="27">
        <f t="shared" si="388"/>
        <v>58125.543686691417</v>
      </c>
      <c r="U346" s="27">
        <f t="shared" si="388"/>
        <v>61613.076307892909</v>
      </c>
      <c r="V346" s="27">
        <f t="shared" si="388"/>
        <v>65309.860886366485</v>
      </c>
      <c r="W346" s="27">
        <f t="shared" si="388"/>
        <v>69228.452539548482</v>
      </c>
      <c r="X346" s="27">
        <f>W346*(1+X347)</f>
        <v>83074.143047458172</v>
      </c>
      <c r="Y346" s="27">
        <f>X346*(1+Y347)</f>
        <v>99688.971656949798</v>
      </c>
      <c r="Z346" s="27">
        <f>Y346*(1+Z347)</f>
        <v>119626.76598833976</v>
      </c>
      <c r="AA346" s="27">
        <f t="shared" ref="AA346:AD346" si="389">Z346*(1+AA347)</f>
        <v>143552.11918600771</v>
      </c>
      <c r="AB346" s="27">
        <f t="shared" si="389"/>
        <v>172262.54302320923</v>
      </c>
      <c r="AC346" s="27">
        <f t="shared" si="389"/>
        <v>206715.05162785106</v>
      </c>
      <c r="AD346" s="27">
        <f t="shared" si="389"/>
        <v>248058.06195342127</v>
      </c>
      <c r="AE346" s="197"/>
      <c r="AF346" s="31"/>
      <c r="AG346" s="31"/>
      <c r="AH346" s="31"/>
      <c r="AI346" s="31"/>
      <c r="AJ346" s="31"/>
      <c r="AK346" s="31"/>
      <c r="AL346" s="31"/>
      <c r="AM346" s="31"/>
      <c r="AN346" s="31"/>
      <c r="AO346" s="31"/>
      <c r="AP346" s="31"/>
      <c r="AQ346" s="31"/>
      <c r="AR346" s="31"/>
      <c r="AS346" s="31"/>
      <c r="AT346" s="31"/>
      <c r="AU346" s="31"/>
      <c r="AV346" s="163"/>
      <c r="AW346" s="163"/>
      <c r="AX346" s="163"/>
      <c r="AY346" s="163">
        <v>9005</v>
      </c>
      <c r="AZ346" s="163">
        <v>9700</v>
      </c>
      <c r="BA346" s="163">
        <v>10392</v>
      </c>
      <c r="BB346" s="163">
        <v>11218</v>
      </c>
      <c r="BC346" s="163">
        <v>11976</v>
      </c>
      <c r="BD346" s="163">
        <v>13091</v>
      </c>
      <c r="BE346" s="163">
        <v>13752</v>
      </c>
      <c r="BF346" s="163">
        <v>14500</v>
      </c>
      <c r="BG346" s="163">
        <v>14900</v>
      </c>
      <c r="BH346" s="163">
        <v>15552</v>
      </c>
      <c r="BI346" s="163">
        <v>16514</v>
      </c>
      <c r="BJ346" s="163">
        <v>17925</v>
      </c>
      <c r="BK346" s="163">
        <v>18199</v>
      </c>
      <c r="BL346" s="163">
        <v>19511</v>
      </c>
      <c r="BM346" s="163">
        <v>20570</v>
      </c>
      <c r="BN346" s="163">
        <v>21522</v>
      </c>
      <c r="BO346" s="163">
        <v>22193</v>
      </c>
      <c r="BP346" s="207">
        <v>23150</v>
      </c>
      <c r="BQ346" s="207">
        <v>23882</v>
      </c>
      <c r="BR346" s="207">
        <v>24688</v>
      </c>
      <c r="BS346" s="207">
        <v>25888</v>
      </c>
      <c r="BT346" s="207">
        <v>26673</v>
      </c>
      <c r="BU346" s="207">
        <v>27867</v>
      </c>
      <c r="BV346" s="207">
        <v>29525</v>
      </c>
      <c r="BW346" s="207">
        <v>31059</v>
      </c>
      <c r="BX346" s="207">
        <v>32457</v>
      </c>
      <c r="BY346" s="27">
        <f t="shared" ref="BY346:CE346" si="390">BX346*(1+BY348)</f>
        <v>34404.42</v>
      </c>
      <c r="BZ346" s="27">
        <f t="shared" si="390"/>
        <v>36468.6852</v>
      </c>
      <c r="CA346" s="27">
        <f t="shared" si="390"/>
        <v>38656.806312000001</v>
      </c>
      <c r="CB346" s="27">
        <f t="shared" si="390"/>
        <v>40976.21469072</v>
      </c>
      <c r="CC346" s="27">
        <f t="shared" si="390"/>
        <v>43434.787572163201</v>
      </c>
      <c r="CD346" s="27">
        <f t="shared" si="390"/>
        <v>46040.874826492996</v>
      </c>
      <c r="CE346" s="27">
        <f t="shared" si="390"/>
        <v>48803.327316082577</v>
      </c>
      <c r="CF346" s="27">
        <f t="shared" ref="CF346:CY346" si="391">CE346*(1+CF348)</f>
        <v>51731.526955047535</v>
      </c>
      <c r="CG346" s="27">
        <f t="shared" si="391"/>
        <v>54835.418572350391</v>
      </c>
      <c r="CH346" s="27">
        <f t="shared" si="391"/>
        <v>58125.543686691417</v>
      </c>
      <c r="CI346" s="27">
        <f t="shared" si="391"/>
        <v>61613.076307892909</v>
      </c>
      <c r="CJ346" s="27">
        <f t="shared" si="391"/>
        <v>65309.860886366485</v>
      </c>
      <c r="CK346" s="27">
        <f t="shared" si="391"/>
        <v>69228.452539548482</v>
      </c>
      <c r="CL346" s="27">
        <f t="shared" si="391"/>
        <v>73382.159691921392</v>
      </c>
      <c r="CM346" s="27">
        <f t="shared" si="391"/>
        <v>77785.089273436679</v>
      </c>
      <c r="CN346" s="27">
        <f t="shared" si="391"/>
        <v>82452.194629842881</v>
      </c>
      <c r="CO346" s="27">
        <f t="shared" si="391"/>
        <v>87399.326307633455</v>
      </c>
      <c r="CP346" s="27">
        <f t="shared" si="391"/>
        <v>92643.285886091471</v>
      </c>
      <c r="CQ346" s="27">
        <f t="shared" si="391"/>
        <v>98201.883039256965</v>
      </c>
      <c r="CR346" s="27">
        <f t="shared" si="391"/>
        <v>104093.99602161239</v>
      </c>
      <c r="CS346" s="27">
        <f t="shared" si="391"/>
        <v>110339.63578290914</v>
      </c>
      <c r="CT346" s="27">
        <f t="shared" si="391"/>
        <v>116960.0139298837</v>
      </c>
      <c r="CU346" s="27">
        <f t="shared" si="391"/>
        <v>123977.61476567673</v>
      </c>
      <c r="CV346" s="27">
        <f t="shared" si="391"/>
        <v>131416.27165161734</v>
      </c>
      <c r="CW346" s="27">
        <f t="shared" si="391"/>
        <v>139301.24795071437</v>
      </c>
      <c r="CX346" s="27">
        <f t="shared" si="391"/>
        <v>147659.32282775725</v>
      </c>
      <c r="CY346" s="27">
        <f t="shared" si="391"/>
        <v>156518.8821974227</v>
      </c>
      <c r="CZ346" s="27">
        <f t="shared" ref="CZ346:DC346" si="392">CY346*(1+CZ348)</f>
        <v>165910.01512926808</v>
      </c>
      <c r="DA346" s="27">
        <f t="shared" si="392"/>
        <v>175864.61603702419</v>
      </c>
      <c r="DB346" s="27">
        <f t="shared" si="392"/>
        <v>186416.49299924565</v>
      </c>
      <c r="DC346" s="27">
        <f t="shared" si="392"/>
        <v>197601.48257920038</v>
      </c>
    </row>
    <row r="347" spans="2:107" hidden="1" outlineLevel="1">
      <c r="B347" s="37" t="s">
        <v>709</v>
      </c>
      <c r="C347" s="197"/>
      <c r="D347" s="31"/>
      <c r="E347" s="31"/>
      <c r="F347" s="31"/>
      <c r="G347" s="31"/>
      <c r="H347" s="31"/>
      <c r="I347" s="31"/>
      <c r="J347" s="31"/>
      <c r="K347" s="31"/>
      <c r="L347" s="31"/>
      <c r="M347" s="199"/>
      <c r="N347" s="23"/>
      <c r="O347" s="199"/>
      <c r="P347" s="199"/>
      <c r="Q347" s="168"/>
      <c r="R347" s="168"/>
      <c r="S347" s="168"/>
      <c r="T347" s="168"/>
      <c r="U347" s="168"/>
      <c r="V347" s="168"/>
      <c r="W347" s="168"/>
      <c r="X347" s="168">
        <f t="shared" ref="X347:AD347" si="393">CHOOSE(mode,X349,X350,X351)</f>
        <v>0.2</v>
      </c>
      <c r="Y347" s="168">
        <f t="shared" si="393"/>
        <v>0.2</v>
      </c>
      <c r="Z347" s="168">
        <f t="shared" si="393"/>
        <v>0.2</v>
      </c>
      <c r="AA347" s="168">
        <f t="shared" si="393"/>
        <v>0.2</v>
      </c>
      <c r="AB347" s="168">
        <f t="shared" si="393"/>
        <v>0.2</v>
      </c>
      <c r="AC347" s="168">
        <f t="shared" si="393"/>
        <v>0.2</v>
      </c>
      <c r="AD347" s="168">
        <f t="shared" si="393"/>
        <v>0.2</v>
      </c>
      <c r="AE347" s="197"/>
      <c r="AF347" s="31"/>
      <c r="AG347" s="31"/>
      <c r="AH347" s="31"/>
      <c r="AI347" s="31"/>
      <c r="AJ347" s="31"/>
      <c r="AK347" s="31"/>
      <c r="AL347" s="31"/>
      <c r="AM347" s="31"/>
      <c r="AN347" s="31"/>
      <c r="AO347" s="31"/>
      <c r="AP347" s="31"/>
      <c r="AQ347" s="31"/>
      <c r="AR347" s="31"/>
      <c r="AS347" s="31"/>
      <c r="AT347" s="31"/>
      <c r="AU347" s="31"/>
      <c r="AV347" s="163"/>
      <c r="AW347" s="163"/>
      <c r="AX347" s="163"/>
      <c r="AY347" s="163"/>
      <c r="AZ347" s="163"/>
      <c r="BA347" s="163"/>
      <c r="BB347" s="163"/>
      <c r="BC347" s="38">
        <f t="shared" ref="BC347:CY347" si="394">BC346/AY346-1</f>
        <v>0.3299278178789562</v>
      </c>
      <c r="BD347" s="38">
        <f t="shared" si="394"/>
        <v>0.34958762886597938</v>
      </c>
      <c r="BE347" s="38">
        <f t="shared" si="394"/>
        <v>0.3233256351039262</v>
      </c>
      <c r="BF347" s="38">
        <f t="shared" si="394"/>
        <v>0.29256551970048128</v>
      </c>
      <c r="BG347" s="38">
        <f t="shared" si="394"/>
        <v>0.24415497661990648</v>
      </c>
      <c r="BH347" s="38">
        <f t="shared" si="394"/>
        <v>0.18799175005729118</v>
      </c>
      <c r="BI347" s="38">
        <f t="shared" si="394"/>
        <v>0.20084351367073872</v>
      </c>
      <c r="BJ347" s="38">
        <f t="shared" si="394"/>
        <v>0.23620689655172411</v>
      </c>
      <c r="BK347" s="38">
        <f t="shared" si="394"/>
        <v>0.22140939597315445</v>
      </c>
      <c r="BL347" s="38">
        <f t="shared" si="394"/>
        <v>0.25456532921810693</v>
      </c>
      <c r="BM347" s="38">
        <f t="shared" si="394"/>
        <v>0.24560978563642966</v>
      </c>
      <c r="BN347" s="38">
        <f t="shared" si="394"/>
        <v>0.20066945606694553</v>
      </c>
      <c r="BO347" s="38">
        <f t="shared" si="394"/>
        <v>0.21946260783559546</v>
      </c>
      <c r="BP347" s="38">
        <f t="shared" si="394"/>
        <v>0.18651017374814205</v>
      </c>
      <c r="BQ347" s="38">
        <f t="shared" si="394"/>
        <v>0.16101118133203696</v>
      </c>
      <c r="BR347" s="38">
        <f t="shared" si="394"/>
        <v>0.14710528761267549</v>
      </c>
      <c r="BS347" s="38">
        <f t="shared" si="394"/>
        <v>0.16649393953048253</v>
      </c>
      <c r="BT347" s="38">
        <f t="shared" si="394"/>
        <v>0.15218142548596103</v>
      </c>
      <c r="BU347" s="38">
        <f t="shared" si="394"/>
        <v>0.16686207185327873</v>
      </c>
      <c r="BV347" s="38">
        <f t="shared" si="394"/>
        <v>0.19592514581983145</v>
      </c>
      <c r="BW347" s="38">
        <f t="shared" si="394"/>
        <v>0.19974505562422751</v>
      </c>
      <c r="BX347" s="38">
        <f t="shared" si="394"/>
        <v>0.21684849848161059</v>
      </c>
      <c r="BY347" s="38">
        <f t="shared" si="394"/>
        <v>0.2345936053396489</v>
      </c>
      <c r="BZ347" s="38">
        <f t="shared" si="394"/>
        <v>0.23517985436071132</v>
      </c>
      <c r="CA347" s="38">
        <f t="shared" si="394"/>
        <v>0.24462494967642234</v>
      </c>
      <c r="CB347" s="38">
        <f t="shared" si="394"/>
        <v>0.26247696000000009</v>
      </c>
      <c r="CC347" s="38">
        <f t="shared" si="394"/>
        <v>0.26247696000000009</v>
      </c>
      <c r="CD347" s="38">
        <f t="shared" si="394"/>
        <v>0.26247696000000009</v>
      </c>
      <c r="CE347" s="38">
        <f t="shared" si="394"/>
        <v>0.26247696000000009</v>
      </c>
      <c r="CF347" s="38">
        <f t="shared" si="394"/>
        <v>0.26247696000000031</v>
      </c>
      <c r="CG347" s="38">
        <f t="shared" si="394"/>
        <v>0.26247696000000031</v>
      </c>
      <c r="CH347" s="38">
        <f t="shared" si="394"/>
        <v>0.26247696000000031</v>
      </c>
      <c r="CI347" s="38">
        <f t="shared" si="394"/>
        <v>0.26247696000000031</v>
      </c>
      <c r="CJ347" s="38">
        <f t="shared" si="394"/>
        <v>0.26247696000000031</v>
      </c>
      <c r="CK347" s="38">
        <f t="shared" si="394"/>
        <v>0.26247696000000031</v>
      </c>
      <c r="CL347" s="38">
        <f t="shared" si="394"/>
        <v>0.26247696000000031</v>
      </c>
      <c r="CM347" s="38">
        <f t="shared" si="394"/>
        <v>0.26247696000000031</v>
      </c>
      <c r="CN347" s="38">
        <f t="shared" si="394"/>
        <v>0.26247696000000031</v>
      </c>
      <c r="CO347" s="38">
        <f t="shared" si="394"/>
        <v>0.26247696000000009</v>
      </c>
      <c r="CP347" s="38">
        <f t="shared" si="394"/>
        <v>0.26247696000000031</v>
      </c>
      <c r="CQ347" s="38">
        <f t="shared" si="394"/>
        <v>0.26247696000000031</v>
      </c>
      <c r="CR347" s="38">
        <f t="shared" si="394"/>
        <v>0.26247696000000031</v>
      </c>
      <c r="CS347" s="38">
        <f t="shared" si="394"/>
        <v>0.26247696000000031</v>
      </c>
      <c r="CT347" s="38">
        <f t="shared" si="394"/>
        <v>0.26247696000000031</v>
      </c>
      <c r="CU347" s="38">
        <f t="shared" si="394"/>
        <v>0.26247696000000031</v>
      </c>
      <c r="CV347" s="38">
        <f t="shared" si="394"/>
        <v>0.26247696000000031</v>
      </c>
      <c r="CW347" s="38">
        <f t="shared" si="394"/>
        <v>0.26247696000000009</v>
      </c>
      <c r="CX347" s="38">
        <f t="shared" si="394"/>
        <v>0.26247696000000009</v>
      </c>
      <c r="CY347" s="38">
        <f t="shared" si="394"/>
        <v>0.26247696000000031</v>
      </c>
      <c r="CZ347" s="38">
        <f t="shared" ref="CZ347:DC347" si="395">CZ346/CV346-1</f>
        <v>0.26247696000000031</v>
      </c>
      <c r="DA347" s="38">
        <f t="shared" si="395"/>
        <v>0.26247696000000054</v>
      </c>
      <c r="DB347" s="38">
        <f t="shared" si="395"/>
        <v>0.26247696000000054</v>
      </c>
      <c r="DC347" s="38">
        <f t="shared" si="395"/>
        <v>0.26247696000000031</v>
      </c>
    </row>
    <row r="348" spans="2:107" hidden="1" outlineLevel="1">
      <c r="B348" s="37" t="s">
        <v>710</v>
      </c>
      <c r="C348" s="197"/>
      <c r="D348" s="31"/>
      <c r="E348" s="31"/>
      <c r="F348" s="31"/>
      <c r="G348" s="31"/>
      <c r="H348" s="31"/>
      <c r="I348" s="31"/>
      <c r="J348" s="31"/>
      <c r="K348" s="31"/>
      <c r="L348" s="31"/>
      <c r="M348" s="199"/>
      <c r="N348" s="199"/>
      <c r="O348" s="199"/>
      <c r="P348" s="23"/>
      <c r="Q348" s="23"/>
      <c r="R348" s="23"/>
      <c r="S348" s="23"/>
      <c r="T348" s="23"/>
      <c r="U348" s="23"/>
      <c r="V348" s="23"/>
      <c r="W348" s="23"/>
      <c r="X348" s="23"/>
      <c r="Y348" s="23"/>
      <c r="Z348" s="23"/>
      <c r="AA348" s="23"/>
      <c r="AB348" s="23"/>
      <c r="AC348" s="23"/>
      <c r="AD348" s="23"/>
      <c r="AE348" s="197"/>
      <c r="AF348" s="31"/>
      <c r="AG348" s="31"/>
      <c r="AH348" s="31"/>
      <c r="AI348" s="31"/>
      <c r="AJ348" s="31"/>
      <c r="AK348" s="31"/>
      <c r="AL348" s="31"/>
      <c r="AM348" s="31"/>
      <c r="AN348" s="31"/>
      <c r="AO348" s="31"/>
      <c r="AP348" s="31"/>
      <c r="AQ348" s="31"/>
      <c r="AR348" s="31"/>
      <c r="AS348" s="31"/>
      <c r="AT348" s="31"/>
      <c r="AU348" s="31"/>
      <c r="AV348" s="163"/>
      <c r="AW348" s="163"/>
      <c r="AX348" s="163"/>
      <c r="AY348" s="163"/>
      <c r="AZ348" s="38">
        <f t="shared" ref="AZ348:BX348" si="396">AZ346/AY346-1</f>
        <v>7.7179344808439687E-2</v>
      </c>
      <c r="BA348" s="38">
        <f t="shared" si="396"/>
        <v>7.1340206185567023E-2</v>
      </c>
      <c r="BB348" s="38">
        <f t="shared" si="396"/>
        <v>7.9484218629715109E-2</v>
      </c>
      <c r="BC348" s="38">
        <f t="shared" si="396"/>
        <v>6.7569976822963174E-2</v>
      </c>
      <c r="BD348" s="38">
        <f t="shared" si="396"/>
        <v>9.3102872411489734E-2</v>
      </c>
      <c r="BE348" s="38">
        <f t="shared" si="396"/>
        <v>5.049270491177138E-2</v>
      </c>
      <c r="BF348" s="38">
        <f t="shared" si="396"/>
        <v>5.4392088423502072E-2</v>
      </c>
      <c r="BG348" s="38">
        <f t="shared" si="396"/>
        <v>2.7586206896551779E-2</v>
      </c>
      <c r="BH348" s="38">
        <f t="shared" si="396"/>
        <v>4.3758389261745023E-2</v>
      </c>
      <c r="BI348" s="38">
        <f t="shared" si="396"/>
        <v>6.1856995884773669E-2</v>
      </c>
      <c r="BJ348" s="38">
        <f t="shared" si="396"/>
        <v>8.5442654717209576E-2</v>
      </c>
      <c r="BK348" s="38">
        <f t="shared" si="396"/>
        <v>1.5285913528591433E-2</v>
      </c>
      <c r="BL348" s="38">
        <f t="shared" si="396"/>
        <v>7.2091873179845001E-2</v>
      </c>
      <c r="BM348" s="38">
        <f t="shared" si="396"/>
        <v>5.4277074470811426E-2</v>
      </c>
      <c r="BN348" s="38">
        <f t="shared" si="396"/>
        <v>4.6280991735537125E-2</v>
      </c>
      <c r="BO348" s="38">
        <f t="shared" si="396"/>
        <v>3.1177399869900535E-2</v>
      </c>
      <c r="BP348" s="38">
        <f t="shared" si="396"/>
        <v>4.312170504213042E-2</v>
      </c>
      <c r="BQ348" s="38">
        <f t="shared" si="396"/>
        <v>3.1619870410367179E-2</v>
      </c>
      <c r="BR348" s="38">
        <f t="shared" si="396"/>
        <v>3.3749267230550162E-2</v>
      </c>
      <c r="BS348" s="38">
        <f t="shared" si="396"/>
        <v>4.8606610499027925E-2</v>
      </c>
      <c r="BT348" s="38">
        <f t="shared" si="396"/>
        <v>3.0322929542645261E-2</v>
      </c>
      <c r="BU348" s="38">
        <f t="shared" si="396"/>
        <v>4.4764368462490101E-2</v>
      </c>
      <c r="BV348" s="38">
        <f t="shared" si="396"/>
        <v>5.9496895970143848E-2</v>
      </c>
      <c r="BW348" s="38">
        <f t="shared" si="396"/>
        <v>5.1955969517358147E-2</v>
      </c>
      <c r="BX348" s="38">
        <f t="shared" si="396"/>
        <v>4.5011107891432367E-2</v>
      </c>
      <c r="BY348" s="168">
        <f t="shared" ref="BY348:CE348" si="397">CHOOSE(mode,BY349,BY350,BY351)</f>
        <v>0.06</v>
      </c>
      <c r="BZ348" s="168">
        <f t="shared" si="397"/>
        <v>0.06</v>
      </c>
      <c r="CA348" s="168">
        <f t="shared" si="397"/>
        <v>0.06</v>
      </c>
      <c r="CB348" s="168">
        <f t="shared" si="397"/>
        <v>0.06</v>
      </c>
      <c r="CC348" s="168">
        <f t="shared" si="397"/>
        <v>0.06</v>
      </c>
      <c r="CD348" s="168">
        <f t="shared" si="397"/>
        <v>0.06</v>
      </c>
      <c r="CE348" s="168">
        <f t="shared" si="397"/>
        <v>0.06</v>
      </c>
      <c r="CF348" s="168">
        <f t="shared" ref="CF348:CM348" si="398">CHOOSE(mode,CF349,CF350,CF351)</f>
        <v>0.06</v>
      </c>
      <c r="CG348" s="168">
        <f t="shared" si="398"/>
        <v>0.06</v>
      </c>
      <c r="CH348" s="168">
        <f t="shared" si="398"/>
        <v>0.06</v>
      </c>
      <c r="CI348" s="168">
        <f t="shared" si="398"/>
        <v>0.06</v>
      </c>
      <c r="CJ348" s="168">
        <f t="shared" si="398"/>
        <v>0.06</v>
      </c>
      <c r="CK348" s="168">
        <f t="shared" si="398"/>
        <v>0.06</v>
      </c>
      <c r="CL348" s="168">
        <f t="shared" si="398"/>
        <v>0.06</v>
      </c>
      <c r="CM348" s="168">
        <f t="shared" si="398"/>
        <v>0.06</v>
      </c>
      <c r="CN348" s="168">
        <f>CHOOSE(mode,CN349,CN350,CN351)</f>
        <v>0.06</v>
      </c>
      <c r="CO348" s="168">
        <f>CHOOSE(mode,CO349,CO350,CO351)</f>
        <v>0.06</v>
      </c>
      <c r="CP348" s="168">
        <f>CHOOSE(mode,CP349,CP350,CP351)</f>
        <v>0.06</v>
      </c>
      <c r="CQ348" s="168">
        <f>CHOOSE(mode,CQ349,CQ350,CQ351)</f>
        <v>0.06</v>
      </c>
      <c r="CR348" s="168">
        <f t="shared" ref="CR348:CU348" si="399">CHOOSE(mode,CR349,CR350,CR351)</f>
        <v>0.06</v>
      </c>
      <c r="CS348" s="168">
        <f t="shared" si="399"/>
        <v>0.06</v>
      </c>
      <c r="CT348" s="168">
        <f t="shared" si="399"/>
        <v>0.06</v>
      </c>
      <c r="CU348" s="168">
        <f t="shared" si="399"/>
        <v>0.06</v>
      </c>
      <c r="CV348" s="168">
        <f>CHOOSE(mode,CV349,CV350,CV351)</f>
        <v>0.06</v>
      </c>
      <c r="CW348" s="168">
        <f>CHOOSE(mode,CW349,CW350,CW351)</f>
        <v>0.06</v>
      </c>
      <c r="CX348" s="168">
        <f>CHOOSE(mode,CX349,CX350,CX351)</f>
        <v>0.06</v>
      </c>
      <c r="CY348" s="168">
        <f>CHOOSE(mode,CY349,CY350,CY351)</f>
        <v>0.06</v>
      </c>
      <c r="CZ348" s="168">
        <f t="shared" ref="CZ348:DC348" si="400">CHOOSE(mode,CZ349,CZ350,CZ351)</f>
        <v>0.06</v>
      </c>
      <c r="DA348" s="168">
        <f t="shared" si="400"/>
        <v>0.06</v>
      </c>
      <c r="DB348" s="168">
        <f t="shared" si="400"/>
        <v>0.06</v>
      </c>
      <c r="DC348" s="168">
        <f t="shared" si="400"/>
        <v>0.06</v>
      </c>
    </row>
    <row r="349" spans="2:107" hidden="1" outlineLevel="2">
      <c r="B349" s="134" t="s">
        <v>1046</v>
      </c>
      <c r="C349" s="135"/>
      <c r="D349" s="135"/>
      <c r="E349" s="135"/>
      <c r="F349" s="135"/>
      <c r="G349" s="135"/>
      <c r="H349" s="135"/>
      <c r="I349" s="135"/>
      <c r="J349" s="135"/>
      <c r="K349" s="135"/>
      <c r="L349" s="135"/>
      <c r="M349" s="136"/>
      <c r="N349" s="136"/>
      <c r="O349" s="136"/>
      <c r="P349" s="137"/>
      <c r="Q349" s="137"/>
      <c r="R349" s="137"/>
      <c r="S349" s="137"/>
      <c r="T349" s="137"/>
      <c r="U349" s="137"/>
      <c r="V349" s="137"/>
      <c r="W349" s="137"/>
      <c r="X349" s="137">
        <f>X350+0.1</f>
        <v>0.30000000000000004</v>
      </c>
      <c r="Y349" s="137">
        <f>Y350+0.1</f>
        <v>0.30000000000000004</v>
      </c>
      <c r="Z349" s="137">
        <f>Z350+0.1</f>
        <v>0.30000000000000004</v>
      </c>
      <c r="AA349" s="137">
        <f t="shared" ref="AA349:AD349" si="401">AA350+0.1</f>
        <v>0.30000000000000004</v>
      </c>
      <c r="AB349" s="137">
        <f t="shared" si="401"/>
        <v>0.30000000000000004</v>
      </c>
      <c r="AC349" s="137">
        <f t="shared" si="401"/>
        <v>0.30000000000000004</v>
      </c>
      <c r="AD349" s="137">
        <f t="shared" si="401"/>
        <v>0.30000000000000004</v>
      </c>
      <c r="AE349" s="135"/>
      <c r="AF349" s="135"/>
      <c r="AG349" s="135"/>
      <c r="AH349" s="135"/>
      <c r="AI349" s="135"/>
      <c r="AJ349" s="135"/>
      <c r="AK349" s="135"/>
      <c r="AL349" s="135"/>
      <c r="AM349" s="135"/>
      <c r="AN349" s="135"/>
      <c r="AO349" s="135"/>
      <c r="AP349" s="135"/>
      <c r="AQ349" s="135"/>
      <c r="AR349" s="135"/>
      <c r="AS349" s="135"/>
      <c r="AT349" s="135"/>
      <c r="AU349" s="135"/>
      <c r="AV349" s="135"/>
      <c r="AW349" s="135"/>
      <c r="AX349" s="135"/>
      <c r="AY349" s="135"/>
      <c r="AZ349" s="135"/>
      <c r="BA349" s="135"/>
      <c r="BB349" s="135"/>
      <c r="BC349" s="135"/>
      <c r="BD349" s="137"/>
      <c r="BE349" s="137"/>
      <c r="BF349" s="137"/>
      <c r="BG349" s="137"/>
      <c r="BH349" s="137"/>
      <c r="BI349" s="137"/>
      <c r="BJ349" s="137"/>
      <c r="BK349" s="137"/>
      <c r="BL349" s="137"/>
      <c r="BM349" s="137"/>
      <c r="BN349" s="137"/>
      <c r="BO349" s="137"/>
      <c r="BP349" s="136"/>
      <c r="BQ349" s="136"/>
      <c r="BR349" s="136"/>
      <c r="BS349" s="136"/>
      <c r="BT349" s="136"/>
      <c r="BU349" s="136"/>
      <c r="BV349" s="167"/>
      <c r="BW349" s="167"/>
      <c r="BX349" s="167">
        <f t="shared" ref="BX349:DC349" si="402">BX350+0.5%</f>
        <v>6.5000000000000002E-2</v>
      </c>
      <c r="BY349" s="167">
        <f t="shared" si="402"/>
        <v>6.5000000000000002E-2</v>
      </c>
      <c r="BZ349" s="167">
        <f t="shared" si="402"/>
        <v>6.5000000000000002E-2</v>
      </c>
      <c r="CA349" s="167">
        <f t="shared" si="402"/>
        <v>6.5000000000000002E-2</v>
      </c>
      <c r="CB349" s="167">
        <f t="shared" si="402"/>
        <v>6.5000000000000002E-2</v>
      </c>
      <c r="CC349" s="167">
        <f t="shared" si="402"/>
        <v>6.5000000000000002E-2</v>
      </c>
      <c r="CD349" s="167">
        <f t="shared" si="402"/>
        <v>6.5000000000000002E-2</v>
      </c>
      <c r="CE349" s="167">
        <f t="shared" si="402"/>
        <v>6.5000000000000002E-2</v>
      </c>
      <c r="CF349" s="167">
        <f t="shared" si="402"/>
        <v>6.5000000000000002E-2</v>
      </c>
      <c r="CG349" s="167">
        <f t="shared" si="402"/>
        <v>6.5000000000000002E-2</v>
      </c>
      <c r="CH349" s="167">
        <f t="shared" si="402"/>
        <v>6.5000000000000002E-2</v>
      </c>
      <c r="CI349" s="167">
        <f t="shared" si="402"/>
        <v>6.5000000000000002E-2</v>
      </c>
      <c r="CJ349" s="167">
        <f t="shared" si="402"/>
        <v>6.5000000000000002E-2</v>
      </c>
      <c r="CK349" s="167">
        <f t="shared" si="402"/>
        <v>6.5000000000000002E-2</v>
      </c>
      <c r="CL349" s="167">
        <f t="shared" si="402"/>
        <v>6.5000000000000002E-2</v>
      </c>
      <c r="CM349" s="167">
        <f t="shared" si="402"/>
        <v>6.5000000000000002E-2</v>
      </c>
      <c r="CN349" s="167">
        <f t="shared" si="402"/>
        <v>6.5000000000000002E-2</v>
      </c>
      <c r="CO349" s="167">
        <f t="shared" si="402"/>
        <v>6.5000000000000002E-2</v>
      </c>
      <c r="CP349" s="167">
        <f t="shared" si="402"/>
        <v>6.5000000000000002E-2</v>
      </c>
      <c r="CQ349" s="167">
        <f t="shared" si="402"/>
        <v>6.5000000000000002E-2</v>
      </c>
      <c r="CR349" s="167">
        <f t="shared" si="402"/>
        <v>6.5000000000000002E-2</v>
      </c>
      <c r="CS349" s="167">
        <f t="shared" si="402"/>
        <v>6.5000000000000002E-2</v>
      </c>
      <c r="CT349" s="167">
        <f t="shared" si="402"/>
        <v>6.5000000000000002E-2</v>
      </c>
      <c r="CU349" s="167">
        <f t="shared" si="402"/>
        <v>6.5000000000000002E-2</v>
      </c>
      <c r="CV349" s="167">
        <f t="shared" si="402"/>
        <v>6.5000000000000002E-2</v>
      </c>
      <c r="CW349" s="167">
        <f t="shared" si="402"/>
        <v>6.5000000000000002E-2</v>
      </c>
      <c r="CX349" s="167">
        <f t="shared" si="402"/>
        <v>6.5000000000000002E-2</v>
      </c>
      <c r="CY349" s="167">
        <f t="shared" si="402"/>
        <v>6.5000000000000002E-2</v>
      </c>
      <c r="CZ349" s="167">
        <f t="shared" si="402"/>
        <v>6.5000000000000002E-2</v>
      </c>
      <c r="DA349" s="167">
        <f t="shared" si="402"/>
        <v>6.5000000000000002E-2</v>
      </c>
      <c r="DB349" s="167">
        <f t="shared" si="402"/>
        <v>6.5000000000000002E-2</v>
      </c>
      <c r="DC349" s="167">
        <f t="shared" si="402"/>
        <v>6.5000000000000002E-2</v>
      </c>
    </row>
    <row r="350" spans="2:107" hidden="1" outlineLevel="2">
      <c r="B350" s="134" t="s">
        <v>1047</v>
      </c>
      <c r="C350" s="135"/>
      <c r="D350" s="135"/>
      <c r="E350" s="135"/>
      <c r="F350" s="135"/>
      <c r="G350" s="135"/>
      <c r="H350" s="135"/>
      <c r="I350" s="135"/>
      <c r="J350" s="135"/>
      <c r="K350" s="135"/>
      <c r="L350" s="135"/>
      <c r="M350" s="136"/>
      <c r="N350" s="136"/>
      <c r="O350" s="136"/>
      <c r="P350" s="137"/>
      <c r="Q350" s="137"/>
      <c r="R350" s="137"/>
      <c r="S350" s="137"/>
      <c r="T350" s="137"/>
      <c r="U350" s="137"/>
      <c r="V350" s="137"/>
      <c r="W350" s="137"/>
      <c r="X350" s="137">
        <v>0.2</v>
      </c>
      <c r="Y350" s="137">
        <v>0.2</v>
      </c>
      <c r="Z350" s="137">
        <v>0.2</v>
      </c>
      <c r="AA350" s="137">
        <v>0.2</v>
      </c>
      <c r="AB350" s="137">
        <v>0.2</v>
      </c>
      <c r="AC350" s="137">
        <v>0.2</v>
      </c>
      <c r="AD350" s="137">
        <v>0.2</v>
      </c>
      <c r="AE350" s="135"/>
      <c r="AF350" s="135"/>
      <c r="AG350" s="135"/>
      <c r="AH350" s="135"/>
      <c r="AI350" s="135"/>
      <c r="AJ350" s="135"/>
      <c r="AK350" s="135"/>
      <c r="AL350" s="135"/>
      <c r="AM350" s="135"/>
      <c r="AN350" s="135"/>
      <c r="AO350" s="135"/>
      <c r="AP350" s="135"/>
      <c r="AQ350" s="135"/>
      <c r="AR350" s="135"/>
      <c r="AS350" s="135"/>
      <c r="AT350" s="135"/>
      <c r="AU350" s="135"/>
      <c r="AV350" s="135"/>
      <c r="AW350" s="135"/>
      <c r="AX350" s="135"/>
      <c r="AY350" s="135"/>
      <c r="AZ350" s="135"/>
      <c r="BA350" s="135"/>
      <c r="BB350" s="135"/>
      <c r="BC350" s="135"/>
      <c r="BD350" s="137"/>
      <c r="BE350" s="137"/>
      <c r="BF350" s="137"/>
      <c r="BG350" s="137"/>
      <c r="BH350" s="137"/>
      <c r="BI350" s="137"/>
      <c r="BJ350" s="137"/>
      <c r="BK350" s="137"/>
      <c r="BL350" s="137"/>
      <c r="BM350" s="137"/>
      <c r="BN350" s="137"/>
      <c r="BO350" s="137"/>
      <c r="BP350" s="136"/>
      <c r="BQ350" s="136"/>
      <c r="BR350" s="136"/>
      <c r="BS350" s="136"/>
      <c r="BT350" s="136"/>
      <c r="BU350" s="136"/>
      <c r="BV350" s="167"/>
      <c r="BW350" s="167"/>
      <c r="BX350" s="167">
        <v>0.06</v>
      </c>
      <c r="BY350" s="167">
        <v>0.06</v>
      </c>
      <c r="BZ350" s="167">
        <v>0.06</v>
      </c>
      <c r="CA350" s="167">
        <v>0.06</v>
      </c>
      <c r="CB350" s="167">
        <v>0.06</v>
      </c>
      <c r="CC350" s="167">
        <v>0.06</v>
      </c>
      <c r="CD350" s="167">
        <v>0.06</v>
      </c>
      <c r="CE350" s="167">
        <v>0.06</v>
      </c>
      <c r="CF350" s="167">
        <v>0.06</v>
      </c>
      <c r="CG350" s="167">
        <v>0.06</v>
      </c>
      <c r="CH350" s="167">
        <v>0.06</v>
      </c>
      <c r="CI350" s="167">
        <v>0.06</v>
      </c>
      <c r="CJ350" s="167">
        <v>0.06</v>
      </c>
      <c r="CK350" s="167">
        <v>0.06</v>
      </c>
      <c r="CL350" s="167">
        <v>0.06</v>
      </c>
      <c r="CM350" s="167">
        <v>0.06</v>
      </c>
      <c r="CN350" s="167">
        <v>0.06</v>
      </c>
      <c r="CO350" s="167">
        <v>0.06</v>
      </c>
      <c r="CP350" s="167">
        <v>0.06</v>
      </c>
      <c r="CQ350" s="167">
        <v>0.06</v>
      </c>
      <c r="CR350" s="167">
        <v>0.06</v>
      </c>
      <c r="CS350" s="167">
        <v>0.06</v>
      </c>
      <c r="CT350" s="167">
        <v>0.06</v>
      </c>
      <c r="CU350" s="167">
        <v>0.06</v>
      </c>
      <c r="CV350" s="167">
        <v>0.06</v>
      </c>
      <c r="CW350" s="167">
        <v>0.06</v>
      </c>
      <c r="CX350" s="167">
        <v>0.06</v>
      </c>
      <c r="CY350" s="167">
        <v>0.06</v>
      </c>
      <c r="CZ350" s="167">
        <v>0.06</v>
      </c>
      <c r="DA350" s="167">
        <v>0.06</v>
      </c>
      <c r="DB350" s="167">
        <v>0.06</v>
      </c>
      <c r="DC350" s="167">
        <v>0.06</v>
      </c>
    </row>
    <row r="351" spans="2:107" hidden="1" outlineLevel="2">
      <c r="B351" s="134" t="s">
        <v>1048</v>
      </c>
      <c r="C351" s="135"/>
      <c r="D351" s="135"/>
      <c r="E351" s="135"/>
      <c r="F351" s="135"/>
      <c r="G351" s="135"/>
      <c r="H351" s="135"/>
      <c r="I351" s="135"/>
      <c r="J351" s="135"/>
      <c r="K351" s="135"/>
      <c r="L351" s="135"/>
      <c r="M351" s="136"/>
      <c r="N351" s="136"/>
      <c r="O351" s="136"/>
      <c r="P351" s="137"/>
      <c r="Q351" s="137"/>
      <c r="R351" s="137"/>
      <c r="S351" s="137"/>
      <c r="T351" s="137"/>
      <c r="U351" s="137"/>
      <c r="V351" s="137"/>
      <c r="W351" s="137"/>
      <c r="X351" s="137">
        <f>X350-0.1</f>
        <v>0.1</v>
      </c>
      <c r="Y351" s="137">
        <f>Y350-0.1</f>
        <v>0.1</v>
      </c>
      <c r="Z351" s="137">
        <f>Z350-0.1</f>
        <v>0.1</v>
      </c>
      <c r="AA351" s="137">
        <f t="shared" ref="AA351:AD351" si="403">AA350-0.1</f>
        <v>0.1</v>
      </c>
      <c r="AB351" s="137">
        <f t="shared" si="403"/>
        <v>0.1</v>
      </c>
      <c r="AC351" s="137">
        <f t="shared" si="403"/>
        <v>0.1</v>
      </c>
      <c r="AD351" s="137">
        <f t="shared" si="403"/>
        <v>0.1</v>
      </c>
      <c r="AE351" s="135"/>
      <c r="AF351" s="135"/>
      <c r="AG351" s="135"/>
      <c r="AH351" s="135"/>
      <c r="AI351" s="135"/>
      <c r="AJ351" s="135"/>
      <c r="AK351" s="135"/>
      <c r="AL351" s="135"/>
      <c r="AM351" s="135"/>
      <c r="AN351" s="135"/>
      <c r="AO351" s="135"/>
      <c r="AP351" s="135"/>
      <c r="AQ351" s="135"/>
      <c r="AR351" s="135"/>
      <c r="AS351" s="135"/>
      <c r="AT351" s="135"/>
      <c r="AU351" s="135"/>
      <c r="AV351" s="135"/>
      <c r="AW351" s="135"/>
      <c r="AX351" s="135"/>
      <c r="AY351" s="135"/>
      <c r="AZ351" s="135"/>
      <c r="BA351" s="135"/>
      <c r="BB351" s="135"/>
      <c r="BC351" s="135"/>
      <c r="BD351" s="137"/>
      <c r="BE351" s="137"/>
      <c r="BF351" s="137"/>
      <c r="BG351" s="137"/>
      <c r="BH351" s="137"/>
      <c r="BI351" s="137"/>
      <c r="BJ351" s="137"/>
      <c r="BK351" s="137"/>
      <c r="BL351" s="137"/>
      <c r="BM351" s="137"/>
      <c r="BN351" s="137"/>
      <c r="BO351" s="137"/>
      <c r="BP351" s="136"/>
      <c r="BQ351" s="136"/>
      <c r="BR351" s="136"/>
      <c r="BS351" s="136"/>
      <c r="BT351" s="578"/>
      <c r="BU351" s="578"/>
      <c r="BV351" s="578"/>
      <c r="BW351" s="578"/>
      <c r="BX351" s="167">
        <f t="shared" ref="BX351:CJ351" si="404">BX350-0.5%</f>
        <v>5.5E-2</v>
      </c>
      <c r="BY351" s="167">
        <f t="shared" si="404"/>
        <v>5.5E-2</v>
      </c>
      <c r="BZ351" s="167">
        <f t="shared" si="404"/>
        <v>5.5E-2</v>
      </c>
      <c r="CA351" s="167">
        <f t="shared" si="404"/>
        <v>5.5E-2</v>
      </c>
      <c r="CB351" s="167">
        <f t="shared" si="404"/>
        <v>5.5E-2</v>
      </c>
      <c r="CC351" s="167">
        <f t="shared" si="404"/>
        <v>5.5E-2</v>
      </c>
      <c r="CD351" s="167">
        <f t="shared" si="404"/>
        <v>5.5E-2</v>
      </c>
      <c r="CE351" s="167">
        <f t="shared" si="404"/>
        <v>5.5E-2</v>
      </c>
      <c r="CF351" s="167">
        <f t="shared" si="404"/>
        <v>5.5E-2</v>
      </c>
      <c r="CG351" s="167">
        <f t="shared" si="404"/>
        <v>5.5E-2</v>
      </c>
      <c r="CH351" s="167">
        <f t="shared" si="404"/>
        <v>5.5E-2</v>
      </c>
      <c r="CI351" s="167">
        <f t="shared" si="404"/>
        <v>5.5E-2</v>
      </c>
      <c r="CJ351" s="167">
        <f t="shared" si="404"/>
        <v>5.5E-2</v>
      </c>
      <c r="CK351" s="167">
        <f t="shared" ref="CK351:CQ351" si="405">CK350-0.5%</f>
        <v>5.5E-2</v>
      </c>
      <c r="CL351" s="167">
        <f t="shared" si="405"/>
        <v>5.5E-2</v>
      </c>
      <c r="CM351" s="167">
        <f t="shared" si="405"/>
        <v>5.5E-2</v>
      </c>
      <c r="CN351" s="167">
        <f t="shared" si="405"/>
        <v>5.5E-2</v>
      </c>
      <c r="CO351" s="167">
        <f t="shared" si="405"/>
        <v>5.5E-2</v>
      </c>
      <c r="CP351" s="167">
        <f t="shared" si="405"/>
        <v>5.5E-2</v>
      </c>
      <c r="CQ351" s="167">
        <f t="shared" si="405"/>
        <v>5.5E-2</v>
      </c>
      <c r="CR351" s="167">
        <f t="shared" ref="CR351:CU351" si="406">CR350-0.5%</f>
        <v>5.5E-2</v>
      </c>
      <c r="CS351" s="167">
        <f t="shared" si="406"/>
        <v>5.5E-2</v>
      </c>
      <c r="CT351" s="167">
        <f t="shared" si="406"/>
        <v>5.5E-2</v>
      </c>
      <c r="CU351" s="167">
        <f t="shared" si="406"/>
        <v>5.5E-2</v>
      </c>
      <c r="CV351" s="167">
        <f>CV350-0.5%</f>
        <v>5.5E-2</v>
      </c>
      <c r="CW351" s="167">
        <f>CW350-0.5%</f>
        <v>5.5E-2</v>
      </c>
      <c r="CX351" s="167">
        <f>CX350-0.5%</f>
        <v>5.5E-2</v>
      </c>
      <c r="CY351" s="167">
        <f>CY350-0.5%</f>
        <v>5.5E-2</v>
      </c>
      <c r="CZ351" s="167">
        <f t="shared" ref="CZ351:DC351" si="407">CZ350-0.5%</f>
        <v>5.5E-2</v>
      </c>
      <c r="DA351" s="167">
        <f t="shared" si="407"/>
        <v>5.5E-2</v>
      </c>
      <c r="DB351" s="167">
        <f t="shared" si="407"/>
        <v>5.5E-2</v>
      </c>
      <c r="DC351" s="167">
        <f t="shared" si="407"/>
        <v>5.5E-2</v>
      </c>
    </row>
    <row r="352" spans="2:107" hidden="1" outlineLevel="1">
      <c r="B352" s="37"/>
      <c r="C352" s="197"/>
      <c r="D352" s="31"/>
      <c r="E352" s="31"/>
      <c r="F352" s="31"/>
      <c r="G352" s="31"/>
      <c r="H352" s="31"/>
      <c r="I352" s="31"/>
      <c r="J352" s="31"/>
      <c r="K352" s="31"/>
      <c r="L352" s="31"/>
      <c r="M352" s="199"/>
      <c r="N352" s="199"/>
      <c r="O352" s="199"/>
      <c r="P352" s="199"/>
      <c r="Q352" s="199"/>
      <c r="R352" s="199"/>
      <c r="S352" s="199"/>
      <c r="T352" s="199"/>
      <c r="U352" s="199"/>
      <c r="V352" s="199"/>
      <c r="W352" s="199"/>
      <c r="X352" s="199"/>
      <c r="Y352" s="199"/>
      <c r="Z352" s="199"/>
      <c r="AA352" s="199"/>
      <c r="AB352" s="199"/>
      <c r="AC352" s="199"/>
      <c r="AD352" s="199"/>
      <c r="AE352" s="197"/>
      <c r="AF352" s="31"/>
      <c r="AG352" s="31"/>
      <c r="AH352" s="31"/>
      <c r="AI352" s="31"/>
      <c r="AJ352" s="31"/>
      <c r="AK352" s="31"/>
      <c r="AL352" s="31"/>
      <c r="AM352" s="31"/>
      <c r="AN352" s="31"/>
      <c r="AO352" s="31"/>
      <c r="AP352" s="31"/>
      <c r="AQ352" s="31"/>
      <c r="AR352" s="31"/>
      <c r="AS352" s="31"/>
      <c r="AT352" s="31"/>
      <c r="AU352" s="31"/>
      <c r="AV352" s="163"/>
      <c r="AW352" s="163"/>
      <c r="AX352" s="163"/>
      <c r="AY352" s="163"/>
      <c r="AZ352" s="38"/>
      <c r="BA352" s="38"/>
      <c r="BB352" s="38"/>
      <c r="BC352" s="38"/>
      <c r="BD352" s="38"/>
      <c r="BE352" s="38"/>
      <c r="BF352" s="38"/>
      <c r="BG352" s="38"/>
      <c r="BH352" s="38"/>
      <c r="BI352" s="38"/>
      <c r="BJ352" s="38"/>
      <c r="BK352" s="38"/>
      <c r="BL352" s="38"/>
      <c r="BM352" s="38"/>
      <c r="BN352" s="38"/>
      <c r="BO352" s="38"/>
      <c r="BP352" s="38"/>
      <c r="BQ352" s="38"/>
      <c r="BR352" s="38"/>
      <c r="BS352" s="38"/>
      <c r="BT352" s="577"/>
      <c r="BU352" s="577"/>
      <c r="BV352" s="577"/>
      <c r="BW352" s="577"/>
      <c r="BX352" s="199"/>
      <c r="BY352" s="199"/>
      <c r="BZ352" s="199"/>
      <c r="CA352" s="199"/>
      <c r="CB352" s="199"/>
      <c r="CC352" s="199"/>
      <c r="CD352" s="199"/>
      <c r="CE352" s="199"/>
      <c r="CF352" s="199"/>
      <c r="CG352" s="199"/>
      <c r="CH352" s="199"/>
      <c r="CI352" s="199"/>
      <c r="CJ352" s="199"/>
      <c r="CK352" s="199"/>
      <c r="CL352" s="199"/>
      <c r="CM352" s="199"/>
      <c r="CN352" s="199"/>
      <c r="CO352" s="199"/>
      <c r="CP352" s="199"/>
      <c r="CQ352" s="199"/>
      <c r="CR352" s="199"/>
      <c r="CS352" s="199"/>
      <c r="CT352" s="199"/>
      <c r="CU352" s="199"/>
      <c r="CV352" s="199"/>
      <c r="CW352" s="199"/>
      <c r="CX352" s="199"/>
      <c r="CY352" s="199"/>
      <c r="CZ352" s="199"/>
      <c r="DA352" s="199"/>
      <c r="DB352" s="199"/>
      <c r="DC352" s="199"/>
    </row>
    <row r="353" spans="2:107" hidden="1" outlineLevel="1">
      <c r="B353" s="17" t="s">
        <v>726</v>
      </c>
      <c r="C353" s="197"/>
      <c r="D353" s="31"/>
      <c r="E353" s="31"/>
      <c r="F353" s="31"/>
      <c r="G353" s="31"/>
      <c r="H353" s="31"/>
      <c r="I353" s="31"/>
      <c r="J353" s="31"/>
      <c r="K353" s="31"/>
      <c r="L353" s="31"/>
      <c r="M353" s="199"/>
      <c r="N353" s="166">
        <f t="shared" ref="N353:Z353" si="408">N346/N230</f>
        <v>1.141068870523416</v>
      </c>
      <c r="O353" s="166">
        <f t="shared" si="408"/>
        <v>1.2677142857142858</v>
      </c>
      <c r="P353" s="166">
        <f t="shared" si="408"/>
        <v>3.8274065655445546</v>
      </c>
      <c r="Q353" s="166" t="e">
        <f t="shared" si="408"/>
        <v>#DIV/0!</v>
      </c>
      <c r="R353" s="166" t="e">
        <f t="shared" si="408"/>
        <v>#DIV/0!</v>
      </c>
      <c r="S353" s="166" t="e">
        <f t="shared" si="408"/>
        <v>#DIV/0!</v>
      </c>
      <c r="T353" s="166" t="e">
        <f t="shared" si="408"/>
        <v>#DIV/0!</v>
      </c>
      <c r="U353" s="166" t="e">
        <f t="shared" si="408"/>
        <v>#DIV/0!</v>
      </c>
      <c r="V353" s="166" t="e">
        <f t="shared" si="408"/>
        <v>#DIV/0!</v>
      </c>
      <c r="W353" s="166" t="e">
        <f t="shared" ref="W353" si="409">W346/W230</f>
        <v>#DIV/0!</v>
      </c>
      <c r="X353" s="166" t="e">
        <f t="shared" si="408"/>
        <v>#DIV/0!</v>
      </c>
      <c r="Y353" s="166" t="e">
        <f t="shared" si="408"/>
        <v>#DIV/0!</v>
      </c>
      <c r="Z353" s="166" t="e">
        <f t="shared" si="408"/>
        <v>#DIV/0!</v>
      </c>
      <c r="AA353" s="166" t="e">
        <f t="shared" ref="AA353:AD353" si="410">AA346/AA230</f>
        <v>#DIV/0!</v>
      </c>
      <c r="AB353" s="166" t="e">
        <f t="shared" si="410"/>
        <v>#DIV/0!</v>
      </c>
      <c r="AC353" s="166" t="e">
        <f t="shared" si="410"/>
        <v>#DIV/0!</v>
      </c>
      <c r="AD353" s="166" t="e">
        <f t="shared" si="410"/>
        <v>#DIV/0!</v>
      </c>
      <c r="AE353" s="197"/>
      <c r="AF353" s="31"/>
      <c r="AG353" s="31"/>
      <c r="AH353" s="31"/>
      <c r="AI353" s="31"/>
      <c r="AJ353" s="31"/>
      <c r="AK353" s="31"/>
      <c r="AL353" s="31"/>
      <c r="AM353" s="31"/>
      <c r="AN353" s="31"/>
      <c r="AO353" s="31"/>
      <c r="AP353" s="31"/>
      <c r="AQ353" s="31"/>
      <c r="AR353" s="31"/>
      <c r="AS353" s="31"/>
      <c r="AT353" s="31"/>
      <c r="AU353" s="31"/>
      <c r="AV353" s="31"/>
      <c r="AW353" s="31"/>
      <c r="AX353" s="31"/>
      <c r="AY353" s="165"/>
      <c r="AZ353" s="165"/>
      <c r="BA353" s="165"/>
      <c r="BB353" s="165"/>
      <c r="BC353" s="165"/>
      <c r="BD353" s="165"/>
      <c r="BE353" s="165"/>
      <c r="BF353" s="165"/>
      <c r="BG353" s="165"/>
      <c r="BH353" s="165"/>
      <c r="BI353" s="165"/>
      <c r="BJ353" s="165"/>
      <c r="BK353" s="165"/>
      <c r="BL353" s="165"/>
      <c r="BM353" s="165"/>
      <c r="BN353" s="165"/>
      <c r="BO353" s="165"/>
      <c r="BP353" s="166">
        <f t="shared" ref="BP353:CU353" si="411">BP346/BP230</f>
        <v>1.0643678160919541</v>
      </c>
      <c r="BQ353" s="166">
        <f t="shared" si="411"/>
        <v>1.0661607142857144</v>
      </c>
      <c r="BR353" s="166">
        <f t="shared" si="411"/>
        <v>1.0687445887445888</v>
      </c>
      <c r="BS353" s="166">
        <f t="shared" si="411"/>
        <v>1.1016170212765957</v>
      </c>
      <c r="BT353" s="166">
        <f t="shared" si="411"/>
        <v>1.1302118644067796</v>
      </c>
      <c r="BU353" s="166">
        <f t="shared" si="411"/>
        <v>1.161125</v>
      </c>
      <c r="BV353" s="166">
        <f t="shared" si="411"/>
        <v>1.2002032520325203</v>
      </c>
      <c r="BW353" s="166">
        <f t="shared" si="411"/>
        <v>1.2038372093023255</v>
      </c>
      <c r="BX353" s="166">
        <f t="shared" si="411"/>
        <v>1.2178986866791746</v>
      </c>
      <c r="BY353" s="166">
        <f t="shared" si="411"/>
        <v>2.5021396363636361</v>
      </c>
      <c r="BZ353" s="166" t="e">
        <f t="shared" si="411"/>
        <v>#DIV/0!</v>
      </c>
      <c r="CA353" s="166" t="e">
        <f t="shared" si="411"/>
        <v>#DIV/0!</v>
      </c>
      <c r="CB353" s="166" t="e">
        <f t="shared" si="411"/>
        <v>#DIV/0!</v>
      </c>
      <c r="CC353" s="166" t="e">
        <f t="shared" si="411"/>
        <v>#DIV/0!</v>
      </c>
      <c r="CD353" s="166" t="e">
        <f t="shared" si="411"/>
        <v>#DIV/0!</v>
      </c>
      <c r="CE353" s="166" t="e">
        <f t="shared" si="411"/>
        <v>#DIV/0!</v>
      </c>
      <c r="CF353" s="166" t="e">
        <f t="shared" si="411"/>
        <v>#DIV/0!</v>
      </c>
      <c r="CG353" s="166" t="e">
        <f t="shared" si="411"/>
        <v>#DIV/0!</v>
      </c>
      <c r="CH353" s="166" t="e">
        <f t="shared" si="411"/>
        <v>#DIV/0!</v>
      </c>
      <c r="CI353" s="166" t="e">
        <f t="shared" si="411"/>
        <v>#DIV/0!</v>
      </c>
      <c r="CJ353" s="166" t="e">
        <f t="shared" si="411"/>
        <v>#DIV/0!</v>
      </c>
      <c r="CK353" s="166" t="e">
        <f t="shared" si="411"/>
        <v>#DIV/0!</v>
      </c>
      <c r="CL353" s="166" t="e">
        <f t="shared" si="411"/>
        <v>#DIV/0!</v>
      </c>
      <c r="CM353" s="166" t="e">
        <f t="shared" si="411"/>
        <v>#DIV/0!</v>
      </c>
      <c r="CN353" s="166" t="e">
        <f t="shared" si="411"/>
        <v>#DIV/0!</v>
      </c>
      <c r="CO353" s="166" t="e">
        <f t="shared" si="411"/>
        <v>#DIV/0!</v>
      </c>
      <c r="CP353" s="166" t="e">
        <f t="shared" si="411"/>
        <v>#DIV/0!</v>
      </c>
      <c r="CQ353" s="166" t="e">
        <f t="shared" si="411"/>
        <v>#DIV/0!</v>
      </c>
      <c r="CR353" s="166" t="e">
        <f t="shared" si="411"/>
        <v>#DIV/0!</v>
      </c>
      <c r="CS353" s="166" t="e">
        <f t="shared" si="411"/>
        <v>#DIV/0!</v>
      </c>
      <c r="CT353" s="166" t="e">
        <f t="shared" si="411"/>
        <v>#DIV/0!</v>
      </c>
      <c r="CU353" s="166" t="e">
        <f t="shared" si="411"/>
        <v>#DIV/0!</v>
      </c>
      <c r="CV353" s="166" t="e">
        <f>CV346/CV230</f>
        <v>#DIV/0!</v>
      </c>
      <c r="CW353" s="166" t="e">
        <f>CW346/CW230</f>
        <v>#DIV/0!</v>
      </c>
      <c r="CX353" s="166" t="e">
        <f>CX346/CX230</f>
        <v>#DIV/0!</v>
      </c>
      <c r="CY353" s="166" t="e">
        <f>CY346/CY230</f>
        <v>#DIV/0!</v>
      </c>
      <c r="CZ353" s="166" t="e">
        <f t="shared" ref="CZ353:DC353" si="412">CZ346/CZ230</f>
        <v>#DIV/0!</v>
      </c>
      <c r="DA353" s="166" t="e">
        <f t="shared" si="412"/>
        <v>#DIV/0!</v>
      </c>
      <c r="DB353" s="166" t="e">
        <f t="shared" si="412"/>
        <v>#DIV/0!</v>
      </c>
      <c r="DC353" s="166" t="e">
        <f t="shared" si="412"/>
        <v>#DIV/0!</v>
      </c>
    </row>
    <row r="354" spans="2:107" hidden="1" outlineLevel="1">
      <c r="B354" s="37" t="s">
        <v>709</v>
      </c>
      <c r="C354" s="197"/>
      <c r="D354" s="31"/>
      <c r="E354" s="31"/>
      <c r="F354" s="31"/>
      <c r="G354" s="31"/>
      <c r="H354" s="31"/>
      <c r="I354" s="31"/>
      <c r="J354" s="31"/>
      <c r="K354" s="31"/>
      <c r="L354" s="31"/>
      <c r="M354" s="199"/>
      <c r="N354" s="38"/>
      <c r="O354" s="38">
        <f t="shared" ref="O354:Z354" si="413">O353/N353-1</f>
        <v>0.11098840610100669</v>
      </c>
      <c r="P354" s="38">
        <f t="shared" si="413"/>
        <v>2.0191397294131037</v>
      </c>
      <c r="Q354" s="38" t="e">
        <f t="shared" si="413"/>
        <v>#DIV/0!</v>
      </c>
      <c r="R354" s="38" t="e">
        <f t="shared" si="413"/>
        <v>#DIV/0!</v>
      </c>
      <c r="S354" s="38" t="e">
        <f t="shared" si="413"/>
        <v>#DIV/0!</v>
      </c>
      <c r="T354" s="38" t="e">
        <f t="shared" si="413"/>
        <v>#DIV/0!</v>
      </c>
      <c r="U354" s="38" t="e">
        <f t="shared" si="413"/>
        <v>#DIV/0!</v>
      </c>
      <c r="V354" s="38" t="e">
        <f t="shared" si="413"/>
        <v>#DIV/0!</v>
      </c>
      <c r="W354" s="38" t="e">
        <f t="shared" si="413"/>
        <v>#DIV/0!</v>
      </c>
      <c r="X354" s="38" t="e">
        <f t="shared" si="413"/>
        <v>#DIV/0!</v>
      </c>
      <c r="Y354" s="38" t="e">
        <f t="shared" si="413"/>
        <v>#DIV/0!</v>
      </c>
      <c r="Z354" s="38" t="e">
        <f t="shared" si="413"/>
        <v>#DIV/0!</v>
      </c>
      <c r="AA354" s="38" t="e">
        <f t="shared" ref="AA354" si="414">AA353/Z353-1</f>
        <v>#DIV/0!</v>
      </c>
      <c r="AB354" s="38" t="e">
        <f t="shared" ref="AB354" si="415">AB353/AA353-1</f>
        <v>#DIV/0!</v>
      </c>
      <c r="AC354" s="38" t="e">
        <f t="shared" ref="AC354" si="416">AC353/AB353-1</f>
        <v>#DIV/0!</v>
      </c>
      <c r="AD354" s="38" t="e">
        <f t="shared" ref="AD354" si="417">AD353/AC353-1</f>
        <v>#DIV/0!</v>
      </c>
      <c r="AE354" s="197"/>
      <c r="AF354" s="31"/>
      <c r="AG354" s="31"/>
      <c r="AH354" s="31"/>
      <c r="AI354" s="31"/>
      <c r="AJ354" s="31"/>
      <c r="AK354" s="31"/>
      <c r="AL354" s="31"/>
      <c r="AM354" s="31"/>
      <c r="AN354" s="31"/>
      <c r="AO354" s="31"/>
      <c r="AP354" s="31"/>
      <c r="AQ354" s="31"/>
      <c r="AR354" s="31"/>
      <c r="AS354" s="31"/>
      <c r="AT354" s="31"/>
      <c r="AU354" s="31"/>
      <c r="AV354" s="31"/>
      <c r="AW354" s="31"/>
      <c r="AX354" s="31"/>
      <c r="AY354" s="31"/>
      <c r="AZ354" s="31"/>
      <c r="BA354" s="31"/>
      <c r="BB354" s="31"/>
      <c r="BC354" s="31"/>
      <c r="BD354" s="32"/>
      <c r="BE354" s="32"/>
      <c r="BF354" s="32"/>
      <c r="BG354" s="32"/>
      <c r="BH354" s="32"/>
      <c r="BI354" s="32"/>
      <c r="BJ354" s="32"/>
      <c r="BK354" s="32"/>
      <c r="BL354" s="32"/>
      <c r="BM354" s="32"/>
      <c r="BN354" s="32"/>
      <c r="BO354" s="32"/>
      <c r="BP354" s="199"/>
      <c r="BQ354" s="199"/>
      <c r="BR354" s="199"/>
      <c r="BS354" s="38"/>
      <c r="BT354" s="38">
        <f t="shared" ref="BT354:CY354" si="418">BT353/BP353-1</f>
        <v>6.1862118827103796E-2</v>
      </c>
      <c r="BU354" s="38">
        <f t="shared" si="418"/>
        <v>8.9071267063060011E-2</v>
      </c>
      <c r="BV354" s="38">
        <f t="shared" si="418"/>
        <v>0.12300288083081745</v>
      </c>
      <c r="BW354" s="38">
        <f t="shared" si="418"/>
        <v>9.2791039037571466E-2</v>
      </c>
      <c r="BX354" s="38">
        <f t="shared" si="418"/>
        <v>7.7584411413358811E-2</v>
      </c>
      <c r="BY354" s="38">
        <f t="shared" si="418"/>
        <v>1.1549270202292057</v>
      </c>
      <c r="BZ354" s="38" t="e">
        <f t="shared" si="418"/>
        <v>#DIV/0!</v>
      </c>
      <c r="CA354" s="38" t="e">
        <f t="shared" si="418"/>
        <v>#DIV/0!</v>
      </c>
      <c r="CB354" s="38" t="e">
        <f t="shared" si="418"/>
        <v>#DIV/0!</v>
      </c>
      <c r="CC354" s="38" t="e">
        <f t="shared" si="418"/>
        <v>#DIV/0!</v>
      </c>
      <c r="CD354" s="38" t="e">
        <f t="shared" si="418"/>
        <v>#DIV/0!</v>
      </c>
      <c r="CE354" s="38" t="e">
        <f t="shared" si="418"/>
        <v>#DIV/0!</v>
      </c>
      <c r="CF354" s="38" t="e">
        <f t="shared" si="418"/>
        <v>#DIV/0!</v>
      </c>
      <c r="CG354" s="38" t="e">
        <f t="shared" si="418"/>
        <v>#DIV/0!</v>
      </c>
      <c r="CH354" s="38" t="e">
        <f t="shared" si="418"/>
        <v>#DIV/0!</v>
      </c>
      <c r="CI354" s="38" t="e">
        <f t="shared" si="418"/>
        <v>#DIV/0!</v>
      </c>
      <c r="CJ354" s="38" t="e">
        <f t="shared" si="418"/>
        <v>#DIV/0!</v>
      </c>
      <c r="CK354" s="38" t="e">
        <f t="shared" si="418"/>
        <v>#DIV/0!</v>
      </c>
      <c r="CL354" s="38" t="e">
        <f t="shared" si="418"/>
        <v>#DIV/0!</v>
      </c>
      <c r="CM354" s="38" t="e">
        <f t="shared" si="418"/>
        <v>#DIV/0!</v>
      </c>
      <c r="CN354" s="38" t="e">
        <f t="shared" si="418"/>
        <v>#DIV/0!</v>
      </c>
      <c r="CO354" s="38" t="e">
        <f t="shared" si="418"/>
        <v>#DIV/0!</v>
      </c>
      <c r="CP354" s="38" t="e">
        <f t="shared" si="418"/>
        <v>#DIV/0!</v>
      </c>
      <c r="CQ354" s="38" t="e">
        <f t="shared" si="418"/>
        <v>#DIV/0!</v>
      </c>
      <c r="CR354" s="38" t="e">
        <f t="shared" si="418"/>
        <v>#DIV/0!</v>
      </c>
      <c r="CS354" s="38" t="e">
        <f t="shared" si="418"/>
        <v>#DIV/0!</v>
      </c>
      <c r="CT354" s="38" t="e">
        <f t="shared" si="418"/>
        <v>#DIV/0!</v>
      </c>
      <c r="CU354" s="38" t="e">
        <f t="shared" si="418"/>
        <v>#DIV/0!</v>
      </c>
      <c r="CV354" s="38" t="e">
        <f t="shared" si="418"/>
        <v>#DIV/0!</v>
      </c>
      <c r="CW354" s="38" t="e">
        <f t="shared" si="418"/>
        <v>#DIV/0!</v>
      </c>
      <c r="CX354" s="38" t="e">
        <f t="shared" si="418"/>
        <v>#DIV/0!</v>
      </c>
      <c r="CY354" s="38" t="e">
        <f t="shared" si="418"/>
        <v>#DIV/0!</v>
      </c>
      <c r="CZ354" s="38" t="e">
        <f t="shared" ref="CZ354:DC354" si="419">CZ353/CV353-1</f>
        <v>#DIV/0!</v>
      </c>
      <c r="DA354" s="38" t="e">
        <f t="shared" si="419"/>
        <v>#DIV/0!</v>
      </c>
      <c r="DB354" s="38" t="e">
        <f t="shared" si="419"/>
        <v>#DIV/0!</v>
      </c>
      <c r="DC354" s="38" t="e">
        <f t="shared" si="419"/>
        <v>#DIV/0!</v>
      </c>
    </row>
    <row r="355" spans="2:107" hidden="1" outlineLevel="1">
      <c r="B355" s="37" t="s">
        <v>710</v>
      </c>
      <c r="C355" s="197"/>
      <c r="D355" s="31"/>
      <c r="E355" s="31"/>
      <c r="F355" s="31"/>
      <c r="G355" s="31"/>
      <c r="H355" s="31"/>
      <c r="I355" s="31"/>
      <c r="J355" s="31"/>
      <c r="K355" s="31"/>
      <c r="L355" s="31"/>
      <c r="M355" s="199"/>
      <c r="N355" s="199"/>
      <c r="O355" s="199"/>
      <c r="P355" s="199"/>
      <c r="Q355" s="199"/>
      <c r="R355" s="199"/>
      <c r="S355" s="199"/>
      <c r="T355" s="199"/>
      <c r="U355" s="199"/>
      <c r="V355" s="199"/>
      <c r="W355" s="199"/>
      <c r="X355" s="199"/>
      <c r="Y355" s="199"/>
      <c r="Z355" s="199"/>
      <c r="AA355" s="199"/>
      <c r="AB355" s="199"/>
      <c r="AC355" s="199"/>
      <c r="AD355" s="199"/>
      <c r="AE355" s="197"/>
      <c r="AF355" s="31"/>
      <c r="AG355" s="31"/>
      <c r="AH355" s="31"/>
      <c r="AI355" s="31"/>
      <c r="AJ355" s="31"/>
      <c r="AK355" s="31"/>
      <c r="AL355" s="31"/>
      <c r="AM355" s="31"/>
      <c r="AN355" s="31"/>
      <c r="AO355" s="31"/>
      <c r="AP355" s="31"/>
      <c r="AQ355" s="31"/>
      <c r="AR355" s="31"/>
      <c r="AS355" s="31"/>
      <c r="AT355" s="31"/>
      <c r="AU355" s="31"/>
      <c r="AV355" s="31"/>
      <c r="AW355" s="31"/>
      <c r="AX355" s="31"/>
      <c r="AY355" s="31"/>
      <c r="AZ355" s="31"/>
      <c r="BA355" s="31"/>
      <c r="BB355" s="31"/>
      <c r="BC355" s="31"/>
      <c r="BD355" s="32"/>
      <c r="BE355" s="32"/>
      <c r="BF355" s="32"/>
      <c r="BG355" s="32"/>
      <c r="BH355" s="32"/>
      <c r="BI355" s="32"/>
      <c r="BJ355" s="32"/>
      <c r="BK355" s="32"/>
      <c r="BL355" s="32"/>
      <c r="BM355" s="32"/>
      <c r="BN355" s="32"/>
      <c r="BO355" s="32"/>
      <c r="BP355" s="199"/>
      <c r="BQ355" s="38">
        <f t="shared" ref="BQ355:CY355" si="420">BQ353/BP353-1</f>
        <v>1.6844723850664156E-3</v>
      </c>
      <c r="BR355" s="38">
        <f t="shared" si="420"/>
        <v>2.4235318599274969E-3</v>
      </c>
      <c r="BS355" s="38">
        <f t="shared" si="420"/>
        <v>3.0757987341597515E-2</v>
      </c>
      <c r="BT355" s="38">
        <f t="shared" si="420"/>
        <v>2.5957154417464601E-2</v>
      </c>
      <c r="BU355" s="38">
        <f t="shared" si="420"/>
        <v>2.7351628988115273E-2</v>
      </c>
      <c r="BV355" s="38">
        <f t="shared" si="420"/>
        <v>3.3655508263555012E-2</v>
      </c>
      <c r="BW355" s="38">
        <f t="shared" si="420"/>
        <v>3.0277848886437475E-3</v>
      </c>
      <c r="BX355" s="38">
        <f t="shared" si="420"/>
        <v>1.1680547226977867E-2</v>
      </c>
      <c r="BY355" s="38">
        <f t="shared" si="420"/>
        <v>1.054472727272727</v>
      </c>
      <c r="BZ355" s="38" t="e">
        <f t="shared" si="420"/>
        <v>#DIV/0!</v>
      </c>
      <c r="CA355" s="38" t="e">
        <f t="shared" si="420"/>
        <v>#DIV/0!</v>
      </c>
      <c r="CB355" s="38" t="e">
        <f t="shared" si="420"/>
        <v>#DIV/0!</v>
      </c>
      <c r="CC355" s="38" t="e">
        <f t="shared" si="420"/>
        <v>#DIV/0!</v>
      </c>
      <c r="CD355" s="38" t="e">
        <f t="shared" si="420"/>
        <v>#DIV/0!</v>
      </c>
      <c r="CE355" s="38" t="e">
        <f t="shared" si="420"/>
        <v>#DIV/0!</v>
      </c>
      <c r="CF355" s="38" t="e">
        <f t="shared" si="420"/>
        <v>#DIV/0!</v>
      </c>
      <c r="CG355" s="38" t="e">
        <f t="shared" si="420"/>
        <v>#DIV/0!</v>
      </c>
      <c r="CH355" s="38" t="e">
        <f t="shared" si="420"/>
        <v>#DIV/0!</v>
      </c>
      <c r="CI355" s="38" t="e">
        <f t="shared" si="420"/>
        <v>#DIV/0!</v>
      </c>
      <c r="CJ355" s="38" t="e">
        <f t="shared" si="420"/>
        <v>#DIV/0!</v>
      </c>
      <c r="CK355" s="38" t="e">
        <f t="shared" si="420"/>
        <v>#DIV/0!</v>
      </c>
      <c r="CL355" s="38" t="e">
        <f t="shared" si="420"/>
        <v>#DIV/0!</v>
      </c>
      <c r="CM355" s="38" t="e">
        <f t="shared" si="420"/>
        <v>#DIV/0!</v>
      </c>
      <c r="CN355" s="38" t="e">
        <f t="shared" si="420"/>
        <v>#DIV/0!</v>
      </c>
      <c r="CO355" s="38" t="e">
        <f t="shared" si="420"/>
        <v>#DIV/0!</v>
      </c>
      <c r="CP355" s="38" t="e">
        <f t="shared" si="420"/>
        <v>#DIV/0!</v>
      </c>
      <c r="CQ355" s="38" t="e">
        <f t="shared" si="420"/>
        <v>#DIV/0!</v>
      </c>
      <c r="CR355" s="38" t="e">
        <f t="shared" si="420"/>
        <v>#DIV/0!</v>
      </c>
      <c r="CS355" s="38" t="e">
        <f t="shared" si="420"/>
        <v>#DIV/0!</v>
      </c>
      <c r="CT355" s="38" t="e">
        <f t="shared" si="420"/>
        <v>#DIV/0!</v>
      </c>
      <c r="CU355" s="38" t="e">
        <f t="shared" si="420"/>
        <v>#DIV/0!</v>
      </c>
      <c r="CV355" s="38" t="e">
        <f t="shared" si="420"/>
        <v>#DIV/0!</v>
      </c>
      <c r="CW355" s="38" t="e">
        <f t="shared" si="420"/>
        <v>#DIV/0!</v>
      </c>
      <c r="CX355" s="38" t="e">
        <f t="shared" si="420"/>
        <v>#DIV/0!</v>
      </c>
      <c r="CY355" s="38" t="e">
        <f t="shared" si="420"/>
        <v>#DIV/0!</v>
      </c>
      <c r="CZ355" s="38" t="e">
        <f t="shared" ref="CZ355:DC355" si="421">CZ353/CY353-1</f>
        <v>#DIV/0!</v>
      </c>
      <c r="DA355" s="38" t="e">
        <f t="shared" si="421"/>
        <v>#DIV/0!</v>
      </c>
      <c r="DB355" s="38" t="e">
        <f t="shared" si="421"/>
        <v>#DIV/0!</v>
      </c>
      <c r="DC355" s="38" t="e">
        <f t="shared" si="421"/>
        <v>#DIV/0!</v>
      </c>
    </row>
    <row r="356" spans="2:107" ht="12.75" hidden="1" customHeight="1" outlineLevel="1">
      <c r="B356" s="37"/>
      <c r="C356" s="197"/>
      <c r="D356" s="31"/>
      <c r="E356" s="31"/>
      <c r="F356" s="31"/>
      <c r="G356" s="31"/>
      <c r="H356" s="31"/>
      <c r="I356" s="31"/>
      <c r="J356" s="31"/>
      <c r="K356" s="31"/>
      <c r="L356" s="31"/>
      <c r="M356" s="199"/>
      <c r="N356" s="199"/>
      <c r="O356" s="199"/>
      <c r="P356" s="199"/>
      <c r="Q356" s="199"/>
      <c r="R356" s="199"/>
      <c r="S356" s="199"/>
      <c r="T356" s="199"/>
      <c r="U356" s="199"/>
      <c r="V356" s="199"/>
      <c r="W356" s="199"/>
      <c r="X356" s="199"/>
      <c r="Y356" s="199"/>
      <c r="Z356" s="199"/>
      <c r="AA356" s="199"/>
      <c r="AB356" s="199"/>
      <c r="AC356" s="199"/>
      <c r="AD356" s="199"/>
      <c r="AE356" s="197"/>
      <c r="AF356" s="31"/>
      <c r="AG356" s="31"/>
      <c r="AH356" s="31"/>
      <c r="AI356" s="31"/>
      <c r="AJ356" s="31"/>
      <c r="AK356" s="31"/>
      <c r="AL356" s="31"/>
      <c r="AM356" s="31"/>
      <c r="AN356" s="31"/>
      <c r="AO356" s="31"/>
      <c r="AP356" s="31"/>
      <c r="AQ356" s="31"/>
      <c r="AR356" s="31"/>
      <c r="AS356" s="31"/>
      <c r="AT356" s="31"/>
      <c r="AU356" s="31"/>
      <c r="AV356" s="31"/>
      <c r="AW356" s="31"/>
      <c r="AX356" s="31"/>
      <c r="AY356" s="31"/>
      <c r="AZ356" s="31"/>
      <c r="BA356" s="31"/>
      <c r="BB356" s="31"/>
      <c r="BC356" s="31"/>
      <c r="BD356" s="32"/>
      <c r="BE356" s="32"/>
      <c r="BF356" s="32"/>
      <c r="BG356" s="32"/>
      <c r="BH356" s="32"/>
      <c r="BI356" s="32"/>
      <c r="BJ356" s="32"/>
      <c r="BK356" s="32"/>
      <c r="BL356" s="32"/>
      <c r="BM356" s="32"/>
      <c r="BN356" s="32"/>
      <c r="BO356" s="32"/>
      <c r="BP356" s="199"/>
      <c r="BQ356" s="38"/>
      <c r="BR356" s="38"/>
      <c r="BS356" s="38"/>
      <c r="BT356" s="38"/>
      <c r="BU356" s="38"/>
      <c r="BV356" s="199"/>
      <c r="BW356" s="199"/>
      <c r="BX356" s="199"/>
      <c r="BY356" s="199"/>
      <c r="BZ356" s="199"/>
      <c r="CA356" s="199"/>
      <c r="CB356" s="199"/>
      <c r="CC356" s="199"/>
      <c r="CD356" s="199"/>
      <c r="CE356" s="199"/>
      <c r="CF356" s="199"/>
      <c r="CG356" s="199"/>
      <c r="CH356" s="199"/>
      <c r="CI356" s="199"/>
      <c r="CJ356" s="199"/>
      <c r="CK356" s="199"/>
      <c r="CL356" s="199"/>
      <c r="CM356" s="199"/>
      <c r="CN356" s="199"/>
      <c r="CO356" s="199"/>
      <c r="CP356" s="199"/>
      <c r="CQ356" s="199"/>
      <c r="CR356" s="199"/>
      <c r="CS356" s="199"/>
      <c r="CT356" s="199"/>
      <c r="CU356" s="199"/>
      <c r="CV356" s="199"/>
      <c r="CW356" s="199"/>
      <c r="CX356" s="199"/>
      <c r="CY356" s="199"/>
      <c r="CZ356" s="199"/>
      <c r="DA356" s="199"/>
      <c r="DB356" s="199"/>
      <c r="DC356" s="199"/>
    </row>
    <row r="357" spans="2:107" hidden="1" outlineLevel="1">
      <c r="B357" s="170" t="s">
        <v>727</v>
      </c>
      <c r="C357" s="197"/>
      <c r="D357" s="31"/>
      <c r="E357" s="31"/>
      <c r="F357" s="31"/>
      <c r="G357" s="31"/>
      <c r="H357" s="31"/>
      <c r="I357" s="31"/>
      <c r="J357" s="31"/>
      <c r="K357" s="31"/>
      <c r="L357" s="31"/>
      <c r="M357" s="199"/>
      <c r="N357" s="171">
        <v>250</v>
      </c>
      <c r="O357" s="171">
        <v>250</v>
      </c>
      <c r="P357" s="171">
        <v>250</v>
      </c>
      <c r="Q357" s="171">
        <v>250</v>
      </c>
      <c r="R357" s="171">
        <v>250</v>
      </c>
      <c r="S357" s="171">
        <v>250</v>
      </c>
      <c r="T357" s="171">
        <v>250</v>
      </c>
      <c r="U357" s="171">
        <v>250</v>
      </c>
      <c r="V357" s="171">
        <v>250</v>
      </c>
      <c r="W357" s="171">
        <v>250</v>
      </c>
      <c r="X357" s="171">
        <v>250</v>
      </c>
      <c r="Y357" s="171">
        <v>250</v>
      </c>
      <c r="Z357" s="171">
        <v>250</v>
      </c>
      <c r="AA357" s="171">
        <v>250</v>
      </c>
      <c r="AB357" s="171">
        <v>250</v>
      </c>
      <c r="AC357" s="171">
        <v>250</v>
      </c>
      <c r="AD357" s="171">
        <v>250</v>
      </c>
      <c r="AE357" s="197"/>
      <c r="AF357" s="31"/>
      <c r="AG357" s="31"/>
      <c r="AH357" s="31"/>
      <c r="AI357" s="31"/>
      <c r="AJ357" s="31"/>
      <c r="AK357" s="31"/>
      <c r="AL357" s="31"/>
      <c r="AM357" s="31"/>
      <c r="AN357" s="31"/>
      <c r="AO357" s="31"/>
      <c r="AP357" s="31"/>
      <c r="AQ357" s="31"/>
      <c r="AR357" s="31"/>
      <c r="AS357" s="31"/>
      <c r="AT357" s="31"/>
      <c r="AU357" s="31"/>
      <c r="AV357" s="31"/>
      <c r="AW357" s="31"/>
      <c r="AX357" s="31"/>
      <c r="AY357" s="31"/>
      <c r="AZ357" s="31"/>
      <c r="BA357" s="31"/>
      <c r="BB357" s="31"/>
      <c r="BC357" s="31"/>
      <c r="BD357" s="32"/>
      <c r="BE357" s="32"/>
      <c r="BF357" s="32"/>
      <c r="BG357" s="32"/>
      <c r="BH357" s="32"/>
      <c r="BI357" s="32"/>
      <c r="BJ357" s="32"/>
      <c r="BK357" s="32"/>
      <c r="BL357" s="32"/>
      <c r="BM357" s="32"/>
      <c r="BN357" s="32"/>
      <c r="BO357" s="32"/>
      <c r="BP357" s="531">
        <f>(BP290/3/BP346)*1000000</f>
        <v>309.80561555075593</v>
      </c>
      <c r="BQ357" s="531">
        <f>(BQ290/3/BQ346)*1000000</f>
        <v>306.45116266086035</v>
      </c>
      <c r="BR357" s="531">
        <f>(BR290/3/BR346)*1000000</f>
        <v>303.71030460142578</v>
      </c>
      <c r="BS357" s="531">
        <f>(BS290/3/BS346)*1000000</f>
        <v>296.76555418211785</v>
      </c>
      <c r="BT357" s="531">
        <f>(BT290/3/BT346)*1000000</f>
        <v>296.97946737649806</v>
      </c>
      <c r="BU357" s="531">
        <f>(BU290/3/(SUM(BU361*2/3,BU346))*1000000)</f>
        <v>271.04602187101511</v>
      </c>
      <c r="BV357" s="531">
        <f>(BV290/3/(SUM(BV361,BV346))*1000000)</f>
        <v>266.18363901902393</v>
      </c>
      <c r="BW357" s="531">
        <f>(BW290/3/(SUM(BW361,BW346))*1000000)</f>
        <v>270.33454987834551</v>
      </c>
      <c r="BX357" s="531">
        <f>(BX290/3/(SUM(BX361,BX346))*1000000)</f>
        <v>271.7535387965724</v>
      </c>
      <c r="BY357" s="171">
        <f t="shared" ref="BY357:CE357" si="422">BX357*1.02</f>
        <v>277.18860957250388</v>
      </c>
      <c r="BZ357" s="171">
        <f t="shared" si="422"/>
        <v>282.73238176395398</v>
      </c>
      <c r="CA357" s="171">
        <f t="shared" si="422"/>
        <v>288.38702939923309</v>
      </c>
      <c r="CB357" s="171">
        <f t="shared" si="422"/>
        <v>294.15476998721778</v>
      </c>
      <c r="CC357" s="171">
        <f t="shared" si="422"/>
        <v>300.03786538696215</v>
      </c>
      <c r="CD357" s="171">
        <f t="shared" si="422"/>
        <v>306.03862269470142</v>
      </c>
      <c r="CE357" s="171">
        <f t="shared" si="422"/>
        <v>312.15939514859542</v>
      </c>
      <c r="CF357" s="171">
        <f t="shared" ref="CF357:CY357" si="423">CE357*1.02</f>
        <v>318.40258305156732</v>
      </c>
      <c r="CG357" s="171">
        <f t="shared" si="423"/>
        <v>324.77063471259868</v>
      </c>
      <c r="CH357" s="171">
        <f t="shared" si="423"/>
        <v>331.26604740685065</v>
      </c>
      <c r="CI357" s="171">
        <f t="shared" si="423"/>
        <v>337.89136835498766</v>
      </c>
      <c r="CJ357" s="171">
        <f t="shared" si="423"/>
        <v>344.64919572208743</v>
      </c>
      <c r="CK357" s="171">
        <f t="shared" si="423"/>
        <v>351.54217963652917</v>
      </c>
      <c r="CL357" s="171">
        <f t="shared" si="423"/>
        <v>358.57302322925977</v>
      </c>
      <c r="CM357" s="171">
        <f t="shared" si="423"/>
        <v>365.74448369384498</v>
      </c>
      <c r="CN357" s="171">
        <f t="shared" si="423"/>
        <v>373.05937336772189</v>
      </c>
      <c r="CO357" s="171">
        <f t="shared" si="423"/>
        <v>380.52056083507631</v>
      </c>
      <c r="CP357" s="171">
        <f t="shared" si="423"/>
        <v>388.13097205177786</v>
      </c>
      <c r="CQ357" s="171">
        <f t="shared" si="423"/>
        <v>395.89359149281341</v>
      </c>
      <c r="CR357" s="171">
        <f t="shared" si="423"/>
        <v>403.81146332266968</v>
      </c>
      <c r="CS357" s="171">
        <f t="shared" si="423"/>
        <v>411.88769258912311</v>
      </c>
      <c r="CT357" s="171">
        <f t="shared" si="423"/>
        <v>420.12544644090559</v>
      </c>
      <c r="CU357" s="171">
        <f t="shared" si="423"/>
        <v>428.52795536972371</v>
      </c>
      <c r="CV357" s="171">
        <f t="shared" si="423"/>
        <v>437.09851447711821</v>
      </c>
      <c r="CW357" s="171">
        <f t="shared" si="423"/>
        <v>445.84048476666061</v>
      </c>
      <c r="CX357" s="171">
        <f t="shared" si="423"/>
        <v>454.75729446199381</v>
      </c>
      <c r="CY357" s="171">
        <f t="shared" si="423"/>
        <v>463.85244035123367</v>
      </c>
      <c r="CZ357" s="171">
        <f t="shared" ref="CZ357:DC357" si="424">CY357*1.02</f>
        <v>473.12948915825837</v>
      </c>
      <c r="DA357" s="171">
        <f t="shared" si="424"/>
        <v>482.59207894142355</v>
      </c>
      <c r="DB357" s="171">
        <f t="shared" si="424"/>
        <v>492.243920520252</v>
      </c>
      <c r="DC357" s="171">
        <f t="shared" si="424"/>
        <v>502.08879893065705</v>
      </c>
    </row>
    <row r="358" spans="2:107" ht="12.75" hidden="1" customHeight="1" outlineLevel="1">
      <c r="B358" s="198"/>
      <c r="C358" s="197"/>
      <c r="D358" s="31"/>
      <c r="E358" s="31"/>
      <c r="F358" s="31"/>
      <c r="G358" s="31"/>
      <c r="H358" s="31"/>
      <c r="I358" s="31"/>
      <c r="J358" s="31"/>
      <c r="K358" s="31"/>
      <c r="L358" s="31"/>
      <c r="M358" s="199"/>
      <c r="N358" s="199"/>
      <c r="O358" s="199"/>
      <c r="P358" s="199"/>
      <c r="Q358" s="199"/>
      <c r="R358" s="199"/>
      <c r="S358" s="199"/>
      <c r="T358" s="199"/>
      <c r="U358" s="199"/>
      <c r="V358" s="199"/>
      <c r="W358" s="199"/>
      <c r="X358" s="199"/>
      <c r="Y358" s="199"/>
      <c r="Z358" s="199"/>
      <c r="AA358" s="199"/>
      <c r="AB358" s="199"/>
      <c r="AC358" s="199"/>
      <c r="AD358" s="199"/>
      <c r="AE358" s="197"/>
      <c r="AF358" s="31"/>
      <c r="AG358" s="31"/>
      <c r="AH358" s="31"/>
      <c r="AI358" s="31"/>
      <c r="AJ358" s="31"/>
      <c r="AK358" s="31"/>
      <c r="AL358" s="31"/>
      <c r="AM358" s="31"/>
      <c r="AN358" s="31"/>
      <c r="AO358" s="31"/>
      <c r="AP358" s="31"/>
      <c r="AQ358" s="31"/>
      <c r="AR358" s="31"/>
      <c r="AS358" s="31"/>
      <c r="AT358" s="31"/>
      <c r="AU358" s="31"/>
      <c r="AV358" s="31"/>
      <c r="AW358" s="31"/>
      <c r="AX358" s="31"/>
      <c r="AY358" s="31"/>
      <c r="AZ358" s="31"/>
      <c r="BA358" s="31"/>
      <c r="BB358" s="31"/>
      <c r="BC358" s="31"/>
      <c r="BD358" s="32"/>
      <c r="BE358" s="32"/>
      <c r="BF358" s="32"/>
      <c r="BG358" s="32"/>
      <c r="BH358" s="32"/>
      <c r="BI358" s="32"/>
      <c r="BJ358" s="32"/>
      <c r="BK358" s="32"/>
      <c r="BL358" s="32"/>
      <c r="BM358" s="32"/>
      <c r="BN358" s="32"/>
      <c r="BO358" s="32"/>
      <c r="BP358" s="199"/>
      <c r="BQ358" s="199"/>
      <c r="BR358" s="199"/>
      <c r="BS358" s="199"/>
      <c r="BT358" s="199"/>
      <c r="BU358" s="199"/>
      <c r="BV358" s="199"/>
      <c r="BW358" s="199"/>
      <c r="BX358" s="199"/>
      <c r="BY358" s="199"/>
      <c r="BZ358" s="199"/>
      <c r="CA358" s="199"/>
      <c r="CB358" s="199"/>
      <c r="CC358" s="199"/>
      <c r="CD358" s="199"/>
      <c r="CE358" s="199"/>
      <c r="CF358" s="199"/>
      <c r="CG358" s="199"/>
      <c r="CH358" s="199"/>
      <c r="CI358" s="199"/>
      <c r="CJ358" s="199"/>
      <c r="CK358" s="199"/>
      <c r="CL358" s="199"/>
      <c r="CM358" s="199"/>
      <c r="CN358" s="199"/>
      <c r="CO358" s="199"/>
      <c r="CP358" s="199"/>
      <c r="CQ358" s="199"/>
      <c r="CR358" s="199"/>
      <c r="CS358" s="199"/>
      <c r="CT358" s="199"/>
      <c r="CU358" s="199"/>
      <c r="CV358" s="199"/>
      <c r="CW358" s="199"/>
      <c r="CX358" s="199"/>
      <c r="CY358" s="199"/>
      <c r="CZ358" s="199"/>
      <c r="DA358" s="199"/>
      <c r="DB358" s="199"/>
      <c r="DC358" s="199"/>
    </row>
    <row r="359" spans="2:107" hidden="1" outlineLevel="1">
      <c r="B359" s="19" t="s">
        <v>730</v>
      </c>
      <c r="C359" s="23"/>
      <c r="D359" s="15"/>
      <c r="E359" s="15"/>
      <c r="F359" s="15"/>
      <c r="G359" s="15"/>
      <c r="H359" s="15"/>
      <c r="I359" s="15"/>
      <c r="J359" s="15"/>
      <c r="K359" s="15"/>
      <c r="L359" s="15"/>
      <c r="M359" s="23"/>
      <c r="N359" s="23">
        <f>BS359</f>
        <v>562</v>
      </c>
      <c r="O359" s="23"/>
      <c r="P359" s="23"/>
      <c r="Q359" s="23"/>
      <c r="R359" s="23"/>
      <c r="S359" s="23"/>
      <c r="T359" s="23"/>
      <c r="U359" s="23"/>
      <c r="V359" s="23"/>
      <c r="W359" s="23"/>
      <c r="X359" s="23"/>
      <c r="Y359" s="23"/>
      <c r="Z359" s="23"/>
      <c r="AA359" s="23"/>
      <c r="AB359" s="23"/>
      <c r="AC359" s="23"/>
      <c r="AD359" s="23"/>
      <c r="AE359" s="23"/>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31">
        <v>416</v>
      </c>
      <c r="BI359" s="31">
        <v>438</v>
      </c>
      <c r="BJ359" s="31">
        <v>455</v>
      </c>
      <c r="BK359" s="31">
        <v>467</v>
      </c>
      <c r="BL359" s="31">
        <v>489</v>
      </c>
      <c r="BM359" s="31">
        <v>514</v>
      </c>
      <c r="BN359" s="31">
        <v>534</v>
      </c>
      <c r="BO359" s="31">
        <v>485</v>
      </c>
      <c r="BP359" s="208">
        <v>505</v>
      </c>
      <c r="BQ359" s="208">
        <v>527</v>
      </c>
      <c r="BR359" s="208">
        <v>547</v>
      </c>
      <c r="BS359" s="208">
        <v>562</v>
      </c>
      <c r="BT359" s="208">
        <v>580</v>
      </c>
      <c r="BU359" s="208">
        <v>595</v>
      </c>
      <c r="BV359" s="208">
        <v>598</v>
      </c>
      <c r="BW359" s="208">
        <v>635</v>
      </c>
      <c r="BX359" s="208">
        <v>647</v>
      </c>
      <c r="BY359" s="199"/>
      <c r="BZ359" s="199"/>
      <c r="CA359" s="199"/>
      <c r="CB359" s="199"/>
      <c r="CC359" s="199"/>
      <c r="CD359" s="199"/>
      <c r="CE359" s="199"/>
      <c r="CF359" s="199"/>
      <c r="CG359" s="199"/>
      <c r="CH359" s="199"/>
      <c r="CI359" s="199"/>
      <c r="CJ359" s="199"/>
      <c r="CK359" s="199"/>
      <c r="CL359" s="199"/>
      <c r="CM359" s="199"/>
      <c r="CN359" s="199"/>
      <c r="CO359" s="199"/>
      <c r="CP359" s="199"/>
      <c r="CQ359" s="199"/>
      <c r="CR359" s="199"/>
      <c r="CS359" s="199"/>
      <c r="CT359" s="199"/>
      <c r="CU359" s="199"/>
      <c r="CV359" s="199"/>
      <c r="CW359" s="199"/>
      <c r="CX359" s="199"/>
      <c r="CY359" s="199"/>
      <c r="CZ359" s="199"/>
      <c r="DA359" s="199"/>
      <c r="DB359" s="199"/>
      <c r="DC359" s="199"/>
    </row>
    <row r="360" spans="2:107" hidden="1" outlineLevel="1">
      <c r="B360" s="198"/>
      <c r="C360" s="197"/>
      <c r="D360" s="31"/>
      <c r="E360" s="31"/>
      <c r="F360" s="31"/>
      <c r="G360" s="31"/>
      <c r="H360" s="31"/>
      <c r="I360" s="31"/>
      <c r="J360" s="31"/>
      <c r="K360" s="31"/>
      <c r="L360" s="31"/>
      <c r="M360" s="199"/>
      <c r="N360" s="199"/>
      <c r="O360" s="199"/>
      <c r="P360" s="199"/>
      <c r="Q360" s="199"/>
      <c r="R360" s="199"/>
      <c r="S360" s="199"/>
      <c r="T360" s="199"/>
      <c r="U360" s="199"/>
      <c r="V360" s="199"/>
      <c r="W360" s="199"/>
      <c r="X360" s="199"/>
      <c r="Y360" s="199"/>
      <c r="Z360" s="199"/>
      <c r="AA360" s="199"/>
      <c r="AB360" s="199"/>
      <c r="AC360" s="199"/>
      <c r="AD360" s="199"/>
      <c r="AE360" s="197"/>
      <c r="AF360" s="31"/>
      <c r="AG360" s="31"/>
      <c r="AH360" s="31"/>
      <c r="AI360" s="31"/>
      <c r="AJ360" s="31"/>
      <c r="AK360" s="31"/>
      <c r="AL360" s="31"/>
      <c r="AM360" s="31"/>
      <c r="AN360" s="31"/>
      <c r="AO360" s="31"/>
      <c r="AP360" s="31"/>
      <c r="AQ360" s="31"/>
      <c r="AR360" s="31"/>
      <c r="AS360" s="31"/>
      <c r="AT360" s="31"/>
      <c r="AU360" s="31"/>
      <c r="AV360" s="31"/>
      <c r="AW360" s="31"/>
      <c r="AX360" s="31"/>
      <c r="AY360" s="31"/>
      <c r="AZ360" s="31"/>
      <c r="BA360" s="31"/>
      <c r="BB360" s="31"/>
      <c r="BC360" s="31"/>
      <c r="BD360" s="32"/>
      <c r="BE360" s="32"/>
      <c r="BF360" s="32"/>
      <c r="BG360" s="32"/>
      <c r="BH360" s="32"/>
      <c r="BI360" s="32"/>
      <c r="BJ360" s="32"/>
      <c r="BK360" s="32"/>
      <c r="BL360" s="32"/>
      <c r="BM360" s="32"/>
      <c r="BN360" s="32"/>
      <c r="BO360" s="32"/>
      <c r="BP360" s="199"/>
      <c r="BQ360" s="199"/>
      <c r="BR360" s="199"/>
      <c r="BS360" s="199"/>
      <c r="BT360" s="199"/>
      <c r="BU360" s="199"/>
      <c r="BV360" s="199"/>
      <c r="BW360" s="199"/>
      <c r="BX360" s="199"/>
      <c r="BY360" s="199"/>
      <c r="BZ360" s="199"/>
      <c r="CA360" s="199"/>
      <c r="CB360" s="199"/>
      <c r="CC360" s="199"/>
      <c r="CD360" s="199"/>
      <c r="CE360" s="199"/>
      <c r="CF360" s="199"/>
      <c r="CG360" s="199"/>
      <c r="CH360" s="199"/>
      <c r="CI360" s="199"/>
      <c r="CJ360" s="199"/>
      <c r="CK360" s="199"/>
      <c r="CL360" s="199"/>
      <c r="CM360" s="199"/>
      <c r="CN360" s="199"/>
      <c r="CO360" s="199"/>
      <c r="CP360" s="199"/>
      <c r="CQ360" s="199"/>
      <c r="CR360" s="199"/>
      <c r="CS360" s="199"/>
      <c r="CT360" s="199"/>
      <c r="CU360" s="199"/>
      <c r="CV360" s="199"/>
      <c r="CW360" s="199"/>
      <c r="CX360" s="199"/>
      <c r="CY360" s="199"/>
      <c r="CZ360" s="199"/>
      <c r="DA360" s="199"/>
      <c r="DB360" s="199"/>
      <c r="DC360" s="199"/>
    </row>
    <row r="361" spans="2:107" hidden="1" outlineLevel="1">
      <c r="B361" s="209" t="s">
        <v>731</v>
      </c>
      <c r="C361" s="197"/>
      <c r="D361" s="31"/>
      <c r="E361" s="31"/>
      <c r="F361" s="31"/>
      <c r="G361" s="31"/>
      <c r="H361" s="31"/>
      <c r="I361" s="31"/>
      <c r="J361" s="31"/>
      <c r="K361" s="31"/>
      <c r="L361" s="31"/>
      <c r="M361" s="199"/>
      <c r="N361" s="199"/>
      <c r="O361" s="27">
        <f>BW361</f>
        <v>23741</v>
      </c>
      <c r="P361" s="27">
        <f>CA361</f>
        <v>25706.456109374994</v>
      </c>
      <c r="Q361" s="27">
        <f t="shared" ref="Q361:W361" si="425">CE361</f>
        <v>28375.117625813891</v>
      </c>
      <c r="R361" s="27">
        <f t="shared" si="425"/>
        <v>29084.495566459234</v>
      </c>
      <c r="S361" s="27">
        <f t="shared" si="425"/>
        <v>29811.607955620711</v>
      </c>
      <c r="T361" s="27">
        <f t="shared" si="425"/>
        <v>30556.898154511226</v>
      </c>
      <c r="U361" s="27">
        <f t="shared" si="425"/>
        <v>31320.820608374004</v>
      </c>
      <c r="V361" s="27">
        <f t="shared" si="425"/>
        <v>32103.841123583352</v>
      </c>
      <c r="W361" s="27">
        <f t="shared" si="425"/>
        <v>32906.43715167293</v>
      </c>
      <c r="X361" s="27">
        <f>W361*(1+X362)</f>
        <v>37842.402724423868</v>
      </c>
      <c r="Y361" s="27">
        <f>X361*(1+Y362)</f>
        <v>43518.763133087443</v>
      </c>
      <c r="Z361" s="27">
        <f>Y361*(1+Z362)</f>
        <v>50046.577603050559</v>
      </c>
      <c r="AA361" s="27">
        <f t="shared" ref="AA361:AD361" si="426">Z361*(1+AA362)</f>
        <v>57553.564243508139</v>
      </c>
      <c r="AB361" s="27">
        <f t="shared" si="426"/>
        <v>66186.598880034348</v>
      </c>
      <c r="AC361" s="27">
        <f t="shared" si="426"/>
        <v>76114.588712039491</v>
      </c>
      <c r="AD361" s="27">
        <f t="shared" si="426"/>
        <v>87531.777018845401</v>
      </c>
      <c r="AE361" s="197"/>
      <c r="AF361" s="31"/>
      <c r="AG361" s="31"/>
      <c r="AH361" s="31"/>
      <c r="AI361" s="31"/>
      <c r="AJ361" s="31"/>
      <c r="AK361" s="31"/>
      <c r="AL361" s="31"/>
      <c r="AM361" s="31"/>
      <c r="AN361" s="31"/>
      <c r="AO361" s="31"/>
      <c r="AP361" s="31"/>
      <c r="AQ361" s="31"/>
      <c r="AR361" s="31"/>
      <c r="AS361" s="31"/>
      <c r="AT361" s="31"/>
      <c r="AU361" s="31"/>
      <c r="AV361" s="163"/>
      <c r="AW361" s="163"/>
      <c r="AX361" s="163"/>
      <c r="AY361" s="163"/>
      <c r="AZ361" s="163"/>
      <c r="BA361" s="163"/>
      <c r="BB361" s="163"/>
      <c r="BC361" s="163"/>
      <c r="BD361" s="163"/>
      <c r="BE361" s="163"/>
      <c r="BF361" s="163"/>
      <c r="BG361" s="163"/>
      <c r="BH361" s="163"/>
      <c r="BI361" s="163"/>
      <c r="BJ361" s="163"/>
      <c r="BK361" s="163"/>
      <c r="BL361" s="163"/>
      <c r="BM361" s="163"/>
      <c r="BN361" s="163"/>
      <c r="BO361" s="163"/>
      <c r="BP361" s="207"/>
      <c r="BQ361" s="207"/>
      <c r="BR361" s="207"/>
      <c r="BS361" s="207"/>
      <c r="BT361" s="207"/>
      <c r="BU361" s="207">
        <v>22897</v>
      </c>
      <c r="BV361" s="207">
        <v>23198</v>
      </c>
      <c r="BW361" s="207">
        <v>23741</v>
      </c>
      <c r="BX361" s="207">
        <f>BW361+130</f>
        <v>23871</v>
      </c>
      <c r="BY361" s="27">
        <f t="shared" ref="BY361:CE361" si="427">BX361*(1+BY363)</f>
        <v>24467.774999999998</v>
      </c>
      <c r="BZ361" s="27">
        <f t="shared" si="427"/>
        <v>25079.469374999997</v>
      </c>
      <c r="CA361" s="27">
        <f t="shared" si="427"/>
        <v>25706.456109374994</v>
      </c>
      <c r="CB361" s="27">
        <f t="shared" si="427"/>
        <v>26349.117512109366</v>
      </c>
      <c r="CC361" s="27">
        <f t="shared" si="427"/>
        <v>27007.845449912096</v>
      </c>
      <c r="CD361" s="27">
        <f t="shared" si="427"/>
        <v>27683.041586159896</v>
      </c>
      <c r="CE361" s="27">
        <f t="shared" si="427"/>
        <v>28375.117625813891</v>
      </c>
      <c r="CF361" s="27">
        <f t="shared" ref="CF361:CY361" si="428">CE361*(1+CF363)</f>
        <v>29084.495566459234</v>
      </c>
      <c r="CG361" s="27">
        <f t="shared" si="428"/>
        <v>29811.607955620711</v>
      </c>
      <c r="CH361" s="27">
        <f t="shared" si="428"/>
        <v>30556.898154511226</v>
      </c>
      <c r="CI361" s="27">
        <f t="shared" si="428"/>
        <v>31320.820608374004</v>
      </c>
      <c r="CJ361" s="27">
        <f t="shared" si="428"/>
        <v>32103.841123583352</v>
      </c>
      <c r="CK361" s="27">
        <f t="shared" si="428"/>
        <v>32906.43715167293</v>
      </c>
      <c r="CL361" s="27">
        <f t="shared" si="428"/>
        <v>33729.098080464748</v>
      </c>
      <c r="CM361" s="27">
        <f t="shared" si="428"/>
        <v>34572.325532476367</v>
      </c>
      <c r="CN361" s="27">
        <f t="shared" si="428"/>
        <v>35436.633670788273</v>
      </c>
      <c r="CO361" s="27">
        <f t="shared" si="428"/>
        <v>36322.549512557976</v>
      </c>
      <c r="CP361" s="27">
        <f t="shared" si="428"/>
        <v>37230.61325037192</v>
      </c>
      <c r="CQ361" s="27">
        <f t="shared" si="428"/>
        <v>38161.378581631216</v>
      </c>
      <c r="CR361" s="27">
        <f t="shared" si="428"/>
        <v>39115.413046171991</v>
      </c>
      <c r="CS361" s="27">
        <f t="shared" si="428"/>
        <v>40093.298372326288</v>
      </c>
      <c r="CT361" s="27">
        <f t="shared" si="428"/>
        <v>41095.630831634444</v>
      </c>
      <c r="CU361" s="27">
        <f t="shared" si="428"/>
        <v>42123.021602425302</v>
      </c>
      <c r="CV361" s="27">
        <f t="shared" si="428"/>
        <v>43176.097142485931</v>
      </c>
      <c r="CW361" s="27">
        <f t="shared" si="428"/>
        <v>44255.499571048073</v>
      </c>
      <c r="CX361" s="27">
        <f t="shared" si="428"/>
        <v>45361.887060324269</v>
      </c>
      <c r="CY361" s="27">
        <f t="shared" si="428"/>
        <v>46495.934236832371</v>
      </c>
      <c r="CZ361" s="27">
        <f t="shared" ref="CZ361:DC361" si="429">CY361*(1+CZ363)</f>
        <v>47658.332592753177</v>
      </c>
      <c r="DA361" s="27">
        <f t="shared" si="429"/>
        <v>48849.790907572002</v>
      </c>
      <c r="DB361" s="27">
        <f t="shared" si="429"/>
        <v>50071.035680261295</v>
      </c>
      <c r="DC361" s="27">
        <f t="shared" si="429"/>
        <v>51322.811572267819</v>
      </c>
    </row>
    <row r="362" spans="2:107" hidden="1" outlineLevel="1">
      <c r="B362" s="37" t="s">
        <v>709</v>
      </c>
      <c r="C362" s="197"/>
      <c r="D362" s="31"/>
      <c r="E362" s="31"/>
      <c r="F362" s="31"/>
      <c r="G362" s="31"/>
      <c r="H362" s="31"/>
      <c r="I362" s="31"/>
      <c r="J362" s="31"/>
      <c r="K362" s="31"/>
      <c r="L362" s="31"/>
      <c r="M362" s="199"/>
      <c r="N362" s="199"/>
      <c r="O362" s="199"/>
      <c r="P362" s="199"/>
      <c r="Q362" s="1155"/>
      <c r="R362" s="1155"/>
      <c r="S362" s="1155"/>
      <c r="T362" s="1155"/>
      <c r="U362" s="1155"/>
      <c r="V362" s="1155"/>
      <c r="W362" s="1155"/>
      <c r="X362" s="168">
        <f t="shared" ref="X362:AD362" si="430">CHOOSE(mode,X364,X365,X366)</f>
        <v>0.15</v>
      </c>
      <c r="Y362" s="168">
        <f t="shared" si="430"/>
        <v>0.15</v>
      </c>
      <c r="Z362" s="168">
        <f t="shared" si="430"/>
        <v>0.15</v>
      </c>
      <c r="AA362" s="168">
        <f t="shared" si="430"/>
        <v>0.15</v>
      </c>
      <c r="AB362" s="168">
        <f t="shared" si="430"/>
        <v>0.15</v>
      </c>
      <c r="AC362" s="168">
        <f t="shared" si="430"/>
        <v>0.15</v>
      </c>
      <c r="AD362" s="168">
        <f t="shared" si="430"/>
        <v>0.15</v>
      </c>
      <c r="AE362" s="197"/>
      <c r="AF362" s="31"/>
      <c r="AG362" s="31"/>
      <c r="AH362" s="31"/>
      <c r="AI362" s="31"/>
      <c r="AJ362" s="31"/>
      <c r="AK362" s="31"/>
      <c r="AL362" s="31"/>
      <c r="AM362" s="31"/>
      <c r="AN362" s="31"/>
      <c r="AO362" s="31"/>
      <c r="AP362" s="31"/>
      <c r="AQ362" s="31"/>
      <c r="AR362" s="31"/>
      <c r="AS362" s="31"/>
      <c r="AT362" s="31"/>
      <c r="AU362" s="31"/>
      <c r="AV362" s="163"/>
      <c r="AW362" s="163"/>
      <c r="AX362" s="163"/>
      <c r="AY362" s="163"/>
      <c r="AZ362" s="163"/>
      <c r="BA362" s="163"/>
      <c r="BB362" s="163"/>
      <c r="BC362" s="38"/>
      <c r="BD362" s="38"/>
      <c r="BE362" s="38"/>
      <c r="BF362" s="38"/>
      <c r="BG362" s="38"/>
      <c r="BH362" s="38"/>
      <c r="BI362" s="38"/>
      <c r="BJ362" s="38"/>
      <c r="BK362" s="38"/>
      <c r="BL362" s="38"/>
      <c r="BM362" s="38"/>
      <c r="BN362" s="38"/>
      <c r="BO362" s="38"/>
      <c r="BP362" s="38"/>
      <c r="BQ362" s="38"/>
      <c r="BR362" s="38"/>
      <c r="BS362" s="38"/>
      <c r="BT362" s="38"/>
      <c r="BU362" s="38"/>
      <c r="BV362" s="38"/>
      <c r="BW362" s="38"/>
      <c r="BX362" s="38"/>
      <c r="BY362" s="38"/>
      <c r="BZ362" s="38"/>
      <c r="CA362" s="38"/>
      <c r="CB362" s="38"/>
      <c r="CC362" s="38"/>
      <c r="CD362" s="38"/>
      <c r="CE362" s="38"/>
      <c r="CF362" s="38"/>
      <c r="CG362" s="38"/>
      <c r="CH362" s="38"/>
      <c r="CI362" s="38"/>
      <c r="CJ362" s="38"/>
      <c r="CK362" s="38"/>
      <c r="CL362" s="38"/>
      <c r="CM362" s="38"/>
      <c r="CN362" s="38"/>
      <c r="CO362" s="38"/>
      <c r="CP362" s="38"/>
      <c r="CQ362" s="38"/>
      <c r="CR362" s="38"/>
      <c r="CS362" s="38"/>
      <c r="CT362" s="38"/>
      <c r="CU362" s="38"/>
      <c r="CV362" s="38"/>
      <c r="CW362" s="38"/>
      <c r="CX362" s="38"/>
      <c r="CY362" s="38"/>
      <c r="CZ362" s="38"/>
      <c r="DA362" s="38"/>
      <c r="DB362" s="38"/>
      <c r="DC362" s="38"/>
    </row>
    <row r="363" spans="2:107" hidden="1" outlineLevel="1">
      <c r="B363" s="37" t="s">
        <v>710</v>
      </c>
      <c r="C363" s="197"/>
      <c r="D363" s="31"/>
      <c r="E363" s="31"/>
      <c r="F363" s="31"/>
      <c r="G363" s="31"/>
      <c r="H363" s="31"/>
      <c r="I363" s="31"/>
      <c r="J363" s="31"/>
      <c r="K363" s="31"/>
      <c r="L363" s="31"/>
      <c r="M363" s="199"/>
      <c r="N363" s="199"/>
      <c r="O363" s="199"/>
      <c r="P363" s="199"/>
      <c r="Q363" s="199"/>
      <c r="R363" s="199"/>
      <c r="S363" s="199"/>
      <c r="T363" s="199"/>
      <c r="U363" s="199"/>
      <c r="V363" s="199"/>
      <c r="W363" s="199"/>
      <c r="X363" s="199"/>
      <c r="Y363" s="199"/>
      <c r="Z363" s="199"/>
      <c r="AA363" s="199"/>
      <c r="AB363" s="199"/>
      <c r="AC363" s="199"/>
      <c r="AD363" s="199"/>
      <c r="AE363" s="197"/>
      <c r="AF363" s="31"/>
      <c r="AG363" s="31"/>
      <c r="AH363" s="31"/>
      <c r="AI363" s="31"/>
      <c r="AJ363" s="31"/>
      <c r="AK363" s="31"/>
      <c r="AL363" s="31"/>
      <c r="AM363" s="31"/>
      <c r="AN363" s="31"/>
      <c r="AO363" s="31"/>
      <c r="AP363" s="31"/>
      <c r="AQ363" s="31"/>
      <c r="AR363" s="31"/>
      <c r="AS363" s="31"/>
      <c r="AT363" s="31"/>
      <c r="AU363" s="31"/>
      <c r="AV363" s="163"/>
      <c r="AW363" s="163"/>
      <c r="AX363" s="163"/>
      <c r="AY363" s="163"/>
      <c r="AZ363" s="38"/>
      <c r="BA363" s="38"/>
      <c r="BB363" s="38"/>
      <c r="BC363" s="38"/>
      <c r="BD363" s="38"/>
      <c r="BE363" s="38"/>
      <c r="BF363" s="38"/>
      <c r="BG363" s="38"/>
      <c r="BH363" s="38"/>
      <c r="BI363" s="38"/>
      <c r="BJ363" s="38"/>
      <c r="BK363" s="38"/>
      <c r="BL363" s="38"/>
      <c r="BM363" s="38"/>
      <c r="BN363" s="38"/>
      <c r="BO363" s="38"/>
      <c r="BP363" s="38"/>
      <c r="BQ363" s="38"/>
      <c r="BR363" s="38"/>
      <c r="BS363" s="38"/>
      <c r="BT363" s="38"/>
      <c r="BU363" s="38"/>
      <c r="BV363" s="38">
        <f>BV361/BU361-1</f>
        <v>1.3145826964231055E-2</v>
      </c>
      <c r="BW363" s="38">
        <f>BW361/BV361-1</f>
        <v>2.3407190275023693E-2</v>
      </c>
      <c r="BX363" s="38">
        <f>BX361/BW361-1</f>
        <v>5.4757592350784812E-3</v>
      </c>
      <c r="BY363" s="168">
        <f t="shared" ref="BY363:CE363" si="431">CHOOSE(mode,BY364,BY365,BY366)</f>
        <v>2.5000000000000001E-2</v>
      </c>
      <c r="BZ363" s="168">
        <f t="shared" si="431"/>
        <v>2.5000000000000001E-2</v>
      </c>
      <c r="CA363" s="168">
        <f t="shared" si="431"/>
        <v>2.5000000000000001E-2</v>
      </c>
      <c r="CB363" s="168">
        <f t="shared" si="431"/>
        <v>2.5000000000000001E-2</v>
      </c>
      <c r="CC363" s="168">
        <f t="shared" si="431"/>
        <v>2.5000000000000001E-2</v>
      </c>
      <c r="CD363" s="168">
        <f t="shared" si="431"/>
        <v>2.5000000000000001E-2</v>
      </c>
      <c r="CE363" s="168">
        <f t="shared" si="431"/>
        <v>2.5000000000000001E-2</v>
      </c>
      <c r="CF363" s="168">
        <f t="shared" ref="CF363:CM363" si="432">CHOOSE(mode,CF364,CF365,CF366)</f>
        <v>2.5000000000000001E-2</v>
      </c>
      <c r="CG363" s="168">
        <f t="shared" si="432"/>
        <v>2.5000000000000001E-2</v>
      </c>
      <c r="CH363" s="168">
        <f t="shared" si="432"/>
        <v>2.5000000000000001E-2</v>
      </c>
      <c r="CI363" s="168">
        <f t="shared" si="432"/>
        <v>2.5000000000000001E-2</v>
      </c>
      <c r="CJ363" s="168">
        <f t="shared" si="432"/>
        <v>2.5000000000000001E-2</v>
      </c>
      <c r="CK363" s="168">
        <f t="shared" si="432"/>
        <v>2.5000000000000001E-2</v>
      </c>
      <c r="CL363" s="168">
        <f t="shared" si="432"/>
        <v>2.5000000000000001E-2</v>
      </c>
      <c r="CM363" s="168">
        <f t="shared" si="432"/>
        <v>2.5000000000000001E-2</v>
      </c>
      <c r="CN363" s="168">
        <f>CHOOSE(mode,CN364,CN365,CN366)</f>
        <v>2.5000000000000001E-2</v>
      </c>
      <c r="CO363" s="168">
        <f>CHOOSE(mode,CO364,CO365,CO366)</f>
        <v>2.5000000000000001E-2</v>
      </c>
      <c r="CP363" s="168">
        <f>CHOOSE(mode,CP364,CP365,CP366)</f>
        <v>2.5000000000000001E-2</v>
      </c>
      <c r="CQ363" s="168">
        <f>CHOOSE(mode,CQ364,CQ365,CQ366)</f>
        <v>2.5000000000000001E-2</v>
      </c>
      <c r="CR363" s="168">
        <f t="shared" ref="CR363:CU363" si="433">CHOOSE(mode,CR364,CR365,CR366)</f>
        <v>2.5000000000000001E-2</v>
      </c>
      <c r="CS363" s="168">
        <f t="shared" si="433"/>
        <v>2.5000000000000001E-2</v>
      </c>
      <c r="CT363" s="168">
        <f t="shared" si="433"/>
        <v>2.5000000000000001E-2</v>
      </c>
      <c r="CU363" s="168">
        <f t="shared" si="433"/>
        <v>2.5000000000000001E-2</v>
      </c>
      <c r="CV363" s="168">
        <f>CHOOSE(mode,CV364,CV365,CV366)</f>
        <v>2.5000000000000001E-2</v>
      </c>
      <c r="CW363" s="168">
        <f>CHOOSE(mode,CW364,CW365,CW366)</f>
        <v>2.5000000000000001E-2</v>
      </c>
      <c r="CX363" s="168">
        <f>CHOOSE(mode,CX364,CX365,CX366)</f>
        <v>2.5000000000000001E-2</v>
      </c>
      <c r="CY363" s="168">
        <f>CHOOSE(mode,CY364,CY365,CY366)</f>
        <v>2.5000000000000001E-2</v>
      </c>
      <c r="CZ363" s="168">
        <f t="shared" ref="CZ363:DC363" si="434">CHOOSE(mode,CZ364,CZ365,CZ366)</f>
        <v>2.5000000000000001E-2</v>
      </c>
      <c r="DA363" s="168">
        <f t="shared" si="434"/>
        <v>2.5000000000000001E-2</v>
      </c>
      <c r="DB363" s="168">
        <f t="shared" si="434"/>
        <v>2.5000000000000001E-2</v>
      </c>
      <c r="DC363" s="168">
        <f t="shared" si="434"/>
        <v>2.5000000000000001E-2</v>
      </c>
    </row>
    <row r="364" spans="2:107" hidden="1" outlineLevel="2">
      <c r="B364" s="134" t="s">
        <v>1046</v>
      </c>
      <c r="C364" s="135"/>
      <c r="D364" s="135"/>
      <c r="E364" s="135"/>
      <c r="F364" s="135"/>
      <c r="G364" s="135"/>
      <c r="H364" s="135"/>
      <c r="I364" s="135"/>
      <c r="J364" s="135"/>
      <c r="K364" s="135"/>
      <c r="L364" s="135"/>
      <c r="M364" s="136"/>
      <c r="N364" s="136"/>
      <c r="O364" s="136"/>
      <c r="P364" s="137"/>
      <c r="Q364" s="137"/>
      <c r="R364" s="137"/>
      <c r="S364" s="137"/>
      <c r="T364" s="137"/>
      <c r="U364" s="137"/>
      <c r="V364" s="137"/>
      <c r="W364" s="137"/>
      <c r="X364" s="137">
        <f>X365+0.1</f>
        <v>0.25</v>
      </c>
      <c r="Y364" s="137">
        <f>Y365+0.1</f>
        <v>0.25</v>
      </c>
      <c r="Z364" s="137">
        <f>Z365+0.1</f>
        <v>0.25</v>
      </c>
      <c r="AA364" s="137">
        <f t="shared" ref="AA364:AD364" si="435">AA365+0.1</f>
        <v>0.25</v>
      </c>
      <c r="AB364" s="137">
        <f t="shared" si="435"/>
        <v>0.25</v>
      </c>
      <c r="AC364" s="137">
        <f t="shared" si="435"/>
        <v>0.25</v>
      </c>
      <c r="AD364" s="137">
        <f t="shared" si="435"/>
        <v>0.25</v>
      </c>
      <c r="AE364" s="135"/>
      <c r="AF364" s="135"/>
      <c r="AG364" s="135"/>
      <c r="AH364" s="135"/>
      <c r="AI364" s="135"/>
      <c r="AJ364" s="135"/>
      <c r="AK364" s="135"/>
      <c r="AL364" s="135"/>
      <c r="AM364" s="135"/>
      <c r="AN364" s="135"/>
      <c r="AO364" s="135"/>
      <c r="AP364" s="135"/>
      <c r="AQ364" s="135"/>
      <c r="AR364" s="135"/>
      <c r="AS364" s="135"/>
      <c r="AT364" s="135"/>
      <c r="AU364" s="135"/>
      <c r="AV364" s="135"/>
      <c r="AW364" s="135"/>
      <c r="AX364" s="135"/>
      <c r="AY364" s="135"/>
      <c r="AZ364" s="135"/>
      <c r="BA364" s="135"/>
      <c r="BB364" s="135"/>
      <c r="BC364" s="135"/>
      <c r="BD364" s="137"/>
      <c r="BE364" s="137"/>
      <c r="BF364" s="137"/>
      <c r="BG364" s="137"/>
      <c r="BH364" s="137"/>
      <c r="BI364" s="137"/>
      <c r="BJ364" s="137"/>
      <c r="BK364" s="137"/>
      <c r="BL364" s="137"/>
      <c r="BM364" s="137"/>
      <c r="BN364" s="137"/>
      <c r="BO364" s="137"/>
      <c r="BP364" s="136"/>
      <c r="BQ364" s="136"/>
      <c r="BR364" s="136"/>
      <c r="BS364" s="136"/>
      <c r="BT364" s="136"/>
      <c r="BU364" s="136"/>
      <c r="BV364" s="136"/>
      <c r="BW364" s="167"/>
      <c r="BX364" s="167">
        <f t="shared" ref="BX364:DC364" si="436">BX365+0.5%</f>
        <v>3.0000000000000002E-2</v>
      </c>
      <c r="BY364" s="167">
        <f t="shared" si="436"/>
        <v>3.0000000000000002E-2</v>
      </c>
      <c r="BZ364" s="167">
        <f t="shared" si="436"/>
        <v>3.0000000000000002E-2</v>
      </c>
      <c r="CA364" s="167">
        <f t="shared" si="436"/>
        <v>3.0000000000000002E-2</v>
      </c>
      <c r="CB364" s="167">
        <f t="shared" si="436"/>
        <v>3.0000000000000002E-2</v>
      </c>
      <c r="CC364" s="167">
        <f t="shared" si="436"/>
        <v>3.0000000000000002E-2</v>
      </c>
      <c r="CD364" s="167">
        <f t="shared" si="436"/>
        <v>3.0000000000000002E-2</v>
      </c>
      <c r="CE364" s="167">
        <f t="shared" si="436"/>
        <v>3.0000000000000002E-2</v>
      </c>
      <c r="CF364" s="167">
        <f t="shared" si="436"/>
        <v>3.0000000000000002E-2</v>
      </c>
      <c r="CG364" s="167">
        <f t="shared" si="436"/>
        <v>3.0000000000000002E-2</v>
      </c>
      <c r="CH364" s="167">
        <f t="shared" si="436"/>
        <v>3.0000000000000002E-2</v>
      </c>
      <c r="CI364" s="167">
        <f t="shared" si="436"/>
        <v>3.0000000000000002E-2</v>
      </c>
      <c r="CJ364" s="167">
        <f t="shared" si="436"/>
        <v>3.0000000000000002E-2</v>
      </c>
      <c r="CK364" s="167">
        <f t="shared" si="436"/>
        <v>3.0000000000000002E-2</v>
      </c>
      <c r="CL364" s="167">
        <f t="shared" si="436"/>
        <v>3.0000000000000002E-2</v>
      </c>
      <c r="CM364" s="167">
        <f t="shared" si="436"/>
        <v>3.0000000000000002E-2</v>
      </c>
      <c r="CN364" s="167">
        <f t="shared" si="436"/>
        <v>3.0000000000000002E-2</v>
      </c>
      <c r="CO364" s="167">
        <f t="shared" si="436"/>
        <v>3.0000000000000002E-2</v>
      </c>
      <c r="CP364" s="167">
        <f t="shared" si="436"/>
        <v>3.0000000000000002E-2</v>
      </c>
      <c r="CQ364" s="167">
        <f t="shared" si="436"/>
        <v>3.0000000000000002E-2</v>
      </c>
      <c r="CR364" s="167">
        <f t="shared" si="436"/>
        <v>3.0000000000000002E-2</v>
      </c>
      <c r="CS364" s="167">
        <f t="shared" si="436"/>
        <v>3.0000000000000002E-2</v>
      </c>
      <c r="CT364" s="167">
        <f t="shared" si="436"/>
        <v>3.0000000000000002E-2</v>
      </c>
      <c r="CU364" s="167">
        <f t="shared" si="436"/>
        <v>3.0000000000000002E-2</v>
      </c>
      <c r="CV364" s="167">
        <f t="shared" si="436"/>
        <v>3.0000000000000002E-2</v>
      </c>
      <c r="CW364" s="167">
        <f t="shared" si="436"/>
        <v>3.0000000000000002E-2</v>
      </c>
      <c r="CX364" s="167">
        <f t="shared" si="436"/>
        <v>3.0000000000000002E-2</v>
      </c>
      <c r="CY364" s="167">
        <f t="shared" si="436"/>
        <v>3.0000000000000002E-2</v>
      </c>
      <c r="CZ364" s="167">
        <f t="shared" si="436"/>
        <v>3.0000000000000002E-2</v>
      </c>
      <c r="DA364" s="167">
        <f t="shared" si="436"/>
        <v>3.0000000000000002E-2</v>
      </c>
      <c r="DB364" s="167">
        <f t="shared" si="436"/>
        <v>3.0000000000000002E-2</v>
      </c>
      <c r="DC364" s="167">
        <f t="shared" si="436"/>
        <v>3.0000000000000002E-2</v>
      </c>
    </row>
    <row r="365" spans="2:107" hidden="1" outlineLevel="2">
      <c r="B365" s="134" t="s">
        <v>1047</v>
      </c>
      <c r="C365" s="135"/>
      <c r="D365" s="135"/>
      <c r="E365" s="135"/>
      <c r="F365" s="135"/>
      <c r="G365" s="135"/>
      <c r="H365" s="135"/>
      <c r="I365" s="135"/>
      <c r="J365" s="135"/>
      <c r="K365" s="135"/>
      <c r="L365" s="135"/>
      <c r="M365" s="136"/>
      <c r="N365" s="136"/>
      <c r="O365" s="136"/>
      <c r="P365" s="137"/>
      <c r="Q365" s="137"/>
      <c r="R365" s="137"/>
      <c r="S365" s="137"/>
      <c r="T365" s="137"/>
      <c r="U365" s="137"/>
      <c r="V365" s="137"/>
      <c r="W365" s="137"/>
      <c r="X365" s="137">
        <v>0.15</v>
      </c>
      <c r="Y365" s="137">
        <v>0.15</v>
      </c>
      <c r="Z365" s="137">
        <v>0.15</v>
      </c>
      <c r="AA365" s="137">
        <v>0.15</v>
      </c>
      <c r="AB365" s="137">
        <v>0.15</v>
      </c>
      <c r="AC365" s="137">
        <v>0.15</v>
      </c>
      <c r="AD365" s="137">
        <v>0.15</v>
      </c>
      <c r="AE365" s="135"/>
      <c r="AF365" s="135"/>
      <c r="AG365" s="135"/>
      <c r="AH365" s="135"/>
      <c r="AI365" s="135"/>
      <c r="AJ365" s="135"/>
      <c r="AK365" s="135"/>
      <c r="AL365" s="135"/>
      <c r="AM365" s="135"/>
      <c r="AN365" s="135"/>
      <c r="AO365" s="135"/>
      <c r="AP365" s="135"/>
      <c r="AQ365" s="135"/>
      <c r="AR365" s="135"/>
      <c r="AS365" s="135"/>
      <c r="AT365" s="135"/>
      <c r="AU365" s="135"/>
      <c r="AV365" s="135"/>
      <c r="AW365" s="135"/>
      <c r="AX365" s="135"/>
      <c r="AY365" s="135"/>
      <c r="AZ365" s="135"/>
      <c r="BA365" s="135"/>
      <c r="BB365" s="135"/>
      <c r="BC365" s="135"/>
      <c r="BD365" s="137"/>
      <c r="BE365" s="137"/>
      <c r="BF365" s="137"/>
      <c r="BG365" s="137"/>
      <c r="BH365" s="137"/>
      <c r="BI365" s="137"/>
      <c r="BJ365" s="137"/>
      <c r="BK365" s="137"/>
      <c r="BL365" s="137"/>
      <c r="BM365" s="137"/>
      <c r="BN365" s="137"/>
      <c r="BO365" s="137"/>
      <c r="BP365" s="136"/>
      <c r="BQ365" s="136"/>
      <c r="BR365" s="136"/>
      <c r="BS365" s="136"/>
      <c r="BT365" s="136"/>
      <c r="BU365" s="136"/>
      <c r="BV365" s="136"/>
      <c r="BW365" s="167"/>
      <c r="BX365" s="167">
        <v>2.5000000000000001E-2</v>
      </c>
      <c r="BY365" s="167">
        <v>2.5000000000000001E-2</v>
      </c>
      <c r="BZ365" s="167">
        <v>2.5000000000000001E-2</v>
      </c>
      <c r="CA365" s="167">
        <v>2.5000000000000001E-2</v>
      </c>
      <c r="CB365" s="167">
        <v>2.5000000000000001E-2</v>
      </c>
      <c r="CC365" s="167">
        <v>2.5000000000000001E-2</v>
      </c>
      <c r="CD365" s="167">
        <v>2.5000000000000001E-2</v>
      </c>
      <c r="CE365" s="167">
        <v>2.5000000000000001E-2</v>
      </c>
      <c r="CF365" s="167">
        <v>2.5000000000000001E-2</v>
      </c>
      <c r="CG365" s="167">
        <v>2.5000000000000001E-2</v>
      </c>
      <c r="CH365" s="167">
        <v>2.5000000000000001E-2</v>
      </c>
      <c r="CI365" s="167">
        <v>2.5000000000000001E-2</v>
      </c>
      <c r="CJ365" s="167">
        <v>2.5000000000000001E-2</v>
      </c>
      <c r="CK365" s="167">
        <v>2.5000000000000001E-2</v>
      </c>
      <c r="CL365" s="167">
        <v>2.5000000000000001E-2</v>
      </c>
      <c r="CM365" s="167">
        <v>2.5000000000000001E-2</v>
      </c>
      <c r="CN365" s="167">
        <v>2.5000000000000001E-2</v>
      </c>
      <c r="CO365" s="167">
        <v>2.5000000000000001E-2</v>
      </c>
      <c r="CP365" s="167">
        <v>2.5000000000000001E-2</v>
      </c>
      <c r="CQ365" s="167">
        <v>2.5000000000000001E-2</v>
      </c>
      <c r="CR365" s="167">
        <v>2.5000000000000001E-2</v>
      </c>
      <c r="CS365" s="167">
        <v>2.5000000000000001E-2</v>
      </c>
      <c r="CT365" s="167">
        <v>2.5000000000000001E-2</v>
      </c>
      <c r="CU365" s="167">
        <v>2.5000000000000001E-2</v>
      </c>
      <c r="CV365" s="167">
        <v>2.5000000000000001E-2</v>
      </c>
      <c r="CW365" s="167">
        <v>2.5000000000000001E-2</v>
      </c>
      <c r="CX365" s="167">
        <v>2.5000000000000001E-2</v>
      </c>
      <c r="CY365" s="167">
        <v>2.5000000000000001E-2</v>
      </c>
      <c r="CZ365" s="167">
        <v>2.5000000000000001E-2</v>
      </c>
      <c r="DA365" s="167">
        <v>2.5000000000000001E-2</v>
      </c>
      <c r="DB365" s="167">
        <v>2.5000000000000001E-2</v>
      </c>
      <c r="DC365" s="167">
        <v>2.5000000000000001E-2</v>
      </c>
    </row>
    <row r="366" spans="2:107" hidden="1" outlineLevel="2">
      <c r="B366" s="134" t="s">
        <v>1048</v>
      </c>
      <c r="C366" s="135"/>
      <c r="D366" s="135"/>
      <c r="E366" s="135"/>
      <c r="F366" s="135"/>
      <c r="G366" s="135"/>
      <c r="H366" s="135"/>
      <c r="I366" s="135"/>
      <c r="J366" s="135"/>
      <c r="K366" s="135"/>
      <c r="L366" s="135"/>
      <c r="M366" s="136"/>
      <c r="N366" s="136"/>
      <c r="O366" s="136"/>
      <c r="P366" s="137"/>
      <c r="Q366" s="137"/>
      <c r="R366" s="137"/>
      <c r="S366" s="137"/>
      <c r="T366" s="137"/>
      <c r="U366" s="137"/>
      <c r="V366" s="137"/>
      <c r="W366" s="137"/>
      <c r="X366" s="137">
        <f>X365-0.1</f>
        <v>4.9999999999999989E-2</v>
      </c>
      <c r="Y366" s="137">
        <f>Y365-0.1</f>
        <v>4.9999999999999989E-2</v>
      </c>
      <c r="Z366" s="137">
        <f>Z365-0.1</f>
        <v>4.9999999999999989E-2</v>
      </c>
      <c r="AA366" s="137">
        <f t="shared" ref="AA366:AD366" si="437">AA365-0.1</f>
        <v>4.9999999999999989E-2</v>
      </c>
      <c r="AB366" s="137">
        <f t="shared" si="437"/>
        <v>4.9999999999999989E-2</v>
      </c>
      <c r="AC366" s="137">
        <f t="shared" si="437"/>
        <v>4.9999999999999989E-2</v>
      </c>
      <c r="AD366" s="137">
        <f t="shared" si="437"/>
        <v>4.9999999999999989E-2</v>
      </c>
      <c r="AE366" s="135"/>
      <c r="AF366" s="135"/>
      <c r="AG366" s="135"/>
      <c r="AH366" s="135"/>
      <c r="AI366" s="135"/>
      <c r="AJ366" s="135"/>
      <c r="AK366" s="135"/>
      <c r="AL366" s="135"/>
      <c r="AM366" s="135"/>
      <c r="AN366" s="135"/>
      <c r="AO366" s="135"/>
      <c r="AP366" s="135"/>
      <c r="AQ366" s="135"/>
      <c r="AR366" s="135"/>
      <c r="AS366" s="135"/>
      <c r="AT366" s="135"/>
      <c r="AU366" s="135"/>
      <c r="AV366" s="135"/>
      <c r="AW366" s="135"/>
      <c r="AX366" s="135"/>
      <c r="AY366" s="135"/>
      <c r="AZ366" s="135"/>
      <c r="BA366" s="135"/>
      <c r="BB366" s="135"/>
      <c r="BC366" s="135"/>
      <c r="BD366" s="137"/>
      <c r="BE366" s="137"/>
      <c r="BF366" s="137"/>
      <c r="BG366" s="137"/>
      <c r="BH366" s="137"/>
      <c r="BI366" s="137"/>
      <c r="BJ366" s="137"/>
      <c r="BK366" s="137"/>
      <c r="BL366" s="137"/>
      <c r="BM366" s="137"/>
      <c r="BN366" s="137"/>
      <c r="BO366" s="137"/>
      <c r="BP366" s="136"/>
      <c r="BQ366" s="136"/>
      <c r="BR366" s="136"/>
      <c r="BS366" s="136"/>
      <c r="BT366" s="136"/>
      <c r="BU366" s="136"/>
      <c r="BV366" s="136"/>
      <c r="BW366" s="167"/>
      <c r="BX366" s="167">
        <f t="shared" ref="BX366:CJ366" si="438">BX365-0.5%</f>
        <v>0.02</v>
      </c>
      <c r="BY366" s="167">
        <f t="shared" si="438"/>
        <v>0.02</v>
      </c>
      <c r="BZ366" s="167">
        <f t="shared" si="438"/>
        <v>0.02</v>
      </c>
      <c r="CA366" s="167">
        <f t="shared" si="438"/>
        <v>0.02</v>
      </c>
      <c r="CB366" s="167">
        <f t="shared" si="438"/>
        <v>0.02</v>
      </c>
      <c r="CC366" s="167">
        <f t="shared" si="438"/>
        <v>0.02</v>
      </c>
      <c r="CD366" s="167">
        <f t="shared" si="438"/>
        <v>0.02</v>
      </c>
      <c r="CE366" s="167">
        <f t="shared" si="438"/>
        <v>0.02</v>
      </c>
      <c r="CF366" s="167">
        <f t="shared" si="438"/>
        <v>0.02</v>
      </c>
      <c r="CG366" s="167">
        <f t="shared" si="438"/>
        <v>0.02</v>
      </c>
      <c r="CH366" s="167">
        <f t="shared" si="438"/>
        <v>0.02</v>
      </c>
      <c r="CI366" s="167">
        <f t="shared" si="438"/>
        <v>0.02</v>
      </c>
      <c r="CJ366" s="167">
        <f t="shared" si="438"/>
        <v>0.02</v>
      </c>
      <c r="CK366" s="167">
        <f t="shared" ref="CK366:CQ366" si="439">CK365-0.5%</f>
        <v>0.02</v>
      </c>
      <c r="CL366" s="167">
        <f t="shared" si="439"/>
        <v>0.02</v>
      </c>
      <c r="CM366" s="167">
        <f t="shared" si="439"/>
        <v>0.02</v>
      </c>
      <c r="CN366" s="167">
        <f t="shared" si="439"/>
        <v>0.02</v>
      </c>
      <c r="CO366" s="167">
        <f t="shared" si="439"/>
        <v>0.02</v>
      </c>
      <c r="CP366" s="167">
        <f t="shared" si="439"/>
        <v>0.02</v>
      </c>
      <c r="CQ366" s="167">
        <f t="shared" si="439"/>
        <v>0.02</v>
      </c>
      <c r="CR366" s="167">
        <f t="shared" ref="CR366:CU366" si="440">CR365-0.5%</f>
        <v>0.02</v>
      </c>
      <c r="CS366" s="167">
        <f t="shared" si="440"/>
        <v>0.02</v>
      </c>
      <c r="CT366" s="167">
        <f t="shared" si="440"/>
        <v>0.02</v>
      </c>
      <c r="CU366" s="167">
        <f t="shared" si="440"/>
        <v>0.02</v>
      </c>
      <c r="CV366" s="167">
        <f>CV365-0.5%</f>
        <v>0.02</v>
      </c>
      <c r="CW366" s="167">
        <f>CW365-0.5%</f>
        <v>0.02</v>
      </c>
      <c r="CX366" s="167">
        <f>CX365-0.5%</f>
        <v>0.02</v>
      </c>
      <c r="CY366" s="167">
        <f>CY365-0.5%</f>
        <v>0.02</v>
      </c>
      <c r="CZ366" s="167">
        <f t="shared" ref="CZ366:DC366" si="441">CZ365-0.5%</f>
        <v>0.02</v>
      </c>
      <c r="DA366" s="167">
        <f t="shared" si="441"/>
        <v>0.02</v>
      </c>
      <c r="DB366" s="167">
        <f t="shared" si="441"/>
        <v>0.02</v>
      </c>
      <c r="DC366" s="167">
        <f t="shared" si="441"/>
        <v>0.02</v>
      </c>
    </row>
    <row r="367" spans="2:107" hidden="1" outlineLevel="1">
      <c r="B367" s="37"/>
      <c r="C367" s="197"/>
      <c r="D367" s="31"/>
      <c r="E367" s="31"/>
      <c r="F367" s="31"/>
      <c r="G367" s="31"/>
      <c r="H367" s="31"/>
      <c r="I367" s="31"/>
      <c r="J367" s="31"/>
      <c r="K367" s="31"/>
      <c r="L367" s="31"/>
      <c r="M367" s="199"/>
      <c r="N367" s="199"/>
      <c r="O367" s="199"/>
      <c r="P367" s="199"/>
      <c r="Q367" s="199"/>
      <c r="R367" s="199"/>
      <c r="S367" s="199"/>
      <c r="T367" s="199"/>
      <c r="U367" s="199"/>
      <c r="V367" s="199"/>
      <c r="W367" s="199"/>
      <c r="X367" s="199"/>
      <c r="Y367" s="199"/>
      <c r="Z367" s="199"/>
      <c r="AA367" s="199"/>
      <c r="AB367" s="199"/>
      <c r="AC367" s="199"/>
      <c r="AD367" s="199"/>
      <c r="AE367" s="197"/>
      <c r="AF367" s="31"/>
      <c r="AG367" s="31"/>
      <c r="AH367" s="31"/>
      <c r="AI367" s="31"/>
      <c r="AJ367" s="31"/>
      <c r="AK367" s="31"/>
      <c r="AL367" s="31"/>
      <c r="AM367" s="31"/>
      <c r="AN367" s="31"/>
      <c r="AO367" s="31"/>
      <c r="AP367" s="31"/>
      <c r="AQ367" s="31"/>
      <c r="AR367" s="31"/>
      <c r="AS367" s="31"/>
      <c r="AT367" s="31"/>
      <c r="AU367" s="31"/>
      <c r="AV367" s="163"/>
      <c r="AW367" s="163"/>
      <c r="AX367" s="163"/>
      <c r="AY367" s="163"/>
      <c r="AZ367" s="38"/>
      <c r="BA367" s="38"/>
      <c r="BB367" s="38"/>
      <c r="BC367" s="38"/>
      <c r="BD367" s="38"/>
      <c r="BE367" s="38"/>
      <c r="BF367" s="38"/>
      <c r="BG367" s="38"/>
      <c r="BH367" s="38"/>
      <c r="BI367" s="38"/>
      <c r="BJ367" s="38"/>
      <c r="BK367" s="38"/>
      <c r="BL367" s="38"/>
      <c r="BM367" s="38"/>
      <c r="BN367" s="38"/>
      <c r="BO367" s="38"/>
      <c r="BP367" s="38"/>
      <c r="BQ367" s="38"/>
      <c r="BR367" s="38"/>
      <c r="BS367" s="38"/>
      <c r="BT367" s="38"/>
      <c r="BU367" s="38"/>
      <c r="BV367" s="199"/>
      <c r="BW367" s="199"/>
      <c r="BX367" s="199"/>
      <c r="BY367" s="199"/>
      <c r="BZ367" s="199"/>
      <c r="CA367" s="199"/>
      <c r="CB367" s="199"/>
      <c r="CC367" s="199"/>
      <c r="CD367" s="199"/>
      <c r="CE367" s="199"/>
      <c r="CF367" s="199"/>
      <c r="CG367" s="199"/>
      <c r="CH367" s="199"/>
      <c r="CI367" s="199"/>
      <c r="CJ367" s="199"/>
      <c r="CK367" s="199"/>
      <c r="CL367" s="199"/>
      <c r="CM367" s="199"/>
      <c r="CN367" s="199"/>
      <c r="CO367" s="199"/>
      <c r="CP367" s="199"/>
      <c r="CQ367" s="199"/>
      <c r="CR367" s="199"/>
      <c r="CS367" s="199"/>
      <c r="CT367" s="199"/>
      <c r="CU367" s="199"/>
      <c r="CV367" s="199"/>
      <c r="CW367" s="199"/>
      <c r="CX367" s="199"/>
      <c r="CY367" s="199"/>
      <c r="CZ367" s="199"/>
      <c r="DA367" s="199"/>
      <c r="DB367" s="199"/>
      <c r="DC367" s="199"/>
    </row>
    <row r="368" spans="2:107" hidden="1" outlineLevel="1">
      <c r="B368" s="17" t="s">
        <v>726</v>
      </c>
      <c r="C368" s="197"/>
      <c r="D368" s="31"/>
      <c r="E368" s="31"/>
      <c r="F368" s="31"/>
      <c r="G368" s="31"/>
      <c r="H368" s="31"/>
      <c r="I368" s="31"/>
      <c r="J368" s="31"/>
      <c r="K368" s="31"/>
      <c r="L368" s="31"/>
      <c r="M368" s="199"/>
      <c r="N368" s="166"/>
      <c r="O368" s="166">
        <f t="shared" ref="O368:Z368" si="442">O361/O239</f>
        <v>2.6364242087729037</v>
      </c>
      <c r="P368" s="166">
        <f t="shared" si="442"/>
        <v>7.4253195001083174</v>
      </c>
      <c r="Q368" s="166" t="e">
        <f t="shared" si="442"/>
        <v>#DIV/0!</v>
      </c>
      <c r="R368" s="166" t="e">
        <f t="shared" si="442"/>
        <v>#DIV/0!</v>
      </c>
      <c r="S368" s="166" t="e">
        <f t="shared" si="442"/>
        <v>#DIV/0!</v>
      </c>
      <c r="T368" s="166" t="e">
        <f t="shared" si="442"/>
        <v>#DIV/0!</v>
      </c>
      <c r="U368" s="166" t="e">
        <f t="shared" si="442"/>
        <v>#DIV/0!</v>
      </c>
      <c r="V368" s="166" t="e">
        <f t="shared" si="442"/>
        <v>#DIV/0!</v>
      </c>
      <c r="W368" s="166" t="e">
        <f t="shared" ref="W368" si="443">W361/W239</f>
        <v>#DIV/0!</v>
      </c>
      <c r="X368" s="166" t="e">
        <f t="shared" si="442"/>
        <v>#DIV/0!</v>
      </c>
      <c r="Y368" s="166" t="e">
        <f t="shared" si="442"/>
        <v>#DIV/0!</v>
      </c>
      <c r="Z368" s="166" t="e">
        <f t="shared" si="442"/>
        <v>#DIV/0!</v>
      </c>
      <c r="AA368" s="166" t="e">
        <f t="shared" ref="AA368:AD368" si="444">AA361/AA239</f>
        <v>#DIV/0!</v>
      </c>
      <c r="AB368" s="166" t="e">
        <f t="shared" si="444"/>
        <v>#DIV/0!</v>
      </c>
      <c r="AC368" s="166" t="e">
        <f t="shared" si="444"/>
        <v>#DIV/0!</v>
      </c>
      <c r="AD368" s="166" t="e">
        <f t="shared" si="444"/>
        <v>#DIV/0!</v>
      </c>
      <c r="AE368" s="197"/>
      <c r="AF368" s="31"/>
      <c r="AG368" s="31"/>
      <c r="AH368" s="31"/>
      <c r="AI368" s="31"/>
      <c r="AJ368" s="31"/>
      <c r="AK368" s="31"/>
      <c r="AL368" s="31"/>
      <c r="AM368" s="31"/>
      <c r="AN368" s="31"/>
      <c r="AO368" s="31"/>
      <c r="AP368" s="31"/>
      <c r="AQ368" s="31"/>
      <c r="AR368" s="31"/>
      <c r="AS368" s="31"/>
      <c r="AT368" s="31"/>
      <c r="AU368" s="31"/>
      <c r="AV368" s="31"/>
      <c r="AW368" s="31"/>
      <c r="AX368" s="31"/>
      <c r="AY368" s="165"/>
      <c r="AZ368" s="165"/>
      <c r="BA368" s="165"/>
      <c r="BB368" s="165"/>
      <c r="BC368" s="165"/>
      <c r="BD368" s="165"/>
      <c r="BE368" s="165"/>
      <c r="BF368" s="165"/>
      <c r="BG368" s="165"/>
      <c r="BH368" s="165"/>
      <c r="BI368" s="165"/>
      <c r="BJ368" s="165"/>
      <c r="BK368" s="165"/>
      <c r="BL368" s="165"/>
      <c r="BM368" s="165"/>
      <c r="BN368" s="165"/>
      <c r="BO368" s="165"/>
      <c r="BP368" s="166"/>
      <c r="BQ368" s="166"/>
      <c r="BR368" s="166"/>
      <c r="BS368" s="166"/>
      <c r="BT368" s="166"/>
      <c r="BU368" s="166"/>
      <c r="BV368" s="166">
        <f t="shared" ref="BV368:CU368" si="445">BV361/BV239</f>
        <v>2.5775555555555556</v>
      </c>
      <c r="BW368" s="166">
        <f t="shared" si="445"/>
        <v>2.6378888888888889</v>
      </c>
      <c r="BX368" s="166">
        <f t="shared" si="445"/>
        <v>2.6020274689339438</v>
      </c>
      <c r="BY368" s="166">
        <f t="shared" si="445"/>
        <v>5.2348684210526315</v>
      </c>
      <c r="BZ368" s="166" t="e">
        <f t="shared" si="445"/>
        <v>#DIV/0!</v>
      </c>
      <c r="CA368" s="166" t="e">
        <f t="shared" si="445"/>
        <v>#DIV/0!</v>
      </c>
      <c r="CB368" s="166" t="e">
        <f t="shared" si="445"/>
        <v>#DIV/0!</v>
      </c>
      <c r="CC368" s="166" t="e">
        <f t="shared" si="445"/>
        <v>#DIV/0!</v>
      </c>
      <c r="CD368" s="166" t="e">
        <f t="shared" si="445"/>
        <v>#DIV/0!</v>
      </c>
      <c r="CE368" s="166" t="e">
        <f t="shared" si="445"/>
        <v>#DIV/0!</v>
      </c>
      <c r="CF368" s="166" t="e">
        <f t="shared" si="445"/>
        <v>#DIV/0!</v>
      </c>
      <c r="CG368" s="166" t="e">
        <f t="shared" si="445"/>
        <v>#DIV/0!</v>
      </c>
      <c r="CH368" s="166" t="e">
        <f t="shared" si="445"/>
        <v>#DIV/0!</v>
      </c>
      <c r="CI368" s="166" t="e">
        <f t="shared" si="445"/>
        <v>#DIV/0!</v>
      </c>
      <c r="CJ368" s="166" t="e">
        <f t="shared" si="445"/>
        <v>#DIV/0!</v>
      </c>
      <c r="CK368" s="166" t="e">
        <f t="shared" si="445"/>
        <v>#DIV/0!</v>
      </c>
      <c r="CL368" s="166" t="e">
        <f t="shared" si="445"/>
        <v>#DIV/0!</v>
      </c>
      <c r="CM368" s="166" t="e">
        <f t="shared" si="445"/>
        <v>#DIV/0!</v>
      </c>
      <c r="CN368" s="166" t="e">
        <f t="shared" si="445"/>
        <v>#DIV/0!</v>
      </c>
      <c r="CO368" s="166" t="e">
        <f t="shared" si="445"/>
        <v>#DIV/0!</v>
      </c>
      <c r="CP368" s="166" t="e">
        <f t="shared" si="445"/>
        <v>#DIV/0!</v>
      </c>
      <c r="CQ368" s="166" t="e">
        <f t="shared" si="445"/>
        <v>#DIV/0!</v>
      </c>
      <c r="CR368" s="166" t="e">
        <f t="shared" si="445"/>
        <v>#DIV/0!</v>
      </c>
      <c r="CS368" s="166" t="e">
        <f t="shared" si="445"/>
        <v>#DIV/0!</v>
      </c>
      <c r="CT368" s="166" t="e">
        <f t="shared" si="445"/>
        <v>#DIV/0!</v>
      </c>
      <c r="CU368" s="166" t="e">
        <f t="shared" si="445"/>
        <v>#DIV/0!</v>
      </c>
      <c r="CV368" s="166" t="e">
        <f>CV361/CV239</f>
        <v>#DIV/0!</v>
      </c>
      <c r="CW368" s="166" t="e">
        <f>CW361/CW239</f>
        <v>#DIV/0!</v>
      </c>
      <c r="CX368" s="166" t="e">
        <f>CX361/CX239</f>
        <v>#DIV/0!</v>
      </c>
      <c r="CY368" s="166" t="e">
        <f>CY361/CY239</f>
        <v>#DIV/0!</v>
      </c>
      <c r="CZ368" s="166" t="e">
        <f t="shared" ref="CZ368:DC368" si="446">CZ361/CZ239</f>
        <v>#DIV/0!</v>
      </c>
      <c r="DA368" s="166" t="e">
        <f t="shared" si="446"/>
        <v>#DIV/0!</v>
      </c>
      <c r="DB368" s="166" t="e">
        <f t="shared" si="446"/>
        <v>#DIV/0!</v>
      </c>
      <c r="DC368" s="166" t="e">
        <f t="shared" si="446"/>
        <v>#DIV/0!</v>
      </c>
    </row>
    <row r="369" spans="2:107" hidden="1" outlineLevel="1">
      <c r="B369" s="37" t="s">
        <v>709</v>
      </c>
      <c r="C369" s="197"/>
      <c r="D369" s="31"/>
      <c r="E369" s="31"/>
      <c r="F369" s="31"/>
      <c r="G369" s="31"/>
      <c r="H369" s="31"/>
      <c r="I369" s="31"/>
      <c r="J369" s="31"/>
      <c r="K369" s="31"/>
      <c r="L369" s="31"/>
      <c r="M369" s="199"/>
      <c r="N369" s="199"/>
      <c r="O369" s="199"/>
      <c r="P369" s="199"/>
      <c r="Q369" s="199"/>
      <c r="R369" s="199"/>
      <c r="S369" s="199"/>
      <c r="T369" s="199"/>
      <c r="U369" s="199"/>
      <c r="V369" s="199"/>
      <c r="W369" s="199"/>
      <c r="X369" s="199"/>
      <c r="Y369" s="199"/>
      <c r="Z369" s="199"/>
      <c r="AA369" s="199"/>
      <c r="AB369" s="199"/>
      <c r="AC369" s="199"/>
      <c r="AD369" s="199"/>
      <c r="AE369" s="197"/>
      <c r="AF369" s="31"/>
      <c r="AG369" s="31"/>
      <c r="AH369" s="31"/>
      <c r="AI369" s="31"/>
      <c r="AJ369" s="31"/>
      <c r="AK369" s="31"/>
      <c r="AL369" s="31"/>
      <c r="AM369" s="31"/>
      <c r="AN369" s="31"/>
      <c r="AO369" s="31"/>
      <c r="AP369" s="31"/>
      <c r="AQ369" s="31"/>
      <c r="AR369" s="31"/>
      <c r="AS369" s="31"/>
      <c r="AT369" s="31"/>
      <c r="AU369" s="31"/>
      <c r="AV369" s="31"/>
      <c r="AW369" s="31"/>
      <c r="AX369" s="31"/>
      <c r="AY369" s="31"/>
      <c r="AZ369" s="31"/>
      <c r="BA369" s="31"/>
      <c r="BB369" s="31"/>
      <c r="BC369" s="31"/>
      <c r="BD369" s="32"/>
      <c r="BE369" s="32"/>
      <c r="BF369" s="32"/>
      <c r="BG369" s="32"/>
      <c r="BH369" s="32"/>
      <c r="BI369" s="32"/>
      <c r="BJ369" s="32"/>
      <c r="BK369" s="32"/>
      <c r="BL369" s="32"/>
      <c r="BM369" s="32"/>
      <c r="BN369" s="32"/>
      <c r="BO369" s="32"/>
      <c r="BP369" s="199"/>
      <c r="BQ369" s="199"/>
      <c r="BR369" s="199"/>
      <c r="BS369" s="38"/>
      <c r="BT369" s="38"/>
      <c r="BU369" s="38"/>
      <c r="BV369" s="38"/>
      <c r="BW369" s="38"/>
      <c r="BX369" s="38"/>
      <c r="BY369" s="38"/>
      <c r="BZ369" s="38"/>
      <c r="CA369" s="38"/>
      <c r="CB369" s="38"/>
      <c r="CC369" s="38"/>
      <c r="CD369" s="38"/>
      <c r="CE369" s="38"/>
      <c r="CF369" s="38"/>
      <c r="CG369" s="38"/>
      <c r="CH369" s="38"/>
      <c r="CI369" s="38"/>
      <c r="CJ369" s="38"/>
      <c r="CK369" s="38"/>
      <c r="CL369" s="38"/>
      <c r="CM369" s="38"/>
      <c r="CN369" s="38"/>
      <c r="CO369" s="38"/>
      <c r="CP369" s="38"/>
      <c r="CQ369" s="38"/>
      <c r="CR369" s="38"/>
      <c r="CS369" s="38"/>
      <c r="CT369" s="38"/>
      <c r="CU369" s="38"/>
      <c r="CV369" s="38"/>
      <c r="CW369" s="38"/>
      <c r="CX369" s="38"/>
      <c r="CY369" s="38"/>
      <c r="CZ369" s="38"/>
      <c r="DA369" s="38"/>
      <c r="DB369" s="38"/>
      <c r="DC369" s="38"/>
    </row>
    <row r="370" spans="2:107" hidden="1" outlineLevel="1">
      <c r="B370" s="37" t="s">
        <v>710</v>
      </c>
      <c r="C370" s="197"/>
      <c r="D370" s="31"/>
      <c r="E370" s="31"/>
      <c r="F370" s="31"/>
      <c r="G370" s="31"/>
      <c r="H370" s="31"/>
      <c r="I370" s="31"/>
      <c r="J370" s="31"/>
      <c r="K370" s="31"/>
      <c r="L370" s="31"/>
      <c r="M370" s="199"/>
      <c r="N370" s="199"/>
      <c r="O370" s="199"/>
      <c r="P370" s="199"/>
      <c r="Q370" s="199"/>
      <c r="R370" s="199"/>
      <c r="S370" s="199"/>
      <c r="T370" s="199"/>
      <c r="U370" s="199"/>
      <c r="V370" s="199"/>
      <c r="W370" s="199"/>
      <c r="X370" s="199"/>
      <c r="Y370" s="199"/>
      <c r="Z370" s="199"/>
      <c r="AA370" s="199"/>
      <c r="AB370" s="199"/>
      <c r="AC370" s="199"/>
      <c r="AD370" s="199"/>
      <c r="AE370" s="197"/>
      <c r="AF370" s="31"/>
      <c r="AG370" s="31"/>
      <c r="AH370" s="31"/>
      <c r="AI370" s="31"/>
      <c r="AJ370" s="31"/>
      <c r="AK370" s="31"/>
      <c r="AL370" s="31"/>
      <c r="AM370" s="31"/>
      <c r="AN370" s="31"/>
      <c r="AO370" s="31"/>
      <c r="AP370" s="31"/>
      <c r="AQ370" s="31"/>
      <c r="AR370" s="31"/>
      <c r="AS370" s="31"/>
      <c r="AT370" s="31"/>
      <c r="AU370" s="31"/>
      <c r="AV370" s="31"/>
      <c r="AW370" s="31"/>
      <c r="AX370" s="31"/>
      <c r="AY370" s="31"/>
      <c r="AZ370" s="31"/>
      <c r="BA370" s="31"/>
      <c r="BB370" s="31"/>
      <c r="BC370" s="31"/>
      <c r="BD370" s="32"/>
      <c r="BE370" s="32"/>
      <c r="BF370" s="32"/>
      <c r="BG370" s="32"/>
      <c r="BH370" s="32"/>
      <c r="BI370" s="32"/>
      <c r="BJ370" s="32"/>
      <c r="BK370" s="32"/>
      <c r="BL370" s="32"/>
      <c r="BM370" s="32"/>
      <c r="BN370" s="32"/>
      <c r="BO370" s="32"/>
      <c r="BP370" s="199"/>
      <c r="BQ370" s="38"/>
      <c r="BR370" s="38"/>
      <c r="BS370" s="38"/>
      <c r="BT370" s="38"/>
      <c r="BU370" s="38"/>
      <c r="BV370" s="38"/>
      <c r="BW370" s="38"/>
      <c r="BX370" s="38"/>
      <c r="BY370" s="38"/>
      <c r="BZ370" s="38"/>
      <c r="CA370" s="38"/>
      <c r="CB370" s="38"/>
      <c r="CC370" s="38"/>
      <c r="CD370" s="38"/>
      <c r="CE370" s="38"/>
      <c r="CF370" s="38"/>
      <c r="CG370" s="38"/>
      <c r="CH370" s="38"/>
      <c r="CI370" s="38"/>
      <c r="CJ370" s="38"/>
      <c r="CK370" s="38"/>
      <c r="CL370" s="38"/>
      <c r="CM370" s="38"/>
      <c r="CN370" s="38"/>
      <c r="CO370" s="38"/>
      <c r="CP370" s="38"/>
      <c r="CQ370" s="38"/>
      <c r="CR370" s="38"/>
      <c r="CS370" s="38"/>
      <c r="CT370" s="38"/>
      <c r="CU370" s="38"/>
      <c r="CV370" s="38"/>
      <c r="CW370" s="38"/>
      <c r="CX370" s="38"/>
      <c r="CY370" s="38"/>
      <c r="CZ370" s="38"/>
      <c r="DA370" s="38"/>
      <c r="DB370" s="38"/>
      <c r="DC370" s="38"/>
    </row>
    <row r="371" spans="2:107" ht="12.75" hidden="1" customHeight="1" outlineLevel="1">
      <c r="B371" s="37"/>
      <c r="C371" s="197"/>
      <c r="D371" s="31"/>
      <c r="E371" s="31"/>
      <c r="F371" s="31"/>
      <c r="G371" s="31"/>
      <c r="H371" s="31"/>
      <c r="I371" s="31"/>
      <c r="J371" s="31"/>
      <c r="K371" s="31"/>
      <c r="L371" s="31"/>
      <c r="M371" s="199"/>
      <c r="N371" s="199"/>
      <c r="O371" s="199"/>
      <c r="P371" s="199"/>
      <c r="Q371" s="199"/>
      <c r="R371" s="199"/>
      <c r="S371" s="199"/>
      <c r="T371" s="199"/>
      <c r="U371" s="199"/>
      <c r="V371" s="199"/>
      <c r="W371" s="199"/>
      <c r="X371" s="199"/>
      <c r="Y371" s="199"/>
      <c r="Z371" s="199"/>
      <c r="AA371" s="199"/>
      <c r="AB371" s="199"/>
      <c r="AC371" s="199"/>
      <c r="AD371" s="199"/>
      <c r="AE371" s="197"/>
      <c r="AF371" s="31"/>
      <c r="AG371" s="31"/>
      <c r="AH371" s="31"/>
      <c r="AI371" s="31"/>
      <c r="AJ371" s="31"/>
      <c r="AK371" s="31"/>
      <c r="AL371" s="31"/>
      <c r="AM371" s="31"/>
      <c r="AN371" s="31"/>
      <c r="AO371" s="31"/>
      <c r="AP371" s="31"/>
      <c r="AQ371" s="31"/>
      <c r="AR371" s="31"/>
      <c r="AS371" s="31"/>
      <c r="AT371" s="31"/>
      <c r="AU371" s="31"/>
      <c r="AV371" s="31"/>
      <c r="AW371" s="31"/>
      <c r="AX371" s="31"/>
      <c r="AY371" s="31"/>
      <c r="AZ371" s="31"/>
      <c r="BA371" s="31"/>
      <c r="BB371" s="31"/>
      <c r="BC371" s="31"/>
      <c r="BD371" s="32"/>
      <c r="BE371" s="32"/>
      <c r="BF371" s="32"/>
      <c r="BG371" s="32"/>
      <c r="BH371" s="32"/>
      <c r="BI371" s="32"/>
      <c r="BJ371" s="32"/>
      <c r="BK371" s="32"/>
      <c r="BL371" s="32"/>
      <c r="BM371" s="32"/>
      <c r="BN371" s="32"/>
      <c r="BO371" s="32"/>
      <c r="BP371" s="199"/>
      <c r="BQ371" s="38"/>
      <c r="BR371" s="38"/>
      <c r="BS371" s="38"/>
      <c r="BT371" s="38"/>
      <c r="BU371" s="38"/>
      <c r="BV371" s="199"/>
      <c r="BW371" s="199"/>
      <c r="BX371" s="199"/>
      <c r="BY371" s="199"/>
      <c r="BZ371" s="199"/>
      <c r="CA371" s="199"/>
      <c r="CB371" s="199"/>
      <c r="CC371" s="199"/>
      <c r="CD371" s="199"/>
      <c r="CE371" s="199"/>
      <c r="CF371" s="199"/>
      <c r="CG371" s="199"/>
      <c r="CH371" s="199"/>
      <c r="CI371" s="199"/>
      <c r="CJ371" s="199"/>
      <c r="CK371" s="199"/>
      <c r="CL371" s="199"/>
      <c r="CM371" s="199"/>
      <c r="CN371" s="199"/>
      <c r="CO371" s="199"/>
      <c r="CP371" s="199"/>
      <c r="CQ371" s="199"/>
      <c r="CR371" s="199"/>
      <c r="CS371" s="199"/>
      <c r="CT371" s="199"/>
      <c r="CU371" s="199"/>
      <c r="CV371" s="199"/>
      <c r="CW371" s="199"/>
      <c r="CX371" s="199"/>
      <c r="CY371" s="199"/>
      <c r="CZ371" s="199"/>
      <c r="DA371" s="199"/>
      <c r="DB371" s="199"/>
      <c r="DC371" s="199"/>
    </row>
    <row r="372" spans="2:107" hidden="1" outlineLevel="1">
      <c r="B372" s="170" t="s">
        <v>727</v>
      </c>
      <c r="C372" s="197"/>
      <c r="D372" s="31"/>
      <c r="E372" s="31"/>
      <c r="F372" s="31"/>
      <c r="G372" s="31"/>
      <c r="H372" s="31"/>
      <c r="I372" s="31"/>
      <c r="J372" s="31"/>
      <c r="K372" s="31"/>
      <c r="L372" s="31"/>
      <c r="M372" s="199"/>
      <c r="N372" s="171">
        <v>250</v>
      </c>
      <c r="O372" s="171">
        <v>250</v>
      </c>
      <c r="P372" s="171">
        <v>250</v>
      </c>
      <c r="Q372" s="171">
        <v>250</v>
      </c>
      <c r="R372" s="171">
        <v>250</v>
      </c>
      <c r="S372" s="171">
        <v>250</v>
      </c>
      <c r="T372" s="171">
        <v>250</v>
      </c>
      <c r="U372" s="171">
        <v>250</v>
      </c>
      <c r="V372" s="171">
        <v>250</v>
      </c>
      <c r="W372" s="171">
        <v>250</v>
      </c>
      <c r="X372" s="171">
        <v>250</v>
      </c>
      <c r="Y372" s="171">
        <v>250</v>
      </c>
      <c r="Z372" s="171">
        <v>250</v>
      </c>
      <c r="AA372" s="171">
        <v>250</v>
      </c>
      <c r="AB372" s="171">
        <v>250</v>
      </c>
      <c r="AC372" s="171">
        <v>250</v>
      </c>
      <c r="AD372" s="171">
        <v>250</v>
      </c>
      <c r="AE372" s="197"/>
      <c r="AF372" s="31"/>
      <c r="AG372" s="31"/>
      <c r="AH372" s="31"/>
      <c r="AI372" s="31"/>
      <c r="AJ372" s="31"/>
      <c r="AK372" s="31"/>
      <c r="AL372" s="31"/>
      <c r="AM372" s="31"/>
      <c r="AN372" s="31"/>
      <c r="AO372" s="31"/>
      <c r="AP372" s="31"/>
      <c r="AQ372" s="31"/>
      <c r="AR372" s="31"/>
      <c r="AS372" s="31"/>
      <c r="AT372" s="31"/>
      <c r="AU372" s="31"/>
      <c r="AV372" s="31"/>
      <c r="AW372" s="31"/>
      <c r="AX372" s="31"/>
      <c r="AY372" s="31"/>
      <c r="AZ372" s="31"/>
      <c r="BA372" s="31"/>
      <c r="BB372" s="31"/>
      <c r="BC372" s="31"/>
      <c r="BD372" s="32"/>
      <c r="BE372" s="32"/>
      <c r="BF372" s="32"/>
      <c r="BG372" s="32"/>
      <c r="BH372" s="32"/>
      <c r="BI372" s="32"/>
      <c r="BJ372" s="32"/>
      <c r="BK372" s="32"/>
      <c r="BL372" s="32"/>
      <c r="BM372" s="32"/>
      <c r="BN372" s="32"/>
      <c r="BO372" s="32"/>
      <c r="BP372" s="171">
        <v>250</v>
      </c>
      <c r="BQ372" s="171">
        <v>250</v>
      </c>
      <c r="BR372" s="171">
        <v>250</v>
      </c>
      <c r="BS372" s="171">
        <v>250</v>
      </c>
      <c r="BT372" s="171">
        <v>250</v>
      </c>
      <c r="BU372" s="171">
        <v>250</v>
      </c>
      <c r="BV372" s="171">
        <v>250</v>
      </c>
      <c r="BW372" s="171">
        <v>250</v>
      </c>
      <c r="BX372" s="171">
        <v>250</v>
      </c>
      <c r="BY372" s="171">
        <v>250</v>
      </c>
      <c r="BZ372" s="171">
        <v>250</v>
      </c>
      <c r="CA372" s="171">
        <v>250</v>
      </c>
      <c r="CB372" s="171">
        <v>250</v>
      </c>
      <c r="CC372" s="171">
        <v>250</v>
      </c>
      <c r="CD372" s="171">
        <v>250</v>
      </c>
      <c r="CE372" s="171">
        <v>250</v>
      </c>
      <c r="CF372" s="171">
        <v>250</v>
      </c>
      <c r="CG372" s="171">
        <v>250</v>
      </c>
      <c r="CH372" s="171">
        <v>250</v>
      </c>
      <c r="CI372" s="171">
        <v>250</v>
      </c>
      <c r="CJ372" s="171">
        <v>250</v>
      </c>
      <c r="CK372" s="171">
        <v>250</v>
      </c>
      <c r="CL372" s="171">
        <v>250</v>
      </c>
      <c r="CM372" s="171">
        <v>250</v>
      </c>
      <c r="CN372" s="171">
        <v>250</v>
      </c>
      <c r="CO372" s="171">
        <v>250</v>
      </c>
      <c r="CP372" s="171">
        <v>250</v>
      </c>
      <c r="CQ372" s="171">
        <v>250</v>
      </c>
      <c r="CR372" s="171">
        <v>250</v>
      </c>
      <c r="CS372" s="171">
        <v>250</v>
      </c>
      <c r="CT372" s="171">
        <v>250</v>
      </c>
      <c r="CU372" s="171">
        <v>250</v>
      </c>
      <c r="CV372" s="171">
        <v>250</v>
      </c>
      <c r="CW372" s="171">
        <v>250</v>
      </c>
      <c r="CX372" s="171">
        <v>250</v>
      </c>
      <c r="CY372" s="171">
        <v>250</v>
      </c>
      <c r="CZ372" s="171">
        <v>250</v>
      </c>
      <c r="DA372" s="171">
        <v>250</v>
      </c>
      <c r="DB372" s="171">
        <v>250</v>
      </c>
      <c r="DC372" s="171">
        <v>250</v>
      </c>
    </row>
    <row r="373" spans="2:107" ht="12.75" hidden="1" customHeight="1" outlineLevel="1">
      <c r="B373" s="198"/>
      <c r="C373" s="197"/>
      <c r="D373" s="31"/>
      <c r="E373" s="31"/>
      <c r="F373" s="31"/>
      <c r="G373" s="31"/>
      <c r="H373" s="31"/>
      <c r="I373" s="31"/>
      <c r="J373" s="31"/>
      <c r="K373" s="31"/>
      <c r="L373" s="31"/>
      <c r="M373" s="199"/>
      <c r="N373" s="199"/>
      <c r="O373" s="199"/>
      <c r="P373" s="199"/>
      <c r="Q373" s="199"/>
      <c r="R373" s="199"/>
      <c r="S373" s="199"/>
      <c r="T373" s="199"/>
      <c r="U373" s="199"/>
      <c r="V373" s="199"/>
      <c r="W373" s="199"/>
      <c r="X373" s="199"/>
      <c r="Y373" s="199"/>
      <c r="Z373" s="199"/>
      <c r="AA373" s="199"/>
      <c r="AB373" s="199"/>
      <c r="AC373" s="199"/>
      <c r="AD373" s="199"/>
      <c r="AE373" s="197"/>
      <c r="AF373" s="31"/>
      <c r="AG373" s="31"/>
      <c r="AH373" s="31"/>
      <c r="AI373" s="31"/>
      <c r="AJ373" s="31"/>
      <c r="AK373" s="31"/>
      <c r="AL373" s="31"/>
      <c r="AM373" s="31"/>
      <c r="AN373" s="31"/>
      <c r="AO373" s="31"/>
      <c r="AP373" s="31"/>
      <c r="AQ373" s="31"/>
      <c r="AR373" s="31"/>
      <c r="AS373" s="31"/>
      <c r="AT373" s="31"/>
      <c r="AU373" s="31"/>
      <c r="AV373" s="31"/>
      <c r="AW373" s="31"/>
      <c r="AX373" s="31"/>
      <c r="AY373" s="31"/>
      <c r="AZ373" s="31"/>
      <c r="BA373" s="31"/>
      <c r="BB373" s="31"/>
      <c r="BC373" s="31"/>
      <c r="BD373" s="32"/>
      <c r="BE373" s="32"/>
      <c r="BF373" s="32"/>
      <c r="BG373" s="32"/>
      <c r="BH373" s="32"/>
      <c r="BI373" s="32"/>
      <c r="BJ373" s="32"/>
      <c r="BK373" s="32"/>
      <c r="BL373" s="32"/>
      <c r="BM373" s="32"/>
      <c r="BN373" s="32"/>
      <c r="BO373" s="32"/>
      <c r="BP373" s="199"/>
      <c r="BQ373" s="199"/>
      <c r="BR373" s="199"/>
      <c r="BS373" s="199"/>
      <c r="BT373" s="199"/>
      <c r="BU373" s="199"/>
      <c r="BV373" s="199"/>
      <c r="BW373" s="199"/>
      <c r="BX373" s="199"/>
      <c r="BY373" s="199"/>
      <c r="BZ373" s="199"/>
      <c r="CA373" s="199"/>
      <c r="CB373" s="199"/>
      <c r="CC373" s="199"/>
      <c r="CD373" s="199"/>
      <c r="CE373" s="199"/>
      <c r="CF373" s="199"/>
      <c r="CG373" s="199"/>
      <c r="CH373" s="199"/>
      <c r="CI373" s="199"/>
      <c r="CJ373" s="199"/>
      <c r="CK373" s="199"/>
      <c r="CL373" s="199"/>
      <c r="CM373" s="199"/>
      <c r="CN373" s="199"/>
      <c r="CO373" s="199"/>
      <c r="CP373" s="199"/>
      <c r="CQ373" s="199"/>
      <c r="CR373" s="199"/>
      <c r="CS373" s="199"/>
      <c r="CT373" s="199"/>
      <c r="CU373" s="199"/>
      <c r="CV373" s="199"/>
      <c r="CW373" s="199"/>
      <c r="CX373" s="199"/>
      <c r="CY373" s="199"/>
      <c r="CZ373" s="199"/>
      <c r="DA373" s="199"/>
      <c r="DB373" s="199"/>
      <c r="DC373" s="199"/>
    </row>
    <row r="374" spans="2:107" hidden="1" outlineLevel="1">
      <c r="B374" s="19" t="s">
        <v>730</v>
      </c>
      <c r="C374" s="23"/>
      <c r="D374" s="15"/>
      <c r="E374" s="15"/>
      <c r="F374" s="15"/>
      <c r="G374" s="15"/>
      <c r="H374" s="15"/>
      <c r="I374" s="15"/>
      <c r="J374" s="15"/>
      <c r="K374" s="15"/>
      <c r="L374" s="15"/>
      <c r="M374" s="23"/>
      <c r="N374" s="23"/>
      <c r="O374" s="23"/>
      <c r="P374" s="23"/>
      <c r="Q374" s="23"/>
      <c r="R374" s="23"/>
      <c r="S374" s="23"/>
      <c r="T374" s="23"/>
      <c r="U374" s="23"/>
      <c r="V374" s="23"/>
      <c r="W374" s="23"/>
      <c r="X374" s="23"/>
      <c r="Y374" s="23"/>
      <c r="Z374" s="23"/>
      <c r="AA374" s="23"/>
      <c r="AB374" s="23"/>
      <c r="AC374" s="23"/>
      <c r="AD374" s="23"/>
      <c r="AE374" s="23"/>
      <c r="AF374" s="15"/>
      <c r="AG374" s="15"/>
      <c r="AH374" s="15"/>
      <c r="AI374" s="15"/>
      <c r="AJ374" s="15"/>
      <c r="AK374" s="15"/>
      <c r="AL374" s="15"/>
      <c r="AM374" s="15"/>
      <c r="AN374" s="15"/>
      <c r="AO374" s="15"/>
      <c r="AP374" s="15"/>
      <c r="AQ374" s="15"/>
      <c r="AR374" s="15"/>
      <c r="AS374" s="15"/>
      <c r="AT374" s="15"/>
      <c r="AU374" s="15"/>
      <c r="AV374" s="15"/>
      <c r="AW374" s="15"/>
      <c r="AX374" s="15"/>
      <c r="AY374" s="15"/>
      <c r="AZ374" s="15"/>
      <c r="BA374" s="15"/>
      <c r="BB374" s="15"/>
      <c r="BC374" s="15"/>
      <c r="BD374" s="15"/>
      <c r="BE374" s="15"/>
      <c r="BF374" s="15"/>
      <c r="BG374" s="15"/>
      <c r="BP374" s="33"/>
      <c r="BQ374" s="33"/>
      <c r="BR374" s="33"/>
      <c r="BS374" s="33"/>
      <c r="BT374" s="33"/>
      <c r="BU374" s="208">
        <v>345</v>
      </c>
      <c r="BV374" s="208">
        <v>356</v>
      </c>
      <c r="BW374" s="208">
        <v>355</v>
      </c>
      <c r="BX374" s="199"/>
      <c r="BY374" s="199"/>
      <c r="BZ374" s="199"/>
      <c r="CA374" s="199"/>
      <c r="CB374" s="199"/>
      <c r="CC374" s="199"/>
      <c r="CD374" s="199"/>
      <c r="CE374" s="199"/>
      <c r="CF374" s="199"/>
      <c r="CG374" s="199"/>
      <c r="CH374" s="199"/>
      <c r="CI374" s="199"/>
      <c r="CJ374" s="199"/>
      <c r="CK374" s="199"/>
      <c r="CL374" s="199"/>
      <c r="CM374" s="199"/>
      <c r="CN374" s="199"/>
      <c r="CO374" s="199"/>
      <c r="CP374" s="199"/>
      <c r="CQ374" s="199"/>
      <c r="CR374" s="199"/>
      <c r="CS374" s="199"/>
      <c r="CT374" s="199"/>
      <c r="CU374" s="199"/>
      <c r="CV374" s="199"/>
      <c r="CW374" s="199"/>
      <c r="CX374" s="199"/>
      <c r="CY374" s="199"/>
      <c r="CZ374" s="199"/>
      <c r="DA374" s="199"/>
      <c r="DB374" s="199"/>
      <c r="DC374" s="199"/>
    </row>
    <row r="375" spans="2:107" collapsed="1">
      <c r="B375" s="19"/>
      <c r="C375" s="23"/>
      <c r="D375" s="15"/>
      <c r="E375" s="15"/>
      <c r="F375" s="15"/>
      <c r="G375" s="15"/>
      <c r="H375" s="15"/>
      <c r="I375" s="15"/>
      <c r="J375" s="15"/>
      <c r="K375" s="15"/>
      <c r="L375" s="15"/>
      <c r="M375" s="23"/>
      <c r="N375" s="23"/>
      <c r="O375" s="23"/>
      <c r="P375" s="23"/>
      <c r="Q375" s="23"/>
      <c r="R375" s="23"/>
      <c r="S375" s="23"/>
      <c r="T375" s="23"/>
      <c r="U375" s="23"/>
      <c r="V375" s="23"/>
      <c r="W375" s="23"/>
      <c r="X375" s="23"/>
      <c r="Y375" s="23"/>
      <c r="Z375" s="23"/>
      <c r="AA375" s="23"/>
      <c r="AB375" s="23"/>
      <c r="AC375" s="23"/>
      <c r="AD375" s="23"/>
      <c r="AE375" s="23"/>
      <c r="AF375" s="15"/>
      <c r="AG375" s="15"/>
      <c r="AH375" s="15"/>
      <c r="AI375" s="15"/>
      <c r="AJ375" s="15"/>
      <c r="AK375" s="15"/>
      <c r="AL375" s="15"/>
      <c r="AM375" s="15"/>
      <c r="AN375" s="15"/>
      <c r="AO375" s="15"/>
      <c r="AP375" s="15"/>
      <c r="AQ375" s="15"/>
      <c r="AR375" s="15"/>
      <c r="AS375" s="15"/>
      <c r="AT375" s="15"/>
      <c r="AU375" s="15"/>
      <c r="AV375" s="15"/>
      <c r="AW375" s="15"/>
      <c r="AX375" s="15"/>
      <c r="AY375" s="15"/>
      <c r="AZ375" s="15"/>
      <c r="BA375" s="15"/>
      <c r="BB375" s="15"/>
      <c r="BC375" s="15"/>
      <c r="BD375" s="15"/>
      <c r="BE375" s="15"/>
      <c r="BF375" s="15"/>
      <c r="BG375" s="15"/>
      <c r="BP375" s="33"/>
      <c r="BQ375" s="33"/>
      <c r="BR375" s="33"/>
      <c r="BS375" s="33"/>
      <c r="BT375" s="33"/>
      <c r="BU375" s="208"/>
      <c r="BV375" s="208"/>
      <c r="BW375" s="208"/>
      <c r="BX375" s="199"/>
      <c r="BY375" s="199"/>
      <c r="BZ375" s="199"/>
      <c r="CA375" s="199"/>
      <c r="CB375" s="199"/>
      <c r="CC375" s="199"/>
      <c r="CD375" s="199"/>
      <c r="CE375" s="199"/>
      <c r="CF375" s="199"/>
      <c r="CG375" s="199"/>
      <c r="CH375" s="199"/>
      <c r="CI375" s="199"/>
      <c r="CJ375" s="199"/>
      <c r="CK375" s="199"/>
      <c r="CL375" s="199"/>
      <c r="CM375" s="199"/>
      <c r="CN375" s="199"/>
      <c r="CO375" s="199"/>
      <c r="CP375" s="199"/>
      <c r="CQ375" s="199"/>
      <c r="CR375" s="199"/>
      <c r="CS375" s="199"/>
      <c r="CT375" s="199"/>
      <c r="CU375" s="199"/>
      <c r="CV375" s="199"/>
      <c r="CW375" s="199"/>
      <c r="CX375" s="199"/>
      <c r="CY375" s="199"/>
      <c r="CZ375" s="199"/>
      <c r="DA375" s="199"/>
      <c r="DB375" s="199"/>
      <c r="DC375" s="199"/>
    </row>
    <row r="376" spans="2:107">
      <c r="B376" s="164" t="s">
        <v>232</v>
      </c>
      <c r="C376" s="197"/>
      <c r="D376" s="31"/>
      <c r="E376" s="31"/>
      <c r="F376" s="31"/>
      <c r="G376" s="31"/>
      <c r="H376" s="31"/>
      <c r="I376" s="31"/>
      <c r="J376" s="31"/>
      <c r="K376" s="31"/>
      <c r="L376" s="31"/>
      <c r="M376" s="199"/>
      <c r="N376" s="27"/>
      <c r="O376" s="27">
        <f>BW376</f>
        <v>54800</v>
      </c>
      <c r="P376" s="27">
        <f>CA376</f>
        <v>58800</v>
      </c>
      <c r="Q376" s="27">
        <f>CE376</f>
        <v>64500</v>
      </c>
      <c r="R376" s="27">
        <f>CI376</f>
        <v>70300</v>
      </c>
      <c r="S376" s="27">
        <f>CM376</f>
        <v>81900</v>
      </c>
      <c r="T376" s="27">
        <f>CQ376</f>
        <v>93800</v>
      </c>
      <c r="U376" s="27">
        <f>CU376</f>
        <v>106300</v>
      </c>
      <c r="V376" s="27">
        <f>CY376</f>
        <v>138900</v>
      </c>
      <c r="W376" s="27">
        <f>DC376</f>
        <v>150749.22439267571</v>
      </c>
      <c r="X376" s="27">
        <f>W376*(1+X377)</f>
        <v>164889.87112324897</v>
      </c>
      <c r="Y376" s="27">
        <f>X376*(1+Y377)</f>
        <v>174622.2789518155</v>
      </c>
      <c r="Z376" s="27">
        <f>Y376*(1+Z377)</f>
        <v>184051.65605948484</v>
      </c>
      <c r="AA376" s="27">
        <f t="shared" ref="AA376:AD376" si="447">Z376*(1+AA377)</f>
        <v>193170.8143740471</v>
      </c>
      <c r="AB376" s="27">
        <f t="shared" si="447"/>
        <v>201972.9349803105</v>
      </c>
      <c r="AC376" s="27">
        <f t="shared" si="447"/>
        <v>210451.51377224168</v>
      </c>
      <c r="AD376" s="27">
        <f t="shared" si="447"/>
        <v>218600.31819176709</v>
      </c>
      <c r="AE376" s="197"/>
      <c r="AF376" s="31"/>
      <c r="AG376" s="31"/>
      <c r="AH376" s="31"/>
      <c r="AI376" s="31"/>
      <c r="AJ376" s="31"/>
      <c r="AK376" s="31"/>
      <c r="AL376" s="31"/>
      <c r="AM376" s="31"/>
      <c r="AN376" s="31"/>
      <c r="AO376" s="31"/>
      <c r="AP376" s="31"/>
      <c r="AQ376" s="31"/>
      <c r="AR376" s="31"/>
      <c r="AS376" s="31"/>
      <c r="AT376" s="31"/>
      <c r="AU376" s="31"/>
      <c r="AV376" s="163"/>
      <c r="AW376" s="163"/>
      <c r="AX376" s="163"/>
      <c r="AY376" s="163"/>
      <c r="AZ376" s="163"/>
      <c r="BA376" s="163"/>
      <c r="BB376" s="163"/>
      <c r="BC376" s="163"/>
      <c r="BD376" s="163"/>
      <c r="BE376" s="163"/>
      <c r="BF376" s="163"/>
      <c r="BG376" s="163"/>
      <c r="BH376" s="163"/>
      <c r="BI376" s="163"/>
      <c r="BJ376" s="163"/>
      <c r="BK376" s="163"/>
      <c r="BL376" s="163"/>
      <c r="BM376" s="163"/>
      <c r="BN376" s="163"/>
      <c r="BO376" s="163"/>
      <c r="BP376" s="207"/>
      <c r="BQ376" s="207"/>
      <c r="BR376" s="207"/>
      <c r="BS376" s="207"/>
      <c r="BT376" s="207"/>
      <c r="BU376" s="1080">
        <v>50764</v>
      </c>
      <c r="BV376" s="1080">
        <v>52723</v>
      </c>
      <c r="BW376" s="1080">
        <v>54800</v>
      </c>
      <c r="BX376" s="1080">
        <v>56327</v>
      </c>
      <c r="BY376" s="849">
        <v>58424</v>
      </c>
      <c r="BZ376" s="849">
        <v>57200</v>
      </c>
      <c r="CA376" s="849">
        <v>58800</v>
      </c>
      <c r="CB376" s="849">
        <v>60400</v>
      </c>
      <c r="CC376" s="849">
        <v>62200</v>
      </c>
      <c r="CD376" s="849">
        <v>63700</v>
      </c>
      <c r="CE376" s="849">
        <v>64500</v>
      </c>
      <c r="CF376" s="849">
        <v>65800</v>
      </c>
      <c r="CG376" s="849">
        <v>67400</v>
      </c>
      <c r="CH376" s="849">
        <v>68800</v>
      </c>
      <c r="CI376" s="849">
        <v>70300</v>
      </c>
      <c r="CJ376" s="849">
        <v>74000</v>
      </c>
      <c r="CK376" s="849">
        <v>75600</v>
      </c>
      <c r="CL376" s="849">
        <v>78300</v>
      </c>
      <c r="CM376" s="849">
        <v>81900</v>
      </c>
      <c r="CN376" s="849">
        <v>83700</v>
      </c>
      <c r="CO376" s="849">
        <v>86300</v>
      </c>
      <c r="CP376" s="849">
        <v>89800</v>
      </c>
      <c r="CQ376" s="849">
        <v>93800</v>
      </c>
      <c r="CR376" s="849">
        <v>97700</v>
      </c>
      <c r="CS376" s="849">
        <v>101200</v>
      </c>
      <c r="CT376" s="849">
        <v>104200</v>
      </c>
      <c r="CU376" s="849">
        <v>106300</v>
      </c>
      <c r="CV376" s="849">
        <v>109700</v>
      </c>
      <c r="CW376" s="849">
        <v>111400</v>
      </c>
      <c r="CX376" s="849">
        <v>113300</v>
      </c>
      <c r="CY376" s="849">
        <v>138900</v>
      </c>
      <c r="CZ376" s="27">
        <f t="shared" ref="CZ376:DC376" si="448">CY376*(1+CZ378)</f>
        <v>140629.14655893538</v>
      </c>
      <c r="DA376" s="27">
        <f t="shared" si="448"/>
        <v>143705.5900261378</v>
      </c>
      <c r="DB376" s="27">
        <f t="shared" si="448"/>
        <v>147177.25915686556</v>
      </c>
      <c r="DC376" s="27">
        <f t="shared" si="448"/>
        <v>150749.22439267571</v>
      </c>
    </row>
    <row r="377" spans="2:107">
      <c r="B377" s="37" t="s">
        <v>709</v>
      </c>
      <c r="C377" s="197"/>
      <c r="D377" s="31"/>
      <c r="E377" s="31"/>
      <c r="F377" s="31"/>
      <c r="G377" s="31"/>
      <c r="H377" s="31"/>
      <c r="I377" s="31"/>
      <c r="J377" s="31"/>
      <c r="K377" s="31"/>
      <c r="L377" s="31"/>
      <c r="M377" s="199"/>
      <c r="N377" s="23"/>
      <c r="O377" s="1155"/>
      <c r="P377" s="1155">
        <f t="shared" ref="P377:W377" si="449">+P376/O376-1</f>
        <v>7.2992700729926918E-2</v>
      </c>
      <c r="Q377" s="1155">
        <f t="shared" si="449"/>
        <v>9.6938775510204023E-2</v>
      </c>
      <c r="R377" s="1155">
        <f t="shared" si="449"/>
        <v>8.9922480620155065E-2</v>
      </c>
      <c r="S377" s="1155">
        <f t="shared" si="449"/>
        <v>0.16500711237553345</v>
      </c>
      <c r="T377" s="1155">
        <f t="shared" si="449"/>
        <v>0.14529914529914523</v>
      </c>
      <c r="U377" s="1155">
        <f t="shared" si="449"/>
        <v>0.13326226012793185</v>
      </c>
      <c r="V377" s="1155">
        <f t="shared" si="449"/>
        <v>0.30667920978363128</v>
      </c>
      <c r="W377" s="1155">
        <f t="shared" si="449"/>
        <v>8.530759101998342E-2</v>
      </c>
      <c r="X377" s="168">
        <f t="shared" ref="X377:AD377" si="450">CHOOSE(mode,X379,X380,X381)</f>
        <v>9.3802450974734733E-2</v>
      </c>
      <c r="Y377" s="168">
        <f t="shared" si="450"/>
        <v>5.9023685095198689E-2</v>
      </c>
      <c r="Z377" s="168">
        <f t="shared" si="450"/>
        <v>5.3998706031498069E-2</v>
      </c>
      <c r="AA377" s="168">
        <f t="shared" si="450"/>
        <v>4.9546733291087566E-2</v>
      </c>
      <c r="AB377" s="168">
        <f t="shared" si="450"/>
        <v>4.5566513941486989E-2</v>
      </c>
      <c r="AC377" s="168">
        <f t="shared" si="450"/>
        <v>4.1978786874378518E-2</v>
      </c>
      <c r="AD377" s="168">
        <f t="shared" si="450"/>
        <v>3.8720578785403102E-2</v>
      </c>
      <c r="AE377" s="197"/>
      <c r="AF377" s="31"/>
      <c r="AG377" s="31"/>
      <c r="AH377" s="31"/>
      <c r="AI377" s="31"/>
      <c r="AJ377" s="31"/>
      <c r="AK377" s="31"/>
      <c r="AL377" s="31"/>
      <c r="AM377" s="31"/>
      <c r="AN377" s="31"/>
      <c r="AO377" s="31"/>
      <c r="AP377" s="31"/>
      <c r="AQ377" s="31"/>
      <c r="AR377" s="31"/>
      <c r="AS377" s="31"/>
      <c r="AT377" s="31"/>
      <c r="AU377" s="31"/>
      <c r="AV377" s="163"/>
      <c r="AW377" s="163"/>
      <c r="AX377" s="163"/>
      <c r="AY377" s="163"/>
      <c r="AZ377" s="163"/>
      <c r="BA377" s="163"/>
      <c r="BB377" s="163"/>
      <c r="BC377" s="38"/>
      <c r="BD377" s="38"/>
      <c r="BE377" s="38"/>
      <c r="BF377" s="38"/>
      <c r="BG377" s="38"/>
      <c r="BH377" s="38"/>
      <c r="BI377" s="38"/>
      <c r="BJ377" s="38"/>
      <c r="BK377" s="38"/>
      <c r="BL377" s="38"/>
      <c r="BM377" s="38"/>
      <c r="BN377" s="38"/>
      <c r="BO377" s="38"/>
      <c r="BP377" s="38"/>
      <c r="BQ377" s="38"/>
      <c r="BR377" s="38"/>
      <c r="BS377" s="38"/>
      <c r="BT377" s="38"/>
      <c r="BU377" s="38"/>
      <c r="BV377" s="38"/>
      <c r="BW377" s="38"/>
      <c r="BX377" s="38"/>
      <c r="BY377" s="38">
        <f t="shared" ref="BY377:CY377" si="451">BY376/BU376-1</f>
        <v>0.15089433456780399</v>
      </c>
      <c r="BZ377" s="38">
        <f t="shared" si="451"/>
        <v>8.4915501773419555E-2</v>
      </c>
      <c r="CA377" s="38">
        <f t="shared" si="451"/>
        <v>7.2992700729926918E-2</v>
      </c>
      <c r="CB377" s="38">
        <f t="shared" si="451"/>
        <v>7.2309904663838021E-2</v>
      </c>
      <c r="CC377" s="38">
        <f t="shared" si="451"/>
        <v>6.4630973572504358E-2</v>
      </c>
      <c r="CD377" s="38">
        <f t="shared" si="451"/>
        <v>0.11363636363636354</v>
      </c>
      <c r="CE377" s="38">
        <f t="shared" si="451"/>
        <v>9.6938775510204023E-2</v>
      </c>
      <c r="CF377" s="38">
        <f t="shared" si="451"/>
        <v>8.9403973509933676E-2</v>
      </c>
      <c r="CG377" s="38">
        <f t="shared" si="451"/>
        <v>8.3601286173633493E-2</v>
      </c>
      <c r="CH377" s="38">
        <f t="shared" si="451"/>
        <v>8.0062794348508604E-2</v>
      </c>
      <c r="CI377" s="38">
        <f t="shared" si="451"/>
        <v>8.9922480620155065E-2</v>
      </c>
      <c r="CJ377" s="38">
        <f t="shared" si="451"/>
        <v>0.12462006079027366</v>
      </c>
      <c r="CK377" s="38">
        <f t="shared" si="451"/>
        <v>0.12166172106824935</v>
      </c>
      <c r="CL377" s="38">
        <f t="shared" si="451"/>
        <v>0.13808139534883712</v>
      </c>
      <c r="CM377" s="38">
        <f t="shared" si="451"/>
        <v>0.16500711237553345</v>
      </c>
      <c r="CN377" s="38">
        <f t="shared" si="451"/>
        <v>0.13108108108108119</v>
      </c>
      <c r="CO377" s="38">
        <f t="shared" si="451"/>
        <v>0.14153439153439162</v>
      </c>
      <c r="CP377" s="38">
        <f t="shared" si="451"/>
        <v>0.14687100893997451</v>
      </c>
      <c r="CQ377" s="38">
        <f t="shared" si="451"/>
        <v>0.14529914529914523</v>
      </c>
      <c r="CR377" s="38">
        <f t="shared" si="451"/>
        <v>0.16726403823178027</v>
      </c>
      <c r="CS377" s="38">
        <f t="shared" si="451"/>
        <v>0.17265353418308238</v>
      </c>
      <c r="CT377" s="38">
        <f t="shared" si="451"/>
        <v>0.16035634743875282</v>
      </c>
      <c r="CU377" s="38">
        <f t="shared" si="451"/>
        <v>0.13326226012793185</v>
      </c>
      <c r="CV377" s="38">
        <f t="shared" si="451"/>
        <v>0.12282497441146356</v>
      </c>
      <c r="CW377" s="38">
        <f t="shared" si="451"/>
        <v>0.10079051383399218</v>
      </c>
      <c r="CX377" s="38">
        <f t="shared" si="451"/>
        <v>8.7332053742802396E-2</v>
      </c>
      <c r="CY377" s="38">
        <f t="shared" si="451"/>
        <v>0.30667920978363128</v>
      </c>
      <c r="CZ377" s="38">
        <f t="shared" ref="CZ377:DC377" si="452">CZ376/CV376-1</f>
        <v>0.2819429950677792</v>
      </c>
      <c r="DA377" s="38">
        <f t="shared" si="452"/>
        <v>0.28999631980375051</v>
      </c>
      <c r="DB377" s="38">
        <f t="shared" si="452"/>
        <v>0.29900493518857507</v>
      </c>
      <c r="DC377" s="38">
        <f t="shared" si="452"/>
        <v>8.530759101998342E-2</v>
      </c>
    </row>
    <row r="378" spans="2:107">
      <c r="B378" s="37" t="s">
        <v>710</v>
      </c>
      <c r="C378" s="197"/>
      <c r="D378" s="31"/>
      <c r="E378" s="31"/>
      <c r="F378" s="31"/>
      <c r="G378" s="31"/>
      <c r="H378" s="31"/>
      <c r="I378" s="31"/>
      <c r="J378" s="31"/>
      <c r="K378" s="31"/>
      <c r="L378" s="31"/>
      <c r="M378" s="199"/>
      <c r="N378" s="199"/>
      <c r="O378" s="199"/>
      <c r="P378" s="23"/>
      <c r="Q378" s="23"/>
      <c r="R378" s="23"/>
      <c r="S378" s="23"/>
      <c r="T378" s="23"/>
      <c r="U378" s="23"/>
      <c r="V378" s="23"/>
      <c r="W378" s="23"/>
      <c r="X378" s="23"/>
      <c r="Y378" s="23"/>
      <c r="Z378" s="23"/>
      <c r="AA378" s="23"/>
      <c r="AB378" s="23"/>
      <c r="AC378" s="23"/>
      <c r="AD378" s="23"/>
      <c r="AE378" s="197"/>
      <c r="AF378" s="31"/>
      <c r="AG378" s="31"/>
      <c r="AH378" s="31"/>
      <c r="AI378" s="31"/>
      <c r="AJ378" s="31"/>
      <c r="AK378" s="31"/>
      <c r="AL378" s="31"/>
      <c r="AM378" s="31"/>
      <c r="AN378" s="31"/>
      <c r="AO378" s="31"/>
      <c r="AP378" s="31"/>
      <c r="AQ378" s="31"/>
      <c r="AR378" s="31"/>
      <c r="AS378" s="31"/>
      <c r="AT378" s="31"/>
      <c r="AU378" s="31"/>
      <c r="AV378" s="163"/>
      <c r="AW378" s="163"/>
      <c r="AX378" s="163"/>
      <c r="AY378" s="163"/>
      <c r="AZ378" s="38"/>
      <c r="BA378" s="38"/>
      <c r="BB378" s="38"/>
      <c r="BC378" s="38"/>
      <c r="BD378" s="38"/>
      <c r="BE378" s="38"/>
      <c r="BF378" s="38"/>
      <c r="BG378" s="38"/>
      <c r="BH378" s="38"/>
      <c r="BI378" s="38"/>
      <c r="BJ378" s="38"/>
      <c r="BK378" s="38"/>
      <c r="BL378" s="38"/>
      <c r="BM378" s="38"/>
      <c r="BN378" s="38"/>
      <c r="BO378" s="38"/>
      <c r="BP378" s="38"/>
      <c r="BQ378" s="38"/>
      <c r="BR378" s="38"/>
      <c r="BS378" s="38"/>
      <c r="BT378" s="38"/>
      <c r="BU378" s="38"/>
      <c r="BV378" s="38">
        <f t="shared" ref="BV378:CY378" si="453">BV376/BU376-1</f>
        <v>3.859033961074787E-2</v>
      </c>
      <c r="BW378" s="38">
        <f t="shared" si="453"/>
        <v>3.9394571629080222E-2</v>
      </c>
      <c r="BX378" s="38">
        <f t="shared" si="453"/>
        <v>2.7864963503649642E-2</v>
      </c>
      <c r="BY378" s="38">
        <f t="shared" si="453"/>
        <v>3.7229037584107116E-2</v>
      </c>
      <c r="BZ378" s="38">
        <f t="shared" si="453"/>
        <v>-2.0950294399561864E-2</v>
      </c>
      <c r="CA378" s="38">
        <f t="shared" si="453"/>
        <v>2.7972027972027913E-2</v>
      </c>
      <c r="CB378" s="38">
        <f t="shared" si="453"/>
        <v>2.7210884353741527E-2</v>
      </c>
      <c r="CC378" s="38">
        <f t="shared" si="453"/>
        <v>2.9801324503311299E-2</v>
      </c>
      <c r="CD378" s="38">
        <f t="shared" si="453"/>
        <v>2.4115755627009738E-2</v>
      </c>
      <c r="CE378" s="38">
        <f t="shared" si="453"/>
        <v>1.2558869701726927E-2</v>
      </c>
      <c r="CF378" s="38">
        <f t="shared" si="453"/>
        <v>2.0155038759689825E-2</v>
      </c>
      <c r="CG378" s="38">
        <f t="shared" si="453"/>
        <v>2.4316109422492405E-2</v>
      </c>
      <c r="CH378" s="38">
        <f t="shared" si="453"/>
        <v>2.0771513353115667E-2</v>
      </c>
      <c r="CI378" s="38">
        <f t="shared" si="453"/>
        <v>2.1802325581395277E-2</v>
      </c>
      <c r="CJ378" s="38">
        <f t="shared" si="453"/>
        <v>5.2631578947368363E-2</v>
      </c>
      <c r="CK378" s="38">
        <f t="shared" si="453"/>
        <v>2.1621621621621623E-2</v>
      </c>
      <c r="CL378" s="38">
        <f t="shared" si="453"/>
        <v>3.5714285714285809E-2</v>
      </c>
      <c r="CM378" s="38">
        <f t="shared" si="453"/>
        <v>4.5977011494252817E-2</v>
      </c>
      <c r="CN378" s="38">
        <f t="shared" si="453"/>
        <v>2.19780219780219E-2</v>
      </c>
      <c r="CO378" s="38">
        <f t="shared" si="453"/>
        <v>3.1063321385901954E-2</v>
      </c>
      <c r="CP378" s="38">
        <f t="shared" si="453"/>
        <v>4.0556199304750962E-2</v>
      </c>
      <c r="CQ378" s="38">
        <f t="shared" si="453"/>
        <v>4.4543429844098092E-2</v>
      </c>
      <c r="CR378" s="38">
        <f t="shared" si="453"/>
        <v>4.1577825159914816E-2</v>
      </c>
      <c r="CS378" s="38">
        <f t="shared" si="453"/>
        <v>3.5823950870010224E-2</v>
      </c>
      <c r="CT378" s="38">
        <f t="shared" si="453"/>
        <v>2.9644268774703608E-2</v>
      </c>
      <c r="CU378" s="38">
        <f t="shared" si="453"/>
        <v>2.0153550863723613E-2</v>
      </c>
      <c r="CV378" s="38">
        <f t="shared" si="453"/>
        <v>3.1984948259642598E-2</v>
      </c>
      <c r="CW378" s="38">
        <f t="shared" si="453"/>
        <v>1.5496809480401108E-2</v>
      </c>
      <c r="CX378" s="38">
        <f t="shared" si="453"/>
        <v>1.7055655296229766E-2</v>
      </c>
      <c r="CY378" s="38">
        <f t="shared" si="453"/>
        <v>0.2259488084730803</v>
      </c>
      <c r="CZ378" s="168">
        <f>CHOOSE(mode,CZ379,CZ380,CZ381)</f>
        <v>1.2448859315589367E-2</v>
      </c>
      <c r="DA378" s="168">
        <f>CHOOSE(mode,DA379,DA380,DA381)</f>
        <v>2.1876286264121969E-2</v>
      </c>
      <c r="DB378" s="168">
        <f>CHOOSE(mode,DB379,DB380,DB381)</f>
        <v>2.4158205189487258E-2</v>
      </c>
      <c r="DC378" s="168">
        <f>CHOOSE(mode,DC379,DC380,DC381)</f>
        <v>2.4269817608187871E-2</v>
      </c>
    </row>
    <row r="379" spans="2:107">
      <c r="B379" s="134" t="s">
        <v>1046</v>
      </c>
      <c r="C379" s="135"/>
      <c r="D379" s="135"/>
      <c r="E379" s="135"/>
      <c r="F379" s="135"/>
      <c r="G379" s="135"/>
      <c r="H379" s="135"/>
      <c r="I379" s="135"/>
      <c r="J379" s="135"/>
      <c r="K379" s="135"/>
      <c r="L379" s="135"/>
      <c r="M379" s="136"/>
      <c r="N379" s="136"/>
      <c r="O379" s="136"/>
      <c r="P379" s="137"/>
      <c r="Q379" s="137"/>
      <c r="R379" s="137"/>
      <c r="S379" s="137"/>
      <c r="T379" s="137"/>
      <c r="U379" s="137"/>
      <c r="V379" s="137"/>
      <c r="W379" s="137"/>
      <c r="X379" s="137">
        <f>X380+0.05</f>
        <v>0.14380245097473474</v>
      </c>
      <c r="Y379" s="137">
        <f>Y380+0.05</f>
        <v>0.10902368509519869</v>
      </c>
      <c r="Z379" s="137">
        <f>Z380+0.05</f>
        <v>0.10399870603149808</v>
      </c>
      <c r="AA379" s="137">
        <f t="shared" ref="AA379:AD379" si="454">AA380+0.05</f>
        <v>9.9546733291087569E-2</v>
      </c>
      <c r="AB379" s="137">
        <f t="shared" si="454"/>
        <v>9.5566513941486991E-2</v>
      </c>
      <c r="AC379" s="137">
        <f t="shared" si="454"/>
        <v>9.1978786874378521E-2</v>
      </c>
      <c r="AD379" s="137">
        <f t="shared" si="454"/>
        <v>8.8720578785403098E-2</v>
      </c>
      <c r="AE379" s="135"/>
      <c r="AF379" s="135"/>
      <c r="AG379" s="135"/>
      <c r="AH379" s="135"/>
      <c r="AI379" s="135"/>
      <c r="AJ379" s="135"/>
      <c r="AK379" s="135"/>
      <c r="AL379" s="135"/>
      <c r="AM379" s="135"/>
      <c r="AN379" s="135"/>
      <c r="AO379" s="135"/>
      <c r="AP379" s="135"/>
      <c r="AQ379" s="135"/>
      <c r="AR379" s="135"/>
      <c r="AS379" s="135"/>
      <c r="AT379" s="135"/>
      <c r="AU379" s="135"/>
      <c r="AV379" s="135"/>
      <c r="AW379" s="135"/>
      <c r="AX379" s="135"/>
      <c r="AY379" s="135"/>
      <c r="AZ379" s="135"/>
      <c r="BA379" s="135"/>
      <c r="BB379" s="135"/>
      <c r="BC379" s="135"/>
      <c r="BD379" s="137"/>
      <c r="BE379" s="137"/>
      <c r="BF379" s="137"/>
      <c r="BG379" s="137"/>
      <c r="BH379" s="137"/>
      <c r="BI379" s="137"/>
      <c r="BJ379" s="137"/>
      <c r="BK379" s="137"/>
      <c r="BL379" s="137"/>
      <c r="BM379" s="137"/>
      <c r="BN379" s="137"/>
      <c r="BO379" s="137"/>
      <c r="BP379" s="136"/>
      <c r="BQ379" s="136"/>
      <c r="BR379" s="136"/>
      <c r="BS379" s="136"/>
      <c r="BT379" s="136"/>
      <c r="BU379" s="136"/>
      <c r="BV379" s="167"/>
      <c r="BW379" s="167"/>
      <c r="BX379" s="167"/>
      <c r="BY379" s="167"/>
      <c r="BZ379" s="167"/>
      <c r="CA379" s="167"/>
      <c r="CB379" s="167"/>
      <c r="CC379" s="167"/>
      <c r="CD379" s="167"/>
      <c r="CE379" s="167"/>
      <c r="CF379" s="167"/>
      <c r="CG379" s="167"/>
      <c r="CH379" s="167"/>
      <c r="CI379" s="167"/>
      <c r="CJ379" s="167"/>
      <c r="CK379" s="167"/>
      <c r="CL379" s="167"/>
      <c r="CM379" s="167"/>
      <c r="CN379" s="167"/>
      <c r="CO379" s="167"/>
      <c r="CP379" s="167"/>
      <c r="CQ379" s="167"/>
      <c r="CR379" s="167"/>
      <c r="CS379" s="167"/>
      <c r="CT379" s="167"/>
      <c r="CU379" s="167"/>
      <c r="CV379" s="167"/>
      <c r="CW379" s="167"/>
      <c r="CX379" s="167"/>
      <c r="CY379" s="167"/>
      <c r="CZ379" s="167">
        <f t="shared" ref="CZ379:DC379" si="455">+CZ380+0.02</f>
        <v>3.2448859315589371E-2</v>
      </c>
      <c r="DA379" s="167">
        <f t="shared" si="455"/>
        <v>4.1876286264121973E-2</v>
      </c>
      <c r="DB379" s="167">
        <f t="shared" si="455"/>
        <v>4.4158205189487258E-2</v>
      </c>
      <c r="DC379" s="167">
        <f t="shared" si="455"/>
        <v>4.4269817608187871E-2</v>
      </c>
    </row>
    <row r="380" spans="2:107">
      <c r="B380" s="134" t="s">
        <v>1047</v>
      </c>
      <c r="C380" s="135"/>
      <c r="D380" s="135"/>
      <c r="E380" s="135"/>
      <c r="F380" s="135"/>
      <c r="G380" s="135"/>
      <c r="H380" s="135"/>
      <c r="I380" s="135"/>
      <c r="J380" s="135"/>
      <c r="K380" s="135"/>
      <c r="L380" s="135"/>
      <c r="M380" s="136"/>
      <c r="N380" s="136"/>
      <c r="O380" s="136"/>
      <c r="P380" s="137"/>
      <c r="Q380" s="137"/>
      <c r="R380" s="137"/>
      <c r="S380" s="137"/>
      <c r="T380" s="137"/>
      <c r="U380" s="137"/>
      <c r="V380" s="137"/>
      <c r="W380" s="137"/>
      <c r="X380" s="137">
        <f>+(X249/W249-1)*1.05</f>
        <v>9.3802450974734733E-2</v>
      </c>
      <c r="Y380" s="137">
        <f>+(Y249/X249-1)*1.05</f>
        <v>5.9023685095198689E-2</v>
      </c>
      <c r="Z380" s="137">
        <f>+(Z249/Y249-1)*1.05</f>
        <v>5.3998706031498069E-2</v>
      </c>
      <c r="AA380" s="137">
        <f t="shared" ref="AA380:AD380" si="456">+(AA249/Z249-1)*1.05</f>
        <v>4.9546733291087566E-2</v>
      </c>
      <c r="AB380" s="137">
        <f t="shared" si="456"/>
        <v>4.5566513941486989E-2</v>
      </c>
      <c r="AC380" s="137">
        <f t="shared" si="456"/>
        <v>4.1978786874378518E-2</v>
      </c>
      <c r="AD380" s="137">
        <f t="shared" si="456"/>
        <v>3.8720578785403102E-2</v>
      </c>
      <c r="AE380" s="135"/>
      <c r="AF380" s="135"/>
      <c r="AG380" s="135"/>
      <c r="AH380" s="135"/>
      <c r="AI380" s="135"/>
      <c r="AJ380" s="135"/>
      <c r="AK380" s="135"/>
      <c r="AL380" s="135"/>
      <c r="AM380" s="135"/>
      <c r="AN380" s="135"/>
      <c r="AO380" s="135"/>
      <c r="AP380" s="135"/>
      <c r="AQ380" s="135"/>
      <c r="AR380" s="135"/>
      <c r="AS380" s="135"/>
      <c r="AT380" s="135"/>
      <c r="AU380" s="135"/>
      <c r="AV380" s="135"/>
      <c r="AW380" s="135"/>
      <c r="AX380" s="135"/>
      <c r="AY380" s="135"/>
      <c r="AZ380" s="135"/>
      <c r="BA380" s="135"/>
      <c r="BB380" s="135"/>
      <c r="BC380" s="135"/>
      <c r="BD380" s="137"/>
      <c r="BE380" s="137"/>
      <c r="BF380" s="137"/>
      <c r="BG380" s="137"/>
      <c r="BH380" s="137"/>
      <c r="BI380" s="137"/>
      <c r="BJ380" s="137"/>
      <c r="BK380" s="137"/>
      <c r="BL380" s="137"/>
      <c r="BM380" s="137"/>
      <c r="BN380" s="137"/>
      <c r="BO380" s="137"/>
      <c r="BP380" s="136"/>
      <c r="BQ380" s="136"/>
      <c r="BR380" s="136"/>
      <c r="BS380" s="136"/>
      <c r="BT380" s="136"/>
      <c r="BU380" s="136"/>
      <c r="BV380" s="167"/>
      <c r="BW380" s="167"/>
      <c r="BX380" s="167"/>
      <c r="BY380" s="167"/>
      <c r="BZ380" s="167"/>
      <c r="CA380" s="167"/>
      <c r="CB380" s="167"/>
      <c r="CC380" s="167"/>
      <c r="CD380" s="167"/>
      <c r="CE380" s="167"/>
      <c r="CF380" s="167"/>
      <c r="CG380" s="167"/>
      <c r="CH380" s="167"/>
      <c r="CI380" s="167"/>
      <c r="CJ380" s="167"/>
      <c r="CK380" s="167"/>
      <c r="CL380" s="167"/>
      <c r="CM380" s="167"/>
      <c r="CN380" s="167"/>
      <c r="CO380" s="167"/>
      <c r="CP380" s="167"/>
      <c r="CQ380" s="167"/>
      <c r="CR380" s="167"/>
      <c r="CS380" s="167"/>
      <c r="CT380" s="167"/>
      <c r="CU380" s="167"/>
      <c r="CV380" s="167"/>
      <c r="CW380" s="167"/>
      <c r="CX380" s="167"/>
      <c r="CY380" s="167"/>
      <c r="CZ380" s="167">
        <f>+(CZ249/CY249-1)*1.2</f>
        <v>1.2448859315589367E-2</v>
      </c>
      <c r="DA380" s="167">
        <f>+(DA249/CZ249-1)*1.2</f>
        <v>2.1876286264121969E-2</v>
      </c>
      <c r="DB380" s="167">
        <f t="shared" ref="DB380:DC380" si="457">+(DB249/DA249-1)*1.2</f>
        <v>2.4158205189487258E-2</v>
      </c>
      <c r="DC380" s="167">
        <f t="shared" si="457"/>
        <v>2.4269817608187871E-2</v>
      </c>
    </row>
    <row r="381" spans="2:107">
      <c r="B381" s="134" t="s">
        <v>1048</v>
      </c>
      <c r="C381" s="135"/>
      <c r="D381" s="135"/>
      <c r="E381" s="135"/>
      <c r="F381" s="135"/>
      <c r="G381" s="135"/>
      <c r="H381" s="135"/>
      <c r="I381" s="135"/>
      <c r="J381" s="135"/>
      <c r="K381" s="135"/>
      <c r="L381" s="135"/>
      <c r="M381" s="136"/>
      <c r="N381" s="136"/>
      <c r="O381" s="136"/>
      <c r="P381" s="137"/>
      <c r="Q381" s="137"/>
      <c r="R381" s="137"/>
      <c r="S381" s="137"/>
      <c r="T381" s="137"/>
      <c r="U381" s="137"/>
      <c r="V381" s="137"/>
      <c r="W381" s="137"/>
      <c r="X381" s="137">
        <f>X380-0.075</f>
        <v>1.8802450974734736E-2</v>
      </c>
      <c r="Y381" s="137">
        <f>Y380-0.075</f>
        <v>-1.5976314904801309E-2</v>
      </c>
      <c r="Z381" s="137">
        <f>Z380-0.075</f>
        <v>-2.1001293968501929E-2</v>
      </c>
      <c r="AA381" s="137">
        <f t="shared" ref="AA381:AD381" si="458">AA380-0.075</f>
        <v>-2.5453266708912431E-2</v>
      </c>
      <c r="AB381" s="137">
        <f t="shared" si="458"/>
        <v>-2.9433486058513009E-2</v>
      </c>
      <c r="AC381" s="137">
        <f t="shared" si="458"/>
        <v>-3.3021213125621479E-2</v>
      </c>
      <c r="AD381" s="137">
        <f t="shared" si="458"/>
        <v>-3.6279421214596895E-2</v>
      </c>
      <c r="AE381" s="135"/>
      <c r="AF381" s="135"/>
      <c r="AG381" s="135"/>
      <c r="AH381" s="135"/>
      <c r="AI381" s="135"/>
      <c r="AJ381" s="135"/>
      <c r="AK381" s="135"/>
      <c r="AL381" s="135"/>
      <c r="AM381" s="135"/>
      <c r="AN381" s="135"/>
      <c r="AO381" s="135"/>
      <c r="AP381" s="135"/>
      <c r="AQ381" s="135"/>
      <c r="AR381" s="135"/>
      <c r="AS381" s="135"/>
      <c r="AT381" s="135"/>
      <c r="AU381" s="135"/>
      <c r="AV381" s="135"/>
      <c r="AW381" s="135"/>
      <c r="AX381" s="135"/>
      <c r="AY381" s="135"/>
      <c r="AZ381" s="135"/>
      <c r="BA381" s="135"/>
      <c r="BB381" s="135"/>
      <c r="BC381" s="135"/>
      <c r="BD381" s="137"/>
      <c r="BE381" s="137"/>
      <c r="BF381" s="137"/>
      <c r="BG381" s="137"/>
      <c r="BH381" s="137"/>
      <c r="BI381" s="137"/>
      <c r="BJ381" s="137"/>
      <c r="BK381" s="137"/>
      <c r="BL381" s="137"/>
      <c r="BM381" s="137"/>
      <c r="BN381" s="137"/>
      <c r="BO381" s="137"/>
      <c r="BP381" s="136"/>
      <c r="BQ381" s="136"/>
      <c r="BR381" s="136"/>
      <c r="BS381" s="136"/>
      <c r="BT381" s="578"/>
      <c r="BU381" s="578"/>
      <c r="BV381" s="578"/>
      <c r="BW381" s="578"/>
      <c r="BX381" s="167"/>
      <c r="BY381" s="167"/>
      <c r="BZ381" s="167"/>
      <c r="CA381" s="167"/>
      <c r="CB381" s="167"/>
      <c r="CC381" s="167"/>
      <c r="CD381" s="167"/>
      <c r="CE381" s="167"/>
      <c r="CF381" s="167"/>
      <c r="CG381" s="167"/>
      <c r="CH381" s="167"/>
      <c r="CI381" s="167"/>
      <c r="CJ381" s="167"/>
      <c r="CK381" s="167"/>
      <c r="CL381" s="167"/>
      <c r="CM381" s="167"/>
      <c r="CN381" s="167"/>
      <c r="CO381" s="167"/>
      <c r="CP381" s="167"/>
      <c r="CQ381" s="167"/>
      <c r="CR381" s="167"/>
      <c r="CS381" s="167"/>
      <c r="CT381" s="167"/>
      <c r="CU381" s="167"/>
      <c r="CV381" s="167"/>
      <c r="CW381" s="167"/>
      <c r="CX381" s="167"/>
      <c r="CY381" s="167"/>
      <c r="CZ381" s="167">
        <f t="shared" ref="CZ381:DC381" si="459">CZ380-0.5%</f>
        <v>7.4488593155893667E-3</v>
      </c>
      <c r="DA381" s="167">
        <f t="shared" si="459"/>
        <v>1.6876286264121968E-2</v>
      </c>
      <c r="DB381" s="167">
        <f t="shared" si="459"/>
        <v>1.9158205189487257E-2</v>
      </c>
      <c r="DC381" s="167">
        <f t="shared" si="459"/>
        <v>1.926981760818787E-2</v>
      </c>
    </row>
    <row r="382" spans="2:107">
      <c r="B382" s="37"/>
      <c r="C382" s="197"/>
      <c r="D382" s="31"/>
      <c r="E382" s="31"/>
      <c r="F382" s="31"/>
      <c r="G382" s="31"/>
      <c r="H382" s="31"/>
      <c r="I382" s="31"/>
      <c r="J382" s="31"/>
      <c r="K382" s="31"/>
      <c r="L382" s="31"/>
      <c r="M382" s="199"/>
      <c r="N382" s="199"/>
      <c r="O382" s="199"/>
      <c r="P382" s="199"/>
      <c r="Q382" s="199"/>
      <c r="R382" s="199"/>
      <c r="S382" s="199"/>
      <c r="T382" s="199"/>
      <c r="U382" s="199"/>
      <c r="V382" s="199"/>
      <c r="W382" s="199"/>
      <c r="X382" s="199"/>
      <c r="Y382" s="199"/>
      <c r="Z382" s="199"/>
      <c r="AA382" s="199"/>
      <c r="AB382" s="199"/>
      <c r="AC382" s="199"/>
      <c r="AD382" s="199"/>
      <c r="AE382" s="197"/>
      <c r="AF382" s="31"/>
      <c r="AG382" s="31"/>
      <c r="AH382" s="31"/>
      <c r="AI382" s="31"/>
      <c r="AJ382" s="31"/>
      <c r="AK382" s="31"/>
      <c r="AL382" s="31"/>
      <c r="AM382" s="31"/>
      <c r="AN382" s="31"/>
      <c r="AO382" s="31"/>
      <c r="AP382" s="31"/>
      <c r="AQ382" s="31"/>
      <c r="AR382" s="31"/>
      <c r="AS382" s="31"/>
      <c r="AT382" s="31"/>
      <c r="AU382" s="31"/>
      <c r="AV382" s="163"/>
      <c r="AW382" s="163"/>
      <c r="AX382" s="163"/>
      <c r="AY382" s="163"/>
      <c r="AZ382" s="38"/>
      <c r="BA382" s="38"/>
      <c r="BB382" s="38"/>
      <c r="BC382" s="38"/>
      <c r="BD382" s="38"/>
      <c r="BE382" s="38"/>
      <c r="BF382" s="38"/>
      <c r="BG382" s="38"/>
      <c r="BH382" s="38"/>
      <c r="BI382" s="38"/>
      <c r="BJ382" s="38"/>
      <c r="BK382" s="38"/>
      <c r="BL382" s="38"/>
      <c r="BM382" s="38"/>
      <c r="BN382" s="38"/>
      <c r="BO382" s="38"/>
      <c r="BP382" s="38"/>
      <c r="BQ382" s="38"/>
      <c r="BR382" s="38"/>
      <c r="BS382" s="38"/>
      <c r="BT382" s="577"/>
      <c r="BU382" s="577"/>
      <c r="BV382" s="577"/>
      <c r="BW382" s="577"/>
      <c r="BX382" s="199"/>
      <c r="BY382" s="199"/>
      <c r="BZ382" s="199"/>
      <c r="CA382" s="199"/>
      <c r="CB382" s="199"/>
      <c r="CC382" s="199"/>
      <c r="CD382" s="199"/>
      <c r="CE382" s="199"/>
      <c r="CF382" s="199"/>
      <c r="CG382" s="199"/>
      <c r="CH382" s="199"/>
      <c r="CI382" s="199"/>
      <c r="CJ382" s="199"/>
      <c r="CK382" s="199"/>
      <c r="CL382" s="199"/>
      <c r="CM382" s="199"/>
      <c r="CN382" s="199"/>
      <c r="CO382" s="199"/>
      <c r="CP382" s="199"/>
      <c r="CQ382" s="199"/>
      <c r="CR382" s="199"/>
      <c r="CS382" s="199"/>
      <c r="CT382" s="199"/>
      <c r="CU382" s="199"/>
      <c r="CV382" s="199"/>
      <c r="CW382" s="199"/>
      <c r="CX382" s="199"/>
      <c r="CY382" s="199"/>
      <c r="CZ382" s="199"/>
      <c r="DA382" s="199"/>
      <c r="DB382" s="199"/>
      <c r="DC382" s="199"/>
    </row>
    <row r="383" spans="2:107">
      <c r="B383" s="17" t="s">
        <v>726</v>
      </c>
      <c r="C383" s="197"/>
      <c r="D383" s="31"/>
      <c r="E383" s="31"/>
      <c r="F383" s="31"/>
      <c r="G383" s="31"/>
      <c r="H383" s="31"/>
      <c r="I383" s="31"/>
      <c r="J383" s="31"/>
      <c r="K383" s="31"/>
      <c r="L383" s="31"/>
      <c r="M383" s="199"/>
      <c r="N383" s="166"/>
      <c r="O383" s="166">
        <f t="shared" ref="O383:Z383" si="460">AVERAGE(N376:O376)/O248</f>
        <v>1.5747126436781609</v>
      </c>
      <c r="P383" s="166">
        <f t="shared" si="460"/>
        <v>1.5712309820193637</v>
      </c>
      <c r="Q383" s="166">
        <f t="shared" si="460"/>
        <v>1.5787451984635084</v>
      </c>
      <c r="R383" s="166">
        <f t="shared" si="460"/>
        <v>1.6047619047619048</v>
      </c>
      <c r="S383" s="166">
        <f t="shared" si="460"/>
        <v>1.7139639639639639</v>
      </c>
      <c r="T383" s="166">
        <f t="shared" si="460"/>
        <v>1.8302083333333334</v>
      </c>
      <c r="U383" s="166">
        <f t="shared" si="460"/>
        <v>1.9221902017291066</v>
      </c>
      <c r="V383" s="166">
        <f t="shared" si="460"/>
        <v>1.851963746223565</v>
      </c>
      <c r="W383" s="166">
        <f t="shared" si="460"/>
        <v>1.7728487435412768</v>
      </c>
      <c r="X383" s="166">
        <f t="shared" si="460"/>
        <v>1.7882374949019078</v>
      </c>
      <c r="Y383" s="166">
        <f t="shared" si="460"/>
        <v>1.7941886885211087</v>
      </c>
      <c r="Z383" s="166">
        <f t="shared" si="460"/>
        <v>1.7987593200917844</v>
      </c>
      <c r="AA383" s="166">
        <f t="shared" ref="AA383" si="461">AVERAGE(Z376:AA376)/AA248</f>
        <v>1.8029765404570182</v>
      </c>
      <c r="AB383" s="166">
        <f t="shared" ref="AB383" si="462">AVERAGE(AA376:AB376)/AB248</f>
        <v>1.8068751824207798</v>
      </c>
      <c r="AC383" s="166">
        <f t="shared" ref="AC383" si="463">AVERAGE(AB376:AC376)/AC248</f>
        <v>1.8104844772837334</v>
      </c>
      <c r="AD383" s="166">
        <f t="shared" ref="AD383" si="464">AVERAGE(AC376:AD376)/AD248</f>
        <v>1.813829154717725</v>
      </c>
      <c r="AE383" s="197"/>
      <c r="AF383" s="31"/>
      <c r="AG383" s="31"/>
      <c r="AH383" s="31"/>
      <c r="AI383" s="31"/>
      <c r="AJ383" s="31"/>
      <c r="AK383" s="31"/>
      <c r="AL383" s="31"/>
      <c r="AM383" s="31"/>
      <c r="AN383" s="31"/>
      <c r="AO383" s="31"/>
      <c r="AP383" s="31"/>
      <c r="AQ383" s="31"/>
      <c r="AR383" s="31"/>
      <c r="AS383" s="31"/>
      <c r="AT383" s="31"/>
      <c r="AU383" s="31"/>
      <c r="AV383" s="31"/>
      <c r="AW383" s="31"/>
      <c r="AX383" s="31"/>
      <c r="AY383" s="165"/>
      <c r="AZ383" s="165"/>
      <c r="BA383" s="165"/>
      <c r="BB383" s="165"/>
      <c r="BC383" s="165"/>
      <c r="BD383" s="165"/>
      <c r="BE383" s="165"/>
      <c r="BF383" s="165"/>
      <c r="BG383" s="165"/>
      <c r="BH383" s="165"/>
      <c r="BI383" s="165"/>
      <c r="BJ383" s="165"/>
      <c r="BK383" s="165"/>
      <c r="BL383" s="165"/>
      <c r="BM383" s="165"/>
      <c r="BN383" s="165"/>
      <c r="BO383" s="165"/>
      <c r="BP383" s="166"/>
      <c r="BQ383" s="166"/>
      <c r="BR383" s="166"/>
      <c r="BS383" s="166"/>
      <c r="BT383" s="166"/>
      <c r="BU383" s="166">
        <f t="shared" ref="BU383:CY383" si="465">AVERAGE(BT376:BU376)/BU248</f>
        <v>1.5244444444444445</v>
      </c>
      <c r="BV383" s="166">
        <f t="shared" si="465"/>
        <v>1.539985119047619</v>
      </c>
      <c r="BW383" s="166">
        <f t="shared" si="465"/>
        <v>1.5651091703056768</v>
      </c>
      <c r="BX383" s="166">
        <f t="shared" si="465"/>
        <v>1.5520530726256982</v>
      </c>
      <c r="BY383" s="166">
        <f t="shared" si="465"/>
        <v>1.5485964912280701</v>
      </c>
      <c r="BZ383" s="166">
        <f t="shared" si="465"/>
        <v>1.556177658142665</v>
      </c>
      <c r="CA383" s="166">
        <f t="shared" si="465"/>
        <v>1.5570469798657718</v>
      </c>
      <c r="CB383" s="166">
        <f t="shared" si="465"/>
        <v>1.5704874835309617</v>
      </c>
      <c r="CC383" s="166">
        <f t="shared" si="465"/>
        <v>1.5758354755784061</v>
      </c>
      <c r="CD383" s="166">
        <f t="shared" si="465"/>
        <v>1.6017811704834606</v>
      </c>
      <c r="CE383" s="166">
        <f t="shared" si="465"/>
        <v>1.6065162907268171</v>
      </c>
      <c r="CF383" s="166">
        <f t="shared" si="465"/>
        <v>1.5793939393939394</v>
      </c>
      <c r="CG383" s="166">
        <f t="shared" si="465"/>
        <v>1.5913978494623655</v>
      </c>
      <c r="CH383" s="166">
        <f t="shared" si="465"/>
        <v>1.613744075829384</v>
      </c>
      <c r="CI383" s="166">
        <f t="shared" si="465"/>
        <v>1.6174418604651162</v>
      </c>
      <c r="CJ383" s="166">
        <f t="shared" si="465"/>
        <v>1.6682080924855491</v>
      </c>
      <c r="CK383" s="166">
        <f t="shared" si="465"/>
        <v>1.7334878331402086</v>
      </c>
      <c r="CL383" s="166">
        <f t="shared" si="465"/>
        <v>1.7468785471055619</v>
      </c>
      <c r="CM383" s="166">
        <f t="shared" si="465"/>
        <v>1.7740863787375416</v>
      </c>
      <c r="CN383" s="166">
        <f t="shared" si="465"/>
        <v>1.8</v>
      </c>
      <c r="CO383" s="166">
        <f t="shared" si="465"/>
        <v>1.8027571580063626</v>
      </c>
      <c r="CP383" s="166">
        <f t="shared" si="465"/>
        <v>1.8173374613003095</v>
      </c>
      <c r="CQ383" s="166">
        <f t="shared" si="465"/>
        <v>1.8396793587174349</v>
      </c>
      <c r="CR383" s="166">
        <f t="shared" si="465"/>
        <v>1.8866995073891626</v>
      </c>
      <c r="CS383" s="166">
        <f t="shared" si="465"/>
        <v>1.9329446064139941</v>
      </c>
      <c r="CT383" s="166">
        <f t="shared" si="465"/>
        <v>1.9599236641221374</v>
      </c>
      <c r="CU383" s="166">
        <f t="shared" si="465"/>
        <v>1.9802445907808091</v>
      </c>
      <c r="CV383" s="166">
        <f t="shared" si="465"/>
        <v>2.0224719101123596</v>
      </c>
      <c r="CW383" s="166">
        <f t="shared" si="465"/>
        <v>2.066355140186916</v>
      </c>
      <c r="CX383" s="166">
        <f t="shared" si="465"/>
        <v>2.072878228782288</v>
      </c>
      <c r="CY383" s="166">
        <f t="shared" si="465"/>
        <v>1.8877245508982037</v>
      </c>
      <c r="CZ383" s="166">
        <f t="shared" ref="CZ383" si="466">AVERAGE(CY376:CZ376)/CZ248</f>
        <v>1.7622731555935842</v>
      </c>
      <c r="DA383" s="166">
        <f t="shared" ref="DA383" si="467">AVERAGE(CZ376:DA376)/DA248</f>
        <v>1.7672582778100649</v>
      </c>
      <c r="DB383" s="166">
        <f t="shared" ref="DB383" si="468">AVERAGE(DA376:DB376)/DB248</f>
        <v>1.7739167134380263</v>
      </c>
      <c r="DC383" s="166">
        <f t="shared" ref="DC383" si="469">AVERAGE(DB376:DC376)/DC248</f>
        <v>1.7809344041176116</v>
      </c>
    </row>
    <row r="384" spans="2:107">
      <c r="B384" s="37" t="s">
        <v>709</v>
      </c>
      <c r="C384" s="197"/>
      <c r="D384" s="31"/>
      <c r="E384" s="31"/>
      <c r="F384" s="31"/>
      <c r="G384" s="31"/>
      <c r="H384" s="31"/>
      <c r="I384" s="31"/>
      <c r="J384" s="31"/>
      <c r="K384" s="31"/>
      <c r="L384" s="31"/>
      <c r="M384" s="199"/>
      <c r="N384" s="38"/>
      <c r="O384" s="38"/>
      <c r="P384" s="38">
        <f t="shared" ref="P384:Z384" si="470">P383/O383-1</f>
        <v>-2.2109822212799113E-3</v>
      </c>
      <c r="Q384" s="38">
        <f t="shared" si="470"/>
        <v>4.7823754305602595E-3</v>
      </c>
      <c r="R384" s="38">
        <f t="shared" si="470"/>
        <v>1.647935735526973E-2</v>
      </c>
      <c r="S384" s="38">
        <f t="shared" si="470"/>
        <v>6.8048760927099217E-2</v>
      </c>
      <c r="T384" s="38">
        <f t="shared" si="470"/>
        <v>6.7821944809461243E-2</v>
      </c>
      <c r="U384" s="38">
        <f t="shared" si="470"/>
        <v>5.0257594570257469E-2</v>
      </c>
      <c r="V384" s="38">
        <f t="shared" si="470"/>
        <v>-3.6534602789239812E-2</v>
      </c>
      <c r="W384" s="38">
        <f t="shared" si="470"/>
        <v>-4.271952020854386E-2</v>
      </c>
      <c r="X384" s="38">
        <f t="shared" si="470"/>
        <v>8.680239313531013E-3</v>
      </c>
      <c r="Y384" s="38">
        <f t="shared" si="470"/>
        <v>3.3279660202669703E-3</v>
      </c>
      <c r="Z384" s="38">
        <f t="shared" si="470"/>
        <v>2.5474642661151847E-3</v>
      </c>
      <c r="AA384" s="38">
        <f t="shared" ref="AA384" si="471">AA383/Z383-1</f>
        <v>2.3445161996540342E-3</v>
      </c>
      <c r="AB384" s="38">
        <f t="shared" ref="AB384" si="472">AB383/AA383-1</f>
        <v>2.1623364898433195E-3</v>
      </c>
      <c r="AC384" s="38">
        <f t="shared" ref="AC384" si="473">AC383/AB383-1</f>
        <v>1.9975341396398782E-3</v>
      </c>
      <c r="AD384" s="38">
        <f t="shared" ref="AD384" si="474">AD383/AC383-1</f>
        <v>1.8473935987617374E-3</v>
      </c>
      <c r="AE384" s="197"/>
      <c r="AF384" s="31"/>
      <c r="AG384" s="31"/>
      <c r="AH384" s="31"/>
      <c r="AI384" s="31"/>
      <c r="AJ384" s="31"/>
      <c r="AK384" s="31"/>
      <c r="AL384" s="31"/>
      <c r="AM384" s="31"/>
      <c r="AN384" s="31"/>
      <c r="AO384" s="31"/>
      <c r="AP384" s="31"/>
      <c r="AQ384" s="31"/>
      <c r="AR384" s="31"/>
      <c r="AS384" s="31"/>
      <c r="AT384" s="31"/>
      <c r="AU384" s="31"/>
      <c r="AV384" s="31"/>
      <c r="AW384" s="31"/>
      <c r="AX384" s="31"/>
      <c r="AY384" s="31"/>
      <c r="AZ384" s="31"/>
      <c r="BA384" s="31"/>
      <c r="BB384" s="31"/>
      <c r="BC384" s="31"/>
      <c r="BD384" s="32"/>
      <c r="BE384" s="32"/>
      <c r="BF384" s="32"/>
      <c r="BG384" s="32"/>
      <c r="BH384" s="32"/>
      <c r="BI384" s="32"/>
      <c r="BJ384" s="32"/>
      <c r="BK384" s="32"/>
      <c r="BL384" s="32"/>
      <c r="BM384" s="32"/>
      <c r="BN384" s="32"/>
      <c r="BO384" s="32"/>
      <c r="BP384" s="199"/>
      <c r="BQ384" s="199"/>
      <c r="BR384" s="199"/>
      <c r="BS384" s="38"/>
      <c r="BT384" s="38"/>
      <c r="BU384" s="38"/>
      <c r="BV384" s="38"/>
      <c r="BW384" s="38"/>
      <c r="BX384" s="38"/>
      <c r="BY384" s="38">
        <f t="shared" ref="BY384:CY384" si="475">BY383/BU383-1</f>
        <v>1.5843179377013961E-2</v>
      </c>
      <c r="BZ384" s="38">
        <f t="shared" si="475"/>
        <v>1.0514737379449413E-2</v>
      </c>
      <c r="CA384" s="38">
        <f t="shared" si="475"/>
        <v>-5.1512000522815349E-3</v>
      </c>
      <c r="CB384" s="38">
        <f t="shared" si="475"/>
        <v>1.1877435914016132E-2</v>
      </c>
      <c r="CC384" s="38">
        <f t="shared" si="475"/>
        <v>1.7589465367272572E-2</v>
      </c>
      <c r="CD384" s="38">
        <f t="shared" si="475"/>
        <v>2.9304823971849414E-2</v>
      </c>
      <c r="CE384" s="38">
        <f t="shared" si="475"/>
        <v>3.1771238440929883E-2</v>
      </c>
      <c r="CF384" s="38">
        <f t="shared" si="475"/>
        <v>5.6711409395973078E-3</v>
      </c>
      <c r="CG384" s="38">
        <f t="shared" si="475"/>
        <v>9.8756336718763826E-3</v>
      </c>
      <c r="CH384" s="38">
        <f t="shared" si="475"/>
        <v>7.468501669496197E-3</v>
      </c>
      <c r="CI384" s="38">
        <f t="shared" si="475"/>
        <v>6.8007836592531845E-3</v>
      </c>
      <c r="CJ384" s="38">
        <f t="shared" si="475"/>
        <v>5.6233059325079049E-2</v>
      </c>
      <c r="CK384" s="38">
        <f t="shared" si="475"/>
        <v>8.9286273527293236E-2</v>
      </c>
      <c r="CL384" s="38">
        <f t="shared" si="475"/>
        <v>8.2500362523564075E-2</v>
      </c>
      <c r="CM384" s="38">
        <f t="shared" si="475"/>
        <v>9.6847078155489541E-2</v>
      </c>
      <c r="CN384" s="38">
        <f t="shared" si="475"/>
        <v>7.9002079002079117E-2</v>
      </c>
      <c r="CO384" s="38">
        <f t="shared" si="475"/>
        <v>3.9959510267039366E-2</v>
      </c>
      <c r="CP384" s="38">
        <f t="shared" si="475"/>
        <v>4.033418025053459E-2</v>
      </c>
      <c r="CQ384" s="38">
        <f t="shared" si="475"/>
        <v>3.6972822048591647E-2</v>
      </c>
      <c r="CR384" s="38">
        <f t="shared" si="475"/>
        <v>4.816639299397929E-2</v>
      </c>
      <c r="CS384" s="38">
        <f t="shared" si="475"/>
        <v>7.2215743440233293E-2</v>
      </c>
      <c r="CT384" s="38">
        <f t="shared" si="475"/>
        <v>7.845884754931931E-2</v>
      </c>
      <c r="CU384" s="38">
        <f t="shared" si="475"/>
        <v>7.6407462744688015E-2</v>
      </c>
      <c r="CV384" s="38">
        <f t="shared" si="475"/>
        <v>7.1962918414644861E-2</v>
      </c>
      <c r="CW384" s="38">
        <f t="shared" si="475"/>
        <v>6.9019325918721286E-2</v>
      </c>
      <c r="CX384" s="38">
        <f t="shared" si="475"/>
        <v>5.7632124519882089E-2</v>
      </c>
      <c r="CY384" s="38">
        <f t="shared" si="475"/>
        <v>-4.6721521327890536E-2</v>
      </c>
      <c r="CZ384" s="38">
        <f t="shared" ref="CZ384:DC384" si="476">CZ383/CV383-1</f>
        <v>-0.12865382862317232</v>
      </c>
      <c r="DA384" s="38">
        <f t="shared" si="476"/>
        <v>-0.14474610707518343</v>
      </c>
      <c r="DB384" s="38">
        <f t="shared" si="476"/>
        <v>-0.14422531492353352</v>
      </c>
      <c r="DC384" s="38">
        <f t="shared" si="476"/>
        <v>-5.6570831125642762E-2</v>
      </c>
    </row>
    <row r="385" spans="1:107">
      <c r="B385" s="37" t="s">
        <v>710</v>
      </c>
      <c r="C385" s="197"/>
      <c r="D385" s="31"/>
      <c r="E385" s="31"/>
      <c r="F385" s="31"/>
      <c r="G385" s="31"/>
      <c r="H385" s="31"/>
      <c r="I385" s="31"/>
      <c r="J385" s="31"/>
      <c r="K385" s="31"/>
      <c r="L385" s="31"/>
      <c r="M385" s="199"/>
      <c r="N385" s="199"/>
      <c r="O385" s="199"/>
      <c r="P385" s="199"/>
      <c r="Q385" s="199"/>
      <c r="R385" s="199"/>
      <c r="S385" s="199"/>
      <c r="T385" s="199"/>
      <c r="U385" s="199"/>
      <c r="V385" s="199"/>
      <c r="W385" s="199"/>
      <c r="X385" s="199"/>
      <c r="Y385" s="199"/>
      <c r="Z385" s="199"/>
      <c r="AA385" s="199"/>
      <c r="AB385" s="199"/>
      <c r="AC385" s="199"/>
      <c r="AD385" s="199"/>
      <c r="AE385" s="197"/>
      <c r="AF385" s="31"/>
      <c r="AG385" s="31"/>
      <c r="AH385" s="31"/>
      <c r="AI385" s="31"/>
      <c r="AJ385" s="31"/>
      <c r="AK385" s="31"/>
      <c r="AL385" s="31"/>
      <c r="AM385" s="31"/>
      <c r="AN385" s="31"/>
      <c r="AO385" s="31"/>
      <c r="AP385" s="31"/>
      <c r="AQ385" s="31"/>
      <c r="AR385" s="31"/>
      <c r="AS385" s="31"/>
      <c r="AT385" s="31"/>
      <c r="AU385" s="31"/>
      <c r="AV385" s="31"/>
      <c r="AW385" s="31"/>
      <c r="AX385" s="31"/>
      <c r="AY385" s="31"/>
      <c r="AZ385" s="31"/>
      <c r="BA385" s="31"/>
      <c r="BB385" s="31"/>
      <c r="BC385" s="31"/>
      <c r="BD385" s="32"/>
      <c r="BE385" s="32"/>
      <c r="BF385" s="32"/>
      <c r="BG385" s="32"/>
      <c r="BH385" s="32"/>
      <c r="BI385" s="32"/>
      <c r="BJ385" s="32"/>
      <c r="BK385" s="32"/>
      <c r="BL385" s="32"/>
      <c r="BM385" s="32"/>
      <c r="BN385" s="32"/>
      <c r="BO385" s="32"/>
      <c r="BP385" s="199"/>
      <c r="BQ385" s="38"/>
      <c r="BR385" s="38"/>
      <c r="BS385" s="38"/>
      <c r="BT385" s="38"/>
      <c r="BU385" s="38"/>
      <c r="BV385" s="38">
        <f t="shared" ref="BV385:CY385" si="477">BV383/BU383-1</f>
        <v>1.0194320074968788E-2</v>
      </c>
      <c r="BW385" s="38">
        <f t="shared" si="477"/>
        <v>1.6314476644810227E-2</v>
      </c>
      <c r="BX385" s="38">
        <f t="shared" si="477"/>
        <v>-8.3419725139227685E-3</v>
      </c>
      <c r="BY385" s="38">
        <f t="shared" si="477"/>
        <v>-2.2271025769631247E-3</v>
      </c>
      <c r="BZ385" s="38">
        <f t="shared" si="477"/>
        <v>4.8955082602459843E-3</v>
      </c>
      <c r="CA385" s="38">
        <f t="shared" si="477"/>
        <v>5.5862627159442013E-4</v>
      </c>
      <c r="CB385" s="38">
        <f t="shared" si="477"/>
        <v>8.6320476125572032E-3</v>
      </c>
      <c r="CC385" s="38">
        <f t="shared" si="477"/>
        <v>3.4053070167872068E-3</v>
      </c>
      <c r="CD385" s="38">
        <f t="shared" si="477"/>
        <v>1.6464723194235198E-2</v>
      </c>
      <c r="CE385" s="38">
        <f t="shared" si="477"/>
        <v>2.9561592623337241E-3</v>
      </c>
      <c r="CF385" s="38">
        <f t="shared" si="477"/>
        <v>-1.6882711672103312E-2</v>
      </c>
      <c r="CG385" s="38">
        <f t="shared" si="477"/>
        <v>7.6003267892952309E-3</v>
      </c>
      <c r="CH385" s="38">
        <f t="shared" si="477"/>
        <v>1.4041885487383166E-2</v>
      </c>
      <c r="CI385" s="38">
        <f t="shared" si="477"/>
        <v>2.2914318888092033E-3</v>
      </c>
      <c r="CJ385" s="38">
        <f t="shared" si="477"/>
        <v>3.1386743017665308E-2</v>
      </c>
      <c r="CK385" s="38">
        <f t="shared" si="477"/>
        <v>3.9131653268385636E-2</v>
      </c>
      <c r="CL385" s="38">
        <f t="shared" si="477"/>
        <v>7.7247233637032231E-3</v>
      </c>
      <c r="CM385" s="38">
        <f t="shared" si="477"/>
        <v>1.5575113494330273E-2</v>
      </c>
      <c r="CN385" s="38">
        <f t="shared" si="477"/>
        <v>1.4606741573033766E-2</v>
      </c>
      <c r="CO385" s="38">
        <f t="shared" si="477"/>
        <v>1.5317544479791501E-3</v>
      </c>
      <c r="CP385" s="38">
        <f t="shared" si="477"/>
        <v>8.0877800036422975E-3</v>
      </c>
      <c r="CQ385" s="38">
        <f t="shared" si="477"/>
        <v>1.2293752752523979E-2</v>
      </c>
      <c r="CR385" s="38">
        <f t="shared" si="477"/>
        <v>2.5558882556854234E-2</v>
      </c>
      <c r="CS385" s="38">
        <f t="shared" si="477"/>
        <v>2.4511109926999453E-2</v>
      </c>
      <c r="CT385" s="38">
        <f t="shared" si="477"/>
        <v>1.3957491393503885E-2</v>
      </c>
      <c r="CU385" s="38">
        <f t="shared" si="477"/>
        <v>1.0368223533733234E-2</v>
      </c>
      <c r="CV385" s="38">
        <f t="shared" si="477"/>
        <v>2.1324294750326933E-2</v>
      </c>
      <c r="CW385" s="38">
        <f t="shared" si="477"/>
        <v>2.1697819314641764E-2</v>
      </c>
      <c r="CX385" s="38">
        <f t="shared" si="477"/>
        <v>3.1568090443454544E-3</v>
      </c>
      <c r="CY385" s="38">
        <f t="shared" si="477"/>
        <v>-8.9322023509722959E-2</v>
      </c>
      <c r="CZ385" s="38">
        <f t="shared" ref="CZ385:DC385" si="478">CZ383/CY383-1</f>
        <v>-6.6456409249394E-2</v>
      </c>
      <c r="DA385" s="38">
        <f t="shared" si="478"/>
        <v>2.8288022209597141E-3</v>
      </c>
      <c r="DB385" s="38">
        <f t="shared" si="478"/>
        <v>3.7676641335142591E-3</v>
      </c>
      <c r="DC385" s="38">
        <f t="shared" si="478"/>
        <v>3.9560429339347003E-3</v>
      </c>
    </row>
    <row r="386" spans="1:107">
      <c r="B386" s="37"/>
      <c r="C386" s="197"/>
      <c r="D386" s="31"/>
      <c r="E386" s="31"/>
      <c r="F386" s="31"/>
      <c r="G386" s="31"/>
      <c r="H386" s="31"/>
      <c r="I386" s="31"/>
      <c r="J386" s="31"/>
      <c r="K386" s="31"/>
      <c r="L386" s="31"/>
      <c r="M386" s="199"/>
      <c r="N386" s="199"/>
      <c r="O386" s="199"/>
      <c r="P386" s="199"/>
      <c r="Q386" s="199"/>
      <c r="R386" s="199"/>
      <c r="S386" s="199"/>
      <c r="T386" s="199"/>
      <c r="U386" s="199"/>
      <c r="V386" s="199"/>
      <c r="W386" s="199"/>
      <c r="X386" s="199"/>
      <c r="Y386" s="199"/>
      <c r="Z386" s="199"/>
      <c r="AA386" s="199"/>
      <c r="AB386" s="199"/>
      <c r="AC386" s="199"/>
      <c r="AD386" s="199"/>
      <c r="AE386" s="197"/>
      <c r="AF386" s="31"/>
      <c r="AG386" s="31"/>
      <c r="AH386" s="31"/>
      <c r="AI386" s="31"/>
      <c r="AJ386" s="31"/>
      <c r="AK386" s="31"/>
      <c r="AL386" s="31"/>
      <c r="AM386" s="31"/>
      <c r="AN386" s="31"/>
      <c r="AO386" s="31"/>
      <c r="AP386" s="31"/>
      <c r="AQ386" s="31"/>
      <c r="AR386" s="31"/>
      <c r="AS386" s="31"/>
      <c r="AT386" s="31"/>
      <c r="AU386" s="31"/>
      <c r="AV386" s="31"/>
      <c r="AW386" s="31"/>
      <c r="AX386" s="31"/>
      <c r="AY386" s="31"/>
      <c r="AZ386" s="31"/>
      <c r="BA386" s="31"/>
      <c r="BB386" s="31"/>
      <c r="BC386" s="31"/>
      <c r="BD386" s="32"/>
      <c r="BE386" s="32"/>
      <c r="BF386" s="32"/>
      <c r="BG386" s="32"/>
      <c r="BH386" s="32"/>
      <c r="BI386" s="32"/>
      <c r="BJ386" s="32"/>
      <c r="BK386" s="32"/>
      <c r="BL386" s="32"/>
      <c r="BM386" s="32"/>
      <c r="BN386" s="32"/>
      <c r="BO386" s="32"/>
      <c r="BP386" s="199"/>
      <c r="BQ386" s="38"/>
      <c r="BR386" s="38"/>
      <c r="BS386" s="38"/>
      <c r="BT386" s="38"/>
      <c r="BU386" s="38"/>
      <c r="BV386" s="199"/>
      <c r="BW386" s="199"/>
      <c r="BX386" s="199"/>
      <c r="BY386" s="199"/>
      <c r="BZ386" s="199"/>
      <c r="CA386" s="199"/>
      <c r="CB386" s="199"/>
      <c r="CC386" s="199"/>
      <c r="CD386" s="199"/>
      <c r="CE386" s="199"/>
      <c r="CF386" s="199"/>
      <c r="CG386" s="199"/>
      <c r="CH386" s="199"/>
      <c r="CI386" s="199"/>
      <c r="CJ386" s="199"/>
      <c r="CK386" s="199"/>
      <c r="CL386" s="199"/>
      <c r="CM386" s="199"/>
      <c r="CN386" s="199"/>
      <c r="CO386" s="199"/>
      <c r="CP386" s="199"/>
      <c r="CQ386" s="199"/>
      <c r="CR386" s="199"/>
      <c r="CS386" s="199"/>
      <c r="CT386" s="199"/>
      <c r="CU386" s="199"/>
      <c r="CV386" s="199"/>
      <c r="CW386" s="199"/>
      <c r="CX386" s="199"/>
      <c r="CY386" s="199"/>
      <c r="CZ386" s="199"/>
      <c r="DA386" s="199"/>
      <c r="DB386" s="199"/>
      <c r="DC386" s="199"/>
    </row>
    <row r="387" spans="1:107">
      <c r="B387" s="170" t="s">
        <v>727</v>
      </c>
      <c r="C387" s="197"/>
      <c r="D387" s="31"/>
      <c r="E387" s="31"/>
      <c r="F387" s="31"/>
      <c r="G387" s="31"/>
      <c r="H387" s="31"/>
      <c r="I387" s="31"/>
      <c r="J387" s="31"/>
      <c r="K387" s="31"/>
      <c r="L387" s="31"/>
      <c r="M387" s="199"/>
      <c r="N387" s="171"/>
      <c r="O387" s="531">
        <f t="shared" ref="O387:W387" si="479">(O290/12/(AVERAGE(N376:O376)))*1000000</f>
        <v>221.07816301703159</v>
      </c>
      <c r="P387" s="531">
        <f t="shared" si="479"/>
        <v>289.93984741784038</v>
      </c>
      <c r="Q387" s="531">
        <f t="shared" si="479"/>
        <v>292.18167072181672</v>
      </c>
      <c r="R387" s="531">
        <f t="shared" si="479"/>
        <v>299.57467853610285</v>
      </c>
      <c r="S387" s="531">
        <f t="shared" si="479"/>
        <v>298.135129215944</v>
      </c>
      <c r="T387" s="531">
        <f t="shared" si="479"/>
        <v>299.04951622083098</v>
      </c>
      <c r="U387" s="531">
        <f t="shared" si="479"/>
        <v>307.39463601532572</v>
      </c>
      <c r="V387" s="531">
        <f t="shared" si="479"/>
        <v>318.96954866775422</v>
      </c>
      <c r="W387" s="531">
        <f t="shared" si="479"/>
        <v>338.59532975429227</v>
      </c>
      <c r="X387" s="171">
        <f>W387*1.01</f>
        <v>341.98128305183519</v>
      </c>
      <c r="Y387" s="171">
        <f>X387*1.01</f>
        <v>345.40109588235356</v>
      </c>
      <c r="Z387" s="171">
        <f>Y387*1.01</f>
        <v>348.85510684117708</v>
      </c>
      <c r="AA387" s="171">
        <f t="shared" ref="AA387:AD387" si="480">Z387*1.01</f>
        <v>352.34365790958884</v>
      </c>
      <c r="AB387" s="171">
        <f t="shared" si="480"/>
        <v>355.86709448868476</v>
      </c>
      <c r="AC387" s="171">
        <f t="shared" si="480"/>
        <v>359.4257654335716</v>
      </c>
      <c r="AD387" s="171">
        <f t="shared" si="480"/>
        <v>363.0200230879073</v>
      </c>
      <c r="AE387" s="197"/>
      <c r="AF387" s="31"/>
      <c r="AG387" s="31"/>
      <c r="AH387" s="31"/>
      <c r="AI387" s="31"/>
      <c r="AJ387" s="31"/>
      <c r="AK387" s="31"/>
      <c r="AL387" s="31"/>
      <c r="AM387" s="31"/>
      <c r="AN387" s="31"/>
      <c r="AO387" s="31"/>
      <c r="AP387" s="31"/>
      <c r="AQ387" s="31"/>
      <c r="AR387" s="31"/>
      <c r="AS387" s="31"/>
      <c r="AT387" s="31"/>
      <c r="AU387" s="31"/>
      <c r="AV387" s="31"/>
      <c r="AW387" s="31"/>
      <c r="AX387" s="31"/>
      <c r="AY387" s="31"/>
      <c r="AZ387" s="31"/>
      <c r="BA387" s="31"/>
      <c r="BB387" s="31"/>
      <c r="BC387" s="31"/>
      <c r="BD387" s="32"/>
      <c r="BE387" s="32"/>
      <c r="BF387" s="32"/>
      <c r="BG387" s="32"/>
      <c r="BH387" s="32"/>
      <c r="BI387" s="32"/>
      <c r="BJ387" s="32"/>
      <c r="BK387" s="32"/>
      <c r="BL387" s="32"/>
      <c r="BM387" s="32"/>
      <c r="BN387" s="32"/>
      <c r="BO387" s="32"/>
      <c r="BP387" s="531"/>
      <c r="BQ387" s="531"/>
      <c r="BR387" s="531"/>
      <c r="BS387" s="531"/>
      <c r="BT387" s="531"/>
      <c r="BU387" s="531">
        <f t="shared" ref="BU387:CY387" si="481">(BU290/3/(AVERAGE(BT376:BU376))*1000000)</f>
        <v>230.29443437606704</v>
      </c>
      <c r="BV387" s="531">
        <f t="shared" si="481"/>
        <v>271.22247238783615</v>
      </c>
      <c r="BW387" s="531">
        <f t="shared" si="481"/>
        <v>275.55654759136803</v>
      </c>
      <c r="BX387" s="531">
        <f t="shared" si="481"/>
        <v>275.49260455754825</v>
      </c>
      <c r="BY387" s="531">
        <f t="shared" si="481"/>
        <v>289.82172994861338</v>
      </c>
      <c r="BZ387" s="531">
        <f t="shared" si="481"/>
        <v>285.01579833483243</v>
      </c>
      <c r="CA387" s="531">
        <f t="shared" si="481"/>
        <v>301.0517241379311</v>
      </c>
      <c r="CB387" s="531">
        <f t="shared" si="481"/>
        <v>289.36800894854588</v>
      </c>
      <c r="CC387" s="531">
        <f t="shared" si="481"/>
        <v>288.46112017400765</v>
      </c>
      <c r="CD387" s="531">
        <f t="shared" si="481"/>
        <v>290.93460418321422</v>
      </c>
      <c r="CE387" s="531">
        <f t="shared" si="481"/>
        <v>293.4269370774831</v>
      </c>
      <c r="CF387" s="531">
        <f t="shared" si="481"/>
        <v>297.80506523407524</v>
      </c>
      <c r="CG387" s="531">
        <f t="shared" si="481"/>
        <v>299.29929929929932</v>
      </c>
      <c r="CH387" s="531">
        <f t="shared" si="481"/>
        <v>303.39696524718556</v>
      </c>
      <c r="CI387" s="531">
        <f t="shared" si="481"/>
        <v>298.6149053438773</v>
      </c>
      <c r="CJ387" s="531">
        <f t="shared" si="481"/>
        <v>297.07553707553711</v>
      </c>
      <c r="CK387" s="531">
        <f t="shared" si="481"/>
        <v>296.12745098039215</v>
      </c>
      <c r="CL387" s="531">
        <f t="shared" si="481"/>
        <v>301.11327701970976</v>
      </c>
      <c r="CM387" s="531">
        <f t="shared" si="481"/>
        <v>299.59217644610902</v>
      </c>
      <c r="CN387" s="531">
        <f t="shared" si="481"/>
        <v>302.27858293075684</v>
      </c>
      <c r="CO387" s="531">
        <f t="shared" si="481"/>
        <v>302.3607843137255</v>
      </c>
      <c r="CP387" s="531">
        <f t="shared" si="481"/>
        <v>302.48722316865417</v>
      </c>
      <c r="CQ387" s="531">
        <f t="shared" si="481"/>
        <v>301.98983297022517</v>
      </c>
      <c r="CR387" s="531">
        <f t="shared" si="481"/>
        <v>299.1679721496954</v>
      </c>
      <c r="CS387" s="531">
        <f t="shared" si="481"/>
        <v>301.18987766046587</v>
      </c>
      <c r="CT387" s="531">
        <f t="shared" si="481"/>
        <v>301.21064589419018</v>
      </c>
      <c r="CU387" s="531">
        <f t="shared" si="481"/>
        <v>318.15993665874902</v>
      </c>
      <c r="CV387" s="531">
        <f t="shared" si="481"/>
        <v>311.26543209876542</v>
      </c>
      <c r="CW387" s="531">
        <f t="shared" si="481"/>
        <v>350.51409618573797</v>
      </c>
      <c r="CX387" s="531">
        <f t="shared" si="481"/>
        <v>369.01646639964395</v>
      </c>
      <c r="CY387" s="531">
        <f t="shared" si="481"/>
        <v>337.80861749933916</v>
      </c>
      <c r="CZ387" s="171">
        <f t="shared" ref="CZ387:DC387" si="482">+CY387+1</f>
        <v>338.80861749933916</v>
      </c>
      <c r="DA387" s="171">
        <f t="shared" si="482"/>
        <v>339.80861749933916</v>
      </c>
      <c r="DB387" s="171">
        <f t="shared" si="482"/>
        <v>340.80861749933916</v>
      </c>
      <c r="DC387" s="171">
        <f t="shared" si="482"/>
        <v>341.80861749933916</v>
      </c>
    </row>
    <row r="388" spans="1:107">
      <c r="B388" s="170"/>
      <c r="C388" s="197"/>
      <c r="D388" s="31"/>
      <c r="E388" s="31"/>
      <c r="F388" s="31"/>
      <c r="G388" s="31"/>
      <c r="H388" s="31"/>
      <c r="I388" s="31"/>
      <c r="J388" s="31"/>
      <c r="K388" s="31"/>
      <c r="L388" s="31"/>
      <c r="M388" s="199"/>
      <c r="N388" s="171"/>
      <c r="O388" s="171"/>
      <c r="P388" s="171"/>
      <c r="Q388" s="1636"/>
      <c r="R388" s="1636"/>
      <c r="S388" s="1636"/>
      <c r="T388" s="1636"/>
      <c r="U388" s="1636"/>
      <c r="V388" s="1636"/>
      <c r="W388" s="1636"/>
      <c r="X388" s="171"/>
      <c r="Y388" s="171"/>
      <c r="Z388" s="171"/>
      <c r="AA388" s="171"/>
      <c r="AB388" s="171"/>
      <c r="AC388" s="171"/>
      <c r="AD388" s="171"/>
      <c r="AE388" s="197"/>
      <c r="AF388" s="31"/>
      <c r="AG388" s="31"/>
      <c r="AH388" s="31"/>
      <c r="AI388" s="31"/>
      <c r="AJ388" s="31"/>
      <c r="AK388" s="31"/>
      <c r="AL388" s="31"/>
      <c r="AM388" s="31"/>
      <c r="AN388" s="31"/>
      <c r="AO388" s="31"/>
      <c r="AP388" s="31"/>
      <c r="AQ388" s="31"/>
      <c r="AR388" s="31"/>
      <c r="AS388" s="31"/>
      <c r="AT388" s="31"/>
      <c r="AU388" s="31"/>
      <c r="AV388" s="31"/>
      <c r="AW388" s="31"/>
      <c r="AX388" s="31"/>
      <c r="AY388" s="31"/>
      <c r="AZ388" s="31"/>
      <c r="BA388" s="31"/>
      <c r="BB388" s="31"/>
      <c r="BC388" s="31"/>
      <c r="BD388" s="32"/>
      <c r="BE388" s="32"/>
      <c r="BF388" s="32"/>
      <c r="BG388" s="32"/>
      <c r="BH388" s="32"/>
      <c r="BI388" s="32"/>
      <c r="BJ388" s="32"/>
      <c r="BK388" s="32"/>
      <c r="BL388" s="32"/>
      <c r="BM388" s="32"/>
      <c r="BN388" s="32"/>
      <c r="BO388" s="32"/>
      <c r="BP388" s="531"/>
      <c r="BQ388" s="531"/>
      <c r="BR388" s="531"/>
      <c r="BS388" s="531"/>
      <c r="BT388" s="531"/>
      <c r="BU388" s="531"/>
      <c r="BV388" s="531"/>
      <c r="BW388" s="531"/>
      <c r="BX388" s="531"/>
      <c r="BY388" s="171"/>
      <c r="BZ388" s="171"/>
      <c r="CA388" s="171"/>
      <c r="CB388" s="171"/>
      <c r="CC388" s="171"/>
      <c r="CD388" s="171"/>
      <c r="CE388" s="171"/>
      <c r="CF388" s="171"/>
      <c r="CG388" s="171"/>
      <c r="CH388" s="171"/>
      <c r="CI388" s="171"/>
      <c r="CJ388" s="171"/>
      <c r="CK388" s="171"/>
      <c r="CL388" s="171"/>
      <c r="CM388" s="171"/>
      <c r="CN388" s="171"/>
      <c r="CO388" s="171"/>
      <c r="CP388" s="171"/>
      <c r="CQ388" s="171"/>
      <c r="CR388" s="171"/>
      <c r="CS388" s="171"/>
      <c r="CT388" s="171"/>
      <c r="CU388" s="171"/>
      <c r="CV388" s="171"/>
      <c r="CW388" s="171"/>
      <c r="CX388" s="171"/>
      <c r="CY388" s="171"/>
      <c r="CZ388" s="171"/>
      <c r="DA388" s="171"/>
      <c r="DB388" s="171"/>
      <c r="DC388" s="171"/>
    </row>
    <row r="389" spans="1:107">
      <c r="A389" s="1225" t="s">
        <v>604</v>
      </c>
      <c r="B389" s="146" t="s">
        <v>248</v>
      </c>
      <c r="C389" s="157"/>
      <c r="D389" s="157"/>
      <c r="E389" s="157"/>
      <c r="F389" s="157"/>
      <c r="G389" s="157"/>
      <c r="H389" s="157"/>
      <c r="I389" s="157"/>
      <c r="J389" s="157"/>
      <c r="K389" s="157"/>
      <c r="L389" s="157"/>
      <c r="M389" s="157"/>
      <c r="N389" s="157"/>
      <c r="O389" s="157"/>
      <c r="P389" s="157">
        <f t="shared" ref="P389:Z389" si="483">P6</f>
        <v>2011</v>
      </c>
      <c r="Q389" s="157">
        <f t="shared" si="483"/>
        <v>2012</v>
      </c>
      <c r="R389" s="157">
        <f t="shared" si="483"/>
        <v>2013</v>
      </c>
      <c r="S389" s="157">
        <f t="shared" si="483"/>
        <v>2014</v>
      </c>
      <c r="T389" s="157">
        <f t="shared" si="483"/>
        <v>2015</v>
      </c>
      <c r="U389" s="157">
        <f t="shared" si="483"/>
        <v>2016</v>
      </c>
      <c r="V389" s="157">
        <f t="shared" si="483"/>
        <v>2017</v>
      </c>
      <c r="W389" s="157" t="str">
        <f t="shared" ref="W389" si="484">W6</f>
        <v>2018E</v>
      </c>
      <c r="X389" s="157" t="str">
        <f t="shared" si="483"/>
        <v>2019E</v>
      </c>
      <c r="Y389" s="157" t="str">
        <f t="shared" si="483"/>
        <v>2020E</v>
      </c>
      <c r="Z389" s="157" t="str">
        <f t="shared" si="483"/>
        <v>2021E</v>
      </c>
      <c r="AA389" s="157" t="str">
        <f t="shared" ref="AA389:AD389" si="485">AA6</f>
        <v>2022E</v>
      </c>
      <c r="AB389" s="157" t="str">
        <f t="shared" si="485"/>
        <v>2023E</v>
      </c>
      <c r="AC389" s="157" t="str">
        <f t="shared" si="485"/>
        <v>2024E</v>
      </c>
      <c r="AD389" s="157" t="str">
        <f t="shared" si="485"/>
        <v>2025E</v>
      </c>
      <c r="AE389" s="157"/>
      <c r="AF389" s="157" t="str">
        <f t="shared" ref="AF389:BK389" si="486">AF6</f>
        <v>1Q00</v>
      </c>
      <c r="AG389" s="157" t="str">
        <f t="shared" si="486"/>
        <v>2Q00</v>
      </c>
      <c r="AH389" s="157" t="str">
        <f t="shared" si="486"/>
        <v>3Q00</v>
      </c>
      <c r="AI389" s="157" t="str">
        <f t="shared" si="486"/>
        <v>4Q00</v>
      </c>
      <c r="AJ389" s="157" t="str">
        <f t="shared" si="486"/>
        <v>1Q01</v>
      </c>
      <c r="AK389" s="157" t="str">
        <f t="shared" si="486"/>
        <v>2Q01</v>
      </c>
      <c r="AL389" s="157" t="str">
        <f t="shared" si="486"/>
        <v>3Q01</v>
      </c>
      <c r="AM389" s="157" t="str">
        <f t="shared" si="486"/>
        <v>4Q01</v>
      </c>
      <c r="AN389" s="157" t="str">
        <f t="shared" si="486"/>
        <v>1Q02</v>
      </c>
      <c r="AO389" s="157" t="str">
        <f t="shared" si="486"/>
        <v>2Q02</v>
      </c>
      <c r="AP389" s="157" t="str">
        <f t="shared" si="486"/>
        <v>3Q02</v>
      </c>
      <c r="AQ389" s="157" t="str">
        <f t="shared" si="486"/>
        <v>4Q02</v>
      </c>
      <c r="AR389" s="157" t="str">
        <f t="shared" si="486"/>
        <v>1Q03</v>
      </c>
      <c r="AS389" s="157" t="str">
        <f t="shared" si="486"/>
        <v>2Q03</v>
      </c>
      <c r="AT389" s="157" t="str">
        <f t="shared" si="486"/>
        <v>3Q03</v>
      </c>
      <c r="AU389" s="157" t="str">
        <f t="shared" si="486"/>
        <v>4Q03</v>
      </c>
      <c r="AV389" s="157" t="str">
        <f t="shared" si="486"/>
        <v>1Q04</v>
      </c>
      <c r="AW389" s="157" t="str">
        <f t="shared" si="486"/>
        <v>2Q04</v>
      </c>
      <c r="AX389" s="157" t="str">
        <f t="shared" si="486"/>
        <v>3Q04</v>
      </c>
      <c r="AY389" s="157" t="str">
        <f t="shared" si="486"/>
        <v>4Q04</v>
      </c>
      <c r="AZ389" s="157" t="str">
        <f t="shared" si="486"/>
        <v>1Q05</v>
      </c>
      <c r="BA389" s="157" t="str">
        <f t="shared" si="486"/>
        <v>2Q05</v>
      </c>
      <c r="BB389" s="157" t="str">
        <f t="shared" si="486"/>
        <v>3Q05</v>
      </c>
      <c r="BC389" s="157" t="str">
        <f t="shared" si="486"/>
        <v>6Q05</v>
      </c>
      <c r="BD389" s="157" t="str">
        <f t="shared" si="486"/>
        <v>1Q06</v>
      </c>
      <c r="BE389" s="157" t="str">
        <f t="shared" si="486"/>
        <v>2Q06</v>
      </c>
      <c r="BF389" s="157" t="str">
        <f t="shared" si="486"/>
        <v>3Q06</v>
      </c>
      <c r="BG389" s="157" t="str">
        <f t="shared" si="486"/>
        <v>4Q06</v>
      </c>
      <c r="BH389" s="157" t="str">
        <f t="shared" si="486"/>
        <v>1Q07</v>
      </c>
      <c r="BI389" s="157" t="str">
        <f t="shared" si="486"/>
        <v>2Q07</v>
      </c>
      <c r="BJ389" s="157" t="str">
        <f t="shared" si="486"/>
        <v>3Q07</v>
      </c>
      <c r="BK389" s="157" t="str">
        <f t="shared" si="486"/>
        <v>4Q07</v>
      </c>
      <c r="BL389" s="157" t="str">
        <f t="shared" ref="BL389:CQ389" si="487">BL6</f>
        <v>1Q08</v>
      </c>
      <c r="BM389" s="157" t="str">
        <f t="shared" si="487"/>
        <v>2Q08</v>
      </c>
      <c r="BN389" s="157" t="str">
        <f t="shared" si="487"/>
        <v>3Q08</v>
      </c>
      <c r="BO389" s="157" t="str">
        <f t="shared" si="487"/>
        <v>4Q08</v>
      </c>
      <c r="BP389" s="157" t="str">
        <f t="shared" si="487"/>
        <v>1Q09</v>
      </c>
      <c r="BQ389" s="157" t="str">
        <f t="shared" si="487"/>
        <v>2Q09</v>
      </c>
      <c r="BR389" s="157" t="str">
        <f t="shared" si="487"/>
        <v>3Q09</v>
      </c>
      <c r="BS389" s="157" t="str">
        <f t="shared" si="487"/>
        <v>4Q09</v>
      </c>
      <c r="BT389" s="157" t="str">
        <f t="shared" si="487"/>
        <v>1Q10</v>
      </c>
      <c r="BU389" s="157" t="str">
        <f t="shared" si="487"/>
        <v>2Q10</v>
      </c>
      <c r="BV389" s="157" t="str">
        <f t="shared" si="487"/>
        <v>3Q10</v>
      </c>
      <c r="BW389" s="157" t="str">
        <f t="shared" si="487"/>
        <v>4Q10</v>
      </c>
      <c r="BX389" s="157" t="str">
        <f t="shared" si="487"/>
        <v>1Q11</v>
      </c>
      <c r="BY389" s="157" t="str">
        <f t="shared" si="487"/>
        <v>2Q11</v>
      </c>
      <c r="BZ389" s="157" t="str">
        <f t="shared" si="487"/>
        <v>3Q11</v>
      </c>
      <c r="CA389" s="157" t="str">
        <f t="shared" si="487"/>
        <v>4Q11</v>
      </c>
      <c r="CB389" s="157" t="str">
        <f t="shared" si="487"/>
        <v>1Q12</v>
      </c>
      <c r="CC389" s="157" t="str">
        <f t="shared" si="487"/>
        <v>2Q12</v>
      </c>
      <c r="CD389" s="157" t="str">
        <f t="shared" si="487"/>
        <v>3Q12</v>
      </c>
      <c r="CE389" s="157" t="str">
        <f t="shared" si="487"/>
        <v>4Q12</v>
      </c>
      <c r="CF389" s="157" t="str">
        <f t="shared" si="487"/>
        <v>1Q13</v>
      </c>
      <c r="CG389" s="157" t="str">
        <f t="shared" si="487"/>
        <v>2Q13</v>
      </c>
      <c r="CH389" s="157" t="str">
        <f t="shared" si="487"/>
        <v>3Q13</v>
      </c>
      <c r="CI389" s="157" t="str">
        <f t="shared" si="487"/>
        <v>4Q13</v>
      </c>
      <c r="CJ389" s="157" t="str">
        <f t="shared" si="487"/>
        <v>1Q14</v>
      </c>
      <c r="CK389" s="157" t="str">
        <f t="shared" si="487"/>
        <v>2Q14</v>
      </c>
      <c r="CL389" s="157" t="str">
        <f t="shared" si="487"/>
        <v>3Q14</v>
      </c>
      <c r="CM389" s="157" t="str">
        <f t="shared" si="487"/>
        <v>4Q14</v>
      </c>
      <c r="CN389" s="157" t="str">
        <f t="shared" si="487"/>
        <v>1Q15</v>
      </c>
      <c r="CO389" s="157" t="str">
        <f t="shared" si="487"/>
        <v>2Q15</v>
      </c>
      <c r="CP389" s="157" t="str">
        <f t="shared" si="487"/>
        <v>3Q15</v>
      </c>
      <c r="CQ389" s="157" t="str">
        <f t="shared" si="487"/>
        <v>4Q15</v>
      </c>
      <c r="CR389" s="157" t="str">
        <f t="shared" ref="CR389:CY389" si="488">CR6</f>
        <v>1Q16</v>
      </c>
      <c r="CS389" s="157" t="str">
        <f t="shared" si="488"/>
        <v>2Q16</v>
      </c>
      <c r="CT389" s="157" t="str">
        <f t="shared" si="488"/>
        <v>3Q16</v>
      </c>
      <c r="CU389" s="157" t="str">
        <f t="shared" si="488"/>
        <v>4Q16</v>
      </c>
      <c r="CV389" s="157" t="str">
        <f>CV6</f>
        <v>1Q17</v>
      </c>
      <c r="CW389" s="157" t="str">
        <f t="shared" si="488"/>
        <v>2Q17</v>
      </c>
      <c r="CX389" s="157" t="str">
        <f t="shared" si="488"/>
        <v>3Q17</v>
      </c>
      <c r="CY389" s="157" t="str">
        <f t="shared" si="488"/>
        <v>4Q17</v>
      </c>
      <c r="CZ389" s="157" t="str">
        <f t="shared" ref="CZ389:DC389" si="489">CZ6</f>
        <v>1Q18E</v>
      </c>
      <c r="DA389" s="157" t="str">
        <f t="shared" si="489"/>
        <v>2Q18E</v>
      </c>
      <c r="DB389" s="157" t="str">
        <f t="shared" si="489"/>
        <v>3Q18E</v>
      </c>
      <c r="DC389" s="157" t="str">
        <f t="shared" si="489"/>
        <v>4Q18E</v>
      </c>
    </row>
    <row r="390" spans="1:107" ht="12.75" customHeight="1">
      <c r="B390" s="107" t="s">
        <v>632</v>
      </c>
      <c r="C390" s="23"/>
      <c r="D390" s="15"/>
      <c r="E390" s="15"/>
      <c r="F390" s="15"/>
      <c r="G390" s="15"/>
      <c r="H390" s="15"/>
      <c r="I390" s="15"/>
      <c r="J390" s="15"/>
      <c r="K390" s="15"/>
      <c r="L390" s="23"/>
      <c r="M390" s="54"/>
      <c r="N390" s="46"/>
      <c r="O390" s="46"/>
      <c r="P390" s="68"/>
      <c r="Q390" s="68"/>
      <c r="R390" s="68"/>
      <c r="S390" s="68"/>
      <c r="T390" s="68"/>
      <c r="U390" s="68"/>
      <c r="V390" s="68"/>
      <c r="W390" s="68"/>
      <c r="X390" s="805"/>
      <c r="Y390" s="805"/>
      <c r="Z390" s="805"/>
      <c r="AA390" s="805"/>
      <c r="AB390" s="805"/>
      <c r="AC390" s="805"/>
      <c r="AD390" s="805"/>
      <c r="AE390" s="23"/>
      <c r="AF390" s="23"/>
      <c r="AG390" s="23"/>
      <c r="AH390" s="23"/>
      <c r="AI390" s="23"/>
      <c r="AJ390" s="23"/>
      <c r="AK390" s="23"/>
      <c r="AL390" s="23"/>
      <c r="AM390" s="23"/>
      <c r="AN390" s="23"/>
      <c r="AO390" s="23"/>
      <c r="AP390" s="23"/>
      <c r="AQ390" s="23"/>
      <c r="AR390" s="23"/>
      <c r="AS390" s="23"/>
      <c r="AT390" s="23"/>
      <c r="AU390" s="23"/>
      <c r="AV390" s="23"/>
      <c r="AW390" s="23"/>
      <c r="AX390" s="23"/>
      <c r="AY390" s="23"/>
      <c r="AZ390" s="23"/>
      <c r="BA390" s="23"/>
      <c r="BB390" s="23"/>
      <c r="BC390" s="23"/>
      <c r="BD390" s="36"/>
      <c r="BE390" s="36"/>
      <c r="BF390" s="36"/>
      <c r="BG390" s="36"/>
      <c r="BH390" s="46"/>
      <c r="BI390" s="46"/>
      <c r="BJ390" s="46"/>
      <c r="BK390" s="46"/>
      <c r="BL390" s="46"/>
      <c r="BM390" s="46"/>
      <c r="BN390" s="46"/>
      <c r="BO390" s="46"/>
      <c r="BP390" s="46"/>
      <c r="BQ390" s="46"/>
      <c r="BR390" s="46"/>
      <c r="BS390" s="46"/>
      <c r="BT390" s="46"/>
      <c r="BU390" s="46"/>
      <c r="BV390" s="14"/>
      <c r="BW390" s="14"/>
      <c r="BX390" s="14"/>
      <c r="BY390" s="14"/>
      <c r="BZ390" s="14"/>
      <c r="CA390" s="14"/>
      <c r="CB390" s="14"/>
      <c r="CC390" s="14"/>
      <c r="CD390" s="14"/>
      <c r="CE390" s="14"/>
      <c r="CF390" s="14"/>
      <c r="CG390" s="14"/>
      <c r="CH390" s="14"/>
      <c r="CI390" s="14"/>
      <c r="CJ390" s="14"/>
      <c r="CK390" s="14"/>
      <c r="CL390" s="14"/>
      <c r="CM390" s="14"/>
      <c r="CN390" s="14"/>
      <c r="CO390" s="14"/>
      <c r="CP390" s="14"/>
      <c r="CQ390" s="14"/>
      <c r="CR390" s="14"/>
      <c r="CS390" s="14"/>
      <c r="CT390" s="14"/>
      <c r="CU390" s="14"/>
      <c r="CV390" s="14"/>
      <c r="CW390" s="14"/>
      <c r="CX390" s="14"/>
      <c r="CY390" s="14"/>
      <c r="CZ390" s="14"/>
      <c r="DA390" s="14"/>
      <c r="DB390" s="14"/>
      <c r="DC390" s="14"/>
    </row>
    <row r="391" spans="1:107" ht="12.75" customHeight="1">
      <c r="B391" s="107"/>
      <c r="C391" s="23"/>
      <c r="D391" s="15"/>
      <c r="E391" s="15"/>
      <c r="F391" s="15"/>
      <c r="G391" s="15"/>
      <c r="H391" s="15"/>
      <c r="I391" s="15"/>
      <c r="J391" s="15"/>
      <c r="K391" s="15"/>
      <c r="L391" s="23"/>
      <c r="M391" s="54"/>
      <c r="N391" s="46"/>
      <c r="O391" s="46"/>
      <c r="P391" s="68"/>
      <c r="Q391" s="68"/>
      <c r="R391" s="68"/>
      <c r="S391" s="68"/>
      <c r="T391" s="68"/>
      <c r="U391" s="68"/>
      <c r="V391" s="68"/>
      <c r="W391" s="68"/>
      <c r="X391" s="805"/>
      <c r="Y391" s="805"/>
      <c r="Z391" s="805"/>
      <c r="AA391" s="805"/>
      <c r="AB391" s="805"/>
      <c r="AC391" s="805"/>
      <c r="AD391" s="805"/>
      <c r="AE391" s="23"/>
      <c r="AF391" s="23"/>
      <c r="AG391" s="23"/>
      <c r="AH391" s="23"/>
      <c r="AI391" s="23"/>
      <c r="AJ391" s="23"/>
      <c r="AK391" s="23"/>
      <c r="AL391" s="23"/>
      <c r="AM391" s="23"/>
      <c r="AN391" s="23"/>
      <c r="AO391" s="23"/>
      <c r="AP391" s="23"/>
      <c r="AQ391" s="23"/>
      <c r="AR391" s="23"/>
      <c r="AS391" s="23"/>
      <c r="AT391" s="23"/>
      <c r="AU391" s="23"/>
      <c r="AV391" s="23"/>
      <c r="AW391" s="23"/>
      <c r="AX391" s="23"/>
      <c r="AY391" s="23"/>
      <c r="AZ391" s="23"/>
      <c r="BA391" s="23"/>
      <c r="BB391" s="23"/>
      <c r="BC391" s="23"/>
      <c r="BD391" s="36"/>
      <c r="BE391" s="36"/>
      <c r="BF391" s="36"/>
      <c r="BG391" s="36"/>
      <c r="BH391" s="46"/>
      <c r="BI391" s="46"/>
      <c r="BJ391" s="46"/>
      <c r="BK391" s="46"/>
      <c r="BL391" s="46"/>
      <c r="BM391" s="46"/>
      <c r="BN391" s="46"/>
      <c r="BO391" s="46"/>
      <c r="BP391" s="46"/>
      <c r="BQ391" s="46"/>
      <c r="BR391" s="46"/>
      <c r="BS391" s="46"/>
      <c r="BT391" s="46"/>
      <c r="BU391" s="46"/>
      <c r="BV391" s="14"/>
      <c r="BW391" s="14"/>
      <c r="BX391" s="14"/>
      <c r="BY391" s="14"/>
      <c r="BZ391" s="14"/>
      <c r="CA391" s="14"/>
      <c r="CB391" s="14"/>
      <c r="CC391" s="14"/>
      <c r="CD391" s="14"/>
      <c r="CE391" s="14"/>
      <c r="CF391" s="14"/>
      <c r="CG391" s="14"/>
      <c r="CH391" s="14"/>
      <c r="CI391" s="14"/>
      <c r="CJ391" s="14"/>
      <c r="CK391" s="14"/>
      <c r="CL391" s="14"/>
      <c r="CM391" s="14"/>
      <c r="CN391" s="14"/>
      <c r="CO391" s="14"/>
      <c r="CP391" s="14"/>
      <c r="CQ391" s="14"/>
      <c r="CR391" s="14"/>
      <c r="CS391" s="14"/>
      <c r="CT391" s="14"/>
      <c r="CU391" s="14"/>
      <c r="CV391" s="14"/>
      <c r="CW391" s="14"/>
      <c r="CX391" s="14"/>
      <c r="CY391" s="14"/>
      <c r="CZ391" s="14"/>
      <c r="DA391" s="14"/>
      <c r="DB391" s="14"/>
      <c r="DC391" s="14"/>
    </row>
    <row r="392" spans="1:107" s="247" customFormat="1" ht="12.75" hidden="1" customHeight="1" outlineLevel="1">
      <c r="B392" s="1089" t="s">
        <v>186</v>
      </c>
      <c r="C392" s="16"/>
      <c r="D392" s="16"/>
      <c r="E392" s="16"/>
      <c r="F392" s="16"/>
      <c r="G392" s="16"/>
      <c r="H392" s="16"/>
      <c r="I392" s="16"/>
      <c r="J392" s="16"/>
      <c r="K392" s="16"/>
      <c r="L392" s="16"/>
      <c r="M392" s="809"/>
      <c r="N392" s="46"/>
      <c r="O392" s="46"/>
      <c r="P392" s="68"/>
      <c r="Q392" s="68"/>
      <c r="R392" s="68"/>
      <c r="S392" s="68"/>
      <c r="T392" s="68"/>
      <c r="U392" s="68"/>
      <c r="V392" s="68"/>
      <c r="W392" s="68"/>
      <c r="X392" s="805"/>
      <c r="Y392" s="805"/>
      <c r="Z392" s="805"/>
      <c r="AA392" s="805"/>
      <c r="AB392" s="805"/>
      <c r="AC392" s="805"/>
      <c r="AD392" s="805"/>
      <c r="AE392" s="16"/>
      <c r="AF392" s="16"/>
      <c r="AG392" s="16"/>
      <c r="AH392" s="16"/>
      <c r="AI392" s="16"/>
      <c r="AJ392" s="16"/>
      <c r="AK392" s="16"/>
      <c r="AL392" s="16"/>
      <c r="AM392" s="16"/>
      <c r="AN392" s="16"/>
      <c r="AO392" s="16"/>
      <c r="AP392" s="16"/>
      <c r="AQ392" s="16"/>
      <c r="AR392" s="16"/>
      <c r="AS392" s="16"/>
      <c r="AT392" s="16"/>
      <c r="AU392" s="16"/>
      <c r="AV392" s="16"/>
      <c r="AW392" s="16"/>
      <c r="AX392" s="16"/>
      <c r="AY392" s="16"/>
      <c r="AZ392" s="16"/>
      <c r="BA392" s="16"/>
      <c r="BB392" s="16"/>
      <c r="BC392" s="16"/>
      <c r="BD392" s="1094"/>
      <c r="BE392" s="1094"/>
      <c r="BF392" s="1094"/>
      <c r="BG392" s="1094"/>
      <c r="BH392" s="46"/>
      <c r="BI392" s="46"/>
      <c r="BJ392" s="46"/>
      <c r="BK392" s="46"/>
      <c r="BL392" s="46"/>
      <c r="BM392" s="46"/>
      <c r="BN392" s="46"/>
      <c r="BO392" s="46"/>
      <c r="BP392" s="46"/>
      <c r="BQ392" s="46"/>
      <c r="BR392" s="46"/>
      <c r="BS392" s="46"/>
      <c r="BT392" s="46"/>
      <c r="BU392" s="46"/>
      <c r="BV392" s="14"/>
      <c r="BW392" s="14"/>
      <c r="BX392" s="14"/>
      <c r="BY392" s="14"/>
      <c r="BZ392" s="14"/>
      <c r="CA392" s="14"/>
      <c r="CB392" s="14"/>
      <c r="CC392" s="14"/>
      <c r="CD392" s="14"/>
      <c r="CE392" s="14"/>
      <c r="CF392" s="14"/>
      <c r="CG392" s="14"/>
      <c r="CH392" s="14"/>
      <c r="CI392" s="14"/>
      <c r="CJ392" s="14"/>
      <c r="CK392" s="14"/>
      <c r="CL392" s="14"/>
      <c r="CM392" s="14"/>
      <c r="CN392" s="14"/>
      <c r="CO392" s="14"/>
      <c r="CP392" s="14"/>
      <c r="CQ392" s="14"/>
      <c r="CR392" s="14"/>
      <c r="CS392" s="14"/>
      <c r="CT392" s="14"/>
      <c r="CU392" s="14"/>
      <c r="CV392" s="14"/>
      <c r="CW392" s="14"/>
      <c r="CX392" s="14"/>
      <c r="CY392" s="14"/>
      <c r="CZ392" s="14"/>
      <c r="DA392" s="14"/>
      <c r="DB392" s="14"/>
      <c r="DC392" s="14"/>
    </row>
    <row r="393" spans="1:107" s="247" customFormat="1" ht="12.75" hidden="1" customHeight="1" outlineLevel="1">
      <c r="B393" s="1090" t="s">
        <v>608</v>
      </c>
      <c r="C393" s="16"/>
      <c r="D393" s="16"/>
      <c r="E393" s="16"/>
      <c r="F393" s="16"/>
      <c r="G393" s="16"/>
      <c r="H393" s="16"/>
      <c r="I393" s="16"/>
      <c r="J393" s="16"/>
      <c r="K393" s="16"/>
      <c r="L393" s="16"/>
      <c r="M393" s="809"/>
      <c r="N393" s="46"/>
      <c r="O393" s="46"/>
      <c r="P393" s="68"/>
      <c r="Q393" s="68"/>
      <c r="R393" s="68"/>
      <c r="S393" s="68"/>
      <c r="T393" s="68"/>
      <c r="U393" s="68"/>
      <c r="V393" s="68"/>
      <c r="W393" s="68"/>
      <c r="X393" s="805"/>
      <c r="Y393" s="805"/>
      <c r="Z393" s="805"/>
      <c r="AA393" s="805"/>
      <c r="AB393" s="805"/>
      <c r="AC393" s="805"/>
      <c r="AD393" s="805"/>
      <c r="AE393" s="16"/>
      <c r="AF393" s="16"/>
      <c r="AG393" s="16"/>
      <c r="AH393" s="16"/>
      <c r="AI393" s="16"/>
      <c r="AJ393" s="16"/>
      <c r="AK393" s="16"/>
      <c r="AL393" s="16"/>
      <c r="AM393" s="16"/>
      <c r="AN393" s="16"/>
      <c r="AO393" s="16"/>
      <c r="AP393" s="16"/>
      <c r="AQ393" s="16"/>
      <c r="AR393" s="16"/>
      <c r="AS393" s="16"/>
      <c r="AT393" s="16"/>
      <c r="AU393" s="16"/>
      <c r="AV393" s="16"/>
      <c r="AW393" s="16"/>
      <c r="AX393" s="16"/>
      <c r="AY393" s="16"/>
      <c r="AZ393" s="16"/>
      <c r="BA393" s="16"/>
      <c r="BB393" s="16"/>
      <c r="BC393" s="16"/>
      <c r="BD393" s="1094"/>
      <c r="BE393" s="1094"/>
      <c r="BF393" s="1094"/>
      <c r="BG393" s="1094"/>
      <c r="BH393" s="46"/>
      <c r="BI393" s="46"/>
      <c r="BJ393" s="46"/>
      <c r="BK393" s="46"/>
      <c r="BL393" s="46"/>
      <c r="BM393" s="46"/>
      <c r="BN393" s="46"/>
      <c r="BO393" s="46"/>
      <c r="BP393" s="46"/>
      <c r="BQ393" s="46"/>
      <c r="BR393" s="46"/>
      <c r="BS393" s="46"/>
      <c r="BT393" s="46"/>
      <c r="BU393" s="1095">
        <v>989.03733926142831</v>
      </c>
      <c r="BV393" s="14"/>
      <c r="BW393" s="14"/>
      <c r="BX393" s="14"/>
      <c r="BY393" s="14"/>
      <c r="BZ393" s="14"/>
      <c r="CA393" s="14"/>
      <c r="CB393" s="14"/>
      <c r="CC393" s="14"/>
      <c r="CD393" s="14"/>
      <c r="CE393" s="14"/>
      <c r="CF393" s="14"/>
      <c r="CG393" s="14"/>
      <c r="CH393" s="14"/>
      <c r="CI393" s="14"/>
      <c r="CJ393" s="14"/>
      <c r="CK393" s="14"/>
      <c r="CL393" s="14"/>
      <c r="CM393" s="14"/>
      <c r="CN393" s="14"/>
      <c r="CO393" s="14"/>
      <c r="CP393" s="14"/>
      <c r="CQ393" s="14"/>
      <c r="CR393" s="14"/>
      <c r="CS393" s="14"/>
      <c r="CT393" s="14"/>
      <c r="CU393" s="14"/>
      <c r="CV393" s="14"/>
      <c r="CW393" s="14"/>
      <c r="CX393" s="14"/>
      <c r="CY393" s="14"/>
      <c r="CZ393" s="14"/>
      <c r="DA393" s="14"/>
      <c r="DB393" s="14"/>
      <c r="DC393" s="14"/>
    </row>
    <row r="394" spans="1:107" s="247" customFormat="1" ht="12.75" hidden="1" customHeight="1" outlineLevel="1">
      <c r="B394" s="1090" t="s">
        <v>624</v>
      </c>
      <c r="C394" s="16"/>
      <c r="D394" s="16"/>
      <c r="E394" s="16"/>
      <c r="F394" s="16"/>
      <c r="G394" s="16"/>
      <c r="H394" s="16"/>
      <c r="I394" s="16"/>
      <c r="J394" s="16"/>
      <c r="K394" s="16"/>
      <c r="L394" s="16"/>
      <c r="M394" s="809"/>
      <c r="N394" s="46"/>
      <c r="O394" s="46"/>
      <c r="P394" s="68"/>
      <c r="Q394" s="68"/>
      <c r="R394" s="68"/>
      <c r="S394" s="68"/>
      <c r="T394" s="68"/>
      <c r="U394" s="68"/>
      <c r="V394" s="68"/>
      <c r="W394" s="68"/>
      <c r="X394" s="805"/>
      <c r="Y394" s="805"/>
      <c r="Z394" s="805"/>
      <c r="AA394" s="805"/>
      <c r="AB394" s="805"/>
      <c r="AC394" s="805"/>
      <c r="AD394" s="805"/>
      <c r="AE394" s="16"/>
      <c r="AF394" s="16"/>
      <c r="AG394" s="16"/>
      <c r="AH394" s="16"/>
      <c r="AI394" s="16"/>
      <c r="AJ394" s="16"/>
      <c r="AK394" s="16"/>
      <c r="AL394" s="16"/>
      <c r="AM394" s="16"/>
      <c r="AN394" s="16"/>
      <c r="AO394" s="16"/>
      <c r="AP394" s="16"/>
      <c r="AQ394" s="16"/>
      <c r="AR394" s="16"/>
      <c r="AS394" s="16"/>
      <c r="AT394" s="16"/>
      <c r="AU394" s="16"/>
      <c r="AV394" s="16"/>
      <c r="AW394" s="16"/>
      <c r="AX394" s="16"/>
      <c r="AY394" s="16"/>
      <c r="AZ394" s="16"/>
      <c r="BA394" s="16"/>
      <c r="BB394" s="16"/>
      <c r="BC394" s="16"/>
      <c r="BD394" s="1094"/>
      <c r="BE394" s="1094"/>
      <c r="BF394" s="1094"/>
      <c r="BG394" s="1094"/>
      <c r="BH394" s="46"/>
      <c r="BI394" s="46"/>
      <c r="BJ394" s="46"/>
      <c r="BK394" s="46"/>
      <c r="BL394" s="46"/>
      <c r="BM394" s="46"/>
      <c r="BN394" s="46"/>
      <c r="BO394" s="46"/>
      <c r="BP394" s="46"/>
      <c r="BQ394" s="46"/>
      <c r="BR394" s="46"/>
      <c r="BS394" s="46"/>
      <c r="BT394" s="46"/>
      <c r="BU394" s="1095">
        <v>877.83124570347024</v>
      </c>
      <c r="BV394" s="14"/>
      <c r="BW394" s="14"/>
      <c r="BX394" s="14"/>
      <c r="BY394" s="14"/>
      <c r="BZ394" s="14"/>
      <c r="CA394" s="14"/>
      <c r="CB394" s="14"/>
      <c r="CC394" s="14"/>
      <c r="CD394" s="14"/>
      <c r="CE394" s="14"/>
      <c r="CF394" s="14"/>
      <c r="CG394" s="14"/>
      <c r="CH394" s="14"/>
      <c r="CI394" s="14"/>
      <c r="CJ394" s="14"/>
      <c r="CK394" s="14"/>
      <c r="CL394" s="14"/>
      <c r="CM394" s="14"/>
      <c r="CN394" s="14"/>
      <c r="CO394" s="14"/>
      <c r="CP394" s="14"/>
      <c r="CQ394" s="14"/>
      <c r="CR394" s="14"/>
      <c r="CS394" s="14"/>
      <c r="CT394" s="14"/>
      <c r="CU394" s="14"/>
      <c r="CV394" s="14"/>
      <c r="CW394" s="14"/>
      <c r="CX394" s="14"/>
      <c r="CY394" s="14"/>
      <c r="CZ394" s="14"/>
      <c r="DA394" s="14"/>
      <c r="DB394" s="14"/>
      <c r="DC394" s="14"/>
    </row>
    <row r="395" spans="1:107" s="247" customFormat="1" ht="12.75" hidden="1" customHeight="1" outlineLevel="1">
      <c r="B395" s="1090"/>
      <c r="C395" s="16"/>
      <c r="D395" s="16"/>
      <c r="E395" s="16"/>
      <c r="F395" s="16"/>
      <c r="G395" s="16"/>
      <c r="H395" s="16"/>
      <c r="I395" s="16"/>
      <c r="J395" s="16"/>
      <c r="K395" s="16"/>
      <c r="L395" s="16"/>
      <c r="M395" s="809"/>
      <c r="N395" s="46"/>
      <c r="O395" s="46"/>
      <c r="P395" s="68"/>
      <c r="Q395" s="68"/>
      <c r="R395" s="68"/>
      <c r="S395" s="68"/>
      <c r="T395" s="68"/>
      <c r="U395" s="68"/>
      <c r="V395" s="68"/>
      <c r="W395" s="68"/>
      <c r="X395" s="805"/>
      <c r="Y395" s="805"/>
      <c r="Z395" s="805"/>
      <c r="AA395" s="805"/>
      <c r="AB395" s="805"/>
      <c r="AC395" s="805"/>
      <c r="AD395" s="805"/>
      <c r="AE395" s="16"/>
      <c r="AF395" s="16"/>
      <c r="AG395" s="16"/>
      <c r="AH395" s="16"/>
      <c r="AI395" s="16"/>
      <c r="AJ395" s="16"/>
      <c r="AK395" s="16"/>
      <c r="AL395" s="16"/>
      <c r="AM395" s="16"/>
      <c r="AN395" s="16"/>
      <c r="AO395" s="16"/>
      <c r="AP395" s="16"/>
      <c r="AQ395" s="16"/>
      <c r="AR395" s="16"/>
      <c r="AS395" s="16"/>
      <c r="AT395" s="16"/>
      <c r="AU395" s="16"/>
      <c r="AV395" s="16"/>
      <c r="AW395" s="16"/>
      <c r="AX395" s="16"/>
      <c r="AY395" s="16"/>
      <c r="AZ395" s="16"/>
      <c r="BA395" s="16"/>
      <c r="BB395" s="16"/>
      <c r="BC395" s="16"/>
      <c r="BD395" s="1094"/>
      <c r="BE395" s="1094"/>
      <c r="BF395" s="1094"/>
      <c r="BG395" s="1094"/>
      <c r="BH395" s="46"/>
      <c r="BI395" s="46"/>
      <c r="BJ395" s="46"/>
      <c r="BK395" s="46"/>
      <c r="BL395" s="46"/>
      <c r="BM395" s="46"/>
      <c r="BN395" s="46"/>
      <c r="BO395" s="46"/>
      <c r="BP395" s="46"/>
      <c r="BQ395" s="46"/>
      <c r="BR395" s="46"/>
      <c r="BS395" s="46"/>
      <c r="BT395" s="46"/>
      <c r="BU395" s="1095"/>
      <c r="BV395" s="14"/>
      <c r="BW395" s="14"/>
      <c r="BX395" s="14"/>
      <c r="BY395" s="14"/>
      <c r="BZ395" s="14"/>
      <c r="CA395" s="14"/>
      <c r="CB395" s="14"/>
      <c r="CC395" s="14"/>
      <c r="CD395" s="14"/>
      <c r="CE395" s="14"/>
      <c r="CF395" s="14"/>
      <c r="CG395" s="14"/>
      <c r="CH395" s="14"/>
      <c r="CI395" s="14"/>
      <c r="CJ395" s="14"/>
      <c r="CK395" s="14"/>
      <c r="CL395" s="14"/>
      <c r="CM395" s="14"/>
      <c r="CN395" s="14"/>
      <c r="CO395" s="14"/>
      <c r="CP395" s="14"/>
      <c r="CQ395" s="14"/>
      <c r="CR395" s="14"/>
      <c r="CS395" s="14"/>
      <c r="CT395" s="14"/>
      <c r="CU395" s="14"/>
      <c r="CV395" s="14"/>
      <c r="CW395" s="14"/>
      <c r="CX395" s="14"/>
      <c r="CY395" s="14"/>
      <c r="CZ395" s="14"/>
      <c r="DA395" s="14"/>
      <c r="DB395" s="14"/>
      <c r="DC395" s="14"/>
    </row>
    <row r="396" spans="1:107" s="247" customFormat="1" ht="12.75" hidden="1" customHeight="1" outlineLevel="1">
      <c r="B396" s="1089" t="s">
        <v>185</v>
      </c>
      <c r="C396" s="16"/>
      <c r="D396" s="16"/>
      <c r="E396" s="16"/>
      <c r="F396" s="16"/>
      <c r="G396" s="16"/>
      <c r="H396" s="16"/>
      <c r="I396" s="16"/>
      <c r="J396" s="16"/>
      <c r="K396" s="16"/>
      <c r="L396" s="16"/>
      <c r="M396" s="809"/>
      <c r="N396" s="46"/>
      <c r="O396" s="46"/>
      <c r="P396" s="68"/>
      <c r="Q396" s="68"/>
      <c r="R396" s="68"/>
      <c r="S396" s="68"/>
      <c r="T396" s="68"/>
      <c r="U396" s="68"/>
      <c r="V396" s="68"/>
      <c r="W396" s="68"/>
      <c r="X396" s="805"/>
      <c r="Y396" s="805"/>
      <c r="Z396" s="805"/>
      <c r="AA396" s="805"/>
      <c r="AB396" s="805"/>
      <c r="AC396" s="805"/>
      <c r="AD396" s="805"/>
      <c r="AE396" s="16"/>
      <c r="AF396" s="16"/>
      <c r="AG396" s="16"/>
      <c r="AH396" s="16"/>
      <c r="AI396" s="16"/>
      <c r="AJ396" s="16"/>
      <c r="AK396" s="16"/>
      <c r="AL396" s="16"/>
      <c r="AM396" s="16"/>
      <c r="AN396" s="16"/>
      <c r="AO396" s="16"/>
      <c r="AP396" s="16"/>
      <c r="AQ396" s="16"/>
      <c r="AR396" s="16"/>
      <c r="AS396" s="16"/>
      <c r="AT396" s="16"/>
      <c r="AU396" s="16"/>
      <c r="AV396" s="16"/>
      <c r="AW396" s="16"/>
      <c r="AX396" s="16"/>
      <c r="AY396" s="16"/>
      <c r="AZ396" s="16"/>
      <c r="BA396" s="16"/>
      <c r="BB396" s="16"/>
      <c r="BC396" s="16"/>
      <c r="BD396" s="1094"/>
      <c r="BE396" s="1094"/>
      <c r="BF396" s="1094"/>
      <c r="BG396" s="1094"/>
      <c r="BH396" s="46"/>
      <c r="BI396" s="46"/>
      <c r="BJ396" s="46"/>
      <c r="BK396" s="46"/>
      <c r="BL396" s="46"/>
      <c r="BM396" s="46"/>
      <c r="BN396" s="46"/>
      <c r="BO396" s="46"/>
      <c r="BP396" s="46"/>
      <c r="BQ396" s="46"/>
      <c r="BR396" s="46"/>
      <c r="BS396" s="46"/>
      <c r="BT396" s="46"/>
      <c r="BU396" s="1095"/>
      <c r="BV396" s="14"/>
      <c r="BW396" s="14"/>
      <c r="BX396" s="14"/>
      <c r="BY396" s="14"/>
      <c r="BZ396" s="14"/>
      <c r="CA396" s="14"/>
      <c r="CB396" s="14"/>
      <c r="CC396" s="14"/>
      <c r="CD396" s="14"/>
      <c r="CE396" s="14"/>
      <c r="CF396" s="14"/>
      <c r="CG396" s="14"/>
      <c r="CH396" s="14"/>
      <c r="CI396" s="14"/>
      <c r="CJ396" s="14"/>
      <c r="CK396" s="14"/>
      <c r="CL396" s="14"/>
      <c r="CM396" s="14"/>
      <c r="CN396" s="14"/>
      <c r="CO396" s="14"/>
      <c r="CP396" s="14"/>
      <c r="CQ396" s="14"/>
      <c r="CR396" s="14"/>
      <c r="CS396" s="14"/>
      <c r="CT396" s="14"/>
      <c r="CU396" s="14"/>
      <c r="CV396" s="14"/>
      <c r="CW396" s="14"/>
      <c r="CX396" s="14"/>
      <c r="CY396" s="14"/>
      <c r="CZ396" s="14"/>
      <c r="DA396" s="14"/>
      <c r="DB396" s="14"/>
      <c r="DC396" s="14"/>
    </row>
    <row r="397" spans="1:107" s="247" customFormat="1" ht="12.75" hidden="1" customHeight="1" outlineLevel="1">
      <c r="B397" s="1090" t="s">
        <v>625</v>
      </c>
      <c r="C397" s="16"/>
      <c r="D397" s="16"/>
      <c r="E397" s="16"/>
      <c r="F397" s="16"/>
      <c r="G397" s="16"/>
      <c r="H397" s="16"/>
      <c r="I397" s="16"/>
      <c r="J397" s="16"/>
      <c r="K397" s="16"/>
      <c r="L397" s="16"/>
      <c r="M397" s="809"/>
      <c r="N397" s="46"/>
      <c r="O397" s="46"/>
      <c r="P397" s="68"/>
      <c r="Q397" s="68"/>
      <c r="R397" s="68"/>
      <c r="S397" s="68"/>
      <c r="T397" s="68"/>
      <c r="U397" s="68"/>
      <c r="V397" s="68"/>
      <c r="W397" s="68"/>
      <c r="X397" s="805"/>
      <c r="Y397" s="805"/>
      <c r="Z397" s="805"/>
      <c r="AA397" s="805"/>
      <c r="AB397" s="805"/>
      <c r="AC397" s="805"/>
      <c r="AD397" s="805"/>
      <c r="AE397" s="16"/>
      <c r="AF397" s="16"/>
      <c r="AG397" s="16"/>
      <c r="AH397" s="16"/>
      <c r="AI397" s="16"/>
      <c r="AJ397" s="16"/>
      <c r="AK397" s="16"/>
      <c r="AL397" s="16"/>
      <c r="AM397" s="16"/>
      <c r="AN397" s="16"/>
      <c r="AO397" s="16"/>
      <c r="AP397" s="16"/>
      <c r="AQ397" s="16"/>
      <c r="AR397" s="16"/>
      <c r="AS397" s="16"/>
      <c r="AT397" s="16"/>
      <c r="AU397" s="16"/>
      <c r="AV397" s="16"/>
      <c r="AW397" s="16"/>
      <c r="AX397" s="16"/>
      <c r="AY397" s="16"/>
      <c r="AZ397" s="16"/>
      <c r="BA397" s="16"/>
      <c r="BB397" s="16"/>
      <c r="BC397" s="16"/>
      <c r="BD397" s="1094"/>
      <c r="BE397" s="1094"/>
      <c r="BF397" s="1094"/>
      <c r="BG397" s="1094"/>
      <c r="BH397" s="46"/>
      <c r="BI397" s="46"/>
      <c r="BJ397" s="46"/>
      <c r="BK397" s="46"/>
      <c r="BL397" s="46"/>
      <c r="BM397" s="46"/>
      <c r="BN397" s="46"/>
      <c r="BO397" s="46"/>
      <c r="BP397" s="46"/>
      <c r="BQ397" s="46"/>
      <c r="BR397" s="46"/>
      <c r="BS397" s="46"/>
      <c r="BT397" s="46"/>
      <c r="BU397" s="1095">
        <v>2246.8804590107343</v>
      </c>
      <c r="BV397" s="14"/>
      <c r="BW397" s="14"/>
      <c r="BX397" s="14"/>
      <c r="BY397" s="14"/>
      <c r="BZ397" s="14"/>
      <c r="CA397" s="14"/>
      <c r="CB397" s="14"/>
      <c r="CC397" s="14"/>
      <c r="CD397" s="14"/>
      <c r="CE397" s="14"/>
      <c r="CF397" s="14"/>
      <c r="CG397" s="14"/>
      <c r="CH397" s="14"/>
      <c r="CI397" s="14"/>
      <c r="CJ397" s="14"/>
      <c r="CK397" s="14"/>
      <c r="CL397" s="14"/>
      <c r="CM397" s="14"/>
      <c r="CN397" s="14"/>
      <c r="CO397" s="14"/>
      <c r="CP397" s="14"/>
      <c r="CQ397" s="14"/>
      <c r="CR397" s="14"/>
      <c r="CS397" s="14"/>
      <c r="CT397" s="14"/>
      <c r="CU397" s="14"/>
      <c r="CV397" s="14"/>
      <c r="CW397" s="14"/>
      <c r="CX397" s="14"/>
      <c r="CY397" s="14"/>
      <c r="CZ397" s="14"/>
      <c r="DA397" s="14"/>
      <c r="DB397" s="14"/>
      <c r="DC397" s="14"/>
    </row>
    <row r="398" spans="1:107" s="247" customFormat="1" ht="12.75" hidden="1" customHeight="1" outlineLevel="1">
      <c r="B398" s="1090" t="s">
        <v>626</v>
      </c>
      <c r="C398" s="16"/>
      <c r="D398" s="16"/>
      <c r="E398" s="16"/>
      <c r="F398" s="16"/>
      <c r="G398" s="16"/>
      <c r="H398" s="16"/>
      <c r="I398" s="16"/>
      <c r="J398" s="16"/>
      <c r="K398" s="16"/>
      <c r="L398" s="16"/>
      <c r="M398" s="809"/>
      <c r="N398" s="46"/>
      <c r="O398" s="46"/>
      <c r="P398" s="68"/>
      <c r="Q398" s="68"/>
      <c r="R398" s="68"/>
      <c r="S398" s="68"/>
      <c r="T398" s="68"/>
      <c r="U398" s="68"/>
      <c r="V398" s="68"/>
      <c r="W398" s="68"/>
      <c r="X398" s="805"/>
      <c r="Y398" s="805"/>
      <c r="Z398" s="805"/>
      <c r="AA398" s="805"/>
      <c r="AB398" s="805"/>
      <c r="AC398" s="805"/>
      <c r="AD398" s="805"/>
      <c r="AE398" s="16"/>
      <c r="AF398" s="16"/>
      <c r="AG398" s="16"/>
      <c r="AH398" s="16"/>
      <c r="AI398" s="16"/>
      <c r="AJ398" s="16"/>
      <c r="AK398" s="16"/>
      <c r="AL398" s="16"/>
      <c r="AM398" s="16"/>
      <c r="AN398" s="16"/>
      <c r="AO398" s="16"/>
      <c r="AP398" s="16"/>
      <c r="AQ398" s="16"/>
      <c r="AR398" s="16"/>
      <c r="AS398" s="16"/>
      <c r="AT398" s="16"/>
      <c r="AU398" s="16"/>
      <c r="AV398" s="16"/>
      <c r="AW398" s="16"/>
      <c r="AX398" s="16"/>
      <c r="AY398" s="16"/>
      <c r="AZ398" s="16"/>
      <c r="BA398" s="16"/>
      <c r="BB398" s="16"/>
      <c r="BC398" s="16"/>
      <c r="BD398" s="1094"/>
      <c r="BE398" s="1094"/>
      <c r="BF398" s="1094"/>
      <c r="BG398" s="1094"/>
      <c r="BH398" s="46"/>
      <c r="BI398" s="46"/>
      <c r="BJ398" s="46"/>
      <c r="BK398" s="46"/>
      <c r="BL398" s="46"/>
      <c r="BM398" s="46"/>
      <c r="BN398" s="46"/>
      <c r="BO398" s="46"/>
      <c r="BP398" s="46"/>
      <c r="BQ398" s="46"/>
      <c r="BR398" s="46"/>
      <c r="BS398" s="46"/>
      <c r="BT398" s="46"/>
      <c r="BU398" s="1095">
        <v>1336.4662661036166</v>
      </c>
      <c r="BV398" s="14"/>
      <c r="BW398" s="14"/>
      <c r="BX398" s="14"/>
      <c r="BY398" s="14"/>
      <c r="BZ398" s="14"/>
      <c r="CA398" s="14"/>
      <c r="CB398" s="14"/>
      <c r="CC398" s="14"/>
      <c r="CD398" s="14"/>
      <c r="CE398" s="14"/>
      <c r="CF398" s="14"/>
      <c r="CG398" s="14"/>
      <c r="CH398" s="14"/>
      <c r="CI398" s="14"/>
      <c r="CJ398" s="14"/>
      <c r="CK398" s="14"/>
      <c r="CL398" s="14"/>
      <c r="CM398" s="14"/>
      <c r="CN398" s="14"/>
      <c r="CO398" s="14"/>
      <c r="CP398" s="14"/>
      <c r="CQ398" s="14"/>
      <c r="CR398" s="14"/>
      <c r="CS398" s="14"/>
      <c r="CT398" s="14"/>
      <c r="CU398" s="14"/>
      <c r="CV398" s="14"/>
      <c r="CW398" s="14"/>
      <c r="CX398" s="14"/>
      <c r="CY398" s="14"/>
      <c r="CZ398" s="14"/>
      <c r="DA398" s="14"/>
      <c r="DB398" s="14"/>
      <c r="DC398" s="14"/>
    </row>
    <row r="399" spans="1:107" s="247" customFormat="1" ht="12.75" hidden="1" customHeight="1" outlineLevel="1">
      <c r="B399" s="14"/>
      <c r="C399" s="16"/>
      <c r="D399" s="16"/>
      <c r="E399" s="16"/>
      <c r="F399" s="16"/>
      <c r="G399" s="16"/>
      <c r="H399" s="16"/>
      <c r="I399" s="16"/>
      <c r="J399" s="16"/>
      <c r="K399" s="16"/>
      <c r="L399" s="16"/>
      <c r="M399" s="809"/>
      <c r="N399" s="46"/>
      <c r="O399" s="46"/>
      <c r="P399" s="68"/>
      <c r="Q399" s="68"/>
      <c r="R399" s="68"/>
      <c r="S399" s="68"/>
      <c r="T399" s="68"/>
      <c r="U399" s="68"/>
      <c r="V399" s="68"/>
      <c r="W399" s="68"/>
      <c r="X399" s="805"/>
      <c r="Y399" s="805"/>
      <c r="Z399" s="805"/>
      <c r="AA399" s="805"/>
      <c r="AB399" s="805"/>
      <c r="AC399" s="805"/>
      <c r="AD399" s="805"/>
      <c r="AE399" s="16"/>
      <c r="AF399" s="16"/>
      <c r="AG399" s="16"/>
      <c r="AH399" s="16"/>
      <c r="AI399" s="16"/>
      <c r="AJ399" s="16"/>
      <c r="AK399" s="16"/>
      <c r="AL399" s="16"/>
      <c r="AM399" s="16"/>
      <c r="AN399" s="16"/>
      <c r="AO399" s="16"/>
      <c r="AP399" s="16"/>
      <c r="AQ399" s="16"/>
      <c r="AR399" s="16"/>
      <c r="AS399" s="16"/>
      <c r="AT399" s="16"/>
      <c r="AU399" s="16"/>
      <c r="AV399" s="16"/>
      <c r="AW399" s="16"/>
      <c r="AX399" s="16"/>
      <c r="AY399" s="16"/>
      <c r="AZ399" s="16"/>
      <c r="BA399" s="16"/>
      <c r="BB399" s="16"/>
      <c r="BC399" s="16"/>
      <c r="BD399" s="1094"/>
      <c r="BE399" s="1094"/>
      <c r="BF399" s="1094"/>
      <c r="BG399" s="1094"/>
      <c r="BH399" s="46"/>
      <c r="BI399" s="46"/>
      <c r="BJ399" s="46"/>
      <c r="BK399" s="46"/>
      <c r="BL399" s="46"/>
      <c r="BM399" s="46"/>
      <c r="BN399" s="46"/>
      <c r="BO399" s="46"/>
      <c r="BP399" s="46"/>
      <c r="BQ399" s="46"/>
      <c r="BR399" s="46"/>
      <c r="BS399" s="46"/>
      <c r="BT399" s="46"/>
      <c r="BU399" s="1095"/>
      <c r="BV399" s="14"/>
      <c r="BW399" s="14"/>
      <c r="BX399" s="14"/>
      <c r="BY399" s="14"/>
      <c r="BZ399" s="14"/>
      <c r="CA399" s="14"/>
      <c r="CB399" s="14"/>
      <c r="CC399" s="14"/>
      <c r="CD399" s="14"/>
      <c r="CE399" s="14"/>
      <c r="CF399" s="14"/>
      <c r="CG399" s="14"/>
      <c r="CH399" s="14"/>
      <c r="CI399" s="14"/>
      <c r="CJ399" s="14"/>
      <c r="CK399" s="14"/>
      <c r="CL399" s="14"/>
      <c r="CM399" s="14"/>
      <c r="CN399" s="14"/>
      <c r="CO399" s="14"/>
      <c r="CP399" s="14"/>
      <c r="CQ399" s="14"/>
      <c r="CR399" s="14"/>
      <c r="CS399" s="14"/>
      <c r="CT399" s="14"/>
      <c r="CU399" s="14"/>
      <c r="CV399" s="14"/>
      <c r="CW399" s="14"/>
      <c r="CX399" s="14"/>
      <c r="CY399" s="14"/>
      <c r="CZ399" s="14"/>
      <c r="DA399" s="14"/>
      <c r="DB399" s="14"/>
      <c r="DC399" s="14"/>
    </row>
    <row r="400" spans="1:107" s="247" customFormat="1" ht="12.75" hidden="1" customHeight="1" outlineLevel="1">
      <c r="B400" s="1089" t="s">
        <v>184</v>
      </c>
      <c r="C400" s="16"/>
      <c r="D400" s="16"/>
      <c r="E400" s="16"/>
      <c r="F400" s="16"/>
      <c r="G400" s="16"/>
      <c r="H400" s="16"/>
      <c r="I400" s="16"/>
      <c r="J400" s="16"/>
      <c r="K400" s="16"/>
      <c r="L400" s="16"/>
      <c r="M400" s="809"/>
      <c r="N400" s="46"/>
      <c r="O400" s="46"/>
      <c r="P400" s="68"/>
      <c r="Q400" s="68"/>
      <c r="R400" s="68"/>
      <c r="S400" s="68"/>
      <c r="T400" s="68"/>
      <c r="U400" s="68"/>
      <c r="V400" s="68"/>
      <c r="W400" s="68"/>
      <c r="X400" s="805"/>
      <c r="Y400" s="805"/>
      <c r="Z400" s="805"/>
      <c r="AA400" s="805"/>
      <c r="AB400" s="805"/>
      <c r="AC400" s="805"/>
      <c r="AD400" s="805"/>
      <c r="AE400" s="16"/>
      <c r="AF400" s="16"/>
      <c r="AG400" s="16"/>
      <c r="AH400" s="16"/>
      <c r="AI400" s="16"/>
      <c r="AJ400" s="16"/>
      <c r="AK400" s="16"/>
      <c r="AL400" s="16"/>
      <c r="AM400" s="16"/>
      <c r="AN400" s="16"/>
      <c r="AO400" s="16"/>
      <c r="AP400" s="16"/>
      <c r="AQ400" s="16"/>
      <c r="AR400" s="16"/>
      <c r="AS400" s="16"/>
      <c r="AT400" s="16"/>
      <c r="AU400" s="16"/>
      <c r="AV400" s="16"/>
      <c r="AW400" s="16"/>
      <c r="AX400" s="16"/>
      <c r="AY400" s="16"/>
      <c r="AZ400" s="16"/>
      <c r="BA400" s="16"/>
      <c r="BB400" s="16"/>
      <c r="BC400" s="16"/>
      <c r="BD400" s="1094"/>
      <c r="BE400" s="1094"/>
      <c r="BF400" s="1094"/>
      <c r="BG400" s="1094"/>
      <c r="BH400" s="46"/>
      <c r="BI400" s="46"/>
      <c r="BJ400" s="46"/>
      <c r="BK400" s="46"/>
      <c r="BL400" s="46"/>
      <c r="BM400" s="46"/>
      <c r="BN400" s="46"/>
      <c r="BO400" s="46"/>
      <c r="BP400" s="46"/>
      <c r="BQ400" s="46"/>
      <c r="BR400" s="46"/>
      <c r="BS400" s="46"/>
      <c r="BT400" s="46"/>
      <c r="BU400" s="1095"/>
      <c r="BV400" s="14"/>
      <c r="BW400" s="14"/>
      <c r="BX400" s="14"/>
      <c r="BY400" s="14"/>
      <c r="BZ400" s="14"/>
      <c r="CA400" s="14"/>
      <c r="CB400" s="14"/>
      <c r="CC400" s="14"/>
      <c r="CD400" s="14"/>
      <c r="CE400" s="14"/>
      <c r="CF400" s="14"/>
      <c r="CG400" s="14"/>
      <c r="CH400" s="14"/>
      <c r="CI400" s="14"/>
      <c r="CJ400" s="14"/>
      <c r="CK400" s="14"/>
      <c r="CL400" s="14"/>
      <c r="CM400" s="14"/>
      <c r="CN400" s="14"/>
      <c r="CO400" s="14"/>
      <c r="CP400" s="14"/>
      <c r="CQ400" s="14"/>
      <c r="CR400" s="14"/>
      <c r="CS400" s="14"/>
      <c r="CT400" s="14"/>
      <c r="CU400" s="14"/>
      <c r="CV400" s="14"/>
      <c r="CW400" s="14"/>
      <c r="CX400" s="14"/>
      <c r="CY400" s="14"/>
      <c r="CZ400" s="14"/>
      <c r="DA400" s="14"/>
      <c r="DB400" s="14"/>
      <c r="DC400" s="14"/>
    </row>
    <row r="401" spans="2:107" s="247" customFormat="1" ht="12.75" hidden="1" customHeight="1" outlineLevel="1">
      <c r="B401" s="1090" t="s">
        <v>136</v>
      </c>
      <c r="C401" s="16"/>
      <c r="D401" s="16"/>
      <c r="E401" s="16"/>
      <c r="F401" s="16"/>
      <c r="G401" s="16"/>
      <c r="H401" s="16"/>
      <c r="I401" s="16"/>
      <c r="J401" s="16"/>
      <c r="K401" s="16"/>
      <c r="L401" s="16"/>
      <c r="M401" s="809"/>
      <c r="N401" s="46"/>
      <c r="O401" s="46"/>
      <c r="P401" s="68"/>
      <c r="Q401" s="68"/>
      <c r="R401" s="68"/>
      <c r="S401" s="68"/>
      <c r="T401" s="68"/>
      <c r="U401" s="68"/>
      <c r="V401" s="68"/>
      <c r="W401" s="68"/>
      <c r="X401" s="805"/>
      <c r="Y401" s="805"/>
      <c r="Z401" s="805"/>
      <c r="AA401" s="805"/>
      <c r="AB401" s="805"/>
      <c r="AC401" s="805"/>
      <c r="AD401" s="805"/>
      <c r="AE401" s="16"/>
      <c r="AF401" s="16"/>
      <c r="AG401" s="16"/>
      <c r="AH401" s="16"/>
      <c r="AI401" s="16"/>
      <c r="AJ401" s="16"/>
      <c r="AK401" s="16"/>
      <c r="AL401" s="16"/>
      <c r="AM401" s="16"/>
      <c r="AN401" s="16"/>
      <c r="AO401" s="16"/>
      <c r="AP401" s="16"/>
      <c r="AQ401" s="16"/>
      <c r="AR401" s="16"/>
      <c r="AS401" s="16"/>
      <c r="AT401" s="16"/>
      <c r="AU401" s="16"/>
      <c r="AV401" s="16"/>
      <c r="AW401" s="16"/>
      <c r="AX401" s="16"/>
      <c r="AY401" s="16"/>
      <c r="AZ401" s="16"/>
      <c r="BA401" s="16"/>
      <c r="BB401" s="16"/>
      <c r="BC401" s="16"/>
      <c r="BD401" s="1094"/>
      <c r="BE401" s="1094"/>
      <c r="BF401" s="1094"/>
      <c r="BG401" s="1094"/>
      <c r="BH401" s="46"/>
      <c r="BI401" s="46"/>
      <c r="BJ401" s="46"/>
      <c r="BK401" s="46"/>
      <c r="BL401" s="46"/>
      <c r="BM401" s="46"/>
      <c r="BN401" s="46"/>
      <c r="BO401" s="46"/>
      <c r="BP401" s="46"/>
      <c r="BQ401" s="46"/>
      <c r="BR401" s="46"/>
      <c r="BS401" s="46"/>
      <c r="BT401" s="46"/>
      <c r="BU401" s="1095">
        <v>2409.8517381043785</v>
      </c>
      <c r="BV401" s="14"/>
      <c r="BW401" s="14"/>
      <c r="BX401" s="14"/>
      <c r="BY401" s="14"/>
      <c r="BZ401" s="14"/>
      <c r="CA401" s="14"/>
      <c r="CB401" s="14"/>
      <c r="CC401" s="14"/>
      <c r="CD401" s="14"/>
      <c r="CE401" s="14"/>
      <c r="CF401" s="14"/>
      <c r="CG401" s="14"/>
      <c r="CH401" s="14"/>
      <c r="CI401" s="14"/>
      <c r="CJ401" s="14"/>
      <c r="CK401" s="14"/>
      <c r="CL401" s="14"/>
      <c r="CM401" s="14"/>
      <c r="CN401" s="14"/>
      <c r="CO401" s="14"/>
      <c r="CP401" s="14"/>
      <c r="CQ401" s="14"/>
      <c r="CR401" s="14"/>
      <c r="CS401" s="14"/>
      <c r="CT401" s="14"/>
      <c r="CU401" s="14"/>
      <c r="CV401" s="14"/>
      <c r="CW401" s="14"/>
      <c r="CX401" s="14"/>
      <c r="CY401" s="14"/>
      <c r="CZ401" s="14"/>
      <c r="DA401" s="14"/>
      <c r="DB401" s="14"/>
      <c r="DC401" s="14"/>
    </row>
    <row r="402" spans="2:107" s="247" customFormat="1" ht="12.75" hidden="1" customHeight="1" outlineLevel="1">
      <c r="B402" s="1090"/>
      <c r="C402" s="16"/>
      <c r="D402" s="16"/>
      <c r="E402" s="16"/>
      <c r="F402" s="16"/>
      <c r="G402" s="16"/>
      <c r="H402" s="16"/>
      <c r="I402" s="16"/>
      <c r="J402" s="16"/>
      <c r="K402" s="16"/>
      <c r="L402" s="16"/>
      <c r="M402" s="809"/>
      <c r="N402" s="46"/>
      <c r="O402" s="46"/>
      <c r="P402" s="68"/>
      <c r="Q402" s="68"/>
      <c r="R402" s="68"/>
      <c r="S402" s="68"/>
      <c r="T402" s="68"/>
      <c r="U402" s="68"/>
      <c r="V402" s="68"/>
      <c r="W402" s="68"/>
      <c r="X402" s="805"/>
      <c r="Y402" s="805"/>
      <c r="Z402" s="805"/>
      <c r="AA402" s="805"/>
      <c r="AB402" s="805"/>
      <c r="AC402" s="805"/>
      <c r="AD402" s="805"/>
      <c r="AE402" s="16"/>
      <c r="AF402" s="16"/>
      <c r="AG402" s="16"/>
      <c r="AH402" s="16"/>
      <c r="AI402" s="16"/>
      <c r="AJ402" s="16"/>
      <c r="AK402" s="16"/>
      <c r="AL402" s="16"/>
      <c r="AM402" s="16"/>
      <c r="AN402" s="16"/>
      <c r="AO402" s="16"/>
      <c r="AP402" s="16"/>
      <c r="AQ402" s="16"/>
      <c r="AR402" s="16"/>
      <c r="AS402" s="16"/>
      <c r="AT402" s="16"/>
      <c r="AU402" s="16"/>
      <c r="AV402" s="16"/>
      <c r="AW402" s="16"/>
      <c r="AX402" s="16"/>
      <c r="AY402" s="16"/>
      <c r="AZ402" s="16"/>
      <c r="BA402" s="16"/>
      <c r="BB402" s="16"/>
      <c r="BC402" s="16"/>
      <c r="BD402" s="1094"/>
      <c r="BE402" s="1094"/>
      <c r="BF402" s="1094"/>
      <c r="BG402" s="1094"/>
      <c r="BH402" s="46"/>
      <c r="BI402" s="46"/>
      <c r="BJ402" s="46"/>
      <c r="BK402" s="46"/>
      <c r="BL402" s="46"/>
      <c r="BM402" s="46"/>
      <c r="BN402" s="46"/>
      <c r="BO402" s="46"/>
      <c r="BP402" s="46"/>
      <c r="BQ402" s="46"/>
      <c r="BR402" s="46"/>
      <c r="BS402" s="46"/>
      <c r="BT402" s="46"/>
      <c r="BU402" s="1095"/>
      <c r="BV402" s="14"/>
      <c r="BW402" s="14"/>
      <c r="BX402" s="14"/>
      <c r="BY402" s="14"/>
      <c r="BZ402" s="14"/>
      <c r="CA402" s="14"/>
      <c r="CB402" s="14"/>
      <c r="CC402" s="14"/>
      <c r="CD402" s="14"/>
      <c r="CE402" s="14"/>
      <c r="CF402" s="14"/>
      <c r="CG402" s="14"/>
      <c r="CH402" s="14"/>
      <c r="CI402" s="14"/>
      <c r="CJ402" s="14"/>
      <c r="CK402" s="14"/>
      <c r="CL402" s="14"/>
      <c r="CM402" s="14"/>
      <c r="CN402" s="14"/>
      <c r="CO402" s="14"/>
      <c r="CP402" s="14"/>
      <c r="CQ402" s="14"/>
      <c r="CR402" s="14"/>
      <c r="CS402" s="14"/>
      <c r="CT402" s="14"/>
      <c r="CU402" s="14"/>
      <c r="CV402" s="14"/>
      <c r="CW402" s="14"/>
      <c r="CX402" s="14"/>
      <c r="CY402" s="14"/>
      <c r="CZ402" s="14"/>
      <c r="DA402" s="14"/>
      <c r="DB402" s="14"/>
      <c r="DC402" s="14"/>
    </row>
    <row r="403" spans="2:107" s="247" customFormat="1" ht="12.75" hidden="1" customHeight="1" outlineLevel="1">
      <c r="B403" s="1089" t="s">
        <v>183</v>
      </c>
      <c r="C403" s="16"/>
      <c r="D403" s="16"/>
      <c r="E403" s="16"/>
      <c r="F403" s="16"/>
      <c r="G403" s="16"/>
      <c r="H403" s="16"/>
      <c r="I403" s="16"/>
      <c r="J403" s="16"/>
      <c r="K403" s="16"/>
      <c r="L403" s="16"/>
      <c r="M403" s="809"/>
      <c r="N403" s="46"/>
      <c r="O403" s="46"/>
      <c r="P403" s="68"/>
      <c r="Q403" s="68"/>
      <c r="R403" s="68"/>
      <c r="S403" s="68"/>
      <c r="T403" s="68"/>
      <c r="U403" s="68"/>
      <c r="V403" s="68"/>
      <c r="W403" s="68"/>
      <c r="X403" s="805"/>
      <c r="Y403" s="805"/>
      <c r="Z403" s="805"/>
      <c r="AA403" s="805"/>
      <c r="AB403" s="805"/>
      <c r="AC403" s="805"/>
      <c r="AD403" s="805"/>
      <c r="AE403" s="16"/>
      <c r="AF403" s="16"/>
      <c r="AG403" s="16"/>
      <c r="AH403" s="16"/>
      <c r="AI403" s="16"/>
      <c r="AJ403" s="16"/>
      <c r="AK403" s="16"/>
      <c r="AL403" s="16"/>
      <c r="AM403" s="16"/>
      <c r="AN403" s="16"/>
      <c r="AO403" s="16"/>
      <c r="AP403" s="16"/>
      <c r="AQ403" s="16"/>
      <c r="AR403" s="16"/>
      <c r="AS403" s="16"/>
      <c r="AT403" s="16"/>
      <c r="AU403" s="16"/>
      <c r="AV403" s="16"/>
      <c r="AW403" s="16"/>
      <c r="AX403" s="16"/>
      <c r="AY403" s="16"/>
      <c r="AZ403" s="16"/>
      <c r="BA403" s="16"/>
      <c r="BB403" s="16"/>
      <c r="BC403" s="16"/>
      <c r="BD403" s="1094"/>
      <c r="BE403" s="1094"/>
      <c r="BF403" s="1094"/>
      <c r="BG403" s="1094"/>
      <c r="BH403" s="46"/>
      <c r="BI403" s="46"/>
      <c r="BJ403" s="46"/>
      <c r="BK403" s="46"/>
      <c r="BL403" s="46"/>
      <c r="BM403" s="46"/>
      <c r="BN403" s="46"/>
      <c r="BO403" s="46"/>
      <c r="BP403" s="46"/>
      <c r="BQ403" s="46"/>
      <c r="BR403" s="46"/>
      <c r="BS403" s="46"/>
      <c r="BT403" s="46"/>
      <c r="BU403" s="1095"/>
      <c r="BV403" s="14"/>
      <c r="BW403" s="14"/>
      <c r="BX403" s="14"/>
      <c r="BY403" s="14"/>
      <c r="BZ403" s="14"/>
      <c r="CA403" s="14"/>
      <c r="CB403" s="14"/>
      <c r="CC403" s="14"/>
      <c r="CD403" s="14"/>
      <c r="CE403" s="14"/>
      <c r="CF403" s="14"/>
      <c r="CG403" s="14"/>
      <c r="CH403" s="14"/>
      <c r="CI403" s="14"/>
      <c r="CJ403" s="14"/>
      <c r="CK403" s="14"/>
      <c r="CL403" s="14"/>
      <c r="CM403" s="14"/>
      <c r="CN403" s="14"/>
      <c r="CO403" s="14"/>
      <c r="CP403" s="14"/>
      <c r="CQ403" s="14"/>
      <c r="CR403" s="14"/>
      <c r="CS403" s="14"/>
      <c r="CT403" s="14"/>
      <c r="CU403" s="14"/>
      <c r="CV403" s="14"/>
      <c r="CW403" s="14"/>
      <c r="CX403" s="14"/>
      <c r="CY403" s="14"/>
      <c r="CZ403" s="14"/>
      <c r="DA403" s="14"/>
      <c r="DB403" s="14"/>
      <c r="DC403" s="14"/>
    </row>
    <row r="404" spans="2:107" s="247" customFormat="1" ht="12.75" hidden="1" customHeight="1" outlineLevel="1">
      <c r="B404" s="1090" t="s">
        <v>627</v>
      </c>
      <c r="C404" s="16"/>
      <c r="D404" s="16"/>
      <c r="E404" s="16"/>
      <c r="F404" s="16"/>
      <c r="G404" s="16"/>
      <c r="H404" s="16"/>
      <c r="I404" s="16"/>
      <c r="J404" s="16"/>
      <c r="K404" s="16"/>
      <c r="L404" s="16"/>
      <c r="M404" s="809"/>
      <c r="N404" s="46"/>
      <c r="O404" s="46"/>
      <c r="P404" s="68"/>
      <c r="Q404" s="68"/>
      <c r="R404" s="68"/>
      <c r="S404" s="68"/>
      <c r="T404" s="68"/>
      <c r="U404" s="68"/>
      <c r="V404" s="68"/>
      <c r="W404" s="68"/>
      <c r="X404" s="805"/>
      <c r="Y404" s="805"/>
      <c r="Z404" s="805"/>
      <c r="AA404" s="805"/>
      <c r="AB404" s="805"/>
      <c r="AC404" s="805"/>
      <c r="AD404" s="805"/>
      <c r="AE404" s="16"/>
      <c r="AF404" s="16"/>
      <c r="AG404" s="16"/>
      <c r="AH404" s="16"/>
      <c r="AI404" s="16"/>
      <c r="AJ404" s="16"/>
      <c r="AK404" s="16"/>
      <c r="AL404" s="16"/>
      <c r="AM404" s="16"/>
      <c r="AN404" s="16"/>
      <c r="AO404" s="16"/>
      <c r="AP404" s="16"/>
      <c r="AQ404" s="16"/>
      <c r="AR404" s="16"/>
      <c r="AS404" s="16"/>
      <c r="AT404" s="16"/>
      <c r="AU404" s="16"/>
      <c r="AV404" s="16"/>
      <c r="AW404" s="16"/>
      <c r="AX404" s="16"/>
      <c r="AY404" s="16"/>
      <c r="AZ404" s="16"/>
      <c r="BA404" s="16"/>
      <c r="BB404" s="16"/>
      <c r="BC404" s="16"/>
      <c r="BD404" s="1094"/>
      <c r="BE404" s="1094"/>
      <c r="BF404" s="1094"/>
      <c r="BG404" s="1094"/>
      <c r="BH404" s="46"/>
      <c r="BI404" s="46"/>
      <c r="BJ404" s="46"/>
      <c r="BK404" s="46"/>
      <c r="BL404" s="46"/>
      <c r="BM404" s="46"/>
      <c r="BN404" s="46"/>
      <c r="BO404" s="46"/>
      <c r="BP404" s="46"/>
      <c r="BQ404" s="46"/>
      <c r="BR404" s="46"/>
      <c r="BS404" s="46"/>
      <c r="BT404" s="46"/>
      <c r="BU404" s="1095">
        <v>600.09165930118706</v>
      </c>
      <c r="BV404" s="14"/>
      <c r="BW404" s="14"/>
      <c r="BX404" s="14"/>
      <c r="BY404" s="14"/>
      <c r="BZ404" s="14"/>
      <c r="CA404" s="14"/>
      <c r="CB404" s="14"/>
      <c r="CC404" s="14"/>
      <c r="CD404" s="14"/>
      <c r="CE404" s="14"/>
      <c r="CF404" s="14"/>
      <c r="CG404" s="14"/>
      <c r="CH404" s="14"/>
      <c r="CI404" s="14"/>
      <c r="CJ404" s="14"/>
      <c r="CK404" s="14"/>
      <c r="CL404" s="14"/>
      <c r="CM404" s="14"/>
      <c r="CN404" s="14"/>
      <c r="CO404" s="14"/>
      <c r="CP404" s="14"/>
      <c r="CQ404" s="14"/>
      <c r="CR404" s="14"/>
      <c r="CS404" s="14"/>
      <c r="CT404" s="14"/>
      <c r="CU404" s="14"/>
      <c r="CV404" s="14"/>
      <c r="CW404" s="14"/>
      <c r="CX404" s="14"/>
      <c r="CY404" s="14"/>
      <c r="CZ404" s="14"/>
      <c r="DA404" s="14"/>
      <c r="DB404" s="14"/>
      <c r="DC404" s="14"/>
    </row>
    <row r="405" spans="2:107" s="247" customFormat="1" ht="12.75" hidden="1" customHeight="1" outlineLevel="1">
      <c r="B405" s="1090" t="s">
        <v>628</v>
      </c>
      <c r="C405" s="16"/>
      <c r="D405" s="16"/>
      <c r="E405" s="16"/>
      <c r="F405" s="16"/>
      <c r="G405" s="16"/>
      <c r="H405" s="16"/>
      <c r="I405" s="16"/>
      <c r="J405" s="16"/>
      <c r="K405" s="16"/>
      <c r="L405" s="16"/>
      <c r="M405" s="809"/>
      <c r="N405" s="46"/>
      <c r="O405" s="46"/>
      <c r="P405" s="68"/>
      <c r="Q405" s="68"/>
      <c r="R405" s="68"/>
      <c r="S405" s="68"/>
      <c r="T405" s="68"/>
      <c r="U405" s="68"/>
      <c r="V405" s="68"/>
      <c r="W405" s="68"/>
      <c r="X405" s="805"/>
      <c r="Y405" s="805"/>
      <c r="Z405" s="805"/>
      <c r="AA405" s="805"/>
      <c r="AB405" s="805"/>
      <c r="AC405" s="805"/>
      <c r="AD405" s="805"/>
      <c r="AE405" s="16"/>
      <c r="AF405" s="16"/>
      <c r="AG405" s="16"/>
      <c r="AH405" s="16"/>
      <c r="AI405" s="16"/>
      <c r="AJ405" s="16"/>
      <c r="AK405" s="16"/>
      <c r="AL405" s="16"/>
      <c r="AM405" s="16"/>
      <c r="AN405" s="16"/>
      <c r="AO405" s="16"/>
      <c r="AP405" s="16"/>
      <c r="AQ405" s="16"/>
      <c r="AR405" s="16"/>
      <c r="AS405" s="16"/>
      <c r="AT405" s="16"/>
      <c r="AU405" s="16"/>
      <c r="AV405" s="16"/>
      <c r="AW405" s="16"/>
      <c r="AX405" s="16"/>
      <c r="AY405" s="16"/>
      <c r="AZ405" s="16"/>
      <c r="BA405" s="16"/>
      <c r="BB405" s="16"/>
      <c r="BC405" s="16"/>
      <c r="BD405" s="1094"/>
      <c r="BE405" s="1094"/>
      <c r="BF405" s="1094"/>
      <c r="BG405" s="1094"/>
      <c r="BH405" s="46"/>
      <c r="BI405" s="46"/>
      <c r="BJ405" s="46"/>
      <c r="BK405" s="46"/>
      <c r="BL405" s="46"/>
      <c r="BM405" s="46"/>
      <c r="BN405" s="46"/>
      <c r="BO405" s="46"/>
      <c r="BP405" s="46"/>
      <c r="BQ405" s="46"/>
      <c r="BR405" s="46"/>
      <c r="BS405" s="46"/>
      <c r="BT405" s="46"/>
      <c r="BU405" s="1095">
        <v>1039.8412925151847</v>
      </c>
      <c r="BV405" s="14"/>
      <c r="BW405" s="14"/>
      <c r="BX405" s="14"/>
      <c r="BY405" s="14"/>
      <c r="BZ405" s="14"/>
      <c r="CA405" s="14"/>
      <c r="CB405" s="14"/>
      <c r="CC405" s="14"/>
      <c r="CD405" s="14"/>
      <c r="CE405" s="14"/>
      <c r="CF405" s="14"/>
      <c r="CG405" s="14"/>
      <c r="CH405" s="14"/>
      <c r="CI405" s="14"/>
      <c r="CJ405" s="14"/>
      <c r="CK405" s="14"/>
      <c r="CL405" s="14"/>
      <c r="CM405" s="14"/>
      <c r="CN405" s="14"/>
      <c r="CO405" s="14"/>
      <c r="CP405" s="14"/>
      <c r="CQ405" s="14"/>
      <c r="CR405" s="14"/>
      <c r="CS405" s="14"/>
      <c r="CT405" s="14"/>
      <c r="CU405" s="14"/>
      <c r="CV405" s="14"/>
      <c r="CW405" s="14"/>
      <c r="CX405" s="14"/>
      <c r="CY405" s="14"/>
      <c r="CZ405" s="14"/>
      <c r="DA405" s="14"/>
      <c r="DB405" s="14"/>
      <c r="DC405" s="14"/>
    </row>
    <row r="406" spans="2:107" s="247" customFormat="1" ht="12.75" hidden="1" customHeight="1" outlineLevel="1">
      <c r="B406" s="1090"/>
      <c r="C406" s="16"/>
      <c r="D406" s="16"/>
      <c r="E406" s="16"/>
      <c r="F406" s="16"/>
      <c r="G406" s="16"/>
      <c r="H406" s="16"/>
      <c r="I406" s="16"/>
      <c r="J406" s="16"/>
      <c r="K406" s="16"/>
      <c r="L406" s="16"/>
      <c r="M406" s="809"/>
      <c r="N406" s="46"/>
      <c r="O406" s="46"/>
      <c r="P406" s="68"/>
      <c r="Q406" s="68"/>
      <c r="R406" s="68"/>
      <c r="S406" s="68"/>
      <c r="T406" s="68"/>
      <c r="U406" s="68"/>
      <c r="V406" s="68"/>
      <c r="W406" s="68"/>
      <c r="X406" s="805"/>
      <c r="Y406" s="805"/>
      <c r="Z406" s="805"/>
      <c r="AA406" s="805"/>
      <c r="AB406" s="805"/>
      <c r="AC406" s="805"/>
      <c r="AD406" s="805"/>
      <c r="AE406" s="16"/>
      <c r="AF406" s="16"/>
      <c r="AG406" s="16"/>
      <c r="AH406" s="16"/>
      <c r="AI406" s="16"/>
      <c r="AJ406" s="16"/>
      <c r="AK406" s="16"/>
      <c r="AL406" s="16"/>
      <c r="AM406" s="16"/>
      <c r="AN406" s="16"/>
      <c r="AO406" s="16"/>
      <c r="AP406" s="16"/>
      <c r="AQ406" s="16"/>
      <c r="AR406" s="16"/>
      <c r="AS406" s="16"/>
      <c r="AT406" s="16"/>
      <c r="AU406" s="16"/>
      <c r="AV406" s="16"/>
      <c r="AW406" s="16"/>
      <c r="AX406" s="16"/>
      <c r="AY406" s="16"/>
      <c r="AZ406" s="16"/>
      <c r="BA406" s="16"/>
      <c r="BB406" s="16"/>
      <c r="BC406" s="16"/>
      <c r="BD406" s="1094"/>
      <c r="BE406" s="1094"/>
      <c r="BF406" s="1094"/>
      <c r="BG406" s="1094"/>
      <c r="BH406" s="46"/>
      <c r="BI406" s="46"/>
      <c r="BJ406" s="46"/>
      <c r="BK406" s="46"/>
      <c r="BL406" s="46"/>
      <c r="BM406" s="46"/>
      <c r="BN406" s="46"/>
      <c r="BO406" s="46"/>
      <c r="BP406" s="46"/>
      <c r="BQ406" s="46"/>
      <c r="BR406" s="46"/>
      <c r="BS406" s="46"/>
      <c r="BT406" s="46"/>
      <c r="BU406" s="46"/>
      <c r="BV406" s="14"/>
      <c r="BW406" s="14"/>
      <c r="BX406" s="14"/>
      <c r="BY406" s="14"/>
      <c r="BZ406" s="14"/>
      <c r="CA406" s="14"/>
      <c r="CB406" s="14"/>
      <c r="CC406" s="14"/>
      <c r="CD406" s="14"/>
      <c r="CE406" s="14"/>
      <c r="CF406" s="14"/>
      <c r="CG406" s="14"/>
      <c r="CH406" s="14"/>
      <c r="CI406" s="14"/>
      <c r="CJ406" s="14"/>
      <c r="CK406" s="14"/>
      <c r="CL406" s="14"/>
      <c r="CM406" s="14"/>
      <c r="CN406" s="14"/>
      <c r="CO406" s="14"/>
      <c r="CP406" s="14"/>
      <c r="CQ406" s="14"/>
      <c r="CR406" s="14"/>
      <c r="CS406" s="14"/>
      <c r="CT406" s="14"/>
      <c r="CU406" s="14"/>
      <c r="CV406" s="14"/>
      <c r="CW406" s="14"/>
      <c r="CX406" s="14"/>
      <c r="CY406" s="14"/>
      <c r="CZ406" s="14"/>
      <c r="DA406" s="14"/>
      <c r="DB406" s="14"/>
      <c r="DC406" s="14"/>
    </row>
    <row r="407" spans="2:107" s="247" customFormat="1" ht="12.75" hidden="1" customHeight="1" outlineLevel="1">
      <c r="B407" s="1089" t="s">
        <v>629</v>
      </c>
      <c r="C407" s="16"/>
      <c r="D407" s="16"/>
      <c r="E407" s="16"/>
      <c r="F407" s="16"/>
      <c r="G407" s="16"/>
      <c r="H407" s="16"/>
      <c r="I407" s="16"/>
      <c r="J407" s="16"/>
      <c r="K407" s="16"/>
      <c r="L407" s="16"/>
      <c r="M407" s="809"/>
      <c r="N407" s="46"/>
      <c r="O407" s="46"/>
      <c r="P407" s="68"/>
      <c r="Q407" s="68"/>
      <c r="R407" s="68"/>
      <c r="S407" s="68"/>
      <c r="T407" s="68"/>
      <c r="U407" s="68"/>
      <c r="V407" s="68"/>
      <c r="W407" s="68"/>
      <c r="X407" s="805"/>
      <c r="Y407" s="805"/>
      <c r="Z407" s="805"/>
      <c r="AA407" s="805"/>
      <c r="AB407" s="805"/>
      <c r="AC407" s="805"/>
      <c r="AD407" s="805"/>
      <c r="AE407" s="16"/>
      <c r="AF407" s="16"/>
      <c r="AG407" s="16"/>
      <c r="AH407" s="16"/>
      <c r="AI407" s="16"/>
      <c r="AJ407" s="16"/>
      <c r="AK407" s="16"/>
      <c r="AL407" s="16"/>
      <c r="AM407" s="16"/>
      <c r="AN407" s="16"/>
      <c r="AO407" s="16"/>
      <c r="AP407" s="16"/>
      <c r="AQ407" s="16"/>
      <c r="AR407" s="16"/>
      <c r="AS407" s="16"/>
      <c r="AT407" s="16"/>
      <c r="AU407" s="16"/>
      <c r="AV407" s="16"/>
      <c r="AW407" s="16"/>
      <c r="AX407" s="16"/>
      <c r="AY407" s="16"/>
      <c r="AZ407" s="16"/>
      <c r="BA407" s="16"/>
      <c r="BB407" s="16"/>
      <c r="BC407" s="16"/>
      <c r="BD407" s="1094"/>
      <c r="BE407" s="1094"/>
      <c r="BF407" s="1094"/>
      <c r="BG407" s="1094"/>
      <c r="BH407" s="46"/>
      <c r="BI407" s="46"/>
      <c r="BJ407" s="46"/>
      <c r="BK407" s="46"/>
      <c r="BL407" s="46"/>
      <c r="BM407" s="46"/>
      <c r="BN407" s="46"/>
      <c r="BO407" s="46"/>
      <c r="BP407" s="46"/>
      <c r="BQ407" s="46"/>
      <c r="BR407" s="46"/>
      <c r="BS407" s="46"/>
      <c r="BT407" s="46"/>
      <c r="BU407" s="46"/>
      <c r="BV407" s="14"/>
      <c r="BW407" s="14"/>
      <c r="BX407" s="14"/>
      <c r="BY407" s="14"/>
      <c r="BZ407" s="14"/>
      <c r="CA407" s="14"/>
      <c r="CB407" s="14"/>
      <c r="CC407" s="14"/>
      <c r="CD407" s="14"/>
      <c r="CE407" s="14"/>
      <c r="CF407" s="14"/>
      <c r="CG407" s="14"/>
      <c r="CH407" s="14"/>
      <c r="CI407" s="14"/>
      <c r="CJ407" s="14"/>
      <c r="CK407" s="14"/>
      <c r="CL407" s="14"/>
      <c r="CM407" s="14"/>
      <c r="CN407" s="14"/>
      <c r="CO407" s="14"/>
      <c r="CP407" s="14"/>
      <c r="CQ407" s="14"/>
      <c r="CR407" s="14"/>
      <c r="CS407" s="14"/>
      <c r="CT407" s="14"/>
      <c r="CU407" s="14"/>
      <c r="CV407" s="14"/>
      <c r="CW407" s="14"/>
      <c r="CX407" s="14"/>
      <c r="CY407" s="14"/>
      <c r="CZ407" s="14"/>
      <c r="DA407" s="14"/>
      <c r="DB407" s="14"/>
      <c r="DC407" s="14"/>
    </row>
    <row r="408" spans="2:107" s="247" customFormat="1" ht="12.75" hidden="1" customHeight="1" outlineLevel="1">
      <c r="B408" s="1090" t="s">
        <v>137</v>
      </c>
      <c r="C408" s="16"/>
      <c r="D408" s="16"/>
      <c r="E408" s="16"/>
      <c r="F408" s="16"/>
      <c r="G408" s="16"/>
      <c r="H408" s="16"/>
      <c r="I408" s="16"/>
      <c r="J408" s="16"/>
      <c r="K408" s="16"/>
      <c r="L408" s="16"/>
      <c r="M408" s="809"/>
      <c r="N408" s="46"/>
      <c r="O408" s="46"/>
      <c r="P408" s="68"/>
      <c r="Q408" s="68"/>
      <c r="R408" s="68"/>
      <c r="S408" s="68"/>
      <c r="T408" s="68"/>
      <c r="U408" s="68"/>
      <c r="V408" s="68"/>
      <c r="W408" s="68"/>
      <c r="X408" s="805"/>
      <c r="Y408" s="805"/>
      <c r="Z408" s="805"/>
      <c r="AA408" s="805"/>
      <c r="AB408" s="805"/>
      <c r="AC408" s="805"/>
      <c r="AD408" s="805"/>
      <c r="AE408" s="16"/>
      <c r="AF408" s="16"/>
      <c r="AG408" s="16"/>
      <c r="AH408" s="16"/>
      <c r="AI408" s="16"/>
      <c r="AJ408" s="16"/>
      <c r="AK408" s="16"/>
      <c r="AL408" s="16"/>
      <c r="AM408" s="16"/>
      <c r="AN408" s="16"/>
      <c r="AO408" s="16"/>
      <c r="AP408" s="16"/>
      <c r="AQ408" s="16"/>
      <c r="AR408" s="16"/>
      <c r="AS408" s="16"/>
      <c r="AT408" s="16"/>
      <c r="AU408" s="16"/>
      <c r="AV408" s="16"/>
      <c r="AW408" s="16"/>
      <c r="AX408" s="16"/>
      <c r="AY408" s="16"/>
      <c r="AZ408" s="16"/>
      <c r="BA408" s="16"/>
      <c r="BB408" s="16"/>
      <c r="BC408" s="16"/>
      <c r="BD408" s="1094"/>
      <c r="BE408" s="1094"/>
      <c r="BF408" s="1094"/>
      <c r="BG408" s="1094"/>
      <c r="BH408" s="46"/>
      <c r="BI408" s="46"/>
      <c r="BJ408" s="46"/>
      <c r="BK408" s="46"/>
      <c r="BL408" s="46"/>
      <c r="BM408" s="46"/>
      <c r="BN408" s="46"/>
      <c r="BO408" s="46"/>
      <c r="BP408" s="46"/>
      <c r="BQ408" s="46"/>
      <c r="BR408" s="46"/>
      <c r="BS408" s="46"/>
      <c r="BT408" s="46"/>
      <c r="BU408" s="1096" t="s">
        <v>981</v>
      </c>
      <c r="BV408" s="14"/>
      <c r="BW408" s="14"/>
      <c r="BX408" s="14"/>
      <c r="BY408" s="14"/>
      <c r="BZ408" s="14"/>
      <c r="CA408" s="14"/>
      <c r="CB408" s="14"/>
      <c r="CC408" s="14"/>
      <c r="CD408" s="14"/>
      <c r="CE408" s="14"/>
      <c r="CF408" s="14"/>
      <c r="CG408" s="14"/>
      <c r="CH408" s="14"/>
      <c r="CI408" s="14"/>
      <c r="CJ408" s="14"/>
      <c r="CK408" s="14"/>
      <c r="CL408" s="14"/>
      <c r="CM408" s="14"/>
      <c r="CN408" s="14"/>
      <c r="CO408" s="14"/>
      <c r="CP408" s="14"/>
      <c r="CQ408" s="14"/>
      <c r="CR408" s="14"/>
      <c r="CS408" s="14"/>
      <c r="CT408" s="14"/>
      <c r="CU408" s="14"/>
      <c r="CV408" s="14"/>
      <c r="CW408" s="14"/>
      <c r="CX408" s="14"/>
      <c r="CY408" s="14"/>
      <c r="CZ408" s="14"/>
      <c r="DA408" s="14"/>
      <c r="DB408" s="14"/>
      <c r="DC408" s="14"/>
    </row>
    <row r="409" spans="2:107" s="247" customFormat="1" ht="12.75" hidden="1" customHeight="1" outlineLevel="1">
      <c r="B409" s="107"/>
      <c r="C409" s="16"/>
      <c r="D409" s="16"/>
      <c r="E409" s="16"/>
      <c r="F409" s="16"/>
      <c r="G409" s="16"/>
      <c r="H409" s="16"/>
      <c r="I409" s="16"/>
      <c r="J409" s="16"/>
      <c r="K409" s="16"/>
      <c r="L409" s="16"/>
      <c r="M409" s="809"/>
      <c r="N409" s="46"/>
      <c r="O409" s="46"/>
      <c r="P409" s="68"/>
      <c r="Q409" s="68"/>
      <c r="R409" s="68"/>
      <c r="S409" s="68"/>
      <c r="T409" s="68"/>
      <c r="U409" s="68"/>
      <c r="V409" s="68"/>
      <c r="W409" s="68"/>
      <c r="X409" s="805"/>
      <c r="Y409" s="805"/>
      <c r="Z409" s="805"/>
      <c r="AA409" s="805"/>
      <c r="AB409" s="805"/>
      <c r="AC409" s="805"/>
      <c r="AD409" s="805"/>
      <c r="AE409" s="16"/>
      <c r="AF409" s="16"/>
      <c r="AG409" s="16"/>
      <c r="AH409" s="16"/>
      <c r="AI409" s="16"/>
      <c r="AJ409" s="16"/>
      <c r="AK409" s="16"/>
      <c r="AL409" s="16"/>
      <c r="AM409" s="16"/>
      <c r="AN409" s="16"/>
      <c r="AO409" s="16"/>
      <c r="AP409" s="16"/>
      <c r="AQ409" s="16"/>
      <c r="AR409" s="16"/>
      <c r="AS409" s="16"/>
      <c r="AT409" s="16"/>
      <c r="AU409" s="16"/>
      <c r="AV409" s="16"/>
      <c r="AW409" s="16"/>
      <c r="AX409" s="16"/>
      <c r="AY409" s="16"/>
      <c r="AZ409" s="16"/>
      <c r="BA409" s="16"/>
      <c r="BB409" s="16"/>
      <c r="BC409" s="16"/>
      <c r="BD409" s="1094"/>
      <c r="BE409" s="1094"/>
      <c r="BF409" s="1094"/>
      <c r="BG409" s="1094"/>
      <c r="BH409" s="46"/>
      <c r="BI409" s="46"/>
      <c r="BJ409" s="46"/>
      <c r="BK409" s="46"/>
      <c r="BL409" s="46"/>
      <c r="BM409" s="46"/>
      <c r="BN409" s="46"/>
      <c r="BO409" s="46"/>
      <c r="BP409" s="46"/>
      <c r="BQ409" s="46"/>
      <c r="BR409" s="46"/>
      <c r="BS409" s="46"/>
      <c r="BT409" s="46"/>
      <c r="BU409" s="46"/>
      <c r="BV409" s="14"/>
      <c r="BW409" s="14"/>
      <c r="BX409" s="14"/>
      <c r="BY409" s="14"/>
      <c r="BZ409" s="14"/>
      <c r="CA409" s="14"/>
      <c r="CB409" s="14"/>
      <c r="CC409" s="14"/>
      <c r="CD409" s="14"/>
      <c r="CE409" s="14"/>
      <c r="CF409" s="14"/>
      <c r="CG409" s="14"/>
      <c r="CH409" s="14"/>
      <c r="CI409" s="14"/>
      <c r="CJ409" s="14"/>
      <c r="CK409" s="14"/>
      <c r="CL409" s="14"/>
      <c r="CM409" s="14"/>
      <c r="CN409" s="14"/>
      <c r="CO409" s="14"/>
      <c r="CP409" s="14"/>
      <c r="CQ409" s="14"/>
      <c r="CR409" s="14"/>
      <c r="CS409" s="14"/>
      <c r="CT409" s="14"/>
      <c r="CU409" s="14"/>
      <c r="CV409" s="14"/>
      <c r="CW409" s="14"/>
      <c r="CX409" s="14"/>
      <c r="CY409" s="14"/>
      <c r="CZ409" s="14"/>
      <c r="DA409" s="14"/>
      <c r="DB409" s="14"/>
      <c r="DC409" s="14"/>
    </row>
    <row r="410" spans="2:107" collapsed="1">
      <c r="B410" s="111" t="s">
        <v>590</v>
      </c>
      <c r="C410" s="52"/>
      <c r="D410" s="48"/>
      <c r="E410" s="48"/>
      <c r="F410" s="48"/>
      <c r="G410" s="48"/>
      <c r="H410" s="48"/>
      <c r="I410" s="48"/>
      <c r="J410" s="48"/>
      <c r="K410" s="48"/>
      <c r="L410" s="52"/>
      <c r="M410" s="52"/>
      <c r="N410" s="53"/>
      <c r="O410" s="53"/>
      <c r="P410" s="53"/>
      <c r="Q410" s="53"/>
      <c r="R410" s="53"/>
      <c r="S410" s="53"/>
      <c r="T410" s="53"/>
      <c r="U410" s="53"/>
      <c r="V410" s="53"/>
      <c r="W410" s="53"/>
      <c r="X410" s="53"/>
      <c r="Y410" s="53"/>
      <c r="Z410" s="53"/>
      <c r="AA410" s="53"/>
      <c r="AB410" s="53"/>
      <c r="AC410" s="53"/>
      <c r="AD410" s="53"/>
      <c r="AE410" s="52"/>
      <c r="AF410" s="52"/>
      <c r="AG410" s="52"/>
      <c r="AH410" s="52"/>
      <c r="AI410" s="52"/>
      <c r="AJ410" s="52"/>
      <c r="AK410" s="52"/>
      <c r="AL410" s="52"/>
      <c r="AM410" s="52"/>
      <c r="AN410" s="52"/>
      <c r="AO410" s="52"/>
      <c r="AP410" s="52"/>
      <c r="AQ410" s="52"/>
      <c r="AR410" s="52"/>
      <c r="AS410" s="52"/>
      <c r="AT410" s="52"/>
      <c r="AU410" s="52"/>
      <c r="AV410" s="52"/>
      <c r="AW410" s="52"/>
      <c r="AX410" s="52"/>
      <c r="AY410" s="52"/>
      <c r="AZ410" s="52"/>
      <c r="BA410" s="52"/>
      <c r="BB410" s="52"/>
      <c r="BC410" s="52"/>
      <c r="BD410" s="47"/>
      <c r="BE410" s="47"/>
      <c r="BF410" s="47"/>
      <c r="BG410" s="47"/>
      <c r="BH410" s="47"/>
      <c r="BI410" s="47"/>
      <c r="BJ410" s="47"/>
      <c r="BK410" s="47"/>
      <c r="BL410" s="47"/>
      <c r="BM410" s="47"/>
      <c r="BN410" s="47"/>
      <c r="BO410" s="47"/>
      <c r="BP410" s="47"/>
      <c r="BQ410" s="47"/>
      <c r="BR410" s="47"/>
      <c r="BS410" s="47"/>
      <c r="BT410" s="47"/>
      <c r="BU410" s="112">
        <f>SUM(BU393:BU409)</f>
        <v>9499.9999999999982</v>
      </c>
      <c r="BV410" s="270">
        <v>10500</v>
      </c>
      <c r="BW410" s="270">
        <v>10500</v>
      </c>
      <c r="BX410" s="270">
        <v>10600</v>
      </c>
      <c r="BY410" s="270">
        <v>13300</v>
      </c>
      <c r="BZ410" s="270">
        <v>13700</v>
      </c>
      <c r="CA410" s="270">
        <v>13700</v>
      </c>
      <c r="CB410" s="270">
        <v>13700</v>
      </c>
      <c r="CC410" s="270">
        <v>14300</v>
      </c>
      <c r="CD410" s="270">
        <v>20000</v>
      </c>
      <c r="CE410" s="270">
        <v>20600</v>
      </c>
      <c r="CF410" s="270">
        <v>20900</v>
      </c>
      <c r="CG410" s="270">
        <v>20900</v>
      </c>
      <c r="CH410" s="270">
        <v>21400</v>
      </c>
      <c r="CI410" s="270">
        <v>22700</v>
      </c>
      <c r="CJ410" s="270">
        <v>21600</v>
      </c>
      <c r="CK410" s="270">
        <v>22200</v>
      </c>
      <c r="CL410" s="270">
        <v>22300</v>
      </c>
      <c r="CM410" s="270">
        <v>23900</v>
      </c>
      <c r="CN410" s="270">
        <v>25300</v>
      </c>
      <c r="CO410" s="270">
        <v>26300</v>
      </c>
      <c r="CP410" s="270">
        <v>27500</v>
      </c>
      <c r="CQ410" s="270">
        <v>27800</v>
      </c>
      <c r="CR410" s="270">
        <v>30500</v>
      </c>
      <c r="CS410" s="270">
        <v>31900</v>
      </c>
      <c r="CT410" s="270">
        <v>33000</v>
      </c>
      <c r="CU410" s="270">
        <v>39800</v>
      </c>
      <c r="CV410" s="270">
        <v>41100</v>
      </c>
      <c r="CW410" s="270">
        <v>42700</v>
      </c>
      <c r="CX410" s="270">
        <v>42700</v>
      </c>
      <c r="CY410" s="270">
        <v>44400</v>
      </c>
      <c r="CZ410" s="57"/>
      <c r="DA410" s="57"/>
      <c r="DB410" s="57"/>
      <c r="DC410" s="57"/>
    </row>
    <row r="411" spans="2:107" ht="12.75" customHeight="1">
      <c r="B411" s="107"/>
      <c r="C411" s="23"/>
      <c r="D411" s="15"/>
      <c r="E411" s="15"/>
      <c r="F411" s="15"/>
      <c r="G411" s="15"/>
      <c r="H411" s="15"/>
      <c r="I411" s="15"/>
      <c r="J411" s="15"/>
      <c r="K411" s="15"/>
      <c r="L411" s="23"/>
      <c r="M411" s="54"/>
      <c r="N411" s="46"/>
      <c r="O411" s="46"/>
      <c r="P411" s="68"/>
      <c r="Q411" s="68"/>
      <c r="R411" s="68"/>
      <c r="S411" s="68"/>
      <c r="T411" s="68"/>
      <c r="U411" s="68"/>
      <c r="V411" s="68"/>
      <c r="W411" s="68"/>
      <c r="X411" s="805"/>
      <c r="Y411" s="805"/>
      <c r="Z411" s="805"/>
      <c r="AA411" s="805"/>
      <c r="AB411" s="805"/>
      <c r="AC411" s="805"/>
      <c r="AD411" s="805"/>
      <c r="AE411" s="23"/>
      <c r="AF411" s="23"/>
      <c r="AG411" s="23"/>
      <c r="AH411" s="23"/>
      <c r="AI411" s="23"/>
      <c r="AJ411" s="23"/>
      <c r="AK411" s="23"/>
      <c r="AL411" s="23"/>
      <c r="AM411" s="23"/>
      <c r="AN411" s="23"/>
      <c r="AO411" s="23"/>
      <c r="AP411" s="23"/>
      <c r="AQ411" s="23"/>
      <c r="AR411" s="23"/>
      <c r="AS411" s="23"/>
      <c r="AT411" s="23"/>
      <c r="AU411" s="23"/>
      <c r="AV411" s="23"/>
      <c r="AW411" s="23"/>
      <c r="AX411" s="23"/>
      <c r="AY411" s="23"/>
      <c r="AZ411" s="23"/>
      <c r="BA411" s="23"/>
      <c r="BB411" s="23"/>
      <c r="BC411" s="23"/>
      <c r="BD411" s="36"/>
      <c r="BE411" s="36"/>
      <c r="BF411" s="36"/>
      <c r="BG411" s="36"/>
      <c r="BH411" s="46"/>
      <c r="BI411" s="46"/>
      <c r="BJ411" s="46"/>
      <c r="BK411" s="46"/>
      <c r="BL411" s="46"/>
      <c r="BM411" s="46"/>
      <c r="BN411" s="46"/>
      <c r="BO411" s="46"/>
      <c r="BP411" s="46"/>
      <c r="BQ411" s="46"/>
      <c r="BR411" s="46"/>
      <c r="BS411" s="46"/>
      <c r="BT411" s="46"/>
      <c r="BU411" s="46"/>
      <c r="BV411" s="14"/>
      <c r="BW411" s="14"/>
      <c r="BX411" s="14"/>
      <c r="BY411" s="14"/>
      <c r="BZ411" s="14"/>
      <c r="CA411" s="14"/>
      <c r="CB411" s="14"/>
      <c r="CC411" s="14"/>
      <c r="CD411" s="14"/>
      <c r="CE411" s="14"/>
      <c r="CF411" s="14"/>
      <c r="CG411" s="14"/>
      <c r="CH411" s="14"/>
      <c r="CI411" s="14"/>
      <c r="CJ411" s="14"/>
      <c r="CK411" s="14"/>
      <c r="CL411" s="14"/>
      <c r="CM411" s="14"/>
      <c r="CN411" s="14"/>
      <c r="CO411" s="14"/>
      <c r="CP411" s="14"/>
      <c r="CQ411" s="14"/>
      <c r="CR411" s="14"/>
      <c r="CS411" s="14"/>
      <c r="CT411" s="14"/>
      <c r="CU411" s="14"/>
      <c r="CV411" s="14"/>
      <c r="CW411" s="14"/>
      <c r="CX411" s="14"/>
      <c r="CY411" s="14"/>
      <c r="CZ411" s="14"/>
      <c r="DA411" s="14"/>
      <c r="DB411" s="14"/>
      <c r="DC411" s="14"/>
    </row>
    <row r="412" spans="2:107">
      <c r="B412" s="22" t="s">
        <v>633</v>
      </c>
      <c r="C412" s="23"/>
      <c r="D412" s="15"/>
      <c r="E412" s="15"/>
      <c r="F412" s="15"/>
      <c r="G412" s="15"/>
      <c r="H412" s="15"/>
      <c r="I412" s="15"/>
      <c r="J412" s="15"/>
      <c r="K412" s="15"/>
      <c r="L412" s="23"/>
      <c r="M412" s="14">
        <f>BO412</f>
        <v>7100</v>
      </c>
      <c r="N412" s="46">
        <f>BS412</f>
        <v>8900</v>
      </c>
      <c r="O412" s="46">
        <f>BW412</f>
        <v>10500</v>
      </c>
      <c r="P412" s="46">
        <f>CA412</f>
        <v>13700</v>
      </c>
      <c r="Q412" s="46">
        <f>CE412</f>
        <v>20600</v>
      </c>
      <c r="R412" s="46">
        <f>CI412</f>
        <v>22700</v>
      </c>
      <c r="S412" s="46">
        <f>CM412</f>
        <v>23900</v>
      </c>
      <c r="T412" s="46">
        <f>CQ412</f>
        <v>27800</v>
      </c>
      <c r="U412" s="46">
        <f>CU412</f>
        <v>39800</v>
      </c>
      <c r="V412" s="46">
        <f>CY412</f>
        <v>44400</v>
      </c>
      <c r="W412" s="46">
        <f>DC412</f>
        <v>49475</v>
      </c>
      <c r="X412" s="46">
        <f>W412+X455</f>
        <v>55475</v>
      </c>
      <c r="Y412" s="46">
        <f>X412+Y455</f>
        <v>61595</v>
      </c>
      <c r="Z412" s="46">
        <f>Y412+Z455</f>
        <v>67837</v>
      </c>
      <c r="AA412" s="46">
        <f t="shared" ref="AA412:AD412" si="490">Z412+AA455</f>
        <v>74204</v>
      </c>
      <c r="AB412" s="46">
        <f t="shared" si="490"/>
        <v>80698</v>
      </c>
      <c r="AC412" s="46">
        <f t="shared" si="490"/>
        <v>87322</v>
      </c>
      <c r="AD412" s="46">
        <f t="shared" si="490"/>
        <v>94078</v>
      </c>
      <c r="AE412" s="23"/>
      <c r="AF412" s="23"/>
      <c r="AG412" s="23"/>
      <c r="AH412" s="23"/>
      <c r="AI412" s="23"/>
      <c r="AJ412" s="23"/>
      <c r="AK412" s="23"/>
      <c r="AL412" s="23"/>
      <c r="AM412" s="23"/>
      <c r="AN412" s="23"/>
      <c r="AO412" s="23"/>
      <c r="AP412" s="23"/>
      <c r="AQ412" s="23"/>
      <c r="AR412" s="23"/>
      <c r="AS412" s="23"/>
      <c r="AT412" s="23"/>
      <c r="AU412" s="23"/>
      <c r="AV412" s="23"/>
      <c r="AW412" s="23"/>
      <c r="AX412" s="23"/>
      <c r="AY412" s="23"/>
      <c r="AZ412" s="118">
        <v>4900</v>
      </c>
      <c r="BA412" s="118">
        <v>4900</v>
      </c>
      <c r="BB412" s="118">
        <v>4900</v>
      </c>
      <c r="BC412" s="118">
        <v>4900</v>
      </c>
      <c r="BD412" s="118">
        <v>4700</v>
      </c>
      <c r="BE412" s="118">
        <v>4700</v>
      </c>
      <c r="BF412" s="118">
        <v>4700</v>
      </c>
      <c r="BG412" s="118">
        <v>4700</v>
      </c>
      <c r="BH412" s="118">
        <v>4600</v>
      </c>
      <c r="BI412" s="118">
        <v>4600</v>
      </c>
      <c r="BJ412" s="118">
        <v>5600</v>
      </c>
      <c r="BK412" s="118">
        <v>5600</v>
      </c>
      <c r="BL412" s="118">
        <v>5900</v>
      </c>
      <c r="BM412" s="118">
        <v>6100</v>
      </c>
      <c r="BN412" s="118">
        <v>6700</v>
      </c>
      <c r="BO412" s="118">
        <v>7100</v>
      </c>
      <c r="BP412" s="118">
        <v>7800</v>
      </c>
      <c r="BQ412" s="118">
        <v>8000</v>
      </c>
      <c r="BR412" s="118">
        <v>8900</v>
      </c>
      <c r="BS412" s="118">
        <v>8900</v>
      </c>
      <c r="BT412" s="118">
        <v>9000</v>
      </c>
      <c r="BU412" s="118">
        <v>9500</v>
      </c>
      <c r="BV412" s="118">
        <v>10500</v>
      </c>
      <c r="BW412" s="118">
        <v>10500</v>
      </c>
      <c r="BX412" s="118">
        <v>10600</v>
      </c>
      <c r="BY412" s="118">
        <v>13300</v>
      </c>
      <c r="BZ412" s="118">
        <v>13700</v>
      </c>
      <c r="CA412" s="118">
        <v>13700</v>
      </c>
      <c r="CB412" s="118">
        <v>13700</v>
      </c>
      <c r="CC412" s="118">
        <v>14300</v>
      </c>
      <c r="CD412" s="118">
        <v>20000</v>
      </c>
      <c r="CE412" s="118">
        <v>20600</v>
      </c>
      <c r="CF412" s="118">
        <v>20900</v>
      </c>
      <c r="CG412" s="118">
        <v>20900</v>
      </c>
      <c r="CH412" s="118">
        <v>21400</v>
      </c>
      <c r="CI412" s="118">
        <v>22700</v>
      </c>
      <c r="CJ412" s="118">
        <v>21600</v>
      </c>
      <c r="CK412" s="118">
        <v>22200</v>
      </c>
      <c r="CL412" s="118">
        <v>22300</v>
      </c>
      <c r="CM412" s="118">
        <v>23900</v>
      </c>
      <c r="CN412" s="118">
        <v>25300</v>
      </c>
      <c r="CO412" s="118">
        <v>26300</v>
      </c>
      <c r="CP412" s="118">
        <v>27500</v>
      </c>
      <c r="CQ412" s="118">
        <v>27800</v>
      </c>
      <c r="CR412" s="118">
        <v>30500</v>
      </c>
      <c r="CS412" s="118">
        <v>31900</v>
      </c>
      <c r="CT412" s="118">
        <v>33000</v>
      </c>
      <c r="CU412" s="27">
        <f>+CU410</f>
        <v>39800</v>
      </c>
      <c r="CV412" s="27">
        <f>+CV410</f>
        <v>41100</v>
      </c>
      <c r="CW412" s="27">
        <f>+CW410</f>
        <v>42700</v>
      </c>
      <c r="CX412" s="27">
        <f>+CX410</f>
        <v>42700</v>
      </c>
      <c r="CY412" s="27">
        <f>+CY410</f>
        <v>44400</v>
      </c>
      <c r="CZ412" s="46">
        <f t="shared" ref="CZ412:DC412" si="491">CY412+CZ455</f>
        <v>44900</v>
      </c>
      <c r="DA412" s="46">
        <f t="shared" si="491"/>
        <v>44900</v>
      </c>
      <c r="DB412" s="46">
        <f t="shared" si="491"/>
        <v>48550</v>
      </c>
      <c r="DC412" s="46">
        <f t="shared" si="491"/>
        <v>49475</v>
      </c>
    </row>
    <row r="413" spans="2:107" ht="12.75" customHeight="1">
      <c r="B413" s="110" t="s">
        <v>1237</v>
      </c>
      <c r="C413" s="23"/>
      <c r="D413" s="15"/>
      <c r="E413" s="15"/>
      <c r="F413" s="15"/>
      <c r="G413" s="15"/>
      <c r="H413" s="15"/>
      <c r="I413" s="15"/>
      <c r="J413" s="15"/>
      <c r="K413" s="15"/>
      <c r="L413" s="23"/>
      <c r="M413" s="54"/>
      <c r="N413" s="46"/>
      <c r="O413" s="46"/>
      <c r="P413" s="68"/>
      <c r="Q413" s="68"/>
      <c r="R413" s="68"/>
      <c r="S413" s="68"/>
      <c r="T413" s="68"/>
      <c r="U413" s="68"/>
      <c r="V413" s="68"/>
      <c r="W413" s="68"/>
      <c r="X413" s="805"/>
      <c r="Y413" s="805"/>
      <c r="Z413" s="805"/>
      <c r="AA413" s="805"/>
      <c r="AB413" s="805"/>
      <c r="AC413" s="805"/>
      <c r="AD413" s="805"/>
      <c r="AE413" s="23"/>
      <c r="AF413" s="23"/>
      <c r="AG413" s="23"/>
      <c r="AH413" s="23"/>
      <c r="AI413" s="23"/>
      <c r="AJ413" s="23"/>
      <c r="AK413" s="23"/>
      <c r="AL413" s="23"/>
      <c r="AM413" s="23"/>
      <c r="AN413" s="23"/>
      <c r="AO413" s="23"/>
      <c r="AP413" s="23"/>
      <c r="AQ413" s="23"/>
      <c r="AR413" s="23"/>
      <c r="AS413" s="23"/>
      <c r="AT413" s="23"/>
      <c r="AU413" s="23"/>
      <c r="AV413" s="23"/>
      <c r="AW413" s="23"/>
      <c r="AX413" s="23"/>
      <c r="AY413" s="23"/>
      <c r="AZ413" s="23"/>
      <c r="BA413" s="23"/>
      <c r="BB413" s="23"/>
      <c r="BC413" s="23"/>
      <c r="BD413" s="36"/>
      <c r="BE413" s="36"/>
      <c r="BF413" s="36"/>
      <c r="BG413" s="36"/>
      <c r="BH413" s="46"/>
      <c r="BI413" s="46"/>
      <c r="BJ413" s="46"/>
      <c r="BK413" s="46"/>
      <c r="BL413" s="46"/>
      <c r="BM413" s="46"/>
      <c r="BN413" s="46"/>
      <c r="BO413" s="46"/>
      <c r="BP413" s="46"/>
      <c r="BQ413" s="46"/>
      <c r="BR413" s="46"/>
      <c r="BS413" s="46"/>
      <c r="BT413" s="46"/>
      <c r="BU413" s="113">
        <f t="shared" ref="BU413:CJ413" si="492">BU410-BU412</f>
        <v>0</v>
      </c>
      <c r="BV413" s="113">
        <f t="shared" si="492"/>
        <v>0</v>
      </c>
      <c r="BW413" s="113">
        <f t="shared" si="492"/>
        <v>0</v>
      </c>
      <c r="BX413" s="113">
        <f t="shared" si="492"/>
        <v>0</v>
      </c>
      <c r="BY413" s="113">
        <f t="shared" si="492"/>
        <v>0</v>
      </c>
      <c r="BZ413" s="113">
        <f t="shared" si="492"/>
        <v>0</v>
      </c>
      <c r="CA413" s="113">
        <f t="shared" si="492"/>
        <v>0</v>
      </c>
      <c r="CB413" s="113">
        <f t="shared" si="492"/>
        <v>0</v>
      </c>
      <c r="CC413" s="113">
        <f t="shared" si="492"/>
        <v>0</v>
      </c>
      <c r="CD413" s="113">
        <f t="shared" si="492"/>
        <v>0</v>
      </c>
      <c r="CE413" s="113">
        <f t="shared" si="492"/>
        <v>0</v>
      </c>
      <c r="CF413" s="113">
        <f t="shared" si="492"/>
        <v>0</v>
      </c>
      <c r="CG413" s="113">
        <f t="shared" si="492"/>
        <v>0</v>
      </c>
      <c r="CH413" s="113">
        <f t="shared" si="492"/>
        <v>0</v>
      </c>
      <c r="CI413" s="113">
        <f t="shared" si="492"/>
        <v>0</v>
      </c>
      <c r="CJ413" s="113">
        <f t="shared" si="492"/>
        <v>0</v>
      </c>
      <c r="CK413" s="113">
        <f t="shared" ref="CK413:CP413" si="493">CK410-CK412</f>
        <v>0</v>
      </c>
      <c r="CL413" s="113">
        <f t="shared" si="493"/>
        <v>0</v>
      </c>
      <c r="CM413" s="113">
        <f t="shared" si="493"/>
        <v>0</v>
      </c>
      <c r="CN413" s="113">
        <f t="shared" si="493"/>
        <v>0</v>
      </c>
      <c r="CO413" s="113">
        <f t="shared" si="493"/>
        <v>0</v>
      </c>
      <c r="CP413" s="113">
        <f t="shared" si="493"/>
        <v>0</v>
      </c>
      <c r="CQ413" s="113">
        <f t="shared" ref="CQ413:CV413" si="494">CQ410-CQ412</f>
        <v>0</v>
      </c>
      <c r="CR413" s="113">
        <f t="shared" si="494"/>
        <v>0</v>
      </c>
      <c r="CS413" s="113">
        <f t="shared" si="494"/>
        <v>0</v>
      </c>
      <c r="CT413" s="113">
        <f t="shared" si="494"/>
        <v>0</v>
      </c>
      <c r="CU413" s="113">
        <f t="shared" si="494"/>
        <v>0</v>
      </c>
      <c r="CV413" s="113">
        <f t="shared" si="494"/>
        <v>0</v>
      </c>
      <c r="CW413" s="113">
        <f t="shared" ref="CW413:CX413" si="495">CW410-CW412</f>
        <v>0</v>
      </c>
      <c r="CX413" s="113">
        <f t="shared" si="495"/>
        <v>0</v>
      </c>
      <c r="CY413" s="113">
        <f t="shared" ref="CY413" si="496">CY410-CY412</f>
        <v>0</v>
      </c>
      <c r="CZ413" s="14"/>
      <c r="DA413" s="14"/>
      <c r="DB413" s="14"/>
      <c r="DC413" s="14"/>
    </row>
    <row r="414" spans="2:107" ht="12.75" customHeight="1">
      <c r="B414" s="107"/>
      <c r="C414" s="23"/>
      <c r="D414" s="15"/>
      <c r="E414" s="15"/>
      <c r="F414" s="15"/>
      <c r="G414" s="15"/>
      <c r="H414" s="15"/>
      <c r="I414" s="15"/>
      <c r="J414" s="15"/>
      <c r="K414" s="15"/>
      <c r="L414" s="23"/>
      <c r="M414" s="54"/>
      <c r="N414" s="46"/>
      <c r="O414" s="46"/>
      <c r="P414" s="68"/>
      <c r="Q414" s="68"/>
      <c r="R414" s="68"/>
      <c r="S414" s="68"/>
      <c r="T414" s="68"/>
      <c r="U414" s="68"/>
      <c r="V414" s="68"/>
      <c r="W414" s="68"/>
      <c r="X414" s="805"/>
      <c r="Y414" s="805"/>
      <c r="Z414" s="805"/>
      <c r="AA414" s="805"/>
      <c r="AB414" s="805"/>
      <c r="AC414" s="805"/>
      <c r="AD414" s="805"/>
      <c r="AE414" s="23"/>
      <c r="AF414" s="23"/>
      <c r="AG414" s="23"/>
      <c r="AH414" s="23"/>
      <c r="AI414" s="23"/>
      <c r="AJ414" s="23"/>
      <c r="AK414" s="23"/>
      <c r="AL414" s="23"/>
      <c r="AM414" s="23"/>
      <c r="AN414" s="23"/>
      <c r="AO414" s="23"/>
      <c r="AP414" s="23"/>
      <c r="AQ414" s="23"/>
      <c r="AR414" s="23"/>
      <c r="AS414" s="23"/>
      <c r="AT414" s="23"/>
      <c r="AU414" s="23"/>
      <c r="AV414" s="23"/>
      <c r="AW414" s="23"/>
      <c r="AX414" s="23"/>
      <c r="AY414" s="23"/>
      <c r="AZ414" s="23"/>
      <c r="BA414" s="23"/>
      <c r="BB414" s="23"/>
      <c r="BC414" s="23"/>
      <c r="BD414" s="36"/>
      <c r="BE414" s="36"/>
      <c r="BF414" s="36"/>
      <c r="BG414" s="36"/>
      <c r="BH414" s="46"/>
      <c r="BI414" s="46"/>
      <c r="BJ414" s="46"/>
      <c r="BK414" s="46"/>
      <c r="BL414" s="46"/>
      <c r="BM414" s="46"/>
      <c r="BN414" s="46"/>
      <c r="BO414" s="46"/>
      <c r="BP414" s="46"/>
      <c r="BQ414" s="46"/>
      <c r="BR414" s="46"/>
      <c r="BS414" s="46"/>
      <c r="BT414" s="46"/>
      <c r="BU414" s="46"/>
      <c r="BV414" s="14"/>
      <c r="BW414" s="14"/>
      <c r="BX414" s="14"/>
      <c r="BY414" s="14"/>
      <c r="BZ414" s="14"/>
      <c r="CA414" s="14"/>
      <c r="CB414" s="14"/>
      <c r="CC414" s="14"/>
      <c r="CD414" s="14"/>
      <c r="CE414" s="14"/>
      <c r="CF414" s="14"/>
      <c r="CG414" s="14"/>
      <c r="CH414" s="14"/>
      <c r="CI414" s="14"/>
      <c r="CJ414" s="14"/>
      <c r="CK414" s="14"/>
      <c r="CL414" s="14"/>
      <c r="CM414" s="14"/>
      <c r="CN414" s="14"/>
      <c r="CO414" s="14"/>
      <c r="CP414" s="14"/>
      <c r="CQ414" s="14"/>
      <c r="CR414" s="14"/>
      <c r="CS414" s="14"/>
      <c r="CT414" s="14"/>
      <c r="CU414" s="14"/>
      <c r="CV414" s="14"/>
      <c r="CW414" s="14"/>
      <c r="CX414" s="14"/>
      <c r="CY414" s="14"/>
      <c r="CZ414" s="14"/>
      <c r="DA414" s="14"/>
      <c r="DB414" s="14"/>
      <c r="DC414" s="14"/>
    </row>
    <row r="415" spans="2:107">
      <c r="B415" s="114" t="s">
        <v>642</v>
      </c>
      <c r="C415" s="59"/>
      <c r="D415" s="60"/>
      <c r="E415" s="60"/>
      <c r="F415" s="60"/>
      <c r="G415" s="60"/>
      <c r="H415" s="60"/>
      <c r="I415" s="60"/>
      <c r="J415" s="60"/>
      <c r="K415" s="60"/>
      <c r="L415" s="59"/>
      <c r="M415" s="59"/>
      <c r="N415" s="59"/>
      <c r="O415" s="59"/>
      <c r="P415" s="59"/>
      <c r="Q415" s="59"/>
      <c r="R415" s="59"/>
      <c r="S415" s="59"/>
      <c r="T415" s="59"/>
      <c r="U415" s="59"/>
      <c r="V415" s="59"/>
      <c r="W415" s="59"/>
      <c r="X415" s="59"/>
      <c r="Y415" s="59"/>
      <c r="Z415" s="59"/>
      <c r="AA415" s="59"/>
      <c r="AB415" s="59"/>
      <c r="AC415" s="59"/>
      <c r="AD415" s="59"/>
      <c r="AE415" s="67"/>
      <c r="AF415" s="59"/>
      <c r="AG415" s="59"/>
      <c r="AH415" s="59"/>
      <c r="AI415" s="59"/>
      <c r="AJ415" s="59"/>
      <c r="AK415" s="59"/>
      <c r="AL415" s="59"/>
      <c r="AM415" s="59"/>
      <c r="AN415" s="59"/>
      <c r="AO415" s="59"/>
      <c r="AP415" s="59"/>
      <c r="AQ415" s="59"/>
      <c r="AR415" s="59"/>
      <c r="AS415" s="59"/>
      <c r="AT415" s="59"/>
      <c r="AU415" s="59"/>
      <c r="AV415" s="59"/>
      <c r="AW415" s="59"/>
      <c r="AX415" s="59"/>
      <c r="AY415" s="59"/>
      <c r="AZ415" s="59"/>
      <c r="BA415" s="59"/>
      <c r="BB415" s="59"/>
      <c r="BC415" s="59"/>
      <c r="BD415" s="64"/>
      <c r="BE415" s="64"/>
      <c r="BF415" s="64"/>
      <c r="BG415" s="64"/>
      <c r="BH415" s="62"/>
      <c r="BI415" s="62">
        <f t="shared" ref="BI415:BO415" si="497">BI412-BH412</f>
        <v>0</v>
      </c>
      <c r="BJ415" s="62">
        <f t="shared" si="497"/>
        <v>1000</v>
      </c>
      <c r="BK415" s="62">
        <f t="shared" si="497"/>
        <v>0</v>
      </c>
      <c r="BL415" s="62">
        <f t="shared" si="497"/>
        <v>300</v>
      </c>
      <c r="BM415" s="62">
        <f t="shared" si="497"/>
        <v>200</v>
      </c>
      <c r="BN415" s="62">
        <f t="shared" si="497"/>
        <v>600</v>
      </c>
      <c r="BO415" s="62">
        <f t="shared" si="497"/>
        <v>400</v>
      </c>
      <c r="BP415" s="62"/>
      <c r="BQ415" s="62"/>
      <c r="BR415" s="62"/>
      <c r="BS415" s="62"/>
      <c r="BT415" s="62"/>
      <c r="BU415" s="62"/>
      <c r="BV415" s="66"/>
      <c r="BW415" s="66"/>
      <c r="BX415" s="66"/>
      <c r="BY415" s="66"/>
      <c r="BZ415" s="66"/>
      <c r="CA415" s="66"/>
      <c r="CB415" s="66"/>
      <c r="CC415" s="66"/>
      <c r="CD415" s="66"/>
      <c r="CE415" s="66"/>
      <c r="CF415" s="66"/>
      <c r="CG415" s="66"/>
      <c r="CH415" s="66"/>
      <c r="CI415" s="66"/>
      <c r="CJ415" s="66"/>
      <c r="CK415" s="66"/>
      <c r="CL415" s="66"/>
      <c r="CM415" s="66"/>
      <c r="CN415" s="66"/>
      <c r="CO415" s="66"/>
      <c r="CP415" s="66"/>
      <c r="CQ415" s="66"/>
      <c r="CR415" s="66"/>
      <c r="CS415" s="66"/>
      <c r="CT415" s="66"/>
      <c r="CU415" s="66"/>
      <c r="CV415" s="66"/>
      <c r="CW415" s="66"/>
      <c r="CX415" s="66"/>
      <c r="CY415" s="66"/>
      <c r="CZ415" s="66"/>
      <c r="DA415" s="66"/>
      <c r="DB415" s="66"/>
      <c r="DC415" s="66"/>
    </row>
    <row r="416" spans="2:107">
      <c r="B416" s="25" t="s">
        <v>1425</v>
      </c>
      <c r="C416" s="23"/>
      <c r="D416" s="15"/>
      <c r="E416" s="15"/>
      <c r="F416" s="15"/>
      <c r="G416" s="15"/>
      <c r="H416" s="15"/>
      <c r="I416" s="15"/>
      <c r="J416" s="15"/>
      <c r="K416" s="15"/>
      <c r="L416" s="23"/>
      <c r="M416" s="23"/>
      <c r="N416" s="27"/>
      <c r="O416" s="23">
        <f>SUM(BT416:BW416)</f>
        <v>500</v>
      </c>
      <c r="P416" s="23"/>
      <c r="Q416" s="23"/>
      <c r="R416" s="23"/>
      <c r="S416" s="23"/>
      <c r="T416" s="23"/>
      <c r="U416" s="23"/>
      <c r="V416" s="23"/>
      <c r="W416" s="23"/>
      <c r="X416" s="23"/>
      <c r="Y416" s="23"/>
      <c r="Z416" s="23"/>
      <c r="AA416" s="23"/>
      <c r="AB416" s="23"/>
      <c r="AC416" s="23"/>
      <c r="AD416" s="23"/>
      <c r="AE416" s="23"/>
      <c r="AF416" s="23"/>
      <c r="AG416" s="23"/>
      <c r="AH416" s="23"/>
      <c r="AI416" s="23"/>
      <c r="AJ416" s="23"/>
      <c r="AK416" s="23"/>
      <c r="AL416" s="23"/>
      <c r="AM416" s="23"/>
      <c r="AN416" s="23"/>
      <c r="AO416" s="23"/>
      <c r="AP416" s="23"/>
      <c r="AQ416" s="23"/>
      <c r="AR416" s="23"/>
      <c r="AS416" s="23"/>
      <c r="AT416" s="23"/>
      <c r="AU416" s="23"/>
      <c r="AV416" s="23"/>
      <c r="AW416" s="23"/>
      <c r="AX416" s="23"/>
      <c r="AY416" s="23"/>
      <c r="AZ416" s="23"/>
      <c r="BA416" s="23"/>
      <c r="BB416" s="23"/>
      <c r="BC416" s="23"/>
      <c r="BD416" s="35"/>
      <c r="BE416" s="35"/>
      <c r="BF416" s="35"/>
      <c r="BG416" s="35"/>
      <c r="BH416" s="35"/>
      <c r="BI416" s="35"/>
      <c r="BJ416" s="35"/>
      <c r="BK416" s="35"/>
      <c r="BL416" s="36"/>
      <c r="BM416" s="36"/>
      <c r="BN416" s="36"/>
      <c r="BO416" s="36"/>
      <c r="BP416" s="35"/>
      <c r="BQ416" s="20"/>
      <c r="BR416" s="35"/>
      <c r="BS416" s="35"/>
      <c r="BT416" s="35"/>
      <c r="BU416" s="117">
        <v>500</v>
      </c>
      <c r="BV416" s="35"/>
      <c r="BW416" s="35"/>
      <c r="BX416" s="35"/>
      <c r="BY416" s="35"/>
      <c r="BZ416" s="35"/>
      <c r="CA416" s="35"/>
      <c r="CB416" s="35"/>
      <c r="CC416" s="35"/>
      <c r="CD416" s="35"/>
      <c r="CE416" s="35"/>
      <c r="CF416" s="35"/>
      <c r="CG416" s="35"/>
      <c r="CH416" s="35"/>
      <c r="CI416" s="35"/>
      <c r="CJ416" s="35"/>
      <c r="CK416" s="35"/>
      <c r="CL416" s="35"/>
      <c r="CM416" s="35"/>
      <c r="CN416" s="35"/>
      <c r="CO416" s="35"/>
      <c r="CP416" s="35"/>
      <c r="CQ416" s="35"/>
      <c r="CR416" s="35"/>
      <c r="CS416" s="35"/>
      <c r="CT416" s="35"/>
      <c r="CU416" s="35"/>
      <c r="CV416" s="35"/>
      <c r="CW416" s="35"/>
      <c r="CX416" s="35"/>
      <c r="CY416" s="35"/>
      <c r="CZ416" s="35"/>
      <c r="DA416" s="35"/>
      <c r="DB416" s="35"/>
      <c r="DC416" s="35"/>
    </row>
    <row r="417" spans="2:107">
      <c r="B417" s="1036" t="s">
        <v>1908</v>
      </c>
      <c r="C417" s="23"/>
      <c r="D417" s="15"/>
      <c r="E417" s="15"/>
      <c r="F417" s="15"/>
      <c r="G417" s="15"/>
      <c r="H417" s="15"/>
      <c r="I417" s="15"/>
      <c r="J417" s="15"/>
      <c r="K417" s="15"/>
      <c r="L417" s="23"/>
      <c r="M417" s="23"/>
      <c r="N417" s="27"/>
      <c r="O417" s="23"/>
      <c r="P417" s="109">
        <f t="shared" ref="P417:P422" si="498">SUM(BX417:CA417)</f>
        <v>0</v>
      </c>
      <c r="Q417" s="16">
        <f t="shared" ref="Q417:Q422" si="499">SUM(CB417:CE417)</f>
        <v>0</v>
      </c>
      <c r="R417" s="16">
        <f t="shared" ref="R417:R424" si="500">+SUM(CF417:CI417)</f>
        <v>0</v>
      </c>
      <c r="S417" s="16">
        <f t="shared" ref="S417:S429" si="501">+SUM(CJ417:CM417)</f>
        <v>0</v>
      </c>
      <c r="T417" s="16">
        <f t="shared" ref="T417:T454" si="502">+SUM(CN417:CQ417)</f>
        <v>275</v>
      </c>
      <c r="U417" s="16">
        <f>+SUM(CR417:CU417)</f>
        <v>0</v>
      </c>
      <c r="V417" s="16">
        <f>+SUM(CV417:CY417)</f>
        <v>0</v>
      </c>
      <c r="W417" s="16">
        <f>+SUM(CZ417:DC417)</f>
        <v>0</v>
      </c>
      <c r="X417" s="23"/>
      <c r="Y417" s="23"/>
      <c r="Z417" s="23"/>
      <c r="AA417" s="23"/>
      <c r="AB417" s="23"/>
      <c r="AC417" s="23"/>
      <c r="AD417" s="23"/>
      <c r="AE417" s="23"/>
      <c r="AF417" s="23"/>
      <c r="AG417" s="23"/>
      <c r="AH417" s="23"/>
      <c r="AI417" s="23"/>
      <c r="AJ417" s="23"/>
      <c r="AK417" s="23"/>
      <c r="AL417" s="23"/>
      <c r="AM417" s="23"/>
      <c r="AN417" s="23"/>
      <c r="AO417" s="23"/>
      <c r="AP417" s="23"/>
      <c r="AQ417" s="23"/>
      <c r="AR417" s="23"/>
      <c r="AS417" s="23"/>
      <c r="AT417" s="23"/>
      <c r="AU417" s="23"/>
      <c r="AV417" s="23"/>
      <c r="AW417" s="23"/>
      <c r="AX417" s="23"/>
      <c r="AY417" s="23"/>
      <c r="AZ417" s="23"/>
      <c r="BA417" s="23"/>
      <c r="BB417" s="23"/>
      <c r="BC417" s="23"/>
      <c r="BD417" s="35"/>
      <c r="BE417" s="35"/>
      <c r="BF417" s="35"/>
      <c r="BG417" s="35"/>
      <c r="BH417" s="35"/>
      <c r="BI417" s="35"/>
      <c r="BJ417" s="35"/>
      <c r="BK417" s="35"/>
      <c r="BL417" s="36"/>
      <c r="BM417" s="36"/>
      <c r="BN417" s="36"/>
      <c r="BO417" s="36"/>
      <c r="BP417" s="35"/>
      <c r="BQ417" s="20"/>
      <c r="BR417" s="35"/>
      <c r="BS417" s="35"/>
      <c r="BT417" s="35"/>
      <c r="BU417" s="117"/>
      <c r="BV417" s="35"/>
      <c r="BW417" s="35"/>
      <c r="BX417" s="35"/>
      <c r="BY417" s="119"/>
      <c r="BZ417" s="119"/>
      <c r="CA417" s="119"/>
      <c r="CB417" s="119"/>
      <c r="CC417" s="119"/>
      <c r="CD417" s="119"/>
      <c r="CE417" s="119"/>
      <c r="CF417" s="119"/>
      <c r="CG417" s="119"/>
      <c r="CH417" s="119"/>
      <c r="CI417" s="119"/>
      <c r="CJ417" s="119"/>
      <c r="CK417" s="119"/>
      <c r="CL417" s="119"/>
      <c r="CM417" s="119"/>
      <c r="CN417" s="117"/>
      <c r="CO417" s="117"/>
      <c r="CP417" s="117">
        <v>275</v>
      </c>
      <c r="CS417" s="119"/>
      <c r="CT417" s="119"/>
      <c r="CU417" s="119"/>
      <c r="CV417" s="119"/>
      <c r="CW417" s="119"/>
      <c r="CX417" s="119"/>
      <c r="CY417" s="119"/>
      <c r="CZ417" s="119"/>
      <c r="DA417" s="119"/>
      <c r="DB417" s="119"/>
      <c r="DC417" s="119"/>
    </row>
    <row r="418" spans="2:107">
      <c r="B418" s="1036" t="s">
        <v>2533</v>
      </c>
      <c r="C418" s="23"/>
      <c r="D418" s="15"/>
      <c r="E418" s="15"/>
      <c r="F418" s="15"/>
      <c r="G418" s="15"/>
      <c r="H418" s="15"/>
      <c r="I418" s="15"/>
      <c r="J418" s="15"/>
      <c r="K418" s="15"/>
      <c r="L418" s="23"/>
      <c r="M418" s="23"/>
      <c r="N418" s="27"/>
      <c r="O418" s="23"/>
      <c r="P418" s="109">
        <f t="shared" si="498"/>
        <v>0</v>
      </c>
      <c r="Q418" s="16">
        <f t="shared" si="499"/>
        <v>0</v>
      </c>
      <c r="R418" s="16">
        <f t="shared" si="500"/>
        <v>0</v>
      </c>
      <c r="S418" s="16">
        <f>+SUM(CJ418:CM418)</f>
        <v>0</v>
      </c>
      <c r="T418" s="16">
        <f>+SUM(CN418:CQ418)</f>
        <v>0</v>
      </c>
      <c r="U418" s="16">
        <f>+SUM(CR418:CU418)</f>
        <v>0</v>
      </c>
      <c r="V418" s="16">
        <f t="shared" ref="V418:V454" si="503">+SUM(CV418:CY418)</f>
        <v>315</v>
      </c>
      <c r="W418" s="16">
        <f t="shared" ref="W418:W454" si="504">+SUM(CZ418:DC418)</f>
        <v>0</v>
      </c>
      <c r="X418" s="23"/>
      <c r="Y418" s="23"/>
      <c r="Z418" s="23"/>
      <c r="AA418" s="23"/>
      <c r="AB418" s="23"/>
      <c r="AC418" s="23"/>
      <c r="AD418" s="23"/>
      <c r="AE418" s="23"/>
      <c r="AF418" s="23"/>
      <c r="AG418" s="23"/>
      <c r="AH418" s="23"/>
      <c r="AI418" s="23"/>
      <c r="AJ418" s="23"/>
      <c r="AK418" s="23"/>
      <c r="AL418" s="23"/>
      <c r="AM418" s="23"/>
      <c r="AN418" s="23"/>
      <c r="AO418" s="23"/>
      <c r="AP418" s="23"/>
      <c r="AQ418" s="23"/>
      <c r="AR418" s="23"/>
      <c r="AS418" s="23"/>
      <c r="AT418" s="23"/>
      <c r="AU418" s="23"/>
      <c r="AV418" s="23"/>
      <c r="AW418" s="23"/>
      <c r="AX418" s="23"/>
      <c r="AY418" s="23"/>
      <c r="AZ418" s="23"/>
      <c r="BA418" s="23"/>
      <c r="BB418" s="23"/>
      <c r="BC418" s="23"/>
      <c r="BD418" s="35"/>
      <c r="BE418" s="35"/>
      <c r="BF418" s="35"/>
      <c r="BG418" s="35"/>
      <c r="BH418" s="35"/>
      <c r="BI418" s="35"/>
      <c r="BJ418" s="35"/>
      <c r="BK418" s="35"/>
      <c r="BL418" s="36"/>
      <c r="BM418" s="36"/>
      <c r="BN418" s="36"/>
      <c r="BO418" s="36"/>
      <c r="BP418" s="35"/>
      <c r="BQ418" s="20"/>
      <c r="BR418" s="35"/>
      <c r="BS418" s="35"/>
      <c r="BT418" s="35"/>
      <c r="BU418" s="117"/>
      <c r="BV418" s="35"/>
      <c r="BW418" s="35"/>
      <c r="BX418" s="35"/>
      <c r="BY418" s="119"/>
      <c r="BZ418" s="119"/>
      <c r="CA418" s="119"/>
      <c r="CB418" s="119"/>
      <c r="CC418" s="119"/>
      <c r="CD418" s="119"/>
      <c r="CE418" s="119"/>
      <c r="CF418" s="119"/>
      <c r="CG418" s="119"/>
      <c r="CH418" s="119"/>
      <c r="CI418" s="119"/>
      <c r="CJ418" s="119"/>
      <c r="CK418" s="119"/>
      <c r="CL418" s="119"/>
      <c r="CM418" s="119"/>
      <c r="CN418" s="117"/>
      <c r="CO418" s="117"/>
      <c r="CP418" s="117"/>
      <c r="CS418" s="119"/>
      <c r="CT418" s="117"/>
      <c r="CU418" s="119"/>
      <c r="CV418" s="117"/>
      <c r="CW418" s="117">
        <v>315</v>
      </c>
      <c r="CX418" s="119"/>
      <c r="CY418" s="119"/>
      <c r="CZ418" s="119"/>
      <c r="DA418" s="119"/>
      <c r="DB418" s="119"/>
      <c r="DC418" s="119"/>
    </row>
    <row r="419" spans="2:107">
      <c r="B419" s="1036" t="s">
        <v>2534</v>
      </c>
      <c r="C419" s="23"/>
      <c r="D419" s="15"/>
      <c r="E419" s="15"/>
      <c r="F419" s="15"/>
      <c r="G419" s="15"/>
      <c r="H419" s="15"/>
      <c r="I419" s="15"/>
      <c r="J419" s="15"/>
      <c r="K419" s="15"/>
      <c r="L419" s="23"/>
      <c r="M419" s="23"/>
      <c r="N419" s="27"/>
      <c r="O419" s="23"/>
      <c r="P419" s="109">
        <f t="shared" si="498"/>
        <v>0</v>
      </c>
      <c r="Q419" s="16">
        <f t="shared" si="499"/>
        <v>0</v>
      </c>
      <c r="R419" s="16">
        <f t="shared" si="500"/>
        <v>0</v>
      </c>
      <c r="S419" s="16">
        <f>+SUM(CJ419:CM419)</f>
        <v>0</v>
      </c>
      <c r="T419" s="16">
        <f>+SUM(CN419:CQ419)</f>
        <v>0</v>
      </c>
      <c r="U419" s="16">
        <f>+SUM(CR419:CU419)</f>
        <v>0</v>
      </c>
      <c r="V419" s="16">
        <f t="shared" si="503"/>
        <v>200</v>
      </c>
      <c r="W419" s="16">
        <f t="shared" si="504"/>
        <v>0</v>
      </c>
      <c r="X419" s="23"/>
      <c r="Y419" s="23"/>
      <c r="Z419" s="23"/>
      <c r="AA419" s="23"/>
      <c r="AB419" s="23"/>
      <c r="AC419" s="23"/>
      <c r="AD419" s="23"/>
      <c r="AE419" s="23"/>
      <c r="AF419" s="23"/>
      <c r="AG419" s="23"/>
      <c r="AH419" s="23"/>
      <c r="AI419" s="23"/>
      <c r="AJ419" s="23"/>
      <c r="AK419" s="23"/>
      <c r="AL419" s="23"/>
      <c r="AM419" s="23"/>
      <c r="AN419" s="23"/>
      <c r="AO419" s="23"/>
      <c r="AP419" s="23"/>
      <c r="AQ419" s="23"/>
      <c r="AR419" s="23"/>
      <c r="AS419" s="23"/>
      <c r="AT419" s="23"/>
      <c r="AU419" s="23"/>
      <c r="AV419" s="23"/>
      <c r="AW419" s="23"/>
      <c r="AX419" s="23"/>
      <c r="AY419" s="23"/>
      <c r="AZ419" s="23"/>
      <c r="BA419" s="23"/>
      <c r="BB419" s="23"/>
      <c r="BC419" s="23"/>
      <c r="BD419" s="35"/>
      <c r="BE419" s="35"/>
      <c r="BF419" s="35"/>
      <c r="BG419" s="35"/>
      <c r="BH419" s="35"/>
      <c r="BI419" s="35"/>
      <c r="BJ419" s="35"/>
      <c r="BK419" s="35"/>
      <c r="BL419" s="36"/>
      <c r="BM419" s="36"/>
      <c r="BN419" s="36"/>
      <c r="BO419" s="36"/>
      <c r="BP419" s="35"/>
      <c r="BQ419" s="20"/>
      <c r="BR419" s="35"/>
      <c r="BS419" s="35"/>
      <c r="BT419" s="35"/>
      <c r="BU419" s="117"/>
      <c r="BV419" s="35"/>
      <c r="BW419" s="35"/>
      <c r="BX419" s="35"/>
      <c r="BY419" s="119"/>
      <c r="BZ419" s="119"/>
      <c r="CA419" s="119"/>
      <c r="CB419" s="119"/>
      <c r="CC419" s="119"/>
      <c r="CD419" s="119"/>
      <c r="CE419" s="119"/>
      <c r="CF419" s="119"/>
      <c r="CG419" s="119"/>
      <c r="CH419" s="119"/>
      <c r="CI419" s="119"/>
      <c r="CJ419" s="119"/>
      <c r="CK419" s="119"/>
      <c r="CL419" s="119"/>
      <c r="CM419" s="119"/>
      <c r="CN419" s="117"/>
      <c r="CO419" s="117"/>
      <c r="CP419" s="117"/>
      <c r="CS419" s="119"/>
      <c r="CT419" s="117"/>
      <c r="CU419" s="119"/>
      <c r="CV419" s="117"/>
      <c r="CW419" s="117">
        <v>200</v>
      </c>
      <c r="CX419" s="119"/>
      <c r="CY419" s="119"/>
      <c r="CZ419" s="119"/>
      <c r="DA419" s="119"/>
      <c r="DB419" s="119"/>
      <c r="DC419" s="119"/>
    </row>
    <row r="420" spans="2:107">
      <c r="B420" s="25" t="s">
        <v>92</v>
      </c>
      <c r="C420" s="23"/>
      <c r="D420" s="15"/>
      <c r="E420" s="15"/>
      <c r="F420" s="15"/>
      <c r="G420" s="15"/>
      <c r="H420" s="15"/>
      <c r="I420" s="15"/>
      <c r="J420" s="15"/>
      <c r="K420" s="15"/>
      <c r="L420" s="23"/>
      <c r="M420" s="23"/>
      <c r="N420" s="27"/>
      <c r="O420" s="23"/>
      <c r="P420" s="109">
        <f t="shared" si="498"/>
        <v>0</v>
      </c>
      <c r="Q420" s="16">
        <f t="shared" si="499"/>
        <v>1000</v>
      </c>
      <c r="R420" s="16">
        <f t="shared" si="500"/>
        <v>0</v>
      </c>
      <c r="S420" s="16">
        <f t="shared" si="501"/>
        <v>0</v>
      </c>
      <c r="T420" s="16">
        <f t="shared" si="502"/>
        <v>0</v>
      </c>
      <c r="U420" s="16">
        <f t="shared" ref="U420:U454" si="505">+SUM(CR420:CU420)</f>
        <v>0</v>
      </c>
      <c r="V420" s="16">
        <f t="shared" si="503"/>
        <v>0</v>
      </c>
      <c r="W420" s="16">
        <f t="shared" si="504"/>
        <v>0</v>
      </c>
      <c r="X420" s="23"/>
      <c r="Y420" s="23"/>
      <c r="Z420" s="23"/>
      <c r="AA420" s="23"/>
      <c r="AB420" s="23"/>
      <c r="AC420" s="23"/>
      <c r="AD420" s="23"/>
      <c r="AE420" s="23"/>
      <c r="AF420" s="23"/>
      <c r="AG420" s="23"/>
      <c r="AH420" s="23"/>
      <c r="AI420" s="23"/>
      <c r="AJ420" s="23"/>
      <c r="AK420" s="23"/>
      <c r="AL420" s="23"/>
      <c r="AM420" s="23"/>
      <c r="AN420" s="23"/>
      <c r="AO420" s="23"/>
      <c r="AP420" s="23"/>
      <c r="AQ420" s="23"/>
      <c r="AR420" s="23"/>
      <c r="AS420" s="23"/>
      <c r="AT420" s="23"/>
      <c r="AU420" s="23"/>
      <c r="AV420" s="23"/>
      <c r="AW420" s="23"/>
      <c r="AX420" s="23"/>
      <c r="AY420" s="23"/>
      <c r="AZ420" s="23"/>
      <c r="BA420" s="23"/>
      <c r="BB420" s="23"/>
      <c r="BC420" s="23"/>
      <c r="BD420" s="35"/>
      <c r="BE420" s="35"/>
      <c r="BF420" s="35"/>
      <c r="BG420" s="35"/>
      <c r="BH420" s="35"/>
      <c r="BI420" s="35"/>
      <c r="BJ420" s="35"/>
      <c r="BK420" s="35"/>
      <c r="BL420" s="36"/>
      <c r="BM420" s="36"/>
      <c r="BN420" s="36"/>
      <c r="BO420" s="36"/>
      <c r="BP420" s="35"/>
      <c r="BQ420" s="20"/>
      <c r="BR420" s="35"/>
      <c r="BS420" s="35"/>
      <c r="BT420" s="35"/>
      <c r="BU420" s="117"/>
      <c r="BV420" s="35"/>
      <c r="BW420" s="35"/>
      <c r="BX420" s="35"/>
      <c r="BY420" s="119"/>
      <c r="BZ420" s="119"/>
      <c r="CA420" s="119"/>
      <c r="CB420" s="119"/>
      <c r="CC420" s="119"/>
      <c r="CD420" s="119">
        <v>1000</v>
      </c>
      <c r="CE420" s="119"/>
      <c r="CF420" s="119"/>
      <c r="CG420" s="119"/>
      <c r="CH420" s="119"/>
      <c r="CI420" s="119"/>
      <c r="CJ420" s="119"/>
      <c r="CK420" s="119"/>
      <c r="CL420" s="119"/>
      <c r="CM420" s="119"/>
      <c r="CN420" s="117"/>
      <c r="CO420" s="117"/>
      <c r="CP420" s="117"/>
      <c r="CS420" s="119"/>
      <c r="CT420" s="117"/>
      <c r="CU420" s="119"/>
      <c r="CV420" s="119"/>
      <c r="CW420" s="119"/>
      <c r="CX420" s="119"/>
      <c r="CY420" s="119"/>
      <c r="CZ420" s="119"/>
      <c r="DA420" s="119"/>
      <c r="DB420" s="119"/>
      <c r="DC420" s="119"/>
    </row>
    <row r="421" spans="2:107">
      <c r="B421" s="1036" t="s">
        <v>1907</v>
      </c>
      <c r="C421" s="23"/>
      <c r="D421" s="15"/>
      <c r="E421" s="15"/>
      <c r="F421" s="15"/>
      <c r="G421" s="15"/>
      <c r="H421" s="15"/>
      <c r="I421" s="15"/>
      <c r="J421" s="15"/>
      <c r="K421" s="15"/>
      <c r="L421" s="23"/>
      <c r="M421" s="23"/>
      <c r="N421" s="27"/>
      <c r="O421" s="23"/>
      <c r="P421" s="109">
        <f t="shared" si="498"/>
        <v>0</v>
      </c>
      <c r="Q421" s="16">
        <f t="shared" si="499"/>
        <v>0</v>
      </c>
      <c r="R421" s="16">
        <f t="shared" si="500"/>
        <v>0</v>
      </c>
      <c r="S421" s="16">
        <f t="shared" si="501"/>
        <v>0</v>
      </c>
      <c r="T421" s="16">
        <f t="shared" si="502"/>
        <v>900</v>
      </c>
      <c r="U421" s="16">
        <f t="shared" si="505"/>
        <v>0</v>
      </c>
      <c r="V421" s="16">
        <f t="shared" si="503"/>
        <v>0</v>
      </c>
      <c r="W421" s="16">
        <f t="shared" si="504"/>
        <v>0</v>
      </c>
      <c r="X421" s="23"/>
      <c r="Y421" s="23"/>
      <c r="Z421" s="23"/>
      <c r="AA421" s="23"/>
      <c r="AB421" s="23"/>
      <c r="AC421" s="23"/>
      <c r="AD421" s="23"/>
      <c r="AE421" s="23"/>
      <c r="AF421" s="23"/>
      <c r="AG421" s="23"/>
      <c r="AH421" s="23"/>
      <c r="AI421" s="23"/>
      <c r="AJ421" s="23"/>
      <c r="AK421" s="23"/>
      <c r="AL421" s="23"/>
      <c r="AM421" s="23"/>
      <c r="AN421" s="23"/>
      <c r="AO421" s="23"/>
      <c r="AP421" s="23"/>
      <c r="AQ421" s="23"/>
      <c r="AR421" s="23"/>
      <c r="AS421" s="23"/>
      <c r="AT421" s="23"/>
      <c r="AU421" s="23"/>
      <c r="AV421" s="23"/>
      <c r="AW421" s="23"/>
      <c r="AX421" s="23"/>
      <c r="AY421" s="23"/>
      <c r="AZ421" s="23"/>
      <c r="BA421" s="23"/>
      <c r="BB421" s="23"/>
      <c r="BC421" s="23"/>
      <c r="BD421" s="35"/>
      <c r="BE421" s="35"/>
      <c r="BF421" s="35"/>
      <c r="BG421" s="35"/>
      <c r="BH421" s="35"/>
      <c r="BI421" s="35"/>
      <c r="BJ421" s="35"/>
      <c r="BK421" s="35"/>
      <c r="BL421" s="36"/>
      <c r="BM421" s="36"/>
      <c r="BN421" s="36"/>
      <c r="BO421" s="36"/>
      <c r="BP421" s="35"/>
      <c r="BQ421" s="20"/>
      <c r="BR421" s="35"/>
      <c r="BS421" s="35"/>
      <c r="BT421" s="35"/>
      <c r="BU421" s="117"/>
      <c r="BV421" s="35"/>
      <c r="BW421" s="35"/>
      <c r="BX421" s="35"/>
      <c r="BY421" s="119"/>
      <c r="BZ421" s="119"/>
      <c r="CA421" s="119"/>
      <c r="CB421" s="119"/>
      <c r="CC421" s="119"/>
      <c r="CD421" s="119"/>
      <c r="CE421" s="119"/>
      <c r="CF421" s="119"/>
      <c r="CG421" s="119"/>
      <c r="CH421" s="119"/>
      <c r="CI421" s="119"/>
      <c r="CJ421" s="119"/>
      <c r="CK421" s="119"/>
      <c r="CL421" s="119"/>
      <c r="CM421" s="119"/>
      <c r="CN421" s="117"/>
      <c r="CO421" s="117"/>
      <c r="CP421" s="117">
        <v>900</v>
      </c>
      <c r="CS421" s="119"/>
      <c r="CT421" s="117"/>
      <c r="CU421" s="119"/>
      <c r="CV421" s="119"/>
      <c r="CW421" s="119"/>
      <c r="CX421" s="119"/>
      <c r="CY421" s="119"/>
      <c r="CZ421" s="119"/>
      <c r="DA421" s="119"/>
      <c r="DB421" s="119"/>
      <c r="DC421" s="119"/>
    </row>
    <row r="422" spans="2:107">
      <c r="B422" s="1036" t="s">
        <v>2494</v>
      </c>
      <c r="C422" s="23"/>
      <c r="D422" s="15"/>
      <c r="E422" s="15"/>
      <c r="F422" s="15"/>
      <c r="G422" s="15"/>
      <c r="H422" s="15"/>
      <c r="I422" s="15"/>
      <c r="J422" s="15"/>
      <c r="K422" s="15"/>
      <c r="L422" s="23"/>
      <c r="M422" s="23"/>
      <c r="N422" s="27"/>
      <c r="O422" s="23"/>
      <c r="P422" s="109">
        <f t="shared" si="498"/>
        <v>0</v>
      </c>
      <c r="Q422" s="16">
        <f t="shared" si="499"/>
        <v>0</v>
      </c>
      <c r="R422" s="16">
        <f t="shared" si="500"/>
        <v>0</v>
      </c>
      <c r="S422" s="16">
        <f>+SUM(CJ422:CM422)</f>
        <v>0</v>
      </c>
      <c r="T422" s="16">
        <f>+SUM(CN422:CQ422)</f>
        <v>900</v>
      </c>
      <c r="U422" s="16">
        <f>+SUM(CR422:CU422)</f>
        <v>0</v>
      </c>
      <c r="V422" s="16">
        <f t="shared" si="503"/>
        <v>900</v>
      </c>
      <c r="W422" s="16">
        <f t="shared" si="504"/>
        <v>0</v>
      </c>
      <c r="X422" s="23"/>
      <c r="Y422" s="23"/>
      <c r="Z422" s="23"/>
      <c r="AA422" s="23"/>
      <c r="AB422" s="23"/>
      <c r="AC422" s="23"/>
      <c r="AD422" s="23"/>
      <c r="AE422" s="23"/>
      <c r="AF422" s="23"/>
      <c r="AG422" s="23"/>
      <c r="AH422" s="23"/>
      <c r="AI422" s="23"/>
      <c r="AJ422" s="23"/>
      <c r="AK422" s="23"/>
      <c r="AL422" s="23"/>
      <c r="AM422" s="23"/>
      <c r="AN422" s="23"/>
      <c r="AO422" s="23"/>
      <c r="AP422" s="23"/>
      <c r="AQ422" s="23"/>
      <c r="AR422" s="23"/>
      <c r="AS422" s="23"/>
      <c r="AT422" s="23"/>
      <c r="AU422" s="23"/>
      <c r="AV422" s="23"/>
      <c r="AW422" s="23"/>
      <c r="AX422" s="23"/>
      <c r="AY422" s="23"/>
      <c r="AZ422" s="23"/>
      <c r="BA422" s="23"/>
      <c r="BB422" s="23"/>
      <c r="BC422" s="23"/>
      <c r="BD422" s="35"/>
      <c r="BE422" s="35"/>
      <c r="BF422" s="35"/>
      <c r="BG422" s="35"/>
      <c r="BH422" s="35"/>
      <c r="BI422" s="35"/>
      <c r="BJ422" s="35"/>
      <c r="BK422" s="35"/>
      <c r="BL422" s="36"/>
      <c r="BM422" s="36"/>
      <c r="BN422" s="36"/>
      <c r="BO422" s="36"/>
      <c r="BP422" s="35"/>
      <c r="BQ422" s="20"/>
      <c r="BR422" s="35"/>
      <c r="BS422" s="35"/>
      <c r="BT422" s="35"/>
      <c r="BU422" s="117"/>
      <c r="BV422" s="35"/>
      <c r="BW422" s="35"/>
      <c r="BX422" s="35"/>
      <c r="BY422" s="119"/>
      <c r="BZ422" s="119"/>
      <c r="CA422" s="119"/>
      <c r="CB422" s="119"/>
      <c r="CC422" s="119"/>
      <c r="CD422" s="119"/>
      <c r="CE422" s="119"/>
      <c r="CF422" s="119"/>
      <c r="CG422" s="119"/>
      <c r="CH422" s="119"/>
      <c r="CI422" s="119"/>
      <c r="CJ422" s="119"/>
      <c r="CK422" s="119"/>
      <c r="CL422" s="119"/>
      <c r="CM422" s="119"/>
      <c r="CN422" s="117"/>
      <c r="CO422" s="117"/>
      <c r="CP422" s="117">
        <v>900</v>
      </c>
      <c r="CS422" s="119"/>
      <c r="CT422" s="117"/>
      <c r="CU422" s="119"/>
      <c r="CV422" s="117">
        <v>900</v>
      </c>
      <c r="CW422" s="119"/>
      <c r="CX422" s="119"/>
      <c r="CY422" s="119"/>
      <c r="CZ422" s="119"/>
      <c r="DA422" s="119"/>
      <c r="DB422" s="119"/>
      <c r="DC422" s="119"/>
    </row>
    <row r="423" spans="2:107">
      <c r="B423" s="1036" t="s">
        <v>2494</v>
      </c>
      <c r="C423" s="23"/>
      <c r="D423" s="15"/>
      <c r="E423" s="15"/>
      <c r="F423" s="15"/>
      <c r="G423" s="15"/>
      <c r="H423" s="15"/>
      <c r="I423" s="15"/>
      <c r="J423" s="15"/>
      <c r="K423" s="15"/>
      <c r="L423" s="23"/>
      <c r="M423" s="23"/>
      <c r="N423" s="27"/>
      <c r="O423" s="23"/>
      <c r="P423" s="109">
        <f t="shared" ref="P423" si="506">SUM(BX423:CA423)</f>
        <v>0</v>
      </c>
      <c r="Q423" s="16">
        <f t="shared" ref="Q423" si="507">SUM(CB423:CE423)</f>
        <v>0</v>
      </c>
      <c r="R423" s="16">
        <f t="shared" ref="R423" si="508">+SUM(CF423:CI423)</f>
        <v>0</v>
      </c>
      <c r="S423" s="16">
        <f>+SUM(CJ423:CM423)</f>
        <v>0</v>
      </c>
      <c r="T423" s="16">
        <f>+SUM(CN423:CQ423)</f>
        <v>900</v>
      </c>
      <c r="U423" s="16">
        <f>+SUM(CR423:CU423)</f>
        <v>0</v>
      </c>
      <c r="V423" s="16">
        <f t="shared" ref="V423" si="509">+SUM(CV423:CY423)</f>
        <v>0</v>
      </c>
      <c r="W423" s="16">
        <f t="shared" si="504"/>
        <v>925</v>
      </c>
      <c r="X423" s="23"/>
      <c r="Y423" s="23"/>
      <c r="Z423" s="23"/>
      <c r="AA423" s="23"/>
      <c r="AB423" s="23"/>
      <c r="AC423" s="23"/>
      <c r="AD423" s="23"/>
      <c r="AE423" s="23"/>
      <c r="AF423" s="23"/>
      <c r="AG423" s="23"/>
      <c r="AH423" s="23"/>
      <c r="AI423" s="23"/>
      <c r="AJ423" s="23"/>
      <c r="AK423" s="23"/>
      <c r="AL423" s="23"/>
      <c r="AM423" s="23"/>
      <c r="AN423" s="23"/>
      <c r="AO423" s="23"/>
      <c r="AP423" s="23"/>
      <c r="AQ423" s="23"/>
      <c r="AR423" s="23"/>
      <c r="AS423" s="23"/>
      <c r="AT423" s="23"/>
      <c r="AU423" s="23"/>
      <c r="AV423" s="23"/>
      <c r="AW423" s="23"/>
      <c r="AX423" s="23"/>
      <c r="AY423" s="23"/>
      <c r="AZ423" s="23"/>
      <c r="BA423" s="23"/>
      <c r="BB423" s="23"/>
      <c r="BC423" s="23"/>
      <c r="BD423" s="35"/>
      <c r="BE423" s="35"/>
      <c r="BF423" s="35"/>
      <c r="BG423" s="35"/>
      <c r="BH423" s="35"/>
      <c r="BI423" s="35"/>
      <c r="BJ423" s="35"/>
      <c r="BK423" s="35"/>
      <c r="BL423" s="36"/>
      <c r="BM423" s="36"/>
      <c r="BN423" s="36"/>
      <c r="BO423" s="36"/>
      <c r="BP423" s="35"/>
      <c r="BQ423" s="20"/>
      <c r="BR423" s="35"/>
      <c r="BS423" s="35"/>
      <c r="BT423" s="35"/>
      <c r="BU423" s="117"/>
      <c r="BV423" s="35"/>
      <c r="BW423" s="35"/>
      <c r="BX423" s="35"/>
      <c r="BY423" s="119"/>
      <c r="BZ423" s="119"/>
      <c r="CA423" s="119"/>
      <c r="CB423" s="119"/>
      <c r="CC423" s="119"/>
      <c r="CD423" s="119"/>
      <c r="CE423" s="119"/>
      <c r="CF423" s="119"/>
      <c r="CG423" s="119"/>
      <c r="CH423" s="119"/>
      <c r="CI423" s="119"/>
      <c r="CJ423" s="119"/>
      <c r="CK423" s="119"/>
      <c r="CL423" s="119"/>
      <c r="CM423" s="119"/>
      <c r="CN423" s="117"/>
      <c r="CO423" s="117"/>
      <c r="CP423" s="117">
        <v>900</v>
      </c>
      <c r="CS423" s="119"/>
      <c r="CT423" s="117"/>
      <c r="CU423" s="119"/>
      <c r="CV423" s="117"/>
      <c r="CW423" s="119"/>
      <c r="CX423" s="119"/>
      <c r="CY423" s="119"/>
      <c r="CZ423" s="119"/>
      <c r="DA423" s="119"/>
      <c r="DB423" s="119"/>
      <c r="DC423" s="117">
        <v>925</v>
      </c>
    </row>
    <row r="424" spans="2:107">
      <c r="B424" s="25" t="s">
        <v>1554</v>
      </c>
      <c r="C424" s="23"/>
      <c r="D424" s="15"/>
      <c r="E424" s="15"/>
      <c r="F424" s="15"/>
      <c r="G424" s="15"/>
      <c r="H424" s="15"/>
      <c r="I424" s="15"/>
      <c r="J424" s="15"/>
      <c r="K424" s="15"/>
      <c r="L424" s="23"/>
      <c r="M424" s="23"/>
      <c r="N424" s="27"/>
      <c r="O424" s="23"/>
      <c r="P424" s="109"/>
      <c r="Q424" s="16"/>
      <c r="R424" s="16">
        <f t="shared" si="500"/>
        <v>0</v>
      </c>
      <c r="S424" s="16">
        <f t="shared" si="501"/>
        <v>0</v>
      </c>
      <c r="T424" s="16">
        <f t="shared" si="502"/>
        <v>0</v>
      </c>
      <c r="U424" s="16">
        <f t="shared" si="505"/>
        <v>0</v>
      </c>
      <c r="V424" s="16">
        <f t="shared" si="503"/>
        <v>0</v>
      </c>
      <c r="W424" s="16">
        <f t="shared" si="504"/>
        <v>0</v>
      </c>
      <c r="X424" s="23"/>
      <c r="Y424" s="23"/>
      <c r="Z424" s="23"/>
      <c r="AA424" s="23"/>
      <c r="AB424" s="23"/>
      <c r="AC424" s="23"/>
      <c r="AD424" s="23"/>
      <c r="AE424" s="23"/>
      <c r="AF424" s="23"/>
      <c r="AG424" s="23"/>
      <c r="AH424" s="23"/>
      <c r="AI424" s="23"/>
      <c r="AJ424" s="23"/>
      <c r="AK424" s="23"/>
      <c r="AL424" s="23"/>
      <c r="AM424" s="23"/>
      <c r="AN424" s="23"/>
      <c r="AO424" s="23"/>
      <c r="AP424" s="23"/>
      <c r="AQ424" s="23"/>
      <c r="AR424" s="23"/>
      <c r="AS424" s="23"/>
      <c r="AT424" s="23"/>
      <c r="AU424" s="23"/>
      <c r="AV424" s="23"/>
      <c r="AW424" s="23"/>
      <c r="AX424" s="23"/>
      <c r="AY424" s="23"/>
      <c r="AZ424" s="23"/>
      <c r="BA424" s="23"/>
      <c r="BB424" s="23"/>
      <c r="BC424" s="23"/>
      <c r="BD424" s="35"/>
      <c r="BE424" s="35"/>
      <c r="BF424" s="35"/>
      <c r="BG424" s="35"/>
      <c r="BH424" s="35"/>
      <c r="BI424" s="35"/>
      <c r="BJ424" s="35"/>
      <c r="BK424" s="35"/>
      <c r="BL424" s="36"/>
      <c r="BM424" s="36"/>
      <c r="BN424" s="36"/>
      <c r="BO424" s="36"/>
      <c r="BP424" s="35"/>
      <c r="BQ424" s="20"/>
      <c r="BR424" s="35"/>
      <c r="BS424" s="35"/>
      <c r="BT424" s="35"/>
      <c r="BU424" s="117"/>
      <c r="BV424" s="35"/>
      <c r="BW424" s="35"/>
      <c r="BX424" s="35"/>
      <c r="BY424" s="119"/>
      <c r="BZ424" s="119"/>
      <c r="CA424" s="119"/>
      <c r="CB424" s="119"/>
      <c r="CC424" s="119"/>
      <c r="CD424" s="119"/>
      <c r="CE424" s="119"/>
      <c r="CF424" s="119"/>
      <c r="CG424" s="119"/>
      <c r="CH424" s="119"/>
      <c r="CI424" s="119"/>
      <c r="CJ424" s="119"/>
      <c r="CK424" s="119"/>
      <c r="CL424" s="119"/>
      <c r="CM424" s="119"/>
      <c r="CN424" s="117"/>
      <c r="CO424" s="117"/>
      <c r="CP424" s="117"/>
      <c r="CS424" s="119"/>
      <c r="CT424" s="117"/>
      <c r="CU424" s="119"/>
      <c r="CV424" s="119"/>
      <c r="CW424" s="119"/>
      <c r="CX424" s="119"/>
      <c r="CY424" s="119"/>
      <c r="CZ424" s="119"/>
      <c r="DA424" s="119"/>
      <c r="DB424" s="119"/>
      <c r="DC424" s="119"/>
    </row>
    <row r="425" spans="2:107">
      <c r="B425" s="1036" t="s">
        <v>2685</v>
      </c>
      <c r="C425" s="23"/>
      <c r="D425" s="15"/>
      <c r="E425" s="15"/>
      <c r="F425" s="15"/>
      <c r="G425" s="15"/>
      <c r="H425" s="15"/>
      <c r="I425" s="15"/>
      <c r="J425" s="15"/>
      <c r="K425" s="15"/>
      <c r="L425" s="23"/>
      <c r="M425" s="23"/>
      <c r="N425" s="27"/>
      <c r="O425" s="23"/>
      <c r="P425" s="109">
        <f t="shared" ref="P425" si="510">SUM(BX425:CA425)</f>
        <v>0</v>
      </c>
      <c r="Q425" s="16">
        <f t="shared" ref="Q425" si="511">SUM(CB425:CE425)</f>
        <v>0</v>
      </c>
      <c r="R425" s="16">
        <f t="shared" ref="R425" si="512">+SUM(CF425:CI425)</f>
        <v>0</v>
      </c>
      <c r="S425" s="16">
        <f>+SUM(CJ425:CM425)</f>
        <v>0</v>
      </c>
      <c r="T425" s="16">
        <f>+SUM(CN425:CQ425)</f>
        <v>0</v>
      </c>
      <c r="U425" s="16">
        <f>+SUM(CR425:CU425)</f>
        <v>0</v>
      </c>
      <c r="V425" s="16">
        <f t="shared" ref="V425" si="513">+SUM(CV425:CY425)</f>
        <v>1200</v>
      </c>
      <c r="W425" s="16">
        <f t="shared" si="504"/>
        <v>0</v>
      </c>
      <c r="X425" s="23"/>
      <c r="Y425" s="23"/>
      <c r="Z425" s="23"/>
      <c r="AA425" s="23"/>
      <c r="AB425" s="23"/>
      <c r="AC425" s="23"/>
      <c r="AD425" s="23"/>
      <c r="AE425" s="23"/>
      <c r="AF425" s="23"/>
      <c r="AG425" s="23"/>
      <c r="AH425" s="23"/>
      <c r="AI425" s="23"/>
      <c r="AJ425" s="23"/>
      <c r="AK425" s="23"/>
      <c r="AL425" s="23"/>
      <c r="AM425" s="23"/>
      <c r="AN425" s="23"/>
      <c r="AO425" s="23"/>
      <c r="AP425" s="23"/>
      <c r="AQ425" s="23"/>
      <c r="AR425" s="23"/>
      <c r="AS425" s="23"/>
      <c r="AT425" s="23"/>
      <c r="AU425" s="23"/>
      <c r="AV425" s="23"/>
      <c r="AW425" s="23"/>
      <c r="AX425" s="23"/>
      <c r="AY425" s="23"/>
      <c r="AZ425" s="23"/>
      <c r="BA425" s="23"/>
      <c r="BB425" s="23"/>
      <c r="BC425" s="23"/>
      <c r="BD425" s="35"/>
      <c r="BE425" s="35"/>
      <c r="BF425" s="35"/>
      <c r="BG425" s="35"/>
      <c r="BH425" s="35"/>
      <c r="BI425" s="35"/>
      <c r="BJ425" s="35"/>
      <c r="BK425" s="35"/>
      <c r="BL425" s="36"/>
      <c r="BM425" s="36"/>
      <c r="BN425" s="36"/>
      <c r="BO425" s="36"/>
      <c r="BP425" s="35"/>
      <c r="BQ425" s="20"/>
      <c r="BR425" s="35"/>
      <c r="BS425" s="35"/>
      <c r="BT425" s="35"/>
      <c r="BU425" s="117"/>
      <c r="BV425" s="35"/>
      <c r="BW425" s="35"/>
      <c r="BX425" s="35"/>
      <c r="BY425" s="119"/>
      <c r="BZ425" s="119"/>
      <c r="CA425" s="119"/>
      <c r="CB425" s="119"/>
      <c r="CC425" s="119"/>
      <c r="CD425" s="119"/>
      <c r="CE425" s="119"/>
      <c r="CF425" s="119"/>
      <c r="CG425" s="119"/>
      <c r="CH425" s="119"/>
      <c r="CI425" s="119"/>
      <c r="CJ425" s="119"/>
      <c r="CK425" s="119"/>
      <c r="CL425" s="119"/>
      <c r="CM425" s="119"/>
      <c r="CN425" s="117"/>
      <c r="CO425" s="117"/>
      <c r="CP425" s="117"/>
      <c r="CS425" s="119"/>
      <c r="CT425" s="117"/>
      <c r="CU425" s="119"/>
      <c r="CV425" s="117"/>
      <c r="CW425" s="117"/>
      <c r="CX425" s="119"/>
      <c r="CY425" s="117">
        <v>1200</v>
      </c>
      <c r="CZ425" s="117"/>
      <c r="DA425" s="117"/>
      <c r="DB425" s="117"/>
      <c r="DC425" s="117"/>
    </row>
    <row r="426" spans="2:107">
      <c r="B426" s="25" t="s">
        <v>288</v>
      </c>
      <c r="C426" s="23"/>
      <c r="D426" s="15"/>
      <c r="E426" s="15"/>
      <c r="F426" s="15"/>
      <c r="G426" s="15"/>
      <c r="H426" s="15"/>
      <c r="I426" s="15"/>
      <c r="J426" s="15"/>
      <c r="K426" s="15"/>
      <c r="L426" s="23"/>
      <c r="M426" s="23"/>
      <c r="N426" s="27"/>
      <c r="O426" s="23"/>
      <c r="P426" s="109"/>
      <c r="Q426" s="16"/>
      <c r="R426" s="16"/>
      <c r="S426" s="16">
        <f t="shared" si="501"/>
        <v>375</v>
      </c>
      <c r="T426" s="16">
        <f t="shared" si="502"/>
        <v>0</v>
      </c>
      <c r="U426" s="16">
        <f t="shared" si="505"/>
        <v>0</v>
      </c>
      <c r="V426" s="16">
        <f t="shared" si="503"/>
        <v>0</v>
      </c>
      <c r="W426" s="16">
        <f t="shared" si="504"/>
        <v>0</v>
      </c>
      <c r="X426" s="23"/>
      <c r="Y426" s="23"/>
      <c r="Z426" s="23"/>
      <c r="AA426" s="23"/>
      <c r="AB426" s="23"/>
      <c r="AC426" s="23"/>
      <c r="AD426" s="23"/>
      <c r="AE426" s="23"/>
      <c r="AF426" s="23"/>
      <c r="AG426" s="23"/>
      <c r="AH426" s="23"/>
      <c r="AI426" s="23"/>
      <c r="AJ426" s="23"/>
      <c r="AK426" s="23"/>
      <c r="AL426" s="23"/>
      <c r="AM426" s="23"/>
      <c r="AN426" s="23"/>
      <c r="AO426" s="23"/>
      <c r="AP426" s="23"/>
      <c r="AQ426" s="23"/>
      <c r="AR426" s="23"/>
      <c r="AS426" s="23"/>
      <c r="AT426" s="23"/>
      <c r="AU426" s="23"/>
      <c r="AV426" s="23"/>
      <c r="AW426" s="23"/>
      <c r="AX426" s="23"/>
      <c r="AY426" s="23"/>
      <c r="AZ426" s="23"/>
      <c r="BA426" s="23"/>
      <c r="BB426" s="23"/>
      <c r="BC426" s="23"/>
      <c r="BD426" s="35"/>
      <c r="BE426" s="35"/>
      <c r="BF426" s="35"/>
      <c r="BG426" s="35"/>
      <c r="BH426" s="35"/>
      <c r="BI426" s="35"/>
      <c r="BJ426" s="35"/>
      <c r="BK426" s="35"/>
      <c r="BL426" s="36"/>
      <c r="BM426" s="36"/>
      <c r="BN426" s="36"/>
      <c r="BO426" s="36"/>
      <c r="BP426" s="35"/>
      <c r="BQ426" s="20"/>
      <c r="BR426" s="35"/>
      <c r="BS426" s="35"/>
      <c r="BT426" s="35"/>
      <c r="BU426" s="117"/>
      <c r="BV426" s="35"/>
      <c r="BW426" s="35"/>
      <c r="BX426" s="35"/>
      <c r="BY426" s="119"/>
      <c r="BZ426" s="119"/>
      <c r="CA426" s="119"/>
      <c r="CB426" s="119"/>
      <c r="CC426" s="119"/>
      <c r="CD426" s="119"/>
      <c r="CE426" s="119"/>
      <c r="CF426" s="119"/>
      <c r="CG426" s="119"/>
      <c r="CH426" s="119"/>
      <c r="CI426" s="119"/>
      <c r="CJ426" s="119"/>
      <c r="CK426" s="119"/>
      <c r="CL426" s="119"/>
      <c r="CM426" s="970">
        <v>375</v>
      </c>
      <c r="CN426" s="31"/>
      <c r="CO426" s="31"/>
      <c r="CP426" s="31"/>
      <c r="CS426" s="970"/>
      <c r="CT426" s="31"/>
      <c r="CU426" s="970"/>
      <c r="CV426" s="970"/>
      <c r="CW426" s="970"/>
      <c r="CX426" s="970"/>
      <c r="CY426" s="970"/>
      <c r="CZ426" s="970"/>
      <c r="DA426" s="970"/>
      <c r="DB426" s="970"/>
      <c r="DC426" s="970"/>
    </row>
    <row r="427" spans="2:107">
      <c r="B427" s="1036" t="s">
        <v>1982</v>
      </c>
      <c r="C427" s="23"/>
      <c r="D427" s="15"/>
      <c r="E427" s="15"/>
      <c r="F427" s="15"/>
      <c r="G427" s="15"/>
      <c r="H427" s="15"/>
      <c r="I427" s="15"/>
      <c r="J427" s="15"/>
      <c r="K427" s="15"/>
      <c r="L427" s="23"/>
      <c r="M427" s="23"/>
      <c r="N427" s="27"/>
      <c r="O427" s="23"/>
      <c r="P427" s="109"/>
      <c r="Q427" s="16"/>
      <c r="R427" s="16"/>
      <c r="S427" s="16">
        <f>+SUM(CJ427:CM427)</f>
        <v>0</v>
      </c>
      <c r="T427" s="16">
        <f t="shared" si="502"/>
        <v>0</v>
      </c>
      <c r="U427" s="16">
        <f t="shared" si="505"/>
        <v>750</v>
      </c>
      <c r="V427" s="16">
        <f t="shared" si="503"/>
        <v>0</v>
      </c>
      <c r="W427" s="16">
        <f t="shared" si="504"/>
        <v>0</v>
      </c>
      <c r="X427" s="23"/>
      <c r="Y427" s="23"/>
      <c r="Z427" s="23"/>
      <c r="AA427" s="23"/>
      <c r="AB427" s="23"/>
      <c r="AC427" s="23"/>
      <c r="AD427" s="23"/>
      <c r="AE427" s="23"/>
      <c r="AF427" s="23"/>
      <c r="AG427" s="23"/>
      <c r="AH427" s="23"/>
      <c r="AI427" s="23"/>
      <c r="AJ427" s="23"/>
      <c r="AK427" s="23"/>
      <c r="AL427" s="23"/>
      <c r="AM427" s="23"/>
      <c r="AN427" s="23"/>
      <c r="AO427" s="23"/>
      <c r="AP427" s="23"/>
      <c r="AQ427" s="23"/>
      <c r="AR427" s="23"/>
      <c r="AS427" s="23"/>
      <c r="AT427" s="23"/>
      <c r="AU427" s="23"/>
      <c r="AV427" s="23"/>
      <c r="AW427" s="23"/>
      <c r="AX427" s="23"/>
      <c r="AY427" s="23"/>
      <c r="AZ427" s="23"/>
      <c r="BA427" s="23"/>
      <c r="BB427" s="23"/>
      <c r="BC427" s="23"/>
      <c r="BD427" s="35"/>
      <c r="BE427" s="35"/>
      <c r="BF427" s="35"/>
      <c r="BG427" s="35"/>
      <c r="BH427" s="35"/>
      <c r="BI427" s="35"/>
      <c r="BJ427" s="35"/>
      <c r="BK427" s="35"/>
      <c r="BL427" s="36"/>
      <c r="BM427" s="36"/>
      <c r="BN427" s="36"/>
      <c r="BO427" s="36"/>
      <c r="BP427" s="35"/>
      <c r="BQ427" s="20"/>
      <c r="BR427" s="35"/>
      <c r="BS427" s="35"/>
      <c r="BT427" s="35"/>
      <c r="BU427" s="117"/>
      <c r="BV427" s="35"/>
      <c r="BW427" s="35"/>
      <c r="BX427" s="35"/>
      <c r="BY427" s="119"/>
      <c r="BZ427" s="119"/>
      <c r="CA427" s="119"/>
      <c r="CB427" s="119"/>
      <c r="CC427" s="119"/>
      <c r="CD427" s="119"/>
      <c r="CE427" s="119"/>
      <c r="CF427" s="119"/>
      <c r="CG427" s="119"/>
      <c r="CH427" s="119"/>
      <c r="CI427" s="119"/>
      <c r="CJ427" s="119"/>
      <c r="CK427" s="119"/>
      <c r="CL427" s="119"/>
      <c r="CM427" s="970"/>
      <c r="CN427" s="31"/>
      <c r="CO427" s="31"/>
      <c r="CP427" s="31"/>
      <c r="CR427" s="117">
        <v>750</v>
      </c>
      <c r="CS427" s="970"/>
      <c r="CT427" s="31"/>
      <c r="CU427" s="970"/>
      <c r="CV427" s="970"/>
      <c r="CW427" s="970"/>
      <c r="CX427" s="970"/>
      <c r="CY427" s="970"/>
      <c r="CZ427" s="970"/>
      <c r="DA427" s="970"/>
      <c r="DB427" s="970"/>
      <c r="DC427" s="970"/>
    </row>
    <row r="428" spans="2:107">
      <c r="B428" s="1036" t="s">
        <v>2716</v>
      </c>
      <c r="C428" s="23"/>
      <c r="D428" s="15"/>
      <c r="E428" s="15"/>
      <c r="F428" s="15"/>
      <c r="G428" s="15"/>
      <c r="H428" s="15"/>
      <c r="I428" s="15"/>
      <c r="J428" s="15"/>
      <c r="K428" s="15"/>
      <c r="L428" s="23"/>
      <c r="M428" s="23"/>
      <c r="N428" s="27"/>
      <c r="O428" s="23"/>
      <c r="P428" s="109"/>
      <c r="Q428" s="16"/>
      <c r="R428" s="16"/>
      <c r="S428" s="16">
        <f>+SUM(CJ428:CM428)</f>
        <v>0</v>
      </c>
      <c r="T428" s="16">
        <f t="shared" ref="T428" si="514">+SUM(CN428:CQ428)</f>
        <v>0</v>
      </c>
      <c r="U428" s="16">
        <f t="shared" ref="U428" si="515">+SUM(CR428:CU428)</f>
        <v>0</v>
      </c>
      <c r="V428" s="16">
        <f t="shared" ref="V428" si="516">+SUM(CV428:CY428)</f>
        <v>0</v>
      </c>
      <c r="W428" s="16">
        <f t="shared" si="504"/>
        <v>375</v>
      </c>
      <c r="X428" s="23"/>
      <c r="Y428" s="23"/>
      <c r="Z428" s="23"/>
      <c r="AA428" s="23"/>
      <c r="AB428" s="23"/>
      <c r="AC428" s="23"/>
      <c r="AD428" s="23"/>
      <c r="AE428" s="23"/>
      <c r="AF428" s="23"/>
      <c r="AG428" s="23"/>
      <c r="AH428" s="23"/>
      <c r="AI428" s="23"/>
      <c r="AJ428" s="23"/>
      <c r="AK428" s="23"/>
      <c r="AL428" s="23"/>
      <c r="AM428" s="23"/>
      <c r="AN428" s="23"/>
      <c r="AO428" s="23"/>
      <c r="AP428" s="23"/>
      <c r="AQ428" s="23"/>
      <c r="AR428" s="23"/>
      <c r="AS428" s="23"/>
      <c r="AT428" s="23"/>
      <c r="AU428" s="23"/>
      <c r="AV428" s="23"/>
      <c r="AW428" s="23"/>
      <c r="AX428" s="23"/>
      <c r="AY428" s="23"/>
      <c r="AZ428" s="23"/>
      <c r="BA428" s="23"/>
      <c r="BB428" s="23"/>
      <c r="BC428" s="23"/>
      <c r="BD428" s="35"/>
      <c r="BE428" s="35"/>
      <c r="BF428" s="35"/>
      <c r="BG428" s="35"/>
      <c r="BH428" s="35"/>
      <c r="BI428" s="35"/>
      <c r="BJ428" s="35"/>
      <c r="BK428" s="35"/>
      <c r="BL428" s="36"/>
      <c r="BM428" s="36"/>
      <c r="BN428" s="36"/>
      <c r="BO428" s="36"/>
      <c r="BP428" s="35"/>
      <c r="BQ428" s="20"/>
      <c r="BR428" s="35"/>
      <c r="BS428" s="35"/>
      <c r="BT428" s="35"/>
      <c r="BU428" s="117"/>
      <c r="BV428" s="35"/>
      <c r="BW428" s="35"/>
      <c r="BX428" s="35"/>
      <c r="BY428" s="119"/>
      <c r="BZ428" s="119"/>
      <c r="CA428" s="119"/>
      <c r="CB428" s="119"/>
      <c r="CC428" s="119"/>
      <c r="CD428" s="119"/>
      <c r="CE428" s="119"/>
      <c r="CF428" s="119"/>
      <c r="CG428" s="119"/>
      <c r="CH428" s="119"/>
      <c r="CI428" s="119"/>
      <c r="CJ428" s="119"/>
      <c r="CK428" s="119"/>
      <c r="CL428" s="119"/>
      <c r="CM428" s="970"/>
      <c r="CN428" s="31"/>
      <c r="CO428" s="31"/>
      <c r="CP428" s="31"/>
      <c r="CR428" s="117"/>
      <c r="CS428" s="970"/>
      <c r="CT428" s="31"/>
      <c r="CU428" s="970"/>
      <c r="CV428" s="970"/>
      <c r="CW428" s="970"/>
      <c r="CX428" s="970"/>
      <c r="CY428" s="970"/>
      <c r="CZ428" s="970"/>
      <c r="DA428" s="970"/>
      <c r="DB428" s="117">
        <v>375</v>
      </c>
      <c r="DC428" s="970"/>
    </row>
    <row r="429" spans="2:107" s="15" customFormat="1">
      <c r="B429" s="25" t="s">
        <v>472</v>
      </c>
      <c r="C429" s="23"/>
      <c r="L429" s="23"/>
      <c r="M429" s="23"/>
      <c r="N429" s="27"/>
      <c r="O429" s="23">
        <f>SUM(BT429:BW429)</f>
        <v>1000</v>
      </c>
      <c r="P429" s="109"/>
      <c r="Q429" s="23"/>
      <c r="R429" s="23">
        <f>+SUM(CF429:CI429)</f>
        <v>0</v>
      </c>
      <c r="S429" s="23">
        <f t="shared" si="501"/>
        <v>0</v>
      </c>
      <c r="T429" s="23">
        <f t="shared" si="502"/>
        <v>0</v>
      </c>
      <c r="U429" s="23">
        <f t="shared" si="505"/>
        <v>0</v>
      </c>
      <c r="V429" s="23">
        <f t="shared" si="503"/>
        <v>0</v>
      </c>
      <c r="W429" s="23">
        <f t="shared" si="504"/>
        <v>0</v>
      </c>
      <c r="X429" s="23"/>
      <c r="Y429" s="23"/>
      <c r="Z429" s="23"/>
      <c r="AA429" s="23"/>
      <c r="AB429" s="23"/>
      <c r="AC429" s="23"/>
      <c r="AD429" s="23"/>
      <c r="AE429" s="23"/>
      <c r="AF429" s="23"/>
      <c r="AG429" s="23"/>
      <c r="AH429" s="23"/>
      <c r="AI429" s="23"/>
      <c r="AJ429" s="23"/>
      <c r="AK429" s="23"/>
      <c r="AL429" s="23"/>
      <c r="AM429" s="23"/>
      <c r="AN429" s="23"/>
      <c r="AO429" s="23"/>
      <c r="AP429" s="23"/>
      <c r="AQ429" s="23"/>
      <c r="AR429" s="23"/>
      <c r="AS429" s="23"/>
      <c r="AT429" s="23"/>
      <c r="AU429" s="23"/>
      <c r="AV429" s="23"/>
      <c r="AW429" s="23"/>
      <c r="AX429" s="23"/>
      <c r="AY429" s="23"/>
      <c r="AZ429" s="23"/>
      <c r="BA429" s="23"/>
      <c r="BB429" s="23"/>
      <c r="BC429" s="23"/>
      <c r="BD429" s="35"/>
      <c r="BE429" s="35"/>
      <c r="BF429" s="35"/>
      <c r="BG429" s="35"/>
      <c r="BH429" s="35"/>
      <c r="BI429" s="35"/>
      <c r="BJ429" s="35"/>
      <c r="BK429" s="35"/>
      <c r="BL429" s="36"/>
      <c r="BM429" s="36"/>
      <c r="BN429" s="36"/>
      <c r="BO429" s="36"/>
      <c r="BP429" s="20"/>
      <c r="BQ429" s="20"/>
      <c r="BR429" s="35"/>
      <c r="BS429" s="35"/>
      <c r="BT429" s="35"/>
      <c r="BU429" s="35"/>
      <c r="BV429" s="117">
        <v>1000</v>
      </c>
      <c r="BW429" s="35"/>
      <c r="BX429" s="35"/>
      <c r="BY429" s="35"/>
      <c r="BZ429" s="35"/>
      <c r="CA429" s="35"/>
      <c r="CB429" s="35"/>
      <c r="CC429" s="35"/>
      <c r="CD429" s="35"/>
      <c r="CE429" s="35"/>
      <c r="CF429" s="35"/>
      <c r="CG429" s="35"/>
      <c r="CH429" s="35"/>
      <c r="CI429" s="35"/>
      <c r="CJ429" s="35"/>
      <c r="CK429" s="35"/>
      <c r="CL429" s="35"/>
      <c r="CM429" s="35"/>
      <c r="CN429" s="35"/>
      <c r="CO429" s="35"/>
      <c r="CP429" s="35"/>
      <c r="CQ429"/>
      <c r="CR429" s="35"/>
      <c r="CS429" s="35"/>
      <c r="CT429" s="35"/>
      <c r="CU429" s="35"/>
      <c r="CV429" s="35"/>
      <c r="CW429" s="35"/>
      <c r="CX429" s="35"/>
      <c r="CY429" s="35"/>
      <c r="CZ429" s="35"/>
      <c r="DA429" s="35"/>
      <c r="DB429" s="35"/>
      <c r="DC429" s="35"/>
    </row>
    <row r="430" spans="2:107" s="15" customFormat="1">
      <c r="B430" s="25" t="s">
        <v>646</v>
      </c>
      <c r="C430" s="23"/>
      <c r="L430" s="23"/>
      <c r="M430" s="23"/>
      <c r="N430" s="27"/>
      <c r="O430" s="23">
        <f>SUM(BT430:BW430)</f>
        <v>0</v>
      </c>
      <c r="P430" s="109">
        <f>SUM(BX430:CA430)</f>
        <v>1000</v>
      </c>
      <c r="Q430" s="23">
        <f>SUM(CB430:CE430)</f>
        <v>0</v>
      </c>
      <c r="R430" s="23">
        <f t="shared" ref="R430:R440" si="517">+SUM(CF430:CI430)</f>
        <v>0</v>
      </c>
      <c r="S430" s="23">
        <f t="shared" ref="S430:S440" si="518">+SUM(CJ430:CM430)</f>
        <v>0</v>
      </c>
      <c r="T430" s="23">
        <f t="shared" si="502"/>
        <v>0</v>
      </c>
      <c r="U430" s="23">
        <f t="shared" si="505"/>
        <v>0</v>
      </c>
      <c r="V430" s="23">
        <f t="shared" si="503"/>
        <v>0</v>
      </c>
      <c r="W430" s="23">
        <f t="shared" si="504"/>
        <v>0</v>
      </c>
      <c r="X430" s="23"/>
      <c r="Y430" s="23"/>
      <c r="Z430" s="23"/>
      <c r="AA430" s="23"/>
      <c r="AB430" s="23"/>
      <c r="AC430" s="23"/>
      <c r="AD430" s="23"/>
      <c r="AE430" s="23"/>
      <c r="AF430" s="23"/>
      <c r="AG430" s="23"/>
      <c r="AH430" s="23"/>
      <c r="AI430" s="23"/>
      <c r="AJ430" s="23"/>
      <c r="AK430" s="23"/>
      <c r="AL430" s="23"/>
      <c r="AM430" s="23"/>
      <c r="AN430" s="23"/>
      <c r="AO430" s="23"/>
      <c r="AP430" s="23"/>
      <c r="AQ430" s="23"/>
      <c r="AR430" s="23"/>
      <c r="AS430" s="23"/>
      <c r="AT430" s="23"/>
      <c r="AU430" s="23"/>
      <c r="AV430" s="23"/>
      <c r="AW430" s="23"/>
      <c r="AX430" s="23"/>
      <c r="AY430" s="23"/>
      <c r="AZ430" s="23"/>
      <c r="BA430" s="23"/>
      <c r="BB430" s="23"/>
      <c r="BC430" s="23"/>
      <c r="BD430" s="35"/>
      <c r="BE430" s="35"/>
      <c r="BF430" s="35"/>
      <c r="BG430" s="35"/>
      <c r="BH430" s="35"/>
      <c r="BI430" s="35"/>
      <c r="BJ430" s="35"/>
      <c r="BK430" s="35"/>
      <c r="BL430" s="36"/>
      <c r="BM430" s="36"/>
      <c r="BN430" s="36"/>
      <c r="BO430" s="36"/>
      <c r="BP430" s="20"/>
      <c r="BQ430" s="20"/>
      <c r="BR430" s="35"/>
      <c r="BS430" s="23"/>
      <c r="BT430" s="23"/>
      <c r="BU430" s="23"/>
      <c r="BV430" s="23"/>
      <c r="BW430" s="23"/>
      <c r="BX430" s="23"/>
      <c r="BY430" s="117">
        <v>1000</v>
      </c>
      <c r="BZ430" s="117"/>
      <c r="CA430" s="117"/>
      <c r="CB430" s="117"/>
      <c r="CC430" s="117"/>
      <c r="CD430" s="117"/>
      <c r="CE430" s="117"/>
      <c r="CF430" s="117"/>
      <c r="CG430" s="117"/>
      <c r="CH430" s="117"/>
      <c r="CI430" s="117"/>
      <c r="CJ430" s="117"/>
      <c r="CK430" s="117"/>
      <c r="CL430" s="117"/>
      <c r="CM430" s="117"/>
      <c r="CN430" s="117"/>
      <c r="CO430" s="117"/>
      <c r="CP430" s="117"/>
      <c r="CQ430"/>
      <c r="CR430" s="117"/>
      <c r="CS430" s="117"/>
      <c r="CT430" s="117"/>
      <c r="CU430" s="117"/>
      <c r="CV430" s="117"/>
      <c r="CW430" s="117"/>
      <c r="CX430" s="117"/>
      <c r="CY430" s="117"/>
      <c r="CZ430" s="117"/>
      <c r="DA430" s="117"/>
      <c r="DB430" s="117"/>
      <c r="DC430" s="117"/>
    </row>
    <row r="431" spans="2:107" s="15" customFormat="1">
      <c r="B431" s="25" t="s">
        <v>97</v>
      </c>
      <c r="C431" s="23"/>
      <c r="L431" s="23"/>
      <c r="M431" s="23"/>
      <c r="N431" s="27"/>
      <c r="O431" s="23"/>
      <c r="P431" s="109"/>
      <c r="Q431" s="23"/>
      <c r="R431" s="23">
        <f t="shared" si="517"/>
        <v>0</v>
      </c>
      <c r="S431" s="23">
        <f t="shared" si="518"/>
        <v>0</v>
      </c>
      <c r="T431" s="23">
        <f t="shared" si="502"/>
        <v>0</v>
      </c>
      <c r="U431" s="23">
        <f t="shared" si="505"/>
        <v>0</v>
      </c>
      <c r="V431" s="23">
        <f t="shared" si="503"/>
        <v>0</v>
      </c>
      <c r="W431" s="23">
        <f t="shared" si="504"/>
        <v>0</v>
      </c>
      <c r="X431" s="23"/>
      <c r="Y431" s="23"/>
      <c r="Z431" s="23"/>
      <c r="AA431" s="23"/>
      <c r="AB431" s="23"/>
      <c r="AC431" s="23"/>
      <c r="AD431" s="23"/>
      <c r="AE431" s="23"/>
      <c r="AF431" s="23"/>
      <c r="AG431" s="23"/>
      <c r="AH431" s="23"/>
      <c r="AI431" s="23"/>
      <c r="AJ431" s="23"/>
      <c r="AK431" s="23"/>
      <c r="AL431" s="23"/>
      <c r="AM431" s="23"/>
      <c r="AN431" s="23"/>
      <c r="AO431" s="23"/>
      <c r="AP431" s="23"/>
      <c r="AQ431" s="23"/>
      <c r="AR431" s="23"/>
      <c r="AS431" s="23"/>
      <c r="AT431" s="23"/>
      <c r="AU431" s="23"/>
      <c r="AV431" s="23"/>
      <c r="AW431" s="23"/>
      <c r="AX431" s="23"/>
      <c r="AY431" s="23"/>
      <c r="AZ431" s="23"/>
      <c r="BA431" s="23"/>
      <c r="BB431" s="23"/>
      <c r="BC431" s="23"/>
      <c r="BD431" s="35"/>
      <c r="BE431" s="35"/>
      <c r="BF431" s="35"/>
      <c r="BG431" s="35"/>
      <c r="BH431" s="35"/>
      <c r="BI431" s="35"/>
      <c r="BJ431" s="35"/>
      <c r="BK431" s="35"/>
      <c r="BL431" s="36"/>
      <c r="BM431" s="36"/>
      <c r="BN431" s="36"/>
      <c r="BO431" s="36"/>
      <c r="BP431" s="20"/>
      <c r="BQ431" s="20"/>
      <c r="BR431" s="35"/>
      <c r="BS431" s="23"/>
      <c r="BT431" s="23"/>
      <c r="BU431" s="23"/>
      <c r="BV431" s="23"/>
      <c r="BW431" s="23"/>
      <c r="BX431" s="23"/>
      <c r="BY431" s="117"/>
      <c r="BZ431" s="117"/>
      <c r="CA431" s="117"/>
      <c r="CB431" s="117"/>
      <c r="CC431" s="117"/>
      <c r="CD431" s="117"/>
      <c r="CE431" s="117"/>
      <c r="CF431" s="117"/>
      <c r="CG431" s="117"/>
      <c r="CH431" s="117"/>
      <c r="CI431" s="117"/>
      <c r="CJ431" s="117"/>
      <c r="CK431" s="117"/>
      <c r="CL431" s="117"/>
      <c r="CM431" s="117"/>
      <c r="CN431" s="117"/>
      <c r="CO431" s="117"/>
      <c r="CP431" s="117"/>
      <c r="CQ431"/>
      <c r="CR431" s="117"/>
      <c r="CS431" s="117"/>
      <c r="CT431" s="117"/>
      <c r="CU431" s="117"/>
      <c r="CV431" s="117"/>
      <c r="CW431" s="117"/>
      <c r="CX431" s="117"/>
      <c r="CY431" s="117"/>
      <c r="CZ431" s="117"/>
      <c r="DA431" s="117"/>
      <c r="DB431" s="117"/>
      <c r="DC431" s="117"/>
    </row>
    <row r="432" spans="2:107" s="15" customFormat="1">
      <c r="B432" s="25" t="s">
        <v>1674</v>
      </c>
      <c r="C432" s="23"/>
      <c r="L432" s="23"/>
      <c r="M432" s="23"/>
      <c r="N432" s="27"/>
      <c r="O432" s="23"/>
      <c r="P432" s="109"/>
      <c r="Q432" s="23"/>
      <c r="R432" s="23">
        <f t="shared" si="517"/>
        <v>1100</v>
      </c>
      <c r="S432" s="23">
        <f t="shared" si="518"/>
        <v>0</v>
      </c>
      <c r="T432" s="23">
        <f t="shared" si="502"/>
        <v>0</v>
      </c>
      <c r="U432" s="23">
        <f t="shared" si="505"/>
        <v>0</v>
      </c>
      <c r="V432" s="23">
        <f t="shared" si="503"/>
        <v>0</v>
      </c>
      <c r="W432" s="23">
        <f t="shared" si="504"/>
        <v>0</v>
      </c>
      <c r="X432" s="23"/>
      <c r="Y432" s="23"/>
      <c r="Z432" s="23"/>
      <c r="AA432" s="23"/>
      <c r="AB432" s="23"/>
      <c r="AC432" s="23"/>
      <c r="AD432" s="23"/>
      <c r="AE432" s="23"/>
      <c r="AF432" s="23"/>
      <c r="AG432" s="23"/>
      <c r="AH432" s="23"/>
      <c r="AI432" s="23"/>
      <c r="AJ432" s="23"/>
      <c r="AK432" s="23"/>
      <c r="AL432" s="23"/>
      <c r="AM432" s="23"/>
      <c r="AN432" s="23"/>
      <c r="AO432" s="23"/>
      <c r="AP432" s="23"/>
      <c r="AQ432" s="23"/>
      <c r="AR432" s="23"/>
      <c r="AS432" s="23"/>
      <c r="AT432" s="23"/>
      <c r="AU432" s="23"/>
      <c r="AV432" s="23"/>
      <c r="AW432" s="23"/>
      <c r="AX432" s="23"/>
      <c r="AY432" s="23"/>
      <c r="AZ432" s="23"/>
      <c r="BA432" s="23"/>
      <c r="BB432" s="23"/>
      <c r="BC432" s="23"/>
      <c r="BD432" s="35"/>
      <c r="BE432" s="35"/>
      <c r="BF432" s="35"/>
      <c r="BG432" s="35"/>
      <c r="BH432" s="35"/>
      <c r="BI432" s="35"/>
      <c r="BJ432" s="35"/>
      <c r="BK432" s="35"/>
      <c r="BL432" s="36"/>
      <c r="BM432" s="36"/>
      <c r="BN432" s="36"/>
      <c r="BO432" s="36"/>
      <c r="BP432" s="20"/>
      <c r="BQ432" s="20"/>
      <c r="BR432" s="35"/>
      <c r="BS432" s="23"/>
      <c r="BT432" s="23"/>
      <c r="BU432" s="23"/>
      <c r="BV432" s="23"/>
      <c r="BW432" s="23"/>
      <c r="BX432" s="23"/>
      <c r="BY432" s="117"/>
      <c r="BZ432" s="117"/>
      <c r="CA432" s="117"/>
      <c r="CB432" s="117"/>
      <c r="CC432" s="117"/>
      <c r="CD432" s="117"/>
      <c r="CE432" s="117"/>
      <c r="CF432" s="117"/>
      <c r="CG432" s="117"/>
      <c r="CH432" s="117"/>
      <c r="CI432" s="117">
        <v>1100</v>
      </c>
      <c r="CJ432" s="117"/>
      <c r="CK432" s="117"/>
      <c r="CL432" s="117"/>
      <c r="CM432" s="117"/>
      <c r="CN432" s="117"/>
      <c r="CO432" s="117"/>
      <c r="CP432" s="117"/>
      <c r="CQ432"/>
      <c r="CR432" s="117"/>
      <c r="CS432" s="117"/>
      <c r="CT432" s="117"/>
      <c r="CU432" s="117"/>
      <c r="CV432" s="117"/>
      <c r="CW432" s="117"/>
      <c r="CX432" s="117"/>
      <c r="CY432" s="117"/>
      <c r="CZ432" s="117"/>
      <c r="DA432" s="117"/>
      <c r="DB432" s="117"/>
      <c r="DC432" s="117"/>
    </row>
    <row r="433" spans="2:107" s="15" customFormat="1">
      <c r="B433" s="1036" t="s">
        <v>1853</v>
      </c>
      <c r="C433" s="23"/>
      <c r="L433" s="23"/>
      <c r="M433" s="23"/>
      <c r="N433" s="27"/>
      <c r="O433" s="23"/>
      <c r="P433" s="109"/>
      <c r="Q433" s="23"/>
      <c r="R433" s="23">
        <f>+SUM(CF433:CI433)</f>
        <v>0</v>
      </c>
      <c r="S433" s="23">
        <f>+SUM(CJ433:CM433)</f>
        <v>700</v>
      </c>
      <c r="T433" s="23">
        <f t="shared" si="502"/>
        <v>0</v>
      </c>
      <c r="U433" s="23">
        <f t="shared" si="505"/>
        <v>0</v>
      </c>
      <c r="V433" s="23">
        <f t="shared" si="503"/>
        <v>0</v>
      </c>
      <c r="W433" s="23">
        <f t="shared" si="504"/>
        <v>0</v>
      </c>
      <c r="X433" s="23"/>
      <c r="Y433" s="23"/>
      <c r="Z433" s="23"/>
      <c r="AA433" s="23"/>
      <c r="AB433" s="23"/>
      <c r="AC433" s="23"/>
      <c r="AD433" s="23"/>
      <c r="AE433" s="23"/>
      <c r="AF433" s="23"/>
      <c r="AG433" s="23"/>
      <c r="AH433" s="23"/>
      <c r="AI433" s="23"/>
      <c r="AJ433" s="23"/>
      <c r="AK433" s="23"/>
      <c r="AL433" s="23"/>
      <c r="AM433" s="23"/>
      <c r="AN433" s="23"/>
      <c r="AO433" s="23"/>
      <c r="AP433" s="23"/>
      <c r="AQ433" s="23"/>
      <c r="AR433" s="23"/>
      <c r="AS433" s="23"/>
      <c r="AT433" s="23"/>
      <c r="AU433" s="23"/>
      <c r="AV433" s="23"/>
      <c r="AW433" s="23"/>
      <c r="AX433" s="23"/>
      <c r="AY433" s="23"/>
      <c r="AZ433" s="23"/>
      <c r="BA433" s="23"/>
      <c r="BB433" s="23"/>
      <c r="BC433" s="23"/>
      <c r="BD433" s="35"/>
      <c r="BE433" s="35"/>
      <c r="BF433" s="35"/>
      <c r="BG433" s="35"/>
      <c r="BH433" s="35"/>
      <c r="BI433" s="35"/>
      <c r="BJ433" s="35"/>
      <c r="BK433" s="35"/>
      <c r="BL433" s="36"/>
      <c r="BM433" s="36"/>
      <c r="BN433" s="36"/>
      <c r="BO433" s="36"/>
      <c r="BP433" s="20"/>
      <c r="BQ433" s="20"/>
      <c r="BR433" s="35"/>
      <c r="BS433" s="23"/>
      <c r="BT433" s="23"/>
      <c r="BU433" s="23"/>
      <c r="BV433" s="23"/>
      <c r="BW433" s="23"/>
      <c r="BX433" s="23"/>
      <c r="BY433" s="117"/>
      <c r="BZ433" s="117"/>
      <c r="CA433" s="117"/>
      <c r="CB433" s="117"/>
      <c r="CC433" s="117"/>
      <c r="CD433" s="117"/>
      <c r="CE433" s="117"/>
      <c r="CF433" s="117"/>
      <c r="CG433" s="117"/>
      <c r="CH433" s="117"/>
      <c r="CI433" s="117"/>
      <c r="CJ433" s="117"/>
      <c r="CK433" s="117"/>
      <c r="CL433" s="117"/>
      <c r="CM433" s="117">
        <v>700</v>
      </c>
      <c r="CN433" s="117"/>
      <c r="CO433" s="117"/>
      <c r="CP433" s="117"/>
      <c r="CQ433"/>
      <c r="CR433" s="117"/>
      <c r="CS433" s="117"/>
      <c r="CT433" s="117"/>
      <c r="CU433" s="117"/>
      <c r="CV433" s="117"/>
      <c r="CW433" s="117"/>
      <c r="CX433" s="117"/>
      <c r="CY433" s="117"/>
      <c r="CZ433" s="117"/>
      <c r="DA433" s="117"/>
      <c r="DB433" s="117"/>
      <c r="DC433" s="117"/>
    </row>
    <row r="434" spans="2:107" s="15" customFormat="1">
      <c r="B434" s="1036" t="s">
        <v>1980</v>
      </c>
      <c r="C434" s="23"/>
      <c r="L434" s="23"/>
      <c r="M434" s="23"/>
      <c r="N434" s="27"/>
      <c r="O434" s="23"/>
      <c r="P434" s="109"/>
      <c r="Q434" s="23"/>
      <c r="R434" s="23">
        <f>+SUM(CF434:CI434)</f>
        <v>0</v>
      </c>
      <c r="S434" s="23">
        <f>+SUM(CJ434:CM434)</f>
        <v>0</v>
      </c>
      <c r="T434" s="23">
        <f t="shared" si="502"/>
        <v>440</v>
      </c>
      <c r="U434" s="23">
        <f t="shared" si="505"/>
        <v>0</v>
      </c>
      <c r="V434" s="23">
        <f t="shared" si="503"/>
        <v>0</v>
      </c>
      <c r="W434" s="23">
        <f t="shared" si="504"/>
        <v>0</v>
      </c>
      <c r="X434" s="23"/>
      <c r="Y434" s="23"/>
      <c r="Z434" s="23"/>
      <c r="AA434" s="23"/>
      <c r="AB434" s="23"/>
      <c r="AC434" s="23"/>
      <c r="AD434" s="23"/>
      <c r="AE434" s="23"/>
      <c r="AF434" s="23"/>
      <c r="AG434" s="23"/>
      <c r="AH434" s="23"/>
      <c r="AI434" s="23"/>
      <c r="AJ434" s="23"/>
      <c r="AK434" s="23"/>
      <c r="AL434" s="23"/>
      <c r="AM434" s="23"/>
      <c r="AN434" s="23"/>
      <c r="AO434" s="23"/>
      <c r="AP434" s="23"/>
      <c r="AQ434" s="23"/>
      <c r="AR434" s="23"/>
      <c r="AS434" s="23"/>
      <c r="AT434" s="23"/>
      <c r="AU434" s="23"/>
      <c r="AV434" s="23"/>
      <c r="AW434" s="23"/>
      <c r="AX434" s="23"/>
      <c r="AY434" s="23"/>
      <c r="AZ434" s="23"/>
      <c r="BA434" s="23"/>
      <c r="BB434" s="23"/>
      <c r="BC434" s="23"/>
      <c r="BD434" s="35"/>
      <c r="BE434" s="35"/>
      <c r="BF434" s="35"/>
      <c r="BG434" s="35"/>
      <c r="BH434" s="35"/>
      <c r="BI434" s="35"/>
      <c r="BJ434" s="35"/>
      <c r="BK434" s="35"/>
      <c r="BL434" s="36"/>
      <c r="BM434" s="36"/>
      <c r="BN434" s="36"/>
      <c r="BO434" s="36"/>
      <c r="BP434" s="20"/>
      <c r="BQ434" s="20"/>
      <c r="BR434" s="35"/>
      <c r="BS434" s="23"/>
      <c r="BT434" s="23"/>
      <c r="BU434" s="23"/>
      <c r="BV434" s="23"/>
      <c r="BW434" s="23"/>
      <c r="BX434" s="23"/>
      <c r="BY434" s="117"/>
      <c r="BZ434" s="117"/>
      <c r="CA434" s="117"/>
      <c r="CB434" s="117"/>
      <c r="CC434" s="117"/>
      <c r="CD434" s="117"/>
      <c r="CE434" s="117"/>
      <c r="CF434" s="117"/>
      <c r="CG434" s="117"/>
      <c r="CH434" s="117"/>
      <c r="CI434" s="117"/>
      <c r="CJ434" s="117"/>
      <c r="CK434" s="117"/>
      <c r="CL434" s="117"/>
      <c r="CM434" s="117"/>
      <c r="CN434" s="117"/>
      <c r="CO434" s="117"/>
      <c r="CP434" s="117">
        <v>440</v>
      </c>
      <c r="CQ434"/>
      <c r="CR434" s="117"/>
      <c r="CS434" s="117"/>
      <c r="CT434" s="117"/>
      <c r="CU434" s="117"/>
      <c r="CV434" s="117"/>
      <c r="CW434" s="117"/>
      <c r="CX434" s="117"/>
      <c r="CY434" s="117"/>
      <c r="CZ434" s="117"/>
      <c r="DA434" s="117"/>
      <c r="DB434" s="117"/>
      <c r="DC434" s="117"/>
    </row>
    <row r="435" spans="2:107" s="15" customFormat="1">
      <c r="B435" s="1036" t="s">
        <v>2563</v>
      </c>
      <c r="C435" s="23"/>
      <c r="L435" s="23"/>
      <c r="M435" s="23"/>
      <c r="N435" s="27"/>
      <c r="O435" s="23"/>
      <c r="P435" s="109"/>
      <c r="Q435" s="23"/>
      <c r="R435" s="23">
        <f>+SUM(CF435:CI435)</f>
        <v>0</v>
      </c>
      <c r="S435" s="23">
        <f>+SUM(CJ435:CM435)</f>
        <v>0</v>
      </c>
      <c r="T435" s="23">
        <f>+SUM(CN435:CQ435)</f>
        <v>0</v>
      </c>
      <c r="U435" s="23">
        <f>+SUM(CR435:CU435)</f>
        <v>0</v>
      </c>
      <c r="V435" s="23">
        <f t="shared" si="503"/>
        <v>1400</v>
      </c>
      <c r="W435" s="23">
        <f t="shared" si="504"/>
        <v>0</v>
      </c>
      <c r="X435" s="23"/>
      <c r="Y435" s="23"/>
      <c r="Z435" s="23"/>
      <c r="AA435" s="23"/>
      <c r="AB435" s="23"/>
      <c r="AC435" s="23"/>
      <c r="AD435" s="23"/>
      <c r="AE435" s="23"/>
      <c r="AF435" s="23"/>
      <c r="AG435" s="23"/>
      <c r="AH435" s="23"/>
      <c r="AI435" s="23"/>
      <c r="AJ435" s="23"/>
      <c r="AK435" s="23"/>
      <c r="AL435" s="23"/>
      <c r="AM435" s="23"/>
      <c r="AN435" s="23"/>
      <c r="AO435" s="23"/>
      <c r="AP435" s="23"/>
      <c r="AQ435" s="23"/>
      <c r="AR435" s="23"/>
      <c r="AS435" s="23"/>
      <c r="AT435" s="23"/>
      <c r="AU435" s="23"/>
      <c r="AV435" s="23"/>
      <c r="AW435" s="23"/>
      <c r="AX435" s="23"/>
      <c r="AY435" s="23"/>
      <c r="AZ435" s="23"/>
      <c r="BA435" s="23"/>
      <c r="BB435" s="23"/>
      <c r="BC435" s="23"/>
      <c r="BD435" s="35"/>
      <c r="BE435" s="35"/>
      <c r="BF435" s="35"/>
      <c r="BG435" s="35"/>
      <c r="BH435" s="35"/>
      <c r="BI435" s="35"/>
      <c r="BJ435" s="35"/>
      <c r="BK435" s="35"/>
      <c r="BL435" s="36"/>
      <c r="BM435" s="36"/>
      <c r="BN435" s="36"/>
      <c r="BO435" s="36"/>
      <c r="BP435" s="20"/>
      <c r="BQ435" s="20"/>
      <c r="BR435" s="35"/>
      <c r="BS435" s="23"/>
      <c r="BT435" s="23"/>
      <c r="BU435" s="23"/>
      <c r="BV435" s="23"/>
      <c r="BW435" s="23"/>
      <c r="BX435" s="23"/>
      <c r="BY435" s="117"/>
      <c r="BZ435" s="117"/>
      <c r="CA435" s="117"/>
      <c r="CB435" s="117"/>
      <c r="CC435" s="117"/>
      <c r="CD435" s="117"/>
      <c r="CE435" s="117"/>
      <c r="CF435" s="117"/>
      <c r="CG435" s="117"/>
      <c r="CH435" s="117"/>
      <c r="CI435" s="117"/>
      <c r="CJ435" s="117"/>
      <c r="CK435" s="117"/>
      <c r="CL435" s="117"/>
      <c r="CM435" s="117"/>
      <c r="CN435" s="117"/>
      <c r="CO435" s="117"/>
      <c r="CP435" s="117"/>
      <c r="CQ435"/>
      <c r="CR435" s="117"/>
      <c r="CS435" s="117"/>
      <c r="CT435" s="117"/>
      <c r="CU435" s="117"/>
      <c r="CV435" s="117"/>
      <c r="CW435" s="117">
        <v>1400</v>
      </c>
      <c r="CX435" s="117"/>
      <c r="CY435" s="117"/>
      <c r="CZ435" s="117"/>
      <c r="DA435" s="117"/>
      <c r="DB435" s="117"/>
      <c r="DC435" s="117"/>
    </row>
    <row r="436" spans="2:107" s="15" customFormat="1">
      <c r="B436" s="25" t="s">
        <v>275</v>
      </c>
      <c r="C436" s="23"/>
      <c r="L436" s="23"/>
      <c r="M436" s="23"/>
      <c r="N436" s="27"/>
      <c r="O436" s="23"/>
      <c r="P436" s="109">
        <f>SUM(BX436:CA436)</f>
        <v>0</v>
      </c>
      <c r="Q436" s="23">
        <f>SUM(CB436:CE436)</f>
        <v>0</v>
      </c>
      <c r="R436" s="23">
        <f t="shared" si="517"/>
        <v>0</v>
      </c>
      <c r="S436" s="23">
        <f t="shared" si="518"/>
        <v>0</v>
      </c>
      <c r="T436" s="23">
        <f t="shared" si="502"/>
        <v>1000</v>
      </c>
      <c r="U436" s="23">
        <f t="shared" si="505"/>
        <v>0</v>
      </c>
      <c r="V436" s="23">
        <f t="shared" si="503"/>
        <v>0</v>
      </c>
      <c r="W436" s="23">
        <f t="shared" si="504"/>
        <v>0</v>
      </c>
      <c r="X436" s="23"/>
      <c r="Y436" s="23"/>
      <c r="Z436" s="23"/>
      <c r="AA436" s="23"/>
      <c r="AB436" s="23"/>
      <c r="AC436" s="23"/>
      <c r="AD436" s="23"/>
      <c r="AE436" s="23"/>
      <c r="AF436" s="23"/>
      <c r="AG436" s="23"/>
      <c r="AH436" s="23"/>
      <c r="AI436" s="23"/>
      <c r="AJ436" s="23"/>
      <c r="AK436" s="23"/>
      <c r="AL436" s="23"/>
      <c r="AM436" s="23"/>
      <c r="AN436" s="23"/>
      <c r="AO436" s="23"/>
      <c r="AP436" s="23"/>
      <c r="AQ436" s="23"/>
      <c r="AR436" s="23"/>
      <c r="AS436" s="23"/>
      <c r="AT436" s="23"/>
      <c r="AU436" s="23"/>
      <c r="AV436" s="23"/>
      <c r="AW436" s="23"/>
      <c r="AX436" s="23"/>
      <c r="AY436" s="23"/>
      <c r="AZ436" s="23"/>
      <c r="BA436" s="23"/>
      <c r="BB436" s="23"/>
      <c r="BC436" s="23"/>
      <c r="BD436" s="35"/>
      <c r="BE436" s="35"/>
      <c r="BF436" s="35"/>
      <c r="BG436" s="35"/>
      <c r="BH436" s="35"/>
      <c r="BI436" s="35"/>
      <c r="BJ436" s="35"/>
      <c r="BK436" s="35"/>
      <c r="BL436" s="36"/>
      <c r="BM436" s="36"/>
      <c r="BN436" s="36"/>
      <c r="BO436" s="36"/>
      <c r="BP436" s="20"/>
      <c r="BQ436" s="20"/>
      <c r="BR436" s="35"/>
      <c r="BS436" s="23"/>
      <c r="BT436" s="23"/>
      <c r="BU436" s="23"/>
      <c r="BV436" s="23"/>
      <c r="BW436" s="23"/>
      <c r="BX436" s="23"/>
      <c r="BY436" s="117"/>
      <c r="BZ436" s="117"/>
      <c r="CA436" s="117"/>
      <c r="CB436" s="117"/>
      <c r="CC436" s="117"/>
      <c r="CD436" s="117"/>
      <c r="CE436" s="117"/>
      <c r="CF436" s="117"/>
      <c r="CG436" s="117"/>
      <c r="CH436" s="117"/>
      <c r="CI436" s="117"/>
      <c r="CJ436" s="117"/>
      <c r="CK436" s="117"/>
      <c r="CL436" s="117"/>
      <c r="CM436" s="31"/>
      <c r="CN436" s="31">
        <v>1000</v>
      </c>
      <c r="CO436" s="31"/>
      <c r="CP436" s="31"/>
      <c r="CQ436"/>
      <c r="CR436" s="31"/>
      <c r="CS436" s="31"/>
      <c r="CT436" s="31"/>
      <c r="CU436" s="31"/>
      <c r="CV436" s="31"/>
      <c r="CW436" s="31"/>
      <c r="CX436" s="31"/>
      <c r="CY436" s="31"/>
      <c r="CZ436" s="31"/>
      <c r="DA436" s="31"/>
      <c r="DB436" s="31"/>
      <c r="DC436" s="31"/>
    </row>
    <row r="437" spans="2:107" s="15" customFormat="1">
      <c r="B437" s="1036" t="s">
        <v>1983</v>
      </c>
      <c r="C437" s="23"/>
      <c r="L437" s="23"/>
      <c r="M437" s="23"/>
      <c r="N437" s="27"/>
      <c r="O437" s="23"/>
      <c r="P437" s="109">
        <f>SUM(BX437:CA437)</f>
        <v>0</v>
      </c>
      <c r="Q437" s="23">
        <f>SUM(CB437:CE437)</f>
        <v>0</v>
      </c>
      <c r="R437" s="23">
        <f>+SUM(CF437:CI437)</f>
        <v>0</v>
      </c>
      <c r="S437" s="23">
        <f>+SUM(CJ437:CM437)</f>
        <v>0</v>
      </c>
      <c r="T437" s="23">
        <f t="shared" si="502"/>
        <v>0</v>
      </c>
      <c r="U437" s="23">
        <f t="shared" si="505"/>
        <v>2000</v>
      </c>
      <c r="V437" s="23">
        <f t="shared" si="503"/>
        <v>0</v>
      </c>
      <c r="W437" s="23">
        <f t="shared" si="504"/>
        <v>0</v>
      </c>
      <c r="X437" s="23"/>
      <c r="Y437" s="23"/>
      <c r="Z437" s="23"/>
      <c r="AA437" s="23"/>
      <c r="AB437" s="23"/>
      <c r="AC437" s="23"/>
      <c r="AD437" s="23"/>
      <c r="AE437" s="23"/>
      <c r="AF437" s="23"/>
      <c r="AG437" s="23"/>
      <c r="AH437" s="23"/>
      <c r="AI437" s="23"/>
      <c r="AJ437" s="23"/>
      <c r="AK437" s="23"/>
      <c r="AL437" s="23"/>
      <c r="AM437" s="23"/>
      <c r="AN437" s="23"/>
      <c r="AO437" s="23"/>
      <c r="AP437" s="23"/>
      <c r="AQ437" s="23"/>
      <c r="AR437" s="23"/>
      <c r="AS437" s="23"/>
      <c r="AT437" s="23"/>
      <c r="AU437" s="23"/>
      <c r="AV437" s="23"/>
      <c r="AW437" s="23"/>
      <c r="AX437" s="23"/>
      <c r="AY437" s="23"/>
      <c r="AZ437" s="23"/>
      <c r="BA437" s="23"/>
      <c r="BB437" s="23"/>
      <c r="BC437" s="23"/>
      <c r="BD437" s="35"/>
      <c r="BE437" s="35"/>
      <c r="BF437" s="35"/>
      <c r="BG437" s="35"/>
      <c r="BH437" s="35"/>
      <c r="BI437" s="35"/>
      <c r="BJ437" s="35"/>
      <c r="BK437" s="35"/>
      <c r="BL437" s="36"/>
      <c r="BM437" s="36"/>
      <c r="BN437" s="36"/>
      <c r="BO437" s="36"/>
      <c r="BP437" s="20"/>
      <c r="BQ437" s="20"/>
      <c r="BR437" s="35"/>
      <c r="BS437" s="23"/>
      <c r="BT437" s="23"/>
      <c r="BU437" s="23"/>
      <c r="BV437" s="23"/>
      <c r="BW437" s="23"/>
      <c r="BX437" s="23"/>
      <c r="BY437" s="117"/>
      <c r="BZ437" s="117"/>
      <c r="CA437" s="117"/>
      <c r="CB437" s="117"/>
      <c r="CC437" s="117"/>
      <c r="CD437" s="117"/>
      <c r="CE437" s="117"/>
      <c r="CF437" s="117"/>
      <c r="CG437" s="117"/>
      <c r="CH437" s="117"/>
      <c r="CI437" s="117"/>
      <c r="CJ437" s="117"/>
      <c r="CK437" s="117"/>
      <c r="CL437" s="117"/>
      <c r="CM437" s="31"/>
      <c r="CN437" s="31"/>
      <c r="CO437" s="31"/>
      <c r="CP437" s="31"/>
      <c r="CQ437"/>
      <c r="CR437" s="117">
        <v>2000</v>
      </c>
      <c r="CS437" s="31"/>
      <c r="CT437" s="31"/>
      <c r="CU437" s="31"/>
      <c r="CV437" s="31"/>
      <c r="CW437" s="31"/>
      <c r="CX437" s="31"/>
      <c r="CY437" s="31"/>
      <c r="CZ437" s="31"/>
      <c r="DA437" s="31"/>
      <c r="DB437" s="31"/>
      <c r="DC437" s="31"/>
    </row>
    <row r="438" spans="2:107" s="15" customFormat="1">
      <c r="B438" s="1036" t="s">
        <v>2717</v>
      </c>
      <c r="C438" s="23"/>
      <c r="L438" s="23"/>
      <c r="M438" s="23"/>
      <c r="N438" s="27"/>
      <c r="O438" s="23"/>
      <c r="P438" s="109">
        <f>SUM(BX438:CA438)</f>
        <v>0</v>
      </c>
      <c r="Q438" s="23">
        <f>SUM(CB438:CE438)</f>
        <v>0</v>
      </c>
      <c r="R438" s="23">
        <f>+SUM(CF438:CI438)</f>
        <v>0</v>
      </c>
      <c r="S438" s="23">
        <f>+SUM(CJ438:CM438)</f>
        <v>0</v>
      </c>
      <c r="T438" s="23">
        <f t="shared" ref="T438" si="519">+SUM(CN438:CQ438)</f>
        <v>0</v>
      </c>
      <c r="U438" s="23">
        <f t="shared" ref="U438" si="520">+SUM(CR438:CU438)</f>
        <v>0</v>
      </c>
      <c r="V438" s="23">
        <f t="shared" ref="V438" si="521">+SUM(CV438:CY438)</f>
        <v>0</v>
      </c>
      <c r="W438" s="23">
        <f t="shared" si="504"/>
        <v>2875</v>
      </c>
      <c r="X438" s="23"/>
      <c r="Y438" s="23"/>
      <c r="Z438" s="23"/>
      <c r="AA438" s="23"/>
      <c r="AB438" s="23"/>
      <c r="AC438" s="23"/>
      <c r="AD438" s="23"/>
      <c r="AE438" s="23"/>
      <c r="AF438" s="23"/>
      <c r="AG438" s="23"/>
      <c r="AH438" s="23"/>
      <c r="AI438" s="23"/>
      <c r="AJ438" s="23"/>
      <c r="AK438" s="23"/>
      <c r="AL438" s="23"/>
      <c r="AM438" s="23"/>
      <c r="AN438" s="23"/>
      <c r="AO438" s="23"/>
      <c r="AP438" s="23"/>
      <c r="AQ438" s="23"/>
      <c r="AR438" s="23"/>
      <c r="AS438" s="23"/>
      <c r="AT438" s="23"/>
      <c r="AU438" s="23"/>
      <c r="AV438" s="23"/>
      <c r="AW438" s="23"/>
      <c r="AX438" s="23"/>
      <c r="AY438" s="23"/>
      <c r="AZ438" s="23"/>
      <c r="BA438" s="23"/>
      <c r="BB438" s="23"/>
      <c r="BC438" s="23"/>
      <c r="BD438" s="35"/>
      <c r="BE438" s="35"/>
      <c r="BF438" s="35"/>
      <c r="BG438" s="35"/>
      <c r="BH438" s="35"/>
      <c r="BI438" s="35"/>
      <c r="BJ438" s="35"/>
      <c r="BK438" s="35"/>
      <c r="BL438" s="36"/>
      <c r="BM438" s="36"/>
      <c r="BN438" s="36"/>
      <c r="BO438" s="36"/>
      <c r="BP438" s="20"/>
      <c r="BQ438" s="20"/>
      <c r="BR438" s="35"/>
      <c r="BS438" s="23"/>
      <c r="BT438" s="23"/>
      <c r="BU438" s="23"/>
      <c r="BV438" s="23"/>
      <c r="BW438" s="23"/>
      <c r="BX438" s="23"/>
      <c r="BY438" s="117"/>
      <c r="BZ438" s="117"/>
      <c r="CA438" s="117"/>
      <c r="CB438" s="117"/>
      <c r="CC438" s="117"/>
      <c r="CD438" s="117"/>
      <c r="CE438" s="117"/>
      <c r="CF438" s="117"/>
      <c r="CG438" s="117"/>
      <c r="CH438" s="117"/>
      <c r="CI438" s="117"/>
      <c r="CJ438" s="117"/>
      <c r="CK438" s="117"/>
      <c r="CL438" s="117"/>
      <c r="CM438" s="31"/>
      <c r="CN438" s="31"/>
      <c r="CO438" s="31"/>
      <c r="CP438" s="31"/>
      <c r="CQ438"/>
      <c r="CR438" s="117"/>
      <c r="CS438" s="31"/>
      <c r="CT438" s="31"/>
      <c r="CU438" s="31"/>
      <c r="CV438" s="31"/>
      <c r="CW438" s="31"/>
      <c r="CX438" s="31"/>
      <c r="CY438" s="31"/>
      <c r="CZ438" s="31"/>
      <c r="DA438" s="31"/>
      <c r="DB438" s="117">
        <v>2875</v>
      </c>
      <c r="DC438" s="31"/>
    </row>
    <row r="439" spans="2:107">
      <c r="B439" s="25" t="s">
        <v>16</v>
      </c>
      <c r="C439" s="23"/>
      <c r="D439" s="15"/>
      <c r="E439" s="15"/>
      <c r="F439" s="15"/>
      <c r="G439" s="15"/>
      <c r="H439" s="15"/>
      <c r="I439" s="15"/>
      <c r="J439" s="15"/>
      <c r="K439" s="15"/>
      <c r="L439" s="23"/>
      <c r="M439" s="23"/>
      <c r="N439" s="27"/>
      <c r="O439" s="23"/>
      <c r="P439" s="109"/>
      <c r="Q439" s="16">
        <f>SUM(CB439:CE439)</f>
        <v>1075</v>
      </c>
      <c r="R439" s="16">
        <f t="shared" si="517"/>
        <v>325</v>
      </c>
      <c r="S439" s="16">
        <f t="shared" si="518"/>
        <v>0</v>
      </c>
      <c r="T439" s="16">
        <f t="shared" si="502"/>
        <v>0</v>
      </c>
      <c r="U439" s="16">
        <f t="shared" si="505"/>
        <v>0</v>
      </c>
      <c r="V439" s="16">
        <f t="shared" si="503"/>
        <v>0</v>
      </c>
      <c r="W439" s="16">
        <f t="shared" si="504"/>
        <v>0</v>
      </c>
      <c r="X439" s="23"/>
      <c r="Y439" s="23"/>
      <c r="Z439" s="23"/>
      <c r="AA439" s="23"/>
      <c r="AB439" s="23"/>
      <c r="AC439" s="23"/>
      <c r="AD439" s="23"/>
      <c r="AE439" s="23"/>
      <c r="AF439" s="23"/>
      <c r="AG439" s="23"/>
      <c r="AH439" s="23"/>
      <c r="AI439" s="23"/>
      <c r="AJ439" s="23"/>
      <c r="AK439" s="23"/>
      <c r="AL439" s="23"/>
      <c r="AM439" s="23"/>
      <c r="AN439" s="23"/>
      <c r="AO439" s="23"/>
      <c r="AP439" s="23"/>
      <c r="AQ439" s="23"/>
      <c r="AR439" s="23"/>
      <c r="AS439" s="23"/>
      <c r="AT439" s="23"/>
      <c r="AU439" s="23"/>
      <c r="AV439" s="23"/>
      <c r="AW439" s="23"/>
      <c r="AX439" s="23"/>
      <c r="AY439" s="23"/>
      <c r="AZ439" s="23"/>
      <c r="BA439" s="23"/>
      <c r="BB439" s="23"/>
      <c r="BC439" s="23"/>
      <c r="BD439" s="35"/>
      <c r="BE439" s="35"/>
      <c r="BF439" s="35"/>
      <c r="BG439" s="35"/>
      <c r="BH439" s="35"/>
      <c r="BI439" s="35"/>
      <c r="BJ439" s="35"/>
      <c r="BK439" s="35"/>
      <c r="BL439" s="36"/>
      <c r="BM439" s="36"/>
      <c r="BN439" s="36"/>
      <c r="BO439" s="36"/>
      <c r="BP439" s="35"/>
      <c r="BQ439" s="20"/>
      <c r="BR439" s="35"/>
      <c r="BS439" s="35"/>
      <c r="BT439" s="35"/>
      <c r="BU439" s="117"/>
      <c r="BV439" s="35"/>
      <c r="BW439" s="35"/>
      <c r="BX439" s="35"/>
      <c r="BY439" s="119"/>
      <c r="BZ439" s="119"/>
      <c r="CA439" s="119"/>
      <c r="CB439" s="119"/>
      <c r="CC439" s="119"/>
      <c r="CD439" s="119">
        <v>525</v>
      </c>
      <c r="CE439" s="119">
        <v>550</v>
      </c>
      <c r="CF439" s="119">
        <v>325</v>
      </c>
      <c r="CG439" s="119"/>
      <c r="CH439" s="119"/>
      <c r="CI439" s="119"/>
      <c r="CJ439" s="119"/>
      <c r="CK439" s="119"/>
      <c r="CL439" s="119"/>
      <c r="CM439" s="119"/>
      <c r="CN439" s="117"/>
      <c r="CO439" s="117"/>
      <c r="CP439" s="117"/>
      <c r="CR439" s="117"/>
      <c r="CS439" s="119"/>
      <c r="CT439" s="117"/>
      <c r="CU439" s="119"/>
      <c r="CV439" s="119"/>
      <c r="CW439" s="119"/>
      <c r="CX439" s="119"/>
      <c r="CY439" s="119"/>
      <c r="CZ439" s="119"/>
      <c r="DA439" s="119"/>
      <c r="DB439" s="119"/>
      <c r="DC439" s="119"/>
    </row>
    <row r="440" spans="2:107" s="15" customFormat="1">
      <c r="B440" s="25" t="s">
        <v>350</v>
      </c>
      <c r="C440" s="23"/>
      <c r="L440" s="23"/>
      <c r="M440" s="23"/>
      <c r="N440" s="27"/>
      <c r="O440" s="23"/>
      <c r="P440" s="109"/>
      <c r="Q440" s="16">
        <f>SUM(CB440:CE440)</f>
        <v>1075</v>
      </c>
      <c r="R440" s="16">
        <f t="shared" si="517"/>
        <v>325</v>
      </c>
      <c r="S440" s="16">
        <f t="shared" si="518"/>
        <v>375</v>
      </c>
      <c r="T440" s="16">
        <f t="shared" si="502"/>
        <v>0</v>
      </c>
      <c r="U440" s="16">
        <f t="shared" si="505"/>
        <v>0</v>
      </c>
      <c r="V440" s="16">
        <f t="shared" si="503"/>
        <v>0</v>
      </c>
      <c r="W440" s="16">
        <f t="shared" si="504"/>
        <v>0</v>
      </c>
      <c r="X440" s="23"/>
      <c r="Y440" s="23"/>
      <c r="Z440" s="23"/>
      <c r="AA440" s="23"/>
      <c r="AB440" s="23"/>
      <c r="AC440" s="23"/>
      <c r="AD440" s="23"/>
      <c r="AE440" s="23"/>
      <c r="AF440" s="23"/>
      <c r="AG440" s="23"/>
      <c r="AH440" s="23"/>
      <c r="AI440" s="23"/>
      <c r="AJ440" s="23"/>
      <c r="AK440" s="23"/>
      <c r="AL440" s="23"/>
      <c r="AM440" s="23"/>
      <c r="AN440" s="23"/>
      <c r="AO440" s="23"/>
      <c r="AP440" s="23"/>
      <c r="AQ440" s="23"/>
      <c r="AR440" s="23"/>
      <c r="AS440" s="23"/>
      <c r="AT440" s="23"/>
      <c r="AU440" s="23"/>
      <c r="AV440" s="23"/>
      <c r="AW440" s="23"/>
      <c r="AX440" s="23"/>
      <c r="AY440" s="23"/>
      <c r="AZ440" s="23"/>
      <c r="BA440" s="23"/>
      <c r="BB440" s="23"/>
      <c r="BC440" s="23"/>
      <c r="BD440" s="35"/>
      <c r="BE440" s="35"/>
      <c r="BF440" s="35"/>
      <c r="BG440" s="35"/>
      <c r="BH440" s="35"/>
      <c r="BI440" s="35"/>
      <c r="BJ440" s="35"/>
      <c r="BK440" s="35"/>
      <c r="BL440" s="36"/>
      <c r="BM440" s="36"/>
      <c r="BN440" s="36"/>
      <c r="BO440" s="36"/>
      <c r="BP440" s="35"/>
      <c r="BQ440" s="20"/>
      <c r="BR440" s="35"/>
      <c r="BS440" s="35"/>
      <c r="BT440" s="35"/>
      <c r="BU440" s="117"/>
      <c r="BV440" s="35"/>
      <c r="BW440" s="35"/>
      <c r="BX440" s="35"/>
      <c r="BY440" s="119"/>
      <c r="BZ440" s="119"/>
      <c r="CA440" s="119"/>
      <c r="CB440" s="119"/>
      <c r="CC440" s="119"/>
      <c r="CD440" s="119">
        <v>525</v>
      </c>
      <c r="CE440" s="119">
        <v>550</v>
      </c>
      <c r="CF440" s="119">
        <v>325</v>
      </c>
      <c r="CG440" s="119"/>
      <c r="CH440" s="119"/>
      <c r="CI440" s="119"/>
      <c r="CJ440" s="119"/>
      <c r="CK440" s="119"/>
      <c r="CL440" s="119"/>
      <c r="CM440" s="119">
        <v>375</v>
      </c>
      <c r="CN440" s="117"/>
      <c r="CO440" s="117"/>
      <c r="CP440" s="117"/>
      <c r="CQ440"/>
      <c r="CR440" s="117"/>
      <c r="CS440" s="119"/>
      <c r="CT440" s="117"/>
      <c r="CU440" s="119"/>
      <c r="CV440" s="119"/>
      <c r="CW440" s="119"/>
      <c r="CX440" s="119"/>
      <c r="CY440" s="119"/>
      <c r="CZ440" s="119"/>
      <c r="DA440" s="119"/>
      <c r="DB440" s="119"/>
      <c r="DC440" s="119"/>
    </row>
    <row r="441" spans="2:107" s="15" customFormat="1">
      <c r="B441" s="1036" t="s">
        <v>1981</v>
      </c>
      <c r="C441" s="23"/>
      <c r="L441" s="23"/>
      <c r="M441" s="23"/>
      <c r="N441" s="27"/>
      <c r="O441" s="23"/>
      <c r="P441" s="109"/>
      <c r="Q441" s="23"/>
      <c r="R441" s="23">
        <f>+SUM(CF441:CI441)</f>
        <v>0</v>
      </c>
      <c r="S441" s="23">
        <f>+SUM(CJ441:CM441)</f>
        <v>0</v>
      </c>
      <c r="T441" s="23">
        <f t="shared" si="502"/>
        <v>0</v>
      </c>
      <c r="U441" s="23">
        <f t="shared" si="505"/>
        <v>0</v>
      </c>
      <c r="V441" s="23">
        <f t="shared" si="503"/>
        <v>0</v>
      </c>
      <c r="W441" s="23">
        <f t="shared" si="504"/>
        <v>400</v>
      </c>
      <c r="X441" s="23"/>
      <c r="Y441" s="23"/>
      <c r="Z441" s="23"/>
      <c r="AA441" s="23"/>
      <c r="AB441" s="23"/>
      <c r="AC441" s="23"/>
      <c r="AD441" s="23"/>
      <c r="AE441" s="23"/>
      <c r="AF441" s="23"/>
      <c r="AG441" s="23"/>
      <c r="AH441" s="23"/>
      <c r="AI441" s="23"/>
      <c r="AJ441" s="23"/>
      <c r="AK441" s="23"/>
      <c r="AL441" s="23"/>
      <c r="AM441" s="23"/>
      <c r="AN441" s="23"/>
      <c r="AO441" s="23"/>
      <c r="AP441" s="23"/>
      <c r="AQ441" s="23"/>
      <c r="AR441" s="23"/>
      <c r="AS441" s="23"/>
      <c r="AT441" s="23"/>
      <c r="AU441" s="23"/>
      <c r="AV441" s="23"/>
      <c r="AW441" s="23"/>
      <c r="AX441" s="23"/>
      <c r="AY441" s="23"/>
      <c r="AZ441" s="23"/>
      <c r="BA441" s="23"/>
      <c r="BB441" s="23"/>
      <c r="BC441" s="23"/>
      <c r="BD441" s="35"/>
      <c r="BE441" s="35"/>
      <c r="BF441" s="35"/>
      <c r="BG441" s="35"/>
      <c r="BH441" s="35"/>
      <c r="BI441" s="35"/>
      <c r="BJ441" s="35"/>
      <c r="BK441" s="35"/>
      <c r="BL441" s="36"/>
      <c r="BM441" s="36"/>
      <c r="BN441" s="36"/>
      <c r="BO441" s="36"/>
      <c r="BP441" s="20"/>
      <c r="BQ441" s="20"/>
      <c r="BR441" s="35"/>
      <c r="BS441" s="23"/>
      <c r="BT441" s="23"/>
      <c r="BU441" s="23"/>
      <c r="BV441" s="23"/>
      <c r="BW441" s="23"/>
      <c r="BX441" s="23"/>
      <c r="BY441" s="117"/>
      <c r="BZ441" s="117"/>
      <c r="CA441" s="117"/>
      <c r="CB441" s="117"/>
      <c r="CC441" s="117"/>
      <c r="CD441" s="117"/>
      <c r="CE441" s="117"/>
      <c r="CF441" s="117"/>
      <c r="CG441" s="117"/>
      <c r="CH441" s="117"/>
      <c r="CI441" s="117"/>
      <c r="CJ441" s="117"/>
      <c r="CK441" s="117"/>
      <c r="CL441" s="117"/>
      <c r="CM441" s="117"/>
      <c r="CN441" s="117"/>
      <c r="CO441" s="117"/>
      <c r="CP441" s="117"/>
      <c r="CQ441"/>
      <c r="CR441" s="117"/>
      <c r="CS441" s="117"/>
      <c r="CT441" s="117"/>
      <c r="CU441" s="117"/>
      <c r="CV441" s="117"/>
      <c r="CW441" s="117"/>
      <c r="CX441" s="117"/>
      <c r="CY441" s="117"/>
      <c r="CZ441" s="117"/>
      <c r="DA441" s="117"/>
      <c r="DB441" s="117">
        <v>400</v>
      </c>
      <c r="DC441" s="117"/>
    </row>
    <row r="442" spans="2:107" s="15" customFormat="1">
      <c r="B442" s="25" t="s">
        <v>643</v>
      </c>
      <c r="C442" s="23"/>
      <c r="L442" s="23"/>
      <c r="M442" s="23"/>
      <c r="N442" s="27"/>
      <c r="O442" s="23">
        <f>SUM(BT442:BW442)</f>
        <v>0</v>
      </c>
      <c r="P442" s="109">
        <f>SUM(BX442:CA442)</f>
        <v>1000</v>
      </c>
      <c r="Q442" s="23">
        <f>SUM(CB442:CE442)</f>
        <v>0</v>
      </c>
      <c r="R442" s="23">
        <f t="shared" ref="R442:R454" si="522">+SUM(CF442:CI442)</f>
        <v>0</v>
      </c>
      <c r="S442" s="23">
        <f t="shared" ref="S442:S454" si="523">+SUM(CJ442:CM442)</f>
        <v>0</v>
      </c>
      <c r="T442" s="23">
        <f t="shared" si="502"/>
        <v>0</v>
      </c>
      <c r="U442" s="23">
        <f t="shared" si="505"/>
        <v>0</v>
      </c>
      <c r="V442" s="23">
        <f t="shared" si="503"/>
        <v>0</v>
      </c>
      <c r="W442" s="23">
        <f t="shared" si="504"/>
        <v>0</v>
      </c>
      <c r="X442" s="23"/>
      <c r="Y442" s="23"/>
      <c r="Z442" s="23"/>
      <c r="AA442" s="23"/>
      <c r="AB442" s="23"/>
      <c r="AC442" s="23"/>
      <c r="AD442" s="23"/>
      <c r="AE442" s="23"/>
      <c r="AF442" s="23"/>
      <c r="AG442" s="23"/>
      <c r="AH442" s="23"/>
      <c r="AI442" s="23"/>
      <c r="AJ442" s="23"/>
      <c r="AK442" s="23"/>
      <c r="AL442" s="23"/>
      <c r="AM442" s="23"/>
      <c r="AN442" s="23"/>
      <c r="AO442" s="23"/>
      <c r="AP442" s="23"/>
      <c r="AQ442" s="23"/>
      <c r="AR442" s="23"/>
      <c r="AS442" s="23"/>
      <c r="AT442" s="23"/>
      <c r="AU442" s="23"/>
      <c r="AV442" s="23"/>
      <c r="AW442" s="23"/>
      <c r="AX442" s="23"/>
      <c r="AY442" s="23"/>
      <c r="AZ442" s="23"/>
      <c r="BA442" s="23"/>
      <c r="BB442" s="23"/>
      <c r="BC442" s="23"/>
      <c r="BD442" s="35"/>
      <c r="BE442" s="35"/>
      <c r="BF442" s="35"/>
      <c r="BG442" s="35"/>
      <c r="BH442" s="35"/>
      <c r="BI442" s="35"/>
      <c r="BJ442" s="35"/>
      <c r="BK442" s="35"/>
      <c r="BL442" s="36"/>
      <c r="BM442" s="36"/>
      <c r="BN442" s="36"/>
      <c r="BO442" s="36"/>
      <c r="BP442" s="20"/>
      <c r="BQ442" s="20"/>
      <c r="BR442" s="35"/>
      <c r="BS442" s="35"/>
      <c r="BT442" s="35"/>
      <c r="BU442" s="35"/>
      <c r="BV442" s="117"/>
      <c r="BW442" s="35"/>
      <c r="BX442" s="35"/>
      <c r="BY442" s="117">
        <v>1000</v>
      </c>
      <c r="BZ442" s="117"/>
      <c r="CA442" s="117"/>
      <c r="CB442" s="117"/>
      <c r="CC442" s="117"/>
      <c r="CD442" s="117"/>
      <c r="CE442" s="117"/>
      <c r="CF442" s="117"/>
      <c r="CG442" s="117"/>
      <c r="CH442" s="117"/>
      <c r="CI442" s="117"/>
      <c r="CJ442" s="117"/>
      <c r="CK442" s="117"/>
      <c r="CL442" s="117"/>
      <c r="CM442" s="35"/>
      <c r="CN442" s="35"/>
      <c r="CO442" s="35"/>
      <c r="CP442" s="35"/>
      <c r="CQ442"/>
      <c r="CR442" s="35"/>
      <c r="CS442" s="35"/>
      <c r="CT442" s="35"/>
      <c r="CU442" s="35"/>
      <c r="CV442" s="35"/>
      <c r="CW442" s="35"/>
      <c r="CX442" s="35"/>
      <c r="CY442" s="35"/>
      <c r="CZ442" s="35"/>
      <c r="DA442" s="35"/>
      <c r="DB442" s="35"/>
      <c r="DC442" s="35"/>
    </row>
    <row r="443" spans="2:107" s="15" customFormat="1">
      <c r="B443" s="25" t="s">
        <v>98</v>
      </c>
      <c r="C443" s="23"/>
      <c r="L443" s="23"/>
      <c r="M443" s="23"/>
      <c r="N443" s="27"/>
      <c r="O443" s="23"/>
      <c r="P443" s="109"/>
      <c r="Q443" s="23"/>
      <c r="R443" s="23">
        <f t="shared" si="522"/>
        <v>0</v>
      </c>
      <c r="S443" s="23">
        <f t="shared" si="523"/>
        <v>0</v>
      </c>
      <c r="T443" s="23">
        <f t="shared" si="502"/>
        <v>0</v>
      </c>
      <c r="U443" s="23">
        <f t="shared" si="505"/>
        <v>0</v>
      </c>
      <c r="V443" s="23">
        <f t="shared" si="503"/>
        <v>0</v>
      </c>
      <c r="W443" s="23">
        <f t="shared" si="504"/>
        <v>0</v>
      </c>
      <c r="X443" s="23"/>
      <c r="Y443" s="23"/>
      <c r="Z443" s="23"/>
      <c r="AA443" s="23"/>
      <c r="AB443" s="23"/>
      <c r="AC443" s="23"/>
      <c r="AD443" s="23"/>
      <c r="AE443" s="23"/>
      <c r="AF443" s="23"/>
      <c r="AG443" s="23"/>
      <c r="AH443" s="23"/>
      <c r="AI443" s="23"/>
      <c r="AJ443" s="23"/>
      <c r="AK443" s="23"/>
      <c r="AL443" s="23"/>
      <c r="AM443" s="23"/>
      <c r="AN443" s="23"/>
      <c r="AO443" s="23"/>
      <c r="AP443" s="23"/>
      <c r="AQ443" s="23"/>
      <c r="AR443" s="23"/>
      <c r="AS443" s="23"/>
      <c r="AT443" s="23"/>
      <c r="AU443" s="23"/>
      <c r="AV443" s="23"/>
      <c r="AW443" s="23"/>
      <c r="AX443" s="23"/>
      <c r="AY443" s="23"/>
      <c r="AZ443" s="23"/>
      <c r="BA443" s="23"/>
      <c r="BB443" s="23"/>
      <c r="BC443" s="23"/>
      <c r="BD443" s="35"/>
      <c r="BE443" s="35"/>
      <c r="BF443" s="35"/>
      <c r="BG443" s="35"/>
      <c r="BH443" s="35"/>
      <c r="BI443" s="35"/>
      <c r="BJ443" s="35"/>
      <c r="BK443" s="35"/>
      <c r="BL443" s="36"/>
      <c r="BM443" s="36"/>
      <c r="BN443" s="36"/>
      <c r="BO443" s="36"/>
      <c r="BP443" s="20"/>
      <c r="BQ443" s="20"/>
      <c r="BR443" s="35"/>
      <c r="BS443" s="35"/>
      <c r="BT443" s="35"/>
      <c r="BU443" s="35"/>
      <c r="BV443" s="117"/>
      <c r="BW443" s="35"/>
      <c r="BX443" s="35"/>
      <c r="BY443" s="117"/>
      <c r="BZ443" s="117"/>
      <c r="CA443" s="117"/>
      <c r="CB443" s="117"/>
      <c r="CC443" s="117"/>
      <c r="CD443" s="117">
        <v>1000</v>
      </c>
      <c r="CE443" s="117"/>
      <c r="CF443" s="117"/>
      <c r="CG443" s="117"/>
      <c r="CH443" s="117"/>
      <c r="CI443" s="117"/>
      <c r="CJ443" s="117"/>
      <c r="CK443" s="117"/>
      <c r="CL443" s="117"/>
      <c r="CM443" s="117"/>
      <c r="CN443" s="117"/>
      <c r="CO443" s="117"/>
      <c r="CP443" s="117"/>
      <c r="CQ443"/>
      <c r="CR443" s="117"/>
      <c r="CS443" s="117"/>
      <c r="CT443" s="117"/>
      <c r="CU443" s="117"/>
      <c r="CV443" s="117"/>
      <c r="CW443" s="117"/>
      <c r="CX443" s="117"/>
      <c r="CY443" s="117"/>
      <c r="CZ443" s="117"/>
      <c r="DA443" s="117"/>
      <c r="DB443" s="117"/>
      <c r="DC443" s="117"/>
    </row>
    <row r="444" spans="2:107" s="15" customFormat="1">
      <c r="B444" s="25" t="s">
        <v>1553</v>
      </c>
      <c r="C444" s="23"/>
      <c r="L444" s="23"/>
      <c r="M444" s="23"/>
      <c r="N444" s="27"/>
      <c r="O444" s="23"/>
      <c r="P444" s="109"/>
      <c r="Q444" s="23"/>
      <c r="R444" s="23">
        <f t="shared" si="522"/>
        <v>0</v>
      </c>
      <c r="S444" s="23">
        <f t="shared" si="523"/>
        <v>1000</v>
      </c>
      <c r="T444" s="23">
        <f t="shared" si="502"/>
        <v>0</v>
      </c>
      <c r="U444" s="23">
        <f t="shared" si="505"/>
        <v>0</v>
      </c>
      <c r="V444" s="23">
        <f t="shared" si="503"/>
        <v>0</v>
      </c>
      <c r="W444" s="23">
        <f t="shared" si="504"/>
        <v>0</v>
      </c>
      <c r="X444" s="23"/>
      <c r="Y444" s="23"/>
      <c r="Z444" s="23"/>
      <c r="AA444" s="23"/>
      <c r="AB444" s="23"/>
      <c r="AC444" s="23"/>
      <c r="AD444" s="23"/>
      <c r="AE444" s="23"/>
      <c r="AF444" s="23"/>
      <c r="AG444" s="23"/>
      <c r="AH444" s="23"/>
      <c r="AI444" s="23"/>
      <c r="AJ444" s="23"/>
      <c r="AK444" s="23"/>
      <c r="AL444" s="23"/>
      <c r="AM444" s="23"/>
      <c r="AN444" s="23"/>
      <c r="AO444" s="23"/>
      <c r="AP444" s="23"/>
      <c r="AQ444" s="23"/>
      <c r="AR444" s="23"/>
      <c r="AS444" s="23"/>
      <c r="AT444" s="23"/>
      <c r="AU444" s="23"/>
      <c r="AV444" s="23"/>
      <c r="AW444" s="23"/>
      <c r="AX444" s="23"/>
      <c r="AY444" s="23"/>
      <c r="AZ444" s="23"/>
      <c r="BA444" s="23"/>
      <c r="BB444" s="23"/>
      <c r="BC444" s="23"/>
      <c r="BD444" s="35"/>
      <c r="BE444" s="35"/>
      <c r="BF444" s="35"/>
      <c r="BG444" s="35"/>
      <c r="BH444" s="35"/>
      <c r="BI444" s="35"/>
      <c r="BJ444" s="35"/>
      <c r="BK444" s="35"/>
      <c r="BL444" s="36"/>
      <c r="BM444" s="36"/>
      <c r="BN444" s="36"/>
      <c r="BO444" s="36"/>
      <c r="BP444" s="20"/>
      <c r="BQ444" s="20"/>
      <c r="BR444" s="35"/>
      <c r="BS444" s="35"/>
      <c r="BT444" s="35"/>
      <c r="BU444" s="35"/>
      <c r="BV444" s="117"/>
      <c r="BW444" s="35"/>
      <c r="BX444" s="35"/>
      <c r="BY444" s="117"/>
      <c r="BZ444" s="117"/>
      <c r="CA444" s="117"/>
      <c r="CB444" s="117"/>
      <c r="CC444" s="117"/>
      <c r="CD444" s="117"/>
      <c r="CE444" s="117"/>
      <c r="CF444" s="117"/>
      <c r="CG444" s="117"/>
      <c r="CH444" s="117"/>
      <c r="CI444" s="117"/>
      <c r="CJ444" s="117">
        <v>1000</v>
      </c>
      <c r="CK444" s="117"/>
      <c r="CL444" s="117"/>
      <c r="CM444" s="117"/>
      <c r="CN444" s="117"/>
      <c r="CO444" s="117"/>
      <c r="CP444" s="117"/>
      <c r="CQ444" s="117"/>
      <c r="CR444" s="117"/>
      <c r="CS444" s="117"/>
      <c r="CT444" s="117"/>
      <c r="CU444" s="117"/>
      <c r="CV444" s="117"/>
      <c r="CW444" s="117"/>
      <c r="CX444" s="117"/>
      <c r="CY444" s="117"/>
      <c r="CZ444" s="117"/>
      <c r="DA444" s="117"/>
      <c r="DB444" s="117"/>
      <c r="DC444" s="117"/>
    </row>
    <row r="445" spans="2:107" s="15" customFormat="1">
      <c r="B445" s="1036" t="s">
        <v>1984</v>
      </c>
      <c r="C445" s="23"/>
      <c r="L445" s="23"/>
      <c r="M445" s="23"/>
      <c r="N445" s="27"/>
      <c r="O445" s="23"/>
      <c r="P445" s="109"/>
      <c r="Q445" s="23"/>
      <c r="R445" s="23">
        <f>+SUM(CF445:CI445)</f>
        <v>0</v>
      </c>
      <c r="S445" s="23">
        <f>+SUM(CJ445:CM445)</f>
        <v>0</v>
      </c>
      <c r="T445" s="23">
        <f t="shared" si="502"/>
        <v>0</v>
      </c>
      <c r="U445" s="23">
        <f t="shared" si="505"/>
        <v>1500</v>
      </c>
      <c r="V445" s="23">
        <f t="shared" si="503"/>
        <v>0</v>
      </c>
      <c r="W445" s="23">
        <f t="shared" si="504"/>
        <v>0</v>
      </c>
      <c r="X445" s="23"/>
      <c r="Y445" s="23"/>
      <c r="Z445" s="23"/>
      <c r="AA445" s="23"/>
      <c r="AB445" s="23"/>
      <c r="AC445" s="23"/>
      <c r="AD445" s="23"/>
      <c r="AE445" s="23"/>
      <c r="AF445" s="23"/>
      <c r="AG445" s="23"/>
      <c r="AH445" s="23"/>
      <c r="AI445" s="23"/>
      <c r="AJ445" s="23"/>
      <c r="AK445" s="23"/>
      <c r="AL445" s="23"/>
      <c r="AM445" s="23"/>
      <c r="AN445" s="23"/>
      <c r="AO445" s="23"/>
      <c r="AP445" s="23"/>
      <c r="AQ445" s="23"/>
      <c r="AR445" s="23"/>
      <c r="AS445" s="23"/>
      <c r="AT445" s="23"/>
      <c r="AU445" s="23"/>
      <c r="AV445" s="23"/>
      <c r="AW445" s="23"/>
      <c r="AX445" s="23"/>
      <c r="AY445" s="23"/>
      <c r="AZ445" s="23"/>
      <c r="BA445" s="23"/>
      <c r="BB445" s="23"/>
      <c r="BC445" s="23"/>
      <c r="BD445" s="35"/>
      <c r="BE445" s="35"/>
      <c r="BF445" s="35"/>
      <c r="BG445" s="35"/>
      <c r="BH445" s="35"/>
      <c r="BI445" s="35"/>
      <c r="BJ445" s="35"/>
      <c r="BK445" s="35"/>
      <c r="BL445" s="36"/>
      <c r="BM445" s="36"/>
      <c r="BN445" s="36"/>
      <c r="BO445" s="36"/>
      <c r="BP445" s="20"/>
      <c r="BQ445" s="20"/>
      <c r="BR445" s="35"/>
      <c r="BS445" s="35"/>
      <c r="BT445" s="35"/>
      <c r="BU445" s="35"/>
      <c r="BV445" s="117"/>
      <c r="BW445" s="35"/>
      <c r="BX445" s="35"/>
      <c r="BY445" s="117"/>
      <c r="BZ445" s="117"/>
      <c r="CA445" s="117"/>
      <c r="CB445" s="117"/>
      <c r="CC445" s="117"/>
      <c r="CD445" s="117"/>
      <c r="CE445" s="117"/>
      <c r="CF445" s="117"/>
      <c r="CG445" s="117"/>
      <c r="CH445" s="117"/>
      <c r="CI445" s="117"/>
      <c r="CJ445" s="117"/>
      <c r="CK445" s="117"/>
      <c r="CL445" s="117"/>
      <c r="CM445" s="117"/>
      <c r="CN445" s="117"/>
      <c r="CO445" s="117"/>
      <c r="CP445" s="117"/>
      <c r="CQ445" s="117"/>
      <c r="CR445" s="117"/>
      <c r="CS445" s="117"/>
      <c r="CT445" s="117">
        <v>1500</v>
      </c>
      <c r="CU445" s="117"/>
      <c r="CV445" s="117"/>
      <c r="CW445" s="117"/>
      <c r="CX445" s="117"/>
      <c r="CY445" s="117"/>
      <c r="CZ445" s="117"/>
      <c r="DA445" s="117"/>
      <c r="DB445" s="117"/>
      <c r="DC445" s="117"/>
    </row>
    <row r="446" spans="2:107" s="15" customFormat="1">
      <c r="B446" s="1036" t="s">
        <v>2656</v>
      </c>
      <c r="C446" s="23"/>
      <c r="L446" s="23"/>
      <c r="M446" s="23"/>
      <c r="N446" s="27"/>
      <c r="O446" s="23"/>
      <c r="P446" s="109"/>
      <c r="Q446" s="23"/>
      <c r="R446" s="23">
        <f>+SUM(CF446:CI446)</f>
        <v>0</v>
      </c>
      <c r="S446" s="23">
        <f>+SUM(CJ446:CM446)</f>
        <v>0</v>
      </c>
      <c r="T446" s="23">
        <f>+SUM(CN446:CQ446)</f>
        <v>0</v>
      </c>
      <c r="U446" s="23">
        <f>+SUM(CR446:CU446)</f>
        <v>0</v>
      </c>
      <c r="V446" s="23">
        <f>+SUM(CV446:CY446)</f>
        <v>1500</v>
      </c>
      <c r="W446" s="23">
        <f t="shared" si="504"/>
        <v>0</v>
      </c>
      <c r="X446" s="23"/>
      <c r="Y446" s="23"/>
      <c r="Z446" s="23"/>
      <c r="AA446" s="23"/>
      <c r="AB446" s="23"/>
      <c r="AC446" s="23"/>
      <c r="AD446" s="23"/>
      <c r="AE446" s="23"/>
      <c r="AF446" s="23"/>
      <c r="AG446" s="23"/>
      <c r="AH446" s="23"/>
      <c r="AI446" s="23"/>
      <c r="AJ446" s="23"/>
      <c r="AK446" s="23"/>
      <c r="AL446" s="23"/>
      <c r="AM446" s="23"/>
      <c r="AN446" s="23"/>
      <c r="AO446" s="23"/>
      <c r="AP446" s="23"/>
      <c r="AQ446" s="23"/>
      <c r="AR446" s="23"/>
      <c r="AS446" s="23"/>
      <c r="AT446" s="23"/>
      <c r="AU446" s="23"/>
      <c r="AV446" s="23"/>
      <c r="AW446" s="23"/>
      <c r="AX446" s="23"/>
      <c r="AY446" s="23"/>
      <c r="AZ446" s="23"/>
      <c r="BA446" s="23"/>
      <c r="BB446" s="23"/>
      <c r="BC446" s="23"/>
      <c r="BD446" s="35"/>
      <c r="BE446" s="35"/>
      <c r="BF446" s="35"/>
      <c r="BG446" s="35"/>
      <c r="BH446" s="35"/>
      <c r="BI446" s="35"/>
      <c r="BJ446" s="35"/>
      <c r="BK446" s="35"/>
      <c r="BL446" s="36"/>
      <c r="BM446" s="36"/>
      <c r="BN446" s="36"/>
      <c r="BO446" s="36"/>
      <c r="BP446" s="20"/>
      <c r="BQ446" s="20"/>
      <c r="BR446" s="35"/>
      <c r="BS446" s="35"/>
      <c r="BT446" s="35"/>
      <c r="BU446" s="35"/>
      <c r="BV446" s="117"/>
      <c r="BW446" s="35"/>
      <c r="BX446" s="35"/>
      <c r="BY446" s="117"/>
      <c r="BZ446" s="117"/>
      <c r="CA446" s="117"/>
      <c r="CB446" s="117"/>
      <c r="CC446" s="117"/>
      <c r="CD446" s="117"/>
      <c r="CE446" s="117"/>
      <c r="CF446" s="117"/>
      <c r="CG446" s="117"/>
      <c r="CH446" s="117"/>
      <c r="CI446" s="117"/>
      <c r="CJ446" s="117"/>
      <c r="CK446" s="117"/>
      <c r="CL446" s="117"/>
      <c r="CM446" s="117"/>
      <c r="CN446" s="117"/>
      <c r="CO446" s="117"/>
      <c r="CP446" s="117"/>
      <c r="CQ446" s="117"/>
      <c r="CR446" s="117"/>
      <c r="CS446" s="117"/>
      <c r="CT446" s="117"/>
      <c r="CU446" s="117"/>
      <c r="CV446" s="117"/>
      <c r="CW446" s="117"/>
      <c r="CX446" s="117"/>
      <c r="CY446" s="117">
        <v>1500</v>
      </c>
      <c r="CZ446" s="117"/>
      <c r="DA446" s="117"/>
      <c r="DB446" s="117"/>
      <c r="DC446" s="117"/>
    </row>
    <row r="447" spans="2:107" s="15" customFormat="1">
      <c r="B447" s="25" t="s">
        <v>415</v>
      </c>
      <c r="C447" s="23"/>
      <c r="L447" s="23"/>
      <c r="M447" s="23"/>
      <c r="N447" s="27"/>
      <c r="O447" s="23"/>
      <c r="P447" s="109">
        <f t="shared" ref="P447:P454" si="524">SUM(BX447:CA447)</f>
        <v>0</v>
      </c>
      <c r="Q447" s="23">
        <f t="shared" ref="Q447:Q454" si="525">SUM(CB447:CE447)</f>
        <v>0</v>
      </c>
      <c r="R447" s="23">
        <f t="shared" si="522"/>
        <v>320</v>
      </c>
      <c r="S447" s="23">
        <f t="shared" si="523"/>
        <v>0</v>
      </c>
      <c r="T447" s="23">
        <f t="shared" si="502"/>
        <v>0</v>
      </c>
      <c r="U447" s="23">
        <f t="shared" si="505"/>
        <v>0</v>
      </c>
      <c r="V447" s="23">
        <f t="shared" si="503"/>
        <v>0</v>
      </c>
      <c r="W447" s="23">
        <f t="shared" si="504"/>
        <v>0</v>
      </c>
      <c r="X447" s="23"/>
      <c r="Y447" s="23"/>
      <c r="Z447" s="23"/>
      <c r="AA447" s="23"/>
      <c r="AB447" s="23"/>
      <c r="AC447" s="23"/>
      <c r="AD447" s="23"/>
      <c r="AE447" s="23"/>
      <c r="AF447" s="23"/>
      <c r="AG447" s="23"/>
      <c r="AH447" s="23"/>
      <c r="AI447" s="23"/>
      <c r="AJ447" s="23"/>
      <c r="AK447" s="23"/>
      <c r="AL447" s="23"/>
      <c r="AM447" s="23"/>
      <c r="AN447" s="23"/>
      <c r="AO447" s="23"/>
      <c r="AP447" s="23"/>
      <c r="AQ447" s="23"/>
      <c r="AR447" s="23"/>
      <c r="AS447" s="23"/>
      <c r="AT447" s="23"/>
      <c r="AU447" s="23"/>
      <c r="AV447" s="23"/>
      <c r="AW447" s="23"/>
      <c r="AX447" s="23"/>
      <c r="AY447" s="23"/>
      <c r="AZ447" s="23"/>
      <c r="BA447" s="23"/>
      <c r="BB447" s="23"/>
      <c r="BC447" s="23"/>
      <c r="BD447" s="35"/>
      <c r="BE447" s="35"/>
      <c r="BF447" s="35"/>
      <c r="BG447" s="35"/>
      <c r="BH447" s="35"/>
      <c r="BI447" s="35"/>
      <c r="BJ447" s="35"/>
      <c r="BK447" s="35"/>
      <c r="BL447" s="36"/>
      <c r="BM447" s="36"/>
      <c r="BN447" s="36"/>
      <c r="BO447" s="36"/>
      <c r="BP447" s="20"/>
      <c r="BQ447" s="20"/>
      <c r="BR447" s="35"/>
      <c r="BS447" s="23"/>
      <c r="BT447" s="23"/>
      <c r="BU447" s="23"/>
      <c r="BV447" s="23"/>
      <c r="BW447" s="23"/>
      <c r="BX447" s="23"/>
      <c r="BY447" s="117"/>
      <c r="BZ447" s="117"/>
      <c r="CA447" s="117"/>
      <c r="CB447" s="117"/>
      <c r="CC447" s="117"/>
      <c r="CD447" s="117"/>
      <c r="CE447" s="117"/>
      <c r="CF447" s="117"/>
      <c r="CG447" s="117"/>
      <c r="CH447" s="117"/>
      <c r="CI447" s="117">
        <v>320</v>
      </c>
      <c r="CJ447" s="117"/>
      <c r="CK447" s="117"/>
      <c r="CL447" s="117"/>
      <c r="CM447" s="117"/>
      <c r="CN447" s="117"/>
      <c r="CO447" s="117"/>
      <c r="CP447" s="117"/>
      <c r="CQ447" s="117"/>
      <c r="CR447" s="117"/>
      <c r="CS447" s="117"/>
      <c r="CT447" s="117"/>
      <c r="CU447" s="117"/>
      <c r="CV447" s="117"/>
      <c r="CW447" s="117"/>
      <c r="CX447" s="117"/>
      <c r="CY447" s="117"/>
      <c r="CZ447" s="117"/>
      <c r="DA447" s="117"/>
      <c r="DB447" s="117"/>
      <c r="DC447" s="117"/>
    </row>
    <row r="448" spans="2:107" s="15" customFormat="1">
      <c r="B448" s="1036" t="s">
        <v>1852</v>
      </c>
      <c r="C448" s="23"/>
      <c r="L448" s="23"/>
      <c r="M448" s="23"/>
      <c r="N448" s="27"/>
      <c r="O448" s="23"/>
      <c r="P448" s="109">
        <f t="shared" si="524"/>
        <v>0</v>
      </c>
      <c r="Q448" s="23">
        <f t="shared" si="525"/>
        <v>0</v>
      </c>
      <c r="R448" s="23">
        <f t="shared" si="522"/>
        <v>320</v>
      </c>
      <c r="S448" s="23">
        <f t="shared" si="523"/>
        <v>450</v>
      </c>
      <c r="T448" s="23">
        <f t="shared" si="502"/>
        <v>0</v>
      </c>
      <c r="U448" s="23">
        <f t="shared" si="505"/>
        <v>0</v>
      </c>
      <c r="V448" s="23">
        <f t="shared" si="503"/>
        <v>0</v>
      </c>
      <c r="W448" s="23">
        <f t="shared" si="504"/>
        <v>0</v>
      </c>
      <c r="X448" s="23"/>
      <c r="Y448" s="23"/>
      <c r="Z448" s="23"/>
      <c r="AA448" s="23"/>
      <c r="AB448" s="23"/>
      <c r="AC448" s="23"/>
      <c r="AD448" s="23"/>
      <c r="AE448" s="23"/>
      <c r="AF448" s="23"/>
      <c r="AG448" s="23"/>
      <c r="AH448" s="23"/>
      <c r="AI448" s="23"/>
      <c r="AJ448" s="23"/>
      <c r="AK448" s="23"/>
      <c r="AL448" s="23"/>
      <c r="AM448" s="23"/>
      <c r="AN448" s="23"/>
      <c r="AO448" s="23"/>
      <c r="AP448" s="23"/>
      <c r="AQ448" s="23"/>
      <c r="AR448" s="23"/>
      <c r="AS448" s="23"/>
      <c r="AT448" s="23"/>
      <c r="AU448" s="23"/>
      <c r="AV448" s="23"/>
      <c r="AW448" s="23"/>
      <c r="AX448" s="23"/>
      <c r="AY448" s="23"/>
      <c r="AZ448" s="23"/>
      <c r="BA448" s="23"/>
      <c r="BB448" s="23"/>
      <c r="BC448" s="23"/>
      <c r="BD448" s="35"/>
      <c r="BE448" s="35"/>
      <c r="BF448" s="35"/>
      <c r="BG448" s="35"/>
      <c r="BH448" s="35"/>
      <c r="BI448" s="35"/>
      <c r="BJ448" s="35"/>
      <c r="BK448" s="35"/>
      <c r="BL448" s="36"/>
      <c r="BM448" s="36"/>
      <c r="BN448" s="36"/>
      <c r="BO448" s="36"/>
      <c r="BP448" s="20"/>
      <c r="BQ448" s="20"/>
      <c r="BR448" s="35"/>
      <c r="BS448" s="23"/>
      <c r="BT448" s="23"/>
      <c r="BU448" s="23"/>
      <c r="BV448" s="23"/>
      <c r="BW448" s="23"/>
      <c r="BX448" s="23"/>
      <c r="BY448" s="117"/>
      <c r="BZ448" s="117"/>
      <c r="CA448" s="117"/>
      <c r="CB448" s="117"/>
      <c r="CC448" s="117"/>
      <c r="CD448" s="117"/>
      <c r="CE448" s="117"/>
      <c r="CF448" s="117"/>
      <c r="CG448" s="117"/>
      <c r="CH448" s="117"/>
      <c r="CI448" s="117">
        <v>320</v>
      </c>
      <c r="CJ448" s="117"/>
      <c r="CK448" s="117"/>
      <c r="CL448" s="117"/>
      <c r="CM448" s="117">
        <v>450</v>
      </c>
      <c r="CN448" s="117"/>
      <c r="CO448" s="117"/>
      <c r="CP448" s="117"/>
      <c r="CQ448" s="117"/>
      <c r="CR448" s="117"/>
      <c r="CS448" s="117"/>
      <c r="CT448" s="117"/>
      <c r="CU448" s="117"/>
      <c r="CV448" s="117"/>
      <c r="CW448" s="117"/>
      <c r="CX448" s="117"/>
      <c r="CY448" s="117"/>
      <c r="CZ448" s="117"/>
      <c r="DA448" s="117"/>
      <c r="DB448" s="117"/>
      <c r="DC448" s="117"/>
    </row>
    <row r="449" spans="2:107">
      <c r="B449" s="1036" t="s">
        <v>2686</v>
      </c>
      <c r="C449" s="23"/>
      <c r="D449" s="15"/>
      <c r="E449" s="15"/>
      <c r="F449" s="15"/>
      <c r="G449" s="15"/>
      <c r="H449" s="15"/>
      <c r="I449" s="15"/>
      <c r="J449" s="15"/>
      <c r="K449" s="15"/>
      <c r="L449" s="23"/>
      <c r="M449" s="23"/>
      <c r="N449" s="27"/>
      <c r="O449" s="23"/>
      <c r="P449" s="109">
        <f t="shared" ref="P449" si="526">SUM(BX449:CA449)</f>
        <v>0</v>
      </c>
      <c r="Q449" s="16">
        <f t="shared" ref="Q449" si="527">SUM(CB449:CE449)</f>
        <v>0</v>
      </c>
      <c r="R449" s="16">
        <f t="shared" ref="R449" si="528">+SUM(CF449:CI449)</f>
        <v>0</v>
      </c>
      <c r="S449" s="16">
        <f>+SUM(CJ449:CM449)</f>
        <v>0</v>
      </c>
      <c r="T449" s="16">
        <f>+SUM(CN449:CQ449)</f>
        <v>0</v>
      </c>
      <c r="U449" s="16">
        <f>+SUM(CR449:CU449)</f>
        <v>0</v>
      </c>
      <c r="V449" s="16">
        <f t="shared" si="503"/>
        <v>0</v>
      </c>
      <c r="W449" s="16">
        <f t="shared" si="504"/>
        <v>500</v>
      </c>
      <c r="X449" s="23"/>
      <c r="Y449" s="23"/>
      <c r="Z449" s="23"/>
      <c r="AA449" s="23"/>
      <c r="AB449" s="23"/>
      <c r="AC449" s="23"/>
      <c r="AD449" s="23"/>
      <c r="AE449" s="23"/>
      <c r="AF449" s="23"/>
      <c r="AG449" s="23"/>
      <c r="AH449" s="23"/>
      <c r="AI449" s="23"/>
      <c r="AJ449" s="23"/>
      <c r="AK449" s="23"/>
      <c r="AL449" s="23"/>
      <c r="AM449" s="23"/>
      <c r="AN449" s="23"/>
      <c r="AO449" s="23"/>
      <c r="AP449" s="23"/>
      <c r="AQ449" s="23"/>
      <c r="AR449" s="23"/>
      <c r="AS449" s="23"/>
      <c r="AT449" s="23"/>
      <c r="AU449" s="23"/>
      <c r="AV449" s="23"/>
      <c r="AW449" s="23"/>
      <c r="AX449" s="23"/>
      <c r="AY449" s="23"/>
      <c r="AZ449" s="23"/>
      <c r="BA449" s="23"/>
      <c r="BB449" s="23"/>
      <c r="BC449" s="23"/>
      <c r="BD449" s="35"/>
      <c r="BE449" s="35"/>
      <c r="BF449" s="35"/>
      <c r="BG449" s="35"/>
      <c r="BH449" s="35"/>
      <c r="BI449" s="35"/>
      <c r="BJ449" s="35"/>
      <c r="BK449" s="35"/>
      <c r="BL449" s="36"/>
      <c r="BM449" s="36"/>
      <c r="BN449" s="36"/>
      <c r="BO449" s="36"/>
      <c r="BP449" s="35"/>
      <c r="BQ449" s="20"/>
      <c r="BR449" s="35"/>
      <c r="BS449" s="35"/>
      <c r="BT449" s="35"/>
      <c r="BU449" s="117"/>
      <c r="BV449" s="35"/>
      <c r="BW449" s="35"/>
      <c r="BX449" s="35"/>
      <c r="BY449" s="119"/>
      <c r="BZ449" s="119"/>
      <c r="CA449" s="119"/>
      <c r="CB449" s="119"/>
      <c r="CC449" s="119"/>
      <c r="CD449" s="119"/>
      <c r="CE449" s="119"/>
      <c r="CF449" s="119"/>
      <c r="CG449" s="119"/>
      <c r="CH449" s="119"/>
      <c r="CI449" s="119"/>
      <c r="CJ449" s="119"/>
      <c r="CK449" s="119"/>
      <c r="CL449" s="119"/>
      <c r="CM449" s="119"/>
      <c r="CN449" s="117"/>
      <c r="CO449" s="117"/>
      <c r="CP449" s="117"/>
      <c r="CS449" s="119"/>
      <c r="CT449" s="117"/>
      <c r="CU449" s="119"/>
      <c r="CV449" s="117"/>
      <c r="CW449" s="117"/>
      <c r="CX449" s="119"/>
      <c r="CY449" s="117"/>
      <c r="CZ449" s="117">
        <v>500</v>
      </c>
      <c r="DA449" s="117"/>
      <c r="DB449" s="117"/>
      <c r="DC449" s="117"/>
    </row>
    <row r="450" spans="2:107" s="15" customFormat="1">
      <c r="B450" s="25" t="s">
        <v>1788</v>
      </c>
      <c r="C450" s="23"/>
      <c r="L450" s="23"/>
      <c r="M450" s="23"/>
      <c r="N450" s="27"/>
      <c r="O450" s="23"/>
      <c r="P450" s="109">
        <f t="shared" si="524"/>
        <v>1300</v>
      </c>
      <c r="Q450" s="23">
        <f t="shared" si="525"/>
        <v>0</v>
      </c>
      <c r="R450" s="23">
        <f t="shared" si="522"/>
        <v>0</v>
      </c>
      <c r="S450" s="23">
        <f t="shared" si="523"/>
        <v>0</v>
      </c>
      <c r="T450" s="23">
        <f t="shared" si="502"/>
        <v>0</v>
      </c>
      <c r="U450" s="23">
        <f t="shared" si="505"/>
        <v>0</v>
      </c>
      <c r="V450" s="23">
        <f t="shared" si="503"/>
        <v>0</v>
      </c>
      <c r="W450" s="23">
        <f t="shared" si="504"/>
        <v>0</v>
      </c>
      <c r="X450" s="23"/>
      <c r="Y450" s="23"/>
      <c r="Z450" s="23"/>
      <c r="AA450" s="23"/>
      <c r="AB450" s="23"/>
      <c r="AC450" s="23"/>
      <c r="AD450" s="23"/>
      <c r="AE450" s="23"/>
      <c r="AF450" s="23"/>
      <c r="AG450" s="23"/>
      <c r="AH450" s="23"/>
      <c r="AI450" s="23"/>
      <c r="AJ450" s="23"/>
      <c r="AK450" s="23"/>
      <c r="AL450" s="23"/>
      <c r="AM450" s="23"/>
      <c r="AN450" s="23"/>
      <c r="AO450" s="23"/>
      <c r="AP450" s="23"/>
      <c r="AQ450" s="23"/>
      <c r="AR450" s="23"/>
      <c r="AS450" s="23"/>
      <c r="AT450" s="23"/>
      <c r="AU450" s="23"/>
      <c r="AV450" s="23"/>
      <c r="AW450" s="23"/>
      <c r="AX450" s="23"/>
      <c r="AY450" s="23"/>
      <c r="AZ450" s="23"/>
      <c r="BA450" s="23"/>
      <c r="BB450" s="23"/>
      <c r="BC450" s="23"/>
      <c r="BD450" s="35"/>
      <c r="BE450" s="35"/>
      <c r="BF450" s="35"/>
      <c r="BG450" s="35"/>
      <c r="BH450" s="35"/>
      <c r="BI450" s="35"/>
      <c r="BJ450" s="35"/>
      <c r="BK450" s="35"/>
      <c r="BL450" s="36"/>
      <c r="BM450" s="36"/>
      <c r="BN450" s="36"/>
      <c r="BO450" s="36"/>
      <c r="BP450" s="20"/>
      <c r="BQ450" s="20"/>
      <c r="BR450" s="35"/>
      <c r="BS450" s="23"/>
      <c r="BT450" s="23"/>
      <c r="BU450" s="23"/>
      <c r="BV450" s="23"/>
      <c r="BW450" s="23"/>
      <c r="BX450" s="23"/>
      <c r="BY450" s="117">
        <v>500</v>
      </c>
      <c r="BZ450" s="117">
        <v>400</v>
      </c>
      <c r="CA450" s="117">
        <v>400</v>
      </c>
      <c r="CB450" s="117"/>
      <c r="CC450" s="117"/>
      <c r="CD450" s="117"/>
      <c r="CE450" s="117"/>
      <c r="CF450" s="117"/>
      <c r="CG450" s="117"/>
      <c r="CH450" s="117"/>
      <c r="CI450" s="117"/>
      <c r="CJ450" s="117"/>
      <c r="CK450" s="117"/>
      <c r="CL450" s="117"/>
      <c r="CM450" s="117"/>
      <c r="CN450" s="23"/>
      <c r="CO450" s="23"/>
      <c r="CP450" s="23"/>
      <c r="CQ450" s="23"/>
      <c r="CR450" s="23"/>
      <c r="CS450" s="23"/>
      <c r="CT450" s="23"/>
      <c r="CU450" s="23"/>
      <c r="CV450" s="23"/>
      <c r="CW450" s="23"/>
      <c r="CX450" s="23"/>
      <c r="CY450" s="23"/>
      <c r="CZ450" s="23"/>
      <c r="DA450" s="23"/>
      <c r="DB450" s="23"/>
      <c r="DC450" s="23"/>
    </row>
    <row r="451" spans="2:107" s="15" customFormat="1">
      <c r="B451" s="25" t="s">
        <v>1673</v>
      </c>
      <c r="C451" s="23"/>
      <c r="L451" s="23"/>
      <c r="M451" s="23"/>
      <c r="N451" s="27"/>
      <c r="O451" s="23"/>
      <c r="P451" s="109">
        <f t="shared" si="524"/>
        <v>0</v>
      </c>
      <c r="Q451" s="23">
        <f t="shared" si="525"/>
        <v>0</v>
      </c>
      <c r="R451" s="23">
        <f t="shared" si="522"/>
        <v>450</v>
      </c>
      <c r="S451" s="23">
        <f t="shared" si="523"/>
        <v>350</v>
      </c>
      <c r="T451" s="23">
        <f t="shared" si="502"/>
        <v>0</v>
      </c>
      <c r="U451" s="23">
        <f t="shared" si="505"/>
        <v>0</v>
      </c>
      <c r="V451" s="23">
        <f t="shared" si="503"/>
        <v>0</v>
      </c>
      <c r="W451" s="23">
        <f t="shared" si="504"/>
        <v>0</v>
      </c>
      <c r="X451" s="23"/>
      <c r="Y451" s="23"/>
      <c r="Z451" s="23"/>
      <c r="AA451" s="23"/>
      <c r="AB451" s="23"/>
      <c r="AC451" s="23"/>
      <c r="AD451" s="23"/>
      <c r="AE451" s="23"/>
      <c r="AF451" s="23"/>
      <c r="AG451" s="23"/>
      <c r="AH451" s="23"/>
      <c r="AI451" s="23"/>
      <c r="AJ451" s="23"/>
      <c r="AK451" s="23"/>
      <c r="AL451" s="23"/>
      <c r="AM451" s="23"/>
      <c r="AN451" s="23"/>
      <c r="AO451" s="23"/>
      <c r="AP451" s="23"/>
      <c r="AQ451" s="23"/>
      <c r="AR451" s="23"/>
      <c r="AS451" s="23"/>
      <c r="AT451" s="23"/>
      <c r="AU451" s="23"/>
      <c r="AV451" s="23"/>
      <c r="AW451" s="23"/>
      <c r="AX451" s="23"/>
      <c r="AY451" s="23"/>
      <c r="AZ451" s="23"/>
      <c r="BA451" s="23"/>
      <c r="BB451" s="23"/>
      <c r="BC451" s="23"/>
      <c r="BD451" s="35"/>
      <c r="BE451" s="35"/>
      <c r="BF451" s="35"/>
      <c r="BG451" s="35"/>
      <c r="BH451" s="35"/>
      <c r="BI451" s="35"/>
      <c r="BJ451" s="35"/>
      <c r="BK451" s="35"/>
      <c r="BL451" s="36"/>
      <c r="BM451" s="36"/>
      <c r="BN451" s="36"/>
      <c r="BO451" s="36"/>
      <c r="BP451" s="20"/>
      <c r="BQ451" s="20"/>
      <c r="BR451" s="35"/>
      <c r="BS451" s="23"/>
      <c r="BT451" s="23"/>
      <c r="BU451" s="23"/>
      <c r="BV451" s="23"/>
      <c r="BW451" s="23"/>
      <c r="BX451" s="23"/>
      <c r="BY451" s="117"/>
      <c r="BZ451" s="117"/>
      <c r="CA451" s="117"/>
      <c r="CB451" s="117"/>
      <c r="CC451" s="117"/>
      <c r="CD451" s="117"/>
      <c r="CE451" s="117"/>
      <c r="CF451" s="117"/>
      <c r="CG451" s="117"/>
      <c r="CH451" s="117">
        <v>450</v>
      </c>
      <c r="CI451" s="117"/>
      <c r="CJ451" s="117">
        <v>350</v>
      </c>
      <c r="CK451" s="117"/>
      <c r="CL451" s="117"/>
      <c r="CM451" s="117"/>
      <c r="CN451" s="23"/>
      <c r="CO451" s="23"/>
      <c r="CP451" s="23"/>
      <c r="CQ451" s="23"/>
      <c r="CR451" s="23"/>
      <c r="CS451" s="23"/>
      <c r="CT451" s="23"/>
      <c r="CU451" s="23"/>
      <c r="CV451" s="23"/>
      <c r="CW451" s="23"/>
      <c r="CX451" s="23"/>
      <c r="CY451" s="23"/>
      <c r="CZ451" s="23"/>
      <c r="DA451" s="23"/>
      <c r="DB451" s="23"/>
      <c r="DC451" s="23"/>
    </row>
    <row r="452" spans="2:107" s="15" customFormat="1">
      <c r="B452" s="25" t="s">
        <v>349</v>
      </c>
      <c r="C452" s="23"/>
      <c r="L452" s="23"/>
      <c r="M452" s="23"/>
      <c r="N452" s="27"/>
      <c r="O452" s="23"/>
      <c r="P452" s="109">
        <f t="shared" si="524"/>
        <v>0</v>
      </c>
      <c r="Q452" s="23">
        <f t="shared" si="525"/>
        <v>0</v>
      </c>
      <c r="R452" s="23">
        <f t="shared" si="522"/>
        <v>0</v>
      </c>
      <c r="S452" s="23">
        <f t="shared" si="523"/>
        <v>0</v>
      </c>
      <c r="T452" s="23">
        <f t="shared" si="502"/>
        <v>0</v>
      </c>
      <c r="U452" s="23">
        <f t="shared" si="505"/>
        <v>0</v>
      </c>
      <c r="V452" s="23">
        <f t="shared" si="503"/>
        <v>0</v>
      </c>
      <c r="W452" s="23">
        <f t="shared" si="504"/>
        <v>0</v>
      </c>
      <c r="X452" s="23"/>
      <c r="Y452" s="23"/>
      <c r="Z452" s="23"/>
      <c r="AA452" s="23"/>
      <c r="AB452" s="23"/>
      <c r="AC452" s="23"/>
      <c r="AD452" s="23"/>
      <c r="AE452" s="23"/>
      <c r="AF452" s="23"/>
      <c r="AG452" s="23"/>
      <c r="AH452" s="23"/>
      <c r="AI452" s="23"/>
      <c r="AJ452" s="23"/>
      <c r="AK452" s="23"/>
      <c r="AL452" s="23"/>
      <c r="AM452" s="23"/>
      <c r="AN452" s="23"/>
      <c r="AO452" s="23"/>
      <c r="AP452" s="23"/>
      <c r="AQ452" s="23"/>
      <c r="AR452" s="23"/>
      <c r="AS452" s="23"/>
      <c r="AT452" s="23"/>
      <c r="AU452" s="23"/>
      <c r="AV452" s="23"/>
      <c r="AW452" s="23"/>
      <c r="AX452" s="23"/>
      <c r="AY452" s="23"/>
      <c r="AZ452" s="23"/>
      <c r="BA452" s="23"/>
      <c r="BB452" s="23"/>
      <c r="BC452" s="23"/>
      <c r="BD452" s="35"/>
      <c r="BE452" s="35"/>
      <c r="BF452" s="35"/>
      <c r="BG452" s="35"/>
      <c r="BH452" s="35"/>
      <c r="BI452" s="35"/>
      <c r="BJ452" s="35"/>
      <c r="BK452" s="35"/>
      <c r="BL452" s="36"/>
      <c r="BM452" s="36"/>
      <c r="BN452" s="36"/>
      <c r="BO452" s="36"/>
      <c r="BP452" s="20"/>
      <c r="BQ452" s="20"/>
      <c r="BR452" s="35"/>
      <c r="BS452" s="23"/>
      <c r="BT452" s="23"/>
      <c r="BU452" s="23"/>
      <c r="BV452" s="23"/>
      <c r="BW452" s="23"/>
      <c r="BX452" s="23"/>
      <c r="BY452" s="117"/>
      <c r="BZ452" s="117"/>
      <c r="CA452" s="117"/>
      <c r="CB452" s="117"/>
      <c r="CC452" s="117"/>
      <c r="CD452" s="117"/>
      <c r="CE452" s="117"/>
      <c r="CF452" s="117"/>
      <c r="CG452" s="117"/>
      <c r="CH452" s="117"/>
      <c r="CI452" s="117"/>
      <c r="CJ452" s="117"/>
      <c r="CK452" s="117"/>
      <c r="CL452" s="117"/>
      <c r="CM452" s="117"/>
      <c r="CN452" s="23"/>
      <c r="CO452" s="23"/>
      <c r="CP452" s="23"/>
      <c r="CQ452" s="23"/>
      <c r="CR452" s="23"/>
      <c r="CS452" s="23"/>
      <c r="CT452" s="23"/>
      <c r="CU452" s="23"/>
      <c r="CV452" s="23"/>
      <c r="CW452" s="23"/>
      <c r="CX452" s="23"/>
      <c r="CY452" s="23"/>
      <c r="CZ452" s="23"/>
      <c r="DA452" s="23"/>
      <c r="DB452" s="23"/>
      <c r="DC452" s="23"/>
    </row>
    <row r="453" spans="2:107" s="15" customFormat="1">
      <c r="B453" s="1036" t="s">
        <v>1876</v>
      </c>
      <c r="C453" s="23"/>
      <c r="L453" s="23"/>
      <c r="M453" s="23"/>
      <c r="N453" s="27"/>
      <c r="O453" s="23"/>
      <c r="P453" s="109">
        <f>SUM(BX453:CA453)</f>
        <v>0</v>
      </c>
      <c r="Q453" s="23">
        <f>SUM(CB453:CE453)</f>
        <v>0</v>
      </c>
      <c r="R453" s="23">
        <f t="shared" si="522"/>
        <v>0</v>
      </c>
      <c r="S453" s="23">
        <f t="shared" si="523"/>
        <v>0</v>
      </c>
      <c r="T453" s="23">
        <f t="shared" si="502"/>
        <v>0</v>
      </c>
      <c r="U453" s="23">
        <f t="shared" si="505"/>
        <v>725</v>
      </c>
      <c r="V453" s="23">
        <f t="shared" si="503"/>
        <v>0</v>
      </c>
      <c r="W453" s="23">
        <f t="shared" si="504"/>
        <v>0</v>
      </c>
      <c r="X453" s="23"/>
      <c r="Y453" s="23"/>
      <c r="Z453" s="23"/>
      <c r="AA453" s="23"/>
      <c r="AB453" s="23"/>
      <c r="AC453" s="23"/>
      <c r="AD453" s="23"/>
      <c r="AE453" s="23"/>
      <c r="AF453" s="23"/>
      <c r="AG453" s="23"/>
      <c r="AH453" s="23"/>
      <c r="AI453" s="23"/>
      <c r="AJ453" s="23"/>
      <c r="AK453" s="23"/>
      <c r="AL453" s="23"/>
      <c r="AM453" s="23"/>
      <c r="AN453" s="23"/>
      <c r="AO453" s="23"/>
      <c r="AP453" s="23"/>
      <c r="AQ453" s="23"/>
      <c r="AR453" s="23"/>
      <c r="AS453" s="23"/>
      <c r="AT453" s="23"/>
      <c r="AU453" s="23"/>
      <c r="AV453" s="23"/>
      <c r="AW453" s="23"/>
      <c r="AX453" s="23"/>
      <c r="AY453" s="23"/>
      <c r="AZ453" s="23"/>
      <c r="BA453" s="23"/>
      <c r="BB453" s="23"/>
      <c r="BC453" s="23"/>
      <c r="BD453" s="35"/>
      <c r="BE453" s="35"/>
      <c r="BF453" s="35"/>
      <c r="BG453" s="35"/>
      <c r="BH453" s="35"/>
      <c r="BI453" s="35"/>
      <c r="BJ453" s="35"/>
      <c r="BK453" s="35"/>
      <c r="BL453" s="36"/>
      <c r="BM453" s="36"/>
      <c r="BN453" s="36"/>
      <c r="BO453" s="36"/>
      <c r="BP453" s="20"/>
      <c r="BQ453" s="20"/>
      <c r="BR453" s="35"/>
      <c r="BS453" s="23"/>
      <c r="BT453" s="23"/>
      <c r="BU453" s="23"/>
      <c r="BV453" s="23"/>
      <c r="BW453" s="23"/>
      <c r="BX453" s="23"/>
      <c r="BY453" s="117"/>
      <c r="BZ453" s="117"/>
      <c r="CA453" s="117"/>
      <c r="CB453" s="117"/>
      <c r="CC453" s="117"/>
      <c r="CD453" s="117"/>
      <c r="CE453" s="117"/>
      <c r="CF453" s="117"/>
      <c r="CG453" s="117"/>
      <c r="CH453" s="117"/>
      <c r="CI453" s="117"/>
      <c r="CJ453" s="117"/>
      <c r="CK453" s="117"/>
      <c r="CL453" s="117"/>
      <c r="CM453" s="117"/>
      <c r="CN453" s="23"/>
      <c r="CO453" s="23"/>
      <c r="CP453" s="23"/>
      <c r="CQ453" s="23"/>
      <c r="CR453" s="117">
        <v>725</v>
      </c>
      <c r="CS453" s="23"/>
      <c r="CT453" s="23"/>
      <c r="CU453" s="23"/>
      <c r="CV453" s="23"/>
      <c r="CW453" s="23"/>
      <c r="CX453" s="23"/>
      <c r="CY453" s="23"/>
      <c r="CZ453" s="23"/>
      <c r="DA453" s="23"/>
      <c r="DB453" s="23"/>
      <c r="DC453" s="23"/>
    </row>
    <row r="454" spans="2:107">
      <c r="B454" s="25" t="s">
        <v>1184</v>
      </c>
      <c r="C454" s="23"/>
      <c r="D454" s="15"/>
      <c r="E454" s="15"/>
      <c r="F454" s="15"/>
      <c r="G454" s="15"/>
      <c r="H454" s="15"/>
      <c r="I454" s="15"/>
      <c r="J454" s="15"/>
      <c r="K454" s="15"/>
      <c r="L454" s="23"/>
      <c r="M454" s="23"/>
      <c r="N454" s="27"/>
      <c r="O454" s="23">
        <f>SUM(BT454:BW454)</f>
        <v>100</v>
      </c>
      <c r="P454" s="109">
        <f t="shared" si="524"/>
        <v>-100</v>
      </c>
      <c r="Q454" s="16">
        <f t="shared" si="525"/>
        <v>2750</v>
      </c>
      <c r="R454" s="16">
        <f t="shared" si="522"/>
        <v>-740</v>
      </c>
      <c r="S454" s="16">
        <f t="shared" si="523"/>
        <v>-2050</v>
      </c>
      <c r="T454" s="16">
        <f t="shared" si="502"/>
        <v>-515</v>
      </c>
      <c r="U454" s="16">
        <f t="shared" si="505"/>
        <v>7750</v>
      </c>
      <c r="V454" s="16">
        <f t="shared" si="503"/>
        <v>1400</v>
      </c>
      <c r="W454" s="16">
        <f t="shared" si="504"/>
        <v>0</v>
      </c>
      <c r="X454" s="119">
        <v>6000</v>
      </c>
      <c r="Y454" s="119">
        <f>+ROUND(X454*1.02,0)</f>
        <v>6120</v>
      </c>
      <c r="Z454" s="119">
        <f t="shared" ref="Z454:AD454" si="529">+ROUND(Y454*1.02,0)</f>
        <v>6242</v>
      </c>
      <c r="AA454" s="119">
        <f t="shared" si="529"/>
        <v>6367</v>
      </c>
      <c r="AB454" s="119">
        <f t="shared" si="529"/>
        <v>6494</v>
      </c>
      <c r="AC454" s="119">
        <f t="shared" si="529"/>
        <v>6624</v>
      </c>
      <c r="AD454" s="119">
        <f t="shared" si="529"/>
        <v>6756</v>
      </c>
      <c r="AE454" s="23"/>
      <c r="AF454" s="23"/>
      <c r="AG454" s="23"/>
      <c r="AH454" s="23"/>
      <c r="AI454" s="23"/>
      <c r="AJ454" s="23"/>
      <c r="AK454" s="23"/>
      <c r="AL454" s="23"/>
      <c r="AM454" s="23"/>
      <c r="AN454" s="23"/>
      <c r="AO454" s="23"/>
      <c r="AP454" s="23"/>
      <c r="AQ454" s="23"/>
      <c r="AR454" s="23"/>
      <c r="AS454" s="23"/>
      <c r="AT454" s="23"/>
      <c r="AU454" s="23"/>
      <c r="AV454" s="23"/>
      <c r="AW454" s="23"/>
      <c r="AX454" s="23"/>
      <c r="AY454" s="23"/>
      <c r="AZ454" s="23"/>
      <c r="BA454" s="23"/>
      <c r="BB454" s="23"/>
      <c r="BC454" s="23"/>
      <c r="BD454" s="35"/>
      <c r="BE454" s="35"/>
      <c r="BF454" s="35"/>
      <c r="BG454" s="35"/>
      <c r="BH454" s="35"/>
      <c r="BI454" s="35"/>
      <c r="BJ454" s="35"/>
      <c r="BK454" s="35"/>
      <c r="BL454" s="36"/>
      <c r="BM454" s="36"/>
      <c r="BN454" s="36"/>
      <c r="BO454" s="36"/>
      <c r="BP454" s="20"/>
      <c r="BQ454" s="20"/>
      <c r="BR454" s="35"/>
      <c r="BS454" s="23"/>
      <c r="BT454" s="27">
        <f t="shared" ref="BT454:CA454" si="530">+BT455-SUM(BT416:BT450)</f>
        <v>100</v>
      </c>
      <c r="BU454" s="27">
        <f t="shared" si="530"/>
        <v>0</v>
      </c>
      <c r="BV454" s="27">
        <f t="shared" si="530"/>
        <v>0</v>
      </c>
      <c r="BW454" s="27">
        <f t="shared" si="530"/>
        <v>0</v>
      </c>
      <c r="BX454" s="27">
        <f t="shared" si="530"/>
        <v>100</v>
      </c>
      <c r="BY454" s="27">
        <f t="shared" si="530"/>
        <v>200</v>
      </c>
      <c r="BZ454" s="27">
        <f t="shared" si="530"/>
        <v>0</v>
      </c>
      <c r="CA454" s="27">
        <f t="shared" si="530"/>
        <v>-400</v>
      </c>
      <c r="CB454" s="27">
        <f t="shared" ref="CB454:CJ454" si="531">+CB455-SUM(CB416:CB452)</f>
        <v>0</v>
      </c>
      <c r="CC454" s="27">
        <f t="shared" si="531"/>
        <v>600</v>
      </c>
      <c r="CD454" s="27">
        <f t="shared" si="531"/>
        <v>2650</v>
      </c>
      <c r="CE454" s="27">
        <f t="shared" si="531"/>
        <v>-500</v>
      </c>
      <c r="CF454" s="27">
        <f t="shared" si="531"/>
        <v>-350</v>
      </c>
      <c r="CG454" s="27">
        <f t="shared" si="531"/>
        <v>0</v>
      </c>
      <c r="CH454" s="27">
        <f t="shared" si="531"/>
        <v>50</v>
      </c>
      <c r="CI454" s="27">
        <f t="shared" si="531"/>
        <v>-440</v>
      </c>
      <c r="CJ454" s="27">
        <f t="shared" si="531"/>
        <v>-2450</v>
      </c>
      <c r="CK454" s="27">
        <f t="shared" ref="CK454:CP454" si="532">+CK455-SUM(CK416:CK452)</f>
        <v>600</v>
      </c>
      <c r="CL454" s="27">
        <f t="shared" si="532"/>
        <v>100</v>
      </c>
      <c r="CM454" s="27">
        <f t="shared" si="532"/>
        <v>-300</v>
      </c>
      <c r="CN454" s="27">
        <f t="shared" si="532"/>
        <v>400</v>
      </c>
      <c r="CO454" s="27">
        <f t="shared" si="532"/>
        <v>1000</v>
      </c>
      <c r="CP454" s="27">
        <f t="shared" si="532"/>
        <v>-2215</v>
      </c>
      <c r="CQ454" s="27">
        <f t="shared" ref="CQ454:CV454" si="533">+CQ455-SUM(CQ416:CQ452)</f>
        <v>300</v>
      </c>
      <c r="CR454" s="27">
        <f t="shared" si="533"/>
        <v>-50</v>
      </c>
      <c r="CS454" s="27">
        <f t="shared" si="533"/>
        <v>1400</v>
      </c>
      <c r="CT454" s="27">
        <f t="shared" si="533"/>
        <v>-400</v>
      </c>
      <c r="CU454" s="27">
        <f t="shared" si="533"/>
        <v>6800</v>
      </c>
      <c r="CV454" s="27">
        <f t="shared" si="533"/>
        <v>400</v>
      </c>
      <c r="CW454" s="117"/>
      <c r="CX454" s="117">
        <v>1000</v>
      </c>
      <c r="CY454" s="117"/>
      <c r="CZ454" s="117"/>
      <c r="DA454" s="117"/>
      <c r="DB454" s="117"/>
      <c r="DC454" s="117"/>
    </row>
    <row r="455" spans="2:107">
      <c r="B455" s="106" t="s">
        <v>647</v>
      </c>
      <c r="C455" s="23"/>
      <c r="D455" s="15"/>
      <c r="E455" s="15"/>
      <c r="F455" s="15"/>
      <c r="G455" s="15"/>
      <c r="H455" s="15"/>
      <c r="I455" s="15"/>
      <c r="J455" s="15"/>
      <c r="K455" s="15"/>
      <c r="L455" s="15"/>
      <c r="M455" s="23"/>
      <c r="N455" s="46">
        <f>N412-M412</f>
        <v>1800</v>
      </c>
      <c r="O455" s="46">
        <f>O412-N412</f>
        <v>1600</v>
      </c>
      <c r="P455" s="46">
        <f t="shared" ref="P455:Z455" si="534">SUM(P416:P454)</f>
        <v>3200</v>
      </c>
      <c r="Q455" s="46">
        <f t="shared" si="534"/>
        <v>5900</v>
      </c>
      <c r="R455" s="46">
        <f t="shared" si="534"/>
        <v>2100</v>
      </c>
      <c r="S455" s="46">
        <f t="shared" si="534"/>
        <v>1200</v>
      </c>
      <c r="T455" s="46">
        <f>SUM(T416:T454)</f>
        <v>3900</v>
      </c>
      <c r="U455" s="46">
        <f>SUM(U416:U454)</f>
        <v>12725</v>
      </c>
      <c r="V455" s="46">
        <f>SUM(V416:V454)</f>
        <v>6915</v>
      </c>
      <c r="W455" s="46">
        <f>SUM(W416:W454)</f>
        <v>5075</v>
      </c>
      <c r="X455" s="46">
        <f t="shared" si="534"/>
        <v>6000</v>
      </c>
      <c r="Y455" s="46">
        <f t="shared" si="534"/>
        <v>6120</v>
      </c>
      <c r="Z455" s="46">
        <f t="shared" si="534"/>
        <v>6242</v>
      </c>
      <c r="AA455" s="46">
        <f t="shared" ref="AA455:AD455" si="535">SUM(AA416:AA454)</f>
        <v>6367</v>
      </c>
      <c r="AB455" s="46">
        <f t="shared" si="535"/>
        <v>6494</v>
      </c>
      <c r="AC455" s="46">
        <f t="shared" si="535"/>
        <v>6624</v>
      </c>
      <c r="AD455" s="46">
        <f t="shared" si="535"/>
        <v>6756</v>
      </c>
      <c r="AE455" s="23"/>
      <c r="AF455" s="15"/>
      <c r="AG455" s="15"/>
      <c r="AH455" s="15"/>
      <c r="AI455" s="15"/>
      <c r="AJ455" s="15"/>
      <c r="AK455" s="15"/>
      <c r="AL455" s="15"/>
      <c r="AM455" s="15"/>
      <c r="AN455" s="15"/>
      <c r="AO455" s="15"/>
      <c r="AP455" s="15"/>
      <c r="AQ455" s="15"/>
      <c r="AR455" s="15"/>
      <c r="AS455" s="15"/>
      <c r="AT455" s="15"/>
      <c r="AU455" s="15"/>
      <c r="AV455" s="15"/>
      <c r="AW455" s="15"/>
      <c r="AX455" s="15"/>
      <c r="AY455" s="15"/>
      <c r="AZ455" s="15"/>
      <c r="BA455" s="15"/>
      <c r="BB455" s="15"/>
      <c r="BC455" s="15"/>
      <c r="BD455" s="15"/>
      <c r="BE455" s="15"/>
      <c r="BF455" s="15"/>
      <c r="BG455" s="15"/>
      <c r="BH455" s="15"/>
      <c r="BI455" s="15"/>
      <c r="BJ455" s="15"/>
      <c r="BK455" s="15"/>
      <c r="BL455" s="15"/>
      <c r="BM455" s="15"/>
      <c r="BN455" s="15"/>
      <c r="BO455" s="15"/>
      <c r="BP455" s="46">
        <f t="shared" ref="BP455:CV455" si="536">BP412-BO412</f>
        <v>700</v>
      </c>
      <c r="BQ455" s="46">
        <f t="shared" si="536"/>
        <v>200</v>
      </c>
      <c r="BR455" s="46">
        <f t="shared" si="536"/>
        <v>900</v>
      </c>
      <c r="BS455" s="46">
        <f t="shared" si="536"/>
        <v>0</v>
      </c>
      <c r="BT455" s="46">
        <f t="shared" si="536"/>
        <v>100</v>
      </c>
      <c r="BU455" s="46">
        <f t="shared" si="536"/>
        <v>500</v>
      </c>
      <c r="BV455" s="46">
        <f t="shared" si="536"/>
        <v>1000</v>
      </c>
      <c r="BW455" s="46">
        <f t="shared" si="536"/>
        <v>0</v>
      </c>
      <c r="BX455" s="46">
        <f t="shared" si="536"/>
        <v>100</v>
      </c>
      <c r="BY455" s="46">
        <f t="shared" si="536"/>
        <v>2700</v>
      </c>
      <c r="BZ455" s="46">
        <f t="shared" si="536"/>
        <v>400</v>
      </c>
      <c r="CA455" s="46">
        <f t="shared" si="536"/>
        <v>0</v>
      </c>
      <c r="CB455" s="46">
        <f t="shared" si="536"/>
        <v>0</v>
      </c>
      <c r="CC455" s="46">
        <f t="shared" si="536"/>
        <v>600</v>
      </c>
      <c r="CD455" s="46">
        <f t="shared" si="536"/>
        <v>5700</v>
      </c>
      <c r="CE455" s="46">
        <f t="shared" si="536"/>
        <v>600</v>
      </c>
      <c r="CF455" s="46">
        <f t="shared" si="536"/>
        <v>300</v>
      </c>
      <c r="CG455" s="46">
        <f t="shared" si="536"/>
        <v>0</v>
      </c>
      <c r="CH455" s="46">
        <f t="shared" si="536"/>
        <v>500</v>
      </c>
      <c r="CI455" s="46">
        <f t="shared" si="536"/>
        <v>1300</v>
      </c>
      <c r="CJ455" s="46">
        <f t="shared" si="536"/>
        <v>-1100</v>
      </c>
      <c r="CK455" s="46">
        <f t="shared" si="536"/>
        <v>600</v>
      </c>
      <c r="CL455" s="46">
        <f t="shared" si="536"/>
        <v>100</v>
      </c>
      <c r="CM455" s="46">
        <f t="shared" si="536"/>
        <v>1600</v>
      </c>
      <c r="CN455" s="46">
        <f t="shared" si="536"/>
        <v>1400</v>
      </c>
      <c r="CO455" s="46">
        <f t="shared" si="536"/>
        <v>1000</v>
      </c>
      <c r="CP455" s="46">
        <f t="shared" si="536"/>
        <v>1200</v>
      </c>
      <c r="CQ455" s="46">
        <f t="shared" si="536"/>
        <v>300</v>
      </c>
      <c r="CR455" s="46">
        <f t="shared" si="536"/>
        <v>2700</v>
      </c>
      <c r="CS455" s="46">
        <f t="shared" si="536"/>
        <v>1400</v>
      </c>
      <c r="CT455" s="46">
        <f t="shared" si="536"/>
        <v>1100</v>
      </c>
      <c r="CU455" s="46">
        <f t="shared" si="536"/>
        <v>6800</v>
      </c>
      <c r="CV455" s="46">
        <f t="shared" si="536"/>
        <v>1300</v>
      </c>
      <c r="CW455" s="14">
        <f>SUM(CW416:CW454)</f>
        <v>1915</v>
      </c>
      <c r="CX455" s="14">
        <f>SUM(CX416:CX454)</f>
        <v>1000</v>
      </c>
      <c r="CY455" s="14">
        <f>SUM(CY416:CY454)</f>
        <v>2700</v>
      </c>
      <c r="CZ455" s="14">
        <f t="shared" ref="CZ455:DC455" si="537">SUM(CZ416:CZ454)</f>
        <v>500</v>
      </c>
      <c r="DA455" s="14">
        <f t="shared" si="537"/>
        <v>0</v>
      </c>
      <c r="DB455" s="14">
        <f t="shared" si="537"/>
        <v>3650</v>
      </c>
      <c r="DC455" s="14">
        <f t="shared" si="537"/>
        <v>925</v>
      </c>
    </row>
    <row r="456" spans="2:107">
      <c r="B456" s="116" t="s">
        <v>1237</v>
      </c>
      <c r="C456" s="23"/>
      <c r="D456" s="15"/>
      <c r="E456" s="15"/>
      <c r="F456" s="15"/>
      <c r="G456" s="15"/>
      <c r="H456" s="15"/>
      <c r="I456" s="15"/>
      <c r="J456" s="15"/>
      <c r="K456" s="15"/>
      <c r="L456" s="15"/>
      <c r="M456" s="23"/>
      <c r="N456" s="23"/>
      <c r="O456" s="113">
        <f t="shared" ref="O456:Z456" si="538">SUM(O416:O454)-O455</f>
        <v>0</v>
      </c>
      <c r="P456" s="113">
        <f t="shared" si="538"/>
        <v>0</v>
      </c>
      <c r="Q456" s="113">
        <f t="shared" si="538"/>
        <v>0</v>
      </c>
      <c r="R456" s="113">
        <f t="shared" si="538"/>
        <v>0</v>
      </c>
      <c r="S456" s="113">
        <f t="shared" si="538"/>
        <v>0</v>
      </c>
      <c r="T456" s="113">
        <f>SUM(T416:T454)-T455</f>
        <v>0</v>
      </c>
      <c r="U456" s="113">
        <f>SUM(U416:U454)-U455</f>
        <v>0</v>
      </c>
      <c r="V456" s="113">
        <f>SUM(V416:V454)-V455</f>
        <v>0</v>
      </c>
      <c r="W456" s="113">
        <f>SUM(W416:W454)-W455</f>
        <v>0</v>
      </c>
      <c r="X456" s="113">
        <f t="shared" si="538"/>
        <v>0</v>
      </c>
      <c r="Y456" s="113">
        <f t="shared" si="538"/>
        <v>0</v>
      </c>
      <c r="Z456" s="113">
        <f t="shared" si="538"/>
        <v>0</v>
      </c>
      <c r="AA456" s="113">
        <f t="shared" ref="AA456:AD456" si="539">SUM(AA416:AA454)-AA455</f>
        <v>0</v>
      </c>
      <c r="AB456" s="113">
        <f t="shared" si="539"/>
        <v>0</v>
      </c>
      <c r="AC456" s="113">
        <f t="shared" si="539"/>
        <v>0</v>
      </c>
      <c r="AD456" s="113">
        <f t="shared" si="539"/>
        <v>0</v>
      </c>
      <c r="AE456" s="23"/>
      <c r="AF456" s="15"/>
      <c r="AG456" s="15"/>
      <c r="AH456" s="15"/>
      <c r="AI456" s="15"/>
      <c r="AJ456" s="15"/>
      <c r="AK456" s="15"/>
      <c r="AL456" s="15"/>
      <c r="AM456" s="15"/>
      <c r="AN456" s="15"/>
      <c r="AO456" s="15"/>
      <c r="AP456" s="15"/>
      <c r="AQ456" s="15"/>
      <c r="AR456" s="15"/>
      <c r="AS456" s="15"/>
      <c r="AT456" s="15"/>
      <c r="AU456" s="15"/>
      <c r="AV456" s="15"/>
      <c r="AW456" s="15"/>
      <c r="AX456" s="15"/>
      <c r="AY456" s="15"/>
      <c r="AZ456" s="15"/>
      <c r="BA456" s="15"/>
      <c r="BB456" s="15"/>
      <c r="BC456" s="15"/>
      <c r="BD456" s="15"/>
      <c r="BE456" s="15"/>
      <c r="BF456" s="15"/>
      <c r="BG456" s="15"/>
      <c r="BH456" s="15"/>
      <c r="BI456" s="15"/>
      <c r="BJ456" s="15"/>
      <c r="BK456" s="15"/>
      <c r="BL456" s="15"/>
      <c r="BM456" s="15"/>
      <c r="BN456" s="15"/>
      <c r="BO456" s="15"/>
      <c r="BP456" s="23"/>
      <c r="BQ456" s="23"/>
      <c r="BR456" s="23"/>
      <c r="BS456" s="23"/>
      <c r="BT456" s="113">
        <f t="shared" ref="BT456:CJ456" si="540">SUM(BT416:BT454)-BT455</f>
        <v>0</v>
      </c>
      <c r="BU456" s="113">
        <f t="shared" si="540"/>
        <v>0</v>
      </c>
      <c r="BV456" s="113">
        <f t="shared" si="540"/>
        <v>0</v>
      </c>
      <c r="BW456" s="113">
        <f t="shared" si="540"/>
        <v>0</v>
      </c>
      <c r="BX456" s="113">
        <f t="shared" si="540"/>
        <v>0</v>
      </c>
      <c r="BY456" s="113">
        <f t="shared" si="540"/>
        <v>0</v>
      </c>
      <c r="BZ456" s="113">
        <f t="shared" si="540"/>
        <v>0</v>
      </c>
      <c r="CA456" s="113">
        <f t="shared" si="540"/>
        <v>0</v>
      </c>
      <c r="CB456" s="113">
        <f t="shared" si="540"/>
        <v>0</v>
      </c>
      <c r="CC456" s="113">
        <f t="shared" si="540"/>
        <v>0</v>
      </c>
      <c r="CD456" s="113">
        <f t="shared" si="540"/>
        <v>0</v>
      </c>
      <c r="CE456" s="113">
        <f t="shared" si="540"/>
        <v>0</v>
      </c>
      <c r="CF456" s="113">
        <f t="shared" si="540"/>
        <v>0</v>
      </c>
      <c r="CG456" s="113">
        <f t="shared" si="540"/>
        <v>0</v>
      </c>
      <c r="CH456" s="113">
        <f t="shared" si="540"/>
        <v>0</v>
      </c>
      <c r="CI456" s="113">
        <f t="shared" si="540"/>
        <v>0</v>
      </c>
      <c r="CJ456" s="113">
        <f t="shared" si="540"/>
        <v>0</v>
      </c>
      <c r="CK456" s="113">
        <f t="shared" ref="CK456:CQ456" si="541">SUM(CK416:CK454)-CK455</f>
        <v>0</v>
      </c>
      <c r="CL456" s="113">
        <f t="shared" si="541"/>
        <v>0</v>
      </c>
      <c r="CM456" s="113">
        <f t="shared" si="541"/>
        <v>0</v>
      </c>
      <c r="CN456" s="113">
        <f t="shared" si="541"/>
        <v>0</v>
      </c>
      <c r="CO456" s="113">
        <f t="shared" si="541"/>
        <v>0</v>
      </c>
      <c r="CP456" s="113">
        <f t="shared" si="541"/>
        <v>0</v>
      </c>
      <c r="CQ456" s="113">
        <f t="shared" si="541"/>
        <v>0</v>
      </c>
      <c r="CR456" s="113">
        <f t="shared" ref="CR456:CX456" si="542">SUM(CR416:CR454)-CR455</f>
        <v>725</v>
      </c>
      <c r="CS456" s="113">
        <f t="shared" si="542"/>
        <v>0</v>
      </c>
      <c r="CT456" s="113">
        <f t="shared" si="542"/>
        <v>0</v>
      </c>
      <c r="CU456" s="113">
        <f t="shared" si="542"/>
        <v>0</v>
      </c>
      <c r="CV456" s="113">
        <f t="shared" si="542"/>
        <v>0</v>
      </c>
      <c r="CW456" s="113">
        <f t="shared" si="542"/>
        <v>0</v>
      </c>
      <c r="CX456" s="113">
        <f t="shared" si="542"/>
        <v>0</v>
      </c>
      <c r="CY456" s="113">
        <f t="shared" ref="CY456" si="543">SUM(CY416:CY454)-CY455</f>
        <v>0</v>
      </c>
      <c r="CZ456" s="113">
        <f t="shared" ref="CZ456:DC456" si="544">SUM(CZ416:CZ454)-CZ455</f>
        <v>0</v>
      </c>
      <c r="DA456" s="113">
        <f t="shared" si="544"/>
        <v>0</v>
      </c>
      <c r="DB456" s="113">
        <f t="shared" si="544"/>
        <v>0</v>
      </c>
      <c r="DC456" s="113">
        <f t="shared" si="544"/>
        <v>0</v>
      </c>
    </row>
    <row r="457" spans="2:107">
      <c r="B457" s="23"/>
      <c r="C457" s="23"/>
      <c r="D457" s="15"/>
      <c r="E457" s="15"/>
      <c r="F457" s="15"/>
      <c r="G457" s="15"/>
      <c r="H457" s="15"/>
      <c r="I457" s="15"/>
      <c r="J457" s="15"/>
      <c r="K457" s="15"/>
      <c r="L457" s="15"/>
      <c r="M457" s="23"/>
      <c r="N457" s="23"/>
      <c r="O457" s="23"/>
      <c r="P457" s="23"/>
      <c r="Q457" s="23"/>
      <c r="R457" s="23"/>
      <c r="S457" s="23"/>
      <c r="T457" s="23"/>
      <c r="U457" s="23"/>
      <c r="V457" s="23"/>
      <c r="W457" s="23"/>
      <c r="X457" s="23"/>
      <c r="Y457" s="23"/>
      <c r="Z457" s="23"/>
      <c r="AA457" s="23"/>
      <c r="AB457" s="23"/>
      <c r="AC457" s="23"/>
      <c r="AD457" s="23"/>
      <c r="AE457" s="23"/>
      <c r="AF457" s="15"/>
      <c r="AG457" s="15"/>
      <c r="AH457" s="15"/>
      <c r="AI457" s="15"/>
      <c r="AJ457" s="15"/>
      <c r="AK457" s="15"/>
      <c r="AL457" s="15"/>
      <c r="AM457" s="15"/>
      <c r="AN457" s="15"/>
      <c r="AO457" s="15"/>
      <c r="AP457" s="15"/>
      <c r="AQ457" s="15"/>
      <c r="AR457" s="15"/>
      <c r="AS457" s="15"/>
      <c r="AT457" s="15"/>
      <c r="AU457" s="15"/>
      <c r="AV457" s="15"/>
      <c r="AW457" s="15"/>
      <c r="AX457" s="15"/>
      <c r="AY457" s="15"/>
      <c r="AZ457" s="15"/>
      <c r="BA457" s="15"/>
      <c r="BB457" s="15"/>
      <c r="BC457" s="15"/>
      <c r="BD457" s="15"/>
      <c r="BE457" s="15"/>
      <c r="BF457" s="15"/>
      <c r="BG457" s="15"/>
      <c r="BH457" s="15"/>
      <c r="BI457" s="15"/>
      <c r="BJ457" s="15"/>
      <c r="BK457" s="15"/>
      <c r="BL457" s="15"/>
      <c r="BM457" s="15"/>
      <c r="BN457" s="15"/>
      <c r="BO457" s="15"/>
      <c r="BP457" s="23"/>
      <c r="BQ457" s="23"/>
      <c r="BR457" s="23"/>
      <c r="BS457" s="23"/>
      <c r="BT457" s="23"/>
      <c r="BU457" s="23"/>
      <c r="BV457" s="23"/>
      <c r="BW457" s="23"/>
      <c r="BX457" s="23"/>
      <c r="BY457" s="23"/>
      <c r="BZ457" s="23"/>
      <c r="CA457" s="23"/>
      <c r="CB457" s="23"/>
      <c r="CC457" s="23"/>
      <c r="CD457" s="23"/>
      <c r="CE457" s="23"/>
      <c r="CF457" s="23"/>
      <c r="CG457" s="23"/>
      <c r="CH457" s="23"/>
      <c r="CI457" s="23"/>
      <c r="CJ457" s="23"/>
      <c r="CK457" s="23"/>
      <c r="CL457" s="23"/>
      <c r="CM457" s="23"/>
      <c r="CN457" s="23"/>
      <c r="CO457" s="23"/>
      <c r="CP457" s="23"/>
      <c r="CQ457" s="23"/>
      <c r="CR457" s="23"/>
      <c r="CS457" s="23"/>
      <c r="CT457" s="23"/>
      <c r="CU457" s="23"/>
      <c r="CV457" s="23"/>
      <c r="CW457" s="23"/>
      <c r="CX457" s="23"/>
      <c r="CY457" s="23"/>
      <c r="CZ457" s="23"/>
      <c r="DA457" s="23"/>
      <c r="DB457" s="23"/>
      <c r="DC457" s="23"/>
    </row>
    <row r="458" spans="2:107" ht="14.25" customHeight="1">
      <c r="B458" s="114" t="s">
        <v>717</v>
      </c>
      <c r="C458" s="59"/>
      <c r="D458" s="60"/>
      <c r="E458" s="60"/>
      <c r="F458" s="60"/>
      <c r="G458" s="60"/>
      <c r="H458" s="60"/>
      <c r="I458" s="60"/>
      <c r="J458" s="60"/>
      <c r="K458" s="60"/>
      <c r="L458" s="59"/>
      <c r="M458" s="61"/>
      <c r="N458" s="62"/>
      <c r="O458" s="1634"/>
      <c r="P458" s="1634"/>
      <c r="Q458" s="1634"/>
      <c r="R458" s="1634"/>
      <c r="S458" s="1634"/>
      <c r="T458" s="1634"/>
      <c r="U458" s="1634"/>
      <c r="V458" s="1634"/>
      <c r="W458" s="1634"/>
      <c r="X458" s="1634"/>
      <c r="Y458" s="1634"/>
      <c r="Z458" s="1634"/>
      <c r="AA458" s="1634"/>
      <c r="AB458" s="1634"/>
      <c r="AC458" s="1634"/>
      <c r="AD458" s="1634"/>
      <c r="AE458" s="59"/>
      <c r="AF458" s="59"/>
      <c r="AG458" s="59"/>
      <c r="AH458" s="59"/>
      <c r="AI458" s="59"/>
      <c r="AJ458" s="59"/>
      <c r="AK458" s="59"/>
      <c r="AL458" s="59"/>
      <c r="AM458" s="59"/>
      <c r="AN458" s="59"/>
      <c r="AO458" s="59"/>
      <c r="AP458" s="59"/>
      <c r="AQ458" s="59"/>
      <c r="AR458" s="59"/>
      <c r="AS458" s="59"/>
      <c r="AT458" s="59"/>
      <c r="AU458" s="59"/>
      <c r="AV458" s="59"/>
      <c r="AW458" s="59"/>
      <c r="AX458" s="59"/>
      <c r="AY458" s="59"/>
      <c r="AZ458" s="59"/>
      <c r="BA458" s="59"/>
      <c r="BB458" s="59"/>
      <c r="BC458" s="59"/>
      <c r="BD458" s="65"/>
      <c r="BE458" s="65"/>
      <c r="BF458" s="65"/>
      <c r="BG458" s="65"/>
      <c r="BH458" s="62"/>
      <c r="BI458" s="62"/>
      <c r="BJ458" s="62"/>
      <c r="BK458" s="62"/>
      <c r="BL458" s="62"/>
      <c r="BM458" s="62"/>
      <c r="BN458" s="62"/>
      <c r="BO458" s="62"/>
      <c r="BP458" s="62"/>
      <c r="BQ458" s="62"/>
      <c r="BR458" s="62"/>
      <c r="BS458" s="62"/>
      <c r="BT458" s="62"/>
      <c r="BU458" s="62"/>
      <c r="BV458" s="66"/>
      <c r="BW458" s="66"/>
      <c r="BX458" s="66"/>
      <c r="BY458" s="66"/>
      <c r="BZ458" s="66"/>
      <c r="CA458" s="66"/>
      <c r="CB458" s="66"/>
      <c r="CC458" s="66"/>
      <c r="CD458" s="66"/>
      <c r="CE458" s="66"/>
      <c r="CF458" s="66"/>
      <c r="CG458" s="66"/>
      <c r="CH458" s="66"/>
      <c r="CI458" s="66"/>
      <c r="CJ458" s="66"/>
      <c r="CK458" s="66"/>
      <c r="CL458" s="66"/>
      <c r="CM458" s="66"/>
      <c r="CN458" s="66"/>
      <c r="CO458" s="66"/>
      <c r="CP458" s="66"/>
      <c r="CQ458" s="66"/>
      <c r="CR458" s="66"/>
      <c r="CS458" s="66"/>
      <c r="CT458" s="66"/>
      <c r="CU458" s="66"/>
      <c r="CV458" s="66"/>
      <c r="CW458" s="66"/>
      <c r="CX458" s="66"/>
      <c r="CY458" s="66"/>
      <c r="CZ458" s="66"/>
      <c r="DA458" s="66"/>
      <c r="DB458" s="66"/>
      <c r="DC458" s="66"/>
    </row>
    <row r="459" spans="2:107" ht="11.25" customHeight="1">
      <c r="B459" s="106"/>
      <c r="C459" s="23"/>
      <c r="D459" s="15"/>
      <c r="E459" s="15"/>
      <c r="F459" s="15"/>
      <c r="G459" s="15"/>
      <c r="H459" s="15"/>
      <c r="I459" s="15"/>
      <c r="J459" s="15"/>
      <c r="K459" s="15"/>
      <c r="L459" s="23"/>
      <c r="M459" s="54"/>
      <c r="N459" s="46"/>
      <c r="O459" s="46"/>
      <c r="P459" s="68"/>
      <c r="Q459" s="68"/>
      <c r="R459" s="68"/>
      <c r="S459" s="68"/>
      <c r="T459" s="68"/>
      <c r="U459" s="68"/>
      <c r="V459" s="68"/>
      <c r="W459" s="68"/>
      <c r="X459" s="805"/>
      <c r="Y459" s="805"/>
      <c r="Z459" s="805"/>
      <c r="AA459" s="805"/>
      <c r="AB459" s="805"/>
      <c r="AC459" s="805"/>
      <c r="AD459" s="805"/>
      <c r="AE459" s="23"/>
      <c r="AF459" s="23"/>
      <c r="AG459" s="23"/>
      <c r="AH459" s="23"/>
      <c r="AI459" s="23"/>
      <c r="AJ459" s="23"/>
      <c r="AK459" s="23"/>
      <c r="AL459" s="23"/>
      <c r="AM459" s="23"/>
      <c r="AN459" s="23"/>
      <c r="AO459" s="23"/>
      <c r="AP459" s="23"/>
      <c r="AQ459" s="23"/>
      <c r="AR459" s="23"/>
      <c r="AS459" s="23"/>
      <c r="AT459" s="23"/>
      <c r="AU459" s="23"/>
      <c r="AV459" s="23"/>
      <c r="AW459" s="23"/>
      <c r="AX459" s="23"/>
      <c r="AY459" s="23"/>
      <c r="AZ459" s="23"/>
      <c r="BA459" s="23"/>
      <c r="BB459" s="23"/>
      <c r="BC459" s="23"/>
      <c r="BD459" s="36"/>
      <c r="BE459" s="36"/>
      <c r="BF459" s="36"/>
      <c r="BG459" s="36"/>
      <c r="BH459" s="46"/>
      <c r="BI459" s="46"/>
      <c r="BJ459" s="46"/>
      <c r="BK459" s="46"/>
      <c r="BL459" s="46"/>
      <c r="BM459" s="46"/>
      <c r="BN459" s="46"/>
      <c r="BO459" s="46"/>
      <c r="BP459" s="46"/>
      <c r="BQ459" s="46"/>
      <c r="BR459" s="46"/>
      <c r="BS459" s="46"/>
      <c r="BT459" s="46"/>
      <c r="BU459" s="46"/>
      <c r="BV459" s="14"/>
      <c r="BW459" s="14"/>
      <c r="BX459" s="14"/>
      <c r="BY459" s="14"/>
      <c r="BZ459" s="14"/>
      <c r="CA459" s="14"/>
      <c r="CB459" s="14"/>
      <c r="CC459" s="14"/>
      <c r="CD459" s="14"/>
      <c r="CE459" s="14"/>
      <c r="CF459" s="14"/>
      <c r="CG459" s="14"/>
      <c r="CH459" s="14"/>
      <c r="CI459" s="14"/>
      <c r="CJ459" s="14"/>
      <c r="CK459" s="14"/>
      <c r="CL459" s="14"/>
      <c r="CM459" s="14"/>
      <c r="CN459" s="14"/>
      <c r="CO459" s="14"/>
      <c r="CP459" s="14"/>
      <c r="CQ459" s="14"/>
      <c r="CR459" s="14"/>
      <c r="CS459" s="14"/>
      <c r="CT459" s="14"/>
      <c r="CU459" s="14"/>
      <c r="CV459" s="14"/>
      <c r="CW459" s="14"/>
      <c r="CX459" s="14"/>
      <c r="CY459" s="14"/>
      <c r="CZ459" s="14"/>
      <c r="DA459" s="14"/>
      <c r="DB459" s="14"/>
      <c r="DC459" s="14"/>
    </row>
    <row r="460" spans="2:107" ht="11.25" customHeight="1">
      <c r="B460" s="141" t="s">
        <v>714</v>
      </c>
      <c r="C460" s="23"/>
      <c r="D460" s="15"/>
      <c r="E460" s="15"/>
      <c r="F460" s="15"/>
      <c r="G460" s="15"/>
      <c r="H460" s="15"/>
      <c r="I460" s="15"/>
      <c r="J460" s="15"/>
      <c r="K460" s="15"/>
      <c r="L460" s="23"/>
      <c r="M460" s="54"/>
      <c r="N460" s="27">
        <f t="shared" ref="N460:W460" si="545">+AVERAGE(M461:N461)</f>
        <v>7000</v>
      </c>
      <c r="O460" s="27">
        <f t="shared" si="545"/>
        <v>7650</v>
      </c>
      <c r="P460" s="27">
        <f t="shared" si="545"/>
        <v>9250</v>
      </c>
      <c r="Q460" s="27">
        <f t="shared" si="545"/>
        <v>12450</v>
      </c>
      <c r="R460" s="27">
        <f t="shared" si="545"/>
        <v>15450</v>
      </c>
      <c r="S460" s="27">
        <f t="shared" si="545"/>
        <v>17200</v>
      </c>
      <c r="T460" s="27">
        <f t="shared" si="545"/>
        <v>20400</v>
      </c>
      <c r="U460" s="27">
        <f t="shared" si="545"/>
        <v>25950</v>
      </c>
      <c r="V460" s="27">
        <f t="shared" si="545"/>
        <v>31150</v>
      </c>
      <c r="W460" s="27">
        <f t="shared" si="545"/>
        <v>35176.8125</v>
      </c>
      <c r="X460" s="109">
        <f>AVERAGE(W461:X461)</f>
        <v>39341.25</v>
      </c>
      <c r="Y460" s="109">
        <f>AVERAGE(X461:Y461)</f>
        <v>43685.568749999999</v>
      </c>
      <c r="Z460" s="109">
        <f>AVERAGE(Y461:Z461)</f>
        <v>48460.006249999991</v>
      </c>
      <c r="AA460" s="109">
        <f t="shared" ref="AA460:AD460" si="546">AVERAGE(Z461:AA461)</f>
        <v>53358.12999999999</v>
      </c>
      <c r="AB460" s="109">
        <f t="shared" si="546"/>
        <v>58382.749999999985</v>
      </c>
      <c r="AC460" s="109">
        <f t="shared" si="546"/>
        <v>63536.702499999985</v>
      </c>
      <c r="AD460" s="109">
        <f t="shared" si="546"/>
        <v>68822.847499999974</v>
      </c>
      <c r="AE460" s="23"/>
      <c r="AF460" s="23"/>
      <c r="AG460" s="23"/>
      <c r="AH460" s="23"/>
      <c r="AI460" s="23"/>
      <c r="AJ460" s="23"/>
      <c r="AK460" s="23"/>
      <c r="AL460" s="23"/>
      <c r="AM460" s="23"/>
      <c r="AN460" s="23"/>
      <c r="AO460" s="23"/>
      <c r="AP460" s="23"/>
      <c r="AQ460" s="23"/>
      <c r="AR460" s="23"/>
      <c r="AS460" s="23"/>
      <c r="AT460" s="23"/>
      <c r="AU460" s="23"/>
      <c r="AV460" s="23"/>
      <c r="AW460" s="23"/>
      <c r="AX460" s="23"/>
      <c r="AY460" s="23"/>
      <c r="AZ460" s="23"/>
      <c r="BA460" s="23"/>
      <c r="BB460" s="23"/>
      <c r="BC460" s="23"/>
      <c r="BD460" s="36"/>
      <c r="BE460" s="36"/>
      <c r="BF460" s="36"/>
      <c r="BG460" s="36"/>
      <c r="BH460" s="46"/>
      <c r="BI460" s="46"/>
      <c r="BJ460" s="46"/>
      <c r="BK460" s="46"/>
      <c r="BL460" s="118">
        <v>4571</v>
      </c>
      <c r="BM460" s="118">
        <v>4900</v>
      </c>
      <c r="BN460" s="118">
        <v>5300</v>
      </c>
      <c r="BO460" s="118">
        <v>5900</v>
      </c>
      <c r="BP460" s="118">
        <v>6300</v>
      </c>
      <c r="BQ460" s="118">
        <v>6600</v>
      </c>
      <c r="BR460" s="118">
        <v>6800</v>
      </c>
      <c r="BS460" s="118">
        <v>7000</v>
      </c>
      <c r="BT460" s="118">
        <v>7400</v>
      </c>
      <c r="BU460" s="118">
        <v>7700</v>
      </c>
      <c r="BV460" s="118">
        <v>8000</v>
      </c>
      <c r="BW460" s="16">
        <f>BW461</f>
        <v>8300</v>
      </c>
      <c r="BX460" s="109">
        <f t="shared" ref="BX460:CY460" si="547">AVERAGE(BW461:BX461)</f>
        <v>8450</v>
      </c>
      <c r="BY460" s="109">
        <f t="shared" si="547"/>
        <v>8950</v>
      </c>
      <c r="BZ460" s="109">
        <f t="shared" si="547"/>
        <v>9450</v>
      </c>
      <c r="CA460" s="109">
        <f t="shared" si="547"/>
        <v>9900</v>
      </c>
      <c r="CB460" s="109">
        <f t="shared" si="547"/>
        <v>10300</v>
      </c>
      <c r="CC460" s="109">
        <f t="shared" si="547"/>
        <v>10650</v>
      </c>
      <c r="CD460" s="109">
        <f t="shared" si="547"/>
        <v>12700</v>
      </c>
      <c r="CE460" s="109">
        <f t="shared" si="547"/>
        <v>14600</v>
      </c>
      <c r="CF460" s="109">
        <f t="shared" si="547"/>
        <v>14500</v>
      </c>
      <c r="CG460" s="109">
        <f t="shared" si="547"/>
        <v>14550</v>
      </c>
      <c r="CH460" s="109">
        <f t="shared" si="547"/>
        <v>15200</v>
      </c>
      <c r="CI460" s="109">
        <f t="shared" si="547"/>
        <v>15900</v>
      </c>
      <c r="CJ460" s="109">
        <f t="shared" si="547"/>
        <v>15900</v>
      </c>
      <c r="CK460" s="109">
        <f t="shared" si="547"/>
        <v>16050</v>
      </c>
      <c r="CL460" s="109">
        <f t="shared" si="547"/>
        <v>17000</v>
      </c>
      <c r="CM460" s="109">
        <f t="shared" si="547"/>
        <v>17850</v>
      </c>
      <c r="CN460" s="109">
        <f t="shared" si="547"/>
        <v>18650</v>
      </c>
      <c r="CO460" s="109">
        <f t="shared" si="547"/>
        <v>19700</v>
      </c>
      <c r="CP460" s="109">
        <f t="shared" si="547"/>
        <v>21000</v>
      </c>
      <c r="CQ460" s="109">
        <f t="shared" si="547"/>
        <v>22150</v>
      </c>
      <c r="CR460" s="109">
        <f t="shared" si="547"/>
        <v>22850</v>
      </c>
      <c r="CS460" s="109">
        <f t="shared" si="547"/>
        <v>23750</v>
      </c>
      <c r="CT460" s="109">
        <f t="shared" si="547"/>
        <v>24900</v>
      </c>
      <c r="CU460" s="109">
        <f t="shared" si="547"/>
        <v>27350</v>
      </c>
      <c r="CV460" s="109">
        <f t="shared" si="547"/>
        <v>29650</v>
      </c>
      <c r="CW460" s="109">
        <f t="shared" si="547"/>
        <v>30350</v>
      </c>
      <c r="CX460" s="109">
        <f t="shared" si="547"/>
        <v>31250</v>
      </c>
      <c r="CY460" s="109">
        <f t="shared" si="547"/>
        <v>32400</v>
      </c>
      <c r="CZ460" s="109">
        <f t="shared" ref="CZ460:DC460" si="548">AVERAGE(CY461:CZ461)</f>
        <v>33225.25</v>
      </c>
      <c r="DA460" s="109">
        <f t="shared" si="548"/>
        <v>34011.75</v>
      </c>
      <c r="DB460" s="109">
        <f t="shared" si="548"/>
        <v>35250</v>
      </c>
      <c r="DC460" s="109">
        <f t="shared" si="548"/>
        <v>36640.3125</v>
      </c>
    </row>
    <row r="461" spans="2:107" ht="11.25" customHeight="1">
      <c r="B461" s="141" t="s">
        <v>705</v>
      </c>
      <c r="C461" s="23"/>
      <c r="D461" s="15"/>
      <c r="E461" s="15"/>
      <c r="F461" s="15"/>
      <c r="G461" s="15"/>
      <c r="H461" s="15"/>
      <c r="I461" s="15"/>
      <c r="J461" s="15"/>
      <c r="K461" s="15"/>
      <c r="L461" s="23"/>
      <c r="M461" s="27"/>
      <c r="N461" s="27">
        <f>BS461</f>
        <v>7000</v>
      </c>
      <c r="O461" s="27">
        <f>BW461</f>
        <v>8300</v>
      </c>
      <c r="P461" s="109">
        <f>CA461</f>
        <v>10200</v>
      </c>
      <c r="Q461" s="109">
        <f>CE461</f>
        <v>14700</v>
      </c>
      <c r="R461" s="109">
        <f>CI461</f>
        <v>16200</v>
      </c>
      <c r="S461" s="109">
        <f>CM461</f>
        <v>18200</v>
      </c>
      <c r="T461" s="109">
        <f>CQ461</f>
        <v>22600</v>
      </c>
      <c r="U461" s="109">
        <f>CU461</f>
        <v>29300</v>
      </c>
      <c r="V461" s="109">
        <f>CY461</f>
        <v>33000</v>
      </c>
      <c r="W461" s="109">
        <f>DC461</f>
        <v>37353.625</v>
      </c>
      <c r="X461" s="109">
        <f>X464*X412</f>
        <v>41328.875</v>
      </c>
      <c r="Y461" s="109">
        <f>Y464*Y412</f>
        <v>46042.262499999997</v>
      </c>
      <c r="Z461" s="109">
        <f>Z464*Z412</f>
        <v>50877.749999999993</v>
      </c>
      <c r="AA461" s="109">
        <f t="shared" ref="AA461:AD461" si="549">AA464*AA412</f>
        <v>55838.509999999987</v>
      </c>
      <c r="AB461" s="109">
        <f t="shared" si="549"/>
        <v>60926.989999999983</v>
      </c>
      <c r="AC461" s="109">
        <f t="shared" si="549"/>
        <v>66146.414999999979</v>
      </c>
      <c r="AD461" s="109">
        <f t="shared" si="549"/>
        <v>71499.27999999997</v>
      </c>
      <c r="AE461" s="23"/>
      <c r="AF461" s="23"/>
      <c r="AG461" s="23"/>
      <c r="AH461" s="23"/>
      <c r="AI461" s="23"/>
      <c r="AJ461" s="23"/>
      <c r="AK461" s="23"/>
      <c r="AL461" s="23"/>
      <c r="AM461" s="23"/>
      <c r="AN461" s="23"/>
      <c r="AO461" s="23"/>
      <c r="AP461" s="23"/>
      <c r="AQ461" s="23"/>
      <c r="AR461" s="23"/>
      <c r="AS461" s="23"/>
      <c r="AT461" s="23"/>
      <c r="AU461" s="23"/>
      <c r="AV461" s="23"/>
      <c r="AW461" s="23"/>
      <c r="AX461" s="23"/>
      <c r="AY461" s="23"/>
      <c r="AZ461" s="23"/>
      <c r="BA461" s="23"/>
      <c r="BB461" s="23"/>
      <c r="BC461" s="23"/>
      <c r="BD461" s="36"/>
      <c r="BE461" s="36"/>
      <c r="BF461" s="36"/>
      <c r="BG461" s="118">
        <v>3300</v>
      </c>
      <c r="BH461" s="118">
        <v>3600</v>
      </c>
      <c r="BI461" s="118">
        <v>3700</v>
      </c>
      <c r="BJ461" s="118">
        <v>4000</v>
      </c>
      <c r="BK461" s="118">
        <v>4400</v>
      </c>
      <c r="BL461" s="118">
        <v>4600</v>
      </c>
      <c r="BM461" s="118">
        <v>5100</v>
      </c>
      <c r="BN461" s="118">
        <v>5300</v>
      </c>
      <c r="BO461" s="118">
        <v>6100</v>
      </c>
      <c r="BP461" s="118">
        <v>6400</v>
      </c>
      <c r="BQ461" s="118">
        <v>6700</v>
      </c>
      <c r="BR461" s="118">
        <v>6800</v>
      </c>
      <c r="BS461" s="118">
        <v>7000</v>
      </c>
      <c r="BT461" s="118">
        <v>7600</v>
      </c>
      <c r="BU461" s="118">
        <v>7900</v>
      </c>
      <c r="BV461" s="118">
        <v>8000</v>
      </c>
      <c r="BW461" s="118">
        <v>8300</v>
      </c>
      <c r="BX461" s="118">
        <v>8600</v>
      </c>
      <c r="BY461" s="118">
        <v>9300</v>
      </c>
      <c r="BZ461" s="118">
        <v>9600</v>
      </c>
      <c r="CA461" s="118">
        <v>10200</v>
      </c>
      <c r="CB461" s="118">
        <v>10400</v>
      </c>
      <c r="CC461" s="118">
        <v>10900</v>
      </c>
      <c r="CD461" s="118">
        <v>14500</v>
      </c>
      <c r="CE461" s="118">
        <v>14700</v>
      </c>
      <c r="CF461" s="118">
        <v>14300</v>
      </c>
      <c r="CG461" s="118">
        <v>14800</v>
      </c>
      <c r="CH461" s="118">
        <v>15600</v>
      </c>
      <c r="CI461" s="118">
        <v>16200</v>
      </c>
      <c r="CJ461" s="118">
        <v>15600</v>
      </c>
      <c r="CK461" s="118">
        <v>16500</v>
      </c>
      <c r="CL461" s="118">
        <v>17500</v>
      </c>
      <c r="CM461" s="118">
        <v>18200</v>
      </c>
      <c r="CN461" s="118">
        <v>19100</v>
      </c>
      <c r="CO461" s="118">
        <v>20300</v>
      </c>
      <c r="CP461" s="118">
        <v>21700</v>
      </c>
      <c r="CQ461" s="118">
        <v>22600</v>
      </c>
      <c r="CR461" s="118">
        <v>23100</v>
      </c>
      <c r="CS461" s="118">
        <v>24400</v>
      </c>
      <c r="CT461" s="118">
        <v>25400</v>
      </c>
      <c r="CU461" s="118">
        <v>29300</v>
      </c>
      <c r="CV461" s="118">
        <v>30000</v>
      </c>
      <c r="CW461" s="118">
        <v>30700</v>
      </c>
      <c r="CX461" s="118">
        <v>31800</v>
      </c>
      <c r="CY461" s="118">
        <v>33000</v>
      </c>
      <c r="CZ461" s="109">
        <f t="shared" ref="CZ461:DC461" si="550">CZ464*CZ412</f>
        <v>33450.5</v>
      </c>
      <c r="DA461" s="109">
        <f t="shared" si="550"/>
        <v>34573</v>
      </c>
      <c r="DB461" s="109">
        <f t="shared" si="550"/>
        <v>35927</v>
      </c>
      <c r="DC461" s="109">
        <f t="shared" si="550"/>
        <v>37353.625</v>
      </c>
    </row>
    <row r="462" spans="2:107" ht="11.25" customHeight="1">
      <c r="B462" s="141" t="s">
        <v>707</v>
      </c>
      <c r="C462" s="23"/>
      <c r="D462" s="15"/>
      <c r="E462" s="15"/>
      <c r="F462" s="15"/>
      <c r="G462" s="15"/>
      <c r="H462" s="15"/>
      <c r="I462" s="15"/>
      <c r="J462" s="15"/>
      <c r="K462" s="15"/>
      <c r="L462" s="23"/>
      <c r="M462" s="27"/>
      <c r="N462" s="27"/>
      <c r="O462" s="16">
        <f t="shared" ref="O462:Z462" si="551">O461-N461</f>
        <v>1300</v>
      </c>
      <c r="P462" s="109">
        <f t="shared" si="551"/>
        <v>1900</v>
      </c>
      <c r="Q462" s="109">
        <f t="shared" si="551"/>
        <v>4500</v>
      </c>
      <c r="R462" s="109">
        <f t="shared" si="551"/>
        <v>1500</v>
      </c>
      <c r="S462" s="109">
        <f t="shared" si="551"/>
        <v>2000</v>
      </c>
      <c r="T462" s="109">
        <f t="shared" si="551"/>
        <v>4400</v>
      </c>
      <c r="U462" s="109">
        <f t="shared" si="551"/>
        <v>6700</v>
      </c>
      <c r="V462" s="109">
        <f t="shared" si="551"/>
        <v>3700</v>
      </c>
      <c r="W462" s="109">
        <f t="shared" si="551"/>
        <v>4353.625</v>
      </c>
      <c r="X462" s="109">
        <f t="shared" si="551"/>
        <v>3975.25</v>
      </c>
      <c r="Y462" s="109">
        <f t="shared" si="551"/>
        <v>4713.3874999999971</v>
      </c>
      <c r="Z462" s="109">
        <f t="shared" si="551"/>
        <v>4835.4874999999956</v>
      </c>
      <c r="AA462" s="109">
        <f t="shared" ref="AA462" si="552">AA461-Z461</f>
        <v>4960.7599999999948</v>
      </c>
      <c r="AB462" s="109">
        <f t="shared" ref="AB462" si="553">AB461-AA461</f>
        <v>5088.4799999999959</v>
      </c>
      <c r="AC462" s="109">
        <f t="shared" ref="AC462" si="554">AC461-AB461</f>
        <v>5219.4249999999956</v>
      </c>
      <c r="AD462" s="109">
        <f t="shared" ref="AD462" si="555">AD461-AC461</f>
        <v>5352.8649999999907</v>
      </c>
      <c r="AE462" s="23"/>
      <c r="AF462" s="23"/>
      <c r="AG462" s="23"/>
      <c r="AH462" s="23"/>
      <c r="AI462" s="23"/>
      <c r="AJ462" s="23"/>
      <c r="AK462" s="23"/>
      <c r="AL462" s="23"/>
      <c r="AM462" s="23"/>
      <c r="AN462" s="23"/>
      <c r="AO462" s="23"/>
      <c r="AP462" s="23"/>
      <c r="AQ462" s="23"/>
      <c r="AR462" s="23"/>
      <c r="AS462" s="23"/>
      <c r="AT462" s="23"/>
      <c r="AU462" s="23"/>
      <c r="AV462" s="23"/>
      <c r="AW462" s="23"/>
      <c r="AX462" s="23"/>
      <c r="AY462" s="23"/>
      <c r="AZ462" s="23"/>
      <c r="BA462" s="23"/>
      <c r="BB462" s="23"/>
      <c r="BC462" s="23"/>
      <c r="BD462" s="36"/>
      <c r="BE462" s="36"/>
      <c r="BF462" s="36"/>
      <c r="BG462" s="36"/>
      <c r="BH462" s="16">
        <f t="shared" ref="BH462:CY462" si="556">BH461-BG461</f>
        <v>300</v>
      </c>
      <c r="BI462" s="16">
        <f t="shared" si="556"/>
        <v>100</v>
      </c>
      <c r="BJ462" s="16">
        <f t="shared" si="556"/>
        <v>300</v>
      </c>
      <c r="BK462" s="16">
        <f t="shared" si="556"/>
        <v>400</v>
      </c>
      <c r="BL462" s="16">
        <f t="shared" si="556"/>
        <v>200</v>
      </c>
      <c r="BM462" s="16">
        <f t="shared" si="556"/>
        <v>500</v>
      </c>
      <c r="BN462" s="16">
        <f t="shared" si="556"/>
        <v>200</v>
      </c>
      <c r="BO462" s="16">
        <f t="shared" si="556"/>
        <v>800</v>
      </c>
      <c r="BP462" s="16">
        <f t="shared" si="556"/>
        <v>300</v>
      </c>
      <c r="BQ462" s="16">
        <f t="shared" si="556"/>
        <v>300</v>
      </c>
      <c r="BR462" s="16">
        <f t="shared" si="556"/>
        <v>100</v>
      </c>
      <c r="BS462" s="16">
        <f t="shared" si="556"/>
        <v>200</v>
      </c>
      <c r="BT462" s="16">
        <f t="shared" si="556"/>
        <v>600</v>
      </c>
      <c r="BU462" s="16">
        <f t="shared" si="556"/>
        <v>300</v>
      </c>
      <c r="BV462" s="16">
        <f t="shared" si="556"/>
        <v>100</v>
      </c>
      <c r="BW462" s="16">
        <f t="shared" si="556"/>
        <v>300</v>
      </c>
      <c r="BX462" s="109">
        <f t="shared" si="556"/>
        <v>300</v>
      </c>
      <c r="BY462" s="109">
        <f t="shared" si="556"/>
        <v>700</v>
      </c>
      <c r="BZ462" s="109">
        <f t="shared" si="556"/>
        <v>300</v>
      </c>
      <c r="CA462" s="109">
        <f t="shared" si="556"/>
        <v>600</v>
      </c>
      <c r="CB462" s="109">
        <f t="shared" si="556"/>
        <v>200</v>
      </c>
      <c r="CC462" s="109">
        <f t="shared" si="556"/>
        <v>500</v>
      </c>
      <c r="CD462" s="109">
        <f t="shared" si="556"/>
        <v>3600</v>
      </c>
      <c r="CE462" s="109">
        <f t="shared" si="556"/>
        <v>200</v>
      </c>
      <c r="CF462" s="109">
        <f t="shared" si="556"/>
        <v>-400</v>
      </c>
      <c r="CG462" s="109">
        <f t="shared" si="556"/>
        <v>500</v>
      </c>
      <c r="CH462" s="109">
        <f t="shared" si="556"/>
        <v>800</v>
      </c>
      <c r="CI462" s="109">
        <f t="shared" si="556"/>
        <v>600</v>
      </c>
      <c r="CJ462" s="109">
        <f t="shared" si="556"/>
        <v>-600</v>
      </c>
      <c r="CK462" s="109">
        <f t="shared" si="556"/>
        <v>900</v>
      </c>
      <c r="CL462" s="109">
        <f t="shared" si="556"/>
        <v>1000</v>
      </c>
      <c r="CM462" s="109">
        <f t="shared" si="556"/>
        <v>700</v>
      </c>
      <c r="CN462" s="109">
        <f t="shared" si="556"/>
        <v>900</v>
      </c>
      <c r="CO462" s="109">
        <f t="shared" si="556"/>
        <v>1200</v>
      </c>
      <c r="CP462" s="109">
        <f t="shared" si="556"/>
        <v>1400</v>
      </c>
      <c r="CQ462" s="109">
        <f t="shared" si="556"/>
        <v>900</v>
      </c>
      <c r="CR462" s="109">
        <f t="shared" si="556"/>
        <v>500</v>
      </c>
      <c r="CS462" s="109">
        <f t="shared" si="556"/>
        <v>1300</v>
      </c>
      <c r="CT462" s="109">
        <f t="shared" si="556"/>
        <v>1000</v>
      </c>
      <c r="CU462" s="109">
        <f t="shared" si="556"/>
        <v>3900</v>
      </c>
      <c r="CV462" s="109">
        <f t="shared" si="556"/>
        <v>700</v>
      </c>
      <c r="CW462" s="109">
        <f t="shared" si="556"/>
        <v>700</v>
      </c>
      <c r="CX462" s="109">
        <f t="shared" si="556"/>
        <v>1100</v>
      </c>
      <c r="CY462" s="109">
        <f t="shared" si="556"/>
        <v>1200</v>
      </c>
      <c r="CZ462" s="109">
        <f t="shared" ref="CZ462:DC462" si="557">CZ461-CY461</f>
        <v>450.5</v>
      </c>
      <c r="DA462" s="109">
        <f t="shared" si="557"/>
        <v>1122.5</v>
      </c>
      <c r="DB462" s="109">
        <f t="shared" si="557"/>
        <v>1354</v>
      </c>
      <c r="DC462" s="109">
        <f t="shared" si="557"/>
        <v>1426.625</v>
      </c>
    </row>
    <row r="463" spans="2:107" ht="12.75" customHeight="1">
      <c r="B463" s="141"/>
      <c r="C463" s="23"/>
      <c r="D463" s="15"/>
      <c r="E463" s="15"/>
      <c r="F463" s="15"/>
      <c r="G463" s="15"/>
      <c r="H463" s="15"/>
      <c r="I463" s="15"/>
      <c r="J463" s="15"/>
      <c r="K463" s="15"/>
      <c r="L463" s="23"/>
      <c r="M463" s="27"/>
      <c r="N463" s="27"/>
      <c r="O463" s="16"/>
      <c r="P463" s="16"/>
      <c r="Q463" s="16"/>
      <c r="R463" s="16"/>
      <c r="S463" s="16"/>
      <c r="T463" s="16"/>
      <c r="U463" s="16"/>
      <c r="V463" s="16"/>
      <c r="W463" s="16"/>
      <c r="X463" s="16"/>
      <c r="Y463" s="16"/>
      <c r="Z463" s="16"/>
      <c r="AA463" s="16"/>
      <c r="AB463" s="16"/>
      <c r="AC463" s="16"/>
      <c r="AD463" s="16"/>
      <c r="AE463" s="23"/>
      <c r="AF463" s="23"/>
      <c r="AG463" s="23"/>
      <c r="AH463" s="23"/>
      <c r="AI463" s="23"/>
      <c r="AJ463" s="23"/>
      <c r="AK463" s="23"/>
      <c r="AL463" s="23"/>
      <c r="AM463" s="23"/>
      <c r="AN463" s="23"/>
      <c r="AO463" s="23"/>
      <c r="AP463" s="23"/>
      <c r="AQ463" s="23"/>
      <c r="AR463" s="23"/>
      <c r="AS463" s="23"/>
      <c r="AT463" s="23"/>
      <c r="AU463" s="23"/>
      <c r="AV463" s="23"/>
      <c r="AW463" s="23"/>
      <c r="AX463" s="23"/>
      <c r="AY463" s="23"/>
      <c r="AZ463" s="23"/>
      <c r="BA463" s="23"/>
      <c r="BB463" s="23"/>
      <c r="BC463" s="23"/>
      <c r="BD463" s="36"/>
      <c r="BE463" s="36"/>
      <c r="BF463" s="36"/>
      <c r="BG463" s="36"/>
      <c r="BH463" s="46"/>
      <c r="BI463" s="46"/>
      <c r="BJ463" s="46"/>
      <c r="BK463" s="46"/>
      <c r="BL463" s="46"/>
      <c r="BM463" s="46"/>
      <c r="BN463" s="46"/>
      <c r="BO463" s="46"/>
      <c r="BP463" s="16"/>
      <c r="BQ463" s="16"/>
      <c r="BR463" s="16"/>
      <c r="BS463" s="16"/>
      <c r="BT463" s="16"/>
      <c r="BU463" s="16"/>
      <c r="BV463" s="16"/>
      <c r="BW463" s="16"/>
      <c r="BX463" s="16"/>
      <c r="BY463" s="16"/>
      <c r="BZ463" s="16"/>
      <c r="CA463" s="16"/>
      <c r="CB463" s="16"/>
      <c r="CC463" s="16"/>
      <c r="CD463" s="16"/>
      <c r="CE463" s="16"/>
      <c r="CF463" s="16"/>
      <c r="CG463" s="16"/>
      <c r="CH463" s="16"/>
      <c r="CI463" s="16"/>
      <c r="CJ463" s="16"/>
      <c r="CK463" s="16"/>
      <c r="CL463" s="16"/>
      <c r="CM463" s="16"/>
      <c r="CN463" s="16"/>
      <c r="CO463" s="16"/>
      <c r="CP463" s="16"/>
      <c r="CQ463" s="16"/>
      <c r="CR463" s="16"/>
      <c r="CS463" s="16"/>
      <c r="CT463" s="16"/>
      <c r="CU463" s="16"/>
      <c r="CV463" s="16"/>
      <c r="CW463" s="16"/>
      <c r="CX463" s="16"/>
      <c r="CY463" s="16"/>
      <c r="CZ463" s="16"/>
      <c r="DA463" s="16"/>
      <c r="DB463" s="16"/>
      <c r="DC463" s="16"/>
    </row>
    <row r="464" spans="2:107">
      <c r="B464" s="142" t="s">
        <v>706</v>
      </c>
      <c r="C464" s="23"/>
      <c r="D464" s="15"/>
      <c r="E464" s="15"/>
      <c r="F464" s="15"/>
      <c r="G464" s="15"/>
      <c r="H464" s="15"/>
      <c r="I464" s="15"/>
      <c r="J464" s="15"/>
      <c r="K464" s="15"/>
      <c r="L464" s="51"/>
      <c r="M464" s="24"/>
      <c r="N464" s="55">
        <f>BS464</f>
        <v>0.7865168539325843</v>
      </c>
      <c r="O464" s="55">
        <f>BW464</f>
        <v>0.79047619047619044</v>
      </c>
      <c r="P464" s="55">
        <f>CA464</f>
        <v>0.74452554744525545</v>
      </c>
      <c r="Q464" s="55">
        <f>CE464</f>
        <v>0.71359223300970875</v>
      </c>
      <c r="R464" s="55">
        <f t="shared" ref="R464:W464" si="558">R461/R412</f>
        <v>0.71365638766519823</v>
      </c>
      <c r="S464" s="55">
        <f t="shared" si="558"/>
        <v>0.7615062761506276</v>
      </c>
      <c r="T464" s="55">
        <f t="shared" si="558"/>
        <v>0.81294964028776984</v>
      </c>
      <c r="U464" s="55">
        <f t="shared" si="558"/>
        <v>0.73618090452261309</v>
      </c>
      <c r="V464" s="55">
        <f t="shared" si="558"/>
        <v>0.7432432432432432</v>
      </c>
      <c r="W464" s="55">
        <f t="shared" si="558"/>
        <v>0.755</v>
      </c>
      <c r="X464" s="143">
        <f t="shared" ref="X464:AD464" si="559">CHOOSE(mode,X465,X466,X467)</f>
        <v>0.745</v>
      </c>
      <c r="Y464" s="143">
        <f t="shared" si="559"/>
        <v>0.74749999999999994</v>
      </c>
      <c r="Z464" s="143">
        <f t="shared" si="559"/>
        <v>0.74999999999999989</v>
      </c>
      <c r="AA464" s="143">
        <f t="shared" si="559"/>
        <v>0.75249999999999984</v>
      </c>
      <c r="AB464" s="143">
        <f t="shared" si="559"/>
        <v>0.75499999999999978</v>
      </c>
      <c r="AC464" s="143">
        <f t="shared" si="559"/>
        <v>0.75749999999999973</v>
      </c>
      <c r="AD464" s="143">
        <f t="shared" si="559"/>
        <v>0.75999999999999968</v>
      </c>
      <c r="AE464" s="23"/>
      <c r="AF464" s="23"/>
      <c r="AG464" s="23"/>
      <c r="AH464" s="23"/>
      <c r="AI464" s="23"/>
      <c r="AJ464" s="23"/>
      <c r="AK464" s="23"/>
      <c r="AL464" s="23"/>
      <c r="AM464" s="23"/>
      <c r="AN464" s="23"/>
      <c r="AO464" s="23"/>
      <c r="AP464" s="23"/>
      <c r="AQ464" s="23"/>
      <c r="AR464" s="23"/>
      <c r="AS464" s="23"/>
      <c r="AT464" s="23"/>
      <c r="AU464" s="23"/>
      <c r="AV464" s="23"/>
      <c r="AW464" s="23"/>
      <c r="AX464" s="23"/>
      <c r="AY464" s="23"/>
      <c r="AZ464" s="23"/>
      <c r="BA464" s="23"/>
      <c r="BB464" s="23"/>
      <c r="BC464" s="23"/>
      <c r="BD464" s="23"/>
      <c r="BE464" s="51"/>
      <c r="BF464" s="51"/>
      <c r="BG464" s="55">
        <f t="shared" ref="BG464:CH464" si="560">BG461/BG412</f>
        <v>0.7021276595744681</v>
      </c>
      <c r="BH464" s="55">
        <f t="shared" si="560"/>
        <v>0.78260869565217395</v>
      </c>
      <c r="BI464" s="55">
        <f t="shared" si="560"/>
        <v>0.80434782608695654</v>
      </c>
      <c r="BJ464" s="55">
        <f t="shared" si="560"/>
        <v>0.7142857142857143</v>
      </c>
      <c r="BK464" s="55">
        <f t="shared" si="560"/>
        <v>0.7857142857142857</v>
      </c>
      <c r="BL464" s="55">
        <f t="shared" si="560"/>
        <v>0.77966101694915257</v>
      </c>
      <c r="BM464" s="55">
        <f t="shared" si="560"/>
        <v>0.83606557377049184</v>
      </c>
      <c r="BN464" s="55">
        <f t="shared" si="560"/>
        <v>0.79104477611940294</v>
      </c>
      <c r="BO464" s="55">
        <f t="shared" si="560"/>
        <v>0.85915492957746475</v>
      </c>
      <c r="BP464" s="55">
        <f t="shared" si="560"/>
        <v>0.82051282051282048</v>
      </c>
      <c r="BQ464" s="55">
        <f t="shared" si="560"/>
        <v>0.83750000000000002</v>
      </c>
      <c r="BR464" s="55">
        <f t="shared" si="560"/>
        <v>0.7640449438202247</v>
      </c>
      <c r="BS464" s="55">
        <f t="shared" si="560"/>
        <v>0.7865168539325843</v>
      </c>
      <c r="BT464" s="55">
        <f t="shared" si="560"/>
        <v>0.84444444444444444</v>
      </c>
      <c r="BU464" s="55">
        <f t="shared" si="560"/>
        <v>0.83157894736842108</v>
      </c>
      <c r="BV464" s="55">
        <f t="shared" si="560"/>
        <v>0.76190476190476186</v>
      </c>
      <c r="BW464" s="55">
        <f t="shared" si="560"/>
        <v>0.79047619047619044</v>
      </c>
      <c r="BX464" s="55">
        <f t="shared" si="560"/>
        <v>0.81132075471698117</v>
      </c>
      <c r="BY464" s="55">
        <f t="shared" si="560"/>
        <v>0.6992481203007519</v>
      </c>
      <c r="BZ464" s="55">
        <f t="shared" si="560"/>
        <v>0.7007299270072993</v>
      </c>
      <c r="CA464" s="55">
        <f t="shared" si="560"/>
        <v>0.74452554744525545</v>
      </c>
      <c r="CB464" s="55">
        <f t="shared" si="560"/>
        <v>0.75912408759124084</v>
      </c>
      <c r="CC464" s="55">
        <f t="shared" si="560"/>
        <v>0.76223776223776218</v>
      </c>
      <c r="CD464" s="55">
        <f t="shared" si="560"/>
        <v>0.72499999999999998</v>
      </c>
      <c r="CE464" s="55">
        <f t="shared" si="560"/>
        <v>0.71359223300970875</v>
      </c>
      <c r="CF464" s="55">
        <f t="shared" si="560"/>
        <v>0.68421052631578949</v>
      </c>
      <c r="CG464" s="55">
        <f t="shared" si="560"/>
        <v>0.70813397129186606</v>
      </c>
      <c r="CH464" s="55">
        <f t="shared" si="560"/>
        <v>0.7289719626168224</v>
      </c>
      <c r="CI464" s="55">
        <f t="shared" ref="CI464:CN464" si="561">CI461/CI412</f>
        <v>0.71365638766519823</v>
      </c>
      <c r="CJ464" s="55">
        <f t="shared" si="561"/>
        <v>0.72222222222222221</v>
      </c>
      <c r="CK464" s="55">
        <f t="shared" si="561"/>
        <v>0.7432432432432432</v>
      </c>
      <c r="CL464" s="55">
        <f t="shared" si="561"/>
        <v>0.7847533632286996</v>
      </c>
      <c r="CM464" s="55">
        <f t="shared" si="561"/>
        <v>0.7615062761506276</v>
      </c>
      <c r="CN464" s="55">
        <f t="shared" si="561"/>
        <v>0.75494071146245056</v>
      </c>
      <c r="CO464" s="55">
        <f t="shared" ref="CO464:CT464" si="562">CO461/CO412</f>
        <v>0.77186311787072248</v>
      </c>
      <c r="CP464" s="55">
        <f t="shared" si="562"/>
        <v>0.78909090909090907</v>
      </c>
      <c r="CQ464" s="55">
        <f t="shared" si="562"/>
        <v>0.81294964028776984</v>
      </c>
      <c r="CR464" s="55">
        <f t="shared" si="562"/>
        <v>0.75737704918032789</v>
      </c>
      <c r="CS464" s="55">
        <f t="shared" si="562"/>
        <v>0.76489028213166144</v>
      </c>
      <c r="CT464" s="55">
        <f t="shared" si="562"/>
        <v>0.76969696969696966</v>
      </c>
      <c r="CU464" s="55">
        <f>CU461/CU412</f>
        <v>0.73618090452261309</v>
      </c>
      <c r="CV464" s="55">
        <f>CV461/CV412</f>
        <v>0.72992700729927007</v>
      </c>
      <c r="CW464" s="55">
        <f>CW461/CW412</f>
        <v>0.71896955503512883</v>
      </c>
      <c r="CX464" s="55">
        <f>CX461/CX412</f>
        <v>0.74473067915690871</v>
      </c>
      <c r="CY464" s="55">
        <f>CY461/CY412</f>
        <v>0.7432432432432432</v>
      </c>
      <c r="CZ464" s="143">
        <f>CHOOSE(mode,CZ465,CZ466,CZ467)</f>
        <v>0.745</v>
      </c>
      <c r="DA464" s="143">
        <f>CHOOSE(mode,DA465,DA466,DA467)</f>
        <v>0.77</v>
      </c>
      <c r="DB464" s="143">
        <f>CHOOSE(mode,DB465,DB466,DB467)</f>
        <v>0.74</v>
      </c>
      <c r="DC464" s="143">
        <f>CHOOSE(mode,DC465,DC466,DC467)</f>
        <v>0.755</v>
      </c>
    </row>
    <row r="465" spans="2:107" outlineLevel="1">
      <c r="B465" s="134" t="s">
        <v>1046</v>
      </c>
      <c r="C465" s="135"/>
      <c r="D465" s="135"/>
      <c r="E465" s="135"/>
      <c r="F465" s="135"/>
      <c r="G465" s="135"/>
      <c r="H465" s="135"/>
      <c r="I465" s="135"/>
      <c r="J465" s="135"/>
      <c r="K465" s="135"/>
      <c r="L465" s="135"/>
      <c r="M465" s="136"/>
      <c r="N465" s="136"/>
      <c r="O465" s="136"/>
      <c r="P465" s="136"/>
      <c r="Q465" s="136"/>
      <c r="R465" s="136"/>
      <c r="S465" s="136"/>
      <c r="T465" s="136"/>
      <c r="U465" s="136"/>
      <c r="V465" s="136"/>
      <c r="W465" s="136"/>
      <c r="X465" s="136">
        <f>X466+0.03</f>
        <v>0.77500000000000002</v>
      </c>
      <c r="Y465" s="136">
        <f>Y466+0.03</f>
        <v>0.77749999999999997</v>
      </c>
      <c r="Z465" s="136">
        <f>Z466+0.03</f>
        <v>0.77999999999999992</v>
      </c>
      <c r="AA465" s="136">
        <f t="shared" ref="AA465:AD465" si="563">AA466+0.03</f>
        <v>0.78249999999999986</v>
      </c>
      <c r="AB465" s="136">
        <f t="shared" si="563"/>
        <v>0.78499999999999981</v>
      </c>
      <c r="AC465" s="136">
        <f t="shared" si="563"/>
        <v>0.78749999999999976</v>
      </c>
      <c r="AD465" s="136">
        <f t="shared" si="563"/>
        <v>0.7899999999999997</v>
      </c>
      <c r="AE465" s="135"/>
      <c r="AF465" s="135"/>
      <c r="AG465" s="135"/>
      <c r="AH465" s="135"/>
      <c r="AI465" s="135"/>
      <c r="AJ465" s="135"/>
      <c r="AK465" s="135"/>
      <c r="AL465" s="135"/>
      <c r="AM465" s="135"/>
      <c r="AN465" s="135"/>
      <c r="AO465" s="135"/>
      <c r="AP465" s="135"/>
      <c r="AQ465" s="135"/>
      <c r="AR465" s="135"/>
      <c r="AS465" s="135"/>
      <c r="AT465" s="135"/>
      <c r="AU465" s="135"/>
      <c r="AV465" s="135"/>
      <c r="AW465" s="135"/>
      <c r="AX465" s="135"/>
      <c r="AY465" s="135"/>
      <c r="AZ465" s="135"/>
      <c r="BA465" s="135"/>
      <c r="BB465" s="135"/>
      <c r="BC465" s="135"/>
      <c r="BD465" s="137"/>
      <c r="BE465" s="137"/>
      <c r="BF465" s="137"/>
      <c r="BG465" s="137"/>
      <c r="BH465" s="137"/>
      <c r="BI465" s="137"/>
      <c r="BJ465" s="137"/>
      <c r="BK465" s="137"/>
      <c r="BL465" s="137"/>
      <c r="BM465" s="137"/>
      <c r="BN465" s="137"/>
      <c r="BO465" s="137"/>
      <c r="BP465" s="136"/>
      <c r="BQ465" s="136"/>
      <c r="BR465" s="136"/>
      <c r="BS465" s="136"/>
      <c r="BT465" s="136"/>
      <c r="BU465" s="136"/>
      <c r="BV465" s="136"/>
      <c r="BW465" s="136"/>
      <c r="BX465" s="136"/>
      <c r="BY465" s="136"/>
      <c r="BZ465" s="136"/>
      <c r="CA465" s="136"/>
      <c r="CB465" s="136"/>
      <c r="CC465" s="136"/>
      <c r="CD465" s="136"/>
      <c r="CE465" s="136"/>
      <c r="CF465" s="136"/>
      <c r="CG465" s="136"/>
      <c r="CH465" s="136"/>
      <c r="CI465" s="136"/>
      <c r="CJ465" s="136"/>
      <c r="CK465" s="136"/>
      <c r="CL465" s="136"/>
      <c r="CM465" s="136"/>
      <c r="CN465" s="136"/>
      <c r="CO465" s="136"/>
      <c r="CP465" s="136"/>
      <c r="CQ465" s="136"/>
      <c r="CR465" s="136"/>
      <c r="CS465" s="136"/>
      <c r="CT465" s="136"/>
      <c r="CU465" s="136"/>
      <c r="CV465" s="136"/>
      <c r="CW465" s="136"/>
      <c r="CX465" s="136"/>
      <c r="CY465" s="136"/>
      <c r="CZ465" s="136">
        <f t="shared" ref="CZ465:DC465" si="564">CZ466+0.025</f>
        <v>0.77</v>
      </c>
      <c r="DA465" s="136">
        <f t="shared" si="564"/>
        <v>0.79500000000000004</v>
      </c>
      <c r="DB465" s="136">
        <f t="shared" si="564"/>
        <v>0.76500000000000001</v>
      </c>
      <c r="DC465" s="136">
        <f t="shared" si="564"/>
        <v>0.78</v>
      </c>
    </row>
    <row r="466" spans="2:107" outlineLevel="1">
      <c r="B466" s="134" t="s">
        <v>1047</v>
      </c>
      <c r="C466" s="135"/>
      <c r="D466" s="135"/>
      <c r="E466" s="135"/>
      <c r="F466" s="135"/>
      <c r="G466" s="135"/>
      <c r="H466" s="135"/>
      <c r="I466" s="135"/>
      <c r="J466" s="135"/>
      <c r="K466" s="135"/>
      <c r="L466" s="135"/>
      <c r="M466" s="136"/>
      <c r="N466" s="136"/>
      <c r="O466" s="136"/>
      <c r="P466" s="136"/>
      <c r="Q466" s="136"/>
      <c r="R466" s="136"/>
      <c r="S466" s="136"/>
      <c r="T466" s="136"/>
      <c r="U466" s="136"/>
      <c r="V466" s="136"/>
      <c r="W466" s="136"/>
      <c r="X466" s="136">
        <v>0.745</v>
      </c>
      <c r="Y466" s="136">
        <f>+X466+0.0025</f>
        <v>0.74749999999999994</v>
      </c>
      <c r="Z466" s="136">
        <f t="shared" ref="Z466:AD466" si="565">+Y466+0.0025</f>
        <v>0.74999999999999989</v>
      </c>
      <c r="AA466" s="136">
        <f t="shared" si="565"/>
        <v>0.75249999999999984</v>
      </c>
      <c r="AB466" s="136">
        <f t="shared" si="565"/>
        <v>0.75499999999999978</v>
      </c>
      <c r="AC466" s="136">
        <f t="shared" si="565"/>
        <v>0.75749999999999973</v>
      </c>
      <c r="AD466" s="136">
        <f t="shared" si="565"/>
        <v>0.75999999999999968</v>
      </c>
      <c r="AE466" s="135"/>
      <c r="AF466" s="135"/>
      <c r="AG466" s="135"/>
      <c r="AH466" s="135"/>
      <c r="AI466" s="135"/>
      <c r="AJ466" s="135"/>
      <c r="AK466" s="135"/>
      <c r="AL466" s="135"/>
      <c r="AM466" s="135"/>
      <c r="AN466" s="135"/>
      <c r="AO466" s="135"/>
      <c r="AP466" s="135"/>
      <c r="AQ466" s="135"/>
      <c r="AR466" s="135"/>
      <c r="AS466" s="135"/>
      <c r="AT466" s="135"/>
      <c r="AU466" s="135"/>
      <c r="AV466" s="135"/>
      <c r="AW466" s="135"/>
      <c r="AX466" s="135"/>
      <c r="AY466" s="135"/>
      <c r="AZ466" s="135"/>
      <c r="BA466" s="135"/>
      <c r="BB466" s="135"/>
      <c r="BC466" s="135"/>
      <c r="BD466" s="137"/>
      <c r="BE466" s="137"/>
      <c r="BF466" s="137"/>
      <c r="BG466" s="137"/>
      <c r="BH466" s="137"/>
      <c r="BI466" s="137"/>
      <c r="BJ466" s="137"/>
      <c r="BK466" s="137"/>
      <c r="BL466" s="137"/>
      <c r="BM466" s="137"/>
      <c r="BN466" s="137"/>
      <c r="BO466" s="137"/>
      <c r="BP466" s="136"/>
      <c r="BQ466" s="136"/>
      <c r="BR466" s="136"/>
      <c r="BS466" s="136"/>
      <c r="BT466" s="136"/>
      <c r="BU466" s="136"/>
      <c r="BV466" s="136"/>
      <c r="BW466" s="136"/>
      <c r="BX466" s="136"/>
      <c r="BY466" s="136"/>
      <c r="BZ466" s="136"/>
      <c r="CA466" s="136"/>
      <c r="CB466" s="1614">
        <f t="shared" ref="CB466:CG466" si="566">+CB464</f>
        <v>0.75912408759124084</v>
      </c>
      <c r="CC466" s="1614">
        <f t="shared" si="566"/>
        <v>0.76223776223776218</v>
      </c>
      <c r="CD466" s="1614">
        <f t="shared" si="566"/>
        <v>0.72499999999999998</v>
      </c>
      <c r="CE466" s="1614">
        <f t="shared" si="566"/>
        <v>0.71359223300970875</v>
      </c>
      <c r="CF466" s="1614">
        <f t="shared" si="566"/>
        <v>0.68421052631578949</v>
      </c>
      <c r="CG466" s="1614">
        <f t="shared" si="566"/>
        <v>0.70813397129186606</v>
      </c>
      <c r="CH466" s="1614">
        <f t="shared" ref="CH466:CM466" si="567">+CH464</f>
        <v>0.7289719626168224</v>
      </c>
      <c r="CI466" s="1614">
        <f t="shared" si="567"/>
        <v>0.71365638766519823</v>
      </c>
      <c r="CJ466" s="1614">
        <f t="shared" si="567"/>
        <v>0.72222222222222221</v>
      </c>
      <c r="CK466" s="1614">
        <f t="shared" si="567"/>
        <v>0.7432432432432432</v>
      </c>
      <c r="CL466" s="1614">
        <f t="shared" si="567"/>
        <v>0.7847533632286996</v>
      </c>
      <c r="CM466" s="1614">
        <f t="shared" si="567"/>
        <v>0.7615062761506276</v>
      </c>
      <c r="CN466" s="1614">
        <f t="shared" ref="CN466:CS466" si="568">+CN464</f>
        <v>0.75494071146245056</v>
      </c>
      <c r="CO466" s="1614">
        <f t="shared" si="568"/>
        <v>0.77186311787072248</v>
      </c>
      <c r="CP466" s="1614">
        <f t="shared" si="568"/>
        <v>0.78909090909090907</v>
      </c>
      <c r="CQ466" s="1614">
        <f t="shared" si="568"/>
        <v>0.81294964028776984</v>
      </c>
      <c r="CR466" s="1614">
        <f t="shared" si="568"/>
        <v>0.75737704918032789</v>
      </c>
      <c r="CS466" s="1614">
        <f t="shared" si="568"/>
        <v>0.76489028213166144</v>
      </c>
      <c r="CT466" s="1614">
        <f t="shared" ref="CT466:CY466" si="569">+CT464</f>
        <v>0.76969696969696966</v>
      </c>
      <c r="CU466" s="1614">
        <f t="shared" si="569"/>
        <v>0.73618090452261309</v>
      </c>
      <c r="CV466" s="1614">
        <f t="shared" si="569"/>
        <v>0.72992700729927007</v>
      </c>
      <c r="CW466" s="1614">
        <f t="shared" si="569"/>
        <v>0.71896955503512883</v>
      </c>
      <c r="CX466" s="1614">
        <f t="shared" si="569"/>
        <v>0.74473067915690871</v>
      </c>
      <c r="CY466" s="1614">
        <f t="shared" si="569"/>
        <v>0.7432432432432432</v>
      </c>
      <c r="CZ466" s="136">
        <v>0.745</v>
      </c>
      <c r="DA466" s="136">
        <v>0.77</v>
      </c>
      <c r="DB466" s="136">
        <v>0.74</v>
      </c>
      <c r="DC466" s="136">
        <v>0.755</v>
      </c>
    </row>
    <row r="467" spans="2:107" outlineLevel="1">
      <c r="B467" s="134" t="s">
        <v>1048</v>
      </c>
      <c r="C467" s="135"/>
      <c r="D467" s="135"/>
      <c r="E467" s="135"/>
      <c r="F467" s="135"/>
      <c r="G467" s="135"/>
      <c r="H467" s="135"/>
      <c r="I467" s="135"/>
      <c r="J467" s="135"/>
      <c r="K467" s="135"/>
      <c r="L467" s="135"/>
      <c r="M467" s="136"/>
      <c r="N467" s="136"/>
      <c r="O467" s="136"/>
      <c r="P467" s="136"/>
      <c r="Q467" s="136"/>
      <c r="R467" s="136"/>
      <c r="S467" s="136"/>
      <c r="T467" s="136"/>
      <c r="U467" s="136"/>
      <c r="V467" s="136"/>
      <c r="W467" s="136"/>
      <c r="X467" s="136">
        <f>X466-0.025</f>
        <v>0.72</v>
      </c>
      <c r="Y467" s="136">
        <f>Y466-0.025</f>
        <v>0.72249999999999992</v>
      </c>
      <c r="Z467" s="136">
        <f>Z466-0.025</f>
        <v>0.72499999999999987</v>
      </c>
      <c r="AA467" s="136">
        <f t="shared" ref="AA467:AD467" si="570">AA466-0.025</f>
        <v>0.72749999999999981</v>
      </c>
      <c r="AB467" s="136">
        <f t="shared" si="570"/>
        <v>0.72999999999999976</v>
      </c>
      <c r="AC467" s="136">
        <f t="shared" si="570"/>
        <v>0.73249999999999971</v>
      </c>
      <c r="AD467" s="136">
        <f t="shared" si="570"/>
        <v>0.73499999999999965</v>
      </c>
      <c r="AE467" s="135"/>
      <c r="AF467" s="135"/>
      <c r="AG467" s="135"/>
      <c r="AH467" s="135"/>
      <c r="AI467" s="135"/>
      <c r="AJ467" s="135"/>
      <c r="AK467" s="135"/>
      <c r="AL467" s="135"/>
      <c r="AM467" s="135"/>
      <c r="AN467" s="135"/>
      <c r="AO467" s="135"/>
      <c r="AP467" s="135"/>
      <c r="AQ467" s="135"/>
      <c r="AR467" s="135"/>
      <c r="AS467" s="135"/>
      <c r="AT467" s="135"/>
      <c r="AU467" s="135"/>
      <c r="AV467" s="135"/>
      <c r="AW467" s="135"/>
      <c r="AX467" s="135"/>
      <c r="AY467" s="135"/>
      <c r="AZ467" s="135"/>
      <c r="BA467" s="135"/>
      <c r="BB467" s="135"/>
      <c r="BC467" s="135"/>
      <c r="BD467" s="137"/>
      <c r="BE467" s="137"/>
      <c r="BF467" s="137"/>
      <c r="BG467" s="137"/>
      <c r="BH467" s="137"/>
      <c r="BI467" s="137"/>
      <c r="BJ467" s="137"/>
      <c r="BK467" s="137"/>
      <c r="BL467" s="137"/>
      <c r="BM467" s="137"/>
      <c r="BN467" s="137"/>
      <c r="BO467" s="137"/>
      <c r="BP467" s="136"/>
      <c r="BQ467" s="136"/>
      <c r="BR467" s="136"/>
      <c r="BS467" s="136"/>
      <c r="BT467" s="136"/>
      <c r="BU467" s="136"/>
      <c r="BV467" s="136"/>
      <c r="BW467" s="136"/>
      <c r="BX467" s="136"/>
      <c r="BY467" s="136"/>
      <c r="BZ467" s="136"/>
      <c r="CA467" s="136"/>
      <c r="CB467" s="136"/>
      <c r="CC467" s="136"/>
      <c r="CD467" s="136"/>
      <c r="CE467" s="136"/>
      <c r="CF467" s="136"/>
      <c r="CG467" s="136"/>
      <c r="CH467" s="136"/>
      <c r="CI467" s="136"/>
      <c r="CJ467" s="136"/>
      <c r="CK467" s="136"/>
      <c r="CL467" s="136"/>
      <c r="CM467" s="136"/>
      <c r="CN467" s="136"/>
      <c r="CO467" s="136"/>
      <c r="CP467" s="136"/>
      <c r="CQ467" s="136"/>
      <c r="CR467" s="136"/>
      <c r="CS467" s="136"/>
      <c r="CT467" s="136"/>
      <c r="CU467" s="136"/>
      <c r="CV467" s="136"/>
      <c r="CW467" s="136"/>
      <c r="CX467" s="136"/>
      <c r="CY467" s="136"/>
      <c r="CZ467" s="136">
        <f t="shared" ref="CZ467:DC467" si="571">CZ466-0.015</f>
        <v>0.73</v>
      </c>
      <c r="DA467" s="136">
        <f t="shared" si="571"/>
        <v>0.755</v>
      </c>
      <c r="DB467" s="136">
        <f t="shared" si="571"/>
        <v>0.72499999999999998</v>
      </c>
      <c r="DC467" s="136">
        <f t="shared" si="571"/>
        <v>0.74</v>
      </c>
    </row>
    <row r="468" spans="2:107">
      <c r="B468" s="198"/>
      <c r="C468" s="197"/>
      <c r="D468" s="31"/>
      <c r="E468" s="31"/>
      <c r="F468" s="31"/>
      <c r="G468" s="31"/>
      <c r="H468" s="31"/>
      <c r="I468" s="31"/>
      <c r="J468" s="31"/>
      <c r="K468" s="31"/>
      <c r="L468" s="31"/>
      <c r="M468" s="199"/>
      <c r="N468" s="199"/>
      <c r="O468" s="199"/>
      <c r="P468" s="199"/>
      <c r="Q468" s="199"/>
      <c r="R468" s="199"/>
      <c r="S468" s="199"/>
      <c r="T468" s="199"/>
      <c r="U468" s="199"/>
      <c r="V468" s="199"/>
      <c r="W468" s="199"/>
      <c r="X468" s="199"/>
      <c r="Y468" s="199"/>
      <c r="Z468" s="199"/>
      <c r="AA468" s="199"/>
      <c r="AB468" s="199"/>
      <c r="AC468" s="199"/>
      <c r="AD468" s="199"/>
      <c r="AE468" s="197"/>
      <c r="AF468" s="31"/>
      <c r="AG468" s="31"/>
      <c r="AH468" s="31"/>
      <c r="AI468" s="31"/>
      <c r="AJ468" s="31"/>
      <c r="AK468" s="31"/>
      <c r="AL468" s="31"/>
      <c r="AM468" s="31"/>
      <c r="AN468" s="31"/>
      <c r="AO468" s="31"/>
      <c r="AP468" s="31"/>
      <c r="AQ468" s="31"/>
      <c r="AR468" s="31"/>
      <c r="AS468" s="31"/>
      <c r="AT468" s="31"/>
      <c r="AU468" s="31"/>
      <c r="AV468" s="31"/>
      <c r="AW468" s="31"/>
      <c r="AX468" s="31"/>
      <c r="AY468" s="31"/>
      <c r="AZ468" s="31"/>
      <c r="BA468" s="31"/>
      <c r="BB468" s="31"/>
      <c r="BC468" s="31"/>
      <c r="BD468" s="32"/>
      <c r="BE468" s="32"/>
      <c r="BF468" s="32"/>
      <c r="BG468" s="32"/>
      <c r="BH468" s="32"/>
      <c r="BI468" s="32"/>
      <c r="BJ468" s="32"/>
      <c r="BK468" s="32"/>
      <c r="BL468" s="32"/>
      <c r="BM468" s="32"/>
      <c r="BN468" s="32"/>
      <c r="BO468" s="32"/>
      <c r="BP468" s="199"/>
      <c r="BQ468" s="199"/>
      <c r="BR468" s="199"/>
      <c r="BS468" s="199"/>
      <c r="BT468" s="199"/>
      <c r="BU468" s="199"/>
      <c r="BV468" s="199"/>
      <c r="BW468" s="199"/>
      <c r="BX468" s="199"/>
      <c r="BY468" s="199"/>
      <c r="BZ468" s="199"/>
      <c r="CA468" s="199"/>
      <c r="CB468" s="199"/>
      <c r="CC468" s="199"/>
      <c r="CD468" s="199"/>
      <c r="CE468" s="199"/>
      <c r="CF468" s="199"/>
      <c r="CG468" s="199"/>
      <c r="CH468" s="199"/>
      <c r="CI468" s="199"/>
      <c r="CJ468" s="199"/>
      <c r="CK468" s="199"/>
      <c r="CL468" s="199"/>
      <c r="CM468" s="199"/>
      <c r="CN468" s="199"/>
      <c r="CO468" s="199"/>
      <c r="CP468" s="199"/>
      <c r="CQ468" s="199"/>
      <c r="CR468" s="199"/>
      <c r="CS468" s="199"/>
      <c r="CT468" s="199"/>
      <c r="CU468" s="199"/>
      <c r="CV468" s="199"/>
      <c r="CW468" s="199"/>
      <c r="CX468" s="199"/>
      <c r="CY468" s="199"/>
      <c r="CZ468" s="199"/>
      <c r="DA468" s="199"/>
      <c r="DB468" s="199"/>
      <c r="DC468" s="199"/>
    </row>
    <row r="469" spans="2:107" ht="14.25" customHeight="1">
      <c r="B469" s="114" t="s">
        <v>718</v>
      </c>
      <c r="C469" s="59"/>
      <c r="D469" s="60"/>
      <c r="E469" s="60"/>
      <c r="F469" s="60"/>
      <c r="G469" s="60"/>
      <c r="H469" s="60"/>
      <c r="I469" s="60"/>
      <c r="J469" s="60"/>
      <c r="K469" s="60"/>
      <c r="L469" s="59"/>
      <c r="M469" s="61"/>
      <c r="N469" s="62"/>
      <c r="O469" s="62"/>
      <c r="P469" s="70"/>
      <c r="Q469" s="70"/>
      <c r="R469" s="70"/>
      <c r="S469" s="70"/>
      <c r="T469" s="70"/>
      <c r="U469" s="70"/>
      <c r="V469" s="70"/>
      <c r="W469" s="70"/>
      <c r="X469" s="63"/>
      <c r="Y469" s="63"/>
      <c r="Z469" s="63"/>
      <c r="AA469" s="63"/>
      <c r="AB469" s="63"/>
      <c r="AC469" s="63"/>
      <c r="AD469" s="63"/>
      <c r="AE469" s="59"/>
      <c r="AF469" s="59"/>
      <c r="AG469" s="59"/>
      <c r="AH469" s="59"/>
      <c r="AI469" s="59"/>
      <c r="AJ469" s="59"/>
      <c r="AK469" s="59"/>
      <c r="AL469" s="59"/>
      <c r="AM469" s="59"/>
      <c r="AN469" s="59"/>
      <c r="AO469" s="59"/>
      <c r="AP469" s="59"/>
      <c r="AQ469" s="59"/>
      <c r="AR469" s="59"/>
      <c r="AS469" s="59"/>
      <c r="AT469" s="59"/>
      <c r="AU469" s="59"/>
      <c r="AV469" s="59"/>
      <c r="AW469" s="59"/>
      <c r="AX469" s="59"/>
      <c r="AY469" s="59"/>
      <c r="AZ469" s="59"/>
      <c r="BA469" s="59"/>
      <c r="BB469" s="59"/>
      <c r="BC469" s="59"/>
      <c r="BD469" s="65"/>
      <c r="BE469" s="65"/>
      <c r="BF469" s="65"/>
      <c r="BG469" s="65"/>
      <c r="BH469" s="62"/>
      <c r="BI469" s="62"/>
      <c r="BJ469" s="62"/>
      <c r="BK469" s="62"/>
      <c r="BL469" s="62"/>
      <c r="BM469" s="62"/>
      <c r="BN469" s="62"/>
      <c r="BO469" s="62"/>
      <c r="BP469" s="62"/>
      <c r="BQ469" s="62"/>
      <c r="BR469" s="62"/>
      <c r="BS469" s="62"/>
      <c r="BT469" s="62"/>
      <c r="BU469" s="62"/>
      <c r="BV469" s="66"/>
      <c r="BW469" s="66"/>
      <c r="BX469" s="66"/>
      <c r="BY469" s="66"/>
      <c r="BZ469" s="66"/>
      <c r="CA469" s="66"/>
      <c r="CB469" s="66"/>
      <c r="CC469" s="66"/>
      <c r="CD469" s="66"/>
      <c r="CE469" s="66"/>
      <c r="CF469" s="66"/>
      <c r="CG469" s="66"/>
      <c r="CH469" s="66"/>
      <c r="CI469" s="66"/>
      <c r="CJ469" s="66"/>
      <c r="CK469" s="66"/>
      <c r="CL469" s="66"/>
      <c r="CM469" s="66"/>
      <c r="CN469" s="66"/>
      <c r="CO469" s="66"/>
      <c r="CP469" s="66"/>
      <c r="CQ469" s="66"/>
      <c r="CR469" s="66"/>
      <c r="CS469" s="66"/>
      <c r="CT469" s="66"/>
      <c r="CU469" s="66"/>
      <c r="CV469" s="66"/>
      <c r="CW469" s="66"/>
      <c r="CX469" s="66"/>
      <c r="CY469" s="66"/>
      <c r="CZ469" s="66"/>
      <c r="DA469" s="66"/>
      <c r="DB469" s="66"/>
      <c r="DC469" s="66"/>
    </row>
    <row r="470" spans="2:107" s="15" customFormat="1" ht="14.25" customHeight="1">
      <c r="B470" s="21"/>
      <c r="C470" s="23"/>
      <c r="L470" s="23"/>
      <c r="M470" s="54"/>
      <c r="N470" s="46"/>
      <c r="O470" s="46"/>
      <c r="P470" s="68"/>
      <c r="Q470" s="68"/>
      <c r="R470" s="68"/>
      <c r="S470" s="68"/>
      <c r="T470" s="68"/>
      <c r="U470" s="68"/>
      <c r="V470" s="68"/>
      <c r="W470" s="68"/>
      <c r="X470" s="805"/>
      <c r="Y470" s="805"/>
      <c r="Z470" s="805"/>
      <c r="AA470" s="805"/>
      <c r="AB470" s="805"/>
      <c r="AC470" s="805"/>
      <c r="AD470" s="805"/>
      <c r="AE470" s="23"/>
      <c r="AF470" s="23"/>
      <c r="AG470" s="23"/>
      <c r="AH470" s="23"/>
      <c r="AI470" s="23"/>
      <c r="AJ470" s="23"/>
      <c r="AK470" s="23"/>
      <c r="AL470" s="23"/>
      <c r="AM470" s="23"/>
      <c r="AN470" s="23"/>
      <c r="AO470" s="23"/>
      <c r="AP470" s="23"/>
      <c r="AQ470" s="23"/>
      <c r="AR470" s="23"/>
      <c r="AS470" s="23"/>
      <c r="AT470" s="23"/>
      <c r="AU470" s="23"/>
      <c r="AV470" s="23"/>
      <c r="AW470" s="23"/>
      <c r="AX470" s="23"/>
      <c r="AY470" s="23"/>
      <c r="AZ470" s="23"/>
      <c r="BA470" s="23"/>
      <c r="BB470" s="23"/>
      <c r="BC470" s="23"/>
      <c r="BD470" s="36"/>
      <c r="BE470" s="36"/>
      <c r="BF470" s="36"/>
      <c r="BG470" s="36"/>
      <c r="BH470" s="46"/>
      <c r="BI470" s="46"/>
      <c r="BJ470" s="46"/>
      <c r="BK470" s="46"/>
      <c r="BL470" s="46"/>
      <c r="BM470" s="46"/>
      <c r="BN470" s="46"/>
      <c r="BO470" s="46"/>
      <c r="BP470" s="46"/>
      <c r="BQ470" s="46"/>
      <c r="BR470" s="46"/>
      <c r="BS470" s="46"/>
      <c r="BT470" s="46"/>
      <c r="BU470" s="14"/>
      <c r="BV470" s="14"/>
      <c r="BW470" s="14"/>
      <c r="BX470" s="14"/>
      <c r="BY470" s="14"/>
      <c r="BZ470" s="14"/>
      <c r="CA470" s="55"/>
      <c r="CB470" s="55"/>
      <c r="CC470" s="55"/>
      <c r="CD470" s="55"/>
      <c r="CE470" s="144"/>
      <c r="CF470" s="144"/>
      <c r="CG470" s="144"/>
      <c r="CH470" s="144"/>
      <c r="CI470" s="144"/>
      <c r="CJ470" s="144"/>
      <c r="CK470" s="144"/>
      <c r="CL470" s="144"/>
      <c r="CM470" s="144"/>
      <c r="CN470" s="144"/>
      <c r="CO470" s="144"/>
      <c r="CP470" s="144"/>
      <c r="CQ470" s="144"/>
      <c r="CR470" s="144"/>
      <c r="CS470" s="144"/>
      <c r="CT470" s="144"/>
      <c r="CU470" s="144"/>
      <c r="CV470" s="144"/>
      <c r="CW470" s="144"/>
      <c r="CX470" s="144"/>
      <c r="CY470" s="144"/>
      <c r="CZ470" s="14"/>
      <c r="DA470" s="14"/>
      <c r="DB470" s="14"/>
      <c r="DC470" s="14"/>
    </row>
    <row r="471" spans="2:107">
      <c r="B471" s="142" t="s">
        <v>706</v>
      </c>
      <c r="C471" s="23"/>
      <c r="D471" s="15"/>
      <c r="E471" s="15"/>
      <c r="F471" s="15"/>
      <c r="G471" s="15"/>
      <c r="H471" s="15"/>
      <c r="I471" s="15"/>
      <c r="J471" s="15"/>
      <c r="K471" s="15"/>
      <c r="L471" s="51"/>
      <c r="M471" s="24"/>
      <c r="N471" s="150">
        <f>AVERAGE(BP471:BS471)</f>
        <v>1419.75</v>
      </c>
      <c r="O471" s="150">
        <f>AVERAGE(BT471:BW471)</f>
        <v>1656</v>
      </c>
      <c r="P471" s="150">
        <f>AVERAGE(BX471:CA471)</f>
        <v>1850</v>
      </c>
      <c r="Q471" s="1154">
        <f>AVERAGE(CB471:CE471)</f>
        <v>1919.25</v>
      </c>
      <c r="R471" s="1154">
        <f>AVERAGE(CF471:CI471)</f>
        <v>1902.5</v>
      </c>
      <c r="S471" s="1154">
        <f>AVERAGE(CJ471:CM471)</f>
        <v>2056.5</v>
      </c>
      <c r="T471" s="1154">
        <f>AVERAGE(CN471:CQ471)</f>
        <v>1907.5</v>
      </c>
      <c r="U471" s="1154">
        <f>AVERAGE(CR471:CU471)</f>
        <v>1952.5</v>
      </c>
      <c r="V471" s="1154">
        <f>AVERAGE(CV471:CY471)</f>
        <v>1984.5</v>
      </c>
      <c r="W471" s="1154">
        <f>AVERAGE(CZ471:DC471)</f>
        <v>2042.3994672543749</v>
      </c>
      <c r="X471" s="1154">
        <f>+W471*(1+X472)</f>
        <v>2073.0354592631902</v>
      </c>
      <c r="Y471" s="1154">
        <f>+X471*(1+Y472)</f>
        <v>2096.3571081799009</v>
      </c>
      <c r="Z471" s="1154">
        <f>+Y471*(1+Z472)</f>
        <v>2114.045121280169</v>
      </c>
      <c r="AA471" s="1154">
        <f t="shared" ref="AA471:AD471" si="572">+Z471*(1+AA472)</f>
        <v>2127.4230630632701</v>
      </c>
      <c r="AB471" s="1154">
        <f t="shared" si="572"/>
        <v>2137.5200123664804</v>
      </c>
      <c r="AC471" s="1154">
        <f t="shared" si="572"/>
        <v>2145.1286651448745</v>
      </c>
      <c r="AD471" s="1154">
        <f t="shared" si="572"/>
        <v>2150.8554673795816</v>
      </c>
      <c r="AE471" s="23"/>
      <c r="AF471" s="23"/>
      <c r="AG471" s="23"/>
      <c r="AH471" s="23"/>
      <c r="AI471" s="23"/>
      <c r="AJ471" s="23"/>
      <c r="AK471" s="23"/>
      <c r="AL471" s="23"/>
      <c r="AM471" s="23"/>
      <c r="AN471" s="23"/>
      <c r="AO471" s="23"/>
      <c r="AP471" s="23"/>
      <c r="AQ471" s="23"/>
      <c r="AR471" s="23"/>
      <c r="AS471" s="23"/>
      <c r="AT471" s="23"/>
      <c r="AU471" s="23"/>
      <c r="AV471" s="23"/>
      <c r="AW471" s="23"/>
      <c r="AX471" s="23"/>
      <c r="AY471" s="23"/>
      <c r="AZ471" s="23"/>
      <c r="BA471" s="23"/>
      <c r="BB471" s="23"/>
      <c r="BC471" s="23"/>
      <c r="BD471" s="144">
        <v>956</v>
      </c>
      <c r="BE471" s="144">
        <v>1036</v>
      </c>
      <c r="BF471" s="144">
        <v>1110</v>
      </c>
      <c r="BG471" s="144">
        <v>1141</v>
      </c>
      <c r="BH471" s="144">
        <v>1169</v>
      </c>
      <c r="BI471" s="144">
        <v>1119</v>
      </c>
      <c r="BJ471" s="144">
        <v>1160</v>
      </c>
      <c r="BK471" s="144">
        <v>1179</v>
      </c>
      <c r="BL471" s="144">
        <v>1272</v>
      </c>
      <c r="BM471" s="144">
        <v>1261</v>
      </c>
      <c r="BN471" s="144">
        <v>1254</v>
      </c>
      <c r="BO471" s="144">
        <v>1272</v>
      </c>
      <c r="BP471" s="144">
        <v>1331</v>
      </c>
      <c r="BQ471" s="144">
        <v>1370</v>
      </c>
      <c r="BR471" s="144">
        <v>1437</v>
      </c>
      <c r="BS471" s="144">
        <v>1541</v>
      </c>
      <c r="BT471" s="144">
        <v>1569</v>
      </c>
      <c r="BU471" s="144">
        <v>1580</v>
      </c>
      <c r="BV471" s="144">
        <v>1688</v>
      </c>
      <c r="BW471" s="144">
        <v>1787</v>
      </c>
      <c r="BX471" s="144">
        <v>1819</v>
      </c>
      <c r="BY471" s="144">
        <v>1850</v>
      </c>
      <c r="BZ471" s="144">
        <v>1868</v>
      </c>
      <c r="CA471" s="144">
        <v>1863</v>
      </c>
      <c r="CB471" s="144">
        <v>1928</v>
      </c>
      <c r="CC471" s="144">
        <v>1959</v>
      </c>
      <c r="CD471" s="144">
        <v>1846</v>
      </c>
      <c r="CE471" s="144">
        <v>1944</v>
      </c>
      <c r="CF471" s="144">
        <v>1976</v>
      </c>
      <c r="CG471" s="144">
        <v>1903</v>
      </c>
      <c r="CH471" s="144">
        <v>1859</v>
      </c>
      <c r="CI471" s="144">
        <v>1872</v>
      </c>
      <c r="CJ471" s="144">
        <v>2042</v>
      </c>
      <c r="CK471" s="144">
        <v>2082</v>
      </c>
      <c r="CL471" s="144">
        <v>2057</v>
      </c>
      <c r="CM471" s="144">
        <v>2045</v>
      </c>
      <c r="CN471" s="144">
        <v>1950</v>
      </c>
      <c r="CO471" s="144">
        <v>1910</v>
      </c>
      <c r="CP471" s="144">
        <v>1904</v>
      </c>
      <c r="CQ471" s="144">
        <v>1866</v>
      </c>
      <c r="CR471" s="144">
        <v>1903</v>
      </c>
      <c r="CS471" s="144">
        <v>1979</v>
      </c>
      <c r="CT471" s="144">
        <v>1995</v>
      </c>
      <c r="CU471" s="144">
        <v>1933</v>
      </c>
      <c r="CV471" s="144">
        <v>1955</v>
      </c>
      <c r="CW471" s="144">
        <v>1980</v>
      </c>
      <c r="CX471" s="144">
        <v>1996</v>
      </c>
      <c r="CY471" s="144">
        <v>2007</v>
      </c>
      <c r="CZ471" s="1154">
        <f t="shared" ref="CZ471:DC471" si="573">+CY471*(1+CZ473)</f>
        <v>2012.0174999999999</v>
      </c>
      <c r="DA471" s="1154">
        <f t="shared" si="573"/>
        <v>2032.1376749999999</v>
      </c>
      <c r="DB471" s="1154">
        <f t="shared" si="573"/>
        <v>2052.4590517500001</v>
      </c>
      <c r="DC471" s="1154">
        <f t="shared" si="573"/>
        <v>2072.9836422675003</v>
      </c>
    </row>
    <row r="472" spans="2:107" s="33" customFormat="1">
      <c r="B472" s="17" t="s">
        <v>709</v>
      </c>
      <c r="C472" s="23"/>
      <c r="D472" s="23"/>
      <c r="E472" s="23"/>
      <c r="F472" s="23"/>
      <c r="G472" s="23"/>
      <c r="H472" s="23"/>
      <c r="I472" s="23"/>
      <c r="J472" s="23"/>
      <c r="K472" s="23"/>
      <c r="L472" s="51"/>
      <c r="M472" s="24"/>
      <c r="N472" s="55"/>
      <c r="O472" s="853">
        <f t="shared" ref="O472:W472" si="574">O471/N471-1</f>
        <v>0.16640253565768615</v>
      </c>
      <c r="P472" s="853">
        <f t="shared" si="574"/>
        <v>0.11714975845410636</v>
      </c>
      <c r="Q472" s="853">
        <f t="shared" si="574"/>
        <v>3.7432432432432439E-2</v>
      </c>
      <c r="R472" s="853">
        <f t="shared" si="574"/>
        <v>-8.7273674612479146E-3</v>
      </c>
      <c r="S472" s="853">
        <f t="shared" si="574"/>
        <v>8.0946123521681956E-2</v>
      </c>
      <c r="T472" s="853">
        <f t="shared" si="574"/>
        <v>-7.2453197179674245E-2</v>
      </c>
      <c r="U472" s="853">
        <f t="shared" si="574"/>
        <v>2.3591087811271283E-2</v>
      </c>
      <c r="V472" s="853">
        <f t="shared" si="574"/>
        <v>1.6389244558258742E-2</v>
      </c>
      <c r="W472" s="853">
        <f t="shared" si="574"/>
        <v>2.9175846437074826E-2</v>
      </c>
      <c r="X472" s="2356">
        <f t="shared" ref="X472:AD472" si="575">+CHOOSE(mode,X474,X475,X476)</f>
        <v>1.4999999999999999E-2</v>
      </c>
      <c r="Y472" s="2356">
        <f t="shared" si="575"/>
        <v>1.125E-2</v>
      </c>
      <c r="Z472" s="2356">
        <f t="shared" si="575"/>
        <v>8.4375000000000006E-3</v>
      </c>
      <c r="AA472" s="2356">
        <f t="shared" si="575"/>
        <v>6.3281250000000004E-3</v>
      </c>
      <c r="AB472" s="2356">
        <f t="shared" si="575"/>
        <v>4.7460937500000003E-3</v>
      </c>
      <c r="AC472" s="2356">
        <f t="shared" si="575"/>
        <v>3.5595703125000005E-3</v>
      </c>
      <c r="AD472" s="2356">
        <f t="shared" si="575"/>
        <v>2.6696777343750006E-3</v>
      </c>
      <c r="AE472" s="23"/>
      <c r="AF472" s="23"/>
      <c r="AG472" s="23"/>
      <c r="AH472" s="23"/>
      <c r="AI472" s="23"/>
      <c r="AJ472" s="23"/>
      <c r="AK472" s="23"/>
      <c r="AL472" s="23"/>
      <c r="AM472" s="23"/>
      <c r="AN472" s="23"/>
      <c r="AO472" s="23"/>
      <c r="AP472" s="23"/>
      <c r="AQ472" s="23"/>
      <c r="AR472" s="23"/>
      <c r="AS472" s="23"/>
      <c r="AT472" s="23"/>
      <c r="AU472" s="23"/>
      <c r="AV472" s="23"/>
      <c r="AW472" s="23"/>
      <c r="AX472" s="23"/>
      <c r="AY472" s="23"/>
      <c r="AZ472" s="23"/>
      <c r="BA472" s="23"/>
      <c r="BB472" s="23"/>
      <c r="BC472" s="23"/>
      <c r="BD472" s="23"/>
      <c r="BE472" s="51"/>
      <c r="BF472" s="51"/>
      <c r="BG472" s="51"/>
      <c r="BH472" s="853">
        <f t="shared" ref="BH472:CY472" si="576">BH471/BD471-1</f>
        <v>0.2228033472803348</v>
      </c>
      <c r="BI472" s="853">
        <f t="shared" si="576"/>
        <v>8.0115830115830011E-2</v>
      </c>
      <c r="BJ472" s="853">
        <f t="shared" si="576"/>
        <v>4.5045045045045029E-2</v>
      </c>
      <c r="BK472" s="853">
        <f t="shared" si="576"/>
        <v>3.3304119193689807E-2</v>
      </c>
      <c r="BL472" s="853">
        <f t="shared" si="576"/>
        <v>8.8109495295124018E-2</v>
      </c>
      <c r="BM472" s="853">
        <f t="shared" si="576"/>
        <v>0.12689901697944594</v>
      </c>
      <c r="BN472" s="853">
        <f t="shared" si="576"/>
        <v>8.1034482758620685E-2</v>
      </c>
      <c r="BO472" s="853">
        <f t="shared" si="576"/>
        <v>7.8880407124682028E-2</v>
      </c>
      <c r="BP472" s="853">
        <f t="shared" si="576"/>
        <v>4.6383647798742045E-2</v>
      </c>
      <c r="BQ472" s="853">
        <f t="shared" si="576"/>
        <v>8.6439333862014189E-2</v>
      </c>
      <c r="BR472" s="853">
        <f t="shared" si="576"/>
        <v>0.14593301435406691</v>
      </c>
      <c r="BS472" s="853">
        <f t="shared" si="576"/>
        <v>0.21147798742138368</v>
      </c>
      <c r="BT472" s="853">
        <f t="shared" si="576"/>
        <v>0.1788129226145756</v>
      </c>
      <c r="BU472" s="853">
        <f t="shared" si="576"/>
        <v>0.15328467153284664</v>
      </c>
      <c r="BV472" s="853">
        <f t="shared" si="576"/>
        <v>0.17466945024356306</v>
      </c>
      <c r="BW472" s="853">
        <f t="shared" si="576"/>
        <v>0.15963659961064236</v>
      </c>
      <c r="BX472" s="853">
        <f t="shared" si="576"/>
        <v>0.15933715742511145</v>
      </c>
      <c r="BY472" s="853">
        <f t="shared" si="576"/>
        <v>0.17088607594936711</v>
      </c>
      <c r="BZ472" s="853">
        <f t="shared" si="576"/>
        <v>0.10663507109004744</v>
      </c>
      <c r="CA472" s="853">
        <f t="shared" si="576"/>
        <v>4.252937884723007E-2</v>
      </c>
      <c r="CB472" s="853">
        <f t="shared" si="576"/>
        <v>5.9923034634414618E-2</v>
      </c>
      <c r="CC472" s="853">
        <f t="shared" si="576"/>
        <v>5.8918918918918983E-2</v>
      </c>
      <c r="CD472" s="853">
        <f t="shared" si="576"/>
        <v>-1.1777301927194839E-2</v>
      </c>
      <c r="CE472" s="853">
        <f t="shared" si="576"/>
        <v>4.3478260869565188E-2</v>
      </c>
      <c r="CF472" s="853">
        <f t="shared" si="576"/>
        <v>2.4896265560165887E-2</v>
      </c>
      <c r="CG472" s="853">
        <f t="shared" si="576"/>
        <v>-2.8586013272077548E-2</v>
      </c>
      <c r="CH472" s="853">
        <f t="shared" si="576"/>
        <v>7.0422535211267512E-3</v>
      </c>
      <c r="CI472" s="853">
        <f t="shared" si="576"/>
        <v>-3.703703703703709E-2</v>
      </c>
      <c r="CJ472" s="853">
        <f t="shared" si="576"/>
        <v>3.34008097165992E-2</v>
      </c>
      <c r="CK472" s="853">
        <f t="shared" si="576"/>
        <v>9.4062007356805033E-2</v>
      </c>
      <c r="CL472" s="853">
        <f t="shared" si="576"/>
        <v>0.10650887573964507</v>
      </c>
      <c r="CM472" s="853">
        <f t="shared" si="576"/>
        <v>9.2414529914529808E-2</v>
      </c>
      <c r="CN472" s="853">
        <f t="shared" si="576"/>
        <v>-4.5053868756121496E-2</v>
      </c>
      <c r="CO472" s="853">
        <f t="shared" si="576"/>
        <v>-8.2612872238232438E-2</v>
      </c>
      <c r="CP472" s="853">
        <f t="shared" si="576"/>
        <v>-7.4380165289256173E-2</v>
      </c>
      <c r="CQ472" s="853">
        <f t="shared" si="576"/>
        <v>-8.7530562347188257E-2</v>
      </c>
      <c r="CR472" s="853">
        <f t="shared" si="576"/>
        <v>-2.4102564102564061E-2</v>
      </c>
      <c r="CS472" s="853">
        <f t="shared" si="576"/>
        <v>3.6125654450261724E-2</v>
      </c>
      <c r="CT472" s="853">
        <f t="shared" si="576"/>
        <v>4.7794117647058876E-2</v>
      </c>
      <c r="CU472" s="853">
        <f t="shared" si="576"/>
        <v>3.5905680600214263E-2</v>
      </c>
      <c r="CV472" s="853">
        <f t="shared" si="576"/>
        <v>2.7325275880189182E-2</v>
      </c>
      <c r="CW472" s="853">
        <f t="shared" si="576"/>
        <v>5.0530570995444002E-4</v>
      </c>
      <c r="CX472" s="853">
        <f t="shared" si="576"/>
        <v>5.0125313283211348E-4</v>
      </c>
      <c r="CY472" s="853">
        <f t="shared" si="576"/>
        <v>3.8282462493533398E-2</v>
      </c>
      <c r="CZ472" s="853">
        <f t="shared" ref="CZ472:DC472" si="577">CZ471/CV471-1</f>
        <v>2.9164961636828579E-2</v>
      </c>
      <c r="DA472" s="853">
        <f t="shared" si="577"/>
        <v>2.6332159090909135E-2</v>
      </c>
      <c r="DB472" s="853">
        <f t="shared" si="577"/>
        <v>2.8286098071142352E-2</v>
      </c>
      <c r="DC472" s="853">
        <f t="shared" si="577"/>
        <v>3.2876752500000217E-2</v>
      </c>
    </row>
    <row r="473" spans="2:107" s="33" customFormat="1">
      <c r="B473" s="17" t="s">
        <v>710</v>
      </c>
      <c r="C473" s="23"/>
      <c r="D473" s="23"/>
      <c r="E473" s="23"/>
      <c r="F473" s="23"/>
      <c r="G473" s="23"/>
      <c r="H473" s="23"/>
      <c r="I473" s="23"/>
      <c r="J473" s="23"/>
      <c r="K473" s="23"/>
      <c r="L473" s="51"/>
      <c r="M473" s="24"/>
      <c r="N473" s="55"/>
      <c r="O473" s="55"/>
      <c r="P473" s="55"/>
      <c r="Q473" s="55"/>
      <c r="R473" s="55"/>
      <c r="S473" s="55"/>
      <c r="T473" s="55"/>
      <c r="U473" s="55"/>
      <c r="V473" s="55"/>
      <c r="W473" s="55"/>
      <c r="X473" s="55"/>
      <c r="Y473" s="55"/>
      <c r="Z473" s="55"/>
      <c r="AA473" s="55"/>
      <c r="AB473" s="55"/>
      <c r="AC473" s="55"/>
      <c r="AD473" s="55"/>
      <c r="AE473" s="23"/>
      <c r="AF473" s="23"/>
      <c r="AG473" s="23"/>
      <c r="AH473" s="23"/>
      <c r="AI473" s="23"/>
      <c r="AJ473" s="23"/>
      <c r="AK473" s="23"/>
      <c r="AL473" s="23"/>
      <c r="AM473" s="23"/>
      <c r="AN473" s="23"/>
      <c r="AO473" s="23"/>
      <c r="AP473" s="23"/>
      <c r="AQ473" s="23"/>
      <c r="AR473" s="23"/>
      <c r="AS473" s="23"/>
      <c r="AT473" s="23"/>
      <c r="AU473" s="23"/>
      <c r="AV473" s="23"/>
      <c r="AW473" s="23"/>
      <c r="AX473" s="23"/>
      <c r="AY473" s="23"/>
      <c r="AZ473" s="23"/>
      <c r="BA473" s="23"/>
      <c r="BB473" s="23"/>
      <c r="BC473" s="23"/>
      <c r="BD473" s="23"/>
      <c r="BE473" s="853">
        <f t="shared" ref="BE473:CY473" si="578">BE471/BD471-1</f>
        <v>8.3682008368200833E-2</v>
      </c>
      <c r="BF473" s="853">
        <f t="shared" si="578"/>
        <v>7.1428571428571397E-2</v>
      </c>
      <c r="BG473" s="853">
        <f t="shared" si="578"/>
        <v>2.7927927927927865E-2</v>
      </c>
      <c r="BH473" s="853">
        <f t="shared" si="578"/>
        <v>2.4539877300613577E-2</v>
      </c>
      <c r="BI473" s="853">
        <f t="shared" si="578"/>
        <v>-4.2771599657827175E-2</v>
      </c>
      <c r="BJ473" s="853">
        <f t="shared" si="578"/>
        <v>3.6639857015192234E-2</v>
      </c>
      <c r="BK473" s="853">
        <f t="shared" si="578"/>
        <v>1.6379310344827536E-2</v>
      </c>
      <c r="BL473" s="853">
        <f t="shared" si="578"/>
        <v>7.8880407124682028E-2</v>
      </c>
      <c r="BM473" s="853">
        <f t="shared" si="578"/>
        <v>-8.6477987421383906E-3</v>
      </c>
      <c r="BN473" s="853">
        <f t="shared" si="578"/>
        <v>-5.5511498810467685E-3</v>
      </c>
      <c r="BO473" s="853">
        <f t="shared" si="578"/>
        <v>1.4354066985645897E-2</v>
      </c>
      <c r="BP473" s="853">
        <f t="shared" si="578"/>
        <v>4.6383647798742045E-2</v>
      </c>
      <c r="BQ473" s="853">
        <f t="shared" si="578"/>
        <v>2.9301277235161516E-2</v>
      </c>
      <c r="BR473" s="853">
        <f t="shared" si="578"/>
        <v>4.8905109489051135E-2</v>
      </c>
      <c r="BS473" s="853">
        <f t="shared" si="578"/>
        <v>7.237299930410579E-2</v>
      </c>
      <c r="BT473" s="853">
        <f t="shared" si="578"/>
        <v>1.8170019467877996E-2</v>
      </c>
      <c r="BU473" s="853">
        <f t="shared" si="578"/>
        <v>7.0108349267048453E-3</v>
      </c>
      <c r="BV473" s="853">
        <f t="shared" si="578"/>
        <v>6.8354430379746756E-2</v>
      </c>
      <c r="BW473" s="853">
        <f t="shared" si="578"/>
        <v>5.8649289099526047E-2</v>
      </c>
      <c r="BX473" s="853">
        <f t="shared" si="578"/>
        <v>1.790710688304431E-2</v>
      </c>
      <c r="BY473" s="853">
        <f t="shared" si="578"/>
        <v>1.7042330951072104E-2</v>
      </c>
      <c r="BZ473" s="853">
        <f t="shared" si="578"/>
        <v>9.7297297297296303E-3</v>
      </c>
      <c r="CA473" s="853">
        <f t="shared" si="578"/>
        <v>-2.6766595289079431E-3</v>
      </c>
      <c r="CB473" s="853">
        <f t="shared" si="578"/>
        <v>3.4889962426194243E-2</v>
      </c>
      <c r="CC473" s="853">
        <f t="shared" si="578"/>
        <v>1.6078838174273802E-2</v>
      </c>
      <c r="CD473" s="853">
        <f t="shared" si="578"/>
        <v>-5.7682491066870845E-2</v>
      </c>
      <c r="CE473" s="853">
        <f t="shared" si="578"/>
        <v>5.308775731310944E-2</v>
      </c>
      <c r="CF473" s="853">
        <f t="shared" si="578"/>
        <v>1.6460905349794164E-2</v>
      </c>
      <c r="CG473" s="853">
        <f t="shared" si="578"/>
        <v>-3.6943319838056654E-2</v>
      </c>
      <c r="CH473" s="853">
        <f t="shared" si="578"/>
        <v>-2.3121387283236983E-2</v>
      </c>
      <c r="CI473" s="853">
        <f t="shared" si="578"/>
        <v>6.9930069930070893E-3</v>
      </c>
      <c r="CJ473" s="853">
        <f t="shared" si="578"/>
        <v>9.0811965811965711E-2</v>
      </c>
      <c r="CK473" s="853">
        <f t="shared" si="578"/>
        <v>1.9588638589618013E-2</v>
      </c>
      <c r="CL473" s="853">
        <f t="shared" si="578"/>
        <v>-1.2007684918347694E-2</v>
      </c>
      <c r="CM473" s="853">
        <f t="shared" si="578"/>
        <v>-5.8337384540593229E-3</v>
      </c>
      <c r="CN473" s="853">
        <f t="shared" si="578"/>
        <v>-4.6454767726161417E-2</v>
      </c>
      <c r="CO473" s="853">
        <f t="shared" si="578"/>
        <v>-2.0512820512820551E-2</v>
      </c>
      <c r="CP473" s="853">
        <f t="shared" si="578"/>
        <v>-3.141361256544517E-3</v>
      </c>
      <c r="CQ473" s="853">
        <f t="shared" si="578"/>
        <v>-1.9957983193277351E-2</v>
      </c>
      <c r="CR473" s="853">
        <f t="shared" si="578"/>
        <v>1.9828510182207992E-2</v>
      </c>
      <c r="CS473" s="853">
        <f t="shared" si="578"/>
        <v>3.9936941671045778E-2</v>
      </c>
      <c r="CT473" s="853">
        <f t="shared" si="578"/>
        <v>8.0848913592723726E-3</v>
      </c>
      <c r="CU473" s="853">
        <f t="shared" si="578"/>
        <v>-3.1077694235588926E-2</v>
      </c>
      <c r="CV473" s="853">
        <f t="shared" si="578"/>
        <v>1.1381272633212536E-2</v>
      </c>
      <c r="CW473" s="853">
        <f t="shared" si="578"/>
        <v>1.2787723785166349E-2</v>
      </c>
      <c r="CX473" s="853">
        <f t="shared" si="578"/>
        <v>8.0808080808081328E-3</v>
      </c>
      <c r="CY473" s="853">
        <f t="shared" si="578"/>
        <v>5.5110220440881541E-3</v>
      </c>
      <c r="CZ473" s="2356">
        <f>+CHOOSE(mode,CZ474,CZ475,CZ476)</f>
        <v>2.5000000000000001E-3</v>
      </c>
      <c r="DA473" s="2356">
        <f>+CHOOSE(mode,DA474,DA475,DA476)</f>
        <v>0.01</v>
      </c>
      <c r="DB473" s="2356">
        <f>+CHOOSE(mode,DB474,DB475,DB476)</f>
        <v>0.01</v>
      </c>
      <c r="DC473" s="2356">
        <f>+CHOOSE(mode,DC474,DC475,DC476)</f>
        <v>0.01</v>
      </c>
    </row>
    <row r="474" spans="2:107" outlineLevel="1">
      <c r="B474" s="134" t="s">
        <v>1046</v>
      </c>
      <c r="C474" s="135"/>
      <c r="D474" s="135"/>
      <c r="E474" s="135"/>
      <c r="F474" s="135"/>
      <c r="G474" s="135"/>
      <c r="H474" s="135"/>
      <c r="I474" s="135"/>
      <c r="J474" s="135"/>
      <c r="K474" s="135"/>
      <c r="L474" s="135"/>
      <c r="M474" s="136"/>
      <c r="N474" s="136"/>
      <c r="O474" s="136"/>
      <c r="P474" s="147"/>
      <c r="Q474" s="147"/>
      <c r="R474" s="147"/>
      <c r="S474" s="147"/>
      <c r="T474" s="147"/>
      <c r="U474" s="147"/>
      <c r="V474" s="147"/>
      <c r="W474" s="147"/>
      <c r="X474" s="136">
        <f>+X475+0.01</f>
        <v>2.5000000000000001E-2</v>
      </c>
      <c r="Y474" s="136">
        <f>+Y475+0.01</f>
        <v>2.1249999999999998E-2</v>
      </c>
      <c r="Z474" s="136">
        <f>+Z475+0.01</f>
        <v>1.8437500000000002E-2</v>
      </c>
      <c r="AA474" s="136">
        <f t="shared" ref="AA474:AD474" si="579">+AA475+0.01</f>
        <v>1.6328124999999999E-2</v>
      </c>
      <c r="AB474" s="136">
        <f t="shared" si="579"/>
        <v>1.4746093750000001E-2</v>
      </c>
      <c r="AC474" s="136">
        <f t="shared" si="579"/>
        <v>1.3559570312500002E-2</v>
      </c>
      <c r="AD474" s="136">
        <f t="shared" si="579"/>
        <v>1.2669677734375001E-2</v>
      </c>
      <c r="AE474" s="135"/>
      <c r="AF474" s="135"/>
      <c r="AG474" s="135"/>
      <c r="AH474" s="135"/>
      <c r="AI474" s="135"/>
      <c r="AJ474" s="135"/>
      <c r="AK474" s="135"/>
      <c r="AL474" s="135"/>
      <c r="AM474" s="135"/>
      <c r="AN474" s="135"/>
      <c r="AO474" s="135"/>
      <c r="AP474" s="135"/>
      <c r="AQ474" s="135"/>
      <c r="AR474" s="135"/>
      <c r="AS474" s="135"/>
      <c r="AT474" s="135"/>
      <c r="AU474" s="135"/>
      <c r="AV474" s="135"/>
      <c r="AW474" s="135"/>
      <c r="AX474" s="135"/>
      <c r="AY474" s="135"/>
      <c r="AZ474" s="135"/>
      <c r="BA474" s="135"/>
      <c r="BB474" s="135"/>
      <c r="BC474" s="135"/>
      <c r="BD474" s="137"/>
      <c r="BE474" s="137"/>
      <c r="BF474" s="137"/>
      <c r="BG474" s="137"/>
      <c r="BH474" s="137"/>
      <c r="BI474" s="137"/>
      <c r="BJ474" s="137"/>
      <c r="BK474" s="137"/>
      <c r="BL474" s="137"/>
      <c r="BM474" s="137"/>
      <c r="BN474" s="137"/>
      <c r="BO474" s="137"/>
      <c r="BP474" s="136"/>
      <c r="BQ474" s="136"/>
      <c r="BR474" s="136"/>
      <c r="BS474" s="136"/>
      <c r="BT474" s="136"/>
      <c r="BU474" s="136"/>
      <c r="BV474" s="147"/>
      <c r="BW474" s="147"/>
      <c r="BX474" s="147"/>
      <c r="BY474" s="147"/>
      <c r="BZ474" s="147"/>
      <c r="CA474" s="147"/>
      <c r="CB474" s="147"/>
      <c r="CC474" s="147"/>
      <c r="CD474" s="147"/>
      <c r="CE474" s="147"/>
      <c r="CF474" s="147"/>
      <c r="CG474" s="147"/>
      <c r="CH474" s="147"/>
      <c r="CI474" s="147"/>
      <c r="CJ474" s="147"/>
      <c r="CK474" s="147"/>
      <c r="CL474" s="147"/>
      <c r="CM474" s="147"/>
      <c r="CN474" s="147"/>
      <c r="CO474" s="147"/>
      <c r="CP474" s="147"/>
      <c r="CQ474" s="147"/>
      <c r="CR474" s="147"/>
      <c r="CS474" s="147"/>
      <c r="CT474" s="147"/>
      <c r="CU474" s="147"/>
      <c r="CV474" s="147"/>
      <c r="CW474" s="147"/>
      <c r="CX474" s="147"/>
      <c r="CY474" s="147"/>
      <c r="CZ474" s="136">
        <f t="shared" ref="CZ474:DC474" si="580">+CZ475+0.0025</f>
        <v>5.0000000000000001E-3</v>
      </c>
      <c r="DA474" s="136">
        <f t="shared" si="580"/>
        <v>1.2500000000000001E-2</v>
      </c>
      <c r="DB474" s="136">
        <f t="shared" si="580"/>
        <v>1.2500000000000001E-2</v>
      </c>
      <c r="DC474" s="136">
        <f t="shared" si="580"/>
        <v>1.2500000000000001E-2</v>
      </c>
    </row>
    <row r="475" spans="2:107" outlineLevel="1">
      <c r="B475" s="134" t="s">
        <v>1047</v>
      </c>
      <c r="C475" s="135"/>
      <c r="D475" s="135"/>
      <c r="E475" s="135"/>
      <c r="F475" s="135"/>
      <c r="G475" s="135"/>
      <c r="H475" s="135"/>
      <c r="I475" s="135"/>
      <c r="J475" s="135"/>
      <c r="K475" s="135"/>
      <c r="L475" s="135"/>
      <c r="M475" s="136"/>
      <c r="N475" s="136"/>
      <c r="O475" s="136"/>
      <c r="P475" s="147"/>
      <c r="Q475" s="147"/>
      <c r="R475" s="147"/>
      <c r="S475" s="147"/>
      <c r="T475" s="147"/>
      <c r="U475" s="147"/>
      <c r="V475" s="147"/>
      <c r="W475" s="147"/>
      <c r="X475" s="136">
        <v>1.4999999999999999E-2</v>
      </c>
      <c r="Y475" s="136">
        <f>+X475*0.75</f>
        <v>1.125E-2</v>
      </c>
      <c r="Z475" s="136">
        <f t="shared" ref="Z475:AD475" si="581">+Y475*0.75</f>
        <v>8.4375000000000006E-3</v>
      </c>
      <c r="AA475" s="136">
        <f t="shared" si="581"/>
        <v>6.3281250000000004E-3</v>
      </c>
      <c r="AB475" s="136">
        <f t="shared" si="581"/>
        <v>4.7460937500000003E-3</v>
      </c>
      <c r="AC475" s="136">
        <f t="shared" si="581"/>
        <v>3.5595703125000005E-3</v>
      </c>
      <c r="AD475" s="136">
        <f t="shared" si="581"/>
        <v>2.6696777343750006E-3</v>
      </c>
      <c r="AE475" s="135"/>
      <c r="AF475" s="135"/>
      <c r="AG475" s="135"/>
      <c r="AH475" s="135"/>
      <c r="AI475" s="135"/>
      <c r="AJ475" s="135"/>
      <c r="AK475" s="135"/>
      <c r="AL475" s="135"/>
      <c r="AM475" s="135"/>
      <c r="AN475" s="135"/>
      <c r="AO475" s="135"/>
      <c r="AP475" s="135"/>
      <c r="AQ475" s="135"/>
      <c r="AR475" s="135"/>
      <c r="AS475" s="135"/>
      <c r="AT475" s="135"/>
      <c r="AU475" s="135"/>
      <c r="AV475" s="135"/>
      <c r="AW475" s="135"/>
      <c r="AX475" s="135"/>
      <c r="AY475" s="135"/>
      <c r="AZ475" s="135"/>
      <c r="BA475" s="135"/>
      <c r="BB475" s="135"/>
      <c r="BC475" s="135"/>
      <c r="BD475" s="137"/>
      <c r="BE475" s="137"/>
      <c r="BF475" s="137"/>
      <c r="BG475" s="137"/>
      <c r="BH475" s="137"/>
      <c r="BI475" s="137"/>
      <c r="BJ475" s="137"/>
      <c r="BK475" s="137"/>
      <c r="BL475" s="137"/>
      <c r="BM475" s="137"/>
      <c r="BN475" s="137"/>
      <c r="BO475" s="137"/>
      <c r="BP475" s="136"/>
      <c r="BQ475" s="136"/>
      <c r="BR475" s="136"/>
      <c r="BS475" s="136"/>
      <c r="BT475" s="136"/>
      <c r="BU475" s="136"/>
      <c r="BV475" s="147"/>
      <c r="BW475" s="147"/>
      <c r="BX475" s="147"/>
      <c r="BY475" s="147"/>
      <c r="BZ475" s="147"/>
      <c r="CA475" s="147"/>
      <c r="CB475" s="1615"/>
      <c r="CC475" s="1615"/>
      <c r="CD475" s="1615"/>
      <c r="CE475" s="1615"/>
      <c r="CF475" s="1615"/>
      <c r="CG475" s="1615"/>
      <c r="CH475" s="1615"/>
      <c r="CI475" s="1615"/>
      <c r="CJ475" s="1615"/>
      <c r="CK475" s="1615"/>
      <c r="CL475" s="1615"/>
      <c r="CM475" s="1615"/>
      <c r="CN475" s="1615"/>
      <c r="CO475" s="1615"/>
      <c r="CP475" s="1615"/>
      <c r="CQ475" s="1615"/>
      <c r="CR475" s="1615"/>
      <c r="CS475" s="1615"/>
      <c r="CT475" s="1615"/>
      <c r="CU475" s="1615"/>
      <c r="CV475" s="1615"/>
      <c r="CW475" s="1615"/>
      <c r="CX475" s="1615"/>
      <c r="CY475" s="1615"/>
      <c r="CZ475" s="136">
        <v>2.5000000000000001E-3</v>
      </c>
      <c r="DA475" s="136">
        <v>0.01</v>
      </c>
      <c r="DB475" s="136">
        <v>0.01</v>
      </c>
      <c r="DC475" s="136">
        <v>0.01</v>
      </c>
    </row>
    <row r="476" spans="2:107" outlineLevel="1">
      <c r="B476" s="134" t="s">
        <v>1048</v>
      </c>
      <c r="C476" s="135"/>
      <c r="D476" s="135"/>
      <c r="E476" s="135"/>
      <c r="F476" s="135"/>
      <c r="G476" s="135"/>
      <c r="H476" s="135"/>
      <c r="I476" s="135"/>
      <c r="J476" s="135"/>
      <c r="K476" s="135"/>
      <c r="L476" s="135"/>
      <c r="M476" s="136"/>
      <c r="N476" s="136"/>
      <c r="O476" s="136"/>
      <c r="P476" s="147"/>
      <c r="Q476" s="147"/>
      <c r="R476" s="147"/>
      <c r="S476" s="147"/>
      <c r="T476" s="147"/>
      <c r="U476" s="147"/>
      <c r="V476" s="147"/>
      <c r="W476" s="147"/>
      <c r="X476" s="136">
        <f>+X475-0.01</f>
        <v>4.9999999999999992E-3</v>
      </c>
      <c r="Y476" s="136">
        <f>+Y475-0.01</f>
        <v>1.2499999999999994E-3</v>
      </c>
      <c r="Z476" s="136">
        <f>+Z475-0.01</f>
        <v>-1.5624999999999997E-3</v>
      </c>
      <c r="AA476" s="136">
        <f t="shared" ref="AA476:AD476" si="582">+AA475-0.01</f>
        <v>-3.6718749999999998E-3</v>
      </c>
      <c r="AB476" s="136">
        <f t="shared" si="582"/>
        <v>-5.2539062499999999E-3</v>
      </c>
      <c r="AC476" s="136">
        <f t="shared" si="582"/>
        <v>-6.4404296874999998E-3</v>
      </c>
      <c r="AD476" s="136">
        <f t="shared" si="582"/>
        <v>-7.3303222656249997E-3</v>
      </c>
      <c r="AE476" s="135"/>
      <c r="AF476" s="135"/>
      <c r="AG476" s="135"/>
      <c r="AH476" s="135"/>
      <c r="AI476" s="135"/>
      <c r="AJ476" s="135"/>
      <c r="AK476" s="135"/>
      <c r="AL476" s="135"/>
      <c r="AM476" s="135"/>
      <c r="AN476" s="135"/>
      <c r="AO476" s="135"/>
      <c r="AP476" s="135"/>
      <c r="AQ476" s="135"/>
      <c r="AR476" s="135"/>
      <c r="AS476" s="135"/>
      <c r="AT476" s="135"/>
      <c r="AU476" s="135"/>
      <c r="AV476" s="135"/>
      <c r="AW476" s="135"/>
      <c r="AX476" s="135"/>
      <c r="AY476" s="135"/>
      <c r="AZ476" s="135"/>
      <c r="BA476" s="135"/>
      <c r="BB476" s="135"/>
      <c r="BC476" s="135"/>
      <c r="BD476" s="137"/>
      <c r="BE476" s="137"/>
      <c r="BF476" s="137"/>
      <c r="BG476" s="137"/>
      <c r="BH476" s="137"/>
      <c r="BI476" s="137"/>
      <c r="BJ476" s="137"/>
      <c r="BK476" s="137"/>
      <c r="BL476" s="137"/>
      <c r="BM476" s="137"/>
      <c r="BN476" s="137"/>
      <c r="BO476" s="137"/>
      <c r="BP476" s="136"/>
      <c r="BQ476" s="136"/>
      <c r="BR476" s="136"/>
      <c r="BS476" s="136"/>
      <c r="BT476" s="136"/>
      <c r="BU476" s="136"/>
      <c r="BV476" s="147"/>
      <c r="BW476" s="147"/>
      <c r="BX476" s="147"/>
      <c r="BY476" s="147"/>
      <c r="BZ476" s="147"/>
      <c r="CA476" s="147"/>
      <c r="CB476" s="147"/>
      <c r="CC476" s="147"/>
      <c r="CD476" s="147"/>
      <c r="CE476" s="147"/>
      <c r="CF476" s="147"/>
      <c r="CG476" s="147"/>
      <c r="CH476" s="147"/>
      <c r="CI476" s="147"/>
      <c r="CJ476" s="147"/>
      <c r="CK476" s="147"/>
      <c r="CL476" s="147"/>
      <c r="CM476" s="147"/>
      <c r="CN476" s="147"/>
      <c r="CO476" s="147"/>
      <c r="CP476" s="147"/>
      <c r="CQ476" s="147"/>
      <c r="CR476" s="147"/>
      <c r="CS476" s="147"/>
      <c r="CT476" s="147"/>
      <c r="CU476" s="147"/>
      <c r="CV476" s="147"/>
      <c r="CW476" s="147"/>
      <c r="CX476" s="147"/>
      <c r="CY476" s="147"/>
      <c r="CZ476" s="136">
        <f t="shared" ref="CZ476:DC476" si="583">+CZ475-0.005</f>
        <v>-2.5000000000000001E-3</v>
      </c>
      <c r="DA476" s="136">
        <f t="shared" si="583"/>
        <v>5.0000000000000001E-3</v>
      </c>
      <c r="DB476" s="136">
        <f t="shared" si="583"/>
        <v>5.0000000000000001E-3</v>
      </c>
      <c r="DC476" s="136">
        <f t="shared" si="583"/>
        <v>5.0000000000000001E-3</v>
      </c>
    </row>
    <row r="477" spans="2:107" s="15" customFormat="1">
      <c r="B477" s="198"/>
      <c r="C477" s="197"/>
      <c r="D477" s="31"/>
      <c r="E477" s="31"/>
      <c r="F477" s="31"/>
      <c r="G477" s="31"/>
      <c r="H477" s="31"/>
      <c r="I477" s="31"/>
      <c r="J477" s="31"/>
      <c r="K477" s="31"/>
      <c r="L477" s="31"/>
      <c r="M477" s="199"/>
      <c r="N477" s="199"/>
      <c r="O477" s="199"/>
      <c r="P477" s="199"/>
      <c r="Q477" s="199"/>
      <c r="R477" s="199"/>
      <c r="S477" s="199"/>
      <c r="T477" s="199"/>
      <c r="U477" s="199"/>
      <c r="V477" s="199"/>
      <c r="W477" s="199"/>
      <c r="X477" s="199"/>
      <c r="Y477" s="199"/>
      <c r="Z477" s="199"/>
      <c r="AA477" s="199"/>
      <c r="AB477" s="199"/>
      <c r="AC477" s="199"/>
      <c r="AD477" s="199"/>
      <c r="AE477" s="197"/>
      <c r="AF477" s="31"/>
      <c r="AG477" s="31"/>
      <c r="AH477" s="31"/>
      <c r="AI477" s="31"/>
      <c r="AJ477" s="31"/>
      <c r="AK477" s="31"/>
      <c r="AL477" s="31"/>
      <c r="AM477" s="31"/>
      <c r="AN477" s="31"/>
      <c r="AO477" s="31"/>
      <c r="AP477" s="31"/>
      <c r="AQ477" s="31"/>
      <c r="AR477" s="31"/>
      <c r="AS477" s="31"/>
      <c r="AT477" s="31"/>
      <c r="AU477" s="31"/>
      <c r="AV477" s="31"/>
      <c r="AW477" s="31"/>
      <c r="AX477" s="31"/>
      <c r="AY477" s="31"/>
      <c r="AZ477" s="31"/>
      <c r="BA477" s="31"/>
      <c r="BB477" s="31"/>
      <c r="BC477" s="31"/>
      <c r="BD477" s="32"/>
      <c r="BE477" s="32"/>
      <c r="BF477" s="32"/>
      <c r="BG477" s="32"/>
      <c r="BH477" s="32"/>
      <c r="BI477" s="32"/>
      <c r="BJ477" s="32"/>
      <c r="BK477" s="32"/>
      <c r="BL477" s="32"/>
      <c r="BM477" s="32"/>
      <c r="BN477" s="32"/>
      <c r="BO477" s="32"/>
      <c r="BP477" s="199"/>
      <c r="BQ477" s="199"/>
      <c r="BR477" s="199"/>
      <c r="BS477" s="199"/>
      <c r="BT477" s="199"/>
      <c r="BU477" s="199"/>
      <c r="BV477" s="199"/>
      <c r="BW477" s="199"/>
      <c r="BX477" s="199"/>
      <c r="BY477" s="199"/>
      <c r="BZ477" s="199"/>
      <c r="CA477" s="199"/>
      <c r="CB477" s="199"/>
      <c r="CC477" s="199"/>
      <c r="CD477" s="199"/>
      <c r="CE477" s="199"/>
      <c r="CF477" s="199"/>
      <c r="CG477" s="199"/>
      <c r="CH477" s="199"/>
      <c r="CI477" s="199"/>
      <c r="CJ477" s="199"/>
      <c r="CK477" s="199"/>
      <c r="CL477" s="199"/>
      <c r="CM477" s="199"/>
      <c r="CN477" s="199"/>
      <c r="CO477" s="199"/>
      <c r="CP477" s="199"/>
      <c r="CQ477" s="199"/>
      <c r="CR477" s="199"/>
      <c r="CS477" s="199"/>
      <c r="CT477" s="199"/>
      <c r="CU477" s="199"/>
      <c r="CV477" s="199"/>
      <c r="CW477" s="199"/>
      <c r="CX477" s="199"/>
      <c r="CY477" s="199"/>
      <c r="CZ477" s="199"/>
      <c r="DA477" s="199"/>
      <c r="DB477" s="199"/>
      <c r="DC477" s="199"/>
    </row>
    <row r="478" spans="2:107" s="15" customFormat="1" hidden="1" outlineLevel="1">
      <c r="B478" s="142" t="s">
        <v>37</v>
      </c>
      <c r="C478" s="197"/>
      <c r="D478" s="31"/>
      <c r="E478" s="31"/>
      <c r="F478" s="31"/>
      <c r="G478" s="31"/>
      <c r="H478" s="31"/>
      <c r="I478" s="31"/>
      <c r="J478" s="31"/>
      <c r="K478" s="31"/>
      <c r="L478" s="31"/>
      <c r="M478" s="199"/>
      <c r="N478" s="199"/>
      <c r="O478" s="199"/>
      <c r="P478" s="941"/>
      <c r="Q478" s="802">
        <f>SUM(CB478:CE478)</f>
        <v>20.7</v>
      </c>
      <c r="R478" s="802">
        <f>SUM(CF478:CI478)</f>
        <v>11.42725000000001</v>
      </c>
      <c r="S478" s="802">
        <f>SUM(CJ478:CM478)</f>
        <v>0</v>
      </c>
      <c r="T478" s="802"/>
      <c r="U478" s="802"/>
      <c r="V478" s="802"/>
      <c r="W478" s="802"/>
      <c r="X478" s="802"/>
      <c r="Y478" s="802"/>
      <c r="Z478" s="802"/>
      <c r="AA478" s="802"/>
      <c r="AB478" s="802"/>
      <c r="AC478" s="802"/>
      <c r="AD478" s="802"/>
      <c r="AE478" s="197"/>
      <c r="AF478" s="31"/>
      <c r="AG478" s="31"/>
      <c r="AH478" s="31"/>
      <c r="AI478" s="31"/>
      <c r="AJ478" s="31"/>
      <c r="AK478" s="31"/>
      <c r="AL478" s="31"/>
      <c r="AM478" s="31"/>
      <c r="AN478" s="31"/>
      <c r="AO478" s="31"/>
      <c r="AP478" s="31"/>
      <c r="AQ478" s="31"/>
      <c r="AR478" s="31"/>
      <c r="AS478" s="31"/>
      <c r="AT478" s="31"/>
      <c r="AU478" s="31"/>
      <c r="AV478" s="31"/>
      <c r="AW478" s="31"/>
      <c r="AX478" s="31"/>
      <c r="AY478" s="31"/>
      <c r="AZ478" s="31"/>
      <c r="BA478" s="31"/>
      <c r="BB478" s="31"/>
      <c r="BC478" s="31"/>
      <c r="BD478" s="32"/>
      <c r="BE478" s="32"/>
      <c r="BF478" s="32"/>
      <c r="BG478" s="32"/>
      <c r="BH478" s="32"/>
      <c r="BI478" s="32"/>
      <c r="BJ478" s="32"/>
      <c r="BK478" s="32"/>
      <c r="BL478" s="32"/>
      <c r="BM478" s="32"/>
      <c r="BN478" s="32"/>
      <c r="BO478" s="32"/>
      <c r="BP478" s="199"/>
      <c r="BQ478" s="199"/>
      <c r="BR478" s="199"/>
      <c r="BS478" s="199"/>
      <c r="BT478" s="199"/>
      <c r="BU478" s="199"/>
      <c r="BV478" s="199"/>
      <c r="BW478" s="199"/>
      <c r="BX478" s="199"/>
      <c r="BY478" s="1078"/>
      <c r="BZ478" s="1078"/>
      <c r="CA478" s="1078"/>
      <c r="CB478" s="1078"/>
      <c r="CC478" s="1078"/>
      <c r="CD478" s="1721">
        <f>16.1*0.6</f>
        <v>9.66</v>
      </c>
      <c r="CE478" s="1721">
        <f>18.4*0.6</f>
        <v>11.04</v>
      </c>
      <c r="CF478" s="1912">
        <v>11.4</v>
      </c>
      <c r="CG478" s="802">
        <f>+CG494-(CG471*3*CG460)/1000000</f>
        <v>4.0499999999923375E-3</v>
      </c>
      <c r="CH478" s="802">
        <f>+CH494-(CH471*3*CH460)/1000000</f>
        <v>3.5600000000016507E-2</v>
      </c>
      <c r="CI478" s="802">
        <f>+CI494-(CI471*3*CI460)/1000000</f>
        <v>-1.2399999999999523E-2</v>
      </c>
      <c r="CJ478" s="802"/>
      <c r="CK478" s="802"/>
      <c r="CL478" s="802"/>
      <c r="CM478" s="802"/>
      <c r="CN478" s="802"/>
      <c r="CO478" s="802"/>
      <c r="CP478" s="802"/>
      <c r="CQ478" s="802"/>
      <c r="CR478" s="802"/>
      <c r="CS478" s="802"/>
      <c r="CT478" s="802"/>
      <c r="CU478" s="802"/>
      <c r="CV478" s="802"/>
      <c r="CW478" s="802"/>
      <c r="CX478" s="802"/>
      <c r="CY478" s="802"/>
      <c r="CZ478" s="802"/>
      <c r="DA478" s="802"/>
      <c r="DB478" s="802"/>
      <c r="DC478" s="802"/>
    </row>
    <row r="479" spans="2:107" s="15" customFormat="1" hidden="1" outlineLevel="1">
      <c r="B479" s="198"/>
      <c r="C479" s="197"/>
      <c r="D479" s="31"/>
      <c r="E479" s="31"/>
      <c r="F479" s="31"/>
      <c r="G479" s="31"/>
      <c r="H479" s="31"/>
      <c r="I479" s="31"/>
      <c r="J479" s="31"/>
      <c r="K479" s="31"/>
      <c r="L479" s="31"/>
      <c r="M479" s="199"/>
      <c r="N479" s="199"/>
      <c r="O479" s="199"/>
      <c r="P479" s="199"/>
      <c r="Q479" s="199"/>
      <c r="R479" s="199"/>
      <c r="S479" s="199"/>
      <c r="T479" s="199"/>
      <c r="U479" s="199"/>
      <c r="V479" s="199"/>
      <c r="W479" s="199"/>
      <c r="X479" s="199"/>
      <c r="Y479" s="199"/>
      <c r="Z479" s="199"/>
      <c r="AA479" s="199"/>
      <c r="AB479" s="199"/>
      <c r="AC479" s="199"/>
      <c r="AD479" s="199"/>
      <c r="AE479" s="197"/>
      <c r="AF479" s="31"/>
      <c r="AG479" s="31"/>
      <c r="AH479" s="31"/>
      <c r="AI479" s="31"/>
      <c r="AJ479" s="31"/>
      <c r="AK479" s="31"/>
      <c r="AL479" s="31"/>
      <c r="AM479" s="31"/>
      <c r="AN479" s="31"/>
      <c r="AO479" s="31"/>
      <c r="AP479" s="31"/>
      <c r="AQ479" s="31"/>
      <c r="AR479" s="31"/>
      <c r="AS479" s="31"/>
      <c r="AT479" s="31"/>
      <c r="AU479" s="31"/>
      <c r="AV479" s="31"/>
      <c r="AW479" s="31"/>
      <c r="AX479" s="31"/>
      <c r="AY479" s="31"/>
      <c r="AZ479" s="31"/>
      <c r="BA479" s="31"/>
      <c r="BB479" s="31"/>
      <c r="BC479" s="31"/>
      <c r="BD479" s="32"/>
      <c r="BE479" s="32"/>
      <c r="BF479" s="32"/>
      <c r="BG479" s="32"/>
      <c r="BH479" s="32"/>
      <c r="BI479" s="32"/>
      <c r="BJ479" s="32"/>
      <c r="BK479" s="32"/>
      <c r="BL479" s="32"/>
      <c r="BM479" s="32"/>
      <c r="BN479" s="32"/>
      <c r="BO479" s="32"/>
      <c r="BP479" s="199"/>
      <c r="BQ479" s="199"/>
      <c r="BR479" s="199"/>
      <c r="BS479" s="199"/>
      <c r="BT479" s="199"/>
      <c r="BU479" s="199"/>
      <c r="BV479" s="199"/>
      <c r="BW479" s="199"/>
      <c r="BX479" s="199"/>
      <c r="BY479" s="199"/>
      <c r="BZ479" s="24"/>
      <c r="CA479" s="24"/>
      <c r="CB479" s="24"/>
      <c r="CC479" s="24"/>
      <c r="CD479" s="24"/>
      <c r="CE479" s="24">
        <f>+CE478/CD478-1</f>
        <v>0.14285714285714279</v>
      </c>
      <c r="CF479" s="24">
        <f>+CF478/CE478-1</f>
        <v>3.2608695652174058E-2</v>
      </c>
      <c r="CG479" s="24">
        <f>+CG478/CF478-1</f>
        <v>-0.99964473684210597</v>
      </c>
      <c r="CH479" s="24">
        <f>+CH478/CG478-1</f>
        <v>7.7901234568108304</v>
      </c>
      <c r="CI479" s="24">
        <f>+CI478/CH478-1</f>
        <v>-1.3483146067413982</v>
      </c>
      <c r="CJ479" s="24"/>
      <c r="CK479" s="24"/>
      <c r="CL479" s="24"/>
      <c r="CM479" s="24"/>
      <c r="CN479" s="24"/>
      <c r="CO479" s="24"/>
      <c r="CP479" s="24"/>
      <c r="CQ479" s="24"/>
      <c r="CR479" s="24"/>
      <c r="CS479" s="24"/>
      <c r="CT479" s="24"/>
      <c r="CU479" s="24"/>
      <c r="CV479" s="24"/>
      <c r="CW479" s="24"/>
      <c r="CX479" s="24"/>
      <c r="CY479" s="24"/>
      <c r="CZ479" s="1646"/>
      <c r="DA479" s="1646"/>
      <c r="DB479" s="1646"/>
      <c r="DC479" s="1646"/>
    </row>
    <row r="480" spans="2:107" s="15" customFormat="1" hidden="1" outlineLevel="1">
      <c r="B480" s="198"/>
      <c r="C480" s="197"/>
      <c r="D480" s="31"/>
      <c r="E480" s="31"/>
      <c r="F480" s="31"/>
      <c r="G480" s="31"/>
      <c r="H480" s="31"/>
      <c r="I480" s="31"/>
      <c r="J480" s="31"/>
      <c r="K480" s="31"/>
      <c r="L480" s="31"/>
      <c r="M480" s="199"/>
      <c r="N480" s="199"/>
      <c r="O480" s="199"/>
      <c r="P480" s="199"/>
      <c r="Q480" s="199"/>
      <c r="R480" s="199"/>
      <c r="S480" s="199"/>
      <c r="T480" s="199"/>
      <c r="U480" s="199"/>
      <c r="V480" s="199"/>
      <c r="W480" s="199"/>
      <c r="X480" s="199"/>
      <c r="Y480" s="199"/>
      <c r="Z480" s="199"/>
      <c r="AA480" s="199"/>
      <c r="AB480" s="199"/>
      <c r="AC480" s="199"/>
      <c r="AD480" s="199"/>
      <c r="AE480" s="197"/>
      <c r="AF480" s="31"/>
      <c r="AG480" s="31"/>
      <c r="AH480" s="31"/>
      <c r="AI480" s="31"/>
      <c r="AJ480" s="31"/>
      <c r="AK480" s="31"/>
      <c r="AL480" s="31"/>
      <c r="AM480" s="31"/>
      <c r="AN480" s="31"/>
      <c r="AO480" s="31"/>
      <c r="AP480" s="31"/>
      <c r="AQ480" s="31"/>
      <c r="AR480" s="31"/>
      <c r="AS480" s="31"/>
      <c r="AT480" s="31"/>
      <c r="AU480" s="31"/>
      <c r="AV480" s="31"/>
      <c r="AW480" s="31"/>
      <c r="AX480" s="31"/>
      <c r="AY480" s="31"/>
      <c r="AZ480" s="31"/>
      <c r="BA480" s="31"/>
      <c r="BB480" s="31"/>
      <c r="BC480" s="31"/>
      <c r="BD480" s="32"/>
      <c r="BE480" s="32"/>
      <c r="BF480" s="32"/>
      <c r="BG480" s="32"/>
      <c r="BH480" s="32"/>
      <c r="BI480" s="32"/>
      <c r="BJ480" s="32"/>
      <c r="BK480" s="32"/>
      <c r="BL480" s="32"/>
      <c r="BM480" s="32"/>
      <c r="BN480" s="32"/>
      <c r="BO480" s="32"/>
      <c r="BP480" s="199"/>
      <c r="BQ480" s="199"/>
      <c r="BR480" s="199"/>
      <c r="BS480" s="199"/>
      <c r="BT480" s="199"/>
      <c r="BU480" s="199"/>
      <c r="BV480" s="199"/>
      <c r="BW480" s="199"/>
      <c r="BX480" s="199"/>
      <c r="BY480" s="199"/>
      <c r="BZ480" s="24"/>
      <c r="CA480" s="24"/>
      <c r="CB480" s="24"/>
      <c r="CC480" s="24"/>
      <c r="CD480" s="24"/>
      <c r="CE480" s="24"/>
      <c r="CF480" s="24"/>
      <c r="CG480" s="24"/>
      <c r="CH480" s="24"/>
      <c r="CI480" s="24"/>
      <c r="CJ480" s="24"/>
      <c r="CK480" s="24"/>
      <c r="CL480" s="24"/>
      <c r="CM480" s="24"/>
      <c r="CN480" s="24"/>
      <c r="CO480" s="24"/>
      <c r="CP480" s="24"/>
      <c r="CQ480" s="24"/>
      <c r="CR480" s="24"/>
      <c r="CS480" s="24"/>
      <c r="CT480" s="24"/>
      <c r="CU480" s="24"/>
      <c r="CV480" s="24"/>
      <c r="CW480" s="24"/>
      <c r="CX480" s="24"/>
      <c r="CY480" s="24"/>
      <c r="CZ480" s="1646"/>
      <c r="DA480" s="1646"/>
      <c r="DB480" s="1646"/>
      <c r="DC480" s="1646"/>
    </row>
    <row r="481" spans="1:107" s="15" customFormat="1" collapsed="1">
      <c r="B481" s="2254" t="s">
        <v>2035</v>
      </c>
      <c r="C481" s="2255"/>
      <c r="D481" s="2256"/>
      <c r="E481" s="2256"/>
      <c r="F481" s="2256"/>
      <c r="G481" s="2256"/>
      <c r="H481" s="2256"/>
      <c r="I481" s="2256"/>
      <c r="J481" s="2256"/>
      <c r="K481" s="2256"/>
      <c r="L481" s="2256"/>
      <c r="M481" s="2257"/>
      <c r="N481" s="2257"/>
      <c r="O481" s="2257"/>
      <c r="P481" s="2258"/>
      <c r="Q481" s="2259"/>
      <c r="R481" s="2259"/>
      <c r="S481" s="2259"/>
      <c r="T481" s="2259"/>
      <c r="U481" s="2259">
        <f>+SUM(CR481:CU481)</f>
        <v>148.69999999999999</v>
      </c>
      <c r="V481" s="2318">
        <f>SUM(CV481:CY481)</f>
        <v>54.415350000000018</v>
      </c>
      <c r="W481" s="2318">
        <f>SUM(CZ481:DC481)</f>
        <v>49.286400000000071</v>
      </c>
      <c r="X481" s="2318">
        <f t="shared" ref="X481:Z481" si="584">+W481</f>
        <v>49.286400000000071</v>
      </c>
      <c r="Y481" s="2318">
        <f t="shared" si="584"/>
        <v>49.286400000000071</v>
      </c>
      <c r="Z481" s="2318">
        <f t="shared" si="584"/>
        <v>49.286400000000071</v>
      </c>
      <c r="AA481" s="2318">
        <f t="shared" ref="AA481" si="585">+Z481</f>
        <v>49.286400000000071</v>
      </c>
      <c r="AB481" s="2318">
        <f t="shared" ref="AB481" si="586">+AA481</f>
        <v>49.286400000000071</v>
      </c>
      <c r="AC481" s="2318">
        <f t="shared" ref="AC481" si="587">+AB481</f>
        <v>49.286400000000071</v>
      </c>
      <c r="AD481" s="2318">
        <f t="shared" ref="AD481" si="588">+AC481</f>
        <v>49.286400000000071</v>
      </c>
      <c r="AE481" s="2255"/>
      <c r="AF481" s="2256"/>
      <c r="AG481" s="2256"/>
      <c r="AH481" s="2256"/>
      <c r="AI481" s="2256"/>
      <c r="AJ481" s="2256"/>
      <c r="AK481" s="2256"/>
      <c r="AL481" s="2256"/>
      <c r="AM481" s="2256"/>
      <c r="AN481" s="2256"/>
      <c r="AO481" s="2256"/>
      <c r="AP481" s="2256"/>
      <c r="AQ481" s="2256"/>
      <c r="AR481" s="2256"/>
      <c r="AS481" s="2256"/>
      <c r="AT481" s="2256"/>
      <c r="AU481" s="2256"/>
      <c r="AV481" s="2256"/>
      <c r="AW481" s="2256"/>
      <c r="AX481" s="2256"/>
      <c r="AY481" s="2256"/>
      <c r="AZ481" s="2256"/>
      <c r="BA481" s="2256"/>
      <c r="BB481" s="2256"/>
      <c r="BC481" s="2256"/>
      <c r="BD481" s="2260"/>
      <c r="BE481" s="2260"/>
      <c r="BF481" s="2260"/>
      <c r="BG481" s="2260"/>
      <c r="BH481" s="2260"/>
      <c r="BI481" s="2260"/>
      <c r="BJ481" s="2260"/>
      <c r="BK481" s="2260"/>
      <c r="BL481" s="2260"/>
      <c r="BM481" s="2260"/>
      <c r="BN481" s="2260"/>
      <c r="BO481" s="2260"/>
      <c r="BP481" s="2257"/>
      <c r="BQ481" s="2257"/>
      <c r="BR481" s="2257"/>
      <c r="BS481" s="2257"/>
      <c r="BT481" s="2257"/>
      <c r="BU481" s="2257"/>
      <c r="BV481" s="2257"/>
      <c r="BW481" s="2257"/>
      <c r="BX481" s="2257"/>
      <c r="BY481" s="2261"/>
      <c r="BZ481" s="2261"/>
      <c r="CA481" s="2261"/>
      <c r="CB481" s="2261"/>
      <c r="CC481" s="2261"/>
      <c r="CD481" s="2262"/>
      <c r="CE481" s="2262"/>
      <c r="CF481" s="2263"/>
      <c r="CG481" s="2259"/>
      <c r="CH481" s="2259"/>
      <c r="CI481" s="2259"/>
      <c r="CJ481" s="2259"/>
      <c r="CK481" s="2259"/>
      <c r="CL481" s="2259">
        <f>+CL483/CL486</f>
        <v>40.384450772382543</v>
      </c>
      <c r="CM481" s="2259">
        <f>+CM483/CM486</f>
        <v>41.708722033452403</v>
      </c>
      <c r="CN481" s="2259">
        <f>+CN483/CN486</f>
        <v>39.187155042649266</v>
      </c>
      <c r="CO481" s="2259">
        <f>+CO483/CO486</f>
        <v>35.319100049289005</v>
      </c>
      <c r="CP481" s="2259"/>
      <c r="CQ481" s="2304">
        <f>21.6/60*92</f>
        <v>33.120000000000005</v>
      </c>
      <c r="CR481" s="2304">
        <v>34.200000000000003</v>
      </c>
      <c r="CS481" s="2304">
        <v>37.299999999999997</v>
      </c>
      <c r="CT481" s="2304">
        <v>39.700000000000003</v>
      </c>
      <c r="CU481" s="2304">
        <v>37.5</v>
      </c>
      <c r="CV481" s="2318">
        <f>SUM(CV490:CV493)-CV471*CV460*3/1000000</f>
        <v>11.832750000000004</v>
      </c>
      <c r="CW481" s="2318">
        <f>SUM(CW490:CW493)-CW471*CW460*3/1000000</f>
        <v>15.268000000000001</v>
      </c>
      <c r="CX481" s="2318">
        <f>SUM(CX490:CX493)-CX471*CX460*3/1000000</f>
        <v>14.992999999999995</v>
      </c>
      <c r="CY481" s="2318">
        <f>SUM(CY490:CY493)-CY471*CY460*3/1000000</f>
        <v>12.321600000000018</v>
      </c>
      <c r="CZ481" s="2318">
        <f t="shared" ref="CZ481:DC481" si="589">+CY481</f>
        <v>12.321600000000018</v>
      </c>
      <c r="DA481" s="2318">
        <f t="shared" si="589"/>
        <v>12.321600000000018</v>
      </c>
      <c r="DB481" s="2318">
        <f t="shared" si="589"/>
        <v>12.321600000000018</v>
      </c>
      <c r="DC481" s="2318">
        <f t="shared" si="589"/>
        <v>12.321600000000018</v>
      </c>
    </row>
    <row r="482" spans="1:107" s="15" customFormat="1">
      <c r="B482" s="2264" t="s">
        <v>2037</v>
      </c>
      <c r="C482" s="2255"/>
      <c r="D482" s="2256"/>
      <c r="E482" s="2256"/>
      <c r="F482" s="2256"/>
      <c r="G482" s="2256"/>
      <c r="H482" s="2256"/>
      <c r="I482" s="2256"/>
      <c r="J482" s="2256"/>
      <c r="K482" s="2256"/>
      <c r="L482" s="2256"/>
      <c r="M482" s="2257"/>
      <c r="N482" s="2257"/>
      <c r="O482" s="2257"/>
      <c r="P482" s="2258"/>
      <c r="Q482" s="2259"/>
      <c r="R482" s="2259"/>
      <c r="S482" s="2259"/>
      <c r="T482" s="2259"/>
      <c r="U482" s="2259"/>
      <c r="V482" s="2259"/>
      <c r="W482" s="2259"/>
      <c r="X482" s="2266"/>
      <c r="Y482" s="2266"/>
      <c r="Z482" s="2266"/>
      <c r="AA482" s="2266"/>
      <c r="AB482" s="2266"/>
      <c r="AC482" s="2266"/>
      <c r="AD482" s="2266"/>
      <c r="AE482" s="2255"/>
      <c r="AF482" s="2256"/>
      <c r="AG482" s="2256"/>
      <c r="AH482" s="2256"/>
      <c r="AI482" s="2256"/>
      <c r="AJ482" s="2256"/>
      <c r="AK482" s="2256"/>
      <c r="AL482" s="2256"/>
      <c r="AM482" s="2256"/>
      <c r="AN482" s="2256"/>
      <c r="AO482" s="2256"/>
      <c r="AP482" s="2256"/>
      <c r="AQ482" s="2256"/>
      <c r="AR482" s="2256"/>
      <c r="AS482" s="2256"/>
      <c r="AT482" s="2256"/>
      <c r="AU482" s="2256"/>
      <c r="AV482" s="2256"/>
      <c r="AW482" s="2256"/>
      <c r="AX482" s="2256"/>
      <c r="AY482" s="2256"/>
      <c r="AZ482" s="2256"/>
      <c r="BA482" s="2256"/>
      <c r="BB482" s="2256"/>
      <c r="BC482" s="2256"/>
      <c r="BD482" s="2260"/>
      <c r="BE482" s="2260"/>
      <c r="BF482" s="2260"/>
      <c r="BG482" s="2260"/>
      <c r="BH482" s="2260"/>
      <c r="BI482" s="2260"/>
      <c r="BJ482" s="2260"/>
      <c r="BK482" s="2260"/>
      <c r="BL482" s="2260"/>
      <c r="BM482" s="2260"/>
      <c r="BN482" s="2260"/>
      <c r="BO482" s="2260"/>
      <c r="BP482" s="2257"/>
      <c r="BQ482" s="2257"/>
      <c r="BR482" s="2257"/>
      <c r="BS482" s="2257"/>
      <c r="BT482" s="2257"/>
      <c r="BU482" s="2257"/>
      <c r="BV482" s="2257"/>
      <c r="BW482" s="2257"/>
      <c r="BX482" s="2257"/>
      <c r="BY482" s="2261"/>
      <c r="BZ482" s="2261"/>
      <c r="CA482" s="2261"/>
      <c r="CB482" s="2261"/>
      <c r="CC482" s="2261"/>
      <c r="CD482" s="2262"/>
      <c r="CE482" s="2262"/>
      <c r="CF482" s="2263"/>
      <c r="CG482" s="2259"/>
      <c r="CH482" s="2265"/>
      <c r="CI482" s="2265"/>
      <c r="CJ482" s="2265"/>
      <c r="CK482" s="2265"/>
      <c r="CL482" s="2266"/>
      <c r="CM482" s="2266"/>
      <c r="CN482" s="2266"/>
      <c r="CO482" s="2266"/>
      <c r="CP482" s="2259"/>
      <c r="CQ482" s="2259"/>
      <c r="CR482" s="2259"/>
      <c r="CS482" s="2259"/>
      <c r="CT482" s="2259"/>
      <c r="CU482" s="2259"/>
      <c r="CV482" s="2259"/>
      <c r="CW482" s="2259"/>
      <c r="CX482" s="2259"/>
      <c r="CY482" s="2259"/>
      <c r="CZ482" s="2259"/>
      <c r="DA482" s="2259"/>
      <c r="DB482" s="2259"/>
      <c r="DC482" s="2259"/>
    </row>
    <row r="483" spans="1:107" s="15" customFormat="1">
      <c r="B483" s="2264" t="s">
        <v>2034</v>
      </c>
      <c r="C483" s="2255"/>
      <c r="D483" s="2256"/>
      <c r="E483" s="2256"/>
      <c r="F483" s="2256"/>
      <c r="G483" s="2256"/>
      <c r="H483" s="2256"/>
      <c r="I483" s="2256"/>
      <c r="J483" s="2256"/>
      <c r="K483" s="2256"/>
      <c r="L483" s="2256"/>
      <c r="M483" s="2257"/>
      <c r="N483" s="2257"/>
      <c r="O483" s="2257"/>
      <c r="P483" s="2258"/>
      <c r="Q483" s="2259"/>
      <c r="R483" s="2259"/>
      <c r="S483" s="2259"/>
      <c r="T483" s="2267">
        <f ca="1">+SUM(CN483:CQ483)</f>
        <v>17043.407965644044</v>
      </c>
      <c r="U483" s="2267">
        <f>+SUM(CR483:CU483)</f>
        <v>16136.140800000001</v>
      </c>
      <c r="V483" s="2267"/>
      <c r="W483" s="2267"/>
      <c r="X483" s="2267"/>
      <c r="Y483" s="2267"/>
      <c r="Z483" s="2267"/>
      <c r="AA483" s="2267"/>
      <c r="AB483" s="2267"/>
      <c r="AC483" s="2267"/>
      <c r="AD483" s="2267"/>
      <c r="AE483" s="2255"/>
      <c r="AF483" s="2256"/>
      <c r="AG483" s="2256"/>
      <c r="AH483" s="2256"/>
      <c r="AI483" s="2256"/>
      <c r="AJ483" s="2256"/>
      <c r="AK483" s="2256"/>
      <c r="AL483" s="2256"/>
      <c r="AM483" s="2256"/>
      <c r="AN483" s="2256"/>
      <c r="AO483" s="2256"/>
      <c r="AP483" s="2256"/>
      <c r="AQ483" s="2256"/>
      <c r="AR483" s="2256"/>
      <c r="AS483" s="2256"/>
      <c r="AT483" s="2256"/>
      <c r="AU483" s="2256"/>
      <c r="AV483" s="2256"/>
      <c r="AW483" s="2256"/>
      <c r="AX483" s="2256"/>
      <c r="AY483" s="2256"/>
      <c r="AZ483" s="2256"/>
      <c r="BA483" s="2256"/>
      <c r="BB483" s="2256"/>
      <c r="BC483" s="2256"/>
      <c r="BD483" s="2260"/>
      <c r="BE483" s="2260"/>
      <c r="BF483" s="2260"/>
      <c r="BG483" s="2260"/>
      <c r="BH483" s="2260"/>
      <c r="BI483" s="2260"/>
      <c r="BJ483" s="2260"/>
      <c r="BK483" s="2260"/>
      <c r="BL483" s="2260"/>
      <c r="BM483" s="2260"/>
      <c r="BN483" s="2260"/>
      <c r="BO483" s="2260"/>
      <c r="BP483" s="2257"/>
      <c r="BQ483" s="2257"/>
      <c r="BR483" s="2257"/>
      <c r="BS483" s="2257"/>
      <c r="BT483" s="2257"/>
      <c r="BU483" s="2257"/>
      <c r="BV483" s="2257"/>
      <c r="BW483" s="2257"/>
      <c r="BX483" s="2257"/>
      <c r="BY483" s="2261"/>
      <c r="BZ483" s="2261"/>
      <c r="CA483" s="2261"/>
      <c r="CB483" s="2261"/>
      <c r="CC483" s="2261"/>
      <c r="CD483" s="2262"/>
      <c r="CE483" s="2262"/>
      <c r="CF483" s="2263"/>
      <c r="CG483" s="2259"/>
      <c r="CH483" s="2265">
        <v>4427</v>
      </c>
      <c r="CI483" s="2265">
        <v>4392</v>
      </c>
      <c r="CJ483" s="2265">
        <v>4386</v>
      </c>
      <c r="CK483" s="2265">
        <v>4395</v>
      </c>
      <c r="CL483" s="2265">
        <v>4289</v>
      </c>
      <c r="CM483" s="2265">
        <v>4927</v>
      </c>
      <c r="CN483" s="2265">
        <v>4686</v>
      </c>
      <c r="CO483" s="2265">
        <v>4332</v>
      </c>
      <c r="CP483" s="2267">
        <f ca="1">+CO483*(1+CP485)</f>
        <v>4004.7426376440462</v>
      </c>
      <c r="CQ483" s="2267">
        <f>+CQ481*CQ486</f>
        <v>4020.6653280000005</v>
      </c>
      <c r="CR483" s="2267">
        <f>+CR481*CR486</f>
        <v>3945.3462000000004</v>
      </c>
      <c r="CS483" s="2267">
        <f>+CS481*CS486</f>
        <v>4026.1246999999994</v>
      </c>
      <c r="CT483" s="2267">
        <f>+CT481*CT486</f>
        <v>4063.9699000000005</v>
      </c>
      <c r="CU483" s="2267">
        <f>+CU481*CU486</f>
        <v>4100.7</v>
      </c>
      <c r="CV483" s="2267"/>
      <c r="CW483" s="2267"/>
      <c r="CX483" s="2267"/>
      <c r="CY483" s="2267"/>
      <c r="CZ483" s="2267"/>
      <c r="DA483" s="2267"/>
      <c r="DB483" s="2267"/>
      <c r="DC483" s="2267"/>
    </row>
    <row r="484" spans="1:107" s="15" customFormat="1">
      <c r="B484" s="2264" t="s">
        <v>2037</v>
      </c>
      <c r="C484" s="2255"/>
      <c r="D484" s="2256"/>
      <c r="E484" s="2256"/>
      <c r="F484" s="2256"/>
      <c r="G484" s="2256"/>
      <c r="H484" s="2256"/>
      <c r="I484" s="2256"/>
      <c r="J484" s="2256"/>
      <c r="K484" s="2256"/>
      <c r="L484" s="2256"/>
      <c r="M484" s="2257"/>
      <c r="N484" s="2257"/>
      <c r="O484" s="2257"/>
      <c r="P484" s="2258"/>
      <c r="Q484" s="2259"/>
      <c r="R484" s="2259"/>
      <c r="S484" s="2259"/>
      <c r="T484" s="2259"/>
      <c r="U484" s="2259"/>
      <c r="V484" s="2259"/>
      <c r="W484" s="2259"/>
      <c r="X484" s="2268"/>
      <c r="Y484" s="2268"/>
      <c r="Z484" s="2268"/>
      <c r="AA484" s="2268"/>
      <c r="AB484" s="2268"/>
      <c r="AC484" s="2268"/>
      <c r="AD484" s="2268"/>
      <c r="AE484" s="2255"/>
      <c r="AF484" s="2256"/>
      <c r="AG484" s="2256"/>
      <c r="AH484" s="2256"/>
      <c r="AI484" s="2256"/>
      <c r="AJ484" s="2256"/>
      <c r="AK484" s="2256"/>
      <c r="AL484" s="2256"/>
      <c r="AM484" s="2256"/>
      <c r="AN484" s="2256"/>
      <c r="AO484" s="2256"/>
      <c r="AP484" s="2256"/>
      <c r="AQ484" s="2256"/>
      <c r="AR484" s="2256"/>
      <c r="AS484" s="2256"/>
      <c r="AT484" s="2256"/>
      <c r="AU484" s="2256"/>
      <c r="AV484" s="2256"/>
      <c r="AW484" s="2256"/>
      <c r="AX484" s="2256"/>
      <c r="AY484" s="2256"/>
      <c r="AZ484" s="2256"/>
      <c r="BA484" s="2256"/>
      <c r="BB484" s="2256"/>
      <c r="BC484" s="2256"/>
      <c r="BD484" s="2260"/>
      <c r="BE484" s="2260"/>
      <c r="BF484" s="2260"/>
      <c r="BG484" s="2260"/>
      <c r="BH484" s="2260"/>
      <c r="BI484" s="2260"/>
      <c r="BJ484" s="2260"/>
      <c r="BK484" s="2260"/>
      <c r="BL484" s="2260"/>
      <c r="BM484" s="2260"/>
      <c r="BN484" s="2260"/>
      <c r="BO484" s="2260"/>
      <c r="BP484" s="2257"/>
      <c r="BQ484" s="2257"/>
      <c r="BR484" s="2257"/>
      <c r="BS484" s="2257"/>
      <c r="BT484" s="2257"/>
      <c r="BU484" s="2257"/>
      <c r="BV484" s="2257"/>
      <c r="BW484" s="2257"/>
      <c r="BX484" s="2257"/>
      <c r="BY484" s="2261"/>
      <c r="BZ484" s="2261"/>
      <c r="CA484" s="2261"/>
      <c r="CB484" s="2261"/>
      <c r="CC484" s="2261"/>
      <c r="CD484" s="2262"/>
      <c r="CE484" s="2262"/>
      <c r="CF484" s="2263"/>
      <c r="CG484" s="2259"/>
      <c r="CH484" s="2265"/>
      <c r="CI484" s="2265"/>
      <c r="CJ484" s="2265"/>
      <c r="CK484" s="2265"/>
      <c r="CL484" s="2266">
        <f>+CL483/CH483-1</f>
        <v>-3.1172351479557214E-2</v>
      </c>
      <c r="CM484" s="2266">
        <f>+CM483/CI483-1</f>
        <v>0.12181238615664847</v>
      </c>
      <c r="CN484" s="2266">
        <f>+CN483/CJ483-1</f>
        <v>6.8399452804377647E-2</v>
      </c>
      <c r="CO484" s="2266">
        <f>+CO483/CK483-1</f>
        <v>-1.4334470989761039E-2</v>
      </c>
      <c r="CP484" s="2266">
        <f t="shared" ref="CP484:CU484" ca="1" si="590">+CP483/CL483-1</f>
        <v>-6.6275906354850478E-2</v>
      </c>
      <c r="CQ484" s="2266">
        <f t="shared" si="590"/>
        <v>-0.18395264298761915</v>
      </c>
      <c r="CR484" s="2266">
        <f t="shared" si="590"/>
        <v>-0.15805672215108824</v>
      </c>
      <c r="CS484" s="2266">
        <f t="shared" si="590"/>
        <v>-7.0608333333333495E-2</v>
      </c>
      <c r="CT484" s="2266">
        <f t="shared" ca="1" si="590"/>
        <v>1.4789280539335037E-2</v>
      </c>
      <c r="CU484" s="2266">
        <f t="shared" si="590"/>
        <v>1.9905827884414196E-2</v>
      </c>
      <c r="CV484" s="2266"/>
      <c r="CW484" s="2266"/>
      <c r="CX484" s="2266"/>
      <c r="CY484" s="2266"/>
      <c r="CZ484" s="2266"/>
      <c r="DA484" s="2266"/>
      <c r="DB484" s="2266"/>
      <c r="DC484" s="2266"/>
    </row>
    <row r="485" spans="1:107" s="15" customFormat="1">
      <c r="B485" s="2264" t="s">
        <v>2038</v>
      </c>
      <c r="C485" s="2255"/>
      <c r="D485" s="2256"/>
      <c r="E485" s="2256"/>
      <c r="F485" s="2256"/>
      <c r="G485" s="2256"/>
      <c r="H485" s="2256"/>
      <c r="I485" s="2256"/>
      <c r="J485" s="2256"/>
      <c r="K485" s="2256"/>
      <c r="L485" s="2256"/>
      <c r="M485" s="2257"/>
      <c r="N485" s="2257"/>
      <c r="O485" s="2257"/>
      <c r="P485" s="2258"/>
      <c r="Q485" s="2259"/>
      <c r="R485" s="2259"/>
      <c r="S485" s="2259"/>
      <c r="T485" s="2259"/>
      <c r="U485" s="2259"/>
      <c r="V485" s="2259"/>
      <c r="W485" s="2259"/>
      <c r="X485" s="2259"/>
      <c r="Y485" s="2259"/>
      <c r="Z485" s="2259"/>
      <c r="AA485" s="2259"/>
      <c r="AB485" s="2259"/>
      <c r="AC485" s="2259"/>
      <c r="AD485" s="2259"/>
      <c r="AE485" s="2255"/>
      <c r="AF485" s="2256"/>
      <c r="AG485" s="2256"/>
      <c r="AH485" s="2256"/>
      <c r="AI485" s="2256"/>
      <c r="AJ485" s="2256"/>
      <c r="AK485" s="2256"/>
      <c r="AL485" s="2256"/>
      <c r="AM485" s="2256"/>
      <c r="AN485" s="2256"/>
      <c r="AO485" s="2256"/>
      <c r="AP485" s="2256"/>
      <c r="AQ485" s="2256"/>
      <c r="AR485" s="2256"/>
      <c r="AS485" s="2256"/>
      <c r="AT485" s="2256"/>
      <c r="AU485" s="2256"/>
      <c r="AV485" s="2256"/>
      <c r="AW485" s="2256"/>
      <c r="AX485" s="2256"/>
      <c r="AY485" s="2256"/>
      <c r="AZ485" s="2256"/>
      <c r="BA485" s="2256"/>
      <c r="BB485" s="2256"/>
      <c r="BC485" s="2256"/>
      <c r="BD485" s="2260"/>
      <c r="BE485" s="2260"/>
      <c r="BF485" s="2260"/>
      <c r="BG485" s="2260"/>
      <c r="BH485" s="2260"/>
      <c r="BI485" s="2260"/>
      <c r="BJ485" s="2260"/>
      <c r="BK485" s="2260"/>
      <c r="BL485" s="2260"/>
      <c r="BM485" s="2260"/>
      <c r="BN485" s="2260"/>
      <c r="BO485" s="2260"/>
      <c r="BP485" s="2257"/>
      <c r="BQ485" s="2257"/>
      <c r="BR485" s="2257"/>
      <c r="BS485" s="2257"/>
      <c r="BT485" s="2257"/>
      <c r="BU485" s="2257"/>
      <c r="BV485" s="2257"/>
      <c r="BW485" s="2257"/>
      <c r="BX485" s="2257"/>
      <c r="BY485" s="2261"/>
      <c r="BZ485" s="2261"/>
      <c r="CA485" s="2261"/>
      <c r="CB485" s="2261"/>
      <c r="CC485" s="2261"/>
      <c r="CD485" s="2262"/>
      <c r="CE485" s="2262"/>
      <c r="CF485" s="2263"/>
      <c r="CG485" s="2259"/>
      <c r="CH485" s="2265"/>
      <c r="CI485" s="2266">
        <f>+CI483/CH483-1</f>
        <v>-7.9060311723514465E-3</v>
      </c>
      <c r="CJ485" s="2266">
        <f t="shared" ref="CJ485:CO485" si="591">+CJ483/CI483-1</f>
        <v>-1.366120218579181E-3</v>
      </c>
      <c r="CK485" s="2266">
        <f t="shared" si="591"/>
        <v>2.0519835841312783E-3</v>
      </c>
      <c r="CL485" s="2266">
        <f t="shared" si="591"/>
        <v>-2.4118316268486928E-2</v>
      </c>
      <c r="CM485" s="2266">
        <f t="shared" si="591"/>
        <v>0.14875262298904168</v>
      </c>
      <c r="CN485" s="2266">
        <f t="shared" si="591"/>
        <v>-4.8914146539476344E-2</v>
      </c>
      <c r="CO485" s="2266">
        <f t="shared" si="591"/>
        <v>-7.5544174135723452E-2</v>
      </c>
      <c r="CP485" s="2266">
        <f t="shared" ref="CP485:CU485" ca="1" si="592">+CP483/CO483-1</f>
        <v>-7.5544174135723452E-2</v>
      </c>
      <c r="CQ485" s="2266">
        <f t="shared" ca="1" si="592"/>
        <v>3.9759584564269534E-3</v>
      </c>
      <c r="CR485" s="2266">
        <f t="shared" si="592"/>
        <v>-1.873300109697662E-2</v>
      </c>
      <c r="CS485" s="2266">
        <f t="shared" si="592"/>
        <v>2.0474375607392625E-2</v>
      </c>
      <c r="CT485" s="2266">
        <f t="shared" si="592"/>
        <v>9.3999075587503089E-3</v>
      </c>
      <c r="CU485" s="2266">
        <f t="shared" si="592"/>
        <v>9.0379852468887023E-3</v>
      </c>
      <c r="CV485" s="2268"/>
      <c r="CW485" s="2268"/>
      <c r="CX485" s="2268"/>
      <c r="CY485" s="2268"/>
      <c r="CZ485" s="2268"/>
      <c r="DA485" s="2268"/>
      <c r="DB485" s="2268"/>
      <c r="DC485" s="2268"/>
    </row>
    <row r="486" spans="1:107" s="15" customFormat="1">
      <c r="B486" s="2264" t="s">
        <v>2036</v>
      </c>
      <c r="C486" s="2255"/>
      <c r="D486" s="2256"/>
      <c r="E486" s="2256"/>
      <c r="F486" s="2256"/>
      <c r="G486" s="2256"/>
      <c r="H486" s="2256"/>
      <c r="I486" s="2256"/>
      <c r="J486" s="2256"/>
      <c r="K486" s="2256"/>
      <c r="L486" s="2256"/>
      <c r="M486" s="2257"/>
      <c r="N486" s="2257"/>
      <c r="O486" s="2257"/>
      <c r="P486" s="2258"/>
      <c r="Q486" s="2259"/>
      <c r="R486" s="2259"/>
      <c r="S486" s="2259"/>
      <c r="T486" s="2259"/>
      <c r="U486" s="2259"/>
      <c r="V486" s="2259"/>
      <c r="W486" s="2259"/>
      <c r="X486" s="2265"/>
      <c r="Y486" s="2265"/>
      <c r="Z486" s="2265"/>
      <c r="AA486" s="2265"/>
      <c r="AB486" s="2265"/>
      <c r="AC486" s="2265"/>
      <c r="AD486" s="2265"/>
      <c r="AE486" s="2255"/>
      <c r="AF486" s="2256"/>
      <c r="AG486" s="2256"/>
      <c r="AH486" s="2256"/>
      <c r="AI486" s="2256"/>
      <c r="AJ486" s="2256"/>
      <c r="AK486" s="2256"/>
      <c r="AL486" s="2256"/>
      <c r="AM486" s="2256"/>
      <c r="AN486" s="2256"/>
      <c r="AO486" s="2256"/>
      <c r="AP486" s="2256"/>
      <c r="AQ486" s="2256"/>
      <c r="AR486" s="2256"/>
      <c r="AS486" s="2256"/>
      <c r="AT486" s="2256"/>
      <c r="AU486" s="2256"/>
      <c r="AV486" s="2256"/>
      <c r="AW486" s="2256"/>
      <c r="AX486" s="2256"/>
      <c r="AY486" s="2256"/>
      <c r="AZ486" s="2256"/>
      <c r="BA486" s="2256"/>
      <c r="BB486" s="2256"/>
      <c r="BC486" s="2256"/>
      <c r="BD486" s="2260"/>
      <c r="BE486" s="2260"/>
      <c r="BF486" s="2260"/>
      <c r="BG486" s="2260"/>
      <c r="BH486" s="2260"/>
      <c r="BI486" s="2260"/>
      <c r="BJ486" s="2260"/>
      <c r="BK486" s="2260"/>
      <c r="BL486" s="2260"/>
      <c r="BM486" s="2260"/>
      <c r="BN486" s="2260"/>
      <c r="BO486" s="2260"/>
      <c r="BP486" s="2257"/>
      <c r="BQ486" s="2257"/>
      <c r="BR486" s="2257"/>
      <c r="BS486" s="2257"/>
      <c r="BT486" s="2257"/>
      <c r="BU486" s="2257"/>
      <c r="BV486" s="2257"/>
      <c r="BW486" s="2257"/>
      <c r="BX486" s="2257"/>
      <c r="BY486" s="2261"/>
      <c r="BZ486" s="2261"/>
      <c r="CA486" s="2261"/>
      <c r="CB486" s="2261"/>
      <c r="CC486" s="2261"/>
      <c r="CD486" s="2262"/>
      <c r="CE486" s="2262"/>
      <c r="CF486" s="2263"/>
      <c r="CG486" s="2259"/>
      <c r="CH486" s="2259"/>
      <c r="CI486" s="2259"/>
      <c r="CJ486" s="2259"/>
      <c r="CK486" s="2259"/>
      <c r="CL486" s="2269">
        <v>106.20424242424244</v>
      </c>
      <c r="CM486" s="2269">
        <v>118.12876923076927</v>
      </c>
      <c r="CN486" s="2265">
        <v>119.58000000000001</v>
      </c>
      <c r="CO486" s="2265">
        <v>122.65318181818185</v>
      </c>
      <c r="CP486" s="2265"/>
      <c r="CQ486" s="2265">
        <v>121.3969</v>
      </c>
      <c r="CR486" s="2265">
        <v>115.361</v>
      </c>
      <c r="CS486" s="2265">
        <v>107.93899999999999</v>
      </c>
      <c r="CT486" s="2265">
        <v>102.367</v>
      </c>
      <c r="CU486" s="2265">
        <v>109.352</v>
      </c>
      <c r="CV486" s="2265"/>
      <c r="CW486" s="2265"/>
      <c r="CX486" s="2265"/>
      <c r="CY486" s="2265"/>
      <c r="CZ486" s="2265"/>
      <c r="DA486" s="2265"/>
      <c r="DB486" s="2265"/>
      <c r="DC486" s="2265"/>
    </row>
    <row r="487" spans="1:107" s="15" customFormat="1">
      <c r="A487"/>
      <c r="B487" s="198"/>
      <c r="C487" s="197"/>
      <c r="D487" s="31"/>
      <c r="E487" s="31"/>
      <c r="F487" s="31"/>
      <c r="G487" s="31"/>
      <c r="H487" s="31"/>
      <c r="I487" s="31"/>
      <c r="J487" s="31"/>
      <c r="K487" s="31"/>
      <c r="L487" s="31"/>
      <c r="M487" s="199"/>
      <c r="N487" s="199"/>
      <c r="O487" s="199"/>
      <c r="P487" s="199"/>
      <c r="Q487" s="199"/>
      <c r="R487" s="199"/>
      <c r="S487" s="199"/>
      <c r="T487" s="199"/>
      <c r="U487" s="199"/>
      <c r="V487" s="199"/>
      <c r="W487" s="199"/>
      <c r="X487" s="199"/>
      <c r="Y487" s="199"/>
      <c r="Z487" s="199"/>
      <c r="AA487" s="199"/>
      <c r="AB487" s="199"/>
      <c r="AC487" s="199"/>
      <c r="AD487" s="199"/>
      <c r="AE487" s="197"/>
      <c r="AF487" s="31"/>
      <c r="AG487" s="31"/>
      <c r="AH487" s="31"/>
      <c r="AI487" s="31"/>
      <c r="AJ487" s="31"/>
      <c r="AK487" s="31"/>
      <c r="AL487" s="31"/>
      <c r="AM487" s="31"/>
      <c r="AN487" s="31"/>
      <c r="AO487" s="31"/>
      <c r="AP487" s="31"/>
      <c r="AQ487" s="31"/>
      <c r="AR487" s="31"/>
      <c r="AS487" s="31"/>
      <c r="AT487" s="31"/>
      <c r="AU487" s="31"/>
      <c r="AV487" s="31"/>
      <c r="AW487" s="31"/>
      <c r="AX487" s="31"/>
      <c r="AY487" s="31"/>
      <c r="AZ487" s="31"/>
      <c r="BA487" s="31"/>
      <c r="BB487" s="31"/>
      <c r="BC487" s="31"/>
      <c r="BD487" s="32"/>
      <c r="BE487" s="32"/>
      <c r="BF487" s="32"/>
      <c r="BG487" s="32"/>
      <c r="BH487" s="32"/>
      <c r="BI487" s="32"/>
      <c r="BJ487" s="32"/>
      <c r="BK487" s="32"/>
      <c r="BL487" s="32"/>
      <c r="BM487" s="32"/>
      <c r="BN487" s="32"/>
      <c r="BO487" s="32"/>
      <c r="BP487" s="199"/>
      <c r="BQ487" s="199"/>
      <c r="BR487" s="199"/>
      <c r="BS487" s="199"/>
      <c r="BT487" s="199"/>
      <c r="BU487" s="199"/>
      <c r="BV487" s="199"/>
      <c r="BW487" s="199"/>
      <c r="BX487" s="199"/>
      <c r="BY487" s="199"/>
      <c r="BZ487" s="24"/>
      <c r="CA487" s="24"/>
      <c r="CB487" s="24"/>
      <c r="CC487" s="24"/>
      <c r="CD487" s="24"/>
      <c r="CE487" s="24"/>
      <c r="CF487" s="24"/>
      <c r="CG487" s="24"/>
      <c r="CH487" s="24"/>
      <c r="CI487" s="24"/>
      <c r="CJ487" s="24"/>
      <c r="CK487" s="24"/>
      <c r="CL487" s="24"/>
      <c r="CM487" s="24"/>
      <c r="CN487" s="24"/>
      <c r="CO487" s="24"/>
      <c r="CP487" s="24"/>
      <c r="CQ487" s="24"/>
      <c r="CR487" s="24"/>
      <c r="CS487" s="24"/>
      <c r="CT487" s="24"/>
      <c r="CU487" s="24"/>
      <c r="CV487" s="24"/>
      <c r="CW487" s="24"/>
      <c r="CX487" s="24"/>
      <c r="CY487" s="24"/>
      <c r="CZ487" s="1646"/>
      <c r="DA487" s="1646"/>
      <c r="DB487" s="1646"/>
      <c r="DC487" s="1646"/>
    </row>
    <row r="488" spans="1:107" ht="15" customHeight="1">
      <c r="B488" s="71" t="s">
        <v>719</v>
      </c>
      <c r="C488" s="151"/>
      <c r="D488" s="151"/>
      <c r="E488" s="151"/>
      <c r="F488" s="151"/>
      <c r="G488" s="151"/>
      <c r="H488" s="151"/>
      <c r="I488" s="132"/>
      <c r="J488" s="132"/>
      <c r="K488" s="132"/>
      <c r="L488" s="132"/>
      <c r="M488" s="89"/>
      <c r="N488" s="89"/>
      <c r="O488" s="89"/>
      <c r="P488" s="89"/>
      <c r="Q488" s="89"/>
      <c r="R488" s="89"/>
      <c r="S488" s="89"/>
      <c r="T488" s="89"/>
      <c r="U488" s="89"/>
      <c r="V488" s="89"/>
      <c r="W488" s="89"/>
      <c r="X488" s="89"/>
      <c r="Y488" s="89"/>
      <c r="Z488" s="89"/>
      <c r="AA488" s="89"/>
      <c r="AB488" s="89"/>
      <c r="AC488" s="89"/>
      <c r="AD488" s="89"/>
      <c r="AE488" s="89"/>
      <c r="AF488" s="132"/>
      <c r="AG488" s="132"/>
      <c r="AH488" s="132"/>
      <c r="AI488" s="132"/>
      <c r="AJ488" s="132"/>
      <c r="AK488" s="132"/>
      <c r="AL488" s="132"/>
      <c r="AM488" s="132"/>
      <c r="AN488" s="132"/>
      <c r="AO488" s="132"/>
      <c r="AP488" s="132"/>
      <c r="AQ488" s="132"/>
      <c r="AR488" s="132"/>
      <c r="AS488" s="132"/>
      <c r="AT488" s="132"/>
      <c r="AU488" s="132"/>
      <c r="AV488" s="132"/>
      <c r="AW488" s="132"/>
      <c r="AX488" s="132"/>
      <c r="AY488" s="132"/>
      <c r="AZ488" s="132"/>
      <c r="BA488" s="132"/>
      <c r="BB488" s="132"/>
      <c r="BC488" s="132"/>
      <c r="BD488" s="152"/>
      <c r="BE488" s="152"/>
      <c r="BF488" s="152"/>
      <c r="BG488" s="152"/>
      <c r="BH488" s="152"/>
      <c r="BI488" s="152"/>
      <c r="BJ488" s="152"/>
      <c r="BK488" s="153"/>
      <c r="BL488" s="132"/>
      <c r="BM488" s="132"/>
      <c r="BN488" s="132"/>
      <c r="BO488" s="132"/>
      <c r="BP488" s="202"/>
      <c r="BQ488" s="202"/>
      <c r="BR488" s="202"/>
      <c r="BS488" s="202"/>
      <c r="BT488" s="202"/>
      <c r="BU488" s="202"/>
      <c r="BV488" s="271"/>
      <c r="BW488" s="89"/>
      <c r="BX488" s="89"/>
      <c r="BY488" s="89"/>
      <c r="BZ488" s="1639"/>
      <c r="CA488" s="1639"/>
      <c r="CB488" s="1639"/>
      <c r="CC488" s="1639"/>
      <c r="CD488" s="1639"/>
      <c r="CE488" s="1639"/>
      <c r="CF488" s="1639"/>
      <c r="CG488" s="1639"/>
      <c r="CH488" s="1639"/>
      <c r="CI488" s="1639"/>
      <c r="CJ488" s="1639"/>
      <c r="CK488" s="1639"/>
      <c r="CL488" s="1639"/>
      <c r="CM488" s="1639"/>
      <c r="CN488" s="1639"/>
      <c r="CO488" s="1639"/>
      <c r="CP488" s="1639"/>
      <c r="CQ488" s="1639"/>
      <c r="CR488" s="1639"/>
      <c r="CS488" s="1639"/>
      <c r="CT488" s="1639"/>
      <c r="CU488" s="1639"/>
      <c r="CV488" s="1639"/>
      <c r="CW488" s="1639"/>
      <c r="CX488" s="1639"/>
      <c r="CY488" s="1639"/>
      <c r="CZ488" s="1639"/>
      <c r="DA488" s="1639"/>
      <c r="DB488" s="1639"/>
      <c r="DC488" s="1639"/>
    </row>
    <row r="489" spans="1:107" ht="12.75" customHeight="1">
      <c r="B489" s="14"/>
      <c r="C489" s="16"/>
      <c r="D489" s="16"/>
      <c r="E489" s="16"/>
      <c r="F489" s="16"/>
      <c r="G489" s="16"/>
      <c r="H489" s="16"/>
      <c r="I489" s="15"/>
      <c r="J489" s="15"/>
      <c r="K489" s="15"/>
      <c r="L489" s="15"/>
      <c r="M489" s="23"/>
      <c r="N489" s="23"/>
      <c r="O489" s="23"/>
      <c r="P489" s="23"/>
      <c r="Q489" s="23"/>
      <c r="R489" s="23"/>
      <c r="S489" s="23"/>
      <c r="T489" s="23"/>
      <c r="U489" s="23"/>
      <c r="V489" s="23"/>
      <c r="W489" s="23"/>
      <c r="X489" s="23"/>
      <c r="Y489" s="23"/>
      <c r="Z489" s="23"/>
      <c r="AA489" s="23"/>
      <c r="AB489" s="23"/>
      <c r="AC489" s="23"/>
      <c r="AD489" s="23"/>
      <c r="AE489" s="23"/>
      <c r="AF489" s="15"/>
      <c r="AG489" s="15"/>
      <c r="AH489" s="15"/>
      <c r="AI489" s="15"/>
      <c r="AJ489" s="15"/>
      <c r="AK489" s="15"/>
      <c r="AL489" s="15"/>
      <c r="AM489" s="15"/>
      <c r="AN489" s="15"/>
      <c r="AO489" s="15"/>
      <c r="AP489" s="15"/>
      <c r="AQ489" s="15"/>
      <c r="AR489" s="15"/>
      <c r="AS489" s="15"/>
      <c r="AT489" s="15"/>
      <c r="AU489" s="15"/>
      <c r="AV489" s="15"/>
      <c r="AW489" s="15"/>
      <c r="AX489" s="15"/>
      <c r="AY489" s="15"/>
      <c r="AZ489" s="15"/>
      <c r="BA489" s="15"/>
      <c r="BB489" s="15"/>
      <c r="BC489" s="15"/>
      <c r="BD489" s="807"/>
      <c r="BE489" s="807"/>
      <c r="BF489" s="807"/>
      <c r="BG489" s="807"/>
      <c r="BH489" s="807"/>
      <c r="BI489" s="807"/>
      <c r="BJ489" s="807"/>
      <c r="BK489" s="808"/>
      <c r="BL489" s="15"/>
      <c r="BM489" s="15"/>
      <c r="BN489" s="15"/>
      <c r="BO489" s="15"/>
      <c r="BP489" s="2"/>
      <c r="BQ489" s="2"/>
      <c r="BR489" s="2"/>
      <c r="BS489" s="2"/>
      <c r="BT489" s="2"/>
      <c r="BU489" s="2"/>
      <c r="BV489" s="23"/>
      <c r="BW489" s="23"/>
      <c r="BX489" s="23"/>
      <c r="BY489" s="23"/>
      <c r="BZ489" s="23"/>
      <c r="CA489" s="23"/>
      <c r="CB489" s="23"/>
      <c r="CC489" s="23"/>
      <c r="CD489" s="23"/>
      <c r="CE489" s="23"/>
      <c r="CF489" s="23"/>
      <c r="CG489" s="23"/>
      <c r="CH489" s="23"/>
      <c r="CI489" s="23"/>
      <c r="CJ489" s="23"/>
      <c r="CK489" s="23"/>
      <c r="CL489" s="23"/>
      <c r="CM489" s="23"/>
      <c r="CN489" s="23"/>
      <c r="CO489" s="23"/>
      <c r="CP489" s="23"/>
      <c r="CQ489" s="23"/>
      <c r="CR489" s="23"/>
      <c r="CS489" s="23"/>
      <c r="CT489" s="23"/>
      <c r="CU489" s="23"/>
      <c r="CV489" s="23"/>
      <c r="CW489" s="23"/>
      <c r="CX489" s="23"/>
      <c r="CY489" s="23"/>
      <c r="CZ489" s="23"/>
      <c r="DA489" s="23"/>
      <c r="DB489" s="23"/>
      <c r="DC489" s="23"/>
    </row>
    <row r="490" spans="1:107">
      <c r="B490" s="19" t="s">
        <v>1050</v>
      </c>
      <c r="C490" s="16"/>
      <c r="D490" s="16"/>
      <c r="E490" s="16"/>
      <c r="F490" s="16"/>
      <c r="G490" s="16"/>
      <c r="H490" s="16"/>
      <c r="I490" s="15"/>
      <c r="J490" s="15"/>
      <c r="K490" s="15"/>
      <c r="L490" s="26">
        <f>SUM(BH490:BK490)</f>
        <v>26.697000000000003</v>
      </c>
      <c r="M490" s="54">
        <f>SUM(BL490:BO490)</f>
        <v>56.391999999999996</v>
      </c>
      <c r="N490" s="54">
        <f>SUM(BP490:BS490)</f>
        <v>88.1</v>
      </c>
      <c r="O490" s="54">
        <f>SUM(BT490:BW490)</f>
        <v>122.05600000000001</v>
      </c>
      <c r="P490" s="54">
        <f>SUM(BX490:CA490)</f>
        <v>161</v>
      </c>
      <c r="Q490" s="54">
        <f>SUM(CB490:CE490)</f>
        <v>232.49299999999999</v>
      </c>
      <c r="R490" s="54">
        <f>SUM(CF490:CI490)</f>
        <v>280.73299999999995</v>
      </c>
      <c r="S490" s="54">
        <f>SUM(CJ490:CM490)</f>
        <v>336.31200000000001</v>
      </c>
      <c r="T490" s="54">
        <f>SUM(CN490:CQ490)</f>
        <v>397.34499999999997</v>
      </c>
      <c r="U490" s="54">
        <f>SUM(CR490:CU490)</f>
        <v>543.04</v>
      </c>
      <c r="V490" s="54">
        <f>SUM(CV490:CY490)</f>
        <v>595.673</v>
      </c>
      <c r="W490" s="54">
        <f>SUM(CZ490:DC490)</f>
        <v>689.09137933761212</v>
      </c>
      <c r="X490" s="54">
        <f>X494-X493-X492-X491</f>
        <v>797.20683312373126</v>
      </c>
      <c r="Y490" s="54">
        <f>Y494-Y493-Y492-Y491</f>
        <v>897.91683574612523</v>
      </c>
      <c r="Z490" s="54">
        <f>Z494-Z493-Z492-Z491</f>
        <v>1006.4811806127007</v>
      </c>
      <c r="AA490" s="54">
        <f t="shared" ref="AA490:AD490" si="593">AA494-AA493-AA492-AA491</f>
        <v>1116.2790476017647</v>
      </c>
      <c r="AB490" s="54">
        <f t="shared" si="593"/>
        <v>1227.3433172884177</v>
      </c>
      <c r="AC490" s="54">
        <f t="shared" si="593"/>
        <v>1339.7417903350895</v>
      </c>
      <c r="AD490" s="54">
        <f t="shared" si="593"/>
        <v>1453.5582957966656</v>
      </c>
      <c r="AE490" s="23"/>
      <c r="AF490" s="15"/>
      <c r="AG490" s="15"/>
      <c r="AH490" s="15"/>
      <c r="AI490" s="15"/>
      <c r="AJ490" s="15"/>
      <c r="AK490" s="15"/>
      <c r="AL490" s="15"/>
      <c r="AM490" s="15"/>
      <c r="AN490" s="15"/>
      <c r="AO490" s="15"/>
      <c r="AP490" s="15"/>
      <c r="AQ490" s="15"/>
      <c r="AR490" s="15"/>
      <c r="AS490" s="15"/>
      <c r="AT490" s="15"/>
      <c r="AU490" s="15"/>
      <c r="AV490" s="15"/>
      <c r="AW490" s="15"/>
      <c r="AX490" s="15"/>
      <c r="AY490" s="15"/>
      <c r="AZ490" s="15"/>
      <c r="BA490" s="15"/>
      <c r="BB490" s="15"/>
      <c r="BC490" s="15"/>
      <c r="BD490" s="807"/>
      <c r="BE490" s="807"/>
      <c r="BF490" s="809"/>
      <c r="BG490" s="809"/>
      <c r="BH490" s="809"/>
      <c r="BI490" s="784">
        <v>7.6479999999999997</v>
      </c>
      <c r="BJ490" s="784">
        <v>8.5830000000000002</v>
      </c>
      <c r="BK490" s="784">
        <v>10.465999999999999</v>
      </c>
      <c r="BL490" s="784">
        <v>11.555999999999999</v>
      </c>
      <c r="BM490" s="784">
        <v>13.36</v>
      </c>
      <c r="BN490" s="784">
        <v>14.725</v>
      </c>
      <c r="BO490" s="784">
        <v>16.751000000000001</v>
      </c>
      <c r="BP490" s="784">
        <v>19.454999999999998</v>
      </c>
      <c r="BQ490" s="784">
        <v>20.88</v>
      </c>
      <c r="BR490" s="784">
        <v>22.690999999999999</v>
      </c>
      <c r="BS490" s="784">
        <v>25.074000000000002</v>
      </c>
      <c r="BT490" s="784">
        <v>26.984999999999999</v>
      </c>
      <c r="BU490" s="784">
        <v>28.853000000000002</v>
      </c>
      <c r="BV490" s="784">
        <v>31.672000000000001</v>
      </c>
      <c r="BW490" s="784">
        <v>34.545999999999999</v>
      </c>
      <c r="BX490" s="784">
        <v>36.338999999999999</v>
      </c>
      <c r="BY490" s="784">
        <v>39.100999999999999</v>
      </c>
      <c r="BZ490" s="784">
        <v>41.874000000000002</v>
      </c>
      <c r="CA490" s="784">
        <v>43.686</v>
      </c>
      <c r="CB490" s="784">
        <v>47.06</v>
      </c>
      <c r="CC490" s="784">
        <v>50.139000000000003</v>
      </c>
      <c r="CD490" s="784">
        <v>61.47</v>
      </c>
      <c r="CE490" s="784">
        <v>73.823999999999998</v>
      </c>
      <c r="CF490" s="784">
        <v>71.013999999999996</v>
      </c>
      <c r="CG490" s="784">
        <v>67.881</v>
      </c>
      <c r="CH490" s="784">
        <v>69.08</v>
      </c>
      <c r="CI490" s="784">
        <v>72.757999999999996</v>
      </c>
      <c r="CJ490" s="784">
        <v>75.832999999999998</v>
      </c>
      <c r="CK490" s="784">
        <v>82.655000000000001</v>
      </c>
      <c r="CL490" s="784">
        <v>86.613</v>
      </c>
      <c r="CM490" s="784">
        <v>91.210999999999999</v>
      </c>
      <c r="CN490" s="784">
        <v>90.878</v>
      </c>
      <c r="CO490" s="784">
        <v>94.194000000000003</v>
      </c>
      <c r="CP490" s="784">
        <v>99.775000000000006</v>
      </c>
      <c r="CQ490" s="784">
        <v>112.498</v>
      </c>
      <c r="CR490" s="784">
        <v>123.39400000000001</v>
      </c>
      <c r="CS490" s="784">
        <v>132.66999999999999</v>
      </c>
      <c r="CT490" s="784">
        <v>140.49299999999999</v>
      </c>
      <c r="CU490" s="784">
        <v>146.483</v>
      </c>
      <c r="CV490" s="784">
        <v>138.995</v>
      </c>
      <c r="CW490" s="784">
        <v>147.78299999999999</v>
      </c>
      <c r="CX490" s="784">
        <v>152.071</v>
      </c>
      <c r="CY490" s="784">
        <v>156.82400000000001</v>
      </c>
      <c r="CZ490" s="54">
        <f t="shared" ref="CZ490:DC490" si="594">CZ494-CZ493-CZ492-CZ491</f>
        <v>161.34918991316184</v>
      </c>
      <c r="DA490" s="54">
        <f t="shared" si="594"/>
        <v>167.21283951925744</v>
      </c>
      <c r="DB490" s="54">
        <f t="shared" si="594"/>
        <v>175.58952568397547</v>
      </c>
      <c r="DC490" s="54">
        <f t="shared" si="594"/>
        <v>184.93982422121741</v>
      </c>
    </row>
    <row r="491" spans="1:107">
      <c r="B491" s="19" t="s">
        <v>1124</v>
      </c>
      <c r="C491" s="16"/>
      <c r="D491" s="16"/>
      <c r="E491" s="16"/>
      <c r="F491" s="16"/>
      <c r="G491" s="16"/>
      <c r="H491" s="16"/>
      <c r="I491" s="15"/>
      <c r="J491" s="15"/>
      <c r="K491" s="15"/>
      <c r="L491" s="26">
        <f>SUM(BH491:BK491)</f>
        <v>3.4689999999999999</v>
      </c>
      <c r="M491" s="54">
        <f>SUM(BL491:BO491)</f>
        <v>7.1760000000000002</v>
      </c>
      <c r="N491" s="54">
        <f>SUM(BP491:BS491)</f>
        <v>10.905999999999999</v>
      </c>
      <c r="O491" s="54">
        <f>SUM(BT491:BW491)</f>
        <v>16.766999999999999</v>
      </c>
      <c r="P491" s="54">
        <f>SUM(BX491:CA491)</f>
        <v>24.326000000000001</v>
      </c>
      <c r="Q491" s="54">
        <f>SUM(CB491:CE491)</f>
        <v>32.754000000000005</v>
      </c>
      <c r="R491" s="54">
        <f>SUM(CF491:CI491)</f>
        <v>40.626000000000005</v>
      </c>
      <c r="S491" s="54">
        <f>SUM(CJ491:CM491)</f>
        <v>49.751000000000005</v>
      </c>
      <c r="T491" s="54">
        <f>SUM(CN491:CQ491)</f>
        <v>62.061</v>
      </c>
      <c r="U491" s="54">
        <f>SUM(CR491:CU491)</f>
        <v>89.335999999999984</v>
      </c>
      <c r="V491" s="54">
        <f>SUM(CV491:CY491)</f>
        <v>107.01400000000001</v>
      </c>
      <c r="W491" s="54">
        <f>SUM(CZ491:DC491)</f>
        <v>125.81789979382748</v>
      </c>
      <c r="X491" s="54">
        <f>X519*12*X515*X460/1000000</f>
        <v>142.56124201712447</v>
      </c>
      <c r="Y491" s="54">
        <f>Y519*12*Y515*Y460/1000000</f>
        <v>161.14819514120572</v>
      </c>
      <c r="Z491" s="54">
        <f>Z519*12*Z515*Z460/1000000</f>
        <v>181.97689686752682</v>
      </c>
      <c r="AA491" s="54">
        <f t="shared" ref="AA491:AD491" si="595">AA519*12*AA515*AA460/1000000</f>
        <v>204.00314876537291</v>
      </c>
      <c r="AB491" s="54">
        <f t="shared" si="595"/>
        <v>227.28664073545164</v>
      </c>
      <c r="AC491" s="54">
        <f t="shared" si="595"/>
        <v>251.88943152329401</v>
      </c>
      <c r="AD491" s="54">
        <f t="shared" si="595"/>
        <v>277.87607811540767</v>
      </c>
      <c r="AE491" s="23"/>
      <c r="AF491" s="15"/>
      <c r="AG491" s="15"/>
      <c r="AH491" s="15"/>
      <c r="AI491" s="15"/>
      <c r="AJ491" s="15"/>
      <c r="AK491" s="15"/>
      <c r="AL491" s="15"/>
      <c r="AM491" s="15"/>
      <c r="AN491" s="15"/>
      <c r="AO491" s="15"/>
      <c r="AP491" s="15"/>
      <c r="AQ491" s="15"/>
      <c r="AR491" s="15"/>
      <c r="AS491" s="15"/>
      <c r="AT491" s="15"/>
      <c r="AU491" s="15"/>
      <c r="AV491" s="15"/>
      <c r="AW491" s="15"/>
      <c r="AX491" s="15"/>
      <c r="AY491" s="15"/>
      <c r="AZ491" s="15"/>
      <c r="BA491" s="15"/>
      <c r="BB491" s="15"/>
      <c r="BC491" s="15"/>
      <c r="BD491" s="807"/>
      <c r="BE491" s="807"/>
      <c r="BF491" s="809"/>
      <c r="BG491" s="809"/>
      <c r="BH491" s="809"/>
      <c r="BI491" s="784">
        <v>0.99299999999999999</v>
      </c>
      <c r="BJ491" s="784">
        <v>1.1259999999999999</v>
      </c>
      <c r="BK491" s="784">
        <v>1.35</v>
      </c>
      <c r="BL491" s="784">
        <v>1.5349999999999999</v>
      </c>
      <c r="BM491" s="784">
        <v>1.6479999999999999</v>
      </c>
      <c r="BN491" s="784">
        <v>1.897</v>
      </c>
      <c r="BO491" s="784">
        <v>2.0960000000000001</v>
      </c>
      <c r="BP491" s="784">
        <v>2.2959999999999998</v>
      </c>
      <c r="BQ491" s="784">
        <v>2.516</v>
      </c>
      <c r="BR491" s="784">
        <v>2.831</v>
      </c>
      <c r="BS491" s="784">
        <v>3.2629999999999999</v>
      </c>
      <c r="BT491" s="784">
        <v>3.5289999999999999</v>
      </c>
      <c r="BU491" s="784">
        <v>3.86</v>
      </c>
      <c r="BV491" s="784">
        <v>4.43</v>
      </c>
      <c r="BW491" s="784">
        <v>4.9480000000000004</v>
      </c>
      <c r="BX491" s="784">
        <v>5.3410000000000002</v>
      </c>
      <c r="BY491" s="784">
        <v>5.8179999999999996</v>
      </c>
      <c r="BZ491" s="784">
        <v>6.3780000000000001</v>
      </c>
      <c r="CA491" s="784">
        <v>6.7889999999999997</v>
      </c>
      <c r="CB491" s="784">
        <v>7.32</v>
      </c>
      <c r="CC491" s="784">
        <v>7.7939999999999996</v>
      </c>
      <c r="CD491" s="784">
        <v>8.5500000000000007</v>
      </c>
      <c r="CE491" s="784">
        <v>9.09</v>
      </c>
      <c r="CF491" s="784">
        <v>9.4039999999999999</v>
      </c>
      <c r="CG491" s="784">
        <v>9.6989999999999998</v>
      </c>
      <c r="CH491" s="784">
        <v>10.433</v>
      </c>
      <c r="CI491" s="784">
        <v>11.09</v>
      </c>
      <c r="CJ491" s="784">
        <v>11.358000000000001</v>
      </c>
      <c r="CK491" s="784">
        <v>12.189</v>
      </c>
      <c r="CL491" s="784">
        <v>12.973000000000001</v>
      </c>
      <c r="CM491" s="784">
        <v>13.231</v>
      </c>
      <c r="CN491" s="784">
        <v>13.523999999999999</v>
      </c>
      <c r="CO491" s="784">
        <v>14.119</v>
      </c>
      <c r="CP491" s="784">
        <v>15.439</v>
      </c>
      <c r="CQ491" s="784">
        <v>18.978999999999999</v>
      </c>
      <c r="CR491" s="784">
        <v>21.568999999999999</v>
      </c>
      <c r="CS491" s="784">
        <v>23.436</v>
      </c>
      <c r="CT491" s="784">
        <v>21.172000000000001</v>
      </c>
      <c r="CU491" s="784">
        <v>23.158999999999999</v>
      </c>
      <c r="CV491" s="784">
        <v>24.859000000000002</v>
      </c>
      <c r="CW491" s="784">
        <v>25.780999999999999</v>
      </c>
      <c r="CX491" s="784">
        <v>27.593</v>
      </c>
      <c r="CY491" s="784">
        <v>28.780999999999999</v>
      </c>
      <c r="CZ491" s="809">
        <f t="shared" ref="CZ491:DC491" si="596">CZ519*3*CZ515*CZ460/1000000</f>
        <v>29.724763412463187</v>
      </c>
      <c r="DA491" s="809">
        <f t="shared" si="596"/>
        <v>30.661436183786364</v>
      </c>
      <c r="DB491" s="809">
        <f t="shared" si="596"/>
        <v>31.98261903858706</v>
      </c>
      <c r="DC491" s="809">
        <f t="shared" si="596"/>
        <v>33.449081158990872</v>
      </c>
    </row>
    <row r="492" spans="1:107">
      <c r="B492" s="19" t="s">
        <v>1221</v>
      </c>
      <c r="C492" s="16"/>
      <c r="D492" s="16"/>
      <c r="E492" s="16"/>
      <c r="F492" s="16"/>
      <c r="G492" s="16"/>
      <c r="H492" s="16"/>
      <c r="I492" s="15"/>
      <c r="J492" s="15"/>
      <c r="K492" s="15"/>
      <c r="L492" s="26">
        <f>SUM(BH492:BK492)</f>
        <v>10.762</v>
      </c>
      <c r="M492" s="54">
        <f>SUM(BL492:BO492)</f>
        <v>13.986000000000001</v>
      </c>
      <c r="N492" s="54">
        <f>SUM(BP492:BS492)</f>
        <v>14.428000000000001</v>
      </c>
      <c r="O492" s="54">
        <f>SUM(BT492:BW492)</f>
        <v>16.377000000000002</v>
      </c>
      <c r="P492" s="54">
        <f>SUM(BX492:CA492)</f>
        <v>18.826000000000001</v>
      </c>
      <c r="Q492" s="54">
        <f>SUM(CB492:CE492)</f>
        <v>22.138000000000002</v>
      </c>
      <c r="R492" s="54">
        <f>SUM(CF492:CI492)</f>
        <v>21.941000000000003</v>
      </c>
      <c r="S492" s="54">
        <f>SUM(CJ492:CM492)</f>
        <v>21.254999999999999</v>
      </c>
      <c r="T492" s="54">
        <f>SUM(CN492:CQ492)</f>
        <v>23.597999999999999</v>
      </c>
      <c r="U492" s="54">
        <f>SUM(CR492:CU492)</f>
        <v>78.102999999999994</v>
      </c>
      <c r="V492" s="54">
        <f>SUM(CV492:CY492)</f>
        <v>88.11</v>
      </c>
      <c r="W492" s="54">
        <f>SUM(CZ492:DC492)</f>
        <v>87.188000000000002</v>
      </c>
      <c r="X492" s="133">
        <f>W492+1</f>
        <v>88.188000000000002</v>
      </c>
      <c r="Y492" s="133">
        <f>X492+1</f>
        <v>89.188000000000002</v>
      </c>
      <c r="Z492" s="133">
        <f>Y492+1</f>
        <v>90.188000000000002</v>
      </c>
      <c r="AA492" s="133">
        <f t="shared" ref="AA492:AD492" si="597">Z492+1</f>
        <v>91.188000000000002</v>
      </c>
      <c r="AB492" s="133">
        <f t="shared" si="597"/>
        <v>92.188000000000002</v>
      </c>
      <c r="AC492" s="133">
        <f t="shared" si="597"/>
        <v>93.188000000000002</v>
      </c>
      <c r="AD492" s="133">
        <f t="shared" si="597"/>
        <v>94.188000000000002</v>
      </c>
      <c r="AE492" s="23"/>
      <c r="AF492" s="15"/>
      <c r="AG492" s="15"/>
      <c r="AH492" s="15"/>
      <c r="AI492" s="15"/>
      <c r="AJ492" s="15"/>
      <c r="AK492" s="15"/>
      <c r="AL492" s="15"/>
      <c r="AM492" s="15"/>
      <c r="AN492" s="15"/>
      <c r="AO492" s="15"/>
      <c r="AP492" s="15"/>
      <c r="AQ492" s="15"/>
      <c r="AR492" s="15"/>
      <c r="AS492" s="15"/>
      <c r="AT492" s="15"/>
      <c r="AU492" s="15"/>
      <c r="AV492" s="15"/>
      <c r="AW492" s="15"/>
      <c r="AX492" s="15"/>
      <c r="AY492" s="15"/>
      <c r="AZ492" s="15"/>
      <c r="BA492" s="15"/>
      <c r="BB492" s="15"/>
      <c r="BC492" s="15"/>
      <c r="BD492" s="818"/>
      <c r="BE492" s="818"/>
      <c r="BF492" s="809"/>
      <c r="BG492" s="809"/>
      <c r="BH492" s="809"/>
      <c r="BI492" s="784">
        <v>3.71</v>
      </c>
      <c r="BJ492" s="784">
        <v>3.8159999999999998</v>
      </c>
      <c r="BK492" s="784">
        <v>3.2360000000000002</v>
      </c>
      <c r="BL492" s="784">
        <v>3.6619999999999999</v>
      </c>
      <c r="BM492" s="784">
        <v>3.5249999999999999</v>
      </c>
      <c r="BN492" s="784">
        <v>3.4319999999999999</v>
      </c>
      <c r="BO492" s="784">
        <v>3.367</v>
      </c>
      <c r="BP492" s="784">
        <v>3.5350000000000001</v>
      </c>
      <c r="BQ492" s="784">
        <v>3.59</v>
      </c>
      <c r="BR492" s="784">
        <v>3.5150000000000001</v>
      </c>
      <c r="BS492" s="784">
        <v>3.7879999999999998</v>
      </c>
      <c r="BT492" s="784">
        <v>3.86</v>
      </c>
      <c r="BU492" s="784">
        <v>3.9460000000000002</v>
      </c>
      <c r="BV492" s="784">
        <v>4.25</v>
      </c>
      <c r="BW492" s="784">
        <v>4.3209999999999997</v>
      </c>
      <c r="BX492" s="784">
        <v>4.5119999999999996</v>
      </c>
      <c r="BY492" s="784">
        <v>4.9039999999999999</v>
      </c>
      <c r="BZ492" s="784">
        <v>4.726</v>
      </c>
      <c r="CA492" s="784">
        <v>4.6840000000000002</v>
      </c>
      <c r="CB492" s="784">
        <v>4.8879999999999999</v>
      </c>
      <c r="CC492" s="784">
        <v>4.9180000000000001</v>
      </c>
      <c r="CD492" s="784">
        <v>6.1020000000000003</v>
      </c>
      <c r="CE492" s="784">
        <v>6.23</v>
      </c>
      <c r="CF492" s="784">
        <v>5.7240000000000002</v>
      </c>
      <c r="CG492" s="784">
        <v>5.49</v>
      </c>
      <c r="CH492" s="784">
        <v>5.2930000000000001</v>
      </c>
      <c r="CI492" s="784">
        <v>5.4340000000000002</v>
      </c>
      <c r="CJ492" s="784">
        <v>5.407</v>
      </c>
      <c r="CK492" s="784">
        <v>5.5369999999999999</v>
      </c>
      <c r="CL492" s="784">
        <v>5.3639999999999999</v>
      </c>
      <c r="CM492" s="784">
        <v>4.9470000000000001</v>
      </c>
      <c r="CN492" s="784">
        <v>4.7770000000000001</v>
      </c>
      <c r="CO492" s="784">
        <v>4.71</v>
      </c>
      <c r="CP492" s="784">
        <v>4.6639999999999997</v>
      </c>
      <c r="CQ492" s="784">
        <v>9.4469999999999992</v>
      </c>
      <c r="CR492" s="784">
        <v>15.006</v>
      </c>
      <c r="CS492" s="784">
        <v>16.597000000000001</v>
      </c>
      <c r="CT492" s="784">
        <v>24.138000000000002</v>
      </c>
      <c r="CU492" s="784">
        <v>22.361999999999998</v>
      </c>
      <c r="CV492" s="784">
        <v>21.876000000000001</v>
      </c>
      <c r="CW492" s="784">
        <v>21.983000000000001</v>
      </c>
      <c r="CX492" s="784">
        <v>22.454000000000001</v>
      </c>
      <c r="CY492" s="784">
        <v>21.797000000000001</v>
      </c>
      <c r="CZ492" s="133">
        <f t="shared" ref="CZ492:CZ493" si="598">CY492</f>
        <v>21.797000000000001</v>
      </c>
      <c r="DA492" s="133">
        <f t="shared" ref="DA492:DA493" si="599">CZ492</f>
        <v>21.797000000000001</v>
      </c>
      <c r="DB492" s="133">
        <f t="shared" ref="DB492:DB493" si="600">DA492</f>
        <v>21.797000000000001</v>
      </c>
      <c r="DC492" s="133">
        <f t="shared" ref="DC492:DC493" si="601">DB492</f>
        <v>21.797000000000001</v>
      </c>
    </row>
    <row r="493" spans="1:107">
      <c r="B493" s="19" t="s">
        <v>1222</v>
      </c>
      <c r="C493" s="14"/>
      <c r="D493" s="14"/>
      <c r="E493" s="14"/>
      <c r="F493" s="14"/>
      <c r="G493" s="14"/>
      <c r="H493" s="14"/>
      <c r="I493" s="14"/>
      <c r="J493" s="14"/>
      <c r="K493" s="14"/>
      <c r="L493" s="26">
        <f>SUM(BH493:BK493)</f>
        <v>0</v>
      </c>
      <c r="M493" s="54">
        <f>SUM(BL493:BO493)</f>
        <v>0</v>
      </c>
      <c r="N493" s="54">
        <f>SUM(BP493:BS493)</f>
        <v>0</v>
      </c>
      <c r="O493" s="54">
        <f>SUM(BT493:BW493)</f>
        <v>0</v>
      </c>
      <c r="P493" s="54">
        <f>SUM(BX493:CA493)</f>
        <v>0</v>
      </c>
      <c r="Q493" s="54">
        <f>SUM(CB493:CE493)</f>
        <v>0</v>
      </c>
      <c r="R493" s="54">
        <f>SUM(CF493:CI493)</f>
        <v>0</v>
      </c>
      <c r="S493" s="54">
        <f>SUM(CJ493:CM493)</f>
        <v>0</v>
      </c>
      <c r="T493" s="54">
        <f>SUM(CN493:CQ493)</f>
        <v>2.2749999999999999</v>
      </c>
      <c r="U493" s="54">
        <f>SUM(CR493:CU493)</f>
        <v>8.0980000000000008</v>
      </c>
      <c r="V493" s="54">
        <f>SUM(CV493:CY493)</f>
        <v>0</v>
      </c>
      <c r="W493" s="54">
        <f>SUM(CZ493:DC493)</f>
        <v>0</v>
      </c>
      <c r="X493" s="133">
        <f>W493</f>
        <v>0</v>
      </c>
      <c r="Y493" s="133">
        <f>X493</f>
        <v>0</v>
      </c>
      <c r="Z493" s="133">
        <f>Y493</f>
        <v>0</v>
      </c>
      <c r="AA493" s="133">
        <f t="shared" ref="AA493:AD493" si="602">Z493</f>
        <v>0</v>
      </c>
      <c r="AB493" s="133">
        <f t="shared" si="602"/>
        <v>0</v>
      </c>
      <c r="AC493" s="133">
        <f t="shared" si="602"/>
        <v>0</v>
      </c>
      <c r="AD493" s="133">
        <f t="shared" si="602"/>
        <v>0</v>
      </c>
      <c r="AE493" s="14"/>
      <c r="AF493" s="14"/>
      <c r="AG493" s="14"/>
      <c r="AH493" s="14"/>
      <c r="AI493" s="14"/>
      <c r="AJ493" s="14"/>
      <c r="AK493" s="14"/>
      <c r="AL493" s="14"/>
      <c r="AM493" s="14"/>
      <c r="AN493" s="14"/>
      <c r="AO493" s="14"/>
      <c r="AP493" s="14"/>
      <c r="AQ493" s="14"/>
      <c r="AR493" s="14"/>
      <c r="AS493" s="14"/>
      <c r="AT493" s="14"/>
      <c r="AU493" s="14"/>
      <c r="AV493" s="14"/>
      <c r="AW493" s="14"/>
      <c r="AX493" s="14"/>
      <c r="AY493" s="14"/>
      <c r="AZ493" s="14"/>
      <c r="BA493" s="14"/>
      <c r="BB493" s="14"/>
      <c r="BC493" s="14"/>
      <c r="BD493" s="14"/>
      <c r="BE493" s="14"/>
      <c r="BF493" s="809"/>
      <c r="BG493" s="809"/>
      <c r="BH493" s="809"/>
      <c r="BI493" s="784">
        <v>0</v>
      </c>
      <c r="BJ493" s="784">
        <v>0</v>
      </c>
      <c r="BK493" s="784">
        <v>0</v>
      </c>
      <c r="BL493" s="784">
        <v>0</v>
      </c>
      <c r="BM493" s="784">
        <v>0</v>
      </c>
      <c r="BN493" s="784">
        <v>0</v>
      </c>
      <c r="BO493" s="784">
        <v>0</v>
      </c>
      <c r="BP493" s="784">
        <v>0</v>
      </c>
      <c r="BQ493" s="784">
        <v>0</v>
      </c>
      <c r="BR493" s="784">
        <v>0</v>
      </c>
      <c r="BS493" s="784">
        <v>0</v>
      </c>
      <c r="BT493" s="784">
        <v>0</v>
      </c>
      <c r="BU493" s="784">
        <v>0</v>
      </c>
      <c r="BV493" s="784">
        <v>0</v>
      </c>
      <c r="BW493" s="784">
        <v>0</v>
      </c>
      <c r="BX493" s="784">
        <v>0</v>
      </c>
      <c r="BY493" s="784">
        <v>0</v>
      </c>
      <c r="BZ493" s="784">
        <v>0</v>
      </c>
      <c r="CA493" s="784">
        <v>0</v>
      </c>
      <c r="CB493" s="784">
        <v>0</v>
      </c>
      <c r="CC493" s="784">
        <v>0</v>
      </c>
      <c r="CD493" s="784">
        <v>0</v>
      </c>
      <c r="CE493" s="784">
        <v>0</v>
      </c>
      <c r="CF493" s="784">
        <v>0</v>
      </c>
      <c r="CG493" s="784">
        <v>0</v>
      </c>
      <c r="CH493" s="784">
        <v>0</v>
      </c>
      <c r="CI493" s="784">
        <v>0</v>
      </c>
      <c r="CJ493" s="784">
        <v>0</v>
      </c>
      <c r="CK493" s="784">
        <v>0</v>
      </c>
      <c r="CL493" s="784">
        <v>0</v>
      </c>
      <c r="CM493" s="784">
        <v>0</v>
      </c>
      <c r="CN493" s="784">
        <v>0</v>
      </c>
      <c r="CO493" s="784">
        <v>0</v>
      </c>
      <c r="CP493" s="784">
        <v>0</v>
      </c>
      <c r="CQ493" s="784">
        <v>2.2749999999999999</v>
      </c>
      <c r="CR493" s="784">
        <v>3.5880000000000001</v>
      </c>
      <c r="CS493" s="784">
        <v>3.7789999999999999</v>
      </c>
      <c r="CT493" s="784">
        <v>0.55100000000000005</v>
      </c>
      <c r="CU493" s="784">
        <v>0.18</v>
      </c>
      <c r="CV493" s="784"/>
      <c r="CW493" s="784"/>
      <c r="CX493" s="784"/>
      <c r="CY493" s="784"/>
      <c r="CZ493" s="133">
        <f t="shared" si="598"/>
        <v>0</v>
      </c>
      <c r="DA493" s="133">
        <f t="shared" si="599"/>
        <v>0</v>
      </c>
      <c r="DB493" s="133">
        <f t="shared" si="600"/>
        <v>0</v>
      </c>
      <c r="DC493" s="133">
        <f t="shared" si="601"/>
        <v>0</v>
      </c>
    </row>
    <row r="494" spans="1:107">
      <c r="B494" s="14" t="s">
        <v>1407</v>
      </c>
      <c r="C494" s="14"/>
      <c r="D494" s="14"/>
      <c r="E494" s="14"/>
      <c r="F494" s="14"/>
      <c r="G494" s="14"/>
      <c r="H494" s="14"/>
      <c r="I494" s="14"/>
      <c r="J494" s="14"/>
      <c r="K494" s="14"/>
      <c r="L494" s="195">
        <f>SUM(L490:L493)</f>
        <v>40.928000000000004</v>
      </c>
      <c r="M494" s="195">
        <f>SUM(M490:M493)</f>
        <v>77.554000000000002</v>
      </c>
      <c r="N494" s="195">
        <f>SUM(N490:N493)</f>
        <v>113.434</v>
      </c>
      <c r="O494" s="195">
        <f>SUM(O490:O493)</f>
        <v>155.20000000000002</v>
      </c>
      <c r="P494" s="195">
        <f>(P471*12*P460)/1000000</f>
        <v>205.35</v>
      </c>
      <c r="Q494" s="195">
        <f>(Q471*12*Q460)/1000000+Q478</f>
        <v>307.43594999999999</v>
      </c>
      <c r="R494" s="195">
        <f>(R471*12*R460)/1000000+R478</f>
        <v>364.15075000000002</v>
      </c>
      <c r="S494" s="195">
        <f>(S471*12*S460)/1000000+S478</f>
        <v>424.46159999999998</v>
      </c>
      <c r="T494" s="195">
        <f>(T471*12*T460)/1000000</f>
        <v>466.95600000000002</v>
      </c>
      <c r="U494" s="195">
        <f>SUM(CR494:CU494)</f>
        <v>718.577</v>
      </c>
      <c r="V494" s="195">
        <f>SUM(CV494:CY494)</f>
        <v>790.79700000000003</v>
      </c>
      <c r="W494" s="195">
        <f>SUM(CZ494:DC494)</f>
        <v>902.09727913143956</v>
      </c>
      <c r="X494" s="2241">
        <f t="shared" ref="X494:Z494" si="603">(X471*12*X460)/1000000+X481</f>
        <v>1027.9560751408558</v>
      </c>
      <c r="Y494" s="2241">
        <f t="shared" si="603"/>
        <v>1148.2530308873311</v>
      </c>
      <c r="Z494" s="2241">
        <f t="shared" si="603"/>
        <v>1278.6460774802276</v>
      </c>
      <c r="AA494" s="2241">
        <f t="shared" ref="AA494:AD494" si="604">(AA471*12*AA460)/1000000+AA481</f>
        <v>1411.4701963671378</v>
      </c>
      <c r="AB494" s="2241">
        <f t="shared" si="604"/>
        <v>1546.8179580238693</v>
      </c>
      <c r="AC494" s="2241">
        <f t="shared" si="604"/>
        <v>1684.8192218583836</v>
      </c>
      <c r="AD494" s="2241">
        <f t="shared" si="604"/>
        <v>1825.6223739120733</v>
      </c>
      <c r="AE494" s="14"/>
      <c r="AF494" s="14"/>
      <c r="AG494" s="14"/>
      <c r="AH494" s="14"/>
      <c r="AI494" s="14"/>
      <c r="AJ494" s="14"/>
      <c r="AK494" s="14"/>
      <c r="AL494" s="14"/>
      <c r="AM494" s="14"/>
      <c r="AN494" s="14"/>
      <c r="AO494" s="14"/>
      <c r="AP494" s="14"/>
      <c r="AQ494" s="14"/>
      <c r="AR494" s="14"/>
      <c r="AS494" s="14"/>
      <c r="AT494" s="14"/>
      <c r="AU494" s="14"/>
      <c r="AV494" s="14"/>
      <c r="AW494" s="14"/>
      <c r="AX494" s="14"/>
      <c r="AY494" s="14"/>
      <c r="AZ494" s="14"/>
      <c r="BA494" s="14"/>
      <c r="BB494" s="14"/>
      <c r="BC494" s="14"/>
      <c r="BD494" s="14"/>
      <c r="BE494" s="14"/>
      <c r="BF494" s="195"/>
      <c r="BG494" s="195"/>
      <c r="BH494" s="195"/>
      <c r="BI494" s="195">
        <f t="shared" ref="BI494:CJ494" si="605">SUM(BI490:BI493)</f>
        <v>12.350999999999999</v>
      </c>
      <c r="BJ494" s="195">
        <f t="shared" si="605"/>
        <v>13.524999999999999</v>
      </c>
      <c r="BK494" s="195">
        <f t="shared" si="605"/>
        <v>15.052</v>
      </c>
      <c r="BL494" s="195">
        <f t="shared" si="605"/>
        <v>16.753</v>
      </c>
      <c r="BM494" s="195">
        <f t="shared" si="605"/>
        <v>18.532999999999998</v>
      </c>
      <c r="BN494" s="195">
        <f t="shared" si="605"/>
        <v>20.053999999999998</v>
      </c>
      <c r="BO494" s="195">
        <f t="shared" si="605"/>
        <v>22.214000000000002</v>
      </c>
      <c r="BP494" s="195">
        <f t="shared" si="605"/>
        <v>25.285999999999998</v>
      </c>
      <c r="BQ494" s="195">
        <f t="shared" si="605"/>
        <v>26.986000000000001</v>
      </c>
      <c r="BR494" s="195">
        <f t="shared" si="605"/>
        <v>29.036999999999999</v>
      </c>
      <c r="BS494" s="195">
        <f t="shared" si="605"/>
        <v>32.125</v>
      </c>
      <c r="BT494" s="195">
        <f t="shared" si="605"/>
        <v>34.374000000000002</v>
      </c>
      <c r="BU494" s="195">
        <f t="shared" si="605"/>
        <v>36.658999999999999</v>
      </c>
      <c r="BV494" s="195">
        <f t="shared" si="605"/>
        <v>40.352000000000004</v>
      </c>
      <c r="BW494" s="195">
        <f t="shared" si="605"/>
        <v>43.814999999999998</v>
      </c>
      <c r="BX494" s="195">
        <f t="shared" si="605"/>
        <v>46.192</v>
      </c>
      <c r="BY494" s="195">
        <f t="shared" si="605"/>
        <v>49.822999999999993</v>
      </c>
      <c r="BZ494" s="195">
        <f t="shared" si="605"/>
        <v>52.978000000000002</v>
      </c>
      <c r="CA494" s="195">
        <f t="shared" si="605"/>
        <v>55.158999999999999</v>
      </c>
      <c r="CB494" s="195">
        <f t="shared" si="605"/>
        <v>59.268000000000001</v>
      </c>
      <c r="CC494" s="195">
        <f t="shared" si="605"/>
        <v>62.850999999999999</v>
      </c>
      <c r="CD494" s="195">
        <f t="shared" si="605"/>
        <v>76.122</v>
      </c>
      <c r="CE494" s="195">
        <f t="shared" si="605"/>
        <v>89.144000000000005</v>
      </c>
      <c r="CF494" s="195">
        <f t="shared" si="605"/>
        <v>86.141999999999996</v>
      </c>
      <c r="CG494" s="195">
        <f t="shared" si="605"/>
        <v>83.07</v>
      </c>
      <c r="CH494" s="195">
        <f t="shared" si="605"/>
        <v>84.806000000000012</v>
      </c>
      <c r="CI494" s="195">
        <f t="shared" si="605"/>
        <v>89.281999999999996</v>
      </c>
      <c r="CJ494" s="195">
        <f t="shared" si="605"/>
        <v>92.597999999999999</v>
      </c>
      <c r="CK494" s="195">
        <f t="shared" ref="CK494:CP494" si="606">SUM(CK490:CK493)</f>
        <v>100.381</v>
      </c>
      <c r="CL494" s="195">
        <f t="shared" si="606"/>
        <v>104.95</v>
      </c>
      <c r="CM494" s="195">
        <f t="shared" si="606"/>
        <v>109.389</v>
      </c>
      <c r="CN494" s="195">
        <f t="shared" si="606"/>
        <v>109.179</v>
      </c>
      <c r="CO494" s="195">
        <f t="shared" si="606"/>
        <v>113.023</v>
      </c>
      <c r="CP494" s="195">
        <f t="shared" si="606"/>
        <v>119.878</v>
      </c>
      <c r="CQ494" s="195">
        <f t="shared" ref="CQ494:CW494" si="607">SUM(CQ490:CQ493)</f>
        <v>143.19900000000001</v>
      </c>
      <c r="CR494" s="195">
        <f t="shared" si="607"/>
        <v>163.55699999999999</v>
      </c>
      <c r="CS494" s="195">
        <f t="shared" si="607"/>
        <v>176.482</v>
      </c>
      <c r="CT494" s="195">
        <f t="shared" si="607"/>
        <v>186.35399999999998</v>
      </c>
      <c r="CU494" s="195">
        <f t="shared" si="607"/>
        <v>192.184</v>
      </c>
      <c r="CV494" s="195">
        <f t="shared" si="607"/>
        <v>185.73000000000002</v>
      </c>
      <c r="CW494" s="195">
        <f t="shared" si="607"/>
        <v>195.547</v>
      </c>
      <c r="CX494" s="195">
        <f t="shared" ref="CX494:CY494" si="608">SUM(CX490:CX493)</f>
        <v>202.11799999999999</v>
      </c>
      <c r="CY494" s="195">
        <f t="shared" si="608"/>
        <v>207.40200000000002</v>
      </c>
      <c r="CZ494" s="2241">
        <f t="shared" ref="CZ494:DC494" si="609">CZ471*CZ460*3/1000000+CZ481</f>
        <v>212.87095332562501</v>
      </c>
      <c r="DA494" s="2241">
        <f t="shared" si="609"/>
        <v>219.67127570304379</v>
      </c>
      <c r="DB494" s="2241">
        <f t="shared" si="609"/>
        <v>229.36914472256251</v>
      </c>
      <c r="DC494" s="2241">
        <f t="shared" si="609"/>
        <v>240.18590538020828</v>
      </c>
    </row>
    <row r="495" spans="1:107">
      <c r="B495" s="18" t="s">
        <v>1409</v>
      </c>
      <c r="C495" s="16"/>
      <c r="D495" s="16"/>
      <c r="E495" s="16"/>
      <c r="F495" s="16"/>
      <c r="G495" s="16"/>
      <c r="H495" s="16"/>
      <c r="I495" s="15"/>
      <c r="J495" s="15"/>
      <c r="K495" s="15"/>
      <c r="L495" s="26"/>
      <c r="M495" s="827">
        <f t="shared" ref="M495:Z495" si="610">M494/L494-1</f>
        <v>0.8948885848318997</v>
      </c>
      <c r="N495" s="827">
        <f t="shared" si="610"/>
        <v>0.46264538257214327</v>
      </c>
      <c r="O495" s="827">
        <f t="shared" si="610"/>
        <v>0.36819648429924023</v>
      </c>
      <c r="P495" s="827">
        <f t="shared" si="610"/>
        <v>0.32313144329896892</v>
      </c>
      <c r="Q495" s="827">
        <f t="shared" si="610"/>
        <v>0.49713148283418551</v>
      </c>
      <c r="R495" s="827">
        <f t="shared" si="610"/>
        <v>0.18447679915117288</v>
      </c>
      <c r="S495" s="827">
        <f t="shared" si="610"/>
        <v>0.16562055687102095</v>
      </c>
      <c r="T495" s="827">
        <f t="shared" si="610"/>
        <v>0.10011364985666549</v>
      </c>
      <c r="U495" s="827">
        <f t="shared" si="610"/>
        <v>0.53885376780681682</v>
      </c>
      <c r="V495" s="827">
        <f t="shared" si="610"/>
        <v>0.10050419092178009</v>
      </c>
      <c r="W495" s="827">
        <f t="shared" si="610"/>
        <v>0.14074443773995027</v>
      </c>
      <c r="X495" s="38">
        <f t="shared" si="610"/>
        <v>0.13951798649763814</v>
      </c>
      <c r="Y495" s="38">
        <f t="shared" si="610"/>
        <v>0.11702538528214013</v>
      </c>
      <c r="Z495" s="38">
        <f t="shared" si="610"/>
        <v>0.11355776391213457</v>
      </c>
      <c r="AA495" s="38">
        <f t="shared" ref="AA495" si="611">AA494/Z494-1</f>
        <v>0.10387872080181948</v>
      </c>
      <c r="AB495" s="38">
        <f t="shared" ref="AB495" si="612">AB494/AA494-1</f>
        <v>9.5891335151880419E-2</v>
      </c>
      <c r="AC495" s="38">
        <f t="shared" ref="AC495" si="613">AC494/AB494-1</f>
        <v>8.9216228140263532E-2</v>
      </c>
      <c r="AD495" s="38">
        <f t="shared" ref="AD495" si="614">AD494/AC494-1</f>
        <v>8.3571667646562986E-2</v>
      </c>
      <c r="AE495" s="23"/>
      <c r="AF495" s="15"/>
      <c r="AG495" s="15"/>
      <c r="AH495" s="15"/>
      <c r="AI495" s="15"/>
      <c r="AJ495" s="15"/>
      <c r="AK495" s="15"/>
      <c r="AL495" s="15"/>
      <c r="AM495" s="15"/>
      <c r="AN495" s="15"/>
      <c r="AO495" s="15"/>
      <c r="AP495" s="15"/>
      <c r="AQ495" s="15"/>
      <c r="AR495" s="15"/>
      <c r="AS495" s="15"/>
      <c r="AT495" s="15"/>
      <c r="AU495" s="15"/>
      <c r="AV495" s="15"/>
      <c r="AW495" s="15"/>
      <c r="AX495" s="15"/>
      <c r="AY495" s="15"/>
      <c r="AZ495" s="15"/>
      <c r="BA495" s="15"/>
      <c r="BB495" s="15"/>
      <c r="BC495" s="15"/>
      <c r="BD495" s="16"/>
      <c r="BE495" s="16"/>
      <c r="BF495" s="16"/>
      <c r="BG495" s="15"/>
      <c r="BH495" s="15"/>
      <c r="BI495" s="15"/>
      <c r="BJ495" s="15"/>
      <c r="BK495" s="15"/>
      <c r="BL495" s="15"/>
      <c r="BM495" s="38">
        <v>0.50052627317626097</v>
      </c>
      <c r="BN495" s="38">
        <v>0.48273567467652501</v>
      </c>
      <c r="BO495" s="38">
        <v>0.47581716715386668</v>
      </c>
      <c r="BP495" s="38">
        <f t="shared" ref="BP495:CY495" si="615">BP494/BL494-1</f>
        <v>0.50934161045782833</v>
      </c>
      <c r="BQ495" s="38">
        <f t="shared" si="615"/>
        <v>0.45610532563535333</v>
      </c>
      <c r="BR495" s="38">
        <f t="shared" si="615"/>
        <v>0.44794056048668596</v>
      </c>
      <c r="BS495" s="38">
        <f t="shared" si="615"/>
        <v>0.44616007922931478</v>
      </c>
      <c r="BT495" s="38">
        <f t="shared" si="615"/>
        <v>0.35940836826702549</v>
      </c>
      <c r="BU495" s="38">
        <f t="shared" si="615"/>
        <v>0.35844511969169202</v>
      </c>
      <c r="BV495" s="38">
        <f t="shared" si="615"/>
        <v>0.38967524193270675</v>
      </c>
      <c r="BW495" s="38">
        <f t="shared" si="615"/>
        <v>0.36389105058365745</v>
      </c>
      <c r="BX495" s="38">
        <f t="shared" si="615"/>
        <v>0.34380636527608077</v>
      </c>
      <c r="BY495" s="38">
        <f t="shared" si="615"/>
        <v>0.35909326495539973</v>
      </c>
      <c r="BZ495" s="38">
        <f t="shared" si="615"/>
        <v>0.31289651070578905</v>
      </c>
      <c r="CA495" s="38">
        <f t="shared" si="615"/>
        <v>0.25890676708889648</v>
      </c>
      <c r="CB495" s="38">
        <f t="shared" si="615"/>
        <v>0.28307932109456191</v>
      </c>
      <c r="CC495" s="38">
        <f t="shared" si="615"/>
        <v>0.26148565923368738</v>
      </c>
      <c r="CD495" s="38">
        <f t="shared" si="615"/>
        <v>0.43686058363849134</v>
      </c>
      <c r="CE495" s="38">
        <f t="shared" si="615"/>
        <v>0.61612792110081771</v>
      </c>
      <c r="CF495" s="38">
        <f t="shared" si="615"/>
        <v>0.45343186879935193</v>
      </c>
      <c r="CG495" s="38">
        <f t="shared" si="615"/>
        <v>0.32169734769534286</v>
      </c>
      <c r="CH495" s="38">
        <f t="shared" si="615"/>
        <v>0.11408002942644724</v>
      </c>
      <c r="CI495" s="38">
        <f t="shared" si="615"/>
        <v>1.5480570761912116E-3</v>
      </c>
      <c r="CJ495" s="38">
        <f t="shared" si="615"/>
        <v>7.4946019363376859E-2</v>
      </c>
      <c r="CK495" s="38">
        <f t="shared" si="615"/>
        <v>0.20839051402431696</v>
      </c>
      <c r="CL495" s="38">
        <f t="shared" si="615"/>
        <v>0.23753036341768263</v>
      </c>
      <c r="CM495" s="38">
        <f t="shared" si="615"/>
        <v>0.22520776864317549</v>
      </c>
      <c r="CN495" s="38">
        <f t="shared" si="615"/>
        <v>0.17906434264238968</v>
      </c>
      <c r="CO495" s="38">
        <f t="shared" si="615"/>
        <v>0.12594016796007201</v>
      </c>
      <c r="CP495" s="38">
        <f t="shared" si="615"/>
        <v>0.14223916150547877</v>
      </c>
      <c r="CQ495" s="38">
        <f t="shared" si="615"/>
        <v>0.30908043770397398</v>
      </c>
      <c r="CR495" s="38">
        <f t="shared" si="615"/>
        <v>0.49806281427747079</v>
      </c>
      <c r="CS495" s="38">
        <f t="shared" si="615"/>
        <v>0.56146978933491409</v>
      </c>
      <c r="CT495" s="38">
        <f t="shared" si="615"/>
        <v>0.5545304392799344</v>
      </c>
      <c r="CU495" s="38">
        <f t="shared" si="615"/>
        <v>0.34207641114812248</v>
      </c>
      <c r="CV495" s="38">
        <f t="shared" si="615"/>
        <v>0.13556741686384588</v>
      </c>
      <c r="CW495" s="38">
        <f t="shared" si="615"/>
        <v>0.10802801418841579</v>
      </c>
      <c r="CX495" s="38">
        <f t="shared" si="615"/>
        <v>8.4591691082563258E-2</v>
      </c>
      <c r="CY495" s="38">
        <f t="shared" si="615"/>
        <v>7.9184531490654964E-2</v>
      </c>
      <c r="CZ495" s="38">
        <f t="shared" ref="CZ495:DC495" si="616">CZ494/CV494-1</f>
        <v>0.14613122988006788</v>
      </c>
      <c r="DA495" s="38">
        <f t="shared" si="616"/>
        <v>0.12336817083894824</v>
      </c>
      <c r="DB495" s="38">
        <f t="shared" si="616"/>
        <v>0.13482789619213786</v>
      </c>
      <c r="DC495" s="38">
        <f t="shared" si="616"/>
        <v>0.1580693791776755</v>
      </c>
    </row>
    <row r="496" spans="1:107">
      <c r="B496" s="16" t="s">
        <v>1408</v>
      </c>
      <c r="C496" s="16"/>
      <c r="D496" s="16"/>
      <c r="E496" s="16"/>
      <c r="F496" s="16"/>
      <c r="G496" s="16"/>
      <c r="H496" s="16"/>
      <c r="I496" s="15"/>
      <c r="J496" s="15"/>
      <c r="K496" s="15"/>
      <c r="L496" s="26">
        <f>SUM(BH496:BK496)</f>
        <v>3.5630000000000002</v>
      </c>
      <c r="M496" s="54">
        <f>SUM(BL496:BO496)</f>
        <v>6.8209999999999997</v>
      </c>
      <c r="N496" s="54">
        <f>SUM(BP496:BS496)</f>
        <v>5.55</v>
      </c>
      <c r="O496" s="54">
        <f>SUM(BT496:BW496)</f>
        <v>7.1659999999999986</v>
      </c>
      <c r="P496" s="54">
        <f>SUM(BX496:CA496)</f>
        <v>11.695</v>
      </c>
      <c r="Q496" s="54">
        <f>SUM(CB496:CE496)</f>
        <v>17.228000000000002</v>
      </c>
      <c r="R496" s="54">
        <f>SUM(CF496:CI496)</f>
        <v>19.673999999999999</v>
      </c>
      <c r="S496" s="54">
        <f>SUM(CJ496:CM496)</f>
        <v>23.088999999999999</v>
      </c>
      <c r="T496" s="54">
        <f>SUM(CN496:CQ496)</f>
        <v>29.245999999999995</v>
      </c>
      <c r="U496" s="54">
        <f>SUM(CR496:CU496)</f>
        <v>42.524000000000001</v>
      </c>
      <c r="V496" s="54">
        <f>SUM(CV496:CY496)</f>
        <v>58.614999999999995</v>
      </c>
      <c r="W496" s="54">
        <f>SUM(CZ496:DC496)</f>
        <v>69.080000000000013</v>
      </c>
      <c r="X496" s="133">
        <f>W496+1.25</f>
        <v>70.330000000000013</v>
      </c>
      <c r="Y496" s="133">
        <f>X496+1.25</f>
        <v>71.580000000000013</v>
      </c>
      <c r="Z496" s="133">
        <f>Y496+1.25</f>
        <v>72.830000000000013</v>
      </c>
      <c r="AA496" s="133">
        <f t="shared" ref="AA496:AD496" si="617">Z496+1.25</f>
        <v>74.080000000000013</v>
      </c>
      <c r="AB496" s="133">
        <f t="shared" si="617"/>
        <v>75.330000000000013</v>
      </c>
      <c r="AC496" s="133">
        <f t="shared" si="617"/>
        <v>76.580000000000013</v>
      </c>
      <c r="AD496" s="133">
        <f t="shared" si="617"/>
        <v>77.830000000000013</v>
      </c>
      <c r="AE496" s="23"/>
      <c r="AF496" s="15"/>
      <c r="AG496" s="15"/>
      <c r="AH496" s="15"/>
      <c r="AI496" s="15"/>
      <c r="AJ496" s="15"/>
      <c r="AK496" s="15"/>
      <c r="AL496" s="15"/>
      <c r="AM496" s="15"/>
      <c r="AN496" s="15"/>
      <c r="AO496" s="15"/>
      <c r="AP496" s="15"/>
      <c r="AQ496" s="15"/>
      <c r="AR496" s="15"/>
      <c r="AS496" s="15"/>
      <c r="AT496" s="15"/>
      <c r="AU496" s="15"/>
      <c r="AV496" s="15"/>
      <c r="AW496" s="15"/>
      <c r="AX496" s="15"/>
      <c r="AY496" s="15"/>
      <c r="AZ496" s="15"/>
      <c r="BA496" s="15"/>
      <c r="BB496" s="15"/>
      <c r="BC496" s="15"/>
      <c r="BD496" s="16"/>
      <c r="BE496" s="16"/>
      <c r="BF496" s="16"/>
      <c r="BG496" s="26"/>
      <c r="BH496" s="26"/>
      <c r="BI496" s="398">
        <v>1.236</v>
      </c>
      <c r="BJ496" s="398">
        <v>1.1180000000000001</v>
      </c>
      <c r="BK496" s="398">
        <v>1.2090000000000001</v>
      </c>
      <c r="BL496" s="398">
        <v>1.42</v>
      </c>
      <c r="BM496" s="398">
        <v>2.0710000000000002</v>
      </c>
      <c r="BN496" s="398">
        <v>1.5249999999999999</v>
      </c>
      <c r="BO496" s="398">
        <v>1.8049999999999999</v>
      </c>
      <c r="BP496" s="398">
        <v>1.2509999999999999</v>
      </c>
      <c r="BQ496" s="398">
        <v>1.38</v>
      </c>
      <c r="BR496" s="398">
        <v>1.381</v>
      </c>
      <c r="BS496" s="398">
        <v>1.538</v>
      </c>
      <c r="BT496" s="398">
        <v>1.5549999999999999</v>
      </c>
      <c r="BU496" s="398">
        <v>1.7050000000000001</v>
      </c>
      <c r="BV496" s="398">
        <v>1.8759999999999999</v>
      </c>
      <c r="BW496" s="398">
        <v>2.0299999999999998</v>
      </c>
      <c r="BX496" s="398">
        <v>2.2709999999999999</v>
      </c>
      <c r="BY496" s="398">
        <v>2.577</v>
      </c>
      <c r="BZ496" s="398">
        <v>3.4449999999999998</v>
      </c>
      <c r="CA496" s="398">
        <v>3.4020000000000001</v>
      </c>
      <c r="CB496" s="398">
        <v>3.4729999999999999</v>
      </c>
      <c r="CC496" s="398">
        <v>4.0860000000000003</v>
      </c>
      <c r="CD496" s="398">
        <v>5.0519999999999996</v>
      </c>
      <c r="CE496" s="398">
        <v>4.617</v>
      </c>
      <c r="CF496" s="398">
        <v>4.2309999999999999</v>
      </c>
      <c r="CG496" s="398">
        <v>5.3239999999999998</v>
      </c>
      <c r="CH496" s="398">
        <v>5.6109999999999998</v>
      </c>
      <c r="CI496" s="398">
        <v>4.508</v>
      </c>
      <c r="CJ496" s="398">
        <v>5.992</v>
      </c>
      <c r="CK496" s="398">
        <v>5.3620000000000001</v>
      </c>
      <c r="CL496" s="398">
        <v>6.4980000000000002</v>
      </c>
      <c r="CM496" s="398">
        <v>5.2370000000000001</v>
      </c>
      <c r="CN496" s="398">
        <v>5.4029999999999996</v>
      </c>
      <c r="CO496" s="398">
        <v>7.1449999999999996</v>
      </c>
      <c r="CP496" s="398">
        <v>6.5780000000000003</v>
      </c>
      <c r="CQ496" s="398">
        <v>10.119999999999999</v>
      </c>
      <c r="CR496" s="398">
        <v>8.3490000000000002</v>
      </c>
      <c r="CS496" s="398">
        <v>9.9480000000000004</v>
      </c>
      <c r="CT496" s="398">
        <v>11.93</v>
      </c>
      <c r="CU496" s="398">
        <v>12.297000000000001</v>
      </c>
      <c r="CV496" s="398">
        <v>12.500999999999999</v>
      </c>
      <c r="CW496" s="398">
        <v>14.321999999999999</v>
      </c>
      <c r="CX496" s="398">
        <v>14.772</v>
      </c>
      <c r="CY496" s="398">
        <v>17.02</v>
      </c>
      <c r="CZ496" s="133">
        <f t="shared" ref="CZ496:DC496" si="618">CY496+0.1</f>
        <v>17.12</v>
      </c>
      <c r="DA496" s="133">
        <f t="shared" si="618"/>
        <v>17.220000000000002</v>
      </c>
      <c r="DB496" s="133">
        <f t="shared" si="618"/>
        <v>17.320000000000004</v>
      </c>
      <c r="DC496" s="133">
        <f t="shared" si="618"/>
        <v>17.420000000000005</v>
      </c>
    </row>
    <row r="497" spans="2:107">
      <c r="B497" s="14" t="s">
        <v>988</v>
      </c>
      <c r="C497" s="14"/>
      <c r="D497" s="14"/>
      <c r="E497" s="14"/>
      <c r="F497" s="14"/>
      <c r="G497" s="14"/>
      <c r="H497" s="14"/>
      <c r="I497" s="14"/>
      <c r="J497" s="195">
        <f>SUM(AZ497:BC497)</f>
        <v>29.667000000000002</v>
      </c>
      <c r="K497" s="195">
        <f>SUM(BD497:BG497)</f>
        <v>40.848999999999997</v>
      </c>
      <c r="L497" s="195">
        <f t="shared" ref="L497:Z497" si="619">L496+L494</f>
        <v>44.491000000000007</v>
      </c>
      <c r="M497" s="195">
        <f t="shared" si="619"/>
        <v>84.375</v>
      </c>
      <c r="N497" s="195">
        <f t="shared" si="619"/>
        <v>118.98399999999999</v>
      </c>
      <c r="O497" s="195">
        <f t="shared" si="619"/>
        <v>162.36600000000001</v>
      </c>
      <c r="P497" s="195">
        <f t="shared" si="619"/>
        <v>217.04499999999999</v>
      </c>
      <c r="Q497" s="195">
        <f t="shared" si="619"/>
        <v>324.66395</v>
      </c>
      <c r="R497" s="195">
        <f t="shared" si="619"/>
        <v>383.82474999999999</v>
      </c>
      <c r="S497" s="195">
        <f t="shared" si="619"/>
        <v>447.55059999999997</v>
      </c>
      <c r="T497" s="195">
        <f>T496+T494</f>
        <v>496.202</v>
      </c>
      <c r="U497" s="195">
        <f>U496+U494</f>
        <v>761.101</v>
      </c>
      <c r="V497" s="195">
        <f>V496+V494</f>
        <v>849.41200000000003</v>
      </c>
      <c r="W497" s="195">
        <f>W496+W494</f>
        <v>971.1772791314396</v>
      </c>
      <c r="X497" s="195">
        <f t="shared" si="619"/>
        <v>1098.2860751408557</v>
      </c>
      <c r="Y497" s="195">
        <f t="shared" si="619"/>
        <v>1219.833030887331</v>
      </c>
      <c r="Z497" s="195">
        <f t="shared" si="619"/>
        <v>1351.4760774802276</v>
      </c>
      <c r="AA497" s="195">
        <f t="shared" ref="AA497:AD497" si="620">AA496+AA494</f>
        <v>1485.5501963671377</v>
      </c>
      <c r="AB497" s="195">
        <f t="shared" si="620"/>
        <v>1622.1479580238693</v>
      </c>
      <c r="AC497" s="195">
        <f t="shared" si="620"/>
        <v>1761.3992218583835</v>
      </c>
      <c r="AD497" s="195">
        <f t="shared" si="620"/>
        <v>1903.4523739120732</v>
      </c>
      <c r="AE497" s="14"/>
      <c r="AF497" s="14"/>
      <c r="AG497" s="14"/>
      <c r="AH497" s="14"/>
      <c r="AI497" s="14"/>
      <c r="AJ497" s="14"/>
      <c r="AK497" s="14"/>
      <c r="AL497" s="14"/>
      <c r="AM497" s="14"/>
      <c r="AN497" s="14"/>
      <c r="AO497" s="14"/>
      <c r="AP497" s="14"/>
      <c r="AQ497" s="14"/>
      <c r="AR497" s="14"/>
      <c r="AS497" s="14"/>
      <c r="AT497" s="14"/>
      <c r="AU497" s="14"/>
      <c r="AV497" s="14"/>
      <c r="AW497" s="14"/>
      <c r="AX497" s="14"/>
      <c r="AY497" s="14"/>
      <c r="AZ497" s="814">
        <v>6.6680000000000001</v>
      </c>
      <c r="BA497" s="814">
        <v>7.0949999999999998</v>
      </c>
      <c r="BB497" s="814">
        <v>7.569</v>
      </c>
      <c r="BC497" s="814">
        <v>8.3350000000000009</v>
      </c>
      <c r="BD497" s="814">
        <v>9.0289999999999999</v>
      </c>
      <c r="BE497" s="814">
        <v>9.6479999999999997</v>
      </c>
      <c r="BF497" s="814">
        <v>10.071999999999999</v>
      </c>
      <c r="BG497" s="814">
        <v>12.1</v>
      </c>
      <c r="BH497" s="814">
        <v>12.583</v>
      </c>
      <c r="BI497" s="195">
        <f t="shared" ref="BI497:CJ497" si="621">BI496+BI494</f>
        <v>13.587</v>
      </c>
      <c r="BJ497" s="195">
        <f t="shared" si="621"/>
        <v>14.642999999999999</v>
      </c>
      <c r="BK497" s="195">
        <f t="shared" si="621"/>
        <v>16.260999999999999</v>
      </c>
      <c r="BL497" s="195">
        <f t="shared" si="621"/>
        <v>18.173000000000002</v>
      </c>
      <c r="BM497" s="195">
        <f t="shared" si="621"/>
        <v>20.603999999999999</v>
      </c>
      <c r="BN497" s="195">
        <f t="shared" si="621"/>
        <v>21.578999999999997</v>
      </c>
      <c r="BO497" s="195">
        <f t="shared" si="621"/>
        <v>24.019000000000002</v>
      </c>
      <c r="BP497" s="195">
        <f t="shared" si="621"/>
        <v>26.536999999999999</v>
      </c>
      <c r="BQ497" s="195">
        <f t="shared" si="621"/>
        <v>28.366</v>
      </c>
      <c r="BR497" s="195">
        <f t="shared" si="621"/>
        <v>30.417999999999999</v>
      </c>
      <c r="BS497" s="195">
        <f t="shared" si="621"/>
        <v>33.662999999999997</v>
      </c>
      <c r="BT497" s="195">
        <f t="shared" si="621"/>
        <v>35.929000000000002</v>
      </c>
      <c r="BU497" s="195">
        <f t="shared" si="621"/>
        <v>38.363999999999997</v>
      </c>
      <c r="BV497" s="195">
        <f t="shared" si="621"/>
        <v>42.228000000000002</v>
      </c>
      <c r="BW497" s="195">
        <f t="shared" si="621"/>
        <v>45.844999999999999</v>
      </c>
      <c r="BX497" s="195">
        <f t="shared" si="621"/>
        <v>48.463000000000001</v>
      </c>
      <c r="BY497" s="195">
        <f t="shared" si="621"/>
        <v>52.399999999999991</v>
      </c>
      <c r="BZ497" s="195">
        <f t="shared" si="621"/>
        <v>56.423000000000002</v>
      </c>
      <c r="CA497" s="195">
        <f t="shared" si="621"/>
        <v>58.561</v>
      </c>
      <c r="CB497" s="195">
        <f t="shared" si="621"/>
        <v>62.741</v>
      </c>
      <c r="CC497" s="195">
        <f t="shared" si="621"/>
        <v>66.936999999999998</v>
      </c>
      <c r="CD497" s="195">
        <f t="shared" si="621"/>
        <v>81.174000000000007</v>
      </c>
      <c r="CE497" s="195">
        <f t="shared" si="621"/>
        <v>93.76100000000001</v>
      </c>
      <c r="CF497" s="195">
        <f t="shared" si="621"/>
        <v>90.37299999999999</v>
      </c>
      <c r="CG497" s="195">
        <f t="shared" si="621"/>
        <v>88.393999999999991</v>
      </c>
      <c r="CH497" s="195">
        <f t="shared" si="621"/>
        <v>90.417000000000016</v>
      </c>
      <c r="CI497" s="195">
        <f t="shared" si="621"/>
        <v>93.789999999999992</v>
      </c>
      <c r="CJ497" s="195">
        <f t="shared" si="621"/>
        <v>98.59</v>
      </c>
      <c r="CK497" s="195">
        <f t="shared" ref="CK497:CQ497" si="622">CK496+CK494</f>
        <v>105.74299999999999</v>
      </c>
      <c r="CL497" s="195">
        <f t="shared" si="622"/>
        <v>111.44800000000001</v>
      </c>
      <c r="CM497" s="195">
        <f t="shared" si="622"/>
        <v>114.62599999999999</v>
      </c>
      <c r="CN497" s="195">
        <f t="shared" si="622"/>
        <v>114.58200000000001</v>
      </c>
      <c r="CO497" s="195">
        <f t="shared" si="622"/>
        <v>120.16799999999999</v>
      </c>
      <c r="CP497" s="195">
        <f t="shared" si="622"/>
        <v>126.456</v>
      </c>
      <c r="CQ497" s="195">
        <f t="shared" si="622"/>
        <v>153.31900000000002</v>
      </c>
      <c r="CR497" s="195">
        <f t="shared" ref="CR497:CU497" si="623">CR496+CR494</f>
        <v>171.90599999999998</v>
      </c>
      <c r="CS497" s="195">
        <f t="shared" si="623"/>
        <v>186.43</v>
      </c>
      <c r="CT497" s="195">
        <f t="shared" si="623"/>
        <v>198.28399999999999</v>
      </c>
      <c r="CU497" s="195">
        <f t="shared" si="623"/>
        <v>204.48099999999999</v>
      </c>
      <c r="CV497" s="195">
        <f>CV496+CV494</f>
        <v>198.23100000000002</v>
      </c>
      <c r="CW497" s="195">
        <f>CW496+CW494</f>
        <v>209.869</v>
      </c>
      <c r="CX497" s="195">
        <f>CX496+CX494</f>
        <v>216.89</v>
      </c>
      <c r="CY497" s="195">
        <f>CY496+CY494</f>
        <v>224.42200000000003</v>
      </c>
      <c r="CZ497" s="195">
        <f t="shared" ref="CZ497:DC497" si="624">CZ496+CZ494</f>
        <v>229.99095332562501</v>
      </c>
      <c r="DA497" s="195">
        <f t="shared" si="624"/>
        <v>236.89127570304379</v>
      </c>
      <c r="DB497" s="195">
        <f t="shared" si="624"/>
        <v>246.6891447225625</v>
      </c>
      <c r="DC497" s="195">
        <f t="shared" si="624"/>
        <v>257.6059053802083</v>
      </c>
    </row>
    <row r="498" spans="2:107">
      <c r="B498" s="14"/>
      <c r="C498" s="14"/>
      <c r="D498" s="14"/>
      <c r="E498" s="14"/>
      <c r="F498" s="14"/>
      <c r="G498" s="14"/>
      <c r="H498" s="14"/>
      <c r="I498" s="14"/>
      <c r="J498" s="14"/>
      <c r="K498" s="195"/>
      <c r="L498" s="195"/>
      <c r="M498" s="14"/>
      <c r="N498" s="14"/>
      <c r="O498" s="14"/>
      <c r="P498" s="14"/>
      <c r="Q498" s="14"/>
      <c r="R498" s="14"/>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14"/>
      <c r="AR498" s="14"/>
      <c r="AS498" s="14"/>
      <c r="AT498" s="14"/>
      <c r="AU498" s="14"/>
      <c r="AV498" s="14"/>
      <c r="AW498" s="14"/>
      <c r="AX498" s="14"/>
      <c r="AY498" s="14"/>
      <c r="AZ498" s="195"/>
      <c r="BA498" s="195"/>
      <c r="BB498" s="195"/>
      <c r="BC498" s="195"/>
      <c r="BD498" s="195"/>
      <c r="BE498" s="195"/>
      <c r="BF498" s="195"/>
      <c r="BG498" s="195"/>
      <c r="BH498" s="195"/>
      <c r="BI498" s="195"/>
      <c r="BJ498" s="195"/>
      <c r="BK498" s="195"/>
      <c r="BL498" s="195"/>
      <c r="BM498" s="195"/>
      <c r="BN498" s="195"/>
      <c r="BO498" s="195"/>
      <c r="BP498" s="195"/>
      <c r="BQ498" s="195"/>
      <c r="BR498" s="195"/>
      <c r="BS498" s="195"/>
      <c r="BT498" s="195"/>
      <c r="BU498" s="55"/>
      <c r="BV498" s="24"/>
      <c r="BW498" s="23"/>
      <c r="BX498" s="23"/>
      <c r="BY498" s="23"/>
      <c r="BZ498" s="23"/>
      <c r="CA498" s="23"/>
      <c r="CB498" s="23"/>
      <c r="CC498" s="23"/>
      <c r="CD498" s="23"/>
      <c r="CE498" s="23"/>
      <c r="CF498" s="23"/>
      <c r="CG498" s="23"/>
      <c r="CH498" s="23"/>
      <c r="CI498" s="23"/>
      <c r="CJ498" s="23"/>
      <c r="CK498" s="23"/>
      <c r="CL498" s="23"/>
      <c r="CM498" s="23"/>
      <c r="CN498" s="23"/>
      <c r="CO498" s="23"/>
      <c r="CP498" s="23"/>
      <c r="CQ498" s="23"/>
      <c r="CR498" s="23"/>
      <c r="CS498" s="23"/>
      <c r="CT498" s="23"/>
      <c r="CU498" s="23"/>
      <c r="CV498" s="23"/>
      <c r="CW498" s="23"/>
      <c r="CX498" s="23"/>
      <c r="CY498" s="23"/>
      <c r="CZ498" s="23"/>
      <c r="DA498" s="23"/>
      <c r="DB498" s="23"/>
      <c r="DC498" s="23"/>
    </row>
    <row r="499" spans="2:107">
      <c r="B499" s="16" t="s">
        <v>712</v>
      </c>
      <c r="C499" s="16"/>
      <c r="D499" s="16"/>
      <c r="E499" s="16"/>
      <c r="F499" s="16"/>
      <c r="G499" s="16"/>
      <c r="H499" s="16"/>
      <c r="I499" s="15"/>
      <c r="J499" s="15"/>
      <c r="K499" s="15"/>
      <c r="L499" s="26">
        <f>SUM(BH499:BK499)</f>
        <v>19.481000000000002</v>
      </c>
      <c r="M499" s="54">
        <f>SUM(BL499:BO499)</f>
        <v>35.006</v>
      </c>
      <c r="N499" s="54">
        <f>SUM(BP499:BS499)</f>
        <v>43.637</v>
      </c>
      <c r="O499" s="23"/>
      <c r="P499" s="23"/>
      <c r="Q499" s="23"/>
      <c r="R499" s="23"/>
      <c r="S499" s="23"/>
      <c r="T499" s="23"/>
      <c r="U499" s="23"/>
      <c r="V499" s="23"/>
      <c r="W499" s="23"/>
      <c r="X499" s="23"/>
      <c r="Y499" s="23"/>
      <c r="Z499" s="23"/>
      <c r="AA499" s="23"/>
      <c r="AB499" s="23"/>
      <c r="AC499" s="23"/>
      <c r="AD499" s="23"/>
      <c r="AE499" s="23"/>
      <c r="AF499" s="15"/>
      <c r="AG499" s="15"/>
      <c r="AH499" s="15"/>
      <c r="AI499" s="15"/>
      <c r="AJ499" s="15"/>
      <c r="AK499" s="15"/>
      <c r="AL499" s="15"/>
      <c r="AM499" s="15"/>
      <c r="AN499" s="15"/>
      <c r="AO499" s="15"/>
      <c r="AP499" s="15"/>
      <c r="AQ499" s="15"/>
      <c r="AR499" s="15"/>
      <c r="AS499" s="15"/>
      <c r="AT499" s="15"/>
      <c r="AU499" s="15"/>
      <c r="AV499" s="15"/>
      <c r="AW499" s="15"/>
      <c r="AX499" s="15"/>
      <c r="AY499" s="15"/>
      <c r="AZ499" s="15"/>
      <c r="BA499" s="15"/>
      <c r="BB499" s="15"/>
      <c r="BC499" s="15"/>
      <c r="BD499" s="807"/>
      <c r="BE499" s="807"/>
      <c r="BF499" s="807"/>
      <c r="BG499" s="26"/>
      <c r="BH499" s="26"/>
      <c r="BI499" s="398">
        <v>5.84</v>
      </c>
      <c r="BJ499" s="398">
        <v>6.5359999999999996</v>
      </c>
      <c r="BK499" s="398">
        <v>7.1050000000000004</v>
      </c>
      <c r="BL499" s="398">
        <v>7.7690000000000001</v>
      </c>
      <c r="BM499" s="398">
        <v>8.8719999999999999</v>
      </c>
      <c r="BN499" s="398">
        <v>8.8480000000000008</v>
      </c>
      <c r="BO499" s="398">
        <v>9.5169999999999995</v>
      </c>
      <c r="BP499" s="398">
        <v>9.8109999999999999</v>
      </c>
      <c r="BQ499" s="398">
        <v>10.451000000000001</v>
      </c>
      <c r="BR499" s="398">
        <v>10.696999999999999</v>
      </c>
      <c r="BS499" s="398">
        <v>12.678000000000001</v>
      </c>
      <c r="BT499" s="398">
        <v>12.4</v>
      </c>
      <c r="BU499" s="398">
        <v>13.612</v>
      </c>
      <c r="BV499" s="398">
        <v>15.35</v>
      </c>
      <c r="BW499" s="398">
        <v>17.997</v>
      </c>
      <c r="BX499" s="398">
        <v>17.93</v>
      </c>
      <c r="BY499" s="398">
        <v>19.454999999999998</v>
      </c>
      <c r="BZ499" s="398">
        <v>21.216999999999999</v>
      </c>
      <c r="CA499" s="398">
        <v>22.163</v>
      </c>
      <c r="CB499" s="398">
        <v>21.925999999999998</v>
      </c>
      <c r="CC499" s="398">
        <v>23.154</v>
      </c>
      <c r="CD499" s="398">
        <v>30.039000000000001</v>
      </c>
      <c r="CE499" s="398">
        <v>31.533000000000001</v>
      </c>
      <c r="CF499" s="398">
        <v>30.657</v>
      </c>
      <c r="CG499" s="398">
        <v>31.227</v>
      </c>
      <c r="CH499" s="398">
        <v>33.305</v>
      </c>
      <c r="CI499" s="398">
        <v>34.127000000000002</v>
      </c>
      <c r="CJ499" s="398">
        <v>35.094999999999999</v>
      </c>
      <c r="CK499" s="398">
        <v>37.49</v>
      </c>
      <c r="CL499" s="398">
        <v>39.090000000000003</v>
      </c>
      <c r="CM499" s="398">
        <v>38.561999999999998</v>
      </c>
      <c r="CN499" s="398">
        <v>38.473999999999997</v>
      </c>
      <c r="CO499" s="398">
        <v>40.055999999999997</v>
      </c>
      <c r="CP499" s="398">
        <v>41.31</v>
      </c>
      <c r="CQ499" s="398">
        <v>56.226999999999997</v>
      </c>
      <c r="CR499" s="398">
        <v>60.570999999999998</v>
      </c>
      <c r="CS499" s="398">
        <v>67.787000000000006</v>
      </c>
      <c r="CT499" s="398">
        <v>73.3</v>
      </c>
      <c r="CU499" s="398">
        <v>71.906000000000006</v>
      </c>
      <c r="CV499" s="398">
        <v>68.305999999999997</v>
      </c>
      <c r="CW499" s="398">
        <v>71.394999999999996</v>
      </c>
      <c r="CX499" s="398">
        <v>75.728999999999999</v>
      </c>
      <c r="CY499" s="398">
        <v>78.784000000000006</v>
      </c>
      <c r="CZ499" s="23"/>
      <c r="DA499" s="23"/>
      <c r="DB499" s="23"/>
      <c r="DC499" s="23"/>
    </row>
    <row r="500" spans="2:107">
      <c r="B500" s="19" t="s">
        <v>1109</v>
      </c>
      <c r="C500" s="16"/>
      <c r="D500" s="16"/>
      <c r="E500" s="16"/>
      <c r="F500" s="16"/>
      <c r="G500" s="16"/>
      <c r="H500" s="16"/>
      <c r="I500" s="15"/>
      <c r="J500" s="15"/>
      <c r="K500" s="15"/>
      <c r="L500" s="26">
        <f>L497-L499</f>
        <v>25.010000000000005</v>
      </c>
      <c r="M500" s="54">
        <f>M497-M499</f>
        <v>49.369</v>
      </c>
      <c r="N500" s="54">
        <f>N497-N499</f>
        <v>75.346999999999994</v>
      </c>
      <c r="O500" s="23"/>
      <c r="P500" s="23"/>
      <c r="Q500" s="23"/>
      <c r="R500" s="23"/>
      <c r="S500" s="23"/>
      <c r="T500" s="23"/>
      <c r="U500" s="23"/>
      <c r="V500" s="23"/>
      <c r="W500" s="23"/>
      <c r="X500" s="23"/>
      <c r="Y500" s="23"/>
      <c r="Z500" s="23"/>
      <c r="AA500" s="23"/>
      <c r="AB500" s="23"/>
      <c r="AC500" s="23"/>
      <c r="AD500" s="23"/>
      <c r="AE500" s="23"/>
      <c r="AF500" s="15"/>
      <c r="AG500" s="15"/>
      <c r="AH500" s="15"/>
      <c r="AI500" s="15"/>
      <c r="AJ500" s="15"/>
      <c r="AK500" s="15"/>
      <c r="AL500" s="15"/>
      <c r="AM500" s="15"/>
      <c r="AN500" s="15"/>
      <c r="AO500" s="15"/>
      <c r="AP500" s="15"/>
      <c r="AQ500" s="15"/>
      <c r="AR500" s="15"/>
      <c r="AS500" s="15"/>
      <c r="AT500" s="15"/>
      <c r="AU500" s="15"/>
      <c r="AV500" s="15"/>
      <c r="AW500" s="15"/>
      <c r="AX500" s="15"/>
      <c r="AY500" s="15"/>
      <c r="AZ500" s="15"/>
      <c r="BA500" s="15"/>
      <c r="BB500" s="15"/>
      <c r="BC500" s="15"/>
      <c r="BD500" s="807"/>
      <c r="BE500" s="807"/>
      <c r="BF500" s="807"/>
      <c r="BG500" s="26"/>
      <c r="BH500" s="26"/>
      <c r="BI500" s="26">
        <f t="shared" ref="BI500:CJ500" si="625">BI497-BI499</f>
        <v>7.7469999999999999</v>
      </c>
      <c r="BJ500" s="26">
        <f t="shared" si="625"/>
        <v>8.1069999999999993</v>
      </c>
      <c r="BK500" s="26">
        <f t="shared" si="625"/>
        <v>9.1559999999999988</v>
      </c>
      <c r="BL500" s="26">
        <f t="shared" si="625"/>
        <v>10.404000000000002</v>
      </c>
      <c r="BM500" s="26">
        <f t="shared" si="625"/>
        <v>11.731999999999999</v>
      </c>
      <c r="BN500" s="26">
        <f t="shared" si="625"/>
        <v>12.730999999999996</v>
      </c>
      <c r="BO500" s="26">
        <f t="shared" si="625"/>
        <v>14.502000000000002</v>
      </c>
      <c r="BP500" s="54">
        <f t="shared" si="625"/>
        <v>16.725999999999999</v>
      </c>
      <c r="BQ500" s="54">
        <f t="shared" si="625"/>
        <v>17.914999999999999</v>
      </c>
      <c r="BR500" s="54">
        <f t="shared" si="625"/>
        <v>19.721</v>
      </c>
      <c r="BS500" s="54">
        <f t="shared" si="625"/>
        <v>20.984999999999996</v>
      </c>
      <c r="BT500" s="54">
        <f t="shared" si="625"/>
        <v>23.529000000000003</v>
      </c>
      <c r="BU500" s="54">
        <f t="shared" si="625"/>
        <v>24.751999999999995</v>
      </c>
      <c r="BV500" s="54">
        <f t="shared" si="625"/>
        <v>26.878</v>
      </c>
      <c r="BW500" s="54">
        <f t="shared" si="625"/>
        <v>27.847999999999999</v>
      </c>
      <c r="BX500" s="54">
        <f t="shared" si="625"/>
        <v>30.533000000000001</v>
      </c>
      <c r="BY500" s="54">
        <f t="shared" si="625"/>
        <v>32.944999999999993</v>
      </c>
      <c r="BZ500" s="54">
        <f t="shared" si="625"/>
        <v>35.206000000000003</v>
      </c>
      <c r="CA500" s="54">
        <f t="shared" si="625"/>
        <v>36.397999999999996</v>
      </c>
      <c r="CB500" s="54">
        <f t="shared" si="625"/>
        <v>40.814999999999998</v>
      </c>
      <c r="CC500" s="54">
        <f t="shared" si="625"/>
        <v>43.783000000000001</v>
      </c>
      <c r="CD500" s="54">
        <f t="shared" si="625"/>
        <v>51.135000000000005</v>
      </c>
      <c r="CE500" s="54">
        <f t="shared" si="625"/>
        <v>62.228000000000009</v>
      </c>
      <c r="CF500" s="54">
        <f t="shared" si="625"/>
        <v>59.715999999999994</v>
      </c>
      <c r="CG500" s="54">
        <f t="shared" si="625"/>
        <v>57.166999999999987</v>
      </c>
      <c r="CH500" s="54">
        <f t="shared" si="625"/>
        <v>57.112000000000016</v>
      </c>
      <c r="CI500" s="54">
        <f t="shared" si="625"/>
        <v>59.66299999999999</v>
      </c>
      <c r="CJ500" s="54">
        <f t="shared" si="625"/>
        <v>63.495000000000005</v>
      </c>
      <c r="CK500" s="54">
        <f t="shared" ref="CK500:CP500" si="626">CK497-CK499</f>
        <v>68.252999999999986</v>
      </c>
      <c r="CL500" s="54">
        <f t="shared" si="626"/>
        <v>72.358000000000004</v>
      </c>
      <c r="CM500" s="54">
        <f t="shared" si="626"/>
        <v>76.063999999999993</v>
      </c>
      <c r="CN500" s="54">
        <f t="shared" si="626"/>
        <v>76.108000000000004</v>
      </c>
      <c r="CO500" s="54">
        <f t="shared" si="626"/>
        <v>80.111999999999995</v>
      </c>
      <c r="CP500" s="54">
        <f t="shared" si="626"/>
        <v>85.146000000000001</v>
      </c>
      <c r="CQ500" s="54">
        <f t="shared" ref="CQ500:CV500" si="627">CQ497-CQ499</f>
        <v>97.092000000000013</v>
      </c>
      <c r="CR500" s="54">
        <f t="shared" si="627"/>
        <v>111.33499999999998</v>
      </c>
      <c r="CS500" s="54">
        <f t="shared" si="627"/>
        <v>118.643</v>
      </c>
      <c r="CT500" s="54">
        <f t="shared" si="627"/>
        <v>124.98399999999999</v>
      </c>
      <c r="CU500" s="54">
        <f t="shared" si="627"/>
        <v>132.57499999999999</v>
      </c>
      <c r="CV500" s="54">
        <f t="shared" si="627"/>
        <v>129.92500000000001</v>
      </c>
      <c r="CW500" s="54">
        <f t="shared" ref="CW500:CX500" si="628">CW497-CW499</f>
        <v>138.47399999999999</v>
      </c>
      <c r="CX500" s="54">
        <f t="shared" si="628"/>
        <v>141.161</v>
      </c>
      <c r="CY500" s="54">
        <f t="shared" ref="CY500" si="629">CY497-CY499</f>
        <v>145.63800000000003</v>
      </c>
      <c r="CZ500" s="23"/>
      <c r="DA500" s="23"/>
      <c r="DB500" s="23"/>
      <c r="DC500" s="23"/>
    </row>
    <row r="501" spans="2:107">
      <c r="B501" s="18" t="s">
        <v>711</v>
      </c>
      <c r="C501" s="16"/>
      <c r="D501" s="16"/>
      <c r="E501" s="16"/>
      <c r="F501" s="16"/>
      <c r="G501" s="16"/>
      <c r="H501" s="16"/>
      <c r="I501" s="15"/>
      <c r="J501" s="15"/>
      <c r="K501" s="15"/>
      <c r="L501" s="38">
        <f>L500/L497</f>
        <v>0.56213616236991759</v>
      </c>
      <c r="M501" s="38">
        <f>M500/M497</f>
        <v>0.58511407407407412</v>
      </c>
      <c r="N501" s="38">
        <f>N500/N497</f>
        <v>0.6332532105156996</v>
      </c>
      <c r="O501" s="23"/>
      <c r="P501" s="23"/>
      <c r="Q501" s="23"/>
      <c r="R501" s="23"/>
      <c r="S501" s="23"/>
      <c r="T501" s="23"/>
      <c r="U501" s="23"/>
      <c r="V501" s="23"/>
      <c r="W501" s="23"/>
      <c r="X501" s="23"/>
      <c r="Y501" s="23"/>
      <c r="Z501" s="23"/>
      <c r="AA501" s="23"/>
      <c r="AB501" s="23"/>
      <c r="AC501" s="23"/>
      <c r="AD501" s="23"/>
      <c r="AE501" s="23"/>
      <c r="AF501" s="15"/>
      <c r="AG501" s="15"/>
      <c r="AH501" s="15"/>
      <c r="AI501" s="15"/>
      <c r="AJ501" s="15"/>
      <c r="AK501" s="15"/>
      <c r="AL501" s="15"/>
      <c r="AM501" s="15"/>
      <c r="AN501" s="15"/>
      <c r="AO501" s="15"/>
      <c r="AP501" s="15"/>
      <c r="AQ501" s="15"/>
      <c r="AR501" s="15"/>
      <c r="AS501" s="15"/>
      <c r="AT501" s="15"/>
      <c r="AU501" s="15"/>
      <c r="AV501" s="15"/>
      <c r="AW501" s="15"/>
      <c r="AX501" s="15"/>
      <c r="AY501" s="15"/>
      <c r="AZ501" s="15"/>
      <c r="BA501" s="15"/>
      <c r="BB501" s="15"/>
      <c r="BC501" s="15"/>
      <c r="BD501" s="807"/>
      <c r="BE501" s="807"/>
      <c r="BF501" s="807"/>
      <c r="BG501" s="768"/>
      <c r="BH501" s="768"/>
      <c r="BI501" s="38">
        <f t="shared" ref="BI501:CJ501" si="630">BI500/BI497</f>
        <v>0.57017737543239866</v>
      </c>
      <c r="BJ501" s="38">
        <f t="shared" si="630"/>
        <v>0.55364337908898453</v>
      </c>
      <c r="BK501" s="38">
        <f t="shared" si="630"/>
        <v>0.56306500215238908</v>
      </c>
      <c r="BL501" s="38">
        <f t="shared" si="630"/>
        <v>0.57249766136576241</v>
      </c>
      <c r="BM501" s="38">
        <f t="shared" si="630"/>
        <v>0.56940399922345175</v>
      </c>
      <c r="BN501" s="38">
        <f t="shared" si="630"/>
        <v>0.58997173177626383</v>
      </c>
      <c r="BO501" s="38">
        <f t="shared" si="630"/>
        <v>0.60377201382239065</v>
      </c>
      <c r="BP501" s="38">
        <f t="shared" si="630"/>
        <v>0.63028978407506497</v>
      </c>
      <c r="BQ501" s="38">
        <f t="shared" si="630"/>
        <v>0.63156595924698578</v>
      </c>
      <c r="BR501" s="38">
        <f t="shared" si="630"/>
        <v>0.64833322374909597</v>
      </c>
      <c r="BS501" s="38">
        <f t="shared" si="630"/>
        <v>0.62338472506906684</v>
      </c>
      <c r="BT501" s="38">
        <f t="shared" si="630"/>
        <v>0.65487489214840389</v>
      </c>
      <c r="BU501" s="38">
        <f t="shared" si="630"/>
        <v>0.64518819726827226</v>
      </c>
      <c r="BV501" s="38">
        <f t="shared" si="630"/>
        <v>0.63649711092166328</v>
      </c>
      <c r="BW501" s="38">
        <f t="shared" si="630"/>
        <v>0.6074381066637583</v>
      </c>
      <c r="BX501" s="38">
        <f t="shared" si="630"/>
        <v>0.63002703093081325</v>
      </c>
      <c r="BY501" s="38">
        <f t="shared" si="630"/>
        <v>0.62872137404580153</v>
      </c>
      <c r="BZ501" s="38">
        <f t="shared" si="630"/>
        <v>0.62396540417914681</v>
      </c>
      <c r="CA501" s="38">
        <f t="shared" si="630"/>
        <v>0.62153993271972807</v>
      </c>
      <c r="CB501" s="38">
        <f t="shared" si="630"/>
        <v>0.6505315503418817</v>
      </c>
      <c r="CC501" s="38">
        <f t="shared" si="630"/>
        <v>0.6540926542868668</v>
      </c>
      <c r="CD501" s="38">
        <f t="shared" si="630"/>
        <v>0.62994308522433295</v>
      </c>
      <c r="CE501" s="38">
        <f t="shared" si="630"/>
        <v>0.66368746067128126</v>
      </c>
      <c r="CF501" s="38">
        <f t="shared" si="630"/>
        <v>0.66077257587996419</v>
      </c>
      <c r="CG501" s="38">
        <f t="shared" si="630"/>
        <v>0.64672941602371192</v>
      </c>
      <c r="CH501" s="38">
        <f t="shared" si="630"/>
        <v>0.63165112755344688</v>
      </c>
      <c r="CI501" s="38">
        <f t="shared" si="630"/>
        <v>0.63613391619575643</v>
      </c>
      <c r="CJ501" s="38">
        <f t="shared" si="630"/>
        <v>0.64403083477026069</v>
      </c>
      <c r="CK501" s="38">
        <f t="shared" ref="CK501:CP501" si="631">CK500/CK497</f>
        <v>0.64546116527807973</v>
      </c>
      <c r="CL501" s="38">
        <f t="shared" si="631"/>
        <v>0.64925346349867197</v>
      </c>
      <c r="CM501" s="38">
        <f t="shared" si="631"/>
        <v>0.6635841781096784</v>
      </c>
      <c r="CN501" s="38">
        <f t="shared" si="631"/>
        <v>0.66422300186765804</v>
      </c>
      <c r="CO501" s="38">
        <f t="shared" si="631"/>
        <v>0.66666666666666663</v>
      </c>
      <c r="CP501" s="38">
        <f t="shared" si="631"/>
        <v>0.67332510912886689</v>
      </c>
      <c r="CQ501" s="38">
        <f t="shared" ref="CQ501:CV501" si="632">CQ500/CQ497</f>
        <v>0.63326789243342319</v>
      </c>
      <c r="CR501" s="38">
        <f t="shared" si="632"/>
        <v>0.64765046013519012</v>
      </c>
      <c r="CS501" s="38">
        <f t="shared" si="632"/>
        <v>0.63639435713136294</v>
      </c>
      <c r="CT501" s="38">
        <f t="shared" si="632"/>
        <v>0.63032821609408729</v>
      </c>
      <c r="CU501" s="38">
        <f t="shared" si="632"/>
        <v>0.64834874633829054</v>
      </c>
      <c r="CV501" s="38">
        <f t="shared" si="632"/>
        <v>0.65542220944251905</v>
      </c>
      <c r="CW501" s="38">
        <f t="shared" ref="CW501:CX501" si="633">CW500/CW497</f>
        <v>0.65981159675797751</v>
      </c>
      <c r="CX501" s="38">
        <f t="shared" si="633"/>
        <v>0.65084144036147362</v>
      </c>
      <c r="CY501" s="38">
        <f t="shared" ref="CY501" si="634">CY500/CY497</f>
        <v>0.64894707292511433</v>
      </c>
      <c r="CZ501" s="23"/>
      <c r="DA501" s="23"/>
      <c r="DB501" s="23"/>
      <c r="DC501" s="23"/>
    </row>
    <row r="502" spans="2:107">
      <c r="B502" s="16" t="s">
        <v>724</v>
      </c>
      <c r="C502" s="16"/>
      <c r="D502" s="16"/>
      <c r="E502" s="16"/>
      <c r="F502" s="16"/>
      <c r="G502" s="16"/>
      <c r="H502" s="16"/>
      <c r="I502" s="15"/>
      <c r="J502" s="15"/>
      <c r="K502" s="15"/>
      <c r="L502" s="26">
        <f>SUM(BH502:BK502)</f>
        <v>12.105</v>
      </c>
      <c r="M502" s="54">
        <f>SUM(BL502:BO502)</f>
        <v>19.766999999999999</v>
      </c>
      <c r="N502" s="54">
        <f>SUM(BP502:BS502)</f>
        <v>20.986999999999998</v>
      </c>
      <c r="O502" s="23"/>
      <c r="P502" s="23"/>
      <c r="Q502" s="23"/>
      <c r="R502" s="23"/>
      <c r="S502" s="23"/>
      <c r="T502" s="23"/>
      <c r="U502" s="23"/>
      <c r="V502" s="23"/>
      <c r="W502" s="23"/>
      <c r="X502" s="23"/>
      <c r="Y502" s="23"/>
      <c r="Z502" s="23"/>
      <c r="AA502" s="23"/>
      <c r="AB502" s="23"/>
      <c r="AC502" s="23"/>
      <c r="AD502" s="23"/>
      <c r="AE502" s="23"/>
      <c r="AF502" s="15"/>
      <c r="AG502" s="15"/>
      <c r="AH502" s="15"/>
      <c r="AI502" s="15"/>
      <c r="AJ502" s="15"/>
      <c r="AK502" s="15"/>
      <c r="AL502" s="15"/>
      <c r="AM502" s="15"/>
      <c r="AN502" s="15"/>
      <c r="AO502" s="15"/>
      <c r="AP502" s="15"/>
      <c r="AQ502" s="15"/>
      <c r="AR502" s="15"/>
      <c r="AS502" s="15"/>
      <c r="AT502" s="15"/>
      <c r="AU502" s="15"/>
      <c r="AV502" s="15"/>
      <c r="AW502" s="15"/>
      <c r="AX502" s="15"/>
      <c r="AY502" s="15"/>
      <c r="AZ502" s="15"/>
      <c r="BA502" s="15"/>
      <c r="BB502" s="15"/>
      <c r="BC502" s="15"/>
      <c r="BD502" s="807"/>
      <c r="BE502" s="807"/>
      <c r="BF502" s="807"/>
      <c r="BG502" s="26"/>
      <c r="BH502" s="26"/>
      <c r="BI502" s="398">
        <v>3.4590000000000001</v>
      </c>
      <c r="BJ502" s="398">
        <v>3.9529999999999998</v>
      </c>
      <c r="BK502" s="398">
        <v>4.6929999999999996</v>
      </c>
      <c r="BL502" s="398">
        <v>5.0339999999999998</v>
      </c>
      <c r="BM502" s="398">
        <v>4.6859999999999999</v>
      </c>
      <c r="BN502" s="398">
        <v>4.6379999999999999</v>
      </c>
      <c r="BO502" s="398">
        <v>5.4089999999999998</v>
      </c>
      <c r="BP502" s="398">
        <v>4.6900000000000004</v>
      </c>
      <c r="BQ502" s="398">
        <v>4.9960000000000004</v>
      </c>
      <c r="BR502" s="398">
        <v>5.0229999999999997</v>
      </c>
      <c r="BS502" s="398">
        <v>6.2779999999999996</v>
      </c>
      <c r="BT502" s="398">
        <v>4.9939999999999998</v>
      </c>
      <c r="BU502" s="398">
        <v>6.0030000000000001</v>
      </c>
      <c r="BV502" s="398">
        <v>7.42</v>
      </c>
      <c r="BW502" s="398">
        <v>9.16</v>
      </c>
      <c r="BX502" s="398">
        <v>7.3739999999999997</v>
      </c>
      <c r="BY502" s="398">
        <v>8.9700000000000006</v>
      </c>
      <c r="BZ502" s="398">
        <v>9.1479999999999997</v>
      </c>
      <c r="CA502" s="398">
        <v>10.943</v>
      </c>
      <c r="CB502" s="398">
        <v>10.34</v>
      </c>
      <c r="CC502" s="398">
        <v>11.884</v>
      </c>
      <c r="CD502" s="398">
        <v>12.44</v>
      </c>
      <c r="CE502" s="398">
        <v>14.778</v>
      </c>
      <c r="CF502" s="398">
        <v>12.074</v>
      </c>
      <c r="CG502" s="398">
        <v>14.112</v>
      </c>
      <c r="CH502" s="398">
        <v>16.11</v>
      </c>
      <c r="CI502" s="398">
        <v>15.368</v>
      </c>
      <c r="CJ502" s="398">
        <v>15.875</v>
      </c>
      <c r="CK502" s="398">
        <v>16.452000000000002</v>
      </c>
      <c r="CL502" s="398">
        <v>18.359000000000002</v>
      </c>
      <c r="CM502" s="398">
        <v>19.823</v>
      </c>
      <c r="CN502" s="398">
        <v>19.125</v>
      </c>
      <c r="CO502" s="398">
        <v>19.263000000000002</v>
      </c>
      <c r="CP502" s="398">
        <v>19.247</v>
      </c>
      <c r="CQ502" s="398">
        <v>26.355</v>
      </c>
      <c r="CR502" s="398">
        <v>26.634</v>
      </c>
      <c r="CS502" s="398">
        <v>26.835000000000001</v>
      </c>
      <c r="CT502" s="398">
        <v>28.541</v>
      </c>
      <c r="CU502" s="398">
        <v>29.626999999999999</v>
      </c>
      <c r="CV502" s="398">
        <v>30.524000000000001</v>
      </c>
      <c r="CW502" s="398">
        <v>28.939</v>
      </c>
      <c r="CX502" s="398">
        <v>29.407</v>
      </c>
      <c r="CY502" s="398">
        <v>31.678000000000001</v>
      </c>
      <c r="CZ502" s="23"/>
      <c r="DA502" s="23"/>
      <c r="DB502" s="23"/>
      <c r="DC502" s="23"/>
    </row>
    <row r="503" spans="2:107">
      <c r="B503" s="19" t="s">
        <v>994</v>
      </c>
      <c r="C503" s="16"/>
      <c r="D503" s="16"/>
      <c r="E503" s="16"/>
      <c r="F503" s="16"/>
      <c r="G503" s="16"/>
      <c r="H503" s="16"/>
      <c r="I503" s="15"/>
      <c r="J503" s="15"/>
      <c r="K503" s="15"/>
      <c r="L503" s="26">
        <f>L500-L502</f>
        <v>12.905000000000005</v>
      </c>
      <c r="M503" s="54">
        <f>M500-M502</f>
        <v>29.602</v>
      </c>
      <c r="N503" s="54">
        <f>N500-N502</f>
        <v>54.36</v>
      </c>
      <c r="O503" s="23"/>
      <c r="P503" s="14"/>
      <c r="Q503" s="14"/>
      <c r="R503" s="14"/>
      <c r="S503" s="14"/>
      <c r="T503" s="14"/>
      <c r="U503" s="14"/>
      <c r="V503" s="14"/>
      <c r="W503" s="14"/>
      <c r="X503" s="14"/>
      <c r="Y503" s="14"/>
      <c r="Z503" s="14"/>
      <c r="AA503" s="14"/>
      <c r="AB503" s="14"/>
      <c r="AC503" s="14"/>
      <c r="AD503" s="14"/>
      <c r="AE503" s="23"/>
      <c r="AF503" s="15"/>
      <c r="AG503" s="15"/>
      <c r="AH503" s="15"/>
      <c r="AI503" s="15"/>
      <c r="AJ503" s="15"/>
      <c r="AK503" s="15"/>
      <c r="AL503" s="15"/>
      <c r="AM503" s="15"/>
      <c r="AN503" s="15"/>
      <c r="AO503" s="15"/>
      <c r="AP503" s="15"/>
      <c r="AQ503" s="15"/>
      <c r="AR503" s="15"/>
      <c r="AS503" s="15"/>
      <c r="AT503" s="15"/>
      <c r="AU503" s="15"/>
      <c r="AV503" s="15"/>
      <c r="AW503" s="15"/>
      <c r="AX503" s="15"/>
      <c r="AY503" s="15"/>
      <c r="AZ503" s="15"/>
      <c r="BA503" s="15"/>
      <c r="BB503" s="15"/>
      <c r="BC503" s="15"/>
      <c r="BD503" s="807"/>
      <c r="BE503" s="807"/>
      <c r="BF503" s="807"/>
      <c r="BG503" s="26"/>
      <c r="BH503" s="26"/>
      <c r="BI503" s="26">
        <f t="shared" ref="BI503:CJ503" si="635">BI500-BI502</f>
        <v>4.2880000000000003</v>
      </c>
      <c r="BJ503" s="26">
        <f t="shared" si="635"/>
        <v>4.1539999999999999</v>
      </c>
      <c r="BK503" s="26">
        <f t="shared" si="635"/>
        <v>4.4629999999999992</v>
      </c>
      <c r="BL503" s="26">
        <f t="shared" si="635"/>
        <v>5.3700000000000019</v>
      </c>
      <c r="BM503" s="26">
        <f t="shared" si="635"/>
        <v>7.0459999999999994</v>
      </c>
      <c r="BN503" s="26">
        <f t="shared" si="635"/>
        <v>8.0929999999999964</v>
      </c>
      <c r="BO503" s="26">
        <f t="shared" si="635"/>
        <v>9.0930000000000035</v>
      </c>
      <c r="BP503" s="54">
        <f t="shared" si="635"/>
        <v>12.035999999999998</v>
      </c>
      <c r="BQ503" s="54">
        <f t="shared" si="635"/>
        <v>12.918999999999999</v>
      </c>
      <c r="BR503" s="54">
        <f t="shared" si="635"/>
        <v>14.698</v>
      </c>
      <c r="BS503" s="54">
        <f t="shared" si="635"/>
        <v>14.706999999999997</v>
      </c>
      <c r="BT503" s="54">
        <f t="shared" si="635"/>
        <v>18.535000000000004</v>
      </c>
      <c r="BU503" s="54">
        <f t="shared" si="635"/>
        <v>18.748999999999995</v>
      </c>
      <c r="BV503" s="54">
        <f t="shared" si="635"/>
        <v>19.457999999999998</v>
      </c>
      <c r="BW503" s="54">
        <f t="shared" si="635"/>
        <v>18.687999999999999</v>
      </c>
      <c r="BX503" s="54">
        <f t="shared" si="635"/>
        <v>23.159000000000002</v>
      </c>
      <c r="BY503" s="54">
        <f t="shared" si="635"/>
        <v>23.974999999999994</v>
      </c>
      <c r="BZ503" s="54">
        <f t="shared" si="635"/>
        <v>26.058000000000003</v>
      </c>
      <c r="CA503" s="54">
        <f t="shared" si="635"/>
        <v>25.454999999999998</v>
      </c>
      <c r="CB503" s="54">
        <f t="shared" si="635"/>
        <v>30.474999999999998</v>
      </c>
      <c r="CC503" s="54">
        <f t="shared" si="635"/>
        <v>31.899000000000001</v>
      </c>
      <c r="CD503" s="54">
        <f t="shared" si="635"/>
        <v>38.695000000000007</v>
      </c>
      <c r="CE503" s="54">
        <f t="shared" si="635"/>
        <v>47.45000000000001</v>
      </c>
      <c r="CF503" s="54">
        <f t="shared" si="635"/>
        <v>47.641999999999996</v>
      </c>
      <c r="CG503" s="54">
        <f t="shared" si="635"/>
        <v>43.054999999999986</v>
      </c>
      <c r="CH503" s="54">
        <f t="shared" si="635"/>
        <v>41.002000000000017</v>
      </c>
      <c r="CI503" s="54">
        <f t="shared" si="635"/>
        <v>44.294999999999987</v>
      </c>
      <c r="CJ503" s="54">
        <f t="shared" si="635"/>
        <v>47.620000000000005</v>
      </c>
      <c r="CK503" s="54">
        <f t="shared" ref="CK503:CP503" si="636">CK500-CK502</f>
        <v>51.800999999999988</v>
      </c>
      <c r="CL503" s="54">
        <f t="shared" si="636"/>
        <v>53.999000000000002</v>
      </c>
      <c r="CM503" s="54">
        <f t="shared" si="636"/>
        <v>56.240999999999993</v>
      </c>
      <c r="CN503" s="54">
        <f t="shared" si="636"/>
        <v>56.983000000000004</v>
      </c>
      <c r="CO503" s="54">
        <f t="shared" si="636"/>
        <v>60.84899999999999</v>
      </c>
      <c r="CP503" s="54">
        <f t="shared" si="636"/>
        <v>65.899000000000001</v>
      </c>
      <c r="CQ503" s="54">
        <f t="shared" ref="CQ503:CV503" si="637">CQ500-CQ502</f>
        <v>70.737000000000009</v>
      </c>
      <c r="CR503" s="54">
        <f t="shared" si="637"/>
        <v>84.700999999999979</v>
      </c>
      <c r="CS503" s="54">
        <f t="shared" si="637"/>
        <v>91.807999999999993</v>
      </c>
      <c r="CT503" s="54">
        <f t="shared" si="637"/>
        <v>96.442999999999998</v>
      </c>
      <c r="CU503" s="54">
        <f t="shared" si="637"/>
        <v>102.94799999999999</v>
      </c>
      <c r="CV503" s="54">
        <f t="shared" si="637"/>
        <v>99.40100000000001</v>
      </c>
      <c r="CW503" s="54">
        <f t="shared" ref="CW503:CX503" si="638">CW500-CW502</f>
        <v>109.535</v>
      </c>
      <c r="CX503" s="54">
        <f t="shared" si="638"/>
        <v>111.754</v>
      </c>
      <c r="CY503" s="54">
        <f t="shared" ref="CY503" si="639">CY500-CY502</f>
        <v>113.96000000000004</v>
      </c>
      <c r="CZ503" s="23"/>
      <c r="DA503" s="23"/>
      <c r="DB503" s="23"/>
      <c r="DC503" s="23"/>
    </row>
    <row r="504" spans="2:107" s="15" customFormat="1">
      <c r="B504" s="810" t="s">
        <v>1427</v>
      </c>
      <c r="C504" s="811"/>
      <c r="D504" s="811"/>
      <c r="E504" s="811"/>
      <c r="F504" s="811"/>
      <c r="G504" s="811"/>
      <c r="H504" s="811"/>
      <c r="I504" s="48"/>
      <c r="J504" s="48"/>
      <c r="K504" s="812"/>
      <c r="L504" s="813">
        <f>L503/L497</f>
        <v>0.29005866354993148</v>
      </c>
      <c r="M504" s="813">
        <f>M503/M497</f>
        <v>0.35083851851851855</v>
      </c>
      <c r="N504" s="813">
        <f>N503/N497</f>
        <v>0.45686815033954148</v>
      </c>
      <c r="O504" s="52"/>
      <c r="P504" s="52"/>
      <c r="Q504" s="52"/>
      <c r="R504" s="52"/>
      <c r="S504" s="52"/>
      <c r="T504" s="52"/>
      <c r="U504" s="52"/>
      <c r="V504" s="52"/>
      <c r="W504" s="52"/>
      <c r="X504" s="52"/>
      <c r="Y504" s="52"/>
      <c r="Z504" s="52"/>
      <c r="AA504" s="52"/>
      <c r="AB504" s="52"/>
      <c r="AC504" s="52"/>
      <c r="AD504" s="52"/>
      <c r="AE504" s="52"/>
      <c r="AF504" s="48"/>
      <c r="AG504" s="48"/>
      <c r="AH504" s="48"/>
      <c r="AI504" s="48"/>
      <c r="AJ504" s="48"/>
      <c r="AK504" s="48"/>
      <c r="AL504" s="48"/>
      <c r="AM504" s="48"/>
      <c r="AN504" s="48"/>
      <c r="AO504" s="48"/>
      <c r="AP504" s="48"/>
      <c r="AQ504" s="48"/>
      <c r="AR504" s="48"/>
      <c r="AS504" s="48"/>
      <c r="AT504" s="48"/>
      <c r="AU504" s="48"/>
      <c r="AV504" s="48"/>
      <c r="AW504" s="48"/>
      <c r="AX504" s="48"/>
      <c r="AY504" s="48"/>
      <c r="AZ504" s="48"/>
      <c r="BA504" s="48"/>
      <c r="BB504" s="48"/>
      <c r="BC504" s="48"/>
      <c r="BD504" s="816"/>
      <c r="BE504" s="816"/>
      <c r="BF504" s="816"/>
      <c r="BG504" s="817"/>
      <c r="BH504" s="817"/>
      <c r="BI504" s="813">
        <f t="shared" ref="BI504:CJ504" si="640">BI503/BI497</f>
        <v>0.31559579009347172</v>
      </c>
      <c r="BJ504" s="813">
        <f t="shared" si="640"/>
        <v>0.28368503721914912</v>
      </c>
      <c r="BK504" s="813">
        <f t="shared" si="640"/>
        <v>0.27446036529118745</v>
      </c>
      <c r="BL504" s="813">
        <f t="shared" si="640"/>
        <v>0.29549331425741493</v>
      </c>
      <c r="BM504" s="813">
        <f t="shared" si="640"/>
        <v>0.34197243253737136</v>
      </c>
      <c r="BN504" s="813">
        <f t="shared" si="640"/>
        <v>0.37504054868158848</v>
      </c>
      <c r="BO504" s="813">
        <f t="shared" si="640"/>
        <v>0.37857529455847466</v>
      </c>
      <c r="BP504" s="813">
        <f t="shared" si="640"/>
        <v>0.45355541319666876</v>
      </c>
      <c r="BQ504" s="813">
        <f t="shared" si="640"/>
        <v>0.4554396108016639</v>
      </c>
      <c r="BR504" s="813">
        <f t="shared" si="640"/>
        <v>0.48320073640607536</v>
      </c>
      <c r="BS504" s="813">
        <f t="shared" si="640"/>
        <v>0.43688916614680801</v>
      </c>
      <c r="BT504" s="813">
        <f t="shared" si="640"/>
        <v>0.51587853822817231</v>
      </c>
      <c r="BU504" s="813">
        <f t="shared" si="640"/>
        <v>0.48871337712438734</v>
      </c>
      <c r="BV504" s="813">
        <f t="shared" si="640"/>
        <v>0.46078431372549017</v>
      </c>
      <c r="BW504" s="813">
        <f t="shared" si="640"/>
        <v>0.40763442032937069</v>
      </c>
      <c r="BX504" s="813">
        <f t="shared" si="640"/>
        <v>0.47786971504034009</v>
      </c>
      <c r="BY504" s="813">
        <f t="shared" si="640"/>
        <v>0.45753816793893126</v>
      </c>
      <c r="BZ504" s="813">
        <f t="shared" si="640"/>
        <v>0.46183294046753987</v>
      </c>
      <c r="CA504" s="813">
        <f t="shared" si="640"/>
        <v>0.43467495432113518</v>
      </c>
      <c r="CB504" s="813">
        <f t="shared" si="640"/>
        <v>0.48572703654707444</v>
      </c>
      <c r="CC504" s="813">
        <f t="shared" si="640"/>
        <v>0.47655257929097511</v>
      </c>
      <c r="CD504" s="813">
        <f t="shared" si="640"/>
        <v>0.47669204425062217</v>
      </c>
      <c r="CE504" s="813">
        <f t="shared" si="640"/>
        <v>0.50607395398939858</v>
      </c>
      <c r="CF504" s="813">
        <f t="shared" si="640"/>
        <v>0.5271707257698649</v>
      </c>
      <c r="CG504" s="813">
        <f t="shared" si="640"/>
        <v>0.48708057107948494</v>
      </c>
      <c r="CH504" s="813">
        <f t="shared" si="640"/>
        <v>0.45347666921043622</v>
      </c>
      <c r="CI504" s="813">
        <f t="shared" si="640"/>
        <v>0.47227849450900938</v>
      </c>
      <c r="CJ504" s="813">
        <f t="shared" si="640"/>
        <v>0.48301044730702913</v>
      </c>
      <c r="CK504" s="813">
        <f t="shared" ref="CK504:CP504" si="641">CK503/CK497</f>
        <v>0.48987639843772157</v>
      </c>
      <c r="CL504" s="813">
        <f t="shared" si="641"/>
        <v>0.4845219295097265</v>
      </c>
      <c r="CM504" s="813">
        <f t="shared" si="641"/>
        <v>0.4906478460384206</v>
      </c>
      <c r="CN504" s="813">
        <f t="shared" si="641"/>
        <v>0.49731196872109057</v>
      </c>
      <c r="CO504" s="813">
        <f t="shared" si="641"/>
        <v>0.50636608747753142</v>
      </c>
      <c r="CP504" s="813">
        <f t="shared" si="641"/>
        <v>0.52112197127854742</v>
      </c>
      <c r="CQ504" s="813">
        <f t="shared" ref="CQ504:CV504" si="642">CQ503/CQ497</f>
        <v>0.46137138906462999</v>
      </c>
      <c r="CR504" s="813">
        <f t="shared" si="642"/>
        <v>0.49271694996102516</v>
      </c>
      <c r="CS504" s="813">
        <f t="shared" si="642"/>
        <v>0.49245293139516166</v>
      </c>
      <c r="CT504" s="813">
        <f t="shared" si="642"/>
        <v>0.48638821084908518</v>
      </c>
      <c r="CU504" s="813">
        <f t="shared" si="642"/>
        <v>0.50345997916676855</v>
      </c>
      <c r="CV504" s="813">
        <f t="shared" si="642"/>
        <v>0.50144023891318712</v>
      </c>
      <c r="CW504" s="813">
        <f t="shared" ref="CW504:CX504" si="643">CW503/CW497</f>
        <v>0.52192081727172668</v>
      </c>
      <c r="CX504" s="813">
        <f t="shared" si="643"/>
        <v>0.515256581677348</v>
      </c>
      <c r="CY504" s="813">
        <f t="shared" ref="CY504" si="644">CY503/CY497</f>
        <v>0.5077933535927851</v>
      </c>
      <c r="CZ504" s="828"/>
      <c r="DA504" s="828"/>
      <c r="DB504" s="828"/>
      <c r="DC504" s="828"/>
    </row>
    <row r="505" spans="2:107" s="15" customFormat="1">
      <c r="B505" s="189"/>
      <c r="C505" s="126"/>
      <c r="D505" s="126"/>
      <c r="E505" s="126"/>
      <c r="F505" s="126"/>
      <c r="G505" s="126"/>
      <c r="H505" s="126"/>
      <c r="I505" s="124"/>
      <c r="J505" s="124"/>
      <c r="K505" s="829"/>
      <c r="L505" s="829"/>
      <c r="M505" s="123"/>
      <c r="N505" s="123"/>
      <c r="O505" s="123"/>
      <c r="P505" s="199"/>
      <c r="Q505" s="199"/>
      <c r="R505" s="199"/>
      <c r="S505" s="199"/>
      <c r="T505" s="199"/>
      <c r="U505" s="199"/>
      <c r="V505" s="199"/>
      <c r="W505" s="199"/>
      <c r="X505" s="199"/>
      <c r="Y505" s="199"/>
      <c r="Z505" s="199"/>
      <c r="AA505" s="199"/>
      <c r="AB505" s="199"/>
      <c r="AC505" s="199"/>
      <c r="AD505" s="199"/>
      <c r="AE505" s="123"/>
      <c r="AF505" s="124"/>
      <c r="AG505" s="124"/>
      <c r="AH505" s="124"/>
      <c r="AI505" s="124"/>
      <c r="AJ505" s="124"/>
      <c r="AK505" s="124"/>
      <c r="AL505" s="124"/>
      <c r="AM505" s="124"/>
      <c r="AN505" s="124"/>
      <c r="AO505" s="124"/>
      <c r="AP505" s="124"/>
      <c r="AQ505" s="124"/>
      <c r="AR505" s="124"/>
      <c r="AS505" s="124"/>
      <c r="AT505" s="124"/>
      <c r="AU505" s="124"/>
      <c r="AV505" s="124"/>
      <c r="AW505" s="124"/>
      <c r="AX505" s="124"/>
      <c r="AY505" s="124"/>
      <c r="AZ505" s="124"/>
      <c r="BA505" s="124"/>
      <c r="BB505" s="124"/>
      <c r="BC505" s="124"/>
      <c r="BD505" s="830"/>
      <c r="BE505" s="830"/>
      <c r="BF505" s="830"/>
      <c r="BG505" s="831"/>
      <c r="BH505" s="831"/>
      <c r="BI505" s="831"/>
      <c r="BJ505" s="831"/>
      <c r="BK505" s="831"/>
      <c r="BL505" s="831"/>
      <c r="BM505" s="831"/>
      <c r="BN505" s="831"/>
      <c r="BO505" s="831"/>
      <c r="BP505" s="799"/>
      <c r="BQ505" s="799"/>
      <c r="BR505" s="799"/>
      <c r="BS505" s="799"/>
      <c r="BT505" s="799"/>
      <c r="BU505" s="799"/>
      <c r="BV505" s="123"/>
      <c r="BW505" s="123"/>
      <c r="BX505" s="199"/>
      <c r="BY505" s="199"/>
      <c r="BZ505" s="199"/>
      <c r="CA505" s="199"/>
      <c r="CB505" s="199"/>
      <c r="CC505" s="199"/>
      <c r="CD505" s="199"/>
      <c r="CE505" s="199"/>
      <c r="CF505" s="199"/>
      <c r="CG505" s="199"/>
      <c r="CH505" s="199"/>
      <c r="CI505" s="199"/>
      <c r="CJ505" s="199"/>
      <c r="CK505" s="199"/>
      <c r="CL505" s="199"/>
      <c r="CM505" s="199"/>
      <c r="CN505" s="199"/>
      <c r="CO505" s="199"/>
      <c r="CP505" s="199"/>
      <c r="CQ505" s="199"/>
      <c r="CR505" s="199"/>
      <c r="CS505" s="199"/>
      <c r="CT505" s="199"/>
      <c r="CU505" s="199"/>
      <c r="CV505" s="199"/>
      <c r="CW505" s="199"/>
      <c r="CX505" s="199"/>
      <c r="CY505" s="199"/>
      <c r="CZ505" s="123"/>
      <c r="DA505" s="123"/>
      <c r="DB505" s="123"/>
      <c r="DC505" s="123"/>
    </row>
    <row r="506" spans="2:107">
      <c r="B506" s="203" t="s">
        <v>732</v>
      </c>
      <c r="C506" s="204"/>
      <c r="D506" s="138"/>
      <c r="E506" s="138"/>
      <c r="F506" s="138"/>
      <c r="G506" s="138"/>
      <c r="H506" s="138"/>
      <c r="I506" s="138"/>
      <c r="J506" s="138"/>
      <c r="K506" s="138"/>
      <c r="L506" s="138"/>
      <c r="M506" s="205"/>
      <c r="N506" s="205"/>
      <c r="O506" s="205"/>
      <c r="P506" s="205"/>
      <c r="Q506" s="205"/>
      <c r="R506" s="205"/>
      <c r="S506" s="205"/>
      <c r="T506" s="205"/>
      <c r="U506" s="205"/>
      <c r="V506" s="205"/>
      <c r="W506" s="205"/>
      <c r="X506" s="205"/>
      <c r="Y506" s="205"/>
      <c r="Z506" s="205"/>
      <c r="AA506" s="205"/>
      <c r="AB506" s="205"/>
      <c r="AC506" s="205"/>
      <c r="AD506" s="205"/>
      <c r="AE506" s="204"/>
      <c r="AF506" s="138"/>
      <c r="AG506" s="138"/>
      <c r="AH506" s="138"/>
      <c r="AI506" s="138"/>
      <c r="AJ506" s="138"/>
      <c r="AK506" s="138"/>
      <c r="AL506" s="138"/>
      <c r="AM506" s="138"/>
      <c r="AN506" s="138"/>
      <c r="AO506" s="138"/>
      <c r="AP506" s="138"/>
      <c r="AQ506" s="138"/>
      <c r="AR506" s="138"/>
      <c r="AS506" s="138"/>
      <c r="AT506" s="138"/>
      <c r="AU506" s="138"/>
      <c r="AV506" s="138"/>
      <c r="AW506" s="138"/>
      <c r="AX506" s="138"/>
      <c r="AY506" s="138"/>
      <c r="AZ506" s="138"/>
      <c r="BA506" s="138"/>
      <c r="BB506" s="138"/>
      <c r="BC506" s="138"/>
      <c r="BD506" s="140"/>
      <c r="BE506" s="140"/>
      <c r="BF506" s="140"/>
      <c r="BG506" s="140"/>
      <c r="BH506" s="140"/>
      <c r="BI506" s="140"/>
      <c r="BJ506" s="140"/>
      <c r="BK506" s="140"/>
      <c r="BL506" s="140"/>
      <c r="BM506" s="140"/>
      <c r="BN506" s="140"/>
      <c r="BO506" s="140"/>
      <c r="BP506" s="205"/>
      <c r="BQ506" s="205"/>
      <c r="BR506" s="205"/>
      <c r="BS506" s="205"/>
      <c r="BT506" s="205"/>
      <c r="BU506" s="205"/>
      <c r="BV506" s="205"/>
      <c r="BW506" s="205"/>
      <c r="BX506" s="205"/>
      <c r="BY506" s="205"/>
      <c r="BZ506" s="205"/>
      <c r="CA506" s="205"/>
      <c r="CB506" s="205"/>
      <c r="CC506" s="205"/>
      <c r="CD506" s="205"/>
      <c r="CE506" s="205"/>
      <c r="CF506" s="205"/>
      <c r="CG506" s="205"/>
      <c r="CH506" s="205"/>
      <c r="CI506" s="205"/>
      <c r="CJ506" s="205"/>
      <c r="CK506" s="205"/>
      <c r="CL506" s="205"/>
      <c r="CM506" s="205"/>
      <c r="CN506" s="205"/>
      <c r="CO506" s="205"/>
      <c r="CP506" s="205"/>
      <c r="CQ506" s="205"/>
      <c r="CR506" s="205"/>
      <c r="CS506" s="205"/>
      <c r="CT506" s="205"/>
      <c r="CU506" s="205"/>
      <c r="CV506" s="205"/>
      <c r="CW506" s="205"/>
      <c r="CX506" s="205"/>
      <c r="CY506" s="205"/>
      <c r="CZ506" s="205"/>
      <c r="DA506" s="205"/>
      <c r="DB506" s="205"/>
      <c r="DC506" s="205"/>
    </row>
    <row r="507" spans="2:107" ht="12.75" customHeight="1">
      <c r="B507" s="206"/>
      <c r="C507" s="197"/>
      <c r="D507" s="31"/>
      <c r="E507" s="31"/>
      <c r="F507" s="31"/>
      <c r="G507" s="31"/>
      <c r="H507" s="31"/>
      <c r="I507" s="31"/>
      <c r="J507" s="31"/>
      <c r="K507" s="31"/>
      <c r="L507" s="31"/>
      <c r="M507" s="199"/>
      <c r="N507" s="199"/>
      <c r="O507" s="199"/>
      <c r="P507" s="199"/>
      <c r="Q507" s="199"/>
      <c r="R507" s="199"/>
      <c r="S507" s="199"/>
      <c r="T507" s="199"/>
      <c r="U507" s="199"/>
      <c r="V507" s="199"/>
      <c r="W507" s="199"/>
      <c r="X507" s="199"/>
      <c r="Y507" s="199"/>
      <c r="Z507" s="199"/>
      <c r="AA507" s="199"/>
      <c r="AB507" s="199"/>
      <c r="AC507" s="199"/>
      <c r="AD507" s="199"/>
      <c r="AE507" s="197"/>
      <c r="AF507" s="31"/>
      <c r="AG507" s="31"/>
      <c r="AH507" s="31"/>
      <c r="AI507" s="31"/>
      <c r="AJ507" s="31"/>
      <c r="AK507" s="31"/>
      <c r="AL507" s="31"/>
      <c r="AM507" s="31"/>
      <c r="AN507" s="31"/>
      <c r="AO507" s="31"/>
      <c r="AP507" s="31"/>
      <c r="AQ507" s="31"/>
      <c r="AR507" s="31"/>
      <c r="AS507" s="31"/>
      <c r="AT507" s="31"/>
      <c r="AU507" s="31"/>
      <c r="AV507" s="31"/>
      <c r="AW507" s="31"/>
      <c r="AX507" s="31"/>
      <c r="AY507" s="31"/>
      <c r="AZ507" s="31"/>
      <c r="BA507" s="31"/>
      <c r="BB507" s="31"/>
      <c r="BC507" s="31"/>
      <c r="BD507" s="32"/>
      <c r="BE507" s="32"/>
      <c r="BF507" s="32"/>
      <c r="BG507" s="32"/>
      <c r="BH507" s="32"/>
      <c r="BI507" s="32"/>
      <c r="BJ507" s="32"/>
      <c r="BK507" s="32"/>
      <c r="BL507" s="32"/>
      <c r="BM507" s="32"/>
      <c r="BN507" s="32"/>
      <c r="BO507" s="32"/>
      <c r="BP507" s="199"/>
      <c r="BQ507" s="199"/>
      <c r="BR507" s="199"/>
      <c r="BS507" s="199"/>
      <c r="BT507" s="199"/>
      <c r="BU507" s="199"/>
      <c r="BV507" s="199"/>
      <c r="BW507" s="199"/>
      <c r="BX507" s="199"/>
      <c r="BY507" s="199"/>
      <c r="BZ507" s="199"/>
      <c r="CA507" s="199"/>
      <c r="CB507" s="199"/>
      <c r="CC507" s="199"/>
      <c r="CD507" s="199"/>
      <c r="CE507" s="199"/>
      <c r="CF507" s="199"/>
      <c r="CG507" s="199"/>
      <c r="CH507" s="199"/>
      <c r="CI507" s="199"/>
      <c r="CJ507" s="199"/>
      <c r="CK507" s="199"/>
      <c r="CL507" s="199"/>
      <c r="CM507" s="199"/>
      <c r="CN507" s="199"/>
      <c r="CO507" s="199"/>
      <c r="CP507" s="199"/>
      <c r="CQ507" s="199"/>
      <c r="CR507" s="199"/>
      <c r="CS507" s="199"/>
      <c r="CT507" s="199"/>
      <c r="CU507" s="199"/>
      <c r="CV507" s="199"/>
      <c r="CW507" s="199"/>
      <c r="CX507" s="199"/>
      <c r="CY507" s="199"/>
      <c r="CZ507" s="27"/>
      <c r="DA507" s="27"/>
      <c r="DB507" s="27"/>
      <c r="DC507" s="27"/>
    </row>
    <row r="508" spans="2:107">
      <c r="B508" s="164" t="s">
        <v>1422</v>
      </c>
      <c r="C508" s="197"/>
      <c r="D508" s="31"/>
      <c r="E508" s="31"/>
      <c r="F508" s="31"/>
      <c r="G508" s="31"/>
      <c r="H508" s="31"/>
      <c r="I508" s="31"/>
      <c r="J508" s="31"/>
      <c r="K508" s="31"/>
      <c r="L508" s="31"/>
      <c r="M508" s="199"/>
      <c r="N508" s="27">
        <f>BS508</f>
        <v>12311</v>
      </c>
      <c r="O508" s="27">
        <f>BW508</f>
        <v>15311</v>
      </c>
      <c r="P508" s="27">
        <f>CA508</f>
        <v>18378</v>
      </c>
      <c r="Q508" s="27">
        <f>CE508</f>
        <v>22400</v>
      </c>
      <c r="R508" s="27">
        <f>CI508</f>
        <v>25900</v>
      </c>
      <c r="S508" s="27">
        <f>CM508</f>
        <v>26300</v>
      </c>
      <c r="T508" s="27">
        <f>CQ508</f>
        <v>33500</v>
      </c>
      <c r="U508" s="27">
        <f>CU508</f>
        <v>41000</v>
      </c>
      <c r="V508" s="27">
        <f>CY508</f>
        <v>46700</v>
      </c>
      <c r="W508" s="27">
        <f>DC508</f>
        <v>52219.9408089793</v>
      </c>
      <c r="X508" s="27">
        <f>W508*(1+X509)</f>
        <v>57666.147791752112</v>
      </c>
      <c r="Y508" s="27">
        <f>X508*(1+Y509)</f>
        <v>64111.202058806339</v>
      </c>
      <c r="Z508" s="27">
        <f>Y508*(1+Z509)</f>
        <v>70709.677488679619</v>
      </c>
      <c r="AA508" s="27">
        <f t="shared" ref="AA508:AD508" si="645">Z508*(1+AA509)</f>
        <v>77466.231481432187</v>
      </c>
      <c r="AB508" s="27">
        <f t="shared" si="645"/>
        <v>84384.425791725662</v>
      </c>
      <c r="AC508" s="27">
        <f t="shared" si="645"/>
        <v>91468.797068826636</v>
      </c>
      <c r="AD508" s="27">
        <f t="shared" si="645"/>
        <v>98722.821644057025</v>
      </c>
      <c r="AE508" s="197"/>
      <c r="AF508" s="31"/>
      <c r="AG508" s="31"/>
      <c r="AH508" s="31"/>
      <c r="AI508" s="31"/>
      <c r="AJ508" s="31"/>
      <c r="AK508" s="31"/>
      <c r="AL508" s="31"/>
      <c r="AM508" s="31"/>
      <c r="AN508" s="31"/>
      <c r="AO508" s="31"/>
      <c r="AP508" s="31"/>
      <c r="AQ508" s="31"/>
      <c r="AR508" s="31"/>
      <c r="AS508" s="31"/>
      <c r="AT508" s="31"/>
      <c r="AU508" s="31"/>
      <c r="AV508" s="163"/>
      <c r="AW508" s="163"/>
      <c r="AX508" s="163"/>
      <c r="AY508" s="169"/>
      <c r="AZ508" s="169"/>
      <c r="BA508" s="169"/>
      <c r="BB508" s="169"/>
      <c r="BC508" s="169"/>
      <c r="BD508" s="169"/>
      <c r="BE508" s="169"/>
      <c r="BF508" s="169"/>
      <c r="BG508" s="169"/>
      <c r="BH508" s="169"/>
      <c r="BI508" s="169"/>
      <c r="BJ508" s="169"/>
      <c r="BK508" s="169"/>
      <c r="BL508" s="169">
        <v>8475</v>
      </c>
      <c r="BM508" s="169">
        <v>9184</v>
      </c>
      <c r="BN508" s="169">
        <v>9775</v>
      </c>
      <c r="BO508" s="169">
        <v>10352</v>
      </c>
      <c r="BP508" s="211">
        <v>10448</v>
      </c>
      <c r="BQ508" s="211">
        <v>10838</v>
      </c>
      <c r="BR508" s="211">
        <v>11601</v>
      </c>
      <c r="BS508" s="211">
        <v>12311</v>
      </c>
      <c r="BT508" s="211">
        <v>12754</v>
      </c>
      <c r="BU508" s="211">
        <v>13709</v>
      </c>
      <c r="BV508" s="211">
        <v>14586</v>
      </c>
      <c r="BW508" s="211">
        <v>15311</v>
      </c>
      <c r="BX508" s="211">
        <v>16134</v>
      </c>
      <c r="BY508" s="211">
        <v>16804</v>
      </c>
      <c r="BZ508" s="211">
        <v>17707</v>
      </c>
      <c r="CA508" s="211">
        <v>18378</v>
      </c>
      <c r="CB508" s="211">
        <v>19113</v>
      </c>
      <c r="CC508" s="211">
        <v>19914</v>
      </c>
      <c r="CD508" s="211">
        <v>21800</v>
      </c>
      <c r="CE508" s="211">
        <v>22400</v>
      </c>
      <c r="CF508" s="211">
        <v>23000</v>
      </c>
      <c r="CG508" s="211">
        <v>23800</v>
      </c>
      <c r="CH508" s="211">
        <v>24600</v>
      </c>
      <c r="CI508" s="211">
        <v>25900</v>
      </c>
      <c r="CJ508" s="211">
        <v>27400</v>
      </c>
      <c r="CK508" s="211">
        <v>28400</v>
      </c>
      <c r="CL508" s="211">
        <v>30400</v>
      </c>
      <c r="CM508" s="211">
        <v>26300</v>
      </c>
      <c r="CN508" s="211">
        <v>28500</v>
      </c>
      <c r="CO508" s="211">
        <v>30700</v>
      </c>
      <c r="CP508" s="211">
        <v>32400</v>
      </c>
      <c r="CQ508" s="211">
        <v>33500</v>
      </c>
      <c r="CR508" s="211">
        <v>34600</v>
      </c>
      <c r="CS508" s="211">
        <v>36200</v>
      </c>
      <c r="CT508" s="211">
        <v>37900</v>
      </c>
      <c r="CU508" s="211">
        <v>41000</v>
      </c>
      <c r="CV508" s="211">
        <v>42700</v>
      </c>
      <c r="CW508" s="211">
        <v>43600</v>
      </c>
      <c r="CX508" s="211">
        <v>45200</v>
      </c>
      <c r="CY508" s="211">
        <v>46700</v>
      </c>
      <c r="CZ508" s="27">
        <f t="shared" ref="CZ508:DC508" si="646">CY508*(1+CZ510)</f>
        <v>47273.773181818178</v>
      </c>
      <c r="DA508" s="27">
        <f t="shared" si="646"/>
        <v>48701.504586638192</v>
      </c>
      <c r="DB508" s="27">
        <f t="shared" si="646"/>
        <v>50418.094222749532</v>
      </c>
      <c r="DC508" s="27">
        <f t="shared" si="646"/>
        <v>52219.9408089793</v>
      </c>
    </row>
    <row r="509" spans="2:107" s="33" customFormat="1">
      <c r="B509" s="1036" t="s">
        <v>709</v>
      </c>
      <c r="C509" s="197"/>
      <c r="D509" s="31"/>
      <c r="E509" s="31"/>
      <c r="F509" s="31"/>
      <c r="G509" s="31"/>
      <c r="H509" s="31"/>
      <c r="I509" s="31"/>
      <c r="J509" s="31"/>
      <c r="K509" s="31"/>
      <c r="L509" s="31"/>
      <c r="M509" s="199"/>
      <c r="N509" s="55"/>
      <c r="O509" s="55">
        <f t="shared" ref="O509:W509" si="647">+O508/N508-1</f>
        <v>0.2436845097879945</v>
      </c>
      <c r="P509" s="55">
        <f t="shared" si="647"/>
        <v>0.20031350009796878</v>
      </c>
      <c r="Q509" s="55">
        <f t="shared" si="647"/>
        <v>0.21884862335401012</v>
      </c>
      <c r="R509" s="55">
        <f t="shared" si="647"/>
        <v>0.15625</v>
      </c>
      <c r="S509" s="55">
        <f t="shared" si="647"/>
        <v>1.5444015444015413E-2</v>
      </c>
      <c r="T509" s="55">
        <f t="shared" si="647"/>
        <v>0.27376425855513298</v>
      </c>
      <c r="U509" s="55">
        <f t="shared" si="647"/>
        <v>0.22388059701492535</v>
      </c>
      <c r="V509" s="55">
        <f t="shared" si="647"/>
        <v>0.13902439024390234</v>
      </c>
      <c r="W509" s="55">
        <f t="shared" si="647"/>
        <v>0.1182000173228972</v>
      </c>
      <c r="X509" s="143">
        <f>+CHOOSE(mode,Rev!X511,Rev!X512,Rev!X513)</f>
        <v>0.10429362612062421</v>
      </c>
      <c r="Y509" s="143">
        <f>+CHOOSE(mode,Rev!Y511,Rev!Y512,Rev!Y513)</f>
        <v>0.11176495246967147</v>
      </c>
      <c r="Z509" s="143">
        <f>+CHOOSE(mode,Rev!Z511,Rev!Z512,Rev!Z513)</f>
        <v>0.10292234770174465</v>
      </c>
      <c r="AA509" s="143">
        <f>+CHOOSE(mode,Rev!AA511,Rev!AA512,Rev!AA513)</f>
        <v>9.5553455095793341E-2</v>
      </c>
      <c r="AB509" s="143">
        <f>+CHOOSE(mode,Rev!AB511,Rev!AB512,Rev!AB513)</f>
        <v>8.9305935992919569E-2</v>
      </c>
      <c r="AC509" s="143">
        <f>+CHOOSE(mode,Rev!AC511,Rev!AC512,Rev!AC513)</f>
        <v>8.3953540130572574E-2</v>
      </c>
      <c r="AD509" s="143">
        <f>+CHOOSE(mode,Rev!AD511,Rev!AD512,Rev!AD513)</f>
        <v>7.9306001693364575E-2</v>
      </c>
      <c r="AE509" s="197"/>
      <c r="AF509" s="31"/>
      <c r="AG509" s="31"/>
      <c r="AH509" s="31"/>
      <c r="AI509" s="31"/>
      <c r="AJ509" s="31"/>
      <c r="AK509" s="31"/>
      <c r="AL509" s="31"/>
      <c r="AM509" s="31"/>
      <c r="AN509" s="31"/>
      <c r="AO509" s="31"/>
      <c r="AP509" s="31"/>
      <c r="AQ509" s="31"/>
      <c r="AR509" s="31"/>
      <c r="AS509" s="31"/>
      <c r="AT509" s="31"/>
      <c r="AU509" s="31"/>
      <c r="AV509" s="163"/>
      <c r="AW509" s="163"/>
      <c r="AX509" s="163"/>
      <c r="AY509" s="163"/>
      <c r="AZ509" s="163"/>
      <c r="BA509" s="163"/>
      <c r="BB509" s="163"/>
      <c r="BC509" s="24"/>
      <c r="BD509" s="24"/>
      <c r="BE509" s="24"/>
      <c r="BF509" s="24"/>
      <c r="BG509" s="24"/>
      <c r="BH509" s="24"/>
      <c r="BI509" s="24"/>
      <c r="BJ509" s="24"/>
      <c r="BK509" s="24"/>
      <c r="BL509" s="24"/>
      <c r="BM509" s="24"/>
      <c r="BN509" s="24"/>
      <c r="BO509" s="24"/>
      <c r="BP509" s="24">
        <f t="shared" ref="BP509:CY509" si="648">BP508/BL508-1</f>
        <v>0.23280235988200593</v>
      </c>
      <c r="BQ509" s="24">
        <f t="shared" si="648"/>
        <v>0.18009581881533099</v>
      </c>
      <c r="BR509" s="24">
        <f t="shared" si="648"/>
        <v>0.18680306905370836</v>
      </c>
      <c r="BS509" s="24">
        <f t="shared" si="648"/>
        <v>0.18923879443585778</v>
      </c>
      <c r="BT509" s="24">
        <f t="shared" si="648"/>
        <v>0.22071209800918834</v>
      </c>
      <c r="BU509" s="24">
        <f t="shared" si="648"/>
        <v>0.26490127329765634</v>
      </c>
      <c r="BV509" s="24">
        <f t="shared" si="648"/>
        <v>0.25730540470649088</v>
      </c>
      <c r="BW509" s="24">
        <f t="shared" si="648"/>
        <v>0.2436845097879945</v>
      </c>
      <c r="BX509" s="24">
        <f t="shared" si="648"/>
        <v>0.26501489728712557</v>
      </c>
      <c r="BY509" s="24">
        <f t="shared" si="648"/>
        <v>0.22576409657888985</v>
      </c>
      <c r="BZ509" s="24">
        <f t="shared" si="648"/>
        <v>0.21397230220759633</v>
      </c>
      <c r="CA509" s="24">
        <f t="shared" si="648"/>
        <v>0.20031350009796878</v>
      </c>
      <c r="CB509" s="24">
        <f t="shared" si="648"/>
        <v>0.18464113053179632</v>
      </c>
      <c r="CC509" s="24">
        <f t="shared" si="648"/>
        <v>0.18507498214710782</v>
      </c>
      <c r="CD509" s="24">
        <f t="shared" si="648"/>
        <v>0.23115152199695044</v>
      </c>
      <c r="CE509" s="24">
        <f t="shared" si="648"/>
        <v>0.21884862335401012</v>
      </c>
      <c r="CF509" s="24">
        <f t="shared" si="648"/>
        <v>0.2033694344163659</v>
      </c>
      <c r="CG509" s="24">
        <f t="shared" si="648"/>
        <v>0.19513909812192431</v>
      </c>
      <c r="CH509" s="24">
        <f t="shared" si="648"/>
        <v>0.12844036697247696</v>
      </c>
      <c r="CI509" s="24">
        <f t="shared" si="648"/>
        <v>0.15625</v>
      </c>
      <c r="CJ509" s="24">
        <f t="shared" si="648"/>
        <v>0.19130434782608696</v>
      </c>
      <c r="CK509" s="24">
        <f t="shared" si="648"/>
        <v>0.19327731092436973</v>
      </c>
      <c r="CL509" s="24">
        <f t="shared" si="648"/>
        <v>0.2357723577235773</v>
      </c>
      <c r="CM509" s="24">
        <f t="shared" si="648"/>
        <v>1.5444015444015413E-2</v>
      </c>
      <c r="CN509" s="24">
        <f t="shared" si="648"/>
        <v>4.014598540145986E-2</v>
      </c>
      <c r="CO509" s="24">
        <f t="shared" si="648"/>
        <v>8.098591549295775E-2</v>
      </c>
      <c r="CP509" s="24">
        <f t="shared" si="648"/>
        <v>6.578947368421062E-2</v>
      </c>
      <c r="CQ509" s="24">
        <f t="shared" si="648"/>
        <v>0.27376425855513298</v>
      </c>
      <c r="CR509" s="24">
        <f t="shared" si="648"/>
        <v>0.21403508771929824</v>
      </c>
      <c r="CS509" s="24">
        <f t="shared" si="648"/>
        <v>0.1791530944625408</v>
      </c>
      <c r="CT509" s="24">
        <f t="shared" si="648"/>
        <v>0.16975308641975317</v>
      </c>
      <c r="CU509" s="24">
        <f t="shared" si="648"/>
        <v>0.22388059701492535</v>
      </c>
      <c r="CV509" s="24">
        <f t="shared" si="648"/>
        <v>0.23410404624277459</v>
      </c>
      <c r="CW509" s="24">
        <f t="shared" si="648"/>
        <v>0.20441988950276246</v>
      </c>
      <c r="CX509" s="24">
        <f t="shared" si="648"/>
        <v>0.19261213720316617</v>
      </c>
      <c r="CY509" s="24">
        <f t="shared" si="648"/>
        <v>0.13902439024390234</v>
      </c>
      <c r="CZ509" s="24">
        <f t="shared" ref="CZ509:DC509" si="649">CZ508/CV508-1</f>
        <v>0.1071141260378965</v>
      </c>
      <c r="DA509" s="24">
        <f t="shared" si="649"/>
        <v>0.1170069859320686</v>
      </c>
      <c r="DB509" s="24">
        <f t="shared" si="649"/>
        <v>0.11544456245021095</v>
      </c>
      <c r="DC509" s="24">
        <f t="shared" si="649"/>
        <v>0.1182000173228972</v>
      </c>
    </row>
    <row r="510" spans="2:107" s="33" customFormat="1">
      <c r="B510" s="1036" t="s">
        <v>710</v>
      </c>
      <c r="C510" s="197"/>
      <c r="D510" s="31"/>
      <c r="E510" s="31"/>
      <c r="F510" s="31"/>
      <c r="G510" s="31"/>
      <c r="H510" s="31"/>
      <c r="I510" s="31"/>
      <c r="J510" s="31"/>
      <c r="K510" s="31"/>
      <c r="L510" s="31"/>
      <c r="M510" s="199"/>
      <c r="N510" s="199"/>
      <c r="O510" s="199"/>
      <c r="P510" s="23"/>
      <c r="Q510" s="23"/>
      <c r="R510" s="23"/>
      <c r="S510" s="23"/>
      <c r="T510" s="23"/>
      <c r="U510" s="23"/>
      <c r="V510" s="23"/>
      <c r="W510" s="23"/>
      <c r="X510" s="23"/>
      <c r="Y510" s="23"/>
      <c r="Z510" s="23"/>
      <c r="AA510" s="23"/>
      <c r="AB510" s="23"/>
      <c r="AC510" s="23"/>
      <c r="AD510" s="23"/>
      <c r="AE510" s="197"/>
      <c r="AF510" s="31"/>
      <c r="AG510" s="31"/>
      <c r="AH510" s="31"/>
      <c r="AI510" s="31"/>
      <c r="AJ510" s="31"/>
      <c r="AK510" s="31"/>
      <c r="AL510" s="31"/>
      <c r="AM510" s="31"/>
      <c r="AN510" s="31"/>
      <c r="AO510" s="31"/>
      <c r="AP510" s="31"/>
      <c r="AQ510" s="31"/>
      <c r="AR510" s="31"/>
      <c r="AS510" s="31"/>
      <c r="AT510" s="31"/>
      <c r="AU510" s="31"/>
      <c r="AV510" s="163"/>
      <c r="AW510" s="163"/>
      <c r="AX510" s="163"/>
      <c r="AY510" s="163"/>
      <c r="AZ510" s="24"/>
      <c r="BA510" s="24"/>
      <c r="BB510" s="24"/>
      <c r="BC510" s="24"/>
      <c r="BD510" s="24"/>
      <c r="BE510" s="24"/>
      <c r="BF510" s="24"/>
      <c r="BG510" s="24"/>
      <c r="BH510" s="24"/>
      <c r="BI510" s="24"/>
      <c r="BJ510" s="24"/>
      <c r="BK510" s="24"/>
      <c r="BL510" s="24"/>
      <c r="BM510" s="24">
        <f t="shared" ref="BM510:CY510" si="650">BM508/BL508-1</f>
        <v>8.3657817109144439E-2</v>
      </c>
      <c r="BN510" s="24">
        <f t="shared" si="650"/>
        <v>6.4351045296167309E-2</v>
      </c>
      <c r="BO510" s="24">
        <f t="shared" si="650"/>
        <v>5.9028132992327453E-2</v>
      </c>
      <c r="BP510" s="24">
        <f t="shared" si="650"/>
        <v>9.2735703245749868E-3</v>
      </c>
      <c r="BQ510" s="24">
        <f t="shared" si="650"/>
        <v>3.7327718223583384E-2</v>
      </c>
      <c r="BR510" s="24">
        <f t="shared" si="650"/>
        <v>7.0400442886141334E-2</v>
      </c>
      <c r="BS510" s="24">
        <f t="shared" si="650"/>
        <v>6.1201620549952596E-2</v>
      </c>
      <c r="BT510" s="24">
        <f t="shared" si="650"/>
        <v>3.5984079278693848E-2</v>
      </c>
      <c r="BU510" s="24">
        <f t="shared" si="650"/>
        <v>7.4878469499764844E-2</v>
      </c>
      <c r="BV510" s="24">
        <f t="shared" si="650"/>
        <v>6.3972572762418745E-2</v>
      </c>
      <c r="BW510" s="24">
        <f t="shared" si="650"/>
        <v>4.9705196764020299E-2</v>
      </c>
      <c r="BX510" s="24">
        <f t="shared" si="650"/>
        <v>5.3752204297563777E-2</v>
      </c>
      <c r="BY510" s="24">
        <f t="shared" si="650"/>
        <v>4.1527209619437233E-2</v>
      </c>
      <c r="BZ510" s="24">
        <f t="shared" si="650"/>
        <v>5.3737205427279111E-2</v>
      </c>
      <c r="CA510" s="24">
        <f t="shared" si="650"/>
        <v>3.7894617947704212E-2</v>
      </c>
      <c r="CB510" s="24">
        <f t="shared" si="650"/>
        <v>3.9993470453803415E-2</v>
      </c>
      <c r="CC510" s="24">
        <f t="shared" si="650"/>
        <v>4.1908648563804718E-2</v>
      </c>
      <c r="CD510" s="24">
        <f t="shared" si="650"/>
        <v>9.4707241136888554E-2</v>
      </c>
      <c r="CE510" s="24">
        <f t="shared" si="650"/>
        <v>2.7522935779816571E-2</v>
      </c>
      <c r="CF510" s="24">
        <f t="shared" si="650"/>
        <v>2.6785714285714191E-2</v>
      </c>
      <c r="CG510" s="24">
        <f t="shared" si="650"/>
        <v>3.4782608695652195E-2</v>
      </c>
      <c r="CH510" s="24">
        <f t="shared" si="650"/>
        <v>3.3613445378151363E-2</v>
      </c>
      <c r="CI510" s="24">
        <f t="shared" si="650"/>
        <v>5.2845528455284452E-2</v>
      </c>
      <c r="CJ510" s="24">
        <f t="shared" si="650"/>
        <v>5.7915057915058021E-2</v>
      </c>
      <c r="CK510" s="24">
        <f t="shared" si="650"/>
        <v>3.649635036496357E-2</v>
      </c>
      <c r="CL510" s="24">
        <f t="shared" si="650"/>
        <v>7.0422535211267512E-2</v>
      </c>
      <c r="CM510" s="24">
        <f t="shared" si="650"/>
        <v>-0.13486842105263153</v>
      </c>
      <c r="CN510" s="24">
        <f t="shared" si="650"/>
        <v>8.365019011406849E-2</v>
      </c>
      <c r="CO510" s="24">
        <f t="shared" si="650"/>
        <v>7.7192982456140369E-2</v>
      </c>
      <c r="CP510" s="24">
        <f t="shared" si="650"/>
        <v>5.5374592833876246E-2</v>
      </c>
      <c r="CQ510" s="24">
        <f t="shared" si="650"/>
        <v>3.3950617283950546E-2</v>
      </c>
      <c r="CR510" s="24">
        <f t="shared" si="650"/>
        <v>3.2835820895522394E-2</v>
      </c>
      <c r="CS510" s="24">
        <f t="shared" si="650"/>
        <v>4.6242774566473965E-2</v>
      </c>
      <c r="CT510" s="24">
        <f t="shared" si="650"/>
        <v>4.6961325966850875E-2</v>
      </c>
      <c r="CU510" s="24">
        <f t="shared" si="650"/>
        <v>8.1794195250659563E-2</v>
      </c>
      <c r="CV510" s="24">
        <f t="shared" si="650"/>
        <v>4.1463414634146378E-2</v>
      </c>
      <c r="CW510" s="24">
        <f t="shared" si="650"/>
        <v>2.1077283372365363E-2</v>
      </c>
      <c r="CX510" s="24">
        <f t="shared" si="650"/>
        <v>3.669724770642202E-2</v>
      </c>
      <c r="CY510" s="24">
        <f t="shared" si="650"/>
        <v>3.3185840707964598E-2</v>
      </c>
      <c r="CZ510" s="143">
        <f>+CHOOSE(mode,Rev!CZ511,Rev!CZ512,Rev!CZ513)</f>
        <v>1.2286363636363573E-2</v>
      </c>
      <c r="DA510" s="143">
        <f>+CHOOSE(mode,Rev!DA511,Rev!DA512,Rev!DA513)</f>
        <v>3.0201342281879252E-2</v>
      </c>
      <c r="DB510" s="143">
        <f>+CHOOSE(mode,Rev!DB511,Rev!DB512,Rev!DB513)</f>
        <v>3.5247158187024577E-2</v>
      </c>
      <c r="DC510" s="143">
        <f>+CHOOSE(mode,Rev!DC511,Rev!DC512,Rev!DC513)</f>
        <v>3.5738093912656164E-2</v>
      </c>
    </row>
    <row r="511" spans="2:107" s="33" customFormat="1" outlineLevel="1">
      <c r="B511" s="134" t="s">
        <v>1046</v>
      </c>
      <c r="C511" s="135"/>
      <c r="D511" s="135"/>
      <c r="E511" s="135"/>
      <c r="F511" s="135"/>
      <c r="G511" s="135"/>
      <c r="H511" s="135"/>
      <c r="I511" s="135"/>
      <c r="J511" s="135"/>
      <c r="K511" s="135"/>
      <c r="L511" s="135"/>
      <c r="M511" s="136"/>
      <c r="N511" s="136"/>
      <c r="O511" s="136"/>
      <c r="P511" s="137"/>
      <c r="Q511" s="137"/>
      <c r="R511" s="137"/>
      <c r="S511" s="137"/>
      <c r="T511" s="137"/>
      <c r="U511" s="137"/>
      <c r="V511" s="137"/>
      <c r="W511" s="137"/>
      <c r="X511" s="137">
        <f>X512+0.1</f>
        <v>0.20429362612062421</v>
      </c>
      <c r="Y511" s="137">
        <f>Y512+0.1</f>
        <v>0.21176495246967147</v>
      </c>
      <c r="Z511" s="137">
        <f>Z512+0.1</f>
        <v>0.20292234770174467</v>
      </c>
      <c r="AA511" s="137">
        <f t="shared" ref="AA511:AD511" si="651">AA512+0.1</f>
        <v>0.19555345509579336</v>
      </c>
      <c r="AB511" s="137">
        <f t="shared" si="651"/>
        <v>0.18930593599291956</v>
      </c>
      <c r="AC511" s="137">
        <f t="shared" si="651"/>
        <v>0.18395354013057258</v>
      </c>
      <c r="AD511" s="137">
        <f t="shared" si="651"/>
        <v>0.17930600169336458</v>
      </c>
      <c r="AE511" s="135"/>
      <c r="AF511" s="135"/>
      <c r="AG511" s="135"/>
      <c r="AH511" s="135"/>
      <c r="AI511" s="135"/>
      <c r="AJ511" s="135"/>
      <c r="AK511" s="135"/>
      <c r="AL511" s="135"/>
      <c r="AM511" s="135"/>
      <c r="AN511" s="135"/>
      <c r="AO511" s="135"/>
      <c r="AP511" s="135"/>
      <c r="AQ511" s="135"/>
      <c r="AR511" s="135"/>
      <c r="AS511" s="135"/>
      <c r="AT511" s="135"/>
      <c r="AU511" s="135"/>
      <c r="AV511" s="135"/>
      <c r="AW511" s="135"/>
      <c r="AX511" s="135"/>
      <c r="AY511" s="135"/>
      <c r="AZ511" s="135"/>
      <c r="BA511" s="135"/>
      <c r="BB511" s="135"/>
      <c r="BC511" s="135"/>
      <c r="BD511" s="137"/>
      <c r="BE511" s="137"/>
      <c r="BF511" s="137"/>
      <c r="BG511" s="137"/>
      <c r="BH511" s="137"/>
      <c r="BI511" s="137"/>
      <c r="BJ511" s="137"/>
      <c r="BK511" s="137"/>
      <c r="BL511" s="137"/>
      <c r="BM511" s="137"/>
      <c r="BN511" s="137"/>
      <c r="BO511" s="137"/>
      <c r="BP511" s="136"/>
      <c r="BQ511" s="136"/>
      <c r="BR511" s="136"/>
      <c r="BS511" s="136"/>
      <c r="BT511" s="136"/>
      <c r="BU511" s="136"/>
      <c r="BV511" s="136"/>
      <c r="BW511" s="136"/>
      <c r="BX511" s="136"/>
      <c r="BY511" s="136"/>
      <c r="BZ511" s="136"/>
      <c r="CA511" s="136"/>
      <c r="CB511" s="136"/>
      <c r="CC511" s="136"/>
      <c r="CD511" s="136"/>
      <c r="CE511" s="136"/>
      <c r="CF511" s="136"/>
      <c r="CG511" s="136"/>
      <c r="CH511" s="136"/>
      <c r="CI511" s="136"/>
      <c r="CJ511" s="136"/>
      <c r="CK511" s="136"/>
      <c r="CL511" s="136"/>
      <c r="CM511" s="136"/>
      <c r="CN511" s="136"/>
      <c r="CO511" s="136"/>
      <c r="CP511" s="136"/>
      <c r="CQ511" s="136"/>
      <c r="CR511" s="136"/>
      <c r="CS511" s="136"/>
      <c r="CT511" s="136"/>
      <c r="CU511" s="136"/>
      <c r="CV511" s="136"/>
      <c r="CW511" s="136"/>
      <c r="CX511" s="136"/>
      <c r="CY511" s="136"/>
      <c r="CZ511" s="136">
        <f t="shared" ref="CZ511:DC511" si="652">CZ512+1.75%</f>
        <v>2.9786363636363576E-2</v>
      </c>
      <c r="DA511" s="136">
        <f t="shared" si="652"/>
        <v>4.770134228187925E-2</v>
      </c>
      <c r="DB511" s="136">
        <f t="shared" si="652"/>
        <v>5.2747158187024579E-2</v>
      </c>
      <c r="DC511" s="136">
        <f t="shared" si="652"/>
        <v>5.3238093912656166E-2</v>
      </c>
    </row>
    <row r="512" spans="2:107" s="33" customFormat="1" outlineLevel="1">
      <c r="B512" s="134" t="s">
        <v>1047</v>
      </c>
      <c r="C512" s="135"/>
      <c r="D512" s="135"/>
      <c r="E512" s="135"/>
      <c r="F512" s="135"/>
      <c r="G512" s="135"/>
      <c r="H512" s="135"/>
      <c r="I512" s="135"/>
      <c r="J512" s="135"/>
      <c r="K512" s="135"/>
      <c r="L512" s="135"/>
      <c r="M512" s="136"/>
      <c r="N512" s="136"/>
      <c r="O512" s="136"/>
      <c r="P512" s="137"/>
      <c r="Q512" s="137"/>
      <c r="R512" s="137"/>
      <c r="S512" s="137"/>
      <c r="T512" s="137"/>
      <c r="U512" s="137"/>
      <c r="V512" s="137"/>
      <c r="W512" s="137"/>
      <c r="X512" s="137">
        <f>+(X461/W461-1)*0.98</f>
        <v>0.10429362612062421</v>
      </c>
      <c r="Y512" s="137">
        <f>+(Y461/X461-1)*0.98</f>
        <v>0.11176495246967147</v>
      </c>
      <c r="Z512" s="137">
        <f>+(Z461/Y461-1)*0.98</f>
        <v>0.10292234770174465</v>
      </c>
      <c r="AA512" s="137">
        <f t="shared" ref="AA512:AD512" si="653">+(AA461/Z461-1)*0.98</f>
        <v>9.5553455095793341E-2</v>
      </c>
      <c r="AB512" s="137">
        <f t="shared" si="653"/>
        <v>8.9305935992919569E-2</v>
      </c>
      <c r="AC512" s="137">
        <f t="shared" si="653"/>
        <v>8.3953540130572574E-2</v>
      </c>
      <c r="AD512" s="137">
        <f t="shared" si="653"/>
        <v>7.9306001693364575E-2</v>
      </c>
      <c r="AE512" s="135"/>
      <c r="AF512" s="135"/>
      <c r="AG512" s="135"/>
      <c r="AH512" s="135"/>
      <c r="AI512" s="135"/>
      <c r="AJ512" s="135"/>
      <c r="AK512" s="135"/>
      <c r="AL512" s="135"/>
      <c r="AM512" s="135"/>
      <c r="AN512" s="135"/>
      <c r="AO512" s="135"/>
      <c r="AP512" s="135"/>
      <c r="AQ512" s="135"/>
      <c r="AR512" s="135"/>
      <c r="AS512" s="135"/>
      <c r="AT512" s="135"/>
      <c r="AU512" s="135"/>
      <c r="AV512" s="135"/>
      <c r="AW512" s="135"/>
      <c r="AX512" s="135"/>
      <c r="AY512" s="135"/>
      <c r="AZ512" s="135"/>
      <c r="BA512" s="135"/>
      <c r="BB512" s="135"/>
      <c r="BC512" s="135"/>
      <c r="BD512" s="137"/>
      <c r="BE512" s="137"/>
      <c r="BF512" s="137"/>
      <c r="BG512" s="137"/>
      <c r="BH512" s="137"/>
      <c r="BI512" s="137"/>
      <c r="BJ512" s="137"/>
      <c r="BK512" s="137"/>
      <c r="BL512" s="137"/>
      <c r="BM512" s="137"/>
      <c r="BN512" s="137"/>
      <c r="BO512" s="137"/>
      <c r="BP512" s="136"/>
      <c r="BQ512" s="136"/>
      <c r="BR512" s="136"/>
      <c r="BS512" s="136"/>
      <c r="BT512" s="136"/>
      <c r="BU512" s="136"/>
      <c r="BV512" s="136"/>
      <c r="BW512" s="136"/>
      <c r="BX512" s="136"/>
      <c r="BY512" s="136"/>
      <c r="BZ512" s="136"/>
      <c r="CA512" s="136"/>
      <c r="CB512" s="136"/>
      <c r="CC512" s="136"/>
      <c r="CD512" s="136"/>
      <c r="CE512" s="136"/>
      <c r="CF512" s="136"/>
      <c r="CG512" s="136"/>
      <c r="CH512" s="136"/>
      <c r="CI512" s="136"/>
      <c r="CJ512" s="136"/>
      <c r="CK512" s="136"/>
      <c r="CL512" s="136"/>
      <c r="CM512" s="136"/>
      <c r="CN512" s="136"/>
      <c r="CO512" s="136"/>
      <c r="CP512" s="136"/>
      <c r="CQ512" s="136"/>
      <c r="CR512" s="136"/>
      <c r="CS512" s="136"/>
      <c r="CT512" s="136"/>
      <c r="CU512" s="136"/>
      <c r="CV512" s="136"/>
      <c r="CW512" s="136"/>
      <c r="CX512" s="136"/>
      <c r="CY512" s="136"/>
      <c r="CZ512" s="136">
        <f t="shared" ref="CZ512:DC512" si="654">+(CZ461/CY461-1)*0.9</f>
        <v>1.2286363636363573E-2</v>
      </c>
      <c r="DA512" s="136">
        <f t="shared" si="654"/>
        <v>3.0201342281879252E-2</v>
      </c>
      <c r="DB512" s="136">
        <f t="shared" si="654"/>
        <v>3.5247158187024577E-2</v>
      </c>
      <c r="DC512" s="136">
        <f t="shared" si="654"/>
        <v>3.5738093912656164E-2</v>
      </c>
    </row>
    <row r="513" spans="1:115" s="33" customFormat="1" outlineLevel="1">
      <c r="B513" s="134" t="s">
        <v>1048</v>
      </c>
      <c r="C513" s="135"/>
      <c r="D513" s="135"/>
      <c r="E513" s="135"/>
      <c r="F513" s="135"/>
      <c r="G513" s="135"/>
      <c r="H513" s="135"/>
      <c r="I513" s="135"/>
      <c r="J513" s="135"/>
      <c r="K513" s="135"/>
      <c r="L513" s="135"/>
      <c r="M513" s="136"/>
      <c r="N513" s="136"/>
      <c r="O513" s="136"/>
      <c r="P513" s="137"/>
      <c r="Q513" s="137"/>
      <c r="R513" s="137"/>
      <c r="S513" s="137"/>
      <c r="T513" s="137"/>
      <c r="U513" s="137"/>
      <c r="V513" s="137"/>
      <c r="W513" s="137"/>
      <c r="X513" s="137">
        <f>X512-0.1</f>
        <v>4.2936261206241999E-3</v>
      </c>
      <c r="Y513" s="137">
        <f>Y512-0.1</f>
        <v>1.1764952469671464E-2</v>
      </c>
      <c r="Z513" s="137">
        <f>Z512-0.1</f>
        <v>2.9223477017446403E-3</v>
      </c>
      <c r="AA513" s="137">
        <f t="shared" ref="AA513:AD513" si="655">AA512-0.1</f>
        <v>-4.4465449042066646E-3</v>
      </c>
      <c r="AB513" s="137">
        <f t="shared" si="655"/>
        <v>-1.0694064007080437E-2</v>
      </c>
      <c r="AC513" s="137">
        <f t="shared" si="655"/>
        <v>-1.6046459869427432E-2</v>
      </c>
      <c r="AD513" s="137">
        <f t="shared" si="655"/>
        <v>-2.069399830663543E-2</v>
      </c>
      <c r="AE513" s="135"/>
      <c r="AF513" s="135"/>
      <c r="AG513" s="135"/>
      <c r="AH513" s="135"/>
      <c r="AI513" s="135"/>
      <c r="AJ513" s="135"/>
      <c r="AK513" s="135"/>
      <c r="AL513" s="135"/>
      <c r="AM513" s="135"/>
      <c r="AN513" s="135"/>
      <c r="AO513" s="135"/>
      <c r="AP513" s="135"/>
      <c r="AQ513" s="135"/>
      <c r="AR513" s="135"/>
      <c r="AS513" s="135"/>
      <c r="AT513" s="135"/>
      <c r="AU513" s="135"/>
      <c r="AV513" s="135"/>
      <c r="AW513" s="135"/>
      <c r="AX513" s="135"/>
      <c r="AY513" s="135"/>
      <c r="AZ513" s="135"/>
      <c r="BA513" s="135"/>
      <c r="BB513" s="135"/>
      <c r="BC513" s="135"/>
      <c r="BD513" s="137"/>
      <c r="BE513" s="137"/>
      <c r="BF513" s="137"/>
      <c r="BG513" s="137"/>
      <c r="BH513" s="137"/>
      <c r="BI513" s="137"/>
      <c r="BJ513" s="137"/>
      <c r="BK513" s="137"/>
      <c r="BL513" s="137"/>
      <c r="BM513" s="137"/>
      <c r="BN513" s="137"/>
      <c r="BO513" s="137"/>
      <c r="BP513" s="136"/>
      <c r="BQ513" s="136"/>
      <c r="BR513" s="136"/>
      <c r="BS513" s="136"/>
      <c r="BT513" s="136"/>
      <c r="BU513" s="136"/>
      <c r="BV513" s="136"/>
      <c r="BW513" s="136"/>
      <c r="BX513" s="136"/>
      <c r="BY513" s="136"/>
      <c r="BZ513" s="136"/>
      <c r="CA513" s="136"/>
      <c r="CB513" s="136"/>
      <c r="CC513" s="136"/>
      <c r="CD513" s="136"/>
      <c r="CE513" s="136"/>
      <c r="CF513" s="136"/>
      <c r="CG513" s="136"/>
      <c r="CH513" s="136"/>
      <c r="CI513" s="136"/>
      <c r="CJ513" s="136"/>
      <c r="CK513" s="136"/>
      <c r="CL513" s="136"/>
      <c r="CM513" s="136"/>
      <c r="CN513" s="136"/>
      <c r="CO513" s="136"/>
      <c r="CP513" s="136"/>
      <c r="CQ513" s="136"/>
      <c r="CR513" s="136"/>
      <c r="CS513" s="136"/>
      <c r="CT513" s="136"/>
      <c r="CU513" s="136"/>
      <c r="CV513" s="136"/>
      <c r="CW513" s="136"/>
      <c r="CX513" s="136"/>
      <c r="CY513" s="136"/>
      <c r="CZ513" s="136">
        <f t="shared" ref="CZ513:DC513" si="656">CZ512-0.5%</f>
        <v>7.2863636363635726E-3</v>
      </c>
      <c r="DA513" s="136">
        <f t="shared" si="656"/>
        <v>2.5201342281879251E-2</v>
      </c>
      <c r="DB513" s="136">
        <f t="shared" si="656"/>
        <v>3.0247158187024576E-2</v>
      </c>
      <c r="DC513" s="136">
        <f t="shared" si="656"/>
        <v>3.0738093912656164E-2</v>
      </c>
    </row>
    <row r="514" spans="1:115">
      <c r="B514" s="37"/>
      <c r="C514" s="197"/>
      <c r="D514" s="31"/>
      <c r="E514" s="31"/>
      <c r="F514" s="31"/>
      <c r="G514" s="31"/>
      <c r="H514" s="31"/>
      <c r="I514" s="31"/>
      <c r="J514" s="31"/>
      <c r="K514" s="31"/>
      <c r="L514" s="31"/>
      <c r="M514" s="199"/>
      <c r="N514" s="199"/>
      <c r="O514" s="199"/>
      <c r="P514" s="199"/>
      <c r="Q514" s="199"/>
      <c r="R514" s="199"/>
      <c r="S514" s="199"/>
      <c r="T514" s="199"/>
      <c r="U514" s="199"/>
      <c r="V514" s="199"/>
      <c r="W514" s="199"/>
      <c r="X514" s="199"/>
      <c r="Y514" s="199"/>
      <c r="Z514" s="199"/>
      <c r="AA514" s="199"/>
      <c r="AB514" s="199"/>
      <c r="AC514" s="199"/>
      <c r="AD514" s="199"/>
      <c r="AE514" s="197"/>
      <c r="AF514" s="31"/>
      <c r="AG514" s="31"/>
      <c r="AH514" s="31"/>
      <c r="AI514" s="31"/>
      <c r="AJ514" s="31"/>
      <c r="AK514" s="31"/>
      <c r="AL514" s="31"/>
      <c r="AM514" s="31"/>
      <c r="AN514" s="31"/>
      <c r="AO514" s="31"/>
      <c r="AP514" s="31"/>
      <c r="AQ514" s="31"/>
      <c r="AR514" s="31"/>
      <c r="AS514" s="31"/>
      <c r="AT514" s="31"/>
      <c r="AU514" s="31"/>
      <c r="AV514" s="163"/>
      <c r="AW514" s="163"/>
      <c r="AX514" s="163"/>
      <c r="AY514" s="163"/>
      <c r="AZ514" s="38"/>
      <c r="BA514" s="38"/>
      <c r="BB514" s="38"/>
      <c r="BC514" s="38"/>
      <c r="BD514" s="38"/>
      <c r="BE514" s="38"/>
      <c r="BF514" s="38"/>
      <c r="BG514" s="38"/>
      <c r="BH514" s="38"/>
      <c r="BI514" s="38"/>
      <c r="BJ514" s="38"/>
      <c r="BK514" s="38"/>
      <c r="BL514" s="38"/>
      <c r="BM514" s="38"/>
      <c r="BN514" s="38"/>
      <c r="BO514" s="38"/>
      <c r="BP514" s="38"/>
      <c r="BQ514" s="38"/>
      <c r="BR514" s="38"/>
      <c r="BS514" s="38"/>
      <c r="BT514" s="38"/>
      <c r="BU514" s="38"/>
      <c r="BV514" s="199"/>
      <c r="BW514" s="199"/>
      <c r="BX514" s="199"/>
      <c r="BY514" s="199"/>
      <c r="BZ514" s="199"/>
      <c r="CA514" s="199"/>
      <c r="CB514" s="199"/>
      <c r="CC514" s="199"/>
      <c r="CD514" s="199"/>
      <c r="CE514" s="199"/>
      <c r="CF514" s="199"/>
      <c r="CG514" s="199"/>
      <c r="CH514" s="199"/>
      <c r="CI514" s="199"/>
      <c r="CJ514" s="199"/>
      <c r="CK514" s="199"/>
      <c r="CL514" s="199"/>
      <c r="CM514" s="199"/>
      <c r="CN514" s="199"/>
      <c r="CO514" s="199"/>
      <c r="CP514" s="199"/>
      <c r="CQ514" s="199"/>
      <c r="CR514" s="199"/>
      <c r="CS514" s="199"/>
      <c r="CT514" s="199"/>
      <c r="CU514" s="199"/>
      <c r="CV514" s="199"/>
      <c r="CW514" s="199"/>
      <c r="CX514" s="199"/>
      <c r="CY514" s="199"/>
      <c r="CZ514" s="27"/>
      <c r="DA514" s="27"/>
      <c r="DB514" s="27"/>
      <c r="DC514" s="27"/>
    </row>
    <row r="515" spans="1:115">
      <c r="B515" s="17" t="s">
        <v>726</v>
      </c>
      <c r="C515" s="197"/>
      <c r="D515" s="31"/>
      <c r="E515" s="31"/>
      <c r="F515" s="31"/>
      <c r="G515" s="31"/>
      <c r="H515" s="31"/>
      <c r="I515" s="31"/>
      <c r="J515" s="31"/>
      <c r="K515" s="31"/>
      <c r="L515" s="31"/>
      <c r="M515" s="199"/>
      <c r="N515" s="166">
        <f t="shared" ref="N515:Z515" si="657">AVERAGE(M508:N508)/N460</f>
        <v>1.7587142857142857</v>
      </c>
      <c r="O515" s="166">
        <f t="shared" si="657"/>
        <v>1.805359477124183</v>
      </c>
      <c r="P515" s="166">
        <f t="shared" si="657"/>
        <v>1.821027027027027</v>
      </c>
      <c r="Q515" s="166">
        <f t="shared" si="657"/>
        <v>1.6376706827309238</v>
      </c>
      <c r="R515" s="166">
        <f t="shared" si="657"/>
        <v>1.5631067961165048</v>
      </c>
      <c r="S515" s="166">
        <f t="shared" si="657"/>
        <v>1.5174418604651163</v>
      </c>
      <c r="T515" s="166">
        <f t="shared" si="657"/>
        <v>1.4656862745098038</v>
      </c>
      <c r="U515" s="166">
        <f t="shared" si="657"/>
        <v>1.4354527938342967</v>
      </c>
      <c r="V515" s="166">
        <f t="shared" si="657"/>
        <v>1.4077046548956662</v>
      </c>
      <c r="W515" s="166">
        <f t="shared" si="657"/>
        <v>1.4060390038037032</v>
      </c>
      <c r="X515" s="166">
        <f t="shared" si="657"/>
        <v>1.3965759679818437</v>
      </c>
      <c r="Y515" s="166">
        <f t="shared" si="657"/>
        <v>1.3937938011915942</v>
      </c>
      <c r="Z515" s="166">
        <f t="shared" si="657"/>
        <v>1.3910530557090672</v>
      </c>
      <c r="AA515" s="166">
        <f t="shared" ref="AA515" si="658">AVERAGE(Z508:AA508)/AA460</f>
        <v>1.3885035792119387</v>
      </c>
      <c r="AB515" s="166">
        <f t="shared" ref="AB515" si="659">AVERAGE(AA508:AB508)/AB460</f>
        <v>1.3861171088477151</v>
      </c>
      <c r="AC515" s="166">
        <f t="shared" ref="AC515" si="660">AVERAGE(AB508:AC508)/AC460</f>
        <v>1.3838711795009535</v>
      </c>
      <c r="AD515" s="166">
        <f t="shared" ref="AD515" si="661">AVERAGE(AC508:AD508)/AD460</f>
        <v>1.3817476726234246</v>
      </c>
      <c r="AE515" s="197"/>
      <c r="AF515" s="31"/>
      <c r="AG515" s="31"/>
      <c r="AH515" s="31"/>
      <c r="AI515" s="31"/>
      <c r="AJ515" s="31"/>
      <c r="AK515" s="31"/>
      <c r="AL515" s="31"/>
      <c r="AM515" s="31"/>
      <c r="AN515" s="31"/>
      <c r="AO515" s="31"/>
      <c r="AP515" s="31"/>
      <c r="AQ515" s="31"/>
      <c r="AR515" s="31"/>
      <c r="AS515" s="31"/>
      <c r="AT515" s="31"/>
      <c r="AU515" s="31"/>
      <c r="AV515" s="31"/>
      <c r="AW515" s="31"/>
      <c r="AX515" s="31"/>
      <c r="AY515" s="165"/>
      <c r="AZ515" s="165"/>
      <c r="BA515" s="165"/>
      <c r="BB515" s="165"/>
      <c r="BC515" s="165"/>
      <c r="BD515" s="165"/>
      <c r="BE515" s="165"/>
      <c r="BF515" s="165"/>
      <c r="BG515" s="165"/>
      <c r="BH515" s="165"/>
      <c r="BI515" s="165"/>
      <c r="BJ515" s="165"/>
      <c r="BK515" s="165"/>
      <c r="BL515" s="165"/>
      <c r="BM515" s="165"/>
      <c r="BN515" s="165"/>
      <c r="BO515" s="165"/>
      <c r="BP515" s="166">
        <f t="shared" ref="BP515:CY515" si="662">AVERAGE(BO508:BP508)/BP460</f>
        <v>1.6507936507936507</v>
      </c>
      <c r="BQ515" s="166">
        <f t="shared" si="662"/>
        <v>1.6125757575757576</v>
      </c>
      <c r="BR515" s="166">
        <f t="shared" si="662"/>
        <v>1.6499264705882353</v>
      </c>
      <c r="BS515" s="166">
        <f t="shared" si="662"/>
        <v>1.708</v>
      </c>
      <c r="BT515" s="166">
        <f t="shared" si="662"/>
        <v>1.6935810810810812</v>
      </c>
      <c r="BU515" s="166">
        <f t="shared" si="662"/>
        <v>1.7183766233766233</v>
      </c>
      <c r="BV515" s="166">
        <f t="shared" si="662"/>
        <v>1.7684375000000001</v>
      </c>
      <c r="BW515" s="166">
        <f t="shared" si="662"/>
        <v>1.8010240963855422</v>
      </c>
      <c r="BX515" s="166">
        <f t="shared" si="662"/>
        <v>1.8606508875739645</v>
      </c>
      <c r="BY515" s="166">
        <f t="shared" si="662"/>
        <v>1.8401117318435753</v>
      </c>
      <c r="BZ515" s="166">
        <f t="shared" si="662"/>
        <v>1.825978835978836</v>
      </c>
      <c r="CA515" s="166">
        <f t="shared" si="662"/>
        <v>1.8224747474747476</v>
      </c>
      <c r="CB515" s="166">
        <f t="shared" si="662"/>
        <v>1.8199514563106796</v>
      </c>
      <c r="CC515" s="166">
        <f t="shared" si="662"/>
        <v>1.8322535211267605</v>
      </c>
      <c r="CD515" s="166">
        <f t="shared" si="662"/>
        <v>1.6422834645669291</v>
      </c>
      <c r="CE515" s="166">
        <f t="shared" si="662"/>
        <v>1.5136986301369864</v>
      </c>
      <c r="CF515" s="166">
        <f t="shared" si="662"/>
        <v>1.5655172413793104</v>
      </c>
      <c r="CG515" s="166">
        <f t="shared" si="662"/>
        <v>1.6082474226804124</v>
      </c>
      <c r="CH515" s="166">
        <f t="shared" si="662"/>
        <v>1.5921052631578947</v>
      </c>
      <c r="CI515" s="166">
        <f t="shared" si="662"/>
        <v>1.5880503144654088</v>
      </c>
      <c r="CJ515" s="166">
        <f t="shared" si="662"/>
        <v>1.6761006289308176</v>
      </c>
      <c r="CK515" s="166">
        <f t="shared" si="662"/>
        <v>1.7383177570093458</v>
      </c>
      <c r="CL515" s="166">
        <f t="shared" si="662"/>
        <v>1.7294117647058824</v>
      </c>
      <c r="CM515" s="166">
        <f t="shared" si="662"/>
        <v>1.588235294117647</v>
      </c>
      <c r="CN515" s="166">
        <f t="shared" si="662"/>
        <v>1.4691689008042896</v>
      </c>
      <c r="CO515" s="166">
        <f t="shared" si="662"/>
        <v>1.5025380710659899</v>
      </c>
      <c r="CP515" s="166">
        <f t="shared" si="662"/>
        <v>1.5023809523809524</v>
      </c>
      <c r="CQ515" s="166">
        <f t="shared" si="662"/>
        <v>1.4875846501128669</v>
      </c>
      <c r="CR515" s="166">
        <f t="shared" si="662"/>
        <v>1.4901531728665207</v>
      </c>
      <c r="CS515" s="166">
        <f t="shared" si="662"/>
        <v>1.4905263157894737</v>
      </c>
      <c r="CT515" s="166">
        <f t="shared" si="662"/>
        <v>1.4879518072289157</v>
      </c>
      <c r="CU515" s="166">
        <f t="shared" si="662"/>
        <v>1.4424131627056673</v>
      </c>
      <c r="CV515" s="166">
        <f t="shared" si="662"/>
        <v>1.4114671163575043</v>
      </c>
      <c r="CW515" s="166">
        <f t="shared" si="662"/>
        <v>1.4217462932454694</v>
      </c>
      <c r="CX515" s="166">
        <f t="shared" si="662"/>
        <v>1.4208000000000001</v>
      </c>
      <c r="CY515" s="166">
        <f t="shared" si="662"/>
        <v>1.4182098765432098</v>
      </c>
      <c r="CZ515" s="166">
        <f t="shared" ref="CZ515:DC515" si="663">AVERAGE(CY508:CZ508)/CZ460</f>
        <v>1.4141921156623076</v>
      </c>
      <c r="DA515" s="166">
        <f t="shared" si="663"/>
        <v>1.410913548530381</v>
      </c>
      <c r="DB515" s="166">
        <f t="shared" si="663"/>
        <v>1.405951756161528</v>
      </c>
      <c r="DC515" s="166">
        <f t="shared" si="663"/>
        <v>1.4006162615524749</v>
      </c>
    </row>
    <row r="516" spans="1:115">
      <c r="B516" s="37" t="s">
        <v>709</v>
      </c>
      <c r="C516" s="197"/>
      <c r="D516" s="31"/>
      <c r="E516" s="31"/>
      <c r="F516" s="31"/>
      <c r="G516" s="31"/>
      <c r="H516" s="31"/>
      <c r="I516" s="31"/>
      <c r="J516" s="31"/>
      <c r="K516" s="31"/>
      <c r="L516" s="31"/>
      <c r="M516" s="199"/>
      <c r="N516" s="199"/>
      <c r="O516" s="38">
        <f t="shared" ref="O516:Z516" si="664">O515/N515-1</f>
        <v>2.6522324739605363E-2</v>
      </c>
      <c r="P516" s="38">
        <f t="shared" si="664"/>
        <v>8.6783546996420657E-3</v>
      </c>
      <c r="Q516" s="38">
        <f t="shared" si="664"/>
        <v>-0.10068842558336277</v>
      </c>
      <c r="R516" s="38">
        <f t="shared" si="664"/>
        <v>-4.5530452123670351E-2</v>
      </c>
      <c r="S516" s="38">
        <f t="shared" si="664"/>
        <v>-2.9214213491260965E-2</v>
      </c>
      <c r="T516" s="38">
        <f t="shared" si="664"/>
        <v>-3.4107129441815154E-2</v>
      </c>
      <c r="U516" s="38">
        <f t="shared" si="664"/>
        <v>-2.0627525276934677E-2</v>
      </c>
      <c r="V516" s="38">
        <f t="shared" si="664"/>
        <v>-1.9330582696844623E-2</v>
      </c>
      <c r="W516" s="38">
        <f t="shared" si="664"/>
        <v>-1.1832390311208307E-3</v>
      </c>
      <c r="X516" s="38">
        <f t="shared" si="664"/>
        <v>-6.7302797406469939E-3</v>
      </c>
      <c r="Y516" s="38">
        <f t="shared" si="664"/>
        <v>-1.9921342297404276E-3</v>
      </c>
      <c r="Z516" s="38">
        <f t="shared" si="664"/>
        <v>-1.9663923603218114E-3</v>
      </c>
      <c r="AA516" s="38">
        <f t="shared" ref="AA516" si="665">AA515/Z515-1</f>
        <v>-1.8327672597857614E-3</v>
      </c>
      <c r="AB516" s="38">
        <f t="shared" ref="AB516" si="666">AB515/AA515-1</f>
        <v>-1.7187354789377496E-3</v>
      </c>
      <c r="AC516" s="38">
        <f t="shared" ref="AC516" si="667">AC515/AB515-1</f>
        <v>-1.6203027380772284E-3</v>
      </c>
      <c r="AD516" s="38">
        <f t="shared" ref="AD516" si="668">AD515/AC515-1</f>
        <v>-1.5344686044366229E-3</v>
      </c>
      <c r="AE516" s="197"/>
      <c r="AF516" s="31"/>
      <c r="AG516" s="31"/>
      <c r="AH516" s="31"/>
      <c r="AI516" s="31"/>
      <c r="AJ516" s="31"/>
      <c r="AK516" s="31"/>
      <c r="AL516" s="31"/>
      <c r="AM516" s="31"/>
      <c r="AN516" s="31"/>
      <c r="AO516" s="31"/>
      <c r="AP516" s="31"/>
      <c r="AQ516" s="31"/>
      <c r="AR516" s="31"/>
      <c r="AS516" s="31"/>
      <c r="AT516" s="31"/>
      <c r="AU516" s="31"/>
      <c r="AV516" s="31"/>
      <c r="AW516" s="31"/>
      <c r="AX516" s="31"/>
      <c r="AY516" s="31"/>
      <c r="AZ516" s="31"/>
      <c r="BA516" s="31"/>
      <c r="BB516" s="31"/>
      <c r="BC516" s="31"/>
      <c r="BD516" s="32"/>
      <c r="BE516" s="32"/>
      <c r="BF516" s="32"/>
      <c r="BG516" s="32"/>
      <c r="BH516" s="32"/>
      <c r="BI516" s="32"/>
      <c r="BJ516" s="32"/>
      <c r="BK516" s="32"/>
      <c r="BL516" s="32"/>
      <c r="BM516" s="32"/>
      <c r="BN516" s="32"/>
      <c r="BO516" s="32"/>
      <c r="BP516" s="199"/>
      <c r="BQ516" s="199"/>
      <c r="BR516" s="199"/>
      <c r="BS516" s="38"/>
      <c r="BT516" s="38">
        <f t="shared" ref="BT516:CY516" si="669">BT515/BP515-1</f>
        <v>2.591930873180881E-2</v>
      </c>
      <c r="BU516" s="38">
        <f t="shared" si="669"/>
        <v>6.5609857585804177E-2</v>
      </c>
      <c r="BV516" s="38">
        <f t="shared" si="669"/>
        <v>7.182806720442092E-2</v>
      </c>
      <c r="BW516" s="38">
        <f t="shared" si="669"/>
        <v>5.4463756666008223E-2</v>
      </c>
      <c r="BX516" s="38">
        <f t="shared" si="669"/>
        <v>9.8648838463781141E-2</v>
      </c>
      <c r="BY516" s="38">
        <f t="shared" si="669"/>
        <v>7.0843089233687095E-2</v>
      </c>
      <c r="BZ516" s="38">
        <f t="shared" si="669"/>
        <v>3.2537952841893425E-2</v>
      </c>
      <c r="CA516" s="38">
        <f t="shared" si="669"/>
        <v>1.1910252135023836E-2</v>
      </c>
      <c r="CB516" s="38">
        <f t="shared" si="669"/>
        <v>-2.1873760163762634E-2</v>
      </c>
      <c r="CC516" s="38">
        <f t="shared" si="669"/>
        <v>-4.2705073723657838E-3</v>
      </c>
      <c r="CD516" s="38">
        <f t="shared" si="669"/>
        <v>-0.10060104081843591</v>
      </c>
      <c r="CE516" s="38">
        <f t="shared" si="669"/>
        <v>-0.16942682896737349</v>
      </c>
      <c r="CF516" s="38">
        <f t="shared" si="669"/>
        <v>-0.13980274806183368</v>
      </c>
      <c r="CG516" s="38">
        <f t="shared" si="669"/>
        <v>-0.12225715266116322</v>
      </c>
      <c r="CH516" s="38">
        <f t="shared" si="669"/>
        <v>-3.055392232318821E-2</v>
      </c>
      <c r="CI516" s="38">
        <f t="shared" si="669"/>
        <v>4.9119212271265589E-2</v>
      </c>
      <c r="CJ516" s="38">
        <f t="shared" si="669"/>
        <v>7.0636965616601488E-2</v>
      </c>
      <c r="CK516" s="38">
        <f t="shared" si="669"/>
        <v>8.0877066858375146E-2</v>
      </c>
      <c r="CL516" s="38">
        <f t="shared" si="669"/>
        <v>8.6242100145843548E-2</v>
      </c>
      <c r="CM516" s="38">
        <f t="shared" si="669"/>
        <v>1.1648223645899236E-4</v>
      </c>
      <c r="CN516" s="38">
        <f t="shared" si="669"/>
        <v>-0.12346020552389469</v>
      </c>
      <c r="CO516" s="38">
        <f t="shared" si="669"/>
        <v>-0.13563670105343595</v>
      </c>
      <c r="CP516" s="38">
        <f t="shared" si="669"/>
        <v>-0.13127632005183032</v>
      </c>
      <c r="CQ516" s="38">
        <f t="shared" si="669"/>
        <v>-6.3372627706713369E-2</v>
      </c>
      <c r="CR516" s="38">
        <f t="shared" si="669"/>
        <v>1.4283090290533096E-2</v>
      </c>
      <c r="CS516" s="38">
        <f t="shared" si="669"/>
        <v>-7.9943100995732985E-3</v>
      </c>
      <c r="CT516" s="38">
        <f t="shared" si="669"/>
        <v>-9.6041853626868123E-3</v>
      </c>
      <c r="CU516" s="38">
        <f t="shared" si="669"/>
        <v>-3.0365658454308608E-2</v>
      </c>
      <c r="CV516" s="38">
        <f t="shared" si="669"/>
        <v>-5.2804005616182814E-2</v>
      </c>
      <c r="CW516" s="38">
        <f t="shared" si="669"/>
        <v>-4.6144789136161046E-2</v>
      </c>
      <c r="CX516" s="38">
        <f t="shared" si="669"/>
        <v>-4.5130364372469645E-2</v>
      </c>
      <c r="CY516" s="38">
        <f t="shared" si="669"/>
        <v>-1.6779718036583291E-2</v>
      </c>
      <c r="CZ516" s="38">
        <f t="shared" ref="CZ516:DC516" si="670">CZ515/CV515-1</f>
        <v>1.9306148001771994E-3</v>
      </c>
      <c r="DA516" s="38">
        <f t="shared" si="670"/>
        <v>-7.6193233395813742E-3</v>
      </c>
      <c r="DB516" s="38">
        <f t="shared" si="670"/>
        <v>-1.0450622070996674E-2</v>
      </c>
      <c r="DC516" s="38">
        <f t="shared" si="670"/>
        <v>-1.2405508720344183E-2</v>
      </c>
    </row>
    <row r="517" spans="1:115">
      <c r="B517" s="37" t="s">
        <v>710</v>
      </c>
      <c r="C517" s="197"/>
      <c r="D517" s="31"/>
      <c r="E517" s="31"/>
      <c r="F517" s="31"/>
      <c r="G517" s="31"/>
      <c r="H517" s="31"/>
      <c r="I517" s="31"/>
      <c r="J517" s="31"/>
      <c r="K517" s="31"/>
      <c r="L517" s="31"/>
      <c r="M517" s="199"/>
      <c r="N517" s="199"/>
      <c r="O517" s="199"/>
      <c r="P517" s="199"/>
      <c r="Q517" s="199"/>
      <c r="R517" s="199"/>
      <c r="S517" s="199"/>
      <c r="T517" s="199"/>
      <c r="U517" s="199"/>
      <c r="V517" s="199"/>
      <c r="W517" s="199"/>
      <c r="X517" s="199"/>
      <c r="Y517" s="199"/>
      <c r="Z517" s="199"/>
      <c r="AA517" s="199"/>
      <c r="AB517" s="199"/>
      <c r="AC517" s="199"/>
      <c r="AD517" s="199"/>
      <c r="AE517" s="197"/>
      <c r="AF517" s="31"/>
      <c r="AG517" s="31"/>
      <c r="AH517" s="31"/>
      <c r="AI517" s="31"/>
      <c r="AJ517" s="31"/>
      <c r="AK517" s="31"/>
      <c r="AL517" s="31"/>
      <c r="AM517" s="31"/>
      <c r="AN517" s="31"/>
      <c r="AO517" s="31"/>
      <c r="AP517" s="31"/>
      <c r="AQ517" s="31"/>
      <c r="AR517" s="31"/>
      <c r="AS517" s="31"/>
      <c r="AT517" s="31"/>
      <c r="AU517" s="31"/>
      <c r="AV517" s="31"/>
      <c r="AW517" s="31"/>
      <c r="AX517" s="31"/>
      <c r="AY517" s="31"/>
      <c r="AZ517" s="31"/>
      <c r="BA517" s="31"/>
      <c r="BB517" s="31"/>
      <c r="BC517" s="31"/>
      <c r="BD517" s="32"/>
      <c r="BE517" s="32"/>
      <c r="BF517" s="32"/>
      <c r="BG517" s="32"/>
      <c r="BH517" s="32"/>
      <c r="BI517" s="32"/>
      <c r="BJ517" s="32"/>
      <c r="BK517" s="32"/>
      <c r="BL517" s="32"/>
      <c r="BM517" s="32"/>
      <c r="BN517" s="32"/>
      <c r="BO517" s="32"/>
      <c r="BP517" s="199"/>
      <c r="BQ517" s="38">
        <f t="shared" ref="BQ517:CY517" si="671">BQ515/BP515-1</f>
        <v>-2.3151223776223695E-2</v>
      </c>
      <c r="BR517" s="38">
        <f t="shared" si="671"/>
        <v>2.3162144684990338E-2</v>
      </c>
      <c r="BS517" s="38">
        <f t="shared" si="671"/>
        <v>3.5197646953964101E-2</v>
      </c>
      <c r="BT517" s="38">
        <f t="shared" si="671"/>
        <v>-8.4419899993669612E-3</v>
      </c>
      <c r="BU517" s="38">
        <f t="shared" si="671"/>
        <v>1.4640894712707908E-2</v>
      </c>
      <c r="BV517" s="38">
        <f t="shared" si="671"/>
        <v>2.9132656917205235E-2</v>
      </c>
      <c r="BW517" s="38">
        <f t="shared" si="671"/>
        <v>1.8426773004724284E-2</v>
      </c>
      <c r="BX517" s="38">
        <f t="shared" si="671"/>
        <v>3.3107159036953826E-2</v>
      </c>
      <c r="BY517" s="38">
        <f t="shared" si="671"/>
        <v>-1.103869396863022E-2</v>
      </c>
      <c r="BZ517" s="38">
        <f t="shared" si="671"/>
        <v>-7.6804552789736524E-3</v>
      </c>
      <c r="CA517" s="38">
        <f t="shared" si="671"/>
        <v>-1.9190192323396138E-3</v>
      </c>
      <c r="CB517" s="38">
        <f t="shared" si="671"/>
        <v>-1.3845410848980499E-3</v>
      </c>
      <c r="CC517" s="38">
        <f t="shared" si="671"/>
        <v>6.7595565658762347E-3</v>
      </c>
      <c r="CD517" s="38">
        <f t="shared" si="671"/>
        <v>-0.10368109782264612</v>
      </c>
      <c r="CE517" s="38">
        <f t="shared" si="671"/>
        <v>-7.8296370391728098E-2</v>
      </c>
      <c r="CF517" s="38">
        <f t="shared" si="671"/>
        <v>3.4233109689499219E-2</v>
      </c>
      <c r="CG517" s="38">
        <f t="shared" si="671"/>
        <v>2.7294609201144571E-2</v>
      </c>
      <c r="CH517" s="38">
        <f t="shared" si="671"/>
        <v>-1.0037112010796267E-2</v>
      </c>
      <c r="CI517" s="38">
        <f t="shared" si="671"/>
        <v>-2.5469099225531311E-3</v>
      </c>
      <c r="CJ517" s="38">
        <f t="shared" si="671"/>
        <v>5.5445544554455495E-2</v>
      </c>
      <c r="CK517" s="38">
        <f t="shared" si="671"/>
        <v>3.7120162718521588E-2</v>
      </c>
      <c r="CL517" s="38">
        <f t="shared" si="671"/>
        <v>-5.123339658443915E-3</v>
      </c>
      <c r="CM517" s="38">
        <f t="shared" si="671"/>
        <v>-8.163265306122458E-2</v>
      </c>
      <c r="CN517" s="38">
        <f t="shared" si="671"/>
        <v>-7.4967729123225024E-2</v>
      </c>
      <c r="CO517" s="38">
        <f t="shared" si="671"/>
        <v>2.2712957130682776E-2</v>
      </c>
      <c r="CP517" s="38">
        <f t="shared" si="671"/>
        <v>-1.045688545688872E-4</v>
      </c>
      <c r="CQ517" s="38">
        <f t="shared" si="671"/>
        <v>-9.8485688630679524E-3</v>
      </c>
      <c r="CR517" s="38">
        <f t="shared" si="671"/>
        <v>1.7266397266595401E-3</v>
      </c>
      <c r="CS517" s="38">
        <f t="shared" si="671"/>
        <v>2.504057500580803E-4</v>
      </c>
      <c r="CT517" s="38">
        <f t="shared" si="671"/>
        <v>-1.7272479749506076E-3</v>
      </c>
      <c r="CU517" s="38">
        <f t="shared" si="671"/>
        <v>-3.0604918991332886E-2</v>
      </c>
      <c r="CV517" s="38">
        <f t="shared" si="671"/>
        <v>-2.1454356593720081E-2</v>
      </c>
      <c r="CW517" s="38">
        <f t="shared" si="671"/>
        <v>7.2826187509715812E-3</v>
      </c>
      <c r="CX517" s="38">
        <f t="shared" si="671"/>
        <v>-6.6558516801840106E-4</v>
      </c>
      <c r="CY517" s="38">
        <f t="shared" si="671"/>
        <v>-1.8230035591146887E-3</v>
      </c>
      <c r="CZ517" s="38">
        <f t="shared" ref="CZ517:DC517" si="672">CZ515/CY515-1</f>
        <v>-2.8329804687972082E-3</v>
      </c>
      <c r="DA517" s="38">
        <f t="shared" si="672"/>
        <v>-2.3183322093344172E-3</v>
      </c>
      <c r="DB517" s="38">
        <f t="shared" si="672"/>
        <v>-3.5167231713248981E-3</v>
      </c>
      <c r="DC517" s="38">
        <f t="shared" si="672"/>
        <v>-3.7949343465524255E-3</v>
      </c>
    </row>
    <row r="518" spans="1:115" ht="12.75" customHeight="1">
      <c r="B518" s="37"/>
      <c r="C518" s="197"/>
      <c r="D518" s="31"/>
      <c r="E518" s="31"/>
      <c r="F518" s="31"/>
      <c r="G518" s="31"/>
      <c r="H518" s="31"/>
      <c r="I518" s="31"/>
      <c r="J518" s="31"/>
      <c r="K518" s="31"/>
      <c r="L518" s="31"/>
      <c r="M518" s="199"/>
      <c r="N518" s="199"/>
      <c r="O518" s="199"/>
      <c r="P518" s="199"/>
      <c r="Q518" s="199"/>
      <c r="R518" s="199"/>
      <c r="S518" s="199"/>
      <c r="T518" s="199"/>
      <c r="U518" s="199"/>
      <c r="V518" s="199"/>
      <c r="W518" s="199"/>
      <c r="X518" s="199"/>
      <c r="Y518" s="199"/>
      <c r="Z518" s="199"/>
      <c r="AA518" s="199"/>
      <c r="AB518" s="199"/>
      <c r="AC518" s="199"/>
      <c r="AD518" s="199"/>
      <c r="AE518" s="197"/>
      <c r="AF518" s="31"/>
      <c r="AG518" s="31"/>
      <c r="AH518" s="31"/>
      <c r="AI518" s="31"/>
      <c r="AJ518" s="31"/>
      <c r="AK518" s="31"/>
      <c r="AL518" s="31"/>
      <c r="AM518" s="31"/>
      <c r="AN518" s="31"/>
      <c r="AO518" s="31"/>
      <c r="AP518" s="31"/>
      <c r="AQ518" s="31"/>
      <c r="AR518" s="31"/>
      <c r="AS518" s="31"/>
      <c r="AT518" s="31"/>
      <c r="AU518" s="31"/>
      <c r="AV518" s="31"/>
      <c r="AW518" s="31"/>
      <c r="AX518" s="31"/>
      <c r="AY518" s="31"/>
      <c r="AZ518" s="31"/>
      <c r="BA518" s="31"/>
      <c r="BB518" s="31"/>
      <c r="BC518" s="31"/>
      <c r="BD518" s="32"/>
      <c r="BE518" s="32"/>
      <c r="BF518" s="32"/>
      <c r="BG518" s="32"/>
      <c r="BH518" s="32"/>
      <c r="BI518" s="32"/>
      <c r="BJ518" s="32"/>
      <c r="BK518" s="32"/>
      <c r="BL518" s="32"/>
      <c r="BM518" s="32"/>
      <c r="BN518" s="32"/>
      <c r="BO518" s="32"/>
      <c r="BP518" s="199"/>
      <c r="BQ518" s="38"/>
      <c r="BR518" s="38"/>
      <c r="BS518" s="38"/>
      <c r="BT518" s="38"/>
      <c r="BU518" s="38"/>
      <c r="BV518" s="199"/>
      <c r="BW518" s="199"/>
      <c r="BX518" s="199"/>
      <c r="BY518" s="199"/>
      <c r="BZ518" s="199"/>
      <c r="CA518" s="199"/>
      <c r="CB518" s="199"/>
      <c r="CC518" s="199"/>
      <c r="CD518" s="199"/>
      <c r="CE518" s="199"/>
      <c r="CF518" s="199"/>
      <c r="CG518" s="199"/>
      <c r="CH518" s="199"/>
      <c r="CI518" s="199"/>
      <c r="CJ518" s="199"/>
      <c r="CK518" s="199"/>
      <c r="CL518" s="199"/>
      <c r="CM518" s="199"/>
      <c r="CN518" s="199"/>
      <c r="CO518" s="199"/>
      <c r="CP518" s="199"/>
      <c r="CQ518" s="199"/>
      <c r="CR518" s="199"/>
      <c r="CS518" s="199"/>
      <c r="CT518" s="199"/>
      <c r="CU518" s="199"/>
      <c r="CV518" s="199"/>
      <c r="CW518" s="199"/>
      <c r="CX518" s="199"/>
      <c r="CY518" s="199"/>
      <c r="CZ518" s="199"/>
      <c r="DA518" s="199"/>
      <c r="DB518" s="199"/>
      <c r="DC518" s="199"/>
    </row>
    <row r="519" spans="1:115">
      <c r="B519" s="170" t="s">
        <v>727</v>
      </c>
      <c r="C519" s="197"/>
      <c r="D519" s="31"/>
      <c r="E519" s="31"/>
      <c r="F519" s="31"/>
      <c r="G519" s="31"/>
      <c r="H519" s="31"/>
      <c r="I519" s="31"/>
      <c r="J519" s="31"/>
      <c r="K519" s="31"/>
      <c r="L519" s="31"/>
      <c r="M519" s="199"/>
      <c r="N519" s="199"/>
      <c r="O519" s="199"/>
      <c r="P519" s="531">
        <f t="shared" ref="P519:W519" si="673">(P491/12/AVERAGE(O508:P508))*1000000</f>
        <v>120.34590914937614</v>
      </c>
      <c r="Q519" s="531">
        <f t="shared" si="673"/>
        <v>133.87120506155281</v>
      </c>
      <c r="R519" s="531">
        <f t="shared" si="673"/>
        <v>140.18633540372673</v>
      </c>
      <c r="S519" s="531">
        <f t="shared" si="673"/>
        <v>158.84738186462329</v>
      </c>
      <c r="T519" s="531">
        <f t="shared" si="673"/>
        <v>172.96822742474919</v>
      </c>
      <c r="U519" s="531">
        <f t="shared" si="673"/>
        <v>199.85682326621921</v>
      </c>
      <c r="V519" s="531">
        <f t="shared" si="673"/>
        <v>203.37134169517296</v>
      </c>
      <c r="W519" s="531">
        <f t="shared" si="673"/>
        <v>211.98607474029572</v>
      </c>
      <c r="X519" s="171">
        <f>+W519*1.02</f>
        <v>216.22579623510163</v>
      </c>
      <c r="Y519" s="171">
        <f>+X519*1.02</f>
        <v>220.55031215980367</v>
      </c>
      <c r="Z519" s="171">
        <f>+Y519*1.02</f>
        <v>224.96131840299975</v>
      </c>
      <c r="AA519" s="171">
        <f t="shared" ref="AA519:AD519" si="674">+Z519*1.02</f>
        <v>229.46054477105974</v>
      </c>
      <c r="AB519" s="171">
        <f t="shared" si="674"/>
        <v>234.04975566648093</v>
      </c>
      <c r="AC519" s="171">
        <f t="shared" si="674"/>
        <v>238.73075077981056</v>
      </c>
      <c r="AD519" s="171">
        <f t="shared" si="674"/>
        <v>243.50536579540679</v>
      </c>
      <c r="AE519" s="197"/>
      <c r="AF519" s="31"/>
      <c r="AG519" s="31"/>
      <c r="AH519" s="31"/>
      <c r="AI519" s="31"/>
      <c r="AJ519" s="31"/>
      <c r="AK519" s="31"/>
      <c r="AL519" s="31"/>
      <c r="AM519" s="31"/>
      <c r="AN519" s="31"/>
      <c r="AO519" s="31"/>
      <c r="AP519" s="31"/>
      <c r="AQ519" s="31"/>
      <c r="AR519" s="31"/>
      <c r="AS519" s="31"/>
      <c r="AT519" s="31"/>
      <c r="AU519" s="31"/>
      <c r="AV519" s="31"/>
      <c r="AW519" s="31"/>
      <c r="AX519" s="31"/>
      <c r="AY519" s="31"/>
      <c r="AZ519" s="31"/>
      <c r="BA519" s="31"/>
      <c r="BB519" s="31"/>
      <c r="BC519" s="31"/>
      <c r="BD519" s="32"/>
      <c r="BE519" s="32"/>
      <c r="BF519" s="32"/>
      <c r="BG519" s="32"/>
      <c r="BH519" s="32"/>
      <c r="BI519" s="32"/>
      <c r="BJ519" s="32"/>
      <c r="BK519" s="32"/>
      <c r="BL519" s="32"/>
      <c r="BM519" s="32"/>
      <c r="BN519" s="32"/>
      <c r="BO519" s="32"/>
      <c r="BP519" s="531">
        <f>(BP491/3/AVERAGE(BO508:BP508))*1000000</f>
        <v>73.589743589743591</v>
      </c>
      <c r="BQ519" s="531">
        <f t="shared" ref="BQ519:CY519" si="675">(BQ491/3/AVERAGE(BP508:BQ508))*1000000</f>
        <v>78.799837138651384</v>
      </c>
      <c r="BR519" s="531">
        <f t="shared" si="675"/>
        <v>84.109511713237367</v>
      </c>
      <c r="BS519" s="531">
        <f t="shared" si="675"/>
        <v>90.972454555592719</v>
      </c>
      <c r="BT519" s="531">
        <f t="shared" si="675"/>
        <v>93.862623844670523</v>
      </c>
      <c r="BU519" s="531">
        <f t="shared" si="675"/>
        <v>97.242691052916641</v>
      </c>
      <c r="BV519" s="531">
        <f t="shared" si="675"/>
        <v>104.37650939506391</v>
      </c>
      <c r="BW519" s="531">
        <f t="shared" si="675"/>
        <v>110.33437022666713</v>
      </c>
      <c r="BX519" s="531">
        <f t="shared" si="675"/>
        <v>113.23474850267664</v>
      </c>
      <c r="BY519" s="531">
        <f t="shared" si="675"/>
        <v>117.7565931952962</v>
      </c>
      <c r="BZ519" s="531">
        <f t="shared" si="675"/>
        <v>123.20709339051317</v>
      </c>
      <c r="CA519" s="531">
        <f t="shared" si="675"/>
        <v>125.42607731744492</v>
      </c>
      <c r="CB519" s="531">
        <f t="shared" si="675"/>
        <v>130.16457283081272</v>
      </c>
      <c r="CC519" s="531">
        <f t="shared" si="675"/>
        <v>133.13859635636865</v>
      </c>
      <c r="CD519" s="531">
        <f t="shared" si="675"/>
        <v>136.64477153953109</v>
      </c>
      <c r="CE519" s="531">
        <f t="shared" si="675"/>
        <v>137.10407239819006</v>
      </c>
      <c r="CF519" s="531">
        <f t="shared" si="675"/>
        <v>138.09104258443463</v>
      </c>
      <c r="CG519" s="531">
        <f t="shared" si="675"/>
        <v>138.16239316239316</v>
      </c>
      <c r="CH519" s="531">
        <f t="shared" si="675"/>
        <v>143.70523415977962</v>
      </c>
      <c r="CI519" s="531">
        <f t="shared" si="675"/>
        <v>146.40264026402642</v>
      </c>
      <c r="CJ519" s="531">
        <f t="shared" si="675"/>
        <v>142.06378986866793</v>
      </c>
      <c r="CK519" s="531">
        <f t="shared" si="675"/>
        <v>145.62724014336916</v>
      </c>
      <c r="CL519" s="531">
        <f t="shared" si="675"/>
        <v>147.08616780045352</v>
      </c>
      <c r="CM519" s="531">
        <f t="shared" si="675"/>
        <v>155.56731334509112</v>
      </c>
      <c r="CN519" s="531">
        <f t="shared" si="675"/>
        <v>164.52554744525548</v>
      </c>
      <c r="CO519" s="531">
        <f t="shared" si="675"/>
        <v>158.99774774774775</v>
      </c>
      <c r="CP519" s="531">
        <f t="shared" si="675"/>
        <v>163.1167459059694</v>
      </c>
      <c r="CQ519" s="531">
        <f t="shared" si="675"/>
        <v>191.99797673242287</v>
      </c>
      <c r="CR519" s="531">
        <f t="shared" si="675"/>
        <v>211.15026921194323</v>
      </c>
      <c r="CS519" s="531">
        <f t="shared" si="675"/>
        <v>220.67796610169492</v>
      </c>
      <c r="CT519" s="531">
        <f t="shared" si="675"/>
        <v>190.48133153396313</v>
      </c>
      <c r="CU519" s="531">
        <f t="shared" si="675"/>
        <v>195.68229826784957</v>
      </c>
      <c r="CV519" s="531">
        <f t="shared" si="675"/>
        <v>198.00079649542013</v>
      </c>
      <c r="CW519" s="531">
        <f t="shared" si="675"/>
        <v>199.1579760525299</v>
      </c>
      <c r="CX519" s="531">
        <f t="shared" si="675"/>
        <v>207.15465465465465</v>
      </c>
      <c r="CY519" s="531">
        <f t="shared" si="675"/>
        <v>208.78491113529196</v>
      </c>
      <c r="CZ519" s="171">
        <f t="shared" ref="CZ519:DC519" si="676">+CY519*1.01</f>
        <v>210.87276024664487</v>
      </c>
      <c r="DA519" s="171">
        <f t="shared" si="676"/>
        <v>212.98148784911132</v>
      </c>
      <c r="DB519" s="171">
        <f t="shared" si="676"/>
        <v>215.11130272760244</v>
      </c>
      <c r="DC519" s="171">
        <f t="shared" si="676"/>
        <v>217.26241575487848</v>
      </c>
    </row>
    <row r="520" spans="1:115" ht="12.75" customHeight="1">
      <c r="B520" s="198"/>
      <c r="C520" s="197"/>
      <c r="D520" s="31"/>
      <c r="E520" s="31"/>
      <c r="F520" s="31"/>
      <c r="G520" s="31"/>
      <c r="H520" s="31"/>
      <c r="I520" s="31"/>
      <c r="J520" s="31"/>
      <c r="K520" s="31"/>
      <c r="L520" s="31"/>
      <c r="M520" s="199"/>
      <c r="N520" s="199"/>
      <c r="O520" s="199"/>
      <c r="P520" s="199"/>
      <c r="Q520" s="199"/>
      <c r="R520" s="199"/>
      <c r="S520" s="199"/>
      <c r="T520" s="199"/>
      <c r="U520" s="199"/>
      <c r="V520" s="199"/>
      <c r="W520" s="199"/>
      <c r="X520" s="199"/>
      <c r="Y520" s="199"/>
      <c r="Z520" s="199"/>
      <c r="AA520" s="199"/>
      <c r="AB520" s="199"/>
      <c r="AC520" s="199"/>
      <c r="AD520" s="199"/>
      <c r="AE520" s="197"/>
      <c r="AF520" s="31"/>
      <c r="AG520" s="31"/>
      <c r="AH520" s="31"/>
      <c r="AI520" s="31"/>
      <c r="AJ520" s="31"/>
      <c r="AK520" s="31"/>
      <c r="AL520" s="31"/>
      <c r="AM520" s="31"/>
      <c r="AN520" s="31"/>
      <c r="AO520" s="31"/>
      <c r="AP520" s="31"/>
      <c r="AQ520" s="31"/>
      <c r="AR520" s="31"/>
      <c r="AS520" s="31"/>
      <c r="AT520" s="31"/>
      <c r="AU520" s="31"/>
      <c r="AV520" s="31"/>
      <c r="AW520" s="31"/>
      <c r="AX520" s="31"/>
      <c r="AY520" s="31"/>
      <c r="AZ520" s="31"/>
      <c r="BA520" s="31"/>
      <c r="BB520" s="31"/>
      <c r="BC520" s="31"/>
      <c r="BD520" s="32"/>
      <c r="BE520" s="32"/>
      <c r="BF520" s="32"/>
      <c r="BG520" s="32"/>
      <c r="BH520" s="32"/>
      <c r="BI520" s="32"/>
      <c r="BJ520" s="32"/>
      <c r="BK520" s="32"/>
      <c r="BL520" s="32"/>
      <c r="BM520" s="32"/>
      <c r="BN520" s="32"/>
      <c r="BO520" s="32"/>
      <c r="BP520" s="199"/>
      <c r="BQ520" s="199"/>
      <c r="BR520" s="199"/>
      <c r="BS520" s="199"/>
      <c r="BT520" s="199"/>
      <c r="BU520" s="199"/>
      <c r="BV520" s="199"/>
      <c r="BW520" s="199"/>
      <c r="BX520" s="199"/>
      <c r="BY520" s="199"/>
      <c r="BZ520" s="199"/>
      <c r="CA520" s="199"/>
      <c r="CB520" s="199"/>
      <c r="CC520" s="199"/>
      <c r="CD520" s="199"/>
      <c r="CE520" s="199"/>
      <c r="CF520" s="199"/>
      <c r="CG520" s="199"/>
      <c r="CH520" s="199"/>
      <c r="CI520" s="199"/>
      <c r="CJ520" s="199"/>
      <c r="CK520" s="199"/>
      <c r="CL520" s="199"/>
      <c r="CM520" s="199"/>
      <c r="CN520" s="199"/>
      <c r="CO520" s="199"/>
      <c r="CP520" s="199"/>
      <c r="CQ520" s="199"/>
      <c r="CR520" s="199"/>
      <c r="CS520" s="199"/>
      <c r="CT520" s="199"/>
      <c r="CU520" s="199"/>
      <c r="CV520" s="199"/>
      <c r="CW520" s="199"/>
      <c r="CX520" s="199"/>
      <c r="CY520" s="199"/>
      <c r="CZ520" s="199"/>
      <c r="DA520" s="199"/>
      <c r="DB520" s="199"/>
      <c r="DC520" s="199"/>
    </row>
    <row r="521" spans="1:115">
      <c r="B521" s="19" t="s">
        <v>730</v>
      </c>
      <c r="C521" s="23"/>
      <c r="D521" s="15"/>
      <c r="E521" s="15"/>
      <c r="F521" s="15"/>
      <c r="G521" s="15"/>
      <c r="H521" s="15"/>
      <c r="I521" s="15"/>
      <c r="J521" s="15"/>
      <c r="K521" s="15"/>
      <c r="L521" s="15"/>
      <c r="M521" s="23"/>
      <c r="N521" s="23">
        <f>BS521</f>
        <v>210</v>
      </c>
      <c r="O521" s="23"/>
      <c r="P521" s="23"/>
      <c r="Q521" s="23"/>
      <c r="R521" s="23"/>
      <c r="S521" s="23"/>
      <c r="T521" s="23"/>
      <c r="U521" s="23"/>
      <c r="V521" s="23"/>
      <c r="W521" s="23"/>
      <c r="X521" s="23"/>
      <c r="Y521" s="23"/>
      <c r="Z521" s="23"/>
      <c r="AA521" s="23"/>
      <c r="AB521" s="23"/>
      <c r="AC521" s="23"/>
      <c r="AD521" s="23"/>
      <c r="AE521" s="23"/>
      <c r="AF521" s="15"/>
      <c r="AG521" s="15"/>
      <c r="AH521" s="15"/>
      <c r="AI521" s="15"/>
      <c r="AJ521" s="15"/>
      <c r="AK521" s="15"/>
      <c r="AL521" s="15"/>
      <c r="AM521" s="15"/>
      <c r="AN521" s="15"/>
      <c r="AO521" s="15"/>
      <c r="AP521" s="15"/>
      <c r="AQ521" s="15"/>
      <c r="AR521" s="15"/>
      <c r="AS521" s="15"/>
      <c r="AT521" s="15"/>
      <c r="AU521" s="15"/>
      <c r="AV521" s="15"/>
      <c r="AW521" s="15"/>
      <c r="AX521" s="15"/>
      <c r="AY521" s="15"/>
      <c r="AZ521" s="15"/>
      <c r="BA521" s="15"/>
      <c r="BB521" s="15"/>
      <c r="BC521" s="15"/>
      <c r="BD521" s="15"/>
      <c r="BE521" s="15"/>
      <c r="BF521" s="15"/>
      <c r="BG521" s="15"/>
      <c r="BH521" s="31"/>
      <c r="BI521" s="31"/>
      <c r="BJ521" s="31">
        <v>83</v>
      </c>
      <c r="BK521" s="31">
        <v>95</v>
      </c>
      <c r="BL521" s="31">
        <v>117</v>
      </c>
      <c r="BM521" s="31">
        <v>120</v>
      </c>
      <c r="BN521" s="31">
        <v>136</v>
      </c>
      <c r="BO521" s="31">
        <v>146</v>
      </c>
      <c r="BP521" s="208">
        <v>161</v>
      </c>
      <c r="BQ521" s="208">
        <v>181</v>
      </c>
      <c r="BR521" s="208">
        <v>195</v>
      </c>
      <c r="BS521" s="208">
        <v>210</v>
      </c>
      <c r="BT521" s="208">
        <v>229</v>
      </c>
      <c r="BU521" s="208">
        <v>244</v>
      </c>
      <c r="BV521" s="208">
        <v>264</v>
      </c>
      <c r="BW521" s="208">
        <v>273</v>
      </c>
      <c r="BX521" s="208">
        <v>288</v>
      </c>
      <c r="BY521" s="208">
        <v>308</v>
      </c>
      <c r="BZ521" s="208">
        <v>327</v>
      </c>
      <c r="CA521" s="208">
        <v>343</v>
      </c>
      <c r="CB521" s="208">
        <v>358</v>
      </c>
      <c r="CC521" s="208">
        <v>380</v>
      </c>
      <c r="CD521" s="208">
        <v>402</v>
      </c>
      <c r="CE521" s="208">
        <v>418</v>
      </c>
      <c r="CF521" s="208">
        <v>435</v>
      </c>
      <c r="CG521" s="208">
        <v>457</v>
      </c>
      <c r="CH521" s="208">
        <v>476</v>
      </c>
      <c r="CI521" s="208">
        <v>497</v>
      </c>
      <c r="CJ521" s="208">
        <v>538</v>
      </c>
      <c r="CK521" s="208">
        <v>592</v>
      </c>
      <c r="CL521" s="208">
        <v>616</v>
      </c>
      <c r="CM521" s="208">
        <v>623</v>
      </c>
      <c r="CN521" s="208">
        <v>611</v>
      </c>
      <c r="CO521" s="208">
        <v>662</v>
      </c>
      <c r="CP521" s="208">
        <v>733</v>
      </c>
      <c r="CQ521" s="208">
        <v>775</v>
      </c>
      <c r="CR521" s="208">
        <v>812</v>
      </c>
      <c r="CS521" s="2334"/>
      <c r="CT521" s="2334"/>
      <c r="CU521" s="2334"/>
      <c r="CV521" s="2334"/>
      <c r="CW521" s="2334"/>
      <c r="CX521" s="2334"/>
      <c r="CY521" s="2334"/>
      <c r="CZ521" s="2335"/>
      <c r="DA521" s="2335"/>
      <c r="DB521" s="2335"/>
      <c r="DC521" s="2335"/>
    </row>
    <row r="522" spans="1:115" s="15" customFormat="1">
      <c r="B522" s="189"/>
      <c r="C522" s="126"/>
      <c r="D522" s="126"/>
      <c r="E522" s="126"/>
      <c r="F522" s="126"/>
      <c r="G522" s="126"/>
      <c r="H522" s="126"/>
      <c r="I522" s="124"/>
      <c r="J522" s="124"/>
      <c r="K522" s="829"/>
      <c r="L522" s="829"/>
      <c r="M522" s="123"/>
      <c r="N522" s="123"/>
      <c r="O522" s="123"/>
      <c r="P522" s="123"/>
      <c r="Q522" s="123"/>
      <c r="R522" s="123"/>
      <c r="S522" s="123"/>
      <c r="T522" s="123"/>
      <c r="U522" s="123"/>
      <c r="V522" s="123"/>
      <c r="W522" s="123"/>
      <c r="X522" s="124"/>
      <c r="Y522" s="124"/>
      <c r="Z522" s="124"/>
      <c r="AA522" s="124"/>
      <c r="AB522" s="124"/>
      <c r="AC522" s="124"/>
      <c r="AD522" s="124"/>
      <c r="AE522" s="123"/>
      <c r="AF522" s="124"/>
      <c r="AG522" s="124"/>
      <c r="AH522" s="124"/>
      <c r="AI522" s="124"/>
      <c r="AJ522" s="124"/>
      <c r="AK522" s="124"/>
      <c r="AL522" s="124"/>
      <c r="AM522" s="124"/>
      <c r="AN522" s="124"/>
      <c r="AO522" s="124"/>
      <c r="AP522" s="124"/>
      <c r="AQ522" s="124"/>
      <c r="AR522" s="124"/>
      <c r="AS522" s="124"/>
      <c r="AT522" s="124"/>
      <c r="AU522" s="124"/>
      <c r="AV522" s="124"/>
      <c r="AW522" s="124"/>
      <c r="AX522" s="124"/>
      <c r="AY522" s="124"/>
      <c r="AZ522" s="124"/>
      <c r="BA522" s="124"/>
      <c r="BB522" s="124"/>
      <c r="BC522" s="124"/>
      <c r="BD522" s="830"/>
      <c r="BE522" s="830"/>
      <c r="BF522" s="830"/>
      <c r="BG522" s="831"/>
      <c r="BH522" s="831"/>
      <c r="BI522" s="831"/>
      <c r="BJ522" s="831"/>
      <c r="BK522" s="831"/>
      <c r="BL522" s="831"/>
      <c r="BM522" s="831"/>
      <c r="BN522" s="831"/>
      <c r="BO522" s="831"/>
      <c r="BP522" s="799"/>
      <c r="BQ522" s="799"/>
      <c r="BR522" s="799"/>
      <c r="BS522" s="799"/>
      <c r="BT522" s="799"/>
      <c r="BU522" s="799"/>
      <c r="BV522" s="123"/>
      <c r="BW522" s="123"/>
      <c r="BX522" s="123"/>
      <c r="BY522" s="123"/>
      <c r="BZ522" s="123"/>
      <c r="CA522" s="123"/>
      <c r="CB522" s="123"/>
      <c r="CC522" s="123"/>
      <c r="CD522" s="123"/>
      <c r="CE522" s="123"/>
      <c r="CF522" s="123"/>
      <c r="CG522" s="123"/>
      <c r="CH522" s="123"/>
      <c r="CI522" s="123"/>
      <c r="CJ522" s="123"/>
      <c r="CK522" s="123"/>
      <c r="CL522" s="123"/>
      <c r="CM522" s="123"/>
      <c r="CN522" s="123"/>
      <c r="CO522" s="123"/>
      <c r="CP522" s="123"/>
      <c r="CQ522" s="123"/>
      <c r="CR522" s="123"/>
      <c r="CS522" s="123"/>
      <c r="CT522" s="123"/>
      <c r="CU522" s="123"/>
      <c r="CV522" s="123"/>
      <c r="CW522" s="123"/>
      <c r="CX522" s="123"/>
      <c r="CY522" s="123"/>
      <c r="CZ522" s="123"/>
      <c r="DA522" s="123"/>
      <c r="DB522" s="123"/>
      <c r="DC522" s="123"/>
    </row>
    <row r="523" spans="1:115" s="15" customFormat="1">
      <c r="B523" s="189"/>
      <c r="C523" s="126"/>
      <c r="D523" s="126"/>
      <c r="E523" s="126"/>
      <c r="F523" s="126"/>
      <c r="G523" s="126"/>
      <c r="H523" s="126"/>
      <c r="I523" s="124"/>
      <c r="J523" s="124"/>
      <c r="K523" s="829"/>
      <c r="L523" s="829"/>
      <c r="M523" s="123"/>
      <c r="N523" s="123"/>
      <c r="O523" s="123"/>
      <c r="P523" s="123"/>
      <c r="Q523" s="123"/>
      <c r="R523" s="123"/>
      <c r="S523" s="123"/>
      <c r="T523" s="123"/>
      <c r="U523" s="123"/>
      <c r="V523" s="123"/>
      <c r="W523" s="123"/>
      <c r="X523" s="124"/>
      <c r="Y523" s="124"/>
      <c r="Z523" s="124"/>
      <c r="AA523" s="124"/>
      <c r="AB523" s="124"/>
      <c r="AC523" s="124"/>
      <c r="AD523" s="124"/>
      <c r="AE523" s="123"/>
      <c r="AF523" s="124"/>
      <c r="AG523" s="124"/>
      <c r="AH523" s="124"/>
      <c r="AI523" s="124"/>
      <c r="AJ523" s="124"/>
      <c r="AK523" s="124"/>
      <c r="AL523" s="124"/>
      <c r="AM523" s="124"/>
      <c r="AN523" s="124"/>
      <c r="AO523" s="124"/>
      <c r="AP523" s="124"/>
      <c r="AQ523" s="124"/>
      <c r="AR523" s="124"/>
      <c r="AS523" s="124"/>
      <c r="AT523" s="124"/>
      <c r="AU523" s="124"/>
      <c r="AV523" s="124"/>
      <c r="AW523" s="124"/>
      <c r="AX523" s="124"/>
      <c r="AY523" s="124"/>
      <c r="AZ523" s="124"/>
      <c r="BA523" s="124"/>
      <c r="BB523" s="124"/>
      <c r="BC523" s="124"/>
      <c r="BD523" s="830"/>
      <c r="BE523" s="830"/>
      <c r="BF523" s="830"/>
      <c r="BG523" s="831"/>
      <c r="BH523" s="831"/>
      <c r="BI523" s="831"/>
      <c r="BJ523" s="831"/>
      <c r="BK523" s="831"/>
      <c r="BL523" s="831"/>
      <c r="BM523" s="831"/>
      <c r="BN523" s="831"/>
      <c r="BO523" s="831"/>
      <c r="BP523" s="799"/>
      <c r="BQ523" s="799"/>
      <c r="BR523" s="799"/>
      <c r="BS523" s="799"/>
      <c r="BT523" s="799"/>
      <c r="BU523" s="799"/>
      <c r="BV523" s="123"/>
      <c r="BW523" s="123"/>
      <c r="BX523" s="123"/>
      <c r="BY523" s="123"/>
      <c r="BZ523" s="123"/>
      <c r="CA523" s="123"/>
      <c r="CB523" s="123"/>
      <c r="CC523" s="123"/>
      <c r="CD523" s="123"/>
      <c r="CE523" s="123"/>
      <c r="CF523" s="123"/>
      <c r="CG523" s="123"/>
      <c r="CH523" s="123"/>
      <c r="CI523" s="123"/>
      <c r="CJ523" s="123"/>
      <c r="CK523" s="123"/>
      <c r="CL523" s="123"/>
      <c r="CM523" s="123"/>
      <c r="CN523" s="123"/>
      <c r="CO523" s="123"/>
      <c r="CP523" s="123"/>
      <c r="CQ523" s="123"/>
      <c r="CR523" s="123"/>
      <c r="CS523" s="123"/>
      <c r="CT523" s="123"/>
      <c r="CU523" s="123"/>
      <c r="CV523" s="123"/>
      <c r="CW523" s="123"/>
      <c r="CX523" s="123"/>
      <c r="CY523" s="123"/>
      <c r="CZ523" s="123"/>
      <c r="DA523" s="123"/>
      <c r="DB523" s="123"/>
      <c r="DC523" s="123"/>
    </row>
    <row r="524" spans="1:115">
      <c r="A524" s="1225" t="s">
        <v>604</v>
      </c>
      <c r="B524" s="146" t="s">
        <v>1225</v>
      </c>
      <c r="C524" s="157"/>
      <c r="D524" s="157"/>
      <c r="E524" s="157"/>
      <c r="F524" s="157"/>
      <c r="G524" s="157"/>
      <c r="H524" s="157"/>
      <c r="I524" s="157"/>
      <c r="J524" s="157"/>
      <c r="K524" s="157"/>
      <c r="L524" s="157"/>
      <c r="M524" s="157"/>
      <c r="N524" s="157"/>
      <c r="O524" s="157"/>
      <c r="P524" s="157">
        <f t="shared" ref="P524:Z524" si="677">P6</f>
        <v>2011</v>
      </c>
      <c r="Q524" s="157">
        <f t="shared" si="677"/>
        <v>2012</v>
      </c>
      <c r="R524" s="157">
        <f t="shared" si="677"/>
        <v>2013</v>
      </c>
      <c r="S524" s="157">
        <f t="shared" si="677"/>
        <v>2014</v>
      </c>
      <c r="T524" s="157">
        <f t="shared" si="677"/>
        <v>2015</v>
      </c>
      <c r="U524" s="157">
        <f t="shared" si="677"/>
        <v>2016</v>
      </c>
      <c r="V524" s="157">
        <f t="shared" si="677"/>
        <v>2017</v>
      </c>
      <c r="W524" s="157" t="str">
        <f t="shared" ref="W524" si="678">W6</f>
        <v>2018E</v>
      </c>
      <c r="X524" s="157" t="str">
        <f t="shared" si="677"/>
        <v>2019E</v>
      </c>
      <c r="Y524" s="157" t="str">
        <f t="shared" si="677"/>
        <v>2020E</v>
      </c>
      <c r="Z524" s="157" t="str">
        <f t="shared" si="677"/>
        <v>2021E</v>
      </c>
      <c r="AA524" s="157" t="str">
        <f t="shared" ref="AA524:AD524" si="679">AA6</f>
        <v>2022E</v>
      </c>
      <c r="AB524" s="157" t="str">
        <f t="shared" si="679"/>
        <v>2023E</v>
      </c>
      <c r="AC524" s="157" t="str">
        <f t="shared" si="679"/>
        <v>2024E</v>
      </c>
      <c r="AD524" s="157" t="str">
        <f t="shared" si="679"/>
        <v>2025E</v>
      </c>
      <c r="AE524" s="157"/>
      <c r="AF524" s="157" t="str">
        <f t="shared" ref="AF524:BK524" si="680">AF6</f>
        <v>1Q00</v>
      </c>
      <c r="AG524" s="157" t="str">
        <f t="shared" si="680"/>
        <v>2Q00</v>
      </c>
      <c r="AH524" s="157" t="str">
        <f t="shared" si="680"/>
        <v>3Q00</v>
      </c>
      <c r="AI524" s="157" t="str">
        <f t="shared" si="680"/>
        <v>4Q00</v>
      </c>
      <c r="AJ524" s="157" t="str">
        <f t="shared" si="680"/>
        <v>1Q01</v>
      </c>
      <c r="AK524" s="157" t="str">
        <f t="shared" si="680"/>
        <v>2Q01</v>
      </c>
      <c r="AL524" s="157" t="str">
        <f t="shared" si="680"/>
        <v>3Q01</v>
      </c>
      <c r="AM524" s="157" t="str">
        <f t="shared" si="680"/>
        <v>4Q01</v>
      </c>
      <c r="AN524" s="157" t="str">
        <f t="shared" si="680"/>
        <v>1Q02</v>
      </c>
      <c r="AO524" s="157" t="str">
        <f t="shared" si="680"/>
        <v>2Q02</v>
      </c>
      <c r="AP524" s="157" t="str">
        <f t="shared" si="680"/>
        <v>3Q02</v>
      </c>
      <c r="AQ524" s="157" t="str">
        <f t="shared" si="680"/>
        <v>4Q02</v>
      </c>
      <c r="AR524" s="157" t="str">
        <f t="shared" si="680"/>
        <v>1Q03</v>
      </c>
      <c r="AS524" s="157" t="str">
        <f t="shared" si="680"/>
        <v>2Q03</v>
      </c>
      <c r="AT524" s="157" t="str">
        <f t="shared" si="680"/>
        <v>3Q03</v>
      </c>
      <c r="AU524" s="157" t="str">
        <f t="shared" si="680"/>
        <v>4Q03</v>
      </c>
      <c r="AV524" s="157" t="str">
        <f t="shared" si="680"/>
        <v>1Q04</v>
      </c>
      <c r="AW524" s="157" t="str">
        <f t="shared" si="680"/>
        <v>2Q04</v>
      </c>
      <c r="AX524" s="157" t="str">
        <f t="shared" si="680"/>
        <v>3Q04</v>
      </c>
      <c r="AY524" s="157" t="str">
        <f t="shared" si="680"/>
        <v>4Q04</v>
      </c>
      <c r="AZ524" s="157" t="str">
        <f t="shared" si="680"/>
        <v>1Q05</v>
      </c>
      <c r="BA524" s="157" t="str">
        <f t="shared" si="680"/>
        <v>2Q05</v>
      </c>
      <c r="BB524" s="157" t="str">
        <f t="shared" si="680"/>
        <v>3Q05</v>
      </c>
      <c r="BC524" s="157" t="str">
        <f t="shared" si="680"/>
        <v>6Q05</v>
      </c>
      <c r="BD524" s="157" t="str">
        <f t="shared" si="680"/>
        <v>1Q06</v>
      </c>
      <c r="BE524" s="157" t="str">
        <f t="shared" si="680"/>
        <v>2Q06</v>
      </c>
      <c r="BF524" s="157" t="str">
        <f t="shared" si="680"/>
        <v>3Q06</v>
      </c>
      <c r="BG524" s="157" t="str">
        <f t="shared" si="680"/>
        <v>4Q06</v>
      </c>
      <c r="BH524" s="157" t="str">
        <f t="shared" si="680"/>
        <v>1Q07</v>
      </c>
      <c r="BI524" s="157" t="str">
        <f t="shared" si="680"/>
        <v>2Q07</v>
      </c>
      <c r="BJ524" s="157" t="str">
        <f t="shared" si="680"/>
        <v>3Q07</v>
      </c>
      <c r="BK524" s="157" t="str">
        <f t="shared" si="680"/>
        <v>4Q07</v>
      </c>
      <c r="BL524" s="157" t="str">
        <f t="shared" ref="BL524:CQ524" si="681">BL6</f>
        <v>1Q08</v>
      </c>
      <c r="BM524" s="157" t="str">
        <f t="shared" si="681"/>
        <v>2Q08</v>
      </c>
      <c r="BN524" s="157" t="str">
        <f t="shared" si="681"/>
        <v>3Q08</v>
      </c>
      <c r="BO524" s="157" t="str">
        <f t="shared" si="681"/>
        <v>4Q08</v>
      </c>
      <c r="BP524" s="157" t="str">
        <f t="shared" si="681"/>
        <v>1Q09</v>
      </c>
      <c r="BQ524" s="157" t="str">
        <f t="shared" si="681"/>
        <v>2Q09</v>
      </c>
      <c r="BR524" s="157" t="str">
        <f t="shared" si="681"/>
        <v>3Q09</v>
      </c>
      <c r="BS524" s="157" t="str">
        <f t="shared" si="681"/>
        <v>4Q09</v>
      </c>
      <c r="BT524" s="157" t="str">
        <f t="shared" si="681"/>
        <v>1Q10</v>
      </c>
      <c r="BU524" s="157" t="str">
        <f t="shared" si="681"/>
        <v>2Q10</v>
      </c>
      <c r="BV524" s="157" t="str">
        <f t="shared" si="681"/>
        <v>3Q10</v>
      </c>
      <c r="BW524" s="157" t="str">
        <f t="shared" si="681"/>
        <v>4Q10</v>
      </c>
      <c r="BX524" s="157" t="str">
        <f t="shared" si="681"/>
        <v>1Q11</v>
      </c>
      <c r="BY524" s="157" t="str">
        <f t="shared" si="681"/>
        <v>2Q11</v>
      </c>
      <c r="BZ524" s="157" t="str">
        <f t="shared" si="681"/>
        <v>3Q11</v>
      </c>
      <c r="CA524" s="157" t="str">
        <f t="shared" si="681"/>
        <v>4Q11</v>
      </c>
      <c r="CB524" s="157" t="str">
        <f t="shared" si="681"/>
        <v>1Q12</v>
      </c>
      <c r="CC524" s="157" t="str">
        <f t="shared" si="681"/>
        <v>2Q12</v>
      </c>
      <c r="CD524" s="157" t="str">
        <f t="shared" si="681"/>
        <v>3Q12</v>
      </c>
      <c r="CE524" s="157" t="str">
        <f t="shared" si="681"/>
        <v>4Q12</v>
      </c>
      <c r="CF524" s="157" t="str">
        <f t="shared" si="681"/>
        <v>1Q13</v>
      </c>
      <c r="CG524" s="157" t="str">
        <f t="shared" si="681"/>
        <v>2Q13</v>
      </c>
      <c r="CH524" s="157" t="str">
        <f t="shared" si="681"/>
        <v>3Q13</v>
      </c>
      <c r="CI524" s="157" t="str">
        <f t="shared" si="681"/>
        <v>4Q13</v>
      </c>
      <c r="CJ524" s="157" t="str">
        <f t="shared" si="681"/>
        <v>1Q14</v>
      </c>
      <c r="CK524" s="157" t="str">
        <f t="shared" si="681"/>
        <v>2Q14</v>
      </c>
      <c r="CL524" s="157" t="str">
        <f t="shared" si="681"/>
        <v>3Q14</v>
      </c>
      <c r="CM524" s="157" t="str">
        <f t="shared" si="681"/>
        <v>4Q14</v>
      </c>
      <c r="CN524" s="157" t="str">
        <f t="shared" si="681"/>
        <v>1Q15</v>
      </c>
      <c r="CO524" s="157" t="str">
        <f t="shared" si="681"/>
        <v>2Q15</v>
      </c>
      <c r="CP524" s="157" t="str">
        <f t="shared" si="681"/>
        <v>3Q15</v>
      </c>
      <c r="CQ524" s="157" t="str">
        <f t="shared" si="681"/>
        <v>4Q15</v>
      </c>
      <c r="CR524" s="157" t="str">
        <f t="shared" ref="CR524:CY524" si="682">CR6</f>
        <v>1Q16</v>
      </c>
      <c r="CS524" s="157" t="str">
        <f t="shared" si="682"/>
        <v>2Q16</v>
      </c>
      <c r="CT524" s="157" t="str">
        <f t="shared" si="682"/>
        <v>3Q16</v>
      </c>
      <c r="CU524" s="157" t="str">
        <f t="shared" si="682"/>
        <v>4Q16</v>
      </c>
      <c r="CV524" s="157" t="str">
        <f t="shared" si="682"/>
        <v>1Q17</v>
      </c>
      <c r="CW524" s="157" t="str">
        <f t="shared" si="682"/>
        <v>2Q17</v>
      </c>
      <c r="CX524" s="157" t="str">
        <f t="shared" si="682"/>
        <v>3Q17</v>
      </c>
      <c r="CY524" s="157" t="str">
        <f t="shared" si="682"/>
        <v>4Q17</v>
      </c>
      <c r="CZ524" s="157" t="str">
        <f t="shared" ref="CZ524:DC524" si="683">CZ6</f>
        <v>1Q18E</v>
      </c>
      <c r="DA524" s="157" t="str">
        <f t="shared" si="683"/>
        <v>2Q18E</v>
      </c>
      <c r="DB524" s="157" t="str">
        <f t="shared" si="683"/>
        <v>3Q18E</v>
      </c>
      <c r="DC524" s="157" t="str">
        <f t="shared" si="683"/>
        <v>4Q18E</v>
      </c>
    </row>
    <row r="525" spans="1:115" s="15" customFormat="1" ht="12.75" customHeight="1">
      <c r="B525" s="107" t="s">
        <v>677</v>
      </c>
      <c r="C525" s="23"/>
      <c r="L525" s="23"/>
      <c r="M525" s="54"/>
      <c r="N525" s="46"/>
      <c r="O525" s="46"/>
      <c r="P525" s="68"/>
      <c r="Q525" s="68"/>
      <c r="R525" s="68"/>
      <c r="S525" s="68"/>
      <c r="T525" s="68"/>
      <c r="U525" s="68"/>
      <c r="V525" s="68"/>
      <c r="W525" s="68"/>
      <c r="X525" s="805"/>
      <c r="Y525" s="805"/>
      <c r="Z525" s="805"/>
      <c r="AA525" s="805"/>
      <c r="AB525" s="805"/>
      <c r="AC525" s="805"/>
      <c r="AD525" s="805"/>
      <c r="AE525" s="23"/>
      <c r="AF525" s="23"/>
      <c r="AG525" s="23"/>
      <c r="AH525" s="23"/>
      <c r="AI525" s="23"/>
      <c r="AJ525" s="23"/>
      <c r="AK525" s="23"/>
      <c r="AL525" s="23"/>
      <c r="AM525" s="23"/>
      <c r="AN525" s="23"/>
      <c r="AO525" s="23"/>
      <c r="AP525" s="23"/>
      <c r="AQ525" s="23"/>
      <c r="AR525" s="23"/>
      <c r="AS525" s="23"/>
      <c r="AT525" s="23"/>
      <c r="AU525" s="23"/>
      <c r="AV525" s="23"/>
      <c r="AW525" s="23"/>
      <c r="AX525" s="23"/>
      <c r="AY525" s="23"/>
      <c r="AZ525" s="23"/>
      <c r="BA525" s="23"/>
      <c r="BB525" s="23"/>
      <c r="BC525" s="23"/>
      <c r="BD525" s="36"/>
      <c r="BE525" s="36"/>
      <c r="BF525" s="36"/>
      <c r="BG525" s="36"/>
      <c r="BH525" s="46"/>
      <c r="BI525" s="46"/>
      <c r="BJ525" s="46"/>
      <c r="BK525" s="46"/>
      <c r="BL525" s="46"/>
      <c r="BM525" s="46"/>
      <c r="BN525" s="46"/>
      <c r="BO525" s="46"/>
      <c r="BP525" s="46"/>
      <c r="BQ525" s="46"/>
      <c r="BR525" s="46"/>
      <c r="BS525" s="46"/>
      <c r="BT525" s="46"/>
      <c r="BU525" s="46"/>
      <c r="BV525" s="14"/>
      <c r="BW525" s="14"/>
      <c r="BX525" s="14"/>
      <c r="BY525" s="14"/>
      <c r="BZ525" s="14"/>
      <c r="CA525" s="14"/>
      <c r="CB525" s="14"/>
      <c r="CC525" s="14"/>
      <c r="CD525" s="14"/>
      <c r="CE525" s="14"/>
      <c r="CF525" s="14"/>
      <c r="CG525" s="14"/>
      <c r="CH525" s="14"/>
      <c r="CI525" s="14"/>
      <c r="CJ525" s="14"/>
      <c r="CK525" s="14"/>
      <c r="CL525" s="14"/>
      <c r="CM525" s="14"/>
      <c r="CN525" s="14"/>
      <c r="CO525" s="14"/>
      <c r="CP525" s="14"/>
      <c r="CQ525" s="14"/>
      <c r="CR525" s="14"/>
      <c r="CS525" s="14"/>
      <c r="CT525" s="14"/>
      <c r="CU525" s="14"/>
      <c r="CV525" s="14"/>
      <c r="CW525" s="14"/>
      <c r="CX525" s="14"/>
      <c r="CY525" s="14"/>
      <c r="CZ525" s="14"/>
      <c r="DA525" s="14"/>
      <c r="DB525" s="14"/>
      <c r="DC525" s="14"/>
      <c r="DD525"/>
      <c r="DE525"/>
      <c r="DF525"/>
      <c r="DG525"/>
      <c r="DH525"/>
      <c r="DI525"/>
      <c r="DJ525"/>
      <c r="DK525"/>
    </row>
    <row r="526" spans="1:115" s="15" customFormat="1" ht="12.75" customHeight="1">
      <c r="B526" s="23"/>
      <c r="C526" s="23"/>
      <c r="M526" s="23"/>
      <c r="N526" s="23"/>
      <c r="O526" s="23"/>
      <c r="P526" s="23"/>
      <c r="Q526" s="23"/>
      <c r="R526" s="23"/>
      <c r="S526" s="23"/>
      <c r="T526" s="23"/>
      <c r="U526" s="23"/>
      <c r="V526" s="23"/>
      <c r="W526" s="23"/>
      <c r="AE526" s="23"/>
      <c r="BP526" s="23"/>
      <c r="BQ526" s="23"/>
      <c r="BR526" s="23"/>
      <c r="BS526" s="23"/>
      <c r="BT526" s="23"/>
      <c r="BU526" s="23"/>
      <c r="BV526" s="23"/>
      <c r="BW526" s="23"/>
      <c r="BX526" s="23"/>
      <c r="BY526" s="23"/>
      <c r="BZ526" s="23"/>
      <c r="CA526" s="23"/>
      <c r="CB526" s="23"/>
      <c r="CC526" s="23"/>
      <c r="CD526" s="23"/>
      <c r="CE526" s="23"/>
      <c r="CF526" s="23"/>
      <c r="CG526" s="23"/>
      <c r="CH526" s="23"/>
      <c r="CI526" s="23"/>
      <c r="CJ526" s="23"/>
      <c r="CK526" s="23"/>
      <c r="CL526" s="23"/>
      <c r="CM526" s="23"/>
      <c r="CN526" s="23"/>
      <c r="CO526" s="23"/>
      <c r="CP526" s="23"/>
      <c r="CQ526" s="23"/>
      <c r="CR526" s="23"/>
      <c r="CS526" s="23"/>
      <c r="CT526" s="23"/>
      <c r="CU526" s="23"/>
      <c r="CV526" s="23"/>
      <c r="CW526" s="23"/>
      <c r="CX526" s="23"/>
      <c r="CY526" s="23"/>
      <c r="CZ526" s="23"/>
      <c r="DA526" s="23"/>
      <c r="DB526" s="23"/>
      <c r="DC526" s="23"/>
      <c r="DD526"/>
      <c r="DE526"/>
      <c r="DF526"/>
      <c r="DG526"/>
      <c r="DH526"/>
      <c r="DI526"/>
      <c r="DJ526"/>
      <c r="DK526"/>
    </row>
    <row r="527" spans="1:115" s="16" customFormat="1" hidden="1" outlineLevel="1">
      <c r="B527" s="1089" t="s">
        <v>154</v>
      </c>
      <c r="DD527" s="247"/>
      <c r="DE527" s="247"/>
      <c r="DF527" s="247"/>
      <c r="DG527" s="247"/>
      <c r="DH527" s="247"/>
      <c r="DI527" s="247"/>
      <c r="DJ527" s="247"/>
      <c r="DK527" s="247"/>
    </row>
    <row r="528" spans="1:115" s="16" customFormat="1" hidden="1" outlineLevel="1">
      <c r="B528" s="1090" t="s">
        <v>595</v>
      </c>
      <c r="BU528" s="1095">
        <v>172.81060134706146</v>
      </c>
      <c r="DD528" s="247"/>
      <c r="DE528" s="247"/>
      <c r="DF528" s="247"/>
      <c r="DG528" s="247"/>
      <c r="DH528" s="247"/>
      <c r="DI528" s="247"/>
      <c r="DJ528" s="247"/>
      <c r="DK528" s="247"/>
    </row>
    <row r="529" spans="2:115" s="16" customFormat="1" hidden="1" outlineLevel="1">
      <c r="B529" s="1090" t="s">
        <v>596</v>
      </c>
      <c r="BU529" s="1095">
        <v>1385.3028063427853</v>
      </c>
      <c r="DD529" s="247"/>
      <c r="DE529" s="247"/>
      <c r="DF529" s="247"/>
      <c r="DG529" s="247"/>
      <c r="DH529" s="247"/>
      <c r="DI529" s="247"/>
      <c r="DJ529" s="247"/>
      <c r="DK529" s="247"/>
    </row>
    <row r="530" spans="2:115" s="16" customFormat="1" hidden="1" outlineLevel="1">
      <c r="B530" s="1090" t="s">
        <v>597</v>
      </c>
      <c r="BU530" s="1095">
        <v>833.11459062367794</v>
      </c>
      <c r="DD530" s="247"/>
      <c r="DE530" s="247"/>
      <c r="DF530" s="247"/>
      <c r="DG530" s="247"/>
      <c r="DH530" s="247"/>
      <c r="DI530" s="247"/>
      <c r="DJ530" s="247"/>
      <c r="DK530" s="247"/>
    </row>
    <row r="531" spans="2:115" s="16" customFormat="1" hidden="1" outlineLevel="1">
      <c r="B531" s="1090" t="s">
        <v>598</v>
      </c>
      <c r="BU531" s="1095">
        <v>2878.7015412038804</v>
      </c>
      <c r="DD531" s="247"/>
      <c r="DE531" s="247"/>
      <c r="DF531" s="247"/>
      <c r="DG531" s="247"/>
      <c r="DH531" s="247"/>
      <c r="DI531" s="247"/>
      <c r="DJ531" s="247"/>
      <c r="DK531" s="247"/>
    </row>
    <row r="532" spans="2:115" s="16" customFormat="1" hidden="1" outlineLevel="1">
      <c r="B532" s="1090" t="s">
        <v>599</v>
      </c>
      <c r="BU532" s="1095">
        <v>4485.8520407550714</v>
      </c>
      <c r="DD532" s="247"/>
      <c r="DE532" s="247"/>
      <c r="DF532" s="247"/>
      <c r="DG532" s="247"/>
      <c r="DH532" s="247"/>
      <c r="DI532" s="247"/>
      <c r="DJ532" s="247"/>
      <c r="DK532" s="247"/>
    </row>
    <row r="533" spans="2:115" s="16" customFormat="1" ht="12.75" hidden="1" customHeight="1" outlineLevel="1">
      <c r="DD533" s="247"/>
      <c r="DE533" s="247"/>
      <c r="DF533" s="247"/>
      <c r="DG533" s="247"/>
      <c r="DH533" s="247"/>
      <c r="DI533" s="247"/>
      <c r="DJ533" s="247"/>
      <c r="DK533" s="247"/>
    </row>
    <row r="534" spans="2:115" s="16" customFormat="1" hidden="1" outlineLevel="1">
      <c r="B534" s="1089" t="s">
        <v>170</v>
      </c>
      <c r="DD534" s="247"/>
      <c r="DE534" s="247"/>
      <c r="DF534" s="247"/>
      <c r="DG534" s="247"/>
      <c r="DH534" s="247"/>
      <c r="DI534" s="247"/>
      <c r="DJ534" s="247"/>
      <c r="DK534" s="247"/>
    </row>
    <row r="535" spans="2:115" s="16" customFormat="1" hidden="1" outlineLevel="1">
      <c r="B535" s="1090" t="s">
        <v>600</v>
      </c>
      <c r="BU535" s="1095">
        <v>854.46785280207007</v>
      </c>
      <c r="DD535" s="247"/>
      <c r="DE535" s="247"/>
      <c r="DF535" s="247"/>
      <c r="DG535" s="247"/>
      <c r="DH535" s="247"/>
      <c r="DI535" s="247"/>
      <c r="DJ535" s="247"/>
      <c r="DK535" s="247"/>
    </row>
    <row r="536" spans="2:115" s="16" customFormat="1" hidden="1" outlineLevel="1">
      <c r="B536" s="1090" t="s">
        <v>601</v>
      </c>
      <c r="BU536" s="1095">
        <v>1858.4680759704825</v>
      </c>
      <c r="DD536" s="247"/>
      <c r="DE536" s="247"/>
      <c r="DF536" s="247"/>
      <c r="DG536" s="247"/>
      <c r="DH536" s="247"/>
      <c r="DI536" s="247"/>
      <c r="DJ536" s="247"/>
      <c r="DK536" s="247"/>
    </row>
    <row r="537" spans="2:115" s="16" customFormat="1" hidden="1" outlineLevel="1">
      <c r="B537" s="1090" t="s">
        <v>602</v>
      </c>
      <c r="BU537" s="1095">
        <v>1303.0649639010967</v>
      </c>
      <c r="DD537" s="247"/>
      <c r="DE537" s="247"/>
      <c r="DF537" s="247"/>
      <c r="DG537" s="247"/>
      <c r="DH537" s="247"/>
      <c r="DI537" s="247"/>
      <c r="DJ537" s="247"/>
      <c r="DK537" s="247"/>
    </row>
    <row r="538" spans="2:115" s="16" customFormat="1" ht="12.75" hidden="1" customHeight="1" outlineLevel="1">
      <c r="DD538" s="247"/>
      <c r="DE538" s="247"/>
      <c r="DF538" s="247"/>
      <c r="DG538" s="247"/>
      <c r="DH538" s="247"/>
      <c r="DI538" s="247"/>
      <c r="DJ538" s="247"/>
      <c r="DK538" s="247"/>
    </row>
    <row r="539" spans="2:115" s="16" customFormat="1" hidden="1" outlineLevel="1">
      <c r="B539" s="1089" t="s">
        <v>674</v>
      </c>
      <c r="DD539" s="247"/>
      <c r="DE539" s="247"/>
      <c r="DF539" s="247"/>
      <c r="DG539" s="247"/>
      <c r="DH539" s="247"/>
      <c r="DI539" s="247"/>
      <c r="DJ539" s="247"/>
      <c r="DK539" s="247"/>
    </row>
    <row r="540" spans="2:115" s="16" customFormat="1" hidden="1" outlineLevel="1">
      <c r="B540" s="1090" t="s">
        <v>603</v>
      </c>
      <c r="BU540" s="1095">
        <v>1174.8858557131466</v>
      </c>
      <c r="DD540" s="247"/>
      <c r="DE540" s="247"/>
      <c r="DF540" s="247"/>
      <c r="DG540" s="247"/>
      <c r="DH540" s="247"/>
      <c r="DI540" s="247"/>
      <c r="DJ540" s="247"/>
      <c r="DK540" s="247"/>
    </row>
    <row r="541" spans="2:115" s="16" customFormat="1" hidden="1" outlineLevel="1">
      <c r="B541" s="1090" t="s">
        <v>605</v>
      </c>
      <c r="BU541" s="1095">
        <v>1924.5917465823804</v>
      </c>
      <c r="DD541" s="247"/>
      <c r="DE541" s="247"/>
      <c r="DF541" s="247"/>
      <c r="DG541" s="247"/>
      <c r="DH541" s="247"/>
      <c r="DI541" s="247"/>
      <c r="DJ541" s="247"/>
      <c r="DK541" s="247"/>
    </row>
    <row r="542" spans="2:115" s="16" customFormat="1" hidden="1" outlineLevel="1">
      <c r="B542" s="1090" t="s">
        <v>606</v>
      </c>
      <c r="BU542" s="1095">
        <v>619.48274364376107</v>
      </c>
      <c r="DD542" s="247"/>
      <c r="DE542" s="247"/>
      <c r="DF542" s="247"/>
      <c r="DG542" s="247"/>
      <c r="DH542" s="247"/>
      <c r="DI542" s="247"/>
      <c r="DJ542" s="247"/>
      <c r="DK542" s="247"/>
    </row>
    <row r="543" spans="2:115" s="16" customFormat="1" hidden="1" outlineLevel="1">
      <c r="B543" s="1090" t="s">
        <v>607</v>
      </c>
      <c r="BU543" s="1095">
        <v>170.88563254473431</v>
      </c>
      <c r="DD543" s="247"/>
      <c r="DE543" s="247"/>
      <c r="DF543" s="247"/>
      <c r="DG543" s="247"/>
      <c r="DH543" s="247"/>
      <c r="DI543" s="247"/>
      <c r="DJ543" s="247"/>
      <c r="DK543" s="247"/>
    </row>
    <row r="544" spans="2:115" s="16" customFormat="1" ht="12.75" hidden="1" customHeight="1" outlineLevel="1">
      <c r="DD544" s="247"/>
      <c r="DE544" s="247"/>
      <c r="DF544" s="247"/>
      <c r="DG544" s="247"/>
      <c r="DH544" s="247"/>
      <c r="DI544" s="247"/>
      <c r="DJ544" s="247"/>
      <c r="DK544" s="247"/>
    </row>
    <row r="545" spans="2:115" s="16" customFormat="1" hidden="1" outlineLevel="1">
      <c r="B545" s="1089" t="s">
        <v>675</v>
      </c>
      <c r="DD545" s="247"/>
      <c r="DE545" s="247"/>
      <c r="DF545" s="247"/>
      <c r="DG545" s="247"/>
      <c r="DH545" s="247"/>
      <c r="DI545" s="247"/>
      <c r="DJ545" s="247"/>
      <c r="DK545" s="247"/>
    </row>
    <row r="546" spans="2:115" s="16" customFormat="1" hidden="1" outlineLevel="1">
      <c r="B546" s="1090" t="s">
        <v>648</v>
      </c>
      <c r="BU546" s="1095">
        <v>1165.7174476030934</v>
      </c>
      <c r="DD546" s="247"/>
      <c r="DE546" s="247"/>
      <c r="DF546" s="247"/>
      <c r="DG546" s="247"/>
      <c r="DH546" s="247"/>
      <c r="DI546" s="247"/>
      <c r="DJ546" s="247"/>
      <c r="DK546" s="247"/>
    </row>
    <row r="547" spans="2:115" s="16" customFormat="1" hidden="1" outlineLevel="1">
      <c r="B547" s="1090" t="s">
        <v>649</v>
      </c>
      <c r="BU547" s="1095">
        <v>576.77621928697693</v>
      </c>
      <c r="DD547" s="247"/>
      <c r="DE547" s="247"/>
      <c r="DF547" s="247"/>
      <c r="DG547" s="247"/>
      <c r="DH547" s="247"/>
      <c r="DI547" s="247"/>
      <c r="DJ547" s="247"/>
      <c r="DK547" s="247"/>
    </row>
    <row r="548" spans="2:115" s="16" customFormat="1" hidden="1" outlineLevel="1">
      <c r="B548" s="1090" t="s">
        <v>650</v>
      </c>
      <c r="BU548" s="1095">
        <v>551.9897653271147</v>
      </c>
      <c r="DD548" s="247"/>
      <c r="DE548" s="247"/>
      <c r="DF548" s="247"/>
      <c r="DG548" s="247"/>
      <c r="DH548" s="247"/>
      <c r="DI548" s="247"/>
      <c r="DJ548" s="247"/>
      <c r="DK548" s="247"/>
    </row>
    <row r="549" spans="2:115" s="16" customFormat="1" hidden="1" outlineLevel="1">
      <c r="B549" s="1090" t="s">
        <v>651</v>
      </c>
      <c r="BU549" s="1095">
        <v>1174.8858557131466</v>
      </c>
      <c r="DD549" s="247"/>
      <c r="DE549" s="247"/>
      <c r="DF549" s="247"/>
      <c r="DG549" s="247"/>
      <c r="DH549" s="247"/>
      <c r="DI549" s="247"/>
      <c r="DJ549" s="247"/>
      <c r="DK549" s="247"/>
    </row>
    <row r="550" spans="2:115" s="16" customFormat="1" hidden="1" outlineLevel="1">
      <c r="B550" s="1090" t="s">
        <v>138</v>
      </c>
      <c r="BU550" s="1096" t="s">
        <v>981</v>
      </c>
      <c r="DD550" s="247"/>
      <c r="DE550" s="247"/>
      <c r="DF550" s="247"/>
      <c r="DG550" s="247"/>
      <c r="DH550" s="247"/>
      <c r="DI550" s="247"/>
      <c r="DJ550" s="247"/>
      <c r="DK550" s="247"/>
    </row>
    <row r="551" spans="2:115" s="247" customFormat="1" hidden="1" outlineLevel="1">
      <c r="B551" s="1090" t="s">
        <v>652</v>
      </c>
      <c r="C551" s="16"/>
      <c r="D551" s="16"/>
      <c r="E551" s="16"/>
      <c r="F551" s="16"/>
      <c r="G551" s="16"/>
      <c r="H551" s="16"/>
      <c r="I551" s="16"/>
      <c r="J551" s="16"/>
      <c r="K551" s="16"/>
      <c r="L551" s="16"/>
      <c r="M551" s="16"/>
      <c r="N551" s="16"/>
      <c r="O551" s="16"/>
      <c r="P551" s="16"/>
      <c r="Q551" s="16"/>
      <c r="R551" s="16"/>
      <c r="S551" s="16"/>
      <c r="T551" s="16"/>
      <c r="U551" s="16"/>
      <c r="V551" s="16"/>
      <c r="W551" s="16"/>
      <c r="X551" s="16"/>
      <c r="Y551" s="16"/>
      <c r="Z551" s="16"/>
      <c r="AA551" s="16"/>
      <c r="AB551" s="16"/>
      <c r="AC551" s="16"/>
      <c r="AD551" s="16"/>
      <c r="AE551" s="16"/>
      <c r="AF551" s="16"/>
      <c r="AG551" s="16"/>
      <c r="AH551" s="16"/>
      <c r="AI551" s="16"/>
      <c r="AJ551" s="16"/>
      <c r="AK551" s="16"/>
      <c r="AL551" s="16"/>
      <c r="AM551" s="16"/>
      <c r="AN551" s="16"/>
      <c r="AO551" s="16"/>
      <c r="AP551" s="16"/>
      <c r="AQ551" s="16"/>
      <c r="AR551" s="16"/>
      <c r="AS551" s="16"/>
      <c r="AT551" s="16"/>
      <c r="AU551" s="16"/>
      <c r="AV551" s="16"/>
      <c r="AW551" s="16"/>
      <c r="AX551" s="16"/>
      <c r="AY551" s="16"/>
      <c r="AZ551" s="16"/>
      <c r="BA551" s="16"/>
      <c r="BB551" s="16"/>
      <c r="BC551" s="16"/>
      <c r="BD551" s="16"/>
      <c r="BE551" s="16"/>
      <c r="BF551" s="16"/>
      <c r="BG551" s="16"/>
      <c r="BH551" s="16"/>
      <c r="BI551" s="16"/>
      <c r="BJ551" s="16"/>
      <c r="BK551" s="16"/>
      <c r="BL551" s="16"/>
      <c r="BM551" s="16"/>
      <c r="BN551" s="16"/>
      <c r="BO551" s="16"/>
      <c r="BP551" s="16"/>
      <c r="BQ551" s="16"/>
      <c r="BR551" s="16"/>
      <c r="BS551" s="16"/>
      <c r="BT551" s="16"/>
      <c r="BU551" s="1095">
        <v>1922.5477075448578</v>
      </c>
      <c r="BV551" s="16"/>
      <c r="BW551" s="16"/>
      <c r="BX551" s="16"/>
      <c r="BY551" s="16"/>
      <c r="BZ551" s="16"/>
      <c r="CA551" s="16"/>
      <c r="CB551" s="16"/>
      <c r="CC551" s="16"/>
      <c r="CD551" s="16"/>
      <c r="CE551" s="16"/>
      <c r="CF551" s="16"/>
      <c r="CG551" s="16"/>
      <c r="CH551" s="16"/>
      <c r="CI551" s="16"/>
      <c r="CJ551" s="16"/>
      <c r="CK551" s="16"/>
      <c r="CL551" s="16"/>
      <c r="CM551" s="16"/>
      <c r="CN551" s="16"/>
      <c r="CO551" s="16"/>
      <c r="CP551" s="16"/>
      <c r="CQ551" s="16"/>
      <c r="CR551" s="16"/>
      <c r="CS551" s="16"/>
      <c r="CT551" s="16"/>
      <c r="CU551" s="16"/>
      <c r="CV551" s="16"/>
      <c r="CW551" s="16"/>
      <c r="CX551" s="16"/>
      <c r="CY551" s="16"/>
      <c r="CZ551" s="16"/>
      <c r="DA551" s="16"/>
      <c r="DB551" s="16"/>
      <c r="DC551" s="16"/>
    </row>
    <row r="552" spans="2:115" s="247" customFormat="1" hidden="1" outlineLevel="1">
      <c r="B552" s="1090" t="s">
        <v>653</v>
      </c>
      <c r="C552" s="16"/>
      <c r="D552" s="16"/>
      <c r="E552" s="16"/>
      <c r="F552" s="16"/>
      <c r="G552" s="16"/>
      <c r="H552" s="16"/>
      <c r="I552" s="16"/>
      <c r="J552" s="16"/>
      <c r="K552" s="16"/>
      <c r="L552" s="16"/>
      <c r="M552" s="16"/>
      <c r="N552" s="16"/>
      <c r="O552" s="16"/>
      <c r="P552" s="16"/>
      <c r="Q552" s="16"/>
      <c r="R552" s="16"/>
      <c r="S552" s="16"/>
      <c r="T552" s="16"/>
      <c r="U552" s="16"/>
      <c r="V552" s="16"/>
      <c r="W552" s="16"/>
      <c r="X552" s="16"/>
      <c r="Y552" s="16"/>
      <c r="Z552" s="16"/>
      <c r="AA552" s="16"/>
      <c r="AB552" s="16"/>
      <c r="AC552" s="16"/>
      <c r="AD552" s="16"/>
      <c r="AE552" s="16"/>
      <c r="AF552" s="16"/>
      <c r="AG552" s="16"/>
      <c r="AH552" s="16"/>
      <c r="AI552" s="16"/>
      <c r="AJ552" s="16"/>
      <c r="AK552" s="16"/>
      <c r="AL552" s="16"/>
      <c r="AM552" s="16"/>
      <c r="AN552" s="16"/>
      <c r="AO552" s="16"/>
      <c r="AP552" s="16"/>
      <c r="AQ552" s="16"/>
      <c r="AR552" s="16"/>
      <c r="AS552" s="16"/>
      <c r="AT552" s="16"/>
      <c r="AU552" s="16"/>
      <c r="AV552" s="16"/>
      <c r="AW552" s="16"/>
      <c r="AX552" s="16"/>
      <c r="AY552" s="16"/>
      <c r="AZ552" s="16"/>
      <c r="BA552" s="16"/>
      <c r="BB552" s="16"/>
      <c r="BC552" s="16"/>
      <c r="BD552" s="16"/>
      <c r="BE552" s="16"/>
      <c r="BF552" s="16"/>
      <c r="BG552" s="16"/>
      <c r="BH552" s="16"/>
      <c r="BI552" s="16"/>
      <c r="BJ552" s="16"/>
      <c r="BK552" s="16"/>
      <c r="BL552" s="16"/>
      <c r="BM552" s="16"/>
      <c r="BN552" s="16"/>
      <c r="BO552" s="16"/>
      <c r="BP552" s="16"/>
      <c r="BQ552" s="16"/>
      <c r="BR552" s="16"/>
      <c r="BS552" s="16"/>
      <c r="BT552" s="16"/>
      <c r="BU552" s="1095">
        <v>2731.7291808942414</v>
      </c>
      <c r="BV552" s="16"/>
      <c r="BW552" s="16"/>
      <c r="BX552" s="16"/>
      <c r="BY552" s="16"/>
      <c r="BZ552" s="16"/>
      <c r="CA552" s="16"/>
      <c r="CB552" s="16"/>
      <c r="CC552" s="16"/>
      <c r="CD552" s="16"/>
      <c r="CE552" s="16"/>
      <c r="CF552" s="16"/>
      <c r="CG552" s="16"/>
      <c r="CH552" s="16"/>
      <c r="CI552" s="16"/>
      <c r="CJ552" s="16"/>
      <c r="CK552" s="16"/>
      <c r="CL552" s="16"/>
      <c r="CM552" s="16"/>
      <c r="CN552" s="16"/>
      <c r="CO552" s="16"/>
      <c r="CP552" s="16"/>
      <c r="CQ552" s="16"/>
      <c r="CR552" s="16"/>
      <c r="CS552" s="16"/>
      <c r="CT552" s="16"/>
      <c r="CU552" s="16"/>
      <c r="CV552" s="16"/>
      <c r="CW552" s="16"/>
      <c r="CX552" s="16"/>
      <c r="CY552" s="16"/>
      <c r="CZ552" s="16"/>
      <c r="DA552" s="16"/>
      <c r="DB552" s="16"/>
      <c r="DC552" s="16"/>
    </row>
    <row r="553" spans="2:115" s="247" customFormat="1" hidden="1" outlineLevel="1">
      <c r="B553" s="1090" t="s">
        <v>139</v>
      </c>
      <c r="C553" s="16"/>
      <c r="D553" s="16"/>
      <c r="E553" s="16"/>
      <c r="F553" s="16"/>
      <c r="G553" s="16"/>
      <c r="H553" s="16"/>
      <c r="I553" s="16"/>
      <c r="J553" s="16"/>
      <c r="K553" s="16"/>
      <c r="L553" s="16"/>
      <c r="M553" s="16"/>
      <c r="N553" s="16"/>
      <c r="O553" s="16"/>
      <c r="P553" s="16"/>
      <c r="Q553" s="16"/>
      <c r="R553" s="16"/>
      <c r="S553" s="16"/>
      <c r="T553" s="16"/>
      <c r="U553" s="16"/>
      <c r="V553" s="16"/>
      <c r="W553" s="16"/>
      <c r="X553" s="16"/>
      <c r="Y553" s="16"/>
      <c r="Z553" s="16"/>
      <c r="AA553" s="16"/>
      <c r="AB553" s="16"/>
      <c r="AC553" s="16"/>
      <c r="AD553" s="16"/>
      <c r="AE553" s="16"/>
      <c r="AF553" s="16"/>
      <c r="AG553" s="16"/>
      <c r="AH553" s="16"/>
      <c r="AI553" s="16"/>
      <c r="AJ553" s="16"/>
      <c r="AK553" s="16"/>
      <c r="AL553" s="16"/>
      <c r="AM553" s="16"/>
      <c r="AN553" s="16"/>
      <c r="AO553" s="16"/>
      <c r="AP553" s="16"/>
      <c r="AQ553" s="16"/>
      <c r="AR553" s="16"/>
      <c r="AS553" s="16"/>
      <c r="AT553" s="16"/>
      <c r="AU553" s="16"/>
      <c r="AV553" s="16"/>
      <c r="AW553" s="16"/>
      <c r="AX553" s="16"/>
      <c r="AY553" s="16"/>
      <c r="AZ553" s="16"/>
      <c r="BA553" s="16"/>
      <c r="BB553" s="16"/>
      <c r="BC553" s="16"/>
      <c r="BD553" s="16"/>
      <c r="BE553" s="16"/>
      <c r="BF553" s="16"/>
      <c r="BG553" s="16"/>
      <c r="BH553" s="16"/>
      <c r="BI553" s="16"/>
      <c r="BJ553" s="16"/>
      <c r="BK553" s="16"/>
      <c r="BL553" s="16"/>
      <c r="BM553" s="16"/>
      <c r="BN553" s="16"/>
      <c r="BO553" s="16"/>
      <c r="BP553" s="16"/>
      <c r="BQ553" s="16"/>
      <c r="BR553" s="16"/>
      <c r="BS553" s="16"/>
      <c r="BT553" s="16"/>
      <c r="BU553" s="1096" t="s">
        <v>981</v>
      </c>
      <c r="BV553" s="16"/>
      <c r="BW553" s="16"/>
      <c r="BX553" s="16"/>
      <c r="BY553" s="16"/>
      <c r="BZ553" s="16"/>
      <c r="CA553" s="16"/>
      <c r="CB553" s="16"/>
      <c r="CC553" s="16"/>
      <c r="CD553" s="16"/>
      <c r="CE553" s="16"/>
      <c r="CF553" s="16"/>
      <c r="CG553" s="16"/>
      <c r="CH553" s="16"/>
      <c r="CI553" s="16"/>
      <c r="CJ553" s="16"/>
      <c r="CK553" s="16"/>
      <c r="CL553" s="16"/>
      <c r="CM553" s="16"/>
      <c r="CN553" s="16"/>
      <c r="CO553" s="16"/>
      <c r="CP553" s="16"/>
      <c r="CQ553" s="16"/>
      <c r="CR553" s="16"/>
      <c r="CS553" s="16"/>
      <c r="CT553" s="16"/>
      <c r="CU553" s="16"/>
      <c r="CV553" s="16"/>
      <c r="CW553" s="16"/>
      <c r="CX553" s="16"/>
      <c r="CY553" s="16"/>
      <c r="CZ553" s="16"/>
      <c r="DA553" s="16"/>
      <c r="DB553" s="16"/>
      <c r="DC553" s="16"/>
    </row>
    <row r="554" spans="2:115" s="247" customFormat="1" ht="12.75" hidden="1" customHeight="1" outlineLevel="1">
      <c r="B554" s="16"/>
      <c r="C554" s="16"/>
      <c r="D554" s="16"/>
      <c r="E554" s="16"/>
      <c r="F554" s="16"/>
      <c r="G554" s="16"/>
      <c r="H554" s="16"/>
      <c r="I554" s="16"/>
      <c r="J554" s="16"/>
      <c r="K554" s="16"/>
      <c r="L554" s="16"/>
      <c r="M554" s="16"/>
      <c r="N554" s="16"/>
      <c r="O554" s="16"/>
      <c r="P554" s="16"/>
      <c r="Q554" s="16"/>
      <c r="R554" s="16"/>
      <c r="S554" s="16"/>
      <c r="T554" s="16"/>
      <c r="U554" s="16"/>
      <c r="V554" s="16"/>
      <c r="W554" s="16"/>
      <c r="X554" s="16"/>
      <c r="Y554" s="16"/>
      <c r="Z554" s="16"/>
      <c r="AA554" s="16"/>
      <c r="AB554" s="16"/>
      <c r="AC554" s="16"/>
      <c r="AD554" s="16"/>
      <c r="AE554" s="16"/>
      <c r="AF554" s="16"/>
      <c r="AG554" s="16"/>
      <c r="AH554" s="16"/>
      <c r="AI554" s="16"/>
      <c r="AJ554" s="16"/>
      <c r="AK554" s="16"/>
      <c r="AL554" s="16"/>
      <c r="AM554" s="16"/>
      <c r="AN554" s="16"/>
      <c r="AO554" s="16"/>
      <c r="AP554" s="16"/>
      <c r="AQ554" s="16"/>
      <c r="AR554" s="16"/>
      <c r="AS554" s="16"/>
      <c r="AT554" s="16"/>
      <c r="AU554" s="16"/>
      <c r="AV554" s="16"/>
      <c r="AW554" s="16"/>
      <c r="AX554" s="16"/>
      <c r="AY554" s="16"/>
      <c r="AZ554" s="16"/>
      <c r="BA554" s="16"/>
      <c r="BB554" s="16"/>
      <c r="BC554" s="16"/>
      <c r="BD554" s="16"/>
      <c r="BE554" s="16"/>
      <c r="BF554" s="16"/>
      <c r="BG554" s="16"/>
      <c r="BH554" s="16"/>
      <c r="BI554" s="16"/>
      <c r="BJ554" s="16"/>
      <c r="BK554" s="16"/>
      <c r="BL554" s="16"/>
      <c r="BM554" s="16"/>
      <c r="BN554" s="16"/>
      <c r="BO554" s="16"/>
      <c r="BP554" s="16"/>
      <c r="BQ554" s="16"/>
      <c r="BR554" s="16"/>
      <c r="BS554" s="16"/>
      <c r="BT554" s="16"/>
      <c r="BU554" s="16"/>
      <c r="BV554" s="16"/>
      <c r="BW554" s="16"/>
      <c r="BX554" s="16"/>
      <c r="BY554" s="16"/>
      <c r="BZ554" s="16"/>
      <c r="CA554" s="16"/>
      <c r="CB554" s="16"/>
      <c r="CC554" s="16"/>
      <c r="CD554" s="16"/>
      <c r="CE554" s="16"/>
      <c r="CF554" s="16"/>
      <c r="CG554" s="16"/>
      <c r="CH554" s="16"/>
      <c r="CI554" s="16"/>
      <c r="CJ554" s="16"/>
      <c r="CK554" s="16"/>
      <c r="CL554" s="16"/>
      <c r="CM554" s="16"/>
      <c r="CN554" s="16"/>
      <c r="CO554" s="16"/>
      <c r="CP554" s="16"/>
      <c r="CQ554" s="16"/>
      <c r="CR554" s="16"/>
      <c r="CS554" s="16"/>
      <c r="CT554" s="16"/>
      <c r="CU554" s="16"/>
      <c r="CV554" s="16"/>
      <c r="CW554" s="16"/>
      <c r="CX554" s="16"/>
      <c r="CY554" s="16"/>
      <c r="CZ554" s="16"/>
      <c r="DA554" s="16"/>
      <c r="DB554" s="16"/>
      <c r="DC554" s="16"/>
    </row>
    <row r="555" spans="2:115" s="247" customFormat="1" hidden="1" outlineLevel="1">
      <c r="B555" s="1089" t="s">
        <v>676</v>
      </c>
      <c r="C555" s="16"/>
      <c r="D555" s="16"/>
      <c r="E555" s="16"/>
      <c r="F555" s="16"/>
      <c r="G555" s="16"/>
      <c r="H555" s="16"/>
      <c r="I555" s="16"/>
      <c r="J555" s="16"/>
      <c r="K555" s="16"/>
      <c r="L555" s="16"/>
      <c r="M555" s="16"/>
      <c r="N555" s="16"/>
      <c r="O555" s="16"/>
      <c r="P555" s="16"/>
      <c r="Q555" s="16"/>
      <c r="R555" s="16"/>
      <c r="S555" s="16"/>
      <c r="T555" s="16"/>
      <c r="U555" s="16"/>
      <c r="V555" s="16"/>
      <c r="W555" s="16"/>
      <c r="X555" s="16"/>
      <c r="Y555" s="16"/>
      <c r="Z555" s="16"/>
      <c r="AA555" s="16"/>
      <c r="AB555" s="16"/>
      <c r="AC555" s="16"/>
      <c r="AD555" s="16"/>
      <c r="AE555" s="16"/>
      <c r="AF555" s="16"/>
      <c r="AG555" s="16"/>
      <c r="AH555" s="16"/>
      <c r="AI555" s="16"/>
      <c r="AJ555" s="16"/>
      <c r="AK555" s="16"/>
      <c r="AL555" s="16"/>
      <c r="AM555" s="16"/>
      <c r="AN555" s="16"/>
      <c r="AO555" s="16"/>
      <c r="AP555" s="16"/>
      <c r="AQ555" s="16"/>
      <c r="AR555" s="16"/>
      <c r="AS555" s="16"/>
      <c r="AT555" s="16"/>
      <c r="AU555" s="16"/>
      <c r="AV555" s="16"/>
      <c r="AW555" s="16"/>
      <c r="AX555" s="16"/>
      <c r="AY555" s="16"/>
      <c r="AZ555" s="16"/>
      <c r="BA555" s="16"/>
      <c r="BB555" s="16"/>
      <c r="BC555" s="16"/>
      <c r="BD555" s="16"/>
      <c r="BE555" s="16"/>
      <c r="BF555" s="16"/>
      <c r="BG555" s="16"/>
      <c r="BH555" s="16"/>
      <c r="BI555" s="16"/>
      <c r="BJ555" s="16"/>
      <c r="BK555" s="16"/>
      <c r="BL555" s="16"/>
      <c r="BM555" s="16"/>
      <c r="BN555" s="16"/>
      <c r="BO555" s="16"/>
      <c r="BP555" s="16"/>
      <c r="BQ555" s="16"/>
      <c r="BR555" s="16"/>
      <c r="BS555" s="16"/>
      <c r="BT555" s="16"/>
      <c r="BU555" s="16"/>
      <c r="BV555" s="16"/>
      <c r="BW555" s="16"/>
      <c r="BX555" s="16"/>
      <c r="BY555" s="16"/>
      <c r="BZ555" s="16"/>
      <c r="CA555" s="16"/>
      <c r="CB555" s="16"/>
      <c r="CC555" s="16"/>
      <c r="CD555" s="16"/>
      <c r="CE555" s="16"/>
      <c r="CF555" s="16"/>
      <c r="CG555" s="16"/>
      <c r="CH555" s="16"/>
      <c r="CI555" s="16"/>
      <c r="CJ555" s="16"/>
      <c r="CK555" s="16"/>
      <c r="CL555" s="16"/>
      <c r="CM555" s="16"/>
      <c r="CN555" s="16"/>
      <c r="CO555" s="16"/>
      <c r="CP555" s="16"/>
      <c r="CQ555" s="16"/>
      <c r="CR555" s="16"/>
      <c r="CS555" s="16"/>
      <c r="CT555" s="16"/>
      <c r="CU555" s="16"/>
      <c r="CV555" s="16"/>
      <c r="CW555" s="16"/>
      <c r="CX555" s="16"/>
      <c r="CY555" s="16"/>
      <c r="CZ555" s="16"/>
      <c r="DA555" s="16"/>
      <c r="DB555" s="16"/>
      <c r="DC555" s="16"/>
    </row>
    <row r="556" spans="2:115" s="247" customFormat="1" hidden="1" outlineLevel="1">
      <c r="B556" s="1090" t="s">
        <v>654</v>
      </c>
      <c r="C556" s="16"/>
      <c r="D556" s="16"/>
      <c r="E556" s="16"/>
      <c r="F556" s="16"/>
      <c r="G556" s="16"/>
      <c r="H556" s="16"/>
      <c r="I556" s="16"/>
      <c r="J556" s="16"/>
      <c r="K556" s="16"/>
      <c r="L556" s="16"/>
      <c r="M556" s="16"/>
      <c r="N556" s="16"/>
      <c r="O556" s="16"/>
      <c r="P556" s="16"/>
      <c r="Q556" s="16"/>
      <c r="R556" s="16"/>
      <c r="S556" s="16"/>
      <c r="T556" s="16"/>
      <c r="U556" s="16"/>
      <c r="V556" s="16"/>
      <c r="W556" s="16"/>
      <c r="X556" s="16"/>
      <c r="Y556" s="16"/>
      <c r="Z556" s="16"/>
      <c r="AA556" s="16"/>
      <c r="AB556" s="16"/>
      <c r="AC556" s="16"/>
      <c r="AD556" s="16"/>
      <c r="AE556" s="16"/>
      <c r="AF556" s="16"/>
      <c r="AG556" s="16"/>
      <c r="AH556" s="16"/>
      <c r="AI556" s="16"/>
      <c r="AJ556" s="16"/>
      <c r="AK556" s="16"/>
      <c r="AL556" s="16"/>
      <c r="AM556" s="16"/>
      <c r="AN556" s="16"/>
      <c r="AO556" s="16"/>
      <c r="AP556" s="16"/>
      <c r="AQ556" s="16"/>
      <c r="AR556" s="16"/>
      <c r="AS556" s="16"/>
      <c r="AT556" s="16"/>
      <c r="AU556" s="16"/>
      <c r="AV556" s="16"/>
      <c r="AW556" s="16"/>
      <c r="AX556" s="16"/>
      <c r="AY556" s="16"/>
      <c r="AZ556" s="16"/>
      <c r="BA556" s="16"/>
      <c r="BB556" s="16"/>
      <c r="BC556" s="16"/>
      <c r="BD556" s="16"/>
      <c r="BE556" s="16"/>
      <c r="BF556" s="16"/>
      <c r="BG556" s="16"/>
      <c r="BH556" s="16"/>
      <c r="BI556" s="16"/>
      <c r="BJ556" s="16"/>
      <c r="BK556" s="16"/>
      <c r="BL556" s="16"/>
      <c r="BM556" s="16"/>
      <c r="BN556" s="16"/>
      <c r="BO556" s="16"/>
      <c r="BP556" s="16"/>
      <c r="BQ556" s="16"/>
      <c r="BR556" s="16"/>
      <c r="BS556" s="16"/>
      <c r="BT556" s="16"/>
      <c r="BU556" s="1095">
        <v>176.87883438290754</v>
      </c>
      <c r="BV556" s="16"/>
      <c r="BW556" s="16"/>
      <c r="BX556" s="16"/>
      <c r="BY556" s="16"/>
      <c r="BZ556" s="16"/>
      <c r="CA556" s="16"/>
      <c r="CB556" s="16"/>
      <c r="CC556" s="16"/>
      <c r="CD556" s="16"/>
      <c r="CE556" s="16"/>
      <c r="CF556" s="16"/>
      <c r="CG556" s="16"/>
      <c r="CH556" s="16"/>
      <c r="CI556" s="16"/>
      <c r="CJ556" s="16"/>
      <c r="CK556" s="16"/>
      <c r="CL556" s="16"/>
      <c r="CM556" s="16"/>
      <c r="CN556" s="16"/>
      <c r="CO556" s="16"/>
      <c r="CP556" s="16"/>
      <c r="CQ556" s="16"/>
      <c r="CR556" s="16"/>
      <c r="CS556" s="16"/>
      <c r="CT556" s="16"/>
      <c r="CU556" s="16"/>
      <c r="CV556" s="16"/>
      <c r="CW556" s="16"/>
      <c r="CX556" s="16"/>
      <c r="CY556" s="16"/>
      <c r="CZ556" s="16"/>
      <c r="DA556" s="16"/>
      <c r="DB556" s="16"/>
      <c r="DC556" s="16"/>
    </row>
    <row r="557" spans="2:115" s="247" customFormat="1" hidden="1" outlineLevel="1">
      <c r="B557" s="1090" t="s">
        <v>655</v>
      </c>
      <c r="C557" s="16"/>
      <c r="D557" s="16"/>
      <c r="E557" s="16"/>
      <c r="F557" s="16"/>
      <c r="G557" s="16"/>
      <c r="H557" s="16"/>
      <c r="I557" s="16"/>
      <c r="J557" s="16"/>
      <c r="K557" s="16"/>
      <c r="L557" s="16"/>
      <c r="M557" s="16"/>
      <c r="N557" s="16"/>
      <c r="O557" s="16"/>
      <c r="P557" s="16"/>
      <c r="Q557" s="16"/>
      <c r="R557" s="16"/>
      <c r="S557" s="16"/>
      <c r="T557" s="16"/>
      <c r="U557" s="16"/>
      <c r="V557" s="16"/>
      <c r="W557" s="16"/>
      <c r="X557" s="16"/>
      <c r="Y557" s="16"/>
      <c r="Z557" s="16"/>
      <c r="AA557" s="16"/>
      <c r="AB557" s="16"/>
      <c r="AC557" s="16"/>
      <c r="AD557" s="16"/>
      <c r="AE557" s="16"/>
      <c r="AF557" s="16"/>
      <c r="AG557" s="16"/>
      <c r="AH557" s="16"/>
      <c r="AI557" s="16"/>
      <c r="AJ557" s="16"/>
      <c r="AK557" s="16"/>
      <c r="AL557" s="16"/>
      <c r="AM557" s="16"/>
      <c r="AN557" s="16"/>
      <c r="AO557" s="16"/>
      <c r="AP557" s="16"/>
      <c r="AQ557" s="16"/>
      <c r="AR557" s="16"/>
      <c r="AS557" s="16"/>
      <c r="AT557" s="16"/>
      <c r="AU557" s="16"/>
      <c r="AV557" s="16"/>
      <c r="AW557" s="16"/>
      <c r="AX557" s="16"/>
      <c r="AY557" s="16"/>
      <c r="AZ557" s="16"/>
      <c r="BA557" s="16"/>
      <c r="BB557" s="16"/>
      <c r="BC557" s="16"/>
      <c r="BD557" s="16"/>
      <c r="BE557" s="16"/>
      <c r="BF557" s="16"/>
      <c r="BG557" s="16"/>
      <c r="BH557" s="16"/>
      <c r="BI557" s="16"/>
      <c r="BJ557" s="16"/>
      <c r="BK557" s="16"/>
      <c r="BL557" s="16"/>
      <c r="BM557" s="16"/>
      <c r="BN557" s="16"/>
      <c r="BO557" s="16"/>
      <c r="BP557" s="16"/>
      <c r="BQ557" s="16"/>
      <c r="BR557" s="16"/>
      <c r="BS557" s="16"/>
      <c r="BT557" s="16"/>
      <c r="BU557" s="1095">
        <v>138.41914841476273</v>
      </c>
      <c r="BV557" s="16"/>
      <c r="BW557" s="16"/>
      <c r="BX557" s="16"/>
      <c r="BY557" s="16"/>
      <c r="BZ557" s="16"/>
      <c r="CA557" s="16"/>
      <c r="CB557" s="16"/>
      <c r="CC557" s="16"/>
      <c r="CD557" s="16"/>
      <c r="CE557" s="16"/>
      <c r="CF557" s="16"/>
      <c r="CG557" s="16"/>
      <c r="CH557" s="16"/>
      <c r="CI557" s="16"/>
      <c r="CJ557" s="16"/>
      <c r="CK557" s="16"/>
      <c r="CL557" s="16"/>
      <c r="CM557" s="16"/>
      <c r="CN557" s="16"/>
      <c r="CO557" s="16"/>
      <c r="CP557" s="16"/>
      <c r="CQ557" s="16"/>
      <c r="CR557" s="16"/>
      <c r="CS557" s="16"/>
      <c r="CT557" s="16"/>
      <c r="CU557" s="16"/>
      <c r="CV557" s="16"/>
      <c r="CW557" s="16"/>
      <c r="CX557" s="16"/>
      <c r="CY557" s="16"/>
      <c r="CZ557" s="16"/>
      <c r="DA557" s="16"/>
      <c r="DB557" s="16"/>
      <c r="DC557" s="16"/>
    </row>
    <row r="558" spans="2:115" s="247" customFormat="1" hidden="1" outlineLevel="1">
      <c r="B558" s="1090" t="s">
        <v>656</v>
      </c>
      <c r="C558" s="16"/>
      <c r="D558" s="16"/>
      <c r="E558" s="16"/>
      <c r="F558" s="16"/>
      <c r="G558" s="16"/>
      <c r="H558" s="16"/>
      <c r="I558" s="16"/>
      <c r="J558" s="16"/>
      <c r="K558" s="16"/>
      <c r="L558" s="16"/>
      <c r="M558" s="16"/>
      <c r="N558" s="16"/>
      <c r="O558" s="16"/>
      <c r="P558" s="16"/>
      <c r="Q558" s="16"/>
      <c r="R558" s="16"/>
      <c r="S558" s="16"/>
      <c r="T558" s="16"/>
      <c r="U558" s="16"/>
      <c r="V558" s="16"/>
      <c r="W558" s="16"/>
      <c r="X558" s="16"/>
      <c r="Y558" s="16"/>
      <c r="Z558" s="16"/>
      <c r="AA558" s="16"/>
      <c r="AB558" s="16"/>
      <c r="AC558" s="16"/>
      <c r="AD558" s="16"/>
      <c r="AE558" s="16"/>
      <c r="AF558" s="16"/>
      <c r="AG558" s="16"/>
      <c r="AH558" s="16"/>
      <c r="AI558" s="16"/>
      <c r="AJ558" s="16"/>
      <c r="AK558" s="16"/>
      <c r="AL558" s="16"/>
      <c r="AM558" s="16"/>
      <c r="AN558" s="16"/>
      <c r="AO558" s="16"/>
      <c r="AP558" s="16"/>
      <c r="AQ558" s="16"/>
      <c r="AR558" s="16"/>
      <c r="AS558" s="16"/>
      <c r="AT558" s="16"/>
      <c r="AU558" s="16"/>
      <c r="AV558" s="16"/>
      <c r="AW558" s="16"/>
      <c r="AX558" s="16"/>
      <c r="AY558" s="16"/>
      <c r="AZ558" s="16"/>
      <c r="BA558" s="16"/>
      <c r="BB558" s="16"/>
      <c r="BC558" s="16"/>
      <c r="BD558" s="16"/>
      <c r="BE558" s="16"/>
      <c r="BF558" s="16"/>
      <c r="BG558" s="16"/>
      <c r="BH558" s="16"/>
      <c r="BI558" s="16"/>
      <c r="BJ558" s="16"/>
      <c r="BK558" s="16"/>
      <c r="BL558" s="16"/>
      <c r="BM558" s="16"/>
      <c r="BN558" s="16"/>
      <c r="BO558" s="16"/>
      <c r="BP558" s="16"/>
      <c r="BQ558" s="16"/>
      <c r="BR558" s="16"/>
      <c r="BS558" s="16"/>
      <c r="BT558" s="16"/>
      <c r="BU558" s="1095">
        <v>64.079631574375455</v>
      </c>
      <c r="BV558" s="16"/>
      <c r="BW558" s="16"/>
      <c r="BX558" s="16"/>
      <c r="BY558" s="16"/>
      <c r="BZ558" s="16"/>
      <c r="CA558" s="16"/>
      <c r="CB558" s="16"/>
      <c r="CC558" s="16"/>
      <c r="CD558" s="16"/>
      <c r="CE558" s="16"/>
      <c r="CF558" s="16"/>
      <c r="CG558" s="16"/>
      <c r="CH558" s="16"/>
      <c r="CI558" s="16"/>
      <c r="CJ558" s="16"/>
      <c r="CK558" s="16"/>
      <c r="CL558" s="16"/>
      <c r="CM558" s="16"/>
      <c r="CN558" s="16"/>
      <c r="CO558" s="16"/>
      <c r="CP558" s="16"/>
      <c r="CQ558" s="16"/>
      <c r="CR558" s="16"/>
      <c r="CS558" s="16"/>
      <c r="CT558" s="16"/>
      <c r="CU558" s="16"/>
      <c r="CV558" s="16"/>
      <c r="CW558" s="16"/>
      <c r="CX558" s="16"/>
      <c r="CY558" s="16"/>
      <c r="CZ558" s="16"/>
      <c r="DA558" s="16"/>
      <c r="DB558" s="16"/>
      <c r="DC558" s="16"/>
    </row>
    <row r="559" spans="2:115" s="247" customFormat="1" hidden="1" outlineLevel="1">
      <c r="B559" s="1090" t="s">
        <v>657</v>
      </c>
      <c r="C559" s="16"/>
      <c r="D559" s="16"/>
      <c r="E559" s="16"/>
      <c r="F559" s="16"/>
      <c r="G559" s="16"/>
      <c r="H559" s="16"/>
      <c r="I559" s="16"/>
      <c r="J559" s="16"/>
      <c r="K559" s="16"/>
      <c r="L559" s="16"/>
      <c r="M559" s="16"/>
      <c r="N559" s="16"/>
      <c r="O559" s="16"/>
      <c r="P559" s="16"/>
      <c r="Q559" s="16"/>
      <c r="R559" s="16"/>
      <c r="S559" s="16"/>
      <c r="T559" s="16"/>
      <c r="U559" s="16"/>
      <c r="V559" s="16"/>
      <c r="W559" s="16"/>
      <c r="X559" s="16"/>
      <c r="Y559" s="16"/>
      <c r="Z559" s="16"/>
      <c r="AA559" s="16"/>
      <c r="AB559" s="16"/>
      <c r="AC559" s="16"/>
      <c r="AD559" s="16"/>
      <c r="AE559" s="16"/>
      <c r="AF559" s="16"/>
      <c r="AG559" s="16"/>
      <c r="AH559" s="16"/>
      <c r="AI559" s="16"/>
      <c r="AJ559" s="16"/>
      <c r="AK559" s="16"/>
      <c r="AL559" s="16"/>
      <c r="AM559" s="16"/>
      <c r="AN559" s="16"/>
      <c r="AO559" s="16"/>
      <c r="AP559" s="16"/>
      <c r="AQ559" s="16"/>
      <c r="AR559" s="16"/>
      <c r="AS559" s="16"/>
      <c r="AT559" s="16"/>
      <c r="AU559" s="16"/>
      <c r="AV559" s="16"/>
      <c r="AW559" s="16"/>
      <c r="AX559" s="16"/>
      <c r="AY559" s="16"/>
      <c r="AZ559" s="16"/>
      <c r="BA559" s="16"/>
      <c r="BB559" s="16"/>
      <c r="BC559" s="16"/>
      <c r="BD559" s="16"/>
      <c r="BE559" s="16"/>
      <c r="BF559" s="16"/>
      <c r="BG559" s="16"/>
      <c r="BH559" s="16"/>
      <c r="BI559" s="16"/>
      <c r="BJ559" s="16"/>
      <c r="BK559" s="16"/>
      <c r="BL559" s="16"/>
      <c r="BM559" s="16"/>
      <c r="BN559" s="16"/>
      <c r="BO559" s="16"/>
      <c r="BP559" s="16"/>
      <c r="BQ559" s="16"/>
      <c r="BR559" s="16"/>
      <c r="BS559" s="16"/>
      <c r="BT559" s="16"/>
      <c r="BU559" s="1095">
        <v>534.03000485179427</v>
      </c>
      <c r="BV559" s="16"/>
      <c r="BW559" s="16"/>
      <c r="BX559" s="16"/>
      <c r="BY559" s="16"/>
      <c r="BZ559" s="16"/>
      <c r="CA559" s="16"/>
      <c r="CB559" s="16"/>
      <c r="CC559" s="16"/>
      <c r="CD559" s="16"/>
      <c r="CE559" s="16"/>
      <c r="CF559" s="16"/>
      <c r="CG559" s="16"/>
      <c r="CH559" s="16"/>
      <c r="CI559" s="16"/>
      <c r="CJ559" s="16"/>
      <c r="CK559" s="16"/>
      <c r="CL559" s="16"/>
      <c r="CM559" s="16"/>
      <c r="CN559" s="16"/>
      <c r="CO559" s="16"/>
      <c r="CP559" s="16"/>
      <c r="CQ559" s="16"/>
      <c r="CR559" s="16"/>
      <c r="CS559" s="16"/>
      <c r="CT559" s="16"/>
      <c r="CU559" s="16"/>
      <c r="CV559" s="16"/>
      <c r="CW559" s="16"/>
      <c r="CX559" s="16"/>
      <c r="CY559" s="16"/>
      <c r="CZ559" s="16"/>
      <c r="DA559" s="16"/>
      <c r="DB559" s="16"/>
      <c r="DC559" s="16"/>
    </row>
    <row r="560" spans="2:115" s="247" customFormat="1" hidden="1" outlineLevel="1">
      <c r="B560" s="1090" t="s">
        <v>663</v>
      </c>
      <c r="C560" s="16"/>
      <c r="D560" s="16"/>
      <c r="E560" s="16"/>
      <c r="F560" s="16"/>
      <c r="G560" s="16"/>
      <c r="H560" s="16"/>
      <c r="I560" s="16"/>
      <c r="J560" s="16"/>
      <c r="K560" s="16"/>
      <c r="L560" s="16"/>
      <c r="M560" s="16"/>
      <c r="N560" s="16"/>
      <c r="O560" s="16"/>
      <c r="P560" s="16"/>
      <c r="Q560" s="16"/>
      <c r="R560" s="16"/>
      <c r="S560" s="16"/>
      <c r="T560" s="16"/>
      <c r="U560" s="16"/>
      <c r="V560" s="16"/>
      <c r="W560" s="16"/>
      <c r="X560" s="16"/>
      <c r="Y560" s="16"/>
      <c r="Z560" s="16"/>
      <c r="AA560" s="16"/>
      <c r="AB560" s="16"/>
      <c r="AC560" s="16"/>
      <c r="AD560" s="16"/>
      <c r="AE560" s="16"/>
      <c r="AF560" s="16"/>
      <c r="AG560" s="16"/>
      <c r="AH560" s="16"/>
      <c r="AI560" s="16"/>
      <c r="AJ560" s="16"/>
      <c r="AK560" s="16"/>
      <c r="AL560" s="16"/>
      <c r="AM560" s="16"/>
      <c r="AN560" s="16"/>
      <c r="AO560" s="16"/>
      <c r="AP560" s="16"/>
      <c r="AQ560" s="16"/>
      <c r="AR560" s="16"/>
      <c r="AS560" s="16"/>
      <c r="AT560" s="16"/>
      <c r="AU560" s="16"/>
      <c r="AV560" s="16"/>
      <c r="AW560" s="16"/>
      <c r="AX560" s="16"/>
      <c r="AY560" s="16"/>
      <c r="AZ560" s="16"/>
      <c r="BA560" s="16"/>
      <c r="BB560" s="16"/>
      <c r="BC560" s="16"/>
      <c r="BD560" s="16"/>
      <c r="BE560" s="16"/>
      <c r="BF560" s="16"/>
      <c r="BG560" s="16"/>
      <c r="BH560" s="16"/>
      <c r="BI560" s="16"/>
      <c r="BJ560" s="16"/>
      <c r="BK560" s="16"/>
      <c r="BL560" s="16"/>
      <c r="BM560" s="16"/>
      <c r="BN560" s="16"/>
      <c r="BO560" s="16"/>
      <c r="BP560" s="16"/>
      <c r="BQ560" s="16"/>
      <c r="BR560" s="16"/>
      <c r="BS560" s="16"/>
      <c r="BT560" s="16"/>
      <c r="BU560" s="1095">
        <v>440.04389920415036</v>
      </c>
      <c r="BV560" s="16"/>
      <c r="BW560" s="16"/>
      <c r="BX560" s="16"/>
      <c r="BY560" s="16"/>
      <c r="BZ560" s="16"/>
      <c r="CA560" s="16"/>
      <c r="CB560" s="16"/>
      <c r="CC560" s="16"/>
      <c r="CD560" s="16"/>
      <c r="CE560" s="16"/>
      <c r="CF560" s="16"/>
      <c r="CG560" s="16"/>
      <c r="CH560" s="16"/>
      <c r="CI560" s="16"/>
      <c r="CJ560" s="16"/>
      <c r="CK560" s="16"/>
      <c r="CL560" s="16"/>
      <c r="CM560" s="16"/>
      <c r="CN560" s="16"/>
      <c r="CO560" s="16"/>
      <c r="CP560" s="16"/>
      <c r="CQ560" s="16"/>
      <c r="CR560" s="16"/>
      <c r="CS560" s="16"/>
      <c r="CT560" s="16"/>
      <c r="CU560" s="16"/>
      <c r="CV560" s="16"/>
      <c r="CW560" s="16"/>
      <c r="CX560" s="16"/>
      <c r="CY560" s="16"/>
      <c r="CZ560" s="16"/>
      <c r="DA560" s="16"/>
      <c r="DB560" s="16"/>
      <c r="DC560" s="16"/>
    </row>
    <row r="561" spans="2:107" s="247" customFormat="1" hidden="1" outlineLevel="1">
      <c r="B561" s="1090" t="s">
        <v>673</v>
      </c>
      <c r="C561" s="16"/>
      <c r="D561" s="16"/>
      <c r="E561" s="16"/>
      <c r="F561" s="16"/>
      <c r="G561" s="16"/>
      <c r="H561" s="16"/>
      <c r="I561" s="16"/>
      <c r="J561" s="16"/>
      <c r="K561" s="16"/>
      <c r="L561" s="16"/>
      <c r="M561" s="16"/>
      <c r="N561" s="16"/>
      <c r="O561" s="16"/>
      <c r="P561" s="16"/>
      <c r="Q561" s="16"/>
      <c r="R561" s="16"/>
      <c r="S561" s="16"/>
      <c r="T561" s="16"/>
      <c r="U561" s="16"/>
      <c r="V561" s="16"/>
      <c r="W561" s="16"/>
      <c r="X561" s="16"/>
      <c r="Y561" s="16"/>
      <c r="Z561" s="16"/>
      <c r="AA561" s="16"/>
      <c r="AB561" s="16"/>
      <c r="AC561" s="16"/>
      <c r="AD561" s="16"/>
      <c r="AE561" s="16"/>
      <c r="AF561" s="16"/>
      <c r="AG561" s="16"/>
      <c r="AH561" s="16"/>
      <c r="AI561" s="16"/>
      <c r="AJ561" s="16"/>
      <c r="AK561" s="16"/>
      <c r="AL561" s="16"/>
      <c r="AM561" s="16"/>
      <c r="AN561" s="16"/>
      <c r="AO561" s="16"/>
      <c r="AP561" s="16"/>
      <c r="AQ561" s="16"/>
      <c r="AR561" s="16"/>
      <c r="AS561" s="16"/>
      <c r="AT561" s="16"/>
      <c r="AU561" s="16"/>
      <c r="AV561" s="16"/>
      <c r="AW561" s="16"/>
      <c r="AX561" s="16"/>
      <c r="AY561" s="16"/>
      <c r="AZ561" s="16"/>
      <c r="BA561" s="16"/>
      <c r="BB561" s="16"/>
      <c r="BC561" s="16"/>
      <c r="BD561" s="16"/>
      <c r="BE561" s="16"/>
      <c r="BF561" s="16"/>
      <c r="BG561" s="16"/>
      <c r="BH561" s="16"/>
      <c r="BI561" s="16"/>
      <c r="BJ561" s="16"/>
      <c r="BK561" s="16"/>
      <c r="BL561" s="16"/>
      <c r="BM561" s="16"/>
      <c r="BN561" s="16"/>
      <c r="BO561" s="16"/>
      <c r="BP561" s="16"/>
      <c r="BQ561" s="16"/>
      <c r="BR561" s="16"/>
      <c r="BS561" s="16"/>
      <c r="BT561" s="16"/>
      <c r="BU561" s="1095">
        <v>961.27385377242888</v>
      </c>
      <c r="BV561" s="16"/>
      <c r="BW561" s="16"/>
      <c r="BX561" s="16"/>
      <c r="BY561" s="16"/>
      <c r="BZ561" s="16"/>
      <c r="CA561" s="16"/>
      <c r="CB561" s="16"/>
      <c r="CC561" s="16"/>
      <c r="CD561" s="16"/>
      <c r="CE561" s="16"/>
      <c r="CF561" s="16"/>
      <c r="CG561" s="16"/>
      <c r="CH561" s="16"/>
      <c r="CI561" s="16"/>
      <c r="CJ561" s="16"/>
      <c r="CK561" s="16"/>
      <c r="CL561" s="16"/>
      <c r="CM561" s="16"/>
      <c r="CN561" s="16"/>
      <c r="CO561" s="16"/>
      <c r="CP561" s="16"/>
      <c r="CQ561" s="16"/>
      <c r="CR561" s="16"/>
      <c r="CS561" s="16"/>
      <c r="CT561" s="16"/>
      <c r="CU561" s="16"/>
      <c r="CV561" s="16"/>
      <c r="CW561" s="16"/>
      <c r="CX561" s="16"/>
      <c r="CY561" s="16"/>
      <c r="CZ561" s="16"/>
      <c r="DA561" s="16"/>
      <c r="DB561" s="16"/>
      <c r="DC561" s="16"/>
    </row>
    <row r="562" spans="2:107" s="247" customFormat="1" hidden="1" outlineLevel="1">
      <c r="B562" s="16"/>
      <c r="C562" s="16"/>
      <c r="D562" s="16"/>
      <c r="E562" s="16"/>
      <c r="F562" s="16"/>
      <c r="G562" s="16"/>
      <c r="H562" s="16"/>
      <c r="I562" s="16"/>
      <c r="J562" s="16"/>
      <c r="K562" s="16"/>
      <c r="L562" s="16"/>
      <c r="M562" s="16"/>
      <c r="N562" s="16"/>
      <c r="O562" s="16"/>
      <c r="P562" s="16"/>
      <c r="Q562" s="16"/>
      <c r="R562" s="16"/>
      <c r="S562" s="16"/>
      <c r="T562" s="16"/>
      <c r="U562" s="16"/>
      <c r="V562" s="16"/>
      <c r="W562" s="16"/>
      <c r="X562" s="16"/>
      <c r="Y562" s="16"/>
      <c r="Z562" s="16"/>
      <c r="AA562" s="16"/>
      <c r="AB562" s="16"/>
      <c r="AC562" s="16"/>
      <c r="AD562" s="16"/>
      <c r="AE562" s="16"/>
      <c r="AF562" s="16"/>
      <c r="AG562" s="16"/>
      <c r="AH562" s="16"/>
      <c r="AI562" s="16"/>
      <c r="AJ562" s="16"/>
      <c r="AK562" s="16"/>
      <c r="AL562" s="16"/>
      <c r="AM562" s="16"/>
      <c r="AN562" s="16"/>
      <c r="AO562" s="16"/>
      <c r="AP562" s="16"/>
      <c r="AQ562" s="16"/>
      <c r="AR562" s="16"/>
      <c r="AS562" s="16"/>
      <c r="AT562" s="16"/>
      <c r="AU562" s="16"/>
      <c r="AV562" s="16"/>
      <c r="AW562" s="16"/>
      <c r="AX562" s="16"/>
      <c r="AY562" s="16"/>
      <c r="AZ562" s="16"/>
      <c r="BA562" s="16"/>
      <c r="BB562" s="16"/>
      <c r="BC562" s="16"/>
      <c r="BD562" s="16"/>
      <c r="BE562" s="16"/>
      <c r="BF562" s="16"/>
      <c r="BG562" s="16"/>
      <c r="BH562" s="16"/>
      <c r="BI562" s="16"/>
      <c r="BJ562" s="16"/>
      <c r="BK562" s="16"/>
      <c r="BL562" s="16"/>
      <c r="BM562" s="16"/>
      <c r="BN562" s="16"/>
      <c r="BO562" s="16"/>
      <c r="BP562" s="16"/>
      <c r="BQ562" s="16"/>
      <c r="BR562" s="16"/>
      <c r="BS562" s="16"/>
      <c r="BT562" s="16"/>
      <c r="BU562" s="16"/>
      <c r="BV562" s="16"/>
      <c r="BW562" s="16"/>
      <c r="BX562" s="16"/>
      <c r="BY562" s="16"/>
      <c r="BZ562" s="16"/>
      <c r="CA562" s="16"/>
      <c r="CB562" s="16"/>
      <c r="CC562" s="16"/>
      <c r="CD562" s="16"/>
      <c r="CE562" s="16"/>
      <c r="CF562" s="16"/>
      <c r="CG562" s="16"/>
      <c r="CH562" s="16"/>
      <c r="CI562" s="16"/>
      <c r="CJ562" s="16"/>
      <c r="CK562" s="16"/>
      <c r="CL562" s="16"/>
      <c r="CM562" s="16"/>
      <c r="CN562" s="16"/>
      <c r="CO562" s="16"/>
      <c r="CP562" s="16"/>
      <c r="CQ562" s="16"/>
      <c r="CR562" s="16"/>
      <c r="CS562" s="16"/>
      <c r="CT562" s="16"/>
      <c r="CU562" s="16"/>
      <c r="CV562" s="16"/>
      <c r="CW562" s="16"/>
      <c r="CX562" s="16"/>
      <c r="CY562" s="16"/>
      <c r="CZ562" s="16"/>
      <c r="DA562" s="16"/>
      <c r="DB562" s="16"/>
      <c r="DC562" s="16"/>
    </row>
    <row r="563" spans="2:107" collapsed="1">
      <c r="B563" s="111" t="s">
        <v>590</v>
      </c>
      <c r="C563" s="52"/>
      <c r="D563" s="48"/>
      <c r="E563" s="48"/>
      <c r="F563" s="48"/>
      <c r="G563" s="48"/>
      <c r="H563" s="48"/>
      <c r="I563" s="48"/>
      <c r="J563" s="48"/>
      <c r="K563" s="48"/>
      <c r="L563" s="52"/>
      <c r="M563" s="52"/>
      <c r="N563" s="53"/>
      <c r="O563" s="53"/>
      <c r="P563" s="53"/>
      <c r="Q563" s="53"/>
      <c r="R563" s="53"/>
      <c r="S563" s="53"/>
      <c r="T563" s="53"/>
      <c r="U563" s="53"/>
      <c r="V563" s="53"/>
      <c r="W563" s="53"/>
      <c r="X563" s="53"/>
      <c r="Y563" s="53"/>
      <c r="Z563" s="53"/>
      <c r="AA563" s="53"/>
      <c r="AB563" s="53"/>
      <c r="AC563" s="53"/>
      <c r="AD563" s="53"/>
      <c r="AE563" s="52"/>
      <c r="AF563" s="52"/>
      <c r="AG563" s="52"/>
      <c r="AH563" s="52"/>
      <c r="AI563" s="52"/>
      <c r="AJ563" s="52"/>
      <c r="AK563" s="52"/>
      <c r="AL563" s="52"/>
      <c r="AM563" s="52"/>
      <c r="AN563" s="52"/>
      <c r="AO563" s="52"/>
      <c r="AP563" s="52"/>
      <c r="AQ563" s="52"/>
      <c r="AR563" s="52"/>
      <c r="AS563" s="52"/>
      <c r="AT563" s="52"/>
      <c r="AU563" s="52"/>
      <c r="AV563" s="52"/>
      <c r="AW563" s="52"/>
      <c r="AX563" s="52"/>
      <c r="AY563" s="52"/>
      <c r="AZ563" s="52"/>
      <c r="BA563" s="52"/>
      <c r="BB563" s="52"/>
      <c r="BC563" s="52"/>
      <c r="BD563" s="47"/>
      <c r="BE563" s="47"/>
      <c r="BF563" s="47"/>
      <c r="BG563" s="47"/>
      <c r="BH563" s="47"/>
      <c r="BI563" s="47"/>
      <c r="BJ563" s="47"/>
      <c r="BK563" s="47"/>
      <c r="BL563" s="47"/>
      <c r="BM563" s="47"/>
      <c r="BN563" s="47"/>
      <c r="BO563" s="47"/>
      <c r="BP563" s="47"/>
      <c r="BQ563" s="47"/>
      <c r="BR563" s="47"/>
      <c r="BS563" s="47"/>
      <c r="BT563" s="47"/>
      <c r="BU563" s="112">
        <f>SUM(BU528:BU562)</f>
        <v>28100</v>
      </c>
      <c r="BV563" s="270">
        <v>28100</v>
      </c>
      <c r="BW563" s="270">
        <v>28100</v>
      </c>
      <c r="BX563" s="270">
        <v>28100</v>
      </c>
      <c r="BY563" s="270">
        <v>32100</v>
      </c>
      <c r="BZ563" s="270">
        <v>31600</v>
      </c>
      <c r="CA563" s="270">
        <v>31600</v>
      </c>
      <c r="CB563" s="270">
        <v>31600</v>
      </c>
      <c r="CC563" s="270">
        <v>31990</v>
      </c>
      <c r="CD563" s="270">
        <v>37600</v>
      </c>
      <c r="CE563" s="270">
        <v>37600</v>
      </c>
      <c r="CF563" s="270">
        <v>38100</v>
      </c>
      <c r="CG563" s="270">
        <v>39600</v>
      </c>
      <c r="CH563" s="270">
        <v>39600</v>
      </c>
      <c r="CI563" s="270">
        <v>41300</v>
      </c>
      <c r="CJ563" s="270">
        <v>41700</v>
      </c>
      <c r="CK563" s="270">
        <v>41700</v>
      </c>
      <c r="CL563" s="270">
        <v>41700</v>
      </c>
      <c r="CM563" s="270">
        <v>43600</v>
      </c>
      <c r="CN563" s="270">
        <v>44900</v>
      </c>
      <c r="CO563" s="270">
        <v>47100</v>
      </c>
      <c r="CP563" s="270">
        <v>48100</v>
      </c>
      <c r="CQ563" s="270">
        <v>49500</v>
      </c>
      <c r="CR563" s="270">
        <v>50200</v>
      </c>
      <c r="CS563" s="270">
        <v>49900</v>
      </c>
      <c r="CT563" s="270">
        <v>54000</v>
      </c>
      <c r="CU563" s="270">
        <v>92700</v>
      </c>
      <c r="CV563" s="270">
        <v>93400</v>
      </c>
      <c r="CW563" s="270">
        <v>95200</v>
      </c>
      <c r="CX563" s="270">
        <v>100300</v>
      </c>
      <c r="CY563" s="270">
        <v>100300</v>
      </c>
      <c r="CZ563" s="57"/>
      <c r="DA563" s="57"/>
      <c r="DB563" s="57"/>
      <c r="DC563" s="57"/>
    </row>
    <row r="564" spans="2:107" ht="12.75" customHeight="1">
      <c r="B564" s="107"/>
      <c r="C564" s="23"/>
      <c r="D564" s="15"/>
      <c r="E564" s="15"/>
      <c r="F564" s="15"/>
      <c r="G564" s="15"/>
      <c r="H564" s="15"/>
      <c r="I564" s="15"/>
      <c r="J564" s="15"/>
      <c r="K564" s="15"/>
      <c r="L564" s="23"/>
      <c r="M564" s="54"/>
      <c r="N564" s="46"/>
      <c r="O564" s="46"/>
      <c r="P564" s="68"/>
      <c r="Q564" s="68"/>
      <c r="R564" s="68"/>
      <c r="S564" s="68"/>
      <c r="T564" s="68"/>
      <c r="U564" s="68"/>
      <c r="V564" s="68"/>
      <c r="W564" s="68"/>
      <c r="X564" s="805"/>
      <c r="Y564" s="805"/>
      <c r="Z564" s="805"/>
      <c r="AA564" s="805"/>
      <c r="AB564" s="805"/>
      <c r="AC564" s="805"/>
      <c r="AD564" s="805"/>
      <c r="AE564" s="23"/>
      <c r="AF564" s="23"/>
      <c r="AG564" s="23"/>
      <c r="AH564" s="23"/>
      <c r="AI564" s="23"/>
      <c r="AJ564" s="23"/>
      <c r="AK564" s="23"/>
      <c r="AL564" s="23"/>
      <c r="AM564" s="23"/>
      <c r="AN564" s="23"/>
      <c r="AO564" s="23"/>
      <c r="AP564" s="23"/>
      <c r="AQ564" s="23"/>
      <c r="AR564" s="23"/>
      <c r="AS564" s="23"/>
      <c r="AT564" s="23"/>
      <c r="AU564" s="23"/>
      <c r="AV564" s="23"/>
      <c r="AW564" s="23"/>
      <c r="AX564" s="23"/>
      <c r="AY564" s="23"/>
      <c r="AZ564" s="23"/>
      <c r="BA564" s="23"/>
      <c r="BB564" s="23"/>
      <c r="BC564" s="23"/>
      <c r="BD564" s="36"/>
      <c r="BE564" s="36"/>
      <c r="BF564" s="36"/>
      <c r="BG564" s="36"/>
      <c r="BH564" s="46"/>
      <c r="BI564" s="46"/>
      <c r="BJ564" s="46"/>
      <c r="BK564" s="46"/>
      <c r="BL564" s="46"/>
      <c r="BM564" s="46"/>
      <c r="BN564" s="46"/>
      <c r="BO564" s="46"/>
      <c r="BP564" s="46"/>
      <c r="BQ564" s="46"/>
      <c r="BR564" s="46"/>
      <c r="BS564" s="46"/>
      <c r="BT564" s="46"/>
      <c r="BU564" s="46"/>
      <c r="BV564" s="14"/>
      <c r="BW564" s="14"/>
      <c r="BX564" s="14"/>
      <c r="BY564" s="14"/>
      <c r="BZ564" s="14"/>
      <c r="CA564" s="14"/>
      <c r="CB564" s="14"/>
      <c r="CC564" s="14"/>
      <c r="CD564" s="14"/>
      <c r="CE564" s="14"/>
      <c r="CF564" s="14"/>
      <c r="CG564" s="14"/>
      <c r="CH564" s="14"/>
      <c r="CI564" s="14"/>
      <c r="CJ564" s="14"/>
      <c r="CK564" s="14"/>
      <c r="CL564" s="14"/>
      <c r="CM564" s="14"/>
      <c r="CN564" s="14"/>
      <c r="CO564" s="14"/>
      <c r="CP564" s="14"/>
      <c r="CQ564" s="14"/>
      <c r="CR564" s="14"/>
      <c r="CS564" s="14"/>
      <c r="CT564" s="14"/>
      <c r="CU564" s="14"/>
      <c r="CV564" s="14"/>
      <c r="CW564" s="14"/>
      <c r="CX564" s="14"/>
      <c r="CY564" s="14"/>
      <c r="CZ564" s="14"/>
      <c r="DA564" s="14"/>
      <c r="DB564" s="14"/>
      <c r="DC564" s="14"/>
    </row>
    <row r="565" spans="2:107">
      <c r="B565" s="22" t="s">
        <v>633</v>
      </c>
      <c r="C565" s="23"/>
      <c r="D565" s="15"/>
      <c r="E565" s="15"/>
      <c r="F565" s="15"/>
      <c r="G565" s="15"/>
      <c r="H565" s="15"/>
      <c r="I565" s="15"/>
      <c r="J565" s="15"/>
      <c r="K565" s="15"/>
      <c r="L565" s="23"/>
      <c r="M565" s="14">
        <f>BO565</f>
        <v>0</v>
      </c>
      <c r="N565" s="46">
        <f>BS565</f>
        <v>23000</v>
      </c>
      <c r="O565" s="46">
        <f>BW565</f>
        <v>28100</v>
      </c>
      <c r="P565" s="46">
        <f>CA565</f>
        <v>31600</v>
      </c>
      <c r="Q565" s="46">
        <f>CE565</f>
        <v>37600</v>
      </c>
      <c r="R565" s="46">
        <f>CI565</f>
        <v>41300</v>
      </c>
      <c r="S565" s="46">
        <f>CM565</f>
        <v>43600</v>
      </c>
      <c r="T565" s="46">
        <f>CQ565</f>
        <v>49500</v>
      </c>
      <c r="U565" s="46">
        <f>CU565</f>
        <v>92700</v>
      </c>
      <c r="V565" s="46">
        <f>CY565</f>
        <v>100300</v>
      </c>
      <c r="W565" s="46">
        <f>DC565</f>
        <v>107865</v>
      </c>
      <c r="X565" s="46">
        <f>W565+X618</f>
        <v>116640</v>
      </c>
      <c r="Y565" s="46">
        <f>X565+Y618</f>
        <v>124140</v>
      </c>
      <c r="Z565" s="46">
        <f>Y565+Z618</f>
        <v>131640</v>
      </c>
      <c r="AA565" s="46">
        <f t="shared" ref="AA565:AD565" si="684">Z565+AA618</f>
        <v>139140</v>
      </c>
      <c r="AB565" s="46">
        <f t="shared" si="684"/>
        <v>146640</v>
      </c>
      <c r="AC565" s="46">
        <f t="shared" si="684"/>
        <v>154140</v>
      </c>
      <c r="AD565" s="46">
        <f t="shared" si="684"/>
        <v>161640</v>
      </c>
      <c r="AE565" s="23"/>
      <c r="AF565" s="23"/>
      <c r="AG565" s="23"/>
      <c r="AH565" s="23"/>
      <c r="AI565" s="23"/>
      <c r="AJ565" s="23"/>
      <c r="AK565" s="23"/>
      <c r="AL565" s="23"/>
      <c r="AM565" s="23"/>
      <c r="AN565" s="23"/>
      <c r="AO565" s="23"/>
      <c r="AP565" s="23"/>
      <c r="AQ565" s="23"/>
      <c r="AR565" s="23"/>
      <c r="AS565" s="23"/>
      <c r="AT565" s="23"/>
      <c r="AU565" s="23"/>
      <c r="AV565" s="23"/>
      <c r="AW565" s="23"/>
      <c r="AX565" s="23"/>
      <c r="AY565" s="23"/>
      <c r="AZ565" s="23"/>
      <c r="BA565" s="23"/>
      <c r="BB565" s="23"/>
      <c r="BC565" s="23"/>
      <c r="BD565" s="68"/>
      <c r="BE565" s="68"/>
      <c r="BF565" s="68"/>
      <c r="BG565" s="68"/>
      <c r="BH565" s="68"/>
      <c r="BI565" s="68"/>
      <c r="BJ565" s="68"/>
      <c r="BK565" s="68"/>
      <c r="BL565" s="68"/>
      <c r="BM565" s="68"/>
      <c r="BN565" s="68"/>
      <c r="BO565" s="68"/>
      <c r="BP565" s="119">
        <v>19900</v>
      </c>
      <c r="BQ565" s="118">
        <v>20100</v>
      </c>
      <c r="BR565" s="118">
        <v>20900</v>
      </c>
      <c r="BS565" s="118">
        <v>23000</v>
      </c>
      <c r="BT565" s="118">
        <v>25200</v>
      </c>
      <c r="BU565" s="118">
        <v>28100</v>
      </c>
      <c r="BV565" s="118">
        <v>28100</v>
      </c>
      <c r="BW565" s="118">
        <v>28100</v>
      </c>
      <c r="BX565" s="118">
        <v>28100</v>
      </c>
      <c r="BY565" s="118">
        <v>32100</v>
      </c>
      <c r="BZ565" s="118">
        <v>31600</v>
      </c>
      <c r="CA565" s="118">
        <v>31600</v>
      </c>
      <c r="CB565" s="118">
        <v>31600</v>
      </c>
      <c r="CC565" s="118">
        <v>31990</v>
      </c>
      <c r="CD565" s="118">
        <v>37600</v>
      </c>
      <c r="CE565" s="118">
        <v>37600</v>
      </c>
      <c r="CF565" s="118">
        <v>38100</v>
      </c>
      <c r="CG565" s="118">
        <v>39600</v>
      </c>
      <c r="CH565" s="118">
        <v>39600</v>
      </c>
      <c r="CI565" s="118">
        <v>41300</v>
      </c>
      <c r="CJ565" s="118">
        <v>41700</v>
      </c>
      <c r="CK565" s="118">
        <v>41700</v>
      </c>
      <c r="CL565" s="118">
        <v>41700</v>
      </c>
      <c r="CM565" s="118">
        <v>43600</v>
      </c>
      <c r="CN565" s="118">
        <v>44900</v>
      </c>
      <c r="CO565" s="118">
        <v>47100</v>
      </c>
      <c r="CP565" s="118">
        <v>48100</v>
      </c>
      <c r="CQ565" s="118">
        <v>49500</v>
      </c>
      <c r="CR565" s="118">
        <v>50200</v>
      </c>
      <c r="CS565" s="118">
        <v>49900</v>
      </c>
      <c r="CT565" s="118">
        <v>54000</v>
      </c>
      <c r="CU565" s="27">
        <f>+CU563</f>
        <v>92700</v>
      </c>
      <c r="CV565" s="27">
        <f>+CV563</f>
        <v>93400</v>
      </c>
      <c r="CW565" s="27">
        <f>+CW563</f>
        <v>95200</v>
      </c>
      <c r="CX565" s="27">
        <f>+CX563</f>
        <v>100300</v>
      </c>
      <c r="CY565" s="27">
        <f>+CY563</f>
        <v>100300</v>
      </c>
      <c r="CZ565" s="46">
        <f t="shared" ref="CZ565:DC565" si="685">CY565+CZ618</f>
        <v>102765</v>
      </c>
      <c r="DA565" s="46">
        <f t="shared" si="685"/>
        <v>103915</v>
      </c>
      <c r="DB565" s="46">
        <f t="shared" si="685"/>
        <v>105065</v>
      </c>
      <c r="DC565" s="46">
        <f t="shared" si="685"/>
        <v>107865</v>
      </c>
    </row>
    <row r="566" spans="2:107" ht="12.75" customHeight="1">
      <c r="B566" s="110" t="s">
        <v>1237</v>
      </c>
      <c r="C566" s="23"/>
      <c r="D566" s="15"/>
      <c r="E566" s="15"/>
      <c r="F566" s="15"/>
      <c r="G566" s="15"/>
      <c r="H566" s="15"/>
      <c r="I566" s="15"/>
      <c r="J566" s="15"/>
      <c r="K566" s="15"/>
      <c r="L566" s="23"/>
      <c r="M566" s="54"/>
      <c r="N566" s="46"/>
      <c r="O566" s="46"/>
      <c r="P566" s="68"/>
      <c r="Q566" s="68"/>
      <c r="R566" s="68"/>
      <c r="S566" s="68"/>
      <c r="T566" s="68"/>
      <c r="U566" s="68"/>
      <c r="V566" s="68"/>
      <c r="W566" s="68"/>
      <c r="X566" s="805"/>
      <c r="Y566" s="805"/>
      <c r="Z566" s="805"/>
      <c r="AA566" s="805"/>
      <c r="AB566" s="805"/>
      <c r="AC566" s="805"/>
      <c r="AD566" s="805"/>
      <c r="AE566" s="23"/>
      <c r="AF566" s="23"/>
      <c r="AG566" s="23"/>
      <c r="AH566" s="23"/>
      <c r="AI566" s="23"/>
      <c r="AJ566" s="23"/>
      <c r="AK566" s="23"/>
      <c r="AL566" s="23"/>
      <c r="AM566" s="23"/>
      <c r="AN566" s="23"/>
      <c r="AO566" s="23"/>
      <c r="AP566" s="23"/>
      <c r="AQ566" s="23"/>
      <c r="AR566" s="23"/>
      <c r="AS566" s="23"/>
      <c r="AT566" s="23"/>
      <c r="AU566" s="23"/>
      <c r="AV566" s="23"/>
      <c r="AW566" s="23"/>
      <c r="AX566" s="23"/>
      <c r="AY566" s="23"/>
      <c r="AZ566" s="23"/>
      <c r="BA566" s="23"/>
      <c r="BB566" s="23"/>
      <c r="BC566" s="23"/>
      <c r="BD566" s="36"/>
      <c r="BE566" s="36"/>
      <c r="BF566" s="36"/>
      <c r="BG566" s="36"/>
      <c r="BH566" s="46"/>
      <c r="BI566" s="46"/>
      <c r="BJ566" s="46"/>
      <c r="BK566" s="46"/>
      <c r="BL566" s="46"/>
      <c r="BM566" s="46"/>
      <c r="BN566" s="46"/>
      <c r="BO566" s="46"/>
      <c r="BP566" s="46"/>
      <c r="BQ566" s="46"/>
      <c r="BR566" s="46"/>
      <c r="BS566" s="46"/>
      <c r="BT566" s="46"/>
      <c r="BU566" s="113">
        <f t="shared" ref="BU566:CJ566" si="686">BU563-BU565</f>
        <v>0</v>
      </c>
      <c r="BV566" s="113">
        <f t="shared" si="686"/>
        <v>0</v>
      </c>
      <c r="BW566" s="113">
        <f t="shared" si="686"/>
        <v>0</v>
      </c>
      <c r="BX566" s="113">
        <f t="shared" si="686"/>
        <v>0</v>
      </c>
      <c r="BY566" s="113">
        <f t="shared" si="686"/>
        <v>0</v>
      </c>
      <c r="BZ566" s="113">
        <f t="shared" si="686"/>
        <v>0</v>
      </c>
      <c r="CA566" s="113">
        <f t="shared" si="686"/>
        <v>0</v>
      </c>
      <c r="CB566" s="113">
        <f t="shared" si="686"/>
        <v>0</v>
      </c>
      <c r="CC566" s="113">
        <f t="shared" si="686"/>
        <v>0</v>
      </c>
      <c r="CD566" s="113">
        <f t="shared" si="686"/>
        <v>0</v>
      </c>
      <c r="CE566" s="113">
        <f t="shared" si="686"/>
        <v>0</v>
      </c>
      <c r="CF566" s="113">
        <f t="shared" si="686"/>
        <v>0</v>
      </c>
      <c r="CG566" s="113">
        <f t="shared" si="686"/>
        <v>0</v>
      </c>
      <c r="CH566" s="113">
        <f t="shared" si="686"/>
        <v>0</v>
      </c>
      <c r="CI566" s="113">
        <f t="shared" si="686"/>
        <v>0</v>
      </c>
      <c r="CJ566" s="113">
        <f t="shared" si="686"/>
        <v>0</v>
      </c>
      <c r="CK566" s="113">
        <f t="shared" ref="CK566:CP566" si="687">CK563-CK565</f>
        <v>0</v>
      </c>
      <c r="CL566" s="113">
        <f t="shared" si="687"/>
        <v>0</v>
      </c>
      <c r="CM566" s="113">
        <f t="shared" si="687"/>
        <v>0</v>
      </c>
      <c r="CN566" s="113">
        <f t="shared" si="687"/>
        <v>0</v>
      </c>
      <c r="CO566" s="113">
        <f t="shared" si="687"/>
        <v>0</v>
      </c>
      <c r="CP566" s="113">
        <f t="shared" si="687"/>
        <v>0</v>
      </c>
      <c r="CQ566" s="113">
        <f t="shared" ref="CQ566:CV566" si="688">CQ563-CQ565</f>
        <v>0</v>
      </c>
      <c r="CR566" s="113">
        <f t="shared" si="688"/>
        <v>0</v>
      </c>
      <c r="CS566" s="113">
        <f t="shared" si="688"/>
        <v>0</v>
      </c>
      <c r="CT566" s="113">
        <f t="shared" si="688"/>
        <v>0</v>
      </c>
      <c r="CU566" s="113">
        <f t="shared" si="688"/>
        <v>0</v>
      </c>
      <c r="CV566" s="113">
        <f t="shared" si="688"/>
        <v>0</v>
      </c>
      <c r="CW566" s="113">
        <f t="shared" ref="CW566:CX566" si="689">CW563-CW565</f>
        <v>0</v>
      </c>
      <c r="CX566" s="113">
        <f t="shared" si="689"/>
        <v>0</v>
      </c>
      <c r="CY566" s="113">
        <f t="shared" ref="CY566" si="690">CY563-CY565</f>
        <v>0</v>
      </c>
      <c r="CZ566" s="14"/>
      <c r="DA566" s="14"/>
      <c r="DB566" s="14"/>
      <c r="DC566" s="14"/>
    </row>
    <row r="567" spans="2:107" ht="12.75" customHeight="1">
      <c r="B567" s="106"/>
      <c r="C567" s="23"/>
      <c r="D567" s="15"/>
      <c r="E567" s="15"/>
      <c r="F567" s="15"/>
      <c r="G567" s="15"/>
      <c r="H567" s="15"/>
      <c r="I567" s="15"/>
      <c r="J567" s="15"/>
      <c r="K567" s="15"/>
      <c r="L567" s="23"/>
      <c r="M567" s="23"/>
      <c r="N567" s="46"/>
      <c r="O567" s="805"/>
      <c r="P567" s="805"/>
      <c r="Q567" s="805"/>
      <c r="R567" s="805"/>
      <c r="S567" s="805"/>
      <c r="T567" s="805"/>
      <c r="U567" s="805"/>
      <c r="V567" s="805"/>
      <c r="W567" s="805"/>
      <c r="X567" s="805"/>
      <c r="Y567" s="805"/>
      <c r="Z567" s="805"/>
      <c r="AA567" s="805"/>
      <c r="AB567" s="805"/>
      <c r="AC567" s="805"/>
      <c r="AD567" s="805"/>
      <c r="AE567" s="20"/>
      <c r="AF567" s="23"/>
      <c r="AG567" s="23"/>
      <c r="AH567" s="23"/>
      <c r="AI567" s="23"/>
      <c r="AJ567" s="23"/>
      <c r="AK567" s="23"/>
      <c r="AL567" s="23"/>
      <c r="AM567" s="23"/>
      <c r="AN567" s="23"/>
      <c r="AO567" s="23"/>
      <c r="AP567" s="23"/>
      <c r="AQ567" s="23"/>
      <c r="AR567" s="23"/>
      <c r="AS567" s="23"/>
      <c r="AT567" s="23"/>
      <c r="AU567" s="23"/>
      <c r="AV567" s="23"/>
      <c r="AW567" s="23"/>
      <c r="AX567" s="23"/>
      <c r="AY567" s="23"/>
      <c r="AZ567" s="23"/>
      <c r="BA567" s="23"/>
      <c r="BB567" s="23"/>
      <c r="BC567" s="23"/>
      <c r="BD567" s="35"/>
      <c r="BE567" s="35"/>
      <c r="BF567" s="35"/>
      <c r="BG567" s="35"/>
      <c r="BH567" s="46"/>
      <c r="BI567" s="46"/>
      <c r="BJ567" s="46"/>
      <c r="BK567" s="46"/>
      <c r="BL567" s="46"/>
      <c r="BM567" s="46"/>
      <c r="BN567" s="46"/>
      <c r="BO567" s="46"/>
      <c r="BP567" s="46"/>
      <c r="BQ567" s="46"/>
      <c r="BR567" s="46"/>
      <c r="BS567" s="46"/>
      <c r="BT567" s="46"/>
      <c r="BU567" s="46"/>
      <c r="BV567" s="14"/>
      <c r="BW567" s="14"/>
      <c r="BX567" s="14"/>
      <c r="BY567" s="14"/>
      <c r="BZ567" s="14"/>
      <c r="CA567" s="14"/>
      <c r="CB567" s="14"/>
      <c r="CC567" s="14"/>
      <c r="CD567" s="14"/>
      <c r="CE567" s="14"/>
      <c r="CF567" s="14"/>
      <c r="CG567" s="14"/>
      <c r="CH567" s="14"/>
      <c r="CI567" s="14"/>
      <c r="CJ567" s="14"/>
      <c r="CK567" s="14"/>
      <c r="CL567" s="14"/>
      <c r="CM567" s="14"/>
      <c r="CN567" s="14"/>
      <c r="CO567" s="14"/>
      <c r="CP567" s="14"/>
      <c r="CQ567" s="14"/>
      <c r="CR567" s="14"/>
      <c r="CS567" s="14"/>
      <c r="CT567" s="14"/>
      <c r="CU567" s="14"/>
      <c r="CV567" s="14"/>
      <c r="CW567" s="14"/>
      <c r="CX567" s="14"/>
      <c r="CY567" s="14"/>
      <c r="CZ567" s="14"/>
      <c r="DA567" s="14"/>
      <c r="DB567" s="14"/>
      <c r="DC567" s="14"/>
    </row>
    <row r="568" spans="2:107">
      <c r="B568" s="114" t="s">
        <v>678</v>
      </c>
      <c r="C568" s="59"/>
      <c r="D568" s="60"/>
      <c r="E568" s="60"/>
      <c r="F568" s="60"/>
      <c r="G568" s="60"/>
      <c r="H568" s="60"/>
      <c r="I568" s="60"/>
      <c r="J568" s="60"/>
      <c r="K568" s="60"/>
      <c r="L568" s="59"/>
      <c r="M568" s="59"/>
      <c r="N568" s="59"/>
      <c r="O568" s="62"/>
      <c r="P568" s="63"/>
      <c r="Q568" s="63"/>
      <c r="R568" s="63"/>
      <c r="S568" s="63"/>
      <c r="T568" s="63"/>
      <c r="U568" s="63"/>
      <c r="V568" s="63"/>
      <c r="W568" s="63"/>
      <c r="X568" s="63"/>
      <c r="Y568" s="63"/>
      <c r="Z568" s="63"/>
      <c r="AA568" s="63"/>
      <c r="AB568" s="63"/>
      <c r="AC568" s="63"/>
      <c r="AD568" s="63"/>
      <c r="AE568" s="67"/>
      <c r="AF568" s="59"/>
      <c r="AG568" s="59"/>
      <c r="AH568" s="59"/>
      <c r="AI568" s="59"/>
      <c r="AJ568" s="59"/>
      <c r="AK568" s="59"/>
      <c r="AL568" s="59"/>
      <c r="AM568" s="59"/>
      <c r="AN568" s="59"/>
      <c r="AO568" s="59"/>
      <c r="AP568" s="59"/>
      <c r="AQ568" s="59"/>
      <c r="AR568" s="59"/>
      <c r="AS568" s="59"/>
      <c r="AT568" s="59"/>
      <c r="AU568" s="59"/>
      <c r="AV568" s="59"/>
      <c r="AW568" s="59"/>
      <c r="AX568" s="59"/>
      <c r="AY568" s="59"/>
      <c r="AZ568" s="59"/>
      <c r="BA568" s="59"/>
      <c r="BB568" s="59"/>
      <c r="BC568" s="59"/>
      <c r="BD568" s="64"/>
      <c r="BE568" s="64"/>
      <c r="BF568" s="64"/>
      <c r="BG568" s="64"/>
      <c r="BH568" s="64"/>
      <c r="BI568" s="64"/>
      <c r="BJ568" s="64"/>
      <c r="BK568" s="64"/>
      <c r="BL568" s="65"/>
      <c r="BM568" s="65"/>
      <c r="BN568" s="65"/>
      <c r="BO568" s="65"/>
      <c r="BP568" s="66"/>
      <c r="BQ568" s="62"/>
      <c r="BR568" s="62"/>
      <c r="BS568" s="62"/>
      <c r="BT568" s="62"/>
      <c r="BU568" s="62"/>
      <c r="BV568" s="66"/>
      <c r="BW568" s="66"/>
      <c r="BX568" s="66"/>
      <c r="BY568" s="66"/>
      <c r="BZ568" s="66"/>
      <c r="CA568" s="66"/>
      <c r="CB568" s="66"/>
      <c r="CC568" s="66"/>
      <c r="CD568" s="66"/>
      <c r="CE568" s="66"/>
      <c r="CF568" s="66"/>
      <c r="CG568" s="66"/>
      <c r="CH568" s="66"/>
      <c r="CI568" s="66"/>
      <c r="CJ568" s="66"/>
      <c r="CK568" s="66"/>
      <c r="CL568" s="66"/>
      <c r="CM568" s="66"/>
      <c r="CN568" s="66"/>
      <c r="CO568" s="66"/>
      <c r="CP568" s="66"/>
      <c r="CQ568" s="66"/>
      <c r="CR568" s="66"/>
      <c r="CS568" s="66"/>
      <c r="CT568" s="66"/>
      <c r="CU568" s="66"/>
      <c r="CV568" s="66"/>
      <c r="CW568" s="66"/>
      <c r="CX568" s="66"/>
      <c r="CY568" s="66"/>
      <c r="CZ568" s="66"/>
      <c r="DA568" s="66"/>
      <c r="DB568" s="66"/>
      <c r="DC568" s="66"/>
    </row>
    <row r="569" spans="2:107">
      <c r="B569" s="114"/>
      <c r="C569" s="59"/>
      <c r="D569" s="60"/>
      <c r="E569" s="60"/>
      <c r="F569" s="60"/>
      <c r="G569" s="60"/>
      <c r="H569" s="60"/>
      <c r="I569" s="60"/>
      <c r="J569" s="60"/>
      <c r="K569" s="60"/>
      <c r="L569" s="59"/>
      <c r="M569" s="59"/>
      <c r="N569" s="59"/>
      <c r="O569" s="62"/>
      <c r="P569" s="63"/>
      <c r="Q569" s="63"/>
      <c r="R569" s="63"/>
      <c r="S569" s="63"/>
      <c r="T569" s="63"/>
      <c r="U569" s="63"/>
      <c r="V569" s="63"/>
      <c r="W569" s="63"/>
      <c r="X569" s="63"/>
      <c r="Y569" s="63"/>
      <c r="Z569" s="63"/>
      <c r="AA569" s="63"/>
      <c r="AB569" s="63"/>
      <c r="AC569" s="63"/>
      <c r="AD569" s="63"/>
      <c r="AE569" s="67"/>
      <c r="AF569" s="59"/>
      <c r="AG569" s="59"/>
      <c r="AH569" s="59"/>
      <c r="AI569" s="59"/>
      <c r="AJ569" s="59"/>
      <c r="AK569" s="59"/>
      <c r="AL569" s="59"/>
      <c r="AM569" s="59"/>
      <c r="AN569" s="59"/>
      <c r="AO569" s="59"/>
      <c r="AP569" s="59"/>
      <c r="AQ569" s="59"/>
      <c r="AR569" s="59"/>
      <c r="AS569" s="59"/>
      <c r="AT569" s="59"/>
      <c r="AU569" s="59"/>
      <c r="AV569" s="59"/>
      <c r="AW569" s="59"/>
      <c r="AX569" s="59"/>
      <c r="AY569" s="59"/>
      <c r="AZ569" s="59"/>
      <c r="BA569" s="59"/>
      <c r="BB569" s="59"/>
      <c r="BC569" s="59"/>
      <c r="BD569" s="64"/>
      <c r="BE569" s="64"/>
      <c r="BF569" s="64"/>
      <c r="BG569" s="64"/>
      <c r="BH569" s="64"/>
      <c r="BI569" s="64"/>
      <c r="BJ569" s="64"/>
      <c r="BK569" s="64"/>
      <c r="BL569" s="65"/>
      <c r="BM569" s="65"/>
      <c r="BN569" s="65"/>
      <c r="BO569" s="65"/>
      <c r="BP569" s="66"/>
      <c r="BQ569" s="62"/>
      <c r="BR569" s="62"/>
      <c r="BS569" s="62"/>
      <c r="BT569" s="62"/>
      <c r="BU569" s="62"/>
      <c r="BV569" s="66"/>
      <c r="BW569" s="66"/>
      <c r="BX569" s="66"/>
      <c r="BY569" s="66"/>
      <c r="BZ569" s="66"/>
      <c r="CA569" s="66"/>
      <c r="CB569" s="66"/>
      <c r="CC569" s="66"/>
      <c r="CD569" s="66"/>
      <c r="CE569" s="66"/>
      <c r="CF569" s="66"/>
      <c r="CG569" s="66"/>
      <c r="CH569" s="66"/>
      <c r="CI569" s="66"/>
      <c r="CJ569" s="66"/>
      <c r="CK569" s="66"/>
      <c r="CL569" s="66"/>
      <c r="CM569" s="66"/>
      <c r="CN569" s="66"/>
      <c r="CO569" s="66"/>
      <c r="CP569" s="66"/>
      <c r="CQ569" s="66"/>
      <c r="CR569" s="66"/>
      <c r="CS569" s="66"/>
      <c r="CT569" s="66"/>
      <c r="CU569" s="66"/>
      <c r="CV569" s="66"/>
      <c r="CW569" s="66"/>
      <c r="CX569" s="66"/>
      <c r="CY569" s="66"/>
      <c r="CZ569" s="66"/>
      <c r="DA569" s="66"/>
      <c r="DB569" s="66"/>
      <c r="DC569" s="66"/>
    </row>
    <row r="570" spans="2:107">
      <c r="B570" s="1036" t="s">
        <v>2032</v>
      </c>
      <c r="C570" s="23"/>
      <c r="D570" s="15"/>
      <c r="E570" s="15"/>
      <c r="F570" s="15"/>
      <c r="G570" s="15"/>
      <c r="H570" s="15"/>
      <c r="I570" s="15"/>
      <c r="J570" s="15"/>
      <c r="K570" s="15"/>
      <c r="L570" s="23"/>
      <c r="M570" s="23"/>
      <c r="N570" s="27"/>
      <c r="O570" s="23"/>
      <c r="P570" s="16">
        <f>SUM(BX570:CA570)</f>
        <v>0</v>
      </c>
      <c r="Q570" s="16">
        <f>SUM(CB570:CE570)</f>
        <v>0</v>
      </c>
      <c r="R570" s="16">
        <f t="shared" ref="R570:R577" si="691">SUM(CF570:CI570)</f>
        <v>0</v>
      </c>
      <c r="S570" s="16">
        <f t="shared" ref="S570:S577" si="692">SUM(CJ570:CM570)</f>
        <v>0</v>
      </c>
      <c r="T570" s="16">
        <f t="shared" ref="T570:T617" si="693">SUM(CN570:CQ570)</f>
        <v>0</v>
      </c>
      <c r="U570" s="16">
        <f>SUM(CR570:CU570)</f>
        <v>725</v>
      </c>
      <c r="V570" s="16">
        <f>SUM(CV570:CY570)</f>
        <v>0</v>
      </c>
      <c r="W570" s="16">
        <f>SUM(CZ570:DC570)</f>
        <v>0</v>
      </c>
      <c r="X570" s="35"/>
      <c r="Y570" s="35"/>
      <c r="Z570" s="35"/>
      <c r="AA570" s="35"/>
      <c r="AB570" s="35"/>
      <c r="AC570" s="35"/>
      <c r="AD570" s="35"/>
      <c r="AE570" s="20"/>
      <c r="AF570" s="23"/>
      <c r="AG570" s="23"/>
      <c r="AH570" s="23"/>
      <c r="AI570" s="23"/>
      <c r="AJ570" s="23"/>
      <c r="AK570" s="23"/>
      <c r="AL570" s="23"/>
      <c r="AM570" s="23"/>
      <c r="AN570" s="23"/>
      <c r="AO570" s="23"/>
      <c r="AP570" s="23"/>
      <c r="AQ570" s="23"/>
      <c r="AR570" s="23"/>
      <c r="AS570" s="23"/>
      <c r="AT570" s="23"/>
      <c r="AU570" s="23"/>
      <c r="AV570" s="23"/>
      <c r="AW570" s="23"/>
      <c r="AX570" s="23"/>
      <c r="AY570" s="23"/>
      <c r="AZ570" s="23"/>
      <c r="BA570" s="23"/>
      <c r="BB570" s="23"/>
      <c r="BC570" s="23"/>
      <c r="BD570" s="35"/>
      <c r="BE570" s="35"/>
      <c r="BF570" s="35"/>
      <c r="BG570" s="35"/>
      <c r="BH570" s="35"/>
      <c r="BI570" s="35"/>
      <c r="BJ570" s="35"/>
      <c r="BK570" s="35"/>
      <c r="BL570" s="36"/>
      <c r="BM570" s="36"/>
      <c r="BN570" s="36"/>
      <c r="BO570" s="36"/>
      <c r="BP570" s="35"/>
      <c r="BQ570" s="23"/>
      <c r="BR570" s="23"/>
      <c r="BS570" s="23"/>
      <c r="BT570" s="117"/>
      <c r="BU570" s="117"/>
      <c r="BV570" s="23"/>
      <c r="BW570" s="35"/>
      <c r="BX570" s="35"/>
      <c r="BY570" s="117"/>
      <c r="BZ570" s="117"/>
      <c r="CA570" s="117"/>
      <c r="CB570" s="117"/>
      <c r="CC570" s="117"/>
      <c r="CD570" s="117"/>
      <c r="CE570" s="117"/>
      <c r="CF570" s="117"/>
      <c r="CG570" s="117"/>
      <c r="CH570" s="117"/>
      <c r="CI570" s="117"/>
      <c r="CJ570" s="117"/>
      <c r="CK570" s="117"/>
      <c r="CL570" s="117"/>
      <c r="CM570" s="117"/>
      <c r="CN570" s="117"/>
      <c r="CO570" s="117"/>
      <c r="CP570" s="117"/>
      <c r="CQ570" s="117"/>
      <c r="CR570" s="117"/>
      <c r="CS570" s="117"/>
      <c r="CT570" s="117">
        <v>725</v>
      </c>
      <c r="CU570" s="117"/>
      <c r="CV570" s="117"/>
      <c r="CW570" s="117"/>
      <c r="CX570" s="117"/>
      <c r="CY570" s="117"/>
      <c r="CZ570" s="117"/>
      <c r="DA570" s="117"/>
      <c r="DB570" s="117"/>
      <c r="DC570" s="117"/>
    </row>
    <row r="571" spans="2:107">
      <c r="B571" s="25" t="s">
        <v>56</v>
      </c>
      <c r="C571" s="23"/>
      <c r="D571" s="15"/>
      <c r="E571" s="15"/>
      <c r="F571" s="15"/>
      <c r="G571" s="15"/>
      <c r="H571" s="15"/>
      <c r="I571" s="15"/>
      <c r="J571" s="15"/>
      <c r="K571" s="15"/>
      <c r="L571" s="23"/>
      <c r="M571" s="23"/>
      <c r="N571" s="27"/>
      <c r="O571" s="23"/>
      <c r="P571" s="16">
        <f t="shared" ref="P571:P598" si="694">SUM(BX571:CA571)</f>
        <v>500</v>
      </c>
      <c r="Q571" s="16">
        <f t="shared" ref="Q571:Q598" si="695">SUM(CB571:CE571)</f>
        <v>0</v>
      </c>
      <c r="R571" s="16">
        <f t="shared" si="691"/>
        <v>0</v>
      </c>
      <c r="S571" s="16">
        <f t="shared" si="692"/>
        <v>0</v>
      </c>
      <c r="T571" s="16">
        <f t="shared" si="693"/>
        <v>0</v>
      </c>
      <c r="U571" s="16">
        <f t="shared" ref="U571:U617" si="696">SUM(CR571:CU571)</f>
        <v>0</v>
      </c>
      <c r="V571" s="16">
        <f t="shared" ref="V571:V617" si="697">SUM(CV571:CY571)</f>
        <v>0</v>
      </c>
      <c r="W571" s="16">
        <f t="shared" ref="W571:W617" si="698">SUM(CZ571:DC571)</f>
        <v>0</v>
      </c>
      <c r="X571" s="35"/>
      <c r="Y571" s="35"/>
      <c r="Z571" s="35"/>
      <c r="AA571" s="35"/>
      <c r="AB571" s="35"/>
      <c r="AC571" s="35"/>
      <c r="AD571" s="35"/>
      <c r="AE571" s="20"/>
      <c r="AF571" s="23"/>
      <c r="AG571" s="23"/>
      <c r="AH571" s="23"/>
      <c r="AI571" s="23"/>
      <c r="AJ571" s="23"/>
      <c r="AK571" s="23"/>
      <c r="AL571" s="23"/>
      <c r="AM571" s="23"/>
      <c r="AN571" s="23"/>
      <c r="AO571" s="23"/>
      <c r="AP571" s="23"/>
      <c r="AQ571" s="23"/>
      <c r="AR571" s="23"/>
      <c r="AS571" s="23"/>
      <c r="AT571" s="23"/>
      <c r="AU571" s="23"/>
      <c r="AV571" s="23"/>
      <c r="AW571" s="23"/>
      <c r="AX571" s="23"/>
      <c r="AY571" s="23"/>
      <c r="AZ571" s="23"/>
      <c r="BA571" s="23"/>
      <c r="BB571" s="23"/>
      <c r="BC571" s="23"/>
      <c r="BD571" s="35"/>
      <c r="BE571" s="35"/>
      <c r="BF571" s="35"/>
      <c r="BG571" s="35"/>
      <c r="BH571" s="35"/>
      <c r="BI571" s="35"/>
      <c r="BJ571" s="35"/>
      <c r="BK571" s="35"/>
      <c r="BL571" s="36"/>
      <c r="BM571" s="36"/>
      <c r="BN571" s="36"/>
      <c r="BO571" s="36"/>
      <c r="BP571" s="35"/>
      <c r="BQ571" s="23"/>
      <c r="BR571" s="23"/>
      <c r="BS571" s="23"/>
      <c r="BT571" s="117"/>
      <c r="BU571" s="117"/>
      <c r="BV571" s="23"/>
      <c r="BW571" s="35"/>
      <c r="BX571" s="35"/>
      <c r="BY571" s="117">
        <v>500</v>
      </c>
      <c r="BZ571" s="117"/>
      <c r="CA571" s="117"/>
      <c r="CB571" s="117"/>
      <c r="CC571" s="117"/>
      <c r="CD571" s="117"/>
      <c r="CE571" s="117"/>
      <c r="CF571" s="117"/>
      <c r="CG571" s="117"/>
      <c r="CH571" s="117"/>
      <c r="CI571" s="117"/>
      <c r="CJ571" s="117"/>
      <c r="CK571" s="117"/>
      <c r="CL571" s="117"/>
      <c r="CM571" s="117"/>
      <c r="CN571" s="35"/>
      <c r="CO571" s="35"/>
      <c r="CP571" s="35"/>
      <c r="CQ571" s="35"/>
      <c r="CR571" s="35"/>
      <c r="CS571" s="35"/>
      <c r="CT571" s="35"/>
      <c r="CU571" s="35"/>
      <c r="CV571" s="35"/>
      <c r="CW571" s="35"/>
      <c r="CX571" s="35"/>
      <c r="CY571" s="35"/>
      <c r="CZ571" s="35"/>
      <c r="DA571" s="35"/>
      <c r="DB571" s="35"/>
      <c r="DC571" s="35"/>
    </row>
    <row r="572" spans="2:107">
      <c r="B572" s="1036" t="s">
        <v>2689</v>
      </c>
      <c r="C572" s="23"/>
      <c r="D572" s="15"/>
      <c r="E572" s="15"/>
      <c r="F572" s="15"/>
      <c r="G572" s="15"/>
      <c r="H572" s="15"/>
      <c r="I572" s="15"/>
      <c r="J572" s="15"/>
      <c r="K572" s="15"/>
      <c r="L572" s="23"/>
      <c r="M572" s="23"/>
      <c r="N572" s="27"/>
      <c r="O572" s="23"/>
      <c r="P572" s="16">
        <f>SUM(BX572:CA572)</f>
        <v>0</v>
      </c>
      <c r="Q572" s="16">
        <f>SUM(CB572:CE572)</f>
        <v>0</v>
      </c>
      <c r="R572" s="16">
        <f t="shared" si="691"/>
        <v>0</v>
      </c>
      <c r="S572" s="16">
        <f t="shared" si="692"/>
        <v>0</v>
      </c>
      <c r="T572" s="16">
        <f>SUM(CN572:CQ572)</f>
        <v>0</v>
      </c>
      <c r="U572" s="16">
        <f>SUM(CR572:CU572)</f>
        <v>0</v>
      </c>
      <c r="V572" s="16">
        <f t="shared" ref="V572" si="699">SUM(CV572:CY572)</f>
        <v>0</v>
      </c>
      <c r="W572" s="16">
        <f t="shared" si="698"/>
        <v>400</v>
      </c>
      <c r="X572" s="35"/>
      <c r="Y572" s="35"/>
      <c r="Z572" s="35"/>
      <c r="AA572" s="35"/>
      <c r="AB572" s="35"/>
      <c r="AC572" s="35"/>
      <c r="AD572" s="35"/>
      <c r="AE572" s="20"/>
      <c r="AF572" s="23"/>
      <c r="AG572" s="23"/>
      <c r="AH572" s="23"/>
      <c r="AI572" s="23"/>
      <c r="AJ572" s="23"/>
      <c r="AK572" s="23"/>
      <c r="AL572" s="23"/>
      <c r="AM572" s="23"/>
      <c r="AN572" s="23"/>
      <c r="AO572" s="23"/>
      <c r="AP572" s="23"/>
      <c r="AQ572" s="23"/>
      <c r="AR572" s="23"/>
      <c r="AS572" s="23"/>
      <c r="AT572" s="23"/>
      <c r="AU572" s="23"/>
      <c r="AV572" s="23"/>
      <c r="AW572" s="23"/>
      <c r="AX572" s="23"/>
      <c r="AY572" s="23"/>
      <c r="AZ572" s="23"/>
      <c r="BA572" s="23"/>
      <c r="BB572" s="23"/>
      <c r="BC572" s="23"/>
      <c r="BD572" s="35"/>
      <c r="BE572" s="35"/>
      <c r="BF572" s="35"/>
      <c r="BG572" s="35"/>
      <c r="BH572" s="35"/>
      <c r="BI572" s="35"/>
      <c r="BJ572" s="35"/>
      <c r="BK572" s="35"/>
      <c r="BL572" s="36"/>
      <c r="BM572" s="36"/>
      <c r="BN572" s="36"/>
      <c r="BO572" s="36"/>
      <c r="BP572" s="35"/>
      <c r="BQ572" s="23"/>
      <c r="BR572" s="23"/>
      <c r="BS572" s="23"/>
      <c r="BT572" s="117"/>
      <c r="BU572" s="117"/>
      <c r="BV572" s="23"/>
      <c r="BW572" s="35"/>
      <c r="BX572" s="35"/>
      <c r="BY572" s="117"/>
      <c r="BZ572" s="117"/>
      <c r="CA572" s="117"/>
      <c r="CB572" s="117"/>
      <c r="CC572" s="117"/>
      <c r="CD572" s="117"/>
      <c r="CE572" s="117"/>
      <c r="CF572" s="117"/>
      <c r="CG572" s="117"/>
      <c r="CH572" s="117"/>
      <c r="CI572" s="117"/>
      <c r="CJ572" s="117"/>
      <c r="CK572" s="117"/>
      <c r="CL572" s="117"/>
      <c r="CM572" s="117"/>
      <c r="CN572" s="117"/>
      <c r="CO572" s="117"/>
      <c r="CP572" s="117"/>
      <c r="CQ572" s="117"/>
      <c r="CR572" s="117"/>
      <c r="CS572" s="117"/>
      <c r="CT572" s="117"/>
      <c r="CU572" s="117"/>
      <c r="CV572" s="117"/>
      <c r="CW572" s="117"/>
      <c r="CX572" s="117"/>
      <c r="CY572" s="117"/>
      <c r="CZ572" s="117"/>
      <c r="DA572" s="117">
        <v>400</v>
      </c>
      <c r="DB572" s="117"/>
      <c r="DC572" s="117"/>
    </row>
    <row r="573" spans="2:107">
      <c r="B573" s="25" t="s">
        <v>992</v>
      </c>
      <c r="C573" s="23"/>
      <c r="D573" s="15"/>
      <c r="E573" s="15"/>
      <c r="F573" s="15"/>
      <c r="G573" s="15"/>
      <c r="H573" s="15"/>
      <c r="I573" s="15"/>
      <c r="J573" s="15"/>
      <c r="K573" s="15"/>
      <c r="L573" s="23"/>
      <c r="M573" s="23"/>
      <c r="N573" s="27"/>
      <c r="O573" s="23"/>
      <c r="P573" s="16">
        <f t="shared" si="694"/>
        <v>0</v>
      </c>
      <c r="Q573" s="16">
        <f t="shared" si="695"/>
        <v>0</v>
      </c>
      <c r="R573" s="16">
        <f t="shared" si="691"/>
        <v>0</v>
      </c>
      <c r="S573" s="16">
        <f t="shared" si="692"/>
        <v>0</v>
      </c>
      <c r="T573" s="16">
        <f t="shared" si="693"/>
        <v>0</v>
      </c>
      <c r="U573" s="16">
        <f t="shared" si="696"/>
        <v>0</v>
      </c>
      <c r="V573" s="16">
        <f t="shared" si="697"/>
        <v>0</v>
      </c>
      <c r="W573" s="16">
        <f t="shared" si="698"/>
        <v>0</v>
      </c>
      <c r="X573" s="35"/>
      <c r="Y573" s="35"/>
      <c r="Z573" s="35"/>
      <c r="AA573" s="35"/>
      <c r="AB573" s="35"/>
      <c r="AC573" s="35"/>
      <c r="AD573" s="35"/>
      <c r="AE573" s="20"/>
      <c r="AF573" s="23"/>
      <c r="AG573" s="23"/>
      <c r="AH573" s="23"/>
      <c r="AI573" s="23"/>
      <c r="AJ573" s="23"/>
      <c r="AK573" s="23"/>
      <c r="AL573" s="23"/>
      <c r="AM573" s="23"/>
      <c r="AN573" s="23"/>
      <c r="AO573" s="23"/>
      <c r="AP573" s="23"/>
      <c r="AQ573" s="23"/>
      <c r="AR573" s="23"/>
      <c r="AS573" s="23"/>
      <c r="AT573" s="23"/>
      <c r="AU573" s="23"/>
      <c r="AV573" s="23"/>
      <c r="AW573" s="23"/>
      <c r="AX573" s="23"/>
      <c r="AY573" s="23"/>
      <c r="AZ573" s="23"/>
      <c r="BA573" s="23"/>
      <c r="BB573" s="23"/>
      <c r="BC573" s="23"/>
      <c r="BD573" s="35"/>
      <c r="BE573" s="35"/>
      <c r="BF573" s="35"/>
      <c r="BG573" s="35"/>
      <c r="BH573" s="35"/>
      <c r="BI573" s="35"/>
      <c r="BJ573" s="35"/>
      <c r="BK573" s="35"/>
      <c r="BL573" s="36"/>
      <c r="BM573" s="36"/>
      <c r="BN573" s="36"/>
      <c r="BO573" s="36"/>
      <c r="BP573" s="35"/>
      <c r="BQ573" s="23"/>
      <c r="BR573" s="23"/>
      <c r="BS573" s="23"/>
      <c r="BT573" s="117"/>
      <c r="BU573" s="117"/>
      <c r="BV573" s="23"/>
      <c r="BW573" s="35"/>
      <c r="BX573" s="35"/>
      <c r="BY573" s="117"/>
      <c r="BZ573" s="117"/>
      <c r="CA573" s="117"/>
      <c r="CB573" s="117"/>
      <c r="CC573" s="117"/>
      <c r="CD573" s="117"/>
      <c r="CE573" s="117"/>
      <c r="CF573" s="117"/>
      <c r="CG573" s="117"/>
      <c r="CH573" s="117"/>
      <c r="CI573" s="117"/>
      <c r="CJ573" s="117"/>
      <c r="CK573" s="117"/>
      <c r="CL573" s="117"/>
      <c r="CM573" s="117"/>
      <c r="CN573" s="117"/>
      <c r="CO573" s="117"/>
      <c r="CP573" s="117"/>
      <c r="CQ573" s="117"/>
      <c r="CR573" s="117"/>
      <c r="CS573" s="117"/>
      <c r="CT573" s="117"/>
      <c r="CU573" s="117"/>
      <c r="CV573" s="117"/>
      <c r="CW573" s="117"/>
      <c r="CX573" s="117"/>
      <c r="CY573" s="117"/>
      <c r="CZ573" s="117"/>
      <c r="DA573" s="117"/>
      <c r="DB573" s="117"/>
      <c r="DC573" s="117"/>
    </row>
    <row r="574" spans="2:107">
      <c r="B574" s="1036" t="s">
        <v>1854</v>
      </c>
      <c r="C574" s="23"/>
      <c r="D574" s="15"/>
      <c r="E574" s="15"/>
      <c r="F574" s="15"/>
      <c r="G574" s="15"/>
      <c r="H574" s="15"/>
      <c r="I574" s="15"/>
      <c r="J574" s="15"/>
      <c r="K574" s="15"/>
      <c r="L574" s="23"/>
      <c r="M574" s="23"/>
      <c r="N574" s="27"/>
      <c r="O574" s="23"/>
      <c r="P574" s="16">
        <f t="shared" si="694"/>
        <v>0</v>
      </c>
      <c r="Q574" s="16">
        <f t="shared" si="695"/>
        <v>0</v>
      </c>
      <c r="R574" s="16">
        <f t="shared" si="691"/>
        <v>0</v>
      </c>
      <c r="S574" s="16">
        <f t="shared" si="692"/>
        <v>1600</v>
      </c>
      <c r="T574" s="16">
        <f t="shared" si="693"/>
        <v>550</v>
      </c>
      <c r="U574" s="16">
        <f t="shared" si="696"/>
        <v>0</v>
      </c>
      <c r="V574" s="16">
        <f t="shared" si="697"/>
        <v>0</v>
      </c>
      <c r="W574" s="16">
        <f t="shared" si="698"/>
        <v>0</v>
      </c>
      <c r="X574" s="35"/>
      <c r="Y574" s="35"/>
      <c r="Z574" s="35"/>
      <c r="AA574" s="35"/>
      <c r="AB574" s="35"/>
      <c r="AC574" s="35"/>
      <c r="AD574" s="35"/>
      <c r="AE574" s="20"/>
      <c r="AF574" s="23"/>
      <c r="AG574" s="23"/>
      <c r="AH574" s="23"/>
      <c r="AI574" s="23"/>
      <c r="AJ574" s="23"/>
      <c r="AK574" s="23"/>
      <c r="AL574" s="23"/>
      <c r="AM574" s="23"/>
      <c r="AN574" s="23"/>
      <c r="AO574" s="23"/>
      <c r="AP574" s="23"/>
      <c r="AQ574" s="23"/>
      <c r="AR574" s="23"/>
      <c r="AS574" s="23"/>
      <c r="AT574" s="23"/>
      <c r="AU574" s="23"/>
      <c r="AV574" s="23"/>
      <c r="AW574" s="23"/>
      <c r="AX574" s="23"/>
      <c r="AY574" s="23"/>
      <c r="AZ574" s="23"/>
      <c r="BA574" s="23"/>
      <c r="BB574" s="23"/>
      <c r="BC574" s="23"/>
      <c r="BD574" s="35"/>
      <c r="BE574" s="35"/>
      <c r="BF574" s="35"/>
      <c r="BG574" s="35"/>
      <c r="BH574" s="35"/>
      <c r="BI574" s="35"/>
      <c r="BJ574" s="35"/>
      <c r="BK574" s="35"/>
      <c r="BL574" s="36"/>
      <c r="BM574" s="36"/>
      <c r="BN574" s="36"/>
      <c r="BO574" s="36"/>
      <c r="BP574" s="35"/>
      <c r="BQ574" s="23"/>
      <c r="BR574" s="23"/>
      <c r="BS574" s="23"/>
      <c r="BT574" s="117"/>
      <c r="BU574" s="117"/>
      <c r="BV574" s="23"/>
      <c r="BW574" s="35"/>
      <c r="BX574" s="35"/>
      <c r="BY574" s="117"/>
      <c r="BZ574" s="117"/>
      <c r="CA574" s="117"/>
      <c r="CB574" s="117"/>
      <c r="CC574" s="117"/>
      <c r="CD574" s="117"/>
      <c r="CE574" s="117"/>
      <c r="CF574" s="117"/>
      <c r="CG574" s="117"/>
      <c r="CH574" s="117"/>
      <c r="CI574" s="117"/>
      <c r="CJ574" s="117"/>
      <c r="CK574" s="117"/>
      <c r="CL574" s="117"/>
      <c r="CM574" s="117">
        <v>1600</v>
      </c>
      <c r="CN574" s="117"/>
      <c r="CO574" s="117">
        <v>550</v>
      </c>
      <c r="CP574" s="117"/>
      <c r="CQ574" s="117"/>
      <c r="CR574" s="117"/>
      <c r="CS574" s="117"/>
      <c r="CT574" s="117"/>
      <c r="CU574" s="117"/>
      <c r="CV574" s="117"/>
      <c r="CW574" s="117"/>
      <c r="CX574" s="117"/>
      <c r="CY574" s="117"/>
      <c r="CZ574" s="117"/>
      <c r="DA574" s="117"/>
      <c r="DB574" s="117"/>
      <c r="DC574" s="117"/>
    </row>
    <row r="575" spans="2:107">
      <c r="B575" s="1036" t="s">
        <v>1910</v>
      </c>
      <c r="C575" s="23"/>
      <c r="D575" s="15"/>
      <c r="E575" s="15"/>
      <c r="F575" s="15"/>
      <c r="G575" s="15"/>
      <c r="H575" s="15"/>
      <c r="I575" s="15"/>
      <c r="J575" s="15"/>
      <c r="K575" s="15"/>
      <c r="L575" s="23"/>
      <c r="M575" s="23"/>
      <c r="N575" s="27"/>
      <c r="O575" s="23"/>
      <c r="P575" s="16">
        <f t="shared" si="694"/>
        <v>0</v>
      </c>
      <c r="Q575" s="16">
        <f t="shared" si="695"/>
        <v>0</v>
      </c>
      <c r="R575" s="16">
        <f t="shared" si="691"/>
        <v>0</v>
      </c>
      <c r="S575" s="16">
        <f t="shared" si="692"/>
        <v>0</v>
      </c>
      <c r="T575" s="16">
        <f t="shared" si="693"/>
        <v>0</v>
      </c>
      <c r="U575" s="16">
        <f t="shared" si="696"/>
        <v>0</v>
      </c>
      <c r="V575" s="16">
        <f t="shared" si="697"/>
        <v>0</v>
      </c>
      <c r="W575" s="16">
        <f t="shared" si="698"/>
        <v>0</v>
      </c>
      <c r="X575" s="35"/>
      <c r="Y575" s="35"/>
      <c r="Z575" s="35"/>
      <c r="AA575" s="35"/>
      <c r="AB575" s="35"/>
      <c r="AC575" s="35"/>
      <c r="AD575" s="35"/>
      <c r="AE575" s="20"/>
      <c r="AF575" s="23"/>
      <c r="AG575" s="23"/>
      <c r="AH575" s="23"/>
      <c r="AI575" s="23"/>
      <c r="AJ575" s="23"/>
      <c r="AK575" s="23"/>
      <c r="AL575" s="23"/>
      <c r="AM575" s="23"/>
      <c r="AN575" s="23"/>
      <c r="AO575" s="23"/>
      <c r="AP575" s="23"/>
      <c r="AQ575" s="23"/>
      <c r="AR575" s="23"/>
      <c r="AS575" s="23"/>
      <c r="AT575" s="23"/>
      <c r="AU575" s="23"/>
      <c r="AV575" s="23"/>
      <c r="AW575" s="23"/>
      <c r="AX575" s="23"/>
      <c r="AY575" s="23"/>
      <c r="AZ575" s="23"/>
      <c r="BA575" s="23"/>
      <c r="BB575" s="23"/>
      <c r="BC575" s="23"/>
      <c r="BD575" s="35"/>
      <c r="BE575" s="35"/>
      <c r="BF575" s="35"/>
      <c r="BG575" s="35"/>
      <c r="BH575" s="35"/>
      <c r="BI575" s="35"/>
      <c r="BJ575" s="35"/>
      <c r="BK575" s="35"/>
      <c r="BL575" s="36"/>
      <c r="BM575" s="36"/>
      <c r="BN575" s="36"/>
      <c r="BO575" s="36"/>
      <c r="BP575" s="35"/>
      <c r="BQ575" s="23"/>
      <c r="BR575" s="23"/>
      <c r="BS575" s="23"/>
      <c r="BT575" s="117"/>
      <c r="BU575" s="117"/>
      <c r="BV575" s="23"/>
      <c r="BW575" s="35"/>
      <c r="BX575" s="35"/>
      <c r="BY575" s="117"/>
      <c r="BZ575" s="117"/>
      <c r="CA575" s="117"/>
      <c r="CB575" s="117"/>
      <c r="CC575" s="117"/>
      <c r="CD575" s="117"/>
      <c r="CE575" s="117"/>
      <c r="CF575" s="117"/>
      <c r="CG575" s="117"/>
      <c r="CH575" s="117"/>
      <c r="CI575" s="117"/>
      <c r="CJ575" s="117"/>
      <c r="CK575" s="117"/>
      <c r="CL575" s="117"/>
      <c r="CM575" s="117"/>
      <c r="CN575" s="117"/>
      <c r="CO575" s="117"/>
      <c r="CP575" s="117"/>
      <c r="CQ575" s="117"/>
      <c r="CR575" s="117"/>
      <c r="CS575" s="117"/>
      <c r="CT575" s="117"/>
      <c r="CU575" s="117"/>
      <c r="CV575" s="117"/>
      <c r="CW575" s="117"/>
      <c r="CX575" s="117"/>
      <c r="CY575" s="117"/>
      <c r="CZ575" s="117"/>
      <c r="DA575" s="117"/>
      <c r="DB575" s="117"/>
      <c r="DC575" s="117"/>
    </row>
    <row r="576" spans="2:107">
      <c r="B576" s="1036" t="s">
        <v>2497</v>
      </c>
      <c r="C576" s="23"/>
      <c r="D576" s="15"/>
      <c r="E576" s="15"/>
      <c r="F576" s="15"/>
      <c r="G576" s="15"/>
      <c r="H576" s="15"/>
      <c r="I576" s="15"/>
      <c r="J576" s="15"/>
      <c r="K576" s="15"/>
      <c r="L576" s="23"/>
      <c r="M576" s="23"/>
      <c r="N576" s="27"/>
      <c r="O576" s="23"/>
      <c r="P576" s="16">
        <f>SUM(BX576:CA576)</f>
        <v>0</v>
      </c>
      <c r="Q576" s="16">
        <f>SUM(CB576:CE576)</f>
        <v>0</v>
      </c>
      <c r="R576" s="16">
        <f t="shared" si="691"/>
        <v>0</v>
      </c>
      <c r="S576" s="16">
        <f t="shared" si="692"/>
        <v>0</v>
      </c>
      <c r="T576" s="16">
        <f>SUM(CN576:CQ576)</f>
        <v>0</v>
      </c>
      <c r="U576" s="16">
        <f>SUM(CR576:CU576)</f>
        <v>0</v>
      </c>
      <c r="V576" s="16">
        <f t="shared" si="697"/>
        <v>1555</v>
      </c>
      <c r="W576" s="16">
        <f t="shared" si="698"/>
        <v>0</v>
      </c>
      <c r="X576" s="35"/>
      <c r="Y576" s="35"/>
      <c r="Z576" s="35"/>
      <c r="AA576" s="35"/>
      <c r="AB576" s="35"/>
      <c r="AC576" s="35"/>
      <c r="AD576" s="35"/>
      <c r="AE576" s="20"/>
      <c r="AF576" s="23"/>
      <c r="AG576" s="23"/>
      <c r="AH576" s="23"/>
      <c r="AI576" s="23"/>
      <c r="AJ576" s="23"/>
      <c r="AK576" s="23"/>
      <c r="AL576" s="23"/>
      <c r="AM576" s="23"/>
      <c r="AN576" s="23"/>
      <c r="AO576" s="23"/>
      <c r="AP576" s="23"/>
      <c r="AQ576" s="23"/>
      <c r="AR576" s="23"/>
      <c r="AS576" s="23"/>
      <c r="AT576" s="23"/>
      <c r="AU576" s="23"/>
      <c r="AV576" s="23"/>
      <c r="AW576" s="23"/>
      <c r="AX576" s="23"/>
      <c r="AY576" s="23"/>
      <c r="AZ576" s="23"/>
      <c r="BA576" s="23"/>
      <c r="BB576" s="23"/>
      <c r="BC576" s="23"/>
      <c r="BD576" s="35"/>
      <c r="BE576" s="35"/>
      <c r="BF576" s="35"/>
      <c r="BG576" s="35"/>
      <c r="BH576" s="35"/>
      <c r="BI576" s="35"/>
      <c r="BJ576" s="35"/>
      <c r="BK576" s="35"/>
      <c r="BL576" s="36"/>
      <c r="BM576" s="36"/>
      <c r="BN576" s="36"/>
      <c r="BO576" s="36"/>
      <c r="BP576" s="35"/>
      <c r="BQ576" s="23"/>
      <c r="BR576" s="23"/>
      <c r="BS576" s="23"/>
      <c r="BT576" s="117"/>
      <c r="BU576" s="117"/>
      <c r="BV576" s="23"/>
      <c r="BW576" s="35"/>
      <c r="BX576" s="35"/>
      <c r="BY576" s="117"/>
      <c r="BZ576" s="117"/>
      <c r="CA576" s="117"/>
      <c r="CB576" s="117"/>
      <c r="CC576" s="117"/>
      <c r="CD576" s="117"/>
      <c r="CE576" s="117"/>
      <c r="CF576" s="117"/>
      <c r="CG576" s="117"/>
      <c r="CH576" s="117"/>
      <c r="CI576" s="117"/>
      <c r="CJ576" s="117"/>
      <c r="CK576" s="117"/>
      <c r="CL576" s="117"/>
      <c r="CM576" s="117"/>
      <c r="CN576" s="117"/>
      <c r="CO576" s="117"/>
      <c r="CP576" s="117"/>
      <c r="CQ576" s="117"/>
      <c r="CR576" s="117"/>
      <c r="CS576" s="117"/>
      <c r="CT576" s="117"/>
      <c r="CU576" s="117"/>
      <c r="CV576" s="117"/>
      <c r="CW576" s="117"/>
      <c r="CX576" s="117">
        <v>1555</v>
      </c>
      <c r="CY576" s="117"/>
      <c r="CZ576" s="117"/>
      <c r="DA576" s="117"/>
      <c r="DB576" s="117"/>
      <c r="DC576" s="117"/>
    </row>
    <row r="577" spans="2:107">
      <c r="B577" s="1036" t="s">
        <v>2624</v>
      </c>
      <c r="C577" s="23"/>
      <c r="D577" s="15"/>
      <c r="E577" s="15"/>
      <c r="F577" s="15"/>
      <c r="G577" s="15"/>
      <c r="H577" s="15"/>
      <c r="I577" s="15"/>
      <c r="J577" s="15"/>
      <c r="K577" s="15"/>
      <c r="L577" s="23"/>
      <c r="M577" s="23"/>
      <c r="N577" s="27"/>
      <c r="O577" s="23"/>
      <c r="P577" s="16">
        <f>SUM(BX577:CA577)</f>
        <v>0</v>
      </c>
      <c r="Q577" s="16">
        <f>SUM(CB577:CE577)</f>
        <v>0</v>
      </c>
      <c r="R577" s="16">
        <f t="shared" si="691"/>
        <v>0</v>
      </c>
      <c r="S577" s="16">
        <f t="shared" si="692"/>
        <v>0</v>
      </c>
      <c r="T577" s="16">
        <f>SUM(CN577:CQ577)</f>
        <v>0</v>
      </c>
      <c r="U577" s="16">
        <f>SUM(CR577:CU577)</f>
        <v>0</v>
      </c>
      <c r="V577" s="16">
        <f>SUM(CV577:CY577)</f>
        <v>1405</v>
      </c>
      <c r="W577" s="16">
        <f t="shared" si="698"/>
        <v>0</v>
      </c>
      <c r="X577" s="35"/>
      <c r="Y577" s="35"/>
      <c r="Z577" s="35"/>
      <c r="AA577" s="35"/>
      <c r="AB577" s="35"/>
      <c r="AC577" s="35"/>
      <c r="AD577" s="35"/>
      <c r="AE577" s="20"/>
      <c r="AF577" s="23"/>
      <c r="AG577" s="23"/>
      <c r="AH577" s="23"/>
      <c r="AI577" s="23"/>
      <c r="AJ577" s="23"/>
      <c r="AK577" s="23"/>
      <c r="AL577" s="23"/>
      <c r="AM577" s="23"/>
      <c r="AN577" s="23"/>
      <c r="AO577" s="23"/>
      <c r="AP577" s="23"/>
      <c r="AQ577" s="23"/>
      <c r="AR577" s="23"/>
      <c r="AS577" s="23"/>
      <c r="AT577" s="23"/>
      <c r="AU577" s="23"/>
      <c r="AV577" s="23"/>
      <c r="AW577" s="23"/>
      <c r="AX577" s="23"/>
      <c r="AY577" s="23"/>
      <c r="AZ577" s="23"/>
      <c r="BA577" s="23"/>
      <c r="BB577" s="23"/>
      <c r="BC577" s="23"/>
      <c r="BD577" s="35"/>
      <c r="BE577" s="35"/>
      <c r="BF577" s="35"/>
      <c r="BG577" s="35"/>
      <c r="BH577" s="35"/>
      <c r="BI577" s="35"/>
      <c r="BJ577" s="35"/>
      <c r="BK577" s="35"/>
      <c r="BL577" s="36"/>
      <c r="BM577" s="36"/>
      <c r="BN577" s="36"/>
      <c r="BO577" s="36"/>
      <c r="BP577" s="35"/>
      <c r="BQ577" s="23"/>
      <c r="BR577" s="23"/>
      <c r="BS577" s="23"/>
      <c r="BT577" s="117"/>
      <c r="BU577" s="117"/>
      <c r="BV577" s="23"/>
      <c r="BW577" s="35"/>
      <c r="BX577" s="35"/>
      <c r="BY577" s="117"/>
      <c r="BZ577" s="117"/>
      <c r="CA577" s="117"/>
      <c r="CB577" s="117"/>
      <c r="CC577" s="117"/>
      <c r="CD577" s="117"/>
      <c r="CE577" s="117"/>
      <c r="CF577" s="117"/>
      <c r="CG577" s="117"/>
      <c r="CH577" s="117"/>
      <c r="CI577" s="117"/>
      <c r="CJ577" s="117"/>
      <c r="CK577" s="117"/>
      <c r="CL577" s="117"/>
      <c r="CM577" s="117"/>
      <c r="CN577" s="117"/>
      <c r="CO577" s="117"/>
      <c r="CP577" s="117"/>
      <c r="CQ577" s="117"/>
      <c r="CR577" s="117"/>
      <c r="CS577" s="117"/>
      <c r="CT577" s="117"/>
      <c r="CU577" s="117"/>
      <c r="CV577" s="117"/>
      <c r="CW577" s="117"/>
      <c r="CX577" s="117">
        <v>1405</v>
      </c>
      <c r="CY577" s="117"/>
      <c r="CZ577" s="117"/>
      <c r="DA577" s="117"/>
      <c r="DB577" s="117"/>
      <c r="DC577" s="117"/>
    </row>
    <row r="578" spans="2:107">
      <c r="B578" s="1036" t="s">
        <v>2720</v>
      </c>
      <c r="C578" s="23"/>
      <c r="D578" s="15"/>
      <c r="E578" s="15"/>
      <c r="F578" s="15"/>
      <c r="G578" s="15"/>
      <c r="H578" s="15"/>
      <c r="I578" s="15"/>
      <c r="J578" s="15"/>
      <c r="K578" s="15"/>
      <c r="L578" s="23"/>
      <c r="M578" s="23"/>
      <c r="N578" s="27"/>
      <c r="O578" s="23"/>
      <c r="P578" s="16">
        <f>SUM(BX578:CA578)</f>
        <v>0</v>
      </c>
      <c r="Q578" s="16">
        <f>SUM(CB578:CE578)</f>
        <v>0</v>
      </c>
      <c r="R578" s="16">
        <f t="shared" ref="R578" si="700">SUM(CF578:CI578)</f>
        <v>0</v>
      </c>
      <c r="S578" s="16">
        <f t="shared" ref="S578" si="701">SUM(CJ578:CM578)</f>
        <v>0</v>
      </c>
      <c r="T578" s="16">
        <f>SUM(CN578:CQ578)</f>
        <v>0</v>
      </c>
      <c r="U578" s="16">
        <f>SUM(CR578:CU578)</f>
        <v>0</v>
      </c>
      <c r="V578" s="16">
        <f>SUM(CV578:CY578)</f>
        <v>0</v>
      </c>
      <c r="W578" s="16">
        <f t="shared" si="698"/>
        <v>0</v>
      </c>
      <c r="X578" s="117">
        <v>925</v>
      </c>
      <c r="Y578" s="35"/>
      <c r="Z578" s="35"/>
      <c r="AA578" s="35"/>
      <c r="AB578" s="35"/>
      <c r="AC578" s="35"/>
      <c r="AD578" s="35"/>
      <c r="AE578" s="20"/>
      <c r="AF578" s="23"/>
      <c r="AG578" s="23"/>
      <c r="AH578" s="23"/>
      <c r="AI578" s="23"/>
      <c r="AJ578" s="23"/>
      <c r="AK578" s="23"/>
      <c r="AL578" s="23"/>
      <c r="AM578" s="23"/>
      <c r="AN578" s="23"/>
      <c r="AO578" s="23"/>
      <c r="AP578" s="23"/>
      <c r="AQ578" s="23"/>
      <c r="AR578" s="23"/>
      <c r="AS578" s="23"/>
      <c r="AT578" s="23"/>
      <c r="AU578" s="23"/>
      <c r="AV578" s="23"/>
      <c r="AW578" s="23"/>
      <c r="AX578" s="23"/>
      <c r="AY578" s="23"/>
      <c r="AZ578" s="23"/>
      <c r="BA578" s="23"/>
      <c r="BB578" s="23"/>
      <c r="BC578" s="23"/>
      <c r="BD578" s="35"/>
      <c r="BE578" s="35"/>
      <c r="BF578" s="35"/>
      <c r="BG578" s="35"/>
      <c r="BH578" s="35"/>
      <c r="BI578" s="35"/>
      <c r="BJ578" s="35"/>
      <c r="BK578" s="35"/>
      <c r="BL578" s="36"/>
      <c r="BM578" s="36"/>
      <c r="BN578" s="36"/>
      <c r="BO578" s="36"/>
      <c r="BP578" s="35"/>
      <c r="BQ578" s="23"/>
      <c r="BR578" s="23"/>
      <c r="BS578" s="23"/>
      <c r="BT578" s="117"/>
      <c r="BU578" s="117"/>
      <c r="BV578" s="23"/>
      <c r="BW578" s="35"/>
      <c r="BX578" s="35"/>
      <c r="BY578" s="117"/>
      <c r="BZ578" s="117"/>
      <c r="CA578" s="117"/>
      <c r="CB578" s="117"/>
      <c r="CC578" s="117"/>
      <c r="CD578" s="117"/>
      <c r="CE578" s="117"/>
      <c r="CF578" s="117"/>
      <c r="CG578" s="117"/>
      <c r="CH578" s="117"/>
      <c r="CI578" s="117"/>
      <c r="CJ578" s="117"/>
      <c r="CK578" s="117"/>
      <c r="CL578" s="117"/>
      <c r="CM578" s="117"/>
      <c r="CN578" s="117"/>
      <c r="CO578" s="117"/>
      <c r="CP578" s="117"/>
      <c r="CQ578" s="117"/>
      <c r="CR578" s="117"/>
      <c r="CS578" s="117"/>
      <c r="CT578" s="117"/>
      <c r="CU578" s="117"/>
      <c r="CV578" s="117"/>
      <c r="CW578" s="117"/>
      <c r="CX578" s="117"/>
      <c r="CY578" s="117"/>
      <c r="CZ578" s="117"/>
      <c r="DA578" s="117"/>
      <c r="DB578" s="117"/>
      <c r="DC578" s="117"/>
    </row>
    <row r="579" spans="2:107">
      <c r="B579" s="1036" t="s">
        <v>2587</v>
      </c>
      <c r="C579" s="23"/>
      <c r="D579" s="15"/>
      <c r="E579" s="15"/>
      <c r="F579" s="15"/>
      <c r="G579" s="15"/>
      <c r="H579" s="15"/>
      <c r="I579" s="15"/>
      <c r="J579" s="15"/>
      <c r="K579" s="15"/>
      <c r="L579" s="23"/>
      <c r="M579" s="23"/>
      <c r="N579" s="27"/>
      <c r="O579" s="23"/>
      <c r="P579" s="16"/>
      <c r="Q579" s="16"/>
      <c r="R579" s="16"/>
      <c r="S579" s="16"/>
      <c r="T579" s="16"/>
      <c r="U579" s="16">
        <f>SUM(CR579:CU579)</f>
        <v>0</v>
      </c>
      <c r="V579" s="16">
        <f t="shared" si="697"/>
        <v>500</v>
      </c>
      <c r="W579" s="16">
        <f t="shared" si="698"/>
        <v>0</v>
      </c>
      <c r="X579" s="35"/>
      <c r="Y579" s="35"/>
      <c r="Z579" s="35"/>
      <c r="AA579" s="35"/>
      <c r="AB579" s="35"/>
      <c r="AC579" s="35"/>
      <c r="AD579" s="35"/>
      <c r="AE579" s="20"/>
      <c r="AF579" s="23"/>
      <c r="AG579" s="23"/>
      <c r="AH579" s="23"/>
      <c r="AI579" s="23"/>
      <c r="AJ579" s="23"/>
      <c r="AK579" s="23"/>
      <c r="AL579" s="23"/>
      <c r="AM579" s="23"/>
      <c r="AN579" s="23"/>
      <c r="AO579" s="23"/>
      <c r="AP579" s="23"/>
      <c r="AQ579" s="23"/>
      <c r="AR579" s="23"/>
      <c r="AS579" s="23"/>
      <c r="AT579" s="23"/>
      <c r="AU579" s="23"/>
      <c r="AV579" s="23"/>
      <c r="AW579" s="23"/>
      <c r="AX579" s="23"/>
      <c r="AY579" s="23"/>
      <c r="AZ579" s="23"/>
      <c r="BA579" s="23"/>
      <c r="BB579" s="23"/>
      <c r="BC579" s="23"/>
      <c r="BD579" s="35"/>
      <c r="BE579" s="35"/>
      <c r="BF579" s="35"/>
      <c r="BG579" s="35"/>
      <c r="BH579" s="35"/>
      <c r="BI579" s="35"/>
      <c r="BJ579" s="35"/>
      <c r="BK579" s="35"/>
      <c r="BL579" s="36"/>
      <c r="BM579" s="36"/>
      <c r="BN579" s="36"/>
      <c r="BO579" s="36"/>
      <c r="BP579" s="35"/>
      <c r="BQ579" s="23"/>
      <c r="BR579" s="23"/>
      <c r="BS579" s="23"/>
      <c r="BT579" s="117"/>
      <c r="BU579" s="117"/>
      <c r="BV579" s="23"/>
      <c r="BW579" s="35"/>
      <c r="BX579" s="35"/>
      <c r="BY579" s="117"/>
      <c r="BZ579" s="117"/>
      <c r="CA579" s="117"/>
      <c r="CB579" s="117"/>
      <c r="CC579" s="117"/>
      <c r="CD579" s="117"/>
      <c r="CE579" s="117"/>
      <c r="CF579" s="117"/>
      <c r="CG579" s="117"/>
      <c r="CH579" s="117"/>
      <c r="CI579" s="117"/>
      <c r="CJ579" s="117"/>
      <c r="CK579" s="117"/>
      <c r="CL579" s="117"/>
      <c r="CM579" s="117"/>
      <c r="CN579" s="35"/>
      <c r="CO579" s="35"/>
      <c r="CP579" s="35"/>
      <c r="CQ579" s="35"/>
      <c r="CR579" s="35"/>
      <c r="CS579" s="2312"/>
      <c r="CT579" s="2312"/>
      <c r="CU579" s="2312"/>
      <c r="CV579" s="117"/>
      <c r="CW579" s="117">
        <v>500</v>
      </c>
      <c r="CX579" s="2312"/>
      <c r="CY579" s="2312"/>
      <c r="CZ579" s="2312"/>
      <c r="DA579" s="2312"/>
      <c r="DB579" s="2312"/>
      <c r="DC579" s="2312"/>
    </row>
    <row r="580" spans="2:107">
      <c r="B580" s="1036" t="s">
        <v>2560</v>
      </c>
      <c r="C580" s="23"/>
      <c r="D580" s="15"/>
      <c r="E580" s="15"/>
      <c r="F580" s="15"/>
      <c r="G580" s="15"/>
      <c r="H580" s="15"/>
      <c r="I580" s="15"/>
      <c r="J580" s="15"/>
      <c r="K580" s="15"/>
      <c r="L580" s="23"/>
      <c r="M580" s="23"/>
      <c r="N580" s="27"/>
      <c r="O580" s="23"/>
      <c r="P580" s="16"/>
      <c r="Q580" s="16"/>
      <c r="R580" s="16"/>
      <c r="S580" s="16"/>
      <c r="T580" s="16"/>
      <c r="U580" s="16">
        <f t="shared" si="696"/>
        <v>525</v>
      </c>
      <c r="V580" s="16">
        <f t="shared" si="697"/>
        <v>0</v>
      </c>
      <c r="W580" s="16">
        <f t="shared" si="698"/>
        <v>0</v>
      </c>
      <c r="X580" s="35"/>
      <c r="Y580" s="35"/>
      <c r="Z580" s="35"/>
      <c r="AA580" s="35"/>
      <c r="AB580" s="35"/>
      <c r="AC580" s="35"/>
      <c r="AD580" s="35"/>
      <c r="AE580" s="20"/>
      <c r="AF580" s="23"/>
      <c r="AG580" s="23"/>
      <c r="AH580" s="23"/>
      <c r="AI580" s="23"/>
      <c r="AJ580" s="23"/>
      <c r="AK580" s="23"/>
      <c r="AL580" s="23"/>
      <c r="AM580" s="23"/>
      <c r="AN580" s="23"/>
      <c r="AO580" s="23"/>
      <c r="AP580" s="23"/>
      <c r="AQ580" s="23"/>
      <c r="AR580" s="23"/>
      <c r="AS580" s="23"/>
      <c r="AT580" s="23"/>
      <c r="AU580" s="23"/>
      <c r="AV580" s="23"/>
      <c r="AW580" s="23"/>
      <c r="AX580" s="23"/>
      <c r="AY580" s="23"/>
      <c r="AZ580" s="23"/>
      <c r="BA580" s="23"/>
      <c r="BB580" s="23"/>
      <c r="BC580" s="23"/>
      <c r="BD580" s="35"/>
      <c r="BE580" s="35"/>
      <c r="BF580" s="35"/>
      <c r="BG580" s="35"/>
      <c r="BH580" s="35"/>
      <c r="BI580" s="35"/>
      <c r="BJ580" s="35"/>
      <c r="BK580" s="35"/>
      <c r="BL580" s="36"/>
      <c r="BM580" s="36"/>
      <c r="BN580" s="36"/>
      <c r="BO580" s="36"/>
      <c r="BP580" s="35"/>
      <c r="BQ580" s="23"/>
      <c r="BR580" s="23"/>
      <c r="BS580" s="23"/>
      <c r="BT580" s="117"/>
      <c r="BU580" s="117"/>
      <c r="BV580" s="23"/>
      <c r="BW580" s="35"/>
      <c r="BX580" s="35"/>
      <c r="BY580" s="117"/>
      <c r="BZ580" s="117"/>
      <c r="CA580" s="117"/>
      <c r="CB580" s="117"/>
      <c r="CC580" s="117"/>
      <c r="CD580" s="117"/>
      <c r="CE580" s="117"/>
      <c r="CF580" s="117"/>
      <c r="CG580" s="117"/>
      <c r="CH580" s="117"/>
      <c r="CI580" s="117"/>
      <c r="CJ580" s="117"/>
      <c r="CK580" s="117"/>
      <c r="CL580" s="117"/>
      <c r="CM580" s="117"/>
      <c r="CN580" s="35"/>
      <c r="CO580" s="35"/>
      <c r="CP580" s="35"/>
      <c r="CQ580" s="35"/>
      <c r="CR580" s="35"/>
      <c r="CS580" s="2312"/>
      <c r="CT580" s="2312">
        <v>525</v>
      </c>
      <c r="CU580" s="2312"/>
      <c r="CV580" s="2312"/>
      <c r="CW580" s="2312"/>
      <c r="CX580" s="2312"/>
      <c r="CY580" s="2312"/>
      <c r="CZ580" s="2312"/>
      <c r="DA580" s="2312"/>
      <c r="DB580" s="2312"/>
      <c r="DC580" s="2312"/>
    </row>
    <row r="581" spans="2:107">
      <c r="B581" s="25" t="s">
        <v>679</v>
      </c>
      <c r="C581" s="23"/>
      <c r="D581" s="15"/>
      <c r="E581" s="15"/>
      <c r="F581" s="15"/>
      <c r="G581" s="15"/>
      <c r="H581" s="15"/>
      <c r="I581" s="15"/>
      <c r="J581" s="15"/>
      <c r="K581" s="15"/>
      <c r="L581" s="23"/>
      <c r="M581" s="23"/>
      <c r="N581" s="23"/>
      <c r="O581" s="23">
        <f>SUM(BT581:BW581)</f>
        <v>560</v>
      </c>
      <c r="P581" s="16">
        <f t="shared" si="694"/>
        <v>0</v>
      </c>
      <c r="Q581" s="16">
        <f t="shared" si="695"/>
        <v>0</v>
      </c>
      <c r="R581" s="16">
        <f t="shared" ref="R581:R611" si="702">SUM(CF581:CI581)</f>
        <v>0</v>
      </c>
      <c r="S581" s="16">
        <f t="shared" ref="S581:S611" si="703">SUM(CJ581:CM581)</f>
        <v>0</v>
      </c>
      <c r="T581" s="16">
        <f t="shared" si="693"/>
        <v>0</v>
      </c>
      <c r="U581" s="16">
        <f t="shared" si="696"/>
        <v>0</v>
      </c>
      <c r="V581" s="16">
        <f t="shared" si="697"/>
        <v>0</v>
      </c>
      <c r="W581" s="16">
        <f t="shared" si="698"/>
        <v>0</v>
      </c>
      <c r="X581" s="35"/>
      <c r="Y581" s="35"/>
      <c r="Z581" s="35"/>
      <c r="AA581" s="35"/>
      <c r="AB581" s="35"/>
      <c r="AC581" s="35"/>
      <c r="AD581" s="35"/>
      <c r="AE581" s="20"/>
      <c r="AF581" s="23"/>
      <c r="AG581" s="23"/>
      <c r="AH581" s="23"/>
      <c r="AI581" s="23"/>
      <c r="AJ581" s="23"/>
      <c r="AK581" s="23"/>
      <c r="AL581" s="23"/>
      <c r="AM581" s="23"/>
      <c r="AN581" s="23"/>
      <c r="AO581" s="23"/>
      <c r="AP581" s="23"/>
      <c r="AQ581" s="23"/>
      <c r="AR581" s="23"/>
      <c r="AS581" s="23"/>
      <c r="AT581" s="23"/>
      <c r="AU581" s="23"/>
      <c r="AV581" s="23"/>
      <c r="AW581" s="23"/>
      <c r="AX581" s="23"/>
      <c r="AY581" s="23"/>
      <c r="AZ581" s="23"/>
      <c r="BA581" s="23"/>
      <c r="BB581" s="23"/>
      <c r="BC581" s="23"/>
      <c r="BD581" s="35"/>
      <c r="BE581" s="35"/>
      <c r="BF581" s="35"/>
      <c r="BG581" s="35"/>
      <c r="BH581" s="35"/>
      <c r="BI581" s="35"/>
      <c r="BJ581" s="35"/>
      <c r="BK581" s="35"/>
      <c r="BL581" s="36"/>
      <c r="BM581" s="36"/>
      <c r="BN581" s="36"/>
      <c r="BO581" s="36"/>
      <c r="BP581" s="35"/>
      <c r="BQ581" s="23"/>
      <c r="BR581" s="35"/>
      <c r="BS581" s="23"/>
      <c r="BT581" s="117">
        <v>560</v>
      </c>
      <c r="BU581" s="117"/>
      <c r="BV581" s="23"/>
      <c r="BW581" s="23"/>
      <c r="BX581" s="23"/>
      <c r="BY581" s="23"/>
      <c r="BZ581" s="23"/>
      <c r="CA581" s="23"/>
      <c r="CB581" s="23"/>
      <c r="CC581" s="23"/>
      <c r="CD581" s="23"/>
      <c r="CE581" s="23"/>
      <c r="CF581" s="23"/>
      <c r="CG581" s="23"/>
      <c r="CH581" s="23"/>
      <c r="CI581" s="23"/>
      <c r="CJ581" s="23"/>
      <c r="CK581" s="23"/>
      <c r="CL581" s="23"/>
      <c r="CM581" s="23"/>
      <c r="CN581" s="23"/>
      <c r="CO581" s="23"/>
      <c r="CP581" s="23"/>
      <c r="CQ581" s="23"/>
      <c r="CR581" s="23"/>
      <c r="CS581" s="23"/>
      <c r="CT581" s="23"/>
      <c r="CU581" s="23"/>
      <c r="CV581" s="23"/>
      <c r="CW581" s="23"/>
      <c r="CX581" s="23"/>
      <c r="CY581" s="23"/>
      <c r="CZ581" s="23"/>
      <c r="DA581" s="23"/>
      <c r="DB581" s="23"/>
      <c r="DC581" s="23"/>
    </row>
    <row r="582" spans="2:107">
      <c r="B582" s="25" t="s">
        <v>1675</v>
      </c>
      <c r="C582" s="23"/>
      <c r="D582" s="15"/>
      <c r="E582" s="15"/>
      <c r="F582" s="15"/>
      <c r="G582" s="15"/>
      <c r="H582" s="15"/>
      <c r="I582" s="15"/>
      <c r="J582" s="15"/>
      <c r="K582" s="15"/>
      <c r="L582" s="23"/>
      <c r="M582" s="23"/>
      <c r="N582" s="27"/>
      <c r="O582" s="23"/>
      <c r="P582" s="16">
        <f t="shared" si="694"/>
        <v>0</v>
      </c>
      <c r="Q582" s="16">
        <f t="shared" si="695"/>
        <v>0</v>
      </c>
      <c r="R582" s="16">
        <f t="shared" si="702"/>
        <v>280</v>
      </c>
      <c r="S582" s="16">
        <f t="shared" si="703"/>
        <v>0</v>
      </c>
      <c r="T582" s="16">
        <f t="shared" si="693"/>
        <v>0</v>
      </c>
      <c r="U582" s="16">
        <f t="shared" si="696"/>
        <v>0</v>
      </c>
      <c r="V582" s="16">
        <f t="shared" si="697"/>
        <v>0</v>
      </c>
      <c r="W582" s="16">
        <f t="shared" si="698"/>
        <v>0</v>
      </c>
      <c r="X582" s="35"/>
      <c r="Y582" s="35"/>
      <c r="Z582" s="35"/>
      <c r="AA582" s="35"/>
      <c r="AB582" s="35"/>
      <c r="AC582" s="35"/>
      <c r="AD582" s="35"/>
      <c r="AE582" s="20"/>
      <c r="AF582" s="23"/>
      <c r="AG582" s="23"/>
      <c r="AH582" s="23"/>
      <c r="AI582" s="23"/>
      <c r="AJ582" s="23"/>
      <c r="AK582" s="23"/>
      <c r="AL582" s="23"/>
      <c r="AM582" s="23"/>
      <c r="AN582" s="23"/>
      <c r="AO582" s="23"/>
      <c r="AP582" s="23"/>
      <c r="AQ582" s="23"/>
      <c r="AR582" s="23"/>
      <c r="AS582" s="23"/>
      <c r="AT582" s="23"/>
      <c r="AU582" s="23"/>
      <c r="AV582" s="23"/>
      <c r="AW582" s="23"/>
      <c r="AX582" s="23"/>
      <c r="AY582" s="23"/>
      <c r="AZ582" s="23"/>
      <c r="BA582" s="23"/>
      <c r="BB582" s="23"/>
      <c r="BC582" s="23"/>
      <c r="BD582" s="35"/>
      <c r="BE582" s="35"/>
      <c r="BF582" s="35"/>
      <c r="BG582" s="35"/>
      <c r="BH582" s="35"/>
      <c r="BI582" s="35"/>
      <c r="BJ582" s="35"/>
      <c r="BK582" s="35"/>
      <c r="BL582" s="36"/>
      <c r="BM582" s="36"/>
      <c r="BN582" s="36"/>
      <c r="BO582" s="36"/>
      <c r="BP582" s="35"/>
      <c r="BQ582" s="23"/>
      <c r="BR582" s="23"/>
      <c r="BS582" s="23"/>
      <c r="BT582" s="117"/>
      <c r="BU582" s="117"/>
      <c r="BV582" s="23"/>
      <c r="BW582" s="35"/>
      <c r="BX582" s="35"/>
      <c r="BY582" s="117"/>
      <c r="BZ582" s="117"/>
      <c r="CA582" s="117"/>
      <c r="CB582" s="117"/>
      <c r="CC582" s="117"/>
      <c r="CD582" s="117"/>
      <c r="CE582" s="117"/>
      <c r="CF582" s="117">
        <v>280</v>
      </c>
      <c r="CG582" s="117"/>
      <c r="CH582" s="117"/>
      <c r="CI582" s="117"/>
      <c r="CJ582" s="117"/>
      <c r="CK582" s="117"/>
      <c r="CL582" s="117"/>
      <c r="CM582" s="117"/>
      <c r="CN582" s="117"/>
      <c r="CO582" s="117"/>
      <c r="CP582" s="117"/>
      <c r="CQ582" s="117"/>
      <c r="CR582" s="117"/>
      <c r="CS582" s="117"/>
      <c r="CT582" s="117"/>
      <c r="CU582" s="117"/>
      <c r="CV582" s="117"/>
      <c r="CW582" s="117"/>
      <c r="CX582" s="117"/>
      <c r="CY582" s="117"/>
      <c r="CZ582" s="117"/>
      <c r="DA582" s="117"/>
      <c r="DB582" s="117"/>
      <c r="DC582" s="117"/>
    </row>
    <row r="583" spans="2:107">
      <c r="B583" s="1036" t="s">
        <v>2623</v>
      </c>
      <c r="C583" s="23"/>
      <c r="D583" s="15"/>
      <c r="E583" s="15"/>
      <c r="F583" s="15"/>
      <c r="G583" s="15"/>
      <c r="H583" s="15"/>
      <c r="I583" s="15"/>
      <c r="J583" s="15"/>
      <c r="K583" s="15"/>
      <c r="L583" s="23"/>
      <c r="M583" s="23"/>
      <c r="N583" s="27"/>
      <c r="O583" s="23"/>
      <c r="P583" s="16">
        <f>SUM(BX583:CA583)</f>
        <v>0</v>
      </c>
      <c r="Q583" s="16">
        <f>SUM(CB583:CE583)</f>
        <v>0</v>
      </c>
      <c r="R583" s="16">
        <f t="shared" si="702"/>
        <v>0</v>
      </c>
      <c r="S583" s="16">
        <f t="shared" si="703"/>
        <v>0</v>
      </c>
      <c r="T583" s="16">
        <f>SUM(CN583:CQ583)</f>
        <v>0</v>
      </c>
      <c r="U583" s="16">
        <f>SUM(CR583:CU583)</f>
        <v>0</v>
      </c>
      <c r="V583" s="16">
        <f>SUM(CV583:CY583)</f>
        <v>440</v>
      </c>
      <c r="W583" s="16">
        <f t="shared" si="698"/>
        <v>0</v>
      </c>
      <c r="X583" s="35"/>
      <c r="Y583" s="35"/>
      <c r="Z583" s="35"/>
      <c r="AA583" s="35"/>
      <c r="AB583" s="35"/>
      <c r="AC583" s="35"/>
      <c r="AD583" s="35"/>
      <c r="AE583" s="20"/>
      <c r="AF583" s="23"/>
      <c r="AG583" s="23"/>
      <c r="AH583" s="23"/>
      <c r="AI583" s="23"/>
      <c r="AJ583" s="23"/>
      <c r="AK583" s="23"/>
      <c r="AL583" s="23"/>
      <c r="AM583" s="23"/>
      <c r="AN583" s="23"/>
      <c r="AO583" s="23"/>
      <c r="AP583" s="23"/>
      <c r="AQ583" s="23"/>
      <c r="AR583" s="23"/>
      <c r="AS583" s="23"/>
      <c r="AT583" s="23"/>
      <c r="AU583" s="23"/>
      <c r="AV583" s="23"/>
      <c r="AW583" s="23"/>
      <c r="AX583" s="23"/>
      <c r="AY583" s="23"/>
      <c r="AZ583" s="23"/>
      <c r="BA583" s="23"/>
      <c r="BB583" s="23"/>
      <c r="BC583" s="23"/>
      <c r="BD583" s="35"/>
      <c r="BE583" s="35"/>
      <c r="BF583" s="35"/>
      <c r="BG583" s="35"/>
      <c r="BH583" s="35"/>
      <c r="BI583" s="35"/>
      <c r="BJ583" s="35"/>
      <c r="BK583" s="35"/>
      <c r="BL583" s="36"/>
      <c r="BM583" s="36"/>
      <c r="BN583" s="36"/>
      <c r="BO583" s="36"/>
      <c r="BP583" s="35"/>
      <c r="BQ583" s="23"/>
      <c r="BR583" s="23"/>
      <c r="BS583" s="23"/>
      <c r="BT583" s="117"/>
      <c r="BU583" s="117"/>
      <c r="BV583" s="23"/>
      <c r="BW583" s="35"/>
      <c r="BX583" s="35"/>
      <c r="BY583" s="117"/>
      <c r="BZ583" s="117"/>
      <c r="CA583" s="117"/>
      <c r="CB583" s="117"/>
      <c r="CC583" s="117"/>
      <c r="CD583" s="117"/>
      <c r="CE583" s="117"/>
      <c r="CF583" s="117"/>
      <c r="CG583" s="117"/>
      <c r="CH583" s="117"/>
      <c r="CI583" s="117"/>
      <c r="CJ583" s="117"/>
      <c r="CK583" s="117"/>
      <c r="CL583" s="117"/>
      <c r="CM583" s="117"/>
      <c r="CN583" s="117"/>
      <c r="CO583" s="117"/>
      <c r="CP583" s="117"/>
      <c r="CQ583" s="117"/>
      <c r="CR583" s="117"/>
      <c r="CS583" s="117"/>
      <c r="CT583" s="117"/>
      <c r="CU583" s="117"/>
      <c r="CV583" s="117"/>
      <c r="CW583" s="117"/>
      <c r="CX583" s="117">
        <v>440</v>
      </c>
      <c r="CY583" s="117"/>
      <c r="CZ583" s="117"/>
      <c r="DA583" s="117"/>
      <c r="DB583" s="117"/>
      <c r="DC583" s="117"/>
    </row>
    <row r="584" spans="2:107">
      <c r="B584" s="1036" t="s">
        <v>2687</v>
      </c>
      <c r="C584" s="23"/>
      <c r="D584" s="15"/>
      <c r="E584" s="15"/>
      <c r="F584" s="15"/>
      <c r="G584" s="15"/>
      <c r="H584" s="15"/>
      <c r="I584" s="15"/>
      <c r="J584" s="15"/>
      <c r="K584" s="15"/>
      <c r="L584" s="23"/>
      <c r="M584" s="23"/>
      <c r="N584" s="27"/>
      <c r="O584" s="23"/>
      <c r="P584" s="16">
        <f>SUM(BX584:CA584)</f>
        <v>0</v>
      </c>
      <c r="Q584" s="16">
        <f>SUM(CB584:CE584)</f>
        <v>0</v>
      </c>
      <c r="R584" s="16">
        <f t="shared" ref="R584" si="704">SUM(CF584:CI584)</f>
        <v>0</v>
      </c>
      <c r="S584" s="16">
        <f t="shared" ref="S584" si="705">SUM(CJ584:CM584)</f>
        <v>0</v>
      </c>
      <c r="T584" s="16">
        <f>SUM(CN584:CQ584)</f>
        <v>0</v>
      </c>
      <c r="U584" s="16">
        <f>SUM(CR584:CU584)</f>
        <v>0</v>
      </c>
      <c r="V584" s="16">
        <f>SUM(CV584:CY584)</f>
        <v>630</v>
      </c>
      <c r="W584" s="16">
        <f t="shared" si="698"/>
        <v>0</v>
      </c>
      <c r="X584" s="35"/>
      <c r="Y584" s="35"/>
      <c r="Z584" s="35"/>
      <c r="AA584" s="35"/>
      <c r="AB584" s="35"/>
      <c r="AC584" s="35"/>
      <c r="AD584" s="35"/>
      <c r="AE584" s="20"/>
      <c r="AF584" s="23"/>
      <c r="AG584" s="23"/>
      <c r="AH584" s="23"/>
      <c r="AI584" s="23"/>
      <c r="AJ584" s="23"/>
      <c r="AK584" s="23"/>
      <c r="AL584" s="23"/>
      <c r="AM584" s="23"/>
      <c r="AN584" s="23"/>
      <c r="AO584" s="23"/>
      <c r="AP584" s="23"/>
      <c r="AQ584" s="23"/>
      <c r="AR584" s="23"/>
      <c r="AS584" s="23"/>
      <c r="AT584" s="23"/>
      <c r="AU584" s="23"/>
      <c r="AV584" s="23"/>
      <c r="AW584" s="23"/>
      <c r="AX584" s="23"/>
      <c r="AY584" s="23"/>
      <c r="AZ584" s="23"/>
      <c r="BA584" s="23"/>
      <c r="BB584" s="23"/>
      <c r="BC584" s="23"/>
      <c r="BD584" s="35"/>
      <c r="BE584" s="35"/>
      <c r="BF584" s="35"/>
      <c r="BG584" s="35"/>
      <c r="BH584" s="35"/>
      <c r="BI584" s="35"/>
      <c r="BJ584" s="35"/>
      <c r="BK584" s="35"/>
      <c r="BL584" s="36"/>
      <c r="BM584" s="36"/>
      <c r="BN584" s="36"/>
      <c r="BO584" s="36"/>
      <c r="BP584" s="35"/>
      <c r="BQ584" s="23"/>
      <c r="BR584" s="23"/>
      <c r="BS584" s="23"/>
      <c r="BT584" s="117"/>
      <c r="BU584" s="117"/>
      <c r="BV584" s="23"/>
      <c r="BW584" s="35"/>
      <c r="BX584" s="35"/>
      <c r="BY584" s="117"/>
      <c r="BZ584" s="117"/>
      <c r="CA584" s="117"/>
      <c r="CB584" s="117"/>
      <c r="CC584" s="117"/>
      <c r="CD584" s="117"/>
      <c r="CE584" s="117"/>
      <c r="CF584" s="117"/>
      <c r="CG584" s="117"/>
      <c r="CH584" s="117"/>
      <c r="CI584" s="117"/>
      <c r="CJ584" s="117"/>
      <c r="CK584" s="117"/>
      <c r="CL584" s="117"/>
      <c r="CM584" s="117"/>
      <c r="CN584" s="117"/>
      <c r="CO584" s="117"/>
      <c r="CP584" s="117"/>
      <c r="CQ584" s="117"/>
      <c r="CR584" s="117"/>
      <c r="CS584" s="117"/>
      <c r="CT584" s="117"/>
      <c r="CU584" s="117"/>
      <c r="CV584" s="117"/>
      <c r="CW584" s="117"/>
      <c r="CX584" s="117"/>
      <c r="CY584" s="117">
        <v>630</v>
      </c>
      <c r="CZ584" s="117"/>
      <c r="DA584" s="117"/>
      <c r="DB584" s="117"/>
      <c r="DC584" s="117"/>
    </row>
    <row r="585" spans="2:107">
      <c r="B585" s="25" t="s">
        <v>224</v>
      </c>
      <c r="C585" s="23"/>
      <c r="D585" s="15"/>
      <c r="E585" s="15"/>
      <c r="F585" s="15"/>
      <c r="G585" s="15"/>
      <c r="H585" s="15"/>
      <c r="I585" s="15"/>
      <c r="J585" s="15"/>
      <c r="K585" s="15"/>
      <c r="L585" s="23"/>
      <c r="M585" s="23"/>
      <c r="N585" s="27"/>
      <c r="O585" s="23">
        <f>SUM(BT585:BW585)</f>
        <v>660</v>
      </c>
      <c r="P585" s="16">
        <f t="shared" si="694"/>
        <v>0</v>
      </c>
      <c r="Q585" s="16">
        <f t="shared" si="695"/>
        <v>1850</v>
      </c>
      <c r="R585" s="16">
        <f t="shared" si="702"/>
        <v>0</v>
      </c>
      <c r="S585" s="16">
        <f t="shared" si="703"/>
        <v>0</v>
      </c>
      <c r="T585" s="16">
        <f t="shared" si="693"/>
        <v>0</v>
      </c>
      <c r="U585" s="16">
        <f t="shared" si="696"/>
        <v>0</v>
      </c>
      <c r="V585" s="16">
        <f t="shared" si="697"/>
        <v>0</v>
      </c>
      <c r="W585" s="16">
        <f t="shared" si="698"/>
        <v>0</v>
      </c>
      <c r="X585" s="35"/>
      <c r="Y585" s="35"/>
      <c r="Z585" s="35"/>
      <c r="AA585" s="35"/>
      <c r="AB585" s="35"/>
      <c r="AC585" s="35"/>
      <c r="AD585" s="35"/>
      <c r="AE585" s="20"/>
      <c r="AF585" s="23"/>
      <c r="AG585" s="23"/>
      <c r="AH585" s="23"/>
      <c r="AI585" s="23"/>
      <c r="AJ585" s="23"/>
      <c r="AK585" s="23"/>
      <c r="AL585" s="23"/>
      <c r="AM585" s="23"/>
      <c r="AN585" s="23"/>
      <c r="AO585" s="23"/>
      <c r="AP585" s="23"/>
      <c r="AQ585" s="23"/>
      <c r="AR585" s="23"/>
      <c r="AS585" s="23"/>
      <c r="AT585" s="23"/>
      <c r="AU585" s="23"/>
      <c r="AV585" s="23"/>
      <c r="AW585" s="23"/>
      <c r="AX585" s="23"/>
      <c r="AY585" s="23"/>
      <c r="AZ585" s="23"/>
      <c r="BA585" s="23"/>
      <c r="BB585" s="23"/>
      <c r="BC585" s="23"/>
      <c r="BD585" s="35"/>
      <c r="BE585" s="35"/>
      <c r="BF585" s="35"/>
      <c r="BG585" s="35"/>
      <c r="BH585" s="35"/>
      <c r="BI585" s="35"/>
      <c r="BJ585" s="35"/>
      <c r="BK585" s="35"/>
      <c r="BL585" s="36"/>
      <c r="BM585" s="36"/>
      <c r="BN585" s="36"/>
      <c r="BO585" s="36"/>
      <c r="BP585" s="35"/>
      <c r="BQ585" s="23"/>
      <c r="BR585" s="35"/>
      <c r="BS585" s="35"/>
      <c r="BT585" s="117"/>
      <c r="BU585" s="117">
        <v>660</v>
      </c>
      <c r="BV585" s="117"/>
      <c r="BW585" s="35"/>
      <c r="BX585" s="35"/>
      <c r="BY585" s="35"/>
      <c r="BZ585" s="35"/>
      <c r="CA585" s="35"/>
      <c r="CB585" s="35"/>
      <c r="CC585" s="117">
        <v>1850</v>
      </c>
      <c r="CD585" s="117"/>
      <c r="CE585" s="117"/>
      <c r="CF585" s="117"/>
      <c r="CG585" s="117"/>
      <c r="CH585" s="117"/>
      <c r="CI585" s="117"/>
      <c r="CJ585" s="117"/>
      <c r="CK585" s="117"/>
      <c r="CL585" s="117"/>
      <c r="CM585" s="117"/>
      <c r="CN585" s="35"/>
      <c r="CO585" s="35"/>
      <c r="CP585" s="35"/>
      <c r="CQ585" s="35"/>
      <c r="CR585" s="35"/>
      <c r="CS585" s="35"/>
      <c r="CT585" s="35"/>
      <c r="CU585" s="35"/>
      <c r="CV585" s="35"/>
      <c r="CW585" s="35"/>
      <c r="CX585" s="35"/>
      <c r="CY585" s="35"/>
      <c r="CZ585" s="35"/>
      <c r="DA585" s="35"/>
      <c r="DB585" s="35"/>
      <c r="DC585" s="35"/>
    </row>
    <row r="586" spans="2:107">
      <c r="B586" s="1036" t="s">
        <v>1909</v>
      </c>
      <c r="C586" s="23"/>
      <c r="D586" s="15"/>
      <c r="E586" s="15"/>
      <c r="F586" s="15"/>
      <c r="G586" s="15"/>
      <c r="H586" s="15"/>
      <c r="I586" s="15"/>
      <c r="J586" s="15"/>
      <c r="K586" s="15"/>
      <c r="L586" s="23"/>
      <c r="M586" s="23"/>
      <c r="N586" s="27"/>
      <c r="O586" s="23"/>
      <c r="P586" s="16">
        <f t="shared" si="694"/>
        <v>0</v>
      </c>
      <c r="Q586" s="16">
        <f t="shared" si="695"/>
        <v>0</v>
      </c>
      <c r="R586" s="16">
        <f t="shared" si="702"/>
        <v>0</v>
      </c>
      <c r="S586" s="16">
        <f t="shared" si="703"/>
        <v>0</v>
      </c>
      <c r="T586" s="16">
        <f t="shared" si="693"/>
        <v>725</v>
      </c>
      <c r="U586" s="16">
        <f t="shared" si="696"/>
        <v>0</v>
      </c>
      <c r="V586" s="16">
        <f t="shared" si="697"/>
        <v>0</v>
      </c>
      <c r="W586" s="16">
        <f t="shared" si="698"/>
        <v>0</v>
      </c>
      <c r="X586" s="35"/>
      <c r="Y586" s="35"/>
      <c r="Z586" s="35"/>
      <c r="AA586" s="35"/>
      <c r="AB586" s="35"/>
      <c r="AC586" s="35"/>
      <c r="AD586" s="35"/>
      <c r="AE586" s="20"/>
      <c r="AF586" s="23"/>
      <c r="AG586" s="23"/>
      <c r="AH586" s="23"/>
      <c r="AI586" s="23"/>
      <c r="AJ586" s="23"/>
      <c r="AK586" s="23"/>
      <c r="AL586" s="23"/>
      <c r="AM586" s="23"/>
      <c r="AN586" s="23"/>
      <c r="AO586" s="23"/>
      <c r="AP586" s="23"/>
      <c r="AQ586" s="23"/>
      <c r="AR586" s="23"/>
      <c r="AS586" s="23"/>
      <c r="AT586" s="23"/>
      <c r="AU586" s="23"/>
      <c r="AV586" s="23"/>
      <c r="AW586" s="23"/>
      <c r="AX586" s="23"/>
      <c r="AY586" s="23"/>
      <c r="AZ586" s="23"/>
      <c r="BA586" s="23"/>
      <c r="BB586" s="23"/>
      <c r="BC586" s="23"/>
      <c r="BD586" s="35"/>
      <c r="BE586" s="35"/>
      <c r="BF586" s="35"/>
      <c r="BG586" s="35"/>
      <c r="BH586" s="35"/>
      <c r="BI586" s="35"/>
      <c r="BJ586" s="35"/>
      <c r="BK586" s="35"/>
      <c r="BL586" s="36"/>
      <c r="BM586" s="36"/>
      <c r="BN586" s="36"/>
      <c r="BO586" s="36"/>
      <c r="BP586" s="35"/>
      <c r="BQ586" s="23"/>
      <c r="BR586" s="23"/>
      <c r="BS586" s="23"/>
      <c r="BT586" s="117"/>
      <c r="BU586" s="117"/>
      <c r="BV586" s="23"/>
      <c r="BW586" s="35"/>
      <c r="BX586" s="35"/>
      <c r="BY586" s="117"/>
      <c r="BZ586" s="117"/>
      <c r="CA586" s="117"/>
      <c r="CB586" s="117"/>
      <c r="CC586" s="117"/>
      <c r="CD586" s="117"/>
      <c r="CE586" s="117"/>
      <c r="CF586" s="117"/>
      <c r="CG586" s="117"/>
      <c r="CH586" s="117"/>
      <c r="CI586" s="117"/>
      <c r="CJ586" s="117"/>
      <c r="CK586" s="117"/>
      <c r="CL586" s="117"/>
      <c r="CM586" s="117"/>
      <c r="CN586" s="117"/>
      <c r="CO586" s="117">
        <v>725</v>
      </c>
      <c r="CP586" s="117"/>
      <c r="CQ586" s="117"/>
      <c r="CR586" s="117"/>
      <c r="CS586" s="117"/>
      <c r="CT586" s="117"/>
      <c r="CU586" s="117"/>
      <c r="CV586" s="117"/>
      <c r="CW586" s="117"/>
      <c r="CX586" s="117"/>
      <c r="CY586" s="117"/>
      <c r="CZ586" s="117"/>
      <c r="DA586" s="117"/>
      <c r="DB586" s="117"/>
      <c r="DC586" s="117"/>
    </row>
    <row r="587" spans="2:107">
      <c r="B587" s="1036" t="s">
        <v>1985</v>
      </c>
      <c r="C587" s="23"/>
      <c r="D587" s="15"/>
      <c r="E587" s="15"/>
      <c r="F587" s="15"/>
      <c r="G587" s="15"/>
      <c r="H587" s="15"/>
      <c r="I587" s="15"/>
      <c r="J587" s="15"/>
      <c r="K587" s="15"/>
      <c r="L587" s="23"/>
      <c r="M587" s="23"/>
      <c r="N587" s="27"/>
      <c r="O587" s="23"/>
      <c r="P587" s="16">
        <f>SUM(BX587:CA587)</f>
        <v>0</v>
      </c>
      <c r="Q587" s="16">
        <f>SUM(CB587:CE587)</f>
        <v>0</v>
      </c>
      <c r="R587" s="16">
        <f t="shared" si="702"/>
        <v>0</v>
      </c>
      <c r="S587" s="16">
        <f t="shared" si="703"/>
        <v>0</v>
      </c>
      <c r="T587" s="16">
        <f t="shared" si="693"/>
        <v>1100</v>
      </c>
      <c r="U587" s="16">
        <f t="shared" si="696"/>
        <v>0</v>
      </c>
      <c r="V587" s="16">
        <f t="shared" si="697"/>
        <v>0</v>
      </c>
      <c r="W587" s="16">
        <f t="shared" si="698"/>
        <v>0</v>
      </c>
      <c r="X587" s="35"/>
      <c r="Y587" s="35"/>
      <c r="Z587" s="35"/>
      <c r="AA587" s="35"/>
      <c r="AB587" s="35"/>
      <c r="AC587" s="35"/>
      <c r="AD587" s="35"/>
      <c r="AE587" s="20"/>
      <c r="AF587" s="23"/>
      <c r="AG587" s="23"/>
      <c r="AH587" s="23"/>
      <c r="AI587" s="23"/>
      <c r="AJ587" s="23"/>
      <c r="AK587" s="23"/>
      <c r="AL587" s="23"/>
      <c r="AM587" s="23"/>
      <c r="AN587" s="23"/>
      <c r="AO587" s="23"/>
      <c r="AP587" s="23"/>
      <c r="AQ587" s="23"/>
      <c r="AR587" s="23"/>
      <c r="AS587" s="23"/>
      <c r="AT587" s="23"/>
      <c r="AU587" s="23"/>
      <c r="AV587" s="23"/>
      <c r="AW587" s="23"/>
      <c r="AX587" s="23"/>
      <c r="AY587" s="23"/>
      <c r="AZ587" s="23"/>
      <c r="BA587" s="23"/>
      <c r="BB587" s="23"/>
      <c r="BC587" s="23"/>
      <c r="BD587" s="35"/>
      <c r="BE587" s="35"/>
      <c r="BF587" s="35"/>
      <c r="BG587" s="35"/>
      <c r="BH587" s="35"/>
      <c r="BI587" s="35"/>
      <c r="BJ587" s="35"/>
      <c r="BK587" s="35"/>
      <c r="BL587" s="36"/>
      <c r="BM587" s="36"/>
      <c r="BN587" s="36"/>
      <c r="BO587" s="36"/>
      <c r="BP587" s="35"/>
      <c r="BQ587" s="23"/>
      <c r="BR587" s="23"/>
      <c r="BS587" s="23"/>
      <c r="BT587" s="117"/>
      <c r="BU587" s="117"/>
      <c r="BV587" s="23"/>
      <c r="BW587" s="35"/>
      <c r="BX587" s="35"/>
      <c r="BY587" s="117"/>
      <c r="BZ587" s="117"/>
      <c r="CA587" s="117"/>
      <c r="CB587" s="117"/>
      <c r="CC587" s="117"/>
      <c r="CD587" s="117"/>
      <c r="CE587" s="117"/>
      <c r="CF587" s="117"/>
      <c r="CG587" s="117"/>
      <c r="CH587" s="117"/>
      <c r="CI587" s="117"/>
      <c r="CJ587" s="117"/>
      <c r="CK587" s="117"/>
      <c r="CL587" s="117"/>
      <c r="CM587" s="117"/>
      <c r="CN587" s="117"/>
      <c r="CO587" s="117"/>
      <c r="CP587" s="117">
        <v>1100</v>
      </c>
      <c r="CQ587" s="117"/>
      <c r="CR587" s="117"/>
      <c r="CS587" s="117"/>
      <c r="CT587" s="117"/>
      <c r="CU587" s="117"/>
      <c r="CV587" s="117"/>
      <c r="CW587" s="117"/>
      <c r="CX587" s="117"/>
      <c r="CY587" s="117"/>
      <c r="CZ587" s="117"/>
      <c r="DA587" s="117"/>
      <c r="DB587" s="117"/>
      <c r="DC587" s="117"/>
    </row>
    <row r="588" spans="2:107">
      <c r="B588" s="1036" t="s">
        <v>2590</v>
      </c>
      <c r="C588" s="23"/>
      <c r="D588" s="15"/>
      <c r="E588" s="15"/>
      <c r="F588" s="15"/>
      <c r="G588" s="15"/>
      <c r="H588" s="15"/>
      <c r="I588" s="15"/>
      <c r="J588" s="15"/>
      <c r="K588" s="15"/>
      <c r="L588" s="23"/>
      <c r="M588" s="23"/>
      <c r="N588" s="27"/>
      <c r="O588" s="23"/>
      <c r="P588" s="16">
        <f>SUM(BX588:CA588)</f>
        <v>0</v>
      </c>
      <c r="Q588" s="16">
        <f>SUM(CB588:CE588)</f>
        <v>0</v>
      </c>
      <c r="R588" s="16">
        <f t="shared" si="702"/>
        <v>0</v>
      </c>
      <c r="S588" s="16">
        <f t="shared" si="703"/>
        <v>0</v>
      </c>
      <c r="T588" s="16">
        <f>SUM(CN588:CQ588)</f>
        <v>0</v>
      </c>
      <c r="U588" s="16">
        <f>SUM(CR588:CU588)</f>
        <v>0</v>
      </c>
      <c r="V588" s="16">
        <f t="shared" si="697"/>
        <v>1275</v>
      </c>
      <c r="W588" s="16">
        <f t="shared" si="698"/>
        <v>0</v>
      </c>
      <c r="X588" s="35"/>
      <c r="Y588" s="35"/>
      <c r="Z588" s="35"/>
      <c r="AA588" s="35"/>
      <c r="AB588" s="35"/>
      <c r="AC588" s="35"/>
      <c r="AD588" s="35"/>
      <c r="AE588" s="20"/>
      <c r="AF588" s="23"/>
      <c r="AG588" s="23"/>
      <c r="AH588" s="23"/>
      <c r="AI588" s="23"/>
      <c r="AJ588" s="23"/>
      <c r="AK588" s="23"/>
      <c r="AL588" s="23"/>
      <c r="AM588" s="23"/>
      <c r="AN588" s="23"/>
      <c r="AO588" s="23"/>
      <c r="AP588" s="23"/>
      <c r="AQ588" s="23"/>
      <c r="AR588" s="23"/>
      <c r="AS588" s="23"/>
      <c r="AT588" s="23"/>
      <c r="AU588" s="23"/>
      <c r="AV588" s="23"/>
      <c r="AW588" s="23"/>
      <c r="AX588" s="23"/>
      <c r="AY588" s="23"/>
      <c r="AZ588" s="23"/>
      <c r="BA588" s="23"/>
      <c r="BB588" s="23"/>
      <c r="BC588" s="23"/>
      <c r="BD588" s="35"/>
      <c r="BE588" s="35"/>
      <c r="BF588" s="35"/>
      <c r="BG588" s="35"/>
      <c r="BH588" s="35"/>
      <c r="BI588" s="35"/>
      <c r="BJ588" s="35"/>
      <c r="BK588" s="35"/>
      <c r="BL588" s="36"/>
      <c r="BM588" s="36"/>
      <c r="BN588" s="36"/>
      <c r="BO588" s="36"/>
      <c r="BP588" s="35"/>
      <c r="BQ588" s="23"/>
      <c r="BR588" s="23"/>
      <c r="BS588" s="23"/>
      <c r="BT588" s="117"/>
      <c r="BU588" s="117"/>
      <c r="BV588" s="23"/>
      <c r="BW588" s="35"/>
      <c r="BX588" s="35"/>
      <c r="BY588" s="117"/>
      <c r="BZ588" s="117"/>
      <c r="CA588" s="117"/>
      <c r="CB588" s="117"/>
      <c r="CC588" s="117"/>
      <c r="CD588" s="117"/>
      <c r="CE588" s="117"/>
      <c r="CF588" s="117"/>
      <c r="CG588" s="117"/>
      <c r="CH588" s="117"/>
      <c r="CI588" s="117"/>
      <c r="CJ588" s="117"/>
      <c r="CK588" s="117"/>
      <c r="CL588" s="117"/>
      <c r="CM588" s="117"/>
      <c r="CN588" s="117"/>
      <c r="CO588" s="117"/>
      <c r="CP588" s="117"/>
      <c r="CQ588" s="117"/>
      <c r="CR588" s="117"/>
      <c r="CS588" s="117"/>
      <c r="CT588" s="117"/>
      <c r="CU588" s="117"/>
      <c r="CV588" s="117"/>
      <c r="CW588" s="117"/>
      <c r="CX588" s="117"/>
      <c r="CY588" s="117">
        <v>1275</v>
      </c>
      <c r="CZ588" s="117"/>
      <c r="DA588" s="117"/>
      <c r="DB588" s="117"/>
      <c r="DC588" s="117"/>
    </row>
    <row r="589" spans="2:107">
      <c r="B589" s="1036" t="s">
        <v>1911</v>
      </c>
      <c r="C589" s="23"/>
      <c r="D589" s="15"/>
      <c r="E589" s="15"/>
      <c r="F589" s="15"/>
      <c r="G589" s="15"/>
      <c r="H589" s="15"/>
      <c r="I589" s="15"/>
      <c r="J589" s="15"/>
      <c r="K589" s="15"/>
      <c r="L589" s="23"/>
      <c r="M589" s="23"/>
      <c r="N589" s="27"/>
      <c r="O589" s="23"/>
      <c r="P589" s="16">
        <f t="shared" si="694"/>
        <v>0</v>
      </c>
      <c r="Q589" s="16">
        <f t="shared" si="695"/>
        <v>0</v>
      </c>
      <c r="R589" s="16">
        <f t="shared" si="702"/>
        <v>0</v>
      </c>
      <c r="S589" s="16">
        <f t="shared" si="703"/>
        <v>0</v>
      </c>
      <c r="T589" s="16">
        <f t="shared" si="693"/>
        <v>300</v>
      </c>
      <c r="U589" s="16">
        <f t="shared" si="696"/>
        <v>0</v>
      </c>
      <c r="V589" s="16">
        <f t="shared" si="697"/>
        <v>0</v>
      </c>
      <c r="W589" s="16">
        <f t="shared" si="698"/>
        <v>0</v>
      </c>
      <c r="X589" s="35"/>
      <c r="Y589" s="35"/>
      <c r="Z589" s="35"/>
      <c r="AA589" s="35"/>
      <c r="AB589" s="35"/>
      <c r="AC589" s="35"/>
      <c r="AD589" s="35"/>
      <c r="AE589" s="20"/>
      <c r="AF589" s="23"/>
      <c r="AG589" s="23"/>
      <c r="AH589" s="23"/>
      <c r="AI589" s="23"/>
      <c r="AJ589" s="23"/>
      <c r="AK589" s="23"/>
      <c r="AL589" s="23"/>
      <c r="AM589" s="23"/>
      <c r="AN589" s="23"/>
      <c r="AO589" s="23"/>
      <c r="AP589" s="23"/>
      <c r="AQ589" s="23"/>
      <c r="AR589" s="23"/>
      <c r="AS589" s="23"/>
      <c r="AT589" s="23"/>
      <c r="AU589" s="23"/>
      <c r="AV589" s="23"/>
      <c r="AW589" s="23"/>
      <c r="AX589" s="23"/>
      <c r="AY589" s="23"/>
      <c r="AZ589" s="23"/>
      <c r="BA589" s="23"/>
      <c r="BB589" s="23"/>
      <c r="BC589" s="23"/>
      <c r="BD589" s="35"/>
      <c r="BE589" s="35"/>
      <c r="BF589" s="35"/>
      <c r="BG589" s="35"/>
      <c r="BH589" s="35"/>
      <c r="BI589" s="35"/>
      <c r="BJ589" s="35"/>
      <c r="BK589" s="35"/>
      <c r="BL589" s="36"/>
      <c r="BM589" s="36"/>
      <c r="BN589" s="36"/>
      <c r="BO589" s="36"/>
      <c r="BP589" s="35"/>
      <c r="BQ589" s="23"/>
      <c r="BR589" s="23"/>
      <c r="BS589" s="23"/>
      <c r="BT589" s="117"/>
      <c r="BU589" s="117"/>
      <c r="BV589" s="23"/>
      <c r="BW589" s="35"/>
      <c r="BX589" s="35"/>
      <c r="BY589" s="117"/>
      <c r="BZ589" s="117"/>
      <c r="CA589" s="117"/>
      <c r="CB589" s="117"/>
      <c r="CC589" s="117"/>
      <c r="CD589" s="117"/>
      <c r="CE589" s="117"/>
      <c r="CF589" s="117"/>
      <c r="CG589" s="117"/>
      <c r="CH589" s="117"/>
      <c r="CI589" s="117"/>
      <c r="CJ589" s="117"/>
      <c r="CK589" s="117"/>
      <c r="CL589" s="117"/>
      <c r="CM589" s="117"/>
      <c r="CN589" s="117"/>
      <c r="CO589" s="117"/>
      <c r="CP589" s="117">
        <v>300</v>
      </c>
      <c r="CQ589" s="117"/>
      <c r="CR589" s="117"/>
      <c r="CS589" s="117"/>
      <c r="CT589" s="117"/>
      <c r="CU589" s="117"/>
      <c r="CV589" s="117"/>
      <c r="CW589" s="117"/>
      <c r="CX589" s="117"/>
      <c r="CY589" s="117"/>
      <c r="CZ589" s="117"/>
      <c r="DA589" s="117"/>
      <c r="DB589" s="117"/>
      <c r="DC589" s="117"/>
    </row>
    <row r="590" spans="2:107">
      <c r="B590" s="1036" t="s">
        <v>2010</v>
      </c>
      <c r="C590" s="23"/>
      <c r="D590" s="15"/>
      <c r="E590" s="15"/>
      <c r="F590" s="15"/>
      <c r="G590" s="15"/>
      <c r="H590" s="15"/>
      <c r="I590" s="15"/>
      <c r="J590" s="15"/>
      <c r="K590" s="15"/>
      <c r="L590" s="23"/>
      <c r="M590" s="23"/>
      <c r="N590" s="27"/>
      <c r="O590" s="23"/>
      <c r="P590" s="16">
        <f>SUM(BX590:CA590)</f>
        <v>0</v>
      </c>
      <c r="Q590" s="16">
        <f>SUM(CB590:CE590)</f>
        <v>0</v>
      </c>
      <c r="R590" s="16">
        <f t="shared" si="702"/>
        <v>0</v>
      </c>
      <c r="S590" s="16">
        <f t="shared" si="703"/>
        <v>0</v>
      </c>
      <c r="T590" s="16">
        <f t="shared" si="693"/>
        <v>0</v>
      </c>
      <c r="U590" s="16">
        <f t="shared" si="696"/>
        <v>600</v>
      </c>
      <c r="V590" s="16">
        <f t="shared" si="697"/>
        <v>0</v>
      </c>
      <c r="W590" s="16">
        <f t="shared" si="698"/>
        <v>0</v>
      </c>
      <c r="X590" s="35"/>
      <c r="Y590" s="35"/>
      <c r="Z590" s="35"/>
      <c r="AA590" s="35"/>
      <c r="AB590" s="35"/>
      <c r="AC590" s="35"/>
      <c r="AD590" s="35"/>
      <c r="AE590" s="20"/>
      <c r="AF590" s="23"/>
      <c r="AG590" s="23"/>
      <c r="AH590" s="23"/>
      <c r="AI590" s="23"/>
      <c r="AJ590" s="23"/>
      <c r="AK590" s="23"/>
      <c r="AL590" s="23"/>
      <c r="AM590" s="23"/>
      <c r="AN590" s="23"/>
      <c r="AO590" s="23"/>
      <c r="AP590" s="23"/>
      <c r="AQ590" s="23"/>
      <c r="AR590" s="23"/>
      <c r="AS590" s="23"/>
      <c r="AT590" s="23"/>
      <c r="AU590" s="23"/>
      <c r="AV590" s="23"/>
      <c r="AW590" s="23"/>
      <c r="AX590" s="23"/>
      <c r="AY590" s="23"/>
      <c r="AZ590" s="23"/>
      <c r="BA590" s="23"/>
      <c r="BB590" s="23"/>
      <c r="BC590" s="23"/>
      <c r="BD590" s="35"/>
      <c r="BE590" s="35"/>
      <c r="BF590" s="35"/>
      <c r="BG590" s="35"/>
      <c r="BH590" s="35"/>
      <c r="BI590" s="35"/>
      <c r="BJ590" s="35"/>
      <c r="BK590" s="35"/>
      <c r="BL590" s="36"/>
      <c r="BM590" s="36"/>
      <c r="BN590" s="36"/>
      <c r="BO590" s="36"/>
      <c r="BP590" s="35"/>
      <c r="BQ590" s="23"/>
      <c r="BR590" s="23"/>
      <c r="BS590" s="23"/>
      <c r="BT590" s="117"/>
      <c r="BU590" s="117"/>
      <c r="BV590" s="23"/>
      <c r="BW590" s="35"/>
      <c r="BX590" s="35"/>
      <c r="BY590" s="117"/>
      <c r="BZ590" s="117"/>
      <c r="CA590" s="117"/>
      <c r="CB590" s="117"/>
      <c r="CC590" s="117"/>
      <c r="CD590" s="117"/>
      <c r="CE590" s="117"/>
      <c r="CF590" s="117"/>
      <c r="CG590" s="117"/>
      <c r="CH590" s="117"/>
      <c r="CI590" s="117"/>
      <c r="CJ590" s="117"/>
      <c r="CK590" s="117"/>
      <c r="CL590" s="117"/>
      <c r="CM590" s="117"/>
      <c r="CN590" s="117"/>
      <c r="CO590" s="117"/>
      <c r="CP590" s="117"/>
      <c r="CQ590" s="117"/>
      <c r="CR590" s="117">
        <v>600</v>
      </c>
      <c r="CS590" s="117"/>
      <c r="CT590" s="117"/>
      <c r="CU590" s="117"/>
      <c r="CV590" s="117"/>
      <c r="CW590" s="117"/>
      <c r="CX590" s="117"/>
      <c r="CY590" s="117"/>
      <c r="CZ590" s="117"/>
      <c r="DA590" s="117"/>
      <c r="DB590" s="117"/>
      <c r="DC590" s="117"/>
    </row>
    <row r="591" spans="2:107">
      <c r="B591" s="25" t="s">
        <v>1676</v>
      </c>
      <c r="C591" s="23"/>
      <c r="D591" s="15"/>
      <c r="E591" s="15"/>
      <c r="F591" s="15"/>
      <c r="G591" s="15"/>
      <c r="H591" s="15"/>
      <c r="I591" s="15"/>
      <c r="J591" s="15"/>
      <c r="K591" s="15"/>
      <c r="L591" s="23"/>
      <c r="M591" s="23"/>
      <c r="N591" s="27"/>
      <c r="O591" s="23"/>
      <c r="P591" s="16">
        <f t="shared" si="694"/>
        <v>0</v>
      </c>
      <c r="Q591" s="16">
        <f t="shared" si="695"/>
        <v>0</v>
      </c>
      <c r="R591" s="16">
        <f t="shared" si="702"/>
        <v>0</v>
      </c>
      <c r="S591" s="16">
        <f t="shared" si="703"/>
        <v>500</v>
      </c>
      <c r="T591" s="16">
        <f t="shared" si="693"/>
        <v>0</v>
      </c>
      <c r="U591" s="16">
        <f t="shared" si="696"/>
        <v>0</v>
      </c>
      <c r="V591" s="16">
        <f t="shared" si="697"/>
        <v>0</v>
      </c>
      <c r="W591" s="16">
        <f t="shared" si="698"/>
        <v>0</v>
      </c>
      <c r="X591" s="35"/>
      <c r="Y591" s="35"/>
      <c r="Z591" s="35"/>
      <c r="AA591" s="35"/>
      <c r="AB591" s="35"/>
      <c r="AC591" s="35"/>
      <c r="AD591" s="35"/>
      <c r="AE591" s="20"/>
      <c r="AF591" s="23"/>
      <c r="AG591" s="23"/>
      <c r="AH591" s="23"/>
      <c r="AI591" s="23"/>
      <c r="AJ591" s="23"/>
      <c r="AK591" s="23"/>
      <c r="AL591" s="23"/>
      <c r="AM591" s="23"/>
      <c r="AN591" s="23"/>
      <c r="AO591" s="23"/>
      <c r="AP591" s="23"/>
      <c r="AQ591" s="23"/>
      <c r="AR591" s="23"/>
      <c r="AS591" s="23"/>
      <c r="AT591" s="23"/>
      <c r="AU591" s="23"/>
      <c r="AV591" s="23"/>
      <c r="AW591" s="23"/>
      <c r="AX591" s="23"/>
      <c r="AY591" s="23"/>
      <c r="AZ591" s="23"/>
      <c r="BA591" s="23"/>
      <c r="BB591" s="23"/>
      <c r="BC591" s="23"/>
      <c r="BD591" s="35"/>
      <c r="BE591" s="35"/>
      <c r="BF591" s="35"/>
      <c r="BG591" s="35"/>
      <c r="BH591" s="35"/>
      <c r="BI591" s="35"/>
      <c r="BJ591" s="35"/>
      <c r="BK591" s="35"/>
      <c r="BL591" s="36"/>
      <c r="BM591" s="36"/>
      <c r="BN591" s="36"/>
      <c r="BO591" s="36"/>
      <c r="BP591" s="35"/>
      <c r="BQ591" s="23"/>
      <c r="BR591" s="23"/>
      <c r="BS591" s="23"/>
      <c r="BT591" s="117"/>
      <c r="BU591" s="117"/>
      <c r="BV591" s="23"/>
      <c r="BW591" s="35"/>
      <c r="BX591" s="35"/>
      <c r="BY591" s="117"/>
      <c r="BZ591" s="117"/>
      <c r="CA591" s="117"/>
      <c r="CB591" s="117"/>
      <c r="CC591" s="117"/>
      <c r="CD591" s="117"/>
      <c r="CE591" s="117"/>
      <c r="CF591" s="117"/>
      <c r="CG591" s="117"/>
      <c r="CH591" s="117"/>
      <c r="CI591" s="117"/>
      <c r="CJ591" s="117">
        <v>500</v>
      </c>
      <c r="CK591" s="117"/>
      <c r="CL591" s="117"/>
      <c r="CM591" s="117"/>
      <c r="CN591" s="117"/>
      <c r="CO591" s="117"/>
      <c r="CP591" s="117"/>
      <c r="CQ591" s="117"/>
      <c r="CR591" s="117"/>
      <c r="CS591" s="117"/>
      <c r="CT591" s="117"/>
      <c r="CU591" s="117"/>
      <c r="CV591" s="117"/>
      <c r="CW591" s="117"/>
      <c r="CX591" s="117"/>
      <c r="CY591" s="117"/>
      <c r="CZ591" s="117"/>
      <c r="DA591" s="117"/>
      <c r="DB591" s="117"/>
      <c r="DC591" s="117"/>
    </row>
    <row r="592" spans="2:107">
      <c r="B592" s="1036" t="s">
        <v>2496</v>
      </c>
      <c r="C592" s="23"/>
      <c r="D592" s="15"/>
      <c r="E592" s="15"/>
      <c r="F592" s="15"/>
      <c r="G592" s="15"/>
      <c r="H592" s="15"/>
      <c r="I592" s="15"/>
      <c r="J592" s="15"/>
      <c r="K592" s="15"/>
      <c r="L592" s="23"/>
      <c r="M592" s="23"/>
      <c r="N592" s="27"/>
      <c r="O592" s="23"/>
      <c r="P592" s="16">
        <f>SUM(BX592:CA592)</f>
        <v>0</v>
      </c>
      <c r="Q592" s="16">
        <f>SUM(CB592:CE592)</f>
        <v>0</v>
      </c>
      <c r="R592" s="16">
        <f t="shared" si="702"/>
        <v>0</v>
      </c>
      <c r="S592" s="16">
        <f t="shared" si="703"/>
        <v>0</v>
      </c>
      <c r="T592" s="16">
        <f>SUM(CN592:CQ592)</f>
        <v>0</v>
      </c>
      <c r="U592" s="16">
        <f>SUM(CR592:CU592)</f>
        <v>0</v>
      </c>
      <c r="V592" s="16">
        <f t="shared" si="697"/>
        <v>0</v>
      </c>
      <c r="W592" s="16">
        <f t="shared" si="698"/>
        <v>550</v>
      </c>
      <c r="X592" s="35"/>
      <c r="Y592" s="35"/>
      <c r="Z592" s="35"/>
      <c r="AA592" s="35"/>
      <c r="AB592" s="35"/>
      <c r="AC592" s="35"/>
      <c r="AD592" s="35"/>
      <c r="AE592" s="20"/>
      <c r="AF592" s="23"/>
      <c r="AG592" s="23"/>
      <c r="AH592" s="23"/>
      <c r="AI592" s="23"/>
      <c r="AJ592" s="23"/>
      <c r="AK592" s="23"/>
      <c r="AL592" s="23"/>
      <c r="AM592" s="23"/>
      <c r="AN592" s="23"/>
      <c r="AO592" s="23"/>
      <c r="AP592" s="23"/>
      <c r="AQ592" s="23"/>
      <c r="AR592" s="23"/>
      <c r="AS592" s="23"/>
      <c r="AT592" s="23"/>
      <c r="AU592" s="23"/>
      <c r="AV592" s="23"/>
      <c r="AW592" s="23"/>
      <c r="AX592" s="23"/>
      <c r="AY592" s="23"/>
      <c r="AZ592" s="23"/>
      <c r="BA592" s="23"/>
      <c r="BB592" s="23"/>
      <c r="BC592" s="23"/>
      <c r="BD592" s="35"/>
      <c r="BE592" s="35"/>
      <c r="BF592" s="35"/>
      <c r="BG592" s="35"/>
      <c r="BH592" s="35"/>
      <c r="BI592" s="35"/>
      <c r="BJ592" s="35"/>
      <c r="BK592" s="35"/>
      <c r="BL592" s="36"/>
      <c r="BM592" s="36"/>
      <c r="BN592" s="36"/>
      <c r="BO592" s="36"/>
      <c r="BP592" s="35"/>
      <c r="BQ592" s="23"/>
      <c r="BR592" s="23"/>
      <c r="BS592" s="23"/>
      <c r="BT592" s="117"/>
      <c r="BU592" s="117"/>
      <c r="BV592" s="23"/>
      <c r="BW592" s="35"/>
      <c r="BX592" s="35"/>
      <c r="BY592" s="117"/>
      <c r="BZ592" s="117"/>
      <c r="CA592" s="117"/>
      <c r="CB592" s="117"/>
      <c r="CC592" s="117"/>
      <c r="CD592" s="117"/>
      <c r="CE592" s="117"/>
      <c r="CF592" s="117"/>
      <c r="CG592" s="117"/>
      <c r="CH592" s="117"/>
      <c r="CI592" s="117"/>
      <c r="CJ592" s="117"/>
      <c r="CK592" s="117"/>
      <c r="CL592" s="117"/>
      <c r="CM592" s="117"/>
      <c r="CN592" s="117"/>
      <c r="CO592" s="117"/>
      <c r="CP592" s="117"/>
      <c r="CQ592" s="117"/>
      <c r="CR592" s="117"/>
      <c r="CS592" s="117"/>
      <c r="CT592" s="117"/>
      <c r="CU592" s="117"/>
      <c r="CV592" s="117"/>
      <c r="CW592" s="117"/>
      <c r="CX592" s="117"/>
      <c r="CY592" s="117"/>
      <c r="CZ592" s="117"/>
      <c r="DA592" s="117">
        <v>550</v>
      </c>
      <c r="DB592" s="117"/>
      <c r="DC592" s="117"/>
    </row>
    <row r="593" spans="2:107">
      <c r="B593" s="1036" t="s">
        <v>2721</v>
      </c>
      <c r="C593" s="23"/>
      <c r="D593" s="15"/>
      <c r="E593" s="15"/>
      <c r="F593" s="15"/>
      <c r="G593" s="15"/>
      <c r="H593" s="15"/>
      <c r="I593" s="15"/>
      <c r="J593" s="15"/>
      <c r="K593" s="15"/>
      <c r="L593" s="23"/>
      <c r="M593" s="23"/>
      <c r="N593" s="27"/>
      <c r="O593" s="23"/>
      <c r="P593" s="16">
        <f>SUM(BX593:CA593)</f>
        <v>0</v>
      </c>
      <c r="Q593" s="16">
        <f>SUM(CB593:CE593)</f>
        <v>0</v>
      </c>
      <c r="R593" s="16">
        <f t="shared" ref="R593" si="706">SUM(CF593:CI593)</f>
        <v>0</v>
      </c>
      <c r="S593" s="16">
        <f t="shared" ref="S593" si="707">SUM(CJ593:CM593)</f>
        <v>0</v>
      </c>
      <c r="T593" s="16">
        <f>SUM(CN593:CQ593)</f>
        <v>0</v>
      </c>
      <c r="U593" s="16">
        <f>SUM(CR593:CU593)</f>
        <v>0</v>
      </c>
      <c r="V593" s="16">
        <f t="shared" ref="V593" si="708">SUM(CV593:CY593)</f>
        <v>0</v>
      </c>
      <c r="W593" s="16">
        <f t="shared" si="698"/>
        <v>0</v>
      </c>
      <c r="X593" s="117">
        <v>350</v>
      </c>
      <c r="Y593" s="35"/>
      <c r="Z593" s="35"/>
      <c r="AA593" s="35"/>
      <c r="AB593" s="35"/>
      <c r="AC593" s="35"/>
      <c r="AD593" s="35"/>
      <c r="AE593" s="20"/>
      <c r="AF593" s="23"/>
      <c r="AG593" s="23"/>
      <c r="AH593" s="23"/>
      <c r="AI593" s="23"/>
      <c r="AJ593" s="23"/>
      <c r="AK593" s="23"/>
      <c r="AL593" s="23"/>
      <c r="AM593" s="23"/>
      <c r="AN593" s="23"/>
      <c r="AO593" s="23"/>
      <c r="AP593" s="23"/>
      <c r="AQ593" s="23"/>
      <c r="AR593" s="23"/>
      <c r="AS593" s="23"/>
      <c r="AT593" s="23"/>
      <c r="AU593" s="23"/>
      <c r="AV593" s="23"/>
      <c r="AW593" s="23"/>
      <c r="AX593" s="23"/>
      <c r="AY593" s="23"/>
      <c r="AZ593" s="23"/>
      <c r="BA593" s="23"/>
      <c r="BB593" s="23"/>
      <c r="BC593" s="23"/>
      <c r="BD593" s="35"/>
      <c r="BE593" s="35"/>
      <c r="BF593" s="35"/>
      <c r="BG593" s="35"/>
      <c r="BH593" s="35"/>
      <c r="BI593" s="35"/>
      <c r="BJ593" s="35"/>
      <c r="BK593" s="35"/>
      <c r="BL593" s="36"/>
      <c r="BM593" s="36"/>
      <c r="BN593" s="36"/>
      <c r="BO593" s="36"/>
      <c r="BP593" s="35"/>
      <c r="BQ593" s="23"/>
      <c r="BR593" s="23"/>
      <c r="BS593" s="23"/>
      <c r="BT593" s="117"/>
      <c r="BU593" s="117"/>
      <c r="BV593" s="23"/>
      <c r="BW593" s="35"/>
      <c r="BX593" s="35"/>
      <c r="BY593" s="117"/>
      <c r="BZ593" s="117"/>
      <c r="CA593" s="117"/>
      <c r="CB593" s="117"/>
      <c r="CC593" s="117"/>
      <c r="CD593" s="117"/>
      <c r="CE593" s="117"/>
      <c r="CF593" s="117"/>
      <c r="CG593" s="117"/>
      <c r="CH593" s="117"/>
      <c r="CI593" s="117"/>
      <c r="CJ593" s="117"/>
      <c r="CK593" s="117"/>
      <c r="CL593" s="117"/>
      <c r="CM593" s="117"/>
      <c r="CN593" s="117"/>
      <c r="CO593" s="117"/>
      <c r="CP593" s="117"/>
      <c r="CQ593" s="117"/>
      <c r="CR593" s="117"/>
      <c r="CS593" s="117"/>
      <c r="CT593" s="117"/>
      <c r="CU593" s="117"/>
      <c r="CV593" s="117"/>
      <c r="CW593" s="117"/>
      <c r="CX593" s="117"/>
      <c r="CY593" s="117"/>
      <c r="CZ593" s="117"/>
      <c r="DA593" s="117"/>
      <c r="DB593" s="117"/>
      <c r="DC593" s="117"/>
    </row>
    <row r="594" spans="2:107">
      <c r="B594" s="1036" t="s">
        <v>2561</v>
      </c>
      <c r="C594" s="23"/>
      <c r="D594" s="15"/>
      <c r="E594" s="15"/>
      <c r="F594" s="15"/>
      <c r="G594" s="15"/>
      <c r="H594" s="15"/>
      <c r="I594" s="15"/>
      <c r="J594" s="15"/>
      <c r="K594" s="15"/>
      <c r="L594" s="23"/>
      <c r="M594" s="23"/>
      <c r="N594" s="27"/>
      <c r="O594" s="23"/>
      <c r="P594" s="16">
        <f>SUM(BX594:CA594)</f>
        <v>0</v>
      </c>
      <c r="Q594" s="16">
        <f>SUM(CB594:CE594)</f>
        <v>0</v>
      </c>
      <c r="R594" s="16">
        <f t="shared" si="702"/>
        <v>0</v>
      </c>
      <c r="S594" s="16">
        <f t="shared" si="703"/>
        <v>0</v>
      </c>
      <c r="T594" s="16">
        <f>SUM(CN594:CQ594)</f>
        <v>0</v>
      </c>
      <c r="U594" s="16">
        <f>SUM(CR594:CU594)</f>
        <v>0</v>
      </c>
      <c r="V594" s="16">
        <f t="shared" si="697"/>
        <v>1565</v>
      </c>
      <c r="W594" s="16">
        <f t="shared" si="698"/>
        <v>0</v>
      </c>
      <c r="X594" s="35"/>
      <c r="Y594" s="35"/>
      <c r="Z594" s="35"/>
      <c r="AA594" s="35"/>
      <c r="AB594" s="35"/>
      <c r="AC594" s="35"/>
      <c r="AD594" s="35"/>
      <c r="AE594" s="20"/>
      <c r="AF594" s="23"/>
      <c r="AG594" s="23"/>
      <c r="AH594" s="23"/>
      <c r="AI594" s="23"/>
      <c r="AJ594" s="23"/>
      <c r="AK594" s="23"/>
      <c r="AL594" s="23"/>
      <c r="AM594" s="23"/>
      <c r="AN594" s="23"/>
      <c r="AO594" s="23"/>
      <c r="AP594" s="23"/>
      <c r="AQ594" s="23"/>
      <c r="AR594" s="23"/>
      <c r="AS594" s="23"/>
      <c r="AT594" s="23"/>
      <c r="AU594" s="23"/>
      <c r="AV594" s="23"/>
      <c r="AW594" s="23"/>
      <c r="AX594" s="23"/>
      <c r="AY594" s="23"/>
      <c r="AZ594" s="23"/>
      <c r="BA594" s="23"/>
      <c r="BB594" s="23"/>
      <c r="BC594" s="23"/>
      <c r="BD594" s="35"/>
      <c r="BE594" s="35"/>
      <c r="BF594" s="35"/>
      <c r="BG594" s="35"/>
      <c r="BH594" s="35"/>
      <c r="BI594" s="35"/>
      <c r="BJ594" s="35"/>
      <c r="BK594" s="35"/>
      <c r="BL594" s="36"/>
      <c r="BM594" s="36"/>
      <c r="BN594" s="36"/>
      <c r="BO594" s="36"/>
      <c r="BP594" s="35"/>
      <c r="BQ594" s="23"/>
      <c r="BR594" s="23"/>
      <c r="BS594" s="23"/>
      <c r="BT594" s="117"/>
      <c r="BU594" s="117"/>
      <c r="BV594" s="23"/>
      <c r="BW594" s="35"/>
      <c r="BX594" s="35"/>
      <c r="BY594" s="117"/>
      <c r="BZ594" s="117"/>
      <c r="CA594" s="117"/>
      <c r="CB594" s="117"/>
      <c r="CC594" s="117"/>
      <c r="CD594" s="117"/>
      <c r="CE594" s="117"/>
      <c r="CF594" s="117"/>
      <c r="CG594" s="117"/>
      <c r="CH594" s="117"/>
      <c r="CI594" s="117"/>
      <c r="CJ594" s="117"/>
      <c r="CK594" s="117"/>
      <c r="CL594" s="117"/>
      <c r="CM594" s="117"/>
      <c r="CN594" s="117"/>
      <c r="CO594" s="117"/>
      <c r="CP594" s="117"/>
      <c r="CQ594" s="117"/>
      <c r="CR594" s="117"/>
      <c r="CS594" s="117"/>
      <c r="CT594" s="117"/>
      <c r="CU594" s="117"/>
      <c r="CV594" s="117"/>
      <c r="CW594" s="117"/>
      <c r="CX594" s="117">
        <v>1565</v>
      </c>
      <c r="CY594" s="117"/>
      <c r="CZ594" s="117"/>
      <c r="DA594" s="117"/>
      <c r="DB594" s="117"/>
      <c r="DC594" s="117"/>
    </row>
    <row r="595" spans="2:107">
      <c r="B595" s="1036" t="s">
        <v>2718</v>
      </c>
      <c r="C595" s="23"/>
      <c r="D595" s="15"/>
      <c r="E595" s="15"/>
      <c r="F595" s="15"/>
      <c r="G595" s="15"/>
      <c r="H595" s="15"/>
      <c r="I595" s="15"/>
      <c r="J595" s="15"/>
      <c r="K595" s="15"/>
      <c r="L595" s="23"/>
      <c r="M595" s="23"/>
      <c r="N595" s="27"/>
      <c r="O595" s="23"/>
      <c r="P595" s="16">
        <f>SUM(BX595:CA595)</f>
        <v>0</v>
      </c>
      <c r="Q595" s="16">
        <f>SUM(CB595:CE595)</f>
        <v>0</v>
      </c>
      <c r="R595" s="16">
        <f t="shared" ref="R595" si="709">SUM(CF595:CI595)</f>
        <v>0</v>
      </c>
      <c r="S595" s="16">
        <f t="shared" ref="S595" si="710">SUM(CJ595:CM595)</f>
        <v>0</v>
      </c>
      <c r="T595" s="16">
        <f>SUM(CN595:CQ595)</f>
        <v>0</v>
      </c>
      <c r="U595" s="16">
        <f>SUM(CR595:CU595)</f>
        <v>0</v>
      </c>
      <c r="V595" s="16">
        <f t="shared" ref="V595" si="711">SUM(CV595:CY595)</f>
        <v>0</v>
      </c>
      <c r="W595" s="16">
        <f t="shared" si="698"/>
        <v>1250</v>
      </c>
      <c r="X595" s="35"/>
      <c r="Y595" s="35"/>
      <c r="Z595" s="35"/>
      <c r="AA595" s="35"/>
      <c r="AB595" s="35"/>
      <c r="AC595" s="35"/>
      <c r="AD595" s="35"/>
      <c r="AE595" s="20"/>
      <c r="AF595" s="23"/>
      <c r="AG595" s="23"/>
      <c r="AH595" s="23"/>
      <c r="AI595" s="23"/>
      <c r="AJ595" s="23"/>
      <c r="AK595" s="23"/>
      <c r="AL595" s="23"/>
      <c r="AM595" s="23"/>
      <c r="AN595" s="23"/>
      <c r="AO595" s="23"/>
      <c r="AP595" s="23"/>
      <c r="AQ595" s="23"/>
      <c r="AR595" s="23"/>
      <c r="AS595" s="23"/>
      <c r="AT595" s="23"/>
      <c r="AU595" s="23"/>
      <c r="AV595" s="23"/>
      <c r="AW595" s="23"/>
      <c r="AX595" s="23"/>
      <c r="AY595" s="23"/>
      <c r="AZ595" s="23"/>
      <c r="BA595" s="23"/>
      <c r="BB595" s="23"/>
      <c r="BC595" s="23"/>
      <c r="BD595" s="35"/>
      <c r="BE595" s="35"/>
      <c r="BF595" s="35"/>
      <c r="BG595" s="35"/>
      <c r="BH595" s="35"/>
      <c r="BI595" s="35"/>
      <c r="BJ595" s="35"/>
      <c r="BK595" s="35"/>
      <c r="BL595" s="36"/>
      <c r="BM595" s="36"/>
      <c r="BN595" s="36"/>
      <c r="BO595" s="36"/>
      <c r="BP595" s="35"/>
      <c r="BQ595" s="23"/>
      <c r="BR595" s="23"/>
      <c r="BS595" s="23"/>
      <c r="BT595" s="117"/>
      <c r="BU595" s="117"/>
      <c r="BV595" s="23"/>
      <c r="BW595" s="35"/>
      <c r="BX595" s="35"/>
      <c r="BY595" s="117"/>
      <c r="BZ595" s="117"/>
      <c r="CA595" s="117"/>
      <c r="CB595" s="117"/>
      <c r="CC595" s="117"/>
      <c r="CD595" s="117"/>
      <c r="CE595" s="117"/>
      <c r="CF595" s="117"/>
      <c r="CG595" s="117"/>
      <c r="CH595" s="117"/>
      <c r="CI595" s="117"/>
      <c r="CJ595" s="117"/>
      <c r="CK595" s="117"/>
      <c r="CL595" s="117"/>
      <c r="CM595" s="117"/>
      <c r="CN595" s="117"/>
      <c r="CO595" s="117"/>
      <c r="CP595" s="117"/>
      <c r="CQ595" s="117"/>
      <c r="CR595" s="117"/>
      <c r="CS595" s="117"/>
      <c r="CT595" s="117"/>
      <c r="CU595" s="117"/>
      <c r="CV595" s="117"/>
      <c r="CW595" s="117"/>
      <c r="CX595" s="117"/>
      <c r="CY595" s="117"/>
      <c r="CZ595" s="117"/>
      <c r="DA595" s="117"/>
      <c r="DB595" s="117"/>
      <c r="DC595" s="117">
        <v>1250</v>
      </c>
    </row>
    <row r="596" spans="2:107">
      <c r="B596" s="1036" t="s">
        <v>2589</v>
      </c>
      <c r="C596" s="23"/>
      <c r="D596" s="15"/>
      <c r="E596" s="15"/>
      <c r="F596" s="15"/>
      <c r="G596" s="15"/>
      <c r="H596" s="15"/>
      <c r="I596" s="15"/>
      <c r="J596" s="15"/>
      <c r="K596" s="15"/>
      <c r="L596" s="23"/>
      <c r="M596" s="23"/>
      <c r="N596" s="27"/>
      <c r="O596" s="23"/>
      <c r="P596" s="16">
        <f>SUM(BX596:CA596)</f>
        <v>0</v>
      </c>
      <c r="Q596" s="16">
        <f>SUM(CB596:CE596)</f>
        <v>0</v>
      </c>
      <c r="R596" s="16">
        <f t="shared" si="702"/>
        <v>0</v>
      </c>
      <c r="S596" s="16">
        <f t="shared" si="703"/>
        <v>0</v>
      </c>
      <c r="T596" s="16">
        <f>SUM(CN596:CQ596)</f>
        <v>0</v>
      </c>
      <c r="U596" s="16">
        <f>SUM(CR596:CU596)</f>
        <v>0</v>
      </c>
      <c r="V596" s="16">
        <f t="shared" si="697"/>
        <v>190</v>
      </c>
      <c r="W596" s="16">
        <f t="shared" si="698"/>
        <v>0</v>
      </c>
      <c r="X596" s="35"/>
      <c r="Y596" s="35"/>
      <c r="Z596" s="35"/>
      <c r="AA596" s="35"/>
      <c r="AB596" s="35"/>
      <c r="AC596" s="35"/>
      <c r="AD596" s="35"/>
      <c r="AE596" s="20"/>
      <c r="AF596" s="23"/>
      <c r="AG596" s="23"/>
      <c r="AH596" s="23"/>
      <c r="AI596" s="23"/>
      <c r="AJ596" s="23"/>
      <c r="AK596" s="23"/>
      <c r="AL596" s="23"/>
      <c r="AM596" s="23"/>
      <c r="AN596" s="23"/>
      <c r="AO596" s="23"/>
      <c r="AP596" s="23"/>
      <c r="AQ596" s="23"/>
      <c r="AR596" s="23"/>
      <c r="AS596" s="23"/>
      <c r="AT596" s="23"/>
      <c r="AU596" s="23"/>
      <c r="AV596" s="23"/>
      <c r="AW596" s="23"/>
      <c r="AX596" s="23"/>
      <c r="AY596" s="23"/>
      <c r="AZ596" s="23"/>
      <c r="BA596" s="23"/>
      <c r="BB596" s="23"/>
      <c r="BC596" s="23"/>
      <c r="BD596" s="35"/>
      <c r="BE596" s="35"/>
      <c r="BF596" s="35"/>
      <c r="BG596" s="35"/>
      <c r="BH596" s="35"/>
      <c r="BI596" s="35"/>
      <c r="BJ596" s="35"/>
      <c r="BK596" s="35"/>
      <c r="BL596" s="36"/>
      <c r="BM596" s="36"/>
      <c r="BN596" s="36"/>
      <c r="BO596" s="36"/>
      <c r="BP596" s="35"/>
      <c r="BQ596" s="23"/>
      <c r="BR596" s="23"/>
      <c r="BS596" s="23"/>
      <c r="BT596" s="117"/>
      <c r="BU596" s="117"/>
      <c r="BV596" s="23"/>
      <c r="BW596" s="35"/>
      <c r="BX596" s="35"/>
      <c r="BY596" s="117"/>
      <c r="BZ596" s="117"/>
      <c r="CA596" s="117"/>
      <c r="CB596" s="117"/>
      <c r="CC596" s="117"/>
      <c r="CD596" s="117"/>
      <c r="CE596" s="117"/>
      <c r="CF596" s="117"/>
      <c r="CG596" s="117"/>
      <c r="CH596" s="117"/>
      <c r="CI596" s="117"/>
      <c r="CJ596" s="117"/>
      <c r="CK596" s="117"/>
      <c r="CL596" s="117"/>
      <c r="CM596" s="117"/>
      <c r="CN596" s="117"/>
      <c r="CO596" s="117"/>
      <c r="CP596" s="117"/>
      <c r="CQ596" s="117"/>
      <c r="CR596" s="117"/>
      <c r="CS596" s="117"/>
      <c r="CT596" s="117"/>
      <c r="CU596" s="117"/>
      <c r="CV596" s="117"/>
      <c r="CW596" s="117">
        <v>190</v>
      </c>
      <c r="CX596" s="117"/>
      <c r="CY596" s="117"/>
      <c r="CZ596" s="117"/>
      <c r="DA596" s="117"/>
      <c r="DB596" s="117"/>
      <c r="DC596" s="117"/>
    </row>
    <row r="597" spans="2:107">
      <c r="B597" s="25" t="s">
        <v>696</v>
      </c>
      <c r="C597" s="23"/>
      <c r="D597" s="15"/>
      <c r="E597" s="15"/>
      <c r="F597" s="15"/>
      <c r="G597" s="15"/>
      <c r="H597" s="15"/>
      <c r="I597" s="15"/>
      <c r="J597" s="15"/>
      <c r="K597" s="15"/>
      <c r="L597" s="23"/>
      <c r="M597" s="23"/>
      <c r="N597" s="27"/>
      <c r="O597" s="23">
        <f>SUM(BT597:BW597)</f>
        <v>1400</v>
      </c>
      <c r="P597" s="16">
        <f t="shared" si="694"/>
        <v>0</v>
      </c>
      <c r="Q597" s="16">
        <f t="shared" si="695"/>
        <v>0</v>
      </c>
      <c r="R597" s="16">
        <f t="shared" si="702"/>
        <v>0</v>
      </c>
      <c r="S597" s="16">
        <f t="shared" si="703"/>
        <v>0</v>
      </c>
      <c r="T597" s="16">
        <f t="shared" si="693"/>
        <v>0</v>
      </c>
      <c r="U597" s="16">
        <f t="shared" si="696"/>
        <v>0</v>
      </c>
      <c r="V597" s="16">
        <f t="shared" si="697"/>
        <v>0</v>
      </c>
      <c r="W597" s="16">
        <f t="shared" si="698"/>
        <v>0</v>
      </c>
      <c r="X597" s="35"/>
      <c r="Y597" s="35"/>
      <c r="Z597" s="35"/>
      <c r="AA597" s="35"/>
      <c r="AB597" s="35"/>
      <c r="AC597" s="35"/>
      <c r="AD597" s="35"/>
      <c r="AE597" s="20"/>
      <c r="AF597" s="23"/>
      <c r="AG597" s="23"/>
      <c r="AH597" s="23"/>
      <c r="AI597" s="23"/>
      <c r="AJ597" s="23"/>
      <c r="AK597" s="23"/>
      <c r="AL597" s="23"/>
      <c r="AM597" s="23"/>
      <c r="AN597" s="23"/>
      <c r="AO597" s="23"/>
      <c r="AP597" s="23"/>
      <c r="AQ597" s="23"/>
      <c r="AR597" s="23"/>
      <c r="AS597" s="23"/>
      <c r="AT597" s="23"/>
      <c r="AU597" s="23"/>
      <c r="AV597" s="23"/>
      <c r="AW597" s="23"/>
      <c r="AX597" s="23"/>
      <c r="AY597" s="23"/>
      <c r="AZ597" s="23"/>
      <c r="BA597" s="23"/>
      <c r="BB597" s="23"/>
      <c r="BC597" s="23"/>
      <c r="BD597" s="35"/>
      <c r="BE597" s="35"/>
      <c r="BF597" s="35"/>
      <c r="BG597" s="35"/>
      <c r="BH597" s="35"/>
      <c r="BI597" s="35"/>
      <c r="BJ597" s="35"/>
      <c r="BK597" s="35"/>
      <c r="BL597" s="36"/>
      <c r="BM597" s="36"/>
      <c r="BN597" s="36"/>
      <c r="BO597" s="36"/>
      <c r="BP597" s="35"/>
      <c r="BQ597" s="23"/>
      <c r="BR597" s="35"/>
      <c r="BS597" s="35"/>
      <c r="BT597" s="117">
        <v>1400</v>
      </c>
      <c r="BU597" s="117"/>
      <c r="BV597" s="35"/>
      <c r="BW597" s="35"/>
      <c r="BX597" s="35"/>
      <c r="BY597" s="35"/>
      <c r="BZ597" s="35"/>
      <c r="CA597" s="35"/>
      <c r="CB597" s="35"/>
      <c r="CC597" s="35"/>
      <c r="CD597" s="35"/>
      <c r="CE597" s="35"/>
      <c r="CF597" s="35"/>
      <c r="CG597" s="35"/>
      <c r="CH597" s="35"/>
      <c r="CI597" s="35"/>
      <c r="CJ597" s="35"/>
      <c r="CK597" s="35"/>
      <c r="CL597" s="35"/>
      <c r="CM597" s="35"/>
      <c r="CN597" s="35"/>
      <c r="CO597" s="35"/>
      <c r="CP597" s="35"/>
      <c r="CQ597" s="35"/>
      <c r="CR597" s="35"/>
      <c r="CS597" s="35"/>
      <c r="CT597" s="35"/>
      <c r="CU597" s="35"/>
      <c r="CV597" s="35"/>
      <c r="CW597" s="35"/>
      <c r="CX597" s="35"/>
      <c r="CY597" s="35"/>
      <c r="CZ597" s="35"/>
      <c r="DA597" s="35"/>
      <c r="DB597" s="35"/>
      <c r="DC597" s="35"/>
    </row>
    <row r="598" spans="2:107">
      <c r="B598" s="25" t="s">
        <v>57</v>
      </c>
      <c r="C598" s="23"/>
      <c r="D598" s="15"/>
      <c r="E598" s="15"/>
      <c r="F598" s="15"/>
      <c r="G598" s="15"/>
      <c r="H598" s="15"/>
      <c r="I598" s="15"/>
      <c r="J598" s="15"/>
      <c r="K598" s="15"/>
      <c r="L598" s="23"/>
      <c r="M598" s="23"/>
      <c r="N598" s="27"/>
      <c r="O598" s="23"/>
      <c r="P598" s="16">
        <f t="shared" si="694"/>
        <v>1600</v>
      </c>
      <c r="Q598" s="16">
        <f t="shared" si="695"/>
        <v>0</v>
      </c>
      <c r="R598" s="16">
        <f t="shared" si="702"/>
        <v>0</v>
      </c>
      <c r="S598" s="16">
        <f t="shared" si="703"/>
        <v>0</v>
      </c>
      <c r="T598" s="16">
        <f t="shared" si="693"/>
        <v>0</v>
      </c>
      <c r="U598" s="16">
        <f t="shared" si="696"/>
        <v>0</v>
      </c>
      <c r="V598" s="16">
        <f t="shared" si="697"/>
        <v>0</v>
      </c>
      <c r="W598" s="16">
        <f t="shared" si="698"/>
        <v>0</v>
      </c>
      <c r="X598" s="35"/>
      <c r="Y598" s="35"/>
      <c r="Z598" s="35"/>
      <c r="AA598" s="35"/>
      <c r="AB598" s="35"/>
      <c r="AC598" s="35"/>
      <c r="AD598" s="35"/>
      <c r="AE598" s="20"/>
      <c r="AF598" s="23"/>
      <c r="AG598" s="23"/>
      <c r="AH598" s="23"/>
      <c r="AI598" s="23"/>
      <c r="AJ598" s="23"/>
      <c r="AK598" s="23"/>
      <c r="AL598" s="23"/>
      <c r="AM598" s="23"/>
      <c r="AN598" s="23"/>
      <c r="AO598" s="23"/>
      <c r="AP598" s="23"/>
      <c r="AQ598" s="23"/>
      <c r="AR598" s="23"/>
      <c r="AS598" s="23"/>
      <c r="AT598" s="23"/>
      <c r="AU598" s="23"/>
      <c r="AV598" s="23"/>
      <c r="AW598" s="23"/>
      <c r="AX598" s="23"/>
      <c r="AY598" s="23"/>
      <c r="AZ598" s="23"/>
      <c r="BA598" s="23"/>
      <c r="BB598" s="23"/>
      <c r="BC598" s="23"/>
      <c r="BD598" s="35"/>
      <c r="BE598" s="35"/>
      <c r="BF598" s="35"/>
      <c r="BG598" s="35"/>
      <c r="BH598" s="35"/>
      <c r="BI598" s="35"/>
      <c r="BJ598" s="35"/>
      <c r="BK598" s="35"/>
      <c r="BL598" s="36"/>
      <c r="BM598" s="36"/>
      <c r="BN598" s="36"/>
      <c r="BO598" s="36"/>
      <c r="BP598" s="35"/>
      <c r="BQ598" s="23"/>
      <c r="BR598" s="23"/>
      <c r="BS598" s="23"/>
      <c r="BT598" s="117"/>
      <c r="BU598" s="117"/>
      <c r="BV598" s="23"/>
      <c r="BW598" s="35"/>
      <c r="BX598" s="35"/>
      <c r="BY598" s="117">
        <v>1600</v>
      </c>
      <c r="BZ598" s="117"/>
      <c r="CA598" s="117"/>
      <c r="CB598" s="117"/>
      <c r="CC598" s="117"/>
      <c r="CD598" s="117"/>
      <c r="CE598" s="117"/>
      <c r="CF598" s="117"/>
      <c r="CG598" s="117"/>
      <c r="CH598" s="117"/>
      <c r="CI598" s="117"/>
      <c r="CJ598" s="117"/>
      <c r="CK598" s="117"/>
      <c r="CL598" s="117"/>
      <c r="CM598" s="117"/>
      <c r="CN598" s="117"/>
      <c r="CO598" s="117"/>
      <c r="CP598" s="117"/>
      <c r="CQ598" s="117"/>
      <c r="CR598" s="117"/>
      <c r="CS598" s="117"/>
      <c r="CT598" s="117"/>
      <c r="CU598" s="117"/>
      <c r="CV598" s="117"/>
      <c r="CW598" s="117"/>
      <c r="CX598" s="117"/>
      <c r="CY598" s="117"/>
      <c r="CZ598" s="117"/>
      <c r="DA598" s="117"/>
      <c r="DB598" s="117"/>
      <c r="DC598" s="117"/>
    </row>
    <row r="599" spans="2:107">
      <c r="B599" s="25" t="s">
        <v>99</v>
      </c>
      <c r="C599" s="23"/>
      <c r="D599" s="15"/>
      <c r="E599" s="15"/>
      <c r="F599" s="15"/>
      <c r="G599" s="15"/>
      <c r="H599" s="15"/>
      <c r="I599" s="15"/>
      <c r="J599" s="15"/>
      <c r="K599" s="15"/>
      <c r="L599" s="23"/>
      <c r="M599" s="23"/>
      <c r="N599" s="27"/>
      <c r="O599" s="23"/>
      <c r="P599" s="16"/>
      <c r="Q599" s="16"/>
      <c r="R599" s="16">
        <f t="shared" si="702"/>
        <v>0</v>
      </c>
      <c r="S599" s="16">
        <f t="shared" si="703"/>
        <v>0</v>
      </c>
      <c r="T599" s="16">
        <f t="shared" si="693"/>
        <v>0</v>
      </c>
      <c r="U599" s="16">
        <f t="shared" si="696"/>
        <v>0</v>
      </c>
      <c r="V599" s="16">
        <f t="shared" si="697"/>
        <v>0</v>
      </c>
      <c r="W599" s="16">
        <f t="shared" si="698"/>
        <v>0</v>
      </c>
      <c r="X599" s="35"/>
      <c r="Y599" s="35"/>
      <c r="Z599" s="35"/>
      <c r="AA599" s="35"/>
      <c r="AB599" s="35"/>
      <c r="AC599" s="35"/>
      <c r="AD599" s="35"/>
      <c r="AE599" s="20"/>
      <c r="AF599" s="23"/>
      <c r="AG599" s="23"/>
      <c r="AH599" s="23"/>
      <c r="AI599" s="23"/>
      <c r="AJ599" s="23"/>
      <c r="AK599" s="23"/>
      <c r="AL599" s="23"/>
      <c r="AM599" s="23"/>
      <c r="AN599" s="23"/>
      <c r="AO599" s="23"/>
      <c r="AP599" s="23"/>
      <c r="AQ599" s="23"/>
      <c r="AR599" s="23"/>
      <c r="AS599" s="23"/>
      <c r="AT599" s="23"/>
      <c r="AU599" s="23"/>
      <c r="AV599" s="23"/>
      <c r="AW599" s="23"/>
      <c r="AX599" s="23"/>
      <c r="AY599" s="23"/>
      <c r="AZ599" s="23"/>
      <c r="BA599" s="23"/>
      <c r="BB599" s="23"/>
      <c r="BC599" s="23"/>
      <c r="BD599" s="35"/>
      <c r="BE599" s="35"/>
      <c r="BF599" s="35"/>
      <c r="BG599" s="35"/>
      <c r="BH599" s="35"/>
      <c r="BI599" s="35"/>
      <c r="BJ599" s="35"/>
      <c r="BK599" s="35"/>
      <c r="BL599" s="36"/>
      <c r="BM599" s="36"/>
      <c r="BN599" s="36"/>
      <c r="BO599" s="36"/>
      <c r="BP599" s="35"/>
      <c r="BQ599" s="23"/>
      <c r="BR599" s="23"/>
      <c r="BS599" s="23"/>
      <c r="BT599" s="117"/>
      <c r="BU599" s="117"/>
      <c r="BV599" s="23"/>
      <c r="BW599" s="35"/>
      <c r="BX599" s="35"/>
      <c r="BY599" s="117"/>
      <c r="BZ599" s="117"/>
      <c r="CA599" s="117"/>
      <c r="CB599" s="117"/>
      <c r="CC599" s="117"/>
      <c r="CD599" s="117">
        <v>1540</v>
      </c>
      <c r="CE599" s="117"/>
      <c r="CF599" s="117"/>
      <c r="CG599" s="117"/>
      <c r="CH599" s="117"/>
      <c r="CI599" s="117"/>
      <c r="CJ599" s="117"/>
      <c r="CK599" s="117"/>
      <c r="CL599" s="117"/>
      <c r="CM599" s="117"/>
      <c r="CN599" s="117"/>
      <c r="CO599" s="117"/>
      <c r="CP599" s="117"/>
      <c r="CQ599" s="117"/>
      <c r="CR599" s="117"/>
      <c r="CS599" s="117"/>
      <c r="CT599" s="117"/>
      <c r="CU599" s="117"/>
      <c r="CV599" s="117"/>
      <c r="CW599" s="117"/>
      <c r="CX599" s="117"/>
      <c r="CY599" s="117"/>
      <c r="CZ599" s="117"/>
      <c r="DA599" s="117"/>
      <c r="DB599" s="117"/>
      <c r="DC599" s="117"/>
    </row>
    <row r="600" spans="2:107">
      <c r="B600" s="25" t="s">
        <v>274</v>
      </c>
      <c r="C600" s="23"/>
      <c r="D600" s="15"/>
      <c r="E600" s="15"/>
      <c r="F600" s="15"/>
      <c r="G600" s="15"/>
      <c r="H600" s="15"/>
      <c r="I600" s="15"/>
      <c r="J600" s="15"/>
      <c r="K600" s="15"/>
      <c r="L600" s="23"/>
      <c r="M600" s="23"/>
      <c r="N600" s="27"/>
      <c r="O600" s="23"/>
      <c r="P600" s="16">
        <f t="shared" ref="P600:P617" si="712">SUM(BX600:CA600)</f>
        <v>0</v>
      </c>
      <c r="Q600" s="16">
        <f t="shared" ref="Q600:Q617" si="713">SUM(CB600:CE600)</f>
        <v>0</v>
      </c>
      <c r="R600" s="16">
        <f t="shared" si="702"/>
        <v>1700</v>
      </c>
      <c r="S600" s="16">
        <f t="shared" si="703"/>
        <v>0</v>
      </c>
      <c r="T600" s="16">
        <f t="shared" si="693"/>
        <v>0</v>
      </c>
      <c r="U600" s="16">
        <f t="shared" si="696"/>
        <v>0</v>
      </c>
      <c r="V600" s="16">
        <f t="shared" si="697"/>
        <v>0</v>
      </c>
      <c r="W600" s="16">
        <f t="shared" si="698"/>
        <v>0</v>
      </c>
      <c r="X600" s="35"/>
      <c r="Y600" s="35"/>
      <c r="Z600" s="35"/>
      <c r="AA600" s="35"/>
      <c r="AB600" s="35"/>
      <c r="AC600" s="35"/>
      <c r="AD600" s="35"/>
      <c r="AE600" s="20"/>
      <c r="AF600" s="23"/>
      <c r="AG600" s="23"/>
      <c r="AH600" s="23"/>
      <c r="AI600" s="23"/>
      <c r="AJ600" s="23"/>
      <c r="AK600" s="23"/>
      <c r="AL600" s="23"/>
      <c r="AM600" s="23"/>
      <c r="AN600" s="23"/>
      <c r="AO600" s="23"/>
      <c r="AP600" s="23"/>
      <c r="AQ600" s="23"/>
      <c r="AR600" s="23"/>
      <c r="AS600" s="23"/>
      <c r="AT600" s="23"/>
      <c r="AU600" s="23"/>
      <c r="AV600" s="23"/>
      <c r="AW600" s="23"/>
      <c r="AX600" s="23"/>
      <c r="AY600" s="23"/>
      <c r="AZ600" s="23"/>
      <c r="BA600" s="23"/>
      <c r="BB600" s="23"/>
      <c r="BC600" s="23"/>
      <c r="BD600" s="35"/>
      <c r="BE600" s="35"/>
      <c r="BF600" s="35"/>
      <c r="BG600" s="35"/>
      <c r="BH600" s="35"/>
      <c r="BI600" s="35"/>
      <c r="BJ600" s="35"/>
      <c r="BK600" s="35"/>
      <c r="BL600" s="36"/>
      <c r="BM600" s="36"/>
      <c r="BN600" s="36"/>
      <c r="BO600" s="36"/>
      <c r="BP600" s="35"/>
      <c r="BQ600" s="23"/>
      <c r="BR600" s="23"/>
      <c r="BS600" s="23"/>
      <c r="BT600" s="117"/>
      <c r="BU600" s="117"/>
      <c r="BV600" s="23"/>
      <c r="BW600" s="35"/>
      <c r="BX600" s="35"/>
      <c r="BY600" s="117"/>
      <c r="BZ600" s="117"/>
      <c r="CA600" s="117"/>
      <c r="CB600" s="117"/>
      <c r="CC600" s="117"/>
      <c r="CD600" s="117"/>
      <c r="CE600" s="117"/>
      <c r="CF600" s="117"/>
      <c r="CG600" s="117"/>
      <c r="CH600" s="117"/>
      <c r="CI600" s="117">
        <v>1700</v>
      </c>
      <c r="CJ600" s="117"/>
      <c r="CK600" s="117"/>
      <c r="CL600" s="117"/>
      <c r="CM600" s="117"/>
      <c r="CN600" s="117"/>
      <c r="CO600" s="117"/>
      <c r="CP600" s="117"/>
      <c r="CQ600" s="117"/>
      <c r="CR600" s="117"/>
      <c r="CS600" s="117"/>
      <c r="CT600" s="117"/>
      <c r="CU600" s="117"/>
      <c r="CV600" s="117"/>
      <c r="CW600" s="117"/>
      <c r="CX600" s="117"/>
      <c r="CY600" s="117"/>
      <c r="CZ600" s="117"/>
      <c r="DA600" s="117"/>
      <c r="DB600" s="117"/>
      <c r="DC600" s="117"/>
    </row>
    <row r="601" spans="2:107">
      <c r="B601" s="25" t="s">
        <v>351</v>
      </c>
      <c r="C601" s="23"/>
      <c r="D601" s="15"/>
      <c r="E601" s="15"/>
      <c r="F601" s="15"/>
      <c r="G601" s="15"/>
      <c r="H601" s="15"/>
      <c r="I601" s="15"/>
      <c r="J601" s="15"/>
      <c r="K601" s="15"/>
      <c r="L601" s="23"/>
      <c r="M601" s="23"/>
      <c r="N601" s="27"/>
      <c r="O601" s="23"/>
      <c r="P601" s="16">
        <f t="shared" si="712"/>
        <v>0</v>
      </c>
      <c r="Q601" s="16">
        <f t="shared" si="713"/>
        <v>0</v>
      </c>
      <c r="R601" s="16">
        <f t="shared" si="702"/>
        <v>0</v>
      </c>
      <c r="S601" s="16">
        <f t="shared" si="703"/>
        <v>0</v>
      </c>
      <c r="T601" s="16">
        <f t="shared" si="693"/>
        <v>1385</v>
      </c>
      <c r="U601" s="16">
        <f t="shared" si="696"/>
        <v>0</v>
      </c>
      <c r="V601" s="16">
        <f t="shared" si="697"/>
        <v>0</v>
      </c>
      <c r="W601" s="16">
        <f t="shared" si="698"/>
        <v>0</v>
      </c>
      <c r="X601" s="35"/>
      <c r="Y601" s="35"/>
      <c r="Z601" s="35"/>
      <c r="AA601" s="35"/>
      <c r="AB601" s="35"/>
      <c r="AC601" s="35"/>
      <c r="AD601" s="35"/>
      <c r="AE601" s="20"/>
      <c r="AF601" s="23"/>
      <c r="AG601" s="23"/>
      <c r="AH601" s="23"/>
      <c r="AI601" s="23"/>
      <c r="AJ601" s="23"/>
      <c r="AK601" s="23"/>
      <c r="AL601" s="23"/>
      <c r="AM601" s="23"/>
      <c r="AN601" s="23"/>
      <c r="AO601" s="23"/>
      <c r="AP601" s="23"/>
      <c r="AQ601" s="23"/>
      <c r="AR601" s="23"/>
      <c r="AS601" s="23"/>
      <c r="AT601" s="23"/>
      <c r="AU601" s="23"/>
      <c r="AV601" s="23"/>
      <c r="AW601" s="23"/>
      <c r="AX601" s="23"/>
      <c r="AY601" s="23"/>
      <c r="AZ601" s="23"/>
      <c r="BA601" s="23"/>
      <c r="BB601" s="23"/>
      <c r="BC601" s="23"/>
      <c r="BD601" s="35"/>
      <c r="BE601" s="35"/>
      <c r="BF601" s="35"/>
      <c r="BG601" s="35"/>
      <c r="BH601" s="35"/>
      <c r="BI601" s="35"/>
      <c r="BJ601" s="35"/>
      <c r="BK601" s="35"/>
      <c r="BL601" s="36"/>
      <c r="BM601" s="36"/>
      <c r="BN601" s="36"/>
      <c r="BO601" s="36"/>
      <c r="BP601" s="35"/>
      <c r="BQ601" s="23"/>
      <c r="BR601" s="23"/>
      <c r="BS601" s="23"/>
      <c r="BT601" s="117"/>
      <c r="BU601" s="117"/>
      <c r="BV601" s="23"/>
      <c r="BW601" s="35"/>
      <c r="BX601" s="35"/>
      <c r="BY601" s="117"/>
      <c r="BZ601" s="117"/>
      <c r="CA601" s="117"/>
      <c r="CB601" s="117"/>
      <c r="CC601" s="117"/>
      <c r="CD601" s="117"/>
      <c r="CE601" s="117"/>
      <c r="CF601" s="117"/>
      <c r="CG601" s="117"/>
      <c r="CH601" s="117"/>
      <c r="CI601" s="117"/>
      <c r="CJ601" s="117"/>
      <c r="CK601" s="117"/>
      <c r="CL601" s="117"/>
      <c r="CM601" s="117"/>
      <c r="CN601" s="117">
        <v>1385</v>
      </c>
      <c r="CO601" s="117"/>
      <c r="CP601" s="117"/>
      <c r="CQ601" s="117"/>
      <c r="CR601" s="117"/>
      <c r="CS601" s="117"/>
      <c r="CT601" s="117"/>
      <c r="CU601" s="117"/>
      <c r="CV601" s="117"/>
      <c r="CW601" s="117"/>
      <c r="CX601" s="117"/>
      <c r="CY601" s="117"/>
      <c r="CZ601" s="117"/>
      <c r="DA601" s="117"/>
      <c r="DB601" s="117"/>
      <c r="DC601" s="117"/>
    </row>
    <row r="602" spans="2:107">
      <c r="B602" s="1036" t="s">
        <v>2033</v>
      </c>
      <c r="C602" s="23"/>
      <c r="D602" s="15"/>
      <c r="E602" s="15"/>
      <c r="F602" s="15"/>
      <c r="G602" s="15"/>
      <c r="H602" s="15"/>
      <c r="I602" s="15"/>
      <c r="J602" s="15"/>
      <c r="K602" s="15"/>
      <c r="L602" s="23"/>
      <c r="M602" s="23"/>
      <c r="N602" s="27"/>
      <c r="O602" s="23"/>
      <c r="P602" s="16">
        <f>SUM(BX602:CA602)</f>
        <v>0</v>
      </c>
      <c r="Q602" s="16">
        <f>SUM(CB602:CE602)</f>
        <v>0</v>
      </c>
      <c r="R602" s="16">
        <f t="shared" si="702"/>
        <v>0</v>
      </c>
      <c r="S602" s="16">
        <f t="shared" si="703"/>
        <v>0</v>
      </c>
      <c r="T602" s="16">
        <f t="shared" si="693"/>
        <v>0</v>
      </c>
      <c r="U602" s="16">
        <f t="shared" si="696"/>
        <v>1385</v>
      </c>
      <c r="V602" s="16">
        <f t="shared" si="697"/>
        <v>0</v>
      </c>
      <c r="W602" s="16">
        <f t="shared" si="698"/>
        <v>0</v>
      </c>
      <c r="X602" s="35"/>
      <c r="Y602" s="35"/>
      <c r="Z602" s="35"/>
      <c r="AA602" s="35"/>
      <c r="AB602" s="35"/>
      <c r="AC602" s="35"/>
      <c r="AD602" s="35"/>
      <c r="AE602" s="20"/>
      <c r="AF602" s="23"/>
      <c r="AG602" s="23"/>
      <c r="AH602" s="23"/>
      <c r="AI602" s="23"/>
      <c r="AJ602" s="23"/>
      <c r="AK602" s="23"/>
      <c r="AL602" s="23"/>
      <c r="AM602" s="23"/>
      <c r="AN602" s="23"/>
      <c r="AO602" s="23"/>
      <c r="AP602" s="23"/>
      <c r="AQ602" s="23"/>
      <c r="AR602" s="23"/>
      <c r="AS602" s="23"/>
      <c r="AT602" s="23"/>
      <c r="AU602" s="23"/>
      <c r="AV602" s="23"/>
      <c r="AW602" s="23"/>
      <c r="AX602" s="23"/>
      <c r="AY602" s="23"/>
      <c r="AZ602" s="23"/>
      <c r="BA602" s="23"/>
      <c r="BB602" s="23"/>
      <c r="BC602" s="23"/>
      <c r="BD602" s="35"/>
      <c r="BE602" s="35"/>
      <c r="BF602" s="35"/>
      <c r="BG602" s="35"/>
      <c r="BH602" s="35"/>
      <c r="BI602" s="35"/>
      <c r="BJ602" s="35"/>
      <c r="BK602" s="35"/>
      <c r="BL602" s="36"/>
      <c r="BM602" s="36"/>
      <c r="BN602" s="36"/>
      <c r="BO602" s="36"/>
      <c r="BP602" s="35"/>
      <c r="BQ602" s="23"/>
      <c r="BR602" s="23"/>
      <c r="BS602" s="23"/>
      <c r="BT602" s="117"/>
      <c r="BU602" s="117"/>
      <c r="BV602" s="23"/>
      <c r="BW602" s="35"/>
      <c r="BX602" s="35"/>
      <c r="BY602" s="117"/>
      <c r="BZ602" s="117"/>
      <c r="CA602" s="117"/>
      <c r="CB602" s="117"/>
      <c r="CC602" s="117"/>
      <c r="CD602" s="117"/>
      <c r="CE602" s="117"/>
      <c r="CF602" s="117"/>
      <c r="CG602" s="117"/>
      <c r="CH602" s="117"/>
      <c r="CI602" s="117"/>
      <c r="CJ602" s="117"/>
      <c r="CK602" s="117"/>
      <c r="CL602" s="117"/>
      <c r="CM602" s="117"/>
      <c r="CN602" s="117"/>
      <c r="CO602" s="117"/>
      <c r="CP602" s="117"/>
      <c r="CQ602" s="117"/>
      <c r="CR602" s="117"/>
      <c r="CS602" s="117"/>
      <c r="CT602" s="117">
        <v>1385</v>
      </c>
      <c r="CU602" s="117"/>
      <c r="CV602" s="117"/>
      <c r="CW602" s="117"/>
      <c r="CX602" s="117"/>
      <c r="CY602" s="117"/>
      <c r="CZ602" s="117"/>
      <c r="DA602" s="117"/>
      <c r="DB602" s="117"/>
      <c r="DC602" s="117"/>
    </row>
    <row r="603" spans="2:107">
      <c r="B603" s="1036" t="s">
        <v>2688</v>
      </c>
      <c r="C603" s="23"/>
      <c r="D603" s="15"/>
      <c r="E603" s="15"/>
      <c r="F603" s="15"/>
      <c r="G603" s="15"/>
      <c r="H603" s="15"/>
      <c r="I603" s="15"/>
      <c r="J603" s="15"/>
      <c r="K603" s="15"/>
      <c r="L603" s="23"/>
      <c r="M603" s="23"/>
      <c r="N603" s="27"/>
      <c r="O603" s="23"/>
      <c r="P603" s="16">
        <f>SUM(BX603:CA603)</f>
        <v>0</v>
      </c>
      <c r="Q603" s="16">
        <f>SUM(CB603:CE603)</f>
        <v>0</v>
      </c>
      <c r="R603" s="16">
        <f>SUM(CF603:CI603)</f>
        <v>0</v>
      </c>
      <c r="S603" s="16">
        <f>SUM(CJ603:CM603)</f>
        <v>0</v>
      </c>
      <c r="T603" s="16">
        <f>SUM(CN603:CQ603)</f>
        <v>0</v>
      </c>
      <c r="U603" s="16">
        <f>SUM(CR603:CU603)</f>
        <v>0</v>
      </c>
      <c r="V603" s="16">
        <f>SUM(CV603:CY603)</f>
        <v>385</v>
      </c>
      <c r="W603" s="16">
        <f t="shared" si="698"/>
        <v>0</v>
      </c>
      <c r="X603" s="35"/>
      <c r="Y603" s="35"/>
      <c r="Z603" s="35"/>
      <c r="AA603" s="35"/>
      <c r="AB603" s="35"/>
      <c r="AC603" s="35"/>
      <c r="AD603" s="35"/>
      <c r="AE603" s="20"/>
      <c r="AF603" s="23"/>
      <c r="AG603" s="23"/>
      <c r="AH603" s="23"/>
      <c r="AI603" s="23"/>
      <c r="AJ603" s="23"/>
      <c r="AK603" s="23"/>
      <c r="AL603" s="23"/>
      <c r="AM603" s="23"/>
      <c r="AN603" s="23"/>
      <c r="AO603" s="23"/>
      <c r="AP603" s="23"/>
      <c r="AQ603" s="23"/>
      <c r="AR603" s="23"/>
      <c r="AS603" s="23"/>
      <c r="AT603" s="23"/>
      <c r="AU603" s="23"/>
      <c r="AV603" s="23"/>
      <c r="AW603" s="23"/>
      <c r="AX603" s="23"/>
      <c r="AY603" s="23"/>
      <c r="AZ603" s="23"/>
      <c r="BA603" s="23"/>
      <c r="BB603" s="23"/>
      <c r="BC603" s="23"/>
      <c r="BD603" s="35"/>
      <c r="BE603" s="35"/>
      <c r="BF603" s="35"/>
      <c r="BG603" s="35"/>
      <c r="BH603" s="35"/>
      <c r="BI603" s="35"/>
      <c r="BJ603" s="35"/>
      <c r="BK603" s="35"/>
      <c r="BL603" s="36"/>
      <c r="BM603" s="36"/>
      <c r="BN603" s="36"/>
      <c r="BO603" s="36"/>
      <c r="BP603" s="35"/>
      <c r="BQ603" s="23"/>
      <c r="BR603" s="23"/>
      <c r="BS603" s="23"/>
      <c r="BT603" s="117"/>
      <c r="BU603" s="117"/>
      <c r="BV603" s="23"/>
      <c r="BW603" s="35"/>
      <c r="BX603" s="35"/>
      <c r="BY603" s="117"/>
      <c r="BZ603" s="117"/>
      <c r="CA603" s="117"/>
      <c r="CB603" s="117"/>
      <c r="CC603" s="117"/>
      <c r="CD603" s="117"/>
      <c r="CE603" s="117"/>
      <c r="CF603" s="117"/>
      <c r="CG603" s="117"/>
      <c r="CH603" s="117"/>
      <c r="CI603" s="117"/>
      <c r="CJ603" s="117"/>
      <c r="CK603" s="117"/>
      <c r="CL603" s="117"/>
      <c r="CM603" s="117"/>
      <c r="CN603" s="117"/>
      <c r="CO603" s="117"/>
      <c r="CP603" s="117"/>
      <c r="CQ603" s="117"/>
      <c r="CR603" s="117"/>
      <c r="CS603" s="117"/>
      <c r="CT603" s="117"/>
      <c r="CU603" s="117"/>
      <c r="CV603" s="117"/>
      <c r="CW603" s="117"/>
      <c r="CX603" s="117"/>
      <c r="CY603" s="117">
        <v>385</v>
      </c>
      <c r="CZ603" s="117"/>
      <c r="DA603" s="117"/>
      <c r="DB603" s="117"/>
      <c r="DC603" s="117"/>
    </row>
    <row r="604" spans="2:107">
      <c r="B604" s="1036" t="s">
        <v>2719</v>
      </c>
      <c r="C604" s="23"/>
      <c r="D604" s="15"/>
      <c r="E604" s="15"/>
      <c r="F604" s="15"/>
      <c r="G604" s="15"/>
      <c r="H604" s="15"/>
      <c r="I604" s="15"/>
      <c r="J604" s="15"/>
      <c r="K604" s="15"/>
      <c r="L604" s="23"/>
      <c r="M604" s="23"/>
      <c r="N604" s="27"/>
      <c r="O604" s="23"/>
      <c r="P604" s="16">
        <f>SUM(BX604:CA604)</f>
        <v>0</v>
      </c>
      <c r="Q604" s="16">
        <f>SUM(CB604:CE604)</f>
        <v>0</v>
      </c>
      <c r="R604" s="16">
        <f>SUM(CF604:CI604)</f>
        <v>0</v>
      </c>
      <c r="S604" s="16">
        <f>SUM(CJ604:CM604)</f>
        <v>0</v>
      </c>
      <c r="T604" s="16">
        <f>SUM(CN604:CQ604)</f>
        <v>0</v>
      </c>
      <c r="U604" s="16">
        <f>SUM(CR604:CU604)</f>
        <v>0</v>
      </c>
      <c r="V604" s="16">
        <f>SUM(CV604:CY604)</f>
        <v>0</v>
      </c>
      <c r="W604" s="16">
        <f t="shared" si="698"/>
        <v>1550</v>
      </c>
      <c r="X604" s="35"/>
      <c r="Y604" s="35"/>
      <c r="Z604" s="35"/>
      <c r="AA604" s="35"/>
      <c r="AB604" s="35"/>
      <c r="AC604" s="35"/>
      <c r="AD604" s="35"/>
      <c r="AE604" s="20"/>
      <c r="AF604" s="23"/>
      <c r="AG604" s="23"/>
      <c r="AH604" s="23"/>
      <c r="AI604" s="23"/>
      <c r="AJ604" s="23"/>
      <c r="AK604" s="23"/>
      <c r="AL604" s="23"/>
      <c r="AM604" s="23"/>
      <c r="AN604" s="23"/>
      <c r="AO604" s="23"/>
      <c r="AP604" s="23"/>
      <c r="AQ604" s="23"/>
      <c r="AR604" s="23"/>
      <c r="AS604" s="23"/>
      <c r="AT604" s="23"/>
      <c r="AU604" s="23"/>
      <c r="AV604" s="23"/>
      <c r="AW604" s="23"/>
      <c r="AX604" s="23"/>
      <c r="AY604" s="23"/>
      <c r="AZ604" s="23"/>
      <c r="BA604" s="23"/>
      <c r="BB604" s="23"/>
      <c r="BC604" s="23"/>
      <c r="BD604" s="35"/>
      <c r="BE604" s="35"/>
      <c r="BF604" s="35"/>
      <c r="BG604" s="35"/>
      <c r="BH604" s="35"/>
      <c r="BI604" s="35"/>
      <c r="BJ604" s="35"/>
      <c r="BK604" s="35"/>
      <c r="BL604" s="36"/>
      <c r="BM604" s="36"/>
      <c r="BN604" s="36"/>
      <c r="BO604" s="36"/>
      <c r="BP604" s="35"/>
      <c r="BQ604" s="23"/>
      <c r="BR604" s="23"/>
      <c r="BS604" s="23"/>
      <c r="BT604" s="117"/>
      <c r="BU604" s="117"/>
      <c r="BV604" s="23"/>
      <c r="BW604" s="35"/>
      <c r="BX604" s="35"/>
      <c r="BY604" s="117"/>
      <c r="BZ604" s="117"/>
      <c r="CA604" s="117"/>
      <c r="CB604" s="117"/>
      <c r="CC604" s="117"/>
      <c r="CD604" s="117"/>
      <c r="CE604" s="117"/>
      <c r="CF604" s="117"/>
      <c r="CG604" s="117"/>
      <c r="CH604" s="117"/>
      <c r="CI604" s="117"/>
      <c r="CJ604" s="117"/>
      <c r="CK604" s="117"/>
      <c r="CL604" s="117"/>
      <c r="CM604" s="117"/>
      <c r="CN604" s="117"/>
      <c r="CO604" s="117"/>
      <c r="CP604" s="117"/>
      <c r="CQ604" s="117"/>
      <c r="CR604" s="117"/>
      <c r="CS604" s="117"/>
      <c r="CT604" s="117"/>
      <c r="CU604" s="117"/>
      <c r="CV604" s="117"/>
      <c r="CW604" s="117"/>
      <c r="CX604" s="117"/>
      <c r="CY604" s="117"/>
      <c r="CZ604" s="117"/>
      <c r="DA604" s="117"/>
      <c r="DB604" s="117"/>
      <c r="DC604" s="117">
        <v>1550</v>
      </c>
    </row>
    <row r="605" spans="2:107">
      <c r="B605" s="1036" t="s">
        <v>2658</v>
      </c>
      <c r="C605" s="23"/>
      <c r="D605" s="15"/>
      <c r="E605" s="15"/>
      <c r="F605" s="15"/>
      <c r="G605" s="15"/>
      <c r="H605" s="15"/>
      <c r="I605" s="15"/>
      <c r="J605" s="15"/>
      <c r="K605" s="15"/>
      <c r="L605" s="23"/>
      <c r="M605" s="23"/>
      <c r="N605" s="27"/>
      <c r="O605" s="23"/>
      <c r="P605" s="16">
        <f>SUM(BX605:CA605)</f>
        <v>0</v>
      </c>
      <c r="Q605" s="16">
        <f>SUM(CB605:CE605)</f>
        <v>0</v>
      </c>
      <c r="R605" s="16">
        <f>SUM(CF605:CI605)</f>
        <v>0</v>
      </c>
      <c r="S605" s="16">
        <f>SUM(CJ605:CM605)</f>
        <v>0</v>
      </c>
      <c r="T605" s="16">
        <f>SUM(CN605:CQ605)</f>
        <v>0</v>
      </c>
      <c r="U605" s="16">
        <f>SUM(CR605:CU605)</f>
        <v>0</v>
      </c>
      <c r="V605" s="16">
        <f>SUM(CV605:CY605)</f>
        <v>0</v>
      </c>
      <c r="W605" s="16">
        <f t="shared" si="698"/>
        <v>1420</v>
      </c>
      <c r="X605" s="35"/>
      <c r="Y605" s="35"/>
      <c r="Z605" s="35"/>
      <c r="AA605" s="35"/>
      <c r="AB605" s="35"/>
      <c r="AC605" s="35"/>
      <c r="AD605" s="35"/>
      <c r="AE605" s="20"/>
      <c r="AF605" s="23"/>
      <c r="AG605" s="23"/>
      <c r="AH605" s="23"/>
      <c r="AI605" s="23"/>
      <c r="AJ605" s="23"/>
      <c r="AK605" s="23"/>
      <c r="AL605" s="23"/>
      <c r="AM605" s="23"/>
      <c r="AN605" s="23"/>
      <c r="AO605" s="23"/>
      <c r="AP605" s="23"/>
      <c r="AQ605" s="23"/>
      <c r="AR605" s="23"/>
      <c r="AS605" s="23"/>
      <c r="AT605" s="23"/>
      <c r="AU605" s="23"/>
      <c r="AV605" s="23"/>
      <c r="AW605" s="23"/>
      <c r="AX605" s="23"/>
      <c r="AY605" s="23"/>
      <c r="AZ605" s="23"/>
      <c r="BA605" s="23"/>
      <c r="BB605" s="23"/>
      <c r="BC605" s="23"/>
      <c r="BD605" s="35"/>
      <c r="BE605" s="35"/>
      <c r="BF605" s="35"/>
      <c r="BG605" s="35"/>
      <c r="BH605" s="35"/>
      <c r="BI605" s="35"/>
      <c r="BJ605" s="35"/>
      <c r="BK605" s="35"/>
      <c r="BL605" s="36"/>
      <c r="BM605" s="36"/>
      <c r="BN605" s="36"/>
      <c r="BO605" s="36"/>
      <c r="BP605" s="35"/>
      <c r="BQ605" s="23"/>
      <c r="BR605" s="23"/>
      <c r="BS605" s="23"/>
      <c r="BT605" s="117"/>
      <c r="BU605" s="117"/>
      <c r="BV605" s="23"/>
      <c r="BW605" s="35"/>
      <c r="BX605" s="35"/>
      <c r="BY605" s="117"/>
      <c r="BZ605" s="117"/>
      <c r="CA605" s="117"/>
      <c r="CB605" s="117"/>
      <c r="CC605" s="117"/>
      <c r="CD605" s="117"/>
      <c r="CE605" s="117"/>
      <c r="CF605" s="117"/>
      <c r="CG605" s="117"/>
      <c r="CH605" s="117"/>
      <c r="CI605" s="117"/>
      <c r="CJ605" s="117"/>
      <c r="CK605" s="117"/>
      <c r="CL605" s="117"/>
      <c r="CM605" s="117"/>
      <c r="CN605" s="117"/>
      <c r="CO605" s="117"/>
      <c r="CP605" s="117"/>
      <c r="CQ605" s="117"/>
      <c r="CR605" s="117"/>
      <c r="CS605" s="117"/>
      <c r="CT605" s="117"/>
      <c r="CU605" s="117"/>
      <c r="CV605" s="117"/>
      <c r="CW605" s="117"/>
      <c r="CX605" s="117"/>
      <c r="CY605" s="117"/>
      <c r="CZ605" s="117">
        <v>1420</v>
      </c>
      <c r="DA605" s="117"/>
      <c r="DB605" s="117"/>
      <c r="DC605" s="117"/>
    </row>
    <row r="606" spans="2:107">
      <c r="B606" s="25" t="s">
        <v>698</v>
      </c>
      <c r="C606" s="23"/>
      <c r="D606" s="15"/>
      <c r="E606" s="15"/>
      <c r="F606" s="15"/>
      <c r="G606" s="15"/>
      <c r="H606" s="15"/>
      <c r="I606" s="15"/>
      <c r="J606" s="15"/>
      <c r="K606" s="15"/>
      <c r="L606" s="23"/>
      <c r="M606" s="23"/>
      <c r="N606" s="27"/>
      <c r="O606" s="23">
        <f>SUM(BT606:BW606)</f>
        <v>820</v>
      </c>
      <c r="P606" s="16">
        <f t="shared" si="712"/>
        <v>0</v>
      </c>
      <c r="Q606" s="16">
        <f t="shared" si="713"/>
        <v>0</v>
      </c>
      <c r="R606" s="16">
        <f t="shared" si="702"/>
        <v>0</v>
      </c>
      <c r="S606" s="16">
        <f t="shared" si="703"/>
        <v>0</v>
      </c>
      <c r="T606" s="16">
        <f t="shared" si="693"/>
        <v>0</v>
      </c>
      <c r="U606" s="16">
        <f t="shared" si="696"/>
        <v>0</v>
      </c>
      <c r="V606" s="16">
        <f t="shared" si="697"/>
        <v>0</v>
      </c>
      <c r="W606" s="16">
        <f t="shared" si="698"/>
        <v>0</v>
      </c>
      <c r="X606" s="35"/>
      <c r="Y606" s="35"/>
      <c r="Z606" s="35"/>
      <c r="AA606" s="35"/>
      <c r="AB606" s="35"/>
      <c r="AC606" s="35"/>
      <c r="AD606" s="35"/>
      <c r="AE606" s="20"/>
      <c r="AF606" s="23"/>
      <c r="AG606" s="23"/>
      <c r="AH606" s="23"/>
      <c r="AI606" s="23"/>
      <c r="AJ606" s="23"/>
      <c r="AK606" s="23"/>
      <c r="AL606" s="23"/>
      <c r="AM606" s="23"/>
      <c r="AN606" s="23"/>
      <c r="AO606" s="23"/>
      <c r="AP606" s="23"/>
      <c r="AQ606" s="23"/>
      <c r="AR606" s="23"/>
      <c r="AS606" s="23"/>
      <c r="AT606" s="23"/>
      <c r="AU606" s="23"/>
      <c r="AV606" s="23"/>
      <c r="AW606" s="23"/>
      <c r="AX606" s="23"/>
      <c r="AY606" s="23"/>
      <c r="AZ606" s="23"/>
      <c r="BA606" s="23"/>
      <c r="BB606" s="23"/>
      <c r="BC606" s="23"/>
      <c r="BD606" s="35"/>
      <c r="BE606" s="35"/>
      <c r="BF606" s="35"/>
      <c r="BG606" s="35"/>
      <c r="BH606" s="35"/>
      <c r="BI606" s="35"/>
      <c r="BJ606" s="35"/>
      <c r="BK606" s="35"/>
      <c r="BL606" s="36"/>
      <c r="BM606" s="36"/>
      <c r="BN606" s="36"/>
      <c r="BO606" s="36"/>
      <c r="BP606" s="35"/>
      <c r="BQ606" s="23"/>
      <c r="BR606" s="23"/>
      <c r="BS606" s="23"/>
      <c r="BT606" s="117"/>
      <c r="BU606" s="117">
        <v>820</v>
      </c>
      <c r="BV606" s="23"/>
      <c r="BW606" s="35"/>
      <c r="BX606" s="35"/>
      <c r="BY606" s="35"/>
      <c r="BZ606" s="35"/>
      <c r="CA606" s="35"/>
      <c r="CB606" s="35"/>
      <c r="CC606" s="35"/>
      <c r="CD606" s="35"/>
      <c r="CE606" s="35"/>
      <c r="CF606" s="35"/>
      <c r="CG606" s="35"/>
      <c r="CH606" s="35"/>
      <c r="CI606" s="35"/>
      <c r="CJ606" s="35"/>
      <c r="CK606" s="35"/>
      <c r="CL606" s="35"/>
      <c r="CM606" s="35"/>
      <c r="CN606" s="35"/>
      <c r="CO606" s="35"/>
      <c r="CP606" s="35"/>
      <c r="CQ606" s="35"/>
      <c r="CR606" s="35"/>
      <c r="CS606" s="35"/>
      <c r="CT606" s="35"/>
      <c r="CU606" s="35"/>
      <c r="CV606" s="35"/>
      <c r="CW606" s="35"/>
      <c r="CX606" s="35"/>
      <c r="CY606" s="35"/>
      <c r="CZ606" s="35"/>
      <c r="DA606" s="35"/>
      <c r="DB606" s="35"/>
      <c r="DC606" s="35"/>
    </row>
    <row r="607" spans="2:107">
      <c r="B607" s="25" t="s">
        <v>1332</v>
      </c>
      <c r="C607" s="23"/>
      <c r="D607" s="15"/>
      <c r="E607" s="15"/>
      <c r="F607" s="15"/>
      <c r="G607" s="15"/>
      <c r="H607" s="15"/>
      <c r="I607" s="15"/>
      <c r="J607" s="15"/>
      <c r="K607" s="15"/>
      <c r="L607" s="23"/>
      <c r="M607" s="23"/>
      <c r="N607" s="27"/>
      <c r="O607" s="23"/>
      <c r="P607" s="16">
        <f t="shared" si="712"/>
        <v>0</v>
      </c>
      <c r="Q607" s="16">
        <f t="shared" si="713"/>
        <v>1675</v>
      </c>
      <c r="R607" s="16">
        <f t="shared" si="702"/>
        <v>0</v>
      </c>
      <c r="S607" s="16">
        <f t="shared" si="703"/>
        <v>0</v>
      </c>
      <c r="T607" s="16">
        <f t="shared" si="693"/>
        <v>0</v>
      </c>
      <c r="U607" s="16">
        <f t="shared" si="696"/>
        <v>0</v>
      </c>
      <c r="V607" s="16">
        <f t="shared" si="697"/>
        <v>0</v>
      </c>
      <c r="W607" s="16">
        <f t="shared" si="698"/>
        <v>0</v>
      </c>
      <c r="X607" s="35"/>
      <c r="Y607" s="35"/>
      <c r="Z607" s="35"/>
      <c r="AA607" s="35"/>
      <c r="AB607" s="35"/>
      <c r="AC607" s="35"/>
      <c r="AD607" s="35"/>
      <c r="AE607" s="20"/>
      <c r="AF607" s="23"/>
      <c r="AG607" s="23"/>
      <c r="AH607" s="23"/>
      <c r="AI607" s="23"/>
      <c r="AJ607" s="23"/>
      <c r="AK607" s="23"/>
      <c r="AL607" s="23"/>
      <c r="AM607" s="23"/>
      <c r="AN607" s="23"/>
      <c r="AO607" s="23"/>
      <c r="AP607" s="23"/>
      <c r="AQ607" s="23"/>
      <c r="AR607" s="23"/>
      <c r="AS607" s="23"/>
      <c r="AT607" s="23"/>
      <c r="AU607" s="23"/>
      <c r="AV607" s="23"/>
      <c r="AW607" s="23"/>
      <c r="AX607" s="23"/>
      <c r="AY607" s="23"/>
      <c r="AZ607" s="23"/>
      <c r="BA607" s="23"/>
      <c r="BB607" s="23"/>
      <c r="BC607" s="23"/>
      <c r="BD607" s="35"/>
      <c r="BE607" s="35"/>
      <c r="BF607" s="35"/>
      <c r="BG607" s="35"/>
      <c r="BH607" s="35"/>
      <c r="BI607" s="35"/>
      <c r="BJ607" s="35"/>
      <c r="BK607" s="35"/>
      <c r="BL607" s="36"/>
      <c r="BM607" s="36"/>
      <c r="BN607" s="36"/>
      <c r="BO607" s="36"/>
      <c r="BP607" s="35"/>
      <c r="BQ607" s="23"/>
      <c r="BR607" s="23"/>
      <c r="BS607" s="23"/>
      <c r="BT607" s="117"/>
      <c r="BU607" s="117"/>
      <c r="BV607" s="23"/>
      <c r="BW607" s="35"/>
      <c r="BX607" s="35"/>
      <c r="BY607" s="35"/>
      <c r="BZ607" s="35"/>
      <c r="CA607" s="35"/>
      <c r="CB607" s="35"/>
      <c r="CC607" s="35"/>
      <c r="CD607" s="117">
        <v>1675</v>
      </c>
      <c r="CE607" s="117"/>
      <c r="CF607" s="117"/>
      <c r="CG607" s="117"/>
      <c r="CH607" s="117"/>
      <c r="CI607" s="117"/>
      <c r="CJ607" s="117"/>
      <c r="CK607" s="117"/>
      <c r="CL607" s="117"/>
      <c r="CM607" s="117"/>
      <c r="CN607" s="117"/>
      <c r="CO607" s="117"/>
      <c r="CP607" s="117"/>
      <c r="CQ607" s="117"/>
      <c r="CR607" s="117"/>
      <c r="CS607" s="117"/>
      <c r="CT607" s="117"/>
      <c r="CU607" s="117"/>
      <c r="CV607" s="117"/>
      <c r="CW607" s="117"/>
      <c r="CX607" s="117"/>
      <c r="CY607" s="117"/>
      <c r="CZ607" s="117"/>
      <c r="DA607" s="117"/>
      <c r="DB607" s="117"/>
      <c r="DC607" s="117"/>
    </row>
    <row r="608" spans="2:107">
      <c r="B608" s="1036" t="s">
        <v>1855</v>
      </c>
      <c r="C608" s="23"/>
      <c r="D608" s="15"/>
      <c r="E608" s="15"/>
      <c r="F608" s="15"/>
      <c r="G608" s="15"/>
      <c r="H608" s="15"/>
      <c r="I608" s="15"/>
      <c r="J608" s="15"/>
      <c r="K608" s="15"/>
      <c r="L608" s="23"/>
      <c r="M608" s="23"/>
      <c r="N608" s="27"/>
      <c r="O608" s="23"/>
      <c r="P608" s="16">
        <f>SUM(BX608:CA608)</f>
        <v>0</v>
      </c>
      <c r="Q608" s="16">
        <f>SUM(CB608:CE608)</f>
        <v>0</v>
      </c>
      <c r="R608" s="16">
        <f t="shared" si="702"/>
        <v>0</v>
      </c>
      <c r="S608" s="16">
        <f t="shared" si="703"/>
        <v>0</v>
      </c>
      <c r="T608" s="16">
        <f t="shared" si="693"/>
        <v>660</v>
      </c>
      <c r="U608" s="16">
        <f t="shared" si="696"/>
        <v>0</v>
      </c>
      <c r="V608" s="16">
        <f t="shared" si="697"/>
        <v>0</v>
      </c>
      <c r="W608" s="16">
        <f t="shared" si="698"/>
        <v>0</v>
      </c>
      <c r="X608" s="35"/>
      <c r="Y608" s="35"/>
      <c r="Z608" s="35"/>
      <c r="AA608" s="35"/>
      <c r="AB608" s="35"/>
      <c r="AC608" s="35"/>
      <c r="AD608" s="35"/>
      <c r="AE608" s="20"/>
      <c r="AF608" s="23"/>
      <c r="AG608" s="23"/>
      <c r="AH608" s="23"/>
      <c r="AI608" s="23"/>
      <c r="AJ608" s="23"/>
      <c r="AK608" s="23"/>
      <c r="AL608" s="23"/>
      <c r="AM608" s="23"/>
      <c r="AN608" s="23"/>
      <c r="AO608" s="23"/>
      <c r="AP608" s="23"/>
      <c r="AQ608" s="23"/>
      <c r="AR608" s="23"/>
      <c r="AS608" s="23"/>
      <c r="AT608" s="23"/>
      <c r="AU608" s="23"/>
      <c r="AV608" s="23"/>
      <c r="AW608" s="23"/>
      <c r="AX608" s="23"/>
      <c r="AY608" s="23"/>
      <c r="AZ608" s="23"/>
      <c r="BA608" s="23"/>
      <c r="BB608" s="23"/>
      <c r="BC608" s="23"/>
      <c r="BD608" s="35"/>
      <c r="BE608" s="35"/>
      <c r="BF608" s="35"/>
      <c r="BG608" s="35"/>
      <c r="BH608" s="35"/>
      <c r="BI608" s="35"/>
      <c r="BJ608" s="35"/>
      <c r="BK608" s="35"/>
      <c r="BL608" s="36"/>
      <c r="BM608" s="36"/>
      <c r="BN608" s="36"/>
      <c r="BO608" s="36"/>
      <c r="BP608" s="35"/>
      <c r="BQ608" s="23"/>
      <c r="BR608" s="23"/>
      <c r="BS608" s="23"/>
      <c r="BT608" s="117"/>
      <c r="BU608" s="117"/>
      <c r="BV608" s="23"/>
      <c r="BW608" s="35"/>
      <c r="BX608" s="35"/>
      <c r="BY608" s="35"/>
      <c r="BZ608" s="35"/>
      <c r="CA608" s="35"/>
      <c r="CB608" s="35"/>
      <c r="CC608" s="35"/>
      <c r="CD608" s="117"/>
      <c r="CE608" s="117"/>
      <c r="CF608" s="117"/>
      <c r="CG608" s="117"/>
      <c r="CH608" s="117"/>
      <c r="CI608" s="117"/>
      <c r="CJ608" s="117"/>
      <c r="CK608" s="117"/>
      <c r="CL608" s="117"/>
      <c r="CM608" s="117"/>
      <c r="CN608" s="117"/>
      <c r="CO608" s="117">
        <v>660</v>
      </c>
      <c r="CP608" s="117"/>
      <c r="CQ608" s="117"/>
      <c r="CR608" s="117"/>
      <c r="CS608" s="117"/>
      <c r="CT608" s="117"/>
      <c r="CU608" s="117"/>
      <c r="CV608" s="117"/>
      <c r="CW608" s="117"/>
      <c r="CX608" s="117"/>
      <c r="CY608" s="117"/>
      <c r="CZ608" s="117"/>
      <c r="DA608" s="117"/>
      <c r="DB608" s="117"/>
      <c r="DC608" s="117"/>
    </row>
    <row r="609" spans="2:107">
      <c r="B609" s="1036" t="s">
        <v>2562</v>
      </c>
      <c r="C609" s="23"/>
      <c r="D609" s="15"/>
      <c r="E609" s="15"/>
      <c r="F609" s="15"/>
      <c r="G609" s="15"/>
      <c r="H609" s="15"/>
      <c r="I609" s="15"/>
      <c r="J609" s="15"/>
      <c r="K609" s="15"/>
      <c r="L609" s="23"/>
      <c r="M609" s="23"/>
      <c r="N609" s="27"/>
      <c r="O609" s="23"/>
      <c r="P609" s="16">
        <f>SUM(BX609:CA609)</f>
        <v>0</v>
      </c>
      <c r="Q609" s="16">
        <f>SUM(CB609:CE609)</f>
        <v>0</v>
      </c>
      <c r="R609" s="16">
        <f t="shared" si="702"/>
        <v>0</v>
      </c>
      <c r="S609" s="16">
        <f t="shared" si="703"/>
        <v>0</v>
      </c>
      <c r="T609" s="16">
        <f>SUM(CN609:CQ609)</f>
        <v>0</v>
      </c>
      <c r="U609" s="16">
        <f>SUM(CR609:CU609)</f>
        <v>0</v>
      </c>
      <c r="V609" s="16">
        <f t="shared" si="697"/>
        <v>960</v>
      </c>
      <c r="W609" s="16">
        <f t="shared" si="698"/>
        <v>0</v>
      </c>
      <c r="X609" s="35"/>
      <c r="Y609" s="35"/>
      <c r="Z609" s="35"/>
      <c r="AA609" s="35"/>
      <c r="AB609" s="35"/>
      <c r="AC609" s="35"/>
      <c r="AD609" s="35"/>
      <c r="AE609" s="20"/>
      <c r="AF609" s="23"/>
      <c r="AG609" s="23"/>
      <c r="AH609" s="23"/>
      <c r="AI609" s="23"/>
      <c r="AJ609" s="23"/>
      <c r="AK609" s="23"/>
      <c r="AL609" s="23"/>
      <c r="AM609" s="23"/>
      <c r="AN609" s="23"/>
      <c r="AO609" s="23"/>
      <c r="AP609" s="23"/>
      <c r="AQ609" s="23"/>
      <c r="AR609" s="23"/>
      <c r="AS609" s="23"/>
      <c r="AT609" s="23"/>
      <c r="AU609" s="23"/>
      <c r="AV609" s="23"/>
      <c r="AW609" s="23"/>
      <c r="AX609" s="23"/>
      <c r="AY609" s="23"/>
      <c r="AZ609" s="23"/>
      <c r="BA609" s="23"/>
      <c r="BB609" s="23"/>
      <c r="BC609" s="23"/>
      <c r="BD609" s="35"/>
      <c r="BE609" s="35"/>
      <c r="BF609" s="35"/>
      <c r="BG609" s="35"/>
      <c r="BH609" s="35"/>
      <c r="BI609" s="35"/>
      <c r="BJ609" s="35"/>
      <c r="BK609" s="35"/>
      <c r="BL609" s="36"/>
      <c r="BM609" s="36"/>
      <c r="BN609" s="36"/>
      <c r="BO609" s="36"/>
      <c r="BP609" s="35"/>
      <c r="BQ609" s="23"/>
      <c r="BR609" s="23"/>
      <c r="BS609" s="23"/>
      <c r="BT609" s="117"/>
      <c r="BU609" s="117"/>
      <c r="BV609" s="23"/>
      <c r="BW609" s="35"/>
      <c r="BX609" s="35"/>
      <c r="BY609" s="35"/>
      <c r="BZ609" s="35"/>
      <c r="CA609" s="35"/>
      <c r="CB609" s="35"/>
      <c r="CC609" s="35"/>
      <c r="CD609" s="117"/>
      <c r="CE609" s="117"/>
      <c r="CF609" s="117"/>
      <c r="CG609" s="117"/>
      <c r="CH609" s="117"/>
      <c r="CI609" s="117"/>
      <c r="CJ609" s="117"/>
      <c r="CK609" s="117"/>
      <c r="CL609" s="117"/>
      <c r="CM609" s="117"/>
      <c r="CN609" s="117"/>
      <c r="CO609" s="117"/>
      <c r="CP609" s="117"/>
      <c r="CQ609" s="117"/>
      <c r="CR609" s="117"/>
      <c r="CS609" s="117"/>
      <c r="CT609" s="117"/>
      <c r="CU609" s="117"/>
      <c r="CV609" s="117"/>
      <c r="CW609" s="117">
        <v>960</v>
      </c>
      <c r="CX609" s="117"/>
      <c r="CY609" s="117"/>
      <c r="CZ609" s="117"/>
      <c r="DA609" s="117"/>
      <c r="DB609" s="117"/>
      <c r="DC609" s="117"/>
    </row>
    <row r="610" spans="2:107">
      <c r="B610" s="1036" t="s">
        <v>2657</v>
      </c>
      <c r="C610" s="23"/>
      <c r="D610" s="15"/>
      <c r="E610" s="15"/>
      <c r="F610" s="15"/>
      <c r="G610" s="15"/>
      <c r="H610" s="15"/>
      <c r="I610" s="15"/>
      <c r="J610" s="15"/>
      <c r="K610" s="15"/>
      <c r="L610" s="23"/>
      <c r="M610" s="23"/>
      <c r="N610" s="27"/>
      <c r="O610" s="23"/>
      <c r="P610" s="16">
        <f>SUM(BX610:CA610)</f>
        <v>0</v>
      </c>
      <c r="Q610" s="16">
        <f>SUM(CB610:CE610)</f>
        <v>0</v>
      </c>
      <c r="R610" s="16">
        <f>SUM(CF610:CI610)</f>
        <v>0</v>
      </c>
      <c r="S610" s="16">
        <f>SUM(CJ610:CM610)</f>
        <v>0</v>
      </c>
      <c r="T610" s="16">
        <f>SUM(CN610:CQ610)</f>
        <v>0</v>
      </c>
      <c r="U610" s="16">
        <f>SUM(CR610:CU610)</f>
        <v>0</v>
      </c>
      <c r="V610" s="16">
        <f>SUM(CV610:CY610)</f>
        <v>0</v>
      </c>
      <c r="W610" s="16">
        <f t="shared" si="698"/>
        <v>1045</v>
      </c>
      <c r="X610" s="35"/>
      <c r="Y610" s="35"/>
      <c r="Z610" s="35"/>
      <c r="AA610" s="35"/>
      <c r="AB610" s="35"/>
      <c r="AC610" s="35"/>
      <c r="AD610" s="35"/>
      <c r="AE610" s="20"/>
      <c r="AF610" s="23"/>
      <c r="AG610" s="23"/>
      <c r="AH610" s="23"/>
      <c r="AI610" s="23"/>
      <c r="AJ610" s="23"/>
      <c r="AK610" s="23"/>
      <c r="AL610" s="23"/>
      <c r="AM610" s="23"/>
      <c r="AN610" s="23"/>
      <c r="AO610" s="23"/>
      <c r="AP610" s="23"/>
      <c r="AQ610" s="23"/>
      <c r="AR610" s="23"/>
      <c r="AS610" s="23"/>
      <c r="AT610" s="23"/>
      <c r="AU610" s="23"/>
      <c r="AV610" s="23"/>
      <c r="AW610" s="23"/>
      <c r="AX610" s="23"/>
      <c r="AY610" s="23"/>
      <c r="AZ610" s="23"/>
      <c r="BA610" s="23"/>
      <c r="BB610" s="23"/>
      <c r="BC610" s="23"/>
      <c r="BD610" s="35"/>
      <c r="BE610" s="35"/>
      <c r="BF610" s="35"/>
      <c r="BG610" s="35"/>
      <c r="BH610" s="35"/>
      <c r="BI610" s="35"/>
      <c r="BJ610" s="35"/>
      <c r="BK610" s="35"/>
      <c r="BL610" s="36"/>
      <c r="BM610" s="36"/>
      <c r="BN610" s="36"/>
      <c r="BO610" s="36"/>
      <c r="BP610" s="35"/>
      <c r="BQ610" s="23"/>
      <c r="BR610" s="23"/>
      <c r="BS610" s="23"/>
      <c r="BT610" s="117"/>
      <c r="BU610" s="117"/>
      <c r="BV610" s="23"/>
      <c r="BW610" s="35"/>
      <c r="BX610" s="35"/>
      <c r="BY610" s="35"/>
      <c r="BZ610" s="35"/>
      <c r="CA610" s="35"/>
      <c r="CB610" s="35"/>
      <c r="CC610" s="35"/>
      <c r="CD610" s="117"/>
      <c r="CE610" s="117"/>
      <c r="CF610" s="117"/>
      <c r="CG610" s="117"/>
      <c r="CH610" s="117"/>
      <c r="CI610" s="117"/>
      <c r="CJ610" s="117"/>
      <c r="CK610" s="117"/>
      <c r="CL610" s="117"/>
      <c r="CM610" s="117"/>
      <c r="CN610" s="117"/>
      <c r="CO610" s="117"/>
      <c r="CP610" s="117"/>
      <c r="CQ610" s="117"/>
      <c r="CR610" s="117"/>
      <c r="CS610" s="117"/>
      <c r="CT610" s="117"/>
      <c r="CU610" s="117"/>
      <c r="CV610" s="117"/>
      <c r="CW610" s="117"/>
      <c r="CX610" s="117"/>
      <c r="CY610" s="117"/>
      <c r="CZ610" s="117">
        <v>1045</v>
      </c>
      <c r="DA610" s="117"/>
      <c r="DB610" s="117"/>
      <c r="DC610" s="117"/>
    </row>
    <row r="611" spans="2:107" s="69" customFormat="1">
      <c r="B611" s="2327" t="s">
        <v>55</v>
      </c>
      <c r="C611" s="123"/>
      <c r="D611" s="124"/>
      <c r="E611" s="124"/>
      <c r="F611" s="124"/>
      <c r="G611" s="124"/>
      <c r="H611" s="124"/>
      <c r="I611" s="124"/>
      <c r="J611" s="124"/>
      <c r="K611" s="124"/>
      <c r="L611" s="123"/>
      <c r="M611" s="123"/>
      <c r="N611" s="2328"/>
      <c r="O611" s="123"/>
      <c r="P611" s="126">
        <f t="shared" si="712"/>
        <v>1880</v>
      </c>
      <c r="Q611" s="126">
        <f t="shared" si="713"/>
        <v>0</v>
      </c>
      <c r="R611" s="126">
        <f t="shared" si="702"/>
        <v>0</v>
      </c>
      <c r="S611" s="126">
        <f t="shared" si="703"/>
        <v>0</v>
      </c>
      <c r="T611" s="126">
        <f t="shared" si="693"/>
        <v>0</v>
      </c>
      <c r="U611" s="126">
        <f t="shared" si="696"/>
        <v>0</v>
      </c>
      <c r="V611" s="126">
        <f t="shared" si="697"/>
        <v>0</v>
      </c>
      <c r="W611" s="126">
        <f t="shared" si="698"/>
        <v>0</v>
      </c>
      <c r="X611" s="837"/>
      <c r="Y611" s="837"/>
      <c r="Z611" s="837"/>
      <c r="AA611" s="837"/>
      <c r="AB611" s="837"/>
      <c r="AC611" s="837"/>
      <c r="AD611" s="837"/>
      <c r="AE611" s="2329"/>
      <c r="AF611" s="123"/>
      <c r="AG611" s="123"/>
      <c r="AH611" s="123"/>
      <c r="AI611" s="123"/>
      <c r="AJ611" s="123"/>
      <c r="AK611" s="123"/>
      <c r="AL611" s="123"/>
      <c r="AM611" s="123"/>
      <c r="AN611" s="123"/>
      <c r="AO611" s="123"/>
      <c r="AP611" s="123"/>
      <c r="AQ611" s="123"/>
      <c r="AR611" s="123"/>
      <c r="AS611" s="123"/>
      <c r="AT611" s="123"/>
      <c r="AU611" s="123"/>
      <c r="AV611" s="123"/>
      <c r="AW611" s="123"/>
      <c r="AX611" s="123"/>
      <c r="AY611" s="123"/>
      <c r="AZ611" s="123"/>
      <c r="BA611" s="123"/>
      <c r="BB611" s="123"/>
      <c r="BC611" s="123"/>
      <c r="BD611" s="837"/>
      <c r="BE611" s="837"/>
      <c r="BF611" s="837"/>
      <c r="BG611" s="837"/>
      <c r="BH611" s="837"/>
      <c r="BI611" s="837"/>
      <c r="BJ611" s="837"/>
      <c r="BK611" s="837"/>
      <c r="BL611" s="838"/>
      <c r="BM611" s="838"/>
      <c r="BN611" s="838"/>
      <c r="BO611" s="838"/>
      <c r="BP611" s="837"/>
      <c r="BQ611" s="123"/>
      <c r="BR611" s="123"/>
      <c r="BS611" s="123"/>
      <c r="BT611" s="2330"/>
      <c r="BU611" s="2330"/>
      <c r="BV611" s="123"/>
      <c r="BW611" s="837"/>
      <c r="BX611" s="837"/>
      <c r="BY611" s="2330">
        <v>1880</v>
      </c>
      <c r="BZ611" s="2330"/>
      <c r="CA611" s="2330"/>
      <c r="CB611" s="2330"/>
      <c r="CC611" s="2330"/>
      <c r="CD611" s="2330"/>
      <c r="CE611" s="2330"/>
      <c r="CF611" s="2330"/>
      <c r="CG611" s="2330"/>
      <c r="CH611" s="2330"/>
      <c r="CI611" s="2330"/>
      <c r="CJ611" s="2330"/>
      <c r="CK611" s="2330"/>
      <c r="CL611" s="2330"/>
      <c r="CM611" s="2330"/>
      <c r="CN611" s="837"/>
      <c r="CO611" s="837"/>
      <c r="CP611" s="837"/>
      <c r="CQ611" s="837"/>
      <c r="CR611" s="837"/>
      <c r="CS611" s="837"/>
      <c r="CT611" s="837"/>
      <c r="CU611" s="837"/>
      <c r="CV611" s="837"/>
      <c r="CW611" s="837"/>
      <c r="CX611" s="837"/>
      <c r="CY611" s="837"/>
      <c r="CZ611" s="837"/>
      <c r="DA611" s="837"/>
      <c r="DB611" s="837"/>
      <c r="DC611" s="837"/>
    </row>
    <row r="612" spans="2:107" s="69" customFormat="1">
      <c r="B612" s="2359" t="s">
        <v>2734</v>
      </c>
      <c r="C612" s="123"/>
      <c r="D612" s="124"/>
      <c r="E612" s="124"/>
      <c r="F612" s="124"/>
      <c r="G612" s="124"/>
      <c r="H612" s="124"/>
      <c r="I612" s="124"/>
      <c r="J612" s="124"/>
      <c r="K612" s="124"/>
      <c r="L612" s="123"/>
      <c r="M612" s="123"/>
      <c r="N612" s="2328"/>
      <c r="O612" s="123"/>
      <c r="P612" s="126"/>
      <c r="Q612" s="126"/>
      <c r="R612" s="126"/>
      <c r="S612" s="126"/>
      <c r="T612" s="16">
        <f>SUM(CN612:CQ612)</f>
        <v>0</v>
      </c>
      <c r="U612" s="16">
        <f>SUM(CR612:CU612)</f>
        <v>0</v>
      </c>
      <c r="V612" s="16">
        <f t="shared" ref="V612" si="714">SUM(CV612:CY612)</f>
        <v>0</v>
      </c>
      <c r="W612" s="16">
        <f t="shared" si="698"/>
        <v>550</v>
      </c>
      <c r="X612" s="35"/>
      <c r="Y612" s="35"/>
      <c r="Z612" s="35"/>
      <c r="AA612" s="35"/>
      <c r="AB612" s="35"/>
      <c r="AC612" s="35"/>
      <c r="AD612" s="35"/>
      <c r="AE612" s="20"/>
      <c r="AF612" s="23"/>
      <c r="AG612" s="23"/>
      <c r="AH612" s="23"/>
      <c r="AI612" s="23"/>
      <c r="AJ612" s="23"/>
      <c r="AK612" s="23"/>
      <c r="AL612" s="23"/>
      <c r="AM612" s="23"/>
      <c r="AN612" s="23"/>
      <c r="AO612" s="23"/>
      <c r="AP612" s="23"/>
      <c r="AQ612" s="23"/>
      <c r="AR612" s="23"/>
      <c r="AS612" s="23"/>
      <c r="AT612" s="23"/>
      <c r="AU612" s="23"/>
      <c r="AV612" s="23"/>
      <c r="AW612" s="23"/>
      <c r="AX612" s="23"/>
      <c r="AY612" s="23"/>
      <c r="AZ612" s="23"/>
      <c r="BA612" s="23"/>
      <c r="BB612" s="23"/>
      <c r="BC612" s="23"/>
      <c r="BD612" s="35"/>
      <c r="BE612" s="35"/>
      <c r="BF612" s="35"/>
      <c r="BG612" s="35"/>
      <c r="BH612" s="35"/>
      <c r="BI612" s="35"/>
      <c r="BJ612" s="35"/>
      <c r="BK612" s="35"/>
      <c r="BL612" s="36"/>
      <c r="BM612" s="36"/>
      <c r="BN612" s="36"/>
      <c r="BO612" s="36"/>
      <c r="BP612" s="35"/>
      <c r="BQ612" s="23"/>
      <c r="BR612" s="23"/>
      <c r="BS612" s="23"/>
      <c r="BT612" s="117"/>
      <c r="BU612" s="117"/>
      <c r="BV612" s="23"/>
      <c r="BW612" s="35"/>
      <c r="BX612" s="35"/>
      <c r="BY612" s="117"/>
      <c r="BZ612" s="117"/>
      <c r="CA612" s="117"/>
      <c r="CB612" s="117"/>
      <c r="CC612" s="117"/>
      <c r="CD612" s="117"/>
      <c r="CE612" s="117"/>
      <c r="CF612" s="117"/>
      <c r="CG612" s="117"/>
      <c r="CH612" s="117"/>
      <c r="CI612" s="117"/>
      <c r="CJ612" s="117"/>
      <c r="CK612" s="117"/>
      <c r="CL612" s="117"/>
      <c r="CM612" s="117"/>
      <c r="CN612" s="117"/>
      <c r="CO612" s="117"/>
      <c r="CP612" s="117"/>
      <c r="CQ612" s="117"/>
      <c r="CR612" s="117"/>
      <c r="CS612" s="117"/>
      <c r="CT612" s="117"/>
      <c r="CU612" s="117"/>
      <c r="CV612" s="117"/>
      <c r="CW612" s="117"/>
      <c r="CX612" s="117"/>
      <c r="CY612" s="117"/>
      <c r="CZ612" s="117"/>
      <c r="DA612" s="117"/>
      <c r="DB612" s="117">
        <v>550</v>
      </c>
      <c r="DC612" s="117"/>
    </row>
    <row r="613" spans="2:107">
      <c r="B613" s="1036" t="s">
        <v>2495</v>
      </c>
      <c r="C613" s="23"/>
      <c r="D613" s="15"/>
      <c r="E613" s="15"/>
      <c r="F613" s="15"/>
      <c r="G613" s="15"/>
      <c r="H613" s="15"/>
      <c r="I613" s="15"/>
      <c r="J613" s="15"/>
      <c r="K613" s="15"/>
      <c r="L613" s="23"/>
      <c r="M613" s="23"/>
      <c r="N613" s="27"/>
      <c r="O613" s="23"/>
      <c r="P613" s="16"/>
      <c r="Q613" s="16"/>
      <c r="R613" s="16"/>
      <c r="S613" s="16"/>
      <c r="T613" s="16"/>
      <c r="U613" s="16">
        <f>SUM(CR613:CU613)</f>
        <v>390</v>
      </c>
      <c r="V613" s="16">
        <f t="shared" si="697"/>
        <v>0</v>
      </c>
      <c r="W613" s="16">
        <f t="shared" si="698"/>
        <v>0</v>
      </c>
      <c r="X613" s="35"/>
      <c r="Y613" s="35"/>
      <c r="Z613" s="35"/>
      <c r="AA613" s="35"/>
      <c r="AB613" s="35"/>
      <c r="AC613" s="35"/>
      <c r="AD613" s="35"/>
      <c r="AE613" s="20"/>
      <c r="AF613" s="23"/>
      <c r="AG613" s="23"/>
      <c r="AH613" s="23"/>
      <c r="AI613" s="23"/>
      <c r="AJ613" s="23"/>
      <c r="AK613" s="23"/>
      <c r="AL613" s="23"/>
      <c r="AM613" s="23"/>
      <c r="AN613" s="23"/>
      <c r="AO613" s="23"/>
      <c r="AP613" s="23"/>
      <c r="AQ613" s="23"/>
      <c r="AR613" s="23"/>
      <c r="AS613" s="23"/>
      <c r="AT613" s="23"/>
      <c r="AU613" s="23"/>
      <c r="AV613" s="23"/>
      <c r="AW613" s="23"/>
      <c r="AX613" s="23"/>
      <c r="AY613" s="23"/>
      <c r="AZ613" s="23"/>
      <c r="BA613" s="23"/>
      <c r="BB613" s="23"/>
      <c r="BC613" s="23"/>
      <c r="BD613" s="35"/>
      <c r="BE613" s="35"/>
      <c r="BF613" s="35"/>
      <c r="BG613" s="35"/>
      <c r="BH613" s="35"/>
      <c r="BI613" s="35"/>
      <c r="BJ613" s="35"/>
      <c r="BK613" s="35"/>
      <c r="BL613" s="36"/>
      <c r="BM613" s="36"/>
      <c r="BN613" s="36"/>
      <c r="BO613" s="36"/>
      <c r="BP613" s="35"/>
      <c r="BQ613" s="23"/>
      <c r="BR613" s="23"/>
      <c r="BS613" s="23"/>
      <c r="BT613" s="117"/>
      <c r="BU613" s="117"/>
      <c r="BV613" s="23"/>
      <c r="BW613" s="35"/>
      <c r="BX613" s="35"/>
      <c r="BY613" s="117"/>
      <c r="BZ613" s="117"/>
      <c r="CA613" s="117"/>
      <c r="CB613" s="117"/>
      <c r="CC613" s="117"/>
      <c r="CD613" s="117"/>
      <c r="CE613" s="117"/>
      <c r="CF613" s="117"/>
      <c r="CG613" s="117"/>
      <c r="CH613" s="117"/>
      <c r="CI613" s="117"/>
      <c r="CJ613" s="117"/>
      <c r="CK613" s="117"/>
      <c r="CL613" s="117"/>
      <c r="CM613" s="117"/>
      <c r="CN613" s="35"/>
      <c r="CO613" s="35"/>
      <c r="CP613" s="35"/>
      <c r="CQ613" s="35"/>
      <c r="CR613" s="35"/>
      <c r="CS613" s="2312"/>
      <c r="CT613" s="2312">
        <v>390</v>
      </c>
      <c r="CU613" s="35"/>
      <c r="CV613" s="35"/>
      <c r="CW613" s="35"/>
      <c r="CX613" s="35"/>
      <c r="CY613" s="35"/>
      <c r="CZ613" s="35"/>
      <c r="DA613" s="35"/>
      <c r="DB613" s="35"/>
      <c r="DC613" s="35"/>
    </row>
    <row r="614" spans="2:107">
      <c r="B614" s="25" t="s">
        <v>697</v>
      </c>
      <c r="C614" s="23"/>
      <c r="D614" s="15"/>
      <c r="E614" s="15"/>
      <c r="F614" s="15"/>
      <c r="G614" s="15"/>
      <c r="H614" s="15"/>
      <c r="I614" s="15"/>
      <c r="J614" s="15"/>
      <c r="K614" s="15"/>
      <c r="L614" s="23"/>
      <c r="M614" s="23"/>
      <c r="N614" s="27"/>
      <c r="O614" s="23">
        <f>SUM(BT614:BW614)</f>
        <v>500</v>
      </c>
      <c r="P614" s="16">
        <f t="shared" si="712"/>
        <v>0</v>
      </c>
      <c r="Q614" s="16">
        <f t="shared" si="713"/>
        <v>0</v>
      </c>
      <c r="R614" s="16">
        <f>SUM(CF614:CI614)</f>
        <v>0</v>
      </c>
      <c r="S614" s="16">
        <f>SUM(CJ614:CM614)</f>
        <v>0</v>
      </c>
      <c r="T614" s="16">
        <f t="shared" si="693"/>
        <v>0</v>
      </c>
      <c r="U614" s="16">
        <f t="shared" si="696"/>
        <v>0</v>
      </c>
      <c r="V614" s="16">
        <f t="shared" si="697"/>
        <v>0</v>
      </c>
      <c r="W614" s="16">
        <f t="shared" si="698"/>
        <v>0</v>
      </c>
      <c r="X614" s="35"/>
      <c r="Y614" s="35"/>
      <c r="Z614" s="35"/>
      <c r="AA614" s="35"/>
      <c r="AB614" s="35"/>
      <c r="AC614" s="35"/>
      <c r="AD614" s="35"/>
      <c r="AE614" s="20"/>
      <c r="AF614" s="23"/>
      <c r="AG614" s="23"/>
      <c r="AH614" s="23"/>
      <c r="AI614" s="23"/>
      <c r="AJ614" s="23"/>
      <c r="AK614" s="23"/>
      <c r="AL614" s="23"/>
      <c r="AM614" s="23"/>
      <c r="AN614" s="23"/>
      <c r="AO614" s="23"/>
      <c r="AP614" s="23"/>
      <c r="AQ614" s="23"/>
      <c r="AR614" s="23"/>
      <c r="AS614" s="23"/>
      <c r="AT614" s="23"/>
      <c r="AU614" s="23"/>
      <c r="AV614" s="23"/>
      <c r="AW614" s="23"/>
      <c r="AX614" s="23"/>
      <c r="AY614" s="23"/>
      <c r="AZ614" s="23"/>
      <c r="BA614" s="23"/>
      <c r="BB614" s="23"/>
      <c r="BC614" s="23"/>
      <c r="BD614" s="35"/>
      <c r="BE614" s="35"/>
      <c r="BF614" s="35"/>
      <c r="BG614" s="35"/>
      <c r="BH614" s="35"/>
      <c r="BI614" s="35"/>
      <c r="BJ614" s="35"/>
      <c r="BK614" s="35"/>
      <c r="BL614" s="36"/>
      <c r="BM614" s="36"/>
      <c r="BN614" s="36"/>
      <c r="BO614" s="36"/>
      <c r="BP614" s="35"/>
      <c r="BQ614" s="23"/>
      <c r="BR614" s="23"/>
      <c r="BS614" s="23"/>
      <c r="BT614" s="117"/>
      <c r="BU614" s="117">
        <v>500</v>
      </c>
      <c r="BV614" s="23"/>
      <c r="BW614" s="23"/>
      <c r="BX614" s="23"/>
      <c r="BY614" s="23"/>
      <c r="BZ614" s="23"/>
      <c r="CA614" s="23"/>
      <c r="CB614" s="23"/>
      <c r="CC614" s="23"/>
      <c r="CD614" s="23"/>
      <c r="CE614" s="23"/>
      <c r="CF614" s="23"/>
      <c r="CG614" s="23"/>
      <c r="CH614" s="23"/>
      <c r="CI614" s="23"/>
      <c r="CJ614" s="23"/>
      <c r="CK614" s="23"/>
      <c r="CL614" s="23"/>
      <c r="CM614" s="23"/>
      <c r="CN614" s="23"/>
      <c r="CO614" s="23"/>
      <c r="CP614" s="23"/>
      <c r="CQ614" s="23"/>
      <c r="CR614" s="23"/>
      <c r="CS614" s="23"/>
      <c r="CT614" s="23"/>
      <c r="CU614" s="23"/>
      <c r="CV614" s="23"/>
      <c r="CW614" s="23"/>
      <c r="CX614" s="23"/>
      <c r="CY614" s="23"/>
      <c r="CZ614" s="23"/>
      <c r="DA614" s="23"/>
      <c r="DB614" s="23"/>
      <c r="DC614" s="23"/>
    </row>
    <row r="615" spans="2:107">
      <c r="B615" s="25" t="s">
        <v>93</v>
      </c>
      <c r="C615" s="23"/>
      <c r="D615" s="15"/>
      <c r="E615" s="15"/>
      <c r="F615" s="15"/>
      <c r="G615" s="15"/>
      <c r="H615" s="15"/>
      <c r="I615" s="15"/>
      <c r="J615" s="15"/>
      <c r="K615" s="15"/>
      <c r="L615" s="23"/>
      <c r="M615" s="23"/>
      <c r="N615" s="27"/>
      <c r="O615" s="23"/>
      <c r="P615" s="16">
        <f>SUM(BX615:CA615)</f>
        <v>0</v>
      </c>
      <c r="Q615" s="16">
        <f>SUM(CB615:CE615)</f>
        <v>0</v>
      </c>
      <c r="R615" s="16">
        <f>SUM(CF615:CI615)</f>
        <v>425</v>
      </c>
      <c r="S615" s="16">
        <f>SUM(CJ615:CM615)</f>
        <v>0</v>
      </c>
      <c r="T615" s="16">
        <f>SUM(CN615:CQ615)</f>
        <v>0</v>
      </c>
      <c r="U615" s="16">
        <f>SUM(CR615:CU615)</f>
        <v>0</v>
      </c>
      <c r="V615" s="16">
        <f t="shared" si="697"/>
        <v>0</v>
      </c>
      <c r="W615" s="16">
        <f t="shared" si="698"/>
        <v>0</v>
      </c>
      <c r="X615" s="35"/>
      <c r="Y615" s="35"/>
      <c r="Z615" s="35"/>
      <c r="AA615" s="35"/>
      <c r="AB615" s="35"/>
      <c r="AC615" s="35"/>
      <c r="AD615" s="35"/>
      <c r="AE615" s="20"/>
      <c r="AF615" s="23"/>
      <c r="AG615" s="23"/>
      <c r="AH615" s="23"/>
      <c r="AI615" s="23"/>
      <c r="AJ615" s="23"/>
      <c r="AK615" s="23"/>
      <c r="AL615" s="23"/>
      <c r="AM615" s="23"/>
      <c r="AN615" s="23"/>
      <c r="AO615" s="23"/>
      <c r="AP615" s="23"/>
      <c r="AQ615" s="23"/>
      <c r="AR615" s="23"/>
      <c r="AS615" s="23"/>
      <c r="AT615" s="23"/>
      <c r="AU615" s="23"/>
      <c r="AV615" s="23"/>
      <c r="AW615" s="23"/>
      <c r="AX615" s="23"/>
      <c r="AY615" s="23"/>
      <c r="AZ615" s="23"/>
      <c r="BA615" s="23"/>
      <c r="BB615" s="23"/>
      <c r="BC615" s="23"/>
      <c r="BD615" s="35"/>
      <c r="BE615" s="35"/>
      <c r="BF615" s="35"/>
      <c r="BG615" s="35"/>
      <c r="BH615" s="35"/>
      <c r="BI615" s="35"/>
      <c r="BJ615" s="35"/>
      <c r="BK615" s="35"/>
      <c r="BL615" s="36"/>
      <c r="BM615" s="36"/>
      <c r="BN615" s="36"/>
      <c r="BO615" s="36"/>
      <c r="BP615" s="35"/>
      <c r="BQ615" s="23"/>
      <c r="BR615" s="23"/>
      <c r="BS615" s="23"/>
      <c r="BT615" s="117"/>
      <c r="BU615" s="117"/>
      <c r="BV615" s="23"/>
      <c r="BW615" s="35"/>
      <c r="BX615" s="35"/>
      <c r="BY615" s="117"/>
      <c r="BZ615" s="117"/>
      <c r="CA615" s="117"/>
      <c r="CB615" s="117"/>
      <c r="CC615" s="117"/>
      <c r="CD615" s="117"/>
      <c r="CE615" s="117"/>
      <c r="CF615" s="117"/>
      <c r="CG615" s="117">
        <v>425</v>
      </c>
      <c r="CH615" s="117"/>
      <c r="CI615" s="117"/>
      <c r="CJ615" s="117"/>
      <c r="CK615" s="117"/>
      <c r="CL615" s="117"/>
      <c r="CM615" s="117"/>
      <c r="CN615" s="117"/>
      <c r="CO615" s="117"/>
      <c r="CP615" s="117"/>
      <c r="CQ615" s="117"/>
      <c r="CR615" s="117"/>
      <c r="CS615" s="117"/>
      <c r="CT615" s="117"/>
      <c r="CU615" s="117"/>
      <c r="CV615" s="117"/>
      <c r="CW615" s="117"/>
      <c r="CX615" s="117"/>
      <c r="CY615" s="117"/>
      <c r="CZ615" s="117"/>
      <c r="DA615" s="117"/>
      <c r="DB615" s="117"/>
      <c r="DC615" s="117"/>
    </row>
    <row r="616" spans="2:107">
      <c r="B616" s="1036" t="s">
        <v>2588</v>
      </c>
      <c r="C616" s="23"/>
      <c r="D616" s="15"/>
      <c r="E616" s="15"/>
      <c r="F616" s="15"/>
      <c r="G616" s="15"/>
      <c r="H616" s="15"/>
      <c r="I616" s="15"/>
      <c r="J616" s="15"/>
      <c r="K616" s="15"/>
      <c r="L616" s="23"/>
      <c r="M616" s="23"/>
      <c r="N616" s="27"/>
      <c r="O616" s="23"/>
      <c r="P616" s="16">
        <f t="shared" si="712"/>
        <v>0</v>
      </c>
      <c r="Q616" s="16">
        <f t="shared" si="713"/>
        <v>0</v>
      </c>
      <c r="R616" s="16">
        <f>SUM(CF616:CI616)</f>
        <v>0</v>
      </c>
      <c r="S616" s="16">
        <f>SUM(CJ616:CM616)</f>
        <v>0</v>
      </c>
      <c r="T616" s="16">
        <f t="shared" si="693"/>
        <v>0</v>
      </c>
      <c r="U616" s="16">
        <f t="shared" si="696"/>
        <v>0</v>
      </c>
      <c r="V616" s="16">
        <f t="shared" si="697"/>
        <v>280</v>
      </c>
      <c r="W616" s="16">
        <f t="shared" si="698"/>
        <v>0</v>
      </c>
      <c r="X616" s="35"/>
      <c r="Y616" s="35"/>
      <c r="Z616" s="35"/>
      <c r="AA616" s="35"/>
      <c r="AB616" s="35"/>
      <c r="AC616" s="35"/>
      <c r="AD616" s="35"/>
      <c r="AE616" s="20"/>
      <c r="AF616" s="23"/>
      <c r="AG616" s="23"/>
      <c r="AH616" s="23"/>
      <c r="AI616" s="23"/>
      <c r="AJ616" s="23"/>
      <c r="AK616" s="23"/>
      <c r="AL616" s="23"/>
      <c r="AM616" s="23"/>
      <c r="AN616" s="23"/>
      <c r="AO616" s="23"/>
      <c r="AP616" s="23"/>
      <c r="AQ616" s="23"/>
      <c r="AR616" s="23"/>
      <c r="AS616" s="23"/>
      <c r="AT616" s="23"/>
      <c r="AU616" s="23"/>
      <c r="AV616" s="23"/>
      <c r="AW616" s="23"/>
      <c r="AX616" s="23"/>
      <c r="AY616" s="23"/>
      <c r="AZ616" s="23"/>
      <c r="BA616" s="23"/>
      <c r="BB616" s="23"/>
      <c r="BC616" s="23"/>
      <c r="BD616" s="35"/>
      <c r="BE616" s="35"/>
      <c r="BF616" s="35"/>
      <c r="BG616" s="35"/>
      <c r="BH616" s="35"/>
      <c r="BI616" s="35"/>
      <c r="BJ616" s="35"/>
      <c r="BK616" s="35"/>
      <c r="BL616" s="36"/>
      <c r="BM616" s="36"/>
      <c r="BN616" s="36"/>
      <c r="BO616" s="36"/>
      <c r="BP616" s="35"/>
      <c r="BQ616" s="23"/>
      <c r="BR616" s="23"/>
      <c r="BS616" s="23"/>
      <c r="BT616" s="117"/>
      <c r="BU616" s="117"/>
      <c r="BV616" s="23"/>
      <c r="BW616" s="35"/>
      <c r="BX616" s="35"/>
      <c r="BY616" s="117"/>
      <c r="BZ616" s="117"/>
      <c r="CA616" s="117"/>
      <c r="CB616" s="117"/>
      <c r="CC616" s="117"/>
      <c r="CD616" s="117"/>
      <c r="CE616" s="117"/>
      <c r="CF616" s="117"/>
      <c r="CG616" s="117"/>
      <c r="CH616" s="117"/>
      <c r="CI616" s="117"/>
      <c r="CJ616" s="117"/>
      <c r="CK616" s="117"/>
      <c r="CL616" s="117"/>
      <c r="CM616" s="117"/>
      <c r="CN616" s="117"/>
      <c r="CO616" s="117"/>
      <c r="CP616" s="117"/>
      <c r="CQ616" s="117"/>
      <c r="CR616" s="117"/>
      <c r="CS616" s="117"/>
      <c r="CT616" s="117"/>
      <c r="CU616" s="117"/>
      <c r="CV616" s="117"/>
      <c r="CW616" s="117">
        <v>280</v>
      </c>
      <c r="CX616" s="117"/>
      <c r="CY616" s="117"/>
      <c r="CZ616" s="117"/>
      <c r="DA616" s="117"/>
      <c r="DB616" s="117"/>
      <c r="DC616" s="117"/>
    </row>
    <row r="617" spans="2:107">
      <c r="B617" s="25" t="s">
        <v>1184</v>
      </c>
      <c r="C617" s="23"/>
      <c r="D617" s="15"/>
      <c r="E617" s="15"/>
      <c r="F617" s="15"/>
      <c r="G617" s="15"/>
      <c r="H617" s="15"/>
      <c r="I617" s="15"/>
      <c r="J617" s="15"/>
      <c r="K617" s="15"/>
      <c r="L617" s="23"/>
      <c r="M617" s="23"/>
      <c r="N617" s="27"/>
      <c r="O617" s="23">
        <f>SUM(BT617:BW617)</f>
        <v>1160</v>
      </c>
      <c r="P617" s="16">
        <f t="shared" si="712"/>
        <v>20</v>
      </c>
      <c r="Q617" s="16">
        <f t="shared" si="713"/>
        <v>935</v>
      </c>
      <c r="R617" s="16">
        <f>SUM(CF617:CI617)</f>
        <v>1295</v>
      </c>
      <c r="S617" s="16">
        <f>SUM(CJ617:CM617)</f>
        <v>200</v>
      </c>
      <c r="T617" s="16">
        <f t="shared" si="693"/>
        <v>1180</v>
      </c>
      <c r="U617" s="16">
        <f t="shared" si="696"/>
        <v>39575</v>
      </c>
      <c r="V617" s="16">
        <f t="shared" si="697"/>
        <v>700</v>
      </c>
      <c r="W617" s="16">
        <f t="shared" si="698"/>
        <v>800</v>
      </c>
      <c r="X617" s="119">
        <v>7500</v>
      </c>
      <c r="Y617" s="119">
        <v>7500</v>
      </c>
      <c r="Z617" s="119">
        <v>7500</v>
      </c>
      <c r="AA617" s="119">
        <v>7500</v>
      </c>
      <c r="AB617" s="119">
        <v>7500</v>
      </c>
      <c r="AC617" s="119">
        <v>7500</v>
      </c>
      <c r="AD617" s="119">
        <v>7500</v>
      </c>
      <c r="AE617" s="20"/>
      <c r="AF617" s="23"/>
      <c r="AG617" s="23"/>
      <c r="AH617" s="23"/>
      <c r="AI617" s="23"/>
      <c r="AJ617" s="23"/>
      <c r="AK617" s="23"/>
      <c r="AL617" s="23"/>
      <c r="AM617" s="23"/>
      <c r="AN617" s="23"/>
      <c r="AO617" s="23"/>
      <c r="AP617" s="23"/>
      <c r="AQ617" s="23"/>
      <c r="AR617" s="23"/>
      <c r="AS617" s="23"/>
      <c r="AT617" s="23"/>
      <c r="AU617" s="23"/>
      <c r="AV617" s="23"/>
      <c r="AW617" s="23"/>
      <c r="AX617" s="23"/>
      <c r="AY617" s="23"/>
      <c r="AZ617" s="23"/>
      <c r="BA617" s="23"/>
      <c r="BB617" s="23"/>
      <c r="BC617" s="23"/>
      <c r="BD617" s="35"/>
      <c r="BE617" s="35"/>
      <c r="BF617" s="35"/>
      <c r="BG617" s="35"/>
      <c r="BH617" s="35"/>
      <c r="BI617" s="35"/>
      <c r="BJ617" s="35"/>
      <c r="BK617" s="35"/>
      <c r="BL617" s="36"/>
      <c r="BM617" s="36"/>
      <c r="BN617" s="36"/>
      <c r="BO617" s="36"/>
      <c r="BP617" s="35"/>
      <c r="BQ617" s="23"/>
      <c r="BR617" s="23"/>
      <c r="BS617" s="23"/>
      <c r="BT617" s="27">
        <f t="shared" ref="BT617:CE617" si="715">+BT618-SUM(BT581:BT616)</f>
        <v>240</v>
      </c>
      <c r="BU617" s="27">
        <f t="shared" si="715"/>
        <v>920</v>
      </c>
      <c r="BV617" s="27">
        <f t="shared" si="715"/>
        <v>0</v>
      </c>
      <c r="BW617" s="27">
        <f t="shared" si="715"/>
        <v>0</v>
      </c>
      <c r="BX617" s="27">
        <f t="shared" si="715"/>
        <v>0</v>
      </c>
      <c r="BY617" s="27">
        <f t="shared" si="715"/>
        <v>520</v>
      </c>
      <c r="BZ617" s="27">
        <f t="shared" si="715"/>
        <v>-500</v>
      </c>
      <c r="CA617" s="27">
        <f t="shared" si="715"/>
        <v>0</v>
      </c>
      <c r="CB617" s="27">
        <f t="shared" si="715"/>
        <v>0</v>
      </c>
      <c r="CC617" s="27">
        <f t="shared" si="715"/>
        <v>-1460</v>
      </c>
      <c r="CD617" s="27">
        <f t="shared" si="715"/>
        <v>2395</v>
      </c>
      <c r="CE617" s="27">
        <f t="shared" si="715"/>
        <v>0</v>
      </c>
      <c r="CF617" s="27">
        <f t="shared" ref="CF617:CU617" si="716">+CF618-SUM(CF570:CF616)</f>
        <v>220</v>
      </c>
      <c r="CG617" s="27">
        <f t="shared" si="716"/>
        <v>1075</v>
      </c>
      <c r="CH617" s="27">
        <f t="shared" si="716"/>
        <v>0</v>
      </c>
      <c r="CI617" s="27">
        <f t="shared" si="716"/>
        <v>0</v>
      </c>
      <c r="CJ617" s="27">
        <f t="shared" si="716"/>
        <v>-100</v>
      </c>
      <c r="CK617" s="27">
        <f t="shared" si="716"/>
        <v>0</v>
      </c>
      <c r="CL617" s="27">
        <f t="shared" si="716"/>
        <v>0</v>
      </c>
      <c r="CM617" s="27">
        <f t="shared" si="716"/>
        <v>300</v>
      </c>
      <c r="CN617" s="27">
        <f t="shared" si="716"/>
        <v>-85</v>
      </c>
      <c r="CO617" s="27">
        <f t="shared" si="716"/>
        <v>265</v>
      </c>
      <c r="CP617" s="27">
        <f t="shared" si="716"/>
        <v>-400</v>
      </c>
      <c r="CQ617" s="27">
        <f t="shared" si="716"/>
        <v>1400</v>
      </c>
      <c r="CR617" s="27">
        <f t="shared" si="716"/>
        <v>100</v>
      </c>
      <c r="CS617" s="27">
        <f t="shared" si="716"/>
        <v>-300</v>
      </c>
      <c r="CT617" s="27">
        <f>+CT618-SUM(CT570:CT579,CT581:CT611,CT614:CT616)</f>
        <v>1075</v>
      </c>
      <c r="CU617" s="27">
        <f t="shared" si="716"/>
        <v>38700</v>
      </c>
      <c r="CV617" s="27">
        <f>+CV618-SUM(CV570:CV616)</f>
        <v>700</v>
      </c>
      <c r="CW617" s="117"/>
      <c r="CX617" s="117"/>
      <c r="CY617" s="117"/>
      <c r="CZ617" s="117"/>
      <c r="DA617" s="117">
        <v>200</v>
      </c>
      <c r="DB617" s="117">
        <v>600</v>
      </c>
      <c r="DC617" s="117"/>
    </row>
    <row r="618" spans="2:107">
      <c r="B618" s="106" t="s">
        <v>699</v>
      </c>
      <c r="C618" s="23"/>
      <c r="D618" s="15"/>
      <c r="E618" s="15"/>
      <c r="F618" s="15"/>
      <c r="G618" s="15"/>
      <c r="H618" s="15"/>
      <c r="I618" s="15"/>
      <c r="J618" s="15"/>
      <c r="K618" s="15"/>
      <c r="L618" s="15"/>
      <c r="M618" s="23"/>
      <c r="N618" s="46">
        <f>N565-M565</f>
        <v>23000</v>
      </c>
      <c r="O618" s="46">
        <f>O565-N565</f>
        <v>5100</v>
      </c>
      <c r="P618" s="46">
        <f>SUM(P570:P617)</f>
        <v>4000</v>
      </c>
      <c r="Q618" s="46">
        <f>SUM(Q570:Q617)</f>
        <v>4460</v>
      </c>
      <c r="R618" s="46">
        <f>SUM(R570:R617)</f>
        <v>3700</v>
      </c>
      <c r="S618" s="46">
        <f>SUM(S570:S617)</f>
        <v>2300</v>
      </c>
      <c r="T618" s="46">
        <f>SUM(T570:T617)</f>
        <v>5900</v>
      </c>
      <c r="U618" s="2313">
        <f>SUM(U570:U617)-U613-U580</f>
        <v>42285</v>
      </c>
      <c r="V618" s="2313">
        <f>SUM(V570:V617)-V613-V580</f>
        <v>9885</v>
      </c>
      <c r="W618" s="46">
        <f>SUM(W570:W617)</f>
        <v>7565</v>
      </c>
      <c r="X618" s="46">
        <f>SUM(X570:X617)</f>
        <v>8775</v>
      </c>
      <c r="Y618" s="46">
        <f>SUM(Y570:Y617)</f>
        <v>7500</v>
      </c>
      <c r="Z618" s="46">
        <f>SUM(Z570:Z617)</f>
        <v>7500</v>
      </c>
      <c r="AA618" s="46">
        <f t="shared" ref="AA618:AD618" si="717">SUM(AA570:AA617)</f>
        <v>7500</v>
      </c>
      <c r="AB618" s="46">
        <f t="shared" si="717"/>
        <v>7500</v>
      </c>
      <c r="AC618" s="46">
        <f t="shared" si="717"/>
        <v>7500</v>
      </c>
      <c r="AD618" s="46">
        <f t="shared" si="717"/>
        <v>7500</v>
      </c>
      <c r="AE618" s="23"/>
      <c r="AF618" s="15"/>
      <c r="AG618" s="15"/>
      <c r="AH618" s="15"/>
      <c r="AI618" s="15"/>
      <c r="AJ618" s="15"/>
      <c r="AK618" s="15"/>
      <c r="AL618" s="15"/>
      <c r="AM618" s="15"/>
      <c r="AN618" s="15"/>
      <c r="AO618" s="15"/>
      <c r="AP618" s="15"/>
      <c r="AQ618" s="15"/>
      <c r="AR618" s="15"/>
      <c r="AS618" s="15"/>
      <c r="AT618" s="15"/>
      <c r="AU618" s="15"/>
      <c r="AV618" s="15"/>
      <c r="AW618" s="15"/>
      <c r="AX618" s="15"/>
      <c r="AY618" s="15"/>
      <c r="AZ618" s="15"/>
      <c r="BA618" s="15"/>
      <c r="BB618" s="15"/>
      <c r="BC618" s="15"/>
      <c r="BD618" s="15"/>
      <c r="BE618" s="15"/>
      <c r="BF618" s="15"/>
      <c r="BG618" s="15"/>
      <c r="BH618" s="15"/>
      <c r="BI618" s="15"/>
      <c r="BJ618" s="15"/>
      <c r="BK618" s="15"/>
      <c r="BL618" s="15"/>
      <c r="BM618" s="15"/>
      <c r="BN618" s="15"/>
      <c r="BO618" s="15"/>
      <c r="BP618" s="46">
        <f t="shared" ref="BP618:CV618" si="718">BP565-BO565</f>
        <v>19900</v>
      </c>
      <c r="BQ618" s="46">
        <f t="shared" si="718"/>
        <v>200</v>
      </c>
      <c r="BR618" s="46">
        <f t="shared" si="718"/>
        <v>800</v>
      </c>
      <c r="BS618" s="46">
        <f t="shared" si="718"/>
        <v>2100</v>
      </c>
      <c r="BT618" s="46">
        <f t="shared" si="718"/>
        <v>2200</v>
      </c>
      <c r="BU618" s="46">
        <f t="shared" si="718"/>
        <v>2900</v>
      </c>
      <c r="BV618" s="46">
        <f t="shared" si="718"/>
        <v>0</v>
      </c>
      <c r="BW618" s="46">
        <f t="shared" si="718"/>
        <v>0</v>
      </c>
      <c r="BX618" s="46">
        <f t="shared" si="718"/>
        <v>0</v>
      </c>
      <c r="BY618" s="46">
        <f t="shared" si="718"/>
        <v>4000</v>
      </c>
      <c r="BZ618" s="46">
        <f t="shared" si="718"/>
        <v>-500</v>
      </c>
      <c r="CA618" s="46">
        <f t="shared" si="718"/>
        <v>0</v>
      </c>
      <c r="CB618" s="46">
        <f t="shared" si="718"/>
        <v>0</v>
      </c>
      <c r="CC618" s="46">
        <f t="shared" si="718"/>
        <v>390</v>
      </c>
      <c r="CD618" s="46">
        <f t="shared" si="718"/>
        <v>5610</v>
      </c>
      <c r="CE618" s="46">
        <f t="shared" si="718"/>
        <v>0</v>
      </c>
      <c r="CF618" s="46">
        <f t="shared" si="718"/>
        <v>500</v>
      </c>
      <c r="CG618" s="46">
        <f t="shared" si="718"/>
        <v>1500</v>
      </c>
      <c r="CH618" s="46">
        <f t="shared" si="718"/>
        <v>0</v>
      </c>
      <c r="CI618" s="46">
        <f t="shared" si="718"/>
        <v>1700</v>
      </c>
      <c r="CJ618" s="46">
        <f t="shared" si="718"/>
        <v>400</v>
      </c>
      <c r="CK618" s="46">
        <f t="shared" si="718"/>
        <v>0</v>
      </c>
      <c r="CL618" s="46">
        <f t="shared" si="718"/>
        <v>0</v>
      </c>
      <c r="CM618" s="46">
        <f t="shared" si="718"/>
        <v>1900</v>
      </c>
      <c r="CN618" s="46">
        <f t="shared" si="718"/>
        <v>1300</v>
      </c>
      <c r="CO618" s="46">
        <f t="shared" si="718"/>
        <v>2200</v>
      </c>
      <c r="CP618" s="46">
        <f t="shared" si="718"/>
        <v>1000</v>
      </c>
      <c r="CQ618" s="46">
        <f t="shared" si="718"/>
        <v>1400</v>
      </c>
      <c r="CR618" s="46">
        <f t="shared" si="718"/>
        <v>700</v>
      </c>
      <c r="CS618" s="46">
        <f t="shared" si="718"/>
        <v>-300</v>
      </c>
      <c r="CT618" s="46">
        <f>CT565-CS565-CT580-CT613</f>
        <v>3185</v>
      </c>
      <c r="CU618" s="46">
        <f t="shared" si="718"/>
        <v>38700</v>
      </c>
      <c r="CV618" s="46">
        <f t="shared" si="718"/>
        <v>700</v>
      </c>
      <c r="CW618" s="14">
        <f>SUM(CW570:CW617)</f>
        <v>1930</v>
      </c>
      <c r="CX618" s="14">
        <f>SUM(CX570:CX617)</f>
        <v>4965</v>
      </c>
      <c r="CY618" s="14">
        <f>SUM(CY570:CY617)</f>
        <v>2290</v>
      </c>
      <c r="CZ618" s="14">
        <f t="shared" ref="CZ618:DC618" si="719">SUM(CZ570:CZ617)</f>
        <v>2465</v>
      </c>
      <c r="DA618" s="14">
        <f t="shared" si="719"/>
        <v>1150</v>
      </c>
      <c r="DB618" s="14">
        <f t="shared" si="719"/>
        <v>1150</v>
      </c>
      <c r="DC618" s="14">
        <f t="shared" si="719"/>
        <v>2800</v>
      </c>
    </row>
    <row r="619" spans="2:107">
      <c r="B619" s="116" t="s">
        <v>1237</v>
      </c>
      <c r="C619" s="23"/>
      <c r="D619" s="15"/>
      <c r="E619" s="15"/>
      <c r="F619" s="15"/>
      <c r="G619" s="15"/>
      <c r="H619" s="15"/>
      <c r="I619" s="15"/>
      <c r="J619" s="15"/>
      <c r="K619" s="15"/>
      <c r="L619" s="15"/>
      <c r="M619" s="23"/>
      <c r="N619" s="23"/>
      <c r="O619" s="113">
        <f>SUM(O581:O617)-O618</f>
        <v>0</v>
      </c>
      <c r="P619" s="113">
        <f t="shared" ref="P619:Z619" si="720">SUM(P570:P617)-P618</f>
        <v>0</v>
      </c>
      <c r="Q619" s="113">
        <f t="shared" si="720"/>
        <v>0</v>
      </c>
      <c r="R619" s="113">
        <f t="shared" si="720"/>
        <v>0</v>
      </c>
      <c r="S619" s="113">
        <f t="shared" si="720"/>
        <v>0</v>
      </c>
      <c r="T619" s="113">
        <f t="shared" si="720"/>
        <v>0</v>
      </c>
      <c r="U619" s="113">
        <f t="shared" si="720"/>
        <v>915</v>
      </c>
      <c r="V619" s="113">
        <f>SUM(V570:V617)-V618</f>
        <v>0</v>
      </c>
      <c r="W619" s="113">
        <f>SUM(W570:W617)-W618</f>
        <v>0</v>
      </c>
      <c r="X619" s="113">
        <f t="shared" si="720"/>
        <v>0</v>
      </c>
      <c r="Y619" s="113">
        <f t="shared" si="720"/>
        <v>0</v>
      </c>
      <c r="Z619" s="113">
        <f t="shared" si="720"/>
        <v>0</v>
      </c>
      <c r="AA619" s="113">
        <f t="shared" ref="AA619:AD619" si="721">SUM(AA570:AA617)-AA618</f>
        <v>0</v>
      </c>
      <c r="AB619" s="113">
        <f t="shared" si="721"/>
        <v>0</v>
      </c>
      <c r="AC619" s="113">
        <f t="shared" si="721"/>
        <v>0</v>
      </c>
      <c r="AD619" s="113">
        <f t="shared" si="721"/>
        <v>0</v>
      </c>
      <c r="AE619" s="23"/>
      <c r="AF619" s="15"/>
      <c r="AG619" s="15"/>
      <c r="AH619" s="15"/>
      <c r="AI619" s="15"/>
      <c r="AJ619" s="15"/>
      <c r="AK619" s="15"/>
      <c r="AL619" s="15"/>
      <c r="AM619" s="15"/>
      <c r="AN619" s="15"/>
      <c r="AO619" s="15"/>
      <c r="AP619" s="15"/>
      <c r="AQ619" s="15"/>
      <c r="AR619" s="15"/>
      <c r="AS619" s="15"/>
      <c r="AT619" s="15"/>
      <c r="AU619" s="15"/>
      <c r="AV619" s="15"/>
      <c r="AW619" s="15"/>
      <c r="AX619" s="15"/>
      <c r="AY619" s="15"/>
      <c r="AZ619" s="15"/>
      <c r="BA619" s="15"/>
      <c r="BB619" s="15"/>
      <c r="BC619" s="15"/>
      <c r="BD619" s="15"/>
      <c r="BE619" s="15"/>
      <c r="BF619" s="15"/>
      <c r="BG619" s="15"/>
      <c r="BH619" s="15"/>
      <c r="BI619" s="15"/>
      <c r="BJ619" s="15"/>
      <c r="BK619" s="15"/>
      <c r="BL619" s="15"/>
      <c r="BM619" s="15"/>
      <c r="BN619" s="15"/>
      <c r="BO619" s="15"/>
      <c r="BP619" s="23"/>
      <c r="BQ619" s="23"/>
      <c r="BR619" s="23"/>
      <c r="BS619" s="23"/>
      <c r="BT619" s="113">
        <f t="shared" ref="BT619:CJ619" si="722">SUM(BT581:BT617)-BT618</f>
        <v>0</v>
      </c>
      <c r="BU619" s="113">
        <f t="shared" si="722"/>
        <v>0</v>
      </c>
      <c r="BV619" s="113">
        <f t="shared" si="722"/>
        <v>0</v>
      </c>
      <c r="BW619" s="113">
        <f t="shared" si="722"/>
        <v>0</v>
      </c>
      <c r="BX619" s="113">
        <f t="shared" si="722"/>
        <v>0</v>
      </c>
      <c r="BY619" s="113">
        <f t="shared" si="722"/>
        <v>0</v>
      </c>
      <c r="BZ619" s="113">
        <f t="shared" si="722"/>
        <v>0</v>
      </c>
      <c r="CA619" s="113">
        <f t="shared" si="722"/>
        <v>0</v>
      </c>
      <c r="CB619" s="113">
        <f t="shared" si="722"/>
        <v>0</v>
      </c>
      <c r="CC619" s="113">
        <f t="shared" si="722"/>
        <v>0</v>
      </c>
      <c r="CD619" s="113">
        <f t="shared" si="722"/>
        <v>0</v>
      </c>
      <c r="CE619" s="113">
        <f t="shared" si="722"/>
        <v>0</v>
      </c>
      <c r="CF619" s="113">
        <f t="shared" si="722"/>
        <v>0</v>
      </c>
      <c r="CG619" s="113">
        <f t="shared" si="722"/>
        <v>0</v>
      </c>
      <c r="CH619" s="113">
        <f t="shared" si="722"/>
        <v>0</v>
      </c>
      <c r="CI619" s="113">
        <f t="shared" si="722"/>
        <v>0</v>
      </c>
      <c r="CJ619" s="113">
        <f t="shared" si="722"/>
        <v>0</v>
      </c>
      <c r="CK619" s="113">
        <f t="shared" ref="CK619:CS619" si="723">SUM(CK570:CK617)-CK618</f>
        <v>0</v>
      </c>
      <c r="CL619" s="113">
        <f t="shared" si="723"/>
        <v>0</v>
      </c>
      <c r="CM619" s="113">
        <f t="shared" si="723"/>
        <v>0</v>
      </c>
      <c r="CN619" s="113">
        <f t="shared" si="723"/>
        <v>0</v>
      </c>
      <c r="CO619" s="113">
        <f t="shared" si="723"/>
        <v>0</v>
      </c>
      <c r="CP619" s="113">
        <f t="shared" si="723"/>
        <v>0</v>
      </c>
      <c r="CQ619" s="113">
        <f t="shared" si="723"/>
        <v>0</v>
      </c>
      <c r="CR619" s="113">
        <f t="shared" si="723"/>
        <v>0</v>
      </c>
      <c r="CS619" s="113">
        <f t="shared" si="723"/>
        <v>0</v>
      </c>
      <c r="CT619" s="113">
        <f>SUM(CT570:CT617)-CT618-CT580-CT613</f>
        <v>0</v>
      </c>
      <c r="CU619" s="113">
        <f>SUM(CU570:CU617)-CU618</f>
        <v>0</v>
      </c>
      <c r="CV619" s="113">
        <f>SUM(CV570:CV617)-CV618</f>
        <v>0</v>
      </c>
      <c r="CW619" s="113">
        <f>SUM(CW570:CW617)-CW618</f>
        <v>0</v>
      </c>
      <c r="CX619" s="113">
        <f>SUM(CX570:CX617)-CX618</f>
        <v>0</v>
      </c>
      <c r="CY619" s="113">
        <f>SUM(CY570:CY617)-CY618</f>
        <v>0</v>
      </c>
      <c r="CZ619" s="113">
        <f t="shared" ref="CZ619:DC619" si="724">SUM(CZ570:CZ617)-CZ618</f>
        <v>0</v>
      </c>
      <c r="DA619" s="113">
        <f t="shared" si="724"/>
        <v>0</v>
      </c>
      <c r="DB619" s="113">
        <f t="shared" si="724"/>
        <v>0</v>
      </c>
      <c r="DC619" s="113">
        <f t="shared" si="724"/>
        <v>0</v>
      </c>
    </row>
    <row r="620" spans="2:107">
      <c r="B620" s="23"/>
      <c r="C620" s="23"/>
      <c r="D620" s="15"/>
      <c r="E620" s="15"/>
      <c r="F620" s="15"/>
      <c r="G620" s="15"/>
      <c r="H620" s="15"/>
      <c r="I620" s="15"/>
      <c r="J620" s="15"/>
      <c r="K620" s="15"/>
      <c r="L620" s="15"/>
      <c r="M620" s="23"/>
      <c r="N620" s="23"/>
      <c r="O620" s="23"/>
      <c r="P620" s="23"/>
      <c r="Q620" s="23"/>
      <c r="R620" s="23"/>
      <c r="S620" s="23"/>
      <c r="T620" s="23"/>
      <c r="U620" s="23"/>
      <c r="V620" s="23"/>
      <c r="W620" s="23"/>
      <c r="X620" s="15"/>
      <c r="Y620" s="15"/>
      <c r="Z620" s="15"/>
      <c r="AA620" s="15"/>
      <c r="AB620" s="15"/>
      <c r="AC620" s="15"/>
      <c r="AD620" s="15"/>
      <c r="AE620" s="23"/>
      <c r="AF620" s="15"/>
      <c r="AG620" s="15"/>
      <c r="AH620" s="15"/>
      <c r="AI620" s="15"/>
      <c r="AJ620" s="15"/>
      <c r="AK620" s="15"/>
      <c r="AL620" s="15"/>
      <c r="AM620" s="15"/>
      <c r="AN620" s="15"/>
      <c r="AO620" s="15"/>
      <c r="AP620" s="15"/>
      <c r="AQ620" s="15"/>
      <c r="AR620" s="15"/>
      <c r="AS620" s="15"/>
      <c r="AT620" s="15"/>
      <c r="AU620" s="15"/>
      <c r="AV620" s="15"/>
      <c r="AW620" s="15"/>
      <c r="AX620" s="15"/>
      <c r="AY620" s="15"/>
      <c r="AZ620" s="15"/>
      <c r="BA620" s="15"/>
      <c r="BB620" s="15"/>
      <c r="BC620" s="15"/>
      <c r="BD620" s="15"/>
      <c r="BE620" s="15"/>
      <c r="BF620" s="15"/>
      <c r="BG620" s="15"/>
      <c r="BH620" s="15"/>
      <c r="BI620" s="15"/>
      <c r="BJ620" s="15"/>
      <c r="BK620" s="15"/>
      <c r="BL620" s="15"/>
      <c r="BM620" s="15"/>
      <c r="BN620" s="15"/>
      <c r="BO620" s="15"/>
      <c r="BP620" s="23"/>
      <c r="BQ620" s="23"/>
      <c r="BR620" s="23"/>
      <c r="BS620" s="23"/>
      <c r="BT620" s="23"/>
      <c r="BU620" s="23"/>
      <c r="BV620" s="23"/>
      <c r="BW620" s="23"/>
      <c r="BX620" s="23"/>
      <c r="BY620" s="23"/>
      <c r="BZ620" s="23"/>
      <c r="CA620" s="23"/>
      <c r="CB620" s="23"/>
      <c r="CC620" s="23"/>
      <c r="CD620" s="23"/>
      <c r="CE620" s="23"/>
      <c r="CF620" s="23"/>
      <c r="CG620" s="23"/>
      <c r="CH620" s="23"/>
      <c r="CI620" s="23"/>
      <c r="CJ620" s="23"/>
      <c r="CK620" s="23"/>
      <c r="CL620" s="23"/>
      <c r="CM620" s="23"/>
      <c r="CN620" s="23"/>
      <c r="CO620" s="23"/>
      <c r="CP620" s="23"/>
      <c r="CQ620" s="23"/>
      <c r="CR620" s="23"/>
      <c r="CS620" s="23"/>
      <c r="CT620" s="23"/>
      <c r="CU620" s="23"/>
      <c r="CV620" s="23"/>
      <c r="CW620" s="23"/>
      <c r="CX620" s="23"/>
      <c r="CY620" s="23"/>
      <c r="CZ620" s="23"/>
      <c r="DA620" s="23"/>
      <c r="DB620" s="23"/>
      <c r="DC620" s="23"/>
    </row>
    <row r="621" spans="2:107" ht="14.25" customHeight="1">
      <c r="B621" s="114" t="s">
        <v>721</v>
      </c>
      <c r="C621" s="59"/>
      <c r="D621" s="60"/>
      <c r="E621" s="60"/>
      <c r="F621" s="60"/>
      <c r="G621" s="60"/>
      <c r="H621" s="60"/>
      <c r="I621" s="60"/>
      <c r="J621" s="60"/>
      <c r="K621" s="60"/>
      <c r="L621" s="59"/>
      <c r="M621" s="61"/>
      <c r="N621" s="62"/>
      <c r="O621" s="62"/>
      <c r="P621" s="1634"/>
      <c r="Q621" s="1634"/>
      <c r="R621" s="1634"/>
      <c r="S621" s="1634"/>
      <c r="T621" s="1634"/>
      <c r="U621" s="1634"/>
      <c r="V621" s="1634"/>
      <c r="W621" s="1634"/>
      <c r="X621" s="1634"/>
      <c r="Y621" s="1634"/>
      <c r="Z621" s="1634"/>
      <c r="AA621" s="1634"/>
      <c r="AB621" s="1634"/>
      <c r="AC621" s="1634"/>
      <c r="AD621" s="1634"/>
      <c r="AE621" s="59"/>
      <c r="AF621" s="59"/>
      <c r="AG621" s="59"/>
      <c r="AH621" s="59"/>
      <c r="AI621" s="59"/>
      <c r="AJ621" s="59"/>
      <c r="AK621" s="59"/>
      <c r="AL621" s="59"/>
      <c r="AM621" s="59"/>
      <c r="AN621" s="59"/>
      <c r="AO621" s="59"/>
      <c r="AP621" s="59"/>
      <c r="AQ621" s="59"/>
      <c r="AR621" s="59"/>
      <c r="AS621" s="59"/>
      <c r="AT621" s="59"/>
      <c r="AU621" s="59"/>
      <c r="AV621" s="59"/>
      <c r="AW621" s="59"/>
      <c r="AX621" s="59"/>
      <c r="AY621" s="59"/>
      <c r="AZ621" s="59"/>
      <c r="BA621" s="59"/>
      <c r="BB621" s="59"/>
      <c r="BC621" s="59"/>
      <c r="BD621" s="65"/>
      <c r="BE621" s="65"/>
      <c r="BF621" s="65"/>
      <c r="BG621" s="65"/>
      <c r="BH621" s="62"/>
      <c r="BI621" s="62"/>
      <c r="BJ621" s="62"/>
      <c r="BK621" s="62"/>
      <c r="BL621" s="62"/>
      <c r="BM621" s="62"/>
      <c r="BN621" s="62"/>
      <c r="BO621" s="62"/>
      <c r="BP621" s="62"/>
      <c r="BQ621" s="62"/>
      <c r="BR621" s="62"/>
      <c r="BS621" s="62"/>
      <c r="BT621" s="62"/>
      <c r="BU621" s="62"/>
      <c r="BV621" s="66"/>
      <c r="BW621" s="66"/>
      <c r="BX621" s="66"/>
      <c r="BY621" s="66"/>
      <c r="BZ621" s="66"/>
      <c r="CA621" s="66"/>
      <c r="CB621" s="66"/>
      <c r="CC621" s="66"/>
      <c r="CD621" s="66"/>
      <c r="CE621" s="66"/>
      <c r="CF621" s="66"/>
      <c r="CG621" s="66"/>
      <c r="CH621" s="66"/>
      <c r="CI621" s="66"/>
      <c r="CJ621" s="66"/>
      <c r="CK621" s="66"/>
      <c r="CL621" s="66"/>
      <c r="CM621" s="66"/>
      <c r="CN621" s="66"/>
      <c r="CO621" s="66"/>
      <c r="CP621" s="66"/>
      <c r="CQ621" s="66"/>
      <c r="CR621" s="66"/>
      <c r="CS621" s="66"/>
      <c r="CT621" s="66"/>
      <c r="CU621" s="66"/>
      <c r="CV621" s="66"/>
      <c r="CW621" s="66"/>
      <c r="CX621" s="66"/>
      <c r="CY621" s="66"/>
      <c r="CZ621" s="66"/>
      <c r="DA621" s="66"/>
      <c r="DB621" s="66"/>
      <c r="DC621" s="66"/>
    </row>
    <row r="622" spans="2:107" ht="11.25" customHeight="1">
      <c r="B622" s="106"/>
      <c r="C622" s="23"/>
      <c r="D622" s="15"/>
      <c r="E622" s="15"/>
      <c r="F622" s="15"/>
      <c r="G622" s="15"/>
      <c r="H622" s="15"/>
      <c r="I622" s="15"/>
      <c r="J622" s="15"/>
      <c r="K622" s="15"/>
      <c r="L622" s="23"/>
      <c r="M622" s="54"/>
      <c r="N622" s="46"/>
      <c r="O622" s="46"/>
      <c r="P622" s="68"/>
      <c r="Q622" s="68"/>
      <c r="R622" s="68"/>
      <c r="S622" s="68"/>
      <c r="T622" s="68"/>
      <c r="U622" s="68"/>
      <c r="V622" s="68"/>
      <c r="W622" s="68"/>
      <c r="X622" s="805"/>
      <c r="Y622" s="805"/>
      <c r="Z622" s="805"/>
      <c r="AA622" s="805"/>
      <c r="AB622" s="805"/>
      <c r="AC622" s="805"/>
      <c r="AD622" s="805"/>
      <c r="AE622" s="23"/>
      <c r="AF622" s="23"/>
      <c r="AG622" s="23"/>
      <c r="AH622" s="23"/>
      <c r="AI622" s="23"/>
      <c r="AJ622" s="23"/>
      <c r="AK622" s="23"/>
      <c r="AL622" s="23"/>
      <c r="AM622" s="23"/>
      <c r="AN622" s="23"/>
      <c r="AO622" s="23"/>
      <c r="AP622" s="23"/>
      <c r="AQ622" s="23"/>
      <c r="AR622" s="23"/>
      <c r="AS622" s="23"/>
      <c r="AT622" s="23"/>
      <c r="AU622" s="23"/>
      <c r="AV622" s="23"/>
      <c r="AW622" s="23"/>
      <c r="AX622" s="23"/>
      <c r="AY622" s="23"/>
      <c r="AZ622" s="23"/>
      <c r="BA622" s="23"/>
      <c r="BB622" s="23"/>
      <c r="BC622" s="23"/>
      <c r="BD622" s="36"/>
      <c r="BE622" s="36"/>
      <c r="BF622" s="36"/>
      <c r="BG622" s="36"/>
      <c r="BH622" s="46"/>
      <c r="BI622" s="46"/>
      <c r="BJ622" s="46"/>
      <c r="BK622" s="46"/>
      <c r="BL622" s="46"/>
      <c r="BM622" s="46"/>
      <c r="BN622" s="46"/>
      <c r="BO622" s="46"/>
      <c r="BP622" s="46"/>
      <c r="BQ622" s="46"/>
      <c r="BR622" s="46"/>
      <c r="BS622" s="46"/>
      <c r="BT622" s="46"/>
      <c r="BU622" s="46"/>
      <c r="BV622" s="15"/>
      <c r="BW622" s="15"/>
      <c r="BX622" s="14"/>
      <c r="BY622" s="14"/>
      <c r="BZ622" s="14"/>
      <c r="CA622" s="14"/>
      <c r="CB622" s="14"/>
      <c r="CC622" s="14"/>
      <c r="CD622" s="14"/>
      <c r="CE622" s="14"/>
      <c r="CF622" s="14"/>
      <c r="CG622" s="14"/>
      <c r="CH622" s="14"/>
      <c r="CI622" s="14"/>
      <c r="CJ622" s="14"/>
      <c r="CK622" s="14"/>
      <c r="CL622" s="14"/>
      <c r="CM622" s="14"/>
      <c r="CN622" s="14"/>
      <c r="CO622" s="14"/>
      <c r="CP622" s="14"/>
      <c r="CQ622" s="14"/>
      <c r="CR622" s="14"/>
      <c r="CS622" s="14"/>
      <c r="CT622" s="14"/>
      <c r="CU622" s="14"/>
      <c r="CV622" s="14"/>
      <c r="CW622" s="14"/>
    </row>
    <row r="623" spans="2:107" ht="11.25" customHeight="1">
      <c r="B623" s="141" t="s">
        <v>714</v>
      </c>
      <c r="C623" s="23"/>
      <c r="D623" s="15"/>
      <c r="E623" s="15"/>
      <c r="F623" s="15"/>
      <c r="G623" s="15"/>
      <c r="H623" s="15"/>
      <c r="I623" s="15"/>
      <c r="J623" s="15"/>
      <c r="K623" s="15"/>
      <c r="L623" s="23"/>
      <c r="M623" s="54"/>
      <c r="N623" s="27">
        <f>+AVERAGE(M624:N624)</f>
        <v>17500</v>
      </c>
      <c r="O623" s="27">
        <f>+AVERAGE(N624:O624)</f>
        <v>19150</v>
      </c>
      <c r="P623" s="27">
        <f>+AVERAGE(O624:P624)</f>
        <v>22750</v>
      </c>
      <c r="Q623" s="109">
        <f>AVERAGE(CB624:CE624)</f>
        <v>25575</v>
      </c>
      <c r="R623" s="109">
        <f>AVERAGE(CF624:CI624)</f>
        <v>28425</v>
      </c>
      <c r="S623" s="109">
        <f>AVERAGE(CJ624:CM624)</f>
        <v>33750</v>
      </c>
      <c r="T623" s="109">
        <f>AVERAGE(CN624:CQ624)</f>
        <v>38250</v>
      </c>
      <c r="U623" s="109">
        <f>AVERAGE(CR624:CU624)</f>
        <v>50275</v>
      </c>
      <c r="V623" s="109">
        <f>AVERAGE(CV624:CY624)</f>
        <v>79375</v>
      </c>
      <c r="W623" s="109">
        <f>AVERAGE(CZ624:DC624)</f>
        <v>87209.65625</v>
      </c>
      <c r="X623" s="109">
        <f>AVERAGE(W624:X624)</f>
        <v>93439.237499999988</v>
      </c>
      <c r="Y623" s="109">
        <f>AVERAGE(X624:Y624)</f>
        <v>100234.04999999999</v>
      </c>
      <c r="Z623" s="109">
        <f>AVERAGE(Y624:Z624)</f>
        <v>107117.25</v>
      </c>
      <c r="AA623" s="109">
        <f t="shared" ref="AA623:AD623" si="725">AVERAGE(Z624:AA624)</f>
        <v>114075.45</v>
      </c>
      <c r="AB623" s="109">
        <f t="shared" si="725"/>
        <v>121108.65</v>
      </c>
      <c r="AC623" s="109">
        <f t="shared" si="725"/>
        <v>128216.85</v>
      </c>
      <c r="AD623" s="109">
        <f t="shared" si="725"/>
        <v>135400.04999999999</v>
      </c>
      <c r="AE623" s="23"/>
      <c r="AF623" s="23"/>
      <c r="AG623" s="23"/>
      <c r="AH623" s="23"/>
      <c r="AI623" s="23"/>
      <c r="AJ623" s="23"/>
      <c r="AK623" s="23"/>
      <c r="AL623" s="23"/>
      <c r="AM623" s="23"/>
      <c r="AN623" s="23"/>
      <c r="AO623" s="23"/>
      <c r="AP623" s="23"/>
      <c r="AQ623" s="23"/>
      <c r="AR623" s="23"/>
      <c r="AS623" s="23"/>
      <c r="AT623" s="23"/>
      <c r="AU623" s="23"/>
      <c r="AV623" s="23"/>
      <c r="AW623" s="23"/>
      <c r="AX623" s="23"/>
      <c r="AY623" s="23"/>
      <c r="AZ623" s="23"/>
      <c r="BA623" s="23"/>
      <c r="BB623" s="23"/>
      <c r="BC623" s="23"/>
      <c r="BD623" s="36"/>
      <c r="BE623" s="36"/>
      <c r="BF623" s="36"/>
      <c r="BG623" s="36"/>
      <c r="BH623" s="46"/>
      <c r="BI623" s="46"/>
      <c r="BJ623" s="46"/>
      <c r="BK623" s="46"/>
      <c r="BL623" s="46"/>
      <c r="BM623" s="46"/>
      <c r="BN623" s="46"/>
      <c r="BO623" s="46"/>
      <c r="BP623" s="118">
        <v>15750</v>
      </c>
      <c r="BQ623" s="118">
        <v>16800</v>
      </c>
      <c r="BR623" s="118">
        <v>17100</v>
      </c>
      <c r="BS623" s="118">
        <v>17300</v>
      </c>
      <c r="BT623" s="118">
        <v>17400</v>
      </c>
      <c r="BU623" s="118">
        <v>18800</v>
      </c>
      <c r="BV623" s="118">
        <v>19800</v>
      </c>
      <c r="BW623" s="109">
        <f t="shared" ref="BW623:CY623" si="726">AVERAGE(BV624:BW624)</f>
        <v>20300</v>
      </c>
      <c r="BX623" s="109">
        <f t="shared" si="726"/>
        <v>21250</v>
      </c>
      <c r="BY623" s="109">
        <f t="shared" si="726"/>
        <v>22300</v>
      </c>
      <c r="BZ623" s="109">
        <f t="shared" si="726"/>
        <v>23550</v>
      </c>
      <c r="CA623" s="109">
        <f t="shared" si="726"/>
        <v>24450</v>
      </c>
      <c r="CB623" s="109">
        <f t="shared" si="726"/>
        <v>24950</v>
      </c>
      <c r="CC623" s="109">
        <f t="shared" si="726"/>
        <v>25000</v>
      </c>
      <c r="CD623" s="109">
        <f t="shared" si="726"/>
        <v>25200</v>
      </c>
      <c r="CE623" s="109">
        <f t="shared" si="726"/>
        <v>26150</v>
      </c>
      <c r="CF623" s="109">
        <f t="shared" si="726"/>
        <v>26950</v>
      </c>
      <c r="CG623" s="109">
        <f t="shared" si="726"/>
        <v>27650</v>
      </c>
      <c r="CH623" s="109">
        <f t="shared" si="726"/>
        <v>28500</v>
      </c>
      <c r="CI623" s="109">
        <f t="shared" si="726"/>
        <v>29200</v>
      </c>
      <c r="CJ623" s="109">
        <f t="shared" si="726"/>
        <v>30950</v>
      </c>
      <c r="CK623" s="109">
        <f t="shared" si="726"/>
        <v>32850</v>
      </c>
      <c r="CL623" s="109">
        <f t="shared" si="726"/>
        <v>33800</v>
      </c>
      <c r="CM623" s="109">
        <f t="shared" si="726"/>
        <v>34650</v>
      </c>
      <c r="CN623" s="109">
        <f t="shared" si="726"/>
        <v>35450</v>
      </c>
      <c r="CO623" s="109">
        <f t="shared" si="726"/>
        <v>36650</v>
      </c>
      <c r="CP623" s="109">
        <f t="shared" si="726"/>
        <v>38300</v>
      </c>
      <c r="CQ623" s="109">
        <f t="shared" si="726"/>
        <v>39850</v>
      </c>
      <c r="CR623" s="109">
        <f t="shared" si="726"/>
        <v>40850</v>
      </c>
      <c r="CS623" s="109">
        <f t="shared" si="726"/>
        <v>41650</v>
      </c>
      <c r="CT623" s="109">
        <f t="shared" si="726"/>
        <v>42650</v>
      </c>
      <c r="CU623" s="109">
        <f t="shared" si="726"/>
        <v>58900</v>
      </c>
      <c r="CV623" s="109">
        <f t="shared" si="726"/>
        <v>75350</v>
      </c>
      <c r="CW623" s="109">
        <f t="shared" si="726"/>
        <v>77000</v>
      </c>
      <c r="CX623" s="109">
        <f t="shared" si="726"/>
        <v>79100</v>
      </c>
      <c r="CY623" s="109">
        <f t="shared" si="726"/>
        <v>81750</v>
      </c>
      <c r="CZ623" s="109">
        <f t="shared" ref="CZ623:DC623" si="727">AVERAGE(CY624:CZ624)</f>
        <v>83733.649999999994</v>
      </c>
      <c r="DA623" s="109">
        <f t="shared" si="727"/>
        <v>85258.375</v>
      </c>
      <c r="DB623" s="109">
        <f t="shared" si="727"/>
        <v>87252.024999999994</v>
      </c>
      <c r="DC623" s="109">
        <f t="shared" si="727"/>
        <v>89160.9375</v>
      </c>
    </row>
    <row r="624" spans="2:107" ht="11.25" customHeight="1">
      <c r="B624" s="141" t="s">
        <v>705</v>
      </c>
      <c r="C624" s="23"/>
      <c r="D624" s="15"/>
      <c r="E624" s="15"/>
      <c r="F624" s="15"/>
      <c r="G624" s="15"/>
      <c r="H624" s="15"/>
      <c r="I624" s="15"/>
      <c r="J624" s="15"/>
      <c r="K624" s="15"/>
      <c r="L624" s="23"/>
      <c r="M624" s="27"/>
      <c r="N624" s="769">
        <f>BT624</f>
        <v>17500</v>
      </c>
      <c r="O624" s="15">
        <f>BW624</f>
        <v>20800</v>
      </c>
      <c r="P624" s="769">
        <f>CA624</f>
        <v>24700</v>
      </c>
      <c r="Q624" s="109">
        <f>CE624</f>
        <v>26700</v>
      </c>
      <c r="R624" s="109">
        <f>CI624</f>
        <v>29500</v>
      </c>
      <c r="S624" s="109">
        <f>CM624</f>
        <v>35000</v>
      </c>
      <c r="T624" s="109">
        <f>CQ624</f>
        <v>40500</v>
      </c>
      <c r="U624" s="109">
        <f>CU624</f>
        <v>74600</v>
      </c>
      <c r="V624" s="109">
        <f>CY624</f>
        <v>83200</v>
      </c>
      <c r="W624" s="109">
        <f>DC624</f>
        <v>90067.274999999994</v>
      </c>
      <c r="X624" s="109">
        <f>X627*X565</f>
        <v>96811.199999999997</v>
      </c>
      <c r="Y624" s="109">
        <f>Y627*Y565</f>
        <v>103656.9</v>
      </c>
      <c r="Z624" s="109">
        <f>Z627*Z565</f>
        <v>110577.59999999999</v>
      </c>
      <c r="AA624" s="109">
        <f t="shared" ref="AA624:AD624" si="728">AA627*AA565</f>
        <v>117573.3</v>
      </c>
      <c r="AB624" s="109">
        <f t="shared" si="728"/>
        <v>124644</v>
      </c>
      <c r="AC624" s="109">
        <f t="shared" si="728"/>
        <v>131789.70000000001</v>
      </c>
      <c r="AD624" s="109">
        <f t="shared" si="728"/>
        <v>139010.4</v>
      </c>
      <c r="AE624" s="23"/>
      <c r="AF624" s="23"/>
      <c r="AG624" s="23"/>
      <c r="AH624" s="23"/>
      <c r="AI624" s="23"/>
      <c r="AJ624" s="23"/>
      <c r="AK624" s="23"/>
      <c r="AL624" s="23"/>
      <c r="AM624" s="23"/>
      <c r="AN624" s="23"/>
      <c r="AO624" s="23"/>
      <c r="AP624" s="23"/>
      <c r="AQ624" s="23"/>
      <c r="AR624" s="23"/>
      <c r="AS624" s="23"/>
      <c r="AT624" s="23"/>
      <c r="AU624" s="23"/>
      <c r="AV624" s="23"/>
      <c r="AW624" s="23"/>
      <c r="AX624" s="23"/>
      <c r="AY624" s="23"/>
      <c r="AZ624" s="23"/>
      <c r="BA624" s="23"/>
      <c r="BB624" s="23"/>
      <c r="BC624" s="23"/>
      <c r="BD624" s="36"/>
      <c r="BE624" s="36"/>
      <c r="BF624" s="36"/>
      <c r="BG624" s="36"/>
      <c r="BH624" s="46"/>
      <c r="BI624" s="46"/>
      <c r="BJ624" s="46"/>
      <c r="BK624" s="46"/>
      <c r="BL624" s="46"/>
      <c r="BM624" s="46"/>
      <c r="BN624" s="46"/>
      <c r="BO624" s="46"/>
      <c r="BP624" s="118">
        <v>15900</v>
      </c>
      <c r="BQ624" s="118">
        <v>17000</v>
      </c>
      <c r="BR624" s="118">
        <v>17200</v>
      </c>
      <c r="BS624" s="118">
        <v>17300</v>
      </c>
      <c r="BT624" s="118">
        <v>17500</v>
      </c>
      <c r="BU624" s="118">
        <v>19800</v>
      </c>
      <c r="BV624" s="118">
        <v>19800</v>
      </c>
      <c r="BW624" s="118">
        <v>20800</v>
      </c>
      <c r="BX624" s="118">
        <v>21700</v>
      </c>
      <c r="BY624" s="1643">
        <v>22900</v>
      </c>
      <c r="BZ624" s="1643">
        <v>24200</v>
      </c>
      <c r="CA624" s="1643">
        <v>24700</v>
      </c>
      <c r="CB624" s="1643">
        <v>25200</v>
      </c>
      <c r="CC624" s="118">
        <v>24800</v>
      </c>
      <c r="CD624" s="118">
        <v>25600</v>
      </c>
      <c r="CE624" s="118">
        <v>26700</v>
      </c>
      <c r="CF624" s="118">
        <v>27200</v>
      </c>
      <c r="CG624" s="118">
        <v>28100</v>
      </c>
      <c r="CH624" s="118">
        <v>28900</v>
      </c>
      <c r="CI624" s="118">
        <v>29500</v>
      </c>
      <c r="CJ624" s="118">
        <v>32400</v>
      </c>
      <c r="CK624" s="118">
        <v>33300</v>
      </c>
      <c r="CL624" s="118">
        <v>34300</v>
      </c>
      <c r="CM624" s="118">
        <v>35000</v>
      </c>
      <c r="CN624" s="118">
        <v>35900</v>
      </c>
      <c r="CO624" s="118">
        <v>37400</v>
      </c>
      <c r="CP624" s="118">
        <v>39200</v>
      </c>
      <c r="CQ624" s="118">
        <v>40500</v>
      </c>
      <c r="CR624" s="118">
        <v>41200</v>
      </c>
      <c r="CS624" s="118">
        <v>42100</v>
      </c>
      <c r="CT624" s="118">
        <v>43200</v>
      </c>
      <c r="CU624" s="118">
        <v>74600</v>
      </c>
      <c r="CV624" s="118">
        <v>76100</v>
      </c>
      <c r="CW624" s="118">
        <v>77900</v>
      </c>
      <c r="CX624" s="118">
        <v>80300</v>
      </c>
      <c r="CY624" s="118">
        <v>83200</v>
      </c>
      <c r="CZ624" s="109">
        <f t="shared" ref="CZ624:DC624" si="729">CZ627*CZ565</f>
        <v>84267.299999999988</v>
      </c>
      <c r="DA624" s="109">
        <f t="shared" si="729"/>
        <v>86249.45</v>
      </c>
      <c r="DB624" s="109">
        <f t="shared" si="729"/>
        <v>88254.599999999991</v>
      </c>
      <c r="DC624" s="109">
        <f t="shared" si="729"/>
        <v>90067.274999999994</v>
      </c>
    </row>
    <row r="625" spans="2:107" ht="11.25" customHeight="1">
      <c r="B625" s="141" t="s">
        <v>707</v>
      </c>
      <c r="C625" s="23"/>
      <c r="D625" s="15"/>
      <c r="E625" s="15"/>
      <c r="F625" s="15"/>
      <c r="G625" s="15"/>
      <c r="H625" s="15"/>
      <c r="I625" s="15"/>
      <c r="J625" s="15"/>
      <c r="K625" s="15"/>
      <c r="L625" s="23"/>
      <c r="M625" s="27"/>
      <c r="N625" s="27"/>
      <c r="O625" s="809">
        <f t="shared" ref="O625:W625" si="730">O623-N623</f>
        <v>1650</v>
      </c>
      <c r="P625" s="109">
        <f t="shared" si="730"/>
        <v>3600</v>
      </c>
      <c r="Q625" s="109">
        <f t="shared" si="730"/>
        <v>2825</v>
      </c>
      <c r="R625" s="109">
        <f t="shared" si="730"/>
        <v>2850</v>
      </c>
      <c r="S625" s="109">
        <f t="shared" si="730"/>
        <v>5325</v>
      </c>
      <c r="T625" s="109">
        <f t="shared" si="730"/>
        <v>4500</v>
      </c>
      <c r="U625" s="109">
        <f t="shared" si="730"/>
        <v>12025</v>
      </c>
      <c r="V625" s="109">
        <f t="shared" si="730"/>
        <v>29100</v>
      </c>
      <c r="W625" s="109">
        <f t="shared" si="730"/>
        <v>7834.65625</v>
      </c>
      <c r="X625" s="109">
        <f>X624-W624</f>
        <v>6743.9250000000029</v>
      </c>
      <c r="Y625" s="109">
        <f>Y624-X624</f>
        <v>6845.6999999999971</v>
      </c>
      <c r="Z625" s="109">
        <f>Z624-Y624</f>
        <v>6920.6999999999971</v>
      </c>
      <c r="AA625" s="109">
        <f t="shared" ref="AA625:AD625" si="731">AA624-Z624</f>
        <v>6995.7000000000116</v>
      </c>
      <c r="AB625" s="109">
        <f t="shared" si="731"/>
        <v>7070.6999999999971</v>
      </c>
      <c r="AC625" s="109">
        <f t="shared" si="731"/>
        <v>7145.7000000000116</v>
      </c>
      <c r="AD625" s="109">
        <f t="shared" si="731"/>
        <v>7220.6999999999825</v>
      </c>
      <c r="AE625" s="23"/>
      <c r="AF625" s="23"/>
      <c r="AG625" s="23"/>
      <c r="AH625" s="23"/>
      <c r="AI625" s="23"/>
      <c r="AJ625" s="23"/>
      <c r="AK625" s="23"/>
      <c r="AL625" s="23"/>
      <c r="AM625" s="23"/>
      <c r="AN625" s="23"/>
      <c r="AO625" s="23"/>
      <c r="AP625" s="23"/>
      <c r="AQ625" s="23"/>
      <c r="AR625" s="23"/>
      <c r="AS625" s="23"/>
      <c r="AT625" s="23"/>
      <c r="AU625" s="23"/>
      <c r="AV625" s="23"/>
      <c r="AW625" s="23"/>
      <c r="AX625" s="23"/>
      <c r="AY625" s="23"/>
      <c r="AZ625" s="23"/>
      <c r="BA625" s="23"/>
      <c r="BB625" s="23"/>
      <c r="BC625" s="23"/>
      <c r="BD625" s="36"/>
      <c r="BE625" s="36"/>
      <c r="BF625" s="36"/>
      <c r="BG625" s="36"/>
      <c r="BH625" s="46"/>
      <c r="BI625" s="46"/>
      <c r="BJ625" s="46"/>
      <c r="BK625" s="46"/>
      <c r="BL625" s="46"/>
      <c r="BM625" s="46"/>
      <c r="BN625" s="46"/>
      <c r="BO625" s="46"/>
      <c r="BP625" s="16"/>
      <c r="BQ625" s="16">
        <f t="shared" ref="BQ625:CY625" si="732">BQ624-BP624</f>
        <v>1100</v>
      </c>
      <c r="BR625" s="16">
        <f t="shared" si="732"/>
        <v>200</v>
      </c>
      <c r="BS625" s="16">
        <f t="shared" si="732"/>
        <v>100</v>
      </c>
      <c r="BT625" s="16">
        <f t="shared" si="732"/>
        <v>200</v>
      </c>
      <c r="BU625" s="16">
        <f t="shared" si="732"/>
        <v>2300</v>
      </c>
      <c r="BV625" s="16">
        <f t="shared" si="732"/>
        <v>0</v>
      </c>
      <c r="BW625" s="16">
        <f t="shared" si="732"/>
        <v>1000</v>
      </c>
      <c r="BX625" s="109">
        <f t="shared" si="732"/>
        <v>900</v>
      </c>
      <c r="BY625" s="109">
        <f t="shared" si="732"/>
        <v>1200</v>
      </c>
      <c r="BZ625" s="109">
        <f t="shared" si="732"/>
        <v>1300</v>
      </c>
      <c r="CA625" s="109">
        <f t="shared" si="732"/>
        <v>500</v>
      </c>
      <c r="CB625" s="109">
        <f t="shared" si="732"/>
        <v>500</v>
      </c>
      <c r="CC625" s="109">
        <f t="shared" si="732"/>
        <v>-400</v>
      </c>
      <c r="CD625" s="109">
        <f t="shared" si="732"/>
        <v>800</v>
      </c>
      <c r="CE625" s="109">
        <f t="shared" si="732"/>
        <v>1100</v>
      </c>
      <c r="CF625" s="109">
        <f t="shared" si="732"/>
        <v>500</v>
      </c>
      <c r="CG625" s="109">
        <f t="shared" si="732"/>
        <v>900</v>
      </c>
      <c r="CH625" s="109">
        <f t="shared" si="732"/>
        <v>800</v>
      </c>
      <c r="CI625" s="109">
        <f t="shared" si="732"/>
        <v>600</v>
      </c>
      <c r="CJ625" s="109">
        <f t="shared" si="732"/>
        <v>2900</v>
      </c>
      <c r="CK625" s="109">
        <f t="shared" si="732"/>
        <v>900</v>
      </c>
      <c r="CL625" s="109">
        <f t="shared" si="732"/>
        <v>1000</v>
      </c>
      <c r="CM625" s="109">
        <f t="shared" si="732"/>
        <v>700</v>
      </c>
      <c r="CN625" s="109">
        <f t="shared" si="732"/>
        <v>900</v>
      </c>
      <c r="CO625" s="109">
        <f t="shared" si="732"/>
        <v>1500</v>
      </c>
      <c r="CP625" s="109">
        <f t="shared" si="732"/>
        <v>1800</v>
      </c>
      <c r="CQ625" s="109">
        <f t="shared" si="732"/>
        <v>1300</v>
      </c>
      <c r="CR625" s="109">
        <f t="shared" si="732"/>
        <v>700</v>
      </c>
      <c r="CS625" s="109">
        <f t="shared" si="732"/>
        <v>900</v>
      </c>
      <c r="CT625" s="109">
        <f t="shared" si="732"/>
        <v>1100</v>
      </c>
      <c r="CU625" s="109">
        <f t="shared" si="732"/>
        <v>31400</v>
      </c>
      <c r="CV625" s="109">
        <f t="shared" si="732"/>
        <v>1500</v>
      </c>
      <c r="CW625" s="109">
        <f t="shared" si="732"/>
        <v>1800</v>
      </c>
      <c r="CX625" s="109">
        <f t="shared" si="732"/>
        <v>2400</v>
      </c>
      <c r="CY625" s="109">
        <f t="shared" si="732"/>
        <v>2900</v>
      </c>
      <c r="CZ625" s="109">
        <f t="shared" ref="CZ625:DC625" si="733">CZ624-CY624</f>
        <v>1067.2999999999884</v>
      </c>
      <c r="DA625" s="109">
        <f t="shared" si="733"/>
        <v>1982.1500000000087</v>
      </c>
      <c r="DB625" s="109">
        <f t="shared" si="733"/>
        <v>2005.1499999999942</v>
      </c>
      <c r="DC625" s="109">
        <f t="shared" si="733"/>
        <v>1812.6750000000029</v>
      </c>
    </row>
    <row r="626" spans="2:107" ht="12.75" customHeight="1">
      <c r="B626" s="141"/>
      <c r="C626" s="23"/>
      <c r="D626" s="15"/>
      <c r="E626" s="15"/>
      <c r="F626" s="15"/>
      <c r="G626" s="15"/>
      <c r="H626" s="15"/>
      <c r="I626" s="15"/>
      <c r="J626" s="15"/>
      <c r="K626" s="15"/>
      <c r="L626" s="23"/>
      <c r="M626" s="27"/>
      <c r="N626" s="27"/>
      <c r="O626" s="16"/>
      <c r="P626" s="16"/>
      <c r="Q626" s="16"/>
      <c r="R626" s="16"/>
      <c r="S626" s="16"/>
      <c r="T626" s="16"/>
      <c r="U626" s="16"/>
      <c r="V626" s="16"/>
      <c r="W626" s="16"/>
      <c r="X626" s="16"/>
      <c r="Y626" s="16"/>
      <c r="Z626" s="16"/>
      <c r="AA626" s="16"/>
      <c r="AB626" s="16"/>
      <c r="AC626" s="16"/>
      <c r="AD626" s="16"/>
      <c r="AE626" s="23"/>
      <c r="AF626" s="23"/>
      <c r="AG626" s="23"/>
      <c r="AH626" s="23"/>
      <c r="AI626" s="23"/>
      <c r="AJ626" s="23"/>
      <c r="AK626" s="23"/>
      <c r="AL626" s="23"/>
      <c r="AM626" s="23"/>
      <c r="AN626" s="23"/>
      <c r="AO626" s="23"/>
      <c r="AP626" s="23"/>
      <c r="AQ626" s="23"/>
      <c r="AR626" s="23"/>
      <c r="AS626" s="23"/>
      <c r="AT626" s="23"/>
      <c r="AU626" s="23"/>
      <c r="AV626" s="23"/>
      <c r="AW626" s="23"/>
      <c r="AX626" s="23"/>
      <c r="AY626" s="23"/>
      <c r="AZ626" s="23"/>
      <c r="BA626" s="23"/>
      <c r="BB626" s="23"/>
      <c r="BC626" s="23"/>
      <c r="BD626" s="36"/>
      <c r="BE626" s="36"/>
      <c r="BF626" s="36"/>
      <c r="BG626" s="36"/>
      <c r="BH626" s="46"/>
      <c r="BI626" s="46"/>
      <c r="BJ626" s="46"/>
      <c r="BK626" s="46"/>
      <c r="BL626" s="46"/>
      <c r="BM626" s="46"/>
      <c r="BN626" s="46"/>
      <c r="BO626" s="46"/>
      <c r="BP626" s="16"/>
      <c r="BQ626" s="16"/>
      <c r="BR626" s="16"/>
      <c r="BS626" s="16"/>
      <c r="BT626" s="16"/>
      <c r="BU626" s="16"/>
      <c r="BV626" s="16"/>
      <c r="BW626" s="16"/>
      <c r="BX626" s="16"/>
      <c r="BY626" s="16"/>
      <c r="BZ626" s="16"/>
      <c r="CA626" s="16"/>
      <c r="CB626" s="16"/>
      <c r="CC626" s="16"/>
      <c r="CD626" s="16"/>
      <c r="CE626" s="16"/>
      <c r="CF626" s="16"/>
      <c r="CG626" s="16"/>
      <c r="CH626" s="16"/>
      <c r="CI626" s="16"/>
      <c r="CJ626" s="16"/>
      <c r="CK626" s="16"/>
      <c r="CL626" s="16"/>
      <c r="CM626" s="16"/>
      <c r="CN626" s="16"/>
      <c r="CO626" s="16"/>
      <c r="CP626" s="16"/>
      <c r="CQ626" s="16"/>
      <c r="CR626" s="16"/>
      <c r="CS626" s="16"/>
      <c r="CT626" s="16"/>
      <c r="CU626" s="16"/>
      <c r="CV626" s="16"/>
      <c r="CW626" s="16"/>
      <c r="CX626" s="16"/>
      <c r="CY626" s="16"/>
      <c r="CZ626" s="16"/>
      <c r="DA626" s="16"/>
      <c r="DB626" s="16"/>
      <c r="DC626" s="16"/>
    </row>
    <row r="627" spans="2:107">
      <c r="B627" s="142" t="s">
        <v>706</v>
      </c>
      <c r="C627" s="23"/>
      <c r="D627" s="15"/>
      <c r="E627" s="15"/>
      <c r="F627" s="15"/>
      <c r="G627" s="15"/>
      <c r="H627" s="15"/>
      <c r="I627" s="15"/>
      <c r="J627" s="15"/>
      <c r="K627" s="15"/>
      <c r="L627" s="51"/>
      <c r="M627" s="24"/>
      <c r="N627" s="55">
        <f>BS627</f>
        <v>0.75217391304347825</v>
      </c>
      <c r="O627" s="55">
        <f>BW627</f>
        <v>0.74021352313167255</v>
      </c>
      <c r="P627" s="55">
        <f>CA627</f>
        <v>0.78164556962025311</v>
      </c>
      <c r="Q627" s="55">
        <f>CE627</f>
        <v>0.71010638297872342</v>
      </c>
      <c r="R627" s="55">
        <f t="shared" ref="R627:W627" si="734">R624/R565</f>
        <v>0.7142857142857143</v>
      </c>
      <c r="S627" s="55">
        <f t="shared" si="734"/>
        <v>0.80275229357798161</v>
      </c>
      <c r="T627" s="55">
        <f t="shared" si="734"/>
        <v>0.81818181818181823</v>
      </c>
      <c r="U627" s="55">
        <f t="shared" si="734"/>
        <v>0.80474649406688237</v>
      </c>
      <c r="V627" s="55">
        <f t="shared" si="734"/>
        <v>0.82951146560319045</v>
      </c>
      <c r="W627" s="55">
        <f t="shared" si="734"/>
        <v>0.83499999999999996</v>
      </c>
      <c r="X627" s="2356">
        <f>+CHOOSE(mode,Rev!X628,Rev!X629,Rev!X630)</f>
        <v>0.83</v>
      </c>
      <c r="Y627" s="2356">
        <f>+CHOOSE(mode,Rev!Y628,Rev!Y629,Rev!Y630)</f>
        <v>0.83499999999999996</v>
      </c>
      <c r="Z627" s="2356">
        <f>+CHOOSE(mode,Rev!Z628,Rev!Z629,Rev!Z630)</f>
        <v>0.84</v>
      </c>
      <c r="AA627" s="2356">
        <f>+CHOOSE(mode,Rev!AA628,Rev!AA629,Rev!AA630)</f>
        <v>0.84499999999999997</v>
      </c>
      <c r="AB627" s="2356">
        <f>+CHOOSE(mode,Rev!AB628,Rev!AB629,Rev!AB630)</f>
        <v>0.85</v>
      </c>
      <c r="AC627" s="2356">
        <f>+CHOOSE(mode,Rev!AC628,Rev!AC629,Rev!AC630)</f>
        <v>0.85499999999999998</v>
      </c>
      <c r="AD627" s="2356">
        <f>+CHOOSE(mode,Rev!AD628,Rev!AD629,Rev!AD630)</f>
        <v>0.86</v>
      </c>
      <c r="AE627" s="23"/>
      <c r="AF627" s="23"/>
      <c r="AG627" s="23"/>
      <c r="AH627" s="23"/>
      <c r="AI627" s="23"/>
      <c r="AJ627" s="23"/>
      <c r="AK627" s="23"/>
      <c r="AL627" s="23"/>
      <c r="AM627" s="23"/>
      <c r="AN627" s="23"/>
      <c r="AO627" s="23"/>
      <c r="AP627" s="23"/>
      <c r="AQ627" s="23"/>
      <c r="AR627" s="23"/>
      <c r="AS627" s="23"/>
      <c r="AT627" s="23"/>
      <c r="AU627" s="23"/>
      <c r="AV627" s="23"/>
      <c r="AW627" s="23"/>
      <c r="AX627" s="23"/>
      <c r="AY627" s="23"/>
      <c r="AZ627" s="23"/>
      <c r="BA627" s="23"/>
      <c r="BB627" s="23"/>
      <c r="BC627" s="23"/>
      <c r="BD627" s="23"/>
      <c r="BE627" s="51"/>
      <c r="BF627" s="51"/>
      <c r="BG627" s="51"/>
      <c r="BH627" s="51"/>
      <c r="BI627" s="51"/>
      <c r="BJ627" s="51"/>
      <c r="BK627" s="51"/>
      <c r="BL627" s="51"/>
      <c r="BM627" s="51"/>
      <c r="BN627" s="51"/>
      <c r="BO627" s="51"/>
      <c r="BP627" s="55">
        <f t="shared" ref="BP627:CS627" si="735">BP624/BP565</f>
        <v>0.79899497487437188</v>
      </c>
      <c r="BQ627" s="55">
        <f t="shared" si="735"/>
        <v>0.845771144278607</v>
      </c>
      <c r="BR627" s="55">
        <f t="shared" si="735"/>
        <v>0.82296650717703346</v>
      </c>
      <c r="BS627" s="55">
        <f t="shared" si="735"/>
        <v>0.75217391304347825</v>
      </c>
      <c r="BT627" s="55">
        <f t="shared" si="735"/>
        <v>0.69444444444444442</v>
      </c>
      <c r="BU627" s="55">
        <f t="shared" si="735"/>
        <v>0.70462633451957291</v>
      </c>
      <c r="BV627" s="55">
        <f t="shared" si="735"/>
        <v>0.70462633451957291</v>
      </c>
      <c r="BW627" s="55">
        <f t="shared" si="735"/>
        <v>0.74021352313167255</v>
      </c>
      <c r="BX627" s="55">
        <f t="shared" si="735"/>
        <v>0.77224199288256223</v>
      </c>
      <c r="BY627" s="55">
        <f t="shared" si="735"/>
        <v>0.71339563862928346</v>
      </c>
      <c r="BZ627" s="55">
        <f t="shared" si="735"/>
        <v>0.76582278481012656</v>
      </c>
      <c r="CA627" s="55">
        <f t="shared" si="735"/>
        <v>0.78164556962025311</v>
      </c>
      <c r="CB627" s="55">
        <f t="shared" si="735"/>
        <v>0.79746835443037978</v>
      </c>
      <c r="CC627" s="55">
        <f t="shared" si="735"/>
        <v>0.77524226320725231</v>
      </c>
      <c r="CD627" s="55">
        <f t="shared" si="735"/>
        <v>0.68085106382978722</v>
      </c>
      <c r="CE627" s="55">
        <f t="shared" si="735"/>
        <v>0.71010638297872342</v>
      </c>
      <c r="CF627" s="55">
        <f t="shared" si="735"/>
        <v>0.71391076115485563</v>
      </c>
      <c r="CG627" s="55">
        <f t="shared" si="735"/>
        <v>0.70959595959595956</v>
      </c>
      <c r="CH627" s="55">
        <f t="shared" si="735"/>
        <v>0.72979797979797978</v>
      </c>
      <c r="CI627" s="55">
        <f t="shared" si="735"/>
        <v>0.7142857142857143</v>
      </c>
      <c r="CJ627" s="55">
        <f t="shared" si="735"/>
        <v>0.7769784172661871</v>
      </c>
      <c r="CK627" s="55">
        <f t="shared" si="735"/>
        <v>0.79856115107913672</v>
      </c>
      <c r="CL627" s="55">
        <f t="shared" si="735"/>
        <v>0.82254196642685851</v>
      </c>
      <c r="CM627" s="55">
        <f t="shared" si="735"/>
        <v>0.80275229357798161</v>
      </c>
      <c r="CN627" s="55">
        <f t="shared" si="735"/>
        <v>0.79955456570155903</v>
      </c>
      <c r="CO627" s="55">
        <f t="shared" si="735"/>
        <v>0.79405520169851385</v>
      </c>
      <c r="CP627" s="55">
        <f t="shared" si="735"/>
        <v>0.81496881496881501</v>
      </c>
      <c r="CQ627" s="55">
        <f t="shared" si="735"/>
        <v>0.81818181818181823</v>
      </c>
      <c r="CR627" s="55">
        <f t="shared" si="735"/>
        <v>0.82071713147410363</v>
      </c>
      <c r="CS627" s="55">
        <f t="shared" si="735"/>
        <v>0.84368737474949895</v>
      </c>
      <c r="CT627" s="55">
        <f t="shared" ref="CT627:CY627" si="736">CT624/CT565</f>
        <v>0.8</v>
      </c>
      <c r="CU627" s="55">
        <f t="shared" si="736"/>
        <v>0.80474649406688237</v>
      </c>
      <c r="CV627" s="55">
        <f t="shared" si="736"/>
        <v>0.81477516059957178</v>
      </c>
      <c r="CW627" s="55">
        <f t="shared" si="736"/>
        <v>0.81827731092436973</v>
      </c>
      <c r="CX627" s="55">
        <f t="shared" si="736"/>
        <v>0.8005982053838484</v>
      </c>
      <c r="CY627" s="55">
        <f t="shared" si="736"/>
        <v>0.82951146560319045</v>
      </c>
      <c r="CZ627" s="2356">
        <f>+CHOOSE(mode,Rev!CZ628,Rev!CZ629,Rev!CZ630)</f>
        <v>0.82</v>
      </c>
      <c r="DA627" s="2356">
        <f>+CHOOSE(mode,Rev!DA628,Rev!DA629,Rev!DA630)</f>
        <v>0.83</v>
      </c>
      <c r="DB627" s="2356">
        <f>+CHOOSE(mode,Rev!DB628,Rev!DB629,Rev!DB630)</f>
        <v>0.84</v>
      </c>
      <c r="DC627" s="2356">
        <f>+CHOOSE(mode,Rev!DC628,Rev!DC629,Rev!DC630)</f>
        <v>0.83499999999999996</v>
      </c>
    </row>
    <row r="628" spans="2:107" outlineLevel="1">
      <c r="B628" s="134" t="s">
        <v>1046</v>
      </c>
      <c r="C628" s="135"/>
      <c r="D628" s="135"/>
      <c r="E628" s="135"/>
      <c r="F628" s="135"/>
      <c r="G628" s="135"/>
      <c r="H628" s="135"/>
      <c r="I628" s="135"/>
      <c r="J628" s="135"/>
      <c r="K628" s="135"/>
      <c r="L628" s="135"/>
      <c r="M628" s="136"/>
      <c r="N628" s="136"/>
      <c r="O628" s="136"/>
      <c r="P628" s="136"/>
      <c r="Q628" s="136"/>
      <c r="R628" s="136"/>
      <c r="S628" s="136"/>
      <c r="T628" s="136"/>
      <c r="U628" s="136"/>
      <c r="V628" s="136"/>
      <c r="W628" s="136"/>
      <c r="X628" s="136">
        <f>X629+0.05</f>
        <v>0.88</v>
      </c>
      <c r="Y628" s="136">
        <f>Y629+0.05</f>
        <v>0.88500000000000001</v>
      </c>
      <c r="Z628" s="136">
        <f>Z629+0.05</f>
        <v>0.89</v>
      </c>
      <c r="AA628" s="136">
        <f t="shared" ref="AA628:AD628" si="737">AA629+0.05</f>
        <v>0.89500000000000002</v>
      </c>
      <c r="AB628" s="136">
        <f t="shared" si="737"/>
        <v>0.9</v>
      </c>
      <c r="AC628" s="136">
        <f t="shared" si="737"/>
        <v>0.90500000000000003</v>
      </c>
      <c r="AD628" s="136">
        <f t="shared" si="737"/>
        <v>0.91</v>
      </c>
      <c r="AE628" s="135"/>
      <c r="AF628" s="135"/>
      <c r="AG628" s="135"/>
      <c r="AH628" s="135"/>
      <c r="AI628" s="135"/>
      <c r="AJ628" s="135"/>
      <c r="AK628" s="135"/>
      <c r="AL628" s="135"/>
      <c r="AM628" s="135"/>
      <c r="AN628" s="135"/>
      <c r="AO628" s="135"/>
      <c r="AP628" s="135"/>
      <c r="AQ628" s="135"/>
      <c r="AR628" s="135"/>
      <c r="AS628" s="135"/>
      <c r="AT628" s="135"/>
      <c r="AU628" s="135"/>
      <c r="AV628" s="135"/>
      <c r="AW628" s="135"/>
      <c r="AX628" s="135"/>
      <c r="AY628" s="135"/>
      <c r="AZ628" s="135"/>
      <c r="BA628" s="135"/>
      <c r="BB628" s="135"/>
      <c r="BC628" s="135"/>
      <c r="BD628" s="137"/>
      <c r="BE628" s="137"/>
      <c r="BF628" s="137"/>
      <c r="BG628" s="137"/>
      <c r="BH628" s="137"/>
      <c r="BI628" s="137"/>
      <c r="BJ628" s="137"/>
      <c r="BK628" s="137"/>
      <c r="BL628" s="137"/>
      <c r="BM628" s="137"/>
      <c r="BN628" s="137"/>
      <c r="BO628" s="137"/>
      <c r="BP628" s="136"/>
      <c r="BQ628" s="136"/>
      <c r="BR628" s="136"/>
      <c r="BS628" s="136"/>
      <c r="BT628" s="136"/>
      <c r="BU628" s="136"/>
      <c r="BV628" s="136"/>
      <c r="BW628" s="136"/>
      <c r="BX628" s="136"/>
      <c r="BY628" s="136"/>
      <c r="BZ628" s="136"/>
      <c r="CA628" s="136"/>
      <c r="CB628" s="136"/>
      <c r="CC628" s="136"/>
      <c r="CD628" s="136"/>
      <c r="CE628" s="136"/>
      <c r="CF628" s="136"/>
      <c r="CG628" s="136"/>
      <c r="CH628" s="136"/>
      <c r="CI628" s="136"/>
      <c r="CJ628" s="136"/>
      <c r="CK628" s="136"/>
      <c r="CL628" s="136"/>
      <c r="CM628" s="136"/>
      <c r="CN628" s="136"/>
      <c r="CO628" s="136"/>
      <c r="CP628" s="136"/>
      <c r="CQ628" s="136"/>
      <c r="CR628" s="136"/>
      <c r="CS628" s="136"/>
      <c r="CT628" s="136"/>
      <c r="CU628" s="136"/>
      <c r="CV628" s="136"/>
      <c r="CW628" s="136"/>
      <c r="CX628" s="136"/>
      <c r="CY628" s="136"/>
      <c r="CZ628" s="136">
        <f t="shared" ref="CZ628:DC628" si="738">+CZ629+0.03</f>
        <v>0.85</v>
      </c>
      <c r="DA628" s="136">
        <f t="shared" si="738"/>
        <v>0.86</v>
      </c>
      <c r="DB628" s="136">
        <f t="shared" si="738"/>
        <v>0.87</v>
      </c>
      <c r="DC628" s="136">
        <f t="shared" si="738"/>
        <v>0.86499999999999999</v>
      </c>
    </row>
    <row r="629" spans="2:107" outlineLevel="1">
      <c r="B629" s="134" t="s">
        <v>1047</v>
      </c>
      <c r="C629" s="135"/>
      <c r="D629" s="135"/>
      <c r="E629" s="135"/>
      <c r="F629" s="135"/>
      <c r="G629" s="135"/>
      <c r="H629" s="135"/>
      <c r="I629" s="135"/>
      <c r="J629" s="135"/>
      <c r="K629" s="135"/>
      <c r="L629" s="135"/>
      <c r="M629" s="136"/>
      <c r="N629" s="136"/>
      <c r="O629" s="136"/>
      <c r="P629" s="136"/>
      <c r="Q629" s="136"/>
      <c r="R629" s="136"/>
      <c r="S629" s="136"/>
      <c r="T629" s="136"/>
      <c r="U629" s="136"/>
      <c r="V629" s="136"/>
      <c r="W629" s="136"/>
      <c r="X629" s="136">
        <v>0.83</v>
      </c>
      <c r="Y629" s="136">
        <f>+X629+0.005</f>
        <v>0.83499999999999996</v>
      </c>
      <c r="Z629" s="136">
        <f>+Y629+0.005</f>
        <v>0.84</v>
      </c>
      <c r="AA629" s="136">
        <f t="shared" ref="AA629:AD629" si="739">+Z629+0.005</f>
        <v>0.84499999999999997</v>
      </c>
      <c r="AB629" s="136">
        <f t="shared" si="739"/>
        <v>0.85</v>
      </c>
      <c r="AC629" s="136">
        <f t="shared" si="739"/>
        <v>0.85499999999999998</v>
      </c>
      <c r="AD629" s="136">
        <f t="shared" si="739"/>
        <v>0.86</v>
      </c>
      <c r="AE629" s="135"/>
      <c r="AF629" s="135"/>
      <c r="AG629" s="135"/>
      <c r="AH629" s="135"/>
      <c r="AI629" s="135"/>
      <c r="AJ629" s="135"/>
      <c r="AK629" s="135"/>
      <c r="AL629" s="135"/>
      <c r="AM629" s="135"/>
      <c r="AN629" s="135"/>
      <c r="AO629" s="135"/>
      <c r="AP629" s="135"/>
      <c r="AQ629" s="135"/>
      <c r="AR629" s="135"/>
      <c r="AS629" s="135"/>
      <c r="AT629" s="135"/>
      <c r="AU629" s="135"/>
      <c r="AV629" s="135"/>
      <c r="AW629" s="135"/>
      <c r="AX629" s="135"/>
      <c r="AY629" s="135"/>
      <c r="AZ629" s="135"/>
      <c r="BA629" s="135"/>
      <c r="BB629" s="135"/>
      <c r="BC629" s="135"/>
      <c r="BD629" s="137"/>
      <c r="BE629" s="137"/>
      <c r="BF629" s="137"/>
      <c r="BG629" s="137"/>
      <c r="BH629" s="137"/>
      <c r="BI629" s="137"/>
      <c r="BJ629" s="137"/>
      <c r="BK629" s="137"/>
      <c r="BL629" s="137"/>
      <c r="BM629" s="137"/>
      <c r="BN629" s="137"/>
      <c r="BO629" s="137"/>
      <c r="BP629" s="136"/>
      <c r="BQ629" s="136"/>
      <c r="BR629" s="136"/>
      <c r="BS629" s="136"/>
      <c r="BT629" s="136"/>
      <c r="BU629" s="136"/>
      <c r="BV629" s="136"/>
      <c r="BW629" s="136"/>
      <c r="BX629" s="136"/>
      <c r="BY629" s="136"/>
      <c r="BZ629" s="136"/>
      <c r="CA629" s="136"/>
      <c r="CB629" s="1614">
        <f t="shared" ref="CB629:CG629" si="740">+CB627</f>
        <v>0.79746835443037978</v>
      </c>
      <c r="CC629" s="1614">
        <f t="shared" si="740"/>
        <v>0.77524226320725231</v>
      </c>
      <c r="CD629" s="1614">
        <f t="shared" si="740"/>
        <v>0.68085106382978722</v>
      </c>
      <c r="CE629" s="1614">
        <f t="shared" si="740"/>
        <v>0.71010638297872342</v>
      </c>
      <c r="CF629" s="1614">
        <f t="shared" si="740"/>
        <v>0.71391076115485563</v>
      </c>
      <c r="CG629" s="1614">
        <f t="shared" si="740"/>
        <v>0.70959595959595956</v>
      </c>
      <c r="CH629" s="1614">
        <f t="shared" ref="CH629:CM629" si="741">+CH627</f>
        <v>0.72979797979797978</v>
      </c>
      <c r="CI629" s="1614">
        <f t="shared" si="741"/>
        <v>0.7142857142857143</v>
      </c>
      <c r="CJ629" s="1614">
        <f t="shared" si="741"/>
        <v>0.7769784172661871</v>
      </c>
      <c r="CK629" s="1614">
        <f t="shared" si="741"/>
        <v>0.79856115107913672</v>
      </c>
      <c r="CL629" s="1614">
        <f t="shared" si="741"/>
        <v>0.82254196642685851</v>
      </c>
      <c r="CM629" s="1614">
        <f t="shared" si="741"/>
        <v>0.80275229357798161</v>
      </c>
      <c r="CN629" s="1614">
        <f t="shared" ref="CN629:CS629" si="742">+CN627</f>
        <v>0.79955456570155903</v>
      </c>
      <c r="CO629" s="1614">
        <f t="shared" si="742"/>
        <v>0.79405520169851385</v>
      </c>
      <c r="CP629" s="1614">
        <f t="shared" si="742"/>
        <v>0.81496881496881501</v>
      </c>
      <c r="CQ629" s="1614">
        <f t="shared" si="742"/>
        <v>0.81818181818181823</v>
      </c>
      <c r="CR629" s="1614">
        <f t="shared" si="742"/>
        <v>0.82071713147410363</v>
      </c>
      <c r="CS629" s="1614">
        <f t="shared" si="742"/>
        <v>0.84368737474949895</v>
      </c>
      <c r="CT629" s="1614">
        <f t="shared" ref="CT629:CY629" si="743">+CT627</f>
        <v>0.8</v>
      </c>
      <c r="CU629" s="1614">
        <f t="shared" si="743"/>
        <v>0.80474649406688237</v>
      </c>
      <c r="CV629" s="1614">
        <f t="shared" si="743"/>
        <v>0.81477516059957178</v>
      </c>
      <c r="CW629" s="1614">
        <f t="shared" si="743"/>
        <v>0.81827731092436973</v>
      </c>
      <c r="CX629" s="1614">
        <f t="shared" si="743"/>
        <v>0.8005982053838484</v>
      </c>
      <c r="CY629" s="1614">
        <f t="shared" si="743"/>
        <v>0.82951146560319045</v>
      </c>
      <c r="CZ629" s="136">
        <v>0.82</v>
      </c>
      <c r="DA629" s="136">
        <v>0.83</v>
      </c>
      <c r="DB629" s="136">
        <v>0.84</v>
      </c>
      <c r="DC629" s="136">
        <v>0.83499999999999996</v>
      </c>
    </row>
    <row r="630" spans="2:107" outlineLevel="1">
      <c r="B630" s="134" t="s">
        <v>1048</v>
      </c>
      <c r="C630" s="135"/>
      <c r="D630" s="135"/>
      <c r="E630" s="135"/>
      <c r="F630" s="135"/>
      <c r="G630" s="135"/>
      <c r="H630" s="135"/>
      <c r="I630" s="135"/>
      <c r="J630" s="135"/>
      <c r="K630" s="135"/>
      <c r="L630" s="135"/>
      <c r="M630" s="136"/>
      <c r="N630" s="136"/>
      <c r="O630" s="136"/>
      <c r="P630" s="136"/>
      <c r="Q630" s="136"/>
      <c r="R630" s="136"/>
      <c r="S630" s="136"/>
      <c r="T630" s="136"/>
      <c r="U630" s="136"/>
      <c r="V630" s="136"/>
      <c r="W630" s="136"/>
      <c r="X630" s="136">
        <f>X629-0.01</f>
        <v>0.82</v>
      </c>
      <c r="Y630" s="136">
        <f>Y629-0.01</f>
        <v>0.82499999999999996</v>
      </c>
      <c r="Z630" s="136">
        <f>Z629-0.01</f>
        <v>0.83</v>
      </c>
      <c r="AA630" s="136">
        <f t="shared" ref="AA630:AD630" si="744">AA629-0.01</f>
        <v>0.83499999999999996</v>
      </c>
      <c r="AB630" s="136">
        <f t="shared" si="744"/>
        <v>0.84</v>
      </c>
      <c r="AC630" s="136">
        <f t="shared" si="744"/>
        <v>0.84499999999999997</v>
      </c>
      <c r="AD630" s="136">
        <f t="shared" si="744"/>
        <v>0.85</v>
      </c>
      <c r="AE630" s="135"/>
      <c r="AF630" s="135"/>
      <c r="AG630" s="135"/>
      <c r="AH630" s="135"/>
      <c r="AI630" s="135"/>
      <c r="AJ630" s="135"/>
      <c r="AK630" s="135"/>
      <c r="AL630" s="135"/>
      <c r="AM630" s="135"/>
      <c r="AN630" s="135"/>
      <c r="AO630" s="135"/>
      <c r="AP630" s="135"/>
      <c r="AQ630" s="135"/>
      <c r="AR630" s="135"/>
      <c r="AS630" s="135"/>
      <c r="AT630" s="135"/>
      <c r="AU630" s="135"/>
      <c r="AV630" s="135"/>
      <c r="AW630" s="135"/>
      <c r="AX630" s="135"/>
      <c r="AY630" s="135"/>
      <c r="AZ630" s="135"/>
      <c r="BA630" s="135"/>
      <c r="BB630" s="135"/>
      <c r="BC630" s="135"/>
      <c r="BD630" s="137"/>
      <c r="BE630" s="137"/>
      <c r="BF630" s="137"/>
      <c r="BG630" s="137"/>
      <c r="BH630" s="137"/>
      <c r="BI630" s="137"/>
      <c r="BJ630" s="137"/>
      <c r="BK630" s="137"/>
      <c r="BL630" s="137"/>
      <c r="BM630" s="137"/>
      <c r="BN630" s="137"/>
      <c r="BO630" s="137"/>
      <c r="BP630" s="136"/>
      <c r="BQ630" s="136"/>
      <c r="BR630" s="136"/>
      <c r="BS630" s="136"/>
      <c r="BT630" s="136"/>
      <c r="BU630" s="136"/>
      <c r="BV630" s="136"/>
      <c r="BW630" s="136"/>
      <c r="BX630" s="136"/>
      <c r="BY630" s="136"/>
      <c r="BZ630" s="136"/>
      <c r="CA630" s="136"/>
      <c r="CB630" s="136"/>
      <c r="CC630" s="136"/>
      <c r="CD630" s="136"/>
      <c r="CE630" s="136"/>
      <c r="CF630" s="136"/>
      <c r="CG630" s="136"/>
      <c r="CH630" s="136"/>
      <c r="CI630" s="136"/>
      <c r="CJ630" s="136"/>
      <c r="CK630" s="136"/>
      <c r="CL630" s="136"/>
      <c r="CM630" s="136"/>
      <c r="CN630" s="136"/>
      <c r="CO630" s="136"/>
      <c r="CP630" s="136"/>
      <c r="CQ630" s="136"/>
      <c r="CR630" s="136"/>
      <c r="CS630" s="136"/>
      <c r="CT630" s="136"/>
      <c r="CU630" s="136"/>
      <c r="CV630" s="136"/>
      <c r="CW630" s="136"/>
      <c r="CX630" s="136"/>
      <c r="CY630" s="136"/>
      <c r="CZ630" s="136">
        <f t="shared" ref="CZ630:DC630" si="745">CZ629-0.03</f>
        <v>0.78999999999999992</v>
      </c>
      <c r="DA630" s="136">
        <f t="shared" si="745"/>
        <v>0.79999999999999993</v>
      </c>
      <c r="DB630" s="136">
        <f t="shared" si="745"/>
        <v>0.80999999999999994</v>
      </c>
      <c r="DC630" s="136">
        <f t="shared" si="745"/>
        <v>0.80499999999999994</v>
      </c>
    </row>
    <row r="631" spans="2:107">
      <c r="B631" s="198"/>
      <c r="C631" s="197"/>
      <c r="D631" s="31"/>
      <c r="E631" s="31"/>
      <c r="F631" s="31"/>
      <c r="G631" s="31"/>
      <c r="H631" s="31"/>
      <c r="I631" s="31"/>
      <c r="J631" s="31"/>
      <c r="K631" s="31"/>
      <c r="L631" s="31"/>
      <c r="M631" s="199"/>
      <c r="N631" s="199"/>
      <c r="O631" s="199"/>
      <c r="P631" s="199"/>
      <c r="Q631" s="199"/>
      <c r="R631" s="199"/>
      <c r="S631" s="199"/>
      <c r="T631" s="199"/>
      <c r="U631" s="199"/>
      <c r="V631" s="199"/>
      <c r="W631" s="199"/>
      <c r="X631" s="39"/>
      <c r="Y631" s="39"/>
      <c r="Z631" s="39"/>
      <c r="AA631" s="39"/>
      <c r="AB631" s="39"/>
      <c r="AC631" s="39"/>
      <c r="AD631" s="39"/>
      <c r="AE631" s="197"/>
      <c r="AF631" s="31"/>
      <c r="AG631" s="31"/>
      <c r="AH631" s="31"/>
      <c r="AI631" s="31"/>
      <c r="AJ631" s="31"/>
      <c r="AK631" s="31"/>
      <c r="AL631" s="31"/>
      <c r="AM631" s="31"/>
      <c r="AN631" s="31"/>
      <c r="AO631" s="31"/>
      <c r="AP631" s="31"/>
      <c r="AQ631" s="31"/>
      <c r="AR631" s="31"/>
      <c r="AS631" s="31"/>
      <c r="AT631" s="31"/>
      <c r="AU631" s="31"/>
      <c r="AV631" s="31"/>
      <c r="AW631" s="31"/>
      <c r="AX631" s="31"/>
      <c r="AY631" s="31"/>
      <c r="AZ631" s="31"/>
      <c r="BA631" s="31"/>
      <c r="BB631" s="31"/>
      <c r="BC631" s="31"/>
      <c r="BD631" s="32"/>
      <c r="BE631" s="32"/>
      <c r="BF631" s="32"/>
      <c r="BG631" s="32"/>
      <c r="BH631" s="32"/>
      <c r="BI631" s="32"/>
      <c r="BJ631" s="32"/>
      <c r="BK631" s="32"/>
      <c r="BL631" s="32"/>
      <c r="BM631" s="32"/>
      <c r="BN631" s="32"/>
      <c r="BO631" s="32"/>
      <c r="BP631" s="199"/>
      <c r="BQ631" s="199"/>
      <c r="BR631" s="199"/>
      <c r="BS631" s="199"/>
      <c r="BT631" s="199"/>
      <c r="BU631" s="199"/>
      <c r="BV631" s="199"/>
      <c r="BW631" s="199"/>
      <c r="BX631" s="199"/>
      <c r="BY631" s="199"/>
      <c r="BZ631" s="199"/>
      <c r="CA631" s="199"/>
      <c r="CB631" s="199"/>
      <c r="CC631" s="199"/>
      <c r="CD631" s="199"/>
      <c r="CE631" s="199"/>
      <c r="CF631" s="199"/>
      <c r="CG631" s="199"/>
      <c r="CH631" s="199"/>
      <c r="CI631" s="199"/>
      <c r="CJ631" s="199"/>
      <c r="CK631" s="199"/>
      <c r="CL631" s="199"/>
      <c r="CM631" s="199"/>
      <c r="CN631" s="199"/>
      <c r="CO631" s="199"/>
      <c r="CP631" s="199"/>
      <c r="CQ631" s="199"/>
      <c r="CR631" s="199"/>
      <c r="CS631" s="199"/>
      <c r="CT631" s="199"/>
      <c r="CU631" s="199"/>
      <c r="CV631" s="199"/>
      <c r="CW631" s="199"/>
      <c r="CX631" s="199"/>
      <c r="CY631" s="199"/>
      <c r="CZ631" s="199"/>
      <c r="DA631" s="199"/>
      <c r="DB631" s="199"/>
      <c r="DC631" s="199"/>
    </row>
    <row r="632" spans="2:107" ht="14.25" customHeight="1">
      <c r="B632" s="114" t="s">
        <v>722</v>
      </c>
      <c r="C632" s="59"/>
      <c r="D632" s="60"/>
      <c r="E632" s="60"/>
      <c r="F632" s="60"/>
      <c r="G632" s="60"/>
      <c r="H632" s="60"/>
      <c r="I632" s="60"/>
      <c r="J632" s="60"/>
      <c r="K632" s="60"/>
      <c r="L632" s="59"/>
      <c r="M632" s="61"/>
      <c r="N632" s="62"/>
      <c r="O632" s="62"/>
      <c r="P632" s="70"/>
      <c r="Q632" s="70"/>
      <c r="R632" s="70"/>
      <c r="S632" s="70"/>
      <c r="T632" s="70"/>
      <c r="U632" s="70"/>
      <c r="V632" s="70"/>
      <c r="W632" s="70"/>
      <c r="X632" s="63"/>
      <c r="Y632" s="63"/>
      <c r="Z632" s="63"/>
      <c r="AA632" s="63"/>
      <c r="AB632" s="63"/>
      <c r="AC632" s="63"/>
      <c r="AD632" s="63"/>
      <c r="AE632" s="59"/>
      <c r="AF632" s="59"/>
      <c r="AG632" s="59"/>
      <c r="AH632" s="59"/>
      <c r="AI632" s="59"/>
      <c r="AJ632" s="59"/>
      <c r="AK632" s="59"/>
      <c r="AL632" s="59"/>
      <c r="AM632" s="59"/>
      <c r="AN632" s="59"/>
      <c r="AO632" s="59"/>
      <c r="AP632" s="59"/>
      <c r="AQ632" s="59"/>
      <c r="AR632" s="59"/>
      <c r="AS632" s="59"/>
      <c r="AT632" s="59"/>
      <c r="AU632" s="59"/>
      <c r="AV632" s="59"/>
      <c r="AW632" s="59"/>
      <c r="AX632" s="59"/>
      <c r="AY632" s="59"/>
      <c r="AZ632" s="59"/>
      <c r="BA632" s="59"/>
      <c r="BB632" s="59"/>
      <c r="BC632" s="59"/>
      <c r="BD632" s="65"/>
      <c r="BE632" s="65"/>
      <c r="BF632" s="65"/>
      <c r="BG632" s="65"/>
      <c r="BH632" s="62"/>
      <c r="BI632" s="62"/>
      <c r="BJ632" s="62"/>
      <c r="BK632" s="62"/>
      <c r="BL632" s="62"/>
      <c r="BM632" s="62"/>
      <c r="BN632" s="62"/>
      <c r="BO632" s="62"/>
      <c r="BP632" s="62"/>
      <c r="BQ632" s="62"/>
      <c r="BR632" s="62"/>
      <c r="BS632" s="62"/>
      <c r="BT632" s="62"/>
      <c r="BU632" s="62"/>
      <c r="BV632" s="66"/>
      <c r="BW632" s="66"/>
      <c r="BX632" s="66"/>
      <c r="BY632" s="66"/>
      <c r="BZ632" s="66"/>
      <c r="CA632" s="66"/>
      <c r="CB632" s="66"/>
      <c r="CC632" s="66"/>
      <c r="CD632" s="66"/>
      <c r="CE632" s="66"/>
      <c r="CF632" s="66"/>
      <c r="CG632" s="66"/>
      <c r="CH632" s="66"/>
      <c r="CI632" s="66"/>
      <c r="CJ632" s="66"/>
      <c r="CK632" s="66"/>
      <c r="CL632" s="66"/>
      <c r="CM632" s="66"/>
      <c r="CN632" s="66"/>
      <c r="CO632" s="66"/>
      <c r="CP632" s="66"/>
      <c r="CQ632" s="66"/>
      <c r="CR632" s="66"/>
      <c r="CS632" s="66"/>
      <c r="CT632" s="66"/>
      <c r="CU632" s="66"/>
      <c r="CV632" s="66"/>
      <c r="CW632" s="66"/>
      <c r="CX632" s="66"/>
      <c r="CY632" s="66"/>
      <c r="CZ632" s="66"/>
      <c r="DA632" s="66"/>
      <c r="DB632" s="66"/>
      <c r="DC632" s="66"/>
    </row>
    <row r="633" spans="2:107" ht="12.75" customHeight="1">
      <c r="B633" s="198"/>
      <c r="C633" s="197"/>
      <c r="D633" s="31"/>
      <c r="E633" s="31"/>
      <c r="F633" s="31"/>
      <c r="G633" s="31"/>
      <c r="H633" s="31"/>
      <c r="I633" s="31"/>
      <c r="J633" s="31"/>
      <c r="K633" s="31"/>
      <c r="L633" s="31"/>
      <c r="M633" s="199"/>
      <c r="N633" s="199"/>
      <c r="O633" s="199"/>
      <c r="P633" s="199"/>
      <c r="Q633" s="199"/>
      <c r="R633" s="199"/>
      <c r="S633" s="199"/>
      <c r="T633" s="199"/>
      <c r="U633" s="199"/>
      <c r="V633" s="199"/>
      <c r="W633" s="199"/>
      <c r="X633" s="39"/>
      <c r="Y633" s="39"/>
      <c r="Z633" s="39"/>
      <c r="AA633" s="39"/>
      <c r="AB633" s="39"/>
      <c r="AC633" s="39"/>
      <c r="AD633" s="39"/>
      <c r="AE633" s="197"/>
      <c r="AF633" s="31"/>
      <c r="AG633" s="31"/>
      <c r="AH633" s="31"/>
      <c r="AI633" s="31"/>
      <c r="AJ633" s="31"/>
      <c r="AK633" s="31"/>
      <c r="AL633" s="31"/>
      <c r="AM633" s="31"/>
      <c r="AN633" s="31"/>
      <c r="AO633" s="31"/>
      <c r="AP633" s="31"/>
      <c r="AQ633" s="31"/>
      <c r="AR633" s="31"/>
      <c r="AS633" s="31"/>
      <c r="AT633" s="31"/>
      <c r="AU633" s="31"/>
      <c r="AV633" s="31"/>
      <c r="AW633" s="31"/>
      <c r="AX633" s="31"/>
      <c r="AY633" s="31"/>
      <c r="AZ633" s="31"/>
      <c r="BA633" s="31"/>
      <c r="BB633" s="31"/>
      <c r="BC633" s="31"/>
      <c r="BD633" s="32"/>
      <c r="BE633" s="32"/>
      <c r="BF633" s="32"/>
      <c r="BG633" s="32"/>
      <c r="BH633" s="32"/>
      <c r="BI633" s="32"/>
      <c r="BJ633" s="32"/>
      <c r="BK633" s="32"/>
      <c r="BL633" s="32"/>
      <c r="BM633" s="32"/>
      <c r="BN633" s="32"/>
      <c r="BO633" s="32"/>
      <c r="BP633" s="199"/>
      <c r="BQ633" s="199"/>
      <c r="BR633" s="199"/>
      <c r="BS633" s="199"/>
      <c r="BT633" s="199"/>
      <c r="BU633" s="199"/>
      <c r="BV633" s="199"/>
      <c r="BW633" s="199"/>
      <c r="BX633" s="199"/>
      <c r="BY633" s="199"/>
      <c r="BZ633" s="199"/>
      <c r="CA633" s="199"/>
      <c r="CB633" s="199"/>
      <c r="CC633" s="199"/>
      <c r="CD633" s="199"/>
      <c r="CE633" s="199"/>
      <c r="CF633" s="199"/>
      <c r="CG633" s="199"/>
      <c r="CH633" s="199"/>
      <c r="CI633" s="199"/>
      <c r="CJ633" s="199"/>
      <c r="CK633" s="199"/>
      <c r="CL633" s="199"/>
      <c r="CM633" s="199"/>
      <c r="CN633" s="199"/>
      <c r="CO633" s="199"/>
      <c r="CP633" s="199"/>
      <c r="CQ633" s="199"/>
      <c r="CR633" s="199"/>
      <c r="CS633" s="199"/>
      <c r="CT633" s="199"/>
      <c r="CU633" s="199"/>
      <c r="CV633" s="199"/>
      <c r="CW633" s="199"/>
      <c r="CX633" s="199"/>
      <c r="CY633" s="199"/>
      <c r="CZ633" s="199"/>
      <c r="DA633" s="199"/>
      <c r="DB633" s="199"/>
      <c r="DC633" s="199"/>
    </row>
    <row r="634" spans="2:107">
      <c r="B634" s="142" t="s">
        <v>706</v>
      </c>
      <c r="C634" s="23"/>
      <c r="D634" s="15"/>
      <c r="E634" s="15"/>
      <c r="F634" s="15"/>
      <c r="G634" s="15"/>
      <c r="H634" s="15"/>
      <c r="I634" s="15"/>
      <c r="J634" s="15"/>
      <c r="K634" s="15"/>
      <c r="L634" s="51"/>
      <c r="M634" s="24"/>
      <c r="N634" s="150">
        <f>AVERAGE(BP634:BS634)</f>
        <v>1056.5</v>
      </c>
      <c r="O634" s="150">
        <f>AVERAGE(BT634:BW634)</f>
        <v>1122.25</v>
      </c>
      <c r="P634" s="150">
        <f>AVERAGE(BX634:CA634)</f>
        <v>1191.5</v>
      </c>
      <c r="Q634" s="1154">
        <f>AVERAGE(CB634:CE634)</f>
        <v>1310.5</v>
      </c>
      <c r="R634" s="1154">
        <f>AVERAGE(CF634:CI634)</f>
        <v>1462.25</v>
      </c>
      <c r="S634" s="1154">
        <f>AVERAGE(CJ634:CM634)</f>
        <v>1496.5</v>
      </c>
      <c r="T634" s="1154">
        <f>AVERAGE(CN634:CQ634)</f>
        <v>1446</v>
      </c>
      <c r="U634" s="1154">
        <f>AVERAGE(CR634:CU634)</f>
        <v>1391.25</v>
      </c>
      <c r="V634" s="1154">
        <f>AVERAGE(CV634:CY634)</f>
        <v>1330</v>
      </c>
      <c r="W634" s="1154">
        <f>AVERAGE(CZ634:DC634)</f>
        <v>1352.0985919374998</v>
      </c>
      <c r="X634" s="1154">
        <f>+W634*(X635+1)</f>
        <v>1358.8590848971871</v>
      </c>
      <c r="Y634" s="1154">
        <f>+X634*(Y635+1)</f>
        <v>1364.9739507792244</v>
      </c>
      <c r="Z634" s="1154">
        <f>+Y634*(Z635+1)</f>
        <v>1370.5020952798805</v>
      </c>
      <c r="AA634" s="1154">
        <f t="shared" ref="AA634:AD634" si="746">+Z634*(AA635+1)</f>
        <v>1375.4975754171755</v>
      </c>
      <c r="AB634" s="1154">
        <f t="shared" si="746"/>
        <v>1380.0098952133317</v>
      </c>
      <c r="AC634" s="1154">
        <f t="shared" si="746"/>
        <v>1384.0843054284542</v>
      </c>
      <c r="AD634" s="1154">
        <f t="shared" si="746"/>
        <v>1387.7621011652602</v>
      </c>
      <c r="AE634" s="23"/>
      <c r="AF634" s="23"/>
      <c r="AG634" s="23"/>
      <c r="AH634" s="23"/>
      <c r="AI634" s="23"/>
      <c r="AJ634" s="23"/>
      <c r="AK634" s="23"/>
      <c r="AL634" s="23"/>
      <c r="AM634" s="23"/>
      <c r="AN634" s="23"/>
      <c r="AO634" s="23"/>
      <c r="AP634" s="23"/>
      <c r="AQ634" s="23"/>
      <c r="AR634" s="23"/>
      <c r="AS634" s="23"/>
      <c r="AT634" s="23"/>
      <c r="AU634" s="23"/>
      <c r="AV634" s="23"/>
      <c r="AW634" s="23"/>
      <c r="AX634" s="23"/>
      <c r="AY634" s="23"/>
      <c r="AZ634" s="23"/>
      <c r="BA634" s="23"/>
      <c r="BB634" s="23"/>
      <c r="BC634" s="23"/>
      <c r="BD634" s="23"/>
      <c r="BE634" s="51"/>
      <c r="BF634" s="51"/>
      <c r="BG634" s="51"/>
      <c r="BH634" s="51"/>
      <c r="BI634" s="51"/>
      <c r="BJ634" s="51"/>
      <c r="BK634" s="51"/>
      <c r="BL634" s="51"/>
      <c r="BM634" s="51"/>
      <c r="BN634" s="51"/>
      <c r="BO634" s="51"/>
      <c r="BP634" s="144">
        <v>944</v>
      </c>
      <c r="BQ634" s="144">
        <v>1009</v>
      </c>
      <c r="BR634" s="144">
        <v>1116</v>
      </c>
      <c r="BS634" s="144">
        <v>1157</v>
      </c>
      <c r="BT634" s="144">
        <v>1138</v>
      </c>
      <c r="BU634" s="144">
        <v>1084</v>
      </c>
      <c r="BV634" s="144">
        <v>1116</v>
      </c>
      <c r="BW634" s="144">
        <v>1151</v>
      </c>
      <c r="BX634" s="144">
        <v>1164</v>
      </c>
      <c r="BY634" s="1644">
        <v>1205</v>
      </c>
      <c r="BZ634" s="1644">
        <v>1204</v>
      </c>
      <c r="CA634" s="1644">
        <v>1193</v>
      </c>
      <c r="CB634" s="1644">
        <v>1223</v>
      </c>
      <c r="CC634" s="144">
        <v>1276</v>
      </c>
      <c r="CD634" s="144">
        <v>1358</v>
      </c>
      <c r="CE634" s="144">
        <v>1385</v>
      </c>
      <c r="CF634" s="144">
        <v>1401</v>
      </c>
      <c r="CG634" s="144">
        <v>1432</v>
      </c>
      <c r="CH634" s="144">
        <v>1465</v>
      </c>
      <c r="CI634" s="144">
        <v>1551</v>
      </c>
      <c r="CJ634" s="144">
        <v>1480</v>
      </c>
      <c r="CK634" s="144">
        <v>1506</v>
      </c>
      <c r="CL634" s="144">
        <v>1505</v>
      </c>
      <c r="CM634" s="144">
        <v>1495</v>
      </c>
      <c r="CN634" s="144">
        <v>1444</v>
      </c>
      <c r="CO634" s="144">
        <v>1456</v>
      </c>
      <c r="CP634" s="144">
        <v>1445</v>
      </c>
      <c r="CQ634" s="144">
        <v>1439</v>
      </c>
      <c r="CR634" s="144">
        <v>1401</v>
      </c>
      <c r="CS634" s="144">
        <v>1436</v>
      </c>
      <c r="CT634" s="144">
        <v>1433</v>
      </c>
      <c r="CU634" s="144">
        <v>1295</v>
      </c>
      <c r="CV634" s="144">
        <v>1312</v>
      </c>
      <c r="CW634" s="144">
        <v>1321</v>
      </c>
      <c r="CX634" s="144">
        <v>1345</v>
      </c>
      <c r="CY634" s="144">
        <v>1342</v>
      </c>
      <c r="CZ634" s="1154">
        <f t="shared" ref="CZ634:DC634" si="747">+CY634*(1+CZ636)</f>
        <v>1342</v>
      </c>
      <c r="DA634" s="1154">
        <f t="shared" si="747"/>
        <v>1348.7099999999998</v>
      </c>
      <c r="DB634" s="1154">
        <f t="shared" si="747"/>
        <v>1355.4535499999997</v>
      </c>
      <c r="DC634" s="1154">
        <f t="shared" si="747"/>
        <v>1362.2308177499997</v>
      </c>
    </row>
    <row r="635" spans="2:107" s="33" customFormat="1">
      <c r="B635" s="17" t="s">
        <v>709</v>
      </c>
      <c r="C635" s="23"/>
      <c r="D635" s="23"/>
      <c r="E635" s="23"/>
      <c r="F635" s="23"/>
      <c r="G635" s="23"/>
      <c r="H635" s="23"/>
      <c r="I635" s="23"/>
      <c r="J635" s="23"/>
      <c r="K635" s="23"/>
      <c r="L635" s="51"/>
      <c r="M635" s="24"/>
      <c r="N635" s="55"/>
      <c r="O635" s="853">
        <f t="shared" ref="O635:W635" si="748">O634/N634-1</f>
        <v>6.2233790818741141E-2</v>
      </c>
      <c r="P635" s="853">
        <f t="shared" si="748"/>
        <v>6.1706393406103732E-2</v>
      </c>
      <c r="Q635" s="853">
        <f t="shared" si="748"/>
        <v>9.9874108266890582E-2</v>
      </c>
      <c r="R635" s="853">
        <f t="shared" si="748"/>
        <v>0.11579549790156429</v>
      </c>
      <c r="S635" s="853">
        <f t="shared" si="748"/>
        <v>2.3422807317490246E-2</v>
      </c>
      <c r="T635" s="853">
        <f t="shared" si="748"/>
        <v>-3.3745405947210205E-2</v>
      </c>
      <c r="U635" s="853">
        <f t="shared" si="748"/>
        <v>-3.7863070539419064E-2</v>
      </c>
      <c r="V635" s="853">
        <f t="shared" si="748"/>
        <v>-4.4025157232704393E-2</v>
      </c>
      <c r="W635" s="853">
        <f t="shared" si="748"/>
        <v>1.6615482659774194E-2</v>
      </c>
      <c r="X635" s="2356">
        <f>+CHOOSE(mode,Rev!X637,Rev!X638,Rev!X639)</f>
        <v>5.0000000000000001E-3</v>
      </c>
      <c r="Y635" s="2356">
        <f>+CHOOSE(mode,Rev!Y637,Rev!Y638,Rev!Y639)</f>
        <v>4.5000000000000005E-3</v>
      </c>
      <c r="Z635" s="2356">
        <f>+CHOOSE(mode,Rev!Z637,Rev!Z638,Rev!Z639)</f>
        <v>4.0500000000000006E-3</v>
      </c>
      <c r="AA635" s="2356">
        <f>+CHOOSE(mode,Rev!AA637,Rev!AA638,Rev!AA639)</f>
        <v>3.6450000000000007E-3</v>
      </c>
      <c r="AB635" s="2356">
        <f>+CHOOSE(mode,Rev!AB637,Rev!AB638,Rev!AB639)</f>
        <v>3.2805000000000009E-3</v>
      </c>
      <c r="AC635" s="2356">
        <f>+CHOOSE(mode,Rev!AC637,Rev!AC638,Rev!AC639)</f>
        <v>2.952450000000001E-3</v>
      </c>
      <c r="AD635" s="2356">
        <f>+CHOOSE(mode,Rev!AD637,Rev!AD638,Rev!AD639)</f>
        <v>2.657205000000001E-3</v>
      </c>
      <c r="AE635" s="23"/>
      <c r="AF635" s="23"/>
      <c r="AG635" s="23"/>
      <c r="AH635" s="23"/>
      <c r="AI635" s="23"/>
      <c r="AJ635" s="23"/>
      <c r="AK635" s="23"/>
      <c r="AL635" s="23"/>
      <c r="AM635" s="23"/>
      <c r="AN635" s="23"/>
      <c r="AO635" s="23"/>
      <c r="AP635" s="23"/>
      <c r="AQ635" s="23"/>
      <c r="AR635" s="23"/>
      <c r="AS635" s="23"/>
      <c r="AT635" s="23"/>
      <c r="AU635" s="23"/>
      <c r="AV635" s="23"/>
      <c r="AW635" s="23"/>
      <c r="AX635" s="23"/>
      <c r="AY635" s="23"/>
      <c r="AZ635" s="23"/>
      <c r="BA635" s="23"/>
      <c r="BB635" s="23"/>
      <c r="BC635" s="23"/>
      <c r="BD635" s="23"/>
      <c r="BE635" s="51"/>
      <c r="BF635" s="51"/>
      <c r="BG635" s="51"/>
      <c r="BH635" s="51"/>
      <c r="BI635" s="51"/>
      <c r="BJ635" s="51"/>
      <c r="BK635" s="51"/>
      <c r="BL635" s="51"/>
      <c r="BM635" s="51"/>
      <c r="BN635" s="51"/>
      <c r="BO635" s="51"/>
      <c r="BP635" s="144"/>
      <c r="BQ635" s="144"/>
      <c r="BR635" s="144"/>
      <c r="BS635" s="853"/>
      <c r="BT635" s="853">
        <f t="shared" ref="BT635:CY635" si="749">BT634/BP634-1</f>
        <v>0.20550847457627119</v>
      </c>
      <c r="BU635" s="853">
        <f t="shared" si="749"/>
        <v>7.4331020812685722E-2</v>
      </c>
      <c r="BV635" s="853">
        <f t="shared" si="749"/>
        <v>0</v>
      </c>
      <c r="BW635" s="853">
        <f t="shared" si="749"/>
        <v>-5.1858254105444646E-3</v>
      </c>
      <c r="BX635" s="853">
        <f t="shared" si="749"/>
        <v>2.2847100175746871E-2</v>
      </c>
      <c r="BY635" s="853">
        <f t="shared" si="749"/>
        <v>0.11162361623616235</v>
      </c>
      <c r="BZ635" s="853">
        <f t="shared" si="749"/>
        <v>7.8853046594982157E-2</v>
      </c>
      <c r="CA635" s="853">
        <f t="shared" si="749"/>
        <v>3.6490008688097264E-2</v>
      </c>
      <c r="CB635" s="853">
        <f t="shared" si="749"/>
        <v>5.068728522336774E-2</v>
      </c>
      <c r="CC635" s="853">
        <f t="shared" si="749"/>
        <v>5.8921161825726154E-2</v>
      </c>
      <c r="CD635" s="853">
        <f t="shared" si="749"/>
        <v>0.12790697674418605</v>
      </c>
      <c r="CE635" s="853">
        <f t="shared" si="749"/>
        <v>0.16093880972338637</v>
      </c>
      <c r="CF635" s="853">
        <f t="shared" si="749"/>
        <v>0.14554374488961574</v>
      </c>
      <c r="CG635" s="853">
        <f t="shared" si="749"/>
        <v>0.12225705329153613</v>
      </c>
      <c r="CH635" s="853">
        <f t="shared" si="749"/>
        <v>7.8792341678939559E-2</v>
      </c>
      <c r="CI635" s="853">
        <f t="shared" si="749"/>
        <v>0.11985559566786996</v>
      </c>
      <c r="CJ635" s="853">
        <f t="shared" si="749"/>
        <v>5.638829407566015E-2</v>
      </c>
      <c r="CK635" s="853">
        <f t="shared" si="749"/>
        <v>5.16759776536313E-2</v>
      </c>
      <c r="CL635" s="853">
        <f t="shared" si="749"/>
        <v>2.7303754266211566E-2</v>
      </c>
      <c r="CM635" s="853">
        <f t="shared" si="749"/>
        <v>-3.6105738233397799E-2</v>
      </c>
      <c r="CN635" s="853">
        <f t="shared" si="749"/>
        <v>-2.4324324324324298E-2</v>
      </c>
      <c r="CO635" s="853">
        <f t="shared" si="749"/>
        <v>-3.3200531208499307E-2</v>
      </c>
      <c r="CP635" s="853">
        <f t="shared" si="749"/>
        <v>-3.9867109634551534E-2</v>
      </c>
      <c r="CQ635" s="853">
        <f t="shared" si="749"/>
        <v>-3.7458193979933108E-2</v>
      </c>
      <c r="CR635" s="853">
        <f t="shared" si="749"/>
        <v>-2.9778393351800547E-2</v>
      </c>
      <c r="CS635" s="853">
        <f t="shared" si="749"/>
        <v>-1.3736263736263687E-2</v>
      </c>
      <c r="CT635" s="853">
        <f t="shared" si="749"/>
        <v>-8.30449826989621E-3</v>
      </c>
      <c r="CU635" s="853">
        <f t="shared" si="749"/>
        <v>-0.10006949270326615</v>
      </c>
      <c r="CV635" s="853">
        <f t="shared" si="749"/>
        <v>-6.3526052819414702E-2</v>
      </c>
      <c r="CW635" s="853">
        <f t="shared" si="749"/>
        <v>-8.008356545961004E-2</v>
      </c>
      <c r="CX635" s="853">
        <f t="shared" si="749"/>
        <v>-6.1409630146545657E-2</v>
      </c>
      <c r="CY635" s="853">
        <f t="shared" si="749"/>
        <v>3.6293436293436399E-2</v>
      </c>
      <c r="CZ635" s="853">
        <f t="shared" ref="CZ635:DC635" si="750">CZ634/CV634-1</f>
        <v>2.2865853658536661E-2</v>
      </c>
      <c r="DA635" s="853">
        <f t="shared" si="750"/>
        <v>2.0976532929598557E-2</v>
      </c>
      <c r="DB635" s="853">
        <f t="shared" si="750"/>
        <v>7.7721561338288669E-3</v>
      </c>
      <c r="DC635" s="853">
        <f t="shared" si="750"/>
        <v>1.5075124999999856E-2</v>
      </c>
    </row>
    <row r="636" spans="2:107" s="33" customFormat="1">
      <c r="B636" s="17" t="s">
        <v>710</v>
      </c>
      <c r="C636" s="23"/>
      <c r="D636" s="23"/>
      <c r="E636" s="23"/>
      <c r="F636" s="23"/>
      <c r="G636" s="23"/>
      <c r="H636" s="23"/>
      <c r="I636" s="23"/>
      <c r="J636" s="23"/>
      <c r="K636" s="23"/>
      <c r="L636" s="51"/>
      <c r="M636" s="24"/>
      <c r="N636" s="55"/>
      <c r="O636" s="55"/>
      <c r="P636" s="55"/>
      <c r="Q636" s="55"/>
      <c r="R636" s="55"/>
      <c r="S636" s="55"/>
      <c r="T636" s="55"/>
      <c r="U636" s="55"/>
      <c r="V636" s="55"/>
      <c r="W636" s="55"/>
      <c r="X636" s="55"/>
      <c r="Y636" s="55"/>
      <c r="Z636" s="55"/>
      <c r="AA636" s="55"/>
      <c r="AB636" s="55"/>
      <c r="AC636" s="55"/>
      <c r="AD636" s="55"/>
      <c r="AE636" s="23"/>
      <c r="AF636" s="23"/>
      <c r="AG636" s="23"/>
      <c r="AH636" s="23"/>
      <c r="AI636" s="23"/>
      <c r="AJ636" s="23"/>
      <c r="AK636" s="23"/>
      <c r="AL636" s="23"/>
      <c r="AM636" s="23"/>
      <c r="AN636" s="23"/>
      <c r="AO636" s="23"/>
      <c r="AP636" s="23"/>
      <c r="AQ636" s="23"/>
      <c r="AR636" s="23"/>
      <c r="AS636" s="23"/>
      <c r="AT636" s="23"/>
      <c r="AU636" s="23"/>
      <c r="AV636" s="23"/>
      <c r="AW636" s="23"/>
      <c r="AX636" s="23"/>
      <c r="AY636" s="23"/>
      <c r="AZ636" s="23"/>
      <c r="BA636" s="23"/>
      <c r="BB636" s="23"/>
      <c r="BC636" s="23"/>
      <c r="BD636" s="23"/>
      <c r="BE636" s="51"/>
      <c r="BF636" s="51"/>
      <c r="BG636" s="51"/>
      <c r="BH636" s="51"/>
      <c r="BI636" s="51"/>
      <c r="BJ636" s="51"/>
      <c r="BK636" s="51"/>
      <c r="BL636" s="51"/>
      <c r="BM636" s="51"/>
      <c r="BN636" s="51"/>
      <c r="BO636" s="51"/>
      <c r="BP636" s="144"/>
      <c r="BQ636" s="853">
        <f t="shared" ref="BQ636:CY636" si="751">BQ634/BP634-1</f>
        <v>6.8855932203389925E-2</v>
      </c>
      <c r="BR636" s="853">
        <f t="shared" si="751"/>
        <v>0.10604558969276501</v>
      </c>
      <c r="BS636" s="853">
        <f t="shared" si="751"/>
        <v>3.6738351254480328E-2</v>
      </c>
      <c r="BT636" s="853">
        <f t="shared" si="751"/>
        <v>-1.6421780466724267E-2</v>
      </c>
      <c r="BU636" s="853">
        <f t="shared" si="751"/>
        <v>-4.7451669595782064E-2</v>
      </c>
      <c r="BV636" s="853">
        <f t="shared" si="751"/>
        <v>2.9520295202952074E-2</v>
      </c>
      <c r="BW636" s="853">
        <f t="shared" si="751"/>
        <v>3.1362007168458828E-2</v>
      </c>
      <c r="BX636" s="853">
        <f t="shared" si="751"/>
        <v>1.1294526498696777E-2</v>
      </c>
      <c r="BY636" s="853">
        <f t="shared" si="751"/>
        <v>3.5223367697594599E-2</v>
      </c>
      <c r="BZ636" s="853">
        <f t="shared" si="751"/>
        <v>-8.2987551867219622E-4</v>
      </c>
      <c r="CA636" s="853">
        <f t="shared" si="751"/>
        <v>-9.1362126245847497E-3</v>
      </c>
      <c r="CB636" s="853">
        <f t="shared" si="751"/>
        <v>2.5146689019279078E-2</v>
      </c>
      <c r="CC636" s="853">
        <f t="shared" si="751"/>
        <v>4.333605887162717E-2</v>
      </c>
      <c r="CD636" s="853">
        <f t="shared" si="751"/>
        <v>6.4263322884012597E-2</v>
      </c>
      <c r="CE636" s="853">
        <f t="shared" si="751"/>
        <v>1.9882179675994038E-2</v>
      </c>
      <c r="CF636" s="853">
        <f t="shared" si="751"/>
        <v>1.1552346570397054E-2</v>
      </c>
      <c r="CG636" s="853">
        <f t="shared" si="751"/>
        <v>2.2127052105638922E-2</v>
      </c>
      <c r="CH636" s="853">
        <f t="shared" si="751"/>
        <v>2.304469273743015E-2</v>
      </c>
      <c r="CI636" s="853">
        <f t="shared" si="751"/>
        <v>5.870307167235489E-2</v>
      </c>
      <c r="CJ636" s="853">
        <f t="shared" si="751"/>
        <v>-4.5776918117343635E-2</v>
      </c>
      <c r="CK636" s="853">
        <f t="shared" si="751"/>
        <v>1.7567567567567499E-2</v>
      </c>
      <c r="CL636" s="853">
        <f t="shared" si="751"/>
        <v>-6.6401062416998613E-4</v>
      </c>
      <c r="CM636" s="853">
        <f t="shared" si="751"/>
        <v>-6.6445182724252927E-3</v>
      </c>
      <c r="CN636" s="853">
        <f t="shared" si="751"/>
        <v>-3.4113712374581939E-2</v>
      </c>
      <c r="CO636" s="853">
        <f t="shared" si="751"/>
        <v>8.310249307479145E-3</v>
      </c>
      <c r="CP636" s="853">
        <f t="shared" si="751"/>
        <v>-7.5549450549450281E-3</v>
      </c>
      <c r="CQ636" s="853">
        <f t="shared" si="751"/>
        <v>-4.1522491349480495E-3</v>
      </c>
      <c r="CR636" s="853">
        <f t="shared" si="751"/>
        <v>-2.6407227241139641E-2</v>
      </c>
      <c r="CS636" s="853">
        <f t="shared" si="751"/>
        <v>2.4982155603140654E-2</v>
      </c>
      <c r="CT636" s="853">
        <f t="shared" si="751"/>
        <v>-2.0891364902506648E-3</v>
      </c>
      <c r="CU636" s="853">
        <f t="shared" si="751"/>
        <v>-9.6301465457083069E-2</v>
      </c>
      <c r="CV636" s="853">
        <f t="shared" si="751"/>
        <v>1.3127413127413057E-2</v>
      </c>
      <c r="CW636" s="853">
        <f t="shared" si="751"/>
        <v>6.8597560975609539E-3</v>
      </c>
      <c r="CX636" s="853">
        <f t="shared" si="751"/>
        <v>1.8168054504163589E-2</v>
      </c>
      <c r="CY636" s="853">
        <f t="shared" si="751"/>
        <v>-2.2304832713754275E-3</v>
      </c>
      <c r="CZ636" s="2356">
        <f>+CHOOSE(mode,Rev!CZ637,Rev!CZ638,Rev!CZ639)</f>
        <v>0</v>
      </c>
      <c r="DA636" s="2356">
        <f>+CHOOSE(mode,Rev!DA637,Rev!DA638,Rev!DA639)</f>
        <v>5.0000000000000001E-3</v>
      </c>
      <c r="DB636" s="2356">
        <f>+CHOOSE(mode,Rev!DB637,Rev!DB638,Rev!DB639)</f>
        <v>5.0000000000000001E-3</v>
      </c>
      <c r="DC636" s="2356">
        <f>+CHOOSE(mode,Rev!DC637,Rev!DC638,Rev!DC639)</f>
        <v>5.0000000000000001E-3</v>
      </c>
    </row>
    <row r="637" spans="2:107" outlineLevel="1">
      <c r="B637" s="134" t="s">
        <v>1046</v>
      </c>
      <c r="C637" s="135"/>
      <c r="D637" s="135"/>
      <c r="E637" s="135"/>
      <c r="F637" s="135"/>
      <c r="G637" s="135"/>
      <c r="H637" s="135"/>
      <c r="I637" s="135"/>
      <c r="J637" s="135"/>
      <c r="K637" s="135"/>
      <c r="L637" s="135"/>
      <c r="M637" s="147"/>
      <c r="N637" s="147"/>
      <c r="O637" s="147"/>
      <c r="P637" s="147"/>
      <c r="Q637" s="147"/>
      <c r="R637" s="147"/>
      <c r="S637" s="147"/>
      <c r="T637" s="147"/>
      <c r="U637" s="147"/>
      <c r="V637" s="147"/>
      <c r="W637" s="147"/>
      <c r="X637" s="136">
        <f>+X638+0.0075</f>
        <v>1.2500000000000001E-2</v>
      </c>
      <c r="Y637" s="136">
        <f>+Y638+0.0075</f>
        <v>1.2E-2</v>
      </c>
      <c r="Z637" s="136">
        <f>+Z638+0.0075</f>
        <v>1.1550000000000001E-2</v>
      </c>
      <c r="AA637" s="136">
        <f t="shared" ref="AA637:AD637" si="752">+AA638+0.0075</f>
        <v>1.1145E-2</v>
      </c>
      <c r="AB637" s="136">
        <f t="shared" si="752"/>
        <v>1.07805E-2</v>
      </c>
      <c r="AC637" s="136">
        <f t="shared" si="752"/>
        <v>1.045245E-2</v>
      </c>
      <c r="AD637" s="136">
        <f t="shared" si="752"/>
        <v>1.0157205000000001E-2</v>
      </c>
      <c r="AE637" s="135"/>
      <c r="AF637" s="135"/>
      <c r="AG637" s="135"/>
      <c r="AH637" s="135"/>
      <c r="AI637" s="135"/>
      <c r="AJ637" s="135"/>
      <c r="AK637" s="135"/>
      <c r="AL637" s="135"/>
      <c r="AM637" s="135"/>
      <c r="AN637" s="135"/>
      <c r="AO637" s="135"/>
      <c r="AP637" s="135"/>
      <c r="AQ637" s="135"/>
      <c r="AR637" s="135"/>
      <c r="AS637" s="135"/>
      <c r="AT637" s="135"/>
      <c r="AU637" s="135"/>
      <c r="AV637" s="135"/>
      <c r="AW637" s="135"/>
      <c r="AX637" s="135"/>
      <c r="AY637" s="135"/>
      <c r="AZ637" s="135"/>
      <c r="BA637" s="135"/>
      <c r="BB637" s="135"/>
      <c r="BC637" s="135"/>
      <c r="BD637" s="137"/>
      <c r="BE637" s="137"/>
      <c r="BF637" s="137"/>
      <c r="BG637" s="137"/>
      <c r="BH637" s="137"/>
      <c r="BI637" s="137"/>
      <c r="BJ637" s="137"/>
      <c r="BK637" s="137"/>
      <c r="BL637" s="137"/>
      <c r="BM637" s="137"/>
      <c r="BN637" s="137"/>
      <c r="BO637" s="137"/>
      <c r="BP637" s="136"/>
      <c r="BQ637" s="136"/>
      <c r="BR637" s="136"/>
      <c r="BS637" s="136"/>
      <c r="BT637" s="136"/>
      <c r="BU637" s="136"/>
      <c r="BV637" s="147"/>
      <c r="BW637" s="147"/>
      <c r="BX637" s="147"/>
      <c r="BY637" s="136"/>
      <c r="BZ637" s="136"/>
      <c r="CA637" s="136"/>
      <c r="CB637" s="136"/>
      <c r="CC637" s="136"/>
      <c r="CD637" s="136"/>
      <c r="CE637" s="136"/>
      <c r="CF637" s="136"/>
      <c r="CG637" s="136"/>
      <c r="CH637" s="136"/>
      <c r="CI637" s="136"/>
      <c r="CJ637" s="136"/>
      <c r="CK637" s="136"/>
      <c r="CL637" s="136"/>
      <c r="CM637" s="136"/>
      <c r="CN637" s="136"/>
      <c r="CO637" s="136"/>
      <c r="CP637" s="136"/>
      <c r="CQ637" s="136"/>
      <c r="CR637" s="136"/>
      <c r="CS637" s="136"/>
      <c r="CT637" s="136"/>
      <c r="CU637" s="136"/>
      <c r="CV637" s="136"/>
      <c r="CW637" s="136"/>
      <c r="CX637" s="136"/>
      <c r="CY637" s="136"/>
      <c r="CZ637" s="136">
        <f>+CZ638+0.005</f>
        <v>5.0000000000000001E-3</v>
      </c>
      <c r="DA637" s="136">
        <f t="shared" ref="DA637:DC637" si="753">+DA638+0.005</f>
        <v>0.01</v>
      </c>
      <c r="DB637" s="136">
        <f t="shared" si="753"/>
        <v>0.01</v>
      </c>
      <c r="DC637" s="136">
        <f t="shared" si="753"/>
        <v>0.01</v>
      </c>
    </row>
    <row r="638" spans="2:107" outlineLevel="1">
      <c r="B638" s="134" t="s">
        <v>1047</v>
      </c>
      <c r="C638" s="135"/>
      <c r="D638" s="135"/>
      <c r="E638" s="135"/>
      <c r="F638" s="135"/>
      <c r="G638" s="135"/>
      <c r="H638" s="135"/>
      <c r="I638" s="135"/>
      <c r="J638" s="135"/>
      <c r="K638" s="135"/>
      <c r="L638" s="135"/>
      <c r="M638" s="147"/>
      <c r="N638" s="147"/>
      <c r="O638" s="147"/>
      <c r="P638" s="147"/>
      <c r="Q638" s="147"/>
      <c r="R638" s="147"/>
      <c r="S638" s="147"/>
      <c r="T638" s="147"/>
      <c r="U638" s="147"/>
      <c r="V638" s="147"/>
      <c r="W638" s="147"/>
      <c r="X638" s="136">
        <v>5.0000000000000001E-3</v>
      </c>
      <c r="Y638" s="136">
        <f>+X638*0.9</f>
        <v>4.5000000000000005E-3</v>
      </c>
      <c r="Z638" s="136">
        <f t="shared" ref="Z638:AD638" si="754">+Y638*0.9</f>
        <v>4.0500000000000006E-3</v>
      </c>
      <c r="AA638" s="136">
        <f t="shared" si="754"/>
        <v>3.6450000000000007E-3</v>
      </c>
      <c r="AB638" s="136">
        <f t="shared" si="754"/>
        <v>3.2805000000000009E-3</v>
      </c>
      <c r="AC638" s="136">
        <f t="shared" si="754"/>
        <v>2.952450000000001E-3</v>
      </c>
      <c r="AD638" s="136">
        <f t="shared" si="754"/>
        <v>2.657205000000001E-3</v>
      </c>
      <c r="AE638" s="135"/>
      <c r="AF638" s="135"/>
      <c r="AG638" s="135"/>
      <c r="AH638" s="135"/>
      <c r="AI638" s="135"/>
      <c r="AJ638" s="135"/>
      <c r="AK638" s="135"/>
      <c r="AL638" s="135"/>
      <c r="AM638" s="135"/>
      <c r="AN638" s="135"/>
      <c r="AO638" s="135"/>
      <c r="AP638" s="135"/>
      <c r="AQ638" s="135"/>
      <c r="AR638" s="135"/>
      <c r="AS638" s="135"/>
      <c r="AT638" s="135"/>
      <c r="AU638" s="135"/>
      <c r="AV638" s="135"/>
      <c r="AW638" s="135"/>
      <c r="AX638" s="135"/>
      <c r="AY638" s="135"/>
      <c r="AZ638" s="135"/>
      <c r="BA638" s="135"/>
      <c r="BB638" s="135"/>
      <c r="BC638" s="135"/>
      <c r="BD638" s="137"/>
      <c r="BE638" s="137"/>
      <c r="BF638" s="137"/>
      <c r="BG638" s="137"/>
      <c r="BH638" s="137"/>
      <c r="BI638" s="137"/>
      <c r="BJ638" s="137"/>
      <c r="BK638" s="137"/>
      <c r="BL638" s="137"/>
      <c r="BM638" s="137"/>
      <c r="BN638" s="137"/>
      <c r="BO638" s="137"/>
      <c r="BP638" s="136"/>
      <c r="BQ638" s="136"/>
      <c r="BR638" s="136"/>
      <c r="BS638" s="136"/>
      <c r="BT638" s="136"/>
      <c r="BU638" s="136"/>
      <c r="BV638" s="147"/>
      <c r="BW638" s="147"/>
      <c r="BX638" s="147"/>
      <c r="BY638" s="147"/>
      <c r="BZ638" s="147"/>
      <c r="CA638" s="147"/>
      <c r="CB638" s="1615"/>
      <c r="CC638" s="1615"/>
      <c r="CD638" s="1615"/>
      <c r="CE638" s="1615"/>
      <c r="CF638" s="1615"/>
      <c r="CG638" s="1615"/>
      <c r="CH638" s="1615"/>
      <c r="CI638" s="1615"/>
      <c r="CJ638" s="1615"/>
      <c r="CK638" s="1615"/>
      <c r="CL638" s="1615"/>
      <c r="CM638" s="1615"/>
      <c r="CN638" s="1615"/>
      <c r="CO638" s="1615"/>
      <c r="CP638" s="1615"/>
      <c r="CQ638" s="1615"/>
      <c r="CR638" s="1615"/>
      <c r="CS638" s="1615"/>
      <c r="CT638" s="1615"/>
      <c r="CU638" s="1615"/>
      <c r="CV638" s="1615"/>
      <c r="CW638" s="1615"/>
      <c r="CX638" s="1615"/>
      <c r="CY638" s="1615"/>
      <c r="CZ638" s="136">
        <v>0</v>
      </c>
      <c r="DA638" s="136">
        <v>5.0000000000000001E-3</v>
      </c>
      <c r="DB638" s="136">
        <v>5.0000000000000001E-3</v>
      </c>
      <c r="DC638" s="136">
        <v>5.0000000000000001E-3</v>
      </c>
    </row>
    <row r="639" spans="2:107" outlineLevel="1">
      <c r="B639" s="134" t="s">
        <v>1048</v>
      </c>
      <c r="C639" s="135"/>
      <c r="D639" s="135"/>
      <c r="E639" s="135"/>
      <c r="F639" s="135"/>
      <c r="G639" s="135"/>
      <c r="H639" s="135"/>
      <c r="I639" s="135"/>
      <c r="J639" s="135"/>
      <c r="K639" s="135"/>
      <c r="L639" s="135"/>
      <c r="M639" s="147"/>
      <c r="N639" s="147"/>
      <c r="O639" s="147"/>
      <c r="P639" s="147"/>
      <c r="Q639" s="147"/>
      <c r="R639" s="147"/>
      <c r="S639" s="147"/>
      <c r="T639" s="147"/>
      <c r="U639" s="147"/>
      <c r="V639" s="147"/>
      <c r="W639" s="147"/>
      <c r="X639" s="136">
        <f>+X638-0.0035</f>
        <v>1.5E-3</v>
      </c>
      <c r="Y639" s="136">
        <f>+Y638-0.0035</f>
        <v>1.0000000000000005E-3</v>
      </c>
      <c r="Z639" s="136">
        <f>+Z638-0.0035</f>
        <v>5.5000000000000058E-4</v>
      </c>
      <c r="AA639" s="136">
        <f t="shared" ref="AA639:AD639" si="755">+AA638-0.0035</f>
        <v>1.450000000000006E-4</v>
      </c>
      <c r="AB639" s="136">
        <f t="shared" si="755"/>
        <v>-2.1949999999999921E-4</v>
      </c>
      <c r="AC639" s="136">
        <f t="shared" si="755"/>
        <v>-5.4754999999999908E-4</v>
      </c>
      <c r="AD639" s="136">
        <f t="shared" si="755"/>
        <v>-8.4279499999999905E-4</v>
      </c>
      <c r="AE639" s="135"/>
      <c r="AF639" s="135"/>
      <c r="AG639" s="135"/>
      <c r="AH639" s="135"/>
      <c r="AI639" s="135"/>
      <c r="AJ639" s="135"/>
      <c r="AK639" s="135"/>
      <c r="AL639" s="135"/>
      <c r="AM639" s="135"/>
      <c r="AN639" s="135"/>
      <c r="AO639" s="135"/>
      <c r="AP639" s="135"/>
      <c r="AQ639" s="135"/>
      <c r="AR639" s="135"/>
      <c r="AS639" s="135"/>
      <c r="AT639" s="135"/>
      <c r="AU639" s="135"/>
      <c r="AV639" s="135"/>
      <c r="AW639" s="135"/>
      <c r="AX639" s="135"/>
      <c r="AY639" s="135"/>
      <c r="AZ639" s="135"/>
      <c r="BA639" s="135"/>
      <c r="BB639" s="135"/>
      <c r="BC639" s="135"/>
      <c r="BD639" s="137"/>
      <c r="BE639" s="137"/>
      <c r="BF639" s="137"/>
      <c r="BG639" s="137"/>
      <c r="BH639" s="137"/>
      <c r="BI639" s="137"/>
      <c r="BJ639" s="137"/>
      <c r="BK639" s="137"/>
      <c r="BL639" s="137"/>
      <c r="BM639" s="137"/>
      <c r="BN639" s="137"/>
      <c r="BO639" s="137"/>
      <c r="BP639" s="136"/>
      <c r="BQ639" s="136"/>
      <c r="BR639" s="136"/>
      <c r="BS639" s="136"/>
      <c r="BT639" s="136"/>
      <c r="BU639" s="136"/>
      <c r="BV639" s="147"/>
      <c r="BW639" s="147"/>
      <c r="BX639" s="147"/>
      <c r="BY639" s="147"/>
      <c r="BZ639" s="147"/>
      <c r="CA639" s="147"/>
      <c r="CB639" s="147"/>
      <c r="CC639" s="147"/>
      <c r="CD639" s="147"/>
      <c r="CE639" s="147"/>
      <c r="CF639" s="147"/>
      <c r="CG639" s="147"/>
      <c r="CH639" s="147"/>
      <c r="CI639" s="147"/>
      <c r="CJ639" s="147"/>
      <c r="CK639" s="147"/>
      <c r="CL639" s="147"/>
      <c r="CM639" s="147"/>
      <c r="CN639" s="147"/>
      <c r="CO639" s="147"/>
      <c r="CP639" s="147"/>
      <c r="CQ639" s="147"/>
      <c r="CR639" s="147"/>
      <c r="CS639" s="147"/>
      <c r="CT639" s="147"/>
      <c r="CU639" s="147"/>
      <c r="CV639" s="147"/>
      <c r="CW639" s="147"/>
      <c r="CX639" s="147"/>
      <c r="CY639" s="147"/>
      <c r="CZ639" s="136">
        <f t="shared" ref="CZ639:DC639" si="756">+CZ638-0.005</f>
        <v>-5.0000000000000001E-3</v>
      </c>
      <c r="DA639" s="136">
        <f t="shared" si="756"/>
        <v>0</v>
      </c>
      <c r="DB639" s="136">
        <f t="shared" si="756"/>
        <v>0</v>
      </c>
      <c r="DC639" s="136">
        <f t="shared" si="756"/>
        <v>0</v>
      </c>
    </row>
    <row r="640" spans="2:107">
      <c r="B640" s="198"/>
      <c r="C640" s="197"/>
      <c r="D640" s="31"/>
      <c r="E640" s="31"/>
      <c r="F640" s="31"/>
      <c r="G640" s="31"/>
      <c r="H640" s="31"/>
      <c r="I640" s="31"/>
      <c r="J640" s="31"/>
      <c r="K640" s="31"/>
      <c r="L640" s="31"/>
      <c r="M640" s="199"/>
      <c r="N640" s="199"/>
      <c r="O640" s="199"/>
      <c r="P640" s="199"/>
      <c r="Q640" s="199"/>
      <c r="R640" s="199"/>
      <c r="S640" s="199"/>
      <c r="T640" s="199"/>
      <c r="U640" s="199"/>
      <c r="V640" s="199"/>
      <c r="W640" s="199"/>
      <c r="X640" s="39"/>
      <c r="Y640" s="39"/>
      <c r="Z640" s="39"/>
      <c r="AA640" s="39"/>
      <c r="AB640" s="39"/>
      <c r="AC640" s="39"/>
      <c r="AD640" s="39"/>
      <c r="AE640" s="197"/>
      <c r="AF640" s="31"/>
      <c r="AG640" s="31"/>
      <c r="AH640" s="31"/>
      <c r="AI640" s="31"/>
      <c r="AJ640" s="31"/>
      <c r="AK640" s="31"/>
      <c r="AL640" s="31"/>
      <c r="AM640" s="31"/>
      <c r="AN640" s="31"/>
      <c r="AO640" s="31"/>
      <c r="AP640" s="31"/>
      <c r="AQ640" s="31"/>
      <c r="AR640" s="31"/>
      <c r="AS640" s="31"/>
      <c r="AT640" s="31"/>
      <c r="AU640" s="31"/>
      <c r="AV640" s="31"/>
      <c r="AW640" s="31"/>
      <c r="AX640" s="31"/>
      <c r="AY640" s="31"/>
      <c r="AZ640" s="31"/>
      <c r="BA640" s="31"/>
      <c r="BB640" s="31"/>
      <c r="BC640" s="31"/>
      <c r="BD640" s="32"/>
      <c r="BE640" s="32"/>
      <c r="BF640" s="32"/>
      <c r="BG640" s="32"/>
      <c r="BH640" s="32"/>
      <c r="BI640" s="32"/>
      <c r="BJ640" s="32"/>
      <c r="BK640" s="32"/>
      <c r="BL640" s="32"/>
      <c r="BM640" s="32"/>
      <c r="BN640" s="32"/>
      <c r="BO640" s="32"/>
      <c r="BP640" s="199"/>
      <c r="BQ640" s="199"/>
      <c r="BR640" s="199"/>
      <c r="BS640" s="199"/>
      <c r="BT640" s="199"/>
      <c r="BU640" s="199"/>
      <c r="BV640" s="199"/>
      <c r="BW640" s="199"/>
      <c r="BX640" s="199"/>
      <c r="BY640" s="199"/>
      <c r="BZ640" s="199"/>
      <c r="CA640" s="199"/>
      <c r="CB640" s="199"/>
      <c r="CC640" s="199"/>
      <c r="CD640" s="199"/>
      <c r="CE640" s="199"/>
      <c r="CF640" s="199"/>
      <c r="CG640" s="199"/>
      <c r="CH640" s="199"/>
      <c r="CI640" s="199"/>
      <c r="CJ640" s="199"/>
      <c r="CK640" s="199"/>
      <c r="CL640" s="199"/>
      <c r="CM640" s="199"/>
      <c r="CN640" s="199"/>
      <c r="CO640" s="199"/>
      <c r="CP640" s="199"/>
      <c r="CQ640" s="199"/>
      <c r="CR640" s="199"/>
      <c r="CS640" s="199"/>
      <c r="CT640" s="199"/>
      <c r="CU640" s="199"/>
      <c r="CV640" s="199"/>
      <c r="CW640" s="199"/>
      <c r="CX640" s="199"/>
      <c r="CY640" s="199"/>
      <c r="CZ640" s="199"/>
      <c r="DA640" s="199"/>
      <c r="DB640" s="199"/>
      <c r="DC640" s="199"/>
    </row>
    <row r="641" spans="2:107">
      <c r="B641" s="1597" t="s">
        <v>38</v>
      </c>
      <c r="C641" s="197"/>
      <c r="D641" s="31"/>
      <c r="E641" s="31"/>
      <c r="F641" s="31"/>
      <c r="G641" s="31"/>
      <c r="H641" s="31"/>
      <c r="I641" s="31"/>
      <c r="J641" s="31"/>
      <c r="K641" s="31"/>
      <c r="L641" s="31"/>
      <c r="M641" s="199"/>
      <c r="N641" s="199"/>
      <c r="O641" s="199"/>
      <c r="P641" s="941"/>
      <c r="Q641" s="802">
        <f>SUM(CB641:CE641)</f>
        <v>13.8</v>
      </c>
      <c r="R641" s="802">
        <f>SUM(CF641:CI641)</f>
        <v>5.4694999999999849</v>
      </c>
      <c r="S641" s="802"/>
      <c r="T641" s="802"/>
      <c r="U641" s="802"/>
      <c r="V641" s="802"/>
      <c r="W641" s="802"/>
      <c r="X641" s="802"/>
      <c r="Y641" s="802"/>
      <c r="Z641" s="802"/>
      <c r="AA641" s="802"/>
      <c r="AB641" s="802"/>
      <c r="AC641" s="802"/>
      <c r="AD641" s="802"/>
      <c r="AE641" s="197"/>
      <c r="AF641" s="31"/>
      <c r="AG641" s="31"/>
      <c r="AH641" s="31"/>
      <c r="AI641" s="31"/>
      <c r="AJ641" s="31"/>
      <c r="AK641" s="31"/>
      <c r="AL641" s="31"/>
      <c r="AM641" s="31"/>
      <c r="AN641" s="31"/>
      <c r="AO641" s="31"/>
      <c r="AP641" s="31"/>
      <c r="AQ641" s="31"/>
      <c r="AR641" s="31"/>
      <c r="AS641" s="31"/>
      <c r="AT641" s="31"/>
      <c r="AU641" s="31"/>
      <c r="AV641" s="31"/>
      <c r="AW641" s="31"/>
      <c r="AX641" s="31"/>
      <c r="AY641" s="31"/>
      <c r="AZ641" s="31"/>
      <c r="BA641" s="31"/>
      <c r="BB641" s="31"/>
      <c r="BC641" s="31"/>
      <c r="BD641" s="32"/>
      <c r="BE641" s="32"/>
      <c r="BF641" s="32"/>
      <c r="BG641" s="32"/>
      <c r="BH641" s="32"/>
      <c r="BI641" s="32"/>
      <c r="BJ641" s="32"/>
      <c r="BK641" s="32"/>
      <c r="BL641" s="32"/>
      <c r="BM641" s="32"/>
      <c r="BN641" s="32"/>
      <c r="BO641" s="32"/>
      <c r="BP641" s="199"/>
      <c r="BQ641" s="199"/>
      <c r="BR641" s="199"/>
      <c r="BS641" s="199"/>
      <c r="BT641" s="199"/>
      <c r="BU641" s="199"/>
      <c r="BV641" s="199"/>
      <c r="BW641" s="199"/>
      <c r="BX641" s="199"/>
      <c r="BY641" s="1078"/>
      <c r="BZ641" s="1078"/>
      <c r="CA641" s="1078"/>
      <c r="CB641" s="1078"/>
      <c r="CC641" s="1078"/>
      <c r="CD641" s="1721">
        <f>16.1*0.4</f>
        <v>6.4400000000000013</v>
      </c>
      <c r="CE641" s="1721">
        <f>18.4*0.4</f>
        <v>7.3599999999999994</v>
      </c>
      <c r="CF641" s="1912">
        <v>6.3</v>
      </c>
      <c r="CG641" s="802">
        <f>+CG664-(CG634*3*CG623)/1000000</f>
        <v>-0.14240000000000919</v>
      </c>
      <c r="CH641" s="802">
        <f>+CH664-(CH634*3*CH623)/1000000</f>
        <v>-0.7874999999999801</v>
      </c>
      <c r="CI641" s="802">
        <f>+CI664-(CI634*3*CI623)/1000000</f>
        <v>9.9399999999974398E-2</v>
      </c>
      <c r="CJ641" s="802"/>
      <c r="CK641" s="802"/>
      <c r="CL641" s="802"/>
      <c r="CM641" s="802"/>
      <c r="CN641" s="802"/>
      <c r="CO641" s="802"/>
      <c r="CP641" s="802"/>
      <c r="CQ641" s="802"/>
      <c r="CR641" s="802"/>
      <c r="CS641" s="802"/>
      <c r="CT641" s="802"/>
      <c r="CU641" s="802"/>
      <c r="CV641" s="802"/>
      <c r="CW641" s="802"/>
      <c r="CX641" s="802"/>
      <c r="CY641" s="802"/>
      <c r="CZ641" s="802"/>
      <c r="DA641" s="802"/>
      <c r="DB641" s="802"/>
      <c r="DC641" s="802"/>
    </row>
    <row r="642" spans="2:107">
      <c r="B642" s="1597" t="s">
        <v>2724</v>
      </c>
      <c r="C642" s="197"/>
      <c r="D642" s="31"/>
      <c r="E642" s="31"/>
      <c r="F642" s="31"/>
      <c r="G642" s="31"/>
      <c r="H642" s="31"/>
      <c r="I642" s="31"/>
      <c r="J642" s="31"/>
      <c r="K642" s="31"/>
      <c r="L642" s="31"/>
      <c r="M642" s="199"/>
      <c r="N642" s="199"/>
      <c r="O642" s="199"/>
      <c r="P642" s="941"/>
      <c r="Q642" s="802"/>
      <c r="R642" s="802"/>
      <c r="S642" s="802"/>
      <c r="T642" s="802"/>
      <c r="U642" s="802"/>
      <c r="V642" s="802">
        <f t="shared" ref="V642:V643" si="757">SUM(CV642:CY642)</f>
        <v>0</v>
      </c>
      <c r="W642" s="802">
        <f>SUM(CZ642:DC642)</f>
        <v>54.166666666666671</v>
      </c>
      <c r="X642" s="2348">
        <f t="shared" ref="X642:Z642" si="758">+W642</f>
        <v>54.166666666666671</v>
      </c>
      <c r="Y642" s="2348">
        <f t="shared" si="758"/>
        <v>54.166666666666671</v>
      </c>
      <c r="Z642" s="2348">
        <f t="shared" si="758"/>
        <v>54.166666666666671</v>
      </c>
      <c r="AA642" s="2348">
        <f t="shared" ref="AA642:AA643" si="759">+Z642</f>
        <v>54.166666666666671</v>
      </c>
      <c r="AB642" s="2348">
        <f t="shared" ref="AB642:AB643" si="760">+AA642</f>
        <v>54.166666666666671</v>
      </c>
      <c r="AC642" s="2348">
        <f t="shared" ref="AC642:AC643" si="761">+AB642</f>
        <v>54.166666666666671</v>
      </c>
      <c r="AD642" s="2348">
        <f t="shared" ref="AD642:AD643" si="762">+AC642</f>
        <v>54.166666666666671</v>
      </c>
      <c r="AE642" s="197"/>
      <c r="AF642" s="31"/>
      <c r="AG642" s="31"/>
      <c r="AH642" s="31"/>
      <c r="AI642" s="31"/>
      <c r="AJ642" s="31"/>
      <c r="AK642" s="31"/>
      <c r="AL642" s="31"/>
      <c r="AM642" s="31"/>
      <c r="AN642" s="31"/>
      <c r="AO642" s="31"/>
      <c r="AP642" s="31"/>
      <c r="AQ642" s="31"/>
      <c r="AR642" s="31"/>
      <c r="AS642" s="31"/>
      <c r="AT642" s="31"/>
      <c r="AU642" s="31"/>
      <c r="AV642" s="31"/>
      <c r="AW642" s="31"/>
      <c r="AX642" s="31"/>
      <c r="AY642" s="31"/>
      <c r="AZ642" s="31"/>
      <c r="BA642" s="31"/>
      <c r="BB642" s="31"/>
      <c r="BC642" s="31"/>
      <c r="BD642" s="32"/>
      <c r="BE642" s="32"/>
      <c r="BF642" s="32"/>
      <c r="BG642" s="32"/>
      <c r="BH642" s="32"/>
      <c r="BI642" s="32"/>
      <c r="BJ642" s="32"/>
      <c r="BK642" s="32"/>
      <c r="BL642" s="32"/>
      <c r="BM642" s="32"/>
      <c r="BN642" s="32"/>
      <c r="BO642" s="32"/>
      <c r="BP642" s="199"/>
      <c r="BQ642" s="199"/>
      <c r="BR642" s="199"/>
      <c r="BS642" s="199"/>
      <c r="BT642" s="199"/>
      <c r="BU642" s="199"/>
      <c r="BV642" s="199"/>
      <c r="BW642" s="199"/>
      <c r="BX642" s="199"/>
      <c r="BY642" s="1078"/>
      <c r="BZ642" s="1078"/>
      <c r="CA642" s="1078"/>
      <c r="CB642" s="1078"/>
      <c r="CC642" s="1078"/>
      <c r="CD642" s="1721"/>
      <c r="CE642" s="1721"/>
      <c r="CF642" s="1912"/>
      <c r="CG642" s="802"/>
      <c r="CH642" s="802"/>
      <c r="CI642" s="802"/>
      <c r="CJ642" s="802"/>
      <c r="CK642" s="802"/>
      <c r="CL642" s="802"/>
      <c r="CM642" s="802"/>
      <c r="CN642" s="802"/>
      <c r="CO642" s="802"/>
      <c r="CP642" s="802"/>
      <c r="CQ642" s="802"/>
      <c r="CR642" s="802"/>
      <c r="CS642" s="802"/>
      <c r="CT642" s="802"/>
      <c r="CU642" s="802"/>
      <c r="CV642" s="802"/>
      <c r="CW642" s="802"/>
      <c r="CX642" s="802"/>
      <c r="CY642" s="802"/>
      <c r="CZ642" s="802">
        <f>65/4/6*5</f>
        <v>13.541666666666668</v>
      </c>
      <c r="DA642" s="802">
        <f t="shared" ref="DA642:DC642" si="763">65/4/6*5</f>
        <v>13.541666666666668</v>
      </c>
      <c r="DB642" s="802">
        <f t="shared" si="763"/>
        <v>13.541666666666668</v>
      </c>
      <c r="DC642" s="802">
        <f t="shared" si="763"/>
        <v>13.541666666666668</v>
      </c>
    </row>
    <row r="643" spans="2:107">
      <c r="B643" s="1597" t="s">
        <v>2725</v>
      </c>
      <c r="C643" s="197"/>
      <c r="D643" s="31"/>
      <c r="E643" s="31"/>
      <c r="F643" s="31"/>
      <c r="G643" s="31"/>
      <c r="H643" s="31"/>
      <c r="I643" s="31"/>
      <c r="J643" s="31"/>
      <c r="K643" s="31"/>
      <c r="L643" s="31"/>
      <c r="M643" s="199"/>
      <c r="N643" s="199"/>
      <c r="O643" s="199"/>
      <c r="P643" s="941"/>
      <c r="Q643" s="802"/>
      <c r="R643" s="802"/>
      <c r="S643" s="802"/>
      <c r="T643" s="802"/>
      <c r="U643" s="802"/>
      <c r="V643" s="802">
        <f t="shared" si="757"/>
        <v>0</v>
      </c>
      <c r="W643" s="802">
        <f>SUM(CZ643:DC643)</f>
        <v>10.833333333333334</v>
      </c>
      <c r="X643" s="2348">
        <f t="shared" ref="X643:Z643" si="764">+W643</f>
        <v>10.833333333333334</v>
      </c>
      <c r="Y643" s="2348">
        <f t="shared" si="764"/>
        <v>10.833333333333334</v>
      </c>
      <c r="Z643" s="2348">
        <f t="shared" si="764"/>
        <v>10.833333333333334</v>
      </c>
      <c r="AA643" s="2348">
        <f t="shared" si="759"/>
        <v>10.833333333333334</v>
      </c>
      <c r="AB643" s="2348">
        <f t="shared" si="760"/>
        <v>10.833333333333334</v>
      </c>
      <c r="AC643" s="2348">
        <f t="shared" si="761"/>
        <v>10.833333333333334</v>
      </c>
      <c r="AD643" s="2348">
        <f t="shared" si="762"/>
        <v>10.833333333333334</v>
      </c>
      <c r="AE643" s="197"/>
      <c r="AF643" s="31"/>
      <c r="AG643" s="31"/>
      <c r="AH643" s="31"/>
      <c r="AI643" s="31"/>
      <c r="AJ643" s="31"/>
      <c r="AK643" s="31"/>
      <c r="AL643" s="31"/>
      <c r="AM643" s="31"/>
      <c r="AN643" s="31"/>
      <c r="AO643" s="31"/>
      <c r="AP643" s="31"/>
      <c r="AQ643" s="31"/>
      <c r="AR643" s="31"/>
      <c r="AS643" s="31"/>
      <c r="AT643" s="31"/>
      <c r="AU643" s="31"/>
      <c r="AV643" s="31"/>
      <c r="AW643" s="31"/>
      <c r="AX643" s="31"/>
      <c r="AY643" s="31"/>
      <c r="AZ643" s="31"/>
      <c r="BA643" s="31"/>
      <c r="BB643" s="31"/>
      <c r="BC643" s="31"/>
      <c r="BD643" s="32"/>
      <c r="BE643" s="32"/>
      <c r="BF643" s="32"/>
      <c r="BG643" s="32"/>
      <c r="BH643" s="32"/>
      <c r="BI643" s="32"/>
      <c r="BJ643" s="32"/>
      <c r="BK643" s="32"/>
      <c r="BL643" s="32"/>
      <c r="BM643" s="32"/>
      <c r="BN643" s="32"/>
      <c r="BO643" s="32"/>
      <c r="BP643" s="199"/>
      <c r="BQ643" s="199"/>
      <c r="BR643" s="199"/>
      <c r="BS643" s="199"/>
      <c r="BT643" s="199"/>
      <c r="BU643" s="199"/>
      <c r="BV643" s="199"/>
      <c r="BW643" s="199"/>
      <c r="BX643" s="199"/>
      <c r="BY643" s="1078"/>
      <c r="BZ643" s="1078"/>
      <c r="CA643" s="1078"/>
      <c r="CB643" s="1078"/>
      <c r="CC643" s="1078"/>
      <c r="CD643" s="1721"/>
      <c r="CE643" s="1721"/>
      <c r="CF643" s="1912"/>
      <c r="CG643" s="802"/>
      <c r="CH643" s="802"/>
      <c r="CI643" s="802"/>
      <c r="CJ643" s="802"/>
      <c r="CK643" s="802"/>
      <c r="CL643" s="802"/>
      <c r="CM643" s="802"/>
      <c r="CN643" s="802"/>
      <c r="CO643" s="802"/>
      <c r="CP643" s="802"/>
      <c r="CQ643" s="802"/>
      <c r="CR643" s="802"/>
      <c r="CS643" s="802"/>
      <c r="CT643" s="802"/>
      <c r="CU643" s="802"/>
      <c r="CV643" s="802"/>
      <c r="CW643" s="802"/>
      <c r="CX643" s="802"/>
      <c r="CY643" s="802"/>
      <c r="CZ643" s="802">
        <f>65/4/6*1</f>
        <v>2.7083333333333335</v>
      </c>
      <c r="DA643" s="802">
        <f t="shared" ref="DA643:DC643" si="765">65/4/6*1</f>
        <v>2.7083333333333335</v>
      </c>
      <c r="DB643" s="802">
        <f t="shared" si="765"/>
        <v>2.7083333333333335</v>
      </c>
      <c r="DC643" s="802">
        <f t="shared" si="765"/>
        <v>2.7083333333333335</v>
      </c>
    </row>
    <row r="644" spans="2:107" s="41" customFormat="1">
      <c r="B644" s="142" t="s">
        <v>2726</v>
      </c>
      <c r="C644" s="2349"/>
      <c r="D644" s="2350"/>
      <c r="E644" s="2350"/>
      <c r="F644" s="2350"/>
      <c r="G644" s="2350"/>
      <c r="H644" s="2350"/>
      <c r="I644" s="2350"/>
      <c r="J644" s="2350"/>
      <c r="K644" s="2350"/>
      <c r="L644" s="2350"/>
      <c r="M644" s="201"/>
      <c r="N644" s="201"/>
      <c r="O644" s="201"/>
      <c r="P644" s="878"/>
      <c r="Q644" s="2351">
        <f>SUM(Q641:Q643)</f>
        <v>13.8</v>
      </c>
      <c r="R644" s="2351">
        <f t="shared" ref="R644:V644" si="766">SUM(R641:R643)</f>
        <v>5.4694999999999849</v>
      </c>
      <c r="S644" s="2351">
        <f t="shared" si="766"/>
        <v>0</v>
      </c>
      <c r="T644" s="2351">
        <f t="shared" si="766"/>
        <v>0</v>
      </c>
      <c r="U644" s="2351">
        <f t="shared" si="766"/>
        <v>0</v>
      </c>
      <c r="V644" s="2351">
        <f t="shared" si="766"/>
        <v>0</v>
      </c>
      <c r="W644" s="2351">
        <f t="shared" ref="W644" si="767">SUM(W641:W643)</f>
        <v>65</v>
      </c>
      <c r="X644" s="2351">
        <f t="shared" ref="X644" si="768">SUM(X641:X643)</f>
        <v>65</v>
      </c>
      <c r="Y644" s="2351">
        <f t="shared" ref="Y644" si="769">SUM(Y641:Y643)</f>
        <v>65</v>
      </c>
      <c r="Z644" s="2351">
        <f t="shared" ref="Z644:AD644" si="770">SUM(Z641:Z643)</f>
        <v>65</v>
      </c>
      <c r="AA644" s="2351">
        <f t="shared" si="770"/>
        <v>65</v>
      </c>
      <c r="AB644" s="2351">
        <f t="shared" si="770"/>
        <v>65</v>
      </c>
      <c r="AC644" s="2351">
        <f t="shared" si="770"/>
        <v>65</v>
      </c>
      <c r="AD644" s="2351">
        <f t="shared" si="770"/>
        <v>65</v>
      </c>
      <c r="AE644" s="2349"/>
      <c r="AF644" s="2350"/>
      <c r="AG644" s="2350"/>
      <c r="AH644" s="2350"/>
      <c r="AI644" s="2350"/>
      <c r="AJ644" s="2350"/>
      <c r="AK644" s="2350"/>
      <c r="AL644" s="2350"/>
      <c r="AM644" s="2350"/>
      <c r="AN644" s="2350"/>
      <c r="AO644" s="2350"/>
      <c r="AP644" s="2350"/>
      <c r="AQ644" s="2350"/>
      <c r="AR644" s="2350"/>
      <c r="AS644" s="2350"/>
      <c r="AT644" s="2350"/>
      <c r="AU644" s="2350"/>
      <c r="AV644" s="2350"/>
      <c r="AW644" s="2350"/>
      <c r="AX644" s="2350"/>
      <c r="AY644" s="2350"/>
      <c r="AZ644" s="2350"/>
      <c r="BA644" s="2350"/>
      <c r="BB644" s="2350"/>
      <c r="BC644" s="2350"/>
      <c r="BD644" s="2352"/>
      <c r="BE644" s="2352"/>
      <c r="BF644" s="2352"/>
      <c r="BG644" s="2352"/>
      <c r="BH644" s="2352"/>
      <c r="BI644" s="2352"/>
      <c r="BJ644" s="2352"/>
      <c r="BK644" s="2352"/>
      <c r="BL644" s="2352"/>
      <c r="BM644" s="2352"/>
      <c r="BN644" s="2352"/>
      <c r="BO644" s="2352"/>
      <c r="BP644" s="201"/>
      <c r="BQ644" s="201"/>
      <c r="BR644" s="201"/>
      <c r="BS644" s="201"/>
      <c r="BT644" s="201"/>
      <c r="BU644" s="201"/>
      <c r="BV644" s="201"/>
      <c r="BW644" s="201"/>
      <c r="BX644" s="201"/>
      <c r="BY644" s="2353"/>
      <c r="BZ644" s="2353"/>
      <c r="CA644" s="2353"/>
      <c r="CB644" s="2353"/>
      <c r="CC644" s="2353"/>
      <c r="CD644" s="2354"/>
      <c r="CE644" s="2354"/>
      <c r="CF644" s="2355"/>
      <c r="CG644" s="2351"/>
      <c r="CH644" s="2351"/>
      <c r="CI644" s="2351"/>
      <c r="CJ644" s="2351"/>
      <c r="CK644" s="2351"/>
      <c r="CL644" s="2351"/>
      <c r="CM644" s="2351"/>
      <c r="CN644" s="2351"/>
      <c r="CO644" s="2351"/>
      <c r="CP644" s="2351"/>
      <c r="CQ644" s="2351"/>
      <c r="CR644" s="2351"/>
      <c r="CS644" s="2351"/>
      <c r="CT644" s="2351"/>
      <c r="CU644" s="2351"/>
      <c r="CV644" s="2351"/>
      <c r="CW644" s="2351"/>
      <c r="CX644" s="2351"/>
      <c r="CY644" s="2351"/>
      <c r="CZ644" s="2351">
        <f t="shared" ref="CZ644:DC644" si="771">SUM(CZ642:CZ643)</f>
        <v>16.25</v>
      </c>
      <c r="DA644" s="2351">
        <f t="shared" si="771"/>
        <v>16.25</v>
      </c>
      <c r="DB644" s="2351">
        <f t="shared" si="771"/>
        <v>16.25</v>
      </c>
      <c r="DC644" s="2351">
        <f t="shared" si="771"/>
        <v>16.25</v>
      </c>
    </row>
    <row r="645" spans="2:107">
      <c r="B645" s="142"/>
      <c r="C645" s="197"/>
      <c r="D645" s="31"/>
      <c r="E645" s="31"/>
      <c r="F645" s="31"/>
      <c r="G645" s="31"/>
      <c r="H645" s="31"/>
      <c r="I645" s="31"/>
      <c r="J645" s="31"/>
      <c r="K645" s="31"/>
      <c r="L645" s="31"/>
      <c r="M645" s="199"/>
      <c r="N645" s="199"/>
      <c r="O645" s="199"/>
      <c r="P645" s="941"/>
      <c r="Q645" s="802"/>
      <c r="R645" s="802"/>
      <c r="S645" s="802"/>
      <c r="T645" s="802"/>
      <c r="U645" s="802"/>
      <c r="V645" s="802"/>
      <c r="W645" s="802"/>
      <c r="X645" s="802"/>
      <c r="Y645" s="802"/>
      <c r="Z645" s="802"/>
      <c r="AA645" s="802"/>
      <c r="AB645" s="802"/>
      <c r="AC645" s="802"/>
      <c r="AD645" s="802"/>
      <c r="AE645" s="197"/>
      <c r="AF645" s="31"/>
      <c r="AG645" s="31"/>
      <c r="AH645" s="31"/>
      <c r="AI645" s="31"/>
      <c r="AJ645" s="31"/>
      <c r="AK645" s="31"/>
      <c r="AL645" s="31"/>
      <c r="AM645" s="31"/>
      <c r="AN645" s="31"/>
      <c r="AO645" s="31"/>
      <c r="AP645" s="31"/>
      <c r="AQ645" s="31"/>
      <c r="AR645" s="31"/>
      <c r="AS645" s="31"/>
      <c r="AT645" s="31"/>
      <c r="AU645" s="31"/>
      <c r="AV645" s="31"/>
      <c r="AW645" s="31"/>
      <c r="AX645" s="31"/>
      <c r="AY645" s="31"/>
      <c r="AZ645" s="31"/>
      <c r="BA645" s="31"/>
      <c r="BB645" s="31"/>
      <c r="BC645" s="31"/>
      <c r="BD645" s="32"/>
      <c r="BE645" s="32"/>
      <c r="BF645" s="32"/>
      <c r="BG645" s="32"/>
      <c r="BH645" s="32"/>
      <c r="BI645" s="32"/>
      <c r="BJ645" s="32"/>
      <c r="BK645" s="32"/>
      <c r="BL645" s="32"/>
      <c r="BM645" s="32"/>
      <c r="BN645" s="32"/>
      <c r="BO645" s="32"/>
      <c r="BP645" s="199"/>
      <c r="BQ645" s="199"/>
      <c r="BR645" s="199"/>
      <c r="BS645" s="199"/>
      <c r="BT645" s="199"/>
      <c r="BU645" s="199"/>
      <c r="BV645" s="199"/>
      <c r="BW645" s="199"/>
      <c r="BX645" s="199"/>
      <c r="BY645" s="1078"/>
      <c r="BZ645" s="1078"/>
      <c r="CA645" s="1078"/>
      <c r="CB645" s="1078"/>
      <c r="CC645" s="1078"/>
      <c r="CD645" s="1721"/>
      <c r="CE645" s="1721"/>
      <c r="CF645" s="1912"/>
      <c r="CG645" s="802"/>
      <c r="CH645" s="802"/>
      <c r="CI645" s="802"/>
      <c r="CJ645" s="802"/>
      <c r="CK645" s="802"/>
      <c r="CL645" s="802"/>
      <c r="CM645" s="802"/>
      <c r="CN645" s="802"/>
      <c r="CO645" s="802"/>
      <c r="CP645" s="802"/>
      <c r="CQ645" s="802"/>
      <c r="CR645" s="802"/>
      <c r="CS645" s="802"/>
      <c r="CT645" s="802"/>
      <c r="CU645" s="802"/>
      <c r="CV645" s="802"/>
      <c r="CW645" s="802"/>
      <c r="CX645" s="802"/>
      <c r="CY645" s="802"/>
      <c r="CZ645" s="802"/>
      <c r="DA645" s="802"/>
      <c r="DB645" s="802"/>
      <c r="DC645" s="802"/>
    </row>
    <row r="646" spans="2:107">
      <c r="B646" s="142"/>
      <c r="C646" s="197"/>
      <c r="D646" s="31"/>
      <c r="E646" s="31"/>
      <c r="F646" s="31"/>
      <c r="G646" s="31"/>
      <c r="H646" s="31"/>
      <c r="I646" s="31"/>
      <c r="J646" s="31"/>
      <c r="K646" s="31"/>
      <c r="L646" s="31"/>
      <c r="M646" s="199"/>
      <c r="N646" s="199"/>
      <c r="O646" s="199"/>
      <c r="P646" s="941"/>
      <c r="Q646" s="802"/>
      <c r="R646" s="802"/>
      <c r="S646" s="802"/>
      <c r="T646" s="802"/>
      <c r="U646" s="802"/>
      <c r="V646" s="802"/>
      <c r="W646" s="802"/>
      <c r="X646" s="802"/>
      <c r="Y646" s="802"/>
      <c r="Z646" s="802"/>
      <c r="AA646" s="802"/>
      <c r="AB646" s="802"/>
      <c r="AC646" s="802"/>
      <c r="AD646" s="802"/>
      <c r="AE646" s="197"/>
      <c r="AF646" s="31"/>
      <c r="AG646" s="31"/>
      <c r="AH646" s="31"/>
      <c r="AI646" s="31"/>
      <c r="AJ646" s="31"/>
      <c r="AK646" s="31"/>
      <c r="AL646" s="31"/>
      <c r="AM646" s="31"/>
      <c r="AN646" s="31"/>
      <c r="AO646" s="31"/>
      <c r="AP646" s="31"/>
      <c r="AQ646" s="31"/>
      <c r="AR646" s="31"/>
      <c r="AS646" s="31"/>
      <c r="AT646" s="31"/>
      <c r="AU646" s="31"/>
      <c r="AV646" s="31"/>
      <c r="AW646" s="31"/>
      <c r="AX646" s="31"/>
      <c r="AY646" s="31"/>
      <c r="AZ646" s="31"/>
      <c r="BA646" s="31"/>
      <c r="BB646" s="31"/>
      <c r="BC646" s="31"/>
      <c r="BD646" s="32"/>
      <c r="BE646" s="32"/>
      <c r="BF646" s="32"/>
      <c r="BG646" s="32"/>
      <c r="BH646" s="32"/>
      <c r="BI646" s="32"/>
      <c r="BJ646" s="32"/>
      <c r="BK646" s="32"/>
      <c r="BL646" s="32"/>
      <c r="BM646" s="32"/>
      <c r="BN646" s="32"/>
      <c r="BO646" s="32"/>
      <c r="BP646" s="199"/>
      <c r="BQ646" s="199"/>
      <c r="BR646" s="199"/>
      <c r="BS646" s="199"/>
      <c r="BT646" s="199"/>
      <c r="BU646" s="199"/>
      <c r="BV646" s="199"/>
      <c r="BW646" s="199"/>
      <c r="BX646" s="199"/>
      <c r="BY646" s="1078"/>
      <c r="BZ646" s="1078"/>
      <c r="CA646" s="1078"/>
      <c r="CB646" s="1078"/>
      <c r="CC646" s="1078"/>
      <c r="CD646" s="1721"/>
      <c r="CE646" s="1721"/>
      <c r="CF646" s="1912"/>
      <c r="CG646" s="802"/>
      <c r="CH646" s="802"/>
      <c r="CI646" s="802"/>
      <c r="CJ646" s="802"/>
      <c r="CK646" s="802"/>
      <c r="CL646" s="802"/>
      <c r="CM646" s="802"/>
      <c r="CN646" s="802"/>
      <c r="CO646" s="802"/>
      <c r="CP646" s="802"/>
      <c r="CQ646" s="802"/>
      <c r="CR646" s="802"/>
      <c r="CS646" s="802"/>
      <c r="CT646" s="802"/>
      <c r="CU646" s="802"/>
      <c r="CV646" s="802"/>
      <c r="CW646" s="802"/>
      <c r="CX646" s="802"/>
      <c r="CY646" s="802"/>
      <c r="CZ646" s="802"/>
      <c r="DA646" s="802"/>
      <c r="DB646" s="802"/>
      <c r="DC646" s="802"/>
    </row>
    <row r="647" spans="2:107" s="15" customFormat="1">
      <c r="B647" s="2254" t="s">
        <v>2115</v>
      </c>
      <c r="C647" s="2255"/>
      <c r="D647" s="2256"/>
      <c r="E647" s="2256"/>
      <c r="F647" s="2256"/>
      <c r="G647" s="2256"/>
      <c r="H647" s="2256"/>
      <c r="I647" s="2256"/>
      <c r="J647" s="2256"/>
      <c r="K647" s="2256"/>
      <c r="L647" s="2256"/>
      <c r="M647" s="2257"/>
      <c r="N647" s="2257"/>
      <c r="O647" s="2257"/>
      <c r="P647" s="2258"/>
      <c r="Q647" s="2259"/>
      <c r="R647" s="2259"/>
      <c r="S647" s="2259"/>
      <c r="T647" s="2259">
        <f>+SUM(CN647:CQ647)</f>
        <v>545.10774681065732</v>
      </c>
      <c r="U647" s="2259">
        <f>+SUM(CR647:CU647)</f>
        <v>474.28000000000003</v>
      </c>
      <c r="V647" s="2259"/>
      <c r="W647" s="2259"/>
      <c r="X647" s="2259"/>
      <c r="Y647" s="2259"/>
      <c r="Z647" s="2259"/>
      <c r="AA647" s="2259"/>
      <c r="AB647" s="2259"/>
      <c r="AC647" s="2259"/>
      <c r="AD647" s="2259"/>
      <c r="AE647" s="2255"/>
      <c r="AF647" s="2256"/>
      <c r="AG647" s="2256"/>
      <c r="AH647" s="2256"/>
      <c r="AI647" s="2256"/>
      <c r="AJ647" s="2256"/>
      <c r="AK647" s="2256"/>
      <c r="AL647" s="2256"/>
      <c r="AM647" s="2256"/>
      <c r="AN647" s="2256"/>
      <c r="AO647" s="2256"/>
      <c r="AP647" s="2256"/>
      <c r="AQ647" s="2256"/>
      <c r="AR647" s="2256"/>
      <c r="AS647" s="2256"/>
      <c r="AT647" s="2256"/>
      <c r="AU647" s="2256"/>
      <c r="AV647" s="2256"/>
      <c r="AW647" s="2256"/>
      <c r="AX647" s="2256"/>
      <c r="AY647" s="2256"/>
      <c r="AZ647" s="2256"/>
      <c r="BA647" s="2256"/>
      <c r="BB647" s="2256"/>
      <c r="BC647" s="2256"/>
      <c r="BD647" s="2260"/>
      <c r="BE647" s="2260"/>
      <c r="BF647" s="2260"/>
      <c r="BG647" s="2260"/>
      <c r="BH647" s="2260"/>
      <c r="BI647" s="2260"/>
      <c r="BJ647" s="2260"/>
      <c r="BK647" s="2260"/>
      <c r="BL647" s="2260"/>
      <c r="BM647" s="2260"/>
      <c r="BN647" s="2260"/>
      <c r="BO647" s="2260"/>
      <c r="BP647" s="2257"/>
      <c r="BQ647" s="2257"/>
      <c r="BR647" s="2257"/>
      <c r="BS647" s="2257"/>
      <c r="BT647" s="2257"/>
      <c r="BU647" s="2257"/>
      <c r="BV647" s="2257"/>
      <c r="BW647" s="2257"/>
      <c r="BX647" s="2257"/>
      <c r="BY647" s="2261"/>
      <c r="BZ647" s="2261"/>
      <c r="CA647" s="2261"/>
      <c r="CB647" s="2261"/>
      <c r="CC647" s="2261"/>
      <c r="CD647" s="2262"/>
      <c r="CE647" s="2262"/>
      <c r="CF647" s="2263"/>
      <c r="CG647" s="2259"/>
      <c r="CH647" s="2259"/>
      <c r="CI647" s="2259"/>
      <c r="CJ647" s="2259"/>
      <c r="CK647" s="2259"/>
      <c r="CL647" s="2259"/>
      <c r="CM647" s="2259"/>
      <c r="CN647" s="2259">
        <f>+CN650*CN653</f>
        <v>131.35313526981244</v>
      </c>
      <c r="CO647" s="2259">
        <f>+CO650*CO653</f>
        <v>132.96740076650016</v>
      </c>
      <c r="CP647" s="2259">
        <f>+CP650*CP653</f>
        <v>139.75138721039033</v>
      </c>
      <c r="CQ647" s="2259">
        <f>+CQ650*CQ653</f>
        <v>141.03582356395438</v>
      </c>
      <c r="CR647" s="2318">
        <f>84.4*6/5+(115/4)</f>
        <v>130.03</v>
      </c>
      <c r="CS647" s="2318">
        <f>107.2+(115/4)</f>
        <v>135.94999999999999</v>
      </c>
      <c r="CT647" s="2304">
        <v>107.3</v>
      </c>
      <c r="CU647" s="2304">
        <v>101</v>
      </c>
      <c r="CV647" s="2259"/>
      <c r="CW647" s="2259"/>
      <c r="CX647" s="2259"/>
      <c r="CY647" s="2259"/>
      <c r="CZ647" s="2259"/>
      <c r="DA647" s="2259"/>
      <c r="DB647" s="2259"/>
      <c r="DC647" s="2259"/>
    </row>
    <row r="648" spans="2:107" s="15" customFormat="1">
      <c r="B648" s="2264" t="s">
        <v>2037</v>
      </c>
      <c r="C648" s="2255"/>
      <c r="D648" s="2256"/>
      <c r="E648" s="2256"/>
      <c r="F648" s="2256"/>
      <c r="G648" s="2256"/>
      <c r="H648" s="2256"/>
      <c r="I648" s="2256"/>
      <c r="J648" s="2256"/>
      <c r="K648" s="2256"/>
      <c r="L648" s="2256"/>
      <c r="M648" s="2257"/>
      <c r="N648" s="2257"/>
      <c r="O648" s="2257"/>
      <c r="P648" s="2258"/>
      <c r="Q648" s="2259"/>
      <c r="R648" s="2259"/>
      <c r="S648" s="2259"/>
      <c r="T648" s="2259"/>
      <c r="U648" s="2266">
        <f>+U647/T647-1</f>
        <v>-0.12993348053675569</v>
      </c>
      <c r="V648" s="2266"/>
      <c r="W648" s="2266"/>
      <c r="X648" s="2266"/>
      <c r="Y648" s="2266"/>
      <c r="Z648" s="2266"/>
      <c r="AA648" s="2266"/>
      <c r="AB648" s="2266"/>
      <c r="AC648" s="2266"/>
      <c r="AD648" s="2266"/>
      <c r="AE648" s="2255"/>
      <c r="AF648" s="2256"/>
      <c r="AG648" s="2256"/>
      <c r="AH648" s="2256"/>
      <c r="AI648" s="2256"/>
      <c r="AJ648" s="2256"/>
      <c r="AK648" s="2256"/>
      <c r="AL648" s="2256"/>
      <c r="AM648" s="2256"/>
      <c r="AN648" s="2256"/>
      <c r="AO648" s="2256"/>
      <c r="AP648" s="2256"/>
      <c r="AQ648" s="2256"/>
      <c r="AR648" s="2256"/>
      <c r="AS648" s="2256"/>
      <c r="AT648" s="2256"/>
      <c r="AU648" s="2256"/>
      <c r="AV648" s="2256"/>
      <c r="AW648" s="2256"/>
      <c r="AX648" s="2256"/>
      <c r="AY648" s="2256"/>
      <c r="AZ648" s="2256"/>
      <c r="BA648" s="2256"/>
      <c r="BB648" s="2256"/>
      <c r="BC648" s="2256"/>
      <c r="BD648" s="2260"/>
      <c r="BE648" s="2260"/>
      <c r="BF648" s="2260"/>
      <c r="BG648" s="2260"/>
      <c r="BH648" s="2260"/>
      <c r="BI648" s="2260"/>
      <c r="BJ648" s="2260"/>
      <c r="BK648" s="2260"/>
      <c r="BL648" s="2260"/>
      <c r="BM648" s="2260"/>
      <c r="BN648" s="2260"/>
      <c r="BO648" s="2260"/>
      <c r="BP648" s="2257"/>
      <c r="BQ648" s="2257"/>
      <c r="BR648" s="2257"/>
      <c r="BS648" s="2257"/>
      <c r="BT648" s="2257"/>
      <c r="BU648" s="2257"/>
      <c r="BV648" s="2257"/>
      <c r="BW648" s="2257"/>
      <c r="BX648" s="2257"/>
      <c r="BY648" s="2261"/>
      <c r="BZ648" s="2261"/>
      <c r="CA648" s="2261"/>
      <c r="CB648" s="2261"/>
      <c r="CC648" s="2261"/>
      <c r="CD648" s="2262"/>
      <c r="CE648" s="2262"/>
      <c r="CF648" s="2263"/>
      <c r="CG648" s="2259"/>
      <c r="CH648" s="2259"/>
      <c r="CI648" s="2259"/>
      <c r="CJ648" s="2259"/>
      <c r="CK648" s="2259"/>
      <c r="CL648" s="2259"/>
      <c r="CM648" s="2259"/>
      <c r="CN648" s="2259"/>
      <c r="CO648" s="2259"/>
      <c r="CP648" s="2259"/>
      <c r="CQ648" s="2259"/>
      <c r="CR648" s="2259"/>
      <c r="CS648" s="2259"/>
      <c r="CT648" s="2259"/>
      <c r="CU648" s="2259"/>
      <c r="CV648" s="2266"/>
      <c r="CW648" s="2266"/>
      <c r="CX648" s="2266"/>
      <c r="CY648" s="2266"/>
      <c r="CZ648" s="2266"/>
      <c r="DA648" s="2266"/>
      <c r="DB648" s="2266"/>
      <c r="DC648" s="2266"/>
    </row>
    <row r="649" spans="2:107" s="15" customFormat="1">
      <c r="B649" s="2264"/>
      <c r="C649" s="2255"/>
      <c r="D649" s="2256"/>
      <c r="E649" s="2256"/>
      <c r="F649" s="2256"/>
      <c r="G649" s="2256"/>
      <c r="H649" s="2256"/>
      <c r="I649" s="2256"/>
      <c r="J649" s="2256"/>
      <c r="K649" s="2256"/>
      <c r="L649" s="2256"/>
      <c r="M649" s="2257"/>
      <c r="N649" s="2257"/>
      <c r="O649" s="2257"/>
      <c r="P649" s="2258"/>
      <c r="Q649" s="2259"/>
      <c r="R649" s="2259"/>
      <c r="S649" s="2259"/>
      <c r="T649" s="2259"/>
      <c r="U649" s="2266"/>
      <c r="V649" s="2266"/>
      <c r="W649" s="2266"/>
      <c r="X649" s="2266"/>
      <c r="Y649" s="2266"/>
      <c r="Z649" s="2266"/>
      <c r="AA649" s="2266"/>
      <c r="AB649" s="2266"/>
      <c r="AC649" s="2266"/>
      <c r="AD649" s="2266"/>
      <c r="AE649" s="2255"/>
      <c r="AF649" s="2256"/>
      <c r="AG649" s="2256"/>
      <c r="AH649" s="2256"/>
      <c r="AI649" s="2256"/>
      <c r="AJ649" s="2256"/>
      <c r="AK649" s="2256"/>
      <c r="AL649" s="2256"/>
      <c r="AM649" s="2256"/>
      <c r="AN649" s="2256"/>
      <c r="AO649" s="2256"/>
      <c r="AP649" s="2256"/>
      <c r="AQ649" s="2256"/>
      <c r="AR649" s="2256"/>
      <c r="AS649" s="2256"/>
      <c r="AT649" s="2256"/>
      <c r="AU649" s="2256"/>
      <c r="AV649" s="2256"/>
      <c r="AW649" s="2256"/>
      <c r="AX649" s="2256"/>
      <c r="AY649" s="2256"/>
      <c r="AZ649" s="2256"/>
      <c r="BA649" s="2256"/>
      <c r="BB649" s="2256"/>
      <c r="BC649" s="2256"/>
      <c r="BD649" s="2260"/>
      <c r="BE649" s="2260"/>
      <c r="BF649" s="2260"/>
      <c r="BG649" s="2260"/>
      <c r="BH649" s="2260"/>
      <c r="BI649" s="2260"/>
      <c r="BJ649" s="2260"/>
      <c r="BK649" s="2260"/>
      <c r="BL649" s="2260"/>
      <c r="BM649" s="2260"/>
      <c r="BN649" s="2260"/>
      <c r="BO649" s="2260"/>
      <c r="BP649" s="2257"/>
      <c r="BQ649" s="2257"/>
      <c r="BR649" s="2257"/>
      <c r="BS649" s="2257"/>
      <c r="BT649" s="2257"/>
      <c r="BU649" s="2257"/>
      <c r="BV649" s="2257"/>
      <c r="BW649" s="2257"/>
      <c r="BX649" s="2257"/>
      <c r="BY649" s="2261"/>
      <c r="BZ649" s="2261"/>
      <c r="CA649" s="2261"/>
      <c r="CB649" s="2261"/>
      <c r="CC649" s="2261"/>
      <c r="CD649" s="2262"/>
      <c r="CE649" s="2262"/>
      <c r="CF649" s="2263"/>
      <c r="CG649" s="2259"/>
      <c r="CH649" s="2259"/>
      <c r="CI649" s="2259"/>
      <c r="CJ649" s="2259"/>
      <c r="CK649" s="2259"/>
      <c r="CL649" s="2259"/>
      <c r="CM649" s="2259"/>
      <c r="CN649" s="2259"/>
      <c r="CO649" s="2266">
        <f t="shared" ref="CO649:CU649" si="772">+CO647/CN647-1</f>
        <v>1.2289508684903971E-2</v>
      </c>
      <c r="CP649" s="2266">
        <f t="shared" si="772"/>
        <v>5.101992221238727E-2</v>
      </c>
      <c r="CQ649" s="2266">
        <f t="shared" si="772"/>
        <v>9.1908665753017704E-3</v>
      </c>
      <c r="CR649" s="2266">
        <f t="shared" si="772"/>
        <v>-7.8035659918443745E-2</v>
      </c>
      <c r="CS649" s="2266">
        <f t="shared" si="772"/>
        <v>4.5527955087287353E-2</v>
      </c>
      <c r="CT649" s="2266">
        <f t="shared" si="772"/>
        <v>-0.21073924236851782</v>
      </c>
      <c r="CU649" s="2266">
        <f t="shared" si="772"/>
        <v>-5.8713886300093221E-2</v>
      </c>
      <c r="CV649" s="2266"/>
      <c r="CW649" s="2266"/>
      <c r="CX649" s="2266"/>
      <c r="CY649" s="2266"/>
      <c r="CZ649" s="2266"/>
      <c r="DA649" s="2266"/>
      <c r="DB649" s="2266"/>
      <c r="DC649" s="2266"/>
    </row>
    <row r="650" spans="2:107" s="15" customFormat="1">
      <c r="B650" s="2264" t="s">
        <v>2116</v>
      </c>
      <c r="C650" s="2255"/>
      <c r="D650" s="2256"/>
      <c r="E650" s="2256"/>
      <c r="F650" s="2256"/>
      <c r="G650" s="2256"/>
      <c r="H650" s="2256"/>
      <c r="I650" s="2256"/>
      <c r="J650" s="2256"/>
      <c r="K650" s="2256"/>
      <c r="L650" s="2256"/>
      <c r="M650" s="2257"/>
      <c r="N650" s="2257"/>
      <c r="O650" s="2257"/>
      <c r="P650" s="2258"/>
      <c r="Q650" s="2259"/>
      <c r="R650" s="2259"/>
      <c r="S650" s="2259"/>
      <c r="T650" s="2271">
        <f>+SUM(CN650:CQ650)</f>
        <v>356.62358601726589</v>
      </c>
      <c r="U650" s="2271">
        <f>+SUM(CR650:CU650)</f>
        <v>348.55889816964753</v>
      </c>
      <c r="V650" s="2271"/>
      <c r="W650" s="2271"/>
      <c r="X650" s="2271"/>
      <c r="Y650" s="2271"/>
      <c r="Z650" s="2271"/>
      <c r="AA650" s="2271"/>
      <c r="AB650" s="2271"/>
      <c r="AC650" s="2271"/>
      <c r="AD650" s="2271"/>
      <c r="AE650" s="2255"/>
      <c r="AF650" s="2256"/>
      <c r="AG650" s="2256"/>
      <c r="AH650" s="2256"/>
      <c r="AI650" s="2256"/>
      <c r="AJ650" s="2256"/>
      <c r="AK650" s="2256"/>
      <c r="AL650" s="2256"/>
      <c r="AM650" s="2256"/>
      <c r="AN650" s="2256"/>
      <c r="AO650" s="2256"/>
      <c r="AP650" s="2256"/>
      <c r="AQ650" s="2256"/>
      <c r="AR650" s="2256"/>
      <c r="AS650" s="2256"/>
      <c r="AT650" s="2256"/>
      <c r="AU650" s="2256"/>
      <c r="AV650" s="2256"/>
      <c r="AW650" s="2256"/>
      <c r="AX650" s="2256"/>
      <c r="AY650" s="2256"/>
      <c r="AZ650" s="2256"/>
      <c r="BA650" s="2256"/>
      <c r="BB650" s="2256"/>
      <c r="BC650" s="2256"/>
      <c r="BD650" s="2260"/>
      <c r="BE650" s="2260"/>
      <c r="BF650" s="2260"/>
      <c r="BG650" s="2260"/>
      <c r="BH650" s="2260"/>
      <c r="BI650" s="2260"/>
      <c r="BJ650" s="2260"/>
      <c r="BK650" s="2260"/>
      <c r="BL650" s="2260"/>
      <c r="BM650" s="2260"/>
      <c r="BN650" s="2260"/>
      <c r="BO650" s="2260"/>
      <c r="BP650" s="2257"/>
      <c r="BQ650" s="2257"/>
      <c r="BR650" s="2257"/>
      <c r="BS650" s="2257"/>
      <c r="BT650" s="2257"/>
      <c r="BU650" s="2257"/>
      <c r="BV650" s="2257"/>
      <c r="BW650" s="2257"/>
      <c r="BX650" s="2257"/>
      <c r="BY650" s="2261"/>
      <c r="BZ650" s="2261"/>
      <c r="CA650" s="2261"/>
      <c r="CB650" s="2261"/>
      <c r="CC650" s="2261"/>
      <c r="CD650" s="2262"/>
      <c r="CE650" s="2262"/>
      <c r="CF650" s="2263"/>
      <c r="CG650" s="2259"/>
      <c r="CH650" s="2259"/>
      <c r="CI650" s="2259"/>
      <c r="CJ650" s="2259"/>
      <c r="CK650" s="2259"/>
      <c r="CL650" s="2259"/>
      <c r="CM650" s="2259"/>
      <c r="CN650" s="2270">
        <f>+TCY!R9/2</f>
        <v>86.728000000000009</v>
      </c>
      <c r="CO650" s="2270">
        <f>+TCY!R9/2</f>
        <v>86.728000000000009</v>
      </c>
      <c r="CP650" s="2270">
        <f>+TCY!S9/2</f>
        <v>90.215748171121817</v>
      </c>
      <c r="CQ650" s="2270">
        <f>+TCY!T9/2</f>
        <v>92.951837846144045</v>
      </c>
      <c r="CR650" s="2271">
        <f>+CR647/CR653</f>
        <v>90.780250774944847</v>
      </c>
      <c r="CS650" s="2271">
        <f>+CS647/CS653</f>
        <v>94.781608394046074</v>
      </c>
      <c r="CT650" s="2271">
        <f>+CT647/CT653</f>
        <v>81.737434678611152</v>
      </c>
      <c r="CU650" s="2271">
        <f>+CU647/CU653</f>
        <v>81.25960432204549</v>
      </c>
      <c r="CV650" s="2271"/>
      <c r="CW650" s="2271"/>
      <c r="CX650" s="2271"/>
      <c r="CY650" s="2271"/>
      <c r="CZ650" s="2271"/>
      <c r="DA650" s="2271"/>
      <c r="DB650" s="2271"/>
      <c r="DC650" s="2271"/>
    </row>
    <row r="651" spans="2:107" s="15" customFormat="1">
      <c r="B651" s="2264" t="s">
        <v>2037</v>
      </c>
      <c r="C651" s="2255"/>
      <c r="D651" s="2256"/>
      <c r="E651" s="2256"/>
      <c r="F651" s="2256"/>
      <c r="G651" s="2256"/>
      <c r="H651" s="2256"/>
      <c r="I651" s="2256"/>
      <c r="J651" s="2256"/>
      <c r="K651" s="2256"/>
      <c r="L651" s="2256"/>
      <c r="M651" s="2257"/>
      <c r="N651" s="2257"/>
      <c r="O651" s="2257"/>
      <c r="P651" s="2258"/>
      <c r="Q651" s="2259"/>
      <c r="R651" s="2259"/>
      <c r="S651" s="2259"/>
      <c r="T651" s="2259"/>
      <c r="U651" s="2266">
        <f>+U650/T650-1</f>
        <v>-2.2614005814040272E-2</v>
      </c>
      <c r="V651" s="2266"/>
      <c r="W651" s="2266"/>
      <c r="X651" s="2268"/>
      <c r="Y651" s="2268"/>
      <c r="Z651" s="2268"/>
      <c r="AA651" s="2268"/>
      <c r="AB651" s="2268"/>
      <c r="AC651" s="2268"/>
      <c r="AD651" s="2268"/>
      <c r="AE651" s="2255"/>
      <c r="AF651" s="2256"/>
      <c r="AG651" s="2256"/>
      <c r="AH651" s="2256"/>
      <c r="AI651" s="2256"/>
      <c r="AJ651" s="2256"/>
      <c r="AK651" s="2256"/>
      <c r="AL651" s="2256"/>
      <c r="AM651" s="2256"/>
      <c r="AN651" s="2256"/>
      <c r="AO651" s="2256"/>
      <c r="AP651" s="2256"/>
      <c r="AQ651" s="2256"/>
      <c r="AR651" s="2256"/>
      <c r="AS651" s="2256"/>
      <c r="AT651" s="2256"/>
      <c r="AU651" s="2256"/>
      <c r="AV651" s="2256"/>
      <c r="AW651" s="2256"/>
      <c r="AX651" s="2256"/>
      <c r="AY651" s="2256"/>
      <c r="AZ651" s="2256"/>
      <c r="BA651" s="2256"/>
      <c r="BB651" s="2256"/>
      <c r="BC651" s="2256"/>
      <c r="BD651" s="2260"/>
      <c r="BE651" s="2260"/>
      <c r="BF651" s="2260"/>
      <c r="BG651" s="2260"/>
      <c r="BH651" s="2260"/>
      <c r="BI651" s="2260"/>
      <c r="BJ651" s="2260"/>
      <c r="BK651" s="2260"/>
      <c r="BL651" s="2260"/>
      <c r="BM651" s="2260"/>
      <c r="BN651" s="2260"/>
      <c r="BO651" s="2260"/>
      <c r="BP651" s="2257"/>
      <c r="BQ651" s="2257"/>
      <c r="BR651" s="2257"/>
      <c r="BS651" s="2257"/>
      <c r="BT651" s="2257"/>
      <c r="BU651" s="2257"/>
      <c r="BV651" s="2257"/>
      <c r="BW651" s="2257"/>
      <c r="BX651" s="2257"/>
      <c r="BY651" s="2261"/>
      <c r="BZ651" s="2261"/>
      <c r="CA651" s="2261"/>
      <c r="CB651" s="2261"/>
      <c r="CC651" s="2261"/>
      <c r="CD651" s="2262"/>
      <c r="CE651" s="2262"/>
      <c r="CF651" s="2263"/>
      <c r="CG651" s="2259"/>
      <c r="CH651" s="2259"/>
      <c r="CI651" s="2259"/>
      <c r="CJ651" s="2259"/>
      <c r="CK651" s="2259"/>
      <c r="CL651" s="2259"/>
      <c r="CM651" s="2259"/>
      <c r="CN651" s="2259"/>
      <c r="CO651" s="2259"/>
      <c r="CP651" s="2259"/>
      <c r="CQ651" s="2259"/>
      <c r="CR651" s="2259"/>
      <c r="CS651" s="2259"/>
      <c r="CT651" s="2259"/>
      <c r="CU651" s="2259"/>
      <c r="CV651" s="2266"/>
      <c r="CW651" s="2266"/>
      <c r="CX651" s="2266"/>
      <c r="CY651" s="2266"/>
      <c r="CZ651" s="2266"/>
      <c r="DA651" s="2266"/>
      <c r="DB651" s="2266"/>
      <c r="DC651" s="2266"/>
    </row>
    <row r="652" spans="2:107" s="15" customFormat="1">
      <c r="B652" s="2264" t="s">
        <v>2038</v>
      </c>
      <c r="C652" s="2255"/>
      <c r="D652" s="2256"/>
      <c r="E652" s="2256"/>
      <c r="F652" s="2256"/>
      <c r="G652" s="2256"/>
      <c r="H652" s="2256"/>
      <c r="I652" s="2256"/>
      <c r="J652" s="2256"/>
      <c r="K652" s="2256"/>
      <c r="L652" s="2256"/>
      <c r="M652" s="2257"/>
      <c r="N652" s="2257"/>
      <c r="O652" s="2257"/>
      <c r="P652" s="2258"/>
      <c r="Q652" s="2259"/>
      <c r="R652" s="2259"/>
      <c r="S652" s="2259"/>
      <c r="T652" s="2259"/>
      <c r="U652" s="2259"/>
      <c r="V652" s="2259"/>
      <c r="W652" s="2259"/>
      <c r="X652" s="2259"/>
      <c r="Y652" s="2259"/>
      <c r="Z652" s="2259"/>
      <c r="AA652" s="2259"/>
      <c r="AB652" s="2259"/>
      <c r="AC652" s="2259"/>
      <c r="AD652" s="2259"/>
      <c r="AE652" s="2255"/>
      <c r="AF652" s="2256"/>
      <c r="AG652" s="2256"/>
      <c r="AH652" s="2256"/>
      <c r="AI652" s="2256"/>
      <c r="AJ652" s="2256"/>
      <c r="AK652" s="2256"/>
      <c r="AL652" s="2256"/>
      <c r="AM652" s="2256"/>
      <c r="AN652" s="2256"/>
      <c r="AO652" s="2256"/>
      <c r="AP652" s="2256"/>
      <c r="AQ652" s="2256"/>
      <c r="AR652" s="2256"/>
      <c r="AS652" s="2256"/>
      <c r="AT652" s="2256"/>
      <c r="AU652" s="2256"/>
      <c r="AV652" s="2256"/>
      <c r="AW652" s="2256"/>
      <c r="AX652" s="2256"/>
      <c r="AY652" s="2256"/>
      <c r="AZ652" s="2256"/>
      <c r="BA652" s="2256"/>
      <c r="BB652" s="2256"/>
      <c r="BC652" s="2256"/>
      <c r="BD652" s="2260"/>
      <c r="BE652" s="2260"/>
      <c r="BF652" s="2260"/>
      <c r="BG652" s="2260"/>
      <c r="BH652" s="2260"/>
      <c r="BI652" s="2260"/>
      <c r="BJ652" s="2260"/>
      <c r="BK652" s="2260"/>
      <c r="BL652" s="2260"/>
      <c r="BM652" s="2260"/>
      <c r="BN652" s="2260"/>
      <c r="BO652" s="2260"/>
      <c r="BP652" s="2257"/>
      <c r="BQ652" s="2257"/>
      <c r="BR652" s="2257"/>
      <c r="BS652" s="2257"/>
      <c r="BT652" s="2257"/>
      <c r="BU652" s="2257"/>
      <c r="BV652" s="2257"/>
      <c r="BW652" s="2257"/>
      <c r="BX652" s="2257"/>
      <c r="BY652" s="2261"/>
      <c r="BZ652" s="2261"/>
      <c r="CA652" s="2261"/>
      <c r="CB652" s="2261"/>
      <c r="CC652" s="2261"/>
      <c r="CD652" s="2262"/>
      <c r="CE652" s="2262"/>
      <c r="CF652" s="2263"/>
      <c r="CG652" s="2259"/>
      <c r="CH652" s="2259"/>
      <c r="CI652" s="2259"/>
      <c r="CJ652" s="2259"/>
      <c r="CK652" s="2259"/>
      <c r="CL652" s="2259"/>
      <c r="CM652" s="2259"/>
      <c r="CN652" s="2266"/>
      <c r="CO652" s="2266">
        <f t="shared" ref="CO652:CU652" si="773">+CO650/CN650-1</f>
        <v>0</v>
      </c>
      <c r="CP652" s="2266">
        <f t="shared" si="773"/>
        <v>4.021478843189974E-2</v>
      </c>
      <c r="CQ652" s="2266">
        <f t="shared" si="773"/>
        <v>3.0328293346660429E-2</v>
      </c>
      <c r="CR652" s="2266">
        <f t="shared" si="773"/>
        <v>-2.3362497412839245E-2</v>
      </c>
      <c r="CS652" s="2266">
        <f t="shared" si="773"/>
        <v>4.4077402132552734E-2</v>
      </c>
      <c r="CT652" s="2266">
        <f t="shared" si="773"/>
        <v>-0.13762346869241693</v>
      </c>
      <c r="CU652" s="2266">
        <f t="shared" si="773"/>
        <v>-5.8459181945760275E-3</v>
      </c>
      <c r="CV652" s="2268"/>
      <c r="CW652" s="2268"/>
      <c r="CX652" s="2268"/>
      <c r="CY652" s="2268"/>
      <c r="CZ652" s="2268"/>
      <c r="DA652" s="2268"/>
      <c r="DB652" s="2268"/>
      <c r="DC652" s="2268"/>
    </row>
    <row r="653" spans="2:107" s="15" customFormat="1">
      <c r="B653" s="2264" t="s">
        <v>2117</v>
      </c>
      <c r="C653" s="2255"/>
      <c r="D653" s="2256"/>
      <c r="E653" s="2256"/>
      <c r="F653" s="2256"/>
      <c r="G653" s="2256"/>
      <c r="H653" s="2256"/>
      <c r="I653" s="2256"/>
      <c r="J653" s="2256"/>
      <c r="K653" s="2256"/>
      <c r="L653" s="2256"/>
      <c r="M653" s="2257"/>
      <c r="N653" s="2257"/>
      <c r="O653" s="2257"/>
      <c r="P653" s="2258"/>
      <c r="Q653" s="2259"/>
      <c r="R653" s="2259"/>
      <c r="S653" s="2259"/>
      <c r="T653" s="2259"/>
      <c r="U653" s="2259"/>
      <c r="V653" s="2258"/>
      <c r="W653" s="2258"/>
      <c r="X653" s="2258"/>
      <c r="Y653" s="2258"/>
      <c r="Z653" s="2258"/>
      <c r="AA653" s="2258"/>
      <c r="AB653" s="2258"/>
      <c r="AC653" s="2258"/>
      <c r="AD653" s="2258"/>
      <c r="AE653" s="2255"/>
      <c r="AF653" s="2256"/>
      <c r="AG653" s="2256"/>
      <c r="AH653" s="2256"/>
      <c r="AI653" s="2256"/>
      <c r="AJ653" s="2256"/>
      <c r="AK653" s="2256"/>
      <c r="AL653" s="2256"/>
      <c r="AM653" s="2256"/>
      <c r="AN653" s="2256"/>
      <c r="AO653" s="2256"/>
      <c r="AP653" s="2256"/>
      <c r="AQ653" s="2256"/>
      <c r="AR653" s="2256"/>
      <c r="AS653" s="2256"/>
      <c r="AT653" s="2256"/>
      <c r="AU653" s="2256"/>
      <c r="AV653" s="2256"/>
      <c r="AW653" s="2256"/>
      <c r="AX653" s="2256"/>
      <c r="AY653" s="2256"/>
      <c r="AZ653" s="2256"/>
      <c r="BA653" s="2256"/>
      <c r="BB653" s="2256"/>
      <c r="BC653" s="2256"/>
      <c r="BD653" s="2260"/>
      <c r="BE653" s="2260"/>
      <c r="BF653" s="2260"/>
      <c r="BG653" s="2260"/>
      <c r="BH653" s="2260"/>
      <c r="BI653" s="2260"/>
      <c r="BJ653" s="2260"/>
      <c r="BK653" s="2260"/>
      <c r="BL653" s="2260"/>
      <c r="BM653" s="2260"/>
      <c r="BN653" s="2260"/>
      <c r="BO653" s="2260"/>
      <c r="BP653" s="2257"/>
      <c r="BQ653" s="2257"/>
      <c r="BR653" s="2257"/>
      <c r="BS653" s="2257"/>
      <c r="BT653" s="2257"/>
      <c r="BU653" s="2257"/>
      <c r="BV653" s="2257"/>
      <c r="BW653" s="2257"/>
      <c r="BX653" s="2257"/>
      <c r="BY653" s="2261"/>
      <c r="BZ653" s="2261"/>
      <c r="CA653" s="2261"/>
      <c r="CB653" s="2261"/>
      <c r="CC653" s="2261"/>
      <c r="CD653" s="2262"/>
      <c r="CE653" s="2262"/>
      <c r="CF653" s="2263"/>
      <c r="CG653" s="2259"/>
      <c r="CH653" s="2259"/>
      <c r="CI653" s="2259"/>
      <c r="CJ653" s="2259"/>
      <c r="CK653" s="2259"/>
      <c r="CL653" s="2259"/>
      <c r="CM653" s="2259"/>
      <c r="CN653" s="2272">
        <v>1.5145412700605621</v>
      </c>
      <c r="CO653" s="2272">
        <v>1.5331542381526166</v>
      </c>
      <c r="CP653" s="2272">
        <v>1.5490797343420464</v>
      </c>
      <c r="CQ653" s="2272">
        <v>1.5173000000000001</v>
      </c>
      <c r="CR653" s="2272">
        <v>1.4323600000000001</v>
      </c>
      <c r="CS653" s="2272">
        <v>1.43435</v>
      </c>
      <c r="CT653" s="2272">
        <v>1.31274</v>
      </c>
      <c r="CU653" s="2272">
        <v>1.2429300000000001</v>
      </c>
      <c r="CV653" s="2272"/>
      <c r="CW653" s="2272"/>
      <c r="CX653" s="2272"/>
      <c r="CY653" s="2272"/>
      <c r="CZ653" s="2272"/>
      <c r="DA653" s="2272"/>
      <c r="DB653" s="2272"/>
      <c r="DC653" s="2272"/>
    </row>
    <row r="654" spans="2:107" s="15" customFormat="1">
      <c r="B654" s="2264" t="s">
        <v>2130</v>
      </c>
      <c r="C654" s="2255"/>
      <c r="D654" s="2256"/>
      <c r="E654" s="2256"/>
      <c r="F654" s="2256"/>
      <c r="G654" s="2256"/>
      <c r="H654" s="2256"/>
      <c r="I654" s="2256"/>
      <c r="J654" s="2256"/>
      <c r="K654" s="2256"/>
      <c r="L654" s="2256"/>
      <c r="M654" s="2257"/>
      <c r="N654" s="2257"/>
      <c r="O654" s="2257"/>
      <c r="P654" s="2258"/>
      <c r="Q654" s="2259"/>
      <c r="R654" s="2259"/>
      <c r="S654" s="2259"/>
      <c r="T654" s="2259"/>
      <c r="U654" s="2259"/>
      <c r="V654" s="2259"/>
      <c r="W654" s="2259"/>
      <c r="X654" s="2258"/>
      <c r="Y654" s="2258"/>
      <c r="Z654" s="2258"/>
      <c r="AA654" s="2258"/>
      <c r="AB654" s="2258"/>
      <c r="AC654" s="2258"/>
      <c r="AD654" s="2258"/>
      <c r="AE654" s="2255"/>
      <c r="AF654" s="2256"/>
      <c r="AG654" s="2256"/>
      <c r="AH654" s="2256"/>
      <c r="AI654" s="2256"/>
      <c r="AJ654" s="2256"/>
      <c r="AK654" s="2256"/>
      <c r="AL654" s="2256"/>
      <c r="AM654" s="2256"/>
      <c r="AN654" s="2256"/>
      <c r="AO654" s="2256"/>
      <c r="AP654" s="2256"/>
      <c r="AQ654" s="2256"/>
      <c r="AR654" s="2256"/>
      <c r="AS654" s="2256"/>
      <c r="AT654" s="2256"/>
      <c r="AU654" s="2256"/>
      <c r="AV654" s="2256"/>
      <c r="AW654" s="2256"/>
      <c r="AX654" s="2256"/>
      <c r="AY654" s="2256"/>
      <c r="AZ654" s="2256"/>
      <c r="BA654" s="2256"/>
      <c r="BB654" s="2256"/>
      <c r="BC654" s="2256"/>
      <c r="BD654" s="2260"/>
      <c r="BE654" s="2260"/>
      <c r="BF654" s="2260"/>
      <c r="BG654" s="2260"/>
      <c r="BH654" s="2260"/>
      <c r="BI654" s="2260"/>
      <c r="BJ654" s="2260"/>
      <c r="BK654" s="2260"/>
      <c r="BL654" s="2260"/>
      <c r="BM654" s="2260"/>
      <c r="BN654" s="2260"/>
      <c r="BO654" s="2260"/>
      <c r="BP654" s="2257"/>
      <c r="BQ654" s="2257"/>
      <c r="BR654" s="2257"/>
      <c r="BS654" s="2257"/>
      <c r="BT654" s="2257"/>
      <c r="BU654" s="2257"/>
      <c r="BV654" s="2257"/>
      <c r="BW654" s="2257"/>
      <c r="BX654" s="2257"/>
      <c r="BY654" s="2261"/>
      <c r="BZ654" s="2261"/>
      <c r="CA654" s="2261"/>
      <c r="CB654" s="2261"/>
      <c r="CC654" s="2261"/>
      <c r="CD654" s="2262"/>
      <c r="CE654" s="2262"/>
      <c r="CF654" s="2263"/>
      <c r="CG654" s="2259"/>
      <c r="CH654" s="2259"/>
      <c r="CI654" s="2259"/>
      <c r="CJ654" s="2259"/>
      <c r="CK654" s="2259"/>
      <c r="CL654" s="2259"/>
      <c r="CM654" s="2259"/>
      <c r="CN654" s="2259">
        <f>+IS!DF15+Rev!CN647</f>
        <v>774.52713526981245</v>
      </c>
      <c r="CO654" s="2259">
        <f>+IS!DG15+Rev!CO647</f>
        <v>798.54940076650007</v>
      </c>
      <c r="CP654" s="2259">
        <f>+IS!DH15+Rev!CP647</f>
        <v>826.40038721039036</v>
      </c>
      <c r="CQ654" s="2259">
        <f>+IS!DI15+Rev!CQ647</f>
        <v>871.49782356395428</v>
      </c>
      <c r="CR654" s="2259">
        <f>+IS!DJ15+Rev!CR647</f>
        <v>974.18600000000004</v>
      </c>
      <c r="CS654" s="2259">
        <f>+IS!DK15+Rev!CS647</f>
        <v>1036.46</v>
      </c>
      <c r="CT654" s="2259"/>
      <c r="CU654" s="2259"/>
      <c r="CV654" s="2259"/>
      <c r="CW654" s="2259"/>
      <c r="CX654" s="2259"/>
      <c r="CY654" s="2259"/>
      <c r="CZ654" s="2259"/>
      <c r="DA654" s="2259"/>
      <c r="DB654" s="2259"/>
      <c r="DC654" s="2259"/>
    </row>
    <row r="655" spans="2:107" s="15" customFormat="1">
      <c r="B655" s="2273" t="s">
        <v>2131</v>
      </c>
      <c r="C655" s="2255"/>
      <c r="D655" s="2256"/>
      <c r="E655" s="2256"/>
      <c r="F655" s="2256"/>
      <c r="G655" s="2256"/>
      <c r="H655" s="2256"/>
      <c r="I655" s="2256"/>
      <c r="J655" s="2256"/>
      <c r="K655" s="2256"/>
      <c r="L655" s="2256"/>
      <c r="M655" s="2257"/>
      <c r="N655" s="2257"/>
      <c r="O655" s="2257"/>
      <c r="P655" s="2258"/>
      <c r="Q655" s="2259"/>
      <c r="R655" s="2259"/>
      <c r="S655" s="2259"/>
      <c r="T655" s="2259">
        <f>+SUM(CN655:CQ655)</f>
        <v>139.05066666666667</v>
      </c>
      <c r="U655" s="2259">
        <f>+SUM(CR655:CU655)</f>
        <v>57.5</v>
      </c>
      <c r="V655" s="2259"/>
      <c r="W655" s="2259"/>
      <c r="X655" s="2259"/>
      <c r="Y655" s="2259"/>
      <c r="Z655" s="2259"/>
      <c r="AA655" s="2259"/>
      <c r="AB655" s="2259"/>
      <c r="AC655" s="2259"/>
      <c r="AD655" s="2259"/>
      <c r="AE655" s="2255"/>
      <c r="AF655" s="2256"/>
      <c r="AG655" s="2256"/>
      <c r="AH655" s="2256"/>
      <c r="AI655" s="2256"/>
      <c r="AJ655" s="2256"/>
      <c r="AK655" s="2256"/>
      <c r="AL655" s="2256"/>
      <c r="AM655" s="2256"/>
      <c r="AN655" s="2256"/>
      <c r="AO655" s="2256"/>
      <c r="AP655" s="2256"/>
      <c r="AQ655" s="2256"/>
      <c r="AR655" s="2256"/>
      <c r="AS655" s="2256"/>
      <c r="AT655" s="2256"/>
      <c r="AU655" s="2256"/>
      <c r="AV655" s="2256"/>
      <c r="AW655" s="2256"/>
      <c r="AX655" s="2256"/>
      <c r="AY655" s="2256"/>
      <c r="AZ655" s="2256"/>
      <c r="BA655" s="2256"/>
      <c r="BB655" s="2256"/>
      <c r="BC655" s="2256"/>
      <c r="BD655" s="2260"/>
      <c r="BE655" s="2260"/>
      <c r="BF655" s="2260"/>
      <c r="BG655" s="2260"/>
      <c r="BH655" s="2260"/>
      <c r="BI655" s="2260"/>
      <c r="BJ655" s="2260"/>
      <c r="BK655" s="2260"/>
      <c r="BL655" s="2260"/>
      <c r="BM655" s="2260"/>
      <c r="BN655" s="2260"/>
      <c r="BO655" s="2260"/>
      <c r="BP655" s="2257"/>
      <c r="BQ655" s="2257"/>
      <c r="BR655" s="2257"/>
      <c r="BS655" s="2257"/>
      <c r="BT655" s="2257"/>
      <c r="BU655" s="2257"/>
      <c r="BV655" s="2257"/>
      <c r="BW655" s="2257"/>
      <c r="BX655" s="2257"/>
      <c r="BY655" s="2261"/>
      <c r="BZ655" s="2261"/>
      <c r="CA655" s="2261"/>
      <c r="CB655" s="2261"/>
      <c r="CC655" s="2261"/>
      <c r="CD655" s="2262"/>
      <c r="CE655" s="2262"/>
      <c r="CF655" s="2263"/>
      <c r="CG655" s="2259"/>
      <c r="CH655" s="2259"/>
      <c r="CI655" s="2259"/>
      <c r="CJ655" s="2259"/>
      <c r="CK655" s="2259"/>
      <c r="CL655" s="2259"/>
      <c r="CM655" s="2259"/>
      <c r="CN655" s="2304">
        <f>104.288/3</f>
        <v>34.762666666666668</v>
      </c>
      <c r="CO655" s="2304">
        <f>104.288/3</f>
        <v>34.762666666666668</v>
      </c>
      <c r="CP655" s="2304">
        <f>104.288/3</f>
        <v>34.762666666666668</v>
      </c>
      <c r="CQ655" s="2304">
        <f>104.288/3</f>
        <v>34.762666666666668</v>
      </c>
      <c r="CR655" s="2304">
        <f>115/4</f>
        <v>28.75</v>
      </c>
      <c r="CS655" s="2304">
        <f>115/4</f>
        <v>28.75</v>
      </c>
      <c r="CT655" s="2304"/>
      <c r="CU655" s="2304"/>
      <c r="CV655" s="2304"/>
      <c r="CW655" s="2304"/>
      <c r="CX655" s="2304"/>
      <c r="CY655" s="2304"/>
      <c r="CZ655" s="2304"/>
      <c r="DA655" s="2304"/>
      <c r="DB655" s="2304"/>
      <c r="DC655" s="2304"/>
    </row>
    <row r="656" spans="2:107" s="15" customFormat="1">
      <c r="B656" s="2273" t="s">
        <v>2038</v>
      </c>
      <c r="C656" s="2255"/>
      <c r="D656" s="2256"/>
      <c r="E656" s="2256"/>
      <c r="F656" s="2256"/>
      <c r="G656" s="2256"/>
      <c r="H656" s="2256"/>
      <c r="I656" s="2256"/>
      <c r="J656" s="2256"/>
      <c r="K656" s="2256"/>
      <c r="L656" s="2256"/>
      <c r="M656" s="2257"/>
      <c r="N656" s="2257"/>
      <c r="O656" s="2257"/>
      <c r="P656" s="2258"/>
      <c r="Q656" s="2259"/>
      <c r="R656" s="2259"/>
      <c r="S656" s="2259"/>
      <c r="T656" s="2259"/>
      <c r="U656" s="2266">
        <f>+U655/T655-1</f>
        <v>-0.58648166615526232</v>
      </c>
      <c r="V656" s="2266"/>
      <c r="W656" s="2266"/>
      <c r="X656" s="2266"/>
      <c r="Y656" s="2266"/>
      <c r="Z656" s="2266"/>
      <c r="AA656" s="2266"/>
      <c r="AB656" s="2266"/>
      <c r="AC656" s="2266"/>
      <c r="AD656" s="2266"/>
      <c r="AE656" s="2255"/>
      <c r="AF656" s="2256"/>
      <c r="AG656" s="2256"/>
      <c r="AH656" s="2256"/>
      <c r="AI656" s="2256"/>
      <c r="AJ656" s="2256"/>
      <c r="AK656" s="2256"/>
      <c r="AL656" s="2256"/>
      <c r="AM656" s="2256"/>
      <c r="AN656" s="2256"/>
      <c r="AO656" s="2256"/>
      <c r="AP656" s="2256"/>
      <c r="AQ656" s="2256"/>
      <c r="AR656" s="2256"/>
      <c r="AS656" s="2256"/>
      <c r="AT656" s="2256"/>
      <c r="AU656" s="2256"/>
      <c r="AV656" s="2256"/>
      <c r="AW656" s="2256"/>
      <c r="AX656" s="2256"/>
      <c r="AY656" s="2256"/>
      <c r="AZ656" s="2256"/>
      <c r="BA656" s="2256"/>
      <c r="BB656" s="2256"/>
      <c r="BC656" s="2256"/>
      <c r="BD656" s="2260"/>
      <c r="BE656" s="2260"/>
      <c r="BF656" s="2260"/>
      <c r="BG656" s="2260"/>
      <c r="BH656" s="2260"/>
      <c r="BI656" s="2260"/>
      <c r="BJ656" s="2260"/>
      <c r="BK656" s="2260"/>
      <c r="BL656" s="2260"/>
      <c r="BM656" s="2260"/>
      <c r="BN656" s="2260"/>
      <c r="BO656" s="2260"/>
      <c r="BP656" s="2257"/>
      <c r="BQ656" s="2257"/>
      <c r="BR656" s="2257"/>
      <c r="BS656" s="2257"/>
      <c r="BT656" s="2257"/>
      <c r="BU656" s="2257"/>
      <c r="BV656" s="2257"/>
      <c r="BW656" s="2257"/>
      <c r="BX656" s="2257"/>
      <c r="BY656" s="2261"/>
      <c r="BZ656" s="2261"/>
      <c r="CA656" s="2261"/>
      <c r="CB656" s="2261"/>
      <c r="CC656" s="2261"/>
      <c r="CD656" s="2262"/>
      <c r="CE656" s="2262"/>
      <c r="CF656" s="2263"/>
      <c r="CG656" s="2259"/>
      <c r="CH656" s="2259"/>
      <c r="CI656" s="2259"/>
      <c r="CJ656" s="2259"/>
      <c r="CK656" s="2259"/>
      <c r="CL656" s="2259"/>
      <c r="CM656" s="2259"/>
      <c r="CN656" s="2259"/>
      <c r="CO656" s="2266">
        <f>+CO655/CN655-1</f>
        <v>0</v>
      </c>
      <c r="CP656" s="2266">
        <f>+CP655/CO655-1</f>
        <v>0</v>
      </c>
      <c r="CQ656" s="2266">
        <f>+CQ655/CP655-1</f>
        <v>0</v>
      </c>
      <c r="CR656" s="2266">
        <f>+CR655/CQ655-1</f>
        <v>-0.17296333231052474</v>
      </c>
      <c r="CS656" s="2266">
        <f>+CS655/CR655-1</f>
        <v>0</v>
      </c>
      <c r="CT656" s="2266"/>
      <c r="CU656" s="2266"/>
      <c r="CV656" s="2266"/>
      <c r="CW656" s="2266"/>
      <c r="CX656" s="2266"/>
      <c r="CY656" s="2266"/>
      <c r="CZ656" s="2266"/>
      <c r="DA656" s="2266"/>
      <c r="DB656" s="2266"/>
      <c r="DC656" s="2266"/>
    </row>
    <row r="657" spans="2:107">
      <c r="B657" s="198"/>
      <c r="C657" s="197"/>
      <c r="D657" s="31"/>
      <c r="E657" s="31"/>
      <c r="F657" s="31"/>
      <c r="G657" s="31"/>
      <c r="H657" s="31"/>
      <c r="I657" s="31"/>
      <c r="J657" s="31"/>
      <c r="K657" s="31"/>
      <c r="L657" s="31"/>
      <c r="M657" s="199"/>
      <c r="N657" s="199"/>
      <c r="O657" s="199"/>
      <c r="P657" s="199"/>
      <c r="Q657" s="199"/>
      <c r="R657" s="199"/>
      <c r="S657" s="199"/>
      <c r="T657" s="199"/>
      <c r="U657" s="199"/>
      <c r="V657" s="199"/>
      <c r="W657" s="199"/>
      <c r="X657" s="39"/>
      <c r="Y657" s="39"/>
      <c r="Z657" s="39"/>
      <c r="AA657" s="39"/>
      <c r="AB657" s="39"/>
      <c r="AC657" s="39"/>
      <c r="AD657" s="39"/>
      <c r="AE657" s="197"/>
      <c r="AF657" s="31"/>
      <c r="AG657" s="31"/>
      <c r="AH657" s="31"/>
      <c r="AI657" s="31"/>
      <c r="AJ657" s="31"/>
      <c r="AK657" s="31"/>
      <c r="AL657" s="31"/>
      <c r="AM657" s="31"/>
      <c r="AN657" s="31"/>
      <c r="AO657" s="31"/>
      <c r="AP657" s="31"/>
      <c r="AQ657" s="31"/>
      <c r="AR657" s="31"/>
      <c r="AS657" s="31"/>
      <c r="AT657" s="31"/>
      <c r="AU657" s="31"/>
      <c r="AV657" s="31"/>
      <c r="AW657" s="31"/>
      <c r="AX657" s="31"/>
      <c r="AY657" s="31"/>
      <c r="AZ657" s="31"/>
      <c r="BA657" s="31"/>
      <c r="BB657" s="31"/>
      <c r="BC657" s="31"/>
      <c r="BD657" s="32"/>
      <c r="BE657" s="32"/>
      <c r="BF657" s="32"/>
      <c r="BG657" s="32"/>
      <c r="BH657" s="32"/>
      <c r="BI657" s="32"/>
      <c r="BJ657" s="32"/>
      <c r="BK657" s="32"/>
      <c r="BL657" s="32"/>
      <c r="BM657" s="32"/>
      <c r="BN657" s="32"/>
      <c r="BO657" s="32"/>
      <c r="BP657" s="199"/>
      <c r="BQ657" s="199"/>
      <c r="BR657" s="199"/>
      <c r="BS657" s="199"/>
      <c r="BT657" s="199"/>
      <c r="BU657" s="199"/>
      <c r="BV657" s="199"/>
      <c r="BW657" s="199"/>
      <c r="BX657" s="199"/>
      <c r="BY657" s="199"/>
      <c r="BZ657" s="199"/>
      <c r="CA657" s="199"/>
      <c r="CB657" s="199"/>
      <c r="CC657" s="199"/>
      <c r="CD657" s="199"/>
      <c r="CE657" s="199"/>
      <c r="CF657" s="199"/>
      <c r="CG657" s="199"/>
      <c r="CH657" s="199"/>
      <c r="CI657" s="199"/>
      <c r="CJ657" s="199"/>
      <c r="CK657" s="199"/>
      <c r="CL657" s="199"/>
      <c r="CM657" s="199"/>
      <c r="CN657" s="199"/>
      <c r="CO657" s="199"/>
      <c r="CP657" s="199"/>
      <c r="CQ657" s="199"/>
      <c r="CR657" s="199"/>
      <c r="CS657" s="199"/>
      <c r="CT657" s="199"/>
      <c r="CU657" s="199"/>
      <c r="CV657" s="199"/>
      <c r="CW657" s="199"/>
      <c r="CX657" s="199"/>
      <c r="CY657" s="199"/>
      <c r="CZ657" s="199"/>
      <c r="DA657" s="199"/>
      <c r="DB657" s="199"/>
      <c r="DC657" s="199"/>
    </row>
    <row r="658" spans="2:107" ht="15" customHeight="1">
      <c r="B658" s="71" t="s">
        <v>723</v>
      </c>
      <c r="C658" s="151"/>
      <c r="D658" s="151"/>
      <c r="E658" s="151"/>
      <c r="F658" s="151"/>
      <c r="G658" s="151"/>
      <c r="H658" s="151"/>
      <c r="I658" s="132"/>
      <c r="J658" s="132"/>
      <c r="K658" s="132"/>
      <c r="L658" s="132"/>
      <c r="M658" s="89"/>
      <c r="N658" s="89"/>
      <c r="O658" s="89"/>
      <c r="P658" s="89"/>
      <c r="Q658" s="89"/>
      <c r="R658" s="89"/>
      <c r="S658" s="89"/>
      <c r="T658" s="89"/>
      <c r="U658" s="89"/>
      <c r="V658" s="89"/>
      <c r="W658" s="89"/>
      <c r="X658" s="132"/>
      <c r="Y658" s="132"/>
      <c r="Z658" s="132"/>
      <c r="AA658" s="132"/>
      <c r="AB658" s="132"/>
      <c r="AC658" s="132"/>
      <c r="AD658" s="132"/>
      <c r="AE658" s="89"/>
      <c r="AF658" s="132"/>
      <c r="AG658" s="132"/>
      <c r="AH658" s="132"/>
      <c r="AI658" s="132"/>
      <c r="AJ658" s="132"/>
      <c r="AK658" s="132"/>
      <c r="AL658" s="132"/>
      <c r="AM658" s="132"/>
      <c r="AN658" s="132"/>
      <c r="AO658" s="132"/>
      <c r="AP658" s="132"/>
      <c r="AQ658" s="132"/>
      <c r="AR658" s="132"/>
      <c r="AS658" s="132"/>
      <c r="AT658" s="132"/>
      <c r="AU658" s="132"/>
      <c r="AV658" s="132"/>
      <c r="AW658" s="132"/>
      <c r="AX658" s="132"/>
      <c r="AY658" s="132"/>
      <c r="AZ658" s="132"/>
      <c r="BA658" s="132"/>
      <c r="BB658" s="132"/>
      <c r="BC658" s="132"/>
      <c r="BD658" s="152"/>
      <c r="BE658" s="152"/>
      <c r="BF658" s="152"/>
      <c r="BG658" s="152"/>
      <c r="BH658" s="152"/>
      <c r="BI658" s="152"/>
      <c r="BJ658" s="152"/>
      <c r="BK658" s="153"/>
      <c r="BL658" s="132"/>
      <c r="BM658" s="132"/>
      <c r="BN658" s="132"/>
      <c r="BO658" s="132"/>
      <c r="BP658" s="202"/>
      <c r="BQ658" s="202"/>
      <c r="BR658" s="202"/>
      <c r="BS658" s="202"/>
      <c r="BT658" s="202"/>
      <c r="BU658" s="202"/>
      <c r="BV658" s="89"/>
      <c r="BW658" s="89"/>
      <c r="BX658" s="89"/>
      <c r="BY658" s="1639"/>
      <c r="BZ658" s="1639"/>
      <c r="CA658" s="1639"/>
      <c r="CB658" s="1639"/>
      <c r="CC658" s="1639"/>
      <c r="CD658" s="1639"/>
      <c r="CE658" s="1639"/>
      <c r="CF658" s="1639"/>
      <c r="CG658" s="1639"/>
      <c r="CH658" s="1639"/>
      <c r="CI658" s="1639"/>
      <c r="CJ658" s="1639"/>
      <c r="CK658" s="1639"/>
      <c r="CL658" s="1639"/>
      <c r="CM658" s="1639"/>
      <c r="CN658" s="1639"/>
      <c r="CO658" s="1639"/>
      <c r="CP658" s="1639"/>
      <c r="CQ658" s="1639"/>
      <c r="CR658" s="1639"/>
      <c r="CS658" s="1639"/>
      <c r="CT658" s="1639"/>
      <c r="CU658" s="1639"/>
      <c r="CV658" s="1639"/>
      <c r="CW658" s="1639"/>
      <c r="CX658" s="1639"/>
      <c r="CY658" s="1639"/>
      <c r="CZ658" s="1639"/>
      <c r="DA658" s="1639"/>
      <c r="DB658" s="1639"/>
      <c r="DC658" s="1639"/>
    </row>
    <row r="659" spans="2:107" ht="12.75" customHeight="1">
      <c r="B659" s="14"/>
      <c r="C659" s="16"/>
      <c r="D659" s="16"/>
      <c r="E659" s="16"/>
      <c r="F659" s="16"/>
      <c r="G659" s="16"/>
      <c r="H659" s="16"/>
      <c r="I659" s="15"/>
      <c r="J659" s="15"/>
      <c r="K659" s="15"/>
      <c r="L659" s="15"/>
      <c r="M659" s="23"/>
      <c r="N659" s="23"/>
      <c r="O659" s="23"/>
      <c r="P659" s="23"/>
      <c r="Q659" s="23"/>
      <c r="R659" s="23"/>
      <c r="S659" s="23"/>
      <c r="T659" s="23"/>
      <c r="U659" s="23"/>
      <c r="V659" s="23"/>
      <c r="W659" s="23"/>
      <c r="X659" s="15"/>
      <c r="Y659" s="15"/>
      <c r="Z659" s="15"/>
      <c r="AA659" s="15"/>
      <c r="AB659" s="15"/>
      <c r="AC659" s="15"/>
      <c r="AD659" s="15"/>
      <c r="AE659" s="23"/>
      <c r="AF659" s="15"/>
      <c r="AG659" s="15"/>
      <c r="AH659" s="15"/>
      <c r="AI659" s="15"/>
      <c r="AJ659" s="15"/>
      <c r="AK659" s="15"/>
      <c r="AL659" s="15"/>
      <c r="AM659" s="15"/>
      <c r="AN659" s="15"/>
      <c r="AO659" s="15"/>
      <c r="AP659" s="15"/>
      <c r="AQ659" s="15"/>
      <c r="AR659" s="15"/>
      <c r="AS659" s="15"/>
      <c r="AT659" s="15"/>
      <c r="AU659" s="15"/>
      <c r="AV659" s="15"/>
      <c r="AW659" s="15"/>
      <c r="AX659" s="15"/>
      <c r="AY659" s="15"/>
      <c r="AZ659" s="15"/>
      <c r="BA659" s="15"/>
      <c r="BB659" s="15"/>
      <c r="BC659" s="15"/>
      <c r="BD659" s="807"/>
      <c r="BE659" s="807"/>
      <c r="BF659" s="807"/>
      <c r="BG659" s="807"/>
      <c r="BH659" s="807"/>
      <c r="BI659" s="807"/>
      <c r="BJ659" s="807"/>
      <c r="BK659" s="808"/>
      <c r="BL659" s="15"/>
      <c r="BM659" s="15"/>
      <c r="BN659" s="15"/>
      <c r="BO659" s="15"/>
      <c r="BP659" s="2"/>
      <c r="BQ659" s="2"/>
      <c r="BR659" s="2"/>
      <c r="BS659" s="2"/>
      <c r="BT659" s="2"/>
      <c r="BU659" s="2"/>
      <c r="BV659" s="23"/>
      <c r="BW659" s="23"/>
      <c r="BX659" s="23"/>
      <c r="BY659" s="23"/>
      <c r="BZ659" s="23"/>
      <c r="CA659" s="23"/>
      <c r="CB659" s="23"/>
      <c r="CC659" s="23"/>
      <c r="CD659" s="23"/>
      <c r="CE659" s="23"/>
      <c r="CF659" s="23"/>
      <c r="CG659" s="23"/>
      <c r="CH659" s="23"/>
      <c r="CI659" s="23"/>
      <c r="CJ659" s="23"/>
      <c r="CK659" s="23"/>
      <c r="CL659" s="23"/>
      <c r="CM659" s="23"/>
      <c r="CN659" s="23"/>
      <c r="CO659" s="23"/>
      <c r="CP659" s="23"/>
      <c r="CQ659" s="23"/>
      <c r="CR659" s="23"/>
      <c r="CS659" s="23"/>
      <c r="CT659" s="23"/>
      <c r="CU659" s="23"/>
      <c r="CV659" s="23"/>
      <c r="CW659" s="23"/>
      <c r="CX659" s="23"/>
      <c r="CY659" s="23"/>
      <c r="CZ659" s="23"/>
      <c r="DA659" s="23"/>
      <c r="DB659" s="23"/>
      <c r="DC659" s="23"/>
    </row>
    <row r="660" spans="2:107">
      <c r="B660" s="19" t="s">
        <v>1050</v>
      </c>
      <c r="C660" s="16"/>
      <c r="D660" s="16"/>
      <c r="E660" s="16"/>
      <c r="F660" s="16"/>
      <c r="G660" s="16"/>
      <c r="H660" s="16"/>
      <c r="I660" s="15"/>
      <c r="J660" s="15"/>
      <c r="K660" s="15"/>
      <c r="L660" s="26">
        <f>SUM(BH660:BK660)</f>
        <v>30.796999999999997</v>
      </c>
      <c r="M660" s="54">
        <f>SUM(BL660:BO660)</f>
        <v>147.07900000000001</v>
      </c>
      <c r="N660" s="54">
        <f>SUM(BP660:BS660)</f>
        <v>192.67699999999999</v>
      </c>
      <c r="O660" s="54">
        <f>SUM(BT660:BW660)</f>
        <v>235.749</v>
      </c>
      <c r="P660" s="54">
        <f>SUM(BX660:CA660)</f>
        <v>300.72800000000001</v>
      </c>
      <c r="Q660" s="54">
        <f>SUM(CB660:CE660)</f>
        <v>359.10599999999999</v>
      </c>
      <c r="R660" s="54">
        <f>SUM(CF660:CI660)</f>
        <v>430.35699999999997</v>
      </c>
      <c r="S660" s="54">
        <f>SUM(CJ660:CM660)</f>
        <v>514.99699999999996</v>
      </c>
      <c r="T660" s="54">
        <f>SUM(CN660:CQ660)</f>
        <v>562.81700000000001</v>
      </c>
      <c r="U660" s="54">
        <f>SUM(CR660:CU660)</f>
        <v>941.84799999999996</v>
      </c>
      <c r="V660" s="54">
        <f>SUM(CV660:CY660)</f>
        <v>1063.5430000000001</v>
      </c>
      <c r="W660" s="54">
        <f>SUM(CZ660:DC660)</f>
        <v>1205.9777311071011</v>
      </c>
      <c r="X660" s="26">
        <f>X664-X663-X662-X661</f>
        <v>1312.6994542198406</v>
      </c>
      <c r="Y660" s="26">
        <f>Y664-Y663-Y662-Y661</f>
        <v>1415.6275707447601</v>
      </c>
      <c r="Z660" s="26">
        <f>Z664-Z663-Z662-Z661</f>
        <v>1518.8539509616953</v>
      </c>
      <c r="AA660" s="26">
        <f t="shared" ref="AA660:AD660" si="774">AA664-AA663-AA662-AA661</f>
        <v>1622.5785448867982</v>
      </c>
      <c r="AB660" s="26">
        <f t="shared" si="774"/>
        <v>1726.7417733913917</v>
      </c>
      <c r="AC660" s="26">
        <f t="shared" si="774"/>
        <v>1831.2762457086133</v>
      </c>
      <c r="AD660" s="26">
        <f t="shared" si="774"/>
        <v>1936.1200085683774</v>
      </c>
      <c r="AE660" s="23"/>
      <c r="AF660" s="15"/>
      <c r="AG660" s="15"/>
      <c r="AH660" s="15"/>
      <c r="AI660" s="15"/>
      <c r="AJ660" s="15"/>
      <c r="AK660" s="15"/>
      <c r="AL660" s="15"/>
      <c r="AM660" s="15"/>
      <c r="AN660" s="15"/>
      <c r="AO660" s="15"/>
      <c r="AP660" s="15"/>
      <c r="AQ660" s="15"/>
      <c r="AR660" s="15"/>
      <c r="AS660" s="15"/>
      <c r="AT660" s="15"/>
      <c r="AU660" s="15"/>
      <c r="AV660" s="15"/>
      <c r="AW660" s="15"/>
      <c r="AX660" s="15"/>
      <c r="AY660" s="15"/>
      <c r="AZ660" s="15"/>
      <c r="BA660" s="15"/>
      <c r="BB660" s="15"/>
      <c r="BC660" s="15"/>
      <c r="BD660" s="807"/>
      <c r="BE660" s="807"/>
      <c r="BF660" s="809"/>
      <c r="BG660" s="809"/>
      <c r="BH660" s="809"/>
      <c r="BI660" s="809"/>
      <c r="BJ660" s="784">
        <v>4.4669999999999996</v>
      </c>
      <c r="BK660" s="784">
        <v>26.33</v>
      </c>
      <c r="BL660" s="784">
        <v>34.241</v>
      </c>
      <c r="BM660" s="784">
        <v>36.436</v>
      </c>
      <c r="BN660" s="784">
        <v>38.914000000000001</v>
      </c>
      <c r="BO660" s="784">
        <v>37.488</v>
      </c>
      <c r="BP660" s="784">
        <v>40.113999999999997</v>
      </c>
      <c r="BQ660" s="784">
        <v>46.706000000000003</v>
      </c>
      <c r="BR660" s="784">
        <v>51.258000000000003</v>
      </c>
      <c r="BS660" s="784">
        <v>54.598999999999997</v>
      </c>
      <c r="BT660" s="784">
        <v>54.442</v>
      </c>
      <c r="BU660" s="784">
        <v>55.898000000000003</v>
      </c>
      <c r="BV660" s="784">
        <v>60.97</v>
      </c>
      <c r="BW660" s="784">
        <v>64.438999999999993</v>
      </c>
      <c r="BX660" s="784">
        <v>68.2</v>
      </c>
      <c r="BY660" s="784">
        <v>74.644999999999996</v>
      </c>
      <c r="BZ660" s="784">
        <v>77.709000000000003</v>
      </c>
      <c r="CA660" s="784">
        <v>80.174000000000007</v>
      </c>
      <c r="CB660" s="784">
        <v>83.950999999999993</v>
      </c>
      <c r="CC660" s="784">
        <v>87.82</v>
      </c>
      <c r="CD660" s="784">
        <v>91.512</v>
      </c>
      <c r="CE660" s="784">
        <v>95.822999999999993</v>
      </c>
      <c r="CF660" s="784">
        <v>100.532</v>
      </c>
      <c r="CG660" s="784">
        <v>103.916</v>
      </c>
      <c r="CH660" s="784">
        <v>108.90600000000001</v>
      </c>
      <c r="CI660" s="784">
        <v>117.003</v>
      </c>
      <c r="CJ660" s="784">
        <v>122.176</v>
      </c>
      <c r="CK660" s="784">
        <v>127.13200000000001</v>
      </c>
      <c r="CL660" s="784">
        <v>130.87299999999999</v>
      </c>
      <c r="CM660" s="784">
        <v>134.816</v>
      </c>
      <c r="CN660" s="784">
        <v>132.73500000000001</v>
      </c>
      <c r="CO660" s="784">
        <v>139.482</v>
      </c>
      <c r="CP660" s="784">
        <v>143.721</v>
      </c>
      <c r="CQ660" s="784">
        <v>146.87899999999999</v>
      </c>
      <c r="CR660" s="784">
        <v>214.178</v>
      </c>
      <c r="CS660" s="784">
        <v>240.42099999999999</v>
      </c>
      <c r="CT660" s="784">
        <v>244.42</v>
      </c>
      <c r="CU660" s="784">
        <v>242.82900000000001</v>
      </c>
      <c r="CV660" s="784">
        <v>253.25399999999999</v>
      </c>
      <c r="CW660" s="784">
        <v>259.68400000000003</v>
      </c>
      <c r="CX660" s="784">
        <v>268.36500000000001</v>
      </c>
      <c r="CY660" s="784">
        <v>282.24</v>
      </c>
      <c r="CZ660" s="54">
        <f t="shared" ref="CZ660:DC660" si="775">CZ664-CZ663-CZ662-CZ661</f>
        <v>289.77350093960393</v>
      </c>
      <c r="DA660" s="54">
        <f t="shared" si="775"/>
        <v>296.6612396595421</v>
      </c>
      <c r="DB660" s="54">
        <f t="shared" si="775"/>
        <v>305.49690503823194</v>
      </c>
      <c r="DC660" s="54">
        <f t="shared" si="775"/>
        <v>314.04608546972315</v>
      </c>
    </row>
    <row r="661" spans="2:107">
      <c r="B661" s="19" t="s">
        <v>1124</v>
      </c>
      <c r="C661" s="16"/>
      <c r="D661" s="16"/>
      <c r="E661" s="16"/>
      <c r="F661" s="16"/>
      <c r="G661" s="16"/>
      <c r="H661" s="16"/>
      <c r="I661" s="15"/>
      <c r="J661" s="15"/>
      <c r="K661" s="15"/>
      <c r="L661" s="26">
        <f>SUM(BH661:BK661)</f>
        <v>1.4419999999999999</v>
      </c>
      <c r="M661" s="54">
        <f>SUM(BL661:BO661)</f>
        <v>4.8730000000000002</v>
      </c>
      <c r="N661" s="54">
        <f>SUM(BP661:BS661)</f>
        <v>6.9740000000000002</v>
      </c>
      <c r="O661" s="54">
        <f>SUM(BT661:BW661)</f>
        <v>8.8610000000000007</v>
      </c>
      <c r="P661" s="54">
        <f>SUM(BX661:CA661)</f>
        <v>13.061</v>
      </c>
      <c r="Q661" s="54">
        <f>SUM(CB661:CE661)</f>
        <v>23.193000000000001</v>
      </c>
      <c r="R661" s="54">
        <f>SUM(CF661:CI661)</f>
        <v>36.941000000000003</v>
      </c>
      <c r="S661" s="54">
        <f>SUM(CJ661:CM661)</f>
        <v>50.342000000000006</v>
      </c>
      <c r="T661" s="54">
        <f>SUM(CN661:CQ661)</f>
        <v>58.49</v>
      </c>
      <c r="U661" s="54">
        <f>SUM(CR661:CU661)</f>
        <v>85.869</v>
      </c>
      <c r="V661" s="54">
        <f>SUM(CV661:CY661)</f>
        <v>104.89099999999999</v>
      </c>
      <c r="W661" s="54">
        <f>SUM(CZ661:DC661)</f>
        <v>134.85994413040979</v>
      </c>
      <c r="X661" s="26">
        <f>X689*12*X685*X623/1000000</f>
        <v>151.43762693305027</v>
      </c>
      <c r="Y661" s="26">
        <f>Y689*12*Y685*Y623/1000000</f>
        <v>167.56283602846744</v>
      </c>
      <c r="Z661" s="26">
        <f>Z689*12*Z685*Z623/1000000</f>
        <v>185.08703582572991</v>
      </c>
      <c r="AA661" s="26">
        <f t="shared" ref="AA661:AD661" si="776">AA689*12*AA685*AA623/1000000</f>
        <v>203.5355137886803</v>
      </c>
      <c r="AB661" s="26">
        <f t="shared" si="776"/>
        <v>222.9198513597448</v>
      </c>
      <c r="AC661" s="26">
        <f t="shared" si="776"/>
        <v>243.26691160907882</v>
      </c>
      <c r="AD661" s="26">
        <f t="shared" si="776"/>
        <v>264.60468606219803</v>
      </c>
      <c r="AE661" s="23"/>
      <c r="AF661" s="15"/>
      <c r="AG661" s="15"/>
      <c r="AH661" s="15"/>
      <c r="AI661" s="15"/>
      <c r="AJ661" s="15"/>
      <c r="AK661" s="15"/>
      <c r="AL661" s="15"/>
      <c r="AM661" s="15"/>
      <c r="AN661" s="15"/>
      <c r="AO661" s="15"/>
      <c r="AP661" s="15"/>
      <c r="AQ661" s="15"/>
      <c r="AR661" s="15"/>
      <c r="AS661" s="15"/>
      <c r="AT661" s="15"/>
      <c r="AU661" s="15"/>
      <c r="AV661" s="15"/>
      <c r="AW661" s="15"/>
      <c r="AX661" s="15"/>
      <c r="AY661" s="15"/>
      <c r="AZ661" s="15"/>
      <c r="BA661" s="15"/>
      <c r="BB661" s="15"/>
      <c r="BC661" s="15"/>
      <c r="BD661" s="807"/>
      <c r="BE661" s="807"/>
      <c r="BF661" s="809"/>
      <c r="BG661" s="809"/>
      <c r="BH661" s="809"/>
      <c r="BI661" s="809"/>
      <c r="BJ661" s="784">
        <v>0.224</v>
      </c>
      <c r="BK661" s="784">
        <v>1.218</v>
      </c>
      <c r="BL661" s="784">
        <v>0.99299999999999999</v>
      </c>
      <c r="BM661" s="784">
        <v>1.0620000000000001</v>
      </c>
      <c r="BN661" s="784">
        <v>1.462</v>
      </c>
      <c r="BO661" s="784">
        <v>1.3560000000000001</v>
      </c>
      <c r="BP661" s="784">
        <v>1.385</v>
      </c>
      <c r="BQ661" s="784">
        <v>1.6619999999999999</v>
      </c>
      <c r="BR661" s="784">
        <v>1.91</v>
      </c>
      <c r="BS661" s="784">
        <v>2.0169999999999999</v>
      </c>
      <c r="BT661" s="784">
        <v>1.9390000000000001</v>
      </c>
      <c r="BU661" s="784">
        <v>2.0099999999999998</v>
      </c>
      <c r="BV661" s="784">
        <v>2.3050000000000002</v>
      </c>
      <c r="BW661" s="784">
        <v>2.6070000000000002</v>
      </c>
      <c r="BX661" s="784">
        <v>2.8119999999999998</v>
      </c>
      <c r="BY661" s="784">
        <v>3.2029999999999998</v>
      </c>
      <c r="BZ661" s="784">
        <v>3.4460000000000002</v>
      </c>
      <c r="CA661" s="784">
        <v>3.6</v>
      </c>
      <c r="CB661" s="784">
        <v>3.8239999999999998</v>
      </c>
      <c r="CC661" s="784">
        <v>4.1920000000000002</v>
      </c>
      <c r="CD661" s="784">
        <v>7.1879999999999997</v>
      </c>
      <c r="CE661" s="784">
        <v>7.9889999999999999</v>
      </c>
      <c r="CF661" s="784">
        <v>8.3810000000000002</v>
      </c>
      <c r="CG661" s="784">
        <v>8.8539999999999992</v>
      </c>
      <c r="CH661" s="784">
        <v>9.2330000000000005</v>
      </c>
      <c r="CI661" s="784">
        <v>10.473000000000001</v>
      </c>
      <c r="CJ661" s="784">
        <v>11.366</v>
      </c>
      <c r="CK661" s="784">
        <v>12.329000000000001</v>
      </c>
      <c r="CL661" s="784">
        <v>13.163</v>
      </c>
      <c r="CM661" s="784">
        <v>13.484</v>
      </c>
      <c r="CN661" s="784">
        <v>13.048</v>
      </c>
      <c r="CO661" s="784">
        <v>13.44</v>
      </c>
      <c r="CP661" s="784">
        <v>15.227</v>
      </c>
      <c r="CQ661" s="784">
        <v>16.774999999999999</v>
      </c>
      <c r="CR661" s="784">
        <v>19.7</v>
      </c>
      <c r="CS661" s="784">
        <v>22.425000000000001</v>
      </c>
      <c r="CT661" s="784">
        <v>21.463999999999999</v>
      </c>
      <c r="CU661" s="784">
        <v>22.28</v>
      </c>
      <c r="CV661" s="784">
        <v>22.350999999999999</v>
      </c>
      <c r="CW661" s="784">
        <v>23.655000000000001</v>
      </c>
      <c r="CX661" s="784">
        <v>27.574000000000002</v>
      </c>
      <c r="CY661" s="784">
        <v>31.311</v>
      </c>
      <c r="CZ661" s="809">
        <f t="shared" ref="CZ661:DC661" si="777">CZ689*3*CZ685*CZ623/1000000</f>
        <v>32.235173960396033</v>
      </c>
      <c r="DA661" s="809">
        <f t="shared" si="777"/>
        <v>33.202229179207912</v>
      </c>
      <c r="DB661" s="809">
        <f t="shared" si="777"/>
        <v>34.198296054584162</v>
      </c>
      <c r="DC661" s="809">
        <f t="shared" si="777"/>
        <v>35.224244936221673</v>
      </c>
    </row>
    <row r="662" spans="2:107">
      <c r="B662" s="19" t="s">
        <v>1221</v>
      </c>
      <c r="C662" s="16"/>
      <c r="D662" s="16"/>
      <c r="E662" s="16"/>
      <c r="F662" s="16"/>
      <c r="G662" s="16"/>
      <c r="H662" s="16"/>
      <c r="I662" s="15"/>
      <c r="J662" s="15"/>
      <c r="K662" s="15"/>
      <c r="L662" s="26">
        <f>SUM(BH662:BK662)</f>
        <v>2.9380000000000002</v>
      </c>
      <c r="M662" s="54">
        <f>SUM(BL662:BO662)</f>
        <v>13.303000000000001</v>
      </c>
      <c r="N662" s="54">
        <f>SUM(BP662:BS662)</f>
        <v>12.415000000000001</v>
      </c>
      <c r="O662" s="54">
        <f>SUM(BT662:BW662)</f>
        <v>11.239999999999998</v>
      </c>
      <c r="P662" s="54">
        <f>SUM(BX662:CA662)</f>
        <v>13.771000000000001</v>
      </c>
      <c r="Q662" s="133">
        <f>SUM(CB662:CE662)</f>
        <v>16.384</v>
      </c>
      <c r="R662" s="133">
        <f>SUM(CF662:CI662)</f>
        <v>23.029</v>
      </c>
      <c r="S662" s="133">
        <f>SUM(CJ662:CM662)</f>
        <v>26.965000000000003</v>
      </c>
      <c r="T662" s="133">
        <f>SUM(CN662:CQ662)</f>
        <v>25.195999999999998</v>
      </c>
      <c r="U662" s="133">
        <f>SUM(CR662:CU662)</f>
        <v>67.552999999999997</v>
      </c>
      <c r="V662" s="133">
        <f>SUM(CV662:CY662)</f>
        <v>88.122</v>
      </c>
      <c r="W662" s="133">
        <f>SUM(CZ662:DC662)</f>
        <v>115.12</v>
      </c>
      <c r="X662" s="87">
        <f>W662-1</f>
        <v>114.12</v>
      </c>
      <c r="Y662" s="87">
        <f>X662-1</f>
        <v>113.12</v>
      </c>
      <c r="Z662" s="87">
        <f>Y662-1</f>
        <v>112.12</v>
      </c>
      <c r="AA662" s="87">
        <f t="shared" ref="AA662:AD662" si="778">Z662-1</f>
        <v>111.12</v>
      </c>
      <c r="AB662" s="87">
        <f t="shared" si="778"/>
        <v>110.12</v>
      </c>
      <c r="AC662" s="87">
        <f t="shared" si="778"/>
        <v>109.12</v>
      </c>
      <c r="AD662" s="87">
        <f t="shared" si="778"/>
        <v>108.12</v>
      </c>
      <c r="AE662" s="23"/>
      <c r="AF662" s="15"/>
      <c r="AG662" s="15"/>
      <c r="AH662" s="15"/>
      <c r="AI662" s="15"/>
      <c r="AJ662" s="15"/>
      <c r="AK662" s="15"/>
      <c r="AL662" s="15"/>
      <c r="AM662" s="15"/>
      <c r="AN662" s="15"/>
      <c r="AO662" s="15"/>
      <c r="AP662" s="15"/>
      <c r="AQ662" s="15"/>
      <c r="AR662" s="15"/>
      <c r="AS662" s="15"/>
      <c r="AT662" s="15"/>
      <c r="AU662" s="15"/>
      <c r="AV662" s="15"/>
      <c r="AW662" s="15"/>
      <c r="AX662" s="15"/>
      <c r="AY662" s="15"/>
      <c r="AZ662" s="15"/>
      <c r="BA662" s="15"/>
      <c r="BB662" s="15"/>
      <c r="BC662" s="15"/>
      <c r="BD662" s="818"/>
      <c r="BE662" s="818"/>
      <c r="BF662" s="809"/>
      <c r="BG662" s="809"/>
      <c r="BH662" s="809"/>
      <c r="BI662" s="809"/>
      <c r="BJ662" s="784">
        <v>0.46700000000000003</v>
      </c>
      <c r="BK662" s="784">
        <v>2.4710000000000001</v>
      </c>
      <c r="BL662" s="784">
        <v>2.8849999999999998</v>
      </c>
      <c r="BM662" s="784">
        <v>3.3809999999999998</v>
      </c>
      <c r="BN662" s="784">
        <v>3.2330000000000001</v>
      </c>
      <c r="BO662" s="784">
        <v>3.8039999999999998</v>
      </c>
      <c r="BP662" s="784">
        <v>3.2730000000000001</v>
      </c>
      <c r="BQ662" s="784">
        <v>3.0190000000000001</v>
      </c>
      <c r="BR662" s="784">
        <v>2.976</v>
      </c>
      <c r="BS662" s="784">
        <v>3.1469999999999998</v>
      </c>
      <c r="BT662" s="784">
        <v>2.9009999999999998</v>
      </c>
      <c r="BU662" s="784">
        <v>2.6030000000000002</v>
      </c>
      <c r="BV662" s="784">
        <v>2.734</v>
      </c>
      <c r="BW662" s="784">
        <v>3.0019999999999998</v>
      </c>
      <c r="BX662" s="784">
        <v>3.198</v>
      </c>
      <c r="BY662" s="784">
        <v>3.4809999999999999</v>
      </c>
      <c r="BZ662" s="784">
        <v>3.6909999999999998</v>
      </c>
      <c r="CA662" s="784">
        <v>3.4009999999999998</v>
      </c>
      <c r="CB662" s="784">
        <v>3.4140000000000001</v>
      </c>
      <c r="CC662" s="784">
        <v>3.262</v>
      </c>
      <c r="CD662" s="784">
        <v>5.1120000000000001</v>
      </c>
      <c r="CE662" s="784">
        <v>4.5960000000000001</v>
      </c>
      <c r="CF662" s="784">
        <v>4.2489999999999997</v>
      </c>
      <c r="CG662" s="784">
        <v>5.734</v>
      </c>
      <c r="CH662" s="784">
        <v>6.2149999999999999</v>
      </c>
      <c r="CI662" s="784">
        <v>6.8310000000000004</v>
      </c>
      <c r="CJ662" s="784">
        <v>6.8650000000000002</v>
      </c>
      <c r="CK662" s="784">
        <v>7.4340000000000002</v>
      </c>
      <c r="CL662" s="784">
        <v>7.1790000000000003</v>
      </c>
      <c r="CM662" s="784">
        <v>5.4870000000000001</v>
      </c>
      <c r="CN662" s="784">
        <v>5.7830000000000004</v>
      </c>
      <c r="CO662" s="784">
        <v>5.9189999999999996</v>
      </c>
      <c r="CP662" s="784">
        <v>5.875</v>
      </c>
      <c r="CQ662" s="784">
        <v>7.6189999999999998</v>
      </c>
      <c r="CR662" s="784">
        <v>18.559999999999999</v>
      </c>
      <c r="CS662" s="784">
        <v>15.391</v>
      </c>
      <c r="CT662" s="784">
        <v>16.359000000000002</v>
      </c>
      <c r="CU662" s="784">
        <v>17.242999999999999</v>
      </c>
      <c r="CV662" s="784">
        <v>17.672000000000001</v>
      </c>
      <c r="CW662" s="784">
        <v>19.204999999999998</v>
      </c>
      <c r="CX662" s="784">
        <v>22.465</v>
      </c>
      <c r="CY662" s="784">
        <v>28.78</v>
      </c>
      <c r="CZ662" s="133">
        <f t="shared" ref="CZ662:CZ663" si="779">CY662</f>
        <v>28.78</v>
      </c>
      <c r="DA662" s="133">
        <f t="shared" ref="DA662:DA663" si="780">CZ662</f>
        <v>28.78</v>
      </c>
      <c r="DB662" s="133">
        <f t="shared" ref="DB662:DB663" si="781">DA662</f>
        <v>28.78</v>
      </c>
      <c r="DC662" s="133">
        <f t="shared" ref="DC662:DC663" si="782">DB662</f>
        <v>28.78</v>
      </c>
    </row>
    <row r="663" spans="2:107">
      <c r="B663" s="19" t="s">
        <v>1222</v>
      </c>
      <c r="C663" s="14"/>
      <c r="D663" s="14"/>
      <c r="E663" s="14"/>
      <c r="F663" s="14"/>
      <c r="G663" s="14"/>
      <c r="H663" s="14"/>
      <c r="I663" s="14"/>
      <c r="J663" s="14"/>
      <c r="K663" s="14"/>
      <c r="L663" s="26">
        <f>SUM(BH663:BK663)</f>
        <v>0.13200000000000001</v>
      </c>
      <c r="M663" s="54">
        <f>SUM(BL663:BO663)</f>
        <v>0.41400000000000003</v>
      </c>
      <c r="N663" s="54">
        <f>SUM(BP663:BS663)</f>
        <v>0.56899999999999995</v>
      </c>
      <c r="O663" s="54">
        <f>SUM(BT663:BW663)</f>
        <v>0.72000000000000008</v>
      </c>
      <c r="P663" s="54">
        <f>SUM(BX663:CA663)</f>
        <v>0.79499999999999993</v>
      </c>
      <c r="Q663" s="133">
        <f>SUM(CB663:CE663)</f>
        <v>1.319</v>
      </c>
      <c r="R663" s="133">
        <f>SUM(CF663:CI663)</f>
        <v>2.0339999999999998</v>
      </c>
      <c r="S663" s="133">
        <f>SUM(CJ663:CM663)</f>
        <v>6.6489999999999991</v>
      </c>
      <c r="T663" s="133">
        <f>SUM(CN663:CQ663)</f>
        <v>5.2750000000000004</v>
      </c>
      <c r="U663" s="133">
        <f>SUM(CR663:CU663)</f>
        <v>11.382000000000001</v>
      </c>
      <c r="V663" s="133">
        <f>SUM(CV663:CY663)</f>
        <v>10.415000000000001</v>
      </c>
      <c r="W663" s="133">
        <f>SUM(CZ663:DC663)</f>
        <v>10.292</v>
      </c>
      <c r="X663" s="87">
        <f>W663+0.1</f>
        <v>10.391999999999999</v>
      </c>
      <c r="Y663" s="87">
        <f>X663+0.1</f>
        <v>10.491999999999999</v>
      </c>
      <c r="Z663" s="87">
        <f>Y663+0.1</f>
        <v>10.591999999999999</v>
      </c>
      <c r="AA663" s="87">
        <f t="shared" ref="AA663:AD663" si="783">Z663+0.1</f>
        <v>10.691999999999998</v>
      </c>
      <c r="AB663" s="87">
        <f t="shared" si="783"/>
        <v>10.791999999999998</v>
      </c>
      <c r="AC663" s="87">
        <f t="shared" si="783"/>
        <v>10.891999999999998</v>
      </c>
      <c r="AD663" s="87">
        <f t="shared" si="783"/>
        <v>10.991999999999997</v>
      </c>
      <c r="AE663" s="14"/>
      <c r="AF663" s="14"/>
      <c r="AG663" s="14"/>
      <c r="AH663" s="14"/>
      <c r="AI663" s="14"/>
      <c r="AJ663" s="14"/>
      <c r="AK663" s="14"/>
      <c r="AL663" s="14"/>
      <c r="AM663" s="14"/>
      <c r="AN663" s="14"/>
      <c r="AO663" s="14"/>
      <c r="AP663" s="14"/>
      <c r="AQ663" s="14"/>
      <c r="AR663" s="14"/>
      <c r="AS663" s="14"/>
      <c r="AT663" s="14"/>
      <c r="AU663" s="14"/>
      <c r="AV663" s="14"/>
      <c r="AW663" s="14"/>
      <c r="AX663" s="14"/>
      <c r="AY663" s="14"/>
      <c r="AZ663" s="14"/>
      <c r="BA663" s="14"/>
      <c r="BB663" s="14"/>
      <c r="BC663" s="14"/>
      <c r="BD663" s="14"/>
      <c r="BE663" s="14"/>
      <c r="BF663" s="809"/>
      <c r="BG663" s="809"/>
      <c r="BH663" s="809"/>
      <c r="BI663" s="809"/>
      <c r="BJ663" s="784">
        <v>2.1999999999999999E-2</v>
      </c>
      <c r="BK663" s="784">
        <v>0.11</v>
      </c>
      <c r="BL663" s="784">
        <v>0.114</v>
      </c>
      <c r="BM663" s="784">
        <v>7.9000000000000001E-2</v>
      </c>
      <c r="BN663" s="784">
        <v>0.121</v>
      </c>
      <c r="BO663" s="784">
        <v>0.1</v>
      </c>
      <c r="BP663" s="784">
        <v>0.10299999999999999</v>
      </c>
      <c r="BQ663" s="784">
        <v>0.121</v>
      </c>
      <c r="BR663" s="784">
        <v>0.17199999999999999</v>
      </c>
      <c r="BS663" s="784">
        <v>0.17299999999999999</v>
      </c>
      <c r="BT663" s="784">
        <v>0.16300000000000001</v>
      </c>
      <c r="BU663" s="784">
        <v>0.153</v>
      </c>
      <c r="BV663" s="784">
        <v>0.27</v>
      </c>
      <c r="BW663" s="784">
        <v>0.13400000000000001</v>
      </c>
      <c r="BX663" s="784">
        <v>0.11799999999999999</v>
      </c>
      <c r="BY663" s="784">
        <v>0.17699999999999999</v>
      </c>
      <c r="BZ663" s="784">
        <v>0.26200000000000001</v>
      </c>
      <c r="CA663" s="784">
        <v>0.23799999999999999</v>
      </c>
      <c r="CB663" s="784">
        <v>0.34399999999999997</v>
      </c>
      <c r="CC663" s="784">
        <v>0.33600000000000002</v>
      </c>
      <c r="CD663" s="784">
        <v>0.314</v>
      </c>
      <c r="CE663" s="784">
        <v>0.32500000000000001</v>
      </c>
      <c r="CF663" s="784">
        <v>0.12</v>
      </c>
      <c r="CG663" s="784">
        <v>0.13800000000000001</v>
      </c>
      <c r="CH663" s="784">
        <v>0.11600000000000001</v>
      </c>
      <c r="CI663" s="784">
        <v>1.66</v>
      </c>
      <c r="CJ663" s="784">
        <v>1.718</v>
      </c>
      <c r="CK663" s="784">
        <v>1.73</v>
      </c>
      <c r="CL663" s="784">
        <v>1.5880000000000001</v>
      </c>
      <c r="CM663" s="784">
        <v>1.613</v>
      </c>
      <c r="CN663" s="784">
        <v>1.8580000000000001</v>
      </c>
      <c r="CO663" s="784">
        <v>1.222</v>
      </c>
      <c r="CP663" s="784">
        <v>1.333</v>
      </c>
      <c r="CQ663" s="784">
        <v>0.86199999999999999</v>
      </c>
      <c r="CR663" s="784">
        <v>0.94299999999999995</v>
      </c>
      <c r="CS663" s="784">
        <v>3.573</v>
      </c>
      <c r="CT663" s="784">
        <v>3.9470000000000001</v>
      </c>
      <c r="CU663" s="784">
        <v>2.919</v>
      </c>
      <c r="CV663" s="784">
        <v>3.33</v>
      </c>
      <c r="CW663" s="784">
        <v>2.0369999999999999</v>
      </c>
      <c r="CX663" s="784">
        <v>2.4750000000000001</v>
      </c>
      <c r="CY663" s="784">
        <v>2.573</v>
      </c>
      <c r="CZ663" s="133">
        <f t="shared" si="779"/>
        <v>2.573</v>
      </c>
      <c r="DA663" s="133">
        <f t="shared" si="780"/>
        <v>2.573</v>
      </c>
      <c r="DB663" s="133">
        <f t="shared" si="781"/>
        <v>2.573</v>
      </c>
      <c r="DC663" s="133">
        <f t="shared" si="782"/>
        <v>2.573</v>
      </c>
    </row>
    <row r="664" spans="2:107">
      <c r="B664" s="14" t="s">
        <v>1407</v>
      </c>
      <c r="C664" s="14"/>
      <c r="D664" s="14"/>
      <c r="E664" s="14"/>
      <c r="F664" s="14"/>
      <c r="G664" s="14"/>
      <c r="H664" s="14"/>
      <c r="I664" s="14"/>
      <c r="J664" s="14"/>
      <c r="K664" s="14"/>
      <c r="L664" s="195">
        <f>SUM(L660:L663)</f>
        <v>35.308999999999997</v>
      </c>
      <c r="M664" s="195">
        <f>SUM(M660:M663)</f>
        <v>165.66899999999998</v>
      </c>
      <c r="N664" s="195">
        <f>SUM(N660:N663)</f>
        <v>212.63499999999996</v>
      </c>
      <c r="O664" s="195">
        <f>SUM(O660:O663)</f>
        <v>256.57</v>
      </c>
      <c r="P664" s="195">
        <f>(P634*12*P623)/1000000</f>
        <v>325.27949999999998</v>
      </c>
      <c r="Q664" s="195">
        <f>(Q634*12*Q623)/1000000+Q641</f>
        <v>415.99245000000002</v>
      </c>
      <c r="R664" s="195">
        <f>(R634*12*R623)/1000000+R641</f>
        <v>504.242975</v>
      </c>
      <c r="S664" s="195">
        <f>(S634*12*S623)/1000000+S641</f>
        <v>606.08249999999998</v>
      </c>
      <c r="T664" s="195">
        <f>(T634*12*T623)/1000000+T641</f>
        <v>663.71400000000006</v>
      </c>
      <c r="U664" s="195">
        <f>SUM(CR664:CU664)</f>
        <v>1106.652</v>
      </c>
      <c r="V664" s="195">
        <f>SUM(CV664:CY664)</f>
        <v>1266.971</v>
      </c>
      <c r="W664" s="195">
        <f>SUM(CZ664:DC664)</f>
        <v>1466.2496752375109</v>
      </c>
      <c r="X664" s="195">
        <f t="shared" ref="X664:Z664" si="784">(X634*12*X623)/1000000+X644</f>
        <v>1588.6490811528909</v>
      </c>
      <c r="Y664" s="195">
        <f t="shared" si="784"/>
        <v>1706.8024067732274</v>
      </c>
      <c r="Z664" s="195">
        <f t="shared" si="784"/>
        <v>1826.6529867874253</v>
      </c>
      <c r="AA664" s="195">
        <f t="shared" ref="AA664:AD664" si="785">(AA634*12*AA623)/1000000+AA644</f>
        <v>1947.9260586754788</v>
      </c>
      <c r="AB664" s="195">
        <f t="shared" si="785"/>
        <v>2070.5736247511363</v>
      </c>
      <c r="AC664" s="195">
        <f t="shared" si="785"/>
        <v>2194.5551573176917</v>
      </c>
      <c r="AD664" s="195">
        <f t="shared" si="785"/>
        <v>2319.8366946305755</v>
      </c>
      <c r="AE664" s="14"/>
      <c r="AF664" s="14"/>
      <c r="AG664" s="14"/>
      <c r="AH664" s="14"/>
      <c r="AI664" s="14"/>
      <c r="AJ664" s="14"/>
      <c r="AK664" s="14"/>
      <c r="AL664" s="14"/>
      <c r="AM664" s="14"/>
      <c r="AN664" s="14"/>
      <c r="AO664" s="14"/>
      <c r="AP664" s="14"/>
      <c r="AQ664" s="14"/>
      <c r="AR664" s="14"/>
      <c r="AS664" s="14"/>
      <c r="AT664" s="14"/>
      <c r="AU664" s="14"/>
      <c r="AV664" s="14"/>
      <c r="AW664" s="14"/>
      <c r="AX664" s="14"/>
      <c r="AY664" s="14"/>
      <c r="AZ664" s="14"/>
      <c r="BA664" s="14"/>
      <c r="BB664" s="14"/>
      <c r="BC664" s="14"/>
      <c r="BD664" s="14"/>
      <c r="BE664" s="14"/>
      <c r="BF664" s="195"/>
      <c r="BG664" s="195"/>
      <c r="BH664" s="195"/>
      <c r="BI664" s="195"/>
      <c r="BJ664" s="195">
        <f t="shared" ref="BJ664:CJ664" si="786">SUM(BJ660:BJ663)</f>
        <v>5.18</v>
      </c>
      <c r="BK664" s="195">
        <f t="shared" si="786"/>
        <v>30.128999999999998</v>
      </c>
      <c r="BL664" s="195">
        <f t="shared" si="786"/>
        <v>38.232999999999997</v>
      </c>
      <c r="BM664" s="195">
        <f t="shared" si="786"/>
        <v>40.957999999999998</v>
      </c>
      <c r="BN664" s="195">
        <f t="shared" si="786"/>
        <v>43.730000000000004</v>
      </c>
      <c r="BO664" s="195">
        <f t="shared" si="786"/>
        <v>42.748000000000005</v>
      </c>
      <c r="BP664" s="195">
        <f t="shared" si="786"/>
        <v>44.875</v>
      </c>
      <c r="BQ664" s="195">
        <f t="shared" si="786"/>
        <v>51.508000000000003</v>
      </c>
      <c r="BR664" s="195">
        <f t="shared" si="786"/>
        <v>56.315999999999995</v>
      </c>
      <c r="BS664" s="195">
        <f t="shared" si="786"/>
        <v>59.936</v>
      </c>
      <c r="BT664" s="195">
        <f t="shared" si="786"/>
        <v>59.444999999999993</v>
      </c>
      <c r="BU664" s="195">
        <f t="shared" si="786"/>
        <v>60.664000000000001</v>
      </c>
      <c r="BV664" s="195">
        <f t="shared" si="786"/>
        <v>66.278999999999996</v>
      </c>
      <c r="BW664" s="195">
        <f t="shared" si="786"/>
        <v>70.181999999999988</v>
      </c>
      <c r="BX664" s="195">
        <f t="shared" si="786"/>
        <v>74.327999999999989</v>
      </c>
      <c r="BY664" s="195">
        <f t="shared" si="786"/>
        <v>81.506</v>
      </c>
      <c r="BZ664" s="195">
        <f t="shared" si="786"/>
        <v>85.108000000000004</v>
      </c>
      <c r="CA664" s="195">
        <f t="shared" si="786"/>
        <v>87.412999999999997</v>
      </c>
      <c r="CB664" s="195">
        <f t="shared" si="786"/>
        <v>91.532999999999987</v>
      </c>
      <c r="CC664" s="195">
        <f t="shared" si="786"/>
        <v>95.61</v>
      </c>
      <c r="CD664" s="195">
        <f t="shared" si="786"/>
        <v>104.12599999999999</v>
      </c>
      <c r="CE664" s="195">
        <f t="shared" si="786"/>
        <v>108.733</v>
      </c>
      <c r="CF664" s="195">
        <f t="shared" si="786"/>
        <v>113.282</v>
      </c>
      <c r="CG664" s="195">
        <f t="shared" si="786"/>
        <v>118.642</v>
      </c>
      <c r="CH664" s="195">
        <f t="shared" si="786"/>
        <v>124.47000000000001</v>
      </c>
      <c r="CI664" s="195">
        <f t="shared" si="786"/>
        <v>135.96699999999998</v>
      </c>
      <c r="CJ664" s="195">
        <f t="shared" si="786"/>
        <v>142.125</v>
      </c>
      <c r="CK664" s="195">
        <f t="shared" ref="CK664:CP664" si="787">SUM(CK660:CK663)</f>
        <v>148.625</v>
      </c>
      <c r="CL664" s="195">
        <f t="shared" si="787"/>
        <v>152.803</v>
      </c>
      <c r="CM664" s="195">
        <f t="shared" si="787"/>
        <v>155.4</v>
      </c>
      <c r="CN664" s="195">
        <f t="shared" si="787"/>
        <v>153.42400000000001</v>
      </c>
      <c r="CO664" s="195">
        <f t="shared" si="787"/>
        <v>160.06300000000002</v>
      </c>
      <c r="CP664" s="195">
        <f t="shared" si="787"/>
        <v>166.15600000000001</v>
      </c>
      <c r="CQ664" s="195">
        <f t="shared" ref="CQ664:CV664" si="788">SUM(CQ660:CQ663)</f>
        <v>172.13499999999999</v>
      </c>
      <c r="CR664" s="195">
        <f t="shared" si="788"/>
        <v>253.381</v>
      </c>
      <c r="CS664" s="195">
        <f t="shared" si="788"/>
        <v>281.81</v>
      </c>
      <c r="CT664" s="195">
        <f t="shared" si="788"/>
        <v>286.19</v>
      </c>
      <c r="CU664" s="195">
        <f t="shared" si="788"/>
        <v>285.27100000000002</v>
      </c>
      <c r="CV664" s="195">
        <f t="shared" si="788"/>
        <v>296.60700000000003</v>
      </c>
      <c r="CW664" s="195">
        <f t="shared" ref="CW664:CX664" si="789">SUM(CW660:CW663)</f>
        <v>304.58100000000002</v>
      </c>
      <c r="CX664" s="195">
        <f t="shared" si="789"/>
        <v>320.87900000000002</v>
      </c>
      <c r="CY664" s="195">
        <f t="shared" ref="CY664" si="790">SUM(CY660:CY663)</f>
        <v>344.904</v>
      </c>
      <c r="CZ664" s="195">
        <f t="shared" ref="CZ664:DC664" si="791">CZ634*CZ623*3/1000000+CZ644</f>
        <v>353.36167489999997</v>
      </c>
      <c r="DA664" s="195">
        <f t="shared" si="791"/>
        <v>361.21646883874996</v>
      </c>
      <c r="DB664" s="195">
        <f t="shared" si="791"/>
        <v>371.0482010928161</v>
      </c>
      <c r="DC664" s="195">
        <f t="shared" si="791"/>
        <v>380.62333040594484</v>
      </c>
    </row>
    <row r="665" spans="2:107">
      <c r="B665" s="18" t="s">
        <v>1409</v>
      </c>
      <c r="C665" s="16"/>
      <c r="D665" s="16"/>
      <c r="E665" s="16"/>
      <c r="F665" s="16"/>
      <c r="G665" s="16"/>
      <c r="H665" s="16"/>
      <c r="I665" s="15"/>
      <c r="J665" s="15"/>
      <c r="K665" s="15"/>
      <c r="L665" s="26"/>
      <c r="M665" s="827">
        <f t="shared" ref="M665:Z665" si="792">M664/L664-1</f>
        <v>3.6919765498881301</v>
      </c>
      <c r="N665" s="827">
        <f t="shared" si="792"/>
        <v>0.28349298903234743</v>
      </c>
      <c r="O665" s="827">
        <f t="shared" si="792"/>
        <v>0.20662167564135747</v>
      </c>
      <c r="P665" s="38">
        <f t="shared" si="792"/>
        <v>0.26780021046887792</v>
      </c>
      <c r="Q665" s="38">
        <f t="shared" si="792"/>
        <v>0.27887693506661204</v>
      </c>
      <c r="R665" s="38">
        <f t="shared" si="792"/>
        <v>0.21214453531548472</v>
      </c>
      <c r="S665" s="38">
        <f t="shared" si="792"/>
        <v>0.20196518355064841</v>
      </c>
      <c r="T665" s="38">
        <f t="shared" si="792"/>
        <v>9.5088539926495352E-2</v>
      </c>
      <c r="U665" s="38">
        <f t="shared" si="792"/>
        <v>0.6673627496180583</v>
      </c>
      <c r="V665" s="38">
        <f t="shared" si="792"/>
        <v>0.1448684862088534</v>
      </c>
      <c r="W665" s="38">
        <f t="shared" si="792"/>
        <v>0.15728747953781963</v>
      </c>
      <c r="X665" s="38">
        <f t="shared" si="792"/>
        <v>8.3477874186436152E-2</v>
      </c>
      <c r="Y665" s="38">
        <f t="shared" si="792"/>
        <v>7.4373457941128152E-2</v>
      </c>
      <c r="Z665" s="38">
        <f t="shared" si="792"/>
        <v>7.0219364314572319E-2</v>
      </c>
      <c r="AA665" s="38">
        <f t="shared" ref="AA665" si="793">AA664/Z664-1</f>
        <v>6.6390865022118328E-2</v>
      </c>
      <c r="AB665" s="38">
        <f t="shared" ref="AB665" si="794">AB664/AA664-1</f>
        <v>6.2963152800088018E-2</v>
      </c>
      <c r="AC665" s="38">
        <f t="shared" ref="AC665" si="795">AC664/AB664-1</f>
        <v>5.9877867217330571E-2</v>
      </c>
      <c r="AD665" s="38">
        <f t="shared" ref="AD665" si="796">AD664/AC664-1</f>
        <v>5.7087440657454191E-2</v>
      </c>
      <c r="AE665" s="23"/>
      <c r="AF665" s="15"/>
      <c r="AG665" s="15"/>
      <c r="AH665" s="15"/>
      <c r="AI665" s="15"/>
      <c r="AJ665" s="15"/>
      <c r="AK665" s="15"/>
      <c r="AL665" s="15"/>
      <c r="AM665" s="15"/>
      <c r="AN665" s="15"/>
      <c r="AO665" s="15"/>
      <c r="AP665" s="15"/>
      <c r="AQ665" s="15"/>
      <c r="AR665" s="15"/>
      <c r="AS665" s="15"/>
      <c r="AT665" s="15"/>
      <c r="AU665" s="15"/>
      <c r="AV665" s="15"/>
      <c r="AW665" s="15"/>
      <c r="AX665" s="15"/>
      <c r="AY665" s="15"/>
      <c r="AZ665" s="15"/>
      <c r="BA665" s="15"/>
      <c r="BB665" s="15"/>
      <c r="BC665" s="15"/>
      <c r="BD665" s="16"/>
      <c r="BE665" s="16"/>
      <c r="BF665" s="16"/>
      <c r="BG665" s="15"/>
      <c r="BH665" s="15"/>
      <c r="BI665" s="15"/>
      <c r="BJ665" s="15"/>
      <c r="BK665" s="15"/>
      <c r="BL665" s="15"/>
      <c r="BM665" s="38"/>
      <c r="BN665" s="38">
        <f t="shared" ref="BN665:CY665" si="797">BN664/BJ664-1</f>
        <v>7.4420849420849429</v>
      </c>
      <c r="BO665" s="38">
        <f t="shared" si="797"/>
        <v>0.41883235421022968</v>
      </c>
      <c r="BP665" s="38">
        <f t="shared" si="797"/>
        <v>0.17372426961002274</v>
      </c>
      <c r="BQ665" s="38">
        <f t="shared" si="797"/>
        <v>0.25758093656916858</v>
      </c>
      <c r="BR665" s="38">
        <f t="shared" si="797"/>
        <v>0.28781157100388732</v>
      </c>
      <c r="BS665" s="38">
        <f t="shared" si="797"/>
        <v>0.40207729016562155</v>
      </c>
      <c r="BT665" s="38">
        <f t="shared" si="797"/>
        <v>0.32467966573816143</v>
      </c>
      <c r="BU665" s="38">
        <f t="shared" si="797"/>
        <v>0.17775879475033007</v>
      </c>
      <c r="BV665" s="38">
        <f t="shared" si="797"/>
        <v>0.17691242275729824</v>
      </c>
      <c r="BW665" s="38">
        <f t="shared" si="797"/>
        <v>0.17094901227976478</v>
      </c>
      <c r="BX665" s="38">
        <f t="shared" si="797"/>
        <v>0.25036588443098662</v>
      </c>
      <c r="BY665" s="38">
        <f t="shared" si="797"/>
        <v>0.34356455228801264</v>
      </c>
      <c r="BZ665" s="38">
        <f t="shared" si="797"/>
        <v>0.28408696570557801</v>
      </c>
      <c r="CA665" s="38">
        <f t="shared" si="797"/>
        <v>0.24551879399276189</v>
      </c>
      <c r="CB665" s="38">
        <f t="shared" si="797"/>
        <v>0.23147400710364874</v>
      </c>
      <c r="CC665" s="38">
        <f t="shared" si="797"/>
        <v>0.17304247540058393</v>
      </c>
      <c r="CD665" s="38">
        <f t="shared" si="797"/>
        <v>0.22345725431216801</v>
      </c>
      <c r="CE665" s="38">
        <f t="shared" si="797"/>
        <v>0.24389964879365778</v>
      </c>
      <c r="CF665" s="38">
        <f t="shared" si="797"/>
        <v>0.2376082942763813</v>
      </c>
      <c r="CG665" s="38">
        <f t="shared" si="797"/>
        <v>0.24089530383851065</v>
      </c>
      <c r="CH665" s="38">
        <f t="shared" si="797"/>
        <v>0.1953786758350462</v>
      </c>
      <c r="CI665" s="38">
        <f t="shared" si="797"/>
        <v>0.2504667396282636</v>
      </c>
      <c r="CJ665" s="38">
        <f t="shared" si="797"/>
        <v>0.25461238325594548</v>
      </c>
      <c r="CK665" s="38">
        <f t="shared" si="797"/>
        <v>0.25271826166113187</v>
      </c>
      <c r="CL665" s="38">
        <f t="shared" si="797"/>
        <v>0.22762914758576347</v>
      </c>
      <c r="CM665" s="38">
        <f t="shared" si="797"/>
        <v>0.14292438606426572</v>
      </c>
      <c r="CN665" s="38">
        <f t="shared" si="797"/>
        <v>7.9500439753737995E-2</v>
      </c>
      <c r="CO665" s="38">
        <f t="shared" si="797"/>
        <v>7.6958788898233932E-2</v>
      </c>
      <c r="CP665" s="38">
        <f t="shared" si="797"/>
        <v>8.7387027741602008E-2</v>
      </c>
      <c r="CQ665" s="38">
        <f t="shared" si="797"/>
        <v>0.10768983268983257</v>
      </c>
      <c r="CR665" s="38">
        <f t="shared" si="797"/>
        <v>0.65150823860673679</v>
      </c>
      <c r="CS665" s="38">
        <f t="shared" si="797"/>
        <v>0.76061925616788373</v>
      </c>
      <c r="CT665" s="38">
        <f t="shared" si="797"/>
        <v>0.72241748718072163</v>
      </c>
      <c r="CU665" s="38">
        <f t="shared" si="797"/>
        <v>0.6572515757980657</v>
      </c>
      <c r="CV665" s="38">
        <f t="shared" si="797"/>
        <v>0.17059684822461052</v>
      </c>
      <c r="CW665" s="38">
        <f t="shared" si="797"/>
        <v>8.0802668464568406E-2</v>
      </c>
      <c r="CX665" s="38">
        <f t="shared" si="797"/>
        <v>0.12120968587302139</v>
      </c>
      <c r="CY665" s="38">
        <f t="shared" si="797"/>
        <v>0.20903982528893561</v>
      </c>
      <c r="CZ665" s="38">
        <f t="shared" ref="CZ665:DC665" si="798">CZ664/CV664-1</f>
        <v>0.19134637719271597</v>
      </c>
      <c r="DA665" s="38">
        <f t="shared" si="798"/>
        <v>0.1859455082186674</v>
      </c>
      <c r="DB665" s="38">
        <f t="shared" si="798"/>
        <v>0.15634928148247806</v>
      </c>
      <c r="DC665" s="38">
        <f t="shared" si="798"/>
        <v>0.10356310859237605</v>
      </c>
    </row>
    <row r="666" spans="2:107">
      <c r="B666" s="16" t="s">
        <v>1408</v>
      </c>
      <c r="C666" s="16"/>
      <c r="D666" s="16"/>
      <c r="E666" s="16"/>
      <c r="F666" s="16"/>
      <c r="G666" s="16"/>
      <c r="H666" s="16"/>
      <c r="I666" s="15"/>
      <c r="J666" s="15"/>
      <c r="K666" s="15"/>
      <c r="L666" s="26">
        <f>SUM(BH666:BK666)</f>
        <v>2.327</v>
      </c>
      <c r="M666" s="54">
        <f>SUM(BL666:BO666)</f>
        <v>6.8209999999999997</v>
      </c>
      <c r="N666" s="54">
        <f>SUM(BP666:BS666)</f>
        <v>15.501000000000001</v>
      </c>
      <c r="O666" s="54">
        <f>SUM(BT666:BW666)</f>
        <v>25.222999999999999</v>
      </c>
      <c r="P666" s="54">
        <f>SUM(BX666:CA666)</f>
        <v>29.867000000000001</v>
      </c>
      <c r="Q666" s="54">
        <f>SUM(CB666:CE666)</f>
        <v>32.917999999999992</v>
      </c>
      <c r="R666" s="54">
        <f>SUM(CF666:CI666)</f>
        <v>32.657000000000004</v>
      </c>
      <c r="S666" s="54">
        <f>SUM(CJ666:CM666)</f>
        <v>38.311999999999998</v>
      </c>
      <c r="T666" s="54">
        <f>SUM(CN666:CQ666)</f>
        <v>47.029000000000003</v>
      </c>
      <c r="U666" s="54">
        <f>SUM(CR666:CU666)</f>
        <v>64.687000000000012</v>
      </c>
      <c r="V666" s="54">
        <f>SUM(CV666:CY666)</f>
        <v>79.284999999999997</v>
      </c>
      <c r="W666" s="54">
        <f>SUM(CZ666:DC666)</f>
        <v>99.912000000000035</v>
      </c>
      <c r="X666" s="87">
        <f>W666+0.4</f>
        <v>100.31200000000004</v>
      </c>
      <c r="Y666" s="87">
        <f>X666+0.4</f>
        <v>100.71200000000005</v>
      </c>
      <c r="Z666" s="87">
        <f>Y666+0.4</f>
        <v>101.11200000000005</v>
      </c>
      <c r="AA666" s="87">
        <f t="shared" ref="AA666:AD666" si="799">Z666+0.4</f>
        <v>101.51200000000006</v>
      </c>
      <c r="AB666" s="87">
        <f t="shared" si="799"/>
        <v>101.91200000000006</v>
      </c>
      <c r="AC666" s="87">
        <f t="shared" si="799"/>
        <v>102.31200000000007</v>
      </c>
      <c r="AD666" s="87">
        <f t="shared" si="799"/>
        <v>102.71200000000007</v>
      </c>
      <c r="AE666" s="23"/>
      <c r="AF666" s="15"/>
      <c r="AG666" s="15"/>
      <c r="AH666" s="15"/>
      <c r="AI666" s="15"/>
      <c r="AJ666" s="15"/>
      <c r="AK666" s="15"/>
      <c r="AL666" s="15"/>
      <c r="AM666" s="15"/>
      <c r="AN666" s="15"/>
      <c r="AO666" s="15"/>
      <c r="AP666" s="15"/>
      <c r="AQ666" s="15"/>
      <c r="AR666" s="15"/>
      <c r="AS666" s="15"/>
      <c r="AT666" s="15"/>
      <c r="AU666" s="15"/>
      <c r="AV666" s="15"/>
      <c r="AW666" s="15"/>
      <c r="AX666" s="15"/>
      <c r="AY666" s="15"/>
      <c r="AZ666" s="15"/>
      <c r="BA666" s="15"/>
      <c r="BB666" s="15"/>
      <c r="BC666" s="15"/>
      <c r="BD666" s="16"/>
      <c r="BE666" s="16"/>
      <c r="BF666" s="16"/>
      <c r="BG666" s="26"/>
      <c r="BH666" s="26"/>
      <c r="BI666" s="26"/>
      <c r="BJ666" s="398">
        <v>1.1180000000000001</v>
      </c>
      <c r="BK666" s="398">
        <v>1.2090000000000001</v>
      </c>
      <c r="BL666" s="398">
        <v>1.42</v>
      </c>
      <c r="BM666" s="398">
        <v>2.0710000000000002</v>
      </c>
      <c r="BN666" s="398">
        <v>1.5249999999999999</v>
      </c>
      <c r="BO666" s="398">
        <v>1.8049999999999999</v>
      </c>
      <c r="BP666" s="398">
        <v>2.9249999999999998</v>
      </c>
      <c r="BQ666" s="398">
        <v>3.548</v>
      </c>
      <c r="BR666" s="398">
        <v>4.49</v>
      </c>
      <c r="BS666" s="398">
        <v>4.5380000000000003</v>
      </c>
      <c r="BT666" s="398">
        <v>4.7190000000000003</v>
      </c>
      <c r="BU666" s="398">
        <v>5.42</v>
      </c>
      <c r="BV666" s="398">
        <v>6.5149999999999997</v>
      </c>
      <c r="BW666" s="398">
        <v>8.5690000000000008</v>
      </c>
      <c r="BX666" s="398">
        <v>7.7110000000000003</v>
      </c>
      <c r="BY666" s="398">
        <v>7.1050000000000004</v>
      </c>
      <c r="BZ666" s="398">
        <v>7.2160000000000002</v>
      </c>
      <c r="CA666" s="398">
        <v>7.835</v>
      </c>
      <c r="CB666" s="398">
        <v>9.6709999999999994</v>
      </c>
      <c r="CC666" s="398">
        <v>6.9550000000000001</v>
      </c>
      <c r="CD666" s="398">
        <v>7.6989999999999998</v>
      </c>
      <c r="CE666" s="398">
        <v>8.593</v>
      </c>
      <c r="CF666" s="398">
        <v>6.6870000000000003</v>
      </c>
      <c r="CG666" s="398">
        <v>8.3670000000000009</v>
      </c>
      <c r="CH666" s="398">
        <v>8.7840000000000007</v>
      </c>
      <c r="CI666" s="398">
        <v>8.8190000000000008</v>
      </c>
      <c r="CJ666" s="398">
        <v>9.3049999999999997</v>
      </c>
      <c r="CK666" s="398">
        <v>8.5370000000000008</v>
      </c>
      <c r="CL666" s="398">
        <v>8.7769999999999992</v>
      </c>
      <c r="CM666" s="398">
        <v>11.693</v>
      </c>
      <c r="CN666" s="398">
        <v>11.199</v>
      </c>
      <c r="CO666" s="398">
        <v>13.904</v>
      </c>
      <c r="CP666" s="398">
        <v>11.407</v>
      </c>
      <c r="CQ666" s="398">
        <v>10.519</v>
      </c>
      <c r="CR666" s="398">
        <v>14.475</v>
      </c>
      <c r="CS666" s="398">
        <v>18.798999999999999</v>
      </c>
      <c r="CT666" s="398">
        <v>15.06</v>
      </c>
      <c r="CU666" s="398">
        <v>16.353000000000002</v>
      </c>
      <c r="CV666" s="398">
        <v>18.239999999999998</v>
      </c>
      <c r="CW666" s="398">
        <v>18.363</v>
      </c>
      <c r="CX666" s="398">
        <v>17.954000000000001</v>
      </c>
      <c r="CY666" s="398">
        <v>24.728000000000002</v>
      </c>
      <c r="CZ666" s="133">
        <f t="shared" ref="CZ666:DC666" si="800">CY666+0.1</f>
        <v>24.828000000000003</v>
      </c>
      <c r="DA666" s="133">
        <f t="shared" si="800"/>
        <v>24.928000000000004</v>
      </c>
      <c r="DB666" s="133">
        <f t="shared" si="800"/>
        <v>25.028000000000006</v>
      </c>
      <c r="DC666" s="133">
        <f t="shared" si="800"/>
        <v>25.128000000000007</v>
      </c>
    </row>
    <row r="667" spans="2:107">
      <c r="B667" s="14" t="s">
        <v>988</v>
      </c>
      <c r="C667" s="14"/>
      <c r="D667" s="14"/>
      <c r="E667" s="14"/>
      <c r="F667" s="14"/>
      <c r="G667" s="14"/>
      <c r="H667" s="14"/>
      <c r="I667" s="14"/>
      <c r="J667" s="14"/>
      <c r="K667" s="195"/>
      <c r="L667" s="195">
        <f t="shared" ref="L667:Z667" si="801">L666+L664</f>
        <v>37.635999999999996</v>
      </c>
      <c r="M667" s="195">
        <f t="shared" si="801"/>
        <v>172.48999999999998</v>
      </c>
      <c r="N667" s="195">
        <f t="shared" si="801"/>
        <v>228.13599999999997</v>
      </c>
      <c r="O667" s="195">
        <f t="shared" si="801"/>
        <v>281.79300000000001</v>
      </c>
      <c r="P667" s="195">
        <f t="shared" si="801"/>
        <v>355.1465</v>
      </c>
      <c r="Q667" s="195">
        <f t="shared" si="801"/>
        <v>448.91045000000003</v>
      </c>
      <c r="R667" s="195">
        <f t="shared" si="801"/>
        <v>536.89997500000004</v>
      </c>
      <c r="S667" s="195">
        <f t="shared" si="801"/>
        <v>644.39449999999999</v>
      </c>
      <c r="T667" s="195">
        <f>T666+T664</f>
        <v>710.74300000000005</v>
      </c>
      <c r="U667" s="195">
        <f>U666+U664</f>
        <v>1171.3389999999999</v>
      </c>
      <c r="V667" s="195">
        <f>V666+V664</f>
        <v>1346.2560000000001</v>
      </c>
      <c r="W667" s="195">
        <f>W666+W664</f>
        <v>1566.161675237511</v>
      </c>
      <c r="X667" s="195">
        <f t="shared" si="801"/>
        <v>1688.961081152891</v>
      </c>
      <c r="Y667" s="195">
        <f t="shared" si="801"/>
        <v>1807.5144067732274</v>
      </c>
      <c r="Z667" s="195">
        <f t="shared" si="801"/>
        <v>1927.7649867874254</v>
      </c>
      <c r="AA667" s="195">
        <f t="shared" ref="AA667:AD667" si="802">AA666+AA664</f>
        <v>2049.4380586754787</v>
      </c>
      <c r="AB667" s="195">
        <f t="shared" si="802"/>
        <v>2172.4856247511366</v>
      </c>
      <c r="AC667" s="195">
        <f t="shared" si="802"/>
        <v>2296.8671573176916</v>
      </c>
      <c r="AD667" s="195">
        <f t="shared" si="802"/>
        <v>2422.5486946305755</v>
      </c>
      <c r="AE667" s="14"/>
      <c r="AF667" s="14"/>
      <c r="AG667" s="14"/>
      <c r="AH667" s="14"/>
      <c r="AI667" s="14"/>
      <c r="AJ667" s="14"/>
      <c r="AK667" s="14"/>
      <c r="AL667" s="14"/>
      <c r="AM667" s="14"/>
      <c r="AN667" s="14"/>
      <c r="AO667" s="14"/>
      <c r="AP667" s="14"/>
      <c r="AQ667" s="14"/>
      <c r="AR667" s="14"/>
      <c r="AS667" s="14"/>
      <c r="AT667" s="14"/>
      <c r="AU667" s="14"/>
      <c r="AV667" s="14"/>
      <c r="AW667" s="14"/>
      <c r="AX667" s="14"/>
      <c r="AY667" s="14"/>
      <c r="AZ667" s="195"/>
      <c r="BA667" s="195"/>
      <c r="BB667" s="195"/>
      <c r="BC667" s="195"/>
      <c r="BD667" s="195"/>
      <c r="BE667" s="195"/>
      <c r="BF667" s="195"/>
      <c r="BG667" s="195"/>
      <c r="BH667" s="195"/>
      <c r="BI667" s="195"/>
      <c r="BJ667" s="195">
        <f t="shared" ref="BJ667:CJ667" si="803">BJ666+BJ664</f>
        <v>6.298</v>
      </c>
      <c r="BK667" s="195">
        <f t="shared" si="803"/>
        <v>31.337999999999997</v>
      </c>
      <c r="BL667" s="195">
        <f t="shared" si="803"/>
        <v>39.652999999999999</v>
      </c>
      <c r="BM667" s="195">
        <f t="shared" si="803"/>
        <v>43.028999999999996</v>
      </c>
      <c r="BN667" s="195">
        <f t="shared" si="803"/>
        <v>45.255000000000003</v>
      </c>
      <c r="BO667" s="195">
        <f t="shared" si="803"/>
        <v>44.553000000000004</v>
      </c>
      <c r="BP667" s="195">
        <f t="shared" si="803"/>
        <v>47.8</v>
      </c>
      <c r="BQ667" s="195">
        <f t="shared" si="803"/>
        <v>55.056000000000004</v>
      </c>
      <c r="BR667" s="195">
        <f t="shared" si="803"/>
        <v>60.805999999999997</v>
      </c>
      <c r="BS667" s="195">
        <f t="shared" si="803"/>
        <v>64.474000000000004</v>
      </c>
      <c r="BT667" s="195">
        <f t="shared" si="803"/>
        <v>64.163999999999987</v>
      </c>
      <c r="BU667" s="195">
        <f t="shared" si="803"/>
        <v>66.084000000000003</v>
      </c>
      <c r="BV667" s="195">
        <f t="shared" si="803"/>
        <v>72.793999999999997</v>
      </c>
      <c r="BW667" s="195">
        <f t="shared" si="803"/>
        <v>78.750999999999991</v>
      </c>
      <c r="BX667" s="195">
        <f t="shared" si="803"/>
        <v>82.038999999999987</v>
      </c>
      <c r="BY667" s="195">
        <f t="shared" si="803"/>
        <v>88.611000000000004</v>
      </c>
      <c r="BZ667" s="195">
        <f t="shared" si="803"/>
        <v>92.323999999999998</v>
      </c>
      <c r="CA667" s="195">
        <f t="shared" si="803"/>
        <v>95.24799999999999</v>
      </c>
      <c r="CB667" s="195">
        <f t="shared" si="803"/>
        <v>101.20399999999998</v>
      </c>
      <c r="CC667" s="195">
        <f t="shared" si="803"/>
        <v>102.565</v>
      </c>
      <c r="CD667" s="195">
        <f t="shared" si="803"/>
        <v>111.82499999999999</v>
      </c>
      <c r="CE667" s="195">
        <f t="shared" si="803"/>
        <v>117.32600000000001</v>
      </c>
      <c r="CF667" s="195">
        <f t="shared" si="803"/>
        <v>119.96899999999999</v>
      </c>
      <c r="CG667" s="195">
        <f t="shared" si="803"/>
        <v>127.009</v>
      </c>
      <c r="CH667" s="195">
        <f t="shared" si="803"/>
        <v>133.25400000000002</v>
      </c>
      <c r="CI667" s="195">
        <f t="shared" si="803"/>
        <v>144.78599999999997</v>
      </c>
      <c r="CJ667" s="195">
        <f t="shared" si="803"/>
        <v>151.43</v>
      </c>
      <c r="CK667" s="195">
        <f t="shared" ref="CK667:CQ667" si="804">CK666+CK664</f>
        <v>157.16200000000001</v>
      </c>
      <c r="CL667" s="195">
        <f t="shared" si="804"/>
        <v>161.57999999999998</v>
      </c>
      <c r="CM667" s="195">
        <f t="shared" si="804"/>
        <v>167.09300000000002</v>
      </c>
      <c r="CN667" s="195">
        <f t="shared" si="804"/>
        <v>164.62300000000002</v>
      </c>
      <c r="CO667" s="195">
        <f t="shared" si="804"/>
        <v>173.96700000000001</v>
      </c>
      <c r="CP667" s="195">
        <f t="shared" si="804"/>
        <v>177.56300000000002</v>
      </c>
      <c r="CQ667" s="195">
        <f t="shared" si="804"/>
        <v>182.654</v>
      </c>
      <c r="CR667" s="195">
        <f t="shared" ref="CR667:CU667" si="805">CR666+CR664</f>
        <v>267.85599999999999</v>
      </c>
      <c r="CS667" s="195">
        <f t="shared" si="805"/>
        <v>300.60899999999998</v>
      </c>
      <c r="CT667" s="195">
        <f t="shared" si="805"/>
        <v>301.25</v>
      </c>
      <c r="CU667" s="195">
        <f t="shared" si="805"/>
        <v>301.62400000000002</v>
      </c>
      <c r="CV667" s="195">
        <f>CV666+CV664</f>
        <v>314.84700000000004</v>
      </c>
      <c r="CW667" s="195">
        <f>CW666+CW664</f>
        <v>322.94400000000002</v>
      </c>
      <c r="CX667" s="195">
        <f>CX666+CX664</f>
        <v>338.83300000000003</v>
      </c>
      <c r="CY667" s="195">
        <f>CY666+CY664</f>
        <v>369.63200000000001</v>
      </c>
      <c r="CZ667" s="195">
        <f t="shared" ref="CZ667:DC667" si="806">CZ666+CZ664</f>
        <v>378.1896749</v>
      </c>
      <c r="DA667" s="195">
        <f t="shared" si="806"/>
        <v>386.14446883874996</v>
      </c>
      <c r="DB667" s="195">
        <f t="shared" si="806"/>
        <v>396.07620109281612</v>
      </c>
      <c r="DC667" s="195">
        <f t="shared" si="806"/>
        <v>405.75133040594483</v>
      </c>
    </row>
    <row r="668" spans="2:107">
      <c r="B668" s="14"/>
      <c r="C668" s="14"/>
      <c r="D668" s="14"/>
      <c r="E668" s="14"/>
      <c r="F668" s="14"/>
      <c r="G668" s="14"/>
      <c r="H668" s="14"/>
      <c r="I668" s="14"/>
      <c r="J668" s="14"/>
      <c r="K668" s="195"/>
      <c r="L668" s="195"/>
      <c r="M668" s="14"/>
      <c r="N668" s="14"/>
      <c r="O668" s="14"/>
      <c r="P668" s="14"/>
      <c r="Q668" s="14"/>
      <c r="R668" s="14"/>
      <c r="S668" s="14"/>
      <c r="T668" s="14"/>
      <c r="U668" s="14"/>
      <c r="V668" s="14"/>
      <c r="W668" s="14"/>
      <c r="X668" s="14"/>
      <c r="Y668" s="14"/>
      <c r="Z668" s="14"/>
      <c r="AA668" s="14"/>
      <c r="AB668" s="14"/>
      <c r="AC668" s="14"/>
      <c r="AD668" s="14"/>
      <c r="AE668" s="14"/>
      <c r="AF668" s="14"/>
      <c r="AG668" s="14"/>
      <c r="AH668" s="14"/>
      <c r="AI668" s="14"/>
      <c r="AJ668" s="14"/>
      <c r="AK668" s="14"/>
      <c r="AL668" s="14"/>
      <c r="AM668" s="14"/>
      <c r="AN668" s="14"/>
      <c r="AO668" s="14"/>
      <c r="AP668" s="14"/>
      <c r="AQ668" s="14"/>
      <c r="AR668" s="14"/>
      <c r="AS668" s="14"/>
      <c r="AT668" s="14"/>
      <c r="AU668" s="14"/>
      <c r="AV668" s="14"/>
      <c r="AW668" s="14"/>
      <c r="AX668" s="14"/>
      <c r="AY668" s="14"/>
      <c r="AZ668" s="195"/>
      <c r="BA668" s="195"/>
      <c r="BB668" s="195"/>
      <c r="BC668" s="195"/>
      <c r="BD668" s="195"/>
      <c r="BE668" s="195"/>
      <c r="BF668" s="195"/>
      <c r="BG668" s="195"/>
      <c r="BH668" s="195"/>
      <c r="BI668" s="195"/>
      <c r="BJ668" s="195"/>
      <c r="BK668" s="195"/>
      <c r="BL668" s="195"/>
      <c r="BM668" s="195"/>
      <c r="BN668" s="195"/>
      <c r="BO668" s="195"/>
      <c r="BP668" s="195"/>
      <c r="BQ668" s="195"/>
      <c r="BR668" s="195"/>
      <c r="BS668" s="195"/>
      <c r="BT668" s="195"/>
      <c r="BU668" s="803"/>
      <c r="BV668" s="23"/>
      <c r="BW668" s="54"/>
      <c r="BX668" s="24"/>
      <c r="BY668" s="23"/>
      <c r="BZ668" s="23"/>
      <c r="CA668" s="23"/>
      <c r="CB668" s="23"/>
      <c r="CC668" s="23"/>
      <c r="CD668" s="23"/>
      <c r="CE668" s="23"/>
      <c r="CF668" s="23"/>
      <c r="CG668" s="23"/>
      <c r="CH668" s="23"/>
      <c r="CI668" s="23"/>
      <c r="CJ668" s="23"/>
      <c r="CK668" s="23"/>
      <c r="CL668" s="23"/>
      <c r="CM668" s="23"/>
      <c r="CN668" s="23"/>
      <c r="CO668" s="23"/>
      <c r="CP668" s="23"/>
      <c r="CQ668" s="23"/>
      <c r="CR668" s="23"/>
      <c r="CS668" s="23"/>
      <c r="CT668" s="23"/>
      <c r="CU668" s="23"/>
      <c r="CV668" s="23"/>
      <c r="CW668" s="23"/>
      <c r="CX668" s="23"/>
      <c r="CY668" s="23"/>
      <c r="CZ668" s="23"/>
      <c r="DA668" s="23"/>
      <c r="DB668" s="23"/>
      <c r="DC668" s="23"/>
    </row>
    <row r="669" spans="2:107">
      <c r="B669" s="16" t="s">
        <v>712</v>
      </c>
      <c r="C669" s="16"/>
      <c r="D669" s="16"/>
      <c r="E669" s="16"/>
      <c r="F669" s="16"/>
      <c r="G669" s="16"/>
      <c r="H669" s="16"/>
      <c r="I669" s="15"/>
      <c r="J669" s="15"/>
      <c r="K669" s="15"/>
      <c r="L669" s="26">
        <f>SUM(BH669:BK669)</f>
        <v>22.452999999999999</v>
      </c>
      <c r="M669" s="54">
        <f>SUM(BL669:BO669)</f>
        <v>88.358999999999995</v>
      </c>
      <c r="N669" s="54">
        <f>SUM(BP669:BS669)</f>
        <v>106.452</v>
      </c>
      <c r="O669" s="23"/>
      <c r="P669" s="23"/>
      <c r="Q669" s="23"/>
      <c r="R669" s="23"/>
      <c r="S669" s="23"/>
      <c r="T669" s="23"/>
      <c r="U669" s="23"/>
      <c r="V669" s="23"/>
      <c r="W669" s="23"/>
      <c r="X669" s="15"/>
      <c r="Y669" s="15"/>
      <c r="Z669" s="15"/>
      <c r="AA669" s="15"/>
      <c r="AB669" s="15"/>
      <c r="AC669" s="15"/>
      <c r="AD669" s="15"/>
      <c r="AE669" s="23"/>
      <c r="AF669" s="15"/>
      <c r="AG669" s="15"/>
      <c r="AH669" s="15"/>
      <c r="AI669" s="15"/>
      <c r="AJ669" s="15"/>
      <c r="AK669" s="15"/>
      <c r="AL669" s="15"/>
      <c r="AM669" s="15"/>
      <c r="AN669" s="15"/>
      <c r="AO669" s="15"/>
      <c r="AP669" s="15"/>
      <c r="AQ669" s="15"/>
      <c r="AR669" s="15"/>
      <c r="AS669" s="15"/>
      <c r="AT669" s="15"/>
      <c r="AU669" s="15"/>
      <c r="AV669" s="15"/>
      <c r="AW669" s="15"/>
      <c r="AX669" s="15"/>
      <c r="AY669" s="15"/>
      <c r="AZ669" s="15"/>
      <c r="BA669" s="15"/>
      <c r="BB669" s="15"/>
      <c r="BC669" s="15"/>
      <c r="BD669" s="807"/>
      <c r="BE669" s="807"/>
      <c r="BF669" s="807"/>
      <c r="BG669" s="26"/>
      <c r="BH669" s="26"/>
      <c r="BI669" s="26"/>
      <c r="BJ669" s="398">
        <v>3.0270000000000001</v>
      </c>
      <c r="BK669" s="398">
        <v>19.425999999999998</v>
      </c>
      <c r="BL669" s="398">
        <v>20.986000000000001</v>
      </c>
      <c r="BM669" s="398">
        <v>23.629000000000001</v>
      </c>
      <c r="BN669" s="398">
        <v>24.247</v>
      </c>
      <c r="BO669" s="398">
        <v>19.497</v>
      </c>
      <c r="BP669" s="398">
        <v>23.527000000000001</v>
      </c>
      <c r="BQ669" s="398">
        <v>24.672000000000001</v>
      </c>
      <c r="BR669" s="398">
        <v>28.111000000000001</v>
      </c>
      <c r="BS669" s="398">
        <v>30.141999999999999</v>
      </c>
      <c r="BT669" s="398">
        <v>28.536000000000001</v>
      </c>
      <c r="BU669" s="398">
        <v>29.06</v>
      </c>
      <c r="BV669" s="398">
        <v>29.373000000000001</v>
      </c>
      <c r="BW669" s="398">
        <v>34.808</v>
      </c>
      <c r="BX669" s="398">
        <v>34.491</v>
      </c>
      <c r="BY669" s="398">
        <v>36.216999999999999</v>
      </c>
      <c r="BZ669" s="398">
        <v>36.93</v>
      </c>
      <c r="CA669" s="398">
        <v>36.677</v>
      </c>
      <c r="CB669" s="398">
        <v>35.353000000000002</v>
      </c>
      <c r="CC669" s="398">
        <v>37.392000000000003</v>
      </c>
      <c r="CD669" s="398">
        <v>42.615000000000002</v>
      </c>
      <c r="CE669" s="398">
        <v>43.887999999999998</v>
      </c>
      <c r="CF669" s="398">
        <v>43.628999999999998</v>
      </c>
      <c r="CG669" s="398">
        <v>47.304000000000002</v>
      </c>
      <c r="CH669" s="398">
        <v>47.923999999999999</v>
      </c>
      <c r="CI669" s="398">
        <v>52.363</v>
      </c>
      <c r="CJ669" s="398">
        <v>58.116</v>
      </c>
      <c r="CK669" s="398">
        <v>58.726999999999997</v>
      </c>
      <c r="CL669" s="398">
        <v>59.593000000000004</v>
      </c>
      <c r="CM669" s="398">
        <v>59.987000000000002</v>
      </c>
      <c r="CN669" s="398">
        <v>58.494</v>
      </c>
      <c r="CO669" s="398">
        <v>62.430999999999997</v>
      </c>
      <c r="CP669" s="398">
        <v>64.442999999999998</v>
      </c>
      <c r="CQ669" s="398">
        <v>64.088999999999999</v>
      </c>
      <c r="CR669" s="398">
        <v>101.509</v>
      </c>
      <c r="CS669" s="398">
        <v>114.95</v>
      </c>
      <c r="CT669" s="398">
        <v>116.587</v>
      </c>
      <c r="CU669" s="398">
        <v>113.79600000000001</v>
      </c>
      <c r="CV669" s="398">
        <v>122.175</v>
      </c>
      <c r="CW669" s="398">
        <v>124.485</v>
      </c>
      <c r="CX669" s="398">
        <v>133.137</v>
      </c>
      <c r="CY669" s="398">
        <v>148.721</v>
      </c>
      <c r="CZ669" s="23"/>
      <c r="DA669" s="23"/>
      <c r="DB669" s="23"/>
      <c r="DC669" s="23"/>
    </row>
    <row r="670" spans="2:107">
      <c r="B670" s="19" t="s">
        <v>1109</v>
      </c>
      <c r="C670" s="16"/>
      <c r="D670" s="16"/>
      <c r="E670" s="16"/>
      <c r="F670" s="16"/>
      <c r="G670" s="16"/>
      <c r="H670" s="16"/>
      <c r="I670" s="15"/>
      <c r="J670" s="15"/>
      <c r="K670" s="15"/>
      <c r="L670" s="26">
        <f>L667-L669</f>
        <v>15.182999999999996</v>
      </c>
      <c r="M670" s="54">
        <f>M667-M669</f>
        <v>84.130999999999986</v>
      </c>
      <c r="N670" s="54">
        <f>N667-N669</f>
        <v>121.68399999999997</v>
      </c>
      <c r="O670" s="23"/>
      <c r="P670" s="23"/>
      <c r="Q670" s="23"/>
      <c r="R670" s="23"/>
      <c r="S670" s="23"/>
      <c r="T670" s="23"/>
      <c r="U670" s="23"/>
      <c r="V670" s="23"/>
      <c r="W670" s="23"/>
      <c r="X670" s="15"/>
      <c r="Y670" s="15"/>
      <c r="Z670" s="15"/>
      <c r="AA670" s="15"/>
      <c r="AB670" s="15"/>
      <c r="AC670" s="15"/>
      <c r="AD670" s="15"/>
      <c r="AE670" s="23"/>
      <c r="AF670" s="15"/>
      <c r="AG670" s="15"/>
      <c r="AH670" s="15"/>
      <c r="AI670" s="15"/>
      <c r="AJ670" s="15"/>
      <c r="AK670" s="15"/>
      <c r="AL670" s="15"/>
      <c r="AM670" s="15"/>
      <c r="AN670" s="15"/>
      <c r="AO670" s="15"/>
      <c r="AP670" s="15"/>
      <c r="AQ670" s="15"/>
      <c r="AR670" s="15"/>
      <c r="AS670" s="15"/>
      <c r="AT670" s="15"/>
      <c r="AU670" s="15"/>
      <c r="AV670" s="15"/>
      <c r="AW670" s="15"/>
      <c r="AX670" s="15"/>
      <c r="AY670" s="15"/>
      <c r="AZ670" s="15"/>
      <c r="BA670" s="15"/>
      <c r="BB670" s="15"/>
      <c r="BC670" s="15"/>
      <c r="BD670" s="807"/>
      <c r="BE670" s="807"/>
      <c r="BF670" s="807"/>
      <c r="BG670" s="26"/>
      <c r="BH670" s="26"/>
      <c r="BI670" s="26"/>
      <c r="BJ670" s="26">
        <f t="shared" ref="BJ670:CJ670" si="807">BJ667-BJ669</f>
        <v>3.2709999999999999</v>
      </c>
      <c r="BK670" s="26">
        <f t="shared" si="807"/>
        <v>11.911999999999999</v>
      </c>
      <c r="BL670" s="26">
        <f t="shared" si="807"/>
        <v>18.666999999999998</v>
      </c>
      <c r="BM670" s="26">
        <f t="shared" si="807"/>
        <v>19.399999999999995</v>
      </c>
      <c r="BN670" s="26">
        <f t="shared" si="807"/>
        <v>21.008000000000003</v>
      </c>
      <c r="BO670" s="26">
        <f t="shared" si="807"/>
        <v>25.056000000000004</v>
      </c>
      <c r="BP670" s="54">
        <f t="shared" si="807"/>
        <v>24.272999999999996</v>
      </c>
      <c r="BQ670" s="54">
        <f t="shared" si="807"/>
        <v>30.384000000000004</v>
      </c>
      <c r="BR670" s="54">
        <f t="shared" si="807"/>
        <v>32.694999999999993</v>
      </c>
      <c r="BS670" s="54">
        <f t="shared" si="807"/>
        <v>34.332000000000008</v>
      </c>
      <c r="BT670" s="54">
        <f t="shared" si="807"/>
        <v>35.627999999999986</v>
      </c>
      <c r="BU670" s="54">
        <f t="shared" si="807"/>
        <v>37.024000000000001</v>
      </c>
      <c r="BV670" s="54">
        <f t="shared" si="807"/>
        <v>43.420999999999992</v>
      </c>
      <c r="BW670" s="54">
        <f t="shared" si="807"/>
        <v>43.942999999999991</v>
      </c>
      <c r="BX670" s="54">
        <f t="shared" si="807"/>
        <v>47.547999999999988</v>
      </c>
      <c r="BY670" s="54">
        <f t="shared" si="807"/>
        <v>52.394000000000005</v>
      </c>
      <c r="BZ670" s="54">
        <f t="shared" si="807"/>
        <v>55.393999999999998</v>
      </c>
      <c r="CA670" s="54">
        <f t="shared" si="807"/>
        <v>58.570999999999991</v>
      </c>
      <c r="CB670" s="54">
        <f t="shared" si="807"/>
        <v>65.850999999999971</v>
      </c>
      <c r="CC670" s="54">
        <f t="shared" si="807"/>
        <v>65.173000000000002</v>
      </c>
      <c r="CD670" s="54">
        <f t="shared" si="807"/>
        <v>69.20999999999998</v>
      </c>
      <c r="CE670" s="54">
        <f t="shared" si="807"/>
        <v>73.438000000000017</v>
      </c>
      <c r="CF670" s="54">
        <f t="shared" si="807"/>
        <v>76.34</v>
      </c>
      <c r="CG670" s="54">
        <f t="shared" si="807"/>
        <v>79.704999999999998</v>
      </c>
      <c r="CH670" s="54">
        <f t="shared" si="807"/>
        <v>85.330000000000013</v>
      </c>
      <c r="CI670" s="54">
        <f t="shared" si="807"/>
        <v>92.422999999999973</v>
      </c>
      <c r="CJ670" s="54">
        <f t="shared" si="807"/>
        <v>93.314000000000007</v>
      </c>
      <c r="CK670" s="54">
        <f t="shared" ref="CK670:CP670" si="808">CK667-CK669</f>
        <v>98.435000000000002</v>
      </c>
      <c r="CL670" s="54">
        <f t="shared" si="808"/>
        <v>101.98699999999998</v>
      </c>
      <c r="CM670" s="54">
        <f t="shared" si="808"/>
        <v>107.10600000000002</v>
      </c>
      <c r="CN670" s="54">
        <f t="shared" si="808"/>
        <v>106.12900000000002</v>
      </c>
      <c r="CO670" s="54">
        <f t="shared" si="808"/>
        <v>111.53600000000002</v>
      </c>
      <c r="CP670" s="54">
        <f t="shared" si="808"/>
        <v>113.12000000000002</v>
      </c>
      <c r="CQ670" s="54">
        <f t="shared" ref="CQ670:CV670" si="809">CQ667-CQ669</f>
        <v>118.565</v>
      </c>
      <c r="CR670" s="54">
        <f t="shared" si="809"/>
        <v>166.34699999999998</v>
      </c>
      <c r="CS670" s="54">
        <f t="shared" si="809"/>
        <v>185.65899999999999</v>
      </c>
      <c r="CT670" s="54">
        <f t="shared" si="809"/>
        <v>184.66300000000001</v>
      </c>
      <c r="CU670" s="54">
        <f t="shared" si="809"/>
        <v>187.82800000000003</v>
      </c>
      <c r="CV670" s="54">
        <f t="shared" si="809"/>
        <v>192.67200000000003</v>
      </c>
      <c r="CW670" s="54">
        <f t="shared" ref="CW670:CX670" si="810">CW667-CW669</f>
        <v>198.459</v>
      </c>
      <c r="CX670" s="54">
        <f t="shared" si="810"/>
        <v>205.69600000000003</v>
      </c>
      <c r="CY670" s="54">
        <f t="shared" ref="CY670" si="811">CY667-CY669</f>
        <v>220.911</v>
      </c>
      <c r="CZ670" s="23"/>
      <c r="DA670" s="23"/>
      <c r="DB670" s="23"/>
      <c r="DC670" s="23"/>
    </row>
    <row r="671" spans="2:107">
      <c r="B671" s="18" t="s">
        <v>711</v>
      </c>
      <c r="C671" s="16"/>
      <c r="D671" s="16"/>
      <c r="E671" s="16"/>
      <c r="F671" s="16"/>
      <c r="G671" s="16"/>
      <c r="H671" s="16"/>
      <c r="I671" s="15"/>
      <c r="J671" s="15"/>
      <c r="K671" s="15"/>
      <c r="L671" s="38">
        <f>L670/L667</f>
        <v>0.40341694122648525</v>
      </c>
      <c r="M671" s="38">
        <f>M670/M667</f>
        <v>0.48774421705606119</v>
      </c>
      <c r="N671" s="38">
        <f>N670/N667</f>
        <v>0.53338359574990346</v>
      </c>
      <c r="O671" s="23"/>
      <c r="P671" s="23"/>
      <c r="Q671" s="23"/>
      <c r="R671" s="23"/>
      <c r="S671" s="23"/>
      <c r="T671" s="23"/>
      <c r="U671" s="23"/>
      <c r="V671" s="23"/>
      <c r="W671" s="23"/>
      <c r="X671" s="15"/>
      <c r="Y671" s="15"/>
      <c r="Z671" s="15"/>
      <c r="AA671" s="15"/>
      <c r="AB671" s="15"/>
      <c r="AC671" s="15"/>
      <c r="AD671" s="15"/>
      <c r="AE671" s="23"/>
      <c r="AF671" s="15"/>
      <c r="AG671" s="15"/>
      <c r="AH671" s="15"/>
      <c r="AI671" s="15"/>
      <c r="AJ671" s="15"/>
      <c r="AK671" s="15"/>
      <c r="AL671" s="15"/>
      <c r="AM671" s="15"/>
      <c r="AN671" s="15"/>
      <c r="AO671" s="15"/>
      <c r="AP671" s="15"/>
      <c r="AQ671" s="15"/>
      <c r="AR671" s="15"/>
      <c r="AS671" s="15"/>
      <c r="AT671" s="15"/>
      <c r="AU671" s="15"/>
      <c r="AV671" s="15"/>
      <c r="AW671" s="15"/>
      <c r="AX671" s="15"/>
      <c r="AY671" s="15"/>
      <c r="AZ671" s="15"/>
      <c r="BA671" s="15"/>
      <c r="BB671" s="15"/>
      <c r="BC671" s="15"/>
      <c r="BD671" s="807"/>
      <c r="BE671" s="807"/>
      <c r="BF671" s="807"/>
      <c r="BG671" s="768"/>
      <c r="BH671" s="768"/>
      <c r="BI671" s="768"/>
      <c r="BJ671" s="38">
        <f t="shared" ref="BJ671:CJ671" si="812">BJ670/BJ667</f>
        <v>0.51937122896157506</v>
      </c>
      <c r="BK671" s="38">
        <f t="shared" si="812"/>
        <v>0.38011360010211243</v>
      </c>
      <c r="BL671" s="38">
        <f t="shared" si="812"/>
        <v>0.47075883287519227</v>
      </c>
      <c r="BM671" s="38">
        <f t="shared" si="812"/>
        <v>0.45085872318668796</v>
      </c>
      <c r="BN671" s="38">
        <f t="shared" si="812"/>
        <v>0.46421389901668325</v>
      </c>
      <c r="BO671" s="38">
        <f t="shared" si="812"/>
        <v>0.56238637128812874</v>
      </c>
      <c r="BP671" s="38">
        <f t="shared" si="812"/>
        <v>0.50780334728033472</v>
      </c>
      <c r="BQ671" s="38">
        <f t="shared" si="812"/>
        <v>0.55187445510026156</v>
      </c>
      <c r="BR671" s="38">
        <f t="shared" si="812"/>
        <v>0.53769364865309333</v>
      </c>
      <c r="BS671" s="38">
        <f t="shared" si="812"/>
        <v>0.5324937183981141</v>
      </c>
      <c r="BT671" s="38">
        <f t="shared" si="812"/>
        <v>0.55526463437441542</v>
      </c>
      <c r="BU671" s="38">
        <f t="shared" si="812"/>
        <v>0.56025664306034739</v>
      </c>
      <c r="BV671" s="38">
        <f t="shared" si="812"/>
        <v>0.59649146907712169</v>
      </c>
      <c r="BW671" s="38">
        <f t="shared" si="812"/>
        <v>0.55799926350141582</v>
      </c>
      <c r="BX671" s="38">
        <f t="shared" si="812"/>
        <v>0.57957800558271055</v>
      </c>
      <c r="BY671" s="38">
        <f t="shared" si="812"/>
        <v>0.59128099220187114</v>
      </c>
      <c r="BZ671" s="38">
        <f t="shared" si="812"/>
        <v>0.59999566743208699</v>
      </c>
      <c r="CA671" s="38">
        <f t="shared" si="812"/>
        <v>0.61493154711909959</v>
      </c>
      <c r="CB671" s="38">
        <f t="shared" si="812"/>
        <v>0.6506758626141258</v>
      </c>
      <c r="CC671" s="38">
        <f t="shared" si="812"/>
        <v>0.6354311899770877</v>
      </c>
      <c r="CD671" s="38">
        <f t="shared" si="812"/>
        <v>0.61891348088531173</v>
      </c>
      <c r="CE671" s="38">
        <f t="shared" si="812"/>
        <v>0.62593116615243005</v>
      </c>
      <c r="CF671" s="38">
        <f t="shared" si="812"/>
        <v>0.63633105218848207</v>
      </c>
      <c r="CG671" s="38">
        <f t="shared" si="812"/>
        <v>0.62755395286948168</v>
      </c>
      <c r="CH671" s="38">
        <f t="shared" si="812"/>
        <v>0.64035601182703705</v>
      </c>
      <c r="CI671" s="38">
        <f t="shared" si="812"/>
        <v>0.63834210489964494</v>
      </c>
      <c r="CJ671" s="38">
        <f t="shared" si="812"/>
        <v>0.61621871491778379</v>
      </c>
      <c r="CK671" s="38">
        <f t="shared" ref="CK671:CP671" si="813">CK670/CK667</f>
        <v>0.6263282472862397</v>
      </c>
      <c r="CL671" s="38">
        <f t="shared" si="813"/>
        <v>0.63118579032058419</v>
      </c>
      <c r="CM671" s="38">
        <f t="shared" si="813"/>
        <v>0.640996331384319</v>
      </c>
      <c r="CN671" s="38">
        <f t="shared" si="813"/>
        <v>0.64467905456710184</v>
      </c>
      <c r="CO671" s="38">
        <f t="shared" si="813"/>
        <v>0.6411330884593055</v>
      </c>
      <c r="CP671" s="38">
        <f t="shared" si="813"/>
        <v>0.63706965978272501</v>
      </c>
      <c r="CQ671" s="38">
        <f t="shared" ref="CQ671:CV671" si="814">CQ670/CQ667</f>
        <v>0.64912347936535741</v>
      </c>
      <c r="CR671" s="38">
        <f t="shared" si="814"/>
        <v>0.62103144973418545</v>
      </c>
      <c r="CS671" s="38">
        <f t="shared" si="814"/>
        <v>0.61760958587400916</v>
      </c>
      <c r="CT671" s="38">
        <f t="shared" si="814"/>
        <v>0.61298921161825726</v>
      </c>
      <c r="CU671" s="38">
        <f t="shared" si="814"/>
        <v>0.62272232978808062</v>
      </c>
      <c r="CV671" s="38">
        <f t="shared" si="814"/>
        <v>0.61195437784066542</v>
      </c>
      <c r="CW671" s="38">
        <f t="shared" ref="CW671:CX671" si="815">CW670/CW667</f>
        <v>0.614530692627824</v>
      </c>
      <c r="CX671" s="38">
        <f t="shared" si="815"/>
        <v>0.60707192038555868</v>
      </c>
      <c r="CY671" s="38">
        <f t="shared" ref="CY671" si="816">CY670/CY667</f>
        <v>0.59765117738723916</v>
      </c>
      <c r="CZ671" s="23"/>
      <c r="DA671" s="23"/>
      <c r="DB671" s="23"/>
      <c r="DC671" s="23"/>
    </row>
    <row r="672" spans="2:107">
      <c r="B672" s="16" t="s">
        <v>713</v>
      </c>
      <c r="C672" s="16"/>
      <c r="D672" s="16"/>
      <c r="E672" s="16"/>
      <c r="F672" s="16"/>
      <c r="G672" s="16"/>
      <c r="H672" s="16"/>
      <c r="I672" s="15"/>
      <c r="J672" s="15"/>
      <c r="K672" s="15"/>
      <c r="L672" s="26">
        <f>SUM(BH672:BK672)</f>
        <v>8.3350000000000009</v>
      </c>
      <c r="M672" s="54">
        <f>SUM(BL672:BO672)</f>
        <v>38.06</v>
      </c>
      <c r="N672" s="54">
        <f>SUM(BP672:BS672)</f>
        <v>39.831000000000003</v>
      </c>
      <c r="O672" s="23"/>
      <c r="P672" s="23"/>
      <c r="Q672" s="23"/>
      <c r="R672" s="23"/>
      <c r="S672" s="23"/>
      <c r="T672" s="23"/>
      <c r="U672" s="23"/>
      <c r="V672" s="23"/>
      <c r="W672" s="23"/>
      <c r="X672" s="15"/>
      <c r="Y672" s="15"/>
      <c r="Z672" s="15"/>
      <c r="AA672" s="15"/>
      <c r="AB672" s="15"/>
      <c r="AC672" s="15"/>
      <c r="AD672" s="15"/>
      <c r="AE672" s="23"/>
      <c r="AF672" s="15"/>
      <c r="AG672" s="15"/>
      <c r="AH672" s="15"/>
      <c r="AI672" s="15"/>
      <c r="AJ672" s="15"/>
      <c r="AK672" s="15"/>
      <c r="AL672" s="15"/>
      <c r="AM672" s="15"/>
      <c r="AN672" s="15"/>
      <c r="AO672" s="15"/>
      <c r="AP672" s="15"/>
      <c r="AQ672" s="15"/>
      <c r="AR672" s="15"/>
      <c r="AS672" s="15"/>
      <c r="AT672" s="15"/>
      <c r="AU672" s="15"/>
      <c r="AV672" s="15"/>
      <c r="AW672" s="15"/>
      <c r="AX672" s="15"/>
      <c r="AY672" s="15"/>
      <c r="AZ672" s="15"/>
      <c r="BA672" s="15"/>
      <c r="BB672" s="15"/>
      <c r="BC672" s="15"/>
      <c r="BD672" s="807"/>
      <c r="BE672" s="807"/>
      <c r="BF672" s="807"/>
      <c r="BG672" s="26"/>
      <c r="BH672" s="26"/>
      <c r="BI672" s="26"/>
      <c r="BJ672" s="398">
        <v>1.385</v>
      </c>
      <c r="BK672" s="398">
        <v>6.95</v>
      </c>
      <c r="BL672" s="398">
        <v>9.1</v>
      </c>
      <c r="BM672" s="398">
        <v>9.2899999999999991</v>
      </c>
      <c r="BN672" s="398">
        <v>8.7949999999999999</v>
      </c>
      <c r="BO672" s="398">
        <v>10.875</v>
      </c>
      <c r="BP672" s="398">
        <v>7.8940000000000001</v>
      </c>
      <c r="BQ672" s="398">
        <v>9.7829999999999995</v>
      </c>
      <c r="BR672" s="398">
        <v>9.3810000000000002</v>
      </c>
      <c r="BS672" s="398">
        <v>12.773</v>
      </c>
      <c r="BT672" s="398">
        <v>10.673</v>
      </c>
      <c r="BU672" s="398">
        <v>13.084</v>
      </c>
      <c r="BV672" s="398">
        <v>14.365</v>
      </c>
      <c r="BW672" s="398">
        <v>16.212</v>
      </c>
      <c r="BX672" s="398">
        <v>16.936</v>
      </c>
      <c r="BY672" s="398">
        <v>17.545000000000002</v>
      </c>
      <c r="BZ672" s="398">
        <v>17.427</v>
      </c>
      <c r="CA672" s="398">
        <v>18.853000000000002</v>
      </c>
      <c r="CB672" s="398">
        <v>19.099</v>
      </c>
      <c r="CC672" s="398">
        <v>20.100000000000001</v>
      </c>
      <c r="CD672" s="398">
        <v>22.818000000000001</v>
      </c>
      <c r="CE672" s="398">
        <v>28.042999999999999</v>
      </c>
      <c r="CF672" s="398">
        <v>27.611000000000001</v>
      </c>
      <c r="CG672" s="398">
        <v>29.015999999999998</v>
      </c>
      <c r="CH672" s="398">
        <v>28.190999999999999</v>
      </c>
      <c r="CI672" s="398">
        <v>32.793999999999997</v>
      </c>
      <c r="CJ672" s="398">
        <v>30.109000000000002</v>
      </c>
      <c r="CK672" s="398">
        <v>33.084000000000003</v>
      </c>
      <c r="CL672" s="398">
        <v>32.201000000000001</v>
      </c>
      <c r="CM672" s="398">
        <v>36.225999999999999</v>
      </c>
      <c r="CN672" s="398">
        <v>30.096</v>
      </c>
      <c r="CO672" s="398">
        <v>32.003</v>
      </c>
      <c r="CP672" s="398">
        <v>31.716999999999999</v>
      </c>
      <c r="CQ672" s="398">
        <v>36.970999999999997</v>
      </c>
      <c r="CR672" s="398">
        <v>54.857999999999997</v>
      </c>
      <c r="CS672" s="398">
        <v>52.204000000000001</v>
      </c>
      <c r="CT672" s="398">
        <v>63.195</v>
      </c>
      <c r="CU672" s="398">
        <v>59.976999999999997</v>
      </c>
      <c r="CV672" s="398">
        <v>63.118000000000002</v>
      </c>
      <c r="CW672" s="398">
        <v>56.837000000000003</v>
      </c>
      <c r="CX672" s="398">
        <v>59.231999999999999</v>
      </c>
      <c r="CY672" s="398">
        <v>55.853999999999999</v>
      </c>
      <c r="CZ672" s="23"/>
      <c r="DA672" s="23"/>
      <c r="DB672" s="23"/>
      <c r="DC672" s="23"/>
    </row>
    <row r="673" spans="2:107">
      <c r="B673" s="19" t="s">
        <v>994</v>
      </c>
      <c r="C673" s="16"/>
      <c r="D673" s="16"/>
      <c r="E673" s="16"/>
      <c r="F673" s="16"/>
      <c r="G673" s="16"/>
      <c r="H673" s="16"/>
      <c r="I673" s="15"/>
      <c r="J673" s="15"/>
      <c r="K673" s="15"/>
      <c r="L673" s="26">
        <f>L670-L672</f>
        <v>6.8479999999999954</v>
      </c>
      <c r="M673" s="54">
        <f>M670-M672</f>
        <v>46.070999999999984</v>
      </c>
      <c r="N673" s="54">
        <f>N670-N672</f>
        <v>81.852999999999966</v>
      </c>
      <c r="O673" s="23"/>
      <c r="P673" s="23"/>
      <c r="Q673" s="23"/>
      <c r="R673" s="23"/>
      <c r="S673" s="23"/>
      <c r="T673" s="23"/>
      <c r="U673" s="23"/>
      <c r="V673" s="23"/>
      <c r="W673" s="23"/>
      <c r="X673" s="15"/>
      <c r="Y673" s="15"/>
      <c r="Z673" s="15"/>
      <c r="AA673" s="15"/>
      <c r="AB673" s="15"/>
      <c r="AC673" s="15"/>
      <c r="AD673" s="15"/>
      <c r="AE673" s="23"/>
      <c r="AF673" s="15"/>
      <c r="AG673" s="15"/>
      <c r="AH673" s="15"/>
      <c r="AI673" s="15"/>
      <c r="AJ673" s="15"/>
      <c r="AK673" s="15"/>
      <c r="AL673" s="15"/>
      <c r="AM673" s="15"/>
      <c r="AN673" s="15"/>
      <c r="AO673" s="15"/>
      <c r="AP673" s="15"/>
      <c r="AQ673" s="15"/>
      <c r="AR673" s="15"/>
      <c r="AS673" s="15"/>
      <c r="AT673" s="15"/>
      <c r="AU673" s="15"/>
      <c r="AV673" s="15"/>
      <c r="AW673" s="15"/>
      <c r="AX673" s="15"/>
      <c r="AY673" s="15"/>
      <c r="AZ673" s="15"/>
      <c r="BA673" s="15"/>
      <c r="BB673" s="15"/>
      <c r="BC673" s="15"/>
      <c r="BD673" s="807"/>
      <c r="BE673" s="807"/>
      <c r="BF673" s="807"/>
      <c r="BG673" s="26"/>
      <c r="BH673" s="26"/>
      <c r="BI673" s="26"/>
      <c r="BJ673" s="26">
        <f t="shared" ref="BJ673:CJ673" si="817">BJ670-BJ672</f>
        <v>1.8859999999999999</v>
      </c>
      <c r="BK673" s="26">
        <f t="shared" si="817"/>
        <v>4.9619999999999989</v>
      </c>
      <c r="BL673" s="26">
        <f t="shared" si="817"/>
        <v>9.5669999999999984</v>
      </c>
      <c r="BM673" s="26">
        <f t="shared" si="817"/>
        <v>10.109999999999996</v>
      </c>
      <c r="BN673" s="26">
        <f t="shared" si="817"/>
        <v>12.213000000000003</v>
      </c>
      <c r="BO673" s="26">
        <f t="shared" si="817"/>
        <v>14.181000000000004</v>
      </c>
      <c r="BP673" s="54">
        <f t="shared" si="817"/>
        <v>16.378999999999998</v>
      </c>
      <c r="BQ673" s="54">
        <f t="shared" si="817"/>
        <v>20.601000000000006</v>
      </c>
      <c r="BR673" s="54">
        <f t="shared" si="817"/>
        <v>23.313999999999993</v>
      </c>
      <c r="BS673" s="54">
        <f t="shared" si="817"/>
        <v>21.559000000000008</v>
      </c>
      <c r="BT673" s="54">
        <f t="shared" si="817"/>
        <v>24.954999999999984</v>
      </c>
      <c r="BU673" s="54">
        <f t="shared" si="817"/>
        <v>23.94</v>
      </c>
      <c r="BV673" s="54">
        <f t="shared" si="817"/>
        <v>29.05599999999999</v>
      </c>
      <c r="BW673" s="54">
        <f t="shared" si="817"/>
        <v>27.730999999999991</v>
      </c>
      <c r="BX673" s="54">
        <f t="shared" si="817"/>
        <v>30.611999999999988</v>
      </c>
      <c r="BY673" s="54">
        <f t="shared" si="817"/>
        <v>34.849000000000004</v>
      </c>
      <c r="BZ673" s="54">
        <f t="shared" si="817"/>
        <v>37.966999999999999</v>
      </c>
      <c r="CA673" s="54">
        <f t="shared" si="817"/>
        <v>39.717999999999989</v>
      </c>
      <c r="CB673" s="54">
        <f t="shared" si="817"/>
        <v>46.751999999999967</v>
      </c>
      <c r="CC673" s="54">
        <f t="shared" si="817"/>
        <v>45.073</v>
      </c>
      <c r="CD673" s="54">
        <f t="shared" si="817"/>
        <v>46.391999999999982</v>
      </c>
      <c r="CE673" s="54">
        <f t="shared" si="817"/>
        <v>45.395000000000017</v>
      </c>
      <c r="CF673" s="54">
        <f t="shared" si="817"/>
        <v>48.728999999999999</v>
      </c>
      <c r="CG673" s="54">
        <f t="shared" si="817"/>
        <v>50.689</v>
      </c>
      <c r="CH673" s="54">
        <f t="shared" si="817"/>
        <v>57.13900000000001</v>
      </c>
      <c r="CI673" s="54">
        <f t="shared" si="817"/>
        <v>59.628999999999976</v>
      </c>
      <c r="CJ673" s="54">
        <f t="shared" si="817"/>
        <v>63.205000000000005</v>
      </c>
      <c r="CK673" s="54">
        <f t="shared" ref="CK673:CP673" si="818">CK670-CK672</f>
        <v>65.350999999999999</v>
      </c>
      <c r="CL673" s="54">
        <f t="shared" si="818"/>
        <v>69.785999999999973</v>
      </c>
      <c r="CM673" s="54">
        <f t="shared" si="818"/>
        <v>70.880000000000024</v>
      </c>
      <c r="CN673" s="54">
        <f t="shared" si="818"/>
        <v>76.033000000000015</v>
      </c>
      <c r="CO673" s="54">
        <f t="shared" si="818"/>
        <v>79.533000000000015</v>
      </c>
      <c r="CP673" s="54">
        <f t="shared" si="818"/>
        <v>81.40300000000002</v>
      </c>
      <c r="CQ673" s="54">
        <f t="shared" ref="CQ673:CV673" si="819">CQ670-CQ672</f>
        <v>81.593999999999994</v>
      </c>
      <c r="CR673" s="54">
        <f t="shared" si="819"/>
        <v>111.48899999999998</v>
      </c>
      <c r="CS673" s="54">
        <f t="shared" si="819"/>
        <v>133.45499999999998</v>
      </c>
      <c r="CT673" s="54">
        <f t="shared" si="819"/>
        <v>121.46800000000002</v>
      </c>
      <c r="CU673" s="54">
        <f t="shared" si="819"/>
        <v>127.85100000000003</v>
      </c>
      <c r="CV673" s="54">
        <f t="shared" si="819"/>
        <v>129.55400000000003</v>
      </c>
      <c r="CW673" s="54">
        <f t="shared" ref="CW673:CX673" si="820">CW670-CW672</f>
        <v>141.62200000000001</v>
      </c>
      <c r="CX673" s="54">
        <f t="shared" si="820"/>
        <v>146.46400000000003</v>
      </c>
      <c r="CY673" s="54">
        <f t="shared" ref="CY673" si="821">CY670-CY672</f>
        <v>165.05700000000002</v>
      </c>
      <c r="CZ673" s="23"/>
      <c r="DA673" s="23"/>
      <c r="DB673" s="23"/>
      <c r="DC673" s="23"/>
    </row>
    <row r="674" spans="2:107">
      <c r="B674" s="832" t="s">
        <v>1426</v>
      </c>
      <c r="C674" s="811"/>
      <c r="D674" s="811"/>
      <c r="E674" s="811"/>
      <c r="F674" s="811"/>
      <c r="G674" s="811"/>
      <c r="H674" s="811"/>
      <c r="I674" s="48"/>
      <c r="J674" s="48"/>
      <c r="K674" s="812"/>
      <c r="L674" s="813">
        <f>L673/L667</f>
        <v>0.18195344882559242</v>
      </c>
      <c r="M674" s="813">
        <f>M673/M667</f>
        <v>0.26709374456490226</v>
      </c>
      <c r="N674" s="813">
        <f>N673/N667</f>
        <v>0.35879037065609976</v>
      </c>
      <c r="O674" s="52"/>
      <c r="P674" s="52"/>
      <c r="Q674" s="52"/>
      <c r="R674" s="52"/>
      <c r="S674" s="52"/>
      <c r="T674" s="52"/>
      <c r="U674" s="52"/>
      <c r="V674" s="52"/>
      <c r="W674" s="52"/>
      <c r="X674" s="48"/>
      <c r="Y674" s="48"/>
      <c r="Z674" s="48"/>
      <c r="AA674" s="48"/>
      <c r="AB674" s="48"/>
      <c r="AC674" s="48"/>
      <c r="AD674" s="48"/>
      <c r="AE674" s="52"/>
      <c r="AF674" s="48"/>
      <c r="AG674" s="48"/>
      <c r="AH674" s="48"/>
      <c r="AI674" s="48"/>
      <c r="AJ674" s="48"/>
      <c r="AK674" s="48"/>
      <c r="AL674" s="48"/>
      <c r="AM674" s="48"/>
      <c r="AN674" s="48"/>
      <c r="AO674" s="48"/>
      <c r="AP674" s="48"/>
      <c r="AQ674" s="48"/>
      <c r="AR674" s="48"/>
      <c r="AS674" s="48"/>
      <c r="AT674" s="48"/>
      <c r="AU674" s="48"/>
      <c r="AV674" s="48"/>
      <c r="AW674" s="48"/>
      <c r="AX674" s="48"/>
      <c r="AY674" s="48"/>
      <c r="AZ674" s="48"/>
      <c r="BA674" s="48"/>
      <c r="BB674" s="48"/>
      <c r="BC674" s="48"/>
      <c r="BD674" s="816"/>
      <c r="BE674" s="816"/>
      <c r="BF674" s="816"/>
      <c r="BG674" s="817"/>
      <c r="BH674" s="817"/>
      <c r="BI674" s="817"/>
      <c r="BJ674" s="813">
        <f t="shared" ref="BJ674:CJ674" si="822">BJ673/BJ667</f>
        <v>0.29946014607811999</v>
      </c>
      <c r="BK674" s="813">
        <f t="shared" si="822"/>
        <v>0.15833811985448973</v>
      </c>
      <c r="BL674" s="813">
        <f t="shared" si="822"/>
        <v>0.24126799989912487</v>
      </c>
      <c r="BM674" s="813">
        <f t="shared" si="822"/>
        <v>0.23495781914522756</v>
      </c>
      <c r="BN674" s="813">
        <f t="shared" si="822"/>
        <v>0.26987073251574417</v>
      </c>
      <c r="BO674" s="813">
        <f t="shared" si="822"/>
        <v>0.31829506430543403</v>
      </c>
      <c r="BP674" s="813">
        <f t="shared" si="822"/>
        <v>0.34265690376569036</v>
      </c>
      <c r="BQ674" s="813">
        <f t="shared" si="822"/>
        <v>0.3741826503923279</v>
      </c>
      <c r="BR674" s="813">
        <f t="shared" si="822"/>
        <v>0.38341611025227762</v>
      </c>
      <c r="BS674" s="813">
        <f t="shared" si="822"/>
        <v>0.33438285200235762</v>
      </c>
      <c r="BT674" s="813">
        <f t="shared" si="822"/>
        <v>0.38892525403653122</v>
      </c>
      <c r="BU674" s="813">
        <f t="shared" si="822"/>
        <v>0.36226620664608677</v>
      </c>
      <c r="BV674" s="813">
        <f t="shared" si="822"/>
        <v>0.3991537764101436</v>
      </c>
      <c r="BW674" s="813">
        <f t="shared" si="822"/>
        <v>0.35213521098144779</v>
      </c>
      <c r="BX674" s="813">
        <f t="shared" si="822"/>
        <v>0.37313960433452376</v>
      </c>
      <c r="BY674" s="813">
        <f t="shared" si="822"/>
        <v>0.39328074392569773</v>
      </c>
      <c r="BZ674" s="813">
        <f t="shared" si="822"/>
        <v>0.41123651488237078</v>
      </c>
      <c r="CA674" s="813">
        <f t="shared" si="822"/>
        <v>0.41699563245422466</v>
      </c>
      <c r="CB674" s="813">
        <f t="shared" si="822"/>
        <v>0.46195802537449088</v>
      </c>
      <c r="CC674" s="813">
        <f t="shared" si="822"/>
        <v>0.43945790474333352</v>
      </c>
      <c r="CD674" s="813">
        <f t="shared" si="822"/>
        <v>0.41486250838363503</v>
      </c>
      <c r="CE674" s="813">
        <f t="shared" si="822"/>
        <v>0.38691338663211916</v>
      </c>
      <c r="CF674" s="813">
        <f t="shared" si="822"/>
        <v>0.40617992981520229</v>
      </c>
      <c r="CG674" s="813">
        <f t="shared" si="822"/>
        <v>0.39909770173767212</v>
      </c>
      <c r="CH674" s="813">
        <f t="shared" si="822"/>
        <v>0.42879763459258258</v>
      </c>
      <c r="CI674" s="813">
        <f t="shared" si="822"/>
        <v>0.41184230519525361</v>
      </c>
      <c r="CJ674" s="813">
        <f t="shared" si="822"/>
        <v>0.41738757181536024</v>
      </c>
      <c r="CK674" s="813">
        <f t="shared" ref="CK674:CP674" si="823">CK673/CK667</f>
        <v>0.41581934564334888</v>
      </c>
      <c r="CL674" s="813">
        <f t="shared" si="823"/>
        <v>0.43189751206832516</v>
      </c>
      <c r="CM674" s="813">
        <f t="shared" si="823"/>
        <v>0.42419490942169941</v>
      </c>
      <c r="CN674" s="813">
        <f t="shared" si="823"/>
        <v>0.46186134379764676</v>
      </c>
      <c r="CO674" s="813">
        <f t="shared" si="823"/>
        <v>0.45717291210401978</v>
      </c>
      <c r="CP674" s="813">
        <f t="shared" si="823"/>
        <v>0.45844573475329892</v>
      </c>
      <c r="CQ674" s="813">
        <f t="shared" ref="CQ674:CV674" si="824">CQ673/CQ667</f>
        <v>0.44671345823250513</v>
      </c>
      <c r="CR674" s="813">
        <f t="shared" si="824"/>
        <v>0.41622737590347042</v>
      </c>
      <c r="CS674" s="813">
        <f t="shared" si="824"/>
        <v>0.44394878396854381</v>
      </c>
      <c r="CT674" s="813">
        <f t="shared" si="824"/>
        <v>0.40321327800829881</v>
      </c>
      <c r="CU674" s="813">
        <f t="shared" si="824"/>
        <v>0.42387542105402759</v>
      </c>
      <c r="CV674" s="813">
        <f t="shared" si="824"/>
        <v>0.41148240256378499</v>
      </c>
      <c r="CW674" s="813">
        <f t="shared" ref="CW674:CX674" si="825">CW673/CW667</f>
        <v>0.4385342350376536</v>
      </c>
      <c r="CX674" s="813">
        <f t="shared" si="825"/>
        <v>0.43226013995094931</v>
      </c>
      <c r="CY674" s="813">
        <f t="shared" ref="CY674" si="826">CY673/CY667</f>
        <v>0.44654413037832225</v>
      </c>
      <c r="CZ674" s="828"/>
      <c r="DA674" s="828"/>
      <c r="DB674" s="828"/>
      <c r="DC674" s="828"/>
    </row>
    <row r="675" spans="2:107">
      <c r="B675" s="23"/>
      <c r="C675" s="23"/>
      <c r="D675" s="15"/>
      <c r="E675" s="15"/>
      <c r="F675" s="15"/>
      <c r="G675" s="15"/>
      <c r="H675" s="15"/>
      <c r="I675" s="15"/>
      <c r="J675" s="15"/>
      <c r="K675" s="15"/>
      <c r="L675" s="15"/>
      <c r="M675" s="23"/>
      <c r="N675" s="23"/>
      <c r="O675" s="23"/>
      <c r="P675" s="23"/>
      <c r="Q675" s="23"/>
      <c r="R675" s="23"/>
      <c r="S675" s="23"/>
      <c r="T675" s="23"/>
      <c r="U675" s="23"/>
      <c r="V675" s="23"/>
      <c r="W675" s="23"/>
      <c r="X675" s="15"/>
      <c r="Y675" s="15"/>
      <c r="Z675" s="15"/>
      <c r="AA675" s="15"/>
      <c r="AB675" s="15"/>
      <c r="AC675" s="15"/>
      <c r="AD675" s="15"/>
      <c r="AE675" s="23"/>
      <c r="AF675" s="15"/>
      <c r="AG675" s="15"/>
      <c r="AH675" s="15"/>
      <c r="AI675" s="15"/>
      <c r="AJ675" s="15"/>
      <c r="AK675" s="15"/>
      <c r="AL675" s="15"/>
      <c r="AM675" s="15"/>
      <c r="AN675" s="15"/>
      <c r="AO675" s="15"/>
      <c r="AP675" s="15"/>
      <c r="AQ675" s="15"/>
      <c r="AR675" s="15"/>
      <c r="AS675" s="15"/>
      <c r="AT675" s="15"/>
      <c r="AU675" s="15"/>
      <c r="AV675" s="15"/>
      <c r="AW675" s="15"/>
      <c r="AX675" s="15"/>
      <c r="AY675" s="15"/>
      <c r="AZ675" s="15"/>
      <c r="BA675" s="15"/>
      <c r="BB675" s="15"/>
      <c r="BC675" s="15"/>
      <c r="BD675" s="15"/>
      <c r="BE675" s="15"/>
      <c r="BF675" s="15"/>
      <c r="BG675" s="15"/>
      <c r="BH675" s="15"/>
      <c r="BI675" s="15"/>
      <c r="BJ675" s="15"/>
      <c r="BK675" s="15"/>
      <c r="BL675" s="15"/>
      <c r="BM675" s="15"/>
      <c r="BN675" s="15"/>
      <c r="BO675" s="15"/>
      <c r="BP675" s="23"/>
      <c r="BQ675" s="23"/>
      <c r="BR675" s="23"/>
      <c r="BS675" s="23"/>
      <c r="BT675" s="23"/>
      <c r="BU675" s="23"/>
      <c r="BV675" s="23"/>
      <c r="BW675" s="23"/>
      <c r="BX675" s="23"/>
      <c r="BY675" s="23"/>
      <c r="BZ675" s="23"/>
      <c r="CA675" s="23"/>
      <c r="CB675" s="23"/>
      <c r="CC675" s="23"/>
      <c r="CD675" s="23"/>
      <c r="CE675" s="23"/>
      <c r="CF675" s="23"/>
      <c r="CG675" s="23"/>
      <c r="CH675" s="23"/>
      <c r="CI675" s="23"/>
      <c r="CJ675" s="23"/>
      <c r="CK675" s="23"/>
      <c r="CL675" s="23"/>
      <c r="CM675" s="23"/>
      <c r="CN675" s="23"/>
      <c r="CO675" s="23"/>
      <c r="CP675" s="23"/>
      <c r="CQ675" s="23"/>
      <c r="CR675" s="23"/>
      <c r="CS675" s="23"/>
      <c r="CT675" s="23"/>
      <c r="CU675" s="23"/>
      <c r="CV675" s="23"/>
      <c r="CW675" s="23"/>
      <c r="CX675" s="23"/>
      <c r="CY675" s="23"/>
      <c r="CZ675" s="23"/>
      <c r="DA675" s="23"/>
      <c r="DB675" s="23"/>
      <c r="DC675" s="23"/>
    </row>
    <row r="676" spans="2:107">
      <c r="B676" s="203" t="s">
        <v>733</v>
      </c>
      <c r="C676" s="204"/>
      <c r="D676" s="138"/>
      <c r="E676" s="138"/>
      <c r="F676" s="138"/>
      <c r="G676" s="138"/>
      <c r="H676" s="138"/>
      <c r="I676" s="138"/>
      <c r="J676" s="138"/>
      <c r="K676" s="138"/>
      <c r="L676" s="138"/>
      <c r="M676" s="205"/>
      <c r="N676" s="205"/>
      <c r="O676" s="205"/>
      <c r="P676" s="205"/>
      <c r="Q676" s="205"/>
      <c r="R676" s="205"/>
      <c r="S676" s="205"/>
      <c r="T676" s="205"/>
      <c r="U676" s="205"/>
      <c r="V676" s="205"/>
      <c r="W676" s="205"/>
      <c r="X676" s="139"/>
      <c r="Y676" s="139"/>
      <c r="Z676" s="139"/>
      <c r="AA676" s="139"/>
      <c r="AB676" s="139"/>
      <c r="AC676" s="139"/>
      <c r="AD676" s="139"/>
      <c r="AE676" s="204"/>
      <c r="AF676" s="138"/>
      <c r="AG676" s="138"/>
      <c r="AH676" s="138"/>
      <c r="AI676" s="138"/>
      <c r="AJ676" s="138"/>
      <c r="AK676" s="138"/>
      <c r="AL676" s="138"/>
      <c r="AM676" s="138"/>
      <c r="AN676" s="138"/>
      <c r="AO676" s="138"/>
      <c r="AP676" s="138"/>
      <c r="AQ676" s="138"/>
      <c r="AR676" s="138"/>
      <c r="AS676" s="138"/>
      <c r="AT676" s="138"/>
      <c r="AU676" s="138"/>
      <c r="AV676" s="138"/>
      <c r="AW676" s="138"/>
      <c r="AX676" s="138"/>
      <c r="AY676" s="138"/>
      <c r="AZ676" s="138"/>
      <c r="BA676" s="138"/>
      <c r="BB676" s="138"/>
      <c r="BC676" s="138"/>
      <c r="BD676" s="140"/>
      <c r="BE676" s="140"/>
      <c r="BF676" s="140"/>
      <c r="BG676" s="140"/>
      <c r="BH676" s="140"/>
      <c r="BI676" s="140"/>
      <c r="BJ676" s="140"/>
      <c r="BK676" s="140"/>
      <c r="BL676" s="140"/>
      <c r="BM676" s="140"/>
      <c r="BN676" s="140"/>
      <c r="BO676" s="140"/>
      <c r="BP676" s="205"/>
      <c r="BQ676" s="205"/>
      <c r="BR676" s="205"/>
      <c r="BS676" s="205"/>
      <c r="BT676" s="205"/>
      <c r="BU676" s="205"/>
      <c r="BV676" s="205"/>
      <c r="BW676" s="205"/>
      <c r="BX676" s="205"/>
      <c r="BY676" s="205"/>
      <c r="BZ676" s="205"/>
      <c r="CA676" s="205"/>
      <c r="CB676" s="205"/>
      <c r="CC676" s="205"/>
      <c r="CD676" s="205"/>
      <c r="CE676" s="205"/>
      <c r="CF676" s="205"/>
      <c r="CG676" s="205"/>
      <c r="CH676" s="205"/>
      <c r="CI676" s="205"/>
      <c r="CJ676" s="205"/>
      <c r="CK676" s="205"/>
      <c r="CL676" s="205"/>
      <c r="CM676" s="205"/>
      <c r="CN676" s="205"/>
      <c r="CO676" s="205"/>
      <c r="CP676" s="205"/>
      <c r="CQ676" s="205"/>
      <c r="CR676" s="205"/>
      <c r="CS676" s="205"/>
      <c r="CT676" s="205"/>
      <c r="CU676" s="205"/>
      <c r="CV676" s="205"/>
      <c r="CW676" s="205"/>
      <c r="CX676" s="205"/>
      <c r="CY676" s="205"/>
      <c r="CZ676" s="205"/>
      <c r="DA676" s="205"/>
      <c r="DB676" s="205"/>
      <c r="DC676" s="205"/>
    </row>
    <row r="677" spans="2:107" ht="12.75" customHeight="1">
      <c r="B677" s="206"/>
      <c r="C677" s="197"/>
      <c r="D677" s="31"/>
      <c r="E677" s="31"/>
      <c r="F677" s="31"/>
      <c r="G677" s="31"/>
      <c r="H677" s="31"/>
      <c r="I677" s="31"/>
      <c r="J677" s="31"/>
      <c r="K677" s="31"/>
      <c r="L677" s="31"/>
      <c r="M677" s="199"/>
      <c r="N677" s="199"/>
      <c r="O677" s="199"/>
      <c r="P677" s="199"/>
      <c r="Q677" s="199"/>
      <c r="R677" s="199"/>
      <c r="S677" s="199"/>
      <c r="T677" s="199"/>
      <c r="U677" s="199"/>
      <c r="V677" s="199"/>
      <c r="W677" s="199"/>
      <c r="X677" s="39"/>
      <c r="Y677" s="39"/>
      <c r="Z677" s="39"/>
      <c r="AA677" s="39"/>
      <c r="AB677" s="39"/>
      <c r="AC677" s="39"/>
      <c r="AD677" s="39"/>
      <c r="AE677" s="197"/>
      <c r="AF677" s="31"/>
      <c r="AG677" s="31"/>
      <c r="AH677" s="31"/>
      <c r="AI677" s="31"/>
      <c r="AJ677" s="31"/>
      <c r="AK677" s="31"/>
      <c r="AL677" s="31"/>
      <c r="AM677" s="31"/>
      <c r="AN677" s="31"/>
      <c r="AO677" s="31"/>
      <c r="AP677" s="31"/>
      <c r="AQ677" s="31"/>
      <c r="AR677" s="31"/>
      <c r="AS677" s="31"/>
      <c r="AT677" s="31"/>
      <c r="AU677" s="31"/>
      <c r="AV677" s="31"/>
      <c r="AW677" s="31"/>
      <c r="AX677" s="31"/>
      <c r="AY677" s="31"/>
      <c r="AZ677" s="31"/>
      <c r="BA677" s="31"/>
      <c r="BB677" s="31"/>
      <c r="BC677" s="31"/>
      <c r="BD677" s="32"/>
      <c r="BE677" s="32"/>
      <c r="BF677" s="32"/>
      <c r="BG677" s="32"/>
      <c r="BH677" s="32"/>
      <c r="BI677" s="32"/>
      <c r="BJ677" s="32"/>
      <c r="BK677" s="32"/>
      <c r="BL677" s="32"/>
      <c r="BM677" s="32"/>
      <c r="BN677" s="32"/>
      <c r="BO677" s="32"/>
      <c r="BP677" s="199"/>
      <c r="BQ677" s="199"/>
      <c r="BR677" s="199"/>
      <c r="BS677" s="199"/>
      <c r="BT677" s="199"/>
      <c r="BU677" s="199"/>
      <c r="BV677" s="199"/>
      <c r="BW677" s="199"/>
      <c r="BX677" s="199"/>
      <c r="BY677" s="199"/>
      <c r="BZ677" s="199"/>
      <c r="CA677" s="199"/>
      <c r="CB677" s="199"/>
      <c r="CC677" s="199"/>
      <c r="CD677" s="199"/>
      <c r="CE677" s="199"/>
      <c r="CF677" s="199"/>
      <c r="CG677" s="199"/>
      <c r="CH677" s="199"/>
      <c r="CI677" s="199"/>
      <c r="CJ677" s="199"/>
      <c r="CK677" s="199"/>
      <c r="CL677" s="199"/>
      <c r="CM677" s="199"/>
      <c r="CN677" s="199"/>
      <c r="CO677" s="199"/>
      <c r="CP677" s="199"/>
      <c r="CQ677" s="199"/>
      <c r="CR677" s="199"/>
      <c r="CS677" s="199"/>
      <c r="CT677" s="199"/>
      <c r="CU677" s="199"/>
      <c r="CV677" s="199"/>
      <c r="CW677" s="199"/>
      <c r="CX677" s="199"/>
      <c r="CY677" s="199"/>
      <c r="CZ677" s="199"/>
      <c r="DA677" s="199"/>
      <c r="DB677" s="199"/>
      <c r="DC677" s="199"/>
    </row>
    <row r="678" spans="2:107">
      <c r="B678" s="164" t="s">
        <v>1422</v>
      </c>
      <c r="C678" s="197"/>
      <c r="D678" s="31"/>
      <c r="E678" s="31"/>
      <c r="F678" s="31"/>
      <c r="G678" s="31"/>
      <c r="H678" s="31"/>
      <c r="I678" s="31"/>
      <c r="J678" s="31"/>
      <c r="K678" s="31"/>
      <c r="L678" s="31"/>
      <c r="M678" s="199"/>
      <c r="N678" s="27">
        <f>BS678</f>
        <v>8776</v>
      </c>
      <c r="O678" s="27">
        <f>BW678</f>
        <v>13378</v>
      </c>
      <c r="P678" s="27">
        <f>CA678</f>
        <v>17400</v>
      </c>
      <c r="Q678" s="27">
        <f>CE678</f>
        <v>27200</v>
      </c>
      <c r="R678" s="27">
        <f>CI678</f>
        <v>32100</v>
      </c>
      <c r="S678" s="27">
        <f>CM678</f>
        <v>36900</v>
      </c>
      <c r="T678" s="27">
        <f>CQ678</f>
        <v>43900</v>
      </c>
      <c r="U678" s="27">
        <f>CU678</f>
        <v>82900</v>
      </c>
      <c r="V678" s="27">
        <f>CY678</f>
        <v>92200</v>
      </c>
      <c r="W678" s="27">
        <f>DC678</f>
        <v>103771.91228199999</v>
      </c>
      <c r="X678" s="27">
        <f>W678*(1+X679)</f>
        <v>113037.73769093498</v>
      </c>
      <c r="Y678" s="27">
        <f>X678*(1+Y679)</f>
        <v>123312.73368812093</v>
      </c>
      <c r="Z678" s="27">
        <f>Y678*(1+Z679)</f>
        <v>133897.7869774233</v>
      </c>
      <c r="AA678" s="27">
        <f t="shared" ref="AA678:AD678" si="827">Z678*(1+AA679)</f>
        <v>144770.07390303875</v>
      </c>
      <c r="AB678" s="27">
        <f t="shared" si="827"/>
        <v>155927.12920914157</v>
      </c>
      <c r="AC678" s="27">
        <f t="shared" si="827"/>
        <v>167366.8696802436</v>
      </c>
      <c r="AD678" s="27">
        <f t="shared" si="827"/>
        <v>179087.53761787352</v>
      </c>
      <c r="AE678" s="197"/>
      <c r="AF678" s="31"/>
      <c r="AG678" s="31"/>
      <c r="AH678" s="31"/>
      <c r="AI678" s="31"/>
      <c r="AJ678" s="31"/>
      <c r="AK678" s="31"/>
      <c r="AL678" s="31"/>
      <c r="AM678" s="31"/>
      <c r="AN678" s="31"/>
      <c r="AO678" s="31"/>
      <c r="AP678" s="31"/>
      <c r="AQ678" s="31"/>
      <c r="AR678" s="31"/>
      <c r="AS678" s="31"/>
      <c r="AT678" s="31"/>
      <c r="AU678" s="31"/>
      <c r="AV678" s="163"/>
      <c r="AW678" s="163"/>
      <c r="AX678" s="163"/>
      <c r="AY678" s="169"/>
      <c r="AZ678" s="169"/>
      <c r="BA678" s="169"/>
      <c r="BB678" s="169"/>
      <c r="BC678" s="169"/>
      <c r="BD678" s="169"/>
      <c r="BE678" s="169"/>
      <c r="BF678" s="169"/>
      <c r="BG678" s="169"/>
      <c r="BH678" s="169"/>
      <c r="BI678" s="169"/>
      <c r="BJ678" s="169"/>
      <c r="BK678" s="169"/>
      <c r="BL678" s="169"/>
      <c r="BM678" s="169"/>
      <c r="BN678" s="169"/>
      <c r="BO678" s="169"/>
      <c r="BP678" s="211">
        <v>6868</v>
      </c>
      <c r="BQ678" s="211">
        <v>7555</v>
      </c>
      <c r="BR678" s="211">
        <v>8177</v>
      </c>
      <c r="BS678" s="211">
        <v>8776</v>
      </c>
      <c r="BT678" s="211">
        <v>9974</v>
      </c>
      <c r="BU678" s="211">
        <v>11163</v>
      </c>
      <c r="BV678" s="211">
        <v>12128</v>
      </c>
      <c r="BW678" s="211">
        <v>13378</v>
      </c>
      <c r="BX678" s="211">
        <v>13718</v>
      </c>
      <c r="BY678" s="211">
        <v>14711</v>
      </c>
      <c r="BZ678" s="1645">
        <v>15800</v>
      </c>
      <c r="CA678" s="1645">
        <v>17400</v>
      </c>
      <c r="CB678" s="1645">
        <v>18400</v>
      </c>
      <c r="CC678" s="211">
        <v>19100</v>
      </c>
      <c r="CD678" s="211">
        <v>26500</v>
      </c>
      <c r="CE678" s="211">
        <v>27200</v>
      </c>
      <c r="CF678" s="211">
        <v>28100</v>
      </c>
      <c r="CG678" s="211">
        <v>29300</v>
      </c>
      <c r="CH678" s="211">
        <v>30700</v>
      </c>
      <c r="CI678" s="211">
        <v>32100</v>
      </c>
      <c r="CJ678" s="211">
        <v>33400</v>
      </c>
      <c r="CK678" s="211">
        <v>34600</v>
      </c>
      <c r="CL678" s="211">
        <v>35700</v>
      </c>
      <c r="CM678" s="211">
        <v>36900</v>
      </c>
      <c r="CN678" s="211">
        <v>38400</v>
      </c>
      <c r="CO678" s="211">
        <v>39700</v>
      </c>
      <c r="CP678" s="211">
        <v>41500</v>
      </c>
      <c r="CQ678" s="211">
        <v>43900</v>
      </c>
      <c r="CR678" s="211">
        <v>44500</v>
      </c>
      <c r="CS678" s="211">
        <v>45500</v>
      </c>
      <c r="CT678" s="211">
        <v>46300</v>
      </c>
      <c r="CU678" s="211">
        <v>82900</v>
      </c>
      <c r="CV678" s="211">
        <v>84900</v>
      </c>
      <c r="CW678" s="211">
        <v>87400</v>
      </c>
      <c r="CX678" s="211">
        <v>89600</v>
      </c>
      <c r="CY678" s="211">
        <v>92200</v>
      </c>
      <c r="CZ678" s="27">
        <f t="shared" ref="CZ678:DC678" si="828">CY678*(1+CZ680)</f>
        <v>94966</v>
      </c>
      <c r="DA678" s="27">
        <f t="shared" si="828"/>
        <v>97814.98</v>
      </c>
      <c r="DB678" s="27">
        <f t="shared" si="828"/>
        <v>100749.42939999999</v>
      </c>
      <c r="DC678" s="27">
        <f t="shared" si="828"/>
        <v>103771.91228199999</v>
      </c>
    </row>
    <row r="679" spans="2:107">
      <c r="B679" s="37" t="s">
        <v>709</v>
      </c>
      <c r="C679" s="197"/>
      <c r="D679" s="31"/>
      <c r="E679" s="31"/>
      <c r="F679" s="31"/>
      <c r="G679" s="31"/>
      <c r="H679" s="31"/>
      <c r="I679" s="31"/>
      <c r="J679" s="31"/>
      <c r="K679" s="31"/>
      <c r="L679" s="31"/>
      <c r="M679" s="199"/>
      <c r="N679" s="1155"/>
      <c r="O679" s="1155">
        <f t="shared" ref="O679:W679" si="829">+O678/N678-1</f>
        <v>0.52438468550592532</v>
      </c>
      <c r="P679" s="1155">
        <f t="shared" si="829"/>
        <v>0.30064284646434447</v>
      </c>
      <c r="Q679" s="1155">
        <f t="shared" si="829"/>
        <v>0.56321839080459779</v>
      </c>
      <c r="R679" s="1155">
        <f t="shared" si="829"/>
        <v>0.18014705882352944</v>
      </c>
      <c r="S679" s="1155">
        <f t="shared" si="829"/>
        <v>0.14953271028037385</v>
      </c>
      <c r="T679" s="1155">
        <f t="shared" si="829"/>
        <v>0.18970189701897011</v>
      </c>
      <c r="U679" s="1155">
        <f t="shared" si="829"/>
        <v>0.88838268792710706</v>
      </c>
      <c r="V679" s="1155">
        <f t="shared" si="829"/>
        <v>0.11218335343787689</v>
      </c>
      <c r="W679" s="1155">
        <f t="shared" si="829"/>
        <v>0.12550880999999992</v>
      </c>
      <c r="X679" s="1621">
        <f>+CHOOSE(mode,Rev!X681,Rev!X682,Rev!X683)</f>
        <v>8.9290302213523298E-2</v>
      </c>
      <c r="Y679" s="1621">
        <f>+CHOOSE(mode,Rev!Y681,Rev!Y682,Rev!Y683)</f>
        <v>9.0898811379962197E-2</v>
      </c>
      <c r="Z679" s="1621">
        <f>+CHOOSE(mode,Rev!Z681,Rev!Z682,Rev!Z683)</f>
        <v>8.5839093601426109E-2</v>
      </c>
      <c r="AA679" s="1621">
        <f>+CHOOSE(mode,Rev!AA681,Rev!AA682,Rev!AA683)</f>
        <v>8.1198406419134006E-2</v>
      </c>
      <c r="AB679" s="1621">
        <f>+CHOOSE(mode,Rev!AB681,Rev!AB682,Rev!AB683)</f>
        <v>7.7067414592710271E-2</v>
      </c>
      <c r="AC679" s="1621">
        <f>+CHOOSE(mode,Rev!AC681,Rev!AC682,Rev!AC683)</f>
        <v>7.3365940417963738E-2</v>
      </c>
      <c r="AD679" s="1621">
        <f>+CHOOSE(mode,Rev!AD681,Rev!AD682,Rev!AD683)</f>
        <v>7.0029797175644171E-2</v>
      </c>
      <c r="AE679" s="197"/>
      <c r="AF679" s="31"/>
      <c r="AG679" s="31"/>
      <c r="AH679" s="31"/>
      <c r="AI679" s="31"/>
      <c r="AJ679" s="31"/>
      <c r="AK679" s="31"/>
      <c r="AL679" s="31"/>
      <c r="AM679" s="31"/>
      <c r="AN679" s="31"/>
      <c r="AO679" s="31"/>
      <c r="AP679" s="31"/>
      <c r="AQ679" s="31"/>
      <c r="AR679" s="31"/>
      <c r="AS679" s="31"/>
      <c r="AT679" s="31"/>
      <c r="AU679" s="31"/>
      <c r="AV679" s="163"/>
      <c r="AW679" s="163"/>
      <c r="AX679" s="163"/>
      <c r="AY679" s="163"/>
      <c r="AZ679" s="163"/>
      <c r="BA679" s="163"/>
      <c r="BB679" s="163"/>
      <c r="BC679" s="38"/>
      <c r="BD679" s="38"/>
      <c r="BE679" s="38"/>
      <c r="BF679" s="38"/>
      <c r="BG679" s="38"/>
      <c r="BH679" s="38"/>
      <c r="BI679" s="38"/>
      <c r="BJ679" s="38"/>
      <c r="BK679" s="38"/>
      <c r="BL679" s="38"/>
      <c r="BM679" s="38"/>
      <c r="BN679" s="38"/>
      <c r="BO679" s="38"/>
      <c r="BP679" s="38"/>
      <c r="BQ679" s="38"/>
      <c r="BR679" s="38"/>
      <c r="BS679" s="38"/>
      <c r="BT679" s="38">
        <f t="shared" ref="BT679:CY679" si="830">BT678/BP678-1</f>
        <v>0.45224228305183467</v>
      </c>
      <c r="BU679" s="38">
        <f t="shared" si="830"/>
        <v>0.47756452680344141</v>
      </c>
      <c r="BV679" s="38">
        <f t="shared" si="830"/>
        <v>0.48318454200807137</v>
      </c>
      <c r="BW679" s="38">
        <f t="shared" si="830"/>
        <v>0.52438468550592532</v>
      </c>
      <c r="BX679" s="38">
        <f t="shared" si="830"/>
        <v>0.37537597754160812</v>
      </c>
      <c r="BY679" s="38">
        <f t="shared" si="830"/>
        <v>0.31783570724715582</v>
      </c>
      <c r="BZ679" s="38">
        <f t="shared" si="830"/>
        <v>0.30277044854881274</v>
      </c>
      <c r="CA679" s="38">
        <f t="shared" si="830"/>
        <v>0.30064284646434447</v>
      </c>
      <c r="CB679" s="38">
        <f t="shared" si="830"/>
        <v>0.3413033969966468</v>
      </c>
      <c r="CC679" s="38">
        <f t="shared" si="830"/>
        <v>0.2983481748351573</v>
      </c>
      <c r="CD679" s="38">
        <f t="shared" si="830"/>
        <v>0.67721518987341778</v>
      </c>
      <c r="CE679" s="38">
        <f t="shared" si="830"/>
        <v>0.56321839080459779</v>
      </c>
      <c r="CF679" s="38">
        <f t="shared" si="830"/>
        <v>0.52717391304347827</v>
      </c>
      <c r="CG679" s="38">
        <f t="shared" si="830"/>
        <v>0.53403141361256545</v>
      </c>
      <c r="CH679" s="38">
        <f t="shared" si="830"/>
        <v>0.15849056603773581</v>
      </c>
      <c r="CI679" s="38">
        <f t="shared" si="830"/>
        <v>0.18014705882352944</v>
      </c>
      <c r="CJ679" s="38">
        <f t="shared" si="830"/>
        <v>0.18861209964412806</v>
      </c>
      <c r="CK679" s="38">
        <f t="shared" si="830"/>
        <v>0.1808873720136519</v>
      </c>
      <c r="CL679" s="38">
        <f t="shared" si="830"/>
        <v>0.16286644951140072</v>
      </c>
      <c r="CM679" s="38">
        <f t="shared" si="830"/>
        <v>0.14953271028037385</v>
      </c>
      <c r="CN679" s="38">
        <f t="shared" si="830"/>
        <v>0.14970059880239517</v>
      </c>
      <c r="CO679" s="38">
        <f t="shared" si="830"/>
        <v>0.14739884393063574</v>
      </c>
      <c r="CP679" s="38">
        <f t="shared" si="830"/>
        <v>0.16246498599439785</v>
      </c>
      <c r="CQ679" s="38">
        <f t="shared" si="830"/>
        <v>0.18970189701897011</v>
      </c>
      <c r="CR679" s="38">
        <f t="shared" si="830"/>
        <v>0.15885416666666674</v>
      </c>
      <c r="CS679" s="38">
        <f t="shared" si="830"/>
        <v>0.14609571788413089</v>
      </c>
      <c r="CT679" s="38">
        <f t="shared" si="830"/>
        <v>0.11566265060240966</v>
      </c>
      <c r="CU679" s="38">
        <f t="shared" si="830"/>
        <v>0.88838268792710706</v>
      </c>
      <c r="CV679" s="38">
        <f t="shared" si="830"/>
        <v>0.90786516853932575</v>
      </c>
      <c r="CW679" s="38">
        <f t="shared" si="830"/>
        <v>0.92087912087912094</v>
      </c>
      <c r="CX679" s="38">
        <f t="shared" si="830"/>
        <v>0.93520518358531324</v>
      </c>
      <c r="CY679" s="38">
        <f t="shared" si="830"/>
        <v>0.11218335343787689</v>
      </c>
      <c r="CZ679" s="38">
        <f t="shared" ref="CZ679:DC679" si="831">CZ678/CV678-1</f>
        <v>0.11856301531213198</v>
      </c>
      <c r="DA679" s="38">
        <f t="shared" si="831"/>
        <v>0.11916453089244849</v>
      </c>
      <c r="DB679" s="38">
        <f t="shared" si="831"/>
        <v>0.12443559598214282</v>
      </c>
      <c r="DC679" s="38">
        <f t="shared" si="831"/>
        <v>0.12550880999999992</v>
      </c>
    </row>
    <row r="680" spans="2:107">
      <c r="B680" s="37" t="s">
        <v>710</v>
      </c>
      <c r="C680" s="197"/>
      <c r="D680" s="31"/>
      <c r="E680" s="31"/>
      <c r="F680" s="31"/>
      <c r="G680" s="31"/>
      <c r="H680" s="31"/>
      <c r="I680" s="31"/>
      <c r="J680" s="31"/>
      <c r="K680" s="31"/>
      <c r="L680" s="31"/>
      <c r="M680" s="199"/>
      <c r="N680" s="199"/>
      <c r="O680" s="199"/>
      <c r="P680" s="23"/>
      <c r="Q680" s="23"/>
      <c r="R680" s="23"/>
      <c r="S680" s="23"/>
      <c r="T680" s="23"/>
      <c r="U680" s="23"/>
      <c r="V680" s="23"/>
      <c r="W680" s="23"/>
      <c r="X680" s="15"/>
      <c r="Y680" s="15"/>
      <c r="Z680" s="15"/>
      <c r="AA680" s="15"/>
      <c r="AB680" s="15"/>
      <c r="AC680" s="15"/>
      <c r="AD680" s="15"/>
      <c r="AE680" s="197"/>
      <c r="AF680" s="31"/>
      <c r="AG680" s="31"/>
      <c r="AH680" s="31"/>
      <c r="AI680" s="31"/>
      <c r="AJ680" s="31"/>
      <c r="AK680" s="31"/>
      <c r="AL680" s="31"/>
      <c r="AM680" s="31"/>
      <c r="AN680" s="31"/>
      <c r="AO680" s="31"/>
      <c r="AP680" s="31"/>
      <c r="AQ680" s="31"/>
      <c r="AR680" s="31"/>
      <c r="AS680" s="31"/>
      <c r="AT680" s="31"/>
      <c r="AU680" s="31"/>
      <c r="AV680" s="163"/>
      <c r="AW680" s="163"/>
      <c r="AX680" s="163"/>
      <c r="AY680" s="163"/>
      <c r="AZ680" s="38"/>
      <c r="BA680" s="38"/>
      <c r="BB680" s="38"/>
      <c r="BC680" s="38"/>
      <c r="BD680" s="38"/>
      <c r="BE680" s="38"/>
      <c r="BF680" s="38"/>
      <c r="BG680" s="38"/>
      <c r="BH680" s="38"/>
      <c r="BI680" s="38"/>
      <c r="BJ680" s="38"/>
      <c r="BK680" s="38"/>
      <c r="BL680" s="38"/>
      <c r="BM680" s="38"/>
      <c r="BN680" s="38"/>
      <c r="BO680" s="38"/>
      <c r="BP680" s="38"/>
      <c r="BQ680" s="38">
        <f t="shared" ref="BQ680:CY680" si="832">BQ678/BP678-1</f>
        <v>0.10002912055911484</v>
      </c>
      <c r="BR680" s="38">
        <f t="shared" si="832"/>
        <v>8.2329583057577871E-2</v>
      </c>
      <c r="BS680" s="38">
        <f t="shared" si="832"/>
        <v>7.325424972483785E-2</v>
      </c>
      <c r="BT680" s="38">
        <f t="shared" si="832"/>
        <v>0.13650865998176842</v>
      </c>
      <c r="BU680" s="38">
        <f t="shared" si="832"/>
        <v>0.11920994585923395</v>
      </c>
      <c r="BV680" s="38">
        <f t="shared" si="832"/>
        <v>8.6446295798620509E-2</v>
      </c>
      <c r="BW680" s="38">
        <f t="shared" si="832"/>
        <v>0.10306728232189966</v>
      </c>
      <c r="BX680" s="38">
        <f t="shared" si="832"/>
        <v>2.5414860218268887E-2</v>
      </c>
      <c r="BY680" s="38">
        <f t="shared" si="832"/>
        <v>7.2386645283569084E-2</v>
      </c>
      <c r="BZ680" s="38">
        <f t="shared" si="832"/>
        <v>7.4026238868873717E-2</v>
      </c>
      <c r="CA680" s="38">
        <f t="shared" si="832"/>
        <v>0.10126582278481022</v>
      </c>
      <c r="CB680" s="38">
        <f t="shared" si="832"/>
        <v>5.7471264367816133E-2</v>
      </c>
      <c r="CC680" s="38">
        <f t="shared" si="832"/>
        <v>3.8043478260869623E-2</v>
      </c>
      <c r="CD680" s="38">
        <f t="shared" si="832"/>
        <v>0.38743455497382207</v>
      </c>
      <c r="CE680" s="38">
        <f t="shared" si="832"/>
        <v>2.6415094339622636E-2</v>
      </c>
      <c r="CF680" s="38">
        <f t="shared" si="832"/>
        <v>3.3088235294117752E-2</v>
      </c>
      <c r="CG680" s="38">
        <f t="shared" si="832"/>
        <v>4.2704626334519658E-2</v>
      </c>
      <c r="CH680" s="38">
        <f t="shared" si="832"/>
        <v>4.7781569965870352E-2</v>
      </c>
      <c r="CI680" s="38">
        <f t="shared" si="832"/>
        <v>4.5602605863192203E-2</v>
      </c>
      <c r="CJ680" s="38">
        <f t="shared" si="832"/>
        <v>4.049844236760114E-2</v>
      </c>
      <c r="CK680" s="38">
        <f t="shared" si="832"/>
        <v>3.5928143712574911E-2</v>
      </c>
      <c r="CL680" s="38">
        <f t="shared" si="832"/>
        <v>3.1791907514450823E-2</v>
      </c>
      <c r="CM680" s="38">
        <f t="shared" si="832"/>
        <v>3.3613445378151363E-2</v>
      </c>
      <c r="CN680" s="38">
        <f t="shared" si="832"/>
        <v>4.0650406504065151E-2</v>
      </c>
      <c r="CO680" s="38">
        <f t="shared" si="832"/>
        <v>3.3854166666666741E-2</v>
      </c>
      <c r="CP680" s="38">
        <f t="shared" si="832"/>
        <v>4.534005037783384E-2</v>
      </c>
      <c r="CQ680" s="38">
        <f t="shared" si="832"/>
        <v>5.7831325301204828E-2</v>
      </c>
      <c r="CR680" s="38">
        <f t="shared" si="832"/>
        <v>1.3667425968109326E-2</v>
      </c>
      <c r="CS680" s="38">
        <f t="shared" si="832"/>
        <v>2.2471910112359605E-2</v>
      </c>
      <c r="CT680" s="38">
        <f t="shared" si="832"/>
        <v>1.758241758241752E-2</v>
      </c>
      <c r="CU680" s="38">
        <f t="shared" si="832"/>
        <v>0.79049676025917925</v>
      </c>
      <c r="CV680" s="38">
        <f t="shared" si="832"/>
        <v>2.4125452352231624E-2</v>
      </c>
      <c r="CW680" s="38">
        <f t="shared" si="832"/>
        <v>2.9446407538280317E-2</v>
      </c>
      <c r="CX680" s="38">
        <f t="shared" si="832"/>
        <v>2.517162471395884E-2</v>
      </c>
      <c r="CY680" s="38">
        <f t="shared" si="832"/>
        <v>2.9017857142857206E-2</v>
      </c>
      <c r="CZ680" s="1621">
        <f>+CHOOSE(mode,Rev!CZ681,Rev!CZ682,Rev!CZ683)</f>
        <v>0.03</v>
      </c>
      <c r="DA680" s="1621">
        <f>+CHOOSE(mode,Rev!DA681,Rev!DA682,Rev!DA683)</f>
        <v>0.03</v>
      </c>
      <c r="DB680" s="1621">
        <f>+CHOOSE(mode,Rev!DB681,Rev!DB682,Rev!DB683)</f>
        <v>0.03</v>
      </c>
      <c r="DC680" s="1621">
        <f>+CHOOSE(mode,Rev!DC681,Rev!DC682,Rev!DC683)</f>
        <v>0.03</v>
      </c>
    </row>
    <row r="681" spans="2:107" outlineLevel="1">
      <c r="B681" s="134" t="s">
        <v>1046</v>
      </c>
      <c r="C681" s="135"/>
      <c r="D681" s="135"/>
      <c r="E681" s="135"/>
      <c r="F681" s="135"/>
      <c r="G681" s="135"/>
      <c r="H681" s="135"/>
      <c r="I681" s="135"/>
      <c r="J681" s="135"/>
      <c r="K681" s="135"/>
      <c r="L681" s="135"/>
      <c r="M681" s="136"/>
      <c r="N681" s="136"/>
      <c r="O681" s="136"/>
      <c r="P681" s="137"/>
      <c r="Q681" s="137"/>
      <c r="R681" s="137"/>
      <c r="S681" s="137"/>
      <c r="T681" s="137"/>
      <c r="U681" s="137"/>
      <c r="V681" s="137"/>
      <c r="W681" s="137"/>
      <c r="X681" s="137">
        <f>X682+0.075</f>
        <v>0.16429030221352331</v>
      </c>
      <c r="Y681" s="137">
        <f>Y682+0.075</f>
        <v>0.16589881137996221</v>
      </c>
      <c r="Z681" s="137">
        <f>Z682+0.075</f>
        <v>0.16083909360142612</v>
      </c>
      <c r="AA681" s="137">
        <f t="shared" ref="AA681:AD681" si="833">AA682+0.075</f>
        <v>0.15619840641913402</v>
      </c>
      <c r="AB681" s="137">
        <f t="shared" si="833"/>
        <v>0.15206741459271028</v>
      </c>
      <c r="AC681" s="137">
        <f t="shared" si="833"/>
        <v>0.14836594041796375</v>
      </c>
      <c r="AD681" s="137">
        <f t="shared" si="833"/>
        <v>0.14502979717564418</v>
      </c>
      <c r="AE681" s="135"/>
      <c r="AF681" s="135"/>
      <c r="AG681" s="135"/>
      <c r="AH681" s="135"/>
      <c r="AI681" s="135"/>
      <c r="AJ681" s="135"/>
      <c r="AK681" s="135"/>
      <c r="AL681" s="135"/>
      <c r="AM681" s="135"/>
      <c r="AN681" s="135"/>
      <c r="AO681" s="135"/>
      <c r="AP681" s="135"/>
      <c r="AQ681" s="135"/>
      <c r="AR681" s="135"/>
      <c r="AS681" s="135"/>
      <c r="AT681" s="135"/>
      <c r="AU681" s="135"/>
      <c r="AV681" s="135"/>
      <c r="AW681" s="135"/>
      <c r="AX681" s="135"/>
      <c r="AY681" s="135"/>
      <c r="AZ681" s="135"/>
      <c r="BA681" s="135"/>
      <c r="BB681" s="135"/>
      <c r="BC681" s="135"/>
      <c r="BD681" s="137"/>
      <c r="BE681" s="137"/>
      <c r="BF681" s="137"/>
      <c r="BG681" s="137"/>
      <c r="BH681" s="137"/>
      <c r="BI681" s="137"/>
      <c r="BJ681" s="137"/>
      <c r="BK681" s="137"/>
      <c r="BL681" s="137"/>
      <c r="BM681" s="137"/>
      <c r="BN681" s="137"/>
      <c r="BO681" s="137"/>
      <c r="BP681" s="136"/>
      <c r="BQ681" s="136"/>
      <c r="BR681" s="136"/>
      <c r="BS681" s="136"/>
      <c r="BT681" s="136"/>
      <c r="BU681" s="136"/>
      <c r="BV681" s="167"/>
      <c r="BW681" s="167"/>
      <c r="BX681" s="167"/>
      <c r="BY681" s="167"/>
      <c r="BZ681" s="167"/>
      <c r="CA681" s="167"/>
      <c r="CB681" s="167"/>
      <c r="CC681" s="167"/>
      <c r="CD681" s="167"/>
      <c r="CE681" s="167"/>
      <c r="CF681" s="167"/>
      <c r="CG681" s="167"/>
      <c r="CH681" s="167"/>
      <c r="CI681" s="167"/>
      <c r="CJ681" s="167"/>
      <c r="CK681" s="167"/>
      <c r="CL681" s="167"/>
      <c r="CM681" s="167"/>
      <c r="CN681" s="167"/>
      <c r="CO681" s="167"/>
      <c r="CP681" s="167"/>
      <c r="CQ681" s="167"/>
      <c r="CR681" s="167"/>
      <c r="CS681" s="167"/>
      <c r="CT681" s="167"/>
      <c r="CU681" s="167"/>
      <c r="CV681" s="167"/>
      <c r="CW681" s="167"/>
      <c r="CX681" s="167"/>
      <c r="CY681" s="167"/>
      <c r="CZ681" s="167">
        <f t="shared" ref="CZ681:DC681" si="834">CZ682+1.75%</f>
        <v>4.7500000000000001E-2</v>
      </c>
      <c r="DA681" s="167">
        <f t="shared" si="834"/>
        <v>4.7500000000000001E-2</v>
      </c>
      <c r="DB681" s="167">
        <f t="shared" si="834"/>
        <v>4.7500000000000001E-2</v>
      </c>
      <c r="DC681" s="167">
        <f t="shared" si="834"/>
        <v>4.7500000000000001E-2</v>
      </c>
    </row>
    <row r="682" spans="2:107" outlineLevel="1">
      <c r="B682" s="134" t="s">
        <v>1047</v>
      </c>
      <c r="C682" s="135"/>
      <c r="D682" s="135"/>
      <c r="E682" s="135"/>
      <c r="F682" s="135"/>
      <c r="G682" s="135"/>
      <c r="H682" s="135"/>
      <c r="I682" s="135"/>
      <c r="J682" s="135"/>
      <c r="K682" s="135"/>
      <c r="L682" s="135"/>
      <c r="M682" s="136"/>
      <c r="N682" s="136"/>
      <c r="O682" s="136"/>
      <c r="P682" s="137"/>
      <c r="Q682" s="137"/>
      <c r="R682" s="137"/>
      <c r="S682" s="137"/>
      <c r="T682" s="137"/>
      <c r="U682" s="137"/>
      <c r="V682" s="137"/>
      <c r="W682" s="137"/>
      <c r="X682" s="137">
        <f>+(X623/W623-1)*1.25</f>
        <v>8.9290302213523298E-2</v>
      </c>
      <c r="Y682" s="137">
        <f>+(Y623/X623-1)*1.25</f>
        <v>9.0898811379962197E-2</v>
      </c>
      <c r="Z682" s="137">
        <f>+(Z623/Y623-1)*1.25</f>
        <v>8.5839093601426109E-2</v>
      </c>
      <c r="AA682" s="137">
        <f t="shared" ref="AA682:AD682" si="835">+(AA623/Z623-1)*1.25</f>
        <v>8.1198406419134006E-2</v>
      </c>
      <c r="AB682" s="137">
        <f t="shared" si="835"/>
        <v>7.7067414592710271E-2</v>
      </c>
      <c r="AC682" s="137">
        <f t="shared" si="835"/>
        <v>7.3365940417963738E-2</v>
      </c>
      <c r="AD682" s="137">
        <f t="shared" si="835"/>
        <v>7.0029797175644171E-2</v>
      </c>
      <c r="AE682" s="135"/>
      <c r="AF682" s="135"/>
      <c r="AG682" s="135"/>
      <c r="AH682" s="135"/>
      <c r="AI682" s="135"/>
      <c r="AJ682" s="135"/>
      <c r="AK682" s="135"/>
      <c r="AL682" s="135"/>
      <c r="AM682" s="135"/>
      <c r="AN682" s="135"/>
      <c r="AO682" s="135"/>
      <c r="AP682" s="135"/>
      <c r="AQ682" s="135"/>
      <c r="AR682" s="135"/>
      <c r="AS682" s="135"/>
      <c r="AT682" s="135"/>
      <c r="AU682" s="135"/>
      <c r="AV682" s="135"/>
      <c r="AW682" s="135"/>
      <c r="AX682" s="135"/>
      <c r="AY682" s="135"/>
      <c r="AZ682" s="135"/>
      <c r="BA682" s="135"/>
      <c r="BB682" s="135"/>
      <c r="BC682" s="135"/>
      <c r="BD682" s="137"/>
      <c r="BE682" s="137"/>
      <c r="BF682" s="137"/>
      <c r="BG682" s="137"/>
      <c r="BH682" s="137"/>
      <c r="BI682" s="137"/>
      <c r="BJ682" s="137"/>
      <c r="BK682" s="137"/>
      <c r="BL682" s="137"/>
      <c r="BM682" s="137"/>
      <c r="BN682" s="137"/>
      <c r="BO682" s="137"/>
      <c r="BP682" s="136"/>
      <c r="BQ682" s="136"/>
      <c r="BR682" s="136"/>
      <c r="BS682" s="136"/>
      <c r="BT682" s="136"/>
      <c r="BU682" s="136"/>
      <c r="BV682" s="167"/>
      <c r="BW682" s="167"/>
      <c r="BX682" s="167"/>
      <c r="BY682" s="167"/>
      <c r="BZ682" s="167"/>
      <c r="CA682" s="167"/>
      <c r="CB682" s="1616">
        <f t="shared" ref="CB682:CG682" si="836">+CB680</f>
        <v>5.7471264367816133E-2</v>
      </c>
      <c r="CC682" s="1616">
        <f t="shared" si="836"/>
        <v>3.8043478260869623E-2</v>
      </c>
      <c r="CD682" s="1616">
        <f t="shared" si="836"/>
        <v>0.38743455497382207</v>
      </c>
      <c r="CE682" s="1616">
        <f t="shared" si="836"/>
        <v>2.6415094339622636E-2</v>
      </c>
      <c r="CF682" s="1616">
        <f t="shared" si="836"/>
        <v>3.3088235294117752E-2</v>
      </c>
      <c r="CG682" s="1616">
        <f t="shared" si="836"/>
        <v>4.2704626334519658E-2</v>
      </c>
      <c r="CH682" s="1616">
        <f t="shared" ref="CH682:CM682" si="837">+CH680</f>
        <v>4.7781569965870352E-2</v>
      </c>
      <c r="CI682" s="1616">
        <f t="shared" si="837"/>
        <v>4.5602605863192203E-2</v>
      </c>
      <c r="CJ682" s="1616">
        <f t="shared" si="837"/>
        <v>4.049844236760114E-2</v>
      </c>
      <c r="CK682" s="1616">
        <f t="shared" si="837"/>
        <v>3.5928143712574911E-2</v>
      </c>
      <c r="CL682" s="1616">
        <f t="shared" si="837"/>
        <v>3.1791907514450823E-2</v>
      </c>
      <c r="CM682" s="1616">
        <f t="shared" si="837"/>
        <v>3.3613445378151363E-2</v>
      </c>
      <c r="CN682" s="1616">
        <f t="shared" ref="CN682:CS682" si="838">+CN680</f>
        <v>4.0650406504065151E-2</v>
      </c>
      <c r="CO682" s="1616">
        <f t="shared" si="838"/>
        <v>3.3854166666666741E-2</v>
      </c>
      <c r="CP682" s="1616">
        <f t="shared" si="838"/>
        <v>4.534005037783384E-2</v>
      </c>
      <c r="CQ682" s="1616">
        <f t="shared" si="838"/>
        <v>5.7831325301204828E-2</v>
      </c>
      <c r="CR682" s="1616">
        <f t="shared" si="838"/>
        <v>1.3667425968109326E-2</v>
      </c>
      <c r="CS682" s="1616">
        <f t="shared" si="838"/>
        <v>2.2471910112359605E-2</v>
      </c>
      <c r="CT682" s="1616">
        <f t="shared" ref="CT682:CY682" si="839">+CT680</f>
        <v>1.758241758241752E-2</v>
      </c>
      <c r="CU682" s="1616">
        <f t="shared" si="839"/>
        <v>0.79049676025917925</v>
      </c>
      <c r="CV682" s="1616">
        <f t="shared" si="839"/>
        <v>2.4125452352231624E-2</v>
      </c>
      <c r="CW682" s="1616">
        <f t="shared" si="839"/>
        <v>2.9446407538280317E-2</v>
      </c>
      <c r="CX682" s="1616">
        <f t="shared" si="839"/>
        <v>2.517162471395884E-2</v>
      </c>
      <c r="CY682" s="1616">
        <f t="shared" si="839"/>
        <v>2.9017857142857206E-2</v>
      </c>
      <c r="CZ682" s="167">
        <v>0.03</v>
      </c>
      <c r="DA682" s="167">
        <v>0.03</v>
      </c>
      <c r="DB682" s="167">
        <v>0.03</v>
      </c>
      <c r="DC682" s="167">
        <v>0.03</v>
      </c>
    </row>
    <row r="683" spans="2:107" outlineLevel="1">
      <c r="B683" s="134" t="s">
        <v>1048</v>
      </c>
      <c r="C683" s="135"/>
      <c r="D683" s="135"/>
      <c r="E683" s="135"/>
      <c r="F683" s="135"/>
      <c r="G683" s="135"/>
      <c r="H683" s="135"/>
      <c r="I683" s="135"/>
      <c r="J683" s="135"/>
      <c r="K683" s="135"/>
      <c r="L683" s="135"/>
      <c r="M683" s="136"/>
      <c r="N683" s="136"/>
      <c r="O683" s="136"/>
      <c r="P683" s="137"/>
      <c r="Q683" s="137"/>
      <c r="R683" s="137"/>
      <c r="S683" s="137"/>
      <c r="T683" s="137"/>
      <c r="U683" s="137"/>
      <c r="V683" s="137"/>
      <c r="W683" s="137"/>
      <c r="X683" s="137">
        <f>X682-0.15</f>
        <v>-6.0709697786476696E-2</v>
      </c>
      <c r="Y683" s="137">
        <f>Y682-0.15</f>
        <v>-5.9101188620037798E-2</v>
      </c>
      <c r="Z683" s="137">
        <f>Z682-0.15</f>
        <v>-6.4160906398573886E-2</v>
      </c>
      <c r="AA683" s="137">
        <f t="shared" ref="AA683:AD683" si="840">AA682-0.15</f>
        <v>-6.8801593580865988E-2</v>
      </c>
      <c r="AB683" s="137">
        <f t="shared" si="840"/>
        <v>-7.2932585407289724E-2</v>
      </c>
      <c r="AC683" s="137">
        <f t="shared" si="840"/>
        <v>-7.6634059582036257E-2</v>
      </c>
      <c r="AD683" s="137">
        <f t="shared" si="840"/>
        <v>-7.9970202824355824E-2</v>
      </c>
      <c r="AE683" s="135"/>
      <c r="AF683" s="135"/>
      <c r="AG683" s="135"/>
      <c r="AH683" s="135"/>
      <c r="AI683" s="135"/>
      <c r="AJ683" s="135"/>
      <c r="AK683" s="135"/>
      <c r="AL683" s="135"/>
      <c r="AM683" s="135"/>
      <c r="AN683" s="135"/>
      <c r="AO683" s="135"/>
      <c r="AP683" s="135"/>
      <c r="AQ683" s="135"/>
      <c r="AR683" s="135"/>
      <c r="AS683" s="135"/>
      <c r="AT683" s="135"/>
      <c r="AU683" s="135"/>
      <c r="AV683" s="135"/>
      <c r="AW683" s="135"/>
      <c r="AX683" s="135"/>
      <c r="AY683" s="135"/>
      <c r="AZ683" s="135"/>
      <c r="BA683" s="135"/>
      <c r="BB683" s="135"/>
      <c r="BC683" s="135"/>
      <c r="BD683" s="137"/>
      <c r="BE683" s="137"/>
      <c r="BF683" s="137"/>
      <c r="BG683" s="137"/>
      <c r="BH683" s="137"/>
      <c r="BI683" s="137"/>
      <c r="BJ683" s="137"/>
      <c r="BK683" s="137"/>
      <c r="BL683" s="137"/>
      <c r="BM683" s="137"/>
      <c r="BN683" s="137"/>
      <c r="BO683" s="137"/>
      <c r="BP683" s="136"/>
      <c r="BQ683" s="136"/>
      <c r="BR683" s="136"/>
      <c r="BS683" s="136"/>
      <c r="BT683" s="136"/>
      <c r="BU683" s="136"/>
      <c r="BV683" s="167"/>
      <c r="BW683" s="167"/>
      <c r="BX683" s="167"/>
      <c r="BY683" s="167"/>
      <c r="BZ683" s="167"/>
      <c r="CA683" s="167"/>
      <c r="CB683" s="167"/>
      <c r="CC683" s="167"/>
      <c r="CD683" s="167"/>
      <c r="CE683" s="167"/>
      <c r="CF683" s="167"/>
      <c r="CG683" s="167"/>
      <c r="CH683" s="167"/>
      <c r="CI683" s="167"/>
      <c r="CJ683" s="167"/>
      <c r="CK683" s="167"/>
      <c r="CL683" s="167"/>
      <c r="CM683" s="167"/>
      <c r="CN683" s="167"/>
      <c r="CO683" s="167"/>
      <c r="CP683" s="167"/>
      <c r="CQ683" s="167"/>
      <c r="CR683" s="167"/>
      <c r="CS683" s="167"/>
      <c r="CT683" s="167"/>
      <c r="CU683" s="167"/>
      <c r="CV683" s="167"/>
      <c r="CW683" s="167"/>
      <c r="CX683" s="167"/>
      <c r="CY683" s="167"/>
      <c r="CZ683" s="167">
        <f t="shared" ref="CZ683:DC683" si="841">CZ682-0.5%</f>
        <v>2.4999999999999998E-2</v>
      </c>
      <c r="DA683" s="167">
        <f t="shared" si="841"/>
        <v>2.4999999999999998E-2</v>
      </c>
      <c r="DB683" s="167">
        <f t="shared" si="841"/>
        <v>2.4999999999999998E-2</v>
      </c>
      <c r="DC683" s="167">
        <f t="shared" si="841"/>
        <v>2.4999999999999998E-2</v>
      </c>
    </row>
    <row r="684" spans="2:107">
      <c r="B684" s="37"/>
      <c r="C684" s="197"/>
      <c r="D684" s="31"/>
      <c r="E684" s="31"/>
      <c r="F684" s="31"/>
      <c r="G684" s="31"/>
      <c r="H684" s="31"/>
      <c r="I684" s="31"/>
      <c r="J684" s="31"/>
      <c r="K684" s="31"/>
      <c r="L684" s="31"/>
      <c r="M684" s="199"/>
      <c r="N684" s="199"/>
      <c r="O684" s="199"/>
      <c r="P684" s="199"/>
      <c r="Q684" s="199"/>
      <c r="R684" s="199"/>
      <c r="S684" s="199"/>
      <c r="T684" s="199"/>
      <c r="U684" s="199"/>
      <c r="V684" s="199"/>
      <c r="W684" s="199"/>
      <c r="X684" s="39"/>
      <c r="Y684" s="39"/>
      <c r="Z684" s="39"/>
      <c r="AA684" s="39"/>
      <c r="AB684" s="39"/>
      <c r="AC684" s="39"/>
      <c r="AD684" s="39"/>
      <c r="AE684" s="197"/>
      <c r="AF684" s="31"/>
      <c r="AG684" s="31"/>
      <c r="AH684" s="31"/>
      <c r="AI684" s="31"/>
      <c r="AJ684" s="31"/>
      <c r="AK684" s="31"/>
      <c r="AL684" s="31"/>
      <c r="AM684" s="31"/>
      <c r="AN684" s="31"/>
      <c r="AO684" s="31"/>
      <c r="AP684" s="31"/>
      <c r="AQ684" s="31"/>
      <c r="AR684" s="31"/>
      <c r="AS684" s="31"/>
      <c r="AT684" s="31"/>
      <c r="AU684" s="31"/>
      <c r="AV684" s="163"/>
      <c r="AW684" s="163"/>
      <c r="AX684" s="163"/>
      <c r="AY684" s="163"/>
      <c r="AZ684" s="38"/>
      <c r="BA684" s="38"/>
      <c r="BB684" s="38"/>
      <c r="BC684" s="38"/>
      <c r="BD684" s="38"/>
      <c r="BE684" s="38"/>
      <c r="BF684" s="38"/>
      <c r="BG684" s="38"/>
      <c r="BH684" s="38"/>
      <c r="BI684" s="38"/>
      <c r="BJ684" s="38"/>
      <c r="BK684" s="38"/>
      <c r="BL684" s="38"/>
      <c r="BM684" s="38"/>
      <c r="BN684" s="38"/>
      <c r="BO684" s="38"/>
      <c r="BP684" s="38"/>
      <c r="BQ684" s="38"/>
      <c r="BR684" s="207"/>
      <c r="BS684" s="207"/>
      <c r="BT684" s="207"/>
      <c r="BU684" s="207"/>
      <c r="BV684" s="207"/>
      <c r="BW684" s="199"/>
      <c r="BX684" s="199"/>
      <c r="BY684" s="199"/>
      <c r="BZ684" s="199"/>
      <c r="CA684" s="199"/>
      <c r="CB684" s="199"/>
      <c r="CC684" s="199"/>
      <c r="CD684" s="199"/>
      <c r="CE684" s="199"/>
      <c r="CF684" s="199"/>
      <c r="CG684" s="199"/>
      <c r="CH684" s="199"/>
      <c r="CI684" s="199"/>
      <c r="CJ684" s="199"/>
      <c r="CK684" s="199"/>
      <c r="CL684" s="199"/>
      <c r="CM684" s="199"/>
      <c r="CN684" s="199"/>
      <c r="CO684" s="199"/>
      <c r="CP684" s="199"/>
      <c r="CQ684" s="199"/>
      <c r="CR684" s="199"/>
      <c r="CS684" s="199"/>
      <c r="CT684" s="199"/>
      <c r="CU684" s="199"/>
      <c r="CV684" s="199"/>
      <c r="CW684" s="199"/>
      <c r="CX684" s="199"/>
      <c r="CY684" s="199"/>
      <c r="CZ684" s="199"/>
      <c r="DA684" s="199"/>
      <c r="DB684" s="199"/>
      <c r="DC684" s="199"/>
    </row>
    <row r="685" spans="2:107">
      <c r="B685" s="17" t="s">
        <v>726</v>
      </c>
      <c r="C685" s="197"/>
      <c r="D685" s="31"/>
      <c r="E685" s="31"/>
      <c r="F685" s="31"/>
      <c r="G685" s="31"/>
      <c r="H685" s="31"/>
      <c r="I685" s="31"/>
      <c r="J685" s="31"/>
      <c r="K685" s="31"/>
      <c r="L685" s="31"/>
      <c r="M685" s="199"/>
      <c r="N685" s="166">
        <f t="shared" ref="N685:Z685" si="842">AVERAGE(M678:N678)/N623</f>
        <v>0.50148571428571431</v>
      </c>
      <c r="O685" s="166">
        <f t="shared" si="842"/>
        <v>0.57843342036553524</v>
      </c>
      <c r="P685" s="166">
        <f t="shared" si="842"/>
        <v>0.67643956043956044</v>
      </c>
      <c r="Q685" s="166">
        <f t="shared" si="842"/>
        <v>0.87194525904203324</v>
      </c>
      <c r="R685" s="166">
        <f t="shared" si="842"/>
        <v>1.0430958663148637</v>
      </c>
      <c r="S685" s="166">
        <f t="shared" si="842"/>
        <v>1.0222222222222221</v>
      </c>
      <c r="T685" s="166">
        <f t="shared" si="842"/>
        <v>1.0562091503267974</v>
      </c>
      <c r="U685" s="166">
        <f t="shared" si="842"/>
        <v>1.2610641471904525</v>
      </c>
      <c r="V685" s="166">
        <f t="shared" si="842"/>
        <v>1.1029921259842519</v>
      </c>
      <c r="W685" s="166">
        <f t="shared" si="842"/>
        <v>1.1235677372710662</v>
      </c>
      <c r="X685" s="166">
        <f t="shared" si="842"/>
        <v>1.1601638443000726</v>
      </c>
      <c r="Y685" s="166">
        <f t="shared" si="842"/>
        <v>1.1789929239567589</v>
      </c>
      <c r="Z685" s="166">
        <f t="shared" si="842"/>
        <v>1.2006027071528826</v>
      </c>
      <c r="AA685" s="166">
        <f t="shared" ref="AA685" si="843">AVERAGE(Z678:AA678)/AA623</f>
        <v>1.2214190734310584</v>
      </c>
      <c r="AB685" s="166">
        <f t="shared" ref="AB685" si="844">AVERAGE(AA678:AB678)/AB623</f>
        <v>1.2414356989041673</v>
      </c>
      <c r="AC685" s="166">
        <f t="shared" ref="AC685" si="845">AVERAGE(AB678:AC678)/AC623</f>
        <v>1.260731327003374</v>
      </c>
      <c r="AD685" s="166">
        <f t="shared" ref="AD685" si="846">AVERAGE(AC678:AD678)/AD623</f>
        <v>1.2793732620413254</v>
      </c>
      <c r="AE685" s="197"/>
      <c r="AF685" s="31"/>
      <c r="AG685" s="31"/>
      <c r="AH685" s="31"/>
      <c r="AI685" s="31"/>
      <c r="AJ685" s="31"/>
      <c r="AK685" s="31"/>
      <c r="AL685" s="31"/>
      <c r="AM685" s="31"/>
      <c r="AN685" s="31"/>
      <c r="AO685" s="31"/>
      <c r="AP685" s="31"/>
      <c r="AQ685" s="31"/>
      <c r="AR685" s="31"/>
      <c r="AS685" s="31"/>
      <c r="AT685" s="31"/>
      <c r="AU685" s="31"/>
      <c r="AV685" s="31"/>
      <c r="AW685" s="31"/>
      <c r="AX685" s="31"/>
      <c r="AY685" s="165"/>
      <c r="AZ685" s="165"/>
      <c r="BA685" s="165"/>
      <c r="BB685" s="165"/>
      <c r="BC685" s="165"/>
      <c r="BD685" s="165"/>
      <c r="BE685" s="165"/>
      <c r="BF685" s="165"/>
      <c r="BG685" s="165"/>
      <c r="BH685" s="165"/>
      <c r="BI685" s="165"/>
      <c r="BJ685" s="165"/>
      <c r="BK685" s="165"/>
      <c r="BL685" s="165"/>
      <c r="BM685" s="165"/>
      <c r="BN685" s="165"/>
      <c r="BO685" s="165"/>
      <c r="BP685" s="166">
        <f t="shared" ref="BP685:CY685" si="847">AVERAGE(BO678:BP678)/BP623</f>
        <v>0.43606349206349204</v>
      </c>
      <c r="BQ685" s="166">
        <f t="shared" si="847"/>
        <v>0.42925595238095238</v>
      </c>
      <c r="BR685" s="166">
        <f t="shared" si="847"/>
        <v>0.46</v>
      </c>
      <c r="BS685" s="166">
        <f t="shared" si="847"/>
        <v>0.48997109826589597</v>
      </c>
      <c r="BT685" s="166">
        <f t="shared" si="847"/>
        <v>0.53879310344827591</v>
      </c>
      <c r="BU685" s="166">
        <f t="shared" si="847"/>
        <v>0.56215425531914898</v>
      </c>
      <c r="BV685" s="166">
        <f t="shared" si="847"/>
        <v>0.58815656565656571</v>
      </c>
      <c r="BW685" s="166">
        <f t="shared" si="847"/>
        <v>0.62822660098522165</v>
      </c>
      <c r="BX685" s="166">
        <f t="shared" si="847"/>
        <v>0.63755294117647054</v>
      </c>
      <c r="BY685" s="166">
        <f t="shared" si="847"/>
        <v>0.63742152466367707</v>
      </c>
      <c r="BZ685" s="166">
        <f t="shared" si="847"/>
        <v>0.64779193205944796</v>
      </c>
      <c r="CA685" s="166">
        <f t="shared" si="847"/>
        <v>0.67893660531697342</v>
      </c>
      <c r="CB685" s="166">
        <f t="shared" si="847"/>
        <v>0.71743486973947901</v>
      </c>
      <c r="CC685" s="166">
        <f t="shared" si="847"/>
        <v>0.75</v>
      </c>
      <c r="CD685" s="166">
        <f t="shared" si="847"/>
        <v>0.90476190476190477</v>
      </c>
      <c r="CE685" s="166">
        <f t="shared" si="847"/>
        <v>1.0267686424474187</v>
      </c>
      <c r="CF685" s="166">
        <f t="shared" si="847"/>
        <v>1.025974025974026</v>
      </c>
      <c r="CG685" s="166">
        <f t="shared" si="847"/>
        <v>1.0379746835443038</v>
      </c>
      <c r="CH685" s="166">
        <f t="shared" si="847"/>
        <v>1.0526315789473684</v>
      </c>
      <c r="CI685" s="166">
        <f t="shared" si="847"/>
        <v>1.0753424657534247</v>
      </c>
      <c r="CJ685" s="166">
        <f t="shared" si="847"/>
        <v>1.0581583198707594</v>
      </c>
      <c r="CK685" s="166">
        <f t="shared" si="847"/>
        <v>1.035007610350076</v>
      </c>
      <c r="CL685" s="166">
        <f t="shared" si="847"/>
        <v>1.0399408284023668</v>
      </c>
      <c r="CM685" s="166">
        <f t="shared" si="847"/>
        <v>1.0476190476190477</v>
      </c>
      <c r="CN685" s="166">
        <f t="shared" si="847"/>
        <v>1.0620592383638927</v>
      </c>
      <c r="CO685" s="166">
        <f t="shared" si="847"/>
        <v>1.0654843110504775</v>
      </c>
      <c r="CP685" s="166">
        <f t="shared" si="847"/>
        <v>1.0600522193211488</v>
      </c>
      <c r="CQ685" s="166">
        <f t="shared" si="847"/>
        <v>1.0715181932245923</v>
      </c>
      <c r="CR685" s="166">
        <f t="shared" si="847"/>
        <v>1.0820073439412485</v>
      </c>
      <c r="CS685" s="166">
        <f t="shared" si="847"/>
        <v>1.0804321728691477</v>
      </c>
      <c r="CT685" s="166">
        <f t="shared" si="847"/>
        <v>1.0762016412661195</v>
      </c>
      <c r="CU685" s="166">
        <f t="shared" si="847"/>
        <v>1.096774193548387</v>
      </c>
      <c r="CV685" s="166">
        <f t="shared" si="847"/>
        <v>1.1134704711347048</v>
      </c>
      <c r="CW685" s="166">
        <f t="shared" si="847"/>
        <v>1.1188311688311687</v>
      </c>
      <c r="CX685" s="166">
        <f t="shared" si="847"/>
        <v>1.1188369152970923</v>
      </c>
      <c r="CY685" s="166">
        <f t="shared" si="847"/>
        <v>1.1119266055045871</v>
      </c>
      <c r="CZ685" s="166">
        <f t="shared" ref="CZ685" si="848">AVERAGE(CY678:CZ678)/CZ623</f>
        <v>1.1176271427317452</v>
      </c>
      <c r="DA685" s="166">
        <f t="shared" ref="DA685" si="849">AVERAGE(CZ678:DA678)/DA623</f>
        <v>1.130569166958671</v>
      </c>
      <c r="DB685" s="166">
        <f t="shared" ref="DB685" si="850">AVERAGE(DA678:DB678)/DB623</f>
        <v>1.1378785157135323</v>
      </c>
      <c r="DC685" s="166">
        <f t="shared" ref="DC685" si="851">AVERAGE(DB678:DC678)/DC623</f>
        <v>1.1469223373856963</v>
      </c>
    </row>
    <row r="686" spans="2:107">
      <c r="B686" s="37" t="s">
        <v>709</v>
      </c>
      <c r="C686" s="197"/>
      <c r="D686" s="31"/>
      <c r="E686" s="31"/>
      <c r="F686" s="31"/>
      <c r="G686" s="31"/>
      <c r="H686" s="31"/>
      <c r="I686" s="31"/>
      <c r="J686" s="31"/>
      <c r="K686" s="31"/>
      <c r="L686" s="31"/>
      <c r="M686" s="199"/>
      <c r="N686" s="199"/>
      <c r="O686" s="38">
        <f t="shared" ref="O686:Z686" si="852">O685/N685-1</f>
        <v>0.15343947771158462</v>
      </c>
      <c r="P686" s="38">
        <f t="shared" si="852"/>
        <v>0.16943374401169842</v>
      </c>
      <c r="Q686" s="38">
        <f t="shared" si="852"/>
        <v>0.28902168062942724</v>
      </c>
      <c r="R686" s="38">
        <f t="shared" si="852"/>
        <v>0.19628595430505102</v>
      </c>
      <c r="S686" s="38">
        <f t="shared" si="852"/>
        <v>-2.0011242270938867E-2</v>
      </c>
      <c r="T686" s="38">
        <f t="shared" si="852"/>
        <v>3.3248081841432242E-2</v>
      </c>
      <c r="U686" s="38">
        <f t="shared" si="852"/>
        <v>0.19395306014937641</v>
      </c>
      <c r="V686" s="38">
        <f t="shared" si="852"/>
        <v>-0.12534812091706204</v>
      </c>
      <c r="W686" s="38">
        <f t="shared" si="852"/>
        <v>1.8654359176366375E-2</v>
      </c>
      <c r="X686" s="38">
        <f t="shared" si="852"/>
        <v>3.2571340218340072E-2</v>
      </c>
      <c r="Y686" s="38">
        <f t="shared" si="852"/>
        <v>1.6229672859738198E-2</v>
      </c>
      <c r="Z686" s="38">
        <f t="shared" si="852"/>
        <v>1.8329018569170241E-2</v>
      </c>
      <c r="AA686" s="38">
        <f t="shared" ref="AA686" si="853">AA685/Z685-1</f>
        <v>1.7338263652211694E-2</v>
      </c>
      <c r="AB686" s="38">
        <f t="shared" ref="AB686" si="854">AB685/AA685-1</f>
        <v>1.6388007939716065E-2</v>
      </c>
      <c r="AC686" s="38">
        <f t="shared" ref="AC686" si="855">AC685/AB685-1</f>
        <v>1.5542994386450459E-2</v>
      </c>
      <c r="AD686" s="38">
        <f t="shared" ref="AD686" si="856">AD685/AC685-1</f>
        <v>1.4786604123069758E-2</v>
      </c>
      <c r="AE686" s="197"/>
      <c r="AF686" s="31"/>
      <c r="AG686" s="31"/>
      <c r="AH686" s="31"/>
      <c r="AI686" s="31"/>
      <c r="AJ686" s="31"/>
      <c r="AK686" s="31"/>
      <c r="AL686" s="31"/>
      <c r="AM686" s="31"/>
      <c r="AN686" s="31"/>
      <c r="AO686" s="31"/>
      <c r="AP686" s="31"/>
      <c r="AQ686" s="31"/>
      <c r="AR686" s="31"/>
      <c r="AS686" s="31"/>
      <c r="AT686" s="31"/>
      <c r="AU686" s="31"/>
      <c r="AV686" s="31"/>
      <c r="AW686" s="31"/>
      <c r="AX686" s="31"/>
      <c r="AY686" s="31"/>
      <c r="AZ686" s="31"/>
      <c r="BA686" s="31"/>
      <c r="BB686" s="31"/>
      <c r="BC686" s="31"/>
      <c r="BD686" s="32"/>
      <c r="BE686" s="32"/>
      <c r="BF686" s="32"/>
      <c r="BG686" s="32"/>
      <c r="BH686" s="32"/>
      <c r="BI686" s="32"/>
      <c r="BJ686" s="32"/>
      <c r="BK686" s="32"/>
      <c r="BL686" s="32"/>
      <c r="BM686" s="32"/>
      <c r="BN686" s="32"/>
      <c r="BO686" s="32"/>
      <c r="BP686" s="199"/>
      <c r="BQ686" s="199"/>
      <c r="BR686" s="199"/>
      <c r="BS686" s="38"/>
      <c r="BT686" s="38">
        <f t="shared" ref="BT686:CY686" si="857">BT685/BP685-1</f>
        <v>0.23558406804169274</v>
      </c>
      <c r="BU686" s="38">
        <f t="shared" si="857"/>
        <v>0.30960153773302412</v>
      </c>
      <c r="BV686" s="38">
        <f t="shared" si="857"/>
        <v>0.27860122968818635</v>
      </c>
      <c r="BW686" s="38">
        <f t="shared" si="857"/>
        <v>0.28217073049540908</v>
      </c>
      <c r="BX686" s="38">
        <f t="shared" si="857"/>
        <v>0.18329825882352924</v>
      </c>
      <c r="BY686" s="38">
        <f t="shared" si="857"/>
        <v>0.13389077576544706</v>
      </c>
      <c r="BZ686" s="38">
        <f t="shared" si="857"/>
        <v>0.10139369325293623</v>
      </c>
      <c r="CA686" s="38">
        <f t="shared" si="857"/>
        <v>8.0719288632836284E-2</v>
      </c>
      <c r="CB686" s="38">
        <f t="shared" si="857"/>
        <v>0.1252945808948871</v>
      </c>
      <c r="CC686" s="38">
        <f t="shared" si="857"/>
        <v>0.17661542790812201</v>
      </c>
      <c r="CD686" s="38">
        <f t="shared" si="857"/>
        <v>0.39668597274051054</v>
      </c>
      <c r="CE686" s="38">
        <f t="shared" si="857"/>
        <v>0.51231887396622811</v>
      </c>
      <c r="CF686" s="38">
        <f t="shared" si="857"/>
        <v>0.43005876804759469</v>
      </c>
      <c r="CG686" s="38">
        <f t="shared" si="857"/>
        <v>0.38396624472573837</v>
      </c>
      <c r="CH686" s="38">
        <f t="shared" si="857"/>
        <v>0.16343490304709141</v>
      </c>
      <c r="CI686" s="38">
        <f t="shared" si="857"/>
        <v>4.7307466646259178E-2</v>
      </c>
      <c r="CJ686" s="38">
        <f t="shared" si="857"/>
        <v>3.136950164618324E-2</v>
      </c>
      <c r="CK686" s="38">
        <f t="shared" si="857"/>
        <v>-2.8585217359022863E-3</v>
      </c>
      <c r="CL686" s="38">
        <f t="shared" si="857"/>
        <v>-1.2056213017751505E-2</v>
      </c>
      <c r="CM686" s="38">
        <f t="shared" si="857"/>
        <v>-2.5781013042159517E-2</v>
      </c>
      <c r="CN686" s="38">
        <f t="shared" si="857"/>
        <v>3.686516866029832E-3</v>
      </c>
      <c r="CO686" s="38">
        <f t="shared" si="857"/>
        <v>2.9445871117887767E-2</v>
      </c>
      <c r="CP686" s="38">
        <f t="shared" si="857"/>
        <v>1.9338976189326562E-2</v>
      </c>
      <c r="CQ686" s="38">
        <f t="shared" si="857"/>
        <v>2.2812820805292677E-2</v>
      </c>
      <c r="CR686" s="38">
        <f t="shared" si="857"/>
        <v>1.8782479222238191E-2</v>
      </c>
      <c r="CS686" s="38">
        <f t="shared" si="857"/>
        <v>1.4029171207535551E-2</v>
      </c>
      <c r="CT686" s="38">
        <f t="shared" si="857"/>
        <v>1.5234553214098057E-2</v>
      </c>
      <c r="CU686" s="38">
        <f t="shared" si="857"/>
        <v>2.3570295384150342E-2</v>
      </c>
      <c r="CV686" s="38">
        <f t="shared" si="857"/>
        <v>2.9078478412956743E-2</v>
      </c>
      <c r="CW686" s="38">
        <f t="shared" si="857"/>
        <v>3.5540404040403928E-2</v>
      </c>
      <c r="CX686" s="38">
        <f t="shared" si="857"/>
        <v>3.9616436545119482E-2</v>
      </c>
      <c r="CY686" s="38">
        <f t="shared" si="857"/>
        <v>1.381543443065314E-2</v>
      </c>
      <c r="CZ686" s="38">
        <f t="shared" ref="CZ686:DC686" si="858">CZ685/CV685-1</f>
        <v>3.7330775308344055E-3</v>
      </c>
      <c r="DA686" s="38">
        <f t="shared" si="858"/>
        <v>1.0491304188249284E-2</v>
      </c>
      <c r="DB686" s="38">
        <f t="shared" si="858"/>
        <v>1.7019102745089221E-2</v>
      </c>
      <c r="DC686" s="38">
        <f t="shared" si="858"/>
        <v>3.1473059200007425E-2</v>
      </c>
    </row>
    <row r="687" spans="2:107">
      <c r="B687" s="37" t="s">
        <v>710</v>
      </c>
      <c r="C687" s="197"/>
      <c r="D687" s="31"/>
      <c r="E687" s="31"/>
      <c r="F687" s="31"/>
      <c r="G687" s="31"/>
      <c r="H687" s="31"/>
      <c r="I687" s="31"/>
      <c r="J687" s="31"/>
      <c r="K687" s="31"/>
      <c r="L687" s="31"/>
      <c r="M687" s="199"/>
      <c r="N687" s="199"/>
      <c r="O687" s="199"/>
      <c r="P687" s="199"/>
      <c r="Q687" s="199"/>
      <c r="R687" s="199"/>
      <c r="S687" s="199"/>
      <c r="T687" s="199"/>
      <c r="U687" s="199"/>
      <c r="V687" s="199"/>
      <c r="W687" s="199"/>
      <c r="X687" s="39"/>
      <c r="Y687" s="39"/>
      <c r="Z687" s="39"/>
      <c r="AA687" s="39"/>
      <c r="AB687" s="39"/>
      <c r="AC687" s="39"/>
      <c r="AD687" s="39"/>
      <c r="AE687" s="197"/>
      <c r="AF687" s="31"/>
      <c r="AG687" s="31"/>
      <c r="AH687" s="31"/>
      <c r="AI687" s="31"/>
      <c r="AJ687" s="31"/>
      <c r="AK687" s="31"/>
      <c r="AL687" s="31"/>
      <c r="AM687" s="31"/>
      <c r="AN687" s="31"/>
      <c r="AO687" s="31"/>
      <c r="AP687" s="31"/>
      <c r="AQ687" s="31"/>
      <c r="AR687" s="31"/>
      <c r="AS687" s="31"/>
      <c r="AT687" s="31"/>
      <c r="AU687" s="31"/>
      <c r="AV687" s="31"/>
      <c r="AW687" s="31"/>
      <c r="AX687" s="31"/>
      <c r="AY687" s="31"/>
      <c r="AZ687" s="31"/>
      <c r="BA687" s="31"/>
      <c r="BB687" s="31"/>
      <c r="BC687" s="31"/>
      <c r="BD687" s="32"/>
      <c r="BE687" s="32"/>
      <c r="BF687" s="32"/>
      <c r="BG687" s="32"/>
      <c r="BH687" s="32"/>
      <c r="BI687" s="32"/>
      <c r="BJ687" s="32"/>
      <c r="BK687" s="32"/>
      <c r="BL687" s="32"/>
      <c r="BM687" s="32"/>
      <c r="BN687" s="32"/>
      <c r="BO687" s="32"/>
      <c r="BP687" s="199"/>
      <c r="BQ687" s="38">
        <f t="shared" ref="BQ687:CY687" si="859">BQ685/BP685-1</f>
        <v>-1.5611349737914892E-2</v>
      </c>
      <c r="BR687" s="38">
        <f t="shared" si="859"/>
        <v>7.1621715315815182E-2</v>
      </c>
      <c r="BS687" s="38">
        <f t="shared" si="859"/>
        <v>6.5154561447599901E-2</v>
      </c>
      <c r="BT687" s="38">
        <f t="shared" si="859"/>
        <v>9.964262250400191E-2</v>
      </c>
      <c r="BU687" s="38">
        <f t="shared" si="859"/>
        <v>4.3358297872340357E-2</v>
      </c>
      <c r="BV687" s="38">
        <f t="shared" si="859"/>
        <v>4.625476031068132E-2</v>
      </c>
      <c r="BW687" s="38">
        <f t="shared" si="859"/>
        <v>6.8128178223982427E-2</v>
      </c>
      <c r="BX687" s="38">
        <f t="shared" si="859"/>
        <v>1.4845503480150013E-2</v>
      </c>
      <c r="BY687" s="38">
        <f t="shared" si="859"/>
        <v>-2.0612643171402656E-4</v>
      </c>
      <c r="BZ687" s="38">
        <f t="shared" si="859"/>
        <v>1.6269308447408592E-2</v>
      </c>
      <c r="CA687" s="38">
        <f t="shared" si="859"/>
        <v>4.807820492378001E-2</v>
      </c>
      <c r="CB687" s="38">
        <f t="shared" si="859"/>
        <v>5.6703768983750624E-2</v>
      </c>
      <c r="CC687" s="38">
        <f t="shared" si="859"/>
        <v>4.5391061452513926E-2</v>
      </c>
      <c r="CD687" s="38">
        <f t="shared" si="859"/>
        <v>0.20634920634920628</v>
      </c>
      <c r="CE687" s="38">
        <f t="shared" si="859"/>
        <v>0.13484955217872585</v>
      </c>
      <c r="CF687" s="38">
        <f t="shared" si="859"/>
        <v>-7.7390021524093022E-4</v>
      </c>
      <c r="CG687" s="38">
        <f t="shared" si="859"/>
        <v>1.1696843454574557E-2</v>
      </c>
      <c r="CH687" s="38">
        <f t="shared" si="859"/>
        <v>1.4120667522464769E-2</v>
      </c>
      <c r="CI687" s="38">
        <f t="shared" si="859"/>
        <v>2.1575342465753655E-2</v>
      </c>
      <c r="CJ687" s="38">
        <f t="shared" si="859"/>
        <v>-1.5980161139293902E-2</v>
      </c>
      <c r="CK687" s="38">
        <f t="shared" si="859"/>
        <v>-2.1878304111912938E-2</v>
      </c>
      <c r="CL687" s="38">
        <f t="shared" si="859"/>
        <v>4.7663592064044469E-3</v>
      </c>
      <c r="CM687" s="38">
        <f t="shared" si="859"/>
        <v>7.3833231727968851E-3</v>
      </c>
      <c r="CN687" s="38">
        <f t="shared" si="859"/>
        <v>1.3783818438261264E-2</v>
      </c>
      <c r="CO687" s="38">
        <f t="shared" si="859"/>
        <v>3.2249356371694127E-3</v>
      </c>
      <c r="CP687" s="38">
        <f t="shared" si="859"/>
        <v>-5.098237180023002E-3</v>
      </c>
      <c r="CQ687" s="38">
        <f t="shared" si="859"/>
        <v>1.0816423657681984E-2</v>
      </c>
      <c r="CR687" s="38">
        <f t="shared" si="859"/>
        <v>9.7890551770198897E-3</v>
      </c>
      <c r="CS687" s="38">
        <f t="shared" si="859"/>
        <v>-1.4557859342831936E-3</v>
      </c>
      <c r="CT687" s="38">
        <f t="shared" si="859"/>
        <v>-3.9155920281360723E-3</v>
      </c>
      <c r="CU687" s="38">
        <f t="shared" si="859"/>
        <v>1.9115890083631903E-2</v>
      </c>
      <c r="CV687" s="38">
        <f t="shared" si="859"/>
        <v>1.5223076622819187E-2</v>
      </c>
      <c r="CW687" s="38">
        <f t="shared" si="859"/>
        <v>4.8144049037968095E-3</v>
      </c>
      <c r="CX687" s="38">
        <f t="shared" si="859"/>
        <v>5.1361332107369151E-6</v>
      </c>
      <c r="CY687" s="38">
        <f t="shared" si="859"/>
        <v>-6.1763333851656554E-3</v>
      </c>
      <c r="CZ687" s="38">
        <f t="shared" ref="CZ687:DC687" si="860">CZ685/CY685-1</f>
        <v>5.1267207735992137E-3</v>
      </c>
      <c r="DA687" s="38">
        <f t="shared" si="860"/>
        <v>1.1579912237360768E-2</v>
      </c>
      <c r="DB687" s="38">
        <f t="shared" si="860"/>
        <v>6.4651937877662213E-3</v>
      </c>
      <c r="DC687" s="38">
        <f t="shared" si="860"/>
        <v>7.9479676848392966E-3</v>
      </c>
    </row>
    <row r="688" spans="2:107" ht="12.75" customHeight="1">
      <c r="B688" s="37"/>
      <c r="C688" s="197"/>
      <c r="D688" s="31"/>
      <c r="E688" s="31"/>
      <c r="F688" s="31"/>
      <c r="G688" s="31"/>
      <c r="H688" s="31"/>
      <c r="I688" s="31"/>
      <c r="J688" s="31"/>
      <c r="K688" s="31"/>
      <c r="L688" s="31"/>
      <c r="M688" s="199"/>
      <c r="N688" s="199"/>
      <c r="O688" s="199"/>
      <c r="P688" s="199"/>
      <c r="Q688" s="199"/>
      <c r="R688" s="199"/>
      <c r="S688" s="199"/>
      <c r="T688" s="199"/>
      <c r="U688" s="199"/>
      <c r="V688" s="199"/>
      <c r="W688" s="199"/>
      <c r="X688" s="39"/>
      <c r="Y688" s="39"/>
      <c r="Z688" s="39"/>
      <c r="AA688" s="39"/>
      <c r="AB688" s="39"/>
      <c r="AC688" s="39"/>
      <c r="AD688" s="39"/>
      <c r="AE688" s="197"/>
      <c r="AF688" s="31"/>
      <c r="AG688" s="31"/>
      <c r="AH688" s="31"/>
      <c r="AI688" s="31"/>
      <c r="AJ688" s="31"/>
      <c r="AK688" s="31"/>
      <c r="AL688" s="31"/>
      <c r="AM688" s="31"/>
      <c r="AN688" s="31"/>
      <c r="AO688" s="31"/>
      <c r="AP688" s="31"/>
      <c r="AQ688" s="31"/>
      <c r="AR688" s="31"/>
      <c r="AS688" s="31"/>
      <c r="AT688" s="31"/>
      <c r="AU688" s="31"/>
      <c r="AV688" s="31"/>
      <c r="AW688" s="31"/>
      <c r="AX688" s="31"/>
      <c r="AY688" s="31"/>
      <c r="AZ688" s="31"/>
      <c r="BA688" s="31"/>
      <c r="BB688" s="31"/>
      <c r="BC688" s="31"/>
      <c r="BD688" s="32"/>
      <c r="BE688" s="32"/>
      <c r="BF688" s="32"/>
      <c r="BG688" s="32"/>
      <c r="BH688" s="32"/>
      <c r="BI688" s="32"/>
      <c r="BJ688" s="32"/>
      <c r="BK688" s="32"/>
      <c r="BL688" s="32"/>
      <c r="BM688" s="32"/>
      <c r="BN688" s="32"/>
      <c r="BO688" s="32"/>
      <c r="BP688" s="199"/>
      <c r="BQ688" s="38"/>
      <c r="BR688" s="38"/>
      <c r="BS688" s="38"/>
      <c r="BT688" s="38"/>
      <c r="BU688" s="38"/>
      <c r="BV688" s="199"/>
      <c r="BW688" s="199"/>
      <c r="BX688" s="199"/>
      <c r="BY688" s="199"/>
      <c r="BZ688" s="199"/>
      <c r="CA688" s="199"/>
      <c r="CB688" s="199"/>
      <c r="CC688" s="199"/>
      <c r="CD688" s="199"/>
      <c r="CE688" s="199"/>
      <c r="CF688" s="199"/>
      <c r="CG688" s="199"/>
      <c r="CH688" s="199"/>
      <c r="CI688" s="199"/>
      <c r="CJ688" s="199"/>
      <c r="CK688" s="199"/>
      <c r="CL688" s="199"/>
      <c r="CM688" s="199"/>
      <c r="CN688" s="199"/>
      <c r="CO688" s="199"/>
      <c r="CP688" s="199"/>
      <c r="CQ688" s="199"/>
      <c r="CR688" s="199"/>
      <c r="CS688" s="199"/>
      <c r="CT688" s="199"/>
      <c r="CU688" s="199"/>
      <c r="CV688" s="199"/>
      <c r="CW688" s="199"/>
      <c r="CX688" s="199"/>
      <c r="CY688" s="199"/>
      <c r="CZ688" s="199"/>
      <c r="DA688" s="199"/>
      <c r="DB688" s="199"/>
      <c r="DC688" s="199"/>
    </row>
    <row r="689" spans="1:107">
      <c r="B689" s="170" t="s">
        <v>727</v>
      </c>
      <c r="C689" s="197"/>
      <c r="D689" s="31"/>
      <c r="E689" s="31"/>
      <c r="F689" s="31"/>
      <c r="G689" s="31"/>
      <c r="H689" s="31"/>
      <c r="I689" s="31"/>
      <c r="J689" s="31"/>
      <c r="K689" s="31"/>
      <c r="L689" s="31"/>
      <c r="M689" s="199"/>
      <c r="N689" s="199"/>
      <c r="O689" s="199"/>
      <c r="P689" s="531">
        <f t="shared" ref="P689:W689" si="861">(P661/12/AVERAGE(O678:P678))*1000000</f>
        <v>70.726926159377911</v>
      </c>
      <c r="Q689" s="531">
        <f t="shared" si="861"/>
        <v>86.670403587443957</v>
      </c>
      <c r="R689" s="531">
        <f t="shared" si="861"/>
        <v>103.82518268690278</v>
      </c>
      <c r="S689" s="531">
        <f t="shared" si="861"/>
        <v>121.59903381642513</v>
      </c>
      <c r="T689" s="531">
        <f t="shared" si="861"/>
        <v>120.64768976897689</v>
      </c>
      <c r="U689" s="531">
        <f t="shared" si="861"/>
        <v>112.86671924290222</v>
      </c>
      <c r="V689" s="531">
        <f t="shared" si="861"/>
        <v>99.83913953931085</v>
      </c>
      <c r="W689" s="531">
        <f t="shared" si="861"/>
        <v>114.69325932139091</v>
      </c>
      <c r="X689" s="171">
        <f>+W689*1.015</f>
        <v>116.41365821121177</v>
      </c>
      <c r="Y689" s="171">
        <f>+X689*1.015</f>
        <v>118.15986308437994</v>
      </c>
      <c r="Z689" s="171">
        <f>+Y689*1.015</f>
        <v>119.93226103064562</v>
      </c>
      <c r="AA689" s="171">
        <f t="shared" ref="AA689:AD689" si="862">+Z689*1.015</f>
        <v>121.73124494610529</v>
      </c>
      <c r="AB689" s="171">
        <f t="shared" si="862"/>
        <v>123.55721362029686</v>
      </c>
      <c r="AC689" s="171">
        <f t="shared" si="862"/>
        <v>125.41057182460131</v>
      </c>
      <c r="AD689" s="171">
        <f t="shared" si="862"/>
        <v>127.29173040197031</v>
      </c>
      <c r="AE689" s="197"/>
      <c r="AF689" s="31"/>
      <c r="AG689" s="31"/>
      <c r="AH689" s="31"/>
      <c r="AI689" s="31"/>
      <c r="AJ689" s="31"/>
      <c r="AK689" s="31"/>
      <c r="AL689" s="31"/>
      <c r="AM689" s="31"/>
      <c r="AN689" s="31"/>
      <c r="AO689" s="31"/>
      <c r="AP689" s="31"/>
      <c r="AQ689" s="31"/>
      <c r="AR689" s="31"/>
      <c r="AS689" s="31"/>
      <c r="AT689" s="31"/>
      <c r="AU689" s="31"/>
      <c r="AV689" s="31"/>
      <c r="AW689" s="31"/>
      <c r="AX689" s="31"/>
      <c r="AY689" s="31"/>
      <c r="AZ689" s="31"/>
      <c r="BA689" s="31"/>
      <c r="BB689" s="31"/>
      <c r="BC689" s="31"/>
      <c r="BD689" s="32"/>
      <c r="BE689" s="32"/>
      <c r="BF689" s="32"/>
      <c r="BG689" s="32"/>
      <c r="BH689" s="32"/>
      <c r="BI689" s="32"/>
      <c r="BJ689" s="32"/>
      <c r="BK689" s="32"/>
      <c r="BL689" s="32"/>
      <c r="BM689" s="32"/>
      <c r="BN689" s="32"/>
      <c r="BO689" s="32"/>
      <c r="BP689" s="531">
        <f>(BP661/3/AVERAGE(BO678:BP678))*1000000</f>
        <v>67.219957289846633</v>
      </c>
      <c r="BQ689" s="531">
        <f t="shared" ref="BQ689:CY689" si="863">(BQ661/3/AVERAGE(BP678:BQ678))*1000000</f>
        <v>76.821743049296245</v>
      </c>
      <c r="BR689" s="531">
        <f t="shared" si="863"/>
        <v>80.93906263242647</v>
      </c>
      <c r="BS689" s="531">
        <f t="shared" si="863"/>
        <v>79.317328299809276</v>
      </c>
      <c r="BT689" s="531">
        <f t="shared" si="863"/>
        <v>68.942222222222227</v>
      </c>
      <c r="BU689" s="531">
        <f t="shared" si="863"/>
        <v>63.395940767374739</v>
      </c>
      <c r="BV689" s="531">
        <f t="shared" si="863"/>
        <v>65.976843702145331</v>
      </c>
      <c r="BW689" s="531">
        <f t="shared" si="863"/>
        <v>68.140829608719528</v>
      </c>
      <c r="BX689" s="531">
        <f t="shared" si="863"/>
        <v>69.186103729947831</v>
      </c>
      <c r="BY689" s="531">
        <f t="shared" si="863"/>
        <v>75.111095477622598</v>
      </c>
      <c r="BZ689" s="531">
        <f t="shared" si="863"/>
        <v>75.295248708116205</v>
      </c>
      <c r="CA689" s="531">
        <f t="shared" si="863"/>
        <v>72.289156626506028</v>
      </c>
      <c r="CB689" s="531">
        <f t="shared" si="863"/>
        <v>71.21042830540037</v>
      </c>
      <c r="CC689" s="531">
        <f t="shared" si="863"/>
        <v>74.524444444444441</v>
      </c>
      <c r="CD689" s="531">
        <f t="shared" si="863"/>
        <v>105.0877192982456</v>
      </c>
      <c r="CE689" s="531">
        <f t="shared" si="863"/>
        <v>99.180633147113596</v>
      </c>
      <c r="CF689" s="531">
        <f t="shared" si="863"/>
        <v>101.03676913803496</v>
      </c>
      <c r="CG689" s="531">
        <f t="shared" si="863"/>
        <v>102.83391405342623</v>
      </c>
      <c r="CH689" s="531">
        <f t="shared" si="863"/>
        <v>102.5888888888889</v>
      </c>
      <c r="CI689" s="531">
        <f t="shared" si="863"/>
        <v>111.17834394904459</v>
      </c>
      <c r="CJ689" s="531">
        <f t="shared" si="863"/>
        <v>115.68447837150127</v>
      </c>
      <c r="CK689" s="531">
        <f t="shared" si="863"/>
        <v>120.87254901960785</v>
      </c>
      <c r="CL689" s="531">
        <f t="shared" si="863"/>
        <v>124.82693219535327</v>
      </c>
      <c r="CM689" s="531">
        <f t="shared" si="863"/>
        <v>123.82001836547289</v>
      </c>
      <c r="CN689" s="531">
        <f t="shared" si="863"/>
        <v>115.52014165559982</v>
      </c>
      <c r="CO689" s="531">
        <f t="shared" si="863"/>
        <v>114.72471190781049</v>
      </c>
      <c r="CP689" s="531">
        <f t="shared" si="863"/>
        <v>125.01642036124794</v>
      </c>
      <c r="CQ689" s="531">
        <f t="shared" si="863"/>
        <v>130.95238095238093</v>
      </c>
      <c r="CR689" s="531">
        <f t="shared" si="863"/>
        <v>148.56711915535445</v>
      </c>
      <c r="CS689" s="531">
        <f t="shared" si="863"/>
        <v>166.11111111111111</v>
      </c>
      <c r="CT689" s="531">
        <f t="shared" si="863"/>
        <v>155.87509077705155</v>
      </c>
      <c r="CU689" s="531">
        <f t="shared" si="863"/>
        <v>114.96388028895768</v>
      </c>
      <c r="CV689" s="531">
        <f t="shared" si="863"/>
        <v>88.800158919348434</v>
      </c>
      <c r="CW689" s="531">
        <f t="shared" si="863"/>
        <v>91.526407428903084</v>
      </c>
      <c r="CX689" s="531">
        <f t="shared" si="863"/>
        <v>103.85687382297553</v>
      </c>
      <c r="CY689" s="531">
        <f t="shared" si="863"/>
        <v>114.81848184818482</v>
      </c>
      <c r="CZ689" s="171">
        <f t="shared" ref="CZ689:DC689" si="864">+CY689</f>
        <v>114.81848184818482</v>
      </c>
      <c r="DA689" s="171">
        <f t="shared" si="864"/>
        <v>114.81848184818482</v>
      </c>
      <c r="DB689" s="171">
        <f t="shared" si="864"/>
        <v>114.81848184818482</v>
      </c>
      <c r="DC689" s="171">
        <f t="shared" si="864"/>
        <v>114.81848184818482</v>
      </c>
    </row>
    <row r="690" spans="1:107" ht="12.75" customHeight="1">
      <c r="B690" s="198"/>
      <c r="C690" s="197"/>
      <c r="D690" s="31"/>
      <c r="E690" s="31"/>
      <c r="F690" s="31"/>
      <c r="G690" s="31"/>
      <c r="H690" s="31"/>
      <c r="I690" s="31"/>
      <c r="J690" s="31"/>
      <c r="K690" s="31"/>
      <c r="L690" s="31"/>
      <c r="M690" s="199"/>
      <c r="N690" s="199"/>
      <c r="O690" s="199"/>
      <c r="P690" s="531"/>
      <c r="Q690" s="199"/>
      <c r="R690" s="199"/>
      <c r="S690" s="199"/>
      <c r="T690" s="199"/>
      <c r="U690" s="199"/>
      <c r="V690" s="199"/>
      <c r="W690" s="199"/>
      <c r="X690" s="39"/>
      <c r="Y690" s="39"/>
      <c r="Z690" s="39"/>
      <c r="AA690" s="39"/>
      <c r="AB690" s="39"/>
      <c r="AC690" s="39"/>
      <c r="AD690" s="39"/>
      <c r="AE690" s="197"/>
      <c r="AF690" s="31"/>
      <c r="AG690" s="31"/>
      <c r="AH690" s="31"/>
      <c r="AI690" s="31"/>
      <c r="AJ690" s="31"/>
      <c r="AK690" s="31"/>
      <c r="AL690" s="31"/>
      <c r="AM690" s="31"/>
      <c r="AN690" s="31"/>
      <c r="AO690" s="31"/>
      <c r="AP690" s="31"/>
      <c r="AQ690" s="31"/>
      <c r="AR690" s="31"/>
      <c r="AS690" s="31"/>
      <c r="AT690" s="31"/>
      <c r="AU690" s="31"/>
      <c r="AV690" s="31"/>
      <c r="AW690" s="31"/>
      <c r="AX690" s="31"/>
      <c r="AY690" s="31"/>
      <c r="AZ690" s="31"/>
      <c r="BA690" s="31"/>
      <c r="BB690" s="31"/>
      <c r="BC690" s="31"/>
      <c r="BD690" s="32"/>
      <c r="BE690" s="32"/>
      <c r="BF690" s="32"/>
      <c r="BG690" s="32"/>
      <c r="BH690" s="32"/>
      <c r="BI690" s="32"/>
      <c r="BJ690" s="32"/>
      <c r="BK690" s="32"/>
      <c r="BL690" s="32"/>
      <c r="BM690" s="32"/>
      <c r="BN690" s="32"/>
      <c r="BO690" s="32"/>
      <c r="BP690" s="199"/>
      <c r="BQ690" s="199"/>
      <c r="BR690" s="199"/>
      <c r="BS690" s="199"/>
      <c r="BT690" s="199"/>
      <c r="BU690" s="199"/>
      <c r="BV690" s="199"/>
      <c r="BW690" s="199"/>
      <c r="BX690" s="199"/>
      <c r="BY690" s="199"/>
      <c r="BZ690" s="199"/>
      <c r="CA690" s="199"/>
      <c r="CB690" s="199"/>
      <c r="CC690" s="199"/>
      <c r="CD690" s="199"/>
      <c r="CE690" s="199"/>
      <c r="CF690" s="199"/>
      <c r="CG690" s="199"/>
      <c r="CH690" s="199"/>
      <c r="CI690" s="199"/>
      <c r="CJ690" s="199"/>
      <c r="CK690" s="199"/>
      <c r="CL690" s="199"/>
      <c r="CM690" s="199"/>
      <c r="CN690" s="199"/>
      <c r="CO690" s="199"/>
      <c r="CP690" s="199"/>
      <c r="CQ690" s="199"/>
      <c r="CR690" s="199"/>
      <c r="CS690" s="199"/>
      <c r="CT690" s="199"/>
      <c r="CU690" s="199"/>
      <c r="CV690" s="199"/>
      <c r="CW690" s="199"/>
      <c r="CX690" s="199"/>
      <c r="CY690" s="199"/>
      <c r="CZ690" s="199"/>
      <c r="DA690" s="199"/>
      <c r="DB690" s="199"/>
      <c r="DC690" s="199"/>
    </row>
    <row r="691" spans="1:107">
      <c r="B691" s="19" t="s">
        <v>730</v>
      </c>
      <c r="C691" s="23"/>
      <c r="D691" s="15"/>
      <c r="E691" s="15"/>
      <c r="F691" s="15"/>
      <c r="G691" s="15"/>
      <c r="H691" s="15"/>
      <c r="I691" s="15"/>
      <c r="J691" s="15"/>
      <c r="K691" s="15"/>
      <c r="L691" s="15"/>
      <c r="M691" s="23"/>
      <c r="N691" s="23">
        <f>BS691</f>
        <v>107</v>
      </c>
      <c r="O691" s="23"/>
      <c r="P691" s="23"/>
      <c r="Q691" s="23"/>
      <c r="R691" s="23"/>
      <c r="S691" s="23"/>
      <c r="T691" s="23"/>
      <c r="U691" s="23"/>
      <c r="V691" s="23"/>
      <c r="W691" s="23"/>
      <c r="X691" s="15"/>
      <c r="Y691" s="15"/>
      <c r="Z691" s="15"/>
      <c r="AA691" s="15"/>
      <c r="AB691" s="15"/>
      <c r="AC691" s="15"/>
      <c r="AD691" s="15"/>
      <c r="AE691" s="23"/>
      <c r="AF691" s="15"/>
      <c r="AG691" s="15"/>
      <c r="AH691" s="15"/>
      <c r="AI691" s="15"/>
      <c r="AJ691" s="15"/>
      <c r="AK691" s="15"/>
      <c r="AL691" s="15"/>
      <c r="AM691" s="15"/>
      <c r="AN691" s="15"/>
      <c r="AO691" s="15"/>
      <c r="AP691" s="15"/>
      <c r="AQ691" s="15"/>
      <c r="AR691" s="15"/>
      <c r="AS691" s="15"/>
      <c r="AT691" s="15"/>
      <c r="AU691" s="15"/>
      <c r="AV691" s="15"/>
      <c r="AW691" s="15"/>
      <c r="AX691" s="15"/>
      <c r="AY691" s="15"/>
      <c r="AZ691" s="15"/>
      <c r="BA691" s="15"/>
      <c r="BB691" s="15"/>
      <c r="BC691" s="15"/>
      <c r="BD691" s="15"/>
      <c r="BE691" s="15"/>
      <c r="BF691" s="15"/>
      <c r="BG691" s="15"/>
      <c r="BH691" s="31"/>
      <c r="BI691" s="31"/>
      <c r="BJ691" s="117">
        <v>68</v>
      </c>
      <c r="BK691" s="117">
        <v>68</v>
      </c>
      <c r="BL691" s="117">
        <v>69</v>
      </c>
      <c r="BM691" s="117">
        <v>69</v>
      </c>
      <c r="BN691" s="117">
        <v>70</v>
      </c>
      <c r="BO691" s="117">
        <v>71</v>
      </c>
      <c r="BP691" s="117">
        <v>77</v>
      </c>
      <c r="BQ691" s="117">
        <v>89</v>
      </c>
      <c r="BR691" s="117">
        <v>93</v>
      </c>
      <c r="BS691" s="117">
        <v>107</v>
      </c>
      <c r="BT691" s="117">
        <v>112</v>
      </c>
      <c r="BU691" s="117">
        <v>125</v>
      </c>
      <c r="BV691" s="117">
        <v>141</v>
      </c>
      <c r="BW691" s="117">
        <v>167</v>
      </c>
      <c r="BX691" s="117">
        <v>187</v>
      </c>
      <c r="BY691" s="117">
        <v>212</v>
      </c>
      <c r="BZ691" s="117">
        <v>194</v>
      </c>
      <c r="CA691" s="117">
        <v>224</v>
      </c>
      <c r="CB691" s="117">
        <v>232</v>
      </c>
      <c r="CC691" s="117">
        <v>239</v>
      </c>
      <c r="CD691" s="117">
        <v>242</v>
      </c>
      <c r="CE691" s="117">
        <v>246</v>
      </c>
      <c r="CF691" s="117">
        <v>245</v>
      </c>
      <c r="CG691" s="117">
        <v>268</v>
      </c>
      <c r="CH691" s="117">
        <v>265</v>
      </c>
      <c r="CI691" s="117">
        <v>274</v>
      </c>
      <c r="CJ691" s="117">
        <v>292</v>
      </c>
      <c r="CK691" s="117">
        <v>306</v>
      </c>
      <c r="CL691" s="117">
        <v>324</v>
      </c>
      <c r="CM691" s="117">
        <v>352</v>
      </c>
      <c r="CN691" s="117">
        <v>326</v>
      </c>
      <c r="CO691" s="117">
        <v>331</v>
      </c>
      <c r="CP691" s="117">
        <v>354</v>
      </c>
      <c r="CQ691" s="117">
        <v>380</v>
      </c>
      <c r="CR691" s="117">
        <v>406</v>
      </c>
      <c r="CS691" s="2336"/>
      <c r="CT691" s="2336"/>
      <c r="CU691" s="2336"/>
      <c r="CV691" s="2336"/>
      <c r="CW691" s="2336"/>
      <c r="CX691" s="2336"/>
      <c r="CY691" s="2336"/>
      <c r="CZ691" s="2335"/>
      <c r="DA691" s="2335"/>
      <c r="DB691" s="2335"/>
      <c r="DC691" s="2335"/>
    </row>
    <row r="692" spans="1:107">
      <c r="B692" s="23"/>
      <c r="C692" s="23"/>
      <c r="D692" s="15"/>
      <c r="E692" s="15"/>
      <c r="F692" s="15"/>
      <c r="G692" s="15"/>
      <c r="H692" s="15"/>
      <c r="I692" s="15"/>
      <c r="J692" s="15"/>
      <c r="K692" s="15"/>
      <c r="L692" s="15"/>
      <c r="M692" s="23"/>
      <c r="N692" s="23"/>
      <c r="O692" s="27"/>
      <c r="P692" s="23"/>
      <c r="Q692" s="23"/>
      <c r="R692" s="23"/>
      <c r="S692" s="1677"/>
      <c r="T692" s="1677"/>
      <c r="U692" s="1677"/>
      <c r="V692" s="1677"/>
      <c r="W692" s="1677"/>
      <c r="X692" s="15"/>
      <c r="Y692" s="15"/>
      <c r="Z692" s="15"/>
      <c r="AA692" s="15"/>
      <c r="AB692" s="15"/>
      <c r="AC692" s="15"/>
      <c r="AD692" s="15"/>
      <c r="AE692" s="23"/>
      <c r="AF692" s="15"/>
      <c r="AG692" s="15"/>
      <c r="AH692" s="15"/>
      <c r="AI692" s="15"/>
      <c r="AJ692" s="15"/>
      <c r="AK692" s="15"/>
      <c r="AL692" s="15"/>
      <c r="AM692" s="15"/>
      <c r="AN692" s="15"/>
      <c r="AO692" s="15"/>
      <c r="AP692" s="15"/>
      <c r="AQ692" s="15"/>
      <c r="AR692" s="15"/>
      <c r="AS692" s="15"/>
      <c r="AT692" s="15"/>
      <c r="AU692" s="15"/>
      <c r="AV692" s="15"/>
      <c r="AW692" s="15"/>
      <c r="AX692" s="15"/>
      <c r="AY692" s="15"/>
      <c r="AZ692" s="15"/>
      <c r="BA692" s="15"/>
      <c r="BB692" s="15"/>
      <c r="BC692" s="15"/>
      <c r="BD692" s="15"/>
      <c r="BE692" s="15"/>
      <c r="BF692" s="15"/>
      <c r="BG692" s="15"/>
      <c r="BH692" s="15"/>
      <c r="BI692" s="15"/>
      <c r="BJ692" s="15"/>
      <c r="BK692" s="15"/>
      <c r="BL692" s="15"/>
      <c r="BM692" s="15"/>
      <c r="BN692" s="15"/>
      <c r="BO692" s="15"/>
      <c r="BP692" s="833"/>
      <c r="BQ692" s="833"/>
      <c r="BR692" s="833"/>
      <c r="BS692" s="833"/>
      <c r="BT692" s="833"/>
      <c r="BU692" s="833"/>
      <c r="BV692" s="833"/>
      <c r="BW692" s="833"/>
      <c r="BX692" s="23"/>
      <c r="BY692" s="23"/>
      <c r="BZ692" s="23"/>
      <c r="CA692" s="23"/>
      <c r="CB692" s="23"/>
      <c r="CC692" s="23"/>
      <c r="CD692" s="23"/>
      <c r="CE692" s="23"/>
      <c r="CF692" s="833"/>
      <c r="CG692" s="23"/>
      <c r="CH692" s="23"/>
      <c r="CI692" s="23"/>
      <c r="CJ692" s="833"/>
      <c r="CK692" s="23"/>
      <c r="CL692" s="23"/>
      <c r="CM692" s="23"/>
      <c r="CN692" s="23"/>
      <c r="CO692" s="23"/>
      <c r="CP692" s="23"/>
      <c r="CQ692" s="23"/>
      <c r="CR692" s="23"/>
      <c r="CS692" s="23"/>
      <c r="CT692" s="23"/>
      <c r="CU692" s="23"/>
      <c r="CV692" s="23"/>
      <c r="CW692" s="23"/>
      <c r="CX692" s="23"/>
      <c r="CY692" s="23"/>
      <c r="CZ692" s="23"/>
      <c r="DA692" s="23"/>
      <c r="DB692" s="23"/>
      <c r="DC692" s="23"/>
    </row>
    <row r="693" spans="1:107">
      <c r="B693" s="23"/>
      <c r="C693" s="23"/>
      <c r="D693" s="15"/>
      <c r="E693" s="15"/>
      <c r="F693" s="15"/>
      <c r="G693" s="15"/>
      <c r="H693" s="15"/>
      <c r="I693" s="15"/>
      <c r="J693" s="15"/>
      <c r="K693" s="15"/>
      <c r="L693" s="15"/>
      <c r="M693" s="23"/>
      <c r="N693" s="15"/>
      <c r="O693" s="15"/>
      <c r="P693" s="15"/>
      <c r="Q693" s="15"/>
      <c r="R693" s="15"/>
      <c r="S693" s="1677"/>
      <c r="T693" s="1677"/>
      <c r="U693" s="1677"/>
      <c r="V693" s="1677"/>
      <c r="W693" s="1677"/>
      <c r="X693" s="15"/>
      <c r="Y693" s="15"/>
      <c r="Z693" s="15"/>
      <c r="AA693" s="15"/>
      <c r="AB693" s="15"/>
      <c r="AC693" s="15"/>
      <c r="AD693" s="15"/>
      <c r="AE693" s="23"/>
      <c r="AF693" s="15"/>
      <c r="AG693" s="15"/>
      <c r="AH693" s="15"/>
      <c r="AI693" s="15"/>
      <c r="AJ693" s="15"/>
      <c r="AK693" s="15"/>
      <c r="AL693" s="15"/>
      <c r="AM693" s="15"/>
      <c r="AN693" s="15"/>
      <c r="AO693" s="15"/>
      <c r="AP693" s="15"/>
      <c r="AQ693" s="15"/>
      <c r="AR693" s="15"/>
      <c r="AS693" s="15"/>
      <c r="AT693" s="15"/>
      <c r="AU693" s="15"/>
      <c r="AV693" s="15"/>
      <c r="AW693" s="15"/>
      <c r="AX693" s="15"/>
      <c r="AY693" s="15"/>
      <c r="AZ693" s="15"/>
      <c r="BA693" s="15"/>
      <c r="BB693" s="15"/>
      <c r="BC693" s="15"/>
      <c r="BD693" s="15"/>
      <c r="BE693" s="15"/>
      <c r="BF693" s="15"/>
      <c r="BG693" s="15"/>
      <c r="BH693" s="15"/>
      <c r="BI693" s="15"/>
      <c r="BJ693" s="15"/>
      <c r="BK693" s="15"/>
      <c r="BL693" s="15"/>
      <c r="BM693" s="15"/>
      <c r="BN693" s="15"/>
      <c r="BO693" s="15"/>
      <c r="BP693" s="833"/>
      <c r="BQ693" s="833"/>
      <c r="BR693" s="833"/>
      <c r="BS693" s="833"/>
      <c r="BT693" s="833"/>
      <c r="BU693" s="833"/>
      <c r="BV693" s="833"/>
      <c r="BW693" s="833"/>
      <c r="BX693" s="833"/>
      <c r="BY693" s="833"/>
      <c r="BZ693" s="833"/>
      <c r="CA693" s="833"/>
      <c r="CB693" s="833"/>
      <c r="CC693" s="833"/>
      <c r="CD693" s="833"/>
      <c r="CE693" s="833"/>
      <c r="CF693" s="833"/>
      <c r="CG693" s="833"/>
      <c r="CH693" s="833"/>
      <c r="CI693" s="833"/>
      <c r="CJ693" s="833"/>
      <c r="CK693" s="833"/>
      <c r="CL693" s="833"/>
      <c r="CM693" s="833"/>
      <c r="CN693" s="833"/>
      <c r="CO693" s="833"/>
      <c r="CP693" s="833"/>
      <c r="CQ693" s="833"/>
      <c r="CR693" s="833"/>
      <c r="CS693" s="833"/>
      <c r="CT693" s="833"/>
      <c r="CU693" s="833"/>
      <c r="CV693" s="833"/>
      <c r="CW693" s="833"/>
      <c r="CX693" s="833"/>
      <c r="CY693" s="833"/>
      <c r="CZ693" s="23"/>
      <c r="DA693" s="23"/>
      <c r="DB693" s="23"/>
      <c r="DC693" s="23"/>
    </row>
    <row r="694" spans="1:107">
      <c r="A694" s="1225" t="s">
        <v>604</v>
      </c>
      <c r="B694" s="146" t="s">
        <v>309</v>
      </c>
      <c r="C694" s="157"/>
      <c r="D694" s="157"/>
      <c r="E694" s="157"/>
      <c r="F694" s="157"/>
      <c r="G694" s="157"/>
      <c r="H694" s="157"/>
      <c r="I694" s="157"/>
      <c r="J694" s="157"/>
      <c r="K694" s="157"/>
      <c r="L694" s="157"/>
      <c r="M694" s="157"/>
      <c r="N694" s="157"/>
      <c r="O694" s="157"/>
      <c r="P694" s="157"/>
      <c r="Q694" s="1998">
        <f t="shared" ref="Q694:Z694" si="865">Q6</f>
        <v>2012</v>
      </c>
      <c r="R694" s="1998">
        <f t="shared" si="865"/>
        <v>2013</v>
      </c>
      <c r="S694" s="1998">
        <f t="shared" si="865"/>
        <v>2014</v>
      </c>
      <c r="T694" s="1998">
        <f t="shared" si="865"/>
        <v>2015</v>
      </c>
      <c r="U694" s="1998">
        <f t="shared" si="865"/>
        <v>2016</v>
      </c>
      <c r="V694" s="1998">
        <f t="shared" si="865"/>
        <v>2017</v>
      </c>
      <c r="W694" s="1998" t="str">
        <f t="shared" ref="W694" si="866">W6</f>
        <v>2018E</v>
      </c>
      <c r="X694" s="1998" t="str">
        <f t="shared" si="865"/>
        <v>2019E</v>
      </c>
      <c r="Y694" s="1998" t="str">
        <f t="shared" si="865"/>
        <v>2020E</v>
      </c>
      <c r="Z694" s="1998" t="str">
        <f t="shared" si="865"/>
        <v>2021E</v>
      </c>
      <c r="AA694" s="1998" t="str">
        <f t="shared" ref="AA694:AD694" si="867">AA6</f>
        <v>2022E</v>
      </c>
      <c r="AB694" s="1998" t="str">
        <f t="shared" si="867"/>
        <v>2023E</v>
      </c>
      <c r="AC694" s="1998" t="str">
        <f t="shared" si="867"/>
        <v>2024E</v>
      </c>
      <c r="AD694" s="1998" t="str">
        <f t="shared" si="867"/>
        <v>2025E</v>
      </c>
      <c r="AE694" s="1998"/>
      <c r="AF694" s="1998" t="str">
        <f t="shared" ref="AF694:BK694" si="868">AF6</f>
        <v>1Q00</v>
      </c>
      <c r="AG694" s="1998" t="str">
        <f t="shared" si="868"/>
        <v>2Q00</v>
      </c>
      <c r="AH694" s="1998" t="str">
        <f t="shared" si="868"/>
        <v>3Q00</v>
      </c>
      <c r="AI694" s="1998" t="str">
        <f t="shared" si="868"/>
        <v>4Q00</v>
      </c>
      <c r="AJ694" s="1998" t="str">
        <f t="shared" si="868"/>
        <v>1Q01</v>
      </c>
      <c r="AK694" s="1998" t="str">
        <f t="shared" si="868"/>
        <v>2Q01</v>
      </c>
      <c r="AL694" s="1998" t="str">
        <f t="shared" si="868"/>
        <v>3Q01</v>
      </c>
      <c r="AM694" s="1998" t="str">
        <f t="shared" si="868"/>
        <v>4Q01</v>
      </c>
      <c r="AN694" s="1998" t="str">
        <f t="shared" si="868"/>
        <v>1Q02</v>
      </c>
      <c r="AO694" s="1998" t="str">
        <f t="shared" si="868"/>
        <v>2Q02</v>
      </c>
      <c r="AP694" s="1998" t="str">
        <f t="shared" si="868"/>
        <v>3Q02</v>
      </c>
      <c r="AQ694" s="1998" t="str">
        <f t="shared" si="868"/>
        <v>4Q02</v>
      </c>
      <c r="AR694" s="1998" t="str">
        <f t="shared" si="868"/>
        <v>1Q03</v>
      </c>
      <c r="AS694" s="1998" t="str">
        <f t="shared" si="868"/>
        <v>2Q03</v>
      </c>
      <c r="AT694" s="1998" t="str">
        <f t="shared" si="868"/>
        <v>3Q03</v>
      </c>
      <c r="AU694" s="1998" t="str">
        <f t="shared" si="868"/>
        <v>4Q03</v>
      </c>
      <c r="AV694" s="1998" t="str">
        <f t="shared" si="868"/>
        <v>1Q04</v>
      </c>
      <c r="AW694" s="1998" t="str">
        <f t="shared" si="868"/>
        <v>2Q04</v>
      </c>
      <c r="AX694" s="1998" t="str">
        <f t="shared" si="868"/>
        <v>3Q04</v>
      </c>
      <c r="AY694" s="1998" t="str">
        <f t="shared" si="868"/>
        <v>4Q04</v>
      </c>
      <c r="AZ694" s="1998" t="str">
        <f t="shared" si="868"/>
        <v>1Q05</v>
      </c>
      <c r="BA694" s="1998" t="str">
        <f t="shared" si="868"/>
        <v>2Q05</v>
      </c>
      <c r="BB694" s="1998" t="str">
        <f t="shared" si="868"/>
        <v>3Q05</v>
      </c>
      <c r="BC694" s="1998" t="str">
        <f t="shared" si="868"/>
        <v>6Q05</v>
      </c>
      <c r="BD694" s="1998" t="str">
        <f t="shared" si="868"/>
        <v>1Q06</v>
      </c>
      <c r="BE694" s="1998" t="str">
        <f t="shared" si="868"/>
        <v>2Q06</v>
      </c>
      <c r="BF694" s="1998" t="str">
        <f t="shared" si="868"/>
        <v>3Q06</v>
      </c>
      <c r="BG694" s="1998" t="str">
        <f t="shared" si="868"/>
        <v>4Q06</v>
      </c>
      <c r="BH694" s="1998" t="str">
        <f t="shared" si="868"/>
        <v>1Q07</v>
      </c>
      <c r="BI694" s="1998" t="str">
        <f t="shared" si="868"/>
        <v>2Q07</v>
      </c>
      <c r="BJ694" s="1998" t="str">
        <f t="shared" si="868"/>
        <v>3Q07</v>
      </c>
      <c r="BK694" s="1998" t="str">
        <f t="shared" si="868"/>
        <v>4Q07</v>
      </c>
      <c r="BL694" s="1998" t="str">
        <f t="shared" ref="BL694:CQ694" si="869">BL6</f>
        <v>1Q08</v>
      </c>
      <c r="BM694" s="1998" t="str">
        <f t="shared" si="869"/>
        <v>2Q08</v>
      </c>
      <c r="BN694" s="1998" t="str">
        <f t="shared" si="869"/>
        <v>3Q08</v>
      </c>
      <c r="BO694" s="1998" t="str">
        <f t="shared" si="869"/>
        <v>4Q08</v>
      </c>
      <c r="BP694" s="1998" t="str">
        <f t="shared" si="869"/>
        <v>1Q09</v>
      </c>
      <c r="BQ694" s="1998" t="str">
        <f t="shared" si="869"/>
        <v>2Q09</v>
      </c>
      <c r="BR694" s="1998" t="str">
        <f t="shared" si="869"/>
        <v>3Q09</v>
      </c>
      <c r="BS694" s="1998" t="str">
        <f t="shared" si="869"/>
        <v>4Q09</v>
      </c>
      <c r="BT694" s="1998" t="str">
        <f t="shared" si="869"/>
        <v>1Q10</v>
      </c>
      <c r="BU694" s="1998" t="str">
        <f t="shared" si="869"/>
        <v>2Q10</v>
      </c>
      <c r="BV694" s="1998" t="str">
        <f t="shared" si="869"/>
        <v>3Q10</v>
      </c>
      <c r="BW694" s="1998" t="str">
        <f t="shared" si="869"/>
        <v>4Q10</v>
      </c>
      <c r="BX694" s="1998" t="str">
        <f t="shared" si="869"/>
        <v>1Q11</v>
      </c>
      <c r="BY694" s="1998" t="str">
        <f t="shared" si="869"/>
        <v>2Q11</v>
      </c>
      <c r="BZ694" s="1998" t="str">
        <f t="shared" si="869"/>
        <v>3Q11</v>
      </c>
      <c r="CA694" s="1998" t="str">
        <f t="shared" si="869"/>
        <v>4Q11</v>
      </c>
      <c r="CB694" s="1998" t="str">
        <f t="shared" si="869"/>
        <v>1Q12</v>
      </c>
      <c r="CC694" s="1998" t="str">
        <f t="shared" si="869"/>
        <v>2Q12</v>
      </c>
      <c r="CD694" s="1998" t="str">
        <f t="shared" si="869"/>
        <v>3Q12</v>
      </c>
      <c r="CE694" s="1998" t="str">
        <f t="shared" si="869"/>
        <v>4Q12</v>
      </c>
      <c r="CF694" s="1998" t="str">
        <f t="shared" si="869"/>
        <v>1Q13</v>
      </c>
      <c r="CG694" s="1998" t="str">
        <f t="shared" si="869"/>
        <v>2Q13</v>
      </c>
      <c r="CH694" s="1998" t="str">
        <f t="shared" si="869"/>
        <v>3Q13</v>
      </c>
      <c r="CI694" s="1998" t="str">
        <f t="shared" si="869"/>
        <v>4Q13</v>
      </c>
      <c r="CJ694" s="1998" t="str">
        <f t="shared" si="869"/>
        <v>1Q14</v>
      </c>
      <c r="CK694" s="1998" t="str">
        <f t="shared" si="869"/>
        <v>2Q14</v>
      </c>
      <c r="CL694" s="1998" t="str">
        <f t="shared" si="869"/>
        <v>3Q14</v>
      </c>
      <c r="CM694" s="1998" t="str">
        <f t="shared" si="869"/>
        <v>4Q14</v>
      </c>
      <c r="CN694" s="1998" t="str">
        <f t="shared" si="869"/>
        <v>1Q15</v>
      </c>
      <c r="CO694" s="1998" t="str">
        <f t="shared" si="869"/>
        <v>2Q15</v>
      </c>
      <c r="CP694" s="1998" t="str">
        <f t="shared" si="869"/>
        <v>3Q15</v>
      </c>
      <c r="CQ694" s="1998" t="str">
        <f t="shared" si="869"/>
        <v>4Q15</v>
      </c>
      <c r="CR694" s="1998" t="str">
        <f t="shared" ref="CR694:CX694" si="870">CR6</f>
        <v>1Q16</v>
      </c>
      <c r="CS694" s="1998" t="str">
        <f t="shared" si="870"/>
        <v>2Q16</v>
      </c>
      <c r="CT694" s="1998" t="str">
        <f t="shared" si="870"/>
        <v>3Q16</v>
      </c>
      <c r="CU694" s="1998" t="str">
        <f t="shared" si="870"/>
        <v>4Q16</v>
      </c>
      <c r="CV694" s="1998" t="str">
        <f t="shared" si="870"/>
        <v>1Q17</v>
      </c>
      <c r="CW694" s="1998" t="str">
        <f t="shared" si="870"/>
        <v>2Q17</v>
      </c>
      <c r="CX694" s="1998" t="str">
        <f t="shared" si="870"/>
        <v>3Q17</v>
      </c>
      <c r="CY694" s="1998" t="str">
        <f t="shared" ref="CY694" si="871">CY6</f>
        <v>4Q17</v>
      </c>
      <c r="CZ694" s="1998" t="str">
        <f t="shared" ref="CZ694:DC694" si="872">CZ6</f>
        <v>1Q18E</v>
      </c>
      <c r="DA694" s="1998" t="str">
        <f t="shared" si="872"/>
        <v>2Q18E</v>
      </c>
      <c r="DB694" s="1998" t="str">
        <f t="shared" si="872"/>
        <v>3Q18E</v>
      </c>
      <c r="DC694" s="1998" t="str">
        <f t="shared" si="872"/>
        <v>4Q18E</v>
      </c>
    </row>
    <row r="695" spans="1:107">
      <c r="B695" s="193" t="s">
        <v>700</v>
      </c>
      <c r="C695" s="158"/>
      <c r="D695" s="159"/>
      <c r="E695" s="159"/>
      <c r="F695" s="159"/>
      <c r="G695" s="159"/>
      <c r="H695" s="159"/>
      <c r="I695" s="159"/>
      <c r="J695" s="159"/>
      <c r="K695" s="159"/>
      <c r="L695" s="158"/>
      <c r="M695" s="158"/>
      <c r="N695" s="160">
        <f>N565+N412+N165+N166</f>
        <v>60800</v>
      </c>
      <c r="O695" s="160">
        <f>O565+O412+O165+O166</f>
        <v>86600</v>
      </c>
      <c r="P695" s="160">
        <f t="shared" ref="P695:Z695" si="873">P565+P412+P167</f>
        <v>90400</v>
      </c>
      <c r="Q695" s="160">
        <f t="shared" si="873"/>
        <v>108100</v>
      </c>
      <c r="R695" s="160">
        <f t="shared" si="873"/>
        <v>117200</v>
      </c>
      <c r="S695" s="160">
        <f t="shared" si="873"/>
        <v>125000</v>
      </c>
      <c r="T695" s="160">
        <f t="shared" si="873"/>
        <v>139900</v>
      </c>
      <c r="U695" s="160">
        <f t="shared" si="873"/>
        <v>197600</v>
      </c>
      <c r="V695" s="160">
        <f t="shared" si="873"/>
        <v>241000</v>
      </c>
      <c r="W695" s="160">
        <f t="shared" ref="W695" si="874">W565+W412+W167</f>
        <v>263605</v>
      </c>
      <c r="X695" s="160">
        <f t="shared" si="873"/>
        <v>285380</v>
      </c>
      <c r="Y695" s="160">
        <f t="shared" si="873"/>
        <v>305000</v>
      </c>
      <c r="Z695" s="160">
        <f t="shared" si="873"/>
        <v>324492</v>
      </c>
      <c r="AA695" s="160">
        <f t="shared" ref="AA695:AD695" si="875">AA565+AA412+AA167</f>
        <v>343859</v>
      </c>
      <c r="AB695" s="160">
        <f t="shared" si="875"/>
        <v>363103</v>
      </c>
      <c r="AC695" s="160">
        <f t="shared" si="875"/>
        <v>382227</v>
      </c>
      <c r="AD695" s="160">
        <f t="shared" si="875"/>
        <v>401233</v>
      </c>
      <c r="AE695" s="158"/>
      <c r="AF695" s="158"/>
      <c r="AG695" s="158"/>
      <c r="AH695" s="158"/>
      <c r="AI695" s="158"/>
      <c r="AJ695" s="158"/>
      <c r="AK695" s="158"/>
      <c r="AL695" s="158"/>
      <c r="AM695" s="158"/>
      <c r="AN695" s="158"/>
      <c r="AO695" s="158"/>
      <c r="AP695" s="158"/>
      <c r="AQ695" s="158"/>
      <c r="AR695" s="158"/>
      <c r="AS695" s="158"/>
      <c r="AT695" s="158"/>
      <c r="AU695" s="158"/>
      <c r="AV695" s="158"/>
      <c r="AW695" s="158"/>
      <c r="AX695" s="158"/>
      <c r="AY695" s="158"/>
      <c r="AZ695" s="158"/>
      <c r="BA695" s="158"/>
      <c r="BB695" s="158"/>
      <c r="BC695" s="158"/>
      <c r="BD695" s="161"/>
      <c r="BE695" s="161"/>
      <c r="BF695" s="161"/>
      <c r="BG695" s="161"/>
      <c r="BH695" s="161"/>
      <c r="BI695" s="162"/>
      <c r="BJ695" s="160">
        <f t="shared" ref="BJ695:BT695" si="876">BJ565+BJ412+BJ165+BJ166</f>
        <v>25900</v>
      </c>
      <c r="BK695" s="160">
        <f t="shared" si="876"/>
        <v>30100</v>
      </c>
      <c r="BL695" s="160">
        <f t="shared" si="876"/>
        <v>30100</v>
      </c>
      <c r="BM695" s="160">
        <f t="shared" si="876"/>
        <v>33300</v>
      </c>
      <c r="BN695" s="160">
        <f t="shared" si="876"/>
        <v>33800</v>
      </c>
      <c r="BO695" s="160">
        <f t="shared" si="876"/>
        <v>34200</v>
      </c>
      <c r="BP695" s="160">
        <f t="shared" si="876"/>
        <v>67819.867549668881</v>
      </c>
      <c r="BQ695" s="160">
        <f t="shared" si="876"/>
        <v>69142.483660130718</v>
      </c>
      <c r="BR695" s="160">
        <f t="shared" si="876"/>
        <v>72255.459272097054</v>
      </c>
      <c r="BS695" s="160">
        <f t="shared" si="876"/>
        <v>74809.787928221864</v>
      </c>
      <c r="BT695" s="160">
        <f t="shared" si="876"/>
        <v>77903.139717425423</v>
      </c>
      <c r="BU695" s="160">
        <f t="shared" ref="BU695:CX695" si="877">BU565+BU412+BU167</f>
        <v>78700</v>
      </c>
      <c r="BV695" s="160">
        <f t="shared" si="877"/>
        <v>81400</v>
      </c>
      <c r="BW695" s="160">
        <f t="shared" si="877"/>
        <v>82900</v>
      </c>
      <c r="BX695" s="160">
        <f t="shared" si="877"/>
        <v>84600</v>
      </c>
      <c r="BY695" s="160">
        <f t="shared" si="877"/>
        <v>91300</v>
      </c>
      <c r="BZ695" s="160">
        <f t="shared" si="877"/>
        <v>89000</v>
      </c>
      <c r="CA695" s="160">
        <f t="shared" si="877"/>
        <v>90400</v>
      </c>
      <c r="CB695" s="160">
        <f t="shared" si="877"/>
        <v>91200</v>
      </c>
      <c r="CC695" s="160">
        <f t="shared" si="877"/>
        <v>92890</v>
      </c>
      <c r="CD695" s="160">
        <f t="shared" si="877"/>
        <v>106800</v>
      </c>
      <c r="CE695" s="160">
        <f t="shared" si="877"/>
        <v>108100</v>
      </c>
      <c r="CF695" s="160">
        <f t="shared" si="877"/>
        <v>110800</v>
      </c>
      <c r="CG695" s="160">
        <f t="shared" si="877"/>
        <v>112400</v>
      </c>
      <c r="CH695" s="160">
        <f t="shared" si="877"/>
        <v>113800</v>
      </c>
      <c r="CI695" s="160">
        <f t="shared" si="877"/>
        <v>117200</v>
      </c>
      <c r="CJ695" s="160">
        <f t="shared" si="877"/>
        <v>119400</v>
      </c>
      <c r="CK695" s="160">
        <f t="shared" si="877"/>
        <v>120500</v>
      </c>
      <c r="CL695" s="160">
        <f t="shared" si="877"/>
        <v>121500</v>
      </c>
      <c r="CM695" s="160">
        <f t="shared" si="877"/>
        <v>125000</v>
      </c>
      <c r="CN695" s="160">
        <f t="shared" si="877"/>
        <v>129200</v>
      </c>
      <c r="CO695" s="160">
        <f t="shared" si="877"/>
        <v>133200</v>
      </c>
      <c r="CP695" s="160">
        <f t="shared" si="877"/>
        <v>136600</v>
      </c>
      <c r="CQ695" s="160">
        <f t="shared" si="877"/>
        <v>139900</v>
      </c>
      <c r="CR695" s="160">
        <f t="shared" si="877"/>
        <v>143900</v>
      </c>
      <c r="CS695" s="160">
        <f t="shared" si="877"/>
        <v>145200</v>
      </c>
      <c r="CT695" s="160">
        <f t="shared" si="877"/>
        <v>150400</v>
      </c>
      <c r="CU695" s="160">
        <f t="shared" si="877"/>
        <v>197600</v>
      </c>
      <c r="CV695" s="160">
        <f t="shared" si="877"/>
        <v>201200</v>
      </c>
      <c r="CW695" s="160">
        <f t="shared" si="877"/>
        <v>205200</v>
      </c>
      <c r="CX695" s="160">
        <f t="shared" si="877"/>
        <v>212600</v>
      </c>
      <c r="CY695" s="160">
        <f t="shared" ref="CY695" si="878">CY565+CY412+CY167</f>
        <v>241000</v>
      </c>
      <c r="CZ695" s="160">
        <f t="shared" ref="CZ695:DC695" si="879">CZ565+CZ412+CZ167</f>
        <v>245180</v>
      </c>
      <c r="DA695" s="160">
        <f t="shared" si="879"/>
        <v>247805</v>
      </c>
      <c r="DB695" s="160">
        <f t="shared" si="879"/>
        <v>255530</v>
      </c>
      <c r="DC695" s="160">
        <f t="shared" si="879"/>
        <v>263605</v>
      </c>
    </row>
    <row r="696" spans="1:107" s="773" customFormat="1">
      <c r="A696" s="927"/>
      <c r="B696" s="919" t="s">
        <v>303</v>
      </c>
      <c r="C696" s="1985"/>
      <c r="D696" s="1985"/>
      <c r="E696" s="1985"/>
      <c r="F696" s="1985"/>
      <c r="G696" s="1985"/>
      <c r="H696" s="1985"/>
      <c r="I696" s="1985"/>
      <c r="J696" s="1985"/>
      <c r="K696" s="1985"/>
      <c r="L696" s="1985"/>
      <c r="M696" s="1985"/>
      <c r="N696" s="1986"/>
      <c r="O696" s="1986"/>
      <c r="P696" s="1987"/>
      <c r="Q696" s="1987">
        <f>+Q695/P695-1</f>
        <v>0.19579646017699126</v>
      </c>
      <c r="R696" s="1987">
        <f t="shared" ref="R696:Z696" si="880">+R695/Q695-1</f>
        <v>8.418131359851988E-2</v>
      </c>
      <c r="S696" s="1987">
        <f t="shared" si="880"/>
        <v>6.6552901023890776E-2</v>
      </c>
      <c r="T696" s="1987">
        <f t="shared" si="880"/>
        <v>0.11919999999999997</v>
      </c>
      <c r="U696" s="1987">
        <f t="shared" si="880"/>
        <v>0.41243745532523235</v>
      </c>
      <c r="V696" s="1987">
        <f t="shared" si="880"/>
        <v>0.21963562753036436</v>
      </c>
      <c r="W696" s="1987">
        <f t="shared" si="880"/>
        <v>9.3796680497925333E-2</v>
      </c>
      <c r="X696" s="1987">
        <f t="shared" si="880"/>
        <v>8.2604654691678769E-2</v>
      </c>
      <c r="Y696" s="1987">
        <f t="shared" si="880"/>
        <v>6.8750438012474602E-2</v>
      </c>
      <c r="Z696" s="1987">
        <f t="shared" si="880"/>
        <v>6.3908196721311539E-2</v>
      </c>
      <c r="AA696" s="1987">
        <f t="shared" ref="AA696" si="881">+AA695/Z695-1</f>
        <v>5.9684060007642703E-2</v>
      </c>
      <c r="AB696" s="1987">
        <f t="shared" ref="AB696" si="882">+AB695/AA695-1</f>
        <v>5.596479952538691E-2</v>
      </c>
      <c r="AC696" s="1987">
        <f t="shared" ref="AC696" si="883">+AC695/AB695-1</f>
        <v>5.2668251157385049E-2</v>
      </c>
      <c r="AD696" s="1987">
        <f t="shared" ref="AD696" si="884">+AD695/AC695-1</f>
        <v>4.9724378445269446E-2</v>
      </c>
      <c r="AE696" s="1988"/>
      <c r="AF696" s="1988"/>
      <c r="AG696" s="1988"/>
      <c r="AH696" s="1988"/>
      <c r="AI696" s="1988"/>
      <c r="AJ696" s="1988"/>
      <c r="AK696" s="1988"/>
      <c r="AL696" s="1988"/>
      <c r="AM696" s="1988"/>
      <c r="AN696" s="1988"/>
      <c r="AO696" s="1988"/>
      <c r="AP696" s="1988"/>
      <c r="AQ696" s="1988"/>
      <c r="AR696" s="1988"/>
      <c r="AS696" s="1988"/>
      <c r="AT696" s="1988"/>
      <c r="AU696" s="1988"/>
      <c r="AV696" s="1988"/>
      <c r="AW696" s="1988"/>
      <c r="AX696" s="1988"/>
      <c r="AY696" s="1988"/>
      <c r="AZ696" s="1988"/>
      <c r="BA696" s="1988"/>
      <c r="BB696" s="1988"/>
      <c r="BC696" s="1988"/>
      <c r="BD696" s="1989"/>
      <c r="BE696" s="1989"/>
      <c r="BF696" s="1989"/>
      <c r="BG696" s="1989"/>
      <c r="BH696" s="1989"/>
      <c r="BI696" s="1990"/>
      <c r="BJ696" s="1991"/>
      <c r="BK696" s="1991"/>
      <c r="BL696" s="1991"/>
      <c r="BM696" s="1991"/>
      <c r="BN696" s="1991"/>
      <c r="BO696" s="1991"/>
      <c r="BP696" s="1991"/>
      <c r="BQ696" s="1986"/>
      <c r="BR696" s="1986"/>
      <c r="BS696" s="1986"/>
      <c r="BT696" s="1986"/>
      <c r="BU696" s="1986"/>
      <c r="BV696" s="1986"/>
      <c r="BW696" s="1986"/>
      <c r="BX696" s="1986"/>
      <c r="BY696" s="1986"/>
      <c r="BZ696" s="1986"/>
      <c r="CA696" s="1986"/>
      <c r="CB696" s="1986"/>
      <c r="CC696" s="1986"/>
      <c r="CD696" s="1986"/>
      <c r="CE696" s="1986"/>
      <c r="CF696" s="1987">
        <f t="shared" ref="CF696:CV696" si="885">+CF695/CE695-1</f>
        <v>2.4976873265494914E-2</v>
      </c>
      <c r="CG696" s="1987">
        <f t="shared" si="885"/>
        <v>1.4440433212996373E-2</v>
      </c>
      <c r="CH696" s="1987">
        <f t="shared" si="885"/>
        <v>1.245551601423478E-2</v>
      </c>
      <c r="CI696" s="1987">
        <f t="shared" si="885"/>
        <v>2.987697715289972E-2</v>
      </c>
      <c r="CJ696" s="1987">
        <f t="shared" si="885"/>
        <v>1.8771331058020424E-2</v>
      </c>
      <c r="CK696" s="1987">
        <f t="shared" si="885"/>
        <v>9.2127303182578668E-3</v>
      </c>
      <c r="CL696" s="1987">
        <f t="shared" si="885"/>
        <v>8.2987551867219622E-3</v>
      </c>
      <c r="CM696" s="1987">
        <f t="shared" si="885"/>
        <v>2.8806584362139898E-2</v>
      </c>
      <c r="CN696" s="1987">
        <f t="shared" si="885"/>
        <v>3.3600000000000074E-2</v>
      </c>
      <c r="CO696" s="1987">
        <f t="shared" si="885"/>
        <v>3.0959752321981338E-2</v>
      </c>
      <c r="CP696" s="1987">
        <f t="shared" si="885"/>
        <v>2.5525525525525561E-2</v>
      </c>
      <c r="CQ696" s="1987">
        <f t="shared" si="885"/>
        <v>2.4158125915080486E-2</v>
      </c>
      <c r="CR696" s="1987">
        <f t="shared" si="885"/>
        <v>2.8591851322373074E-2</v>
      </c>
      <c r="CS696" s="1987">
        <f t="shared" si="885"/>
        <v>9.0340514246003423E-3</v>
      </c>
      <c r="CT696" s="1987">
        <f t="shared" si="885"/>
        <v>3.5812672176308569E-2</v>
      </c>
      <c r="CU696" s="1987">
        <f t="shared" si="885"/>
        <v>0.31382978723404253</v>
      </c>
      <c r="CV696" s="1987">
        <f t="shared" si="885"/>
        <v>1.8218623481781382E-2</v>
      </c>
      <c r="CW696" s="1987">
        <f>+CW695/CV695-1</f>
        <v>1.9880715705765439E-2</v>
      </c>
      <c r="CX696" s="1987">
        <f>+CX695/CW695-1</f>
        <v>3.606237816764124E-2</v>
      </c>
      <c r="CY696" s="1987">
        <f>+CY695/CX695-1</f>
        <v>0.13358419567262469</v>
      </c>
      <c r="CZ696" s="1987">
        <f t="shared" ref="CZ696:DC696" si="886">+CZ695/CY695-1</f>
        <v>1.7344398340249034E-2</v>
      </c>
      <c r="DA696" s="1987">
        <f t="shared" si="886"/>
        <v>1.0706419773227838E-2</v>
      </c>
      <c r="DB696" s="1987">
        <f t="shared" si="886"/>
        <v>3.1173705131050555E-2</v>
      </c>
      <c r="DC696" s="1987">
        <f t="shared" si="886"/>
        <v>3.1600986185575053E-2</v>
      </c>
    </row>
    <row r="697" spans="1:107">
      <c r="A697" s="15"/>
      <c r="B697" s="129" t="s">
        <v>200</v>
      </c>
      <c r="C697" s="123"/>
      <c r="D697" s="124"/>
      <c r="E697" s="124"/>
      <c r="F697" s="124"/>
      <c r="G697" s="124"/>
      <c r="H697" s="124"/>
      <c r="I697" s="124"/>
      <c r="J697" s="124"/>
      <c r="K697" s="124"/>
      <c r="L697" s="123"/>
      <c r="M697" s="123"/>
      <c r="N697" s="1635">
        <f>N624+N461+N240+N231</f>
        <v>56688</v>
      </c>
      <c r="O697" s="46">
        <f t="shared" ref="O697:Z697" si="887">O624+O461+O249</f>
        <v>63900</v>
      </c>
      <c r="P697" s="46">
        <f t="shared" si="887"/>
        <v>72400</v>
      </c>
      <c r="Q697" s="46">
        <f t="shared" si="887"/>
        <v>82000</v>
      </c>
      <c r="R697" s="46">
        <f t="shared" si="887"/>
        <v>89100</v>
      </c>
      <c r="S697" s="46">
        <f t="shared" si="887"/>
        <v>98600</v>
      </c>
      <c r="T697" s="46">
        <f t="shared" si="887"/>
        <v>113700</v>
      </c>
      <c r="U697" s="46">
        <f t="shared" si="887"/>
        <v>157400</v>
      </c>
      <c r="V697" s="46">
        <f t="shared" si="887"/>
        <v>195100</v>
      </c>
      <c r="W697" s="46">
        <f t="shared" ref="W697" si="888">W624+W461+W249</f>
        <v>211901.57500000001</v>
      </c>
      <c r="X697" s="46">
        <f t="shared" si="887"/>
        <v>230167.88750000001</v>
      </c>
      <c r="Y697" s="46">
        <f t="shared" si="887"/>
        <v>246900.13749999995</v>
      </c>
      <c r="Z697" s="46">
        <f t="shared" si="887"/>
        <v>263655.11249999993</v>
      </c>
      <c r="AA697" s="46">
        <f t="shared" ref="AA697:AD697" si="889">AA624+AA461+AA249</f>
        <v>280434.11</v>
      </c>
      <c r="AB697" s="46">
        <f t="shared" si="889"/>
        <v>297237.70249999996</v>
      </c>
      <c r="AC697" s="46">
        <f t="shared" si="889"/>
        <v>314067.23999999993</v>
      </c>
      <c r="AD697" s="46">
        <f t="shared" si="889"/>
        <v>330923.34249999991</v>
      </c>
      <c r="AE697" s="123"/>
      <c r="AF697" s="120"/>
      <c r="AG697" s="120"/>
      <c r="AH697" s="120"/>
      <c r="AI697" s="120"/>
      <c r="AJ697" s="120"/>
      <c r="AK697" s="120"/>
      <c r="AL697" s="120"/>
      <c r="AM697" s="120"/>
      <c r="AN697" s="120"/>
      <c r="AO697" s="120"/>
      <c r="AP697" s="120"/>
      <c r="AQ697" s="120"/>
      <c r="AR697" s="120"/>
      <c r="AS697" s="120"/>
      <c r="AT697" s="120"/>
      <c r="AU697" s="120"/>
      <c r="AV697" s="120"/>
      <c r="AW697" s="120"/>
      <c r="AX697" s="120"/>
      <c r="AY697" s="120"/>
      <c r="AZ697" s="120"/>
      <c r="BA697" s="120"/>
      <c r="BB697" s="120"/>
      <c r="BC697" s="120"/>
      <c r="BD697" s="835"/>
      <c r="BE697" s="835"/>
      <c r="BF697" s="835"/>
      <c r="BG697" s="835"/>
      <c r="BH697" s="835"/>
      <c r="BI697" s="836"/>
      <c r="BJ697" s="835"/>
      <c r="BK697" s="835"/>
      <c r="BL697" s="835"/>
      <c r="BM697" s="835"/>
      <c r="BN697" s="835"/>
      <c r="BO697" s="835"/>
      <c r="BP697" s="130"/>
      <c r="BQ697" s="46">
        <f>BQ623+BQ460+BQ239+BQ230</f>
        <v>53782</v>
      </c>
      <c r="BR697" s="46">
        <f>BR623+BR460+BR239+BR230</f>
        <v>55110</v>
      </c>
      <c r="BS697" s="46">
        <f>BS623+BS460+BS239+BS230</f>
        <v>56388</v>
      </c>
      <c r="BT697" s="46">
        <f>BT623+BT460+BT239+BT230</f>
        <v>57320</v>
      </c>
      <c r="BU697" s="1186">
        <f t="shared" ref="BU697:CX697" si="890">BU624+BU461+BU249</f>
        <v>61000</v>
      </c>
      <c r="BV697" s="46">
        <f t="shared" si="890"/>
        <v>61700</v>
      </c>
      <c r="BW697" s="46">
        <f t="shared" si="890"/>
        <v>63900</v>
      </c>
      <c r="BX697" s="46">
        <f t="shared" si="890"/>
        <v>67100</v>
      </c>
      <c r="BY697" s="46">
        <f t="shared" si="890"/>
        <v>69500</v>
      </c>
      <c r="BZ697" s="46">
        <f t="shared" si="890"/>
        <v>70800</v>
      </c>
      <c r="CA697" s="46">
        <f t="shared" si="890"/>
        <v>72400</v>
      </c>
      <c r="CB697" s="46">
        <f t="shared" si="890"/>
        <v>74000</v>
      </c>
      <c r="CC697" s="46">
        <f t="shared" si="890"/>
        <v>75100</v>
      </c>
      <c r="CD697" s="46">
        <f t="shared" si="890"/>
        <v>79300</v>
      </c>
      <c r="CE697" s="46">
        <f t="shared" si="890"/>
        <v>82000</v>
      </c>
      <c r="CF697" s="46">
        <f t="shared" si="890"/>
        <v>83400</v>
      </c>
      <c r="CG697" s="46">
        <f t="shared" si="890"/>
        <v>84700</v>
      </c>
      <c r="CH697" s="46">
        <f t="shared" si="890"/>
        <v>87100</v>
      </c>
      <c r="CI697" s="46">
        <f t="shared" si="890"/>
        <v>89100</v>
      </c>
      <c r="CJ697" s="46">
        <f t="shared" si="890"/>
        <v>91100</v>
      </c>
      <c r="CK697" s="46">
        <f t="shared" si="890"/>
        <v>93000</v>
      </c>
      <c r="CL697" s="46">
        <f t="shared" si="890"/>
        <v>96700</v>
      </c>
      <c r="CM697" s="46">
        <f t="shared" si="890"/>
        <v>98600</v>
      </c>
      <c r="CN697" s="46">
        <f t="shared" si="890"/>
        <v>101600</v>
      </c>
      <c r="CO697" s="46">
        <f t="shared" si="890"/>
        <v>105400</v>
      </c>
      <c r="CP697" s="46">
        <f t="shared" si="890"/>
        <v>110100</v>
      </c>
      <c r="CQ697" s="46">
        <f t="shared" si="890"/>
        <v>113700</v>
      </c>
      <c r="CR697" s="46">
        <f t="shared" si="890"/>
        <v>115200</v>
      </c>
      <c r="CS697" s="46">
        <f t="shared" si="890"/>
        <v>118500</v>
      </c>
      <c r="CT697" s="46">
        <f t="shared" si="890"/>
        <v>121400</v>
      </c>
      <c r="CU697" s="46">
        <f t="shared" si="890"/>
        <v>157400</v>
      </c>
      <c r="CV697" s="46">
        <f t="shared" si="890"/>
        <v>159400</v>
      </c>
      <c r="CW697" s="46">
        <f t="shared" si="890"/>
        <v>162300</v>
      </c>
      <c r="CX697" s="46">
        <f t="shared" si="890"/>
        <v>166800</v>
      </c>
      <c r="CY697" s="46">
        <f t="shared" ref="CY697" si="891">CY624+CY461+CY249</f>
        <v>195100</v>
      </c>
      <c r="CZ697" s="46">
        <f t="shared" ref="CZ697:DC697" si="892">CZ624+CZ461+CZ249</f>
        <v>197436.3125</v>
      </c>
      <c r="DA697" s="46">
        <f t="shared" si="892"/>
        <v>201994.25</v>
      </c>
      <c r="DB697" s="46">
        <f t="shared" si="892"/>
        <v>206987.53749999998</v>
      </c>
      <c r="DC697" s="46">
        <f t="shared" si="892"/>
        <v>211901.57500000001</v>
      </c>
    </row>
    <row r="698" spans="1:107" s="773" customFormat="1">
      <c r="A698" s="927"/>
      <c r="B698" s="919" t="s">
        <v>303</v>
      </c>
      <c r="C698" s="1985"/>
      <c r="D698" s="1985"/>
      <c r="E698" s="1985"/>
      <c r="F698" s="1985"/>
      <c r="G698" s="1985"/>
      <c r="H698" s="1985"/>
      <c r="I698" s="1985"/>
      <c r="J698" s="1985"/>
      <c r="K698" s="1985"/>
      <c r="L698" s="1985"/>
      <c r="M698" s="1985"/>
      <c r="N698" s="1986"/>
      <c r="O698" s="1986"/>
      <c r="P698" s="1987"/>
      <c r="Q698" s="1987">
        <f t="shared" ref="Q698:Z698" si="893">+Q697/P697-1</f>
        <v>0.13259668508287303</v>
      </c>
      <c r="R698" s="1987">
        <f t="shared" si="893"/>
        <v>8.6585365853658613E-2</v>
      </c>
      <c r="S698" s="1987">
        <f t="shared" si="893"/>
        <v>0.10662177328844002</v>
      </c>
      <c r="T698" s="1987">
        <f t="shared" si="893"/>
        <v>0.15314401622718044</v>
      </c>
      <c r="U698" s="1987">
        <f t="shared" si="893"/>
        <v>0.38434476693051889</v>
      </c>
      <c r="V698" s="1987">
        <f t="shared" si="893"/>
        <v>0.23951715374841176</v>
      </c>
      <c r="W698" s="1987">
        <f t="shared" si="893"/>
        <v>8.6117760123013865E-2</v>
      </c>
      <c r="X698" s="1987">
        <f t="shared" si="893"/>
        <v>8.620187226074183E-2</v>
      </c>
      <c r="Y698" s="1987">
        <f t="shared" si="893"/>
        <v>7.2695849024551507E-2</v>
      </c>
      <c r="Z698" s="1987">
        <f t="shared" si="893"/>
        <v>6.7861343333597723E-2</v>
      </c>
      <c r="AA698" s="1987">
        <f t="shared" ref="AA698" si="894">+AA697/Z697-1</f>
        <v>6.3639947433221433E-2</v>
      </c>
      <c r="AB698" s="1987">
        <f t="shared" ref="AB698" si="895">+AB697/AA697-1</f>
        <v>5.9919930924237308E-2</v>
      </c>
      <c r="AC698" s="1987">
        <f t="shared" ref="AC698" si="896">+AC697/AB697-1</f>
        <v>5.6619794051866457E-2</v>
      </c>
      <c r="AD698" s="1987">
        <f t="shared" ref="AD698" si="897">+AD697/AC697-1</f>
        <v>5.3670362117360648E-2</v>
      </c>
      <c r="AE698" s="1985"/>
      <c r="AF698" s="1988"/>
      <c r="AG698" s="1988"/>
      <c r="AH698" s="1988"/>
      <c r="AI698" s="1988"/>
      <c r="AJ698" s="1988"/>
      <c r="AK698" s="1988"/>
      <c r="AL698" s="1988"/>
      <c r="AM698" s="1988"/>
      <c r="AN698" s="1988"/>
      <c r="AO698" s="1988"/>
      <c r="AP698" s="1988"/>
      <c r="AQ698" s="1988"/>
      <c r="AR698" s="1988"/>
      <c r="AS698" s="1988"/>
      <c r="AT698" s="1988"/>
      <c r="AU698" s="1988"/>
      <c r="AV698" s="1988"/>
      <c r="AW698" s="1988"/>
      <c r="AX698" s="1988"/>
      <c r="AY698" s="1988"/>
      <c r="AZ698" s="1988"/>
      <c r="BA698" s="1988"/>
      <c r="BB698" s="1988"/>
      <c r="BC698" s="1988"/>
      <c r="BD698" s="1989"/>
      <c r="BE698" s="1989"/>
      <c r="BF698" s="1989"/>
      <c r="BG698" s="1989"/>
      <c r="BH698" s="1989"/>
      <c r="BI698" s="1990"/>
      <c r="BJ698" s="1991"/>
      <c r="BK698" s="1991"/>
      <c r="BL698" s="1991"/>
      <c r="BM698" s="1991"/>
      <c r="BN698" s="1991"/>
      <c r="BO698" s="1991"/>
      <c r="BP698" s="1991"/>
      <c r="BQ698" s="1986"/>
      <c r="BR698" s="1986"/>
      <c r="BS698" s="1986"/>
      <c r="BT698" s="1986"/>
      <c r="BU698" s="1986"/>
      <c r="BV698" s="1986"/>
      <c r="BW698" s="1986"/>
      <c r="BX698" s="1986"/>
      <c r="BY698" s="1986"/>
      <c r="BZ698" s="1986"/>
      <c r="CA698" s="1986"/>
      <c r="CB698" s="1986"/>
      <c r="CC698" s="1986"/>
      <c r="CD698" s="1986"/>
      <c r="CE698" s="1986"/>
      <c r="CF698" s="1987">
        <f t="shared" ref="CF698:CV698" si="898">+CF697/CE697-1</f>
        <v>1.7073170731707332E-2</v>
      </c>
      <c r="CG698" s="1987">
        <f t="shared" si="898"/>
        <v>1.5587529976019088E-2</v>
      </c>
      <c r="CH698" s="1987">
        <f t="shared" si="898"/>
        <v>2.8335301062573759E-2</v>
      </c>
      <c r="CI698" s="1987">
        <f t="shared" si="898"/>
        <v>2.2962112514351318E-2</v>
      </c>
      <c r="CJ698" s="1987">
        <f t="shared" si="898"/>
        <v>2.2446689113355678E-2</v>
      </c>
      <c r="CK698" s="1987">
        <f t="shared" si="898"/>
        <v>2.0856201975850697E-2</v>
      </c>
      <c r="CL698" s="1987">
        <f t="shared" si="898"/>
        <v>3.9784946236559149E-2</v>
      </c>
      <c r="CM698" s="1987">
        <f t="shared" si="898"/>
        <v>1.9648397104446769E-2</v>
      </c>
      <c r="CN698" s="1987">
        <f t="shared" si="898"/>
        <v>3.0425963488843744E-2</v>
      </c>
      <c r="CO698" s="1987">
        <f t="shared" si="898"/>
        <v>3.740157480314954E-2</v>
      </c>
      <c r="CP698" s="1987">
        <f t="shared" si="898"/>
        <v>4.4592030360531387E-2</v>
      </c>
      <c r="CQ698" s="1987">
        <f t="shared" si="898"/>
        <v>3.2697547683923744E-2</v>
      </c>
      <c r="CR698" s="1987">
        <f t="shared" si="898"/>
        <v>1.3192612137203241E-2</v>
      </c>
      <c r="CS698" s="1987">
        <f t="shared" si="898"/>
        <v>2.8645833333333259E-2</v>
      </c>
      <c r="CT698" s="1987">
        <f t="shared" si="898"/>
        <v>2.4472573839662504E-2</v>
      </c>
      <c r="CU698" s="1987">
        <f t="shared" si="898"/>
        <v>0.29654036243822079</v>
      </c>
      <c r="CV698" s="1987">
        <f t="shared" si="898"/>
        <v>1.270648030495547E-2</v>
      </c>
      <c r="CW698" s="1987">
        <f>+CW697/CV697-1</f>
        <v>1.8193224592220725E-2</v>
      </c>
      <c r="CX698" s="1987">
        <f>+CX697/CW697-1</f>
        <v>2.7726432532347411E-2</v>
      </c>
      <c r="CY698" s="1987">
        <f>+CY697/CX697-1</f>
        <v>0.16966426858513195</v>
      </c>
      <c r="CZ698" s="1987">
        <f t="shared" ref="CZ698:DC698" si="899">+CZ697/CY697-1</f>
        <v>1.1974948744233771E-2</v>
      </c>
      <c r="DA698" s="1987">
        <f t="shared" si="899"/>
        <v>2.3085608935286439E-2</v>
      </c>
      <c r="DB698" s="1987">
        <f t="shared" si="899"/>
        <v>2.4719948711411144E-2</v>
      </c>
      <c r="DC698" s="1987">
        <f t="shared" si="899"/>
        <v>2.3740740912964631E-2</v>
      </c>
    </row>
    <row r="699" spans="1:107" ht="12.75" customHeight="1">
      <c r="A699" s="15"/>
      <c r="B699" s="122"/>
      <c r="C699" s="123"/>
      <c r="D699" s="124"/>
      <c r="E699" s="124"/>
      <c r="F699" s="124"/>
      <c r="G699" s="124"/>
      <c r="H699" s="124"/>
      <c r="I699" s="124"/>
      <c r="J699" s="124"/>
      <c r="K699" s="124"/>
      <c r="L699" s="123"/>
      <c r="M699" s="123"/>
      <c r="N699" s="125"/>
      <c r="O699" s="125"/>
      <c r="P699" s="125"/>
      <c r="Q699" s="125"/>
      <c r="R699" s="125"/>
      <c r="S699" s="125"/>
      <c r="T699" s="125"/>
      <c r="U699" s="125"/>
      <c r="V699" s="125"/>
      <c r="W699" s="125"/>
      <c r="X699" s="125"/>
      <c r="Y699" s="125"/>
      <c r="Z699" s="125"/>
      <c r="AA699" s="125"/>
      <c r="AB699" s="125"/>
      <c r="AC699" s="125"/>
      <c r="AD699" s="125"/>
      <c r="AE699" s="123"/>
      <c r="AF699" s="123"/>
      <c r="AG699" s="123"/>
      <c r="AH699" s="123"/>
      <c r="AI699" s="123"/>
      <c r="AJ699" s="123"/>
      <c r="AK699" s="123"/>
      <c r="AL699" s="123"/>
      <c r="AM699" s="123"/>
      <c r="AN699" s="123"/>
      <c r="AO699" s="123"/>
      <c r="AP699" s="123"/>
      <c r="AQ699" s="123"/>
      <c r="AR699" s="123"/>
      <c r="AS699" s="123"/>
      <c r="AT699" s="123"/>
      <c r="AU699" s="123"/>
      <c r="AV699" s="123"/>
      <c r="AW699" s="123"/>
      <c r="AX699" s="123"/>
      <c r="AY699" s="123"/>
      <c r="AZ699" s="123"/>
      <c r="BA699" s="123"/>
      <c r="BB699" s="123"/>
      <c r="BC699" s="123"/>
      <c r="BD699" s="837"/>
      <c r="BE699" s="837"/>
      <c r="BF699" s="837"/>
      <c r="BG699" s="837"/>
      <c r="BH699" s="837"/>
      <c r="BI699" s="838"/>
      <c r="BJ699" s="837"/>
      <c r="BK699" s="837"/>
      <c r="BL699" s="837"/>
      <c r="BM699" s="837"/>
      <c r="BN699" s="837"/>
      <c r="BO699" s="837"/>
      <c r="BP699" s="122"/>
      <c r="BQ699" s="122"/>
      <c r="BR699" s="122"/>
      <c r="BS699" s="122"/>
      <c r="BT699" s="122"/>
      <c r="BU699" s="122"/>
      <c r="BV699" s="122"/>
      <c r="BW699" s="122"/>
      <c r="BX699" s="122"/>
      <c r="BY699" s="122"/>
      <c r="BZ699" s="122"/>
      <c r="CA699" s="122"/>
      <c r="CB699" s="122"/>
      <c r="CC699" s="122"/>
      <c r="CD699" s="122"/>
      <c r="CE699" s="122"/>
      <c r="CF699" s="122"/>
      <c r="CG699" s="122"/>
      <c r="CH699" s="122"/>
      <c r="CI699" s="122"/>
      <c r="CJ699" s="122"/>
      <c r="CK699" s="122"/>
      <c r="CL699" s="122"/>
      <c r="CM699" s="122"/>
      <c r="CN699" s="122"/>
      <c r="CO699" s="122"/>
      <c r="CP699" s="122"/>
      <c r="CQ699" s="122"/>
      <c r="CR699" s="122"/>
      <c r="CS699" s="122"/>
      <c r="CT699" s="122"/>
      <c r="CU699" s="122"/>
      <c r="CV699" s="122"/>
      <c r="CW699" s="122"/>
      <c r="CX699" s="122"/>
      <c r="CY699" s="122"/>
      <c r="CZ699" s="122"/>
      <c r="DA699" s="122"/>
      <c r="DB699" s="122"/>
      <c r="DC699" s="122"/>
    </row>
    <row r="700" spans="1:107">
      <c r="A700" s="15"/>
      <c r="B700" s="129" t="s">
        <v>246</v>
      </c>
      <c r="C700" s="126"/>
      <c r="D700" s="126"/>
      <c r="E700" s="126"/>
      <c r="F700" s="126"/>
      <c r="G700" s="126"/>
      <c r="H700" s="126"/>
      <c r="I700" s="126"/>
      <c r="J700" s="126"/>
      <c r="K700" s="126"/>
      <c r="L700" s="126"/>
      <c r="M700" s="126"/>
      <c r="N700" s="127"/>
      <c r="O700" s="127">
        <f t="shared" ref="O700:Z700" si="900">O695-N695</f>
        <v>25800</v>
      </c>
      <c r="P700" s="127">
        <f t="shared" si="900"/>
        <v>3800</v>
      </c>
      <c r="Q700" s="127">
        <f t="shared" si="900"/>
        <v>17700</v>
      </c>
      <c r="R700" s="127">
        <f t="shared" si="900"/>
        <v>9100</v>
      </c>
      <c r="S700" s="127">
        <f t="shared" si="900"/>
        <v>7800</v>
      </c>
      <c r="T700" s="127">
        <f t="shared" si="900"/>
        <v>14900</v>
      </c>
      <c r="U700" s="127">
        <f t="shared" si="900"/>
        <v>57700</v>
      </c>
      <c r="V700" s="127">
        <f t="shared" si="900"/>
        <v>43400</v>
      </c>
      <c r="W700" s="127">
        <f t="shared" si="900"/>
        <v>22605</v>
      </c>
      <c r="X700" s="127">
        <f t="shared" si="900"/>
        <v>21775</v>
      </c>
      <c r="Y700" s="127">
        <f t="shared" si="900"/>
        <v>19620</v>
      </c>
      <c r="Z700" s="127">
        <f t="shared" si="900"/>
        <v>19492</v>
      </c>
      <c r="AA700" s="127">
        <f t="shared" ref="AA700" si="901">AA695-Z695</f>
        <v>19367</v>
      </c>
      <c r="AB700" s="127">
        <f t="shared" ref="AB700" si="902">AB695-AA695</f>
        <v>19244</v>
      </c>
      <c r="AC700" s="127">
        <f t="shared" ref="AC700" si="903">AC695-AB695</f>
        <v>19124</v>
      </c>
      <c r="AD700" s="127">
        <f t="shared" ref="AD700" si="904">AD695-AC695</f>
        <v>19006</v>
      </c>
      <c r="AE700" s="126"/>
      <c r="AF700" s="126"/>
      <c r="AG700" s="126"/>
      <c r="AH700" s="126"/>
      <c r="AI700" s="126"/>
      <c r="AJ700" s="126"/>
      <c r="AK700" s="126"/>
      <c r="AL700" s="126"/>
      <c r="AM700" s="126"/>
      <c r="AN700" s="126"/>
      <c r="AO700" s="126"/>
      <c r="AP700" s="126"/>
      <c r="AQ700" s="126"/>
      <c r="AR700" s="126"/>
      <c r="AS700" s="126"/>
      <c r="AT700" s="126"/>
      <c r="AU700" s="126"/>
      <c r="AV700" s="126"/>
      <c r="AW700" s="126"/>
      <c r="AX700" s="126"/>
      <c r="AY700" s="126"/>
      <c r="AZ700" s="126"/>
      <c r="BA700" s="126"/>
      <c r="BB700" s="126"/>
      <c r="BC700" s="126"/>
      <c r="BD700" s="839"/>
      <c r="BE700" s="839"/>
      <c r="BF700" s="839"/>
      <c r="BG700" s="839"/>
      <c r="BH700" s="839"/>
      <c r="BI700" s="840"/>
      <c r="BJ700" s="839"/>
      <c r="BK700" s="839"/>
      <c r="BL700" s="839"/>
      <c r="BM700" s="839"/>
      <c r="BN700" s="839"/>
      <c r="BO700" s="839"/>
      <c r="BP700" s="127"/>
      <c r="BQ700" s="127">
        <f t="shared" ref="BQ700:CV700" si="905">BQ695-BP695</f>
        <v>1322.6161104618368</v>
      </c>
      <c r="BR700" s="127">
        <f t="shared" si="905"/>
        <v>3112.9756119663361</v>
      </c>
      <c r="BS700" s="127">
        <f t="shared" si="905"/>
        <v>2554.3286561248096</v>
      </c>
      <c r="BT700" s="127">
        <f t="shared" si="905"/>
        <v>3093.3517892035597</v>
      </c>
      <c r="BU700" s="127">
        <f t="shared" si="905"/>
        <v>796.86028257457656</v>
      </c>
      <c r="BV700" s="127">
        <f t="shared" si="905"/>
        <v>2700</v>
      </c>
      <c r="BW700" s="127">
        <f t="shared" si="905"/>
        <v>1500</v>
      </c>
      <c r="BX700" s="127">
        <f t="shared" si="905"/>
        <v>1700</v>
      </c>
      <c r="BY700" s="127">
        <f t="shared" si="905"/>
        <v>6700</v>
      </c>
      <c r="BZ700" s="127">
        <f t="shared" si="905"/>
        <v>-2300</v>
      </c>
      <c r="CA700" s="127">
        <f t="shared" si="905"/>
        <v>1400</v>
      </c>
      <c r="CB700" s="127">
        <f t="shared" si="905"/>
        <v>800</v>
      </c>
      <c r="CC700" s="127">
        <f t="shared" si="905"/>
        <v>1690</v>
      </c>
      <c r="CD700" s="127">
        <f t="shared" si="905"/>
        <v>13910</v>
      </c>
      <c r="CE700" s="127">
        <f t="shared" si="905"/>
        <v>1300</v>
      </c>
      <c r="CF700" s="127">
        <f t="shared" si="905"/>
        <v>2700</v>
      </c>
      <c r="CG700" s="127">
        <f t="shared" si="905"/>
        <v>1600</v>
      </c>
      <c r="CH700" s="127">
        <f t="shared" si="905"/>
        <v>1400</v>
      </c>
      <c r="CI700" s="127">
        <f t="shared" si="905"/>
        <v>3400</v>
      </c>
      <c r="CJ700" s="127">
        <f t="shared" si="905"/>
        <v>2200</v>
      </c>
      <c r="CK700" s="127">
        <f t="shared" si="905"/>
        <v>1100</v>
      </c>
      <c r="CL700" s="127">
        <f t="shared" si="905"/>
        <v>1000</v>
      </c>
      <c r="CM700" s="127">
        <f t="shared" si="905"/>
        <v>3500</v>
      </c>
      <c r="CN700" s="127">
        <f t="shared" si="905"/>
        <v>4200</v>
      </c>
      <c r="CO700" s="127">
        <f t="shared" si="905"/>
        <v>4000</v>
      </c>
      <c r="CP700" s="127">
        <f t="shared" si="905"/>
        <v>3400</v>
      </c>
      <c r="CQ700" s="127">
        <f t="shared" si="905"/>
        <v>3300</v>
      </c>
      <c r="CR700" s="127">
        <f t="shared" si="905"/>
        <v>4000</v>
      </c>
      <c r="CS700" s="127">
        <f t="shared" si="905"/>
        <v>1300</v>
      </c>
      <c r="CT700" s="127">
        <f t="shared" si="905"/>
        <v>5200</v>
      </c>
      <c r="CU700" s="127">
        <f t="shared" si="905"/>
        <v>47200</v>
      </c>
      <c r="CV700" s="127">
        <f t="shared" si="905"/>
        <v>3600</v>
      </c>
      <c r="CW700" s="127">
        <f>CW695-CV695</f>
        <v>4000</v>
      </c>
      <c r="CX700" s="127">
        <f>CX695-CW695</f>
        <v>7400</v>
      </c>
      <c r="CY700" s="127">
        <f>CY695-CX695</f>
        <v>28400</v>
      </c>
      <c r="CZ700" s="127">
        <f t="shared" ref="CZ700:DC700" si="906">CZ695-CY695</f>
        <v>4180</v>
      </c>
      <c r="DA700" s="127">
        <f t="shared" si="906"/>
        <v>2625</v>
      </c>
      <c r="DB700" s="127">
        <f t="shared" si="906"/>
        <v>7725</v>
      </c>
      <c r="DC700" s="127">
        <f t="shared" si="906"/>
        <v>8075</v>
      </c>
    </row>
    <row r="701" spans="1:107">
      <c r="B701" s="129" t="s">
        <v>701</v>
      </c>
      <c r="C701" s="123"/>
      <c r="D701" s="124"/>
      <c r="E701" s="124"/>
      <c r="F701" s="124"/>
      <c r="G701" s="124"/>
      <c r="H701" s="124"/>
      <c r="I701" s="124"/>
      <c r="J701" s="124"/>
      <c r="K701" s="124"/>
      <c r="L701" s="123"/>
      <c r="M701" s="123"/>
      <c r="N701" s="125"/>
      <c r="O701" s="128">
        <f>O700-O166</f>
        <v>11400</v>
      </c>
      <c r="P701" s="127">
        <f t="shared" ref="P701:Z701" si="907">P700</f>
        <v>3800</v>
      </c>
      <c r="Q701" s="127">
        <f t="shared" si="907"/>
        <v>17700</v>
      </c>
      <c r="R701" s="127">
        <f t="shared" si="907"/>
        <v>9100</v>
      </c>
      <c r="S701" s="127">
        <f t="shared" si="907"/>
        <v>7800</v>
      </c>
      <c r="T701" s="127">
        <f>T700</f>
        <v>14900</v>
      </c>
      <c r="U701" s="127">
        <f>U700</f>
        <v>57700</v>
      </c>
      <c r="V701" s="127">
        <f>V700</f>
        <v>43400</v>
      </c>
      <c r="W701" s="127">
        <f>W700</f>
        <v>22605</v>
      </c>
      <c r="X701" s="127">
        <f t="shared" si="907"/>
        <v>21775</v>
      </c>
      <c r="Y701" s="127">
        <f t="shared" si="907"/>
        <v>19620</v>
      </c>
      <c r="Z701" s="127">
        <f t="shared" si="907"/>
        <v>19492</v>
      </c>
      <c r="AA701" s="127">
        <f t="shared" ref="AA701:AD701" si="908">AA700</f>
        <v>19367</v>
      </c>
      <c r="AB701" s="127">
        <f t="shared" si="908"/>
        <v>19244</v>
      </c>
      <c r="AC701" s="127">
        <f t="shared" si="908"/>
        <v>19124</v>
      </c>
      <c r="AD701" s="127">
        <f t="shared" si="908"/>
        <v>19006</v>
      </c>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837"/>
      <c r="BE701" s="837"/>
      <c r="BF701" s="837"/>
      <c r="BG701" s="837"/>
      <c r="BH701" s="837"/>
      <c r="BI701" s="838"/>
      <c r="BJ701" s="837"/>
      <c r="BK701" s="837"/>
      <c r="BL701" s="837"/>
      <c r="BM701" s="837"/>
      <c r="BN701" s="837"/>
      <c r="BO701" s="837"/>
      <c r="BP701" s="127"/>
      <c r="BQ701" s="127">
        <f>BQ700</f>
        <v>1322.6161104618368</v>
      </c>
      <c r="BR701" s="127">
        <f>BR700</f>
        <v>3112.9756119663361</v>
      </c>
      <c r="BS701" s="127">
        <f>BS700</f>
        <v>2554.3286561248096</v>
      </c>
      <c r="BT701" s="127">
        <f>BT700</f>
        <v>3093.3517892035597</v>
      </c>
      <c r="BU701" s="128">
        <f>BU700-BU166</f>
        <v>-13203.139717425423</v>
      </c>
      <c r="BV701" s="127">
        <f t="shared" ref="BV701:CJ701" si="909">BV700</f>
        <v>2700</v>
      </c>
      <c r="BW701" s="127">
        <f t="shared" si="909"/>
        <v>1500</v>
      </c>
      <c r="BX701" s="127">
        <f t="shared" si="909"/>
        <v>1700</v>
      </c>
      <c r="BY701" s="127">
        <f t="shared" si="909"/>
        <v>6700</v>
      </c>
      <c r="BZ701" s="127">
        <f t="shared" si="909"/>
        <v>-2300</v>
      </c>
      <c r="CA701" s="127">
        <f t="shared" si="909"/>
        <v>1400</v>
      </c>
      <c r="CB701" s="127">
        <f t="shared" si="909"/>
        <v>800</v>
      </c>
      <c r="CC701" s="127">
        <f t="shared" si="909"/>
        <v>1690</v>
      </c>
      <c r="CD701" s="127">
        <f t="shared" si="909"/>
        <v>13910</v>
      </c>
      <c r="CE701" s="127">
        <f t="shared" si="909"/>
        <v>1300</v>
      </c>
      <c r="CF701" s="127">
        <f t="shared" si="909"/>
        <v>2700</v>
      </c>
      <c r="CG701" s="127">
        <f t="shared" si="909"/>
        <v>1600</v>
      </c>
      <c r="CH701" s="127">
        <f t="shared" si="909"/>
        <v>1400</v>
      </c>
      <c r="CI701" s="127">
        <f t="shared" si="909"/>
        <v>3400</v>
      </c>
      <c r="CJ701" s="127">
        <f t="shared" si="909"/>
        <v>2200</v>
      </c>
      <c r="CK701" s="127">
        <f t="shared" ref="CK701:CQ701" si="910">CK700</f>
        <v>1100</v>
      </c>
      <c r="CL701" s="127">
        <f t="shared" si="910"/>
        <v>1000</v>
      </c>
      <c r="CM701" s="127">
        <f t="shared" si="910"/>
        <v>3500</v>
      </c>
      <c r="CN701" s="127">
        <f t="shared" si="910"/>
        <v>4200</v>
      </c>
      <c r="CO701" s="127">
        <f t="shared" si="910"/>
        <v>4000</v>
      </c>
      <c r="CP701" s="127">
        <f t="shared" si="910"/>
        <v>3400</v>
      </c>
      <c r="CQ701" s="127">
        <f t="shared" si="910"/>
        <v>3300</v>
      </c>
      <c r="CR701" s="127">
        <f t="shared" ref="CR701:CX701" si="911">CR700</f>
        <v>4000</v>
      </c>
      <c r="CS701" s="127">
        <f t="shared" si="911"/>
        <v>1300</v>
      </c>
      <c r="CT701" s="127">
        <f t="shared" si="911"/>
        <v>5200</v>
      </c>
      <c r="CU701" s="127">
        <f t="shared" si="911"/>
        <v>47200</v>
      </c>
      <c r="CV701" s="127">
        <f>CV700</f>
        <v>3600</v>
      </c>
      <c r="CW701" s="127">
        <f t="shared" si="911"/>
        <v>4000</v>
      </c>
      <c r="CX701" s="127">
        <f t="shared" si="911"/>
        <v>7400</v>
      </c>
      <c r="CY701" s="127">
        <f t="shared" ref="CY701" si="912">CY700</f>
        <v>28400</v>
      </c>
      <c r="CZ701" s="127">
        <f t="shared" ref="CZ701:DC701" si="913">CZ700</f>
        <v>4180</v>
      </c>
      <c r="DA701" s="127">
        <f t="shared" si="913"/>
        <v>2625</v>
      </c>
      <c r="DB701" s="127">
        <f t="shared" si="913"/>
        <v>7725</v>
      </c>
      <c r="DC701" s="127">
        <f t="shared" si="913"/>
        <v>8075</v>
      </c>
    </row>
    <row r="702" spans="1:107">
      <c r="A702" s="15"/>
      <c r="B702" s="130" t="s">
        <v>1702</v>
      </c>
      <c r="C702" s="120"/>
      <c r="D702" s="121"/>
      <c r="E702" s="121"/>
      <c r="F702" s="121"/>
      <c r="G702" s="121"/>
      <c r="H702" s="121"/>
      <c r="I702" s="121"/>
      <c r="J702" s="121"/>
      <c r="K702" s="121"/>
      <c r="L702" s="120"/>
      <c r="M702" s="120"/>
      <c r="N702" s="841">
        <f>BS!N124</f>
        <v>283.10000000000002</v>
      </c>
      <c r="O702" s="841">
        <f>BS!O124</f>
        <v>464.9</v>
      </c>
      <c r="P702" s="841">
        <f>BS!P124</f>
        <v>551.1</v>
      </c>
      <c r="Q702" s="841">
        <f>BS!Q124</f>
        <v>602.7829999999999</v>
      </c>
      <c r="R702" s="841">
        <f>BS!R124</f>
        <v>389.07600000000002</v>
      </c>
      <c r="S702" s="841">
        <f>BS!S124</f>
        <v>554.83799999999997</v>
      </c>
      <c r="T702" s="841">
        <f>BS!T124</f>
        <v>751.77099999999996</v>
      </c>
      <c r="U702" s="841">
        <f>BS!U124</f>
        <v>971.54599999999994</v>
      </c>
      <c r="V702" s="841">
        <f>BS!V124</f>
        <v>1210.73</v>
      </c>
      <c r="W702" s="841">
        <f>BS!W124</f>
        <v>1734</v>
      </c>
      <c r="X702" s="841">
        <f>BS!X124</f>
        <v>1633.125</v>
      </c>
      <c r="Y702" s="841">
        <f>BS!Y124</f>
        <v>1422.45</v>
      </c>
      <c r="Z702" s="841">
        <f>BS!Z124</f>
        <v>1364.44</v>
      </c>
      <c r="AA702" s="841">
        <f>BS!AA124</f>
        <v>1355.69</v>
      </c>
      <c r="AB702" s="841">
        <f>BS!AB124</f>
        <v>1347.08</v>
      </c>
      <c r="AC702" s="841">
        <f>BS!AC124</f>
        <v>1338.68</v>
      </c>
      <c r="AD702" s="841">
        <f>BS!AD124</f>
        <v>1330.42</v>
      </c>
      <c r="AE702" s="120"/>
      <c r="AF702" s="120"/>
      <c r="AG702" s="120"/>
      <c r="AH702" s="120"/>
      <c r="AI702" s="120"/>
      <c r="AJ702" s="120"/>
      <c r="AK702" s="120"/>
      <c r="AL702" s="120"/>
      <c r="AM702" s="120"/>
      <c r="AN702" s="120"/>
      <c r="AO702" s="120"/>
      <c r="AP702" s="120"/>
      <c r="AQ702" s="120"/>
      <c r="AR702" s="120"/>
      <c r="AS702" s="120"/>
      <c r="AT702" s="120"/>
      <c r="AU702" s="120"/>
      <c r="AV702" s="120"/>
      <c r="AW702" s="120"/>
      <c r="AX702" s="120"/>
      <c r="AY702" s="120"/>
      <c r="AZ702" s="120"/>
      <c r="BA702" s="120"/>
      <c r="BB702" s="120"/>
      <c r="BC702" s="120"/>
      <c r="BD702" s="835"/>
      <c r="BE702" s="835"/>
      <c r="BF702" s="835"/>
      <c r="BG702" s="835"/>
      <c r="BH702" s="835"/>
      <c r="BI702" s="836"/>
      <c r="BJ702" s="835"/>
      <c r="BK702" s="835"/>
      <c r="BL702" s="835"/>
      <c r="BM702" s="835"/>
      <c r="BN702" s="835"/>
      <c r="BO702" s="835"/>
      <c r="BP702" s="130">
        <f>BS!BP124</f>
        <v>64.7</v>
      </c>
      <c r="BQ702" s="130">
        <f>BS!BQ124</f>
        <v>63.4</v>
      </c>
      <c r="BR702" s="841">
        <f>BS!BR124</f>
        <v>74</v>
      </c>
      <c r="BS702" s="841">
        <f>BS!BS124</f>
        <v>81</v>
      </c>
      <c r="BT702" s="841">
        <f>BS!BT124</f>
        <v>128.9</v>
      </c>
      <c r="BU702" s="841">
        <f>BS!BU124</f>
        <v>121.8</v>
      </c>
      <c r="BV702" s="841">
        <f>BS!BV124</f>
        <v>103.2</v>
      </c>
      <c r="BW702" s="841">
        <f>BS!BW124</f>
        <v>111</v>
      </c>
      <c r="BX702" s="841">
        <f>BS!BX124</f>
        <v>139.80000000000001</v>
      </c>
      <c r="BY702" s="841">
        <f>BS!BY124</f>
        <v>160.9</v>
      </c>
      <c r="BZ702" s="841">
        <f>BS!BZ124</f>
        <v>104.9</v>
      </c>
      <c r="CA702" s="841">
        <f>BS!CA124</f>
        <v>145.5</v>
      </c>
      <c r="CB702" s="841">
        <f>BS!CB124</f>
        <v>102.4</v>
      </c>
      <c r="CC702" s="841">
        <f>BS!CC124</f>
        <v>158.947</v>
      </c>
      <c r="CD702" s="841">
        <f>BS!CD124</f>
        <v>174.52500000000001</v>
      </c>
      <c r="CE702" s="841">
        <f>BS!CE124</f>
        <v>166.911</v>
      </c>
      <c r="CF702" s="841">
        <f>BS!CF124</f>
        <v>41.67</v>
      </c>
      <c r="CG702" s="841">
        <f>BS!CG124</f>
        <v>82.653000000000006</v>
      </c>
      <c r="CH702" s="841">
        <f>BS!CH124</f>
        <v>129.971</v>
      </c>
      <c r="CI702" s="841">
        <f>BS!CI124</f>
        <v>134.78200000000001</v>
      </c>
      <c r="CJ702" s="841">
        <f>BS!CJ124</f>
        <v>79.459000000000003</v>
      </c>
      <c r="CK702" s="841">
        <f>BS!CK124</f>
        <v>133.798</v>
      </c>
      <c r="CL702" s="841">
        <f>BS!CL124</f>
        <v>136.22900000000001</v>
      </c>
      <c r="CM702" s="841">
        <f>BS!CM124</f>
        <v>205.352</v>
      </c>
      <c r="CN702" s="841">
        <f>BS!CN124</f>
        <v>127.747</v>
      </c>
      <c r="CO702" s="841">
        <f>BS!CO124</f>
        <v>194.012</v>
      </c>
      <c r="CP702" s="841">
        <f>BS!CP124</f>
        <v>194.012</v>
      </c>
      <c r="CQ702" s="841">
        <f>BS!CQ124</f>
        <v>236</v>
      </c>
      <c r="CR702" s="841">
        <f>BS!CR124</f>
        <v>165.88499999999999</v>
      </c>
      <c r="CS702" s="841">
        <f>BS!CS124</f>
        <v>217.93899999999999</v>
      </c>
      <c r="CT702" s="841">
        <f>BS!CT124</f>
        <v>237.87699999999998</v>
      </c>
      <c r="CU702" s="841">
        <f>BS!CU124</f>
        <v>349.84500000000003</v>
      </c>
      <c r="CV702" s="841">
        <f>BS!CV124</f>
        <v>254.57000000000002</v>
      </c>
      <c r="CW702" s="841">
        <f>BS!EA124</f>
        <v>0</v>
      </c>
      <c r="CX702" s="841">
        <f>BS!EB124</f>
        <v>0</v>
      </c>
      <c r="CY702" s="841">
        <f>BS!EC124</f>
        <v>0</v>
      </c>
      <c r="CZ702" s="841">
        <f>BS!ED124</f>
        <v>0</v>
      </c>
      <c r="DA702" s="841">
        <f>BS!EE124</f>
        <v>0</v>
      </c>
      <c r="DB702" s="841">
        <f>BS!EF124</f>
        <v>0</v>
      </c>
      <c r="DC702" s="841">
        <f>BS!EG124</f>
        <v>0</v>
      </c>
    </row>
    <row r="703" spans="1:107" hidden="1" outlineLevel="1">
      <c r="A703" s="15"/>
      <c r="B703" s="122"/>
      <c r="C703" s="123"/>
      <c r="D703" s="124"/>
      <c r="E703" s="124"/>
      <c r="F703" s="124"/>
      <c r="G703" s="124"/>
      <c r="H703" s="124"/>
      <c r="I703" s="124"/>
      <c r="J703" s="124"/>
      <c r="K703" s="124"/>
      <c r="L703" s="123"/>
      <c r="M703" s="123"/>
      <c r="N703" s="842"/>
      <c r="O703" s="842"/>
      <c r="P703" s="842"/>
      <c r="Q703" s="842"/>
      <c r="R703" s="842"/>
      <c r="S703" s="842"/>
      <c r="T703" s="842"/>
      <c r="U703" s="842"/>
      <c r="V703" s="842"/>
      <c r="W703" s="842"/>
      <c r="X703" s="842"/>
      <c r="Y703" s="842"/>
      <c r="Z703" s="842"/>
      <c r="AA703" s="842"/>
      <c r="AB703" s="842"/>
      <c r="AC703" s="842"/>
      <c r="AD703" s="842"/>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837"/>
      <c r="BE703" s="837"/>
      <c r="BF703" s="837"/>
      <c r="BG703" s="837"/>
      <c r="BH703" s="837"/>
      <c r="BI703" s="838"/>
      <c r="BJ703" s="837"/>
      <c r="BK703" s="837"/>
      <c r="BL703" s="837"/>
      <c r="BM703" s="837"/>
      <c r="BN703" s="837"/>
      <c r="BO703" s="837"/>
      <c r="BP703" s="122"/>
      <c r="BQ703" s="122"/>
      <c r="BR703" s="842"/>
      <c r="BS703" s="842"/>
      <c r="BT703" s="842"/>
      <c r="BU703" s="842"/>
      <c r="BV703" s="842"/>
      <c r="BW703" s="842"/>
      <c r="BX703" s="842"/>
      <c r="BY703" s="842"/>
      <c r="BZ703" s="842"/>
      <c r="CA703" s="842"/>
      <c r="CB703" s="842"/>
      <c r="CC703" s="842"/>
      <c r="CD703" s="842"/>
      <c r="CE703" s="842"/>
      <c r="CF703" s="842"/>
      <c r="CG703" s="842"/>
      <c r="CH703" s="842"/>
      <c r="CI703" s="842"/>
      <c r="CJ703" s="842"/>
      <c r="CK703" s="842"/>
      <c r="CL703" s="842"/>
      <c r="CM703" s="842"/>
      <c r="CN703" s="842"/>
      <c r="CO703" s="842"/>
      <c r="CP703" s="842"/>
      <c r="CQ703" s="842"/>
      <c r="CR703" s="842"/>
      <c r="CS703" s="842"/>
      <c r="CT703" s="842"/>
      <c r="CU703" s="842"/>
      <c r="CV703" s="842"/>
      <c r="CW703" s="842"/>
      <c r="CX703" s="842"/>
      <c r="CY703" s="842"/>
      <c r="CZ703" s="842"/>
      <c r="DA703" s="842"/>
      <c r="DB703" s="842"/>
      <c r="DC703" s="842"/>
    </row>
    <row r="704" spans="1:107" hidden="1" outlineLevel="1">
      <c r="A704" s="15"/>
      <c r="B704" s="190" t="s">
        <v>179</v>
      </c>
      <c r="C704" s="123"/>
      <c r="D704" s="124"/>
      <c r="E704" s="124"/>
      <c r="F704" s="124"/>
      <c r="G704" s="124"/>
      <c r="H704" s="124"/>
      <c r="I704" s="124"/>
      <c r="J704" s="124"/>
      <c r="K704" s="124"/>
      <c r="L704" s="123"/>
      <c r="M704" s="123"/>
      <c r="N704" s="842"/>
      <c r="O704" s="842"/>
      <c r="P704" s="842"/>
      <c r="Q704" s="842"/>
      <c r="R704" s="842"/>
      <c r="S704" s="842"/>
      <c r="T704" s="842"/>
      <c r="U704" s="842"/>
      <c r="V704" s="842"/>
      <c r="W704" s="842"/>
      <c r="X704" s="842"/>
      <c r="Y704" s="842"/>
      <c r="Z704" s="842"/>
      <c r="AA704" s="842"/>
      <c r="AB704" s="842"/>
      <c r="AC704" s="842"/>
      <c r="AD704" s="842"/>
      <c r="AE704" s="123"/>
      <c r="AF704" s="123"/>
      <c r="AG704" s="123"/>
      <c r="AH704" s="123"/>
      <c r="AI704" s="123"/>
      <c r="AJ704" s="123"/>
      <c r="AK704" s="123"/>
      <c r="AL704" s="123"/>
      <c r="AM704" s="123"/>
      <c r="AN704" s="123"/>
      <c r="AO704" s="123"/>
      <c r="AP704" s="123"/>
      <c r="AQ704" s="123"/>
      <c r="AR704" s="123"/>
      <c r="AS704" s="123"/>
      <c r="AT704" s="123"/>
      <c r="AU704" s="123"/>
      <c r="AV704" s="123"/>
      <c r="AW704" s="123"/>
      <c r="AX704" s="123"/>
      <c r="AY704" s="123"/>
      <c r="AZ704" s="123"/>
      <c r="BA704" s="123"/>
      <c r="BB704" s="123"/>
      <c r="BC704" s="123"/>
      <c r="BD704" s="837"/>
      <c r="BE704" s="837"/>
      <c r="BF704" s="837"/>
      <c r="BG704" s="837"/>
      <c r="BH704" s="837"/>
      <c r="BI704" s="838"/>
      <c r="BJ704" s="837"/>
      <c r="BK704" s="837"/>
      <c r="BL704" s="837"/>
      <c r="BM704" s="837"/>
      <c r="BN704" s="837"/>
      <c r="BO704" s="837"/>
      <c r="BP704" s="122"/>
      <c r="BQ704" s="122"/>
      <c r="BR704" s="842"/>
      <c r="BS704" s="842"/>
      <c r="BT704" s="842"/>
      <c r="BU704" s="842"/>
      <c r="BV704" s="842"/>
      <c r="BW704" s="842"/>
      <c r="BX704" s="842"/>
      <c r="BY704" s="842"/>
      <c r="BZ704" s="842"/>
      <c r="CA704" s="842"/>
      <c r="CB704" s="842"/>
      <c r="CC704" s="842"/>
      <c r="CD704" s="842"/>
      <c r="CE704" s="842"/>
      <c r="CF704" s="842"/>
      <c r="CG704" s="842"/>
      <c r="CH704" s="842"/>
      <c r="CI704" s="842"/>
      <c r="CJ704" s="842"/>
      <c r="CK704" s="842"/>
      <c r="CL704" s="842"/>
      <c r="CM704" s="842"/>
      <c r="CN704" s="842"/>
      <c r="CO704" s="842"/>
      <c r="CP704" s="842"/>
      <c r="CQ704" s="842"/>
      <c r="CR704" s="842"/>
      <c r="CS704" s="842"/>
      <c r="CT704" s="842"/>
      <c r="CU704" s="842"/>
      <c r="CV704" s="842"/>
      <c r="CW704" s="842"/>
      <c r="CX704" s="842"/>
      <c r="CY704" s="842"/>
      <c r="CZ704" s="842"/>
      <c r="DA704" s="842"/>
      <c r="DB704" s="842"/>
      <c r="DC704" s="842"/>
    </row>
    <row r="705" spans="1:107" hidden="1" outlineLevel="1">
      <c r="A705" s="15"/>
      <c r="B705" s="126" t="str">
        <f>B171</f>
        <v>AT1 (Atlanta)</v>
      </c>
      <c r="C705" s="123"/>
      <c r="D705" s="124"/>
      <c r="E705" s="124"/>
      <c r="F705" s="124"/>
      <c r="G705" s="124"/>
      <c r="H705" s="124"/>
      <c r="I705" s="124"/>
      <c r="J705" s="124"/>
      <c r="K705" s="124"/>
      <c r="L705" s="123"/>
      <c r="M705" s="123"/>
      <c r="N705" s="842"/>
      <c r="O705" s="842"/>
      <c r="P705" s="842"/>
      <c r="Q705" s="842"/>
      <c r="R705" s="842"/>
      <c r="S705" s="842"/>
      <c r="T705" s="842"/>
      <c r="U705" s="842"/>
      <c r="V705" s="842"/>
      <c r="W705" s="842"/>
      <c r="X705" s="842"/>
      <c r="Y705" s="842"/>
      <c r="Z705" s="842"/>
      <c r="AA705" s="842"/>
      <c r="AB705" s="842"/>
      <c r="AC705" s="842"/>
      <c r="AD705" s="842"/>
      <c r="AE705" s="123"/>
      <c r="AF705" s="123"/>
      <c r="AG705" s="123"/>
      <c r="AH705" s="123"/>
      <c r="AI705" s="123"/>
      <c r="AJ705" s="123"/>
      <c r="AK705" s="123"/>
      <c r="AL705" s="123"/>
      <c r="AM705" s="123"/>
      <c r="AN705" s="123"/>
      <c r="AO705" s="123"/>
      <c r="AP705" s="123"/>
      <c r="AQ705" s="123"/>
      <c r="AR705" s="123"/>
      <c r="AS705" s="123"/>
      <c r="AT705" s="123"/>
      <c r="AU705" s="123"/>
      <c r="AV705" s="123"/>
      <c r="AW705" s="123"/>
      <c r="AX705" s="123"/>
      <c r="AY705" s="123"/>
      <c r="AZ705" s="123"/>
      <c r="BA705" s="123"/>
      <c r="BB705" s="123"/>
      <c r="BC705" s="123"/>
      <c r="BD705" s="837"/>
      <c r="BE705" s="837"/>
      <c r="BF705" s="837"/>
      <c r="BG705" s="837"/>
      <c r="BH705" s="837"/>
      <c r="BI705" s="838"/>
      <c r="BJ705" s="837"/>
      <c r="BK705" s="837"/>
      <c r="BL705" s="837"/>
      <c r="BM705" s="837"/>
      <c r="BN705" s="837"/>
      <c r="BO705" s="837"/>
      <c r="BP705" s="122"/>
      <c r="BQ705" s="122"/>
      <c r="BR705" s="842"/>
      <c r="BS705" s="842"/>
      <c r="BT705" s="842"/>
      <c r="BU705" s="842"/>
      <c r="BV705" s="842"/>
      <c r="BW705" s="842"/>
      <c r="BX705" s="842"/>
      <c r="BY705" s="842"/>
      <c r="BZ705" s="842"/>
      <c r="CA705" s="842"/>
      <c r="CB705" s="842"/>
      <c r="CC705" s="842"/>
      <c r="CD705" s="842"/>
      <c r="CE705" s="842"/>
      <c r="CF705" s="842"/>
      <c r="CG705" s="842"/>
      <c r="CH705" s="842"/>
      <c r="CI705" s="842"/>
      <c r="CJ705" s="842"/>
      <c r="CK705" s="842"/>
      <c r="CL705" s="842"/>
      <c r="CM705" s="842"/>
      <c r="CN705" s="842"/>
      <c r="CO705" s="842"/>
      <c r="CP705" s="842"/>
      <c r="CQ705" s="842"/>
      <c r="CR705" s="842"/>
      <c r="CS705" s="842"/>
      <c r="CT705" s="842"/>
      <c r="CU705" s="842"/>
      <c r="CV705" s="842"/>
      <c r="CW705" s="842"/>
      <c r="CX705" s="842"/>
      <c r="CY705" s="842"/>
      <c r="CZ705" s="842"/>
      <c r="DA705" s="842"/>
      <c r="DB705" s="842"/>
      <c r="DC705" s="842"/>
    </row>
    <row r="706" spans="1:107" hidden="1" outlineLevel="1">
      <c r="A706" s="15"/>
      <c r="B706" s="129" t="s">
        <v>465</v>
      </c>
      <c r="C706" s="123"/>
      <c r="D706" s="124"/>
      <c r="E706" s="124"/>
      <c r="F706" s="124"/>
      <c r="G706" s="124"/>
      <c r="H706" s="124"/>
      <c r="I706" s="124"/>
      <c r="J706" s="124"/>
      <c r="K706" s="124"/>
      <c r="L706" s="123"/>
      <c r="M706" s="123"/>
      <c r="N706" s="842"/>
      <c r="O706" s="843">
        <f>SUM(BT706:BW706)</f>
        <v>29</v>
      </c>
      <c r="P706" s="842"/>
      <c r="Q706" s="842"/>
      <c r="R706" s="842"/>
      <c r="S706" s="842"/>
      <c r="T706" s="842"/>
      <c r="U706" s="842"/>
      <c r="V706" s="842"/>
      <c r="W706" s="842"/>
      <c r="X706" s="842"/>
      <c r="Y706" s="842"/>
      <c r="Z706" s="842"/>
      <c r="AA706" s="842"/>
      <c r="AB706" s="842"/>
      <c r="AC706" s="842"/>
      <c r="AD706" s="842"/>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837"/>
      <c r="BE706" s="837"/>
      <c r="BF706" s="837"/>
      <c r="BG706" s="837"/>
      <c r="BH706" s="837"/>
      <c r="BI706" s="838"/>
      <c r="BJ706" s="837"/>
      <c r="BK706" s="837"/>
      <c r="BL706" s="837"/>
      <c r="BM706" s="837"/>
      <c r="BN706" s="837"/>
      <c r="BO706" s="837"/>
      <c r="BP706" s="122"/>
      <c r="BQ706" s="122"/>
      <c r="BR706" s="842"/>
      <c r="BS706" s="842"/>
      <c r="BT706" s="843">
        <v>29</v>
      </c>
      <c r="BU706" s="842"/>
      <c r="BV706" s="842"/>
      <c r="BW706" s="842"/>
      <c r="BX706" s="842"/>
      <c r="BY706" s="842"/>
      <c r="BZ706" s="842"/>
      <c r="CA706" s="842"/>
      <c r="CB706" s="842"/>
      <c r="CC706" s="842"/>
      <c r="CD706" s="842"/>
      <c r="CE706" s="842"/>
      <c r="CF706" s="842"/>
      <c r="CG706" s="842"/>
      <c r="CH706" s="842"/>
      <c r="CI706" s="842"/>
      <c r="CJ706" s="842"/>
      <c r="CK706" s="842"/>
      <c r="CL706" s="842"/>
      <c r="CM706" s="842"/>
      <c r="CN706" s="842"/>
      <c r="CO706" s="842"/>
      <c r="CP706" s="842"/>
      <c r="CQ706" s="842"/>
      <c r="CR706" s="842"/>
      <c r="CS706" s="842"/>
      <c r="CT706" s="842"/>
      <c r="CU706" s="842"/>
      <c r="CV706" s="842"/>
      <c r="CW706" s="842"/>
      <c r="CX706" s="842"/>
      <c r="CY706" s="842"/>
      <c r="CZ706" s="842"/>
      <c r="DA706" s="842"/>
      <c r="DB706" s="842"/>
      <c r="DC706" s="842"/>
    </row>
    <row r="707" spans="1:107" hidden="1" outlineLevel="1">
      <c r="A707" s="15"/>
      <c r="B707" s="189" t="s">
        <v>210</v>
      </c>
      <c r="C707" s="123"/>
      <c r="D707" s="124"/>
      <c r="E707" s="124"/>
      <c r="F707" s="124"/>
      <c r="G707" s="124"/>
      <c r="H707" s="124"/>
      <c r="I707" s="124"/>
      <c r="J707" s="124"/>
      <c r="K707" s="124"/>
      <c r="L707" s="123"/>
      <c r="M707" s="123"/>
      <c r="N707" s="842"/>
      <c r="O707" s="844" t="e">
        <f>AVERAGE(BT707:BW707)</f>
        <v>#DIV/0!</v>
      </c>
      <c r="P707" s="842"/>
      <c r="Q707" s="842"/>
      <c r="R707" s="842"/>
      <c r="S707" s="842"/>
      <c r="T707" s="842"/>
      <c r="U707" s="842"/>
      <c r="V707" s="842"/>
      <c r="W707" s="842"/>
      <c r="X707" s="842"/>
      <c r="Y707" s="842"/>
      <c r="Z707" s="842"/>
      <c r="AA707" s="842"/>
      <c r="AB707" s="842"/>
      <c r="AC707" s="842"/>
      <c r="AD707" s="842"/>
      <c r="AE707" s="123"/>
      <c r="AF707" s="123"/>
      <c r="AG707" s="123"/>
      <c r="AH707" s="123"/>
      <c r="AI707" s="123"/>
      <c r="AJ707" s="123"/>
      <c r="AK707" s="123"/>
      <c r="AL707" s="123"/>
      <c r="AM707" s="123"/>
      <c r="AN707" s="123"/>
      <c r="AO707" s="123"/>
      <c r="AP707" s="123"/>
      <c r="AQ707" s="123"/>
      <c r="AR707" s="123"/>
      <c r="AS707" s="123"/>
      <c r="AT707" s="123"/>
      <c r="AU707" s="123"/>
      <c r="AV707" s="123"/>
      <c r="AW707" s="123"/>
      <c r="AX707" s="123"/>
      <c r="AY707" s="123"/>
      <c r="AZ707" s="123"/>
      <c r="BA707" s="123"/>
      <c r="BB707" s="123"/>
      <c r="BC707" s="123"/>
      <c r="BD707" s="837"/>
      <c r="BE707" s="837"/>
      <c r="BF707" s="837"/>
      <c r="BG707" s="837"/>
      <c r="BH707" s="837"/>
      <c r="BI707" s="838"/>
      <c r="BJ707" s="837"/>
      <c r="BK707" s="837"/>
      <c r="BL707" s="837"/>
      <c r="BM707" s="837"/>
      <c r="BN707" s="837"/>
      <c r="BO707" s="837"/>
      <c r="BP707" s="122"/>
      <c r="BQ707" s="122"/>
      <c r="BR707" s="842"/>
      <c r="BS707" s="842"/>
      <c r="BT707" s="844" t="e">
        <f>BT706/BT171*1000000</f>
        <v>#DIV/0!</v>
      </c>
      <c r="BU707" s="842"/>
      <c r="BV707" s="842"/>
      <c r="BW707" s="842"/>
      <c r="BX707" s="842"/>
      <c r="BY707" s="842"/>
      <c r="BZ707" s="842"/>
      <c r="CA707" s="842"/>
      <c r="CB707" s="842"/>
      <c r="CC707" s="842"/>
      <c r="CD707" s="842"/>
      <c r="CE707" s="842"/>
      <c r="CF707" s="842"/>
      <c r="CG707" s="842"/>
      <c r="CH707" s="842"/>
      <c r="CI707" s="842"/>
      <c r="CJ707" s="842"/>
      <c r="CK707" s="842"/>
      <c r="CL707" s="842"/>
      <c r="CM707" s="842"/>
      <c r="CN707" s="842"/>
      <c r="CO707" s="842"/>
      <c r="CP707" s="842"/>
      <c r="CQ707" s="842"/>
      <c r="CR707" s="842"/>
      <c r="CS707" s="842"/>
      <c r="CT707" s="842"/>
      <c r="CU707" s="842"/>
      <c r="CV707" s="842"/>
      <c r="CW707" s="842"/>
      <c r="CX707" s="842"/>
      <c r="CY707" s="842"/>
      <c r="CZ707" s="842"/>
      <c r="DA707" s="842"/>
      <c r="DB707" s="842"/>
      <c r="DC707" s="842"/>
    </row>
    <row r="708" spans="1:107" hidden="1" outlineLevel="1">
      <c r="A708" s="15"/>
      <c r="B708" s="126" t="str">
        <f>B173</f>
        <v>CH3 (Chicago)</v>
      </c>
      <c r="C708" s="123"/>
      <c r="D708" s="124"/>
      <c r="E708" s="124"/>
      <c r="F708" s="124"/>
      <c r="G708" s="124"/>
      <c r="H708" s="124"/>
      <c r="I708" s="124"/>
      <c r="J708" s="124"/>
      <c r="K708" s="124"/>
      <c r="L708" s="123"/>
      <c r="M708" s="123"/>
      <c r="N708" s="842"/>
      <c r="O708" s="842"/>
      <c r="P708" s="842"/>
      <c r="Q708" s="842"/>
      <c r="R708" s="842"/>
      <c r="S708" s="842"/>
      <c r="T708" s="842"/>
      <c r="U708" s="842"/>
      <c r="V708" s="842"/>
      <c r="W708" s="842"/>
      <c r="X708" s="842"/>
      <c r="Y708" s="842"/>
      <c r="Z708" s="842"/>
      <c r="AA708" s="842"/>
      <c r="AB708" s="842"/>
      <c r="AC708" s="842"/>
      <c r="AD708" s="842"/>
      <c r="AE708" s="123"/>
      <c r="AF708" s="123"/>
      <c r="AG708" s="123"/>
      <c r="AH708" s="123"/>
      <c r="AI708" s="123"/>
      <c r="AJ708" s="123"/>
      <c r="AK708" s="123"/>
      <c r="AL708" s="123"/>
      <c r="AM708" s="123"/>
      <c r="AN708" s="123"/>
      <c r="AO708" s="123"/>
      <c r="AP708" s="123"/>
      <c r="AQ708" s="123"/>
      <c r="AR708" s="123"/>
      <c r="AS708" s="123"/>
      <c r="AT708" s="123"/>
      <c r="AU708" s="123"/>
      <c r="AV708" s="123"/>
      <c r="AW708" s="123"/>
      <c r="AX708" s="123"/>
      <c r="AY708" s="123"/>
      <c r="AZ708" s="123"/>
      <c r="BA708" s="123"/>
      <c r="BB708" s="123"/>
      <c r="BC708" s="123"/>
      <c r="BD708" s="837"/>
      <c r="BE708" s="837"/>
      <c r="BF708" s="837"/>
      <c r="BG708" s="837"/>
      <c r="BH708" s="837"/>
      <c r="BI708" s="838"/>
      <c r="BJ708" s="837"/>
      <c r="BK708" s="837"/>
      <c r="BL708" s="837"/>
      <c r="BM708" s="837"/>
      <c r="BN708" s="837"/>
      <c r="BO708" s="837"/>
      <c r="BP708" s="122"/>
      <c r="BQ708" s="122"/>
      <c r="BR708" s="842"/>
      <c r="BS708" s="842"/>
      <c r="BT708" s="124"/>
      <c r="BU708" s="842"/>
      <c r="BV708" s="842"/>
      <c r="BW708" s="842"/>
      <c r="BX708" s="842"/>
      <c r="BY708" s="842"/>
      <c r="BZ708" s="842"/>
      <c r="CA708" s="842"/>
      <c r="CB708" s="842"/>
      <c r="CC708" s="842"/>
      <c r="CD708" s="842"/>
      <c r="CE708" s="842"/>
      <c r="CF708" s="842"/>
      <c r="CG708" s="842"/>
      <c r="CH708" s="842"/>
      <c r="CI708" s="842"/>
      <c r="CJ708" s="842"/>
      <c r="CK708" s="842"/>
      <c r="CL708" s="842"/>
      <c r="CM708" s="842"/>
      <c r="CN708" s="842"/>
      <c r="CO708" s="842"/>
      <c r="CP708" s="842"/>
      <c r="CQ708" s="842"/>
      <c r="CR708" s="842"/>
      <c r="CS708" s="842"/>
      <c r="CT708" s="842"/>
      <c r="CU708" s="842"/>
      <c r="CV708" s="842"/>
      <c r="CW708" s="842"/>
      <c r="CX708" s="842"/>
      <c r="CY708" s="842"/>
      <c r="CZ708" s="842"/>
      <c r="DA708" s="842"/>
      <c r="DB708" s="842"/>
      <c r="DC708" s="842"/>
    </row>
    <row r="709" spans="1:107" hidden="1" outlineLevel="1">
      <c r="A709" s="15"/>
      <c r="B709" s="129" t="s">
        <v>465</v>
      </c>
      <c r="C709" s="123"/>
      <c r="D709" s="124"/>
      <c r="E709" s="124"/>
      <c r="F709" s="124"/>
      <c r="G709" s="124"/>
      <c r="H709" s="124"/>
      <c r="I709" s="124"/>
      <c r="J709" s="124"/>
      <c r="K709" s="124"/>
      <c r="L709" s="123"/>
      <c r="M709" s="123"/>
      <c r="N709" s="842"/>
      <c r="O709" s="843">
        <f>SUM(BT709:BW709)</f>
        <v>7.5</v>
      </c>
      <c r="P709" s="842"/>
      <c r="Q709" s="842"/>
      <c r="R709" s="842"/>
      <c r="S709" s="842"/>
      <c r="T709" s="842"/>
      <c r="U709" s="842"/>
      <c r="V709" s="842"/>
      <c r="W709" s="842"/>
      <c r="X709" s="842"/>
      <c r="Y709" s="842"/>
      <c r="Z709" s="842"/>
      <c r="AA709" s="842"/>
      <c r="AB709" s="842"/>
      <c r="AC709" s="842"/>
      <c r="AD709" s="842"/>
      <c r="AE709" s="123"/>
      <c r="AF709" s="123"/>
      <c r="AG709" s="123"/>
      <c r="AH709" s="123"/>
      <c r="AI709" s="123"/>
      <c r="AJ709" s="123"/>
      <c r="AK709" s="123"/>
      <c r="AL709" s="123"/>
      <c r="AM709" s="123"/>
      <c r="AN709" s="123"/>
      <c r="AO709" s="123"/>
      <c r="AP709" s="123"/>
      <c r="AQ709" s="123"/>
      <c r="AR709" s="123"/>
      <c r="AS709" s="123"/>
      <c r="AT709" s="123"/>
      <c r="AU709" s="123"/>
      <c r="AV709" s="123"/>
      <c r="AW709" s="123"/>
      <c r="AX709" s="123"/>
      <c r="AY709" s="123"/>
      <c r="AZ709" s="123"/>
      <c r="BA709" s="123"/>
      <c r="BB709" s="123"/>
      <c r="BC709" s="123"/>
      <c r="BD709" s="837"/>
      <c r="BE709" s="837"/>
      <c r="BF709" s="837"/>
      <c r="BG709" s="837"/>
      <c r="BH709" s="837"/>
      <c r="BI709" s="838"/>
      <c r="BJ709" s="837"/>
      <c r="BK709" s="837"/>
      <c r="BL709" s="837"/>
      <c r="BM709" s="837"/>
      <c r="BN709" s="837"/>
      <c r="BO709" s="837"/>
      <c r="BP709" s="122"/>
      <c r="BQ709" s="122"/>
      <c r="BR709" s="842"/>
      <c r="BS709" s="842"/>
      <c r="BT709" s="843">
        <v>3.75</v>
      </c>
      <c r="BU709" s="843">
        <v>3.75</v>
      </c>
      <c r="BV709" s="842"/>
      <c r="BW709" s="842"/>
      <c r="BX709" s="842"/>
      <c r="BY709" s="842"/>
      <c r="BZ709" s="842"/>
      <c r="CA709" s="842"/>
      <c r="CB709" s="842"/>
      <c r="CC709" s="842"/>
      <c r="CD709" s="842"/>
      <c r="CE709" s="842"/>
      <c r="CF709" s="842"/>
      <c r="CG709" s="842"/>
      <c r="CH709" s="842"/>
      <c r="CI709" s="842"/>
      <c r="CJ709" s="842"/>
      <c r="CK709" s="842"/>
      <c r="CL709" s="842"/>
      <c r="CM709" s="842"/>
      <c r="CN709" s="842"/>
      <c r="CO709" s="842"/>
      <c r="CP709" s="842"/>
      <c r="CQ709" s="842"/>
      <c r="CR709" s="842"/>
      <c r="CS709" s="842"/>
      <c r="CT709" s="842"/>
      <c r="CU709" s="842"/>
      <c r="CV709" s="842"/>
      <c r="CW709" s="842"/>
      <c r="CX709" s="842"/>
      <c r="CY709" s="842"/>
      <c r="CZ709" s="842"/>
      <c r="DA709" s="842"/>
      <c r="DB709" s="842"/>
      <c r="DC709" s="842"/>
    </row>
    <row r="710" spans="1:107" hidden="1" outlineLevel="1">
      <c r="A710" s="15"/>
      <c r="B710" s="189" t="s">
        <v>210</v>
      </c>
      <c r="C710" s="123"/>
      <c r="D710" s="124"/>
      <c r="E710" s="124"/>
      <c r="F710" s="124"/>
      <c r="G710" s="124"/>
      <c r="H710" s="124"/>
      <c r="I710" s="124"/>
      <c r="J710" s="124"/>
      <c r="K710" s="124"/>
      <c r="L710" s="123"/>
      <c r="M710" s="123"/>
      <c r="N710" s="842"/>
      <c r="O710" s="844" t="e">
        <f>AVERAGE(BT710:BW710)</f>
        <v>#DIV/0!</v>
      </c>
      <c r="P710" s="842"/>
      <c r="Q710" s="842"/>
      <c r="R710" s="842"/>
      <c r="S710" s="842"/>
      <c r="T710" s="842"/>
      <c r="U710" s="842"/>
      <c r="V710" s="842"/>
      <c r="W710" s="842"/>
      <c r="X710" s="842"/>
      <c r="Y710" s="842"/>
      <c r="Z710" s="842"/>
      <c r="AA710" s="842"/>
      <c r="AB710" s="842"/>
      <c r="AC710" s="842"/>
      <c r="AD710" s="842"/>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837"/>
      <c r="BE710" s="837"/>
      <c r="BF710" s="837"/>
      <c r="BG710" s="837"/>
      <c r="BH710" s="837"/>
      <c r="BI710" s="838"/>
      <c r="BJ710" s="837"/>
      <c r="BK710" s="837"/>
      <c r="BL710" s="837"/>
      <c r="BM710" s="837"/>
      <c r="BN710" s="837"/>
      <c r="BO710" s="837"/>
      <c r="BP710" s="122"/>
      <c r="BQ710" s="122"/>
      <c r="BR710" s="842"/>
      <c r="BS710" s="842"/>
      <c r="BT710" s="845" t="e">
        <f>BT709/(BT173)*1000000</f>
        <v>#DIV/0!</v>
      </c>
      <c r="BU710" s="845" t="e">
        <f>BU709/(BU173)*1000000</f>
        <v>#DIV/0!</v>
      </c>
      <c r="BV710" s="842"/>
      <c r="BW710" s="842"/>
      <c r="BX710" s="842"/>
      <c r="BY710" s="842"/>
      <c r="BZ710" s="842"/>
      <c r="CA710" s="842"/>
      <c r="CB710" s="842"/>
      <c r="CC710" s="842"/>
      <c r="CD710" s="842"/>
      <c r="CE710" s="842"/>
      <c r="CF710" s="842"/>
      <c r="CG710" s="842"/>
      <c r="CH710" s="842"/>
      <c r="CI710" s="842"/>
      <c r="CJ710" s="842"/>
      <c r="CK710" s="842"/>
      <c r="CL710" s="842"/>
      <c r="CM710" s="842"/>
      <c r="CN710" s="842"/>
      <c r="CO710" s="842"/>
      <c r="CP710" s="842"/>
      <c r="CQ710" s="842"/>
      <c r="CR710" s="842"/>
      <c r="CS710" s="842"/>
      <c r="CT710" s="842"/>
      <c r="CU710" s="842"/>
      <c r="CV710" s="842"/>
      <c r="CW710" s="842"/>
      <c r="CX710" s="842"/>
      <c r="CY710" s="842"/>
      <c r="CZ710" s="842"/>
      <c r="DA710" s="842"/>
      <c r="DB710" s="842"/>
      <c r="DC710" s="842"/>
    </row>
    <row r="711" spans="1:107" hidden="1" outlineLevel="1">
      <c r="A711" s="15"/>
      <c r="B711" s="126" t="str">
        <f>B174</f>
        <v>CH3 phase 3 (Chicago)</v>
      </c>
      <c r="C711" s="123"/>
      <c r="D711" s="124"/>
      <c r="E711" s="124"/>
      <c r="F711" s="124"/>
      <c r="G711" s="124"/>
      <c r="H711" s="124"/>
      <c r="I711" s="124"/>
      <c r="J711" s="124"/>
      <c r="K711" s="124"/>
      <c r="L711" s="123"/>
      <c r="M711" s="123"/>
      <c r="N711" s="842"/>
      <c r="O711" s="842"/>
      <c r="P711" s="842"/>
      <c r="Q711" s="842"/>
      <c r="R711" s="842"/>
      <c r="S711" s="842"/>
      <c r="T711" s="842"/>
      <c r="U711" s="842"/>
      <c r="V711" s="842"/>
      <c r="W711" s="842"/>
      <c r="X711" s="842"/>
      <c r="Y711" s="842"/>
      <c r="Z711" s="842"/>
      <c r="AA711" s="842"/>
      <c r="AB711" s="842"/>
      <c r="AC711" s="842"/>
      <c r="AD711" s="842"/>
      <c r="AE711" s="123"/>
      <c r="AF711" s="123"/>
      <c r="AG711" s="123"/>
      <c r="AH711" s="123"/>
      <c r="AI711" s="123"/>
      <c r="AJ711" s="123"/>
      <c r="AK711" s="123"/>
      <c r="AL711" s="123"/>
      <c r="AM711" s="123"/>
      <c r="AN711" s="123"/>
      <c r="AO711" s="123"/>
      <c r="AP711" s="123"/>
      <c r="AQ711" s="123"/>
      <c r="AR711" s="123"/>
      <c r="AS711" s="123"/>
      <c r="AT711" s="123"/>
      <c r="AU711" s="123"/>
      <c r="AV711" s="123"/>
      <c r="AW711" s="123"/>
      <c r="AX711" s="123"/>
      <c r="AY711" s="123"/>
      <c r="AZ711" s="123"/>
      <c r="BA711" s="123"/>
      <c r="BB711" s="123"/>
      <c r="BC711" s="123"/>
      <c r="BD711" s="837"/>
      <c r="BE711" s="837"/>
      <c r="BF711" s="837"/>
      <c r="BG711" s="837"/>
      <c r="BH711" s="837"/>
      <c r="BI711" s="838"/>
      <c r="BJ711" s="837"/>
      <c r="BK711" s="837"/>
      <c r="BL711" s="837"/>
      <c r="BM711" s="837"/>
      <c r="BN711" s="837"/>
      <c r="BO711" s="837"/>
      <c r="BP711" s="122"/>
      <c r="BQ711" s="122"/>
      <c r="BR711" s="842"/>
      <c r="BS711" s="842"/>
      <c r="BT711" s="842"/>
      <c r="BU711" s="842"/>
      <c r="BV711" s="842"/>
      <c r="BW711" s="842"/>
      <c r="BX711" s="842"/>
      <c r="BY711" s="842"/>
      <c r="BZ711" s="842"/>
      <c r="CA711" s="842"/>
      <c r="CB711" s="842"/>
      <c r="CC711" s="842"/>
      <c r="CD711" s="842"/>
      <c r="CE711" s="842"/>
      <c r="CF711" s="842"/>
      <c r="CG711" s="842"/>
      <c r="CH711" s="842"/>
      <c r="CI711" s="842"/>
      <c r="CJ711" s="842"/>
      <c r="CK711" s="842"/>
      <c r="CL711" s="842"/>
      <c r="CM711" s="842"/>
      <c r="CN711" s="842"/>
      <c r="CO711" s="842"/>
      <c r="CP711" s="842"/>
      <c r="CQ711" s="842"/>
      <c r="CR711" s="842"/>
      <c r="CS711" s="842"/>
      <c r="CT711" s="842"/>
      <c r="CU711" s="842"/>
      <c r="CV711" s="842"/>
      <c r="CW711" s="842"/>
      <c r="CX711" s="842"/>
      <c r="CY711" s="842"/>
      <c r="CZ711" s="842"/>
      <c r="DA711" s="842"/>
      <c r="DB711" s="842"/>
      <c r="DC711" s="842"/>
    </row>
    <row r="712" spans="1:107" hidden="1" outlineLevel="1">
      <c r="A712" s="15"/>
      <c r="B712" s="129" t="s">
        <v>465</v>
      </c>
      <c r="C712" s="123"/>
      <c r="D712" s="124"/>
      <c r="E712" s="124"/>
      <c r="F712" s="124"/>
      <c r="G712" s="124"/>
      <c r="H712" s="124"/>
      <c r="I712" s="124"/>
      <c r="J712" s="124"/>
      <c r="K712" s="124"/>
      <c r="L712" s="123"/>
      <c r="M712" s="123"/>
      <c r="N712" s="842"/>
      <c r="O712" s="843">
        <f>SUM(BT712:BW712)</f>
        <v>80</v>
      </c>
      <c r="P712" s="842"/>
      <c r="Q712" s="842"/>
      <c r="R712" s="842"/>
      <c r="S712" s="842"/>
      <c r="T712" s="842"/>
      <c r="U712" s="842"/>
      <c r="V712" s="842"/>
      <c r="W712" s="842"/>
      <c r="X712" s="842"/>
      <c r="Y712" s="842"/>
      <c r="Z712" s="842"/>
      <c r="AA712" s="842"/>
      <c r="AB712" s="842"/>
      <c r="AC712" s="842"/>
      <c r="AD712" s="842"/>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837"/>
      <c r="BE712" s="837"/>
      <c r="BF712" s="837"/>
      <c r="BG712" s="837"/>
      <c r="BH712" s="837"/>
      <c r="BI712" s="838"/>
      <c r="BJ712" s="837"/>
      <c r="BK712" s="837"/>
      <c r="BL712" s="837"/>
      <c r="BM712" s="837"/>
      <c r="BN712" s="837"/>
      <c r="BO712" s="837"/>
      <c r="BP712" s="122"/>
      <c r="BQ712" s="122"/>
      <c r="BR712" s="842"/>
      <c r="BS712" s="842"/>
      <c r="BT712" s="842"/>
      <c r="BU712" s="843">
        <v>80</v>
      </c>
      <c r="BV712" s="842"/>
      <c r="BW712" s="842"/>
      <c r="BX712" s="842"/>
      <c r="BY712" s="842"/>
      <c r="BZ712" s="842"/>
      <c r="CA712" s="842"/>
      <c r="CB712" s="842"/>
      <c r="CC712" s="842"/>
      <c r="CD712" s="842"/>
      <c r="CE712" s="842"/>
      <c r="CF712" s="842"/>
      <c r="CG712" s="842"/>
      <c r="CH712" s="842"/>
      <c r="CI712" s="842"/>
      <c r="CJ712" s="842"/>
      <c r="CK712" s="842"/>
      <c r="CL712" s="842"/>
      <c r="CM712" s="842"/>
      <c r="CN712" s="842"/>
      <c r="CO712" s="842"/>
      <c r="CP712" s="842"/>
      <c r="CQ712" s="842"/>
      <c r="CR712" s="842"/>
      <c r="CS712" s="842"/>
      <c r="CT712" s="842"/>
      <c r="CU712" s="842"/>
      <c r="CV712" s="842"/>
      <c r="CW712" s="842"/>
      <c r="CX712" s="842"/>
      <c r="CY712" s="842"/>
      <c r="CZ712" s="842"/>
      <c r="DA712" s="842"/>
      <c r="DB712" s="842"/>
      <c r="DC712" s="842"/>
    </row>
    <row r="713" spans="1:107" hidden="1" outlineLevel="1">
      <c r="A713" s="15"/>
      <c r="B713" s="189" t="s">
        <v>210</v>
      </c>
      <c r="C713" s="123"/>
      <c r="D713" s="124"/>
      <c r="E713" s="124"/>
      <c r="F713" s="124"/>
      <c r="G713" s="124"/>
      <c r="H713" s="124"/>
      <c r="I713" s="124"/>
      <c r="J713" s="124"/>
      <c r="K713" s="124"/>
      <c r="L713" s="123"/>
      <c r="M713" s="123"/>
      <c r="N713" s="842"/>
      <c r="O713" s="844" t="e">
        <f>AVERAGE(BT713:BW713)</f>
        <v>#DIV/0!</v>
      </c>
      <c r="P713" s="842"/>
      <c r="Q713" s="842"/>
      <c r="R713" s="842"/>
      <c r="S713" s="842"/>
      <c r="T713" s="842"/>
      <c r="U713" s="842"/>
      <c r="V713" s="842"/>
      <c r="W713" s="842"/>
      <c r="X713" s="842"/>
      <c r="Y713" s="842"/>
      <c r="Z713" s="842"/>
      <c r="AA713" s="842"/>
      <c r="AB713" s="842"/>
      <c r="AC713" s="842"/>
      <c r="AD713" s="842"/>
      <c r="AE713" s="123"/>
      <c r="AF713" s="123"/>
      <c r="AG713" s="123"/>
      <c r="AH713" s="123"/>
      <c r="AI713" s="123"/>
      <c r="AJ713" s="123"/>
      <c r="AK713" s="123"/>
      <c r="AL713" s="123"/>
      <c r="AM713" s="123"/>
      <c r="AN713" s="123"/>
      <c r="AO713" s="123"/>
      <c r="AP713" s="123"/>
      <c r="AQ713" s="123"/>
      <c r="AR713" s="123"/>
      <c r="AS713" s="123"/>
      <c r="AT713" s="123"/>
      <c r="AU713" s="123"/>
      <c r="AV713" s="123"/>
      <c r="AW713" s="123"/>
      <c r="AX713" s="123"/>
      <c r="AY713" s="123"/>
      <c r="AZ713" s="123"/>
      <c r="BA713" s="123"/>
      <c r="BB713" s="123"/>
      <c r="BC713" s="123"/>
      <c r="BD713" s="837"/>
      <c r="BE713" s="837"/>
      <c r="BF713" s="837"/>
      <c r="BG713" s="837"/>
      <c r="BH713" s="837"/>
      <c r="BI713" s="838"/>
      <c r="BJ713" s="837"/>
      <c r="BK713" s="837"/>
      <c r="BL713" s="837"/>
      <c r="BM713" s="837"/>
      <c r="BN713" s="837"/>
      <c r="BO713" s="837"/>
      <c r="BP713" s="122"/>
      <c r="BQ713" s="122"/>
      <c r="BR713" s="842"/>
      <c r="BS713" s="842"/>
      <c r="BT713" s="842"/>
      <c r="BU713" s="844" t="e">
        <f>BU712/BU174*1000000</f>
        <v>#DIV/0!</v>
      </c>
      <c r="BV713" s="842"/>
      <c r="BW713" s="842"/>
      <c r="BX713" s="842"/>
      <c r="BY713" s="842"/>
      <c r="BZ713" s="842"/>
      <c r="CA713" s="842"/>
      <c r="CB713" s="842"/>
      <c r="CC713" s="842"/>
      <c r="CD713" s="842"/>
      <c r="CE713" s="842"/>
      <c r="CF713" s="842"/>
      <c r="CG713" s="842"/>
      <c r="CH713" s="842"/>
      <c r="CI713" s="842"/>
      <c r="CJ713" s="842"/>
      <c r="CK713" s="842"/>
      <c r="CL713" s="842"/>
      <c r="CM713" s="842"/>
      <c r="CN713" s="842"/>
      <c r="CO713" s="842"/>
      <c r="CP713" s="842"/>
      <c r="CQ713" s="842"/>
      <c r="CR713" s="842"/>
      <c r="CS713" s="842"/>
      <c r="CT713" s="842"/>
      <c r="CU713" s="842"/>
      <c r="CV713" s="842"/>
      <c r="CW713" s="842"/>
      <c r="CX713" s="842"/>
      <c r="CY713" s="842"/>
      <c r="CZ713" s="842"/>
      <c r="DA713" s="842"/>
      <c r="DB713" s="842"/>
      <c r="DC713" s="842"/>
    </row>
    <row r="714" spans="1:107" hidden="1" outlineLevel="1">
      <c r="A714" s="15"/>
      <c r="B714" s="126" t="str">
        <f>B176</f>
        <v>CH4 IBX Shared Suite (Chicago)</v>
      </c>
      <c r="C714" s="123"/>
      <c r="D714" s="124"/>
      <c r="E714" s="124"/>
      <c r="F714" s="124"/>
      <c r="G714" s="124"/>
      <c r="H714" s="124"/>
      <c r="I714" s="124"/>
      <c r="J714" s="124"/>
      <c r="K714" s="124"/>
      <c r="L714" s="123"/>
      <c r="M714" s="123"/>
      <c r="N714" s="842"/>
      <c r="O714" s="842"/>
      <c r="P714" s="842"/>
      <c r="Q714" s="842"/>
      <c r="R714" s="842"/>
      <c r="S714" s="842"/>
      <c r="T714" s="842"/>
      <c r="U714" s="842"/>
      <c r="V714" s="842"/>
      <c r="W714" s="842"/>
      <c r="X714" s="842"/>
      <c r="Y714" s="842"/>
      <c r="Z714" s="842"/>
      <c r="AA714" s="842"/>
      <c r="AB714" s="842"/>
      <c r="AC714" s="842"/>
      <c r="AD714" s="842"/>
      <c r="AE714" s="123"/>
      <c r="AF714" s="123"/>
      <c r="AG714" s="123"/>
      <c r="AH714" s="123"/>
      <c r="AI714" s="123"/>
      <c r="AJ714" s="123"/>
      <c r="AK714" s="123"/>
      <c r="AL714" s="123"/>
      <c r="AM714" s="123"/>
      <c r="AN714" s="123"/>
      <c r="AO714" s="123"/>
      <c r="AP714" s="123"/>
      <c r="AQ714" s="123"/>
      <c r="AR714" s="123"/>
      <c r="AS714" s="123"/>
      <c r="AT714" s="123"/>
      <c r="AU714" s="123"/>
      <c r="AV714" s="123"/>
      <c r="AW714" s="123"/>
      <c r="AX714" s="123"/>
      <c r="AY714" s="123"/>
      <c r="AZ714" s="123"/>
      <c r="BA714" s="123"/>
      <c r="BB714" s="123"/>
      <c r="BC714" s="123"/>
      <c r="BD714" s="837"/>
      <c r="BE714" s="837"/>
      <c r="BF714" s="837"/>
      <c r="BG714" s="837"/>
      <c r="BH714" s="837"/>
      <c r="BI714" s="838"/>
      <c r="BJ714" s="837"/>
      <c r="BK714" s="837"/>
      <c r="BL714" s="837"/>
      <c r="BM714" s="837"/>
      <c r="BN714" s="837"/>
      <c r="BO714" s="837"/>
      <c r="BP714" s="122"/>
      <c r="BQ714" s="122"/>
      <c r="BR714" s="842"/>
      <c r="BS714" s="842"/>
      <c r="BT714" s="842"/>
      <c r="BU714" s="842"/>
      <c r="BV714" s="842"/>
      <c r="BW714" s="842"/>
      <c r="BX714" s="842"/>
      <c r="BY714" s="842"/>
      <c r="BZ714" s="842"/>
      <c r="CA714" s="842"/>
      <c r="CB714" s="842"/>
      <c r="CC714" s="842"/>
      <c r="CD714" s="842"/>
      <c r="CE714" s="842"/>
      <c r="CF714" s="842"/>
      <c r="CG714" s="842"/>
      <c r="CH714" s="842"/>
      <c r="CI714" s="842"/>
      <c r="CJ714" s="842"/>
      <c r="CK714" s="842"/>
      <c r="CL714" s="842"/>
      <c r="CM714" s="842"/>
      <c r="CN714" s="842"/>
      <c r="CO714" s="842"/>
      <c r="CP714" s="842"/>
      <c r="CQ714" s="842"/>
      <c r="CR714" s="842"/>
      <c r="CS714" s="842"/>
      <c r="CT714" s="842"/>
      <c r="CU714" s="842"/>
      <c r="CV714" s="842"/>
      <c r="CW714" s="842"/>
      <c r="CX714" s="842"/>
      <c r="CY714" s="842"/>
      <c r="CZ714" s="842"/>
      <c r="DA714" s="842"/>
      <c r="DB714" s="842"/>
      <c r="DC714" s="842"/>
    </row>
    <row r="715" spans="1:107" hidden="1" outlineLevel="1">
      <c r="A715" s="15"/>
      <c r="B715" s="129" t="s">
        <v>465</v>
      </c>
      <c r="C715" s="123"/>
      <c r="D715" s="124"/>
      <c r="E715" s="124"/>
      <c r="F715" s="124"/>
      <c r="G715" s="124"/>
      <c r="H715" s="124"/>
      <c r="I715" s="124"/>
      <c r="J715" s="124"/>
      <c r="K715" s="124"/>
      <c r="L715" s="123"/>
      <c r="M715" s="123"/>
      <c r="N715" s="842"/>
      <c r="O715" s="843">
        <f>SUM(BT715:BW715)</f>
        <v>80</v>
      </c>
      <c r="P715" s="842"/>
      <c r="Q715" s="842"/>
      <c r="R715" s="842"/>
      <c r="S715" s="842"/>
      <c r="T715" s="842"/>
      <c r="U715" s="842"/>
      <c r="V715" s="842"/>
      <c r="W715" s="842"/>
      <c r="X715" s="842"/>
      <c r="Y715" s="842"/>
      <c r="Z715" s="842"/>
      <c r="AA715" s="842"/>
      <c r="AB715" s="842"/>
      <c r="AC715" s="842"/>
      <c r="AD715" s="842"/>
      <c r="AE715" s="123"/>
      <c r="AF715" s="123"/>
      <c r="AG715" s="123"/>
      <c r="AH715" s="123"/>
      <c r="AI715" s="123"/>
      <c r="AJ715" s="123"/>
      <c r="AK715" s="123"/>
      <c r="AL715" s="123"/>
      <c r="AM715" s="123"/>
      <c r="AN715" s="123"/>
      <c r="AO715" s="123"/>
      <c r="AP715" s="123"/>
      <c r="AQ715" s="123"/>
      <c r="AR715" s="123"/>
      <c r="AS715" s="123"/>
      <c r="AT715" s="123"/>
      <c r="AU715" s="123"/>
      <c r="AV715" s="123"/>
      <c r="AW715" s="123"/>
      <c r="AX715" s="123"/>
      <c r="AY715" s="123"/>
      <c r="AZ715" s="123"/>
      <c r="BA715" s="123"/>
      <c r="BB715" s="123"/>
      <c r="BC715" s="123"/>
      <c r="BD715" s="837"/>
      <c r="BE715" s="837"/>
      <c r="BF715" s="837"/>
      <c r="BG715" s="837"/>
      <c r="BH715" s="837"/>
      <c r="BI715" s="838"/>
      <c r="BJ715" s="837"/>
      <c r="BK715" s="837"/>
      <c r="BL715" s="837"/>
      <c r="BM715" s="837"/>
      <c r="BN715" s="837"/>
      <c r="BO715" s="837"/>
      <c r="BP715" s="122"/>
      <c r="BQ715" s="122"/>
      <c r="BR715" s="842"/>
      <c r="BS715" s="842"/>
      <c r="BT715" s="842"/>
      <c r="BU715" s="842"/>
      <c r="BV715" s="843">
        <v>80</v>
      </c>
      <c r="BW715" s="842"/>
      <c r="BX715" s="842"/>
      <c r="BY715" s="842"/>
      <c r="BZ715" s="842"/>
      <c r="CA715" s="842"/>
      <c r="CB715" s="842"/>
      <c r="CC715" s="842"/>
      <c r="CD715" s="842"/>
      <c r="CE715" s="842"/>
      <c r="CF715" s="842"/>
      <c r="CG715" s="842"/>
      <c r="CH715" s="842"/>
      <c r="CI715" s="842"/>
      <c r="CJ715" s="842"/>
      <c r="CK715" s="842"/>
      <c r="CL715" s="842"/>
      <c r="CM715" s="842"/>
      <c r="CN715" s="842"/>
      <c r="CO715" s="842"/>
      <c r="CP715" s="842"/>
      <c r="CQ715" s="842"/>
      <c r="CR715" s="842"/>
      <c r="CS715" s="842"/>
      <c r="CT715" s="842"/>
      <c r="CU715" s="842"/>
      <c r="CV715" s="842"/>
      <c r="CW715" s="842"/>
      <c r="CX715" s="842"/>
      <c r="CY715" s="842"/>
      <c r="CZ715" s="842"/>
      <c r="DA715" s="842"/>
      <c r="DB715" s="842"/>
      <c r="DC715" s="842"/>
    </row>
    <row r="716" spans="1:107" hidden="1" outlineLevel="1">
      <c r="A716" s="15"/>
      <c r="B716" s="189" t="s">
        <v>210</v>
      </c>
      <c r="C716" s="123"/>
      <c r="D716" s="124"/>
      <c r="E716" s="124"/>
      <c r="F716" s="124"/>
      <c r="G716" s="124"/>
      <c r="H716" s="124"/>
      <c r="I716" s="124"/>
      <c r="J716" s="124"/>
      <c r="K716" s="124"/>
      <c r="L716" s="123"/>
      <c r="M716" s="123"/>
      <c r="N716" s="842"/>
      <c r="O716" s="844" t="e">
        <f>AVERAGE(BT716:BW716)</f>
        <v>#DIV/0!</v>
      </c>
      <c r="P716" s="842"/>
      <c r="Q716" s="842"/>
      <c r="R716" s="842"/>
      <c r="S716" s="842"/>
      <c r="T716" s="842"/>
      <c r="U716" s="842"/>
      <c r="V716" s="842"/>
      <c r="W716" s="842"/>
      <c r="X716" s="842"/>
      <c r="Y716" s="842"/>
      <c r="Z716" s="842"/>
      <c r="AA716" s="842"/>
      <c r="AB716" s="842"/>
      <c r="AC716" s="842"/>
      <c r="AD716" s="842"/>
      <c r="AE716" s="123"/>
      <c r="AF716" s="123"/>
      <c r="AG716" s="123"/>
      <c r="AH716" s="123"/>
      <c r="AI716" s="123"/>
      <c r="AJ716" s="123"/>
      <c r="AK716" s="123"/>
      <c r="AL716" s="123"/>
      <c r="AM716" s="123"/>
      <c r="AN716" s="123"/>
      <c r="AO716" s="123"/>
      <c r="AP716" s="123"/>
      <c r="AQ716" s="123"/>
      <c r="AR716" s="123"/>
      <c r="AS716" s="123"/>
      <c r="AT716" s="123"/>
      <c r="AU716" s="123"/>
      <c r="AV716" s="123"/>
      <c r="AW716" s="123"/>
      <c r="AX716" s="123"/>
      <c r="AY716" s="123"/>
      <c r="AZ716" s="123"/>
      <c r="BA716" s="123"/>
      <c r="BB716" s="123"/>
      <c r="BC716" s="123"/>
      <c r="BD716" s="837"/>
      <c r="BE716" s="837"/>
      <c r="BF716" s="837"/>
      <c r="BG716" s="837"/>
      <c r="BH716" s="837"/>
      <c r="BI716" s="838"/>
      <c r="BJ716" s="837"/>
      <c r="BK716" s="837"/>
      <c r="BL716" s="837"/>
      <c r="BM716" s="837"/>
      <c r="BN716" s="837"/>
      <c r="BO716" s="837"/>
      <c r="BP716" s="122"/>
      <c r="BQ716" s="122"/>
      <c r="BR716" s="842"/>
      <c r="BS716" s="842"/>
      <c r="BT716" s="842"/>
      <c r="BU716" s="842"/>
      <c r="BV716" s="844" t="e">
        <f>BV715/BV176*1000000</f>
        <v>#DIV/0!</v>
      </c>
      <c r="BW716" s="842"/>
      <c r="BX716" s="842"/>
      <c r="BY716" s="842"/>
      <c r="BZ716" s="842"/>
      <c r="CA716" s="842"/>
      <c r="CB716" s="842"/>
      <c r="CC716" s="842"/>
      <c r="CD716" s="842"/>
      <c r="CE716" s="842"/>
      <c r="CF716" s="842"/>
      <c r="CG716" s="842"/>
      <c r="CH716" s="842"/>
      <c r="CI716" s="842"/>
      <c r="CJ716" s="842"/>
      <c r="CK716" s="842"/>
      <c r="CL716" s="842"/>
      <c r="CM716" s="842"/>
      <c r="CN716" s="842"/>
      <c r="CO716" s="842"/>
      <c r="CP716" s="842"/>
      <c r="CQ716" s="842"/>
      <c r="CR716" s="842"/>
      <c r="CS716" s="842"/>
      <c r="CT716" s="842"/>
      <c r="CU716" s="842"/>
      <c r="CV716" s="842"/>
      <c r="CW716" s="842"/>
      <c r="CX716" s="842"/>
      <c r="CY716" s="842"/>
      <c r="CZ716" s="842"/>
      <c r="DA716" s="842"/>
      <c r="DB716" s="842"/>
      <c r="DC716" s="842"/>
    </row>
    <row r="717" spans="1:107" hidden="1" outlineLevel="1">
      <c r="A717" s="15"/>
      <c r="B717" s="126" t="str">
        <f>B178</f>
        <v>DA2 Phase 1 (Dallas)</v>
      </c>
      <c r="C717" s="123"/>
      <c r="D717" s="124"/>
      <c r="E717" s="124"/>
      <c r="F717" s="124"/>
      <c r="G717" s="124"/>
      <c r="H717" s="124"/>
      <c r="I717" s="124"/>
      <c r="J717" s="124"/>
      <c r="K717" s="124"/>
      <c r="L717" s="123"/>
      <c r="M717" s="123"/>
      <c r="N717" s="842"/>
      <c r="O717" s="842"/>
      <c r="P717" s="842"/>
      <c r="Q717" s="842"/>
      <c r="R717" s="842"/>
      <c r="S717" s="842"/>
      <c r="T717" s="842"/>
      <c r="U717" s="842"/>
      <c r="V717" s="842"/>
      <c r="W717" s="842"/>
      <c r="X717" s="842"/>
      <c r="Y717" s="842"/>
      <c r="Z717" s="842"/>
      <c r="AA717" s="842"/>
      <c r="AB717" s="842"/>
      <c r="AC717" s="842"/>
      <c r="AD717" s="842"/>
      <c r="AE717" s="123"/>
      <c r="AF717" s="123"/>
      <c r="AG717" s="123"/>
      <c r="AH717" s="123"/>
      <c r="AI717" s="123"/>
      <c r="AJ717" s="123"/>
      <c r="AK717" s="123"/>
      <c r="AL717" s="123"/>
      <c r="AM717" s="123"/>
      <c r="AN717" s="123"/>
      <c r="AO717" s="123"/>
      <c r="AP717" s="123"/>
      <c r="AQ717" s="123"/>
      <c r="AR717" s="123"/>
      <c r="AS717" s="123"/>
      <c r="AT717" s="123"/>
      <c r="AU717" s="123"/>
      <c r="AV717" s="123"/>
      <c r="AW717" s="123"/>
      <c r="AX717" s="123"/>
      <c r="AY717" s="123"/>
      <c r="AZ717" s="123"/>
      <c r="BA717" s="123"/>
      <c r="BB717" s="123"/>
      <c r="BC717" s="123"/>
      <c r="BD717" s="837"/>
      <c r="BE717" s="837"/>
      <c r="BF717" s="837"/>
      <c r="BG717" s="837"/>
      <c r="BH717" s="837"/>
      <c r="BI717" s="838"/>
      <c r="BJ717" s="837"/>
      <c r="BK717" s="837"/>
      <c r="BL717" s="837"/>
      <c r="BM717" s="837"/>
      <c r="BN717" s="837"/>
      <c r="BO717" s="837"/>
      <c r="BP717" s="122"/>
      <c r="BQ717" s="122"/>
      <c r="BR717" s="842"/>
      <c r="BS717" s="842"/>
      <c r="BT717" s="842"/>
      <c r="BU717" s="842"/>
      <c r="BV717" s="842"/>
      <c r="BW717" s="842"/>
      <c r="BX717" s="842"/>
      <c r="BY717" s="842"/>
      <c r="BZ717" s="842"/>
      <c r="CA717" s="842"/>
      <c r="CB717" s="842"/>
      <c r="CC717" s="842"/>
      <c r="CD717" s="842"/>
      <c r="CE717" s="842"/>
      <c r="CF717" s="842"/>
      <c r="CG717" s="842"/>
      <c r="CH717" s="842"/>
      <c r="CI717" s="842"/>
      <c r="CJ717" s="842"/>
      <c r="CK717" s="842"/>
      <c r="CL717" s="842"/>
      <c r="CM717" s="842"/>
      <c r="CN717" s="842"/>
      <c r="CO717" s="842"/>
      <c r="CP717" s="842"/>
      <c r="CQ717" s="842"/>
      <c r="CR717" s="842"/>
      <c r="CS717" s="842"/>
      <c r="CT717" s="842"/>
      <c r="CU717" s="842"/>
      <c r="CV717" s="842"/>
      <c r="CW717" s="842"/>
      <c r="CX717" s="842"/>
      <c r="CY717" s="842"/>
      <c r="CZ717" s="842"/>
      <c r="DA717" s="842"/>
      <c r="DB717" s="842"/>
      <c r="DC717" s="842"/>
    </row>
    <row r="718" spans="1:107" hidden="1" outlineLevel="1">
      <c r="A718" s="15"/>
      <c r="B718" s="129" t="s">
        <v>465</v>
      </c>
      <c r="C718" s="123"/>
      <c r="D718" s="124"/>
      <c r="E718" s="124"/>
      <c r="F718" s="124"/>
      <c r="G718" s="124"/>
      <c r="H718" s="124"/>
      <c r="I718" s="124"/>
      <c r="J718" s="124"/>
      <c r="K718" s="124"/>
      <c r="L718" s="123"/>
      <c r="M718" s="123"/>
      <c r="N718" s="842"/>
      <c r="O718" s="843">
        <f>SUM(BT718:BW718)</f>
        <v>16.551724137931036</v>
      </c>
      <c r="P718" s="843">
        <f>60-BV718</f>
        <v>43.448275862068968</v>
      </c>
      <c r="Q718" s="842"/>
      <c r="R718" s="842"/>
      <c r="S718" s="842"/>
      <c r="T718" s="842"/>
      <c r="U718" s="842"/>
      <c r="V718" s="842"/>
      <c r="W718" s="842"/>
      <c r="X718" s="842"/>
      <c r="Y718" s="842"/>
      <c r="Z718" s="842"/>
      <c r="AA718" s="842"/>
      <c r="AB718" s="842"/>
      <c r="AC718" s="842"/>
      <c r="AD718" s="842"/>
      <c r="AE718" s="123"/>
      <c r="AF718" s="123"/>
      <c r="AG718" s="123"/>
      <c r="AH718" s="123"/>
      <c r="AI718" s="123"/>
      <c r="AJ718" s="123"/>
      <c r="AK718" s="123"/>
      <c r="AL718" s="123"/>
      <c r="AM718" s="123"/>
      <c r="AN718" s="123"/>
      <c r="AO718" s="123"/>
      <c r="AP718" s="123"/>
      <c r="AQ718" s="123"/>
      <c r="AR718" s="123"/>
      <c r="AS718" s="123"/>
      <c r="AT718" s="123"/>
      <c r="AU718" s="123"/>
      <c r="AV718" s="123"/>
      <c r="AW718" s="123"/>
      <c r="AX718" s="123"/>
      <c r="AY718" s="123"/>
      <c r="AZ718" s="123"/>
      <c r="BA718" s="123"/>
      <c r="BB718" s="123"/>
      <c r="BC718" s="123"/>
      <c r="BD718" s="837"/>
      <c r="BE718" s="837"/>
      <c r="BF718" s="837"/>
      <c r="BG718" s="837"/>
      <c r="BH718" s="837"/>
      <c r="BI718" s="838"/>
      <c r="BJ718" s="837"/>
      <c r="BK718" s="837"/>
      <c r="BL718" s="837"/>
      <c r="BM718" s="837"/>
      <c r="BN718" s="837"/>
      <c r="BO718" s="837"/>
      <c r="BP718" s="122"/>
      <c r="BQ718" s="122"/>
      <c r="BR718" s="842"/>
      <c r="BS718" s="842"/>
      <c r="BT718" s="842"/>
      <c r="BU718" s="842"/>
      <c r="BV718" s="843">
        <f>60*(400/1450)</f>
        <v>16.551724137931036</v>
      </c>
      <c r="BW718" s="842"/>
      <c r="BX718" s="842"/>
      <c r="BY718" s="842"/>
      <c r="BZ718" s="842"/>
      <c r="CA718" s="842"/>
      <c r="CB718" s="842"/>
      <c r="CC718" s="842"/>
      <c r="CD718" s="842"/>
      <c r="CE718" s="842"/>
      <c r="CF718" s="842"/>
      <c r="CG718" s="842"/>
      <c r="CH718" s="842"/>
      <c r="CI718" s="842"/>
      <c r="CJ718" s="842"/>
      <c r="CK718" s="842"/>
      <c r="CL718" s="842"/>
      <c r="CM718" s="842"/>
      <c r="CN718" s="842"/>
      <c r="CO718" s="842"/>
      <c r="CP718" s="842"/>
      <c r="CQ718" s="842"/>
      <c r="CR718" s="842"/>
      <c r="CS718" s="842"/>
      <c r="CT718" s="842"/>
      <c r="CU718" s="842"/>
      <c r="CV718" s="842"/>
      <c r="CW718" s="842"/>
      <c r="CX718" s="842"/>
      <c r="CY718" s="842"/>
      <c r="CZ718" s="842"/>
      <c r="DA718" s="842"/>
      <c r="DB718" s="842"/>
      <c r="DC718" s="842"/>
    </row>
    <row r="719" spans="1:107" hidden="1" outlineLevel="1">
      <c r="A719" s="15"/>
      <c r="B719" s="189" t="s">
        <v>210</v>
      </c>
      <c r="C719" s="123"/>
      <c r="D719" s="124"/>
      <c r="E719" s="124"/>
      <c r="F719" s="124"/>
      <c r="G719" s="124"/>
      <c r="H719" s="124"/>
      <c r="I719" s="124"/>
      <c r="J719" s="124"/>
      <c r="K719" s="124"/>
      <c r="L719" s="123"/>
      <c r="M719" s="123"/>
      <c r="N719" s="842"/>
      <c r="O719" s="844" t="e">
        <f>AVERAGE(BT719:BW719)</f>
        <v>#DIV/0!</v>
      </c>
      <c r="P719" s="845">
        <f>P718/(BX178)*1000000</f>
        <v>96551.724137931029</v>
      </c>
      <c r="Q719" s="842"/>
      <c r="R719" s="842"/>
      <c r="S719" s="842"/>
      <c r="T719" s="842"/>
      <c r="U719" s="842"/>
      <c r="V719" s="842"/>
      <c r="W719" s="842"/>
      <c r="X719" s="842"/>
      <c r="Y719" s="842"/>
      <c r="Z719" s="842"/>
      <c r="AA719" s="842"/>
      <c r="AB719" s="842"/>
      <c r="AC719" s="842"/>
      <c r="AD719" s="842"/>
      <c r="AE719" s="123"/>
      <c r="AF719" s="123"/>
      <c r="AG719" s="123"/>
      <c r="AH719" s="123"/>
      <c r="AI719" s="123"/>
      <c r="AJ719" s="123"/>
      <c r="AK719" s="123"/>
      <c r="AL719" s="123"/>
      <c r="AM719" s="123"/>
      <c r="AN719" s="123"/>
      <c r="AO719" s="123"/>
      <c r="AP719" s="123"/>
      <c r="AQ719" s="123"/>
      <c r="AR719" s="123"/>
      <c r="AS719" s="123"/>
      <c r="AT719" s="123"/>
      <c r="AU719" s="123"/>
      <c r="AV719" s="123"/>
      <c r="AW719" s="123"/>
      <c r="AX719" s="123"/>
      <c r="AY719" s="123"/>
      <c r="AZ719" s="123"/>
      <c r="BA719" s="123"/>
      <c r="BB719" s="123"/>
      <c r="BC719" s="123"/>
      <c r="BD719" s="837"/>
      <c r="BE719" s="837"/>
      <c r="BF719" s="837"/>
      <c r="BG719" s="837"/>
      <c r="BH719" s="837"/>
      <c r="BI719" s="838"/>
      <c r="BJ719" s="837"/>
      <c r="BK719" s="837"/>
      <c r="BL719" s="837"/>
      <c r="BM719" s="837"/>
      <c r="BN719" s="837"/>
      <c r="BO719" s="837"/>
      <c r="BP719" s="122"/>
      <c r="BQ719" s="122"/>
      <c r="BR719" s="842"/>
      <c r="BS719" s="842"/>
      <c r="BT719" s="842"/>
      <c r="BU719" s="842"/>
      <c r="BV719" s="845" t="e">
        <f>BV718/(BV178)*1000000</f>
        <v>#DIV/0!</v>
      </c>
      <c r="BW719" s="842"/>
      <c r="BX719" s="842"/>
      <c r="BY719" s="842"/>
      <c r="BZ719" s="842"/>
      <c r="CA719" s="842"/>
      <c r="CB719" s="842"/>
      <c r="CC719" s="842"/>
      <c r="CD719" s="842"/>
      <c r="CE719" s="842"/>
      <c r="CF719" s="842"/>
      <c r="CG719" s="842"/>
      <c r="CH719" s="842"/>
      <c r="CI719" s="842"/>
      <c r="CJ719" s="842"/>
      <c r="CK719" s="842"/>
      <c r="CL719" s="842"/>
      <c r="CM719" s="842"/>
      <c r="CN719" s="842"/>
      <c r="CO719" s="842"/>
      <c r="CP719" s="842"/>
      <c r="CQ719" s="842"/>
      <c r="CR719" s="842"/>
      <c r="CS719" s="842"/>
      <c r="CT719" s="842"/>
      <c r="CU719" s="842"/>
      <c r="CV719" s="842"/>
      <c r="CW719" s="842"/>
      <c r="CX719" s="842"/>
      <c r="CY719" s="842"/>
      <c r="CZ719" s="842"/>
      <c r="DA719" s="842"/>
      <c r="DB719" s="842"/>
      <c r="DC719" s="842"/>
    </row>
    <row r="720" spans="1:107" hidden="1" outlineLevel="1">
      <c r="A720" s="15"/>
      <c r="B720" s="126" t="str">
        <f>B180</f>
        <v>DA3 phase 1 (Dallas)</v>
      </c>
      <c r="C720" s="123"/>
      <c r="D720" s="124"/>
      <c r="E720" s="124"/>
      <c r="F720" s="124"/>
      <c r="G720" s="124"/>
      <c r="H720" s="124"/>
      <c r="I720" s="124"/>
      <c r="J720" s="124"/>
      <c r="K720" s="124"/>
      <c r="L720" s="123"/>
      <c r="M720" s="123"/>
      <c r="N720" s="842"/>
      <c r="O720" s="842"/>
      <c r="P720" s="842"/>
      <c r="Q720" s="842"/>
      <c r="R720" s="842"/>
      <c r="S720" s="842"/>
      <c r="T720" s="842"/>
      <c r="U720" s="842"/>
      <c r="V720" s="842"/>
      <c r="W720" s="842"/>
      <c r="X720" s="842"/>
      <c r="Y720" s="842"/>
      <c r="Z720" s="842"/>
      <c r="AA720" s="842"/>
      <c r="AB720" s="842"/>
      <c r="AC720" s="842"/>
      <c r="AD720" s="842"/>
      <c r="AE720" s="123"/>
      <c r="AF720" s="123"/>
      <c r="AG720" s="123"/>
      <c r="AH720" s="123"/>
      <c r="AI720" s="123"/>
      <c r="AJ720" s="123"/>
      <c r="AK720" s="123"/>
      <c r="AL720" s="123"/>
      <c r="AM720" s="123"/>
      <c r="AN720" s="123"/>
      <c r="AO720" s="123"/>
      <c r="AP720" s="123"/>
      <c r="AQ720" s="123"/>
      <c r="AR720" s="123"/>
      <c r="AS720" s="123"/>
      <c r="AT720" s="123"/>
      <c r="AU720" s="123"/>
      <c r="AV720" s="123"/>
      <c r="AW720" s="123"/>
      <c r="AX720" s="123"/>
      <c r="AY720" s="123"/>
      <c r="AZ720" s="123"/>
      <c r="BA720" s="123"/>
      <c r="BB720" s="123"/>
      <c r="BC720" s="123"/>
      <c r="BD720" s="837"/>
      <c r="BE720" s="837"/>
      <c r="BF720" s="837"/>
      <c r="BG720" s="837"/>
      <c r="BH720" s="837"/>
      <c r="BI720" s="838"/>
      <c r="BJ720" s="837"/>
      <c r="BK720" s="837"/>
      <c r="BL720" s="837"/>
      <c r="BM720" s="837"/>
      <c r="BN720" s="837"/>
      <c r="BO720" s="837"/>
      <c r="BP720" s="122"/>
      <c r="BQ720" s="122"/>
      <c r="BR720" s="842"/>
      <c r="BS720" s="842"/>
      <c r="BT720" s="842"/>
      <c r="BU720" s="842"/>
      <c r="BV720" s="842"/>
      <c r="BW720" s="842"/>
      <c r="BX720" s="842"/>
      <c r="BY720" s="842"/>
      <c r="BZ720" s="842"/>
      <c r="CA720" s="842"/>
      <c r="CB720" s="842"/>
      <c r="CC720" s="842"/>
      <c r="CD720" s="842"/>
      <c r="CE720" s="842"/>
      <c r="CF720" s="842"/>
      <c r="CG720" s="842"/>
      <c r="CH720" s="842"/>
      <c r="CI720" s="842"/>
      <c r="CJ720" s="842"/>
      <c r="CK720" s="842"/>
      <c r="CL720" s="842"/>
      <c r="CM720" s="842"/>
      <c r="CN720" s="842"/>
      <c r="CO720" s="842"/>
      <c r="CP720" s="842"/>
      <c r="CQ720" s="842"/>
      <c r="CR720" s="842"/>
      <c r="CS720" s="842"/>
      <c r="CT720" s="842"/>
      <c r="CU720" s="842"/>
      <c r="CV720" s="842"/>
      <c r="CW720" s="842"/>
      <c r="CX720" s="842"/>
      <c r="CY720" s="842"/>
      <c r="CZ720" s="842"/>
      <c r="DA720" s="842"/>
      <c r="DB720" s="842"/>
      <c r="DC720" s="842"/>
    </row>
    <row r="721" spans="1:107" hidden="1" outlineLevel="1">
      <c r="A721" s="15"/>
      <c r="B721" s="129" t="s">
        <v>465</v>
      </c>
      <c r="C721" s="123"/>
      <c r="D721" s="124"/>
      <c r="E721" s="124"/>
      <c r="F721" s="124"/>
      <c r="G721" s="124"/>
      <c r="H721" s="124"/>
      <c r="I721" s="124"/>
      <c r="J721" s="124"/>
      <c r="K721" s="124"/>
      <c r="L721" s="123"/>
      <c r="M721" s="123"/>
      <c r="N721" s="842"/>
      <c r="O721" s="843">
        <f>SUM(BT721:BW721)</f>
        <v>100</v>
      </c>
      <c r="P721" s="842"/>
      <c r="Q721" s="842"/>
      <c r="R721" s="842"/>
      <c r="S721" s="842"/>
      <c r="T721" s="842"/>
      <c r="U721" s="842"/>
      <c r="V721" s="842"/>
      <c r="W721" s="842"/>
      <c r="X721" s="842"/>
      <c r="Y721" s="842"/>
      <c r="Z721" s="842"/>
      <c r="AA721" s="842"/>
      <c r="AB721" s="842"/>
      <c r="AC721" s="842"/>
      <c r="AD721" s="842"/>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837"/>
      <c r="BE721" s="837"/>
      <c r="BF721" s="837"/>
      <c r="BG721" s="837"/>
      <c r="BH721" s="837"/>
      <c r="BI721" s="838"/>
      <c r="BJ721" s="837"/>
      <c r="BK721" s="837"/>
      <c r="BL721" s="837"/>
      <c r="BM721" s="837"/>
      <c r="BN721" s="837"/>
      <c r="BO721" s="837"/>
      <c r="BP721" s="122"/>
      <c r="BQ721" s="122"/>
      <c r="BR721" s="842"/>
      <c r="BS721" s="842"/>
      <c r="BT721" s="842"/>
      <c r="BU721" s="842"/>
      <c r="BV721" s="842"/>
      <c r="BW721" s="843">
        <v>100</v>
      </c>
      <c r="BX721" s="843"/>
      <c r="BY721" s="843"/>
      <c r="BZ721" s="843"/>
      <c r="CA721" s="843"/>
      <c r="CB721" s="843"/>
      <c r="CC721" s="843"/>
      <c r="CD721" s="843"/>
      <c r="CE721" s="843"/>
      <c r="CF721" s="843"/>
      <c r="CG721" s="843"/>
      <c r="CH721" s="843"/>
      <c r="CI721" s="843"/>
      <c r="CJ721" s="843"/>
      <c r="CK721" s="843"/>
      <c r="CL721" s="843"/>
      <c r="CM721" s="843"/>
      <c r="CN721" s="843"/>
      <c r="CO721" s="843"/>
      <c r="CP721" s="843"/>
      <c r="CQ721" s="843"/>
      <c r="CR721" s="843"/>
      <c r="CS721" s="843"/>
      <c r="CT721" s="843"/>
      <c r="CU721" s="843"/>
      <c r="CV721" s="843"/>
      <c r="CW721" s="843"/>
      <c r="CX721" s="843"/>
      <c r="CY721" s="843"/>
      <c r="CZ721" s="843"/>
      <c r="DA721" s="843"/>
      <c r="DB721" s="843"/>
      <c r="DC721" s="843"/>
    </row>
    <row r="722" spans="1:107" hidden="1" outlineLevel="1">
      <c r="A722" s="15"/>
      <c r="B722" s="189" t="s">
        <v>210</v>
      </c>
      <c r="C722" s="123"/>
      <c r="D722" s="124"/>
      <c r="E722" s="124"/>
      <c r="F722" s="124"/>
      <c r="G722" s="124"/>
      <c r="H722" s="124"/>
      <c r="I722" s="124"/>
      <c r="J722" s="124"/>
      <c r="K722" s="124"/>
      <c r="L722" s="123"/>
      <c r="M722" s="123"/>
      <c r="N722" s="842"/>
      <c r="O722" s="844" t="e">
        <f>AVERAGE(BT722:BW722)</f>
        <v>#DIV/0!</v>
      </c>
      <c r="P722" s="842"/>
      <c r="Q722" s="842"/>
      <c r="R722" s="842"/>
      <c r="S722" s="842"/>
      <c r="T722" s="842"/>
      <c r="U722" s="842"/>
      <c r="V722" s="842"/>
      <c r="W722" s="842"/>
      <c r="X722" s="842"/>
      <c r="Y722" s="842"/>
      <c r="Z722" s="842"/>
      <c r="AA722" s="842"/>
      <c r="AB722" s="842"/>
      <c r="AC722" s="842"/>
      <c r="AD722" s="842"/>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837"/>
      <c r="BE722" s="837"/>
      <c r="BF722" s="837"/>
      <c r="BG722" s="837"/>
      <c r="BH722" s="837"/>
      <c r="BI722" s="838"/>
      <c r="BJ722" s="837"/>
      <c r="BK722" s="837"/>
      <c r="BL722" s="837"/>
      <c r="BM722" s="837"/>
      <c r="BN722" s="837"/>
      <c r="BO722" s="837"/>
      <c r="BP722" s="122"/>
      <c r="BQ722" s="122"/>
      <c r="BR722" s="842"/>
      <c r="BS722" s="842"/>
      <c r="BT722" s="842"/>
      <c r="BU722" s="842"/>
      <c r="BV722" s="842"/>
      <c r="BW722" s="844" t="e">
        <f>BW721/BW180*1000000</f>
        <v>#DIV/0!</v>
      </c>
      <c r="BX722" s="844"/>
      <c r="BY722" s="844"/>
      <c r="BZ722" s="844"/>
      <c r="CA722" s="844"/>
      <c r="CB722" s="844"/>
      <c r="CC722" s="844"/>
      <c r="CD722" s="844"/>
      <c r="CE722" s="844"/>
      <c r="CF722" s="844"/>
      <c r="CG722" s="844"/>
      <c r="CH722" s="844"/>
      <c r="CI722" s="844"/>
      <c r="CJ722" s="844"/>
      <c r="CK722" s="844"/>
      <c r="CL722" s="844"/>
      <c r="CM722" s="844"/>
      <c r="CN722" s="844"/>
      <c r="CO722" s="844"/>
      <c r="CP722" s="844"/>
      <c r="CQ722" s="844"/>
      <c r="CR722" s="844"/>
      <c r="CS722" s="844"/>
      <c r="CT722" s="844"/>
      <c r="CU722" s="844"/>
      <c r="CV722" s="844"/>
      <c r="CW722" s="844"/>
      <c r="CX722" s="844"/>
      <c r="CY722" s="844"/>
      <c r="CZ722" s="844"/>
      <c r="DA722" s="844"/>
      <c r="DB722" s="844"/>
      <c r="DC722" s="844"/>
    </row>
    <row r="723" spans="1:107" hidden="1" outlineLevel="1">
      <c r="A723" s="15"/>
      <c r="B723" s="126" t="str">
        <f>B181</f>
        <v>DA3 phase 2 (Dallas)</v>
      </c>
      <c r="C723" s="123"/>
      <c r="D723" s="124"/>
      <c r="E723" s="124"/>
      <c r="F723" s="124"/>
      <c r="G723" s="124"/>
      <c r="H723" s="124"/>
      <c r="I723" s="124"/>
      <c r="J723" s="124"/>
      <c r="K723" s="124"/>
      <c r="L723" s="123"/>
      <c r="M723" s="123"/>
      <c r="N723" s="842"/>
      <c r="O723" s="842"/>
      <c r="P723" s="842"/>
      <c r="Q723" s="842"/>
      <c r="R723" s="842"/>
      <c r="S723" s="842"/>
      <c r="T723" s="842"/>
      <c r="U723" s="842"/>
      <c r="V723" s="842"/>
      <c r="W723" s="842"/>
      <c r="X723" s="842"/>
      <c r="Y723" s="842"/>
      <c r="Z723" s="842"/>
      <c r="AA723" s="842"/>
      <c r="AB723" s="842"/>
      <c r="AC723" s="842"/>
      <c r="AD723" s="842"/>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837"/>
      <c r="BE723" s="837"/>
      <c r="BF723" s="837"/>
      <c r="BG723" s="837"/>
      <c r="BH723" s="837"/>
      <c r="BI723" s="838"/>
      <c r="BJ723" s="837"/>
      <c r="BK723" s="837"/>
      <c r="BL723" s="837"/>
      <c r="BM723" s="837"/>
      <c r="BN723" s="837"/>
      <c r="BO723" s="837"/>
      <c r="BP723" s="122"/>
      <c r="BQ723" s="122"/>
      <c r="BR723" s="842"/>
      <c r="BS723" s="842"/>
      <c r="BT723" s="842"/>
      <c r="BU723" s="842"/>
      <c r="BV723" s="842"/>
      <c r="BW723" s="842"/>
      <c r="BX723" s="842"/>
      <c r="BY723" s="842"/>
      <c r="BZ723" s="842"/>
      <c r="CA723" s="842"/>
      <c r="CB723" s="842"/>
      <c r="CC723" s="842"/>
      <c r="CD723" s="842"/>
      <c r="CE723" s="842"/>
      <c r="CF723" s="842"/>
      <c r="CG723" s="842"/>
      <c r="CH723" s="842"/>
      <c r="CI723" s="842"/>
      <c r="CJ723" s="842"/>
      <c r="CK723" s="842"/>
      <c r="CL723" s="842"/>
      <c r="CM723" s="842"/>
      <c r="CN723" s="842"/>
      <c r="CO723" s="842"/>
      <c r="CP723" s="842"/>
      <c r="CQ723" s="842"/>
      <c r="CR723" s="842"/>
      <c r="CS723" s="842"/>
      <c r="CT723" s="842"/>
      <c r="CU723" s="842"/>
      <c r="CV723" s="842"/>
      <c r="CW723" s="842"/>
      <c r="CX723" s="842"/>
      <c r="CY723" s="842"/>
      <c r="CZ723" s="842"/>
      <c r="DA723" s="842"/>
      <c r="DB723" s="842"/>
      <c r="DC723" s="842"/>
    </row>
    <row r="724" spans="1:107" hidden="1" outlineLevel="1">
      <c r="A724" s="15"/>
      <c r="B724" s="129" t="s">
        <v>465</v>
      </c>
      <c r="C724" s="123"/>
      <c r="D724" s="124"/>
      <c r="E724" s="124"/>
      <c r="F724" s="124"/>
      <c r="G724" s="124"/>
      <c r="H724" s="124"/>
      <c r="I724" s="124"/>
      <c r="J724" s="124"/>
      <c r="K724" s="124"/>
      <c r="L724" s="123"/>
      <c r="M724" s="123"/>
      <c r="N724" s="842"/>
      <c r="O724" s="842"/>
      <c r="P724" s="843">
        <f>SUM(BX724:CA724)</f>
        <v>25</v>
      </c>
      <c r="Q724" s="842">
        <f t="shared" ref="Q724:W725" si="914">SUM(CB724:CE724)</f>
        <v>0</v>
      </c>
      <c r="R724" s="842">
        <f t="shared" si="914"/>
        <v>0</v>
      </c>
      <c r="S724" s="842">
        <f t="shared" si="914"/>
        <v>0</v>
      </c>
      <c r="T724" s="842">
        <f t="shared" si="914"/>
        <v>0</v>
      </c>
      <c r="U724" s="842">
        <f t="shared" si="914"/>
        <v>0</v>
      </c>
      <c r="V724" s="842">
        <f t="shared" si="914"/>
        <v>0</v>
      </c>
      <c r="W724" s="842">
        <f t="shared" si="914"/>
        <v>0</v>
      </c>
      <c r="X724" s="842"/>
      <c r="Y724" s="842"/>
      <c r="Z724" s="842"/>
      <c r="AA724" s="842"/>
      <c r="AB724" s="842"/>
      <c r="AC724" s="842"/>
      <c r="AD724" s="842"/>
      <c r="AE724" s="123"/>
      <c r="AF724" s="123"/>
      <c r="AG724" s="123"/>
      <c r="AH724" s="123"/>
      <c r="AI724" s="123"/>
      <c r="AJ724" s="123"/>
      <c r="AK724" s="123"/>
      <c r="AL724" s="123"/>
      <c r="AM724" s="123"/>
      <c r="AN724" s="123"/>
      <c r="AO724" s="123"/>
      <c r="AP724" s="123"/>
      <c r="AQ724" s="123"/>
      <c r="AR724" s="123"/>
      <c r="AS724" s="123"/>
      <c r="AT724" s="123"/>
      <c r="AU724" s="123"/>
      <c r="AV724" s="123"/>
      <c r="AW724" s="123"/>
      <c r="AX724" s="123"/>
      <c r="AY724" s="123"/>
      <c r="AZ724" s="123"/>
      <c r="BA724" s="123"/>
      <c r="BB724" s="123"/>
      <c r="BC724" s="123"/>
      <c r="BD724" s="837"/>
      <c r="BE724" s="837"/>
      <c r="BF724" s="837"/>
      <c r="BG724" s="837"/>
      <c r="BH724" s="837"/>
      <c r="BI724" s="838"/>
      <c r="BJ724" s="837"/>
      <c r="BK724" s="837"/>
      <c r="BL724" s="837"/>
      <c r="BM724" s="837"/>
      <c r="BN724" s="837"/>
      <c r="BO724" s="837"/>
      <c r="BP724" s="122"/>
      <c r="BQ724" s="122"/>
      <c r="BR724" s="842"/>
      <c r="BS724" s="842"/>
      <c r="BT724" s="842"/>
      <c r="BU724" s="842"/>
      <c r="BV724" s="842"/>
      <c r="BW724" s="842"/>
      <c r="BX724" s="843">
        <v>25</v>
      </c>
      <c r="BY724" s="842"/>
      <c r="BZ724" s="842"/>
      <c r="CA724" s="842"/>
      <c r="CB724" s="842"/>
      <c r="CC724" s="842"/>
      <c r="CD724" s="842"/>
      <c r="CE724" s="842"/>
      <c r="CF724" s="842"/>
      <c r="CG724" s="842"/>
      <c r="CH724" s="842"/>
      <c r="CI724" s="842"/>
      <c r="CJ724" s="842"/>
      <c r="CK724" s="842"/>
      <c r="CL724" s="842"/>
      <c r="CM724" s="842"/>
      <c r="CN724" s="842"/>
      <c r="CO724" s="842"/>
      <c r="CP724" s="842"/>
      <c r="CQ724" s="842"/>
      <c r="CR724" s="842"/>
      <c r="CS724" s="842"/>
      <c r="CT724" s="842"/>
      <c r="CU724" s="842"/>
      <c r="CV724" s="842"/>
      <c r="CW724" s="842"/>
      <c r="CX724" s="842"/>
      <c r="CY724" s="842"/>
      <c r="CZ724" s="842"/>
      <c r="DA724" s="842"/>
      <c r="DB724" s="842"/>
      <c r="DC724" s="842"/>
    </row>
    <row r="725" spans="1:107" hidden="1" outlineLevel="1">
      <c r="A725" s="15"/>
      <c r="B725" s="189" t="s">
        <v>210</v>
      </c>
      <c r="C725" s="123"/>
      <c r="D725" s="124"/>
      <c r="E725" s="124"/>
      <c r="F725" s="124"/>
      <c r="G725" s="124"/>
      <c r="H725" s="124"/>
      <c r="I725" s="124"/>
      <c r="J725" s="124"/>
      <c r="K725" s="124"/>
      <c r="L725" s="123"/>
      <c r="M725" s="123"/>
      <c r="N725" s="842"/>
      <c r="O725" s="842"/>
      <c r="P725" s="844" t="e">
        <f>SUM(BX725:CA725)</f>
        <v>#DIV/0!</v>
      </c>
      <c r="Q725" s="842">
        <f t="shared" si="914"/>
        <v>0</v>
      </c>
      <c r="R725" s="842">
        <f t="shared" si="914"/>
        <v>0</v>
      </c>
      <c r="S725" s="842">
        <f t="shared" si="914"/>
        <v>0</v>
      </c>
      <c r="T725" s="842">
        <f t="shared" si="914"/>
        <v>0</v>
      </c>
      <c r="U725" s="842">
        <f t="shared" si="914"/>
        <v>0</v>
      </c>
      <c r="V725" s="842">
        <f t="shared" si="914"/>
        <v>0</v>
      </c>
      <c r="W725" s="842">
        <f t="shared" si="914"/>
        <v>0</v>
      </c>
      <c r="X725" s="842"/>
      <c r="Y725" s="842"/>
      <c r="Z725" s="842"/>
      <c r="AA725" s="842"/>
      <c r="AB725" s="842"/>
      <c r="AC725" s="842"/>
      <c r="AD725" s="842"/>
      <c r="AE725" s="123"/>
      <c r="AF725" s="123"/>
      <c r="AG725" s="123"/>
      <c r="AH725" s="123"/>
      <c r="AI725" s="123"/>
      <c r="AJ725" s="123"/>
      <c r="AK725" s="123"/>
      <c r="AL725" s="123"/>
      <c r="AM725" s="123"/>
      <c r="AN725" s="123"/>
      <c r="AO725" s="123"/>
      <c r="AP725" s="123"/>
      <c r="AQ725" s="123"/>
      <c r="AR725" s="123"/>
      <c r="AS725" s="123"/>
      <c r="AT725" s="123"/>
      <c r="AU725" s="123"/>
      <c r="AV725" s="123"/>
      <c r="AW725" s="123"/>
      <c r="AX725" s="123"/>
      <c r="AY725" s="123"/>
      <c r="AZ725" s="123"/>
      <c r="BA725" s="123"/>
      <c r="BB725" s="123"/>
      <c r="BC725" s="123"/>
      <c r="BD725" s="837"/>
      <c r="BE725" s="837"/>
      <c r="BF725" s="837"/>
      <c r="BG725" s="837"/>
      <c r="BH725" s="837"/>
      <c r="BI725" s="838"/>
      <c r="BJ725" s="837"/>
      <c r="BK725" s="837"/>
      <c r="BL725" s="837"/>
      <c r="BM725" s="837"/>
      <c r="BN725" s="837"/>
      <c r="BO725" s="837"/>
      <c r="BP725" s="122"/>
      <c r="BQ725" s="122"/>
      <c r="BR725" s="842"/>
      <c r="BS725" s="842"/>
      <c r="BT725" s="842"/>
      <c r="BU725" s="842"/>
      <c r="BV725" s="842"/>
      <c r="BW725" s="842"/>
      <c r="BX725" s="844" t="e">
        <f>BX724/BX181*1000000</f>
        <v>#DIV/0!</v>
      </c>
      <c r="BY725" s="842"/>
      <c r="BZ725" s="842"/>
      <c r="CA725" s="842"/>
      <c r="CB725" s="842"/>
      <c r="CC725" s="842"/>
      <c r="CD725" s="842"/>
      <c r="CE725" s="842"/>
      <c r="CF725" s="842"/>
      <c r="CG725" s="842"/>
      <c r="CH725" s="842"/>
      <c r="CI725" s="842"/>
      <c r="CJ725" s="842"/>
      <c r="CK725" s="842"/>
      <c r="CL725" s="842"/>
      <c r="CM725" s="842"/>
      <c r="CN725" s="842"/>
      <c r="CO725" s="842"/>
      <c r="CP725" s="842"/>
      <c r="CQ725" s="842"/>
      <c r="CR725" s="842"/>
      <c r="CS725" s="842"/>
      <c r="CT725" s="842"/>
      <c r="CU725" s="842"/>
      <c r="CV725" s="842"/>
      <c r="CW725" s="842"/>
      <c r="CX725" s="842"/>
      <c r="CY725" s="842"/>
      <c r="CZ725" s="842"/>
      <c r="DA725" s="842"/>
      <c r="DB725" s="842"/>
      <c r="DC725" s="842"/>
    </row>
    <row r="726" spans="1:107" hidden="1" outlineLevel="1">
      <c r="A726" s="15"/>
      <c r="B726" s="126" t="str">
        <f>B186</f>
        <v>DC10 phase 1 (Ashburn)</v>
      </c>
      <c r="C726" s="123"/>
      <c r="D726" s="124"/>
      <c r="E726" s="124"/>
      <c r="F726" s="124"/>
      <c r="G726" s="124"/>
      <c r="H726" s="124"/>
      <c r="I726" s="124"/>
      <c r="J726" s="124"/>
      <c r="K726" s="124"/>
      <c r="L726" s="123"/>
      <c r="M726" s="123"/>
      <c r="N726" s="842"/>
      <c r="O726" s="842"/>
      <c r="P726" s="842"/>
      <c r="Q726" s="842"/>
      <c r="R726" s="842"/>
      <c r="S726" s="842"/>
      <c r="T726" s="842"/>
      <c r="U726" s="842"/>
      <c r="V726" s="842"/>
      <c r="W726" s="842"/>
      <c r="X726" s="842"/>
      <c r="Y726" s="842"/>
      <c r="Z726" s="842"/>
      <c r="AA726" s="842"/>
      <c r="AB726" s="842"/>
      <c r="AC726" s="842"/>
      <c r="AD726" s="842"/>
      <c r="AE726" s="123"/>
      <c r="AF726" s="123"/>
      <c r="AG726" s="123"/>
      <c r="AH726" s="123"/>
      <c r="AI726" s="123"/>
      <c r="AJ726" s="123"/>
      <c r="AK726" s="123"/>
      <c r="AL726" s="123"/>
      <c r="AM726" s="123"/>
      <c r="AN726" s="123"/>
      <c r="AO726" s="123"/>
      <c r="AP726" s="123"/>
      <c r="AQ726" s="123"/>
      <c r="AR726" s="123"/>
      <c r="AS726" s="123"/>
      <c r="AT726" s="123"/>
      <c r="AU726" s="123"/>
      <c r="AV726" s="123"/>
      <c r="AW726" s="123"/>
      <c r="AX726" s="123"/>
      <c r="AY726" s="123"/>
      <c r="AZ726" s="123"/>
      <c r="BA726" s="123"/>
      <c r="BB726" s="123"/>
      <c r="BC726" s="123"/>
      <c r="BD726" s="837"/>
      <c r="BE726" s="837"/>
      <c r="BF726" s="837"/>
      <c r="BG726" s="837"/>
      <c r="BH726" s="837"/>
      <c r="BI726" s="838"/>
      <c r="BJ726" s="837"/>
      <c r="BK726" s="837"/>
      <c r="BL726" s="837"/>
      <c r="BM726" s="837"/>
      <c r="BN726" s="837"/>
      <c r="BO726" s="837"/>
      <c r="BP726" s="122"/>
      <c r="BQ726" s="122"/>
      <c r="BR726" s="842"/>
      <c r="BS726" s="842"/>
      <c r="BT726" s="842"/>
      <c r="BU726" s="842"/>
      <c r="BV726" s="842"/>
      <c r="BW726" s="842"/>
      <c r="BX726" s="842"/>
      <c r="BY726" s="842"/>
      <c r="BZ726" s="842"/>
      <c r="CA726" s="842"/>
      <c r="CB726" s="842"/>
      <c r="CC726" s="842"/>
      <c r="CD726" s="842"/>
      <c r="CE726" s="842"/>
      <c r="CF726" s="842"/>
      <c r="CG726" s="842"/>
      <c r="CH726" s="842"/>
      <c r="CI726" s="842"/>
      <c r="CJ726" s="842"/>
      <c r="CK726" s="842"/>
      <c r="CL726" s="842"/>
      <c r="CM726" s="842"/>
      <c r="CN726" s="842"/>
      <c r="CO726" s="842"/>
      <c r="CP726" s="842"/>
      <c r="CQ726" s="842"/>
      <c r="CR726" s="842"/>
      <c r="CS726" s="842"/>
      <c r="CT726" s="842"/>
      <c r="CU726" s="842"/>
      <c r="CV726" s="842"/>
      <c r="CW726" s="842"/>
      <c r="CX726" s="842"/>
      <c r="CY726" s="842"/>
      <c r="CZ726" s="842"/>
      <c r="DA726" s="842"/>
      <c r="DB726" s="842"/>
      <c r="DC726" s="842"/>
    </row>
    <row r="727" spans="1:107" hidden="1" outlineLevel="1">
      <c r="A727" s="15"/>
      <c r="B727" s="129" t="s">
        <v>465</v>
      </c>
      <c r="C727" s="123"/>
      <c r="D727" s="124"/>
      <c r="E727" s="124"/>
      <c r="F727" s="124"/>
      <c r="G727" s="124"/>
      <c r="H727" s="124"/>
      <c r="I727" s="124"/>
      <c r="J727" s="124"/>
      <c r="K727" s="124"/>
      <c r="L727" s="123"/>
      <c r="M727" s="123"/>
      <c r="N727" s="842"/>
      <c r="O727" s="842"/>
      <c r="P727" s="843">
        <f>SUM(BX727:CA727)</f>
        <v>0</v>
      </c>
      <c r="Q727" s="842">
        <f t="shared" ref="Q727:W728" si="915">SUM(CB727:CE727)</f>
        <v>0</v>
      </c>
      <c r="R727" s="842">
        <f t="shared" si="915"/>
        <v>0</v>
      </c>
      <c r="S727" s="842">
        <f t="shared" si="915"/>
        <v>0</v>
      </c>
      <c r="T727" s="842">
        <f t="shared" si="915"/>
        <v>0</v>
      </c>
      <c r="U727" s="842">
        <f t="shared" si="915"/>
        <v>0</v>
      </c>
      <c r="V727" s="842">
        <f t="shared" si="915"/>
        <v>0</v>
      </c>
      <c r="W727" s="842">
        <f t="shared" si="915"/>
        <v>0</v>
      </c>
      <c r="X727" s="842"/>
      <c r="Y727" s="842"/>
      <c r="Z727" s="842"/>
      <c r="AA727" s="842"/>
      <c r="AB727" s="842"/>
      <c r="AC727" s="842"/>
      <c r="AD727" s="842"/>
      <c r="AE727" s="123"/>
      <c r="AF727" s="123"/>
      <c r="AG727" s="123"/>
      <c r="AH727" s="123"/>
      <c r="AI727" s="123"/>
      <c r="AJ727" s="123"/>
      <c r="AK727" s="123"/>
      <c r="AL727" s="123"/>
      <c r="AM727" s="123"/>
      <c r="AN727" s="123"/>
      <c r="AO727" s="123"/>
      <c r="AP727" s="123"/>
      <c r="AQ727" s="123"/>
      <c r="AR727" s="123"/>
      <c r="AS727" s="123"/>
      <c r="AT727" s="123"/>
      <c r="AU727" s="123"/>
      <c r="AV727" s="123"/>
      <c r="AW727" s="123"/>
      <c r="AX727" s="123"/>
      <c r="AY727" s="123"/>
      <c r="AZ727" s="123"/>
      <c r="BA727" s="123"/>
      <c r="BB727" s="123"/>
      <c r="BC727" s="123"/>
      <c r="BD727" s="837"/>
      <c r="BE727" s="837"/>
      <c r="BF727" s="837"/>
      <c r="BG727" s="837"/>
      <c r="BH727" s="837"/>
      <c r="BI727" s="838"/>
      <c r="BJ727" s="837"/>
      <c r="BK727" s="837"/>
      <c r="BL727" s="837"/>
      <c r="BM727" s="837"/>
      <c r="BN727" s="837"/>
      <c r="BO727" s="837"/>
      <c r="BP727" s="122"/>
      <c r="BQ727" s="122"/>
      <c r="BR727" s="842"/>
      <c r="BS727" s="842"/>
      <c r="BT727" s="842"/>
      <c r="BU727" s="842"/>
      <c r="BV727" s="842"/>
      <c r="BW727" s="842"/>
      <c r="BX727" s="843"/>
      <c r="BY727" s="842"/>
      <c r="BZ727" s="842"/>
      <c r="CA727" s="842"/>
      <c r="CB727" s="842"/>
      <c r="CC727" s="842"/>
      <c r="CD727" s="842"/>
      <c r="CE727" s="842"/>
      <c r="CF727" s="842"/>
      <c r="CG727" s="842"/>
      <c r="CH727" s="842"/>
      <c r="CI727" s="842"/>
      <c r="CJ727" s="842"/>
      <c r="CK727" s="842"/>
      <c r="CL727" s="842"/>
      <c r="CM727" s="842"/>
      <c r="CN727" s="842"/>
      <c r="CO727" s="842"/>
      <c r="CP727" s="842"/>
      <c r="CQ727" s="842"/>
      <c r="CR727" s="842"/>
      <c r="CS727" s="842"/>
      <c r="CT727" s="842"/>
      <c r="CU727" s="842"/>
      <c r="CV727" s="842"/>
      <c r="CW727" s="842"/>
      <c r="CX727" s="842"/>
      <c r="CY727" s="842"/>
      <c r="CZ727" s="842"/>
      <c r="DA727" s="842"/>
      <c r="DB727" s="842"/>
      <c r="DC727" s="842"/>
    </row>
    <row r="728" spans="1:107" hidden="1" outlineLevel="1">
      <c r="A728" s="15"/>
      <c r="B728" s="189" t="s">
        <v>210</v>
      </c>
      <c r="C728" s="123"/>
      <c r="D728" s="124"/>
      <c r="E728" s="124"/>
      <c r="F728" s="124"/>
      <c r="G728" s="124"/>
      <c r="H728" s="124"/>
      <c r="I728" s="124"/>
      <c r="J728" s="124"/>
      <c r="K728" s="124"/>
      <c r="L728" s="123"/>
      <c r="M728" s="123"/>
      <c r="N728" s="842"/>
      <c r="O728" s="842"/>
      <c r="P728" s="844">
        <f>SUM(BX728:CA728)</f>
        <v>0</v>
      </c>
      <c r="Q728" s="842">
        <f t="shared" si="915"/>
        <v>0</v>
      </c>
      <c r="R728" s="842">
        <f t="shared" si="915"/>
        <v>0</v>
      </c>
      <c r="S728" s="842">
        <f t="shared" si="915"/>
        <v>0</v>
      </c>
      <c r="T728" s="842">
        <f t="shared" si="915"/>
        <v>0</v>
      </c>
      <c r="U728" s="842">
        <f t="shared" si="915"/>
        <v>0</v>
      </c>
      <c r="V728" s="842">
        <f t="shared" si="915"/>
        <v>0</v>
      </c>
      <c r="W728" s="842">
        <f t="shared" si="915"/>
        <v>0</v>
      </c>
      <c r="X728" s="842"/>
      <c r="Y728" s="842"/>
      <c r="Z728" s="842"/>
      <c r="AA728" s="842"/>
      <c r="AB728" s="842"/>
      <c r="AC728" s="842"/>
      <c r="AD728" s="842"/>
      <c r="AE728" s="123"/>
      <c r="AF728" s="123"/>
      <c r="AG728" s="123"/>
      <c r="AH728" s="123"/>
      <c r="AI728" s="123"/>
      <c r="AJ728" s="123"/>
      <c r="AK728" s="123"/>
      <c r="AL728" s="123"/>
      <c r="AM728" s="123"/>
      <c r="AN728" s="123"/>
      <c r="AO728" s="123"/>
      <c r="AP728" s="123"/>
      <c r="AQ728" s="123"/>
      <c r="AR728" s="123"/>
      <c r="AS728" s="123"/>
      <c r="AT728" s="123"/>
      <c r="AU728" s="123"/>
      <c r="AV728" s="123"/>
      <c r="AW728" s="123"/>
      <c r="AX728" s="123"/>
      <c r="AY728" s="123"/>
      <c r="AZ728" s="123"/>
      <c r="BA728" s="123"/>
      <c r="BB728" s="123"/>
      <c r="BC728" s="123"/>
      <c r="BD728" s="837"/>
      <c r="BE728" s="837"/>
      <c r="BF728" s="837"/>
      <c r="BG728" s="837"/>
      <c r="BH728" s="837"/>
      <c r="BI728" s="838"/>
      <c r="BJ728" s="837"/>
      <c r="BK728" s="837"/>
      <c r="BL728" s="837"/>
      <c r="BM728" s="837"/>
      <c r="BN728" s="837"/>
      <c r="BO728" s="837"/>
      <c r="BP728" s="122"/>
      <c r="BQ728" s="122"/>
      <c r="BR728" s="842"/>
      <c r="BS728" s="842"/>
      <c r="BT728" s="842"/>
      <c r="BU728" s="842"/>
      <c r="BV728" s="842"/>
      <c r="BW728" s="842"/>
      <c r="BX728" s="844"/>
      <c r="BY728" s="842"/>
      <c r="BZ728" s="842"/>
      <c r="CA728" s="842"/>
      <c r="CB728" s="842"/>
      <c r="CC728" s="842"/>
      <c r="CD728" s="842"/>
      <c r="CE728" s="842"/>
      <c r="CF728" s="842"/>
      <c r="CG728" s="842"/>
      <c r="CH728" s="842"/>
      <c r="CI728" s="842"/>
      <c r="CJ728" s="842"/>
      <c r="CK728" s="842"/>
      <c r="CL728" s="842"/>
      <c r="CM728" s="842"/>
      <c r="CN728" s="842"/>
      <c r="CO728" s="842"/>
      <c r="CP728" s="842"/>
      <c r="CQ728" s="842"/>
      <c r="CR728" s="842"/>
      <c r="CS728" s="842"/>
      <c r="CT728" s="842"/>
      <c r="CU728" s="842"/>
      <c r="CV728" s="842"/>
      <c r="CW728" s="842"/>
      <c r="CX728" s="842"/>
      <c r="CY728" s="842"/>
      <c r="CZ728" s="842"/>
      <c r="DA728" s="842"/>
      <c r="DB728" s="842"/>
      <c r="DC728" s="842"/>
    </row>
    <row r="729" spans="1:107" hidden="1" outlineLevel="1">
      <c r="A729" s="15"/>
      <c r="B729" s="126" t="str">
        <f>B224</f>
        <v>Other</v>
      </c>
      <c r="C729" s="123"/>
      <c r="D729" s="124"/>
      <c r="E729" s="124"/>
      <c r="F729" s="124"/>
      <c r="G729" s="124"/>
      <c r="H729" s="124"/>
      <c r="I729" s="124"/>
      <c r="J729" s="124"/>
      <c r="K729" s="124"/>
      <c r="L729" s="123"/>
      <c r="M729" s="123"/>
      <c r="N729" s="842"/>
      <c r="O729" s="842"/>
      <c r="P729" s="842"/>
      <c r="Q729" s="842"/>
      <c r="R729" s="842"/>
      <c r="S729" s="842"/>
      <c r="T729" s="842"/>
      <c r="U729" s="842"/>
      <c r="V729" s="842"/>
      <c r="W729" s="842"/>
      <c r="X729" s="842"/>
      <c r="Y729" s="842"/>
      <c r="Z729" s="842"/>
      <c r="AA729" s="842"/>
      <c r="AB729" s="842"/>
      <c r="AC729" s="842"/>
      <c r="AD729" s="842"/>
      <c r="AE729" s="123"/>
      <c r="AF729" s="123"/>
      <c r="AG729" s="123"/>
      <c r="AH729" s="123"/>
      <c r="AI729" s="123"/>
      <c r="AJ729" s="123"/>
      <c r="AK729" s="123"/>
      <c r="AL729" s="123"/>
      <c r="AM729" s="123"/>
      <c r="AN729" s="123"/>
      <c r="AO729" s="123"/>
      <c r="AP729" s="123"/>
      <c r="AQ729" s="123"/>
      <c r="AR729" s="123"/>
      <c r="AS729" s="123"/>
      <c r="AT729" s="123"/>
      <c r="AU729" s="123"/>
      <c r="AV729" s="123"/>
      <c r="AW729" s="123"/>
      <c r="AX729" s="123"/>
      <c r="AY729" s="123"/>
      <c r="AZ729" s="123"/>
      <c r="BA729" s="123"/>
      <c r="BB729" s="123"/>
      <c r="BC729" s="123"/>
      <c r="BD729" s="837"/>
      <c r="BE729" s="837"/>
      <c r="BF729" s="837"/>
      <c r="BG729" s="837"/>
      <c r="BH729" s="837"/>
      <c r="BI729" s="838"/>
      <c r="BJ729" s="837"/>
      <c r="BK729" s="837"/>
      <c r="BL729" s="837"/>
      <c r="BM729" s="837"/>
      <c r="BN729" s="837"/>
      <c r="BO729" s="837"/>
      <c r="BP729" s="122"/>
      <c r="BQ729" s="122"/>
      <c r="BR729" s="842"/>
      <c r="BS729" s="842"/>
      <c r="BT729" s="842"/>
      <c r="BU729" s="842"/>
      <c r="BV729" s="842"/>
      <c r="BW729" s="842"/>
      <c r="BX729" s="842"/>
      <c r="BY729" s="842"/>
      <c r="BZ729" s="842"/>
      <c r="CA729" s="842"/>
      <c r="CB729" s="842"/>
      <c r="CC729" s="842"/>
      <c r="CD729" s="842"/>
      <c r="CE729" s="842"/>
      <c r="CF729" s="842"/>
      <c r="CG729" s="842"/>
      <c r="CH729" s="842"/>
      <c r="CI729" s="842"/>
      <c r="CJ729" s="842"/>
      <c r="CK729" s="842"/>
      <c r="CL729" s="842"/>
      <c r="CM729" s="842"/>
      <c r="CN729" s="842"/>
      <c r="CO729" s="842"/>
      <c r="CP729" s="842"/>
      <c r="CQ729" s="842"/>
      <c r="CR729" s="842"/>
      <c r="CS729" s="842"/>
      <c r="CT729" s="842"/>
      <c r="CU729" s="842"/>
      <c r="CV729" s="842"/>
      <c r="CW729" s="842"/>
      <c r="CX729" s="842"/>
      <c r="CY729" s="842"/>
      <c r="CZ729" s="842"/>
      <c r="DA729" s="842"/>
      <c r="DB729" s="842"/>
      <c r="DC729" s="842"/>
    </row>
    <row r="730" spans="1:107" hidden="1" outlineLevel="1">
      <c r="A730" s="15"/>
      <c r="B730" s="129" t="s">
        <v>465</v>
      </c>
      <c r="C730" s="123"/>
      <c r="D730" s="124"/>
      <c r="E730" s="124"/>
      <c r="F730" s="124"/>
      <c r="G730" s="124"/>
      <c r="H730" s="124"/>
      <c r="I730" s="124"/>
      <c r="J730" s="124"/>
      <c r="K730" s="124"/>
      <c r="L730" s="123"/>
      <c r="M730" s="123"/>
      <c r="N730" s="842"/>
      <c r="O730" s="842"/>
      <c r="P730" s="843">
        <f>SUM(BX730:CA730)</f>
        <v>0</v>
      </c>
      <c r="Q730" s="842">
        <f t="shared" ref="Q730:W731" si="916">SUM(CB730:CE730)</f>
        <v>0</v>
      </c>
      <c r="R730" s="842">
        <f t="shared" si="916"/>
        <v>0</v>
      </c>
      <c r="S730" s="842">
        <f t="shared" si="916"/>
        <v>0</v>
      </c>
      <c r="T730" s="842">
        <f t="shared" si="916"/>
        <v>0</v>
      </c>
      <c r="U730" s="842">
        <f t="shared" si="916"/>
        <v>0</v>
      </c>
      <c r="V730" s="842">
        <f t="shared" si="916"/>
        <v>0</v>
      </c>
      <c r="W730" s="842">
        <f t="shared" si="916"/>
        <v>0</v>
      </c>
      <c r="X730" s="842"/>
      <c r="Y730" s="842"/>
      <c r="Z730" s="842"/>
      <c r="AA730" s="842"/>
      <c r="AB730" s="842"/>
      <c r="AC730" s="842"/>
      <c r="AD730" s="842"/>
      <c r="AE730" s="123"/>
      <c r="AF730" s="123"/>
      <c r="AG730" s="123"/>
      <c r="AH730" s="123"/>
      <c r="AI730" s="123"/>
      <c r="AJ730" s="123"/>
      <c r="AK730" s="123"/>
      <c r="AL730" s="123"/>
      <c r="AM730" s="123"/>
      <c r="AN730" s="123"/>
      <c r="AO730" s="123"/>
      <c r="AP730" s="123"/>
      <c r="AQ730" s="123"/>
      <c r="AR730" s="123"/>
      <c r="AS730" s="123"/>
      <c r="AT730" s="123"/>
      <c r="AU730" s="123"/>
      <c r="AV730" s="123"/>
      <c r="AW730" s="123"/>
      <c r="AX730" s="123"/>
      <c r="AY730" s="123"/>
      <c r="AZ730" s="123"/>
      <c r="BA730" s="123"/>
      <c r="BB730" s="123"/>
      <c r="BC730" s="123"/>
      <c r="BD730" s="837"/>
      <c r="BE730" s="837"/>
      <c r="BF730" s="837"/>
      <c r="BG730" s="837"/>
      <c r="BH730" s="837"/>
      <c r="BI730" s="838"/>
      <c r="BJ730" s="837"/>
      <c r="BK730" s="837"/>
      <c r="BL730" s="837"/>
      <c r="BM730" s="837"/>
      <c r="BN730" s="837"/>
      <c r="BO730" s="837"/>
      <c r="BP730" s="122"/>
      <c r="BQ730" s="122"/>
      <c r="BR730" s="842"/>
      <c r="BS730" s="842"/>
      <c r="BT730" s="842"/>
      <c r="BU730" s="842"/>
      <c r="BV730" s="842"/>
      <c r="BW730" s="842"/>
      <c r="BX730" s="843"/>
      <c r="BY730" s="842"/>
      <c r="BZ730" s="842"/>
      <c r="CA730" s="842"/>
      <c r="CB730" s="842"/>
      <c r="CC730" s="842"/>
      <c r="CD730" s="842"/>
      <c r="CE730" s="842"/>
      <c r="CF730" s="842"/>
      <c r="CG730" s="842"/>
      <c r="CH730" s="842"/>
      <c r="CI730" s="842"/>
      <c r="CJ730" s="842"/>
      <c r="CK730" s="842"/>
      <c r="CL730" s="842"/>
      <c r="CM730" s="842"/>
      <c r="CN730" s="842"/>
      <c r="CO730" s="842"/>
      <c r="CP730" s="842"/>
      <c r="CQ730" s="842"/>
      <c r="CR730" s="842"/>
      <c r="CS730" s="842"/>
      <c r="CT730" s="842"/>
      <c r="CU730" s="842"/>
      <c r="CV730" s="842"/>
      <c r="CW730" s="842"/>
      <c r="CX730" s="842"/>
      <c r="CY730" s="842"/>
      <c r="CZ730" s="842"/>
      <c r="DA730" s="842"/>
      <c r="DB730" s="842"/>
      <c r="DC730" s="842"/>
    </row>
    <row r="731" spans="1:107" hidden="1" outlineLevel="1">
      <c r="A731" s="15"/>
      <c r="B731" s="189" t="s">
        <v>210</v>
      </c>
      <c r="C731" s="123"/>
      <c r="D731" s="124"/>
      <c r="E731" s="124"/>
      <c r="F731" s="124"/>
      <c r="G731" s="124"/>
      <c r="H731" s="124"/>
      <c r="I731" s="124"/>
      <c r="J731" s="124"/>
      <c r="K731" s="124"/>
      <c r="L731" s="123"/>
      <c r="M731" s="123"/>
      <c r="N731" s="842"/>
      <c r="O731" s="842"/>
      <c r="P731" s="844">
        <f>SUM(BX731:CA731)</f>
        <v>0</v>
      </c>
      <c r="Q731" s="842">
        <f t="shared" si="916"/>
        <v>0</v>
      </c>
      <c r="R731" s="842">
        <f t="shared" si="916"/>
        <v>0</v>
      </c>
      <c r="S731" s="842">
        <f t="shared" si="916"/>
        <v>0</v>
      </c>
      <c r="T731" s="842">
        <f t="shared" si="916"/>
        <v>0</v>
      </c>
      <c r="U731" s="842">
        <f t="shared" si="916"/>
        <v>0</v>
      </c>
      <c r="V731" s="842">
        <f t="shared" si="916"/>
        <v>0</v>
      </c>
      <c r="W731" s="842">
        <f t="shared" si="916"/>
        <v>0</v>
      </c>
      <c r="X731" s="842"/>
      <c r="Y731" s="842"/>
      <c r="Z731" s="842"/>
      <c r="AA731" s="842"/>
      <c r="AB731" s="842"/>
      <c r="AC731" s="842"/>
      <c r="AD731" s="842"/>
      <c r="AE731" s="123"/>
      <c r="AF731" s="123"/>
      <c r="AG731" s="123"/>
      <c r="AH731" s="123"/>
      <c r="AI731" s="123"/>
      <c r="AJ731" s="123"/>
      <c r="AK731" s="123"/>
      <c r="AL731" s="123"/>
      <c r="AM731" s="123"/>
      <c r="AN731" s="123"/>
      <c r="AO731" s="123"/>
      <c r="AP731" s="123"/>
      <c r="AQ731" s="123"/>
      <c r="AR731" s="123"/>
      <c r="AS731" s="123"/>
      <c r="AT731" s="123"/>
      <c r="AU731" s="123"/>
      <c r="AV731" s="123"/>
      <c r="AW731" s="123"/>
      <c r="AX731" s="123"/>
      <c r="AY731" s="123"/>
      <c r="AZ731" s="123"/>
      <c r="BA731" s="123"/>
      <c r="BB731" s="123"/>
      <c r="BC731" s="123"/>
      <c r="BD731" s="837"/>
      <c r="BE731" s="837"/>
      <c r="BF731" s="837"/>
      <c r="BG731" s="837"/>
      <c r="BH731" s="837"/>
      <c r="BI731" s="838"/>
      <c r="BJ731" s="837"/>
      <c r="BK731" s="837"/>
      <c r="BL731" s="837"/>
      <c r="BM731" s="837"/>
      <c r="BN731" s="837"/>
      <c r="BO731" s="837"/>
      <c r="BP731" s="122"/>
      <c r="BQ731" s="122"/>
      <c r="BR731" s="842"/>
      <c r="BS731" s="842"/>
      <c r="BT731" s="842"/>
      <c r="BU731" s="842"/>
      <c r="BV731" s="842"/>
      <c r="BW731" s="842"/>
      <c r="BX731" s="844"/>
      <c r="BY731" s="842"/>
      <c r="BZ731" s="842"/>
      <c r="CA731" s="842"/>
      <c r="CB731" s="842"/>
      <c r="CC731" s="842"/>
      <c r="CD731" s="842"/>
      <c r="CE731" s="842"/>
      <c r="CF731" s="842"/>
      <c r="CG731" s="842"/>
      <c r="CH731" s="842"/>
      <c r="CI731" s="842"/>
      <c r="CJ731" s="842"/>
      <c r="CK731" s="842"/>
      <c r="CL731" s="842"/>
      <c r="CM731" s="842"/>
      <c r="CN731" s="842"/>
      <c r="CO731" s="842"/>
      <c r="CP731" s="842"/>
      <c r="CQ731" s="842"/>
      <c r="CR731" s="842"/>
      <c r="CS731" s="842"/>
      <c r="CT731" s="842"/>
      <c r="CU731" s="842"/>
      <c r="CV731" s="842"/>
      <c r="CW731" s="842"/>
      <c r="CX731" s="842"/>
      <c r="CY731" s="842"/>
      <c r="CZ731" s="842"/>
      <c r="DA731" s="842"/>
      <c r="DB731" s="842"/>
      <c r="DC731" s="842"/>
    </row>
    <row r="732" spans="1:107" ht="12.75" hidden="1" customHeight="1" outlineLevel="1">
      <c r="A732" s="15"/>
      <c r="B732" s="189"/>
      <c r="C732" s="123"/>
      <c r="D732" s="124"/>
      <c r="E732" s="124"/>
      <c r="F732" s="124"/>
      <c r="G732" s="124"/>
      <c r="H732" s="124"/>
      <c r="I732" s="124"/>
      <c r="J732" s="124"/>
      <c r="K732" s="124"/>
      <c r="L732" s="123"/>
      <c r="M732" s="123"/>
      <c r="N732" s="842"/>
      <c r="O732" s="842"/>
      <c r="P732" s="842"/>
      <c r="Q732" s="842"/>
      <c r="R732" s="842"/>
      <c r="S732" s="842"/>
      <c r="T732" s="842"/>
      <c r="U732" s="842"/>
      <c r="V732" s="842"/>
      <c r="W732" s="842"/>
      <c r="X732" s="842"/>
      <c r="Y732" s="842"/>
      <c r="Z732" s="842"/>
      <c r="AA732" s="842"/>
      <c r="AB732" s="842"/>
      <c r="AC732" s="842"/>
      <c r="AD732" s="842"/>
      <c r="AE732" s="123"/>
      <c r="AF732" s="123"/>
      <c r="AG732" s="123"/>
      <c r="AH732" s="123"/>
      <c r="AI732" s="123"/>
      <c r="AJ732" s="123"/>
      <c r="AK732" s="123"/>
      <c r="AL732" s="123"/>
      <c r="AM732" s="123"/>
      <c r="AN732" s="123"/>
      <c r="AO732" s="123"/>
      <c r="AP732" s="123"/>
      <c r="AQ732" s="123"/>
      <c r="AR732" s="123"/>
      <c r="AS732" s="123"/>
      <c r="AT732" s="123"/>
      <c r="AU732" s="123"/>
      <c r="AV732" s="123"/>
      <c r="AW732" s="123"/>
      <c r="AX732" s="123"/>
      <c r="AY732" s="123"/>
      <c r="AZ732" s="123"/>
      <c r="BA732" s="123"/>
      <c r="BB732" s="123"/>
      <c r="BC732" s="123"/>
      <c r="BD732" s="837"/>
      <c r="BE732" s="837"/>
      <c r="BF732" s="837"/>
      <c r="BG732" s="837"/>
      <c r="BH732" s="837"/>
      <c r="BI732" s="838"/>
      <c r="BJ732" s="837"/>
      <c r="BK732" s="837"/>
      <c r="BL732" s="837"/>
      <c r="BM732" s="837"/>
      <c r="BN732" s="837"/>
      <c r="BO732" s="837"/>
      <c r="BP732" s="122"/>
      <c r="BQ732" s="122"/>
      <c r="BR732" s="842"/>
      <c r="BS732" s="842"/>
      <c r="BT732" s="842"/>
      <c r="BU732" s="842"/>
      <c r="BV732" s="842"/>
      <c r="BW732" s="842"/>
      <c r="BX732" s="842"/>
      <c r="BY732" s="842"/>
      <c r="BZ732" s="842"/>
      <c r="CA732" s="842"/>
      <c r="CB732" s="842"/>
      <c r="CC732" s="842"/>
      <c r="CD732" s="842"/>
      <c r="CE732" s="842"/>
      <c r="CF732" s="842"/>
      <c r="CG732" s="842"/>
      <c r="CH732" s="842"/>
      <c r="CI732" s="842"/>
      <c r="CJ732" s="842"/>
      <c r="CK732" s="842"/>
      <c r="CL732" s="842"/>
      <c r="CM732" s="842"/>
      <c r="CN732" s="842"/>
      <c r="CO732" s="842"/>
      <c r="CP732" s="842"/>
      <c r="CQ732" s="842"/>
      <c r="CR732" s="842"/>
      <c r="CS732" s="842"/>
      <c r="CT732" s="842"/>
      <c r="CU732" s="842"/>
      <c r="CV732" s="842"/>
      <c r="CW732" s="842"/>
      <c r="CX732" s="842"/>
      <c r="CY732" s="842"/>
      <c r="CZ732" s="842"/>
      <c r="DA732" s="842"/>
      <c r="DB732" s="842"/>
      <c r="DC732" s="842"/>
    </row>
    <row r="733" spans="1:107" hidden="1" outlineLevel="1">
      <c r="A733" s="15"/>
      <c r="B733" s="190" t="s">
        <v>180</v>
      </c>
      <c r="C733" s="123"/>
      <c r="D733" s="124"/>
      <c r="E733" s="124"/>
      <c r="F733" s="124"/>
      <c r="G733" s="124"/>
      <c r="H733" s="124"/>
      <c r="I733" s="124"/>
      <c r="J733" s="124"/>
      <c r="K733" s="124"/>
      <c r="L733" s="123"/>
      <c r="M733" s="123"/>
      <c r="N733" s="842"/>
      <c r="O733" s="842"/>
      <c r="P733" s="842"/>
      <c r="Q733" s="842"/>
      <c r="R733" s="842"/>
      <c r="S733" s="842"/>
      <c r="T733" s="842"/>
      <c r="U733" s="842"/>
      <c r="V733" s="842"/>
      <c r="W733" s="842"/>
      <c r="X733" s="842"/>
      <c r="Y733" s="842"/>
      <c r="Z733" s="842"/>
      <c r="AA733" s="842"/>
      <c r="AB733" s="842"/>
      <c r="AC733" s="842"/>
      <c r="AD733" s="842"/>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837"/>
      <c r="BE733" s="837"/>
      <c r="BF733" s="837"/>
      <c r="BG733" s="837"/>
      <c r="BH733" s="837"/>
      <c r="BI733" s="838"/>
      <c r="BJ733" s="837"/>
      <c r="BK733" s="837"/>
      <c r="BL733" s="837"/>
      <c r="BM733" s="837"/>
      <c r="BN733" s="837"/>
      <c r="BO733" s="837"/>
      <c r="BP733" s="122"/>
      <c r="BQ733" s="122"/>
      <c r="BR733" s="842"/>
      <c r="BS733" s="842"/>
      <c r="BT733" s="842"/>
      <c r="BU733" s="842"/>
      <c r="BV733" s="842"/>
      <c r="BW733" s="842"/>
      <c r="BX733" s="842"/>
      <c r="BY733" s="842"/>
      <c r="BZ733" s="842"/>
      <c r="CA733" s="842"/>
      <c r="CB733" s="842"/>
      <c r="CC733" s="842"/>
      <c r="CD733" s="842"/>
      <c r="CE733" s="842"/>
      <c r="CF733" s="842"/>
      <c r="CG733" s="842"/>
      <c r="CH733" s="842"/>
      <c r="CI733" s="842"/>
      <c r="CJ733" s="842"/>
      <c r="CK733" s="842"/>
      <c r="CL733" s="842"/>
      <c r="CM733" s="842"/>
      <c r="CN733" s="842"/>
      <c r="CO733" s="842"/>
      <c r="CP733" s="842"/>
      <c r="CQ733" s="842"/>
      <c r="CR733" s="842"/>
      <c r="CS733" s="842"/>
      <c r="CT733" s="842"/>
      <c r="CU733" s="842"/>
      <c r="CV733" s="842"/>
      <c r="CW733" s="842"/>
      <c r="CX733" s="842"/>
      <c r="CY733" s="842"/>
      <c r="CZ733" s="842"/>
      <c r="DA733" s="842"/>
      <c r="DB733" s="842"/>
      <c r="DC733" s="842"/>
    </row>
    <row r="734" spans="1:107" hidden="1" outlineLevel="1">
      <c r="A734" s="15"/>
      <c r="B734" s="126" t="str">
        <f>B581</f>
        <v>DU2 (Dusseldorf)</v>
      </c>
      <c r="C734" s="123"/>
      <c r="D734" s="124"/>
      <c r="E734" s="124"/>
      <c r="F734" s="124"/>
      <c r="G734" s="124"/>
      <c r="H734" s="124"/>
      <c r="I734" s="124"/>
      <c r="J734" s="124"/>
      <c r="K734" s="124"/>
      <c r="L734" s="123"/>
      <c r="M734" s="123"/>
      <c r="N734" s="842"/>
      <c r="O734" s="842"/>
      <c r="P734" s="842"/>
      <c r="Q734" s="842"/>
      <c r="R734" s="842"/>
      <c r="S734" s="842"/>
      <c r="T734" s="842"/>
      <c r="U734" s="842"/>
      <c r="V734" s="842"/>
      <c r="W734" s="842"/>
      <c r="X734" s="842"/>
      <c r="Y734" s="842"/>
      <c r="Z734" s="842"/>
      <c r="AA734" s="842"/>
      <c r="AB734" s="842"/>
      <c r="AC734" s="842"/>
      <c r="AD734" s="842"/>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837"/>
      <c r="BE734" s="837"/>
      <c r="BF734" s="837"/>
      <c r="BG734" s="837"/>
      <c r="BH734" s="837"/>
      <c r="BI734" s="838"/>
      <c r="BJ734" s="837"/>
      <c r="BK734" s="837"/>
      <c r="BL734" s="837"/>
      <c r="BM734" s="837"/>
      <c r="BN734" s="837"/>
      <c r="BO734" s="837"/>
      <c r="BP734" s="122"/>
      <c r="BQ734" s="122"/>
      <c r="BR734" s="842"/>
      <c r="BS734" s="842"/>
      <c r="BT734" s="842"/>
      <c r="BU734" s="842"/>
      <c r="BV734" s="842"/>
      <c r="BW734" s="842"/>
      <c r="BX734" s="842"/>
      <c r="BY734" s="842"/>
      <c r="BZ734" s="842"/>
      <c r="CA734" s="842"/>
      <c r="CB734" s="842"/>
      <c r="CC734" s="842"/>
      <c r="CD734" s="842"/>
      <c r="CE734" s="842"/>
      <c r="CF734" s="842"/>
      <c r="CG734" s="842"/>
      <c r="CH734" s="842"/>
      <c r="CI734" s="842"/>
      <c r="CJ734" s="842"/>
      <c r="CK734" s="842"/>
      <c r="CL734" s="842"/>
      <c r="CM734" s="842"/>
      <c r="CN734" s="842"/>
      <c r="CO734" s="842"/>
      <c r="CP734" s="842"/>
      <c r="CQ734" s="842"/>
      <c r="CR734" s="842"/>
      <c r="CS734" s="842"/>
      <c r="CT734" s="842"/>
      <c r="CU734" s="842"/>
      <c r="CV734" s="842"/>
      <c r="CW734" s="842"/>
      <c r="CX734" s="842"/>
      <c r="CY734" s="842"/>
      <c r="CZ734" s="842"/>
      <c r="DA734" s="842"/>
      <c r="DB734" s="842"/>
      <c r="DC734" s="842"/>
    </row>
    <row r="735" spans="1:107" hidden="1" outlineLevel="1">
      <c r="A735" s="15"/>
      <c r="B735" s="129" t="s">
        <v>465</v>
      </c>
      <c r="C735" s="123"/>
      <c r="D735" s="124"/>
      <c r="E735" s="124"/>
      <c r="F735" s="124"/>
      <c r="G735" s="124"/>
      <c r="H735" s="124"/>
      <c r="I735" s="124"/>
      <c r="J735" s="124"/>
      <c r="K735" s="124"/>
      <c r="L735" s="123"/>
      <c r="M735" s="123"/>
      <c r="N735" s="842"/>
      <c r="O735" s="842"/>
      <c r="P735" s="842"/>
      <c r="Q735" s="842"/>
      <c r="R735" s="842"/>
      <c r="S735" s="842"/>
      <c r="T735" s="842"/>
      <c r="U735" s="842"/>
      <c r="V735" s="842"/>
      <c r="W735" s="842"/>
      <c r="X735" s="842"/>
      <c r="Y735" s="842"/>
      <c r="Z735" s="842"/>
      <c r="AA735" s="842"/>
      <c r="AB735" s="842"/>
      <c r="AC735" s="842"/>
      <c r="AD735" s="842"/>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837"/>
      <c r="BE735" s="837"/>
      <c r="BF735" s="837"/>
      <c r="BG735" s="837"/>
      <c r="BH735" s="837"/>
      <c r="BI735" s="838"/>
      <c r="BJ735" s="837"/>
      <c r="BK735" s="837"/>
      <c r="BL735" s="837"/>
      <c r="BM735" s="837"/>
      <c r="BN735" s="837"/>
      <c r="BO735" s="837"/>
      <c r="BP735" s="122"/>
      <c r="BQ735" s="122"/>
      <c r="BR735" s="842"/>
      <c r="BS735" s="842"/>
      <c r="BT735" s="846" t="s">
        <v>1045</v>
      </c>
      <c r="BU735" s="842"/>
      <c r="BV735" s="842"/>
      <c r="BW735" s="842"/>
      <c r="BX735" s="842"/>
      <c r="BY735" s="842"/>
      <c r="BZ735" s="842"/>
      <c r="CA735" s="842"/>
      <c r="CB735" s="842"/>
      <c r="CC735" s="842"/>
      <c r="CD735" s="842"/>
      <c r="CE735" s="842"/>
      <c r="CF735" s="842"/>
      <c r="CG735" s="842"/>
      <c r="CH735" s="842"/>
      <c r="CI735" s="842"/>
      <c r="CJ735" s="842"/>
      <c r="CK735" s="842"/>
      <c r="CL735" s="842"/>
      <c r="CM735" s="842"/>
      <c r="CN735" s="842"/>
      <c r="CO735" s="842"/>
      <c r="CP735" s="842"/>
      <c r="CQ735" s="842"/>
      <c r="CR735" s="842"/>
      <c r="CS735" s="842"/>
      <c r="CT735" s="842"/>
      <c r="CU735" s="842"/>
      <c r="CV735" s="842"/>
      <c r="CW735" s="842"/>
      <c r="CX735" s="842"/>
      <c r="CY735" s="842"/>
      <c r="CZ735" s="842"/>
      <c r="DA735" s="842"/>
      <c r="DB735" s="842"/>
      <c r="DC735" s="842"/>
    </row>
    <row r="736" spans="1:107" hidden="1" outlineLevel="1">
      <c r="A736" s="15"/>
      <c r="B736" s="189" t="s">
        <v>210</v>
      </c>
      <c r="C736" s="123"/>
      <c r="D736" s="124"/>
      <c r="E736" s="124"/>
      <c r="F736" s="124"/>
      <c r="G736" s="124"/>
      <c r="H736" s="124"/>
      <c r="I736" s="124"/>
      <c r="J736" s="124"/>
      <c r="K736" s="124"/>
      <c r="L736" s="123"/>
      <c r="M736" s="123"/>
      <c r="N736" s="842"/>
      <c r="O736" s="842"/>
      <c r="P736" s="842"/>
      <c r="Q736" s="842"/>
      <c r="R736" s="842"/>
      <c r="S736" s="842"/>
      <c r="T736" s="842"/>
      <c r="U736" s="842"/>
      <c r="V736" s="842"/>
      <c r="W736" s="842"/>
      <c r="X736" s="842"/>
      <c r="Y736" s="842"/>
      <c r="Z736" s="842"/>
      <c r="AA736" s="842"/>
      <c r="AB736" s="842"/>
      <c r="AC736" s="842"/>
      <c r="AD736" s="842"/>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837"/>
      <c r="BE736" s="837"/>
      <c r="BF736" s="837"/>
      <c r="BG736" s="837"/>
      <c r="BH736" s="837"/>
      <c r="BI736" s="838"/>
      <c r="BJ736" s="837"/>
      <c r="BK736" s="837"/>
      <c r="BL736" s="837"/>
      <c r="BM736" s="837"/>
      <c r="BN736" s="837"/>
      <c r="BO736" s="837"/>
      <c r="BP736" s="122"/>
      <c r="BQ736" s="122"/>
      <c r="BR736" s="842"/>
      <c r="BS736" s="842"/>
      <c r="BT736" s="846" t="s">
        <v>1045</v>
      </c>
      <c r="BU736" s="842"/>
      <c r="BV736" s="842"/>
      <c r="BW736" s="842"/>
      <c r="BX736" s="842"/>
      <c r="BY736" s="842"/>
      <c r="BZ736" s="842"/>
      <c r="CA736" s="842"/>
      <c r="CB736" s="842"/>
      <c r="CC736" s="842"/>
      <c r="CD736" s="842"/>
      <c r="CE736" s="842"/>
      <c r="CF736" s="842"/>
      <c r="CG736" s="842"/>
      <c r="CH736" s="842"/>
      <c r="CI736" s="842"/>
      <c r="CJ736" s="842"/>
      <c r="CK736" s="842"/>
      <c r="CL736" s="842"/>
      <c r="CM736" s="842"/>
      <c r="CN736" s="842"/>
      <c r="CO736" s="842"/>
      <c r="CP736" s="842"/>
      <c r="CQ736" s="842"/>
      <c r="CR736" s="842"/>
      <c r="CS736" s="842"/>
      <c r="CT736" s="842"/>
      <c r="CU736" s="842"/>
      <c r="CV736" s="842"/>
      <c r="CW736" s="842"/>
      <c r="CX736" s="842"/>
      <c r="CY736" s="842"/>
      <c r="CZ736" s="842"/>
      <c r="DA736" s="842"/>
      <c r="DB736" s="842"/>
      <c r="DC736" s="842"/>
    </row>
    <row r="737" spans="1:107" hidden="1" outlineLevel="1">
      <c r="A737" s="15"/>
      <c r="B737" s="126" t="str">
        <f>B597</f>
        <v>LD5 Phase I (London)</v>
      </c>
      <c r="C737" s="123"/>
      <c r="D737" s="124"/>
      <c r="E737" s="124"/>
      <c r="F737" s="124"/>
      <c r="G737" s="124"/>
      <c r="H737" s="124"/>
      <c r="I737" s="124"/>
      <c r="J737" s="124"/>
      <c r="K737" s="124"/>
      <c r="L737" s="123"/>
      <c r="M737" s="123"/>
      <c r="N737" s="842"/>
      <c r="O737" s="842"/>
      <c r="P737" s="842"/>
      <c r="Q737" s="842"/>
      <c r="R737" s="842"/>
      <c r="S737" s="842"/>
      <c r="T737" s="842"/>
      <c r="U737" s="842"/>
      <c r="V737" s="842"/>
      <c r="W737" s="842"/>
      <c r="X737" s="842"/>
      <c r="Y737" s="842"/>
      <c r="Z737" s="842"/>
      <c r="AA737" s="842"/>
      <c r="AB737" s="842"/>
      <c r="AC737" s="842"/>
      <c r="AD737" s="842"/>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837"/>
      <c r="BE737" s="837"/>
      <c r="BF737" s="837"/>
      <c r="BG737" s="837"/>
      <c r="BH737" s="837"/>
      <c r="BI737" s="838"/>
      <c r="BJ737" s="837"/>
      <c r="BK737" s="837"/>
      <c r="BL737" s="837"/>
      <c r="BM737" s="837"/>
      <c r="BN737" s="837"/>
      <c r="BO737" s="837"/>
      <c r="BP737" s="122"/>
      <c r="BQ737" s="122"/>
      <c r="BR737" s="842"/>
      <c r="BS737" s="842"/>
      <c r="BT737" s="842"/>
      <c r="BU737" s="842"/>
      <c r="BV737" s="842"/>
      <c r="BW737" s="842"/>
      <c r="BX737" s="842"/>
      <c r="BY737" s="842"/>
      <c r="BZ737" s="842"/>
      <c r="CA737" s="842"/>
      <c r="CB737" s="842"/>
      <c r="CC737" s="842"/>
      <c r="CD737" s="842"/>
      <c r="CE737" s="842"/>
      <c r="CF737" s="842"/>
      <c r="CG737" s="842"/>
      <c r="CH737" s="842"/>
      <c r="CI737" s="842"/>
      <c r="CJ737" s="842"/>
      <c r="CK737" s="842"/>
      <c r="CL737" s="842"/>
      <c r="CM737" s="842"/>
      <c r="CN737" s="842"/>
      <c r="CO737" s="842"/>
      <c r="CP737" s="842"/>
      <c r="CQ737" s="842"/>
      <c r="CR737" s="842"/>
      <c r="CS737" s="842"/>
      <c r="CT737" s="842"/>
      <c r="CU737" s="842"/>
      <c r="CV737" s="842"/>
      <c r="CW737" s="842"/>
      <c r="CX737" s="842"/>
      <c r="CY737" s="842"/>
      <c r="CZ737" s="842"/>
      <c r="DA737" s="842"/>
      <c r="DB737" s="842"/>
      <c r="DC737" s="842"/>
    </row>
    <row r="738" spans="1:107" hidden="1" outlineLevel="1">
      <c r="A738" s="15"/>
      <c r="B738" s="129" t="s">
        <v>465</v>
      </c>
      <c r="C738" s="123"/>
      <c r="D738" s="124"/>
      <c r="E738" s="124"/>
      <c r="F738" s="124"/>
      <c r="G738" s="124"/>
      <c r="H738" s="124"/>
      <c r="I738" s="124"/>
      <c r="J738" s="124"/>
      <c r="K738" s="124"/>
      <c r="L738" s="123"/>
      <c r="M738" s="123"/>
      <c r="N738" s="842"/>
      <c r="O738" s="843">
        <f>SUM(BT738:BW738)</f>
        <v>85</v>
      </c>
      <c r="P738" s="842"/>
      <c r="Q738" s="842"/>
      <c r="R738" s="842"/>
      <c r="S738" s="842"/>
      <c r="T738" s="842"/>
      <c r="U738" s="842"/>
      <c r="V738" s="842"/>
      <c r="W738" s="842"/>
      <c r="X738" s="842"/>
      <c r="Y738" s="842"/>
      <c r="Z738" s="842"/>
      <c r="AA738" s="842"/>
      <c r="AB738" s="842"/>
      <c r="AC738" s="842"/>
      <c r="AD738" s="842"/>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837"/>
      <c r="BE738" s="837"/>
      <c r="BF738" s="837"/>
      <c r="BG738" s="837"/>
      <c r="BH738" s="837"/>
      <c r="BI738" s="838"/>
      <c r="BJ738" s="837"/>
      <c r="BK738" s="837"/>
      <c r="BL738" s="837"/>
      <c r="BM738" s="837"/>
      <c r="BN738" s="837"/>
      <c r="BO738" s="837"/>
      <c r="BP738" s="122"/>
      <c r="BQ738" s="122"/>
      <c r="BR738" s="842"/>
      <c r="BS738" s="842"/>
      <c r="BT738" s="846">
        <v>85</v>
      </c>
      <c r="BU738" s="842"/>
      <c r="BV738" s="842"/>
      <c r="BW738" s="842"/>
      <c r="BX738" s="842"/>
      <c r="BY738" s="842"/>
      <c r="BZ738" s="842"/>
      <c r="CA738" s="842"/>
      <c r="CB738" s="842"/>
      <c r="CC738" s="842"/>
      <c r="CD738" s="842"/>
      <c r="CE738" s="842"/>
      <c r="CF738" s="842"/>
      <c r="CG738" s="842"/>
      <c r="CH738" s="842"/>
      <c r="CI738" s="842"/>
      <c r="CJ738" s="842"/>
      <c r="CK738" s="842"/>
      <c r="CL738" s="842"/>
      <c r="CM738" s="842"/>
      <c r="CN738" s="842"/>
      <c r="CO738" s="842"/>
      <c r="CP738" s="842"/>
      <c r="CQ738" s="842"/>
      <c r="CR738" s="842"/>
      <c r="CS738" s="842"/>
      <c r="CT738" s="842"/>
      <c r="CU738" s="842"/>
      <c r="CV738" s="842"/>
      <c r="CW738" s="842"/>
      <c r="CX738" s="842"/>
      <c r="CY738" s="842"/>
      <c r="CZ738" s="842"/>
      <c r="DA738" s="842"/>
      <c r="DB738" s="842"/>
      <c r="DC738" s="842"/>
    </row>
    <row r="739" spans="1:107" hidden="1" outlineLevel="1">
      <c r="A739" s="15"/>
      <c r="B739" s="189" t="s">
        <v>210</v>
      </c>
      <c r="C739" s="123"/>
      <c r="D739" s="124"/>
      <c r="E739" s="124"/>
      <c r="F739" s="124"/>
      <c r="G739" s="124"/>
      <c r="H739" s="124"/>
      <c r="I739" s="124"/>
      <c r="J739" s="124"/>
      <c r="K739" s="124"/>
      <c r="L739" s="123"/>
      <c r="M739" s="123"/>
      <c r="N739" s="842"/>
      <c r="O739" s="844">
        <f>AVERAGE(BT739:BW739)</f>
        <v>60714.28571428571</v>
      </c>
      <c r="P739" s="842"/>
      <c r="Q739" s="842"/>
      <c r="R739" s="842"/>
      <c r="S739" s="842"/>
      <c r="T739" s="842"/>
      <c r="U739" s="842"/>
      <c r="V739" s="842"/>
      <c r="W739" s="842"/>
      <c r="X739" s="842"/>
      <c r="Y739" s="842"/>
      <c r="Z739" s="842"/>
      <c r="AA739" s="842"/>
      <c r="AB739" s="842"/>
      <c r="AC739" s="842"/>
      <c r="AD739" s="842"/>
      <c r="AE739" s="123"/>
      <c r="AF739" s="123"/>
      <c r="AG739" s="123"/>
      <c r="AH739" s="123"/>
      <c r="AI739" s="123"/>
      <c r="AJ739" s="123"/>
      <c r="AK739" s="123"/>
      <c r="AL739" s="123"/>
      <c r="AM739" s="123"/>
      <c r="AN739" s="123"/>
      <c r="AO739" s="123"/>
      <c r="AP739" s="123"/>
      <c r="AQ739" s="123"/>
      <c r="AR739" s="123"/>
      <c r="AS739" s="123"/>
      <c r="AT739" s="123"/>
      <c r="AU739" s="123"/>
      <c r="AV739" s="123"/>
      <c r="AW739" s="123"/>
      <c r="AX739" s="123"/>
      <c r="AY739" s="123"/>
      <c r="AZ739" s="123"/>
      <c r="BA739" s="123"/>
      <c r="BB739" s="123"/>
      <c r="BC739" s="123"/>
      <c r="BD739" s="837"/>
      <c r="BE739" s="837"/>
      <c r="BF739" s="837"/>
      <c r="BG739" s="837"/>
      <c r="BH739" s="837"/>
      <c r="BI739" s="838"/>
      <c r="BJ739" s="837"/>
      <c r="BK739" s="837"/>
      <c r="BL739" s="837"/>
      <c r="BM739" s="837"/>
      <c r="BN739" s="837"/>
      <c r="BO739" s="837"/>
      <c r="BP739" s="122"/>
      <c r="BQ739" s="122"/>
      <c r="BR739" s="842"/>
      <c r="BS739" s="842"/>
      <c r="BT739" s="844">
        <f>BT738/BT597*1000000</f>
        <v>60714.28571428571</v>
      </c>
      <c r="BU739" s="842"/>
      <c r="BV739" s="842"/>
      <c r="BW739" s="842"/>
      <c r="BX739" s="842"/>
      <c r="BY739" s="842"/>
      <c r="BZ739" s="842"/>
      <c r="CA739" s="842"/>
      <c r="CB739" s="842"/>
      <c r="CC739" s="842"/>
      <c r="CD739" s="842"/>
      <c r="CE739" s="842"/>
      <c r="CF739" s="842"/>
      <c r="CG739" s="842"/>
      <c r="CH739" s="842"/>
      <c r="CI739" s="842"/>
      <c r="CJ739" s="842"/>
      <c r="CK739" s="842"/>
      <c r="CL739" s="842"/>
      <c r="CM739" s="842"/>
      <c r="CN739" s="842"/>
      <c r="CO739" s="842"/>
      <c r="CP739" s="842"/>
      <c r="CQ739" s="842"/>
      <c r="CR739" s="842"/>
      <c r="CS739" s="842"/>
      <c r="CT739" s="842"/>
      <c r="CU739" s="842"/>
      <c r="CV739" s="842"/>
      <c r="CW739" s="842"/>
      <c r="CX739" s="842"/>
      <c r="CY739" s="842"/>
      <c r="CZ739" s="842"/>
      <c r="DA739" s="842"/>
      <c r="DB739" s="842"/>
      <c r="DC739" s="842"/>
    </row>
    <row r="740" spans="1:107" hidden="1" outlineLevel="1">
      <c r="A740" s="15"/>
      <c r="B740" s="126" t="str">
        <f>B585</f>
        <v>FR2 Phase 3 (Frankfurt)</v>
      </c>
      <c r="C740" s="123"/>
      <c r="D740" s="124"/>
      <c r="E740" s="124"/>
      <c r="F740" s="124"/>
      <c r="G740" s="124"/>
      <c r="H740" s="124"/>
      <c r="I740" s="124"/>
      <c r="J740" s="124"/>
      <c r="K740" s="124"/>
      <c r="L740" s="123"/>
      <c r="M740" s="123"/>
      <c r="N740" s="842"/>
      <c r="O740" s="842"/>
      <c r="P740" s="842"/>
      <c r="Q740" s="842"/>
      <c r="R740" s="842"/>
      <c r="S740" s="842"/>
      <c r="T740" s="842"/>
      <c r="U740" s="842"/>
      <c r="V740" s="842"/>
      <c r="W740" s="842"/>
      <c r="X740" s="842"/>
      <c r="Y740" s="842"/>
      <c r="Z740" s="842"/>
      <c r="AA740" s="842"/>
      <c r="AB740" s="842"/>
      <c r="AC740" s="842"/>
      <c r="AD740" s="842"/>
      <c r="AE740" s="123"/>
      <c r="AF740" s="123"/>
      <c r="AG740" s="123"/>
      <c r="AH740" s="123"/>
      <c r="AI740" s="123"/>
      <c r="AJ740" s="123"/>
      <c r="AK740" s="123"/>
      <c r="AL740" s="123"/>
      <c r="AM740" s="123"/>
      <c r="AN740" s="123"/>
      <c r="AO740" s="123"/>
      <c r="AP740" s="123"/>
      <c r="AQ740" s="123"/>
      <c r="AR740" s="123"/>
      <c r="AS740" s="123"/>
      <c r="AT740" s="123"/>
      <c r="AU740" s="123"/>
      <c r="AV740" s="123"/>
      <c r="AW740" s="123"/>
      <c r="AX740" s="123"/>
      <c r="AY740" s="123"/>
      <c r="AZ740" s="123"/>
      <c r="BA740" s="123"/>
      <c r="BB740" s="123"/>
      <c r="BC740" s="123"/>
      <c r="BD740" s="837"/>
      <c r="BE740" s="837"/>
      <c r="BF740" s="837"/>
      <c r="BG740" s="837"/>
      <c r="BH740" s="837"/>
      <c r="BI740" s="838"/>
      <c r="BJ740" s="837"/>
      <c r="BK740" s="837"/>
      <c r="BL740" s="837"/>
      <c r="BM740" s="837"/>
      <c r="BN740" s="837"/>
      <c r="BO740" s="837"/>
      <c r="BP740" s="122"/>
      <c r="BQ740" s="122"/>
      <c r="BR740" s="842"/>
      <c r="BS740" s="842"/>
      <c r="BT740" s="842"/>
      <c r="BU740" s="842"/>
      <c r="BV740" s="842"/>
      <c r="BW740" s="842"/>
      <c r="BX740" s="842"/>
      <c r="BY740" s="842"/>
      <c r="BZ740" s="842"/>
      <c r="CA740" s="842"/>
      <c r="CB740" s="842"/>
      <c r="CC740" s="842"/>
      <c r="CD740" s="842"/>
      <c r="CE740" s="842"/>
      <c r="CF740" s="842"/>
      <c r="CG740" s="842"/>
      <c r="CH740" s="842"/>
      <c r="CI740" s="842"/>
      <c r="CJ740" s="842"/>
      <c r="CK740" s="842"/>
      <c r="CL740" s="842"/>
      <c r="CM740" s="842"/>
      <c r="CN740" s="842"/>
      <c r="CO740" s="842"/>
      <c r="CP740" s="842"/>
      <c r="CQ740" s="842"/>
      <c r="CR740" s="842"/>
      <c r="CS740" s="842"/>
      <c r="CT740" s="842"/>
      <c r="CU740" s="842"/>
      <c r="CV740" s="842"/>
      <c r="CW740" s="842"/>
      <c r="CX740" s="842"/>
      <c r="CY740" s="842"/>
      <c r="CZ740" s="842"/>
      <c r="DA740" s="842"/>
      <c r="DB740" s="842"/>
      <c r="DC740" s="842"/>
    </row>
    <row r="741" spans="1:107" hidden="1" outlineLevel="1">
      <c r="A741" s="15"/>
      <c r="B741" s="129" t="s">
        <v>465</v>
      </c>
      <c r="C741" s="123"/>
      <c r="D741" s="124"/>
      <c r="E741" s="124"/>
      <c r="F741" s="124"/>
      <c r="G741" s="124"/>
      <c r="H741" s="124"/>
      <c r="I741" s="124"/>
      <c r="J741" s="124"/>
      <c r="K741" s="124"/>
      <c r="L741" s="123"/>
      <c r="M741" s="123"/>
      <c r="N741" s="842"/>
      <c r="O741" s="843">
        <f>SUM(BT741:BW741)</f>
        <v>18</v>
      </c>
      <c r="P741" s="842"/>
      <c r="Q741" s="842"/>
      <c r="R741" s="842"/>
      <c r="S741" s="842"/>
      <c r="T741" s="842"/>
      <c r="U741" s="842"/>
      <c r="V741" s="842"/>
      <c r="W741" s="842"/>
      <c r="X741" s="842"/>
      <c r="Y741" s="842"/>
      <c r="Z741" s="842"/>
      <c r="AA741" s="842"/>
      <c r="AB741" s="842"/>
      <c r="AC741" s="842"/>
      <c r="AD741" s="842"/>
      <c r="AE741" s="123"/>
      <c r="AF741" s="123"/>
      <c r="AG741" s="123"/>
      <c r="AH741" s="123"/>
      <c r="AI741" s="123"/>
      <c r="AJ741" s="123"/>
      <c r="AK741" s="123"/>
      <c r="AL741" s="123"/>
      <c r="AM741" s="123"/>
      <c r="AN741" s="123"/>
      <c r="AO741" s="123"/>
      <c r="AP741" s="123"/>
      <c r="AQ741" s="123"/>
      <c r="AR741" s="123"/>
      <c r="AS741" s="123"/>
      <c r="AT741" s="123"/>
      <c r="AU741" s="123"/>
      <c r="AV741" s="123"/>
      <c r="AW741" s="123"/>
      <c r="AX741" s="123"/>
      <c r="AY741" s="123"/>
      <c r="AZ741" s="123"/>
      <c r="BA741" s="123"/>
      <c r="BB741" s="123"/>
      <c r="BC741" s="123"/>
      <c r="BD741" s="837"/>
      <c r="BE741" s="837"/>
      <c r="BF741" s="837"/>
      <c r="BG741" s="837"/>
      <c r="BH741" s="837"/>
      <c r="BI741" s="838"/>
      <c r="BJ741" s="837"/>
      <c r="BK741" s="837"/>
      <c r="BL741" s="837"/>
      <c r="BM741" s="837"/>
      <c r="BN741" s="837"/>
      <c r="BO741" s="837"/>
      <c r="BP741" s="122"/>
      <c r="BQ741" s="122"/>
      <c r="BR741" s="842"/>
      <c r="BS741" s="842"/>
      <c r="BT741" s="842"/>
      <c r="BU741" s="846">
        <v>18</v>
      </c>
      <c r="BV741" s="842"/>
      <c r="BW741" s="842"/>
      <c r="BX741" s="842"/>
      <c r="BY741" s="842"/>
      <c r="BZ741" s="842"/>
      <c r="CA741" s="842"/>
      <c r="CB741" s="842"/>
      <c r="CC741" s="842"/>
      <c r="CD741" s="842"/>
      <c r="CE741" s="842"/>
      <c r="CF741" s="842"/>
      <c r="CG741" s="842"/>
      <c r="CH741" s="842"/>
      <c r="CI741" s="842"/>
      <c r="CJ741" s="842"/>
      <c r="CK741" s="842"/>
      <c r="CL741" s="842"/>
      <c r="CM741" s="842"/>
      <c r="CN741" s="842"/>
      <c r="CO741" s="842"/>
      <c r="CP741" s="842"/>
      <c r="CQ741" s="842"/>
      <c r="CR741" s="842"/>
      <c r="CS741" s="842"/>
      <c r="CT741" s="842"/>
      <c r="CU741" s="842"/>
      <c r="CV741" s="842"/>
      <c r="CW741" s="842"/>
      <c r="CX741" s="842"/>
      <c r="CY741" s="842"/>
      <c r="CZ741" s="842"/>
      <c r="DA741" s="842"/>
      <c r="DB741" s="842"/>
      <c r="DC741" s="842"/>
    </row>
    <row r="742" spans="1:107" hidden="1" outlineLevel="1">
      <c r="A742" s="15"/>
      <c r="B742" s="189" t="s">
        <v>210</v>
      </c>
      <c r="C742" s="123"/>
      <c r="D742" s="124"/>
      <c r="E742" s="124"/>
      <c r="F742" s="124"/>
      <c r="G742" s="124"/>
      <c r="H742" s="124"/>
      <c r="I742" s="124"/>
      <c r="J742" s="124"/>
      <c r="K742" s="124"/>
      <c r="L742" s="123"/>
      <c r="M742" s="123"/>
      <c r="N742" s="842"/>
      <c r="O742" s="844">
        <f>AVERAGE(BT742:BW742)</f>
        <v>27272.727272727272</v>
      </c>
      <c r="P742" s="842"/>
      <c r="Q742" s="842"/>
      <c r="R742" s="842"/>
      <c r="S742" s="842"/>
      <c r="T742" s="842"/>
      <c r="U742" s="842"/>
      <c r="V742" s="842"/>
      <c r="W742" s="842"/>
      <c r="X742" s="842"/>
      <c r="Y742" s="842"/>
      <c r="Z742" s="842"/>
      <c r="AA742" s="842"/>
      <c r="AB742" s="842"/>
      <c r="AC742" s="842"/>
      <c r="AD742" s="842"/>
      <c r="AE742" s="123"/>
      <c r="AF742" s="123"/>
      <c r="AG742" s="123"/>
      <c r="AH742" s="123"/>
      <c r="AI742" s="123"/>
      <c r="AJ742" s="123"/>
      <c r="AK742" s="123"/>
      <c r="AL742" s="123"/>
      <c r="AM742" s="123"/>
      <c r="AN742" s="123"/>
      <c r="AO742" s="123"/>
      <c r="AP742" s="123"/>
      <c r="AQ742" s="123"/>
      <c r="AR742" s="123"/>
      <c r="AS742" s="123"/>
      <c r="AT742" s="123"/>
      <c r="AU742" s="123"/>
      <c r="AV742" s="123"/>
      <c r="AW742" s="123"/>
      <c r="AX742" s="123"/>
      <c r="AY742" s="123"/>
      <c r="AZ742" s="123"/>
      <c r="BA742" s="123"/>
      <c r="BB742" s="123"/>
      <c r="BC742" s="123"/>
      <c r="BD742" s="837"/>
      <c r="BE742" s="837"/>
      <c r="BF742" s="837"/>
      <c r="BG742" s="837"/>
      <c r="BH742" s="837"/>
      <c r="BI742" s="838"/>
      <c r="BJ742" s="837"/>
      <c r="BK742" s="837"/>
      <c r="BL742" s="837"/>
      <c r="BM742" s="837"/>
      <c r="BN742" s="837"/>
      <c r="BO742" s="837"/>
      <c r="BP742" s="122"/>
      <c r="BQ742" s="122"/>
      <c r="BR742" s="842"/>
      <c r="BS742" s="842"/>
      <c r="BT742" s="842"/>
      <c r="BU742" s="845">
        <f>BU741/(SUM(BU585:BV585))*1000000</f>
        <v>27272.727272727272</v>
      </c>
      <c r="BV742" s="842"/>
      <c r="BW742" s="842"/>
      <c r="BX742" s="842"/>
      <c r="BY742" s="842"/>
      <c r="BZ742" s="842"/>
      <c r="CA742" s="842"/>
      <c r="CB742" s="842"/>
      <c r="CC742" s="842"/>
      <c r="CD742" s="842"/>
      <c r="CE742" s="842"/>
      <c r="CF742" s="842"/>
      <c r="CG742" s="842"/>
      <c r="CH742" s="842"/>
      <c r="CI742" s="842"/>
      <c r="CJ742" s="842"/>
      <c r="CK742" s="842"/>
      <c r="CL742" s="842"/>
      <c r="CM742" s="842"/>
      <c r="CN742" s="842"/>
      <c r="CO742" s="842"/>
      <c r="CP742" s="842"/>
      <c r="CQ742" s="842"/>
      <c r="CR742" s="842"/>
      <c r="CS742" s="842"/>
      <c r="CT742" s="842"/>
      <c r="CU742" s="842"/>
      <c r="CV742" s="842"/>
      <c r="CW742" s="842"/>
      <c r="CX742" s="842"/>
      <c r="CY742" s="842"/>
      <c r="CZ742" s="842"/>
      <c r="DA742" s="842"/>
      <c r="DB742" s="842"/>
      <c r="DC742" s="842"/>
    </row>
    <row r="743" spans="1:107" hidden="1" outlineLevel="1">
      <c r="A743" s="15"/>
      <c r="B743" s="126" t="str">
        <f>B614</f>
        <v>ZH4 Phase I (Zurich)</v>
      </c>
      <c r="C743" s="123"/>
      <c r="D743" s="124"/>
      <c r="E743" s="124"/>
      <c r="F743" s="124"/>
      <c r="G743" s="124"/>
      <c r="H743" s="124"/>
      <c r="I743" s="124"/>
      <c r="J743" s="124"/>
      <c r="K743" s="124"/>
      <c r="L743" s="123"/>
      <c r="M743" s="123"/>
      <c r="N743" s="842"/>
      <c r="O743" s="842"/>
      <c r="P743" s="842"/>
      <c r="Q743" s="842"/>
      <c r="R743" s="842"/>
      <c r="S743" s="842"/>
      <c r="T743" s="842"/>
      <c r="U743" s="842"/>
      <c r="V743" s="842"/>
      <c r="W743" s="842"/>
      <c r="X743" s="842"/>
      <c r="Y743" s="842"/>
      <c r="Z743" s="842"/>
      <c r="AA743" s="842"/>
      <c r="AB743" s="842"/>
      <c r="AC743" s="842"/>
      <c r="AD743" s="842"/>
      <c r="AE743" s="123"/>
      <c r="AF743" s="123"/>
      <c r="AG743" s="123"/>
      <c r="AH743" s="123"/>
      <c r="AI743" s="123"/>
      <c r="AJ743" s="123"/>
      <c r="AK743" s="123"/>
      <c r="AL743" s="123"/>
      <c r="AM743" s="123"/>
      <c r="AN743" s="123"/>
      <c r="AO743" s="123"/>
      <c r="AP743" s="123"/>
      <c r="AQ743" s="123"/>
      <c r="AR743" s="123"/>
      <c r="AS743" s="123"/>
      <c r="AT743" s="123"/>
      <c r="AU743" s="123"/>
      <c r="AV743" s="123"/>
      <c r="AW743" s="123"/>
      <c r="AX743" s="123"/>
      <c r="AY743" s="123"/>
      <c r="AZ743" s="123"/>
      <c r="BA743" s="123"/>
      <c r="BB743" s="123"/>
      <c r="BC743" s="123"/>
      <c r="BD743" s="837"/>
      <c r="BE743" s="837"/>
      <c r="BF743" s="837"/>
      <c r="BG743" s="837"/>
      <c r="BH743" s="837"/>
      <c r="BI743" s="838"/>
      <c r="BJ743" s="837"/>
      <c r="BK743" s="837"/>
      <c r="BL743" s="837"/>
      <c r="BM743" s="837"/>
      <c r="BN743" s="837"/>
      <c r="BO743" s="837"/>
      <c r="BP743" s="122"/>
      <c r="BQ743" s="122"/>
      <c r="BR743" s="842"/>
      <c r="BS743" s="842"/>
      <c r="BT743" s="842"/>
      <c r="BU743" s="842"/>
      <c r="BV743" s="842"/>
      <c r="BW743" s="842"/>
      <c r="BX743" s="842"/>
      <c r="BY743" s="842"/>
      <c r="BZ743" s="842"/>
      <c r="CA743" s="842"/>
      <c r="CB743" s="842"/>
      <c r="CC743" s="842"/>
      <c r="CD743" s="842"/>
      <c r="CE743" s="842"/>
      <c r="CF743" s="842"/>
      <c r="CG743" s="842"/>
      <c r="CH743" s="842"/>
      <c r="CI743" s="842"/>
      <c r="CJ743" s="842"/>
      <c r="CK743" s="842"/>
      <c r="CL743" s="842"/>
      <c r="CM743" s="842"/>
      <c r="CN743" s="842"/>
      <c r="CO743" s="842"/>
      <c r="CP743" s="842"/>
      <c r="CQ743" s="842"/>
      <c r="CR743" s="842"/>
      <c r="CS743" s="842"/>
      <c r="CT743" s="842"/>
      <c r="CU743" s="842"/>
      <c r="CV743" s="842"/>
      <c r="CW743" s="842"/>
      <c r="CX743" s="842"/>
      <c r="CY743" s="842"/>
      <c r="CZ743" s="842"/>
      <c r="DA743" s="842"/>
      <c r="DB743" s="842"/>
      <c r="DC743" s="842"/>
    </row>
    <row r="744" spans="1:107" hidden="1" outlineLevel="1">
      <c r="A744" s="15"/>
      <c r="B744" s="129" t="s">
        <v>465</v>
      </c>
      <c r="C744" s="123"/>
      <c r="D744" s="124"/>
      <c r="E744" s="124"/>
      <c r="F744" s="124"/>
      <c r="G744" s="124"/>
      <c r="H744" s="124"/>
      <c r="I744" s="124"/>
      <c r="J744" s="124"/>
      <c r="K744" s="124"/>
      <c r="L744" s="123"/>
      <c r="M744" s="123"/>
      <c r="N744" s="842"/>
      <c r="O744" s="843">
        <f>SUM(BT744:BW744)</f>
        <v>13.5</v>
      </c>
      <c r="P744" s="842"/>
      <c r="Q744" s="842"/>
      <c r="R744" s="842"/>
      <c r="S744" s="842"/>
      <c r="T744" s="842"/>
      <c r="U744" s="842"/>
      <c r="V744" s="842"/>
      <c r="W744" s="842"/>
      <c r="X744" s="842"/>
      <c r="Y744" s="842"/>
      <c r="Z744" s="842"/>
      <c r="AA744" s="842"/>
      <c r="AB744" s="842"/>
      <c r="AC744" s="842"/>
      <c r="AD744" s="842"/>
      <c r="AE744" s="123"/>
      <c r="AF744" s="123"/>
      <c r="AG744" s="123"/>
      <c r="AH744" s="123"/>
      <c r="AI744" s="123"/>
      <c r="AJ744" s="123"/>
      <c r="AK744" s="123"/>
      <c r="AL744" s="123"/>
      <c r="AM744" s="123"/>
      <c r="AN744" s="123"/>
      <c r="AO744" s="123"/>
      <c r="AP744" s="123"/>
      <c r="AQ744" s="123"/>
      <c r="AR744" s="123"/>
      <c r="AS744" s="123"/>
      <c r="AT744" s="123"/>
      <c r="AU744" s="123"/>
      <c r="AV744" s="123"/>
      <c r="AW744" s="123"/>
      <c r="AX744" s="123"/>
      <c r="AY744" s="123"/>
      <c r="AZ744" s="123"/>
      <c r="BA744" s="123"/>
      <c r="BB744" s="123"/>
      <c r="BC744" s="123"/>
      <c r="BD744" s="837"/>
      <c r="BE744" s="837"/>
      <c r="BF744" s="837"/>
      <c r="BG744" s="837"/>
      <c r="BH744" s="837"/>
      <c r="BI744" s="838"/>
      <c r="BJ744" s="837"/>
      <c r="BK744" s="837"/>
      <c r="BL744" s="837"/>
      <c r="BM744" s="837"/>
      <c r="BN744" s="837"/>
      <c r="BO744" s="837"/>
      <c r="BP744" s="122"/>
      <c r="BQ744" s="122"/>
      <c r="BR744" s="842"/>
      <c r="BS744" s="842"/>
      <c r="BT744" s="842"/>
      <c r="BU744" s="846">
        <v>13.5</v>
      </c>
      <c r="BV744" s="842"/>
      <c r="BW744" s="842"/>
      <c r="BX744" s="842"/>
      <c r="BY744" s="842"/>
      <c r="BZ744" s="842"/>
      <c r="CA744" s="842"/>
      <c r="CB744" s="842"/>
      <c r="CC744" s="842"/>
      <c r="CD744" s="842"/>
      <c r="CE744" s="842"/>
      <c r="CF744" s="842"/>
      <c r="CG744" s="842"/>
      <c r="CH744" s="842"/>
      <c r="CI744" s="842"/>
      <c r="CJ744" s="842"/>
      <c r="CK744" s="842"/>
      <c r="CL744" s="842"/>
      <c r="CM744" s="842"/>
      <c r="CN744" s="842"/>
      <c r="CO744" s="842"/>
      <c r="CP744" s="842"/>
      <c r="CQ744" s="842"/>
      <c r="CR744" s="842"/>
      <c r="CS744" s="842"/>
      <c r="CT744" s="842"/>
      <c r="CU744" s="842"/>
      <c r="CV744" s="842"/>
      <c r="CW744" s="842"/>
      <c r="CX744" s="842"/>
      <c r="CY744" s="842"/>
      <c r="CZ744" s="842"/>
      <c r="DA744" s="842"/>
      <c r="DB744" s="842"/>
      <c r="DC744" s="842"/>
    </row>
    <row r="745" spans="1:107" hidden="1" outlineLevel="1">
      <c r="A745" s="15"/>
      <c r="B745" s="189" t="s">
        <v>210</v>
      </c>
      <c r="C745" s="123"/>
      <c r="D745" s="124"/>
      <c r="E745" s="124"/>
      <c r="F745" s="124"/>
      <c r="G745" s="124"/>
      <c r="H745" s="124"/>
      <c r="I745" s="124"/>
      <c r="J745" s="124"/>
      <c r="K745" s="124"/>
      <c r="L745" s="123"/>
      <c r="M745" s="123"/>
      <c r="N745" s="842"/>
      <c r="O745" s="844">
        <f>AVERAGE(BT745:BW745)</f>
        <v>27000</v>
      </c>
      <c r="P745" s="842"/>
      <c r="Q745" s="842"/>
      <c r="R745" s="842"/>
      <c r="S745" s="842"/>
      <c r="T745" s="842"/>
      <c r="U745" s="842"/>
      <c r="V745" s="842"/>
      <c r="W745" s="842"/>
      <c r="X745" s="842"/>
      <c r="Y745" s="842"/>
      <c r="Z745" s="842"/>
      <c r="AA745" s="842"/>
      <c r="AB745" s="842"/>
      <c r="AC745" s="842"/>
      <c r="AD745" s="842"/>
      <c r="AE745" s="123"/>
      <c r="AF745" s="123"/>
      <c r="AG745" s="123"/>
      <c r="AH745" s="123"/>
      <c r="AI745" s="123"/>
      <c r="AJ745" s="123"/>
      <c r="AK745" s="123"/>
      <c r="AL745" s="123"/>
      <c r="AM745" s="123"/>
      <c r="AN745" s="123"/>
      <c r="AO745" s="123"/>
      <c r="AP745" s="123"/>
      <c r="AQ745" s="123"/>
      <c r="AR745" s="123"/>
      <c r="AS745" s="123"/>
      <c r="AT745" s="123"/>
      <c r="AU745" s="123"/>
      <c r="AV745" s="123"/>
      <c r="AW745" s="123"/>
      <c r="AX745" s="123"/>
      <c r="AY745" s="123"/>
      <c r="AZ745" s="123"/>
      <c r="BA745" s="123"/>
      <c r="BB745" s="123"/>
      <c r="BC745" s="123"/>
      <c r="BD745" s="837"/>
      <c r="BE745" s="837"/>
      <c r="BF745" s="837"/>
      <c r="BG745" s="837"/>
      <c r="BH745" s="837"/>
      <c r="BI745" s="838"/>
      <c r="BJ745" s="837"/>
      <c r="BK745" s="837"/>
      <c r="BL745" s="837"/>
      <c r="BM745" s="837"/>
      <c r="BN745" s="837"/>
      <c r="BO745" s="837"/>
      <c r="BP745" s="122"/>
      <c r="BQ745" s="122"/>
      <c r="BR745" s="842"/>
      <c r="BS745" s="842"/>
      <c r="BT745" s="842"/>
      <c r="BU745" s="844">
        <f>BU744/BU614*1000000</f>
        <v>27000</v>
      </c>
      <c r="BV745" s="842"/>
      <c r="BW745" s="842"/>
      <c r="BX745" s="842"/>
      <c r="BY745" s="842"/>
      <c r="BZ745" s="842"/>
      <c r="CA745" s="842"/>
      <c r="CB745" s="842"/>
      <c r="CC745" s="842"/>
      <c r="CD745" s="842"/>
      <c r="CE745" s="842"/>
      <c r="CF745" s="842"/>
      <c r="CG745" s="842"/>
      <c r="CH745" s="842"/>
      <c r="CI745" s="842"/>
      <c r="CJ745" s="842"/>
      <c r="CK745" s="842"/>
      <c r="CL745" s="842"/>
      <c r="CM745" s="842"/>
      <c r="CN745" s="842"/>
      <c r="CO745" s="842"/>
      <c r="CP745" s="842"/>
      <c r="CQ745" s="842"/>
      <c r="CR745" s="842"/>
      <c r="CS745" s="842"/>
      <c r="CT745" s="842"/>
      <c r="CU745" s="842"/>
      <c r="CV745" s="842"/>
      <c r="CW745" s="842"/>
      <c r="CX745" s="842"/>
      <c r="CY745" s="842"/>
      <c r="CZ745" s="842"/>
      <c r="DA745" s="842"/>
      <c r="DB745" s="842"/>
      <c r="DC745" s="842"/>
    </row>
    <row r="746" spans="1:107" hidden="1" outlineLevel="1">
      <c r="A746" s="15"/>
      <c r="B746" s="126" t="str">
        <f>B570</f>
        <v>AM1 Phase 3 (Amsterdam)</v>
      </c>
      <c r="C746" s="123"/>
      <c r="D746" s="124"/>
      <c r="E746" s="124"/>
      <c r="F746" s="124"/>
      <c r="G746" s="124"/>
      <c r="H746" s="124"/>
      <c r="I746" s="124"/>
      <c r="J746" s="124"/>
      <c r="K746" s="124"/>
      <c r="L746" s="123"/>
      <c r="M746" s="123"/>
      <c r="N746" s="842"/>
      <c r="O746" s="842"/>
      <c r="P746" s="842"/>
      <c r="Q746" s="842"/>
      <c r="R746" s="842"/>
      <c r="S746" s="842"/>
      <c r="T746" s="842"/>
      <c r="U746" s="842"/>
      <c r="V746" s="842"/>
      <c r="W746" s="842"/>
      <c r="X746" s="842"/>
      <c r="Y746" s="842"/>
      <c r="Z746" s="842"/>
      <c r="AA746" s="842"/>
      <c r="AB746" s="842"/>
      <c r="AC746" s="842"/>
      <c r="AD746" s="842"/>
      <c r="AE746" s="123"/>
      <c r="AF746" s="123"/>
      <c r="AG746" s="123"/>
      <c r="AH746" s="123"/>
      <c r="AI746" s="123"/>
      <c r="AJ746" s="123"/>
      <c r="AK746" s="123"/>
      <c r="AL746" s="123"/>
      <c r="AM746" s="123"/>
      <c r="AN746" s="123"/>
      <c r="AO746" s="123"/>
      <c r="AP746" s="123"/>
      <c r="AQ746" s="123"/>
      <c r="AR746" s="123"/>
      <c r="AS746" s="123"/>
      <c r="AT746" s="123"/>
      <c r="AU746" s="123"/>
      <c r="AV746" s="123"/>
      <c r="AW746" s="123"/>
      <c r="AX746" s="123"/>
      <c r="AY746" s="123"/>
      <c r="AZ746" s="123"/>
      <c r="BA746" s="123"/>
      <c r="BB746" s="123"/>
      <c r="BC746" s="123"/>
      <c r="BD746" s="837"/>
      <c r="BE746" s="837"/>
      <c r="BF746" s="837"/>
      <c r="BG746" s="837"/>
      <c r="BH746" s="837"/>
      <c r="BI746" s="838"/>
      <c r="BJ746" s="837"/>
      <c r="BK746" s="837"/>
      <c r="BL746" s="837"/>
      <c r="BM746" s="837"/>
      <c r="BN746" s="837"/>
      <c r="BO746" s="837"/>
      <c r="BP746" s="122"/>
      <c r="BQ746" s="122"/>
      <c r="BR746" s="842"/>
      <c r="BS746" s="842"/>
      <c r="BT746" s="842"/>
      <c r="BU746" s="842"/>
      <c r="BV746" s="842"/>
      <c r="BW746" s="842"/>
      <c r="BX746" s="842"/>
      <c r="BY746" s="842"/>
      <c r="BZ746" s="842"/>
      <c r="CA746" s="842"/>
      <c r="CB746" s="842"/>
      <c r="CC746" s="842"/>
      <c r="CD746" s="842"/>
      <c r="CE746" s="842"/>
      <c r="CF746" s="842"/>
      <c r="CG746" s="842"/>
      <c r="CH746" s="842"/>
      <c r="CI746" s="842"/>
      <c r="CJ746" s="842"/>
      <c r="CK746" s="842"/>
      <c r="CL746" s="842"/>
      <c r="CM746" s="842"/>
      <c r="CN746" s="842"/>
      <c r="CO746" s="842"/>
      <c r="CP746" s="842"/>
      <c r="CQ746" s="842"/>
      <c r="CR746" s="842"/>
      <c r="CS746" s="842"/>
      <c r="CT746" s="842"/>
      <c r="CU746" s="842"/>
      <c r="CV746" s="842"/>
      <c r="CW746" s="842"/>
      <c r="CX746" s="842"/>
      <c r="CY746" s="842"/>
      <c r="CZ746" s="842"/>
      <c r="DA746" s="842"/>
      <c r="DB746" s="842"/>
      <c r="DC746" s="842"/>
    </row>
    <row r="747" spans="1:107" hidden="1" outlineLevel="1">
      <c r="A747" s="15"/>
      <c r="B747" s="129" t="s">
        <v>465</v>
      </c>
      <c r="C747" s="123"/>
      <c r="D747" s="124"/>
      <c r="E747" s="124"/>
      <c r="F747" s="124"/>
      <c r="G747" s="124"/>
      <c r="H747" s="124"/>
      <c r="I747" s="124"/>
      <c r="J747" s="124"/>
      <c r="K747" s="124"/>
      <c r="L747" s="123"/>
      <c r="M747" s="123"/>
      <c r="N747" s="842"/>
      <c r="O747" s="843">
        <f>SUM(BT747:BW747)</f>
        <v>40</v>
      </c>
      <c r="P747" s="842"/>
      <c r="Q747" s="842"/>
      <c r="R747" s="842"/>
      <c r="S747" s="842"/>
      <c r="T747" s="842"/>
      <c r="U747" s="842"/>
      <c r="V747" s="842"/>
      <c r="W747" s="842"/>
      <c r="X747" s="842"/>
      <c r="Y747" s="842"/>
      <c r="Z747" s="842"/>
      <c r="AA747" s="842"/>
      <c r="AB747" s="842"/>
      <c r="AC747" s="842"/>
      <c r="AD747" s="842"/>
      <c r="AE747" s="123"/>
      <c r="AF747" s="123"/>
      <c r="AG747" s="123"/>
      <c r="AH747" s="123"/>
      <c r="AI747" s="123"/>
      <c r="AJ747" s="123"/>
      <c r="AK747" s="123"/>
      <c r="AL747" s="123"/>
      <c r="AM747" s="123"/>
      <c r="AN747" s="123"/>
      <c r="AO747" s="123"/>
      <c r="AP747" s="123"/>
      <c r="AQ747" s="123"/>
      <c r="AR747" s="123"/>
      <c r="AS747" s="123"/>
      <c r="AT747" s="123"/>
      <c r="AU747" s="123"/>
      <c r="AV747" s="123"/>
      <c r="AW747" s="123"/>
      <c r="AX747" s="123"/>
      <c r="AY747" s="123"/>
      <c r="AZ747" s="123"/>
      <c r="BA747" s="123"/>
      <c r="BB747" s="123"/>
      <c r="BC747" s="123"/>
      <c r="BD747" s="837"/>
      <c r="BE747" s="837"/>
      <c r="BF747" s="837"/>
      <c r="BG747" s="837"/>
      <c r="BH747" s="837"/>
      <c r="BI747" s="838"/>
      <c r="BJ747" s="837"/>
      <c r="BK747" s="837"/>
      <c r="BL747" s="837"/>
      <c r="BM747" s="837"/>
      <c r="BN747" s="837"/>
      <c r="BO747" s="837"/>
      <c r="BP747" s="122"/>
      <c r="BQ747" s="122"/>
      <c r="BR747" s="842"/>
      <c r="BS747" s="842"/>
      <c r="BT747" s="842"/>
      <c r="BU747" s="846">
        <v>40</v>
      </c>
      <c r="BV747" s="842"/>
      <c r="BW747" s="842"/>
      <c r="BX747" s="842"/>
      <c r="BY747" s="842"/>
      <c r="BZ747" s="842"/>
      <c r="CA747" s="842"/>
      <c r="CB747" s="842"/>
      <c r="CC747" s="842"/>
      <c r="CD747" s="842"/>
      <c r="CE747" s="842"/>
      <c r="CF747" s="842"/>
      <c r="CG747" s="842"/>
      <c r="CH747" s="842"/>
      <c r="CI747" s="842"/>
      <c r="CJ747" s="842"/>
      <c r="CK747" s="842"/>
      <c r="CL747" s="842"/>
      <c r="CM747" s="842"/>
      <c r="CN747" s="842"/>
      <c r="CO747" s="842"/>
      <c r="CP747" s="842"/>
      <c r="CQ747" s="842"/>
      <c r="CR747" s="842"/>
      <c r="CS747" s="842"/>
      <c r="CT747" s="842"/>
      <c r="CU747" s="842"/>
      <c r="CV747" s="842"/>
      <c r="CW747" s="842"/>
      <c r="CX747" s="842"/>
      <c r="CY747" s="842"/>
      <c r="CZ747" s="842"/>
      <c r="DA747" s="842"/>
      <c r="DB747" s="842"/>
      <c r="DC747" s="842"/>
    </row>
    <row r="748" spans="1:107" s="15" customFormat="1" hidden="1" outlineLevel="1">
      <c r="B748" s="189" t="s">
        <v>210</v>
      </c>
      <c r="C748" s="123"/>
      <c r="D748" s="124"/>
      <c r="E748" s="124"/>
      <c r="F748" s="124"/>
      <c r="G748" s="124"/>
      <c r="H748" s="124"/>
      <c r="I748" s="124"/>
      <c r="J748" s="124"/>
      <c r="K748" s="124"/>
      <c r="L748" s="123"/>
      <c r="M748" s="123"/>
      <c r="N748" s="842"/>
      <c r="O748" s="844" t="e">
        <f>AVERAGE(BT748:BW748)</f>
        <v>#DIV/0!</v>
      </c>
      <c r="P748" s="842"/>
      <c r="Q748" s="842"/>
      <c r="R748" s="842"/>
      <c r="S748" s="842"/>
      <c r="T748" s="842"/>
      <c r="U748" s="842"/>
      <c r="V748" s="842"/>
      <c r="W748" s="842"/>
      <c r="X748" s="842"/>
      <c r="Y748" s="842"/>
      <c r="Z748" s="842"/>
      <c r="AA748" s="842"/>
      <c r="AB748" s="842"/>
      <c r="AC748" s="842"/>
      <c r="AD748" s="842"/>
      <c r="AE748" s="123"/>
      <c r="AF748" s="123"/>
      <c r="AG748" s="123"/>
      <c r="AH748" s="123"/>
      <c r="AI748" s="123"/>
      <c r="AJ748" s="123"/>
      <c r="AK748" s="123"/>
      <c r="AL748" s="123"/>
      <c r="AM748" s="123"/>
      <c r="AN748" s="123"/>
      <c r="AO748" s="123"/>
      <c r="AP748" s="123"/>
      <c r="AQ748" s="123"/>
      <c r="AR748" s="123"/>
      <c r="AS748" s="123"/>
      <c r="AT748" s="123"/>
      <c r="AU748" s="123"/>
      <c r="AV748" s="123"/>
      <c r="AW748" s="123"/>
      <c r="AX748" s="123"/>
      <c r="AY748" s="123"/>
      <c r="AZ748" s="123"/>
      <c r="BA748" s="123"/>
      <c r="BB748" s="123"/>
      <c r="BC748" s="123"/>
      <c r="BD748" s="837"/>
      <c r="BE748" s="837"/>
      <c r="BF748" s="837"/>
      <c r="BG748" s="837"/>
      <c r="BH748" s="837"/>
      <c r="BI748" s="838"/>
      <c r="BJ748" s="837"/>
      <c r="BK748" s="837"/>
      <c r="BL748" s="837"/>
      <c r="BM748" s="837"/>
      <c r="BN748" s="837"/>
      <c r="BO748" s="837"/>
      <c r="BP748" s="122"/>
      <c r="BQ748" s="122"/>
      <c r="BR748" s="842"/>
      <c r="BS748" s="842"/>
      <c r="BT748" s="842"/>
      <c r="BU748" s="844" t="e">
        <f>BU747/BU570*1000000</f>
        <v>#DIV/0!</v>
      </c>
      <c r="BV748" s="842"/>
      <c r="BW748" s="842"/>
      <c r="BX748" s="842"/>
      <c r="BY748" s="842"/>
      <c r="BZ748" s="842"/>
      <c r="CA748" s="842"/>
      <c r="CB748" s="842"/>
      <c r="CC748" s="842"/>
      <c r="CD748" s="842"/>
      <c r="CE748" s="842"/>
      <c r="CF748" s="842"/>
      <c r="CG748" s="842"/>
      <c r="CH748" s="842"/>
      <c r="CI748" s="842"/>
      <c r="CJ748" s="842"/>
      <c r="CK748" s="842"/>
      <c r="CL748" s="842"/>
      <c r="CM748" s="842"/>
      <c r="CN748" s="842"/>
      <c r="CO748" s="842"/>
      <c r="CP748" s="842"/>
      <c r="CQ748" s="842"/>
      <c r="CR748" s="842"/>
      <c r="CS748" s="842"/>
      <c r="CT748" s="842"/>
      <c r="CU748" s="842"/>
      <c r="CV748" s="842"/>
      <c r="CW748" s="842"/>
      <c r="CX748" s="842"/>
      <c r="CY748" s="842"/>
      <c r="CZ748" s="842"/>
      <c r="DA748" s="842"/>
      <c r="DB748" s="842"/>
      <c r="DC748" s="842"/>
    </row>
    <row r="749" spans="1:107" s="15" customFormat="1" hidden="1" outlineLevel="1">
      <c r="B749" s="126" t="str">
        <f>B606</f>
        <v>MU3 (Munich)</v>
      </c>
      <c r="C749" s="123"/>
      <c r="D749" s="124"/>
      <c r="E749" s="124"/>
      <c r="F749" s="124"/>
      <c r="G749" s="124"/>
      <c r="H749" s="124"/>
      <c r="I749" s="124"/>
      <c r="J749" s="124"/>
      <c r="K749" s="124"/>
      <c r="L749" s="123"/>
      <c r="M749" s="123"/>
      <c r="N749" s="842"/>
      <c r="O749" s="842"/>
      <c r="P749" s="842"/>
      <c r="Q749" s="842"/>
      <c r="R749" s="842"/>
      <c r="S749" s="842"/>
      <c r="T749" s="842"/>
      <c r="U749" s="842"/>
      <c r="V749" s="842"/>
      <c r="W749" s="842"/>
      <c r="X749" s="842"/>
      <c r="Y749" s="842"/>
      <c r="Z749" s="842"/>
      <c r="AA749" s="842"/>
      <c r="AB749" s="842"/>
      <c r="AC749" s="842"/>
      <c r="AD749" s="842"/>
      <c r="AE749" s="123"/>
      <c r="AF749" s="123"/>
      <c r="AG749" s="123"/>
      <c r="AH749" s="123"/>
      <c r="AI749" s="123"/>
      <c r="AJ749" s="123"/>
      <c r="AK749" s="123"/>
      <c r="AL749" s="123"/>
      <c r="AM749" s="123"/>
      <c r="AN749" s="123"/>
      <c r="AO749" s="123"/>
      <c r="AP749" s="123"/>
      <c r="AQ749" s="123"/>
      <c r="AR749" s="123"/>
      <c r="AS749" s="123"/>
      <c r="AT749" s="123"/>
      <c r="AU749" s="123"/>
      <c r="AV749" s="123"/>
      <c r="AW749" s="123"/>
      <c r="AX749" s="123"/>
      <c r="AY749" s="123"/>
      <c r="AZ749" s="123"/>
      <c r="BA749" s="123"/>
      <c r="BB749" s="123"/>
      <c r="BC749" s="123"/>
      <c r="BD749" s="837"/>
      <c r="BE749" s="837"/>
      <c r="BF749" s="837"/>
      <c r="BG749" s="837"/>
      <c r="BH749" s="837"/>
      <c r="BI749" s="838"/>
      <c r="BJ749" s="837"/>
      <c r="BK749" s="837"/>
      <c r="BL749" s="837"/>
      <c r="BM749" s="837"/>
      <c r="BN749" s="837"/>
      <c r="BO749" s="837"/>
      <c r="BP749" s="122"/>
      <c r="BQ749" s="122"/>
      <c r="BR749" s="842"/>
      <c r="BS749" s="842"/>
      <c r="BT749" s="842"/>
      <c r="BU749" s="842"/>
      <c r="BV749" s="842"/>
      <c r="BW749" s="842"/>
      <c r="BX749" s="842"/>
      <c r="BY749" s="842"/>
      <c r="BZ749" s="842"/>
      <c r="CA749" s="842"/>
      <c r="CB749" s="842"/>
      <c r="CC749" s="842"/>
      <c r="CD749" s="842"/>
      <c r="CE749" s="842"/>
      <c r="CF749" s="842"/>
      <c r="CG749" s="842"/>
      <c r="CH749" s="842"/>
      <c r="CI749" s="842"/>
      <c r="CJ749" s="842"/>
      <c r="CK749" s="842"/>
      <c r="CL749" s="842"/>
      <c r="CM749" s="842"/>
      <c r="CN749" s="842"/>
      <c r="CO749" s="842"/>
      <c r="CP749" s="842"/>
      <c r="CQ749" s="842"/>
      <c r="CR749" s="842"/>
      <c r="CS749" s="842"/>
      <c r="CT749" s="842"/>
      <c r="CU749" s="842"/>
      <c r="CV749" s="842"/>
      <c r="CW749" s="842"/>
      <c r="CX749" s="842"/>
      <c r="CY749" s="842"/>
      <c r="CZ749" s="842"/>
      <c r="DA749" s="842"/>
      <c r="DB749" s="842"/>
      <c r="DC749" s="842"/>
    </row>
    <row r="750" spans="1:107" s="15" customFormat="1" hidden="1" outlineLevel="1">
      <c r="B750" s="129" t="s">
        <v>465</v>
      </c>
      <c r="C750" s="123"/>
      <c r="D750" s="124"/>
      <c r="E750" s="124"/>
      <c r="F750" s="124"/>
      <c r="G750" s="124"/>
      <c r="H750" s="124"/>
      <c r="I750" s="124"/>
      <c r="J750" s="124"/>
      <c r="K750" s="124"/>
      <c r="L750" s="123"/>
      <c r="M750" s="123"/>
      <c r="N750" s="842"/>
      <c r="O750" s="842"/>
      <c r="P750" s="842"/>
      <c r="Q750" s="842"/>
      <c r="R750" s="842"/>
      <c r="S750" s="842"/>
      <c r="T750" s="842"/>
      <c r="U750" s="842"/>
      <c r="V750" s="842"/>
      <c r="W750" s="842"/>
      <c r="X750" s="842"/>
      <c r="Y750" s="842"/>
      <c r="Z750" s="842"/>
      <c r="AA750" s="842"/>
      <c r="AB750" s="842"/>
      <c r="AC750" s="842"/>
      <c r="AD750" s="842"/>
      <c r="AE750" s="123"/>
      <c r="AF750" s="123"/>
      <c r="AG750" s="123"/>
      <c r="AH750" s="123"/>
      <c r="AI750" s="123"/>
      <c r="AJ750" s="123"/>
      <c r="AK750" s="123"/>
      <c r="AL750" s="123"/>
      <c r="AM750" s="123"/>
      <c r="AN750" s="123"/>
      <c r="AO750" s="123"/>
      <c r="AP750" s="123"/>
      <c r="AQ750" s="123"/>
      <c r="AR750" s="123"/>
      <c r="AS750" s="123"/>
      <c r="AT750" s="123"/>
      <c r="AU750" s="123"/>
      <c r="AV750" s="123"/>
      <c r="AW750" s="123"/>
      <c r="AX750" s="123"/>
      <c r="AY750" s="123"/>
      <c r="AZ750" s="123"/>
      <c r="BA750" s="123"/>
      <c r="BB750" s="123"/>
      <c r="BC750" s="123"/>
      <c r="BD750" s="837"/>
      <c r="BE750" s="837"/>
      <c r="BF750" s="837"/>
      <c r="BG750" s="837"/>
      <c r="BH750" s="837"/>
      <c r="BI750" s="838"/>
      <c r="BJ750" s="837"/>
      <c r="BK750" s="837"/>
      <c r="BL750" s="837"/>
      <c r="BM750" s="837"/>
      <c r="BN750" s="837"/>
      <c r="BO750" s="837"/>
      <c r="BP750" s="122"/>
      <c r="BQ750" s="122"/>
      <c r="BR750" s="842"/>
      <c r="BS750" s="842"/>
      <c r="BT750" s="842"/>
      <c r="BU750" s="846" t="s">
        <v>1045</v>
      </c>
      <c r="BV750" s="842"/>
      <c r="BW750" s="842"/>
      <c r="BX750" s="842"/>
      <c r="BY750" s="842"/>
      <c r="BZ750" s="842"/>
      <c r="CA750" s="842"/>
      <c r="CB750" s="842"/>
      <c r="CC750" s="842"/>
      <c r="CD750" s="842"/>
      <c r="CE750" s="842"/>
      <c r="CF750" s="842"/>
      <c r="CG750" s="842"/>
      <c r="CH750" s="842"/>
      <c r="CI750" s="842"/>
      <c r="CJ750" s="842"/>
      <c r="CK750" s="842"/>
      <c r="CL750" s="842"/>
      <c r="CM750" s="842"/>
      <c r="CN750" s="842"/>
      <c r="CO750" s="842"/>
      <c r="CP750" s="842"/>
      <c r="CQ750" s="842"/>
      <c r="CR750" s="842"/>
      <c r="CS750" s="842"/>
      <c r="CT750" s="842"/>
      <c r="CU750" s="842"/>
      <c r="CV750" s="842"/>
      <c r="CW750" s="842"/>
      <c r="CX750" s="842"/>
      <c r="CY750" s="842"/>
      <c r="CZ750" s="842"/>
      <c r="DA750" s="842"/>
      <c r="DB750" s="842"/>
      <c r="DC750" s="842"/>
    </row>
    <row r="751" spans="1:107" s="15" customFormat="1" hidden="1" outlineLevel="1">
      <c r="B751" s="189" t="s">
        <v>210</v>
      </c>
      <c r="C751" s="123"/>
      <c r="D751" s="124"/>
      <c r="E751" s="124"/>
      <c r="F751" s="124"/>
      <c r="G751" s="124"/>
      <c r="H751" s="124"/>
      <c r="I751" s="124"/>
      <c r="J751" s="124"/>
      <c r="K751" s="124"/>
      <c r="L751" s="123"/>
      <c r="M751" s="123"/>
      <c r="N751" s="842"/>
      <c r="O751" s="844"/>
      <c r="P751" s="842"/>
      <c r="Q751" s="842"/>
      <c r="R751" s="842"/>
      <c r="S751" s="842"/>
      <c r="T751" s="842"/>
      <c r="U751" s="842"/>
      <c r="V751" s="842"/>
      <c r="W751" s="842"/>
      <c r="X751" s="842"/>
      <c r="Y751" s="842"/>
      <c r="Z751" s="842"/>
      <c r="AA751" s="842"/>
      <c r="AB751" s="842"/>
      <c r="AC751" s="842"/>
      <c r="AD751" s="842"/>
      <c r="AE751" s="123"/>
      <c r="AF751" s="123"/>
      <c r="AG751" s="123"/>
      <c r="AH751" s="123"/>
      <c r="AI751" s="123"/>
      <c r="AJ751" s="123"/>
      <c r="AK751" s="123"/>
      <c r="AL751" s="123"/>
      <c r="AM751" s="123"/>
      <c r="AN751" s="123"/>
      <c r="AO751" s="123"/>
      <c r="AP751" s="123"/>
      <c r="AQ751" s="123"/>
      <c r="AR751" s="123"/>
      <c r="AS751" s="123"/>
      <c r="AT751" s="123"/>
      <c r="AU751" s="123"/>
      <c r="AV751" s="123"/>
      <c r="AW751" s="123"/>
      <c r="AX751" s="123"/>
      <c r="AY751" s="123"/>
      <c r="AZ751" s="123"/>
      <c r="BA751" s="123"/>
      <c r="BB751" s="123"/>
      <c r="BC751" s="123"/>
      <c r="BD751" s="837"/>
      <c r="BE751" s="837"/>
      <c r="BF751" s="837"/>
      <c r="BG751" s="837"/>
      <c r="BH751" s="837"/>
      <c r="BI751" s="838"/>
      <c r="BJ751" s="837"/>
      <c r="BK751" s="837"/>
      <c r="BL751" s="837"/>
      <c r="BM751" s="837"/>
      <c r="BN751" s="837"/>
      <c r="BO751" s="837"/>
      <c r="BP751" s="122"/>
      <c r="BQ751" s="122"/>
      <c r="BR751" s="842"/>
      <c r="BS751" s="842"/>
      <c r="BT751" s="842"/>
      <c r="BU751" s="846" t="s">
        <v>1045</v>
      </c>
      <c r="BV751" s="842"/>
      <c r="BW751" s="842"/>
      <c r="BX751" s="842"/>
      <c r="BY751" s="842"/>
      <c r="BZ751" s="842"/>
      <c r="CA751" s="842"/>
      <c r="CB751" s="842"/>
      <c r="CC751" s="842"/>
      <c r="CD751" s="842"/>
      <c r="CE751" s="842"/>
      <c r="CF751" s="842"/>
      <c r="CG751" s="842"/>
      <c r="CH751" s="842"/>
      <c r="CI751" s="842"/>
      <c r="CJ751" s="842"/>
      <c r="CK751" s="842"/>
      <c r="CL751" s="842"/>
      <c r="CM751" s="842"/>
      <c r="CN751" s="842"/>
      <c r="CO751" s="842"/>
      <c r="CP751" s="842"/>
      <c r="CQ751" s="842"/>
      <c r="CR751" s="842"/>
      <c r="CS751" s="842"/>
      <c r="CT751" s="842"/>
      <c r="CU751" s="842"/>
      <c r="CV751" s="842"/>
      <c r="CW751" s="842"/>
      <c r="CX751" s="842"/>
      <c r="CY751" s="842"/>
      <c r="CZ751" s="842"/>
      <c r="DA751" s="842"/>
      <c r="DB751" s="842"/>
      <c r="DC751" s="842"/>
    </row>
    <row r="752" spans="1:107" s="15" customFormat="1" hidden="1" outlineLevel="1">
      <c r="B752" s="126" t="str">
        <f>B611</f>
        <v>PA3 Phase 2 (Paris)</v>
      </c>
      <c r="C752" s="123"/>
      <c r="D752" s="124"/>
      <c r="E752" s="124"/>
      <c r="F752" s="124"/>
      <c r="G752" s="124"/>
      <c r="H752" s="124"/>
      <c r="I752" s="124"/>
      <c r="J752" s="124"/>
      <c r="K752" s="124"/>
      <c r="L752" s="123"/>
      <c r="M752" s="123"/>
      <c r="N752" s="842"/>
      <c r="O752" s="844"/>
      <c r="P752" s="842"/>
      <c r="Q752" s="842"/>
      <c r="R752" s="842"/>
      <c r="S752" s="842"/>
      <c r="T752" s="842"/>
      <c r="U752" s="842"/>
      <c r="V752" s="842"/>
      <c r="W752" s="842"/>
      <c r="X752" s="842"/>
      <c r="Y752" s="842"/>
      <c r="Z752" s="842"/>
      <c r="AA752" s="842"/>
      <c r="AB752" s="842"/>
      <c r="AC752" s="842"/>
      <c r="AD752" s="842"/>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837"/>
      <c r="BE752" s="837"/>
      <c r="BF752" s="837"/>
      <c r="BG752" s="837"/>
      <c r="BH752" s="837"/>
      <c r="BI752" s="838"/>
      <c r="BJ752" s="837"/>
      <c r="BK752" s="837"/>
      <c r="BL752" s="837"/>
      <c r="BM752" s="837"/>
      <c r="BN752" s="837"/>
      <c r="BO752" s="837"/>
      <c r="BP752" s="122"/>
      <c r="BQ752" s="122"/>
      <c r="BR752" s="842"/>
      <c r="BS752" s="842"/>
      <c r="BT752" s="842"/>
      <c r="BU752" s="846"/>
      <c r="BV752" s="842"/>
      <c r="BW752" s="842"/>
      <c r="CW752" s="842"/>
      <c r="CX752" s="842"/>
      <c r="CY752" s="842"/>
      <c r="CZ752" s="842"/>
      <c r="DA752" s="842"/>
      <c r="DB752" s="842"/>
      <c r="DC752" s="842"/>
    </row>
    <row r="753" spans="2:107" s="15" customFormat="1" hidden="1" outlineLevel="1">
      <c r="B753" s="129" t="s">
        <v>465</v>
      </c>
      <c r="C753" s="123"/>
      <c r="D753" s="124"/>
      <c r="E753" s="124"/>
      <c r="F753" s="124"/>
      <c r="G753" s="124"/>
      <c r="H753" s="124"/>
      <c r="I753" s="124"/>
      <c r="J753" s="124"/>
      <c r="K753" s="124"/>
      <c r="L753" s="123"/>
      <c r="M753" s="123"/>
      <c r="N753" s="842"/>
      <c r="O753" s="844"/>
      <c r="P753" s="842"/>
      <c r="Q753" s="842"/>
      <c r="R753" s="842"/>
      <c r="S753" s="842"/>
      <c r="T753" s="842"/>
      <c r="U753" s="842"/>
      <c r="V753" s="842"/>
      <c r="W753" s="842"/>
      <c r="X753" s="842"/>
      <c r="Y753" s="842"/>
      <c r="Z753" s="842"/>
      <c r="AA753" s="842"/>
      <c r="AB753" s="842"/>
      <c r="AC753" s="842"/>
      <c r="AD753" s="842"/>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837"/>
      <c r="BE753" s="837"/>
      <c r="BF753" s="837"/>
      <c r="BG753" s="837"/>
      <c r="BH753" s="837"/>
      <c r="BI753" s="838"/>
      <c r="BJ753" s="837"/>
      <c r="BK753" s="837"/>
      <c r="BL753" s="837"/>
      <c r="BM753" s="837"/>
      <c r="BN753" s="837"/>
      <c r="BO753" s="837"/>
      <c r="BP753" s="122"/>
      <c r="BQ753" s="122"/>
      <c r="BR753" s="842"/>
      <c r="BS753" s="842"/>
      <c r="BT753" s="842"/>
      <c r="BU753" s="846"/>
      <c r="BV753" s="842"/>
      <c r="BW753" s="842"/>
      <c r="BX753" s="842"/>
      <c r="BY753" s="846">
        <v>40</v>
      </c>
      <c r="BZ753" s="846">
        <v>40</v>
      </c>
      <c r="CA753" s="846">
        <v>40</v>
      </c>
      <c r="CB753" s="846">
        <v>40</v>
      </c>
      <c r="CC753" s="846">
        <v>40</v>
      </c>
      <c r="CD753" s="846">
        <v>40</v>
      </c>
      <c r="CE753" s="846">
        <v>40</v>
      </c>
      <c r="CF753" s="846">
        <v>40</v>
      </c>
      <c r="CG753" s="846">
        <v>40</v>
      </c>
      <c r="CH753" s="846">
        <v>40</v>
      </c>
      <c r="CI753" s="846">
        <v>40</v>
      </c>
      <c r="CJ753" s="846">
        <v>40</v>
      </c>
      <c r="CK753" s="846">
        <v>40</v>
      </c>
      <c r="CL753" s="846">
        <v>40</v>
      </c>
      <c r="CM753" s="846">
        <v>40</v>
      </c>
      <c r="CN753" s="846">
        <v>40</v>
      </c>
      <c r="CO753" s="846">
        <v>40</v>
      </c>
      <c r="CP753" s="846">
        <v>40</v>
      </c>
      <c r="CQ753" s="846">
        <v>40</v>
      </c>
      <c r="CR753" s="846">
        <v>40</v>
      </c>
      <c r="CS753" s="846">
        <v>40</v>
      </c>
      <c r="CT753" s="846">
        <v>40</v>
      </c>
      <c r="CU753" s="846">
        <v>40</v>
      </c>
      <c r="CV753" s="846">
        <v>40</v>
      </c>
      <c r="CW753" s="842"/>
      <c r="CX753" s="842"/>
      <c r="CY753" s="842"/>
      <c r="CZ753" s="842"/>
      <c r="DA753" s="842"/>
      <c r="DB753" s="842"/>
      <c r="DC753" s="842"/>
    </row>
    <row r="754" spans="2:107" s="15" customFormat="1" hidden="1" outlineLevel="1">
      <c r="B754" s="189" t="s">
        <v>210</v>
      </c>
      <c r="C754" s="123"/>
      <c r="D754" s="124"/>
      <c r="E754" s="124"/>
      <c r="F754" s="124"/>
      <c r="G754" s="124"/>
      <c r="H754" s="124"/>
      <c r="I754" s="124"/>
      <c r="J754" s="124"/>
      <c r="K754" s="124"/>
      <c r="L754" s="123"/>
      <c r="M754" s="123"/>
      <c r="N754" s="842"/>
      <c r="O754" s="844"/>
      <c r="P754" s="842"/>
      <c r="Q754" s="842"/>
      <c r="R754" s="842"/>
      <c r="S754" s="842"/>
      <c r="T754" s="842"/>
      <c r="U754" s="842"/>
      <c r="V754" s="842"/>
      <c r="W754" s="842"/>
      <c r="X754" s="842"/>
      <c r="Y754" s="842"/>
      <c r="Z754" s="842"/>
      <c r="AA754" s="842"/>
      <c r="AB754" s="842"/>
      <c r="AC754" s="842"/>
      <c r="AD754" s="842"/>
      <c r="AE754" s="123"/>
      <c r="AF754" s="123"/>
      <c r="AG754" s="123"/>
      <c r="AH754" s="123"/>
      <c r="AI754" s="123"/>
      <c r="AJ754" s="123"/>
      <c r="AK754" s="123"/>
      <c r="AL754" s="123"/>
      <c r="AM754" s="123"/>
      <c r="AN754" s="123"/>
      <c r="AO754" s="123"/>
      <c r="AP754" s="123"/>
      <c r="AQ754" s="123"/>
      <c r="AR754" s="123"/>
      <c r="AS754" s="123"/>
      <c r="AT754" s="123"/>
      <c r="AU754" s="123"/>
      <c r="AV754" s="123"/>
      <c r="AW754" s="123"/>
      <c r="AX754" s="123"/>
      <c r="AY754" s="123"/>
      <c r="AZ754" s="123"/>
      <c r="BA754" s="123"/>
      <c r="BB754" s="123"/>
      <c r="BC754" s="123"/>
      <c r="BD754" s="837"/>
      <c r="BE754" s="837"/>
      <c r="BF754" s="837"/>
      <c r="BG754" s="837"/>
      <c r="BH754" s="837"/>
      <c r="BI754" s="838"/>
      <c r="BJ754" s="837"/>
      <c r="BK754" s="837"/>
      <c r="BL754" s="837"/>
      <c r="BM754" s="837"/>
      <c r="BN754" s="837"/>
      <c r="BO754" s="837"/>
      <c r="BP754" s="122"/>
      <c r="BQ754" s="122"/>
      <c r="BR754" s="842"/>
      <c r="BS754" s="842"/>
      <c r="BT754" s="842"/>
      <c r="BU754" s="846"/>
      <c r="BV754" s="842"/>
      <c r="BW754" s="842"/>
      <c r="BX754" s="842"/>
      <c r="BY754" s="844">
        <f t="shared" ref="BY754:CV754" si="917">BY753/BY611*1000000</f>
        <v>21276.59574468085</v>
      </c>
      <c r="BZ754" s="844" t="e">
        <f t="shared" si="917"/>
        <v>#DIV/0!</v>
      </c>
      <c r="CA754" s="844" t="e">
        <f t="shared" si="917"/>
        <v>#DIV/0!</v>
      </c>
      <c r="CB754" s="844" t="e">
        <f t="shared" si="917"/>
        <v>#DIV/0!</v>
      </c>
      <c r="CC754" s="844" t="e">
        <f t="shared" si="917"/>
        <v>#DIV/0!</v>
      </c>
      <c r="CD754" s="844" t="e">
        <f t="shared" si="917"/>
        <v>#DIV/0!</v>
      </c>
      <c r="CE754" s="844" t="e">
        <f t="shared" si="917"/>
        <v>#DIV/0!</v>
      </c>
      <c r="CF754" s="844" t="e">
        <f t="shared" si="917"/>
        <v>#DIV/0!</v>
      </c>
      <c r="CG754" s="844" t="e">
        <f t="shared" si="917"/>
        <v>#DIV/0!</v>
      </c>
      <c r="CH754" s="844" t="e">
        <f t="shared" si="917"/>
        <v>#DIV/0!</v>
      </c>
      <c r="CI754" s="844" t="e">
        <f t="shared" si="917"/>
        <v>#DIV/0!</v>
      </c>
      <c r="CJ754" s="844" t="e">
        <f t="shared" si="917"/>
        <v>#DIV/0!</v>
      </c>
      <c r="CK754" s="844" t="e">
        <f t="shared" si="917"/>
        <v>#DIV/0!</v>
      </c>
      <c r="CL754" s="844" t="e">
        <f t="shared" si="917"/>
        <v>#DIV/0!</v>
      </c>
      <c r="CM754" s="844" t="e">
        <f t="shared" si="917"/>
        <v>#DIV/0!</v>
      </c>
      <c r="CN754" s="844" t="e">
        <f t="shared" si="917"/>
        <v>#DIV/0!</v>
      </c>
      <c r="CO754" s="844" t="e">
        <f t="shared" si="917"/>
        <v>#DIV/0!</v>
      </c>
      <c r="CP754" s="844" t="e">
        <f t="shared" si="917"/>
        <v>#DIV/0!</v>
      </c>
      <c r="CQ754" s="844" t="e">
        <f t="shared" si="917"/>
        <v>#DIV/0!</v>
      </c>
      <c r="CR754" s="844" t="e">
        <f t="shared" si="917"/>
        <v>#DIV/0!</v>
      </c>
      <c r="CS754" s="844" t="e">
        <f t="shared" si="917"/>
        <v>#DIV/0!</v>
      </c>
      <c r="CT754" s="844" t="e">
        <f t="shared" si="917"/>
        <v>#DIV/0!</v>
      </c>
      <c r="CU754" s="844" t="e">
        <f t="shared" si="917"/>
        <v>#DIV/0!</v>
      </c>
      <c r="CV754" s="844" t="e">
        <f t="shared" si="917"/>
        <v>#DIV/0!</v>
      </c>
      <c r="CW754" s="842"/>
      <c r="CX754" s="842"/>
      <c r="CY754" s="842"/>
      <c r="CZ754" s="842"/>
      <c r="DA754" s="842"/>
      <c r="DB754" s="842"/>
      <c r="DC754" s="842"/>
    </row>
    <row r="755" spans="2:107" s="15" customFormat="1" hidden="1" outlineLevel="1">
      <c r="B755" s="126" t="str">
        <f>B598</f>
        <v>LD5 Phase II (London)</v>
      </c>
      <c r="C755" s="123"/>
      <c r="D755" s="124"/>
      <c r="E755" s="124"/>
      <c r="F755" s="124"/>
      <c r="G755" s="124"/>
      <c r="H755" s="124"/>
      <c r="I755" s="124"/>
      <c r="J755" s="124"/>
      <c r="K755" s="124"/>
      <c r="L755" s="123"/>
      <c r="M755" s="123"/>
      <c r="N755" s="842"/>
      <c r="O755" s="844"/>
      <c r="P755" s="842"/>
      <c r="Q755" s="842"/>
      <c r="R755" s="842"/>
      <c r="S755" s="842"/>
      <c r="T755" s="842"/>
      <c r="U755" s="842"/>
      <c r="V755" s="842"/>
      <c r="W755" s="842"/>
      <c r="X755" s="842"/>
      <c r="Y755" s="842"/>
      <c r="Z755" s="842"/>
      <c r="AA755" s="842"/>
      <c r="AB755" s="842"/>
      <c r="AC755" s="842"/>
      <c r="AD755" s="842"/>
      <c r="AE755" s="123"/>
      <c r="AF755" s="123"/>
      <c r="AG755" s="123"/>
      <c r="AH755" s="123"/>
      <c r="AI755" s="123"/>
      <c r="AJ755" s="123"/>
      <c r="AK755" s="123"/>
      <c r="AL755" s="123"/>
      <c r="AM755" s="123"/>
      <c r="AN755" s="123"/>
      <c r="AO755" s="123"/>
      <c r="AP755" s="123"/>
      <c r="AQ755" s="123"/>
      <c r="AR755" s="123"/>
      <c r="AS755" s="123"/>
      <c r="AT755" s="123"/>
      <c r="AU755" s="123"/>
      <c r="AV755" s="123"/>
      <c r="AW755" s="123"/>
      <c r="AX755" s="123"/>
      <c r="AY755" s="123"/>
      <c r="AZ755" s="123"/>
      <c r="BA755" s="123"/>
      <c r="BB755" s="123"/>
      <c r="BC755" s="123"/>
      <c r="BD755" s="837"/>
      <c r="BE755" s="837"/>
      <c r="BF755" s="837"/>
      <c r="BG755" s="837"/>
      <c r="BH755" s="837"/>
      <c r="BI755" s="838"/>
      <c r="BJ755" s="837"/>
      <c r="BK755" s="837"/>
      <c r="BL755" s="837"/>
      <c r="BM755" s="837"/>
      <c r="BN755" s="837"/>
      <c r="BO755" s="837"/>
      <c r="BP755" s="122"/>
      <c r="BQ755" s="122"/>
      <c r="BR755" s="842"/>
      <c r="BS755" s="842"/>
      <c r="BT755" s="842"/>
      <c r="BU755" s="846"/>
      <c r="BV755" s="842"/>
      <c r="BW755" s="842"/>
      <c r="BX755" s="842"/>
      <c r="BY755" s="842"/>
      <c r="BZ755" s="842"/>
      <c r="CA755" s="842"/>
      <c r="CB755" s="842"/>
      <c r="CC755" s="842"/>
      <c r="CD755" s="842"/>
      <c r="CE755" s="842"/>
      <c r="CF755" s="842"/>
      <c r="CG755" s="842"/>
      <c r="CH755" s="842"/>
      <c r="CI755" s="842"/>
      <c r="CJ755" s="842"/>
      <c r="CK755" s="842"/>
      <c r="CL755" s="842"/>
      <c r="CM755" s="842"/>
      <c r="CN755" s="842"/>
      <c r="CO755" s="842"/>
      <c r="CP755" s="842"/>
      <c r="CQ755" s="842"/>
      <c r="CR755" s="842"/>
      <c r="CS755" s="842"/>
      <c r="CT755" s="842"/>
      <c r="CU755" s="842"/>
      <c r="CV755" s="842"/>
      <c r="CW755" s="842"/>
      <c r="CX755" s="842"/>
      <c r="CY755" s="842"/>
      <c r="CZ755" s="842"/>
      <c r="DA755" s="842"/>
      <c r="DB755" s="842"/>
      <c r="DC755" s="842"/>
    </row>
    <row r="756" spans="2:107" s="15" customFormat="1" hidden="1" outlineLevel="1">
      <c r="B756" s="129" t="s">
        <v>465</v>
      </c>
      <c r="C756" s="123"/>
      <c r="D756" s="124"/>
      <c r="E756" s="124"/>
      <c r="F756" s="124"/>
      <c r="G756" s="124"/>
      <c r="H756" s="124"/>
      <c r="I756" s="124"/>
      <c r="J756" s="124"/>
      <c r="K756" s="124"/>
      <c r="L756" s="123"/>
      <c r="M756" s="123"/>
      <c r="N756" s="842"/>
      <c r="O756" s="844"/>
      <c r="P756" s="842"/>
      <c r="Q756" s="842"/>
      <c r="R756" s="842"/>
      <c r="S756" s="842"/>
      <c r="T756" s="842"/>
      <c r="U756" s="842"/>
      <c r="V756" s="842"/>
      <c r="W756" s="842"/>
      <c r="X756" s="842"/>
      <c r="Y756" s="842"/>
      <c r="Z756" s="842"/>
      <c r="AA756" s="842"/>
      <c r="AB756" s="842"/>
      <c r="AC756" s="842"/>
      <c r="AD756" s="842"/>
      <c r="AE756" s="123"/>
      <c r="AF756" s="123"/>
      <c r="AG756" s="123"/>
      <c r="AH756" s="123"/>
      <c r="AI756" s="123"/>
      <c r="AJ756" s="123"/>
      <c r="AK756" s="123"/>
      <c r="AL756" s="123"/>
      <c r="AM756" s="123"/>
      <c r="AN756" s="123"/>
      <c r="AO756" s="123"/>
      <c r="AP756" s="123"/>
      <c r="AQ756" s="123"/>
      <c r="AR756" s="123"/>
      <c r="AS756" s="123"/>
      <c r="AT756" s="123"/>
      <c r="AU756" s="123"/>
      <c r="AV756" s="123"/>
      <c r="AW756" s="123"/>
      <c r="AX756" s="123"/>
      <c r="AY756" s="123"/>
      <c r="AZ756" s="123"/>
      <c r="BA756" s="123"/>
      <c r="BB756" s="123"/>
      <c r="BC756" s="123"/>
      <c r="BD756" s="837"/>
      <c r="BE756" s="837"/>
      <c r="BF756" s="837"/>
      <c r="BG756" s="837"/>
      <c r="BH756" s="837"/>
      <c r="BI756" s="838"/>
      <c r="BJ756" s="837"/>
      <c r="BK756" s="837"/>
      <c r="BL756" s="837"/>
      <c r="BM756" s="837"/>
      <c r="BN756" s="837"/>
      <c r="BO756" s="837"/>
      <c r="BP756" s="122"/>
      <c r="BQ756" s="122"/>
      <c r="BR756" s="842"/>
      <c r="BS756" s="842"/>
      <c r="BT756" s="842"/>
      <c r="BU756" s="846"/>
      <c r="BV756" s="842"/>
      <c r="BW756" s="842"/>
      <c r="BX756" s="842"/>
      <c r="BY756" s="842"/>
      <c r="BZ756" s="842"/>
      <c r="CA756" s="842"/>
      <c r="CB756" s="842"/>
      <c r="CC756" s="842"/>
      <c r="CD756" s="842"/>
      <c r="CE756" s="842"/>
      <c r="CF756" s="842"/>
      <c r="CG756" s="842"/>
      <c r="CH756" s="842"/>
      <c r="CI756" s="842"/>
      <c r="CJ756" s="842"/>
      <c r="CK756" s="842"/>
      <c r="CL756" s="842"/>
      <c r="CM756" s="842"/>
      <c r="CN756" s="842"/>
      <c r="CO756" s="842"/>
      <c r="CP756" s="842"/>
      <c r="CQ756" s="842"/>
      <c r="CR756" s="842"/>
      <c r="CS756" s="842"/>
      <c r="CT756" s="842"/>
      <c r="CU756" s="842"/>
      <c r="CV756" s="842"/>
      <c r="CW756" s="1097"/>
      <c r="CX756" s="1097"/>
      <c r="CY756" s="1097"/>
      <c r="CZ756" s="1097"/>
      <c r="DA756" s="1097"/>
      <c r="DB756" s="1097"/>
      <c r="DC756" s="1097"/>
    </row>
    <row r="757" spans="2:107" s="15" customFormat="1" hidden="1" outlineLevel="1">
      <c r="B757" s="189" t="s">
        <v>210</v>
      </c>
      <c r="C757" s="123"/>
      <c r="D757" s="124"/>
      <c r="E757" s="124"/>
      <c r="F757" s="124"/>
      <c r="G757" s="124"/>
      <c r="H757" s="124"/>
      <c r="I757" s="124"/>
      <c r="J757" s="124"/>
      <c r="K757" s="124"/>
      <c r="L757" s="123"/>
      <c r="M757" s="123"/>
      <c r="N757" s="842"/>
      <c r="O757" s="844"/>
      <c r="P757" s="842"/>
      <c r="Q757" s="842"/>
      <c r="R757" s="842"/>
      <c r="S757" s="842"/>
      <c r="T757" s="842"/>
      <c r="U757" s="842"/>
      <c r="V757" s="842"/>
      <c r="W757" s="842"/>
      <c r="X757" s="842"/>
      <c r="Y757" s="842"/>
      <c r="Z757" s="842"/>
      <c r="AA757" s="842"/>
      <c r="AB757" s="842"/>
      <c r="AC757" s="842"/>
      <c r="AD757" s="842"/>
      <c r="AE757" s="123"/>
      <c r="AF757" s="123"/>
      <c r="AG757" s="123"/>
      <c r="AH757" s="123"/>
      <c r="AI757" s="123"/>
      <c r="AJ757" s="123"/>
      <c r="AK757" s="123"/>
      <c r="AL757" s="123"/>
      <c r="AM757" s="123"/>
      <c r="AN757" s="123"/>
      <c r="AO757" s="123"/>
      <c r="AP757" s="123"/>
      <c r="AQ757" s="123"/>
      <c r="AR757" s="123"/>
      <c r="AS757" s="123"/>
      <c r="AT757" s="123"/>
      <c r="AU757" s="123"/>
      <c r="AV757" s="123"/>
      <c r="AW757" s="123"/>
      <c r="AX757" s="123"/>
      <c r="AY757" s="123"/>
      <c r="AZ757" s="123"/>
      <c r="BA757" s="123"/>
      <c r="BB757" s="123"/>
      <c r="BC757" s="123"/>
      <c r="BD757" s="837"/>
      <c r="BE757" s="837"/>
      <c r="BF757" s="837"/>
      <c r="BG757" s="837"/>
      <c r="BH757" s="837"/>
      <c r="BI757" s="838"/>
      <c r="BJ757" s="837"/>
      <c r="BK757" s="837"/>
      <c r="BL757" s="837"/>
      <c r="BM757" s="837"/>
      <c r="BN757" s="837"/>
      <c r="BO757" s="837"/>
      <c r="BP757" s="122"/>
      <c r="BQ757" s="122"/>
      <c r="BR757" s="842"/>
      <c r="BS757" s="842"/>
      <c r="BT757" s="842"/>
      <c r="BU757" s="846"/>
      <c r="BV757" s="842"/>
      <c r="BW757" s="842"/>
      <c r="BX757" s="842"/>
      <c r="BY757" s="842"/>
      <c r="BZ757" s="842"/>
      <c r="CA757" s="842"/>
      <c r="CB757" s="842"/>
      <c r="CC757" s="842"/>
      <c r="CD757" s="842"/>
      <c r="CE757" s="842"/>
      <c r="CF757" s="842"/>
      <c r="CG757" s="842"/>
      <c r="CH757" s="842"/>
      <c r="CI757" s="842"/>
      <c r="CJ757" s="842"/>
      <c r="CK757" s="842"/>
      <c r="CL757" s="842"/>
      <c r="CM757" s="842"/>
      <c r="CN757" s="842"/>
      <c r="CO757" s="842"/>
      <c r="CP757" s="842"/>
      <c r="CQ757" s="842"/>
      <c r="CR757" s="842"/>
      <c r="CS757" s="842"/>
      <c r="CT757" s="842"/>
      <c r="CU757" s="842"/>
      <c r="CV757" s="842"/>
      <c r="CW757" s="1097"/>
      <c r="CX757" s="1097"/>
      <c r="CY757" s="1097"/>
      <c r="CZ757" s="1097"/>
      <c r="DA757" s="1097"/>
      <c r="DB757" s="1097"/>
      <c r="DC757" s="1097"/>
    </row>
    <row r="758" spans="2:107" s="15" customFormat="1" hidden="1" outlineLevel="1">
      <c r="B758" s="126" t="str">
        <f>B571</f>
        <v>AM2 Phase 2 (Amsterdam)</v>
      </c>
      <c r="C758" s="123"/>
      <c r="D758" s="124"/>
      <c r="E758" s="124"/>
      <c r="F758" s="124"/>
      <c r="G758" s="124"/>
      <c r="H758" s="124"/>
      <c r="I758" s="124"/>
      <c r="J758" s="124"/>
      <c r="K758" s="124"/>
      <c r="L758" s="123"/>
      <c r="M758" s="123"/>
      <c r="N758" s="842"/>
      <c r="O758" s="844"/>
      <c r="P758" s="842"/>
      <c r="Q758" s="842"/>
      <c r="R758" s="842"/>
      <c r="S758" s="842"/>
      <c r="T758" s="842"/>
      <c r="U758" s="842"/>
      <c r="V758" s="842"/>
      <c r="W758" s="842"/>
      <c r="X758" s="842"/>
      <c r="Y758" s="842"/>
      <c r="Z758" s="842"/>
      <c r="AA758" s="842"/>
      <c r="AB758" s="842"/>
      <c r="AC758" s="842"/>
      <c r="AD758" s="842"/>
      <c r="AE758" s="123"/>
      <c r="AF758" s="123"/>
      <c r="AG758" s="123"/>
      <c r="AH758" s="123"/>
      <c r="AI758" s="123"/>
      <c r="AJ758" s="123"/>
      <c r="AK758" s="123"/>
      <c r="AL758" s="123"/>
      <c r="AM758" s="123"/>
      <c r="AN758" s="123"/>
      <c r="AO758" s="123"/>
      <c r="AP758" s="123"/>
      <c r="AQ758" s="123"/>
      <c r="AR758" s="123"/>
      <c r="AS758" s="123"/>
      <c r="AT758" s="123"/>
      <c r="AU758" s="123"/>
      <c r="AV758" s="123"/>
      <c r="AW758" s="123"/>
      <c r="AX758" s="123"/>
      <c r="AY758" s="123"/>
      <c r="AZ758" s="123"/>
      <c r="BA758" s="123"/>
      <c r="BB758" s="123"/>
      <c r="BC758" s="123"/>
      <c r="BD758" s="837"/>
      <c r="BE758" s="837"/>
      <c r="BF758" s="837"/>
      <c r="BG758" s="837"/>
      <c r="BH758" s="837"/>
      <c r="BI758" s="838"/>
      <c r="BJ758" s="837"/>
      <c r="BK758" s="837"/>
      <c r="BL758" s="837"/>
      <c r="BM758" s="837"/>
      <c r="BN758" s="837"/>
      <c r="BO758" s="837"/>
      <c r="BP758" s="122"/>
      <c r="BQ758" s="122"/>
      <c r="BR758" s="842"/>
      <c r="BS758" s="842"/>
      <c r="BT758" s="842"/>
      <c r="BU758" s="846"/>
      <c r="BV758" s="842"/>
      <c r="BW758" s="842"/>
      <c r="BX758" s="842"/>
      <c r="BY758" s="842"/>
      <c r="BZ758" s="842"/>
      <c r="CA758" s="842"/>
      <c r="CB758" s="842"/>
      <c r="CC758" s="842"/>
      <c r="CD758" s="842"/>
      <c r="CE758" s="842"/>
      <c r="CF758" s="842"/>
      <c r="CG758" s="842"/>
      <c r="CH758" s="842"/>
      <c r="CI758" s="842"/>
      <c r="CJ758" s="842"/>
      <c r="CK758" s="842"/>
      <c r="CL758" s="842"/>
      <c r="CM758" s="842"/>
      <c r="CN758" s="842"/>
      <c r="CO758" s="842"/>
      <c r="CP758" s="842"/>
      <c r="CQ758" s="842"/>
      <c r="CR758" s="842"/>
      <c r="CS758" s="842"/>
      <c r="CT758" s="842"/>
      <c r="CU758" s="842"/>
      <c r="CV758" s="842"/>
      <c r="CW758" s="1097"/>
      <c r="CX758" s="1097"/>
      <c r="CY758" s="1097"/>
      <c r="CZ758" s="1097"/>
      <c r="DA758" s="1097"/>
      <c r="DB758" s="1097"/>
      <c r="DC758" s="1097"/>
    </row>
    <row r="759" spans="2:107" s="15" customFormat="1" hidden="1" outlineLevel="1">
      <c r="B759" s="129" t="s">
        <v>465</v>
      </c>
      <c r="C759" s="123"/>
      <c r="D759" s="124"/>
      <c r="E759" s="124"/>
      <c r="F759" s="124"/>
      <c r="G759" s="124"/>
      <c r="H759" s="124"/>
      <c r="I759" s="124"/>
      <c r="J759" s="124"/>
      <c r="K759" s="124"/>
      <c r="L759" s="123"/>
      <c r="M759" s="123"/>
      <c r="N759" s="842"/>
      <c r="O759" s="844"/>
      <c r="P759" s="842"/>
      <c r="Q759" s="842"/>
      <c r="R759" s="842"/>
      <c r="S759" s="842"/>
      <c r="T759" s="842"/>
      <c r="U759" s="842"/>
      <c r="V759" s="842"/>
      <c r="W759" s="842"/>
      <c r="X759" s="842"/>
      <c r="Y759" s="842"/>
      <c r="Z759" s="842"/>
      <c r="AA759" s="842"/>
      <c r="AB759" s="842"/>
      <c r="AC759" s="842"/>
      <c r="AD759" s="842"/>
      <c r="AE759" s="123"/>
      <c r="AF759" s="123"/>
      <c r="AG759" s="123"/>
      <c r="AH759" s="123"/>
      <c r="AI759" s="123"/>
      <c r="AJ759" s="123"/>
      <c r="AK759" s="123"/>
      <c r="AL759" s="123"/>
      <c r="AM759" s="123"/>
      <c r="AN759" s="123"/>
      <c r="AO759" s="123"/>
      <c r="AP759" s="123"/>
      <c r="AQ759" s="123"/>
      <c r="AR759" s="123"/>
      <c r="AS759" s="123"/>
      <c r="AT759" s="123"/>
      <c r="AU759" s="123"/>
      <c r="AV759" s="123"/>
      <c r="AW759" s="123"/>
      <c r="AX759" s="123"/>
      <c r="AY759" s="123"/>
      <c r="AZ759" s="123"/>
      <c r="BA759" s="123"/>
      <c r="BB759" s="123"/>
      <c r="BC759" s="123"/>
      <c r="BD759" s="837"/>
      <c r="BE759" s="837"/>
      <c r="BF759" s="837"/>
      <c r="BG759" s="837"/>
      <c r="BH759" s="837"/>
      <c r="BI759" s="838"/>
      <c r="BJ759" s="837"/>
      <c r="BK759" s="837"/>
      <c r="BL759" s="837"/>
      <c r="BM759" s="837"/>
      <c r="BN759" s="837"/>
      <c r="BO759" s="837"/>
      <c r="BP759" s="122"/>
      <c r="BQ759" s="122"/>
      <c r="BR759" s="842"/>
      <c r="BS759" s="842"/>
      <c r="BT759" s="842"/>
      <c r="BU759" s="846"/>
      <c r="BV759" s="842"/>
      <c r="BW759" s="842"/>
      <c r="BX759" s="842"/>
      <c r="BY759" s="842"/>
      <c r="BZ759" s="842"/>
      <c r="CA759" s="842"/>
      <c r="CB759" s="842"/>
      <c r="CC759" s="842"/>
      <c r="CD759" s="842"/>
      <c r="CE759" s="842"/>
      <c r="CF759" s="842"/>
      <c r="CG759" s="842"/>
      <c r="CH759" s="842"/>
      <c r="CI759" s="842"/>
      <c r="CJ759" s="842"/>
      <c r="CK759" s="842"/>
      <c r="CL759" s="842"/>
      <c r="CM759" s="842"/>
      <c r="CN759" s="842"/>
      <c r="CO759" s="842"/>
      <c r="CP759" s="842"/>
      <c r="CQ759" s="842"/>
      <c r="CR759" s="842"/>
      <c r="CS759" s="842"/>
      <c r="CT759" s="842"/>
      <c r="CU759" s="842"/>
      <c r="CV759" s="842"/>
      <c r="CW759" s="1098"/>
      <c r="CX759" s="1098"/>
      <c r="CY759" s="1098"/>
      <c r="CZ759" s="1098"/>
      <c r="DA759" s="1098"/>
      <c r="DB759" s="1098"/>
      <c r="DC759" s="1098"/>
    </row>
    <row r="760" spans="2:107" s="15" customFormat="1" hidden="1" outlineLevel="1">
      <c r="B760" s="189" t="s">
        <v>210</v>
      </c>
      <c r="C760" s="123"/>
      <c r="D760" s="124"/>
      <c r="E760" s="124"/>
      <c r="F760" s="124"/>
      <c r="G760" s="124"/>
      <c r="H760" s="124"/>
      <c r="I760" s="124"/>
      <c r="J760" s="124"/>
      <c r="K760" s="124"/>
      <c r="L760" s="123"/>
      <c r="M760" s="123"/>
      <c r="N760" s="842"/>
      <c r="O760" s="844"/>
      <c r="P760" s="842"/>
      <c r="Q760" s="842"/>
      <c r="R760" s="842"/>
      <c r="S760" s="842"/>
      <c r="T760" s="842"/>
      <c r="U760" s="842"/>
      <c r="V760" s="842"/>
      <c r="W760" s="842"/>
      <c r="X760" s="842"/>
      <c r="Y760" s="842"/>
      <c r="Z760" s="842"/>
      <c r="AA760" s="842"/>
      <c r="AB760" s="842"/>
      <c r="AC760" s="842"/>
      <c r="AD760" s="842"/>
      <c r="AE760" s="123"/>
      <c r="AF760" s="123"/>
      <c r="AG760" s="123"/>
      <c r="AH760" s="123"/>
      <c r="AI760" s="123"/>
      <c r="AJ760" s="123"/>
      <c r="AK760" s="123"/>
      <c r="AL760" s="123"/>
      <c r="AM760" s="123"/>
      <c r="AN760" s="123"/>
      <c r="AO760" s="123"/>
      <c r="AP760" s="123"/>
      <c r="AQ760" s="123"/>
      <c r="AR760" s="123"/>
      <c r="AS760" s="123"/>
      <c r="AT760" s="123"/>
      <c r="AU760" s="123"/>
      <c r="AV760" s="123"/>
      <c r="AW760" s="123"/>
      <c r="AX760" s="123"/>
      <c r="AY760" s="123"/>
      <c r="AZ760" s="123"/>
      <c r="BA760" s="123"/>
      <c r="BB760" s="123"/>
      <c r="BC760" s="123"/>
      <c r="BD760" s="837"/>
      <c r="BE760" s="837"/>
      <c r="BF760" s="837"/>
      <c r="BG760" s="837"/>
      <c r="BH760" s="837"/>
      <c r="BI760" s="838"/>
      <c r="BJ760" s="837"/>
      <c r="BK760" s="837"/>
      <c r="BL760" s="837"/>
      <c r="BM760" s="837"/>
      <c r="BN760" s="837"/>
      <c r="BO760" s="837"/>
      <c r="BP760" s="122"/>
      <c r="BQ760" s="122"/>
      <c r="BR760" s="842"/>
      <c r="BS760" s="842"/>
      <c r="BT760" s="842"/>
      <c r="BU760" s="846"/>
      <c r="BV760" s="842"/>
      <c r="BW760" s="842"/>
      <c r="BX760" s="842"/>
      <c r="BY760" s="842"/>
      <c r="BZ760" s="842"/>
      <c r="CA760" s="842"/>
      <c r="CB760" s="842"/>
      <c r="CC760" s="842"/>
      <c r="CD760" s="842"/>
      <c r="CE760" s="842"/>
      <c r="CF760" s="842"/>
      <c r="CG760" s="842"/>
      <c r="CH760" s="842"/>
      <c r="CI760" s="842"/>
      <c r="CJ760" s="842"/>
      <c r="CK760" s="842"/>
      <c r="CL760" s="842"/>
      <c r="CM760" s="842"/>
      <c r="CN760" s="842"/>
      <c r="CO760" s="842"/>
      <c r="CP760" s="842"/>
      <c r="CQ760" s="842"/>
      <c r="CR760" s="842"/>
      <c r="CS760" s="842"/>
      <c r="CT760" s="842"/>
      <c r="CU760" s="842"/>
      <c r="CV760" s="842"/>
      <c r="CW760" s="1099"/>
      <c r="CX760" s="1099"/>
      <c r="CY760" s="1099"/>
      <c r="CZ760" s="1099"/>
      <c r="DA760" s="1099"/>
      <c r="DB760" s="1099"/>
      <c r="DC760" s="1099"/>
    </row>
    <row r="761" spans="2:107" s="15" customFormat="1" hidden="1" outlineLevel="1">
      <c r="B761" s="126" t="str">
        <f>B607</f>
        <v>PA4 phase 1 (Paris)</v>
      </c>
      <c r="C761" s="123"/>
      <c r="D761" s="124"/>
      <c r="E761" s="124"/>
      <c r="F761" s="124"/>
      <c r="G761" s="124"/>
      <c r="H761" s="124"/>
      <c r="I761" s="124"/>
      <c r="J761" s="124"/>
      <c r="K761" s="124"/>
      <c r="L761" s="123"/>
      <c r="M761" s="123"/>
      <c r="N761" s="842"/>
      <c r="O761" s="844"/>
      <c r="P761" s="842"/>
      <c r="Q761" s="842"/>
      <c r="R761" s="842"/>
      <c r="S761" s="842"/>
      <c r="T761" s="842"/>
      <c r="U761" s="842"/>
      <c r="V761" s="842"/>
      <c r="W761" s="842"/>
      <c r="X761" s="842"/>
      <c r="Y761" s="842"/>
      <c r="Z761" s="842"/>
      <c r="AA761" s="842"/>
      <c r="AB761" s="842"/>
      <c r="AC761" s="842"/>
      <c r="AD761" s="842"/>
      <c r="AE761" s="123"/>
      <c r="AF761" s="123"/>
      <c r="AG761" s="123"/>
      <c r="AH761" s="123"/>
      <c r="AI761" s="123"/>
      <c r="AJ761" s="123"/>
      <c r="AK761" s="123"/>
      <c r="AL761" s="123"/>
      <c r="AM761" s="123"/>
      <c r="AN761" s="123"/>
      <c r="AO761" s="123"/>
      <c r="AP761" s="123"/>
      <c r="AQ761" s="123"/>
      <c r="AR761" s="123"/>
      <c r="AS761" s="123"/>
      <c r="AT761" s="123"/>
      <c r="AU761" s="123"/>
      <c r="AV761" s="123"/>
      <c r="AW761" s="123"/>
      <c r="AX761" s="123"/>
      <c r="AY761" s="123"/>
      <c r="AZ761" s="123"/>
      <c r="BA761" s="123"/>
      <c r="BB761" s="123"/>
      <c r="BC761" s="123"/>
      <c r="BD761" s="837"/>
      <c r="BE761" s="837"/>
      <c r="BF761" s="837"/>
      <c r="BG761" s="837"/>
      <c r="BH761" s="837"/>
      <c r="BI761" s="838"/>
      <c r="BJ761" s="837"/>
      <c r="BK761" s="837"/>
      <c r="BL761" s="837"/>
      <c r="BM761" s="837"/>
      <c r="BN761" s="837"/>
      <c r="BO761" s="837"/>
      <c r="BP761" s="122"/>
      <c r="BQ761" s="122"/>
      <c r="BR761" s="842"/>
      <c r="BS761" s="842"/>
      <c r="BT761" s="842"/>
      <c r="BU761" s="846"/>
      <c r="BV761" s="842"/>
      <c r="BW761" s="842"/>
      <c r="BX761" s="842"/>
      <c r="BY761" s="842"/>
      <c r="BZ761" s="842"/>
      <c r="CA761" s="842"/>
      <c r="CB761" s="842"/>
      <c r="CC761" s="842"/>
      <c r="CD761" s="842"/>
      <c r="CE761" s="842"/>
      <c r="CF761" s="842"/>
      <c r="CG761" s="842"/>
      <c r="CH761" s="842"/>
      <c r="CI761" s="842"/>
      <c r="CJ761" s="842"/>
      <c r="CK761" s="842"/>
      <c r="CL761" s="842"/>
      <c r="CM761" s="842"/>
      <c r="CN761" s="842"/>
      <c r="CO761" s="842"/>
      <c r="CP761" s="842"/>
      <c r="CQ761" s="842"/>
      <c r="CR761" s="842"/>
      <c r="CS761" s="842"/>
      <c r="CT761" s="842"/>
      <c r="CU761" s="842"/>
      <c r="CV761" s="842"/>
      <c r="CW761" s="1097"/>
      <c r="CX761" s="1097"/>
      <c r="CY761" s="1097"/>
      <c r="CZ761" s="1097"/>
      <c r="DA761" s="1097"/>
      <c r="DB761" s="1097"/>
      <c r="DC761" s="1097"/>
    </row>
    <row r="762" spans="2:107" s="15" customFormat="1" hidden="1" outlineLevel="1">
      <c r="B762" s="129" t="s">
        <v>465</v>
      </c>
      <c r="C762" s="123"/>
      <c r="D762" s="124"/>
      <c r="E762" s="124"/>
      <c r="F762" s="124"/>
      <c r="G762" s="124"/>
      <c r="H762" s="124"/>
      <c r="I762" s="124"/>
      <c r="J762" s="124"/>
      <c r="K762" s="124"/>
      <c r="L762" s="123"/>
      <c r="M762" s="123"/>
      <c r="N762" s="842"/>
      <c r="O762" s="844"/>
      <c r="Q762" s="843"/>
      <c r="R762" s="843"/>
      <c r="S762" s="843"/>
      <c r="T762" s="843"/>
      <c r="U762" s="843"/>
      <c r="V762" s="843"/>
      <c r="W762" s="843"/>
      <c r="X762" s="842"/>
      <c r="Y762" s="842"/>
      <c r="Z762" s="842"/>
      <c r="AA762" s="842"/>
      <c r="AB762" s="842"/>
      <c r="AC762" s="842"/>
      <c r="AD762" s="842"/>
      <c r="AE762" s="123"/>
      <c r="AF762" s="123"/>
      <c r="AG762" s="123"/>
      <c r="AH762" s="123"/>
      <c r="AI762" s="123"/>
      <c r="AJ762" s="123"/>
      <c r="AK762" s="123"/>
      <c r="AL762" s="123"/>
      <c r="AM762" s="123"/>
      <c r="AN762" s="123"/>
      <c r="AO762" s="123"/>
      <c r="AP762" s="123"/>
      <c r="AQ762" s="123"/>
      <c r="AR762" s="123"/>
      <c r="AS762" s="123"/>
      <c r="AT762" s="123"/>
      <c r="AU762" s="123"/>
      <c r="AV762" s="123"/>
      <c r="AW762" s="123"/>
      <c r="AX762" s="123"/>
      <c r="AY762" s="123"/>
      <c r="AZ762" s="123"/>
      <c r="BA762" s="123"/>
      <c r="BB762" s="123"/>
      <c r="BC762" s="123"/>
      <c r="BD762" s="837"/>
      <c r="BE762" s="837"/>
      <c r="BF762" s="837"/>
      <c r="BG762" s="837"/>
      <c r="BH762" s="837"/>
      <c r="BI762" s="838"/>
      <c r="BJ762" s="837"/>
      <c r="BK762" s="837"/>
      <c r="BL762" s="837"/>
      <c r="BM762" s="837"/>
      <c r="BN762" s="837"/>
      <c r="BO762" s="837"/>
      <c r="BP762" s="122"/>
      <c r="BQ762" s="122"/>
      <c r="BR762" s="842"/>
      <c r="BS762" s="842"/>
      <c r="BT762" s="842"/>
      <c r="BU762" s="846"/>
      <c r="BV762" s="842"/>
      <c r="BW762" s="842"/>
      <c r="BX762" s="842"/>
      <c r="BY762" s="842"/>
      <c r="BZ762" s="842"/>
      <c r="CA762" s="842"/>
      <c r="CB762" s="842"/>
      <c r="CC762" s="842"/>
      <c r="CD762" s="842"/>
      <c r="CE762" s="842"/>
      <c r="CF762" s="842"/>
      <c r="CG762" s="842"/>
      <c r="CH762" s="842"/>
      <c r="CI762" s="842"/>
      <c r="CJ762" s="842"/>
      <c r="CK762" s="842"/>
      <c r="CL762" s="842"/>
      <c r="CM762" s="842"/>
      <c r="CN762" s="842"/>
      <c r="CO762" s="842"/>
      <c r="CP762" s="842"/>
      <c r="CQ762" s="842"/>
      <c r="CR762" s="842"/>
      <c r="CS762" s="842"/>
      <c r="CT762" s="842"/>
      <c r="CU762" s="842"/>
      <c r="CV762" s="842"/>
      <c r="CW762" s="1097"/>
      <c r="CX762" s="1097"/>
      <c r="CY762" s="1097"/>
      <c r="CZ762" s="1097"/>
      <c r="DA762" s="1097"/>
      <c r="DB762" s="1097"/>
      <c r="DC762" s="1097"/>
    </row>
    <row r="763" spans="2:107" s="15" customFormat="1" hidden="1" outlineLevel="1">
      <c r="B763" s="189" t="s">
        <v>210</v>
      </c>
      <c r="C763" s="123"/>
      <c r="D763" s="124"/>
      <c r="E763" s="124"/>
      <c r="F763" s="124"/>
      <c r="G763" s="124"/>
      <c r="H763" s="124"/>
      <c r="I763" s="124"/>
      <c r="J763" s="124"/>
      <c r="K763" s="124"/>
      <c r="L763" s="123"/>
      <c r="M763" s="123"/>
      <c r="N763" s="842"/>
      <c r="O763" s="844"/>
      <c r="Q763" s="844"/>
      <c r="R763" s="844"/>
      <c r="S763" s="844"/>
      <c r="T763" s="844"/>
      <c r="U763" s="844"/>
      <c r="V763" s="844"/>
      <c r="W763" s="844"/>
      <c r="X763" s="842"/>
      <c r="Y763" s="842"/>
      <c r="Z763" s="842"/>
      <c r="AA763" s="842"/>
      <c r="AB763" s="842"/>
      <c r="AC763" s="842"/>
      <c r="AD763" s="842"/>
      <c r="AE763" s="123"/>
      <c r="AF763" s="123"/>
      <c r="AG763" s="123"/>
      <c r="AH763" s="123"/>
      <c r="AI763" s="123"/>
      <c r="AJ763" s="123"/>
      <c r="AK763" s="123"/>
      <c r="AL763" s="123"/>
      <c r="AM763" s="123"/>
      <c r="AN763" s="123"/>
      <c r="AO763" s="123"/>
      <c r="AP763" s="123"/>
      <c r="AQ763" s="123"/>
      <c r="AR763" s="123"/>
      <c r="AS763" s="123"/>
      <c r="AT763" s="123"/>
      <c r="AU763" s="123"/>
      <c r="AV763" s="123"/>
      <c r="AW763" s="123"/>
      <c r="AX763" s="123"/>
      <c r="AY763" s="123"/>
      <c r="AZ763" s="123"/>
      <c r="BA763" s="123"/>
      <c r="BB763" s="123"/>
      <c r="BC763" s="123"/>
      <c r="BD763" s="837"/>
      <c r="BE763" s="837"/>
      <c r="BF763" s="837"/>
      <c r="BG763" s="837"/>
      <c r="BH763" s="837"/>
      <c r="BI763" s="838"/>
      <c r="BJ763" s="837"/>
      <c r="BK763" s="837"/>
      <c r="BL763" s="837"/>
      <c r="BM763" s="837"/>
      <c r="BN763" s="837"/>
      <c r="BO763" s="837"/>
      <c r="BP763" s="122"/>
      <c r="BQ763" s="122"/>
      <c r="BR763" s="842"/>
      <c r="BS763" s="842"/>
      <c r="BT763" s="842"/>
      <c r="BU763" s="846"/>
      <c r="BV763" s="842"/>
      <c r="BW763" s="842"/>
      <c r="BX763" s="842"/>
      <c r="BY763" s="842"/>
      <c r="BZ763" s="842"/>
      <c r="CA763" s="842"/>
      <c r="CB763" s="842"/>
      <c r="CC763" s="842"/>
      <c r="CD763" s="842"/>
      <c r="CE763" s="842"/>
      <c r="CF763" s="842"/>
      <c r="CG763" s="842"/>
      <c r="CH763" s="842"/>
      <c r="CI763" s="842"/>
      <c r="CJ763" s="842"/>
      <c r="CK763" s="842"/>
      <c r="CL763" s="842"/>
      <c r="CM763" s="842"/>
      <c r="CN763" s="842"/>
      <c r="CO763" s="842"/>
      <c r="CP763" s="842"/>
      <c r="CQ763" s="842"/>
      <c r="CR763" s="842"/>
      <c r="CS763" s="842"/>
      <c r="CT763" s="842"/>
      <c r="CU763" s="842"/>
      <c r="CV763" s="842"/>
      <c r="CW763" s="1097"/>
      <c r="CX763" s="1097"/>
      <c r="CY763" s="1097"/>
      <c r="CZ763" s="1097"/>
      <c r="DA763" s="1097"/>
      <c r="DB763" s="1097"/>
      <c r="DC763" s="1097"/>
    </row>
    <row r="764" spans="2:107" s="15" customFormat="1" ht="12.75" hidden="1" customHeight="1" outlineLevel="1">
      <c r="B764" s="189"/>
      <c r="C764" s="123"/>
      <c r="D764" s="124"/>
      <c r="E764" s="124"/>
      <c r="F764" s="124"/>
      <c r="G764" s="124"/>
      <c r="H764" s="124"/>
      <c r="I764" s="124"/>
      <c r="J764" s="124"/>
      <c r="K764" s="124"/>
      <c r="L764" s="123"/>
      <c r="M764" s="123"/>
      <c r="N764" s="842"/>
      <c r="O764" s="842">
        <f>SUM(BT764:BW764)</f>
        <v>0</v>
      </c>
      <c r="P764" s="842"/>
      <c r="Q764" s="842"/>
      <c r="R764" s="842"/>
      <c r="S764" s="842"/>
      <c r="T764" s="842"/>
      <c r="U764" s="842"/>
      <c r="V764" s="842"/>
      <c r="W764" s="842"/>
      <c r="X764" s="842"/>
      <c r="Y764" s="842"/>
      <c r="Z764" s="842"/>
      <c r="AA764" s="842"/>
      <c r="AB764" s="842"/>
      <c r="AC764" s="842"/>
      <c r="AD764" s="842"/>
      <c r="AE764" s="123"/>
      <c r="AF764" s="123"/>
      <c r="AG764" s="123"/>
      <c r="AH764" s="123"/>
      <c r="AI764" s="123"/>
      <c r="AJ764" s="123"/>
      <c r="AK764" s="123"/>
      <c r="AL764" s="123"/>
      <c r="AM764" s="123"/>
      <c r="AN764" s="123"/>
      <c r="AO764" s="123"/>
      <c r="AP764" s="123"/>
      <c r="AQ764" s="123"/>
      <c r="AR764" s="123"/>
      <c r="AS764" s="123"/>
      <c r="AT764" s="123"/>
      <c r="AU764" s="123"/>
      <c r="AV764" s="123"/>
      <c r="AW764" s="123"/>
      <c r="AX764" s="123"/>
      <c r="AY764" s="123"/>
      <c r="AZ764" s="123"/>
      <c r="BA764" s="123"/>
      <c r="BB764" s="123"/>
      <c r="BC764" s="123"/>
      <c r="BD764" s="837"/>
      <c r="BE764" s="837"/>
      <c r="BF764" s="837"/>
      <c r="BG764" s="837"/>
      <c r="BH764" s="837"/>
      <c r="BI764" s="838"/>
      <c r="BJ764" s="837"/>
      <c r="BK764" s="837"/>
      <c r="BL764" s="837"/>
      <c r="BM764" s="837"/>
      <c r="BN764" s="837"/>
      <c r="BO764" s="837"/>
      <c r="BP764" s="122"/>
      <c r="BQ764" s="122"/>
      <c r="BR764" s="842"/>
      <c r="BS764" s="842"/>
      <c r="BT764" s="842"/>
      <c r="BU764" s="842"/>
      <c r="BV764" s="842"/>
      <c r="BW764" s="842"/>
      <c r="BX764" s="842"/>
      <c r="BY764" s="842"/>
      <c r="BZ764" s="842"/>
      <c r="CA764" s="842"/>
      <c r="CB764" s="842"/>
      <c r="CC764" s="842"/>
      <c r="CD764" s="842"/>
      <c r="CE764" s="842"/>
      <c r="CF764" s="842"/>
      <c r="CG764" s="842"/>
      <c r="CH764" s="842"/>
      <c r="CI764" s="842"/>
      <c r="CJ764" s="842"/>
      <c r="CK764" s="842"/>
      <c r="CL764" s="842"/>
      <c r="CM764" s="842"/>
      <c r="CN764" s="842"/>
      <c r="CO764" s="842"/>
      <c r="CP764" s="842"/>
      <c r="CQ764" s="842"/>
      <c r="CR764" s="842"/>
      <c r="CS764" s="842"/>
      <c r="CT764" s="842"/>
      <c r="CU764" s="842"/>
      <c r="CV764" s="842"/>
      <c r="CW764" s="1097"/>
      <c r="CX764" s="1097"/>
      <c r="CY764" s="1097"/>
      <c r="CZ764" s="1097"/>
      <c r="DA764" s="1097"/>
      <c r="DB764" s="1097"/>
      <c r="DC764" s="1097"/>
    </row>
    <row r="765" spans="2:107" s="15" customFormat="1" hidden="1" outlineLevel="1">
      <c r="B765" s="190" t="s">
        <v>181</v>
      </c>
      <c r="C765" s="123"/>
      <c r="D765" s="124"/>
      <c r="E765" s="124"/>
      <c r="F765" s="124"/>
      <c r="G765" s="124"/>
      <c r="H765" s="124"/>
      <c r="I765" s="124"/>
      <c r="J765" s="124"/>
      <c r="K765" s="124"/>
      <c r="L765" s="123"/>
      <c r="M765" s="123"/>
      <c r="N765" s="842"/>
      <c r="O765" s="842"/>
      <c r="P765" s="842"/>
      <c r="Q765" s="842"/>
      <c r="R765" s="842"/>
      <c r="S765" s="842"/>
      <c r="T765" s="842"/>
      <c r="U765" s="842"/>
      <c r="V765" s="842"/>
      <c r="W765" s="842"/>
      <c r="X765" s="842"/>
      <c r="Y765" s="842"/>
      <c r="Z765" s="842"/>
      <c r="AA765" s="842"/>
      <c r="AB765" s="842"/>
      <c r="AC765" s="842"/>
      <c r="AD765" s="842"/>
      <c r="AE765" s="123"/>
      <c r="AF765" s="123"/>
      <c r="AG765" s="123"/>
      <c r="AH765" s="123"/>
      <c r="AI765" s="123"/>
      <c r="AJ765" s="123"/>
      <c r="AK765" s="123"/>
      <c r="AL765" s="123"/>
      <c r="AM765" s="123"/>
      <c r="AN765" s="123"/>
      <c r="AO765" s="123"/>
      <c r="AP765" s="123"/>
      <c r="AQ765" s="123"/>
      <c r="AR765" s="123"/>
      <c r="AS765" s="123"/>
      <c r="AT765" s="123"/>
      <c r="AU765" s="123"/>
      <c r="AV765" s="123"/>
      <c r="AW765" s="123"/>
      <c r="AX765" s="123"/>
      <c r="AY765" s="123"/>
      <c r="AZ765" s="123"/>
      <c r="BA765" s="123"/>
      <c r="BB765" s="123"/>
      <c r="BC765" s="123"/>
      <c r="BD765" s="837"/>
      <c r="BE765" s="837"/>
      <c r="BF765" s="837"/>
      <c r="BG765" s="837"/>
      <c r="BH765" s="837"/>
      <c r="BI765" s="838"/>
      <c r="BJ765" s="837"/>
      <c r="BK765" s="837"/>
      <c r="BL765" s="837"/>
      <c r="BM765" s="837"/>
      <c r="BN765" s="837"/>
      <c r="BO765" s="837"/>
      <c r="BP765" s="122"/>
      <c r="BQ765" s="122"/>
      <c r="BR765" s="842"/>
      <c r="BS765" s="842"/>
      <c r="BT765" s="842"/>
      <c r="BU765" s="842"/>
      <c r="BV765" s="842"/>
      <c r="BW765" s="842"/>
      <c r="BX765" s="842"/>
      <c r="BY765" s="842"/>
      <c r="BZ765" s="842"/>
      <c r="CA765" s="842"/>
      <c r="CB765" s="842"/>
      <c r="CC765" s="842"/>
      <c r="CD765" s="842"/>
      <c r="CE765" s="842"/>
      <c r="CF765" s="842"/>
      <c r="CG765" s="842"/>
      <c r="CH765" s="842"/>
      <c r="CI765" s="842"/>
      <c r="CJ765" s="842"/>
      <c r="CK765" s="842"/>
      <c r="CL765" s="842"/>
      <c r="CM765" s="842"/>
      <c r="CN765" s="842"/>
      <c r="CO765" s="842"/>
      <c r="CP765" s="842"/>
      <c r="CQ765" s="842"/>
      <c r="CR765" s="842"/>
      <c r="CS765" s="842"/>
      <c r="CT765" s="842"/>
      <c r="CU765" s="842"/>
      <c r="CV765" s="842"/>
      <c r="CW765" s="1097"/>
      <c r="CX765" s="1097"/>
      <c r="CY765" s="1097"/>
      <c r="CZ765" s="1097"/>
      <c r="DA765" s="1097"/>
      <c r="DB765" s="1097"/>
      <c r="DC765" s="1097"/>
    </row>
    <row r="766" spans="2:107" s="15" customFormat="1" hidden="1" outlineLevel="1">
      <c r="B766" s="126" t="str">
        <f>B416</f>
        <v>HK1 Phase IV (Hong Kong)</v>
      </c>
      <c r="C766" s="123"/>
      <c r="D766" s="124"/>
      <c r="E766" s="124"/>
      <c r="F766" s="124"/>
      <c r="G766" s="124"/>
      <c r="H766" s="124"/>
      <c r="I766" s="124"/>
      <c r="J766" s="124"/>
      <c r="K766" s="124"/>
      <c r="L766" s="123"/>
      <c r="M766" s="123"/>
      <c r="N766" s="842"/>
      <c r="O766" s="842"/>
      <c r="P766" s="842"/>
      <c r="Q766" s="842"/>
      <c r="R766" s="842"/>
      <c r="S766" s="842"/>
      <c r="T766" s="842"/>
      <c r="U766" s="842"/>
      <c r="V766" s="842"/>
      <c r="W766" s="842"/>
      <c r="X766" s="842"/>
      <c r="Y766" s="842"/>
      <c r="Z766" s="842"/>
      <c r="AA766" s="842"/>
      <c r="AB766" s="842"/>
      <c r="AC766" s="842"/>
      <c r="AD766" s="842"/>
      <c r="AE766" s="123"/>
      <c r="AF766" s="123"/>
      <c r="AG766" s="123"/>
      <c r="AH766" s="123"/>
      <c r="AI766" s="123"/>
      <c r="AJ766" s="123"/>
      <c r="AK766" s="123"/>
      <c r="AL766" s="123"/>
      <c r="AM766" s="123"/>
      <c r="AN766" s="123"/>
      <c r="AO766" s="123"/>
      <c r="AP766" s="123"/>
      <c r="AQ766" s="123"/>
      <c r="AR766" s="123"/>
      <c r="AS766" s="123"/>
      <c r="AT766" s="123"/>
      <c r="AU766" s="123"/>
      <c r="AV766" s="123"/>
      <c r="AW766" s="123"/>
      <c r="AX766" s="123"/>
      <c r="AY766" s="123"/>
      <c r="AZ766" s="123"/>
      <c r="BA766" s="123"/>
      <c r="BB766" s="123"/>
      <c r="BC766" s="123"/>
      <c r="BD766" s="837"/>
      <c r="BE766" s="837"/>
      <c r="BF766" s="837"/>
      <c r="BG766" s="837"/>
      <c r="BH766" s="837"/>
      <c r="BI766" s="838"/>
      <c r="BJ766" s="837"/>
      <c r="BK766" s="837"/>
      <c r="BL766" s="837"/>
      <c r="BM766" s="837"/>
      <c r="BN766" s="837"/>
      <c r="BO766" s="837"/>
      <c r="BP766" s="122"/>
      <c r="BQ766" s="122"/>
      <c r="BR766" s="842"/>
      <c r="BS766" s="842"/>
      <c r="BT766" s="842"/>
      <c r="BU766" s="842"/>
      <c r="BV766" s="842"/>
      <c r="BW766" s="842"/>
      <c r="BX766" s="842"/>
      <c r="BY766" s="842"/>
      <c r="BZ766" s="842"/>
      <c r="CA766" s="842"/>
      <c r="CB766" s="842"/>
      <c r="CC766" s="842"/>
      <c r="CD766" s="842"/>
      <c r="CE766" s="842"/>
      <c r="CF766" s="842"/>
      <c r="CG766" s="842"/>
      <c r="CH766" s="842"/>
      <c r="CI766" s="842"/>
      <c r="CJ766" s="842"/>
      <c r="CK766" s="842"/>
      <c r="CL766" s="842"/>
      <c r="CM766" s="842"/>
      <c r="CN766" s="842"/>
      <c r="CO766" s="842"/>
      <c r="CP766" s="842"/>
      <c r="CQ766" s="842"/>
      <c r="CR766" s="842"/>
      <c r="CS766" s="842"/>
      <c r="CT766" s="842"/>
      <c r="CU766" s="842"/>
      <c r="CV766" s="842"/>
      <c r="CW766" s="1097"/>
      <c r="CX766" s="1097"/>
      <c r="CY766" s="1097"/>
      <c r="CZ766" s="1097"/>
      <c r="DA766" s="1097"/>
      <c r="DB766" s="1097"/>
      <c r="DC766" s="1097"/>
    </row>
    <row r="767" spans="2:107" s="15" customFormat="1" hidden="1" outlineLevel="1">
      <c r="B767" s="129" t="s">
        <v>465</v>
      </c>
      <c r="C767" s="123"/>
      <c r="D767" s="124"/>
      <c r="E767" s="124"/>
      <c r="F767" s="124"/>
      <c r="G767" s="124"/>
      <c r="H767" s="124"/>
      <c r="I767" s="124"/>
      <c r="J767" s="124"/>
      <c r="K767" s="124"/>
      <c r="L767" s="123"/>
      <c r="M767" s="123"/>
      <c r="N767" s="842"/>
      <c r="O767" s="843">
        <f>SUM(BT767:BW767)</f>
        <v>20</v>
      </c>
      <c r="P767" s="842"/>
      <c r="Q767" s="842"/>
      <c r="R767" s="842"/>
      <c r="S767" s="842"/>
      <c r="T767" s="842"/>
      <c r="U767" s="842"/>
      <c r="V767" s="842"/>
      <c r="W767" s="842"/>
      <c r="X767" s="842"/>
      <c r="Y767" s="842"/>
      <c r="Z767" s="842"/>
      <c r="AA767" s="842"/>
      <c r="AB767" s="842"/>
      <c r="AC767" s="842"/>
      <c r="AD767" s="842"/>
      <c r="AE767" s="123"/>
      <c r="AF767" s="123"/>
      <c r="AG767" s="123"/>
      <c r="AH767" s="123"/>
      <c r="AI767" s="123"/>
      <c r="AJ767" s="123"/>
      <c r="AK767" s="123"/>
      <c r="AL767" s="123"/>
      <c r="AM767" s="123"/>
      <c r="AN767" s="123"/>
      <c r="AO767" s="123"/>
      <c r="AP767" s="123"/>
      <c r="AQ767" s="123"/>
      <c r="AR767" s="123"/>
      <c r="AS767" s="123"/>
      <c r="AT767" s="123"/>
      <c r="AU767" s="123"/>
      <c r="AV767" s="123"/>
      <c r="AW767" s="123"/>
      <c r="AX767" s="123"/>
      <c r="AY767" s="123"/>
      <c r="AZ767" s="123"/>
      <c r="BA767" s="123"/>
      <c r="BB767" s="123"/>
      <c r="BC767" s="123"/>
      <c r="BD767" s="837"/>
      <c r="BE767" s="837"/>
      <c r="BF767" s="837"/>
      <c r="BG767" s="837"/>
      <c r="BH767" s="837"/>
      <c r="BI767" s="838"/>
      <c r="BJ767" s="837"/>
      <c r="BK767" s="837"/>
      <c r="BL767" s="837"/>
      <c r="BM767" s="837"/>
      <c r="BN767" s="837"/>
      <c r="BO767" s="837"/>
      <c r="BP767" s="122"/>
      <c r="BQ767" s="122"/>
      <c r="BR767" s="842"/>
      <c r="BS767" s="842"/>
      <c r="BT767" s="124"/>
      <c r="BU767" s="846">
        <v>20</v>
      </c>
      <c r="BV767" s="842"/>
      <c r="BW767" s="842"/>
      <c r="BX767" s="842"/>
      <c r="BY767" s="842"/>
      <c r="BZ767" s="842"/>
      <c r="CA767" s="842"/>
      <c r="CB767" s="842"/>
      <c r="CC767" s="842"/>
      <c r="CD767" s="842"/>
      <c r="CE767" s="842"/>
      <c r="CF767" s="842"/>
      <c r="CG767" s="842"/>
      <c r="CH767" s="842"/>
      <c r="CI767" s="842"/>
      <c r="CJ767" s="842"/>
      <c r="CK767" s="842"/>
      <c r="CL767" s="842"/>
      <c r="CM767" s="842"/>
      <c r="CN767" s="842"/>
      <c r="CO767" s="842"/>
      <c r="CP767" s="842"/>
      <c r="CQ767" s="842"/>
      <c r="CR767" s="842"/>
      <c r="CS767" s="842"/>
      <c r="CT767" s="842"/>
      <c r="CU767" s="842"/>
      <c r="CV767" s="842"/>
      <c r="CW767" s="1097"/>
      <c r="CX767" s="1097"/>
      <c r="CY767" s="1097"/>
      <c r="CZ767" s="1097"/>
      <c r="DA767" s="1097"/>
      <c r="DB767" s="1097"/>
      <c r="DC767" s="1097"/>
    </row>
    <row r="768" spans="2:107" s="15" customFormat="1" hidden="1" outlineLevel="1">
      <c r="B768" s="189" t="s">
        <v>210</v>
      </c>
      <c r="C768" s="123"/>
      <c r="D768" s="124"/>
      <c r="E768" s="124"/>
      <c r="F768" s="124"/>
      <c r="G768" s="124"/>
      <c r="H768" s="124"/>
      <c r="I768" s="124"/>
      <c r="J768" s="124"/>
      <c r="K768" s="124"/>
      <c r="L768" s="123"/>
      <c r="M768" s="123"/>
      <c r="N768" s="842"/>
      <c r="O768" s="844">
        <f>AVERAGE(BT768:BW768)</f>
        <v>40000</v>
      </c>
      <c r="P768" s="842"/>
      <c r="Q768" s="842"/>
      <c r="R768" s="842"/>
      <c r="S768" s="842"/>
      <c r="T768" s="842"/>
      <c r="U768" s="842"/>
      <c r="V768" s="842"/>
      <c r="W768" s="842"/>
      <c r="X768" s="842"/>
      <c r="Y768" s="842"/>
      <c r="Z768" s="842"/>
      <c r="AA768" s="842"/>
      <c r="AB768" s="842"/>
      <c r="AC768" s="842"/>
      <c r="AD768" s="842"/>
      <c r="AE768" s="123"/>
      <c r="AF768" s="123"/>
      <c r="AG768" s="123"/>
      <c r="AH768" s="123"/>
      <c r="AI768" s="123"/>
      <c r="AJ768" s="123"/>
      <c r="AK768" s="123"/>
      <c r="AL768" s="123"/>
      <c r="AM768" s="123"/>
      <c r="AN768" s="123"/>
      <c r="AO768" s="123"/>
      <c r="AP768" s="123"/>
      <c r="AQ768" s="123"/>
      <c r="AR768" s="123"/>
      <c r="AS768" s="123"/>
      <c r="AT768" s="123"/>
      <c r="AU768" s="123"/>
      <c r="AV768" s="123"/>
      <c r="AW768" s="123"/>
      <c r="AX768" s="123"/>
      <c r="AY768" s="123"/>
      <c r="AZ768" s="123"/>
      <c r="BA768" s="123"/>
      <c r="BB768" s="123"/>
      <c r="BC768" s="123"/>
      <c r="BD768" s="837"/>
      <c r="BE768" s="837"/>
      <c r="BF768" s="837"/>
      <c r="BG768" s="837"/>
      <c r="BH768" s="837"/>
      <c r="BI768" s="838"/>
      <c r="BJ768" s="837"/>
      <c r="BK768" s="837"/>
      <c r="BL768" s="837"/>
      <c r="BM768" s="837"/>
      <c r="BN768" s="837"/>
      <c r="BO768" s="837"/>
      <c r="BP768" s="122"/>
      <c r="BQ768" s="122"/>
      <c r="BR768" s="842"/>
      <c r="BS768" s="842"/>
      <c r="BT768" s="842"/>
      <c r="BU768" s="844">
        <f>BU767/BU416*1000000</f>
        <v>40000</v>
      </c>
      <c r="BV768" s="842"/>
      <c r="BW768" s="842"/>
      <c r="BX768" s="842"/>
      <c r="BY768" s="842"/>
      <c r="BZ768" s="842"/>
      <c r="CA768" s="842"/>
      <c r="CB768" s="842"/>
      <c r="CC768" s="842"/>
      <c r="CD768" s="842"/>
      <c r="CE768" s="842"/>
      <c r="CF768" s="842"/>
      <c r="CG768" s="842"/>
      <c r="CH768" s="842"/>
      <c r="CI768" s="842"/>
      <c r="CJ768" s="842"/>
      <c r="CK768" s="842"/>
      <c r="CL768" s="842"/>
      <c r="CM768" s="842"/>
      <c r="CN768" s="842"/>
      <c r="CO768" s="842"/>
      <c r="CP768" s="842"/>
      <c r="CQ768" s="842"/>
      <c r="CR768" s="842"/>
      <c r="CS768" s="842"/>
      <c r="CT768" s="842"/>
      <c r="CU768" s="842"/>
      <c r="CV768" s="842"/>
      <c r="CW768" s="1097"/>
      <c r="CX768" s="1097"/>
      <c r="CY768" s="1097"/>
      <c r="CZ768" s="1097"/>
      <c r="DA768" s="1097"/>
      <c r="DB768" s="1097"/>
      <c r="DC768" s="1097"/>
    </row>
    <row r="769" spans="2:107" s="15" customFormat="1" hidden="1" outlineLevel="1">
      <c r="B769" s="126" t="str">
        <f>B420</f>
        <v>HK2 phase 2 (Hong Kong)</v>
      </c>
      <c r="C769" s="123"/>
      <c r="D769" s="124"/>
      <c r="E769" s="124"/>
      <c r="F769" s="124"/>
      <c r="G769" s="124"/>
      <c r="H769" s="124"/>
      <c r="I769" s="124"/>
      <c r="J769" s="124"/>
      <c r="K769" s="124"/>
      <c r="L769" s="123"/>
      <c r="M769" s="123"/>
      <c r="N769" s="842"/>
      <c r="O769" s="844"/>
      <c r="P769" s="124"/>
      <c r="Q769" s="842"/>
      <c r="R769" s="842"/>
      <c r="S769" s="842"/>
      <c r="T769" s="842"/>
      <c r="U769" s="842"/>
      <c r="V769" s="842"/>
      <c r="W769" s="842"/>
      <c r="X769" s="842"/>
      <c r="Y769" s="842"/>
      <c r="Z769" s="842"/>
      <c r="AA769" s="842"/>
      <c r="AB769" s="842"/>
      <c r="AC769" s="842"/>
      <c r="AD769" s="842"/>
      <c r="AE769" s="123"/>
      <c r="AF769" s="123"/>
      <c r="AG769" s="123"/>
      <c r="AH769" s="123"/>
      <c r="AI769" s="123"/>
      <c r="AJ769" s="123"/>
      <c r="AK769" s="123"/>
      <c r="AL769" s="123"/>
      <c r="AM769" s="123"/>
      <c r="AN769" s="123"/>
      <c r="AO769" s="123"/>
      <c r="AP769" s="123"/>
      <c r="AQ769" s="123"/>
      <c r="AR769" s="123"/>
      <c r="AS769" s="123"/>
      <c r="AT769" s="123"/>
      <c r="AU769" s="123"/>
      <c r="AV769" s="123"/>
      <c r="AW769" s="123"/>
      <c r="AX769" s="123"/>
      <c r="AY769" s="123"/>
      <c r="AZ769" s="123"/>
      <c r="BA769" s="123"/>
      <c r="BB769" s="123"/>
      <c r="BC769" s="123"/>
      <c r="BD769" s="837"/>
      <c r="BE769" s="837"/>
      <c r="BF769" s="837"/>
      <c r="BG769" s="837"/>
      <c r="BH769" s="837"/>
      <c r="BI769" s="838"/>
      <c r="BJ769" s="837"/>
      <c r="BK769" s="837"/>
      <c r="BL769" s="837"/>
      <c r="BM769" s="837"/>
      <c r="BN769" s="837"/>
      <c r="BO769" s="837"/>
      <c r="BP769" s="122"/>
      <c r="BQ769" s="122"/>
      <c r="BR769" s="842"/>
      <c r="BS769" s="842"/>
      <c r="BT769" s="842"/>
      <c r="BU769" s="844"/>
      <c r="BV769" s="842"/>
      <c r="BW769" s="842"/>
      <c r="BX769" s="842"/>
      <c r="BY769" s="842"/>
      <c r="BZ769" s="842"/>
      <c r="CA769" s="842"/>
      <c r="CB769" s="842"/>
      <c r="CC769" s="842"/>
      <c r="CD769" s="842"/>
      <c r="CE769" s="842"/>
      <c r="CF769" s="842"/>
      <c r="CG769" s="842"/>
      <c r="CH769" s="842"/>
      <c r="CI769" s="842"/>
      <c r="CJ769" s="842"/>
      <c r="CK769" s="842"/>
      <c r="CL769" s="842"/>
      <c r="CM769" s="842"/>
      <c r="CN769" s="842"/>
      <c r="CO769" s="842"/>
      <c r="CP769" s="842"/>
      <c r="CQ769" s="842"/>
      <c r="CR769" s="842"/>
      <c r="CS769" s="842"/>
      <c r="CT769" s="842"/>
      <c r="CU769" s="842"/>
      <c r="CV769" s="842"/>
      <c r="CW769" s="1097"/>
      <c r="CX769" s="1097"/>
      <c r="CY769" s="1097"/>
      <c r="CZ769" s="1097"/>
      <c r="DA769" s="1097"/>
      <c r="DB769" s="1097"/>
      <c r="DC769" s="1097"/>
    </row>
    <row r="770" spans="2:107" s="15" customFormat="1" hidden="1" outlineLevel="1">
      <c r="B770" s="129" t="s">
        <v>465</v>
      </c>
      <c r="C770" s="123"/>
      <c r="D770" s="124"/>
      <c r="E770" s="124"/>
      <c r="F770" s="124"/>
      <c r="G770" s="124"/>
      <c r="H770" s="124"/>
      <c r="I770" s="124"/>
      <c r="J770" s="124"/>
      <c r="K770" s="124"/>
      <c r="L770" s="123"/>
      <c r="M770" s="123"/>
      <c r="N770" s="842"/>
      <c r="O770" s="844"/>
      <c r="P770" s="843">
        <v>20</v>
      </c>
      <c r="Q770" s="843">
        <v>20</v>
      </c>
      <c r="R770" s="843">
        <v>20</v>
      </c>
      <c r="S770" s="843">
        <v>20</v>
      </c>
      <c r="T770" s="843">
        <v>20</v>
      </c>
      <c r="U770" s="843">
        <v>20</v>
      </c>
      <c r="V770" s="843">
        <v>20</v>
      </c>
      <c r="W770" s="843">
        <v>20</v>
      </c>
      <c r="X770" s="842"/>
      <c r="Y770" s="842"/>
      <c r="Z770" s="842"/>
      <c r="AA770" s="842"/>
      <c r="AB770" s="842"/>
      <c r="AC770" s="842"/>
      <c r="AD770" s="842"/>
      <c r="AE770" s="123"/>
      <c r="AF770" s="123"/>
      <c r="AG770" s="123"/>
      <c r="AH770" s="123"/>
      <c r="AI770" s="123"/>
      <c r="AJ770" s="123"/>
      <c r="AK770" s="123"/>
      <c r="AL770" s="123"/>
      <c r="AM770" s="123"/>
      <c r="AN770" s="123"/>
      <c r="AO770" s="123"/>
      <c r="AP770" s="123"/>
      <c r="AQ770" s="123"/>
      <c r="AR770" s="123"/>
      <c r="AS770" s="123"/>
      <c r="AT770" s="123"/>
      <c r="AU770" s="123"/>
      <c r="AV770" s="123"/>
      <c r="AW770" s="123"/>
      <c r="AX770" s="123"/>
      <c r="AY770" s="123"/>
      <c r="AZ770" s="123"/>
      <c r="BA770" s="123"/>
      <c r="BB770" s="123"/>
      <c r="BC770" s="123"/>
      <c r="BD770" s="837"/>
      <c r="BE770" s="837"/>
      <c r="BF770" s="837"/>
      <c r="BG770" s="837"/>
      <c r="BH770" s="837"/>
      <c r="BI770" s="838"/>
      <c r="BJ770" s="837"/>
      <c r="BK770" s="837"/>
      <c r="BL770" s="837"/>
      <c r="BM770" s="837"/>
      <c r="BN770" s="837"/>
      <c r="BO770" s="837"/>
      <c r="BP770" s="122"/>
      <c r="BQ770" s="122"/>
      <c r="BR770" s="842"/>
      <c r="BS770" s="842"/>
      <c r="BT770" s="842"/>
      <c r="BU770" s="844"/>
      <c r="BV770" s="842"/>
      <c r="BW770" s="842"/>
      <c r="BX770" s="842"/>
      <c r="BY770" s="842"/>
      <c r="BZ770" s="842"/>
      <c r="CA770" s="842"/>
      <c r="CB770" s="842"/>
      <c r="CC770" s="842"/>
      <c r="CD770" s="842"/>
      <c r="CE770" s="842"/>
      <c r="CF770" s="842"/>
      <c r="CG770" s="842"/>
      <c r="CH770" s="842"/>
      <c r="CI770" s="842"/>
      <c r="CJ770" s="842"/>
      <c r="CK770" s="842"/>
      <c r="CL770" s="842"/>
      <c r="CM770" s="842"/>
      <c r="CN770" s="842"/>
      <c r="CO770" s="842"/>
      <c r="CP770" s="842"/>
      <c r="CQ770" s="842"/>
      <c r="CR770" s="842"/>
      <c r="CS770" s="842"/>
      <c r="CT770" s="842"/>
      <c r="CU770" s="842"/>
      <c r="CV770" s="842"/>
      <c r="CW770" s="842"/>
      <c r="CX770" s="842"/>
      <c r="CY770" s="842"/>
      <c r="CZ770" s="842"/>
      <c r="DA770" s="842"/>
      <c r="DB770" s="842"/>
      <c r="DC770" s="842"/>
    </row>
    <row r="771" spans="2:107" s="15" customFormat="1" hidden="1" outlineLevel="1">
      <c r="B771" s="189" t="s">
        <v>210</v>
      </c>
      <c r="C771" s="123"/>
      <c r="D771" s="124"/>
      <c r="E771" s="124"/>
      <c r="F771" s="124"/>
      <c r="G771" s="124"/>
      <c r="H771" s="124"/>
      <c r="I771" s="124"/>
      <c r="J771" s="124"/>
      <c r="K771" s="124"/>
      <c r="L771" s="123"/>
      <c r="M771" s="123"/>
      <c r="N771" s="842"/>
      <c r="O771" s="844"/>
      <c r="P771" s="844" t="e">
        <f>P770/BY420*1000000</f>
        <v>#DIV/0!</v>
      </c>
      <c r="Q771" s="844" t="e">
        <f t="shared" ref="Q771:W771" si="918">Q770/CC420*1000000</f>
        <v>#DIV/0!</v>
      </c>
      <c r="R771" s="844">
        <f t="shared" si="918"/>
        <v>20000</v>
      </c>
      <c r="S771" s="844" t="e">
        <f t="shared" si="918"/>
        <v>#DIV/0!</v>
      </c>
      <c r="T771" s="844" t="e">
        <f t="shared" si="918"/>
        <v>#DIV/0!</v>
      </c>
      <c r="U771" s="844" t="e">
        <f t="shared" si="918"/>
        <v>#DIV/0!</v>
      </c>
      <c r="V771" s="844" t="e">
        <f t="shared" si="918"/>
        <v>#DIV/0!</v>
      </c>
      <c r="W771" s="844" t="e">
        <f t="shared" si="918"/>
        <v>#DIV/0!</v>
      </c>
      <c r="X771" s="842"/>
      <c r="Y771" s="842"/>
      <c r="Z771" s="842"/>
      <c r="AA771" s="842"/>
      <c r="AB771" s="842"/>
      <c r="AC771" s="842"/>
      <c r="AD771" s="842"/>
      <c r="AE771" s="123"/>
      <c r="AF771" s="123"/>
      <c r="AG771" s="123"/>
      <c r="AH771" s="123"/>
      <c r="AI771" s="123"/>
      <c r="AJ771" s="123"/>
      <c r="AK771" s="123"/>
      <c r="AL771" s="123"/>
      <c r="AM771" s="123"/>
      <c r="AN771" s="123"/>
      <c r="AO771" s="123"/>
      <c r="AP771" s="123"/>
      <c r="AQ771" s="123"/>
      <c r="AR771" s="123"/>
      <c r="AS771" s="123"/>
      <c r="AT771" s="123"/>
      <c r="AU771" s="123"/>
      <c r="AV771" s="123"/>
      <c r="AW771" s="123"/>
      <c r="AX771" s="123"/>
      <c r="AY771" s="123"/>
      <c r="AZ771" s="123"/>
      <c r="BA771" s="123"/>
      <c r="BB771" s="123"/>
      <c r="BC771" s="123"/>
      <c r="BD771" s="837"/>
      <c r="BE771" s="837"/>
      <c r="BF771" s="837"/>
      <c r="BG771" s="837"/>
      <c r="BH771" s="837"/>
      <c r="BI771" s="838"/>
      <c r="BJ771" s="837"/>
      <c r="BK771" s="837"/>
      <c r="BL771" s="837"/>
      <c r="BM771" s="837"/>
      <c r="BN771" s="837"/>
      <c r="BO771" s="837"/>
      <c r="BP771" s="122"/>
      <c r="BQ771" s="122"/>
      <c r="BR771" s="842"/>
      <c r="BS771" s="842"/>
      <c r="BT771" s="842"/>
      <c r="BU771" s="844"/>
      <c r="BV771" s="842"/>
      <c r="BW771" s="842"/>
      <c r="BX771" s="842"/>
      <c r="BY771" s="842"/>
      <c r="BZ771" s="842"/>
      <c r="CA771" s="842"/>
      <c r="CB771" s="842"/>
      <c r="CC771" s="842"/>
      <c r="CD771" s="842"/>
      <c r="CE771" s="842"/>
      <c r="CF771" s="842"/>
      <c r="CG771" s="842"/>
      <c r="CH771" s="842"/>
      <c r="CI771" s="842"/>
      <c r="CJ771" s="842"/>
      <c r="CK771" s="842"/>
      <c r="CL771" s="842"/>
      <c r="CM771" s="842"/>
      <c r="CN771" s="842"/>
      <c r="CO771" s="842"/>
      <c r="CP771" s="842"/>
      <c r="CQ771" s="842"/>
      <c r="CR771" s="842"/>
      <c r="CS771" s="842"/>
      <c r="CT771" s="842"/>
      <c r="CU771" s="842"/>
      <c r="CV771" s="842"/>
      <c r="CW771" s="842"/>
      <c r="CX771" s="842"/>
      <c r="CY771" s="842"/>
      <c r="CZ771" s="842"/>
      <c r="DA771" s="842"/>
      <c r="DB771" s="842"/>
      <c r="DC771" s="842"/>
    </row>
    <row r="772" spans="2:107" s="15" customFormat="1" hidden="1" outlineLevel="1">
      <c r="B772" s="126" t="str">
        <f>B429</f>
        <v>SG2 Phase 2 (Singapore)</v>
      </c>
      <c r="C772" s="123"/>
      <c r="D772" s="124"/>
      <c r="E772" s="124"/>
      <c r="F772" s="124"/>
      <c r="G772" s="124"/>
      <c r="H772" s="124"/>
      <c r="I772" s="124"/>
      <c r="J772" s="124"/>
      <c r="K772" s="124"/>
      <c r="L772" s="123"/>
      <c r="M772" s="123"/>
      <c r="N772" s="842"/>
      <c r="O772" s="842"/>
      <c r="P772" s="842"/>
      <c r="Q772" s="842"/>
      <c r="R772" s="842"/>
      <c r="S772" s="842"/>
      <c r="T772" s="842"/>
      <c r="U772" s="842"/>
      <c r="V772" s="842"/>
      <c r="W772" s="842"/>
      <c r="X772" s="842"/>
      <c r="Y772" s="842"/>
      <c r="Z772" s="842"/>
      <c r="AA772" s="842"/>
      <c r="AB772" s="842"/>
      <c r="AC772" s="842"/>
      <c r="AD772" s="842"/>
      <c r="AE772" s="123"/>
      <c r="AF772" s="123"/>
      <c r="AG772" s="123"/>
      <c r="AH772" s="123"/>
      <c r="AI772" s="123"/>
      <c r="AJ772" s="123"/>
      <c r="AK772" s="123"/>
      <c r="AL772" s="123"/>
      <c r="AM772" s="123"/>
      <c r="AN772" s="123"/>
      <c r="AO772" s="123"/>
      <c r="AP772" s="123"/>
      <c r="AQ772" s="123"/>
      <c r="AR772" s="123"/>
      <c r="AS772" s="123"/>
      <c r="AT772" s="123"/>
      <c r="AU772" s="123"/>
      <c r="AV772" s="123"/>
      <c r="AW772" s="123"/>
      <c r="AX772" s="123"/>
      <c r="AY772" s="123"/>
      <c r="AZ772" s="123"/>
      <c r="BA772" s="123"/>
      <c r="BB772" s="123"/>
      <c r="BC772" s="123"/>
      <c r="BD772" s="837"/>
      <c r="BE772" s="837"/>
      <c r="BF772" s="837"/>
      <c r="BG772" s="837"/>
      <c r="BH772" s="837"/>
      <c r="BI772" s="838"/>
      <c r="BJ772" s="837"/>
      <c r="BK772" s="837"/>
      <c r="BL772" s="837"/>
      <c r="BM772" s="837"/>
      <c r="BN772" s="837"/>
      <c r="BO772" s="837"/>
      <c r="BP772" s="122"/>
      <c r="BQ772" s="122"/>
      <c r="BR772" s="842"/>
      <c r="BS772" s="842"/>
      <c r="BT772" s="842"/>
      <c r="BU772" s="842"/>
      <c r="BV772" s="842"/>
      <c r="BW772" s="842"/>
      <c r="BX772" s="842"/>
      <c r="BY772" s="842"/>
      <c r="BZ772" s="842"/>
      <c r="CA772" s="842"/>
      <c r="CB772" s="842"/>
      <c r="CC772" s="842"/>
      <c r="CD772" s="842"/>
      <c r="CE772" s="842"/>
      <c r="CF772" s="842"/>
      <c r="CG772" s="842"/>
      <c r="CH772" s="842"/>
      <c r="CI772" s="842"/>
      <c r="CJ772" s="842"/>
      <c r="CK772" s="842"/>
      <c r="CL772" s="842"/>
      <c r="CM772" s="842"/>
      <c r="CN772" s="842"/>
      <c r="CO772" s="842"/>
      <c r="CP772" s="842"/>
      <c r="CQ772" s="842"/>
      <c r="CR772" s="842"/>
      <c r="CS772" s="842"/>
      <c r="CT772" s="842"/>
      <c r="CU772" s="842"/>
      <c r="CV772" s="842"/>
      <c r="CW772" s="842"/>
      <c r="CX772" s="842"/>
      <c r="CY772" s="842"/>
      <c r="CZ772" s="842"/>
      <c r="DA772" s="842"/>
      <c r="DB772" s="842"/>
      <c r="DC772" s="842"/>
    </row>
    <row r="773" spans="2:107" s="15" customFormat="1" hidden="1" outlineLevel="1">
      <c r="B773" s="129" t="s">
        <v>465</v>
      </c>
      <c r="C773" s="123"/>
      <c r="D773" s="124"/>
      <c r="E773" s="124"/>
      <c r="F773" s="124"/>
      <c r="G773" s="124"/>
      <c r="H773" s="124"/>
      <c r="I773" s="124"/>
      <c r="J773" s="124"/>
      <c r="K773" s="124"/>
      <c r="L773" s="123"/>
      <c r="M773" s="123"/>
      <c r="N773" s="842"/>
      <c r="O773" s="843">
        <f>SUM(BT773:BW773)</f>
        <v>30</v>
      </c>
      <c r="P773" s="842"/>
      <c r="Q773" s="842"/>
      <c r="R773" s="842"/>
      <c r="S773" s="842"/>
      <c r="T773" s="842"/>
      <c r="U773" s="842"/>
      <c r="V773" s="842"/>
      <c r="W773" s="842"/>
      <c r="X773" s="842"/>
      <c r="Y773" s="842"/>
      <c r="Z773" s="842"/>
      <c r="AA773" s="842"/>
      <c r="AB773" s="842"/>
      <c r="AC773" s="842"/>
      <c r="AD773" s="842"/>
      <c r="AE773" s="123"/>
      <c r="AF773" s="123"/>
      <c r="AG773" s="123"/>
      <c r="AH773" s="123"/>
      <c r="AI773" s="123"/>
      <c r="AJ773" s="123"/>
      <c r="AK773" s="123"/>
      <c r="AL773" s="123"/>
      <c r="AM773" s="123"/>
      <c r="AN773" s="123"/>
      <c r="AO773" s="123"/>
      <c r="AP773" s="123"/>
      <c r="AQ773" s="123"/>
      <c r="AR773" s="123"/>
      <c r="AS773" s="123"/>
      <c r="AT773" s="123"/>
      <c r="AU773" s="123"/>
      <c r="AV773" s="123"/>
      <c r="AW773" s="123"/>
      <c r="AX773" s="123"/>
      <c r="AY773" s="123"/>
      <c r="AZ773" s="123"/>
      <c r="BA773" s="123"/>
      <c r="BB773" s="123"/>
      <c r="BC773" s="123"/>
      <c r="BD773" s="837"/>
      <c r="BE773" s="837"/>
      <c r="BF773" s="837"/>
      <c r="BG773" s="837"/>
      <c r="BH773" s="837"/>
      <c r="BI773" s="838"/>
      <c r="BJ773" s="837"/>
      <c r="BK773" s="837"/>
      <c r="BL773" s="837"/>
      <c r="BM773" s="837"/>
      <c r="BN773" s="837"/>
      <c r="BO773" s="837"/>
      <c r="BP773" s="122"/>
      <c r="BQ773" s="122"/>
      <c r="BR773" s="842"/>
      <c r="BS773" s="842"/>
      <c r="BT773" s="842"/>
      <c r="BU773" s="842"/>
      <c r="BV773" s="846">
        <v>30</v>
      </c>
      <c r="BW773" s="842"/>
      <c r="BX773" s="842"/>
      <c r="BY773" s="842"/>
      <c r="BZ773" s="842"/>
      <c r="CA773" s="842"/>
      <c r="CB773" s="842"/>
      <c r="CC773" s="842"/>
      <c r="CD773" s="842"/>
      <c r="CE773" s="842"/>
      <c r="CF773" s="842"/>
      <c r="CG773" s="842"/>
      <c r="CH773" s="842"/>
      <c r="CI773" s="842"/>
      <c r="CJ773" s="842"/>
      <c r="CK773" s="842"/>
      <c r="CL773" s="842"/>
      <c r="CM773" s="842"/>
      <c r="CN773" s="842"/>
      <c r="CO773" s="842"/>
      <c r="CP773" s="842"/>
      <c r="CQ773" s="842"/>
      <c r="CR773" s="842"/>
      <c r="CS773" s="842"/>
      <c r="CT773" s="842"/>
      <c r="CU773" s="842"/>
      <c r="CV773" s="842"/>
      <c r="CW773" s="842"/>
      <c r="CX773" s="842"/>
      <c r="CY773" s="842"/>
      <c r="CZ773" s="842"/>
      <c r="DA773" s="842"/>
      <c r="DB773" s="842"/>
      <c r="DC773" s="842"/>
    </row>
    <row r="774" spans="2:107" s="15" customFormat="1" hidden="1" outlineLevel="1">
      <c r="B774" s="189" t="s">
        <v>210</v>
      </c>
      <c r="C774" s="123"/>
      <c r="D774" s="124"/>
      <c r="E774" s="124"/>
      <c r="F774" s="124"/>
      <c r="G774" s="124"/>
      <c r="H774" s="124"/>
      <c r="I774" s="124"/>
      <c r="J774" s="124"/>
      <c r="K774" s="124"/>
      <c r="L774" s="123"/>
      <c r="M774" s="123"/>
      <c r="N774" s="842"/>
      <c r="O774" s="844">
        <f>AVERAGE(BT774:BW774)</f>
        <v>30000</v>
      </c>
      <c r="P774" s="842"/>
      <c r="Q774" s="842"/>
      <c r="R774" s="842"/>
      <c r="S774" s="842"/>
      <c r="T774" s="842"/>
      <c r="U774" s="842"/>
      <c r="V774" s="842"/>
      <c r="W774" s="842"/>
      <c r="X774" s="842"/>
      <c r="Y774" s="842"/>
      <c r="Z774" s="842"/>
      <c r="AA774" s="842"/>
      <c r="AB774" s="842"/>
      <c r="AC774" s="842"/>
      <c r="AD774" s="842"/>
      <c r="AE774" s="123"/>
      <c r="AF774" s="123"/>
      <c r="AG774" s="123"/>
      <c r="AH774" s="123"/>
      <c r="AI774" s="123"/>
      <c r="AJ774" s="123"/>
      <c r="AK774" s="123"/>
      <c r="AL774" s="123"/>
      <c r="AM774" s="123"/>
      <c r="AN774" s="123"/>
      <c r="AO774" s="123"/>
      <c r="AP774" s="123"/>
      <c r="AQ774" s="123"/>
      <c r="AR774" s="123"/>
      <c r="AS774" s="123"/>
      <c r="AT774" s="123"/>
      <c r="AU774" s="123"/>
      <c r="AV774" s="123"/>
      <c r="AW774" s="123"/>
      <c r="AX774" s="123"/>
      <c r="AY774" s="123"/>
      <c r="AZ774" s="123"/>
      <c r="BA774" s="123"/>
      <c r="BB774" s="123"/>
      <c r="BC774" s="123"/>
      <c r="BD774" s="837"/>
      <c r="BE774" s="837"/>
      <c r="BF774" s="837"/>
      <c r="BG774" s="837"/>
      <c r="BH774" s="837"/>
      <c r="BI774" s="838"/>
      <c r="BJ774" s="837"/>
      <c r="BK774" s="837"/>
      <c r="BL774" s="837"/>
      <c r="BM774" s="837"/>
      <c r="BN774" s="837"/>
      <c r="BO774" s="837"/>
      <c r="BP774" s="122"/>
      <c r="BQ774" s="122"/>
      <c r="BR774" s="842"/>
      <c r="BS774" s="842"/>
      <c r="BT774" s="842"/>
      <c r="BU774" s="842"/>
      <c r="BV774" s="844">
        <f>BV773/BV429*1000000</f>
        <v>30000</v>
      </c>
      <c r="BW774" s="842"/>
      <c r="BX774" s="842"/>
      <c r="BY774" s="842"/>
      <c r="BZ774" s="842"/>
      <c r="CA774" s="842"/>
      <c r="CB774" s="842"/>
      <c r="CC774" s="842"/>
      <c r="CD774" s="842"/>
      <c r="CE774" s="842"/>
      <c r="CF774" s="842"/>
      <c r="CG774" s="842"/>
      <c r="CH774" s="842"/>
      <c r="CI774" s="842"/>
      <c r="CJ774" s="842"/>
      <c r="CK774" s="842"/>
      <c r="CL774" s="842"/>
      <c r="CM774" s="842"/>
      <c r="CN774" s="842"/>
      <c r="CO774" s="842"/>
      <c r="CP774" s="842"/>
      <c r="CQ774" s="842"/>
      <c r="CR774" s="842"/>
      <c r="CS774" s="842"/>
      <c r="CT774" s="842"/>
      <c r="CU774" s="842"/>
      <c r="CV774" s="842"/>
      <c r="CW774" s="842"/>
      <c r="CX774" s="842"/>
      <c r="CY774" s="842"/>
      <c r="CZ774" s="842"/>
      <c r="DA774" s="842"/>
      <c r="DB774" s="842"/>
      <c r="DC774" s="842"/>
    </row>
    <row r="775" spans="2:107" s="15" customFormat="1" hidden="1" outlineLevel="1">
      <c r="B775" s="126" t="str">
        <f>B442</f>
        <v>SY3 Phase 1 (Sydney)</v>
      </c>
      <c r="C775" s="123"/>
      <c r="D775" s="124"/>
      <c r="E775" s="124"/>
      <c r="F775" s="124"/>
      <c r="G775" s="124"/>
      <c r="H775" s="124"/>
      <c r="I775" s="124"/>
      <c r="J775" s="124"/>
      <c r="K775" s="124"/>
      <c r="L775" s="123"/>
      <c r="M775" s="123"/>
      <c r="N775" s="842"/>
      <c r="O775" s="842"/>
      <c r="P775" s="842"/>
      <c r="Q775" s="842"/>
      <c r="R775" s="842"/>
      <c r="S775" s="842"/>
      <c r="T775" s="842"/>
      <c r="U775" s="842"/>
      <c r="V775" s="842"/>
      <c r="W775" s="842"/>
      <c r="X775" s="842"/>
      <c r="Y775" s="842"/>
      <c r="Z775" s="842"/>
      <c r="AA775" s="842"/>
      <c r="AB775" s="842"/>
      <c r="AC775" s="842"/>
      <c r="AD775" s="842"/>
      <c r="AE775" s="123"/>
      <c r="AF775" s="123"/>
      <c r="AG775" s="123"/>
      <c r="AH775" s="123"/>
      <c r="AI775" s="123"/>
      <c r="AJ775" s="123"/>
      <c r="AK775" s="123"/>
      <c r="AL775" s="123"/>
      <c r="AM775" s="123"/>
      <c r="AN775" s="123"/>
      <c r="AO775" s="123"/>
      <c r="AP775" s="123"/>
      <c r="AQ775" s="123"/>
      <c r="AR775" s="123"/>
      <c r="AS775" s="123"/>
      <c r="AT775" s="123"/>
      <c r="AU775" s="123"/>
      <c r="AV775" s="123"/>
      <c r="AW775" s="123"/>
      <c r="AX775" s="123"/>
      <c r="AY775" s="123"/>
      <c r="AZ775" s="123"/>
      <c r="BA775" s="123"/>
      <c r="BB775" s="123"/>
      <c r="BC775" s="123"/>
      <c r="BD775" s="837"/>
      <c r="BE775" s="837"/>
      <c r="BF775" s="837"/>
      <c r="BG775" s="837"/>
      <c r="BH775" s="837"/>
      <c r="BI775" s="838"/>
      <c r="BJ775" s="837"/>
      <c r="BK775" s="837"/>
      <c r="BL775" s="837"/>
      <c r="BM775" s="837"/>
      <c r="BN775" s="837"/>
      <c r="BO775" s="837"/>
      <c r="BP775" s="122"/>
      <c r="BQ775" s="122"/>
      <c r="BR775" s="842"/>
      <c r="BS775" s="842"/>
      <c r="BT775" s="842"/>
      <c r="BU775" s="842"/>
      <c r="BV775" s="842"/>
      <c r="BW775" s="842"/>
      <c r="BX775" s="842"/>
      <c r="BY775" s="842"/>
      <c r="BZ775" s="842"/>
      <c r="CA775" s="842"/>
      <c r="CB775" s="842"/>
      <c r="CC775" s="842"/>
      <c r="CD775" s="842"/>
      <c r="CE775" s="842"/>
      <c r="CF775" s="842"/>
      <c r="CG775" s="842"/>
      <c r="CH775" s="842"/>
      <c r="CI775" s="842"/>
      <c r="CJ775" s="842"/>
      <c r="CK775" s="842"/>
      <c r="CL775" s="842"/>
      <c r="CM775" s="842"/>
      <c r="CN775" s="842"/>
      <c r="CO775" s="842"/>
      <c r="CP775" s="842"/>
      <c r="CQ775" s="842"/>
      <c r="CR775" s="842"/>
      <c r="CS775" s="842"/>
      <c r="CT775" s="842"/>
      <c r="CU775" s="842"/>
      <c r="CV775" s="842"/>
      <c r="CW775" s="842"/>
      <c r="CX775" s="842"/>
      <c r="CY775" s="842"/>
      <c r="CZ775" s="842"/>
      <c r="DA775" s="842"/>
      <c r="DB775" s="842"/>
      <c r="DC775" s="842"/>
    </row>
    <row r="776" spans="2:107" s="15" customFormat="1" hidden="1" outlineLevel="1">
      <c r="B776" s="129" t="s">
        <v>465</v>
      </c>
      <c r="C776" s="123"/>
      <c r="D776" s="124"/>
      <c r="E776" s="124"/>
      <c r="F776" s="124"/>
      <c r="G776" s="124"/>
      <c r="H776" s="124"/>
      <c r="I776" s="124"/>
      <c r="J776" s="124"/>
      <c r="K776" s="124"/>
      <c r="L776" s="123"/>
      <c r="M776" s="123"/>
      <c r="N776" s="842"/>
      <c r="O776" s="843"/>
      <c r="P776" s="846">
        <v>65</v>
      </c>
      <c r="Q776" s="842">
        <v>65</v>
      </c>
      <c r="R776" s="842">
        <v>65</v>
      </c>
      <c r="S776" s="842">
        <v>65</v>
      </c>
      <c r="T776" s="842">
        <v>65</v>
      </c>
      <c r="U776" s="842">
        <v>65</v>
      </c>
      <c r="V776" s="842">
        <v>65</v>
      </c>
      <c r="W776" s="842">
        <v>65</v>
      </c>
      <c r="X776" s="842"/>
      <c r="Y776" s="842"/>
      <c r="Z776" s="842"/>
      <c r="AA776" s="842"/>
      <c r="AB776" s="842"/>
      <c r="AC776" s="842"/>
      <c r="AD776" s="842"/>
      <c r="AE776" s="123"/>
      <c r="AF776" s="123"/>
      <c r="AG776" s="123"/>
      <c r="AH776" s="123"/>
      <c r="AI776" s="123"/>
      <c r="AJ776" s="123"/>
      <c r="AK776" s="123"/>
      <c r="AL776" s="123"/>
      <c r="AM776" s="123"/>
      <c r="AN776" s="123"/>
      <c r="AO776" s="123"/>
      <c r="AP776" s="123"/>
      <c r="AQ776" s="123"/>
      <c r="AR776" s="123"/>
      <c r="AS776" s="123"/>
      <c r="AT776" s="123"/>
      <c r="AU776" s="123"/>
      <c r="AV776" s="123"/>
      <c r="AW776" s="123"/>
      <c r="AX776" s="123"/>
      <c r="AY776" s="123"/>
      <c r="AZ776" s="123"/>
      <c r="BA776" s="123"/>
      <c r="BB776" s="123"/>
      <c r="BC776" s="123"/>
      <c r="BD776" s="837"/>
      <c r="BE776" s="837"/>
      <c r="BF776" s="837"/>
      <c r="BG776" s="837"/>
      <c r="BH776" s="837"/>
      <c r="BI776" s="838"/>
      <c r="BJ776" s="837"/>
      <c r="BK776" s="837"/>
      <c r="BL776" s="837"/>
      <c r="BM776" s="837"/>
      <c r="BN776" s="837"/>
      <c r="BO776" s="837"/>
      <c r="BP776" s="122"/>
      <c r="BQ776" s="122"/>
      <c r="BR776" s="842"/>
      <c r="BS776" s="842"/>
      <c r="BT776" s="842"/>
      <c r="BU776" s="842"/>
      <c r="BV776" s="842"/>
      <c r="BW776" s="842"/>
      <c r="BX776" s="842"/>
      <c r="BY776" s="842"/>
      <c r="BZ776" s="842"/>
      <c r="CA776" s="842"/>
      <c r="CB776" s="842"/>
      <c r="CC776" s="842"/>
      <c r="CD776" s="842"/>
      <c r="CE776" s="842"/>
      <c r="CF776" s="842"/>
      <c r="CG776" s="842"/>
      <c r="CH776" s="842"/>
      <c r="CI776" s="842"/>
      <c r="CJ776" s="842"/>
      <c r="CK776" s="842"/>
      <c r="CL776" s="842"/>
      <c r="CM776" s="842"/>
      <c r="CN776" s="842"/>
      <c r="CO776" s="842"/>
      <c r="CP776" s="842"/>
      <c r="CQ776" s="842"/>
      <c r="CR776" s="842"/>
      <c r="CS776" s="842"/>
      <c r="CT776" s="842"/>
      <c r="CU776" s="842"/>
      <c r="CV776" s="842"/>
      <c r="CW776" s="842"/>
      <c r="CX776" s="842"/>
      <c r="CY776" s="842"/>
      <c r="CZ776" s="842"/>
      <c r="DA776" s="842"/>
      <c r="DB776" s="842"/>
      <c r="DC776" s="842"/>
    </row>
    <row r="777" spans="2:107" s="15" customFormat="1" hidden="1" outlineLevel="1">
      <c r="B777" s="189" t="s">
        <v>210</v>
      </c>
      <c r="C777" s="123"/>
      <c r="D777" s="124"/>
      <c r="E777" s="124"/>
      <c r="F777" s="124"/>
      <c r="G777" s="124"/>
      <c r="H777" s="124"/>
      <c r="I777" s="124"/>
      <c r="J777" s="124"/>
      <c r="K777" s="124"/>
      <c r="L777" s="123"/>
      <c r="M777" s="123"/>
      <c r="N777" s="842"/>
      <c r="O777" s="844"/>
      <c r="P777" s="844">
        <f>P776/BY442*1000000</f>
        <v>65000</v>
      </c>
      <c r="Q777" s="842" t="e">
        <f t="shared" ref="Q777:W777" si="919">Q776/CC442*1000000</f>
        <v>#DIV/0!</v>
      </c>
      <c r="R777" s="842" t="e">
        <f t="shared" si="919"/>
        <v>#DIV/0!</v>
      </c>
      <c r="S777" s="842" t="e">
        <f t="shared" si="919"/>
        <v>#DIV/0!</v>
      </c>
      <c r="T777" s="842" t="e">
        <f t="shared" si="919"/>
        <v>#DIV/0!</v>
      </c>
      <c r="U777" s="842" t="e">
        <f t="shared" si="919"/>
        <v>#DIV/0!</v>
      </c>
      <c r="V777" s="842" t="e">
        <f t="shared" si="919"/>
        <v>#DIV/0!</v>
      </c>
      <c r="W777" s="842" t="e">
        <f t="shared" si="919"/>
        <v>#DIV/0!</v>
      </c>
      <c r="X777" s="842"/>
      <c r="Y777" s="842"/>
      <c r="Z777" s="842"/>
      <c r="AA777" s="842"/>
      <c r="AB777" s="842"/>
      <c r="AC777" s="842"/>
      <c r="AD777" s="842"/>
      <c r="AE777" s="123"/>
      <c r="AF777" s="123"/>
      <c r="AG777" s="123"/>
      <c r="AH777" s="123"/>
      <c r="AI777" s="123"/>
      <c r="AJ777" s="123"/>
      <c r="AK777" s="123"/>
      <c r="AL777" s="123"/>
      <c r="AM777" s="123"/>
      <c r="AN777" s="123"/>
      <c r="AO777" s="123"/>
      <c r="AP777" s="123"/>
      <c r="AQ777" s="123"/>
      <c r="AR777" s="123"/>
      <c r="AS777" s="123"/>
      <c r="AT777" s="123"/>
      <c r="AU777" s="123"/>
      <c r="AV777" s="123"/>
      <c r="AW777" s="123"/>
      <c r="AX777" s="123"/>
      <c r="AY777" s="123"/>
      <c r="AZ777" s="123"/>
      <c r="BA777" s="123"/>
      <c r="BB777" s="123"/>
      <c r="BC777" s="123"/>
      <c r="BD777" s="837"/>
      <c r="BE777" s="837"/>
      <c r="BF777" s="837"/>
      <c r="BG777" s="837"/>
      <c r="BH777" s="837"/>
      <c r="BI777" s="838"/>
      <c r="BJ777" s="837"/>
      <c r="BK777" s="837"/>
      <c r="BL777" s="837"/>
      <c r="BM777" s="837"/>
      <c r="BN777" s="837"/>
      <c r="BO777" s="837"/>
      <c r="BP777" s="122"/>
      <c r="BQ777" s="122"/>
      <c r="BR777" s="842"/>
      <c r="BS777" s="842"/>
      <c r="BT777" s="842"/>
      <c r="BU777" s="842"/>
      <c r="BV777" s="842"/>
      <c r="BW777" s="842"/>
      <c r="BX777" s="842"/>
      <c r="BY777" s="842"/>
      <c r="BZ777" s="842"/>
      <c r="CA777" s="842"/>
      <c r="CB777" s="842"/>
      <c r="CC777" s="842"/>
      <c r="CD777" s="842"/>
      <c r="CE777" s="842"/>
      <c r="CF777" s="842"/>
      <c r="CG777" s="842"/>
      <c r="CH777" s="842"/>
      <c r="CI777" s="842"/>
      <c r="CJ777" s="842"/>
      <c r="CK777" s="842"/>
      <c r="CL777" s="842"/>
      <c r="CM777" s="842"/>
      <c r="CN777" s="842"/>
      <c r="CO777" s="842"/>
      <c r="CP777" s="842"/>
      <c r="CQ777" s="842"/>
      <c r="CR777" s="842"/>
      <c r="CS777" s="842"/>
      <c r="CT777" s="842"/>
      <c r="CU777" s="842"/>
      <c r="CV777" s="842"/>
      <c r="CW777" s="842"/>
      <c r="CX777" s="842"/>
      <c r="CY777" s="842"/>
      <c r="CZ777" s="842"/>
      <c r="DA777" s="842"/>
      <c r="DB777" s="842"/>
      <c r="DC777" s="842"/>
    </row>
    <row r="778" spans="2:107" s="15" customFormat="1" hidden="1" outlineLevel="1">
      <c r="B778" s="126" t="str">
        <f>B430</f>
        <v>SG2 Phase 3 (Singapore)</v>
      </c>
      <c r="C778" s="123"/>
      <c r="D778" s="124"/>
      <c r="E778" s="124"/>
      <c r="F778" s="124"/>
      <c r="G778" s="124"/>
      <c r="H778" s="124"/>
      <c r="I778" s="124"/>
      <c r="J778" s="124"/>
      <c r="K778" s="124"/>
      <c r="L778" s="123"/>
      <c r="M778" s="123"/>
      <c r="N778" s="842"/>
      <c r="O778" s="842"/>
      <c r="P778" s="842"/>
      <c r="Q778" s="842"/>
      <c r="R778" s="842"/>
      <c r="S778" s="842"/>
      <c r="T778" s="842"/>
      <c r="U778" s="842"/>
      <c r="V778" s="842"/>
      <c r="W778" s="842"/>
      <c r="X778" s="842"/>
      <c r="Y778" s="842"/>
      <c r="Z778" s="842"/>
      <c r="AA778" s="842"/>
      <c r="AB778" s="842"/>
      <c r="AC778" s="842"/>
      <c r="AD778" s="842"/>
      <c r="AE778" s="123"/>
      <c r="AF778" s="123"/>
      <c r="AG778" s="123"/>
      <c r="AH778" s="123"/>
      <c r="AI778" s="123"/>
      <c r="AJ778" s="123"/>
      <c r="AK778" s="123"/>
      <c r="AL778" s="123"/>
      <c r="AM778" s="123"/>
      <c r="AN778" s="123"/>
      <c r="AO778" s="123"/>
      <c r="AP778" s="123"/>
      <c r="AQ778" s="123"/>
      <c r="AR778" s="123"/>
      <c r="AS778" s="123"/>
      <c r="AT778" s="123"/>
      <c r="AU778" s="123"/>
      <c r="AV778" s="123"/>
      <c r="AW778" s="123"/>
      <c r="AX778" s="123"/>
      <c r="AY778" s="123"/>
      <c r="AZ778" s="123"/>
      <c r="BA778" s="123"/>
      <c r="BB778" s="123"/>
      <c r="BC778" s="123"/>
      <c r="BD778" s="837"/>
      <c r="BE778" s="837"/>
      <c r="BF778" s="837"/>
      <c r="BG778" s="837"/>
      <c r="BH778" s="837"/>
      <c r="BI778" s="838"/>
      <c r="BJ778" s="837"/>
      <c r="BK778" s="837"/>
      <c r="BL778" s="837"/>
      <c r="BM778" s="837"/>
      <c r="BN778" s="837"/>
      <c r="BO778" s="837"/>
      <c r="BP778" s="122"/>
      <c r="BQ778" s="122"/>
      <c r="BR778" s="842"/>
      <c r="BS778" s="842"/>
      <c r="BT778" s="842"/>
      <c r="BU778" s="842"/>
      <c r="BV778" s="842"/>
      <c r="BW778" s="842"/>
      <c r="BX778" s="842"/>
      <c r="BY778" s="842"/>
      <c r="BZ778" s="842"/>
      <c r="CA778" s="842"/>
      <c r="CB778" s="842"/>
      <c r="CC778" s="842"/>
      <c r="CD778" s="842"/>
      <c r="CE778" s="842"/>
      <c r="CF778" s="842"/>
      <c r="CG778" s="842"/>
      <c r="CH778" s="842"/>
      <c r="CI778" s="842"/>
      <c r="CJ778" s="842"/>
      <c r="CK778" s="842"/>
      <c r="CL778" s="842"/>
      <c r="CM778" s="842"/>
      <c r="CN778" s="842"/>
      <c r="CO778" s="842"/>
      <c r="CP778" s="842"/>
      <c r="CQ778" s="842"/>
      <c r="CR778" s="842"/>
      <c r="CS778" s="842"/>
      <c r="CT778" s="842"/>
      <c r="CU778" s="842"/>
      <c r="CV778" s="842"/>
      <c r="CW778" s="842"/>
      <c r="CX778" s="842"/>
      <c r="CY778" s="842"/>
      <c r="CZ778" s="842"/>
      <c r="DA778" s="842"/>
      <c r="DB778" s="842"/>
      <c r="DC778" s="842"/>
    </row>
    <row r="779" spans="2:107" s="15" customFormat="1" hidden="1" outlineLevel="1">
      <c r="B779" s="129" t="s">
        <v>465</v>
      </c>
      <c r="C779" s="123"/>
      <c r="D779" s="124"/>
      <c r="E779" s="124"/>
      <c r="F779" s="124"/>
      <c r="G779" s="124"/>
      <c r="H779" s="124"/>
      <c r="I779" s="124"/>
      <c r="J779" s="124"/>
      <c r="K779" s="124"/>
      <c r="L779" s="123"/>
      <c r="M779" s="123"/>
      <c r="N779" s="842"/>
      <c r="O779" s="843"/>
      <c r="P779" s="846">
        <v>43</v>
      </c>
      <c r="Q779" s="842">
        <v>43</v>
      </c>
      <c r="R779" s="842">
        <v>43</v>
      </c>
      <c r="S779" s="842">
        <v>43</v>
      </c>
      <c r="T779" s="842">
        <v>43</v>
      </c>
      <c r="U779" s="842">
        <v>43</v>
      </c>
      <c r="V779" s="842">
        <v>43</v>
      </c>
      <c r="W779" s="842">
        <v>43</v>
      </c>
      <c r="X779" s="842"/>
      <c r="Y779" s="842"/>
      <c r="Z779" s="842"/>
      <c r="AA779" s="842"/>
      <c r="AB779" s="842"/>
      <c r="AC779" s="842"/>
      <c r="AD779" s="842"/>
      <c r="AE779" s="123"/>
      <c r="AF779" s="123"/>
      <c r="AG779" s="123"/>
      <c r="AH779" s="123"/>
      <c r="AI779" s="123"/>
      <c r="AJ779" s="123"/>
      <c r="AK779" s="123"/>
      <c r="AL779" s="123"/>
      <c r="AM779" s="123"/>
      <c r="AN779" s="123"/>
      <c r="AO779" s="123"/>
      <c r="AP779" s="123"/>
      <c r="AQ779" s="123"/>
      <c r="AR779" s="123"/>
      <c r="AS779" s="123"/>
      <c r="AT779" s="123"/>
      <c r="AU779" s="123"/>
      <c r="AV779" s="123"/>
      <c r="AW779" s="123"/>
      <c r="AX779" s="123"/>
      <c r="AY779" s="123"/>
      <c r="AZ779" s="123"/>
      <c r="BA779" s="123"/>
      <c r="BB779" s="123"/>
      <c r="BC779" s="123"/>
      <c r="BD779" s="837"/>
      <c r="BE779" s="837"/>
      <c r="BF779" s="837"/>
      <c r="BG779" s="837"/>
      <c r="BH779" s="837"/>
      <c r="BI779" s="838"/>
      <c r="BJ779" s="837"/>
      <c r="BK779" s="837"/>
      <c r="BL779" s="837"/>
      <c r="BM779" s="837"/>
      <c r="BN779" s="837"/>
      <c r="BO779" s="837"/>
      <c r="BP779" s="122"/>
      <c r="BQ779" s="122"/>
      <c r="BR779" s="842"/>
      <c r="BS779" s="842"/>
      <c r="BT779" s="842"/>
      <c r="BU779" s="842"/>
      <c r="BV779" s="842"/>
      <c r="BW779" s="842"/>
      <c r="BX779" s="842"/>
      <c r="BY779" s="842"/>
      <c r="BZ779" s="842"/>
      <c r="CA779" s="842"/>
      <c r="CB779" s="842"/>
      <c r="CC779" s="842"/>
      <c r="CD779" s="842"/>
      <c r="CE779" s="842"/>
      <c r="CF779" s="842"/>
      <c r="CG779" s="842"/>
      <c r="CH779" s="842"/>
      <c r="CI779" s="842"/>
      <c r="CJ779" s="842"/>
      <c r="CK779" s="842"/>
      <c r="CL779" s="842"/>
      <c r="CM779" s="842"/>
      <c r="CN779" s="842"/>
      <c r="CO779" s="842"/>
      <c r="CP779" s="842"/>
      <c r="CQ779" s="842"/>
      <c r="CR779" s="842"/>
      <c r="CS779" s="842"/>
      <c r="CT779" s="842"/>
      <c r="CU779" s="842"/>
      <c r="CV779" s="842"/>
      <c r="CW779" s="842"/>
      <c r="CX779" s="842"/>
      <c r="CY779" s="842"/>
      <c r="CZ779" s="842"/>
      <c r="DA779" s="842"/>
      <c r="DB779" s="842"/>
      <c r="DC779" s="842"/>
    </row>
    <row r="780" spans="2:107" s="15" customFormat="1" hidden="1" outlineLevel="1">
      <c r="B780" s="189" t="s">
        <v>210</v>
      </c>
      <c r="C780" s="123"/>
      <c r="D780" s="124"/>
      <c r="E780" s="124"/>
      <c r="F780" s="124"/>
      <c r="G780" s="124"/>
      <c r="H780" s="124"/>
      <c r="I780" s="124"/>
      <c r="J780" s="124"/>
      <c r="K780" s="124"/>
      <c r="L780" s="123"/>
      <c r="M780" s="123"/>
      <c r="N780" s="842"/>
      <c r="O780" s="844"/>
      <c r="P780" s="844" t="e">
        <f>P779/BZ430*1000000</f>
        <v>#DIV/0!</v>
      </c>
      <c r="Q780" s="842" t="e">
        <f t="shared" ref="Q780:W780" si="920">Q779/CD430*1000000</f>
        <v>#DIV/0!</v>
      </c>
      <c r="R780" s="842" t="e">
        <f t="shared" si="920"/>
        <v>#DIV/0!</v>
      </c>
      <c r="S780" s="842" t="e">
        <f t="shared" si="920"/>
        <v>#DIV/0!</v>
      </c>
      <c r="T780" s="842" t="e">
        <f t="shared" si="920"/>
        <v>#DIV/0!</v>
      </c>
      <c r="U780" s="842" t="e">
        <f t="shared" si="920"/>
        <v>#DIV/0!</v>
      </c>
      <c r="V780" s="842" t="e">
        <f t="shared" si="920"/>
        <v>#DIV/0!</v>
      </c>
      <c r="W780" s="842" t="e">
        <f t="shared" si="920"/>
        <v>#DIV/0!</v>
      </c>
      <c r="X780" s="842"/>
      <c r="Y780" s="842"/>
      <c r="Z780" s="842"/>
      <c r="AA780" s="842"/>
      <c r="AB780" s="842"/>
      <c r="AC780" s="842"/>
      <c r="AD780" s="842"/>
      <c r="AE780" s="123"/>
      <c r="AF780" s="123"/>
      <c r="AG780" s="123"/>
      <c r="AH780" s="123"/>
      <c r="AI780" s="123"/>
      <c r="AJ780" s="123"/>
      <c r="AK780" s="123"/>
      <c r="AL780" s="123"/>
      <c r="AM780" s="123"/>
      <c r="AN780" s="123"/>
      <c r="AO780" s="123"/>
      <c r="AP780" s="123"/>
      <c r="AQ780" s="123"/>
      <c r="AR780" s="123"/>
      <c r="AS780" s="123"/>
      <c r="AT780" s="123"/>
      <c r="AU780" s="123"/>
      <c r="AV780" s="123"/>
      <c r="AW780" s="123"/>
      <c r="AX780" s="123"/>
      <c r="AY780" s="123"/>
      <c r="AZ780" s="123"/>
      <c r="BA780" s="123"/>
      <c r="BB780" s="123"/>
      <c r="BC780" s="123"/>
      <c r="BD780" s="837"/>
      <c r="BE780" s="837"/>
      <c r="BF780" s="837"/>
      <c r="BG780" s="837"/>
      <c r="BH780" s="837"/>
      <c r="BI780" s="838"/>
      <c r="BJ780" s="837"/>
      <c r="BK780" s="837"/>
      <c r="BL780" s="837"/>
      <c r="BM780" s="837"/>
      <c r="BN780" s="837"/>
      <c r="BO780" s="837"/>
      <c r="BP780" s="122"/>
      <c r="BQ780" s="122"/>
      <c r="BR780" s="842"/>
      <c r="BS780" s="842"/>
      <c r="BT780" s="842"/>
      <c r="BU780" s="842"/>
      <c r="BV780" s="842"/>
      <c r="BW780" s="842"/>
      <c r="BX780" s="842"/>
      <c r="BY780" s="842"/>
      <c r="BZ780" s="842"/>
      <c r="CA780" s="842"/>
      <c r="CB780" s="842"/>
      <c r="CC780" s="842"/>
      <c r="CD780" s="842"/>
      <c r="CE780" s="842"/>
      <c r="CF780" s="842"/>
      <c r="CG780" s="842"/>
      <c r="CH780" s="842"/>
      <c r="CI780" s="842"/>
      <c r="CJ780" s="842"/>
      <c r="CK780" s="842"/>
      <c r="CL780" s="842"/>
      <c r="CM780" s="842"/>
      <c r="CN780" s="842"/>
      <c r="CO780" s="842"/>
      <c r="CP780" s="842"/>
      <c r="CQ780" s="842"/>
      <c r="CR780" s="842"/>
      <c r="CS780" s="842"/>
      <c r="CT780" s="842"/>
      <c r="CU780" s="842"/>
      <c r="CV780" s="842"/>
      <c r="CW780" s="842"/>
      <c r="CX780" s="842"/>
      <c r="CY780" s="842"/>
      <c r="CZ780" s="842"/>
      <c r="DA780" s="842"/>
      <c r="DB780" s="842"/>
      <c r="DC780" s="842"/>
    </row>
    <row r="781" spans="2:107" s="15" customFormat="1" hidden="1" outlineLevel="1">
      <c r="B781" s="126" t="s">
        <v>1788</v>
      </c>
      <c r="C781" s="123"/>
      <c r="D781" s="124"/>
      <c r="E781" s="124"/>
      <c r="F781" s="124"/>
      <c r="G781" s="124"/>
      <c r="H781" s="124"/>
      <c r="I781" s="124"/>
      <c r="J781" s="124"/>
      <c r="K781" s="124"/>
      <c r="L781" s="123"/>
      <c r="M781" s="123"/>
      <c r="N781" s="842"/>
      <c r="O781" s="844"/>
      <c r="P781" s="844"/>
      <c r="Q781" s="842"/>
      <c r="R781" s="842"/>
      <c r="S781" s="842"/>
      <c r="T781" s="842"/>
      <c r="U781" s="842"/>
      <c r="V781" s="842"/>
      <c r="W781" s="842"/>
      <c r="X781" s="842"/>
      <c r="Y781" s="842"/>
      <c r="Z781" s="842"/>
      <c r="AA781" s="842"/>
      <c r="AB781" s="842"/>
      <c r="AC781" s="842"/>
      <c r="AD781" s="842"/>
      <c r="AE781" s="123"/>
      <c r="AF781" s="123"/>
      <c r="AG781" s="123"/>
      <c r="AH781" s="123"/>
      <c r="AI781" s="123"/>
      <c r="AJ781" s="123"/>
      <c r="AK781" s="123"/>
      <c r="AL781" s="123"/>
      <c r="AM781" s="123"/>
      <c r="AN781" s="123"/>
      <c r="AO781" s="123"/>
      <c r="AP781" s="123"/>
      <c r="AQ781" s="123"/>
      <c r="AR781" s="123"/>
      <c r="AS781" s="123"/>
      <c r="AT781" s="123"/>
      <c r="AU781" s="123"/>
      <c r="AV781" s="123"/>
      <c r="AW781" s="123"/>
      <c r="AX781" s="123"/>
      <c r="AY781" s="123"/>
      <c r="AZ781" s="123"/>
      <c r="BA781" s="123"/>
      <c r="BB781" s="123"/>
      <c r="BC781" s="123"/>
      <c r="BD781" s="837"/>
      <c r="BE781" s="837"/>
      <c r="BF781" s="837"/>
      <c r="BG781" s="837"/>
      <c r="BH781" s="837"/>
      <c r="BI781" s="838"/>
      <c r="BJ781" s="837"/>
      <c r="BK781" s="837"/>
      <c r="BL781" s="837"/>
      <c r="BM781" s="837"/>
      <c r="BN781" s="837"/>
      <c r="BO781" s="837"/>
      <c r="BP781" s="122"/>
      <c r="BQ781" s="122"/>
      <c r="BR781" s="842"/>
      <c r="BS781" s="842"/>
      <c r="BT781" s="842"/>
      <c r="BU781" s="842"/>
      <c r="BV781" s="842"/>
      <c r="BW781" s="842"/>
      <c r="BX781" s="842"/>
      <c r="BY781" s="842"/>
      <c r="BZ781" s="842"/>
      <c r="CA781" s="842"/>
      <c r="CB781" s="842"/>
      <c r="CC781" s="842"/>
      <c r="CD781" s="842"/>
      <c r="CE781" s="842"/>
      <c r="CF781" s="842"/>
      <c r="CG781" s="842"/>
      <c r="CH781" s="842"/>
      <c r="CI781" s="842"/>
      <c r="CJ781" s="842"/>
      <c r="CK781" s="842"/>
      <c r="CL781" s="842"/>
      <c r="CM781" s="842"/>
      <c r="CN781" s="842"/>
      <c r="CO781" s="842"/>
      <c r="CP781" s="842"/>
      <c r="CQ781" s="842"/>
      <c r="CR781" s="842"/>
      <c r="CS781" s="842"/>
      <c r="CT781" s="842"/>
      <c r="CU781" s="842"/>
      <c r="CV781" s="842"/>
      <c r="CW781" s="842"/>
      <c r="CX781" s="842"/>
      <c r="CY781" s="842"/>
      <c r="CZ781" s="842"/>
      <c r="DA781" s="842"/>
      <c r="DB781" s="842"/>
      <c r="DC781" s="842"/>
    </row>
    <row r="782" spans="2:107" s="15" customFormat="1" hidden="1" outlineLevel="1">
      <c r="B782" s="129" t="s">
        <v>465</v>
      </c>
      <c r="C782" s="123"/>
      <c r="D782" s="124"/>
      <c r="E782" s="124"/>
      <c r="F782" s="124"/>
      <c r="G782" s="124"/>
      <c r="H782" s="124"/>
      <c r="I782" s="124"/>
      <c r="J782" s="124"/>
      <c r="K782" s="124"/>
      <c r="L782" s="123"/>
      <c r="M782" s="123"/>
      <c r="N782" s="842"/>
      <c r="O782" s="844"/>
      <c r="P782" s="846">
        <v>70</v>
      </c>
      <c r="Q782" s="842">
        <v>70</v>
      </c>
      <c r="R782" s="842">
        <v>70</v>
      </c>
      <c r="S782" s="842">
        <v>70</v>
      </c>
      <c r="T782" s="842">
        <v>70</v>
      </c>
      <c r="U782" s="842">
        <v>70</v>
      </c>
      <c r="V782" s="842">
        <v>70</v>
      </c>
      <c r="W782" s="842">
        <v>70</v>
      </c>
      <c r="X782" s="842"/>
      <c r="Y782" s="842"/>
      <c r="Z782" s="842"/>
      <c r="AA782" s="842"/>
      <c r="AB782" s="842"/>
      <c r="AC782" s="842"/>
      <c r="AD782" s="842"/>
      <c r="AE782" s="123"/>
      <c r="AF782" s="123"/>
      <c r="AG782" s="123"/>
      <c r="AH782" s="123"/>
      <c r="AI782" s="123"/>
      <c r="AJ782" s="123"/>
      <c r="AK782" s="123"/>
      <c r="AL782" s="123"/>
      <c r="AM782" s="123"/>
      <c r="AN782" s="123"/>
      <c r="AO782" s="123"/>
      <c r="AP782" s="123"/>
      <c r="AQ782" s="123"/>
      <c r="AR782" s="123"/>
      <c r="AS782" s="123"/>
      <c r="AT782" s="123"/>
      <c r="AU782" s="123"/>
      <c r="AV782" s="123"/>
      <c r="AW782" s="123"/>
      <c r="AX782" s="123"/>
      <c r="AY782" s="123"/>
      <c r="AZ782" s="123"/>
      <c r="BA782" s="123"/>
      <c r="BB782" s="123"/>
      <c r="BC782" s="123"/>
      <c r="BD782" s="837"/>
      <c r="BE782" s="837"/>
      <c r="BF782" s="837"/>
      <c r="BG782" s="837"/>
      <c r="BH782" s="837"/>
      <c r="BI782" s="838"/>
      <c r="BJ782" s="837"/>
      <c r="BK782" s="837"/>
      <c r="BL782" s="837"/>
      <c r="BM782" s="837"/>
      <c r="BN782" s="837"/>
      <c r="BO782" s="837"/>
      <c r="BP782" s="122"/>
      <c r="BQ782" s="122"/>
      <c r="BR782" s="842"/>
      <c r="BS782" s="842"/>
      <c r="BT782" s="842"/>
      <c r="BU782" s="842"/>
      <c r="BV782" s="842"/>
      <c r="BW782" s="842"/>
      <c r="BX782" s="842"/>
      <c r="BY782" s="842"/>
      <c r="BZ782" s="842"/>
      <c r="CA782" s="842"/>
      <c r="CB782" s="842"/>
      <c r="CC782" s="842"/>
      <c r="CD782" s="842"/>
      <c r="CE782" s="842"/>
      <c r="CF782" s="842"/>
      <c r="CG782" s="842"/>
      <c r="CH782" s="842"/>
      <c r="CI782" s="842"/>
      <c r="CJ782" s="842"/>
      <c r="CK782" s="842"/>
      <c r="CL782" s="842"/>
      <c r="CM782" s="842"/>
      <c r="CN782" s="842"/>
      <c r="CO782" s="842"/>
      <c r="CP782" s="842"/>
      <c r="CQ782" s="842"/>
      <c r="CR782" s="842"/>
      <c r="CS782" s="842"/>
      <c r="CT782" s="842"/>
      <c r="CU782" s="842"/>
      <c r="CV782" s="842"/>
      <c r="CW782" s="842"/>
      <c r="CX782" s="842"/>
      <c r="CY782" s="842"/>
      <c r="CZ782" s="842"/>
      <c r="DA782" s="842"/>
      <c r="DB782" s="842"/>
      <c r="DC782" s="842"/>
    </row>
    <row r="783" spans="2:107" s="15" customFormat="1" hidden="1" outlineLevel="1">
      <c r="B783" s="189" t="s">
        <v>210</v>
      </c>
      <c r="C783" s="123"/>
      <c r="D783" s="124"/>
      <c r="E783" s="124"/>
      <c r="F783" s="124"/>
      <c r="G783" s="124"/>
      <c r="H783" s="124"/>
      <c r="I783" s="124"/>
      <c r="J783" s="124"/>
      <c r="K783" s="124"/>
      <c r="L783" s="123"/>
      <c r="M783" s="123"/>
      <c r="N783" s="842"/>
      <c r="O783" s="844"/>
      <c r="P783" s="844">
        <f>P782/BZ450*1000000</f>
        <v>175000</v>
      </c>
      <c r="Q783" s="842" t="e">
        <f t="shared" ref="Q783:W783" si="921">Q782/CD450*1000000</f>
        <v>#DIV/0!</v>
      </c>
      <c r="R783" s="842" t="e">
        <f t="shared" si="921"/>
        <v>#DIV/0!</v>
      </c>
      <c r="S783" s="842" t="e">
        <f t="shared" si="921"/>
        <v>#DIV/0!</v>
      </c>
      <c r="T783" s="842" t="e">
        <f t="shared" si="921"/>
        <v>#DIV/0!</v>
      </c>
      <c r="U783" s="842" t="e">
        <f t="shared" si="921"/>
        <v>#DIV/0!</v>
      </c>
      <c r="V783" s="842" t="e">
        <f t="shared" si="921"/>
        <v>#DIV/0!</v>
      </c>
      <c r="W783" s="842" t="e">
        <f t="shared" si="921"/>
        <v>#DIV/0!</v>
      </c>
      <c r="X783" s="842"/>
      <c r="Y783" s="842"/>
      <c r="Z783" s="842"/>
      <c r="AA783" s="842"/>
      <c r="AB783" s="842"/>
      <c r="AC783" s="842"/>
      <c r="AD783" s="842"/>
      <c r="AE783" s="123"/>
      <c r="AF783" s="123"/>
      <c r="AG783" s="123"/>
      <c r="AH783" s="123"/>
      <c r="AI783" s="123"/>
      <c r="AJ783" s="123"/>
      <c r="AK783" s="123"/>
      <c r="AL783" s="123"/>
      <c r="AM783" s="123"/>
      <c r="AN783" s="123"/>
      <c r="AO783" s="123"/>
      <c r="AP783" s="123"/>
      <c r="AQ783" s="123"/>
      <c r="AR783" s="123"/>
      <c r="AS783" s="123"/>
      <c r="AT783" s="123"/>
      <c r="AU783" s="123"/>
      <c r="AV783" s="123"/>
      <c r="AW783" s="123"/>
      <c r="AX783" s="123"/>
      <c r="AY783" s="123"/>
      <c r="AZ783" s="123"/>
      <c r="BA783" s="123"/>
      <c r="BB783" s="123"/>
      <c r="BC783" s="123"/>
      <c r="BD783" s="837"/>
      <c r="BE783" s="837"/>
      <c r="BF783" s="837"/>
      <c r="BG783" s="837"/>
      <c r="BH783" s="837"/>
      <c r="BI783" s="838"/>
      <c r="BJ783" s="837"/>
      <c r="BK783" s="837"/>
      <c r="BL783" s="837"/>
      <c r="BM783" s="837"/>
      <c r="BN783" s="837"/>
      <c r="BO783" s="837"/>
      <c r="BP783" s="122"/>
      <c r="BQ783" s="122"/>
      <c r="BR783" s="842"/>
      <c r="BS783" s="842"/>
      <c r="BT783" s="842"/>
      <c r="BU783" s="842"/>
      <c r="BV783" s="842"/>
      <c r="BW783" s="842"/>
      <c r="BX783" s="842"/>
      <c r="BY783" s="842"/>
      <c r="BZ783" s="842"/>
      <c r="CA783" s="842"/>
      <c r="CB783" s="842"/>
      <c r="CC783" s="842"/>
      <c r="CD783" s="842"/>
      <c r="CE783" s="842"/>
      <c r="CF783" s="842"/>
      <c r="CG783" s="842"/>
      <c r="CH783" s="842"/>
      <c r="CI783" s="842"/>
      <c r="CJ783" s="842"/>
      <c r="CK783" s="842"/>
      <c r="CL783" s="842"/>
      <c r="CM783" s="842"/>
      <c r="CN783" s="842"/>
      <c r="CO783" s="842"/>
      <c r="CP783" s="842"/>
      <c r="CQ783" s="842"/>
      <c r="CR783" s="842"/>
      <c r="CS783" s="842"/>
      <c r="CT783" s="842"/>
      <c r="CU783" s="842"/>
      <c r="CV783" s="842"/>
      <c r="CW783" s="842"/>
      <c r="CX783" s="842"/>
      <c r="CY783" s="842"/>
      <c r="CZ783" s="842"/>
      <c r="DA783" s="842"/>
      <c r="DB783" s="842"/>
      <c r="DC783" s="842"/>
    </row>
    <row r="784" spans="2:107" s="15" customFormat="1" hidden="1" outlineLevel="1">
      <c r="B784" s="189"/>
      <c r="C784" s="123"/>
      <c r="D784" s="124"/>
      <c r="E784" s="124"/>
      <c r="F784" s="124"/>
      <c r="G784" s="124"/>
      <c r="H784" s="124"/>
      <c r="I784" s="124"/>
      <c r="J784" s="124"/>
      <c r="K784" s="124"/>
      <c r="L784" s="123"/>
      <c r="M784" s="123"/>
      <c r="N784" s="842"/>
      <c r="O784" s="844"/>
      <c r="P784" s="847"/>
      <c r="Q784" s="842"/>
      <c r="R784" s="842"/>
      <c r="S784" s="842"/>
      <c r="T784" s="842"/>
      <c r="U784" s="842"/>
      <c r="V784" s="842"/>
      <c r="W784" s="842"/>
      <c r="X784" s="842"/>
      <c r="Y784" s="842"/>
      <c r="Z784" s="842"/>
      <c r="AA784" s="842"/>
      <c r="AB784" s="842"/>
      <c r="AC784" s="842"/>
      <c r="AD784" s="842"/>
      <c r="AE784" s="123"/>
      <c r="AF784" s="123"/>
      <c r="AG784" s="123"/>
      <c r="AH784" s="123"/>
      <c r="AI784" s="123"/>
      <c r="AJ784" s="123"/>
      <c r="AK784" s="123"/>
      <c r="AL784" s="123"/>
      <c r="AM784" s="123"/>
      <c r="AN784" s="123"/>
      <c r="AO784" s="123"/>
      <c r="AP784" s="123"/>
      <c r="AQ784" s="123"/>
      <c r="AR784" s="123"/>
      <c r="AS784" s="123"/>
      <c r="AT784" s="123"/>
      <c r="AU784" s="123"/>
      <c r="AV784" s="123"/>
      <c r="AW784" s="123"/>
      <c r="AX784" s="123"/>
      <c r="AY784" s="123"/>
      <c r="AZ784" s="123"/>
      <c r="BA784" s="123"/>
      <c r="BB784" s="123"/>
      <c r="BC784" s="123"/>
      <c r="BD784" s="837"/>
      <c r="BE784" s="837"/>
      <c r="BF784" s="837"/>
      <c r="BG784" s="837"/>
      <c r="BH784" s="837"/>
      <c r="BI784" s="838"/>
      <c r="BJ784" s="837"/>
      <c r="BK784" s="837"/>
      <c r="BL784" s="837"/>
      <c r="BM784" s="837"/>
      <c r="BN784" s="837"/>
      <c r="BO784" s="837"/>
      <c r="BP784" s="122"/>
      <c r="BQ784" s="122"/>
      <c r="BR784" s="842"/>
      <c r="BS784" s="842"/>
      <c r="BT784" s="842"/>
      <c r="BU784" s="842"/>
      <c r="BV784" s="842"/>
      <c r="BW784" s="842"/>
      <c r="BX784" s="842"/>
      <c r="BY784" s="842"/>
      <c r="BZ784" s="842"/>
      <c r="CA784" s="842"/>
      <c r="CB784" s="842"/>
      <c r="CC784" s="842"/>
      <c r="CD784" s="842"/>
      <c r="CE784" s="842"/>
      <c r="CF784" s="842"/>
      <c r="CG784" s="842"/>
      <c r="CH784" s="842"/>
      <c r="CI784" s="842"/>
      <c r="CJ784" s="842"/>
      <c r="CK784" s="842"/>
      <c r="CL784" s="842"/>
      <c r="CM784" s="842"/>
      <c r="CN784" s="842"/>
      <c r="CO784" s="842"/>
      <c r="CP784" s="842"/>
      <c r="CQ784" s="842"/>
      <c r="CR784" s="842"/>
      <c r="CS784" s="842"/>
      <c r="CT784" s="842"/>
      <c r="CU784" s="842"/>
      <c r="CV784" s="842"/>
      <c r="CW784" s="842"/>
      <c r="CX784" s="842"/>
      <c r="CY784" s="842"/>
      <c r="CZ784" s="842"/>
      <c r="DA784" s="842"/>
      <c r="DB784" s="842"/>
      <c r="DC784" s="842"/>
    </row>
    <row r="785" spans="2:115" s="15" customFormat="1" hidden="1" outlineLevel="1">
      <c r="B785" s="189"/>
      <c r="C785" s="123"/>
      <c r="D785" s="124"/>
      <c r="E785" s="124"/>
      <c r="F785" s="124"/>
      <c r="G785" s="124"/>
      <c r="H785" s="124"/>
      <c r="I785" s="124"/>
      <c r="J785" s="124"/>
      <c r="K785" s="124"/>
      <c r="L785" s="123"/>
      <c r="M785" s="123"/>
      <c r="N785" s="842"/>
      <c r="O785" s="844"/>
      <c r="P785" s="844"/>
      <c r="Q785" s="842"/>
      <c r="R785" s="842"/>
      <c r="S785" s="842"/>
      <c r="T785" s="842"/>
      <c r="U785" s="842"/>
      <c r="V785" s="842"/>
      <c r="W785" s="842"/>
      <c r="X785" s="842"/>
      <c r="Y785" s="842"/>
      <c r="Z785" s="842"/>
      <c r="AA785" s="842"/>
      <c r="AB785" s="842"/>
      <c r="AC785" s="842"/>
      <c r="AD785" s="842"/>
      <c r="AE785" s="123"/>
      <c r="AF785" s="123"/>
      <c r="AG785" s="123"/>
      <c r="AH785" s="123"/>
      <c r="AI785" s="123"/>
      <c r="AJ785" s="123"/>
      <c r="AK785" s="123"/>
      <c r="AL785" s="123"/>
      <c r="AM785" s="123"/>
      <c r="AN785" s="123"/>
      <c r="AO785" s="123"/>
      <c r="AP785" s="123"/>
      <c r="AQ785" s="123"/>
      <c r="AR785" s="123"/>
      <c r="AS785" s="123"/>
      <c r="AT785" s="123"/>
      <c r="AU785" s="123"/>
      <c r="AV785" s="123"/>
      <c r="AW785" s="123"/>
      <c r="AX785" s="123"/>
      <c r="AY785" s="123"/>
      <c r="AZ785" s="123"/>
      <c r="BA785" s="123"/>
      <c r="BB785" s="123"/>
      <c r="BC785" s="123"/>
      <c r="BD785" s="837"/>
      <c r="BE785" s="837"/>
      <c r="BF785" s="837"/>
      <c r="BG785" s="837"/>
      <c r="BH785" s="837"/>
      <c r="BI785" s="838"/>
      <c r="BJ785" s="837"/>
      <c r="BK785" s="837"/>
      <c r="BL785" s="837"/>
      <c r="BM785" s="837"/>
      <c r="BN785" s="837"/>
      <c r="BO785" s="837"/>
      <c r="BP785" s="122"/>
      <c r="BQ785" s="122"/>
      <c r="BR785" s="842"/>
      <c r="BS785" s="842"/>
      <c r="BT785" s="842"/>
      <c r="BU785" s="842"/>
      <c r="BV785" s="842"/>
      <c r="BW785" s="842"/>
      <c r="BX785" s="842"/>
      <c r="BY785" s="842"/>
      <c r="BZ785" s="842"/>
      <c r="CA785" s="842"/>
      <c r="CB785" s="842"/>
      <c r="CC785" s="842"/>
      <c r="CD785" s="842"/>
      <c r="CE785" s="842"/>
      <c r="CF785" s="842"/>
      <c r="CG785" s="842"/>
      <c r="CH785" s="842"/>
      <c r="CI785" s="842"/>
      <c r="CJ785" s="842"/>
      <c r="CK785" s="842"/>
      <c r="CL785" s="842"/>
      <c r="CM785" s="842"/>
      <c r="CN785" s="842"/>
      <c r="CO785" s="842"/>
      <c r="CP785" s="842"/>
      <c r="CQ785" s="842"/>
      <c r="CR785" s="842"/>
      <c r="CS785" s="842"/>
      <c r="CT785" s="842"/>
      <c r="CU785" s="842"/>
      <c r="CV785" s="842"/>
      <c r="CW785" s="842"/>
      <c r="CX785" s="842"/>
      <c r="CY785" s="842"/>
      <c r="CZ785" s="842"/>
      <c r="DA785" s="842"/>
      <c r="DB785" s="842"/>
      <c r="DC785" s="842"/>
    </row>
    <row r="786" spans="2:115" s="15" customFormat="1" ht="12" customHeight="1" collapsed="1">
      <c r="B786" s="122"/>
      <c r="C786" s="123"/>
      <c r="D786" s="124"/>
      <c r="E786" s="124"/>
      <c r="F786" s="124"/>
      <c r="G786" s="124"/>
      <c r="H786" s="124"/>
      <c r="I786" s="124"/>
      <c r="J786" s="124"/>
      <c r="K786" s="124"/>
      <c r="L786" s="123"/>
      <c r="M786" s="123"/>
      <c r="N786" s="842"/>
      <c r="O786" s="842"/>
      <c r="P786" s="848"/>
      <c r="Q786" s="848"/>
      <c r="R786" s="848"/>
      <c r="S786" s="848"/>
      <c r="T786" s="848"/>
      <c r="U786" s="848"/>
      <c r="V786" s="848"/>
      <c r="W786" s="848"/>
      <c r="X786" s="842"/>
      <c r="Y786" s="842"/>
      <c r="Z786" s="842"/>
      <c r="AA786" s="842"/>
      <c r="AB786" s="842"/>
      <c r="AC786" s="842"/>
      <c r="AD786" s="842"/>
      <c r="AE786" s="123"/>
      <c r="AF786" s="123"/>
      <c r="AG786" s="123"/>
      <c r="AH786" s="123"/>
      <c r="AI786" s="123"/>
      <c r="AJ786" s="123"/>
      <c r="AK786" s="123"/>
      <c r="AL786" s="123"/>
      <c r="AM786" s="123"/>
      <c r="AN786" s="123"/>
      <c r="AO786" s="123"/>
      <c r="AP786" s="123"/>
      <c r="AQ786" s="123"/>
      <c r="AR786" s="123"/>
      <c r="AS786" s="123"/>
      <c r="AT786" s="123"/>
      <c r="AU786" s="123"/>
      <c r="AV786" s="123"/>
      <c r="AW786" s="123"/>
      <c r="AX786" s="123"/>
      <c r="AY786" s="123"/>
      <c r="AZ786" s="123"/>
      <c r="BA786" s="123"/>
      <c r="BB786" s="123"/>
      <c r="BC786" s="123"/>
      <c r="BD786" s="837"/>
      <c r="BE786" s="837"/>
      <c r="BF786" s="837"/>
      <c r="BG786" s="837"/>
      <c r="BH786" s="837"/>
      <c r="BI786" s="838"/>
      <c r="BJ786" s="837"/>
      <c r="BK786" s="837"/>
      <c r="BL786" s="837"/>
      <c r="BM786" s="837"/>
      <c r="BN786" s="837"/>
      <c r="BO786" s="837"/>
      <c r="BP786" s="122"/>
      <c r="BQ786" s="122"/>
      <c r="BR786" s="842"/>
      <c r="BS786" s="848"/>
      <c r="BT786" s="848"/>
      <c r="BU786" s="848"/>
      <c r="BV786" s="848"/>
      <c r="BW786" s="848"/>
      <c r="BX786" s="842"/>
      <c r="BY786" s="842"/>
      <c r="BZ786" s="842"/>
      <c r="CA786" s="842"/>
      <c r="CB786" s="842"/>
      <c r="CC786" s="842"/>
      <c r="CD786" s="842"/>
      <c r="CE786" s="842"/>
      <c r="CF786" s="842"/>
      <c r="CG786" s="842"/>
      <c r="CH786" s="842"/>
      <c r="CI786" s="842"/>
      <c r="CJ786" s="842"/>
      <c r="CK786" s="842"/>
      <c r="CL786" s="842"/>
      <c r="CM786" s="842"/>
      <c r="CN786" s="842"/>
      <c r="CO786" s="842"/>
      <c r="CP786" s="842"/>
      <c r="CQ786" s="842"/>
      <c r="CR786" s="842"/>
      <c r="CS786" s="842"/>
      <c r="CT786" s="842"/>
      <c r="CU786" s="842"/>
      <c r="CV786" s="842"/>
      <c r="CW786" s="842"/>
      <c r="CX786" s="842"/>
      <c r="CY786" s="842"/>
      <c r="CZ786" s="842"/>
      <c r="DA786" s="842"/>
      <c r="DB786" s="842"/>
      <c r="DC786" s="842"/>
    </row>
    <row r="787" spans="2:115" ht="13.5" customHeight="1">
      <c r="B787" s="114" t="s">
        <v>734</v>
      </c>
      <c r="C787" s="59"/>
      <c r="D787" s="60"/>
      <c r="E787" s="60"/>
      <c r="F787" s="60"/>
      <c r="G787" s="60"/>
      <c r="H787" s="60"/>
      <c r="I787" s="60"/>
      <c r="J787" s="60"/>
      <c r="K787" s="60"/>
      <c r="L787" s="60"/>
      <c r="M787" s="59"/>
      <c r="N787" s="59"/>
      <c r="O787" s="59"/>
      <c r="P787" s="59"/>
      <c r="Q787" s="59"/>
      <c r="R787" s="59"/>
      <c r="S787" s="59"/>
      <c r="T787" s="59"/>
      <c r="U787" s="59"/>
      <c r="V787" s="59"/>
      <c r="W787" s="59"/>
      <c r="X787" s="60"/>
      <c r="Y787" s="60"/>
      <c r="Z787" s="60"/>
      <c r="AA787" s="60"/>
      <c r="AB787" s="60"/>
      <c r="AC787" s="60"/>
      <c r="AD787" s="60"/>
      <c r="AE787" s="59"/>
      <c r="AF787" s="60"/>
      <c r="AG787" s="60"/>
      <c r="AH787" s="60"/>
      <c r="AI787" s="60"/>
      <c r="AJ787" s="60"/>
      <c r="AK787" s="60"/>
      <c r="AL787" s="60"/>
      <c r="AM787" s="60"/>
      <c r="AN787" s="60"/>
      <c r="AO787" s="60"/>
      <c r="AP787" s="60"/>
      <c r="AQ787" s="60"/>
      <c r="AR787" s="60"/>
      <c r="AS787" s="60"/>
      <c r="AT787" s="60"/>
      <c r="AU787" s="60"/>
      <c r="AV787" s="60"/>
      <c r="AW787" s="60"/>
      <c r="AX787" s="60"/>
      <c r="AY787" s="60"/>
      <c r="AZ787" s="60"/>
      <c r="BA787" s="60"/>
      <c r="BB787" s="60"/>
      <c r="BC787" s="60"/>
      <c r="BD787" s="60"/>
      <c r="BE787" s="60"/>
      <c r="BF787" s="60"/>
      <c r="BG787" s="60"/>
      <c r="BH787" s="60"/>
      <c r="BI787" s="172"/>
      <c r="BJ787" s="172"/>
      <c r="BK787" s="172"/>
      <c r="BL787" s="172"/>
      <c r="BM787" s="172"/>
      <c r="BN787" s="172"/>
      <c r="BO787" s="172"/>
      <c r="BP787" s="212"/>
      <c r="BQ787" s="212"/>
      <c r="BR787" s="212"/>
      <c r="BS787" s="212"/>
      <c r="BT787" s="212"/>
      <c r="BU787" s="212"/>
      <c r="BV787" s="59"/>
      <c r="BW787" s="59"/>
      <c r="BX787" s="59"/>
      <c r="BY787" s="59"/>
      <c r="BZ787" s="59"/>
      <c r="CA787" s="59"/>
      <c r="CB787" s="59"/>
      <c r="CC787" s="59"/>
      <c r="CD787" s="59"/>
      <c r="CE787" s="59"/>
      <c r="CF787" s="59"/>
      <c r="CG787" s="59"/>
      <c r="CH787" s="59"/>
      <c r="CI787" s="59"/>
      <c r="CJ787" s="59"/>
      <c r="CK787" s="59"/>
      <c r="CL787" s="59"/>
      <c r="CM787" s="59"/>
      <c r="CN787" s="59"/>
      <c r="CO787" s="59"/>
      <c r="CP787" s="59"/>
      <c r="CQ787" s="59"/>
      <c r="CR787" s="59"/>
      <c r="CS787" s="59"/>
      <c r="CT787" s="59"/>
      <c r="CU787" s="59"/>
      <c r="CV787" s="59"/>
      <c r="CW787" s="59"/>
      <c r="CX787" s="59"/>
      <c r="CY787" s="59"/>
      <c r="CZ787" s="59"/>
      <c r="DA787" s="59"/>
      <c r="DB787" s="59"/>
      <c r="DC787" s="59"/>
    </row>
    <row r="788" spans="2:115" ht="12.75" customHeight="1">
      <c r="B788" s="21"/>
      <c r="C788" s="23"/>
      <c r="D788" s="15"/>
      <c r="E788" s="15"/>
      <c r="F788" s="15"/>
      <c r="G788" s="15"/>
      <c r="H788" s="15"/>
      <c r="I788" s="15"/>
      <c r="J788" s="15"/>
      <c r="K788" s="15"/>
      <c r="L788" s="15"/>
      <c r="M788" s="23"/>
      <c r="N788" s="23"/>
      <c r="O788" s="23"/>
      <c r="P788" s="23"/>
      <c r="Q788" s="23"/>
      <c r="R788" s="23"/>
      <c r="S788" s="23"/>
      <c r="T788" s="23"/>
      <c r="U788" s="23"/>
      <c r="V788" s="23"/>
      <c r="W788" s="23"/>
      <c r="X788" s="15"/>
      <c r="Y788" s="15"/>
      <c r="Z788" s="15"/>
      <c r="AA788" s="15"/>
      <c r="AB788" s="15"/>
      <c r="AC788" s="15"/>
      <c r="AD788" s="15"/>
      <c r="AE788" s="23"/>
      <c r="AF788" s="15"/>
      <c r="AG788" s="15"/>
      <c r="AH788" s="15"/>
      <c r="AI788" s="15"/>
      <c r="AJ788" s="15"/>
      <c r="AK788" s="15"/>
      <c r="AL788" s="15"/>
      <c r="AM788" s="15"/>
      <c r="AN788" s="15"/>
      <c r="AO788" s="15"/>
      <c r="AP788" s="15"/>
      <c r="AQ788" s="15"/>
      <c r="AR788" s="15"/>
      <c r="AS788" s="15"/>
      <c r="AT788" s="15"/>
      <c r="AU788" s="15"/>
      <c r="AV788" s="15"/>
      <c r="AW788" s="15"/>
      <c r="AX788" s="15"/>
      <c r="AY788" s="15"/>
      <c r="AZ788" s="15"/>
      <c r="BA788" s="15"/>
      <c r="BB788" s="15"/>
      <c r="BC788" s="15"/>
      <c r="BD788" s="15"/>
      <c r="BE788" s="15"/>
      <c r="BF788" s="15"/>
      <c r="BG788" s="15"/>
      <c r="BH788" s="15"/>
      <c r="BI788" s="49"/>
      <c r="BJ788" s="49"/>
      <c r="BK788" s="49"/>
      <c r="BL788" s="49"/>
      <c r="BM788" s="49"/>
      <c r="BN788" s="49"/>
      <c r="BO788" s="49"/>
      <c r="BP788" s="213"/>
      <c r="BQ788" s="213"/>
      <c r="BR788" s="213"/>
      <c r="BS788" s="213"/>
      <c r="BT788" s="213"/>
      <c r="BU788" s="213"/>
      <c r="BV788" s="23"/>
      <c r="BW788" s="23"/>
      <c r="BX788" s="23"/>
      <c r="BY788" s="23"/>
      <c r="BZ788" s="23"/>
      <c r="CA788" s="23"/>
      <c r="CB788" s="23"/>
      <c r="CC788" s="23"/>
      <c r="CD788" s="23"/>
      <c r="CE788" s="23"/>
      <c r="CF788" s="23"/>
      <c r="CG788" s="23"/>
      <c r="CH788" s="23"/>
      <c r="CI788" s="23"/>
      <c r="CJ788" s="23"/>
      <c r="CK788" s="23"/>
      <c r="CL788" s="23"/>
      <c r="CM788" s="23"/>
      <c r="CN788" s="23"/>
      <c r="CO788" s="23"/>
      <c r="CP788" s="23"/>
      <c r="CQ788" s="23"/>
      <c r="CR788" s="23"/>
      <c r="CS788" s="23"/>
      <c r="CT788" s="23"/>
      <c r="CU788" s="23"/>
      <c r="CV788" s="23"/>
      <c r="CW788" s="23"/>
      <c r="CX788" s="23"/>
      <c r="CY788" s="23"/>
      <c r="CZ788" s="23"/>
      <c r="DA788" s="23"/>
      <c r="DB788" s="23"/>
      <c r="DC788" s="23"/>
    </row>
    <row r="789" spans="2:115">
      <c r="B789" s="16" t="s">
        <v>1412</v>
      </c>
      <c r="C789" s="23"/>
      <c r="D789" s="15"/>
      <c r="E789" s="15"/>
      <c r="F789" s="15"/>
      <c r="G789" s="15"/>
      <c r="H789" s="15"/>
      <c r="I789" s="15"/>
      <c r="J789" s="15"/>
      <c r="K789" s="15"/>
      <c r="L789" s="15"/>
      <c r="M789" s="23"/>
      <c r="N789" s="23"/>
      <c r="O789" s="23"/>
      <c r="P789" s="23"/>
      <c r="Q789" s="23"/>
      <c r="R789" s="23"/>
      <c r="S789" s="23"/>
      <c r="T789" s="23"/>
      <c r="U789" s="23"/>
      <c r="V789" s="23"/>
      <c r="W789" s="23"/>
      <c r="X789" s="15"/>
      <c r="Y789" s="15"/>
      <c r="Z789" s="15"/>
      <c r="AA789" s="15"/>
      <c r="AB789" s="15"/>
      <c r="AC789" s="15"/>
      <c r="AD789" s="15"/>
      <c r="AE789" s="23"/>
      <c r="AF789" s="15"/>
      <c r="AG789" s="15"/>
      <c r="AH789" s="15"/>
      <c r="AI789" s="15"/>
      <c r="AJ789" s="15"/>
      <c r="AK789" s="23"/>
      <c r="AL789" s="23"/>
      <c r="AM789" s="23"/>
      <c r="AN789" s="23"/>
      <c r="AO789" s="27"/>
      <c r="AP789" s="27"/>
      <c r="AQ789" s="27"/>
      <c r="AR789" s="27">
        <v>303</v>
      </c>
      <c r="AS789" s="27">
        <v>326</v>
      </c>
      <c r="AT789" s="27">
        <v>605</v>
      </c>
      <c r="AU789" s="27">
        <v>655</v>
      </c>
      <c r="AV789" s="27">
        <v>705</v>
      </c>
      <c r="AW789" s="27">
        <v>775</v>
      </c>
      <c r="AX789" s="27">
        <v>830</v>
      </c>
      <c r="AY789" s="27">
        <v>896</v>
      </c>
      <c r="AZ789" s="27">
        <v>950</v>
      </c>
      <c r="BA789" s="27">
        <v>1005</v>
      </c>
      <c r="BB789" s="27">
        <v>1049</v>
      </c>
      <c r="BC789" s="27">
        <v>1093</v>
      </c>
      <c r="BD789" s="27">
        <v>1138</v>
      </c>
      <c r="BE789" s="27">
        <v>1164</v>
      </c>
      <c r="BF789" s="27">
        <v>1189</v>
      </c>
      <c r="BG789" s="27">
        <v>1260</v>
      </c>
      <c r="BH789" s="27">
        <v>1290</v>
      </c>
      <c r="BI789" s="27">
        <v>1335</v>
      </c>
      <c r="BJ789" s="23">
        <v>1373</v>
      </c>
      <c r="BK789" s="23">
        <v>1811</v>
      </c>
      <c r="BL789" s="23">
        <v>1881</v>
      </c>
      <c r="BM789" s="23">
        <v>1994</v>
      </c>
      <c r="BN789" s="23">
        <v>2090</v>
      </c>
      <c r="BO789" s="23">
        <v>2228</v>
      </c>
      <c r="BP789" s="23">
        <f t="shared" ref="BP789:CE789" si="922">BO799</f>
        <v>2272</v>
      </c>
      <c r="BQ789" s="23">
        <f t="shared" si="922"/>
        <v>2384</v>
      </c>
      <c r="BR789" s="23">
        <f t="shared" si="922"/>
        <v>2430</v>
      </c>
      <c r="BS789" s="23">
        <f t="shared" si="922"/>
        <v>2522</v>
      </c>
      <c r="BT789" s="23">
        <f t="shared" si="922"/>
        <v>2612</v>
      </c>
      <c r="BU789" s="23">
        <f t="shared" si="922"/>
        <v>2719</v>
      </c>
      <c r="BV789" s="23">
        <f t="shared" si="922"/>
        <v>3661</v>
      </c>
      <c r="BW789" s="23">
        <f t="shared" si="922"/>
        <v>3767</v>
      </c>
      <c r="BX789" s="23">
        <f t="shared" si="922"/>
        <v>3916</v>
      </c>
      <c r="BY789" s="23">
        <f t="shared" si="922"/>
        <v>4037</v>
      </c>
      <c r="BZ789" s="23">
        <f t="shared" si="922"/>
        <v>4135</v>
      </c>
      <c r="CA789" s="23">
        <f t="shared" si="922"/>
        <v>4227</v>
      </c>
      <c r="CB789" s="23">
        <f t="shared" si="922"/>
        <v>4317</v>
      </c>
      <c r="CC789" s="23">
        <f t="shared" si="922"/>
        <v>4415</v>
      </c>
      <c r="CD789" s="23">
        <f t="shared" si="922"/>
        <v>4533</v>
      </c>
      <c r="CE789" s="23">
        <f t="shared" si="922"/>
        <v>4542</v>
      </c>
      <c r="CF789" s="23"/>
      <c r="CG789" s="23"/>
      <c r="CH789" s="23"/>
      <c r="CI789" s="23"/>
      <c r="CJ789" s="23"/>
      <c r="CK789" s="23"/>
      <c r="CL789" s="23"/>
      <c r="CM789" s="23"/>
      <c r="CN789" s="23"/>
      <c r="CO789" s="23"/>
      <c r="CP789" s="23"/>
      <c r="CQ789" s="23"/>
      <c r="CR789" s="23"/>
      <c r="CS789" s="23"/>
      <c r="CT789" s="23"/>
      <c r="CU789" s="23"/>
      <c r="CV789" s="23"/>
      <c r="CW789" s="33"/>
      <c r="CX789" s="33"/>
      <c r="CY789" s="33"/>
      <c r="CZ789" s="33"/>
      <c r="DA789" s="33"/>
      <c r="DB789" s="33"/>
      <c r="DC789" s="33"/>
    </row>
    <row r="790" spans="2:115">
      <c r="B790" s="16"/>
      <c r="C790" s="23"/>
      <c r="D790" s="15"/>
      <c r="E790" s="15"/>
      <c r="F790" s="15"/>
      <c r="G790" s="15"/>
      <c r="H790" s="15"/>
      <c r="I790" s="15"/>
      <c r="J790" s="15"/>
      <c r="K790" s="15"/>
      <c r="L790" s="15"/>
      <c r="M790" s="23"/>
      <c r="N790" s="23"/>
      <c r="O790" s="23"/>
      <c r="P790" s="23"/>
      <c r="Q790" s="23"/>
      <c r="R790" s="23"/>
      <c r="S790" s="23"/>
      <c r="T790" s="23"/>
      <c r="U790" s="23"/>
      <c r="V790" s="23"/>
      <c r="W790" s="23"/>
      <c r="X790" s="15"/>
      <c r="Y790" s="15"/>
      <c r="Z790" s="15"/>
      <c r="AA790" s="15"/>
      <c r="AB790" s="15"/>
      <c r="AC790" s="15"/>
      <c r="AD790" s="15"/>
      <c r="AE790" s="23"/>
      <c r="AF790" s="15"/>
      <c r="AG790" s="15"/>
      <c r="AH790" s="15"/>
      <c r="AI790" s="15"/>
      <c r="AJ790" s="15"/>
      <c r="AK790" s="23"/>
      <c r="AL790" s="23"/>
      <c r="AM790" s="23"/>
      <c r="AN790" s="23"/>
      <c r="AO790" s="27"/>
      <c r="AP790" s="27"/>
      <c r="AQ790" s="27"/>
      <c r="AR790" s="27"/>
      <c r="AS790" s="27"/>
      <c r="AT790" s="27"/>
      <c r="AU790" s="27"/>
      <c r="AV790" s="27"/>
      <c r="AW790" s="27"/>
      <c r="AX790" s="27"/>
      <c r="AY790" s="27"/>
      <c r="AZ790" s="27"/>
      <c r="BA790" s="27"/>
      <c r="BB790" s="27"/>
      <c r="BC790" s="27"/>
      <c r="BD790" s="27"/>
      <c r="BE790" s="27"/>
      <c r="BF790" s="27"/>
      <c r="BG790" s="27"/>
      <c r="BH790" s="27"/>
      <c r="BI790" s="27"/>
      <c r="BJ790" s="23"/>
      <c r="BK790" s="23"/>
      <c r="BL790" s="23"/>
      <c r="BM790" s="23"/>
      <c r="BN790" s="23"/>
      <c r="BO790" s="23"/>
      <c r="BP790" s="23"/>
      <c r="BQ790" s="23"/>
      <c r="BR790" s="23"/>
      <c r="BS790" s="23"/>
      <c r="BT790" s="23"/>
      <c r="BU790" s="23"/>
      <c r="BV790" s="33"/>
      <c r="BW790" s="33"/>
      <c r="BX790" s="33"/>
      <c r="BY790" s="33"/>
      <c r="BZ790" s="33"/>
      <c r="CA790" s="33"/>
      <c r="CB790" s="33"/>
      <c r="CC790" s="33"/>
      <c r="CD790" s="33"/>
      <c r="CE790" s="33"/>
      <c r="CF790" s="33"/>
      <c r="CG790" s="33"/>
      <c r="CH790" s="33"/>
      <c r="CI790" s="33"/>
      <c r="CJ790" s="33"/>
      <c r="CK790" s="33"/>
      <c r="CL790" s="33"/>
      <c r="CM790" s="33"/>
      <c r="CN790" s="33"/>
      <c r="CO790" s="33"/>
      <c r="CP790" s="33"/>
      <c r="CQ790" s="33"/>
      <c r="CR790" s="33"/>
      <c r="CS790" s="33"/>
      <c r="CT790" s="33"/>
      <c r="CU790" s="33"/>
      <c r="CV790" s="33"/>
      <c r="CW790" s="33"/>
      <c r="CX790" s="33"/>
      <c r="CY790" s="33"/>
      <c r="CZ790" s="33"/>
      <c r="DA790" s="33"/>
      <c r="DB790" s="33"/>
      <c r="DC790" s="33"/>
    </row>
    <row r="791" spans="2:115" s="15" customFormat="1">
      <c r="B791" s="17" t="s">
        <v>1410</v>
      </c>
      <c r="C791" s="23"/>
      <c r="M791" s="23"/>
      <c r="N791" s="23"/>
      <c r="O791" s="23"/>
      <c r="P791" s="23"/>
      <c r="Q791" s="23"/>
      <c r="R791" s="23"/>
      <c r="S791" s="23"/>
      <c r="T791" s="23"/>
      <c r="U791" s="23"/>
      <c r="V791" s="23"/>
      <c r="W791" s="23"/>
      <c r="AE791" s="23"/>
      <c r="AK791" s="23"/>
      <c r="AL791" s="23"/>
      <c r="AM791" s="23"/>
      <c r="AN791" s="23"/>
      <c r="AO791" s="23"/>
      <c r="AP791" s="23"/>
      <c r="AQ791" s="23"/>
      <c r="AR791" s="117">
        <v>59</v>
      </c>
      <c r="AS791" s="117">
        <v>87</v>
      </c>
      <c r="AT791" s="117">
        <v>60</v>
      </c>
      <c r="AU791" s="117">
        <v>73</v>
      </c>
      <c r="AV791" s="117">
        <v>82</v>
      </c>
      <c r="AW791" s="849">
        <v>86</v>
      </c>
      <c r="AX791" s="849">
        <v>87</v>
      </c>
      <c r="AY791" s="849">
        <v>69</v>
      </c>
      <c r="AZ791" s="849">
        <v>75</v>
      </c>
      <c r="BA791" s="849">
        <v>70</v>
      </c>
      <c r="BB791" s="849">
        <v>74</v>
      </c>
      <c r="BC791" s="849">
        <v>68</v>
      </c>
      <c r="BD791" s="849">
        <v>61</v>
      </c>
      <c r="BE791" s="849">
        <v>63</v>
      </c>
      <c r="BF791" s="849">
        <v>92</v>
      </c>
      <c r="BG791" s="849">
        <v>81</v>
      </c>
      <c r="BH791" s="849">
        <v>75</v>
      </c>
      <c r="BI791" s="849">
        <v>96</v>
      </c>
      <c r="BJ791" s="117">
        <v>83</v>
      </c>
      <c r="BK791" s="117">
        <v>123</v>
      </c>
      <c r="BL791" s="117">
        <v>160</v>
      </c>
      <c r="BM791" s="117">
        <v>144</v>
      </c>
      <c r="BN791" s="117">
        <v>178</v>
      </c>
      <c r="BO791" s="117">
        <v>110</v>
      </c>
      <c r="BP791" s="117">
        <v>161</v>
      </c>
      <c r="BQ791" s="117">
        <v>124</v>
      </c>
      <c r="BR791" s="117">
        <v>131</v>
      </c>
      <c r="BS791" s="117">
        <v>143</v>
      </c>
      <c r="BT791" s="117">
        <v>156</v>
      </c>
      <c r="BU791" s="117">
        <v>216</v>
      </c>
      <c r="BV791" s="117">
        <v>201</v>
      </c>
      <c r="BW791" s="117">
        <v>211</v>
      </c>
      <c r="BX791" s="117">
        <v>185</v>
      </c>
      <c r="BY791" s="117">
        <v>181</v>
      </c>
      <c r="BZ791" s="117">
        <v>160</v>
      </c>
      <c r="CA791" s="117">
        <v>164</v>
      </c>
      <c r="CB791" s="117">
        <v>167</v>
      </c>
      <c r="CC791" s="117">
        <v>183</v>
      </c>
      <c r="CD791" s="117">
        <v>185</v>
      </c>
      <c r="CE791" s="117">
        <v>166</v>
      </c>
      <c r="CF791" s="117">
        <v>174</v>
      </c>
      <c r="CG791" s="117">
        <v>210</v>
      </c>
      <c r="CH791" s="117">
        <v>221</v>
      </c>
      <c r="CI791" s="117">
        <v>208</v>
      </c>
      <c r="CJ791" s="117">
        <v>173</v>
      </c>
      <c r="CK791" s="117">
        <v>188</v>
      </c>
      <c r="CL791" s="117">
        <v>140</v>
      </c>
      <c r="CM791" s="117">
        <v>190</v>
      </c>
      <c r="CN791" s="117">
        <v>210</v>
      </c>
      <c r="CO791" s="117">
        <v>170</v>
      </c>
      <c r="CP791" s="117">
        <v>170</v>
      </c>
      <c r="CQ791" s="117">
        <v>180</v>
      </c>
      <c r="CR791" s="117">
        <v>170</v>
      </c>
      <c r="CS791" s="117">
        <v>160</v>
      </c>
      <c r="CT791" s="117">
        <v>160</v>
      </c>
      <c r="CU791" s="117">
        <v>160</v>
      </c>
      <c r="CV791" s="117">
        <v>170</v>
      </c>
      <c r="CW791" s="23"/>
      <c r="CX791" s="23"/>
      <c r="CY791" s="23"/>
      <c r="CZ791" s="23"/>
      <c r="DA791" s="23"/>
      <c r="DB791" s="23"/>
      <c r="DC791" s="23"/>
      <c r="DD791"/>
      <c r="DE791"/>
      <c r="DF791"/>
      <c r="DG791"/>
      <c r="DH791"/>
      <c r="DI791"/>
      <c r="DJ791"/>
      <c r="DK791"/>
    </row>
    <row r="792" spans="2:115" s="15" customFormat="1">
      <c r="B792" s="18" t="s">
        <v>1416</v>
      </c>
      <c r="C792" s="23"/>
      <c r="M792" s="23"/>
      <c r="N792" s="23"/>
      <c r="O792" s="23"/>
      <c r="P792" s="23"/>
      <c r="Q792" s="23"/>
      <c r="R792" s="23"/>
      <c r="S792" s="23"/>
      <c r="T792" s="23"/>
      <c r="U792" s="23"/>
      <c r="V792" s="23"/>
      <c r="W792" s="23"/>
      <c r="AE792" s="23"/>
      <c r="AF792" s="773"/>
      <c r="AG792" s="773"/>
      <c r="AH792" s="773"/>
      <c r="AI792" s="773"/>
      <c r="AJ792" s="773"/>
      <c r="AK792" s="850"/>
      <c r="AL792" s="850"/>
      <c r="AM792" s="850"/>
      <c r="AN792" s="850"/>
      <c r="AO792" s="850"/>
      <c r="AP792" s="850"/>
      <c r="AQ792" s="850"/>
      <c r="AR792" s="850"/>
      <c r="AS792" s="850"/>
      <c r="AT792" s="850"/>
      <c r="AU792" s="850"/>
      <c r="AV792" s="851">
        <f t="shared" ref="AV792:CV792" si="923">AV791/AR791-1</f>
        <v>0.38983050847457634</v>
      </c>
      <c r="AW792" s="851">
        <f t="shared" si="923"/>
        <v>-1.1494252873563204E-2</v>
      </c>
      <c r="AX792" s="851">
        <f t="shared" si="923"/>
        <v>0.44999999999999996</v>
      </c>
      <c r="AY792" s="851">
        <f t="shared" si="923"/>
        <v>-5.4794520547945202E-2</v>
      </c>
      <c r="AZ792" s="851">
        <f t="shared" si="923"/>
        <v>-8.536585365853655E-2</v>
      </c>
      <c r="BA792" s="851">
        <f t="shared" si="923"/>
        <v>-0.18604651162790697</v>
      </c>
      <c r="BB792" s="851">
        <f t="shared" si="923"/>
        <v>-0.14942528735632188</v>
      </c>
      <c r="BC792" s="851">
        <f t="shared" si="923"/>
        <v>-1.4492753623188359E-2</v>
      </c>
      <c r="BD792" s="851">
        <f t="shared" si="923"/>
        <v>-0.18666666666666665</v>
      </c>
      <c r="BE792" s="851">
        <f t="shared" si="923"/>
        <v>-9.9999999999999978E-2</v>
      </c>
      <c r="BF792" s="851">
        <f t="shared" si="923"/>
        <v>0.2432432432432432</v>
      </c>
      <c r="BG792" s="851">
        <f t="shared" si="923"/>
        <v>0.19117647058823528</v>
      </c>
      <c r="BH792" s="851">
        <f t="shared" si="923"/>
        <v>0.22950819672131151</v>
      </c>
      <c r="BI792" s="851">
        <f t="shared" si="923"/>
        <v>0.52380952380952372</v>
      </c>
      <c r="BJ792" s="851">
        <f t="shared" si="923"/>
        <v>-9.7826086956521729E-2</v>
      </c>
      <c r="BK792" s="851">
        <f t="shared" si="923"/>
        <v>0.5185185185185186</v>
      </c>
      <c r="BL792" s="851">
        <f t="shared" si="923"/>
        <v>1.1333333333333333</v>
      </c>
      <c r="BM792" s="851">
        <f t="shared" si="923"/>
        <v>0.5</v>
      </c>
      <c r="BN792" s="851">
        <f t="shared" si="923"/>
        <v>1.1445783132530121</v>
      </c>
      <c r="BO792" s="851">
        <f t="shared" si="923"/>
        <v>-0.10569105691056913</v>
      </c>
      <c r="BP792" s="851">
        <f t="shared" si="923"/>
        <v>6.2500000000000888E-3</v>
      </c>
      <c r="BQ792" s="851">
        <f t="shared" si="923"/>
        <v>-0.13888888888888884</v>
      </c>
      <c r="BR792" s="851">
        <f t="shared" si="923"/>
        <v>-0.2640449438202247</v>
      </c>
      <c r="BS792" s="851">
        <f t="shared" si="923"/>
        <v>0.30000000000000004</v>
      </c>
      <c r="BT792" s="851">
        <f t="shared" si="923"/>
        <v>-3.105590062111796E-2</v>
      </c>
      <c r="BU792" s="851">
        <f t="shared" si="923"/>
        <v>0.74193548387096775</v>
      </c>
      <c r="BV792" s="851">
        <f t="shared" si="923"/>
        <v>0.53435114503816794</v>
      </c>
      <c r="BW792" s="851">
        <f t="shared" si="923"/>
        <v>0.47552447552447563</v>
      </c>
      <c r="BX792" s="851">
        <f t="shared" si="923"/>
        <v>0.1858974358974359</v>
      </c>
      <c r="BY792" s="851">
        <f t="shared" si="923"/>
        <v>-0.16203703703703709</v>
      </c>
      <c r="BZ792" s="851">
        <f t="shared" si="923"/>
        <v>-0.20398009950248752</v>
      </c>
      <c r="CA792" s="851">
        <f t="shared" si="923"/>
        <v>-0.22274881516587675</v>
      </c>
      <c r="CB792" s="851">
        <f t="shared" si="923"/>
        <v>-9.7297297297297303E-2</v>
      </c>
      <c r="CC792" s="851">
        <f t="shared" si="923"/>
        <v>1.1049723756906049E-2</v>
      </c>
      <c r="CD792" s="851">
        <f t="shared" si="923"/>
        <v>0.15625</v>
      </c>
      <c r="CE792" s="851">
        <f t="shared" si="923"/>
        <v>1.2195121951219523E-2</v>
      </c>
      <c r="CF792" s="851">
        <f t="shared" si="923"/>
        <v>4.1916167664670656E-2</v>
      </c>
      <c r="CG792" s="851">
        <f t="shared" si="923"/>
        <v>0.14754098360655732</v>
      </c>
      <c r="CH792" s="851">
        <f t="shared" si="923"/>
        <v>0.19459459459459461</v>
      </c>
      <c r="CI792" s="851">
        <f t="shared" si="923"/>
        <v>0.25301204819277112</v>
      </c>
      <c r="CJ792" s="851">
        <f t="shared" si="923"/>
        <v>-5.7471264367816577E-3</v>
      </c>
      <c r="CK792" s="851">
        <f t="shared" si="923"/>
        <v>-0.10476190476190472</v>
      </c>
      <c r="CL792" s="851">
        <f t="shared" si="923"/>
        <v>-0.36651583710407243</v>
      </c>
      <c r="CM792" s="851">
        <f t="shared" si="923"/>
        <v>-8.6538461538461564E-2</v>
      </c>
      <c r="CN792" s="851">
        <f t="shared" si="923"/>
        <v>0.21387283236994215</v>
      </c>
      <c r="CO792" s="851">
        <f t="shared" si="923"/>
        <v>-9.5744680851063801E-2</v>
      </c>
      <c r="CP792" s="851">
        <f t="shared" si="923"/>
        <v>0.21428571428571419</v>
      </c>
      <c r="CQ792" s="851">
        <f t="shared" si="923"/>
        <v>-5.2631578947368474E-2</v>
      </c>
      <c r="CR792" s="851">
        <f t="shared" si="923"/>
        <v>-0.19047619047619047</v>
      </c>
      <c r="CS792" s="851">
        <f t="shared" si="923"/>
        <v>-5.8823529411764719E-2</v>
      </c>
      <c r="CT792" s="851">
        <f t="shared" si="923"/>
        <v>-5.8823529411764719E-2</v>
      </c>
      <c r="CU792" s="851">
        <f t="shared" si="923"/>
        <v>-0.11111111111111116</v>
      </c>
      <c r="CV792" s="851">
        <f t="shared" si="923"/>
        <v>0</v>
      </c>
      <c r="CW792" s="23"/>
      <c r="CX792" s="23"/>
      <c r="CY792" s="23"/>
      <c r="CZ792" s="23"/>
      <c r="DA792" s="23"/>
      <c r="DB792" s="23"/>
      <c r="DC792" s="23"/>
      <c r="DD792"/>
      <c r="DE792"/>
      <c r="DF792"/>
      <c r="DG792"/>
      <c r="DH792"/>
      <c r="DI792"/>
      <c r="DJ792"/>
      <c r="DK792"/>
    </row>
    <row r="793" spans="2:115" s="15" customFormat="1">
      <c r="B793" s="18" t="s">
        <v>1540</v>
      </c>
      <c r="C793" s="23"/>
      <c r="M793" s="23"/>
      <c r="N793" s="23"/>
      <c r="O793" s="23"/>
      <c r="P793" s="23"/>
      <c r="Q793" s="23"/>
      <c r="R793" s="23"/>
      <c r="S793" s="23"/>
      <c r="T793" s="23"/>
      <c r="U793" s="23"/>
      <c r="V793" s="23"/>
      <c r="W793" s="23"/>
      <c r="AE793" s="23"/>
      <c r="AF793" s="773"/>
      <c r="AG793" s="773"/>
      <c r="AH793" s="773"/>
      <c r="AI793" s="773"/>
      <c r="AJ793" s="773"/>
      <c r="AK793" s="850"/>
      <c r="AL793" s="850"/>
      <c r="AM793" s="850"/>
      <c r="AN793" s="850"/>
      <c r="AO793" s="850"/>
      <c r="AP793" s="850"/>
      <c r="AQ793" s="850"/>
      <c r="AR793" s="850"/>
      <c r="AS793" s="850"/>
      <c r="AT793" s="850"/>
      <c r="AU793" s="850"/>
      <c r="AV793" s="851"/>
      <c r="AW793" s="851"/>
      <c r="AX793" s="851"/>
      <c r="AY793" s="851"/>
      <c r="AZ793" s="851"/>
      <c r="BA793" s="851"/>
      <c r="BB793" s="851"/>
      <c r="BC793" s="851">
        <f t="shared" ref="BC793:CV793" si="924">BC791/BB791-1</f>
        <v>-8.108108108108103E-2</v>
      </c>
      <c r="BD793" s="851">
        <f t="shared" si="924"/>
        <v>-0.1029411764705882</v>
      </c>
      <c r="BE793" s="851">
        <f t="shared" si="924"/>
        <v>3.2786885245901676E-2</v>
      </c>
      <c r="BF793" s="851">
        <f t="shared" si="924"/>
        <v>0.46031746031746024</v>
      </c>
      <c r="BG793" s="851">
        <f t="shared" si="924"/>
        <v>-0.11956521739130432</v>
      </c>
      <c r="BH793" s="851">
        <f t="shared" si="924"/>
        <v>-7.407407407407407E-2</v>
      </c>
      <c r="BI793" s="851">
        <f t="shared" si="924"/>
        <v>0.28000000000000003</v>
      </c>
      <c r="BJ793" s="851">
        <f t="shared" si="924"/>
        <v>-0.13541666666666663</v>
      </c>
      <c r="BK793" s="851">
        <f t="shared" si="924"/>
        <v>0.48192771084337349</v>
      </c>
      <c r="BL793" s="851">
        <f t="shared" si="924"/>
        <v>0.30081300813008127</v>
      </c>
      <c r="BM793" s="851">
        <f t="shared" si="924"/>
        <v>-9.9999999999999978E-2</v>
      </c>
      <c r="BN793" s="851">
        <f t="shared" si="924"/>
        <v>0.23611111111111116</v>
      </c>
      <c r="BO793" s="851">
        <f t="shared" si="924"/>
        <v>-0.3820224719101124</v>
      </c>
      <c r="BP793" s="851">
        <f t="shared" si="924"/>
        <v>0.46363636363636362</v>
      </c>
      <c r="BQ793" s="851">
        <f t="shared" si="924"/>
        <v>-0.22981366459627328</v>
      </c>
      <c r="BR793" s="851">
        <f t="shared" si="924"/>
        <v>5.6451612903225756E-2</v>
      </c>
      <c r="BS793" s="851">
        <f t="shared" si="924"/>
        <v>9.1603053435114434E-2</v>
      </c>
      <c r="BT793" s="851">
        <f t="shared" si="924"/>
        <v>9.0909090909090828E-2</v>
      </c>
      <c r="BU793" s="851">
        <f t="shared" si="924"/>
        <v>0.38461538461538458</v>
      </c>
      <c r="BV793" s="851">
        <f t="shared" si="924"/>
        <v>-6.944444444444442E-2</v>
      </c>
      <c r="BW793" s="851">
        <f t="shared" si="924"/>
        <v>4.9751243781094523E-2</v>
      </c>
      <c r="BX793" s="851">
        <f t="shared" si="924"/>
        <v>-0.12322274881516593</v>
      </c>
      <c r="BY793" s="851">
        <f t="shared" si="924"/>
        <v>-2.1621621621621623E-2</v>
      </c>
      <c r="BZ793" s="851">
        <f t="shared" si="924"/>
        <v>-0.11602209944751385</v>
      </c>
      <c r="CA793" s="851">
        <f t="shared" si="924"/>
        <v>2.4999999999999911E-2</v>
      </c>
      <c r="CB793" s="851">
        <f t="shared" si="924"/>
        <v>1.8292682926829285E-2</v>
      </c>
      <c r="CC793" s="851">
        <f t="shared" si="924"/>
        <v>9.5808383233533023E-2</v>
      </c>
      <c r="CD793" s="851">
        <f t="shared" si="924"/>
        <v>1.0928961748633892E-2</v>
      </c>
      <c r="CE793" s="851">
        <f t="shared" si="924"/>
        <v>-0.10270270270270265</v>
      </c>
      <c r="CF793" s="851">
        <f t="shared" si="924"/>
        <v>4.8192771084337283E-2</v>
      </c>
      <c r="CG793" s="851">
        <f t="shared" si="924"/>
        <v>0.2068965517241379</v>
      </c>
      <c r="CH793" s="851">
        <f t="shared" si="924"/>
        <v>5.2380952380952417E-2</v>
      </c>
      <c r="CI793" s="851">
        <f t="shared" si="924"/>
        <v>-5.8823529411764719E-2</v>
      </c>
      <c r="CJ793" s="851">
        <f t="shared" si="924"/>
        <v>-0.16826923076923073</v>
      </c>
      <c r="CK793" s="851">
        <f t="shared" si="924"/>
        <v>8.6705202312138629E-2</v>
      </c>
      <c r="CL793" s="851">
        <f t="shared" si="924"/>
        <v>-0.25531914893617025</v>
      </c>
      <c r="CM793" s="851">
        <f t="shared" si="924"/>
        <v>0.35714285714285721</v>
      </c>
      <c r="CN793" s="851">
        <f t="shared" si="924"/>
        <v>0.10526315789473695</v>
      </c>
      <c r="CO793" s="851">
        <f t="shared" si="924"/>
        <v>-0.19047619047619047</v>
      </c>
      <c r="CP793" s="851">
        <f t="shared" si="924"/>
        <v>0</v>
      </c>
      <c r="CQ793" s="851">
        <f t="shared" si="924"/>
        <v>5.8823529411764719E-2</v>
      </c>
      <c r="CR793" s="851">
        <f t="shared" si="924"/>
        <v>-5.555555555555558E-2</v>
      </c>
      <c r="CS793" s="851">
        <f t="shared" si="924"/>
        <v>-5.8823529411764719E-2</v>
      </c>
      <c r="CT793" s="851">
        <f t="shared" si="924"/>
        <v>0</v>
      </c>
      <c r="CU793" s="851">
        <f t="shared" si="924"/>
        <v>0</v>
      </c>
      <c r="CV793" s="851">
        <f t="shared" si="924"/>
        <v>6.25E-2</v>
      </c>
      <c r="CW793" s="23"/>
      <c r="CX793" s="23"/>
      <c r="CY793" s="23"/>
      <c r="CZ793" s="23"/>
      <c r="DA793" s="23"/>
      <c r="DB793" s="23"/>
      <c r="DC793" s="23"/>
      <c r="DD793"/>
      <c r="DE793"/>
      <c r="DF793"/>
      <c r="DG793"/>
      <c r="DH793"/>
      <c r="DI793"/>
      <c r="DJ793"/>
      <c r="DK793"/>
    </row>
    <row r="794" spans="2:115" s="15" customFormat="1" ht="4.5" customHeight="1">
      <c r="B794" s="18"/>
      <c r="C794" s="23"/>
      <c r="M794" s="23"/>
      <c r="N794" s="23"/>
      <c r="O794" s="23"/>
      <c r="P794" s="23"/>
      <c r="Q794" s="23"/>
      <c r="R794" s="23"/>
      <c r="S794" s="23"/>
      <c r="T794" s="23"/>
      <c r="U794" s="23"/>
      <c r="V794" s="23"/>
      <c r="W794" s="23"/>
      <c r="AE794" s="23"/>
      <c r="AF794" s="773"/>
      <c r="AG794" s="773"/>
      <c r="AH794" s="773"/>
      <c r="AI794" s="773"/>
      <c r="AJ794" s="773"/>
      <c r="AK794" s="850"/>
      <c r="AL794" s="850"/>
      <c r="AM794" s="850"/>
      <c r="AN794" s="850"/>
      <c r="AO794" s="850"/>
      <c r="AP794" s="850"/>
      <c r="AQ794" s="850"/>
      <c r="AR794" s="850"/>
      <c r="AS794" s="850"/>
      <c r="AT794" s="850"/>
      <c r="AU794" s="850"/>
      <c r="AV794" s="851"/>
      <c r="AW794" s="851"/>
      <c r="AX794" s="851"/>
      <c r="AY794" s="851"/>
      <c r="AZ794" s="851"/>
      <c r="BA794" s="851"/>
      <c r="BB794" s="851"/>
      <c r="BC794" s="851"/>
      <c r="BD794" s="851"/>
      <c r="BE794" s="851"/>
      <c r="BF794" s="851"/>
      <c r="BG794" s="851"/>
      <c r="BH794" s="851"/>
      <c r="BI794" s="851"/>
      <c r="BJ794" s="851"/>
      <c r="BK794" s="851"/>
      <c r="BL794" s="851"/>
      <c r="BM794" s="851"/>
      <c r="BN794" s="851"/>
      <c r="BO794" s="851"/>
      <c r="BP794" s="851"/>
      <c r="BQ794" s="851"/>
      <c r="BR794" s="851"/>
      <c r="BS794" s="851"/>
      <c r="BT794" s="851"/>
      <c r="BU794" s="851"/>
      <c r="BV794" s="23"/>
      <c r="BW794" s="23"/>
      <c r="BX794" s="23"/>
      <c r="BY794" s="23"/>
      <c r="BZ794" s="23"/>
      <c r="CA794" s="23"/>
      <c r="CB794" s="23"/>
      <c r="CC794" s="23"/>
      <c r="CD794" s="23"/>
      <c r="CE794" s="23"/>
      <c r="CF794" s="23"/>
      <c r="CG794" s="23"/>
      <c r="CH794" s="23"/>
      <c r="CI794" s="23"/>
      <c r="CJ794" s="23"/>
      <c r="CK794" s="23"/>
      <c r="CL794" s="23"/>
      <c r="CM794" s="23"/>
      <c r="CN794" s="23"/>
      <c r="CO794" s="23"/>
      <c r="CP794" s="23"/>
      <c r="CQ794" s="23"/>
      <c r="CR794" s="23"/>
      <c r="CS794" s="23"/>
      <c r="CT794" s="23"/>
      <c r="CU794" s="23"/>
      <c r="CV794" s="23"/>
      <c r="CW794" s="23"/>
      <c r="CX794" s="23"/>
      <c r="CY794" s="23"/>
      <c r="CZ794" s="23"/>
      <c r="DA794" s="23"/>
      <c r="DB794" s="23"/>
      <c r="DC794" s="23"/>
      <c r="DD794"/>
      <c r="DE794"/>
      <c r="DF794"/>
      <c r="DG794"/>
      <c r="DH794"/>
      <c r="DI794"/>
      <c r="DJ794"/>
      <c r="DK794"/>
    </row>
    <row r="795" spans="2:115" s="15" customFormat="1">
      <c r="B795" s="17" t="s">
        <v>1418</v>
      </c>
      <c r="C795" s="23"/>
      <c r="M795" s="23"/>
      <c r="N795" s="23"/>
      <c r="O795" s="23"/>
      <c r="P795" s="23"/>
      <c r="Q795" s="23"/>
      <c r="R795" s="23"/>
      <c r="S795" s="23"/>
      <c r="T795" s="23"/>
      <c r="U795" s="23"/>
      <c r="V795" s="23"/>
      <c r="W795" s="23"/>
      <c r="AE795" s="23"/>
      <c r="AK795" s="23"/>
      <c r="AL795" s="23"/>
      <c r="AM795" s="23"/>
      <c r="AN795" s="27"/>
      <c r="AO795" s="27"/>
      <c r="AP795" s="27"/>
      <c r="AQ795" s="27"/>
      <c r="AR795" s="27">
        <f t="shared" ref="AR795:BI795" si="925">AQ799+AR791-AR799</f>
        <v>36</v>
      </c>
      <c r="AS795" s="27">
        <f t="shared" si="925"/>
        <v>-192</v>
      </c>
      <c r="AT795" s="27">
        <f t="shared" si="925"/>
        <v>10</v>
      </c>
      <c r="AU795" s="27">
        <f t="shared" si="925"/>
        <v>23</v>
      </c>
      <c r="AV795" s="27">
        <f t="shared" si="925"/>
        <v>12</v>
      </c>
      <c r="AW795" s="27">
        <f t="shared" si="925"/>
        <v>31</v>
      </c>
      <c r="AX795" s="27">
        <f t="shared" si="925"/>
        <v>21</v>
      </c>
      <c r="AY795" s="27">
        <f t="shared" si="925"/>
        <v>15</v>
      </c>
      <c r="AZ795" s="27">
        <f t="shared" si="925"/>
        <v>20</v>
      </c>
      <c r="BA795" s="27">
        <f t="shared" si="925"/>
        <v>26</v>
      </c>
      <c r="BB795" s="27">
        <f t="shared" si="925"/>
        <v>30</v>
      </c>
      <c r="BC795" s="27">
        <f t="shared" si="925"/>
        <v>23</v>
      </c>
      <c r="BD795" s="27">
        <f t="shared" si="925"/>
        <v>35</v>
      </c>
      <c r="BE795" s="27">
        <f t="shared" si="925"/>
        <v>38</v>
      </c>
      <c r="BF795" s="27">
        <f t="shared" si="925"/>
        <v>21</v>
      </c>
      <c r="BG795" s="27">
        <f t="shared" si="925"/>
        <v>51</v>
      </c>
      <c r="BH795" s="27">
        <f t="shared" si="925"/>
        <v>30</v>
      </c>
      <c r="BI795" s="27">
        <f t="shared" si="925"/>
        <v>58</v>
      </c>
      <c r="BJ795" s="23">
        <f t="shared" ref="BJ795:CB795" si="926">BJ789+BJ791-BJ799</f>
        <v>-355</v>
      </c>
      <c r="BK795" s="23">
        <f t="shared" si="926"/>
        <v>53</v>
      </c>
      <c r="BL795" s="23">
        <f t="shared" si="926"/>
        <v>47</v>
      </c>
      <c r="BM795" s="23">
        <f t="shared" si="926"/>
        <v>48</v>
      </c>
      <c r="BN795" s="23">
        <f t="shared" si="926"/>
        <v>40</v>
      </c>
      <c r="BO795" s="23">
        <f t="shared" si="926"/>
        <v>66</v>
      </c>
      <c r="BP795" s="23">
        <f t="shared" si="926"/>
        <v>49</v>
      </c>
      <c r="BQ795" s="23">
        <f t="shared" si="926"/>
        <v>78</v>
      </c>
      <c r="BR795" s="23">
        <f t="shared" si="926"/>
        <v>39</v>
      </c>
      <c r="BS795" s="23">
        <f t="shared" si="926"/>
        <v>53</v>
      </c>
      <c r="BT795" s="23">
        <f t="shared" si="926"/>
        <v>49</v>
      </c>
      <c r="BU795" s="23">
        <f t="shared" si="926"/>
        <v>-726</v>
      </c>
      <c r="BV795" s="23">
        <f t="shared" si="926"/>
        <v>95</v>
      </c>
      <c r="BW795" s="23">
        <f t="shared" si="926"/>
        <v>62</v>
      </c>
      <c r="BX795" s="23">
        <f t="shared" si="926"/>
        <v>64</v>
      </c>
      <c r="BY795" s="23">
        <f t="shared" si="926"/>
        <v>83</v>
      </c>
      <c r="BZ795" s="23">
        <f t="shared" si="926"/>
        <v>68</v>
      </c>
      <c r="CA795" s="23">
        <f t="shared" si="926"/>
        <v>74</v>
      </c>
      <c r="CB795" s="23">
        <f t="shared" si="926"/>
        <v>69</v>
      </c>
      <c r="CC795" s="23">
        <f>CC789+CC791-CC799</f>
        <v>65</v>
      </c>
      <c r="CD795" s="23">
        <f>CD789+CD791-CD799</f>
        <v>176</v>
      </c>
      <c r="CE795" s="1102"/>
      <c r="CF795" s="1102"/>
      <c r="CG795" s="1102"/>
      <c r="CH795" s="1102"/>
      <c r="CI795" s="1102"/>
      <c r="CJ795" s="1102"/>
      <c r="CK795" s="1102"/>
      <c r="CL795" s="1102"/>
      <c r="CM795" s="1102"/>
      <c r="CN795" s="1102"/>
      <c r="CO795" s="1102"/>
      <c r="CP795" s="1102"/>
      <c r="CQ795" s="1102"/>
      <c r="CR795" s="1102"/>
      <c r="CS795" s="1102"/>
      <c r="CT795" s="1102"/>
      <c r="CU795" s="1102"/>
      <c r="CV795" s="1102"/>
      <c r="CW795" s="23"/>
      <c r="CX795" s="23"/>
      <c r="CY795" s="23"/>
      <c r="CZ795" s="23"/>
      <c r="DA795" s="23"/>
      <c r="DB795" s="23"/>
      <c r="DC795" s="23"/>
      <c r="DD795"/>
      <c r="DE795"/>
      <c r="DF795"/>
      <c r="DG795"/>
      <c r="DH795"/>
      <c r="DI795"/>
      <c r="DJ795"/>
      <c r="DK795"/>
    </row>
    <row r="796" spans="2:115" s="15" customFormat="1" ht="12.75" customHeight="1">
      <c r="B796" s="17"/>
      <c r="C796" s="23"/>
      <c r="M796" s="23"/>
      <c r="N796" s="23"/>
      <c r="O796" s="23"/>
      <c r="P796" s="23"/>
      <c r="Q796" s="23"/>
      <c r="R796" s="23"/>
      <c r="S796" s="23"/>
      <c r="T796" s="23"/>
      <c r="U796" s="23"/>
      <c r="V796" s="23"/>
      <c r="W796" s="23"/>
      <c r="AE796" s="23"/>
      <c r="AK796" s="23"/>
      <c r="AL796" s="23"/>
      <c r="AM796" s="23"/>
      <c r="AN796" s="27"/>
      <c r="AO796" s="27"/>
      <c r="AP796" s="27"/>
      <c r="AQ796" s="27"/>
      <c r="AR796" s="27"/>
      <c r="AS796" s="27"/>
      <c r="AT796" s="27"/>
      <c r="AU796" s="27"/>
      <c r="AV796" s="27"/>
      <c r="AW796" s="27"/>
      <c r="AX796" s="27"/>
      <c r="AY796" s="27"/>
      <c r="AZ796" s="27"/>
      <c r="BA796" s="27"/>
      <c r="BB796" s="27"/>
      <c r="BC796" s="27"/>
      <c r="BD796" s="27"/>
      <c r="BE796" s="27"/>
      <c r="BF796" s="27"/>
      <c r="BG796" s="27"/>
      <c r="BH796" s="27"/>
      <c r="BI796" s="27"/>
      <c r="BJ796" s="23"/>
      <c r="BK796" s="23"/>
      <c r="BL796" s="23"/>
      <c r="BM796" s="23"/>
      <c r="BN796" s="23"/>
      <c r="BO796" s="23"/>
      <c r="BP796" s="23"/>
      <c r="BQ796" s="23"/>
      <c r="BR796" s="23"/>
      <c r="BS796" s="23"/>
      <c r="BT796" s="23"/>
      <c r="BU796" s="23"/>
      <c r="BV796" s="23"/>
      <c r="BW796" s="23"/>
      <c r="BX796" s="23"/>
      <c r="BY796" s="23"/>
      <c r="BZ796" s="23"/>
      <c r="CA796" s="23"/>
      <c r="CB796" s="23"/>
      <c r="CC796" s="23"/>
      <c r="CD796" s="23"/>
      <c r="CE796" s="23"/>
      <c r="CF796" s="23"/>
      <c r="CG796" s="23"/>
      <c r="CH796" s="23"/>
      <c r="CI796" s="23"/>
      <c r="CJ796" s="23"/>
      <c r="CK796" s="23"/>
      <c r="CL796" s="23"/>
      <c r="CM796" s="23"/>
      <c r="CN796" s="23"/>
      <c r="CO796" s="23"/>
      <c r="CP796" s="23"/>
      <c r="CQ796" s="23"/>
      <c r="CR796" s="23"/>
      <c r="CS796" s="23"/>
      <c r="CT796" s="23"/>
      <c r="CU796" s="23"/>
      <c r="CV796" s="23"/>
      <c r="CW796" s="23"/>
      <c r="CX796" s="23"/>
      <c r="CY796" s="23"/>
      <c r="CZ796" s="23"/>
      <c r="DA796" s="23"/>
      <c r="DB796" s="23"/>
      <c r="DC796" s="23"/>
      <c r="DD796"/>
      <c r="DE796"/>
      <c r="DF796"/>
      <c r="DG796"/>
      <c r="DH796"/>
      <c r="DI796"/>
      <c r="DJ796"/>
      <c r="DK796"/>
    </row>
    <row r="797" spans="2:115" s="15" customFormat="1">
      <c r="B797" s="17" t="s">
        <v>1419</v>
      </c>
      <c r="C797" s="23"/>
      <c r="M797" s="23"/>
      <c r="N797" s="23"/>
      <c r="O797" s="23"/>
      <c r="P797" s="23"/>
      <c r="Q797" s="23"/>
      <c r="R797" s="23"/>
      <c r="S797" s="23"/>
      <c r="T797" s="23"/>
      <c r="U797" s="23"/>
      <c r="V797" s="23"/>
      <c r="W797" s="23"/>
      <c r="AE797" s="23"/>
      <c r="AK797" s="23"/>
      <c r="AL797" s="23"/>
      <c r="AM797" s="23"/>
      <c r="AN797" s="23"/>
      <c r="AO797" s="23"/>
      <c r="AP797" s="23"/>
      <c r="AQ797" s="23"/>
      <c r="AR797" s="23">
        <f t="shared" ref="AR797:CB797" si="927">AR791-AR795</f>
        <v>23</v>
      </c>
      <c r="AS797" s="23">
        <f t="shared" si="927"/>
        <v>279</v>
      </c>
      <c r="AT797" s="23">
        <f t="shared" si="927"/>
        <v>50</v>
      </c>
      <c r="AU797" s="23">
        <f t="shared" si="927"/>
        <v>50</v>
      </c>
      <c r="AV797" s="23">
        <f t="shared" si="927"/>
        <v>70</v>
      </c>
      <c r="AW797" s="23">
        <f t="shared" si="927"/>
        <v>55</v>
      </c>
      <c r="AX797" s="23">
        <f t="shared" si="927"/>
        <v>66</v>
      </c>
      <c r="AY797" s="23">
        <f t="shared" si="927"/>
        <v>54</v>
      </c>
      <c r="AZ797" s="23">
        <f t="shared" si="927"/>
        <v>55</v>
      </c>
      <c r="BA797" s="23">
        <f t="shared" si="927"/>
        <v>44</v>
      </c>
      <c r="BB797" s="23">
        <f t="shared" si="927"/>
        <v>44</v>
      </c>
      <c r="BC797" s="23">
        <f t="shared" si="927"/>
        <v>45</v>
      </c>
      <c r="BD797" s="23">
        <f t="shared" si="927"/>
        <v>26</v>
      </c>
      <c r="BE797" s="23">
        <f t="shared" si="927"/>
        <v>25</v>
      </c>
      <c r="BF797" s="23">
        <f t="shared" si="927"/>
        <v>71</v>
      </c>
      <c r="BG797" s="23">
        <f t="shared" si="927"/>
        <v>30</v>
      </c>
      <c r="BH797" s="23">
        <f t="shared" si="927"/>
        <v>45</v>
      </c>
      <c r="BI797" s="23">
        <f t="shared" si="927"/>
        <v>38</v>
      </c>
      <c r="BJ797" s="23">
        <f t="shared" si="927"/>
        <v>438</v>
      </c>
      <c r="BK797" s="23">
        <f t="shared" si="927"/>
        <v>70</v>
      </c>
      <c r="BL797" s="23">
        <f t="shared" si="927"/>
        <v>113</v>
      </c>
      <c r="BM797" s="23">
        <f t="shared" si="927"/>
        <v>96</v>
      </c>
      <c r="BN797" s="23">
        <f t="shared" si="927"/>
        <v>138</v>
      </c>
      <c r="BO797" s="23">
        <f t="shared" si="927"/>
        <v>44</v>
      </c>
      <c r="BP797" s="23">
        <f t="shared" si="927"/>
        <v>112</v>
      </c>
      <c r="BQ797" s="23">
        <f t="shared" si="927"/>
        <v>46</v>
      </c>
      <c r="BR797" s="23">
        <f t="shared" si="927"/>
        <v>92</v>
      </c>
      <c r="BS797" s="23">
        <f t="shared" si="927"/>
        <v>90</v>
      </c>
      <c r="BT797" s="23">
        <f t="shared" si="927"/>
        <v>107</v>
      </c>
      <c r="BU797" s="23">
        <f t="shared" si="927"/>
        <v>942</v>
      </c>
      <c r="BV797" s="23">
        <f t="shared" si="927"/>
        <v>106</v>
      </c>
      <c r="BW797" s="23">
        <f t="shared" si="927"/>
        <v>149</v>
      </c>
      <c r="BX797" s="23">
        <f t="shared" si="927"/>
        <v>121</v>
      </c>
      <c r="BY797" s="23">
        <f t="shared" si="927"/>
        <v>98</v>
      </c>
      <c r="BZ797" s="23">
        <f t="shared" si="927"/>
        <v>92</v>
      </c>
      <c r="CA797" s="23">
        <f t="shared" si="927"/>
        <v>90</v>
      </c>
      <c r="CB797" s="23">
        <f t="shared" si="927"/>
        <v>98</v>
      </c>
      <c r="CC797" s="23">
        <f>CC791-CC795</f>
        <v>118</v>
      </c>
      <c r="CD797" s="23">
        <f>CD791-CD795</f>
        <v>9</v>
      </c>
      <c r="CE797" s="1102"/>
      <c r="CF797" s="1102"/>
      <c r="CG797" s="1102"/>
      <c r="CH797" s="1102"/>
      <c r="CI797" s="1102"/>
      <c r="CJ797" s="1102"/>
      <c r="CK797" s="1102"/>
      <c r="CL797" s="1102"/>
      <c r="CM797" s="1102"/>
      <c r="CN797" s="1102"/>
      <c r="CO797" s="1102"/>
      <c r="CP797" s="1102"/>
      <c r="CQ797" s="1102"/>
      <c r="CR797" s="1102"/>
      <c r="CS797" s="1102"/>
      <c r="CT797" s="1102"/>
      <c r="CU797" s="1102"/>
      <c r="CV797" s="1102"/>
      <c r="CW797" s="23"/>
      <c r="CX797" s="23"/>
      <c r="CY797" s="23"/>
      <c r="CZ797" s="23"/>
      <c r="DA797" s="23"/>
      <c r="DB797" s="23"/>
      <c r="DC797" s="23"/>
      <c r="DD797"/>
      <c r="DE797"/>
      <c r="DF797"/>
      <c r="DG797"/>
      <c r="DH797"/>
      <c r="DI797"/>
      <c r="DJ797"/>
      <c r="DK797"/>
    </row>
    <row r="798" spans="2:115" s="15" customFormat="1">
      <c r="B798" s="17"/>
      <c r="C798" s="23"/>
      <c r="M798" s="23"/>
      <c r="N798" s="23"/>
      <c r="O798" s="23"/>
      <c r="P798" s="23"/>
      <c r="Q798" s="23"/>
      <c r="R798" s="23"/>
      <c r="S798" s="23"/>
      <c r="T798" s="23"/>
      <c r="U798" s="23"/>
      <c r="V798" s="23"/>
      <c r="W798" s="23"/>
      <c r="AE798" s="23"/>
      <c r="AK798" s="23"/>
      <c r="AL798" s="23"/>
      <c r="AM798" s="23"/>
      <c r="AN798" s="23"/>
      <c r="AO798" s="23"/>
      <c r="AP798" s="23"/>
      <c r="AQ798" s="23"/>
      <c r="AR798" s="23"/>
      <c r="AS798" s="23"/>
      <c r="AT798" s="23"/>
      <c r="AU798" s="23"/>
      <c r="AV798" s="23"/>
      <c r="AW798" s="23"/>
      <c r="AX798" s="23"/>
      <c r="AY798" s="23"/>
      <c r="AZ798" s="23"/>
      <c r="BA798" s="23"/>
      <c r="BB798" s="23"/>
      <c r="BC798" s="23"/>
      <c r="BD798" s="23"/>
      <c r="BE798" s="23"/>
      <c r="BF798" s="23"/>
      <c r="BG798" s="23"/>
      <c r="BH798" s="23"/>
      <c r="BI798" s="23"/>
      <c r="BJ798" s="23"/>
      <c r="BK798" s="23"/>
      <c r="BL798" s="23"/>
      <c r="BM798" s="23"/>
      <c r="BN798" s="23"/>
      <c r="BO798" s="23"/>
      <c r="BP798" s="23"/>
      <c r="BQ798" s="23"/>
      <c r="BR798" s="23"/>
      <c r="BS798" s="23"/>
      <c r="BT798" s="23"/>
      <c r="BU798" s="23"/>
      <c r="BV798" s="23"/>
      <c r="BW798" s="23"/>
      <c r="BX798" s="23"/>
      <c r="BY798" s="23"/>
      <c r="BZ798" s="23"/>
      <c r="CA798" s="23"/>
      <c r="CB798" s="23"/>
      <c r="CC798" s="23"/>
      <c r="CD798" s="23"/>
      <c r="CE798" s="23"/>
      <c r="CF798" s="23"/>
      <c r="CG798" s="23"/>
      <c r="CH798" s="23"/>
      <c r="CI798" s="23"/>
      <c r="CJ798" s="23"/>
      <c r="CK798" s="23"/>
      <c r="CL798" s="23"/>
      <c r="CM798" s="23"/>
      <c r="CN798" s="23"/>
      <c r="CO798" s="23"/>
      <c r="CP798" s="23"/>
      <c r="CQ798" s="23"/>
      <c r="CR798" s="23"/>
      <c r="CS798" s="23"/>
      <c r="CT798" s="23"/>
      <c r="CU798" s="23"/>
      <c r="CV798" s="23"/>
      <c r="CW798" s="23"/>
      <c r="CX798" s="23"/>
      <c r="CY798" s="23"/>
      <c r="CZ798" s="23"/>
      <c r="DA798" s="23"/>
      <c r="DB798" s="23"/>
      <c r="DC798" s="23"/>
      <c r="DD798"/>
      <c r="DE798"/>
      <c r="DF798"/>
      <c r="DG798"/>
      <c r="DH798"/>
      <c r="DI798"/>
      <c r="DJ798"/>
      <c r="DK798"/>
    </row>
    <row r="799" spans="2:115" s="15" customFormat="1">
      <c r="B799" s="23" t="s">
        <v>1411</v>
      </c>
      <c r="C799" s="23"/>
      <c r="M799" s="23"/>
      <c r="N799" s="23"/>
      <c r="O799" s="23"/>
      <c r="P799" s="23"/>
      <c r="Q799" s="23"/>
      <c r="R799" s="23"/>
      <c r="S799" s="23"/>
      <c r="T799" s="23"/>
      <c r="U799" s="23"/>
      <c r="V799" s="23"/>
      <c r="W799" s="23"/>
      <c r="AE799" s="23"/>
      <c r="AK799" s="23"/>
      <c r="AL799" s="23"/>
      <c r="AM799" s="23"/>
      <c r="AN799" s="23"/>
      <c r="AO799" s="23"/>
      <c r="AP799" s="23"/>
      <c r="AQ799" s="1897">
        <v>303</v>
      </c>
      <c r="AR799" s="1897">
        <v>326</v>
      </c>
      <c r="AS799" s="1897">
        <v>605</v>
      </c>
      <c r="AT799" s="1897">
        <v>655</v>
      </c>
      <c r="AU799" s="1897">
        <v>705</v>
      </c>
      <c r="AV799" s="1897">
        <v>775</v>
      </c>
      <c r="AW799" s="1897">
        <v>830</v>
      </c>
      <c r="AX799" s="1897">
        <v>896</v>
      </c>
      <c r="AY799" s="1897">
        <v>950</v>
      </c>
      <c r="AZ799" s="2039">
        <v>1005</v>
      </c>
      <c r="BA799" s="2039">
        <v>1049</v>
      </c>
      <c r="BB799" s="2039">
        <v>1093</v>
      </c>
      <c r="BC799" s="2039">
        <v>1138</v>
      </c>
      <c r="BD799" s="2039">
        <v>1164</v>
      </c>
      <c r="BE799" s="2039">
        <v>1189</v>
      </c>
      <c r="BF799" s="2039">
        <v>1260</v>
      </c>
      <c r="BG799" s="2039">
        <v>1290</v>
      </c>
      <c r="BH799" s="2039">
        <v>1335</v>
      </c>
      <c r="BI799" s="2039">
        <v>1373</v>
      </c>
      <c r="BJ799" s="1897">
        <v>1811</v>
      </c>
      <c r="BK799" s="1897">
        <v>1881</v>
      </c>
      <c r="BL799" s="1897">
        <v>1994</v>
      </c>
      <c r="BM799" s="1897">
        <v>2090</v>
      </c>
      <c r="BN799" s="1897">
        <v>2228</v>
      </c>
      <c r="BO799" s="1897">
        <v>2272</v>
      </c>
      <c r="BP799" s="1897">
        <v>2384</v>
      </c>
      <c r="BQ799" s="1897">
        <v>2430</v>
      </c>
      <c r="BR799" s="1897">
        <v>2522</v>
      </c>
      <c r="BS799" s="1897">
        <v>2612</v>
      </c>
      <c r="BT799" s="1897">
        <v>2719</v>
      </c>
      <c r="BU799" s="1897">
        <v>3661</v>
      </c>
      <c r="BV799" s="1897">
        <v>3767</v>
      </c>
      <c r="BW799" s="1897">
        <v>3916</v>
      </c>
      <c r="BX799" s="1897">
        <v>4037</v>
      </c>
      <c r="BY799" s="1897">
        <v>4135</v>
      </c>
      <c r="BZ799" s="1897">
        <v>4227</v>
      </c>
      <c r="CA799" s="1897">
        <v>4317</v>
      </c>
      <c r="CB799" s="1897">
        <v>4415</v>
      </c>
      <c r="CC799" s="1897">
        <v>4533</v>
      </c>
      <c r="CD799" s="1897">
        <v>4542</v>
      </c>
      <c r="CE799" s="117">
        <v>4001</v>
      </c>
      <c r="CF799" s="117">
        <v>4098</v>
      </c>
      <c r="CG799" s="117">
        <v>4258</v>
      </c>
      <c r="CH799" s="117">
        <v>4400</v>
      </c>
      <c r="CI799" s="117">
        <v>4513</v>
      </c>
      <c r="CJ799" s="117">
        <v>5970</v>
      </c>
      <c r="CK799" s="117">
        <v>6010</v>
      </c>
      <c r="CL799" s="117">
        <v>6070</v>
      </c>
      <c r="CM799" s="117">
        <v>6260</v>
      </c>
      <c r="CN799" s="117">
        <v>6320</v>
      </c>
      <c r="CO799" s="117">
        <v>6300</v>
      </c>
      <c r="CP799" s="117">
        <v>6300</v>
      </c>
      <c r="CQ799" s="23">
        <f t="shared" ref="CQ799:CV799" si="928">+CP799+CQ791</f>
        <v>6480</v>
      </c>
      <c r="CR799" s="23">
        <f t="shared" si="928"/>
        <v>6650</v>
      </c>
      <c r="CS799" s="23">
        <f t="shared" si="928"/>
        <v>6810</v>
      </c>
      <c r="CT799" s="23">
        <f t="shared" si="928"/>
        <v>6970</v>
      </c>
      <c r="CU799" s="23">
        <f t="shared" si="928"/>
        <v>7130</v>
      </c>
      <c r="CV799" s="23">
        <f t="shared" si="928"/>
        <v>7300</v>
      </c>
      <c r="CW799" s="23"/>
      <c r="CX799" s="23"/>
      <c r="CY799" s="23"/>
      <c r="CZ799" s="23"/>
      <c r="DA799" s="23"/>
      <c r="DB799" s="23"/>
      <c r="DC799" s="23"/>
      <c r="DD799"/>
      <c r="DE799"/>
      <c r="DF799"/>
      <c r="DG799"/>
      <c r="DH799"/>
      <c r="DI799"/>
      <c r="DJ799"/>
      <c r="DK799"/>
    </row>
    <row r="800" spans="2:115" s="15" customFormat="1">
      <c r="B800" s="18" t="s">
        <v>1414</v>
      </c>
      <c r="C800" s="23"/>
      <c r="M800" s="23"/>
      <c r="N800" s="23"/>
      <c r="O800" s="23"/>
      <c r="P800" s="23"/>
      <c r="Q800" s="23"/>
      <c r="R800" s="23"/>
      <c r="S800" s="23"/>
      <c r="T800" s="23"/>
      <c r="U800" s="23"/>
      <c r="V800" s="23"/>
      <c r="W800" s="23"/>
      <c r="AE800" s="23"/>
      <c r="AK800" s="23"/>
      <c r="AL800" s="23"/>
      <c r="AM800" s="23"/>
      <c r="AN800" s="23"/>
      <c r="AO800" s="23"/>
      <c r="AP800" s="23"/>
      <c r="AQ800" s="1102"/>
      <c r="AR800" s="1102"/>
      <c r="AS800" s="1102"/>
      <c r="AT800" s="1102"/>
      <c r="AU800" s="1102"/>
      <c r="AV800" s="1102"/>
      <c r="AW800" s="1898">
        <f t="shared" ref="AW800:CD800" si="929">AW799/AS799-1</f>
        <v>0.37190082644628109</v>
      </c>
      <c r="AX800" s="1898">
        <f t="shared" si="929"/>
        <v>0.36793893129770994</v>
      </c>
      <c r="AY800" s="1898">
        <f t="shared" si="929"/>
        <v>0.34751773049645385</v>
      </c>
      <c r="AZ800" s="1898">
        <f t="shared" si="929"/>
        <v>0.29677419354838719</v>
      </c>
      <c r="BA800" s="1898">
        <f t="shared" si="929"/>
        <v>0.26385542168674703</v>
      </c>
      <c r="BB800" s="1898">
        <f t="shared" si="929"/>
        <v>0.2198660714285714</v>
      </c>
      <c r="BC800" s="1898">
        <f t="shared" si="929"/>
        <v>0.19789473684210535</v>
      </c>
      <c r="BD800" s="1898">
        <f t="shared" si="929"/>
        <v>0.15820895522388057</v>
      </c>
      <c r="BE800" s="1898">
        <f t="shared" si="929"/>
        <v>0.13346043851286948</v>
      </c>
      <c r="BF800" s="1898">
        <f t="shared" si="929"/>
        <v>0.1527904849039341</v>
      </c>
      <c r="BG800" s="1898">
        <f t="shared" si="929"/>
        <v>0.13356766256590502</v>
      </c>
      <c r="BH800" s="1898">
        <f t="shared" si="929"/>
        <v>0.14690721649484528</v>
      </c>
      <c r="BI800" s="1898">
        <f t="shared" si="929"/>
        <v>0.15475189234650966</v>
      </c>
      <c r="BJ800" s="1898">
        <f t="shared" si="929"/>
        <v>0.4373015873015873</v>
      </c>
      <c r="BK800" s="1898">
        <f t="shared" si="929"/>
        <v>0.45813953488372094</v>
      </c>
      <c r="BL800" s="1898">
        <f t="shared" si="929"/>
        <v>0.49363295880149805</v>
      </c>
      <c r="BM800" s="1898">
        <f t="shared" si="929"/>
        <v>0.52221412964311731</v>
      </c>
      <c r="BN800" s="1898">
        <f t="shared" si="929"/>
        <v>0.23025952512424075</v>
      </c>
      <c r="BO800" s="1898">
        <f t="shared" si="929"/>
        <v>0.2078681552365762</v>
      </c>
      <c r="BP800" s="1898">
        <f t="shared" si="929"/>
        <v>0.19558676028084254</v>
      </c>
      <c r="BQ800" s="1898">
        <f t="shared" si="929"/>
        <v>0.16267942583732053</v>
      </c>
      <c r="BR800" s="1898">
        <f t="shared" si="929"/>
        <v>0.13195691202872539</v>
      </c>
      <c r="BS800" s="1898">
        <f t="shared" si="929"/>
        <v>0.14964788732394374</v>
      </c>
      <c r="BT800" s="1898">
        <f t="shared" si="929"/>
        <v>0.14052013422818788</v>
      </c>
      <c r="BU800" s="1898">
        <f t="shared" si="929"/>
        <v>0.50658436213991775</v>
      </c>
      <c r="BV800" s="1898">
        <f t="shared" si="929"/>
        <v>0.49365582870737512</v>
      </c>
      <c r="BW800" s="1898">
        <f t="shared" si="929"/>
        <v>0.49923430321592654</v>
      </c>
      <c r="BX800" s="1898">
        <f t="shared" si="929"/>
        <v>0.48473703567488058</v>
      </c>
      <c r="BY800" s="1898">
        <f t="shared" si="929"/>
        <v>0.12947282163343354</v>
      </c>
      <c r="BZ800" s="1898">
        <f t="shared" si="929"/>
        <v>0.12211308733740367</v>
      </c>
      <c r="CA800" s="1898">
        <f t="shared" si="929"/>
        <v>0.10240040858018395</v>
      </c>
      <c r="CB800" s="1898">
        <f t="shared" si="929"/>
        <v>9.3633886549417955E-2</v>
      </c>
      <c r="CC800" s="1898">
        <f t="shared" si="929"/>
        <v>9.6251511487303487E-2</v>
      </c>
      <c r="CD800" s="1898">
        <f t="shared" si="929"/>
        <v>7.4520936834634455E-2</v>
      </c>
      <c r="CE800" s="852"/>
      <c r="CF800" s="1677">
        <f t="shared" ref="CF800:CV800" si="930">+CF799/CE799-1</f>
        <v>2.4243939015246241E-2</v>
      </c>
      <c r="CG800" s="1677">
        <f t="shared" si="930"/>
        <v>3.9043435822352368E-2</v>
      </c>
      <c r="CH800" s="1677">
        <f t="shared" si="930"/>
        <v>3.3348990136214285E-2</v>
      </c>
      <c r="CI800" s="1677">
        <f t="shared" si="930"/>
        <v>2.5681818181818139E-2</v>
      </c>
      <c r="CJ800" s="1677">
        <f t="shared" si="930"/>
        <v>0.32284511411477945</v>
      </c>
      <c r="CK800" s="1677">
        <f t="shared" si="930"/>
        <v>6.7001675041875597E-3</v>
      </c>
      <c r="CL800" s="1677">
        <f t="shared" si="930"/>
        <v>9.9833610648918381E-3</v>
      </c>
      <c r="CM800" s="1677">
        <f t="shared" si="930"/>
        <v>3.13014827018121E-2</v>
      </c>
      <c r="CN800" s="1677">
        <f t="shared" si="930"/>
        <v>9.5846645367412275E-3</v>
      </c>
      <c r="CO800" s="1677">
        <f t="shared" si="930"/>
        <v>-3.1645569620253333E-3</v>
      </c>
      <c r="CP800" s="1677">
        <f t="shared" si="930"/>
        <v>0</v>
      </c>
      <c r="CQ800" s="1677">
        <f t="shared" si="930"/>
        <v>2.857142857142847E-2</v>
      </c>
      <c r="CR800" s="1677">
        <f t="shared" si="930"/>
        <v>2.6234567901234573E-2</v>
      </c>
      <c r="CS800" s="1677">
        <f t="shared" si="930"/>
        <v>2.4060150375939893E-2</v>
      </c>
      <c r="CT800" s="1677">
        <f t="shared" si="930"/>
        <v>2.3494860499265746E-2</v>
      </c>
      <c r="CU800" s="1677">
        <f t="shared" si="930"/>
        <v>2.2955523672883782E-2</v>
      </c>
      <c r="CV800" s="1677">
        <f t="shared" si="930"/>
        <v>2.3842917251051921E-2</v>
      </c>
      <c r="CW800" s="23"/>
      <c r="CX800" s="23"/>
      <c r="CY800" s="23"/>
      <c r="CZ800" s="23"/>
      <c r="DA800" s="23"/>
      <c r="DB800" s="23"/>
      <c r="DC800" s="23"/>
      <c r="DD800"/>
      <c r="DE800"/>
      <c r="DF800"/>
      <c r="DG800"/>
      <c r="DH800"/>
      <c r="DI800"/>
      <c r="DJ800"/>
      <c r="DK800"/>
    </row>
    <row r="801" spans="2:107">
      <c r="B801" s="18" t="s">
        <v>1420</v>
      </c>
      <c r="C801" s="23"/>
      <c r="D801" s="15"/>
      <c r="E801" s="15"/>
      <c r="F801" s="15"/>
      <c r="G801" s="15"/>
      <c r="H801" s="15"/>
      <c r="I801" s="15"/>
      <c r="J801" s="15"/>
      <c r="K801" s="15"/>
      <c r="L801" s="15"/>
      <c r="M801" s="23"/>
      <c r="N801" s="23"/>
      <c r="O801" s="23"/>
      <c r="P801" s="23"/>
      <c r="Q801" s="23"/>
      <c r="R801" s="23"/>
      <c r="S801" s="23"/>
      <c r="T801" s="23"/>
      <c r="U801" s="23"/>
      <c r="V801" s="23"/>
      <c r="W801" s="23"/>
      <c r="X801" s="15"/>
      <c r="Y801" s="15"/>
      <c r="Z801" s="15"/>
      <c r="AA801" s="15"/>
      <c r="AB801" s="15"/>
      <c r="AC801" s="15"/>
      <c r="AD801" s="15"/>
      <c r="AE801" s="23"/>
      <c r="AF801" s="15"/>
      <c r="AG801" s="15"/>
      <c r="AH801" s="15"/>
      <c r="AI801" s="15"/>
      <c r="AJ801" s="15"/>
      <c r="AK801" s="23"/>
      <c r="AL801" s="23"/>
      <c r="AM801" s="23"/>
      <c r="AN801" s="23"/>
      <c r="AO801" s="23"/>
      <c r="AP801" s="23"/>
      <c r="AQ801" s="1102"/>
      <c r="AR801" s="1102"/>
      <c r="AS801" s="1102"/>
      <c r="AT801" s="1102"/>
      <c r="AU801" s="1102"/>
      <c r="AV801" s="1102"/>
      <c r="AW801" s="1898"/>
      <c r="AX801" s="1898"/>
      <c r="AY801" s="1898"/>
      <c r="AZ801" s="1898"/>
      <c r="BA801" s="1898"/>
      <c r="BB801" s="1898"/>
      <c r="BC801" s="1898"/>
      <c r="BD801" s="1898"/>
      <c r="BE801" s="1898"/>
      <c r="BF801" s="1898"/>
      <c r="BG801" s="1898"/>
      <c r="BH801" s="1898"/>
      <c r="BI801" s="1898"/>
      <c r="BJ801" s="1898">
        <f>(BJ799-358)/BF799-1</f>
        <v>0.15317460317460307</v>
      </c>
      <c r="BK801" s="1898">
        <f>(BK799-358)/BG799-1</f>
        <v>0.18062015503875961</v>
      </c>
      <c r="BL801" s="1898">
        <f>(BL799-358)/BH799-1</f>
        <v>0.22546816479400755</v>
      </c>
      <c r="BM801" s="1898">
        <f>(BM799-358)/BI799-1</f>
        <v>0.26147123088128188</v>
      </c>
      <c r="BN801" s="1898">
        <f t="shared" ref="BN801:CD801" si="931">(BN799)/BJ799-1</f>
        <v>0.23025952512424075</v>
      </c>
      <c r="BO801" s="1898">
        <f t="shared" si="931"/>
        <v>0.2078681552365762</v>
      </c>
      <c r="BP801" s="1898">
        <f t="shared" si="931"/>
        <v>0.19558676028084254</v>
      </c>
      <c r="BQ801" s="1898">
        <f t="shared" si="931"/>
        <v>0.16267942583732053</v>
      </c>
      <c r="BR801" s="1898">
        <f t="shared" si="931"/>
        <v>0.13195691202872539</v>
      </c>
      <c r="BS801" s="1898">
        <f t="shared" si="931"/>
        <v>0.14964788732394374</v>
      </c>
      <c r="BT801" s="1898">
        <f t="shared" si="931"/>
        <v>0.14052013422818788</v>
      </c>
      <c r="BU801" s="1898">
        <f t="shared" si="931"/>
        <v>0.50658436213991775</v>
      </c>
      <c r="BV801" s="1898">
        <f t="shared" si="931"/>
        <v>0.49365582870737512</v>
      </c>
      <c r="BW801" s="1898">
        <f t="shared" si="931"/>
        <v>0.49923430321592654</v>
      </c>
      <c r="BX801" s="1898">
        <f t="shared" si="931"/>
        <v>0.48473703567488058</v>
      </c>
      <c r="BY801" s="1898">
        <f t="shared" si="931"/>
        <v>0.12947282163343354</v>
      </c>
      <c r="BZ801" s="1898">
        <f t="shared" si="931"/>
        <v>0.12211308733740367</v>
      </c>
      <c r="CA801" s="1898">
        <f t="shared" si="931"/>
        <v>0.10240040858018395</v>
      </c>
      <c r="CB801" s="1898">
        <f t="shared" si="931"/>
        <v>9.3633886549417955E-2</v>
      </c>
      <c r="CC801" s="1898">
        <f t="shared" si="931"/>
        <v>9.6251511487303487E-2</v>
      </c>
      <c r="CD801" s="1898">
        <f t="shared" si="931"/>
        <v>7.4520936834634455E-2</v>
      </c>
      <c r="CE801" s="852"/>
      <c r="CF801" s="852"/>
      <c r="CG801" s="852"/>
      <c r="CH801" s="852"/>
      <c r="CI801" s="852"/>
      <c r="CJ801" s="852"/>
      <c r="CK801" s="852"/>
      <c r="CL801" s="852"/>
      <c r="CM801" s="852"/>
      <c r="CN801" s="852"/>
      <c r="CO801" s="852"/>
      <c r="CP801" s="852"/>
      <c r="CQ801" s="852"/>
      <c r="CR801" s="852"/>
      <c r="CS801" s="852"/>
      <c r="CT801" s="852"/>
      <c r="CU801" s="852"/>
      <c r="CV801" s="852"/>
      <c r="CW801" s="33"/>
      <c r="CX801" s="33"/>
      <c r="CY801" s="33"/>
      <c r="CZ801" s="33"/>
      <c r="DA801" s="33"/>
      <c r="DB801" s="33"/>
      <c r="DC801" s="33"/>
    </row>
    <row r="802" spans="2:107">
      <c r="B802" s="773" t="s">
        <v>1413</v>
      </c>
      <c r="C802" s="23"/>
      <c r="D802" s="15"/>
      <c r="E802" s="15"/>
      <c r="F802" s="15"/>
      <c r="G802" s="15"/>
      <c r="H802" s="15"/>
      <c r="I802" s="15"/>
      <c r="J802" s="15"/>
      <c r="K802" s="15"/>
      <c r="L802" s="15"/>
      <c r="M802" s="23"/>
      <c r="N802" s="23"/>
      <c r="O802" s="23"/>
      <c r="P802" s="23"/>
      <c r="Q802" s="23"/>
      <c r="R802" s="23"/>
      <c r="S802" s="23"/>
      <c r="T802" s="23"/>
      <c r="U802" s="23"/>
      <c r="V802" s="23"/>
      <c r="W802" s="23"/>
      <c r="X802" s="15"/>
      <c r="Y802" s="15"/>
      <c r="Z802" s="15"/>
      <c r="AA802" s="15"/>
      <c r="AB802" s="15"/>
      <c r="AC802" s="15"/>
      <c r="AD802" s="15"/>
      <c r="AE802" s="23"/>
      <c r="AF802" s="15"/>
      <c r="AG802" s="15"/>
      <c r="AH802" s="15"/>
      <c r="AI802" s="15"/>
      <c r="AJ802" s="15"/>
      <c r="AK802" s="23"/>
      <c r="AL802" s="23"/>
      <c r="AM802" s="23"/>
      <c r="AN802" s="23"/>
      <c r="AO802" s="23"/>
      <c r="AP802" s="23"/>
      <c r="AQ802" s="1102"/>
      <c r="AR802" s="1102"/>
      <c r="AS802" s="1899">
        <f t="shared" ref="AS802:CD802" si="932">AVERAGE(AR799:AS799)</f>
        <v>465.5</v>
      </c>
      <c r="AT802" s="1899">
        <f t="shared" si="932"/>
        <v>630</v>
      </c>
      <c r="AU802" s="1899">
        <f t="shared" si="932"/>
        <v>680</v>
      </c>
      <c r="AV802" s="1899">
        <f t="shared" si="932"/>
        <v>740</v>
      </c>
      <c r="AW802" s="1899">
        <f t="shared" si="932"/>
        <v>802.5</v>
      </c>
      <c r="AX802" s="1899">
        <f t="shared" si="932"/>
        <v>863</v>
      </c>
      <c r="AY802" s="1899">
        <f t="shared" si="932"/>
        <v>923</v>
      </c>
      <c r="AZ802" s="1899">
        <f t="shared" si="932"/>
        <v>977.5</v>
      </c>
      <c r="BA802" s="1899">
        <f t="shared" si="932"/>
        <v>1027</v>
      </c>
      <c r="BB802" s="1899">
        <f t="shared" si="932"/>
        <v>1071</v>
      </c>
      <c r="BC802" s="1899">
        <f t="shared" si="932"/>
        <v>1115.5</v>
      </c>
      <c r="BD802" s="1899">
        <f t="shared" si="932"/>
        <v>1151</v>
      </c>
      <c r="BE802" s="1899">
        <f t="shared" si="932"/>
        <v>1176.5</v>
      </c>
      <c r="BF802" s="1899">
        <f t="shared" si="932"/>
        <v>1224.5</v>
      </c>
      <c r="BG802" s="1899">
        <f t="shared" si="932"/>
        <v>1275</v>
      </c>
      <c r="BH802" s="1899">
        <f t="shared" si="932"/>
        <v>1312.5</v>
      </c>
      <c r="BI802" s="1899">
        <f t="shared" si="932"/>
        <v>1354</v>
      </c>
      <c r="BJ802" s="1899">
        <f t="shared" si="932"/>
        <v>1592</v>
      </c>
      <c r="BK802" s="1899">
        <f t="shared" si="932"/>
        <v>1846</v>
      </c>
      <c r="BL802" s="1899">
        <f t="shared" si="932"/>
        <v>1937.5</v>
      </c>
      <c r="BM802" s="1899">
        <f t="shared" si="932"/>
        <v>2042</v>
      </c>
      <c r="BN802" s="1899">
        <f t="shared" si="932"/>
        <v>2159</v>
      </c>
      <c r="BO802" s="1899">
        <f t="shared" si="932"/>
        <v>2250</v>
      </c>
      <c r="BP802" s="1899">
        <f t="shared" si="932"/>
        <v>2328</v>
      </c>
      <c r="BQ802" s="1899">
        <f t="shared" si="932"/>
        <v>2407</v>
      </c>
      <c r="BR802" s="1899">
        <f t="shared" si="932"/>
        <v>2476</v>
      </c>
      <c r="BS802" s="1899">
        <f t="shared" si="932"/>
        <v>2567</v>
      </c>
      <c r="BT802" s="1899">
        <f t="shared" si="932"/>
        <v>2665.5</v>
      </c>
      <c r="BU802" s="1899">
        <f t="shared" si="932"/>
        <v>3190</v>
      </c>
      <c r="BV802" s="1899">
        <f t="shared" si="932"/>
        <v>3714</v>
      </c>
      <c r="BW802" s="1899">
        <f t="shared" si="932"/>
        <v>3841.5</v>
      </c>
      <c r="BX802" s="1899">
        <f t="shared" si="932"/>
        <v>3976.5</v>
      </c>
      <c r="BY802" s="1899">
        <f t="shared" si="932"/>
        <v>4086</v>
      </c>
      <c r="BZ802" s="1899">
        <f t="shared" si="932"/>
        <v>4181</v>
      </c>
      <c r="CA802" s="1899">
        <f t="shared" si="932"/>
        <v>4272</v>
      </c>
      <c r="CB802" s="1899">
        <f t="shared" si="932"/>
        <v>4366</v>
      </c>
      <c r="CC802" s="1899">
        <f t="shared" si="932"/>
        <v>4474</v>
      </c>
      <c r="CD802" s="1899">
        <f t="shared" si="932"/>
        <v>4537.5</v>
      </c>
      <c r="CE802" s="27"/>
      <c r="CF802" s="27"/>
      <c r="CG802" s="27"/>
      <c r="CH802" s="27"/>
      <c r="CI802" s="27"/>
      <c r="CJ802" s="27"/>
      <c r="CK802" s="27"/>
      <c r="CL802" s="27"/>
      <c r="CM802" s="27"/>
      <c r="CN802" s="27"/>
      <c r="CO802" s="27"/>
      <c r="CP802" s="27"/>
      <c r="CQ802" s="27"/>
      <c r="CR802" s="27"/>
      <c r="CS802" s="27"/>
      <c r="CT802" s="27"/>
      <c r="CU802" s="27"/>
      <c r="CV802" s="27"/>
      <c r="CW802" s="23"/>
      <c r="CX802" s="23"/>
      <c r="CY802" s="23"/>
      <c r="CZ802" s="23"/>
      <c r="DA802" s="23"/>
      <c r="DB802" s="23"/>
      <c r="DC802" s="23"/>
    </row>
    <row r="803" spans="2:107">
      <c r="B803" s="773"/>
      <c r="C803" s="23"/>
      <c r="D803" s="15"/>
      <c r="E803" s="15"/>
      <c r="F803" s="15"/>
      <c r="G803" s="15"/>
      <c r="H803" s="15"/>
      <c r="I803" s="15"/>
      <c r="J803" s="15"/>
      <c r="K803" s="15"/>
      <c r="L803" s="15"/>
      <c r="M803" s="23"/>
      <c r="N803" s="23"/>
      <c r="O803" s="23"/>
      <c r="P803" s="23"/>
      <c r="Q803" s="23"/>
      <c r="R803" s="23"/>
      <c r="S803" s="23"/>
      <c r="T803" s="23"/>
      <c r="U803" s="23"/>
      <c r="V803" s="23"/>
      <c r="W803" s="23"/>
      <c r="X803" s="15"/>
      <c r="Y803" s="15"/>
      <c r="Z803" s="15"/>
      <c r="AA803" s="15"/>
      <c r="AB803" s="15"/>
      <c r="AC803" s="15"/>
      <c r="AD803" s="15"/>
      <c r="AE803" s="23"/>
      <c r="AF803" s="15"/>
      <c r="AG803" s="15"/>
      <c r="AH803" s="15"/>
      <c r="AI803" s="15"/>
      <c r="AJ803" s="15"/>
      <c r="AK803" s="23"/>
      <c r="AL803" s="23"/>
      <c r="AM803" s="23"/>
      <c r="AN803" s="23"/>
      <c r="AO803" s="23"/>
      <c r="AP803" s="23"/>
      <c r="AQ803" s="23"/>
      <c r="AR803" s="23"/>
      <c r="AS803" s="27"/>
      <c r="AT803" s="27"/>
      <c r="AU803" s="27"/>
      <c r="AV803" s="27"/>
      <c r="AW803" s="27"/>
      <c r="AX803" s="27"/>
      <c r="AY803" s="27"/>
      <c r="AZ803" s="27"/>
      <c r="BA803" s="27"/>
      <c r="BB803" s="27"/>
      <c r="BC803" s="27"/>
      <c r="BD803" s="27"/>
      <c r="BE803" s="27"/>
      <c r="BF803" s="27"/>
      <c r="BG803" s="27"/>
      <c r="BH803" s="27"/>
      <c r="BI803" s="27"/>
      <c r="BJ803" s="27"/>
      <c r="BK803" s="27"/>
      <c r="BL803" s="27"/>
      <c r="BM803" s="27"/>
      <c r="BN803" s="27"/>
      <c r="BO803" s="27"/>
      <c r="BP803" s="27"/>
      <c r="BQ803" s="27"/>
      <c r="BR803" s="27"/>
      <c r="BS803" s="27"/>
      <c r="BT803" s="27"/>
      <c r="BU803" s="27"/>
      <c r="BV803" s="23"/>
      <c r="BW803" s="23"/>
      <c r="BX803" s="23"/>
      <c r="BY803" s="23"/>
      <c r="BZ803" s="23"/>
      <c r="CA803" s="23"/>
      <c r="CB803" s="23"/>
      <c r="CC803" s="23"/>
      <c r="CD803" s="23"/>
      <c r="CE803" s="23"/>
      <c r="CF803" s="23"/>
      <c r="CG803" s="23"/>
      <c r="CH803" s="23"/>
      <c r="CI803" s="23"/>
      <c r="CJ803" s="23"/>
      <c r="CK803" s="23"/>
      <c r="CL803" s="23"/>
      <c r="CM803" s="23"/>
      <c r="CN803" s="23"/>
      <c r="CO803" s="23"/>
      <c r="CP803" s="23"/>
      <c r="CQ803" s="23"/>
      <c r="CR803" s="23"/>
      <c r="CS803" s="23"/>
      <c r="CT803" s="23"/>
      <c r="CU803" s="23"/>
      <c r="CV803" s="23"/>
      <c r="CW803" s="23"/>
      <c r="CX803" s="23"/>
      <c r="CY803" s="23"/>
      <c r="CZ803" s="23"/>
      <c r="DA803" s="23"/>
      <c r="DB803" s="23"/>
      <c r="DC803" s="23"/>
    </row>
    <row r="804" spans="2:107">
      <c r="B804" s="16" t="s">
        <v>1421</v>
      </c>
      <c r="C804" s="23"/>
      <c r="D804" s="15"/>
      <c r="E804" s="15"/>
      <c r="F804" s="15"/>
      <c r="G804" s="15"/>
      <c r="H804" s="15"/>
      <c r="I804" s="15"/>
      <c r="J804" s="15"/>
      <c r="K804" s="15"/>
      <c r="L804" s="15"/>
      <c r="M804" s="23"/>
      <c r="N804" s="23"/>
      <c r="O804" s="23"/>
      <c r="P804" s="23"/>
      <c r="Q804" s="23"/>
      <c r="R804" s="23"/>
      <c r="S804" s="23"/>
      <c r="T804" s="23"/>
      <c r="U804" s="23"/>
      <c r="V804" s="23"/>
      <c r="W804" s="23"/>
      <c r="X804" s="15"/>
      <c r="Y804" s="15"/>
      <c r="Z804" s="15"/>
      <c r="AA804" s="15"/>
      <c r="AB804" s="15"/>
      <c r="AC804" s="15"/>
      <c r="AD804" s="15"/>
      <c r="AE804" s="23"/>
      <c r="AF804" s="15"/>
      <c r="AG804" s="15"/>
      <c r="AH804" s="15"/>
      <c r="AI804" s="15"/>
      <c r="AJ804" s="15"/>
      <c r="AK804" s="23"/>
      <c r="AL804" s="23"/>
      <c r="AM804" s="23"/>
      <c r="AN804" s="23"/>
      <c r="AO804" s="23"/>
      <c r="AP804" s="23"/>
      <c r="AQ804" s="23"/>
      <c r="AR804" s="23"/>
      <c r="AS804" s="853">
        <f t="shared" ref="AS804:BI804" si="933">AS795/AS802/3</f>
        <v>-0.13748657357679914</v>
      </c>
      <c r="AT804" s="853">
        <f t="shared" si="933"/>
        <v>5.2910052910052907E-3</v>
      </c>
      <c r="AU804" s="853">
        <f t="shared" si="933"/>
        <v>1.1274509803921568E-2</v>
      </c>
      <c r="AV804" s="853">
        <f t="shared" si="933"/>
        <v>5.4054054054054057E-3</v>
      </c>
      <c r="AW804" s="853">
        <f t="shared" si="933"/>
        <v>1.2876427829698859E-2</v>
      </c>
      <c r="AX804" s="853">
        <f t="shared" si="933"/>
        <v>8.1112398609501733E-3</v>
      </c>
      <c r="AY804" s="853">
        <f t="shared" si="933"/>
        <v>5.4171180931744311E-3</v>
      </c>
      <c r="AZ804" s="853">
        <f t="shared" si="933"/>
        <v>6.8201193520886624E-3</v>
      </c>
      <c r="BA804" s="853">
        <f t="shared" si="933"/>
        <v>8.4388185654008432E-3</v>
      </c>
      <c r="BB804" s="853">
        <f t="shared" si="933"/>
        <v>9.3370681605975722E-3</v>
      </c>
      <c r="BC804" s="853">
        <f t="shared" si="933"/>
        <v>6.8728522336769758E-3</v>
      </c>
      <c r="BD804" s="853">
        <f t="shared" si="933"/>
        <v>1.0136113524471474E-2</v>
      </c>
      <c r="BE804" s="853">
        <f t="shared" si="933"/>
        <v>1.0766397506728998E-2</v>
      </c>
      <c r="BF804" s="853">
        <f t="shared" si="933"/>
        <v>5.7166190281747646E-3</v>
      </c>
      <c r="BG804" s="853">
        <f t="shared" si="933"/>
        <v>1.3333333333333334E-2</v>
      </c>
      <c r="BH804" s="853">
        <f t="shared" si="933"/>
        <v>7.619047619047619E-3</v>
      </c>
      <c r="BI804" s="853">
        <f t="shared" si="933"/>
        <v>1.4278680452978828E-2</v>
      </c>
      <c r="BJ804" s="1156">
        <v>8.9999999999999993E-3</v>
      </c>
      <c r="BK804" s="853">
        <f t="shared" ref="BK804:CB804" si="934">BK795/BK802/3</f>
        <v>9.5702419646081626E-3</v>
      </c>
      <c r="BL804" s="853">
        <f t="shared" si="934"/>
        <v>8.0860215053763437E-3</v>
      </c>
      <c r="BM804" s="853">
        <f t="shared" si="934"/>
        <v>7.8354554358472089E-3</v>
      </c>
      <c r="BN804" s="853">
        <f t="shared" si="934"/>
        <v>6.1756986259070556E-3</v>
      </c>
      <c r="BO804" s="853">
        <f t="shared" si="934"/>
        <v>9.7777777777777776E-3</v>
      </c>
      <c r="BP804" s="853">
        <f t="shared" si="934"/>
        <v>7.0160366552119132E-3</v>
      </c>
      <c r="BQ804" s="853">
        <f t="shared" si="934"/>
        <v>1.0801828001661821E-2</v>
      </c>
      <c r="BR804" s="853">
        <f t="shared" si="934"/>
        <v>5.2504038772213249E-3</v>
      </c>
      <c r="BS804" s="853">
        <f t="shared" si="934"/>
        <v>6.8822230879106612E-3</v>
      </c>
      <c r="BT804" s="853">
        <f t="shared" si="934"/>
        <v>6.127680860376415E-3</v>
      </c>
      <c r="BU804" s="853">
        <f t="shared" si="934"/>
        <v>-7.586206896551724E-2</v>
      </c>
      <c r="BV804" s="853">
        <f t="shared" si="934"/>
        <v>8.5262968946329207E-3</v>
      </c>
      <c r="BW804" s="853">
        <f t="shared" si="934"/>
        <v>5.3798429432947194E-3</v>
      </c>
      <c r="BX804" s="853">
        <f t="shared" si="934"/>
        <v>5.3648518378808831E-3</v>
      </c>
      <c r="BY804" s="853">
        <f t="shared" si="934"/>
        <v>6.7710882688856262E-3</v>
      </c>
      <c r="BZ804" s="853">
        <f t="shared" si="934"/>
        <v>5.4213505540939176E-3</v>
      </c>
      <c r="CA804" s="853">
        <f t="shared" si="934"/>
        <v>5.7740324594257181E-3</v>
      </c>
      <c r="CB804" s="853">
        <f t="shared" si="934"/>
        <v>5.2679798442510301E-3</v>
      </c>
      <c r="CC804" s="853">
        <f>CC795/CC802/3</f>
        <v>4.842795410520042E-3</v>
      </c>
      <c r="CD804" s="853">
        <f>CD795/CD802/3</f>
        <v>1.2929292929292929E-2</v>
      </c>
      <c r="CE804" s="1119"/>
      <c r="CF804" s="1119"/>
      <c r="CG804" s="1119"/>
      <c r="CH804" s="1119"/>
      <c r="CI804" s="1119"/>
      <c r="CJ804" s="1119"/>
      <c r="CK804" s="1119"/>
      <c r="CL804" s="1119"/>
      <c r="CM804" s="1119"/>
      <c r="CN804" s="1119"/>
      <c r="CO804" s="1119"/>
      <c r="CP804" s="1119"/>
      <c r="CQ804" s="1119"/>
      <c r="CR804" s="1119"/>
      <c r="CS804" s="1119"/>
      <c r="CT804" s="1119"/>
      <c r="CU804" s="1119"/>
      <c r="CV804" s="1119"/>
      <c r="CW804" s="23"/>
      <c r="CX804" s="23"/>
      <c r="CY804" s="23"/>
      <c r="CZ804" s="23"/>
      <c r="DA804" s="23"/>
      <c r="DB804" s="23"/>
      <c r="DC804" s="23"/>
    </row>
    <row r="805" spans="2:107">
      <c r="B805" s="16" t="s">
        <v>1703</v>
      </c>
      <c r="C805" s="23"/>
      <c r="D805" s="15"/>
      <c r="E805" s="15"/>
      <c r="F805" s="15"/>
      <c r="G805" s="15"/>
      <c r="H805" s="15"/>
      <c r="I805" s="15"/>
      <c r="J805" s="15"/>
      <c r="K805" s="15"/>
      <c r="L805" s="15"/>
      <c r="M805" s="23"/>
      <c r="N805" s="23"/>
      <c r="O805" s="23"/>
      <c r="P805" s="23"/>
      <c r="Q805" s="23"/>
      <c r="R805" s="23"/>
      <c r="S805" s="23"/>
      <c r="T805" s="23"/>
      <c r="U805" s="23"/>
      <c r="V805" s="23"/>
      <c r="W805" s="23"/>
      <c r="X805" s="15"/>
      <c r="Y805" s="15"/>
      <c r="Z805" s="15"/>
      <c r="AA805" s="15"/>
      <c r="AB805" s="15"/>
      <c r="AC805" s="15"/>
      <c r="AD805" s="15"/>
      <c r="AE805" s="23"/>
      <c r="AF805" s="15"/>
      <c r="AG805" s="15"/>
      <c r="AH805" s="15"/>
      <c r="AI805" s="15"/>
      <c r="AJ805" s="15"/>
      <c r="AK805" s="23"/>
      <c r="AL805" s="23"/>
      <c r="AM805" s="23"/>
      <c r="AN805" s="23"/>
      <c r="AO805" s="23"/>
      <c r="AP805" s="23"/>
      <c r="AQ805" s="23"/>
      <c r="AR805" s="23"/>
      <c r="AS805" s="853"/>
      <c r="AT805" s="853"/>
      <c r="AU805" s="853"/>
      <c r="AV805" s="853"/>
      <c r="AW805" s="853"/>
      <c r="AX805" s="853"/>
      <c r="AY805" s="853"/>
      <c r="AZ805" s="853"/>
      <c r="BA805" s="853"/>
      <c r="BB805" s="853"/>
      <c r="BC805" s="853"/>
      <c r="BD805" s="854">
        <f t="shared" ref="BD805:BO805" si="935">(BD231+BD461+BD624)/(BD799-392)</f>
        <v>0</v>
      </c>
      <c r="BE805" s="854">
        <f t="shared" si="935"/>
        <v>0</v>
      </c>
      <c r="BF805" s="854">
        <f t="shared" si="935"/>
        <v>0</v>
      </c>
      <c r="BG805" s="854">
        <f t="shared" si="935"/>
        <v>19.376391982182628</v>
      </c>
      <c r="BH805" s="854">
        <f t="shared" si="935"/>
        <v>19.512195121951219</v>
      </c>
      <c r="BI805" s="854">
        <f t="shared" si="935"/>
        <v>19.571865443425075</v>
      </c>
      <c r="BJ805" s="854">
        <f t="shared" si="935"/>
        <v>14.446793516560959</v>
      </c>
      <c r="BK805" s="854">
        <f t="shared" si="935"/>
        <v>14.775016789791806</v>
      </c>
      <c r="BL805" s="854">
        <f t="shared" si="935"/>
        <v>14.66916354556804</v>
      </c>
      <c r="BM805" s="854">
        <f t="shared" si="935"/>
        <v>14.782096584216726</v>
      </c>
      <c r="BN805" s="854">
        <f t="shared" si="935"/>
        <v>14.379084967320262</v>
      </c>
      <c r="BO805" s="854">
        <f t="shared" si="935"/>
        <v>14.707446808510639</v>
      </c>
      <c r="BP805" s="854">
        <f>(BP231+BP461+BP624)/(BP799)</f>
        <v>18.540268456375838</v>
      </c>
      <c r="BQ805" s="854">
        <f>(BQ231+BQ461+BQ624)/(BQ799)</f>
        <v>19.135802469135804</v>
      </c>
      <c r="BR805" s="854">
        <f>(BR231+BR461+BR624)/(BR799)</f>
        <v>18.715305313243459</v>
      </c>
      <c r="BS805" s="854">
        <f>(BS231+BS461+BS624)/(BS799)</f>
        <v>18.338437978560489</v>
      </c>
      <c r="BT805" s="854">
        <f>(BT231+BT461+BT624)/(BT799)</f>
        <v>17.910996689959543</v>
      </c>
      <c r="BU805" s="854">
        <f t="shared" ref="BU805:CD805" si="936">(BU249+BU461+BU624)/(BU799)</f>
        <v>16.662114176454519</v>
      </c>
      <c r="BV805" s="854">
        <f t="shared" si="936"/>
        <v>16.379081497212635</v>
      </c>
      <c r="BW805" s="854">
        <f t="shared" si="936"/>
        <v>16.317671092951993</v>
      </c>
      <c r="BX805" s="854">
        <f t="shared" si="936"/>
        <v>16.621253405994551</v>
      </c>
      <c r="BY805" s="854">
        <f t="shared" si="936"/>
        <v>16.807738814993954</v>
      </c>
      <c r="BZ805" s="854">
        <f t="shared" si="936"/>
        <v>16.749467707594039</v>
      </c>
      <c r="CA805" s="854">
        <f t="shared" si="936"/>
        <v>16.770905721565903</v>
      </c>
      <c r="CB805" s="854">
        <f t="shared" si="936"/>
        <v>16.761041902604756</v>
      </c>
      <c r="CC805" s="854">
        <f t="shared" si="936"/>
        <v>16.567394661372159</v>
      </c>
      <c r="CD805" s="854">
        <f t="shared" si="936"/>
        <v>17.4592690444738</v>
      </c>
      <c r="CE805" s="1116"/>
      <c r="CF805" s="1116"/>
      <c r="CG805" s="1116"/>
      <c r="CH805" s="1116"/>
      <c r="CI805" s="1116"/>
      <c r="CJ805" s="1116"/>
      <c r="CK805" s="1116"/>
      <c r="CL805" s="1116"/>
      <c r="CM805" s="1116"/>
      <c r="CN805" s="1116"/>
      <c r="CO805" s="1116"/>
      <c r="CP805" s="1116"/>
      <c r="CQ805" s="1116"/>
      <c r="CR805" s="1116"/>
      <c r="CS805" s="1116"/>
      <c r="CT805" s="1116"/>
      <c r="CU805" s="1116"/>
      <c r="CV805" s="1116"/>
      <c r="CW805" s="23"/>
      <c r="CX805" s="23"/>
      <c r="CY805" s="23"/>
      <c r="CZ805" s="23"/>
      <c r="DA805" s="23"/>
      <c r="DB805" s="23"/>
      <c r="DC805" s="23"/>
    </row>
    <row r="806" spans="2:107">
      <c r="B806" s="21"/>
      <c r="C806" s="23"/>
      <c r="D806" s="15"/>
      <c r="E806" s="15"/>
      <c r="F806" s="15"/>
      <c r="G806" s="15"/>
      <c r="H806" s="15"/>
      <c r="I806" s="15"/>
      <c r="J806" s="15"/>
      <c r="K806" s="15"/>
      <c r="L806" s="15"/>
      <c r="M806" s="23"/>
      <c r="N806" s="23"/>
      <c r="O806" s="23"/>
      <c r="P806" s="23"/>
      <c r="Q806" s="23"/>
      <c r="R806" s="23"/>
      <c r="S806" s="23"/>
      <c r="T806" s="23"/>
      <c r="U806" s="23"/>
      <c r="V806" s="23"/>
      <c r="W806" s="23"/>
      <c r="X806" s="15"/>
      <c r="Y806" s="15"/>
      <c r="Z806" s="15"/>
      <c r="AA806" s="15"/>
      <c r="AB806" s="15"/>
      <c r="AC806" s="15"/>
      <c r="AD806" s="15"/>
      <c r="AE806" s="23"/>
      <c r="AF806" s="15"/>
      <c r="AG806" s="15"/>
      <c r="AH806" s="15"/>
      <c r="AI806" s="15"/>
      <c r="AJ806" s="15"/>
      <c r="AK806" s="15"/>
      <c r="AL806" s="15"/>
      <c r="AM806" s="15"/>
      <c r="AN806" s="15"/>
      <c r="AO806" s="15"/>
      <c r="AP806" s="15"/>
      <c r="AQ806" s="15"/>
      <c r="AR806" s="15"/>
      <c r="AS806" s="15"/>
      <c r="AT806" s="15"/>
      <c r="AU806" s="15"/>
      <c r="AV806" s="15"/>
      <c r="AW806" s="15"/>
      <c r="AX806" s="15"/>
      <c r="AY806" s="15"/>
      <c r="AZ806" s="15"/>
      <c r="BA806" s="15"/>
      <c r="BB806" s="15"/>
      <c r="BC806" s="15"/>
      <c r="BD806" s="15"/>
      <c r="BE806" s="15"/>
      <c r="BF806" s="15"/>
      <c r="BG806" s="15"/>
      <c r="BH806" s="15"/>
      <c r="BI806" s="15"/>
      <c r="BJ806" s="15"/>
      <c r="BK806" s="15"/>
      <c r="BL806" s="15"/>
      <c r="BM806" s="15"/>
      <c r="BN806" s="15"/>
      <c r="BO806" s="26"/>
      <c r="BP806" s="23"/>
      <c r="BQ806" s="23"/>
      <c r="BR806" s="23"/>
      <c r="BS806" s="23"/>
      <c r="BT806" s="33"/>
      <c r="BU806" s="33"/>
      <c r="BV806" s="33"/>
      <c r="BW806" s="33"/>
      <c r="BX806" s="33"/>
      <c r="BY806" s="33"/>
      <c r="BZ806" s="33"/>
      <c r="CA806" s="33"/>
      <c r="CB806" s="33"/>
      <c r="CC806" s="33"/>
      <c r="CD806" s="33"/>
      <c r="CE806" s="33"/>
      <c r="CF806" s="33"/>
      <c r="CG806" s="33"/>
      <c r="CH806" s="33"/>
      <c r="CI806" s="33"/>
      <c r="CJ806" s="33"/>
      <c r="CK806" s="33"/>
      <c r="CL806" s="33"/>
      <c r="CM806" s="33"/>
      <c r="CN806" s="33"/>
      <c r="CO806" s="33"/>
      <c r="CP806" s="33"/>
      <c r="CQ806" s="33"/>
      <c r="CR806" s="33"/>
      <c r="CS806" s="33"/>
      <c r="CT806" s="33"/>
      <c r="CU806" s="33"/>
      <c r="CV806" s="33"/>
      <c r="CW806" s="33"/>
      <c r="CX806" s="33"/>
      <c r="CY806" s="33"/>
      <c r="CZ806" s="33"/>
      <c r="DA806" s="33"/>
      <c r="DB806" s="33"/>
      <c r="DC806" s="33"/>
    </row>
    <row r="807" spans="2:107">
      <c r="B807" s="71" t="s">
        <v>196</v>
      </c>
      <c r="C807" s="151"/>
      <c r="D807" s="151"/>
      <c r="E807" s="151"/>
      <c r="F807" s="151"/>
      <c r="G807" s="151"/>
      <c r="H807" s="151"/>
      <c r="I807" s="132"/>
      <c r="J807" s="132"/>
      <c r="K807" s="132"/>
      <c r="L807" s="132"/>
      <c r="M807" s="89"/>
      <c r="N807" s="89"/>
      <c r="O807" s="89"/>
      <c r="P807" s="89"/>
      <c r="Q807" s="89"/>
      <c r="R807" s="89"/>
      <c r="S807" s="89"/>
      <c r="T807" s="89"/>
      <c r="U807" s="89"/>
      <c r="V807" s="89"/>
      <c r="W807" s="89"/>
      <c r="X807" s="132"/>
      <c r="Y807" s="132"/>
      <c r="Z807" s="132"/>
      <c r="AA807" s="132"/>
      <c r="AB807" s="132"/>
      <c r="AC807" s="132"/>
      <c r="AD807" s="132"/>
      <c r="AE807" s="89"/>
      <c r="AF807" s="132"/>
      <c r="AG807" s="132"/>
      <c r="AH807" s="132"/>
      <c r="AI807" s="132"/>
      <c r="AJ807" s="132"/>
      <c r="AK807" s="132"/>
      <c r="AL807" s="132"/>
      <c r="AM807" s="132"/>
      <c r="AN807" s="132"/>
      <c r="AO807" s="132"/>
      <c r="AP807" s="132"/>
      <c r="AQ807" s="132"/>
      <c r="AR807" s="132"/>
      <c r="AS807" s="132"/>
      <c r="AT807" s="132"/>
      <c r="AU807" s="132"/>
      <c r="AV807" s="132"/>
      <c r="AW807" s="132"/>
      <c r="AX807" s="132"/>
      <c r="AY807" s="132"/>
      <c r="AZ807" s="132"/>
      <c r="BA807" s="132"/>
      <c r="BB807" s="132"/>
      <c r="BC807" s="132"/>
      <c r="BD807" s="151"/>
      <c r="BE807" s="151"/>
      <c r="BF807" s="151"/>
      <c r="BG807" s="151"/>
      <c r="BH807" s="151"/>
      <c r="BI807" s="151"/>
      <c r="BJ807" s="151"/>
      <c r="BK807" s="151"/>
      <c r="BL807" s="132">
        <v>947</v>
      </c>
      <c r="BM807" s="132">
        <v>1018</v>
      </c>
      <c r="BN807" s="132">
        <v>1062</v>
      </c>
      <c r="BO807" s="132">
        <v>1115</v>
      </c>
      <c r="BP807" s="173">
        <v>1173</v>
      </c>
      <c r="BQ807" s="173">
        <v>1204</v>
      </c>
      <c r="BR807" s="173">
        <v>1268</v>
      </c>
      <c r="BS807" s="173">
        <v>1301</v>
      </c>
      <c r="BT807" s="173">
        <v>1397</v>
      </c>
      <c r="BU807" s="173">
        <v>1854</v>
      </c>
      <c r="BV807" s="173">
        <v>1898</v>
      </c>
      <c r="BW807" s="173">
        <v>1921</v>
      </c>
      <c r="BX807" s="173">
        <v>1964</v>
      </c>
      <c r="BY807" s="173">
        <v>2086</v>
      </c>
      <c r="BZ807" s="173">
        <v>2167</v>
      </c>
      <c r="CA807" s="173">
        <v>2201</v>
      </c>
      <c r="CB807" s="173">
        <v>2271</v>
      </c>
      <c r="CC807" s="173">
        <v>2373</v>
      </c>
      <c r="CD807" s="173">
        <v>2453</v>
      </c>
      <c r="CE807" s="173">
        <v>2536</v>
      </c>
      <c r="CF807" s="1897"/>
      <c r="CG807" s="1897"/>
      <c r="CH807" s="1897"/>
      <c r="CI807" s="2125">
        <v>3500</v>
      </c>
      <c r="CJ807" s="1897"/>
      <c r="CK807" s="1897"/>
      <c r="CL807" s="1897"/>
      <c r="CM807" s="2125">
        <v>3866</v>
      </c>
      <c r="CN807" s="2125">
        <v>4045</v>
      </c>
      <c r="CO807" s="2125">
        <v>4114</v>
      </c>
      <c r="CP807" s="2125">
        <v>4237</v>
      </c>
      <c r="CQ807" s="2125">
        <v>5042</v>
      </c>
      <c r="CR807" s="2125">
        <v>5716</v>
      </c>
      <c r="CS807" s="2125">
        <v>5807</v>
      </c>
      <c r="CT807" s="2125">
        <v>5934</v>
      </c>
      <c r="CU807" s="2125">
        <v>5993</v>
      </c>
      <c r="CV807" s="2125">
        <v>6188</v>
      </c>
      <c r="CW807" s="33"/>
      <c r="CX807" s="33"/>
      <c r="CY807" s="33"/>
      <c r="CZ807" s="33"/>
      <c r="DA807" s="33"/>
      <c r="DB807" s="33"/>
      <c r="DC807" s="33"/>
    </row>
    <row r="808" spans="2:107">
      <c r="B808" s="122"/>
      <c r="C808" s="123"/>
      <c r="D808" s="124"/>
      <c r="E808" s="124"/>
      <c r="F808" s="124"/>
      <c r="G808" s="124"/>
      <c r="H808" s="124"/>
      <c r="I808" s="124"/>
      <c r="J808" s="124"/>
      <c r="K808" s="124"/>
      <c r="L808" s="123"/>
      <c r="M808" s="123"/>
      <c r="N808" s="125"/>
      <c r="O808" s="125"/>
      <c r="P808" s="125"/>
      <c r="Q808" s="125"/>
      <c r="R808" s="125"/>
      <c r="S808" s="125"/>
      <c r="T808" s="125"/>
      <c r="U808" s="125"/>
      <c r="V808" s="125"/>
      <c r="W808" s="125"/>
      <c r="X808" s="125"/>
      <c r="Y808" s="125"/>
      <c r="Z808" s="125"/>
      <c r="AA808" s="125"/>
      <c r="AB808" s="125"/>
      <c r="AC808" s="125"/>
      <c r="AD808" s="125"/>
      <c r="AE808" s="123"/>
      <c r="AF808" s="123"/>
      <c r="AG808" s="123"/>
      <c r="AH808" s="123"/>
      <c r="AI808" s="123"/>
      <c r="AJ808" s="123"/>
      <c r="AK808" s="123"/>
      <c r="AL808" s="123"/>
      <c r="AM808" s="123"/>
      <c r="AN808" s="123"/>
      <c r="AO808" s="123"/>
      <c r="AP808" s="123"/>
      <c r="AQ808" s="123"/>
      <c r="AR808" s="123"/>
      <c r="AS808" s="123"/>
      <c r="AT808" s="123"/>
      <c r="AU808" s="123"/>
      <c r="AV808" s="123"/>
      <c r="AW808" s="123"/>
      <c r="AX808" s="123"/>
      <c r="AY808" s="123"/>
      <c r="AZ808" s="123"/>
      <c r="BA808" s="123"/>
      <c r="BB808" s="123"/>
      <c r="BC808" s="123"/>
      <c r="BD808" s="837"/>
      <c r="BE808" s="837"/>
      <c r="BF808" s="837"/>
      <c r="BG808" s="837"/>
      <c r="BH808" s="837"/>
      <c r="BI808" s="838"/>
      <c r="BJ808" s="837"/>
      <c r="BK808" s="837"/>
      <c r="BL808" s="837"/>
      <c r="BM808" s="837"/>
      <c r="BN808" s="837"/>
      <c r="BO808" s="837"/>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122"/>
      <c r="CU808" s="122"/>
      <c r="CV808" s="122"/>
      <c r="CW808" s="122"/>
      <c r="CX808" s="122"/>
      <c r="CY808" s="122"/>
      <c r="CZ808" s="122"/>
      <c r="DA808" s="122"/>
      <c r="DB808" s="122"/>
      <c r="DC808" s="122"/>
    </row>
    <row r="809" spans="2:107">
      <c r="B809" s="131" t="s">
        <v>1423</v>
      </c>
      <c r="C809" s="89"/>
      <c r="D809" s="132"/>
      <c r="E809" s="132"/>
      <c r="F809" s="132"/>
      <c r="G809" s="132"/>
      <c r="H809" s="132"/>
      <c r="I809" s="132"/>
      <c r="J809" s="132"/>
      <c r="K809" s="132"/>
      <c r="L809" s="132"/>
      <c r="M809" s="89"/>
      <c r="N809" s="89"/>
      <c r="O809" s="89"/>
      <c r="P809" s="89"/>
      <c r="Q809" s="89"/>
      <c r="R809" s="89"/>
      <c r="S809" s="89"/>
      <c r="T809" s="89"/>
      <c r="U809" s="89"/>
      <c r="V809" s="89"/>
      <c r="W809" s="89"/>
      <c r="X809" s="132"/>
      <c r="Y809" s="132"/>
      <c r="Z809" s="132"/>
      <c r="AA809" s="132"/>
      <c r="AB809" s="132"/>
      <c r="AC809" s="132"/>
      <c r="AD809" s="132"/>
      <c r="AE809" s="89"/>
      <c r="AF809" s="132"/>
      <c r="AG809" s="132"/>
      <c r="AH809" s="132"/>
      <c r="AI809" s="132"/>
      <c r="AJ809" s="132"/>
      <c r="AK809" s="132"/>
      <c r="AL809" s="132"/>
      <c r="AM809" s="132"/>
      <c r="AN809" s="132"/>
      <c r="AO809" s="132"/>
      <c r="AP809" s="132"/>
      <c r="AQ809" s="132"/>
      <c r="AR809" s="132"/>
      <c r="AS809" s="132"/>
      <c r="AT809" s="132"/>
      <c r="AU809" s="132"/>
      <c r="AV809" s="132"/>
      <c r="AW809" s="132"/>
      <c r="AX809" s="132"/>
      <c r="AY809" s="132"/>
      <c r="AZ809" s="132"/>
      <c r="BA809" s="132"/>
      <c r="BB809" s="132"/>
      <c r="BC809" s="132"/>
      <c r="BD809" s="174">
        <v>23</v>
      </c>
      <c r="BE809" s="133"/>
      <c r="BF809" s="174">
        <v>36</v>
      </c>
      <c r="BG809" s="174"/>
      <c r="BH809" s="174">
        <v>60</v>
      </c>
      <c r="BI809" s="174">
        <v>71</v>
      </c>
      <c r="BJ809" s="89">
        <v>77</v>
      </c>
      <c r="BK809" s="89">
        <v>87</v>
      </c>
      <c r="BL809" s="89">
        <v>102</v>
      </c>
      <c r="BM809" s="89">
        <v>114</v>
      </c>
      <c r="BN809" s="89">
        <v>155</v>
      </c>
      <c r="BO809" s="89">
        <v>183</v>
      </c>
      <c r="BP809" s="173"/>
      <c r="BQ809" s="173"/>
      <c r="BR809" s="173"/>
      <c r="BS809" s="173"/>
      <c r="BT809" s="173"/>
      <c r="BU809" s="173">
        <v>519</v>
      </c>
      <c r="BV809" s="173">
        <v>595</v>
      </c>
      <c r="BW809" s="173">
        <v>642</v>
      </c>
      <c r="BX809" s="173">
        <v>669</v>
      </c>
      <c r="BY809" s="173">
        <v>706</v>
      </c>
      <c r="BZ809" s="173">
        <v>749</v>
      </c>
      <c r="CA809" s="173">
        <v>796</v>
      </c>
      <c r="CB809" s="173">
        <v>836</v>
      </c>
      <c r="CC809" s="173">
        <v>894</v>
      </c>
      <c r="CD809" s="173">
        <v>940</v>
      </c>
      <c r="CE809" s="173">
        <v>972</v>
      </c>
      <c r="CF809" s="173">
        <v>1012</v>
      </c>
      <c r="CG809" s="173">
        <v>1056</v>
      </c>
      <c r="CH809" s="173">
        <v>1115</v>
      </c>
      <c r="CI809" s="173">
        <v>1184</v>
      </c>
      <c r="CJ809" s="173">
        <v>1311</v>
      </c>
      <c r="CK809" s="173">
        <v>1446</v>
      </c>
      <c r="CL809" s="173">
        <v>1582</v>
      </c>
      <c r="CM809" s="173">
        <v>1780</v>
      </c>
      <c r="CN809" s="173">
        <v>1755</v>
      </c>
      <c r="CO809" s="173">
        <v>1881</v>
      </c>
      <c r="CP809" s="173">
        <v>2008</v>
      </c>
      <c r="CQ809" s="173">
        <v>2110</v>
      </c>
      <c r="CR809" s="173">
        <v>2287</v>
      </c>
      <c r="CW809" s="33"/>
      <c r="CX809" s="33"/>
      <c r="CY809" s="33"/>
      <c r="CZ809" s="33"/>
      <c r="DA809" s="33"/>
      <c r="DB809" s="33"/>
      <c r="DC809" s="33"/>
    </row>
    <row r="810" spans="2:107">
      <c r="B810" s="122"/>
      <c r="C810" s="123"/>
      <c r="D810" s="124"/>
      <c r="E810" s="124"/>
      <c r="F810" s="124"/>
      <c r="G810" s="124"/>
      <c r="H810" s="124"/>
      <c r="I810" s="124"/>
      <c r="J810" s="124"/>
      <c r="K810" s="124"/>
      <c r="L810" s="123"/>
      <c r="M810" s="123"/>
      <c r="N810" s="125"/>
      <c r="O810" s="125"/>
      <c r="P810" s="125"/>
      <c r="Q810" s="125"/>
      <c r="R810" s="125"/>
      <c r="S810" s="125"/>
      <c r="T810" s="125"/>
      <c r="U810" s="125"/>
      <c r="V810" s="125"/>
      <c r="W810" s="125"/>
      <c r="X810" s="125"/>
      <c r="Y810" s="125"/>
      <c r="Z810" s="125"/>
      <c r="AA810" s="125"/>
      <c r="AB810" s="125"/>
      <c r="AC810" s="125"/>
      <c r="AD810" s="125"/>
      <c r="AE810" s="123"/>
      <c r="AF810" s="123"/>
      <c r="AG810" s="123"/>
      <c r="AH810" s="123"/>
      <c r="AI810" s="123"/>
      <c r="AJ810" s="123"/>
      <c r="AK810" s="123"/>
      <c r="AL810" s="123"/>
      <c r="AM810" s="123"/>
      <c r="AN810" s="123"/>
      <c r="AO810" s="123"/>
      <c r="AP810" s="123"/>
      <c r="AQ810" s="123"/>
      <c r="AR810" s="123"/>
      <c r="AS810" s="123"/>
      <c r="AT810" s="123"/>
      <c r="AU810" s="123"/>
      <c r="AV810" s="123"/>
      <c r="AW810" s="123"/>
      <c r="AX810" s="123"/>
      <c r="AY810" s="123"/>
      <c r="AZ810" s="123"/>
      <c r="BA810" s="123"/>
      <c r="BB810" s="123"/>
      <c r="BC810" s="123"/>
      <c r="BD810" s="837"/>
      <c r="BE810" s="837"/>
      <c r="BF810" s="837"/>
      <c r="BG810" s="837"/>
      <c r="BH810" s="837"/>
      <c r="BI810" s="838"/>
      <c r="BJ810" s="837"/>
      <c r="BK810" s="837"/>
      <c r="BL810" s="837"/>
      <c r="BM810" s="837"/>
      <c r="BN810" s="837"/>
      <c r="BO810" s="837"/>
      <c r="BP810" s="122"/>
      <c r="BQ810" s="122"/>
      <c r="BR810" s="122"/>
      <c r="BS810" s="122"/>
      <c r="BT810" s="122"/>
      <c r="BU810" s="122"/>
      <c r="BV810" s="122"/>
      <c r="BW810" s="122"/>
      <c r="BX810" s="122"/>
      <c r="BY810" s="122"/>
      <c r="BZ810" s="122"/>
      <c r="CA810" s="122"/>
      <c r="CB810" s="122"/>
      <c r="CC810" s="122"/>
      <c r="CD810" s="122"/>
      <c r="CE810" s="122"/>
      <c r="CF810" s="122"/>
      <c r="CG810" s="122"/>
      <c r="CH810" s="122"/>
      <c r="CI810" s="122"/>
      <c r="CJ810" s="122"/>
      <c r="CK810" s="122"/>
      <c r="CL810" s="122"/>
      <c r="CM810" s="122"/>
      <c r="CN810" s="122"/>
      <c r="CO810" s="122"/>
      <c r="CP810" s="122"/>
      <c r="CQ810" s="122"/>
      <c r="CR810" s="122"/>
      <c r="CS810" s="122"/>
      <c r="CT810" s="122"/>
      <c r="CU810" s="122"/>
      <c r="CV810" s="122"/>
      <c r="CW810" s="122"/>
      <c r="CX810" s="122"/>
      <c r="CY810" s="122"/>
      <c r="CZ810" s="122"/>
      <c r="DA810" s="122"/>
      <c r="DB810" s="122"/>
      <c r="DC810" s="122"/>
    </row>
    <row r="811" spans="2:107">
      <c r="B811" s="114" t="s">
        <v>735</v>
      </c>
      <c r="C811" s="66"/>
      <c r="D811" s="66"/>
      <c r="E811" s="66"/>
      <c r="F811" s="66"/>
      <c r="G811" s="66"/>
      <c r="H811" s="66"/>
      <c r="I811" s="66"/>
      <c r="J811" s="66"/>
      <c r="K811" s="66"/>
      <c r="L811" s="66"/>
      <c r="M811" s="66"/>
      <c r="N811" s="59"/>
      <c r="O811" s="59"/>
      <c r="P811" s="59"/>
      <c r="Q811" s="59"/>
      <c r="R811" s="59"/>
      <c r="S811" s="59"/>
      <c r="T811" s="59"/>
      <c r="U811" s="59"/>
      <c r="V811" s="59"/>
      <c r="W811" s="59"/>
      <c r="X811" s="60"/>
      <c r="Y811" s="60"/>
      <c r="Z811" s="60"/>
      <c r="AA811" s="60"/>
      <c r="AB811" s="60"/>
      <c r="AC811" s="60"/>
      <c r="AD811" s="60"/>
      <c r="AE811" s="59"/>
      <c r="AF811" s="60"/>
      <c r="AG811" s="60"/>
      <c r="AH811" s="60"/>
      <c r="AI811" s="60"/>
      <c r="AJ811" s="60"/>
      <c r="AK811" s="60"/>
      <c r="AL811" s="60"/>
      <c r="AM811" s="60"/>
      <c r="AN811" s="60"/>
      <c r="AO811" s="60"/>
      <c r="AP811" s="60"/>
      <c r="AQ811" s="60"/>
      <c r="AR811" s="60"/>
      <c r="AS811" s="60"/>
      <c r="AT811" s="60"/>
      <c r="AU811" s="60"/>
      <c r="AV811" s="60"/>
      <c r="AW811" s="60"/>
      <c r="AX811" s="60"/>
      <c r="AY811" s="60"/>
      <c r="AZ811" s="60"/>
      <c r="BA811" s="60"/>
      <c r="BB811" s="60"/>
      <c r="BC811" s="60"/>
      <c r="BD811" s="60"/>
      <c r="BE811" s="60"/>
      <c r="BF811" s="60"/>
      <c r="BG811" s="60"/>
      <c r="BH811" s="60"/>
      <c r="BI811" s="60"/>
      <c r="BJ811" s="60"/>
      <c r="BK811" s="60"/>
      <c r="BL811" s="60"/>
      <c r="BM811" s="60"/>
      <c r="BN811" s="60"/>
      <c r="BO811" s="60"/>
      <c r="BP811" s="59"/>
      <c r="BQ811" s="59"/>
      <c r="BR811" s="59"/>
      <c r="BS811" s="59"/>
      <c r="BT811" s="59"/>
      <c r="BU811" s="59"/>
      <c r="BV811" s="59"/>
      <c r="BW811" s="59"/>
      <c r="BX811" s="59"/>
      <c r="BY811" s="59"/>
      <c r="BZ811" s="59"/>
      <c r="CA811" s="59"/>
      <c r="CB811" s="59"/>
      <c r="CC811" s="59"/>
      <c r="CD811" s="59"/>
      <c r="CE811" s="59"/>
      <c r="CF811" s="59"/>
      <c r="CG811" s="59"/>
      <c r="CH811" s="59"/>
      <c r="CI811" s="59"/>
      <c r="CJ811" s="59"/>
      <c r="CK811" s="59"/>
      <c r="CL811" s="59"/>
      <c r="CM811" s="59"/>
      <c r="CN811" s="59"/>
      <c r="CO811" s="59"/>
      <c r="CP811" s="59"/>
      <c r="CQ811" s="59"/>
      <c r="CR811" s="59"/>
      <c r="CS811" s="59"/>
      <c r="CT811" s="59"/>
      <c r="CU811" s="59"/>
      <c r="CV811" s="59"/>
      <c r="CW811" s="59"/>
      <c r="CX811" s="59"/>
      <c r="CY811" s="59"/>
      <c r="CZ811" s="59"/>
      <c r="DA811" s="59"/>
      <c r="DB811" s="59"/>
      <c r="DC811" s="59"/>
    </row>
    <row r="812" spans="2:107" ht="12.75" customHeight="1">
      <c r="B812" s="21"/>
      <c r="C812" s="14"/>
      <c r="D812" s="14"/>
      <c r="E812" s="14"/>
      <c r="F812" s="14"/>
      <c r="G812" s="14"/>
      <c r="H812" s="14"/>
      <c r="I812" s="14"/>
      <c r="J812" s="14"/>
      <c r="K812" s="14"/>
      <c r="L812" s="14"/>
      <c r="M812" s="14"/>
      <c r="N812" s="23"/>
      <c r="O812" s="23"/>
      <c r="P812" s="23"/>
      <c r="Q812" s="23"/>
      <c r="R812" s="23"/>
      <c r="S812" s="23"/>
      <c r="T812" s="23"/>
      <c r="U812" s="23"/>
      <c r="V812" s="23"/>
      <c r="W812" s="23"/>
      <c r="X812" s="15"/>
      <c r="Y812" s="15"/>
      <c r="Z812" s="15"/>
      <c r="AA812" s="15"/>
      <c r="AB812" s="15"/>
      <c r="AC812" s="15"/>
      <c r="AD812" s="15"/>
      <c r="AE812" s="23"/>
      <c r="AF812" s="15"/>
      <c r="AG812" s="15"/>
      <c r="AH812" s="15"/>
      <c r="AI812" s="15"/>
      <c r="AJ812" s="15"/>
      <c r="AK812" s="15"/>
      <c r="AL812" s="15"/>
      <c r="AM812" s="15"/>
      <c r="AN812" s="15"/>
      <c r="AO812" s="15"/>
      <c r="AP812" s="15"/>
      <c r="AQ812" s="15"/>
      <c r="AR812" s="15"/>
      <c r="AS812" s="15"/>
      <c r="AT812" s="15"/>
      <c r="AU812" s="15"/>
      <c r="AV812" s="15"/>
      <c r="AW812" s="15"/>
      <c r="AX812" s="15"/>
      <c r="AY812" s="15"/>
      <c r="AZ812" s="15"/>
      <c r="BA812" s="15"/>
      <c r="BB812" s="15"/>
      <c r="BC812" s="15"/>
      <c r="BD812" s="15"/>
      <c r="BE812" s="15"/>
      <c r="BF812" s="15"/>
      <c r="BG812" s="15"/>
      <c r="BH812" s="15"/>
      <c r="BI812" s="15"/>
      <c r="BJ812" s="15"/>
      <c r="BK812" s="15"/>
      <c r="BL812" s="15"/>
      <c r="BM812" s="15"/>
      <c r="BN812" s="15"/>
      <c r="BO812" s="15"/>
      <c r="BP812" s="23"/>
      <c r="BQ812" s="23"/>
      <c r="BR812" s="23"/>
      <c r="BS812" s="23"/>
      <c r="BT812" s="23"/>
      <c r="BU812" s="23"/>
      <c r="BV812" s="23"/>
      <c r="BW812" s="23"/>
      <c r="BX812" s="23"/>
      <c r="BY812" s="23"/>
      <c r="BZ812" s="23"/>
      <c r="CA812" s="23"/>
      <c r="CB812" s="23"/>
      <c r="CC812" s="23"/>
      <c r="CD812" s="23"/>
      <c r="CE812" s="23"/>
      <c r="CF812" s="23"/>
      <c r="CG812" s="23"/>
      <c r="CH812" s="23"/>
      <c r="CI812" s="23"/>
      <c r="CJ812" s="23"/>
      <c r="CK812" s="23"/>
      <c r="CL812" s="23"/>
      <c r="CM812" s="23"/>
      <c r="CN812" s="23"/>
      <c r="CO812" s="23"/>
      <c r="CP812" s="23"/>
      <c r="CQ812" s="23"/>
      <c r="CR812" s="23"/>
      <c r="CS812" s="23"/>
      <c r="CT812" s="23"/>
      <c r="CU812" s="23"/>
      <c r="CV812" s="23"/>
      <c r="CW812" s="23"/>
      <c r="CX812" s="23"/>
      <c r="CY812" s="23"/>
      <c r="CZ812" s="23"/>
      <c r="DA812" s="23"/>
      <c r="DB812" s="23"/>
      <c r="DC812" s="23"/>
    </row>
    <row r="813" spans="2:107">
      <c r="B813" s="21"/>
      <c r="C813" s="14"/>
      <c r="D813" s="14"/>
      <c r="E813" s="14"/>
      <c r="F813" s="14"/>
      <c r="G813" s="14"/>
      <c r="H813" s="14"/>
      <c r="I813" s="14"/>
      <c r="J813" s="14"/>
      <c r="K813" s="14"/>
      <c r="L813" s="14"/>
      <c r="M813" s="14"/>
      <c r="N813" s="214">
        <f>SUM(BP813:BS813)</f>
        <v>7.1350376390102582E-2</v>
      </c>
      <c r="O813" s="214">
        <f>SUM(BT813:BW813)</f>
        <v>9.8000000000000004E-2</v>
      </c>
      <c r="P813" s="214">
        <f>SUM(BX813:CA813)</f>
        <v>8.199999999999999E-2</v>
      </c>
      <c r="Q813" s="855">
        <f>SUM(CB813:CE813)</f>
        <v>0.115</v>
      </c>
      <c r="R813" s="855">
        <f>SUM(CF813:CI813)</f>
        <v>0.10899999999999999</v>
      </c>
      <c r="S813" s="855">
        <f>SUM(CJ813:CM813)</f>
        <v>9.1000000000000011E-2</v>
      </c>
      <c r="T813" s="855">
        <f>SUM(CN813:CQ813)</f>
        <v>8.0999999999999989E-2</v>
      </c>
      <c r="U813" s="855">
        <f>SUM(CR813:CU813)</f>
        <v>8.3999999999999991E-2</v>
      </c>
      <c r="V813" s="855">
        <f>SUM(CV813:CY813)</f>
        <v>9.7000000000000003E-2</v>
      </c>
      <c r="W813" s="855">
        <f>SUM(CZ813:DC813)</f>
        <v>8.7999999999999995E-2</v>
      </c>
      <c r="X813" s="176">
        <f>+CHOOSE(mode,Rev!X814,Rev!X815,Rev!X816)</f>
        <v>0.08</v>
      </c>
      <c r="Y813" s="176">
        <f>+CHOOSE(mode,Rev!Y814,Rev!Y815,Rev!Y816)</f>
        <v>0.08</v>
      </c>
      <c r="Z813" s="176">
        <f>+CHOOSE(mode,Rev!Z814,Rev!Z815,Rev!Z816)</f>
        <v>0.08</v>
      </c>
      <c r="AA813" s="176">
        <f>+CHOOSE(mode,Rev!AA814,Rev!AA815,Rev!AA816)</f>
        <v>0.08</v>
      </c>
      <c r="AB813" s="176">
        <f>+CHOOSE(mode,Rev!AB814,Rev!AB815,Rev!AB816)</f>
        <v>0.08</v>
      </c>
      <c r="AC813" s="176">
        <f>+CHOOSE(mode,Rev!AC814,Rev!AC815,Rev!AC816)</f>
        <v>0.08</v>
      </c>
      <c r="AD813" s="176">
        <f>+CHOOSE(mode,Rev!AD814,Rev!AD815,Rev!AD816)</f>
        <v>0.08</v>
      </c>
      <c r="AE813" s="14"/>
      <c r="AF813" s="14"/>
      <c r="AG813" s="14"/>
      <c r="AH813" s="14"/>
      <c r="AI813" s="14"/>
      <c r="AJ813" s="14"/>
      <c r="AK813" s="14"/>
      <c r="AL813" s="14"/>
      <c r="AM813" s="14"/>
      <c r="AN813" s="14"/>
      <c r="AO813" s="14"/>
      <c r="AP813" s="14"/>
      <c r="AQ813" s="14"/>
      <c r="AR813" s="14"/>
      <c r="AS813" s="14"/>
      <c r="AT813" s="14"/>
      <c r="AU813" s="14"/>
      <c r="AV813" s="14"/>
      <c r="AW813" s="14"/>
      <c r="AX813" s="14"/>
      <c r="AY813" s="14"/>
      <c r="AZ813" s="14"/>
      <c r="BA813" s="14"/>
      <c r="BB813" s="14"/>
      <c r="BC813" s="14"/>
      <c r="BD813" s="14"/>
      <c r="BE813" s="14"/>
      <c r="BF813" s="14"/>
      <c r="BG813" s="40"/>
      <c r="BH813" s="40"/>
      <c r="BI813" s="40"/>
      <c r="BJ813" s="40"/>
      <c r="BK813" s="40"/>
      <c r="BL813" s="177">
        <v>2.24277550909871E-2</v>
      </c>
      <c r="BM813" s="177">
        <v>1.98505348828413E-2</v>
      </c>
      <c r="BN813" s="177">
        <v>2.1076116799672799E-2</v>
      </c>
      <c r="BO813" s="177">
        <v>1.7606781890342801E-2</v>
      </c>
      <c r="BP813" s="178">
        <v>1.5641291275072501E-2</v>
      </c>
      <c r="BQ813" s="178">
        <v>1.7834843098760284E-2</v>
      </c>
      <c r="BR813" s="178">
        <v>2.2874242016269801E-2</v>
      </c>
      <c r="BS813" s="178">
        <v>1.4999999999999999E-2</v>
      </c>
      <c r="BT813" s="178">
        <v>2.1999999999999999E-2</v>
      </c>
      <c r="BU813" s="178">
        <v>2.4E-2</v>
      </c>
      <c r="BV813" s="178">
        <v>2.7E-2</v>
      </c>
      <c r="BW813" s="178">
        <v>2.5000000000000001E-2</v>
      </c>
      <c r="BX813" s="178">
        <v>2.4E-2</v>
      </c>
      <c r="BY813" s="178">
        <v>1.6E-2</v>
      </c>
      <c r="BZ813" s="178">
        <v>0.02</v>
      </c>
      <c r="CA813" s="1617">
        <v>2.1999999999999999E-2</v>
      </c>
      <c r="CB813" s="178">
        <v>2.4E-2</v>
      </c>
      <c r="CC813" s="178">
        <v>3.2000000000000001E-2</v>
      </c>
      <c r="CD813" s="178">
        <v>2.9000000000000001E-2</v>
      </c>
      <c r="CE813" s="178">
        <v>0.03</v>
      </c>
      <c r="CF813" s="178">
        <v>3.6999999999999998E-2</v>
      </c>
      <c r="CG813" s="178">
        <v>2.4E-2</v>
      </c>
      <c r="CH813" s="178">
        <v>2.5000000000000001E-2</v>
      </c>
      <c r="CI813" s="178">
        <v>2.3E-2</v>
      </c>
      <c r="CJ813" s="178">
        <v>2.3E-2</v>
      </c>
      <c r="CK813" s="178">
        <v>2.8000000000000001E-2</v>
      </c>
      <c r="CL813" s="178">
        <v>0.02</v>
      </c>
      <c r="CM813" s="178">
        <v>0.02</v>
      </c>
      <c r="CN813" s="178">
        <v>0.02</v>
      </c>
      <c r="CO813" s="178">
        <v>1.7999999999999999E-2</v>
      </c>
      <c r="CP813" s="178">
        <v>0.02</v>
      </c>
      <c r="CQ813" s="178">
        <v>2.3E-2</v>
      </c>
      <c r="CR813" s="178">
        <v>2.1999999999999999E-2</v>
      </c>
      <c r="CS813" s="178">
        <v>1.7999999999999999E-2</v>
      </c>
      <c r="CT813" s="178">
        <v>0.02</v>
      </c>
      <c r="CU813" s="178">
        <v>2.4E-2</v>
      </c>
      <c r="CV813" s="178">
        <v>2.8000000000000001E-2</v>
      </c>
      <c r="CW813" s="178">
        <v>2.4E-2</v>
      </c>
      <c r="CX813" s="178">
        <v>2.3E-2</v>
      </c>
      <c r="CY813" s="178">
        <v>2.1999999999999999E-2</v>
      </c>
      <c r="CZ813" s="175">
        <f>+CHOOSE(mode,Rev!CZ814,Rev!CZ815,Rev!CZ816)</f>
        <v>2.1999999999999999E-2</v>
      </c>
      <c r="DA813" s="175">
        <f>+CHOOSE(mode,Rev!DA814,Rev!DA815,Rev!DA816)</f>
        <v>2.1999999999999999E-2</v>
      </c>
      <c r="DB813" s="175">
        <f>+CHOOSE(mode,Rev!DB814,Rev!DB815,Rev!DB816)</f>
        <v>2.1999999999999999E-2</v>
      </c>
      <c r="DC813" s="175">
        <f>+CHOOSE(mode,Rev!DC814,Rev!DC815,Rev!DC816)</f>
        <v>2.1999999999999999E-2</v>
      </c>
    </row>
    <row r="814" spans="2:107" outlineLevel="1">
      <c r="B814" s="134" t="s">
        <v>1046</v>
      </c>
      <c r="C814" s="66"/>
      <c r="D814" s="66"/>
      <c r="E814" s="66"/>
      <c r="F814" s="66"/>
      <c r="G814" s="66"/>
      <c r="H814" s="66"/>
      <c r="I814" s="66"/>
      <c r="J814" s="66"/>
      <c r="K814" s="66"/>
      <c r="L814" s="66"/>
      <c r="M814" s="66"/>
      <c r="N814" s="66"/>
      <c r="O814" s="136"/>
      <c r="P814" s="136"/>
      <c r="Q814" s="136"/>
      <c r="R814" s="136"/>
      <c r="S814" s="136"/>
      <c r="T814" s="136"/>
      <c r="U814" s="136"/>
      <c r="V814" s="136"/>
      <c r="W814" s="136"/>
      <c r="X814" s="136">
        <f>X815-0.01</f>
        <v>7.0000000000000007E-2</v>
      </c>
      <c r="Y814" s="136">
        <f>Y815-0.01</f>
        <v>7.0000000000000007E-2</v>
      </c>
      <c r="Z814" s="136">
        <f>Z815-0.015</f>
        <v>6.5000000000000002E-2</v>
      </c>
      <c r="AA814" s="136">
        <f t="shared" ref="AA814:AD814" si="937">AA815-0.015</f>
        <v>6.5000000000000002E-2</v>
      </c>
      <c r="AB814" s="136">
        <f t="shared" si="937"/>
        <v>6.5000000000000002E-2</v>
      </c>
      <c r="AC814" s="136">
        <f t="shared" si="937"/>
        <v>6.5000000000000002E-2</v>
      </c>
      <c r="AD814" s="136">
        <f t="shared" si="937"/>
        <v>6.5000000000000002E-2</v>
      </c>
      <c r="AE814" s="66"/>
      <c r="AF814" s="66"/>
      <c r="AG814" s="66"/>
      <c r="AH814" s="66"/>
      <c r="AI814" s="66"/>
      <c r="AJ814" s="66"/>
      <c r="AK814" s="66"/>
      <c r="AL814" s="66"/>
      <c r="AM814" s="66"/>
      <c r="AN814" s="66"/>
      <c r="AO814" s="66"/>
      <c r="AP814" s="66"/>
      <c r="AQ814" s="66"/>
      <c r="AR814" s="66"/>
      <c r="AS814" s="66"/>
      <c r="AT814" s="66"/>
      <c r="AU814" s="66"/>
      <c r="AV814" s="66"/>
      <c r="AW814" s="66"/>
      <c r="AX814" s="66"/>
      <c r="AY814" s="66"/>
      <c r="AZ814" s="66"/>
      <c r="BA814" s="66"/>
      <c r="BB814" s="66"/>
      <c r="BC814" s="66"/>
      <c r="BD814" s="66"/>
      <c r="BE814" s="66"/>
      <c r="BF814" s="66"/>
      <c r="BG814" s="148"/>
      <c r="BH814" s="148"/>
      <c r="BI814" s="148"/>
      <c r="BJ814" s="148"/>
      <c r="BK814" s="148"/>
      <c r="BL814" s="148"/>
      <c r="BM814" s="148"/>
      <c r="BN814" s="148"/>
      <c r="BO814" s="148"/>
      <c r="BP814" s="175"/>
      <c r="BQ814" s="136"/>
      <c r="BR814" s="136"/>
      <c r="BS814" s="136"/>
      <c r="BT814" s="136"/>
      <c r="BU814" s="136"/>
      <c r="BV814" s="136"/>
      <c r="BW814" s="136"/>
      <c r="BX814" s="136"/>
      <c r="BY814" s="136"/>
      <c r="BZ814" s="136"/>
      <c r="CA814" s="136"/>
      <c r="CB814" s="136"/>
      <c r="CC814" s="136"/>
      <c r="CD814" s="136"/>
      <c r="CE814" s="136"/>
      <c r="CF814" s="136"/>
      <c r="CG814" s="136"/>
      <c r="CH814" s="136"/>
      <c r="CI814" s="136"/>
      <c r="CJ814" s="136"/>
      <c r="CK814" s="136"/>
      <c r="CL814" s="136"/>
      <c r="CM814" s="136"/>
      <c r="CN814" s="136"/>
      <c r="CO814" s="136"/>
      <c r="CP814" s="136"/>
      <c r="CQ814" s="136"/>
      <c r="CR814" s="136"/>
      <c r="CS814" s="136"/>
      <c r="CT814" s="136"/>
      <c r="CU814" s="136"/>
      <c r="CV814" s="136"/>
      <c r="CW814" s="136"/>
      <c r="CX814" s="136"/>
      <c r="CY814" s="136"/>
      <c r="CZ814" s="136">
        <f t="shared" ref="CZ814:DC814" si="938">CZ815-0.0025</f>
        <v>1.95E-2</v>
      </c>
      <c r="DA814" s="136">
        <f t="shared" si="938"/>
        <v>1.95E-2</v>
      </c>
      <c r="DB814" s="136">
        <f t="shared" si="938"/>
        <v>1.95E-2</v>
      </c>
      <c r="DC814" s="136">
        <f t="shared" si="938"/>
        <v>1.95E-2</v>
      </c>
    </row>
    <row r="815" spans="2:107" outlineLevel="1">
      <c r="B815" s="134" t="s">
        <v>1047</v>
      </c>
      <c r="C815" s="66"/>
      <c r="D815" s="66"/>
      <c r="E815" s="66"/>
      <c r="F815" s="66"/>
      <c r="G815" s="66"/>
      <c r="H815" s="66"/>
      <c r="I815" s="66"/>
      <c r="J815" s="66"/>
      <c r="K815" s="66"/>
      <c r="L815" s="66"/>
      <c r="M815" s="66"/>
      <c r="N815" s="66"/>
      <c r="O815" s="136"/>
      <c r="P815" s="136"/>
      <c r="Q815" s="136"/>
      <c r="R815" s="136"/>
      <c r="S815" s="136"/>
      <c r="T815" s="136"/>
      <c r="U815" s="136"/>
      <c r="V815" s="136"/>
      <c r="W815" s="136"/>
      <c r="X815" s="136">
        <v>0.08</v>
      </c>
      <c r="Y815" s="136">
        <v>0.08</v>
      </c>
      <c r="Z815" s="136">
        <v>0.08</v>
      </c>
      <c r="AA815" s="136">
        <v>0.08</v>
      </c>
      <c r="AB815" s="136">
        <v>0.08</v>
      </c>
      <c r="AC815" s="136">
        <v>0.08</v>
      </c>
      <c r="AD815" s="136">
        <v>0.08</v>
      </c>
      <c r="AE815" s="66"/>
      <c r="AF815" s="66"/>
      <c r="AG815" s="66"/>
      <c r="AH815" s="66"/>
      <c r="AI815" s="66"/>
      <c r="AJ815" s="66"/>
      <c r="AK815" s="66"/>
      <c r="AL815" s="66"/>
      <c r="AM815" s="66"/>
      <c r="AN815" s="66"/>
      <c r="AO815" s="66"/>
      <c r="AP815" s="66"/>
      <c r="AQ815" s="66"/>
      <c r="AR815" s="66"/>
      <c r="AS815" s="66"/>
      <c r="AT815" s="66"/>
      <c r="AU815" s="66"/>
      <c r="AV815" s="66"/>
      <c r="AW815" s="66"/>
      <c r="AX815" s="66"/>
      <c r="AY815" s="66"/>
      <c r="AZ815" s="66"/>
      <c r="BA815" s="66"/>
      <c r="BB815" s="66"/>
      <c r="BC815" s="66"/>
      <c r="BD815" s="66"/>
      <c r="BE815" s="66"/>
      <c r="BF815" s="66"/>
      <c r="BG815" s="148"/>
      <c r="BH815" s="148"/>
      <c r="BI815" s="148"/>
      <c r="BJ815" s="148"/>
      <c r="BK815" s="148"/>
      <c r="BL815" s="148"/>
      <c r="BM815" s="148"/>
      <c r="BN815" s="148"/>
      <c r="BO815" s="148"/>
      <c r="BP815" s="175"/>
      <c r="BQ815" s="136"/>
      <c r="BR815" s="136"/>
      <c r="BS815" s="136"/>
      <c r="BT815" s="136"/>
      <c r="BU815" s="136"/>
      <c r="BV815" s="136"/>
      <c r="BW815" s="136"/>
      <c r="BX815" s="136"/>
      <c r="BY815" s="136"/>
      <c r="BZ815" s="136"/>
      <c r="CA815" s="136"/>
      <c r="CB815" s="136"/>
      <c r="CC815" s="136"/>
      <c r="CD815" s="136"/>
      <c r="CE815" s="136"/>
      <c r="CF815" s="136"/>
      <c r="CG815" s="136"/>
      <c r="CH815" s="136"/>
      <c r="CI815" s="136"/>
      <c r="CJ815" s="136"/>
      <c r="CK815" s="136"/>
      <c r="CL815" s="136"/>
      <c r="CM815" s="136"/>
      <c r="CN815" s="136"/>
      <c r="CO815" s="136"/>
      <c r="CP815" s="136"/>
      <c r="CQ815" s="136"/>
      <c r="CR815" s="136"/>
      <c r="CS815" s="136"/>
      <c r="CT815" s="136"/>
      <c r="CU815" s="136"/>
      <c r="CV815" s="136"/>
      <c r="CW815" s="136"/>
      <c r="CX815" s="136"/>
      <c r="CY815" s="136"/>
      <c r="CZ815" s="136">
        <v>2.1999999999999999E-2</v>
      </c>
      <c r="DA815" s="136">
        <v>2.1999999999999999E-2</v>
      </c>
      <c r="DB815" s="136">
        <v>2.1999999999999999E-2</v>
      </c>
      <c r="DC815" s="136">
        <v>2.1999999999999999E-2</v>
      </c>
    </row>
    <row r="816" spans="2:107" outlineLevel="1">
      <c r="B816" s="134" t="s">
        <v>1048</v>
      </c>
      <c r="C816" s="66"/>
      <c r="D816" s="66"/>
      <c r="E816" s="66"/>
      <c r="F816" s="66"/>
      <c r="G816" s="66"/>
      <c r="H816" s="66"/>
      <c r="I816" s="66"/>
      <c r="J816" s="66"/>
      <c r="K816" s="66"/>
      <c r="L816" s="66"/>
      <c r="M816" s="66"/>
      <c r="N816" s="66"/>
      <c r="O816" s="136"/>
      <c r="P816" s="136"/>
      <c r="Q816" s="136"/>
      <c r="R816" s="136"/>
      <c r="S816" s="136"/>
      <c r="T816" s="136"/>
      <c r="U816" s="136"/>
      <c r="V816" s="136"/>
      <c r="W816" s="136"/>
      <c r="X816" s="136">
        <f>X815+0.01</f>
        <v>0.09</v>
      </c>
      <c r="Y816" s="136">
        <f>Y815+0.01</f>
        <v>0.09</v>
      </c>
      <c r="Z816" s="136">
        <f>Z815+0.01</f>
        <v>0.09</v>
      </c>
      <c r="AA816" s="136">
        <f t="shared" ref="AA816:AD816" si="939">AA815+0.01</f>
        <v>0.09</v>
      </c>
      <c r="AB816" s="136">
        <f t="shared" si="939"/>
        <v>0.09</v>
      </c>
      <c r="AC816" s="136">
        <f t="shared" si="939"/>
        <v>0.09</v>
      </c>
      <c r="AD816" s="136">
        <f t="shared" si="939"/>
        <v>0.09</v>
      </c>
      <c r="AE816" s="66"/>
      <c r="AF816" s="66"/>
      <c r="AG816" s="66"/>
      <c r="AH816" s="66"/>
      <c r="AI816" s="66"/>
      <c r="AJ816" s="66"/>
      <c r="AK816" s="66"/>
      <c r="AL816" s="66"/>
      <c r="AM816" s="66"/>
      <c r="AN816" s="66"/>
      <c r="AO816" s="66"/>
      <c r="AP816" s="66"/>
      <c r="AQ816" s="66"/>
      <c r="AR816" s="66"/>
      <c r="AS816" s="66"/>
      <c r="AT816" s="66"/>
      <c r="AU816" s="66"/>
      <c r="AV816" s="66"/>
      <c r="AW816" s="66"/>
      <c r="AX816" s="66"/>
      <c r="AY816" s="66"/>
      <c r="AZ816" s="66"/>
      <c r="BA816" s="66"/>
      <c r="BB816" s="66"/>
      <c r="BC816" s="66"/>
      <c r="BD816" s="66"/>
      <c r="BE816" s="66"/>
      <c r="BF816" s="66"/>
      <c r="BG816" s="148"/>
      <c r="BH816" s="148"/>
      <c r="BI816" s="148"/>
      <c r="BJ816" s="148"/>
      <c r="BK816" s="148"/>
      <c r="BL816" s="148"/>
      <c r="BM816" s="148"/>
      <c r="BN816" s="148"/>
      <c r="BO816" s="148"/>
      <c r="BP816" s="175"/>
      <c r="BQ816" s="136"/>
      <c r="BR816" s="136"/>
      <c r="BS816" s="136"/>
      <c r="BT816" s="136"/>
      <c r="BU816" s="136"/>
      <c r="BV816" s="136"/>
      <c r="BW816" s="136"/>
      <c r="BX816" s="136"/>
      <c r="BY816" s="136"/>
      <c r="BZ816" s="136"/>
      <c r="CA816" s="136"/>
      <c r="CB816" s="136"/>
      <c r="CC816" s="136"/>
      <c r="CD816" s="136"/>
      <c r="CE816" s="136"/>
      <c r="CF816" s="136"/>
      <c r="CG816" s="136"/>
      <c r="CH816" s="136"/>
      <c r="CI816" s="136"/>
      <c r="CJ816" s="136"/>
      <c r="CK816" s="136"/>
      <c r="CL816" s="136"/>
      <c r="CM816" s="136"/>
      <c r="CN816" s="136"/>
      <c r="CO816" s="136"/>
      <c r="CP816" s="136"/>
      <c r="CQ816" s="136"/>
      <c r="CR816" s="136"/>
      <c r="CS816" s="136"/>
      <c r="CT816" s="136"/>
      <c r="CU816" s="136"/>
      <c r="CV816" s="136"/>
      <c r="CW816" s="136"/>
      <c r="CX816" s="136"/>
      <c r="CY816" s="136"/>
      <c r="CZ816" s="136">
        <f t="shared" ref="CZ816:DC816" si="940">CZ815+0.005</f>
        <v>2.7E-2</v>
      </c>
      <c r="DA816" s="136">
        <f t="shared" si="940"/>
        <v>2.7E-2</v>
      </c>
      <c r="DB816" s="136">
        <f t="shared" si="940"/>
        <v>2.7E-2</v>
      </c>
      <c r="DC816" s="136">
        <f t="shared" si="940"/>
        <v>2.7E-2</v>
      </c>
    </row>
    <row r="817" spans="1:107">
      <c r="B817" s="21"/>
      <c r="C817" s="14"/>
      <c r="D817" s="14"/>
      <c r="E817" s="14"/>
      <c r="F817" s="14"/>
      <c r="G817" s="14"/>
      <c r="H817" s="14"/>
      <c r="I817" s="14"/>
      <c r="J817" s="14"/>
      <c r="K817" s="14"/>
      <c r="L817" s="14"/>
      <c r="M817" s="14"/>
      <c r="N817" s="14"/>
      <c r="O817" s="40"/>
      <c r="P817" s="40"/>
      <c r="Q817" s="40"/>
      <c r="R817" s="40"/>
      <c r="S817" s="40"/>
      <c r="T817" s="40"/>
      <c r="U817" s="40"/>
      <c r="V817" s="40"/>
      <c r="W817" s="40"/>
      <c r="X817" s="40"/>
      <c r="Y817" s="40"/>
      <c r="Z817" s="40"/>
      <c r="AA817" s="40"/>
      <c r="AB817" s="40"/>
      <c r="AC817" s="40"/>
      <c r="AD817" s="40"/>
      <c r="AE817" s="14"/>
      <c r="AF817" s="14"/>
      <c r="AG817" s="14"/>
      <c r="AH817" s="14"/>
      <c r="AI817" s="14"/>
      <c r="AJ817" s="14"/>
      <c r="AK817" s="14"/>
      <c r="AL817" s="14"/>
      <c r="AM817" s="14"/>
      <c r="AN817" s="14"/>
      <c r="AO817" s="14"/>
      <c r="AP817" s="14"/>
      <c r="AQ817" s="14"/>
      <c r="AR817" s="14"/>
      <c r="AS817" s="14"/>
      <c r="AT817" s="14"/>
      <c r="AU817" s="14"/>
      <c r="AV817" s="14"/>
      <c r="AW817" s="14"/>
      <c r="AX817" s="14"/>
      <c r="AY817" s="14"/>
      <c r="AZ817" s="14"/>
      <c r="BA817" s="14"/>
      <c r="BB817" s="14"/>
      <c r="BC817" s="14"/>
      <c r="BD817" s="14"/>
      <c r="BE817" s="14"/>
      <c r="BF817" s="14"/>
      <c r="BG817" s="40"/>
      <c r="BH817" s="40"/>
      <c r="BI817" s="40"/>
      <c r="BJ817" s="40"/>
      <c r="BK817" s="40"/>
      <c r="BL817" s="40"/>
      <c r="BM817" s="40"/>
      <c r="BN817" s="40"/>
      <c r="BO817" s="40"/>
      <c r="BP817" s="40"/>
      <c r="BQ817" s="40"/>
      <c r="BR817" s="40"/>
      <c r="BS817" s="40"/>
      <c r="BT817" s="40"/>
      <c r="BU817" s="40"/>
      <c r="BV817" s="40"/>
      <c r="BW817" s="40"/>
    </row>
    <row r="818" spans="1:107">
      <c r="B818" s="15" t="s">
        <v>1787</v>
      </c>
      <c r="C818" s="15"/>
      <c r="D818" s="15"/>
      <c r="E818" s="15"/>
      <c r="F818" s="15"/>
      <c r="G818" s="15"/>
      <c r="H818" s="15"/>
      <c r="I818" s="15"/>
      <c r="J818" s="15"/>
      <c r="K818" s="15"/>
      <c r="L818" s="15"/>
      <c r="M818" s="15"/>
      <c r="N818" s="15"/>
      <c r="O818" s="15"/>
      <c r="P818" s="15"/>
      <c r="Q818" s="15"/>
      <c r="R818" s="15"/>
      <c r="S818" s="15"/>
      <c r="T818" s="15"/>
      <c r="U818" s="15"/>
      <c r="V818" s="15"/>
      <c r="W818" s="15"/>
      <c r="X818" s="856"/>
      <c r="Y818" s="856"/>
      <c r="Z818" s="856"/>
      <c r="AA818" s="856"/>
      <c r="AB818" s="856"/>
      <c r="AC818" s="856"/>
      <c r="AD818" s="856"/>
      <c r="AE818" s="15"/>
      <c r="AF818" s="15"/>
      <c r="AG818" s="15"/>
      <c r="AH818" s="15"/>
      <c r="AI818" s="15"/>
      <c r="AJ818" s="15"/>
      <c r="AK818" s="15"/>
      <c r="AL818" s="15"/>
      <c r="AM818" s="15"/>
      <c r="AN818" s="15"/>
      <c r="AO818" s="15"/>
      <c r="AP818" s="15"/>
      <c r="AQ818" s="15"/>
      <c r="AR818" s="15"/>
      <c r="AS818" s="15"/>
      <c r="AT818" s="15"/>
      <c r="AU818" s="15"/>
      <c r="AV818" s="15"/>
      <c r="AW818" s="15"/>
      <c r="AX818" s="15"/>
      <c r="AY818" s="15"/>
      <c r="AZ818" s="15"/>
      <c r="BA818" s="15"/>
      <c r="BB818" s="15"/>
      <c r="BC818" s="15"/>
      <c r="BD818" s="15"/>
      <c r="BE818" s="15"/>
      <c r="BF818" s="15"/>
      <c r="BG818" s="15"/>
      <c r="BH818" s="15"/>
      <c r="BI818" s="15"/>
      <c r="BJ818" s="15"/>
      <c r="BK818" s="15"/>
      <c r="BL818" s="856">
        <f t="shared" ref="BL818:CB818" si="941">BL819+BL820</f>
        <v>21.731999159361905</v>
      </c>
      <c r="BM818" s="856">
        <f t="shared" si="941"/>
        <v>16.020706574449108</v>
      </c>
      <c r="BN818" s="856">
        <f t="shared" si="941"/>
        <v>13.565732104482523</v>
      </c>
      <c r="BO818" s="856">
        <f t="shared" si="941"/>
        <v>12.354075973266646</v>
      </c>
      <c r="BP818" s="856">
        <f t="shared" si="941"/>
        <v>11.330478305743686</v>
      </c>
      <c r="BQ818" s="856">
        <f t="shared" si="941"/>
        <v>17.437573631832514</v>
      </c>
      <c r="BR818" s="856">
        <f t="shared" si="941"/>
        <v>17.717379251086417</v>
      </c>
      <c r="BS818" s="856">
        <f t="shared" si="941"/>
        <v>16.406010000000002</v>
      </c>
      <c r="BT818" s="856">
        <f t="shared" si="941"/>
        <v>7.4684100000000146</v>
      </c>
      <c r="BU818" s="856">
        <f t="shared" si="941"/>
        <v>40.810887999999927</v>
      </c>
      <c r="BV818" s="856">
        <f t="shared" si="941"/>
        <v>32.304341000000072</v>
      </c>
      <c r="BW818" s="856">
        <f t="shared" si="941"/>
        <v>14.014733333333309</v>
      </c>
      <c r="BX818" s="856">
        <f t="shared" si="941"/>
        <v>20.153464000000032</v>
      </c>
      <c r="BY818" s="856">
        <f t="shared" si="941"/>
        <v>34.127917333333286</v>
      </c>
      <c r="BZ818" s="856">
        <f t="shared" si="941"/>
        <v>23.275253333333357</v>
      </c>
      <c r="CA818" s="856">
        <f t="shared" si="941"/>
        <v>16.397902666666653</v>
      </c>
      <c r="CB818" s="856">
        <f t="shared" si="941"/>
        <v>21.594119999999997</v>
      </c>
      <c r="CC818" s="856">
        <f t="shared" ref="CC818:CM818" si="942">CC819+CC820</f>
        <v>17.951546666666694</v>
      </c>
      <c r="CD818" s="856">
        <f t="shared" si="942"/>
        <v>31.058611666666629</v>
      </c>
      <c r="CE818" s="856">
        <f t="shared" si="942"/>
        <v>26.948819999999994</v>
      </c>
      <c r="CF818" s="856">
        <f t="shared" si="942"/>
        <v>17.650853999999971</v>
      </c>
      <c r="CG818" s="856">
        <f t="shared" si="942"/>
        <v>11.248176000000086</v>
      </c>
      <c r="CH818" s="856">
        <f t="shared" si="942"/>
        <v>17.933783333333345</v>
      </c>
      <c r="CI818" s="856">
        <f t="shared" si="942"/>
        <v>26.446672666666696</v>
      </c>
      <c r="CJ818" s="856">
        <f t="shared" si="942"/>
        <v>15.768126666666582</v>
      </c>
      <c r="CK818" s="856">
        <f t="shared" si="942"/>
        <v>29.585561333333374</v>
      </c>
      <c r="CL818" s="856">
        <f t="shared" si="942"/>
        <v>18.105719999999906</v>
      </c>
      <c r="CM818" s="856">
        <f t="shared" si="942"/>
        <v>20.978906666666706</v>
      </c>
      <c r="CN818" s="856">
        <f>CN819+CN820</f>
        <v>8.2016133333334107</v>
      </c>
      <c r="CO818" s="856">
        <f>CO819+CO820</f>
        <v>20.691941999999877</v>
      </c>
      <c r="CP818" s="856">
        <f>CP819+CP820</f>
        <v>24.207940000000086</v>
      </c>
      <c r="CQ818" s="856">
        <f>CQ819+CQ820</f>
        <v>44.309194333333217</v>
      </c>
      <c r="CR818" s="856">
        <f t="shared" ref="CR818:CX818" si="943">CR819+CR820</f>
        <v>116.05319466666683</v>
      </c>
      <c r="CS818" s="856">
        <f t="shared" si="943"/>
        <v>59.459563999999908</v>
      </c>
      <c r="CT818" s="856">
        <f t="shared" si="943"/>
        <v>30.913473333333346</v>
      </c>
      <c r="CU818" s="856">
        <f t="shared" si="943"/>
        <v>22.452048000000037</v>
      </c>
      <c r="CV818" s="856">
        <f>CV819+CV820</f>
        <v>14.327458666666828</v>
      </c>
      <c r="CW818" s="856">
        <f t="shared" si="943"/>
        <v>118.79551999999984</v>
      </c>
      <c r="CX818" s="856">
        <f t="shared" si="943"/>
        <v>86.728701333333234</v>
      </c>
      <c r="CY818" s="856">
        <f t="shared" ref="CY818" si="944">CY819+CY820</f>
        <v>41.552242000000028</v>
      </c>
      <c r="CZ818" s="856">
        <f t="shared" ref="CZ818:DC818" ca="1" si="945">CZ819+CZ820</f>
        <v>23.179893749276172</v>
      </c>
      <c r="DA818" s="856">
        <f t="shared" ca="1" si="945"/>
        <v>32.483521250062459</v>
      </c>
      <c r="DB818" s="856">
        <f t="shared" ca="1" si="945"/>
        <v>41.944920991747367</v>
      </c>
      <c r="DC818" s="856">
        <f t="shared" ca="1" si="945"/>
        <v>43.972467960738449</v>
      </c>
    </row>
    <row r="819" spans="1:107">
      <c r="B819" s="15" t="s">
        <v>1582</v>
      </c>
      <c r="C819" s="15"/>
      <c r="D819" s="15"/>
      <c r="E819" s="15"/>
      <c r="F819" s="15"/>
      <c r="G819" s="15"/>
      <c r="H819" s="15"/>
      <c r="I819" s="15"/>
      <c r="J819" s="15"/>
      <c r="K819" s="15"/>
      <c r="L819" s="15"/>
      <c r="M819" s="15"/>
      <c r="N819" s="15"/>
      <c r="O819" s="15"/>
      <c r="P819" s="772"/>
      <c r="Q819" s="15"/>
      <c r="R819" s="15"/>
      <c r="S819" s="15"/>
      <c r="T819" s="15"/>
      <c r="U819" s="15"/>
      <c r="V819" s="15"/>
      <c r="W819" s="15"/>
      <c r="X819" s="856">
        <f ca="1">W12*X813/12</f>
        <v>31.497803970607936</v>
      </c>
      <c r="Y819" s="856">
        <f ca="1">X12*Y813/12</f>
        <v>34.549665146564273</v>
      </c>
      <c r="Z819" s="856">
        <f ca="1">Y12*Z813/12</f>
        <v>37.436966218106868</v>
      </c>
      <c r="AA819" s="856">
        <f t="shared" ref="AA819:AD819" ca="1" si="946">Z12*AA813/12</f>
        <v>40.158799895918818</v>
      </c>
      <c r="AB819" s="856">
        <f t="shared" ca="1" si="946"/>
        <v>42.870429446291716</v>
      </c>
      <c r="AC819" s="856">
        <f t="shared" ca="1" si="946"/>
        <v>45.569943148554678</v>
      </c>
      <c r="AD819" s="856">
        <f t="shared" ca="1" si="946"/>
        <v>48.255818760070831</v>
      </c>
      <c r="AE819" s="15"/>
      <c r="AF819" s="15"/>
      <c r="AG819" s="15"/>
      <c r="AH819" s="15"/>
      <c r="AI819" s="15"/>
      <c r="AJ819" s="15"/>
      <c r="AK819" s="15"/>
      <c r="AL819" s="15"/>
      <c r="AM819" s="15"/>
      <c r="AN819" s="15"/>
      <c r="AO819" s="15"/>
      <c r="AP819" s="15"/>
      <c r="AQ819" s="15"/>
      <c r="AR819" s="15"/>
      <c r="AS819" s="15"/>
      <c r="AT819" s="15"/>
      <c r="AU819" s="15"/>
      <c r="AV819" s="15"/>
      <c r="AW819" s="15"/>
      <c r="AX819" s="15"/>
      <c r="AY819" s="15"/>
      <c r="AZ819" s="15"/>
      <c r="BA819" s="15"/>
      <c r="BB819" s="15"/>
      <c r="BC819" s="15"/>
      <c r="BD819" s="15"/>
      <c r="BE819" s="15"/>
      <c r="BF819" s="15"/>
      <c r="BG819" s="15"/>
      <c r="BH819" s="15"/>
      <c r="BI819" s="15"/>
      <c r="BJ819" s="15"/>
      <c r="BK819" s="15"/>
      <c r="BL819" s="856">
        <f t="shared" ref="BL819:BS819" si="947">BK12*BL813</f>
        <v>2.9509991593619009</v>
      </c>
      <c r="BM819" s="856">
        <f t="shared" si="947"/>
        <v>2.984706574449135</v>
      </c>
      <c r="BN819" s="856">
        <f t="shared" si="947"/>
        <v>3.4437321044825366</v>
      </c>
      <c r="BO819" s="856">
        <f t="shared" si="947"/>
        <v>3.0550759732666113</v>
      </c>
      <c r="BP819" s="856">
        <f t="shared" si="947"/>
        <v>2.8594783057436546</v>
      </c>
      <c r="BQ819" s="856">
        <f t="shared" si="947"/>
        <v>3.4115736318325589</v>
      </c>
      <c r="BR819" s="856">
        <f t="shared" si="947"/>
        <v>4.6963792510864018</v>
      </c>
      <c r="BS819" s="856">
        <f t="shared" si="947"/>
        <v>3.27501</v>
      </c>
      <c r="BT819" s="856">
        <f t="shared" ref="BT819:CY819" si="948">BS12*BT813/3</f>
        <v>1.6974099999999999</v>
      </c>
      <c r="BU819" s="856">
        <f t="shared" si="948"/>
        <v>1.8978880000000002</v>
      </c>
      <c r="BV819" s="856">
        <f t="shared" si="948"/>
        <v>2.4853409999999996</v>
      </c>
      <c r="BW819" s="856">
        <f t="shared" si="948"/>
        <v>2.5497333333333336</v>
      </c>
      <c r="BX819" s="856">
        <f t="shared" si="948"/>
        <v>2.5394640000000002</v>
      </c>
      <c r="BY819" s="856">
        <f t="shared" si="948"/>
        <v>1.7869173333333335</v>
      </c>
      <c r="BZ819" s="856">
        <f t="shared" si="948"/>
        <v>2.4492533333333335</v>
      </c>
      <c r="CA819" s="856">
        <f t="shared" si="948"/>
        <v>2.8469026666666664</v>
      </c>
      <c r="CB819" s="856">
        <f t="shared" si="948"/>
        <v>3.2141199999999999</v>
      </c>
      <c r="CC819" s="856">
        <f t="shared" si="948"/>
        <v>4.4815466666666666</v>
      </c>
      <c r="CD819" s="856">
        <f t="shared" si="948"/>
        <v>4.1916116666666667</v>
      </c>
      <c r="CE819" s="856">
        <f t="shared" si="948"/>
        <v>4.6048199999999992</v>
      </c>
      <c r="CF819" s="856">
        <f t="shared" si="948"/>
        <v>5.9548540000000001</v>
      </c>
      <c r="CG819" s="856">
        <f t="shared" si="948"/>
        <v>3.9561759999999997</v>
      </c>
      <c r="CH819" s="856">
        <f t="shared" si="948"/>
        <v>4.1817833333333336</v>
      </c>
      <c r="CI819" s="856">
        <f t="shared" si="948"/>
        <v>3.9526726666666669</v>
      </c>
      <c r="CJ819" s="856">
        <f t="shared" si="948"/>
        <v>4.1251266666666675</v>
      </c>
      <c r="CK819" s="856">
        <f t="shared" si="948"/>
        <v>5.1305613333333335</v>
      </c>
      <c r="CL819" s="856">
        <f t="shared" si="948"/>
        <v>3.8277199999999998</v>
      </c>
      <c r="CM819" s="856">
        <f t="shared" si="948"/>
        <v>3.9229066666666661</v>
      </c>
      <c r="CN819" s="856">
        <f t="shared" si="948"/>
        <v>4.0366133333333334</v>
      </c>
      <c r="CO819" s="856">
        <f t="shared" si="948"/>
        <v>3.6579420000000002</v>
      </c>
      <c r="CP819" s="856">
        <f t="shared" si="948"/>
        <v>4.1779399999999995</v>
      </c>
      <c r="CQ819" s="856">
        <f t="shared" si="948"/>
        <v>4.9581943333333331</v>
      </c>
      <c r="CR819" s="856">
        <f t="shared" si="948"/>
        <v>5.0311946666666651</v>
      </c>
      <c r="CS819" s="856">
        <f t="shared" si="948"/>
        <v>4.7825639999999998</v>
      </c>
      <c r="CT819" s="856">
        <f t="shared" si="948"/>
        <v>5.6784733333333328</v>
      </c>
      <c r="CU819" s="856">
        <f t="shared" si="948"/>
        <v>7.0160480000000005</v>
      </c>
      <c r="CV819" s="856">
        <f t="shared" si="948"/>
        <v>8.3294586666666675</v>
      </c>
      <c r="CW819" s="856">
        <f t="shared" si="948"/>
        <v>7.1875200000000019</v>
      </c>
      <c r="CX819" s="856">
        <f t="shared" si="948"/>
        <v>7.7437013333333331</v>
      </c>
      <c r="CY819" s="856">
        <f t="shared" si="948"/>
        <v>7.9862419999999981</v>
      </c>
      <c r="CZ819" s="856">
        <f t="shared" ref="CZ819" si="949">CY12*CZ813/3</f>
        <v>8.2323926666666658</v>
      </c>
      <c r="DA819" s="856">
        <f t="shared" ref="DA819" ca="1" si="950">CZ12*DA813/3</f>
        <v>8.3420076746058012</v>
      </c>
      <c r="DB819" s="856">
        <f t="shared" ref="DB819" ca="1" si="951">DA12*DB813/3</f>
        <v>8.5190454408258187</v>
      </c>
      <c r="DC819" s="856">
        <f t="shared" ref="DC819" ca="1" si="952">DB12*DC813/3</f>
        <v>8.7641685281992423</v>
      </c>
    </row>
    <row r="820" spans="1:107">
      <c r="B820" s="15" t="s">
        <v>1583</v>
      </c>
      <c r="C820" s="15"/>
      <c r="D820" s="15"/>
      <c r="E820" s="15"/>
      <c r="F820" s="15"/>
      <c r="G820" s="15"/>
      <c r="H820" s="15"/>
      <c r="I820" s="15"/>
      <c r="J820" s="15"/>
      <c r="K820" s="15"/>
      <c r="L820" s="15"/>
      <c r="M820" s="15"/>
      <c r="N820" s="15"/>
      <c r="O820" s="15"/>
      <c r="P820" s="15"/>
      <c r="Q820" s="15"/>
      <c r="R820" s="15"/>
      <c r="S820" s="15"/>
      <c r="T820" s="15"/>
      <c r="U820" s="15"/>
      <c r="V820" s="15"/>
      <c r="W820" s="15"/>
      <c r="X820" s="856"/>
      <c r="Y820" s="856"/>
      <c r="Z820" s="856"/>
      <c r="AA820" s="856"/>
      <c r="AB820" s="856"/>
      <c r="AC820" s="856"/>
      <c r="AD820" s="856"/>
      <c r="AE820" s="15"/>
      <c r="AF820" s="15"/>
      <c r="AG820" s="15"/>
      <c r="AH820" s="15"/>
      <c r="AI820" s="15"/>
      <c r="AJ820" s="15"/>
      <c r="AK820" s="15"/>
      <c r="AL820" s="15"/>
      <c r="AM820" s="15"/>
      <c r="AN820" s="15"/>
      <c r="AO820" s="15"/>
      <c r="AP820" s="15"/>
      <c r="AQ820" s="15"/>
      <c r="AR820" s="15"/>
      <c r="AS820" s="15"/>
      <c r="AT820" s="15"/>
      <c r="AU820" s="15"/>
      <c r="AV820" s="15"/>
      <c r="AW820" s="15"/>
      <c r="AX820" s="15"/>
      <c r="AY820" s="15"/>
      <c r="AZ820" s="15"/>
      <c r="BA820" s="15"/>
      <c r="BB820" s="15"/>
      <c r="BC820" s="15"/>
      <c r="BD820" s="15"/>
      <c r="BE820" s="15"/>
      <c r="BF820" s="15"/>
      <c r="BG820" s="15"/>
      <c r="BH820" s="15"/>
      <c r="BI820" s="15"/>
      <c r="BJ820" s="15"/>
      <c r="BK820" s="15"/>
      <c r="BL820" s="856">
        <f t="shared" ref="BL820:CY820" si="953">BL12-BK12</f>
        <v>18.781000000000006</v>
      </c>
      <c r="BM820" s="856">
        <f t="shared" si="953"/>
        <v>13.035999999999973</v>
      </c>
      <c r="BN820" s="856">
        <f t="shared" si="953"/>
        <v>10.121999999999986</v>
      </c>
      <c r="BO820" s="856">
        <f t="shared" si="953"/>
        <v>9.299000000000035</v>
      </c>
      <c r="BP820" s="856">
        <f t="shared" si="953"/>
        <v>8.4710000000000321</v>
      </c>
      <c r="BQ820" s="856">
        <f t="shared" si="953"/>
        <v>14.025999999999954</v>
      </c>
      <c r="BR820" s="856">
        <f t="shared" si="953"/>
        <v>13.021000000000015</v>
      </c>
      <c r="BS820" s="856">
        <f t="shared" si="953"/>
        <v>13.131</v>
      </c>
      <c r="BT820" s="856">
        <f t="shared" si="953"/>
        <v>5.771000000000015</v>
      </c>
      <c r="BU820" s="856">
        <f t="shared" si="953"/>
        <v>38.912999999999926</v>
      </c>
      <c r="BV820" s="856">
        <f t="shared" si="953"/>
        <v>29.819000000000074</v>
      </c>
      <c r="BW820" s="856">
        <f t="shared" si="953"/>
        <v>11.464999999999975</v>
      </c>
      <c r="BX820" s="856">
        <f t="shared" si="953"/>
        <v>17.614000000000033</v>
      </c>
      <c r="BY820" s="856">
        <f t="shared" si="953"/>
        <v>32.340999999999951</v>
      </c>
      <c r="BZ820" s="856">
        <f t="shared" si="953"/>
        <v>20.826000000000022</v>
      </c>
      <c r="CA820" s="856">
        <f t="shared" si="953"/>
        <v>13.550999999999988</v>
      </c>
      <c r="CB820" s="856">
        <f t="shared" si="953"/>
        <v>18.379999999999995</v>
      </c>
      <c r="CC820" s="856">
        <f t="shared" si="953"/>
        <v>13.470000000000027</v>
      </c>
      <c r="CD820" s="856">
        <f t="shared" si="953"/>
        <v>26.866999999999962</v>
      </c>
      <c r="CE820" s="856">
        <f t="shared" si="953"/>
        <v>22.343999999999994</v>
      </c>
      <c r="CF820" s="856">
        <f t="shared" si="953"/>
        <v>11.69599999999997</v>
      </c>
      <c r="CG820" s="856">
        <f t="shared" si="953"/>
        <v>7.2920000000000869</v>
      </c>
      <c r="CH820" s="856">
        <f t="shared" si="953"/>
        <v>13.75200000000001</v>
      </c>
      <c r="CI820" s="856">
        <f t="shared" si="953"/>
        <v>22.494000000000028</v>
      </c>
      <c r="CJ820" s="856">
        <f t="shared" si="953"/>
        <v>11.642999999999915</v>
      </c>
      <c r="CK820" s="856">
        <f t="shared" si="953"/>
        <v>24.455000000000041</v>
      </c>
      <c r="CL820" s="856">
        <f t="shared" si="953"/>
        <v>14.277999999999906</v>
      </c>
      <c r="CM820" s="856">
        <f t="shared" si="953"/>
        <v>17.05600000000004</v>
      </c>
      <c r="CN820" s="856">
        <f t="shared" si="953"/>
        <v>4.1650000000000773</v>
      </c>
      <c r="CO820" s="856">
        <f t="shared" si="953"/>
        <v>17.033999999999878</v>
      </c>
      <c r="CP820" s="856">
        <f t="shared" si="953"/>
        <v>20.030000000000086</v>
      </c>
      <c r="CQ820" s="856">
        <f t="shared" si="953"/>
        <v>39.350999999999885</v>
      </c>
      <c r="CR820" s="856">
        <f t="shared" si="953"/>
        <v>111.02200000000016</v>
      </c>
      <c r="CS820" s="856">
        <f t="shared" si="953"/>
        <v>54.676999999999907</v>
      </c>
      <c r="CT820" s="856">
        <f t="shared" si="953"/>
        <v>25.235000000000014</v>
      </c>
      <c r="CU820" s="856">
        <f t="shared" si="953"/>
        <v>15.436000000000035</v>
      </c>
      <c r="CV820" s="856">
        <f t="shared" si="953"/>
        <v>5.998000000000161</v>
      </c>
      <c r="CW820" s="856">
        <f t="shared" si="953"/>
        <v>111.60799999999983</v>
      </c>
      <c r="CX820" s="856">
        <f t="shared" si="953"/>
        <v>78.9849999999999</v>
      </c>
      <c r="CY820" s="856">
        <f t="shared" si="953"/>
        <v>33.566000000000031</v>
      </c>
      <c r="CZ820" s="856">
        <f t="shared" ref="CZ820" ca="1" si="954">CZ12-CY12</f>
        <v>14.947501082609506</v>
      </c>
      <c r="DA820" s="856">
        <f t="shared" ref="DA820" ca="1" si="955">DA12-CZ12</f>
        <v>24.141513575456656</v>
      </c>
      <c r="DB820" s="856">
        <f t="shared" ref="DB820" ca="1" si="956">DB12-DA12</f>
        <v>33.425875550921546</v>
      </c>
      <c r="DC820" s="856">
        <f t="shared" ref="DC820" ca="1" si="957">DC12-DB12</f>
        <v>35.208299432539206</v>
      </c>
    </row>
    <row r="821" spans="1:107">
      <c r="B821" s="15"/>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c r="AA821" s="15"/>
      <c r="AB821" s="15"/>
      <c r="AC821" s="15"/>
      <c r="AD821" s="15"/>
      <c r="AE821" s="15"/>
      <c r="AF821" s="15"/>
      <c r="AG821" s="15"/>
      <c r="AH821" s="15"/>
      <c r="AI821" s="15"/>
      <c r="AJ821" s="15"/>
      <c r="AK821" s="15"/>
      <c r="AL821" s="15"/>
      <c r="AM821" s="15"/>
      <c r="AN821" s="15"/>
      <c r="AO821" s="15"/>
      <c r="AP821" s="15"/>
      <c r="AQ821" s="15"/>
      <c r="AR821" s="15"/>
      <c r="AS821" s="15"/>
      <c r="AT821" s="15"/>
      <c r="AU821" s="15"/>
      <c r="AV821" s="15"/>
      <c r="AW821" s="15"/>
      <c r="AX821" s="15"/>
      <c r="AY821" s="15"/>
      <c r="AZ821" s="15"/>
      <c r="BA821" s="15"/>
      <c r="BB821" s="15"/>
      <c r="BC821" s="15"/>
      <c r="BD821" s="15"/>
      <c r="BE821" s="15"/>
      <c r="BF821" s="15"/>
      <c r="BG821" s="15"/>
      <c r="BH821" s="15"/>
      <c r="BI821" s="15"/>
      <c r="BJ821" s="15"/>
      <c r="BK821" s="15"/>
      <c r="BL821" s="856"/>
      <c r="BM821" s="856"/>
      <c r="BN821" s="856"/>
      <c r="BO821" s="856"/>
      <c r="BP821" s="856"/>
      <c r="BQ821" s="856"/>
      <c r="BR821" s="856"/>
      <c r="BS821" s="856"/>
      <c r="BT821" s="856"/>
      <c r="BU821" s="856"/>
      <c r="BV821" s="856"/>
      <c r="BW821" s="856"/>
      <c r="BX821" s="856"/>
      <c r="BY821" s="856"/>
      <c r="BZ821" s="856"/>
      <c r="CA821" s="856"/>
      <c r="CB821" s="856"/>
      <c r="CC821" s="856"/>
      <c r="CD821" s="856"/>
      <c r="CE821" s="856"/>
      <c r="CF821" s="856"/>
      <c r="CG821" s="856"/>
      <c r="CH821" s="856"/>
      <c r="CI821" s="856"/>
      <c r="CJ821" s="856"/>
      <c r="CK821" s="856"/>
      <c r="CL821" s="856"/>
      <c r="CM821" s="856"/>
      <c r="CN821" s="856"/>
      <c r="CO821" s="856"/>
      <c r="CP821" s="856"/>
      <c r="CQ821" s="856"/>
      <c r="CR821" s="856"/>
      <c r="CS821" s="856"/>
      <c r="CT821" s="856"/>
      <c r="CU821" s="856"/>
      <c r="CV821" s="856"/>
      <c r="CW821" s="856"/>
      <c r="CX821" s="856"/>
      <c r="CY821" s="856"/>
      <c r="CZ821" s="856"/>
      <c r="DA821" s="856"/>
      <c r="DB821" s="856"/>
      <c r="DC821" s="856"/>
    </row>
    <row r="822" spans="1:107">
      <c r="B822" s="15" t="s">
        <v>1752</v>
      </c>
      <c r="C822" s="15"/>
      <c r="D822" s="15"/>
      <c r="E822" s="15"/>
      <c r="F822" s="15"/>
      <c r="G822" s="15"/>
      <c r="H822" s="15"/>
      <c r="I822" s="15"/>
      <c r="J822" s="15"/>
      <c r="K822" s="15"/>
      <c r="L822" s="15"/>
      <c r="M822" s="15"/>
      <c r="N822" s="15"/>
      <c r="O822" s="1479">
        <f t="shared" ref="O822:T822" si="958">+O12/12/(AVERAGE(N697:O697))*1000000</f>
        <v>1571.1707079753651</v>
      </c>
      <c r="P822" s="1479">
        <f t="shared" si="958"/>
        <v>1824.9131817070188</v>
      </c>
      <c r="Q822" s="1479">
        <f t="shared" si="958"/>
        <v>1939.8402417962002</v>
      </c>
      <c r="R822" s="1479">
        <f t="shared" si="958"/>
        <v>1996.8458990843562</v>
      </c>
      <c r="S822" s="1479">
        <f t="shared" si="958"/>
        <v>2058.0616231575209</v>
      </c>
      <c r="T822" s="1479">
        <f t="shared" si="958"/>
        <v>2016.9108180248079</v>
      </c>
      <c r="U822" s="2317">
        <f t="shared" ref="U822:Z822" si="959">+(U30-U13)/12/(AVERAGE(T697:U697))*1000000</f>
        <v>1764.2401327923276</v>
      </c>
      <c r="V822" s="2317">
        <f t="shared" si="959"/>
        <v>1778.4491725768321</v>
      </c>
      <c r="W822" s="2317">
        <f t="shared" ca="1" si="959"/>
        <v>1908.129632991875</v>
      </c>
      <c r="X822" s="2317">
        <f t="shared" ca="1" si="959"/>
        <v>1929.3535692499306</v>
      </c>
      <c r="Y822" s="2317">
        <f t="shared" ca="1" si="959"/>
        <v>1939.1172194349822</v>
      </c>
      <c r="Z822" s="2317">
        <f t="shared" ca="1" si="959"/>
        <v>1945.2089936684372</v>
      </c>
      <c r="AA822" s="2317">
        <f t="shared" ref="AA822" ca="1" si="960">+(AA30-AA13)/12/(AVERAGE(Z697:AA697))*1000000</f>
        <v>1949.9143871094775</v>
      </c>
      <c r="AB822" s="2317">
        <f t="shared" ref="AB822" ca="1" si="961">+(AB30-AB13)/12/(AVERAGE(AA697:AB697))*1000000</f>
        <v>1953.3846397958594</v>
      </c>
      <c r="AC822" s="2317">
        <f t="shared" ref="AC822" ca="1" si="962">+(AC30-AC13)/12/(AVERAGE(AB697:AC697))*1000000</f>
        <v>1955.754080408793</v>
      </c>
      <c r="AD822" s="2317">
        <f t="shared" ref="AD822" ca="1" si="963">+(AD30-AD13)/12/(AVERAGE(AC697:AD697))*1000000</f>
        <v>1957.1396612828394</v>
      </c>
      <c r="AE822" s="15"/>
      <c r="AF822" s="15"/>
      <c r="AG822" s="15"/>
      <c r="AH822" s="15"/>
      <c r="AI822" s="15"/>
      <c r="AJ822" s="15"/>
      <c r="AK822" s="15"/>
      <c r="AL822" s="15"/>
      <c r="AM822" s="15"/>
      <c r="AN822" s="15"/>
      <c r="AO822" s="15"/>
      <c r="AP822" s="15"/>
      <c r="AQ822" s="15"/>
      <c r="AR822" s="15"/>
      <c r="AS822" s="15"/>
      <c r="AT822" s="15"/>
      <c r="AU822" s="15"/>
      <c r="AV822" s="15"/>
      <c r="AW822" s="15"/>
      <c r="AX822" s="15"/>
      <c r="AY822" s="15"/>
      <c r="AZ822" s="15"/>
      <c r="BA822" s="15"/>
      <c r="BB822" s="15"/>
      <c r="BC822" s="15"/>
      <c r="BD822" s="15"/>
      <c r="BE822" s="15"/>
      <c r="BF822" s="15"/>
      <c r="BG822" s="15"/>
      <c r="BH822" s="15"/>
      <c r="BI822" s="15"/>
      <c r="BJ822" s="15"/>
      <c r="BK822" s="15"/>
      <c r="BL822" s="15"/>
      <c r="BM822" s="15"/>
      <c r="BN822" s="15"/>
      <c r="BO822" s="15"/>
      <c r="BP822" s="15"/>
      <c r="BQ822" s="15"/>
      <c r="BR822" s="15"/>
      <c r="BS822" s="15"/>
      <c r="BT822" s="1479">
        <f t="shared" ref="BT822:CQ822" si="964">+BT12/3/(AVERAGE(BS697:BT697))*1000000</f>
        <v>1390.9077051160284</v>
      </c>
      <c r="BU822" s="1479">
        <f t="shared" si="964"/>
        <v>1555.9443317556904</v>
      </c>
      <c r="BV822" s="1479">
        <f t="shared" si="964"/>
        <v>1662.4178212442271</v>
      </c>
      <c r="BW822" s="1479">
        <f t="shared" si="964"/>
        <v>1684.8885350318469</v>
      </c>
      <c r="BX822" s="1479">
        <f t="shared" si="964"/>
        <v>1705.0737913486007</v>
      </c>
      <c r="BY822" s="1479">
        <f t="shared" si="964"/>
        <v>1793.0112249877989</v>
      </c>
      <c r="BZ822" s="1479">
        <f t="shared" si="964"/>
        <v>1844.6851983844142</v>
      </c>
      <c r="CA822" s="1479">
        <f t="shared" si="964"/>
        <v>1870.4143389199253</v>
      </c>
      <c r="CB822" s="1479">
        <f t="shared" si="964"/>
        <v>1913.2285974499086</v>
      </c>
      <c r="CC822" s="1479">
        <f t="shared" si="964"/>
        <v>1938.810641627543</v>
      </c>
      <c r="CD822" s="1479">
        <f t="shared" si="964"/>
        <v>1988.2642487046633</v>
      </c>
      <c r="CE822" s="1479">
        <f t="shared" si="964"/>
        <v>1995.5610663360194</v>
      </c>
      <c r="CF822" s="1479">
        <f t="shared" si="964"/>
        <v>1993.2365981459084</v>
      </c>
      <c r="CG822" s="1479">
        <f t="shared" si="964"/>
        <v>1990.1407892127702</v>
      </c>
      <c r="CH822" s="1479">
        <f t="shared" si="964"/>
        <v>2000.6441598758247</v>
      </c>
      <c r="CI822" s="1479">
        <f t="shared" si="964"/>
        <v>2035.7926598562242</v>
      </c>
      <c r="CJ822" s="1479">
        <f t="shared" si="964"/>
        <v>2033.6773954864962</v>
      </c>
      <c r="CK822" s="1479">
        <f t="shared" si="964"/>
        <v>2079.1526344378058</v>
      </c>
      <c r="CL822" s="1479">
        <f t="shared" si="964"/>
        <v>2067.9529081005094</v>
      </c>
      <c r="CM822" s="1479">
        <f t="shared" si="964"/>
        <v>2066.8783068783064</v>
      </c>
      <c r="CN822" s="1479">
        <f t="shared" si="964"/>
        <v>2030.1598401598403</v>
      </c>
      <c r="CO822" s="1479">
        <f t="shared" si="964"/>
        <v>2018.3285024154584</v>
      </c>
      <c r="CP822" s="1479">
        <f t="shared" si="964"/>
        <v>2000.6836813611753</v>
      </c>
      <c r="CQ822" s="1479">
        <f t="shared" si="964"/>
        <v>2043.7056896038127</v>
      </c>
      <c r="CR822" s="2317">
        <f>+(CR30-CR13)/3/(AVERAGE(CQ697:CR697))*1000000</f>
        <v>1976.1001893111984</v>
      </c>
      <c r="CS822" s="2317">
        <f>+(CS30-CS13)/3/(AVERAGE(CR697:CS697))*1000000</f>
        <v>2017.6037655113389</v>
      </c>
      <c r="CT822" s="2317">
        <f>+(CT30-CT13)/3/(AVERAGE(CS697:CT697))*1000000</f>
        <v>2028.6397109906904</v>
      </c>
      <c r="CU822" s="2317">
        <f>+CU12/3/(AVERAGE(CU697:CU697))*1000000</f>
        <v>1889.9661160525202</v>
      </c>
      <c r="CV822" s="1479">
        <f>+CV12/3/(AVERAGE(CU697:CV697))*1000000</f>
        <v>1890.6565656565663</v>
      </c>
      <c r="CW822" s="2317">
        <f>+(CW12-CW284)/3/(AVERAGE(CV697:CW697))*1000000</f>
        <v>1913.4763236970264</v>
      </c>
      <c r="CX822" s="2317">
        <f>+(CX12-CX284)/3/(AVERAGE(CW697:CX697))*1000000</f>
        <v>1928.5586954319861</v>
      </c>
      <c r="CY822" s="2317">
        <f>+(CY12-CY284)/3/(AVERAGE(CX697:CY697))*1000000</f>
        <v>1819.2852537533388</v>
      </c>
      <c r="CZ822" s="2317">
        <f t="shared" ref="CZ822:DC822" ca="1" si="965">+(CZ12-CZ284)/3/(AVERAGE(CY697:CZ697))*1000000</f>
        <v>1931.959693678207</v>
      </c>
      <c r="DA822" s="2317">
        <f t="shared" ca="1" si="965"/>
        <v>1938.9069068512022</v>
      </c>
      <c r="DB822" s="2317">
        <f t="shared" ca="1" si="965"/>
        <v>1948.1126490813688</v>
      </c>
      <c r="DC822" s="2317">
        <f t="shared" ca="1" si="965"/>
        <v>1958.0714051009172</v>
      </c>
    </row>
    <row r="823" spans="1:107" s="23" customFormat="1">
      <c r="A823" s="1163"/>
      <c r="B823" s="2344" t="s">
        <v>303</v>
      </c>
      <c r="C823" s="123"/>
      <c r="D823" s="123"/>
      <c r="E823" s="123"/>
      <c r="F823" s="123"/>
      <c r="G823" s="123"/>
      <c r="H823" s="123"/>
      <c r="I823" s="123"/>
      <c r="J823" s="123"/>
      <c r="K823" s="123"/>
      <c r="L823" s="123"/>
      <c r="M823" s="123"/>
      <c r="N823" s="125"/>
      <c r="O823" s="125"/>
      <c r="P823" s="1719"/>
      <c r="Q823" s="1719">
        <f t="shared" ref="Q823:Z823" si="966">+Q822/P822-1</f>
        <v>6.2976727463647908E-2</v>
      </c>
      <c r="R823" s="1719">
        <f t="shared" si="966"/>
        <v>2.9386779416108677E-2</v>
      </c>
      <c r="S823" s="1719">
        <f t="shared" si="966"/>
        <v>3.0656208424112652E-2</v>
      </c>
      <c r="T823" s="1719">
        <f t="shared" si="966"/>
        <v>-1.9994933421662364E-2</v>
      </c>
      <c r="U823" s="1719">
        <f t="shared" si="966"/>
        <v>-0.12527608210259122</v>
      </c>
      <c r="V823" s="1719">
        <f t="shared" si="966"/>
        <v>8.0539148386877812E-3</v>
      </c>
      <c r="W823" s="1719">
        <f t="shared" ca="1" si="966"/>
        <v>7.2917720908012296E-2</v>
      </c>
      <c r="X823" s="1719">
        <f t="shared" ca="1" si="966"/>
        <v>1.1122900609628505E-2</v>
      </c>
      <c r="Y823" s="1719">
        <f t="shared" ca="1" si="966"/>
        <v>5.0605810882280444E-3</v>
      </c>
      <c r="Z823" s="1719">
        <f t="shared" ca="1" si="966"/>
        <v>3.1415193328179214E-3</v>
      </c>
      <c r="AA823" s="1719">
        <f t="shared" ref="AA823" ca="1" si="967">+AA822/Z822-1</f>
        <v>2.4189654974637875E-3</v>
      </c>
      <c r="AB823" s="1719">
        <f t="shared" ref="AB823" ca="1" si="968">+AB822/AA822-1</f>
        <v>1.779694898054629E-3</v>
      </c>
      <c r="AC823" s="1719">
        <f t="shared" ref="AC823" ca="1" si="969">+AC822/AB822-1</f>
        <v>1.2129923439867518E-3</v>
      </c>
      <c r="AD823" s="1719">
        <f t="shared" ref="AD823" ca="1" si="970">+AD822/AC822-1</f>
        <v>7.0846375212818558E-4</v>
      </c>
      <c r="AE823" s="123"/>
      <c r="AF823" s="120"/>
      <c r="AG823" s="120"/>
      <c r="AH823" s="120"/>
      <c r="AI823" s="120"/>
      <c r="AJ823" s="120"/>
      <c r="AK823" s="120"/>
      <c r="AL823" s="120"/>
      <c r="AM823" s="120"/>
      <c r="AN823" s="120"/>
      <c r="AO823" s="120"/>
      <c r="AP823" s="120"/>
      <c r="AQ823" s="120"/>
      <c r="AR823" s="120"/>
      <c r="AS823" s="120"/>
      <c r="AT823" s="120"/>
      <c r="AU823" s="120"/>
      <c r="AV823" s="120"/>
      <c r="AW823" s="120"/>
      <c r="AX823" s="120"/>
      <c r="AY823" s="120"/>
      <c r="AZ823" s="120"/>
      <c r="BA823" s="120"/>
      <c r="BB823" s="120"/>
      <c r="BC823" s="120"/>
      <c r="BD823" s="835"/>
      <c r="BE823" s="835"/>
      <c r="BF823" s="835"/>
      <c r="BG823" s="835"/>
      <c r="BH823" s="835"/>
      <c r="BI823" s="836"/>
      <c r="BJ823" s="2345"/>
      <c r="BK823" s="2345"/>
      <c r="BL823" s="2345"/>
      <c r="BM823" s="2345"/>
      <c r="BN823" s="2345"/>
      <c r="BO823" s="2345"/>
      <c r="BP823" s="2345"/>
      <c r="BQ823" s="125"/>
      <c r="BR823" s="125"/>
      <c r="BS823" s="125"/>
      <c r="BT823" s="125"/>
      <c r="BU823" s="125"/>
      <c r="BV823" s="125"/>
      <c r="BW823" s="125"/>
      <c r="BX823" s="125"/>
      <c r="BY823" s="125"/>
      <c r="BZ823" s="125"/>
      <c r="CA823" s="125"/>
      <c r="CB823" s="125"/>
      <c r="CC823" s="125"/>
      <c r="CD823" s="125"/>
      <c r="CE823" s="125"/>
      <c r="CF823" s="1719">
        <f t="shared" ref="CF823:CV823" si="971">+CF822/CE822-1</f>
        <v>-1.1648193730191547E-3</v>
      </c>
      <c r="CG823" s="1719">
        <f t="shared" si="971"/>
        <v>-1.5531567782860467E-3</v>
      </c>
      <c r="CH823" s="1719">
        <f t="shared" si="971"/>
        <v>5.2777023213566032E-3</v>
      </c>
      <c r="CI823" s="1719">
        <f t="shared" si="971"/>
        <v>1.7568591499340425E-2</v>
      </c>
      <c r="CJ823" s="1719">
        <f t="shared" si="971"/>
        <v>-1.0390372317569119E-3</v>
      </c>
      <c r="CK823" s="1719">
        <f t="shared" si="971"/>
        <v>2.2361087875705676E-2</v>
      </c>
      <c r="CL823" s="1719">
        <f t="shared" si="971"/>
        <v>-5.3866782802719504E-3</v>
      </c>
      <c r="CM823" s="1719">
        <f t="shared" si="971"/>
        <v>-5.1964491937583901E-4</v>
      </c>
      <c r="CN823" s="1719">
        <f t="shared" si="971"/>
        <v>-1.7765180754121701E-2</v>
      </c>
      <c r="CO823" s="1719">
        <f t="shared" si="971"/>
        <v>-5.8277863202389479E-3</v>
      </c>
      <c r="CP823" s="1719">
        <f t="shared" si="971"/>
        <v>-8.7422939492587393E-3</v>
      </c>
      <c r="CQ823" s="1719">
        <f t="shared" si="971"/>
        <v>2.1503653297840319E-2</v>
      </c>
      <c r="CR823" s="1719">
        <f t="shared" si="971"/>
        <v>-3.3079861076141581E-2</v>
      </c>
      <c r="CS823" s="1719">
        <f t="shared" si="971"/>
        <v>2.100276920402866E-2</v>
      </c>
      <c r="CT823" s="1719">
        <f t="shared" si="971"/>
        <v>5.4698279553193618E-3</v>
      </c>
      <c r="CU823" s="1719">
        <f t="shared" si="971"/>
        <v>-6.8357921905437213E-2</v>
      </c>
      <c r="CV823" s="1719">
        <f t="shared" si="971"/>
        <v>3.6532380034848266E-4</v>
      </c>
      <c r="CW823" s="1719">
        <f>+CW822/CV822-1</f>
        <v>1.2069753150824258E-2</v>
      </c>
      <c r="CX823" s="1719">
        <f>+CX822/CW822-1</f>
        <v>7.8821836195073214E-3</v>
      </c>
      <c r="CY823" s="1719">
        <f>+CY822/CX822-1</f>
        <v>-5.6660677187307829E-2</v>
      </c>
      <c r="CZ823" s="1719">
        <f t="shared" ref="CZ823:DC823" ca="1" si="972">+CZ822/CY822-1</f>
        <v>6.1933355251690969E-2</v>
      </c>
      <c r="DA823" s="1719">
        <f t="shared" ca="1" si="972"/>
        <v>3.5959410518386914E-3</v>
      </c>
      <c r="DB823" s="1719">
        <f t="shared" ca="1" si="972"/>
        <v>4.7479031600938804E-3</v>
      </c>
      <c r="DC823" s="1719">
        <f t="shared" ca="1" si="972"/>
        <v>5.1120021340882449E-3</v>
      </c>
    </row>
    <row r="824" spans="1:107">
      <c r="B824" s="15"/>
      <c r="C824" s="15"/>
      <c r="D824" s="15"/>
      <c r="E824" s="15"/>
      <c r="F824" s="15"/>
      <c r="G824" s="15"/>
      <c r="H824" s="15"/>
      <c r="I824" s="15"/>
      <c r="J824" s="15"/>
      <c r="K824" s="15"/>
      <c r="L824" s="15"/>
      <c r="M824" s="15"/>
      <c r="N824" s="15"/>
      <c r="O824" s="15"/>
      <c r="P824" s="15"/>
      <c r="Q824" s="15"/>
      <c r="R824" s="15"/>
      <c r="S824" s="15"/>
      <c r="T824" s="15"/>
      <c r="U824" s="15"/>
      <c r="V824" s="15"/>
      <c r="W824" s="15"/>
      <c r="X824" s="15"/>
      <c r="Y824" s="15"/>
      <c r="Z824" s="15"/>
      <c r="AA824" s="15"/>
      <c r="AB824" s="15"/>
      <c r="AC824" s="15"/>
      <c r="AD824" s="15"/>
      <c r="AE824" s="15"/>
      <c r="AF824" s="15"/>
      <c r="AG824" s="15"/>
      <c r="AH824" s="15"/>
      <c r="AI824" s="15"/>
      <c r="AJ824" s="15"/>
      <c r="AK824" s="15"/>
      <c r="AL824" s="15"/>
      <c r="AM824" s="15"/>
      <c r="AN824" s="15"/>
      <c r="AO824" s="15"/>
      <c r="AP824" s="15"/>
      <c r="AQ824" s="15"/>
      <c r="AR824" s="15"/>
      <c r="AS824" s="15"/>
      <c r="AT824" s="15"/>
      <c r="AU824" s="15"/>
      <c r="AV824" s="15"/>
      <c r="AW824" s="15"/>
      <c r="AX824" s="15"/>
      <c r="AY824" s="15"/>
      <c r="AZ824" s="15"/>
      <c r="BA824" s="15"/>
      <c r="BB824" s="15"/>
      <c r="BC824" s="15"/>
      <c r="BD824" s="15"/>
      <c r="BE824" s="15"/>
      <c r="BF824" s="15"/>
      <c r="BG824" s="15"/>
      <c r="BH824" s="15"/>
      <c r="BI824" s="15"/>
      <c r="BJ824" s="15"/>
      <c r="BK824" s="15"/>
      <c r="BL824" s="15"/>
      <c r="BM824" s="15"/>
      <c r="BN824" s="15"/>
      <c r="BO824" s="15"/>
      <c r="BP824" s="15"/>
      <c r="BQ824" s="15"/>
      <c r="BR824" s="15"/>
      <c r="BS824" s="15"/>
      <c r="BT824" s="15"/>
      <c r="BU824" s="26"/>
      <c r="BV824" s="15"/>
      <c r="BW824" s="15"/>
      <c r="BX824" s="15"/>
      <c r="BY824" s="15"/>
      <c r="BZ824" s="15"/>
      <c r="CA824" s="15"/>
      <c r="CB824" s="15"/>
      <c r="CC824" s="15"/>
      <c r="CD824" s="15"/>
      <c r="CE824" s="15"/>
      <c r="CF824" s="15"/>
      <c r="CG824" s="15"/>
      <c r="CH824" s="15"/>
      <c r="CI824" s="15"/>
      <c r="CJ824" s="15"/>
      <c r="CK824" s="15"/>
      <c r="CL824" s="15"/>
      <c r="CM824" s="15"/>
      <c r="CN824" s="15"/>
      <c r="CO824" s="15"/>
      <c r="CP824" s="15"/>
      <c r="CQ824" s="15"/>
      <c r="CR824" s="15"/>
      <c r="CS824" s="15"/>
      <c r="CT824" s="15"/>
      <c r="CU824" s="15"/>
      <c r="CV824" s="15"/>
      <c r="CW824" s="15"/>
      <c r="CX824" s="15"/>
      <c r="CY824" s="15"/>
      <c r="CZ824" s="15"/>
      <c r="DA824" s="15"/>
      <c r="DB824" s="15"/>
      <c r="DC824" s="15"/>
    </row>
    <row r="825" spans="1:107">
      <c r="B825" s="15" t="s">
        <v>1311</v>
      </c>
      <c r="E825" s="1081">
        <f>+E376+E508+E678</f>
        <v>0</v>
      </c>
      <c r="F825" s="1081">
        <f>+F376+F508+F678</f>
        <v>0</v>
      </c>
      <c r="G825" s="1081">
        <f>+G376+G508+G678</f>
        <v>0</v>
      </c>
      <c r="H825" s="1081">
        <f>+H376+H508+H678</f>
        <v>0</v>
      </c>
      <c r="I825" s="1081"/>
      <c r="J825" s="1081"/>
      <c r="K825" s="1081"/>
      <c r="L825" s="1081"/>
      <c r="M825" s="1081"/>
      <c r="N825" s="1081">
        <f t="shared" ref="N825:Z825" si="973">+N376+N508+N678</f>
        <v>21087</v>
      </c>
      <c r="O825" s="1081">
        <f t="shared" si="973"/>
        <v>83489</v>
      </c>
      <c r="P825" s="1081">
        <f t="shared" si="973"/>
        <v>94578</v>
      </c>
      <c r="Q825" s="1081">
        <f t="shared" si="973"/>
        <v>114100</v>
      </c>
      <c r="R825" s="1081">
        <f t="shared" si="973"/>
        <v>128300</v>
      </c>
      <c r="S825" s="1081">
        <f t="shared" si="973"/>
        <v>145100</v>
      </c>
      <c r="T825" s="1081">
        <f t="shared" si="973"/>
        <v>171200</v>
      </c>
      <c r="U825" s="1081">
        <f t="shared" si="973"/>
        <v>230200</v>
      </c>
      <c r="V825" s="1081">
        <f t="shared" si="973"/>
        <v>277800</v>
      </c>
      <c r="W825" s="1081">
        <f t="shared" ref="W825" si="974">+W376+W508+W678</f>
        <v>306741.07748365501</v>
      </c>
      <c r="X825" s="1081">
        <f t="shared" si="973"/>
        <v>335593.75660593604</v>
      </c>
      <c r="Y825" s="1081">
        <f t="shared" si="973"/>
        <v>362046.21469874278</v>
      </c>
      <c r="Z825" s="1081">
        <f t="shared" si="973"/>
        <v>388659.12052558776</v>
      </c>
      <c r="AA825" s="1081">
        <f t="shared" ref="AA825:AD825" si="975">+AA376+AA508+AA678</f>
        <v>415407.11975851806</v>
      </c>
      <c r="AB825" s="1081">
        <f t="shared" si="975"/>
        <v>442284.48998117773</v>
      </c>
      <c r="AC825" s="1081">
        <f t="shared" si="975"/>
        <v>469287.18052131194</v>
      </c>
      <c r="AD825" s="1081">
        <f t="shared" si="975"/>
        <v>496410.67745369766</v>
      </c>
      <c r="BT825" s="1081"/>
      <c r="BU825" s="1081">
        <f t="shared" ref="BU825:CX825" si="976">+BU376+BU508+BU678</f>
        <v>75636</v>
      </c>
      <c r="BV825" s="1081">
        <f t="shared" si="976"/>
        <v>79437</v>
      </c>
      <c r="BW825" s="1081">
        <f t="shared" si="976"/>
        <v>83489</v>
      </c>
      <c r="BX825" s="1081">
        <f t="shared" si="976"/>
        <v>86179</v>
      </c>
      <c r="BY825" s="1081">
        <f t="shared" si="976"/>
        <v>89939</v>
      </c>
      <c r="BZ825" s="1081">
        <f t="shared" si="976"/>
        <v>90707</v>
      </c>
      <c r="CA825" s="1081">
        <f t="shared" si="976"/>
        <v>94578</v>
      </c>
      <c r="CB825" s="1081">
        <f t="shared" si="976"/>
        <v>97913</v>
      </c>
      <c r="CC825" s="1081">
        <f t="shared" si="976"/>
        <v>101214</v>
      </c>
      <c r="CD825" s="1081">
        <f t="shared" si="976"/>
        <v>112000</v>
      </c>
      <c r="CE825" s="1081">
        <f t="shared" si="976"/>
        <v>114100</v>
      </c>
      <c r="CF825" s="1081">
        <f t="shared" si="976"/>
        <v>116900</v>
      </c>
      <c r="CG825" s="1081">
        <f t="shared" si="976"/>
        <v>120500</v>
      </c>
      <c r="CH825" s="1081">
        <f t="shared" si="976"/>
        <v>124100</v>
      </c>
      <c r="CI825" s="1081">
        <f t="shared" si="976"/>
        <v>128300</v>
      </c>
      <c r="CJ825" s="1081">
        <f t="shared" si="976"/>
        <v>134800</v>
      </c>
      <c r="CK825" s="1081">
        <f t="shared" si="976"/>
        <v>138600</v>
      </c>
      <c r="CL825" s="1081">
        <f t="shared" si="976"/>
        <v>144400</v>
      </c>
      <c r="CM825" s="1081">
        <f t="shared" si="976"/>
        <v>145100</v>
      </c>
      <c r="CN825" s="1081">
        <f t="shared" si="976"/>
        <v>150600</v>
      </c>
      <c r="CO825" s="1081">
        <f t="shared" si="976"/>
        <v>156700</v>
      </c>
      <c r="CP825" s="1081">
        <f t="shared" si="976"/>
        <v>163700</v>
      </c>
      <c r="CQ825" s="1081">
        <f t="shared" si="976"/>
        <v>171200</v>
      </c>
      <c r="CR825" s="1081">
        <f t="shared" si="976"/>
        <v>176800</v>
      </c>
      <c r="CS825" s="1081">
        <f t="shared" si="976"/>
        <v>182900</v>
      </c>
      <c r="CT825" s="1081">
        <f t="shared" si="976"/>
        <v>188400</v>
      </c>
      <c r="CU825" s="1081">
        <f t="shared" si="976"/>
        <v>230200</v>
      </c>
      <c r="CV825" s="1081">
        <f t="shared" si="976"/>
        <v>237300</v>
      </c>
      <c r="CW825" s="1081">
        <f t="shared" si="976"/>
        <v>242400</v>
      </c>
      <c r="CX825" s="1081">
        <f t="shared" si="976"/>
        <v>248100</v>
      </c>
      <c r="CY825" s="1081">
        <f t="shared" ref="CY825" si="977">+CY376+CY508+CY678</f>
        <v>277800</v>
      </c>
      <c r="CZ825" s="1081">
        <f t="shared" ref="CZ825:DC825" si="978">+CZ376+CZ508+CZ678</f>
        <v>282868.91974075354</v>
      </c>
      <c r="DA825" s="1081">
        <f t="shared" si="978"/>
        <v>290222.07461277599</v>
      </c>
      <c r="DB825" s="1081">
        <f t="shared" si="978"/>
        <v>298344.78277961508</v>
      </c>
      <c r="DC825" s="1081">
        <f t="shared" si="978"/>
        <v>306741.07748365501</v>
      </c>
    </row>
    <row r="826" spans="1:107">
      <c r="B826" s="15" t="s">
        <v>1317</v>
      </c>
      <c r="E826" s="1081"/>
      <c r="F826" s="1081"/>
      <c r="G826" s="1081"/>
      <c r="H826" s="1081"/>
      <c r="I826" s="1081"/>
      <c r="J826" s="1081"/>
      <c r="K826" s="1081"/>
      <c r="L826" s="1081"/>
      <c r="M826" s="1081"/>
      <c r="N826" s="1622"/>
      <c r="O826" s="1622">
        <f t="shared" ref="O826:W826" si="979">+AVERAGE(N825:O825)/AVERAGE(N697:O697)</f>
        <v>0.8672173018874183</v>
      </c>
      <c r="P826" s="1622">
        <f t="shared" si="979"/>
        <v>1.3064343360234776</v>
      </c>
      <c r="Q826" s="1622">
        <f t="shared" si="979"/>
        <v>1.3515414507772021</v>
      </c>
      <c r="R826" s="1622">
        <f t="shared" si="979"/>
        <v>1.4167153711279954</v>
      </c>
      <c r="S826" s="1622">
        <f t="shared" si="979"/>
        <v>1.4565796483750666</v>
      </c>
      <c r="T826" s="1622">
        <f t="shared" si="979"/>
        <v>1.4898728214790391</v>
      </c>
      <c r="U826" s="1622">
        <f t="shared" si="979"/>
        <v>1.4806344522316488</v>
      </c>
      <c r="V826" s="1622">
        <f t="shared" si="979"/>
        <v>1.4411347517730497</v>
      </c>
      <c r="W826" s="1622">
        <f t="shared" si="979"/>
        <v>1.4362133057683006</v>
      </c>
      <c r="X826" s="1622">
        <f>+AVERAGE(W825:X825)/AVERAGE(W697:X697)</f>
        <v>1.4530178819795565</v>
      </c>
      <c r="Y826" s="1622">
        <f>+AVERAGE(X825:Y825)/AVERAGE(X697:Y697)</f>
        <v>1.4623490461442661</v>
      </c>
      <c r="Z826" s="1622">
        <f>+AVERAGE(Y825:Z825)/AVERAGE(Y697:Z697)</f>
        <v>1.4703704157862068</v>
      </c>
      <c r="AA826" s="1622">
        <f t="shared" ref="AA826:AD826" si="980">+AVERAGE(Z825:AA825)/AVERAGE(Z697:AA697)</f>
        <v>1.4778205614688606</v>
      </c>
      <c r="AB826" s="1622">
        <f t="shared" si="980"/>
        <v>1.4847385508180664</v>
      </c>
      <c r="AC826" s="1622">
        <f t="shared" si="980"/>
        <v>1.4911897600148878</v>
      </c>
      <c r="AD826" s="1622">
        <f t="shared" si="980"/>
        <v>1.4972278420437402</v>
      </c>
      <c r="BT826" s="1081"/>
      <c r="BU826" s="1622">
        <f>+AVERAGE(BT825:BU825)/AVERAGE(BT697:BU697)</f>
        <v>1.278498985801217</v>
      </c>
      <c r="BV826" s="1622">
        <f>+AVERAGE(BU825:BV825)/AVERAGE(BU697:BV697)</f>
        <v>1.2638386308068459</v>
      </c>
      <c r="BW826" s="1622">
        <f>+AVERAGE(BV825:BW825)/AVERAGE(BV697:BW697)</f>
        <v>1.2971815286624204</v>
      </c>
      <c r="BX826" s="1622">
        <f t="shared" ref="BX826:CV826" si="981">+AVERAGE(BW825:BX825)/AVERAGE(BW697:BX697)</f>
        <v>1.2951755725190839</v>
      </c>
      <c r="BY826" s="1622">
        <f t="shared" si="981"/>
        <v>1.2892972181551976</v>
      </c>
      <c r="BZ826" s="1622">
        <f t="shared" si="981"/>
        <v>1.2875694939415538</v>
      </c>
      <c r="CA826" s="1622">
        <f t="shared" si="981"/>
        <v>1.2938896648044693</v>
      </c>
      <c r="CB826" s="1622">
        <f t="shared" si="981"/>
        <v>1.3148292349726776</v>
      </c>
      <c r="CC826" s="1622">
        <f t="shared" si="981"/>
        <v>1.3355264922870558</v>
      </c>
      <c r="CD826" s="1622">
        <f t="shared" si="981"/>
        <v>1.3809196891191711</v>
      </c>
      <c r="CE826" s="1622">
        <f t="shared" si="981"/>
        <v>1.4017358958462491</v>
      </c>
      <c r="CF826" s="1622">
        <f t="shared" si="981"/>
        <v>1.396614268440145</v>
      </c>
      <c r="CG826" s="1622">
        <f t="shared" si="981"/>
        <v>1.4122546103509817</v>
      </c>
      <c r="CH826" s="1622">
        <f t="shared" si="981"/>
        <v>1.4237485448195577</v>
      </c>
      <c r="CI826" s="1622">
        <f t="shared" si="981"/>
        <v>1.4324631101021565</v>
      </c>
      <c r="CJ826" s="1622">
        <f t="shared" si="981"/>
        <v>1.4600443951165372</v>
      </c>
      <c r="CK826" s="1622">
        <f t="shared" si="981"/>
        <v>1.4850624660510592</v>
      </c>
      <c r="CL826" s="1622">
        <f t="shared" si="981"/>
        <v>1.4918292040063257</v>
      </c>
      <c r="CM826" s="1622">
        <f t="shared" si="981"/>
        <v>1.4823348694316436</v>
      </c>
      <c r="CN826" s="1622">
        <f t="shared" si="981"/>
        <v>1.477022977022977</v>
      </c>
      <c r="CO826" s="1622">
        <f t="shared" si="981"/>
        <v>1.4845410628019324</v>
      </c>
      <c r="CP826" s="1622">
        <f t="shared" si="981"/>
        <v>1.4867749419953595</v>
      </c>
      <c r="CQ826" s="1622">
        <f t="shared" si="981"/>
        <v>1.496425379803396</v>
      </c>
      <c r="CR826" s="1622">
        <f t="shared" si="981"/>
        <v>1.5203145478374835</v>
      </c>
      <c r="CS826" s="1622">
        <f t="shared" si="981"/>
        <v>1.5391527599486521</v>
      </c>
      <c r="CT826" s="1622">
        <f t="shared" si="981"/>
        <v>1.5477282200917049</v>
      </c>
      <c r="CU826" s="1622">
        <f t="shared" si="981"/>
        <v>1.5014347202295553</v>
      </c>
      <c r="CV826" s="1622">
        <f t="shared" si="981"/>
        <v>1.4756944444444444</v>
      </c>
      <c r="CW826" s="1622">
        <f>+AVERAGE(CV825:CW825)/AVERAGE(CV697:CW697)</f>
        <v>1.4911408144233758</v>
      </c>
      <c r="CX826" s="1622">
        <f>+AVERAGE(CW825:CX825)/AVERAGE(CW697:CX697)</f>
        <v>1.4904284412032818</v>
      </c>
      <c r="CY826" s="1622">
        <f>+AVERAGE(CX825:CY825)/AVERAGE(CX697:CY697)</f>
        <v>1.4531638574191765</v>
      </c>
      <c r="CZ826" s="1622">
        <f t="shared" ref="CZ826:DC826" si="982">+AVERAGE(CY825:CZ825)/AVERAGE(CY697:CZ697)</f>
        <v>1.428323703786649</v>
      </c>
      <c r="DA826" s="1622">
        <f t="shared" si="982"/>
        <v>1.434770015510592</v>
      </c>
      <c r="DB826" s="1622">
        <f t="shared" si="982"/>
        <v>1.439102853430585</v>
      </c>
      <c r="DC826" s="1622">
        <f t="shared" si="982"/>
        <v>1.4445012825757559</v>
      </c>
    </row>
    <row r="827" spans="1:107">
      <c r="B827" s="15" t="s">
        <v>1312</v>
      </c>
      <c r="O827" s="1479">
        <f t="shared" ref="O827:Z827" si="983">+O9/12/(AVERAGE(N697:O697))*1000000</f>
        <v>229.7635968326307</v>
      </c>
      <c r="P827" s="1479">
        <f t="shared" si="983"/>
        <v>278.59453080028339</v>
      </c>
      <c r="Q827" s="1479">
        <f t="shared" si="983"/>
        <v>293.72085492227978</v>
      </c>
      <c r="R827" s="1479">
        <f t="shared" si="983"/>
        <v>311.57510227936876</v>
      </c>
      <c r="S827" s="1479">
        <f t="shared" si="983"/>
        <v>330.62511099271887</v>
      </c>
      <c r="T827" s="1479">
        <f t="shared" si="983"/>
        <v>342.13298791019002</v>
      </c>
      <c r="U827" s="1479">
        <f t="shared" si="983"/>
        <v>334.60162301733681</v>
      </c>
      <c r="V827" s="1479">
        <f t="shared" si="983"/>
        <v>322.06761229314424</v>
      </c>
      <c r="W827" s="1479">
        <f t="shared" si="983"/>
        <v>347.7140892317658</v>
      </c>
      <c r="X827" s="1479">
        <f t="shared" si="983"/>
        <v>355.01767860192888</v>
      </c>
      <c r="Y827" s="1479">
        <f t="shared" si="983"/>
        <v>360.64676638706521</v>
      </c>
      <c r="Z827" s="1479">
        <f t="shared" si="983"/>
        <v>364.90185153331669</v>
      </c>
      <c r="AA827" s="1479">
        <f t="shared" ref="AA827" si="984">+AA9/12/(AVERAGE(Z697:AA697))*1000000</f>
        <v>369.12154697921432</v>
      </c>
      <c r="AB827" s="1479">
        <f t="shared" ref="AB827" si="985">+AB9/12/(AVERAGE(AA697:AB697))*1000000</f>
        <v>373.31417021026925</v>
      </c>
      <c r="AC827" s="1479">
        <f t="shared" ref="AC827" si="986">+AC9/12/(AVERAGE(AB697:AC697))*1000000</f>
        <v>377.49086310574648</v>
      </c>
      <c r="AD827" s="1479">
        <f t="shared" ref="AD827" si="987">+AD9/12/(AVERAGE(AC697:AD697))*1000000</f>
        <v>381.66117974559893</v>
      </c>
      <c r="BT827" s="1479"/>
      <c r="BU827" s="1479">
        <f t="shared" ref="BU827:CX827" si="988">+BU9/BU825/3*BU826*1000000</f>
        <v>224.30321726422196</v>
      </c>
      <c r="BV827" s="1479">
        <f t="shared" si="988"/>
        <v>249.5999406946232</v>
      </c>
      <c r="BW827" s="1479">
        <f t="shared" si="988"/>
        <v>259.64751935179237</v>
      </c>
      <c r="BX827" s="1479">
        <f t="shared" si="988"/>
        <v>261.76958129733902</v>
      </c>
      <c r="BY827" s="1479">
        <f t="shared" si="988"/>
        <v>272.5963443540893</v>
      </c>
      <c r="BZ827" s="1479">
        <f t="shared" si="988"/>
        <v>272.13324145756178</v>
      </c>
      <c r="CA827" s="1479">
        <f t="shared" si="988"/>
        <v>278.26461195801346</v>
      </c>
      <c r="CB827" s="1479">
        <f t="shared" si="988"/>
        <v>281.47575494839595</v>
      </c>
      <c r="CC827" s="1479">
        <f t="shared" si="988"/>
        <v>286.04287252552803</v>
      </c>
      <c r="CD827" s="1479">
        <f t="shared" si="988"/>
        <v>290.49043019830987</v>
      </c>
      <c r="CE827" s="1479">
        <f t="shared" si="988"/>
        <v>301.00671055851171</v>
      </c>
      <c r="CF827" s="1479">
        <f t="shared" si="988"/>
        <v>302.62365233257782</v>
      </c>
      <c r="CG827" s="1479">
        <f t="shared" si="988"/>
        <v>306.09788515859043</v>
      </c>
      <c r="CH827" s="1479">
        <f t="shared" si="988"/>
        <v>312.24568542712035</v>
      </c>
      <c r="CI827" s="1479">
        <f t="shared" si="988"/>
        <v>312.13106931971362</v>
      </c>
      <c r="CJ827" s="1479">
        <f t="shared" si="988"/>
        <v>314.19837668004891</v>
      </c>
      <c r="CK827" s="1479">
        <f t="shared" si="988"/>
        <v>324.90295207840018</v>
      </c>
      <c r="CL827" s="1479">
        <f t="shared" si="988"/>
        <v>329.38707226407445</v>
      </c>
      <c r="CM827" s="1479">
        <f t="shared" si="988"/>
        <v>336.12871113482481</v>
      </c>
      <c r="CN827" s="1479">
        <f t="shared" si="988"/>
        <v>332.33997741965868</v>
      </c>
      <c r="CO827" s="1479">
        <f t="shared" si="988"/>
        <v>330.51170426273785</v>
      </c>
      <c r="CP827" s="1479">
        <f t="shared" si="988"/>
        <v>334.73779634808164</v>
      </c>
      <c r="CQ827" s="1479">
        <f t="shared" si="988"/>
        <v>346.49123640377616</v>
      </c>
      <c r="CR827" s="1479">
        <f t="shared" si="988"/>
        <v>364.61465320072983</v>
      </c>
      <c r="CS827" s="1479">
        <f t="shared" si="988"/>
        <v>380.70958945323679</v>
      </c>
      <c r="CT827" s="1479">
        <f t="shared" si="988"/>
        <v>370.88245293878344</v>
      </c>
      <c r="CU827" s="1479">
        <f t="shared" si="988"/>
        <v>317.19710803946083</v>
      </c>
      <c r="CV827" s="1479">
        <f t="shared" si="988"/>
        <v>306.91293642989808</v>
      </c>
      <c r="CW827" s="1479">
        <f t="shared" si="988"/>
        <v>339.73896410467904</v>
      </c>
      <c r="CX827" s="1479">
        <f t="shared" si="988"/>
        <v>359.52906630041923</v>
      </c>
      <c r="CY827" s="1479">
        <f t="shared" ref="CY827" si="989">+CY9/CY825/3*CY826*1000000</f>
        <v>327.60702105975764</v>
      </c>
      <c r="CZ827" s="1479">
        <f t="shared" ref="CZ827:DC827" si="990">+CZ9/CZ825/3*CZ826*1000000</f>
        <v>343.3945987477984</v>
      </c>
      <c r="DA827" s="1479">
        <f t="shared" si="990"/>
        <v>344.06937760622077</v>
      </c>
      <c r="DB827" s="1479">
        <f t="shared" si="990"/>
        <v>345.5064716945667</v>
      </c>
      <c r="DC827" s="1479">
        <f t="shared" si="990"/>
        <v>347.57585323348638</v>
      </c>
    </row>
    <row r="828" spans="1:107">
      <c r="B828" s="773" t="s">
        <v>1313</v>
      </c>
      <c r="O828" s="1612">
        <f>+O827/O822</f>
        <v>0.14623719476587468</v>
      </c>
      <c r="P828" s="1612">
        <f t="shared" ref="P828:Z828" si="991">+P827/P822</f>
        <v>0.15266179980117567</v>
      </c>
      <c r="Q828" s="1612">
        <f t="shared" si="991"/>
        <v>0.15141497149801789</v>
      </c>
      <c r="R828" s="1612">
        <f t="shared" si="991"/>
        <v>0.15603362403790896</v>
      </c>
      <c r="S828" s="1612">
        <f t="shared" si="991"/>
        <v>0.16064879072253774</v>
      </c>
      <c r="T828" s="1612">
        <f>+T827/T822</f>
        <v>0.16963218445386999</v>
      </c>
      <c r="U828" s="1612">
        <f>+U827/U822</f>
        <v>0.18965764172236041</v>
      </c>
      <c r="V828" s="1612">
        <f>+V827/V822</f>
        <v>0.18109463979029197</v>
      </c>
      <c r="W828" s="1612">
        <f ca="1">+W827/W822</f>
        <v>0.18222770781383615</v>
      </c>
      <c r="X828" s="1612">
        <f t="shared" ca="1" si="991"/>
        <v>0.18400861524823992</v>
      </c>
      <c r="Y828" s="1612">
        <f t="shared" ca="1" si="991"/>
        <v>0.18598502595534172</v>
      </c>
      <c r="Z828" s="1612">
        <f t="shared" ca="1" si="991"/>
        <v>0.18759004956333991</v>
      </c>
      <c r="AA828" s="1612">
        <f t="shared" ref="AA828:AD828" ca="1" si="992">+AA827/AA822</f>
        <v>0.18930141211296683</v>
      </c>
      <c r="AB828" s="1612">
        <f t="shared" ca="1" si="992"/>
        <v>0.19111144963711954</v>
      </c>
      <c r="AC828" s="1612">
        <f t="shared" ca="1" si="992"/>
        <v>0.19301550582823945</v>
      </c>
      <c r="AD828" s="1612">
        <f t="shared" ca="1" si="992"/>
        <v>0.19500968034924643</v>
      </c>
      <c r="BT828" s="1612"/>
      <c r="BU828" s="1612">
        <f>+BU827/BU822</f>
        <v>0.14415889610338667</v>
      </c>
      <c r="BV828" s="1612">
        <f>+BV827/BV822</f>
        <v>0.15014272435302189</v>
      </c>
      <c r="BW828" s="1612">
        <f>+BW827/BW822</f>
        <v>0.15410367745595979</v>
      </c>
      <c r="BX828" s="1612">
        <f>+BX827/BX822</f>
        <v>0.1535239017956499</v>
      </c>
      <c r="BY828" s="1612">
        <f t="shared" ref="BY828:CJ828" si="993">+BY827/BY822</f>
        <v>0.15203270373053257</v>
      </c>
      <c r="BZ828" s="1612">
        <f t="shared" si="993"/>
        <v>0.14752286281469468</v>
      </c>
      <c r="CA828" s="1612">
        <f t="shared" si="993"/>
        <v>0.14877164175222157</v>
      </c>
      <c r="CB828" s="1612">
        <f t="shared" si="993"/>
        <v>0.14712081730513932</v>
      </c>
      <c r="CC828" s="1612">
        <f t="shared" si="993"/>
        <v>0.1475352292709762</v>
      </c>
      <c r="CD828" s="1612">
        <f t="shared" si="993"/>
        <v>0.14610252655680039</v>
      </c>
      <c r="CE828" s="1612">
        <f t="shared" si="993"/>
        <v>0.1508381355180374</v>
      </c>
      <c r="CF828" s="1612">
        <f t="shared" si="993"/>
        <v>0.15182525376770412</v>
      </c>
      <c r="CG828" s="1612">
        <f t="shared" si="993"/>
        <v>0.15380715114113711</v>
      </c>
      <c r="CH828" s="1612">
        <f t="shared" si="993"/>
        <v>0.15607257486833676</v>
      </c>
      <c r="CI828" s="1612">
        <f t="shared" si="993"/>
        <v>0.15332164000520443</v>
      </c>
      <c r="CJ828" s="1612">
        <f t="shared" si="993"/>
        <v>0.15449764912437669</v>
      </c>
      <c r="CK828" s="1612">
        <f t="shared" ref="CK828:CQ828" si="994">+CK827/CK822</f>
        <v>0.15626700353639625</v>
      </c>
      <c r="CL828" s="1612">
        <f t="shared" si="994"/>
        <v>0.15928170848272777</v>
      </c>
      <c r="CM828" s="1612">
        <f t="shared" si="994"/>
        <v>0.16262627074667702</v>
      </c>
      <c r="CN828" s="1612">
        <f t="shared" si="994"/>
        <v>0.16370138490843786</v>
      </c>
      <c r="CO828" s="1612">
        <f t="shared" si="994"/>
        <v>0.16375515872029459</v>
      </c>
      <c r="CP828" s="1612">
        <f t="shared" si="994"/>
        <v>0.16731170422719752</v>
      </c>
      <c r="CQ828" s="1612">
        <f t="shared" si="994"/>
        <v>0.16954067220459029</v>
      </c>
      <c r="CR828" s="1612">
        <f t="shared" ref="CR828:CX828" si="995">+CR827/CR822</f>
        <v>0.184512230287181</v>
      </c>
      <c r="CS828" s="1612">
        <f t="shared" si="995"/>
        <v>0.18869393285294064</v>
      </c>
      <c r="CT828" s="1612">
        <f t="shared" si="995"/>
        <v>0.1828232243159936</v>
      </c>
      <c r="CU828" s="1612">
        <f t="shared" si="995"/>
        <v>0.16783216659035927</v>
      </c>
      <c r="CV828" s="1612">
        <f>+CV827/CV822</f>
        <v>0.16233140487009429</v>
      </c>
      <c r="CW828" s="1612">
        <f t="shared" si="995"/>
        <v>0.17755064951536459</v>
      </c>
      <c r="CX828" s="1612">
        <f t="shared" si="995"/>
        <v>0.18642370966048652</v>
      </c>
      <c r="CY828" s="1612">
        <f t="shared" ref="CY828" si="996">+CY827/CY822</f>
        <v>0.18007457620176756</v>
      </c>
      <c r="CZ828" s="1612">
        <f t="shared" ref="CZ828:DC828" ca="1" si="997">+CZ827/CZ822</f>
        <v>0.1777441837277767</v>
      </c>
      <c r="DA828" s="1612">
        <f t="shared" ca="1" si="997"/>
        <v>0.17745533650452139</v>
      </c>
      <c r="DB828" s="1612">
        <f t="shared" ca="1" si="997"/>
        <v>0.17735446246267639</v>
      </c>
      <c r="DC828" s="1612">
        <f t="shared" ca="1" si="997"/>
        <v>0.1775092840475716</v>
      </c>
    </row>
    <row r="829" spans="1:107">
      <c r="B829" s="15" t="s">
        <v>1315</v>
      </c>
      <c r="P829" s="1612">
        <f>+P827/O827-1</f>
        <v>0.21252685212454758</v>
      </c>
      <c r="Q829" s="1612">
        <f t="shared" ref="Q829:Z829" si="998">+Q827/P827-1</f>
        <v>5.4295122300301202E-2</v>
      </c>
      <c r="R829" s="1612">
        <f t="shared" si="998"/>
        <v>6.0786447601118843E-2</v>
      </c>
      <c r="S829" s="1612">
        <f t="shared" si="998"/>
        <v>6.1140985187799757E-2</v>
      </c>
      <c r="T829" s="1612">
        <f t="shared" si="998"/>
        <v>3.4806421335990434E-2</v>
      </c>
      <c r="U829" s="1612">
        <f t="shared" si="998"/>
        <v>-2.2012974951220454E-2</v>
      </c>
      <c r="V829" s="1612">
        <f t="shared" si="998"/>
        <v>-3.745950366637385E-2</v>
      </c>
      <c r="W829" s="1612">
        <f t="shared" si="998"/>
        <v>7.9630723362764888E-2</v>
      </c>
      <c r="X829" s="1612">
        <f t="shared" si="998"/>
        <v>2.1004582777475411E-2</v>
      </c>
      <c r="Y829" s="1612">
        <f t="shared" si="998"/>
        <v>1.5855795709396325E-2</v>
      </c>
      <c r="Z829" s="1612">
        <f t="shared" si="998"/>
        <v>1.1798484120289388E-2</v>
      </c>
      <c r="AA829" s="1612">
        <f t="shared" ref="AA829" si="999">+AA827/Z827-1</f>
        <v>1.1563918977572918E-2</v>
      </c>
      <c r="AB829" s="1612">
        <f t="shared" ref="AB829" si="1000">+AB827/AA827-1</f>
        <v>1.1358381176515442E-2</v>
      </c>
      <c r="AC829" s="1612">
        <f t="shared" ref="AC829" si="1001">+AC827/AB827-1</f>
        <v>1.1188144540896339E-2</v>
      </c>
      <c r="AD829" s="1612">
        <f t="shared" ref="AD829" si="1002">+AD827/AC827-1</f>
        <v>1.1047463786386214E-2</v>
      </c>
      <c r="BT829" s="1612"/>
      <c r="BU829" s="1612"/>
      <c r="BV829" s="1612"/>
      <c r="BW829" s="1612"/>
      <c r="BX829" s="1612"/>
      <c r="BY829" s="1612">
        <f t="shared" ref="BY829:CV829" si="1003">+BY827/BU827-1</f>
        <v>0.21530287295424566</v>
      </c>
      <c r="BZ829" s="1612">
        <f t="shared" si="1003"/>
        <v>9.0277668737539063E-2</v>
      </c>
      <c r="CA829" s="1612">
        <f t="shared" si="1003"/>
        <v>7.1701407557054564E-2</v>
      </c>
      <c r="CB829" s="1612">
        <f t="shared" si="1003"/>
        <v>7.5280609585699265E-2</v>
      </c>
      <c r="CC829" s="1612">
        <f t="shared" si="1003"/>
        <v>4.9327617372492583E-2</v>
      </c>
      <c r="CD829" s="1612">
        <f t="shared" si="1003"/>
        <v>6.7456620302708714E-2</v>
      </c>
      <c r="CE829" s="1612">
        <f t="shared" si="1003"/>
        <v>8.1728317663080086E-2</v>
      </c>
      <c r="CF829" s="1612">
        <f t="shared" si="1003"/>
        <v>7.5132216584902656E-2</v>
      </c>
      <c r="CG829" s="1612">
        <f t="shared" si="1003"/>
        <v>7.0111911742434918E-2</v>
      </c>
      <c r="CH829" s="1612">
        <f t="shared" si="1003"/>
        <v>7.4891469622454521E-2</v>
      </c>
      <c r="CI829" s="1612">
        <f t="shared" si="1003"/>
        <v>3.6957178597649465E-2</v>
      </c>
      <c r="CJ829" s="1612">
        <f t="shared" si="1003"/>
        <v>3.8247917035746593E-2</v>
      </c>
      <c r="CK829" s="1612">
        <f t="shared" si="1003"/>
        <v>6.1434814912447955E-2</v>
      </c>
      <c r="CL829" s="1612">
        <f t="shared" si="1003"/>
        <v>5.4897113513374673E-2</v>
      </c>
      <c r="CM829" s="1612">
        <f t="shared" si="1003"/>
        <v>7.6883220460602697E-2</v>
      </c>
      <c r="CN829" s="1612">
        <f t="shared" si="1003"/>
        <v>5.7739320397837579E-2</v>
      </c>
      <c r="CO829" s="1612">
        <f t="shared" si="1003"/>
        <v>1.7262853872082484E-2</v>
      </c>
      <c r="CP829" s="1612">
        <f t="shared" si="1003"/>
        <v>1.6244487214475356E-2</v>
      </c>
      <c r="CQ829" s="1612">
        <f t="shared" si="1003"/>
        <v>3.0829039369965727E-2</v>
      </c>
      <c r="CR829" s="1612">
        <f t="shared" si="1003"/>
        <v>9.7113431948984807E-2</v>
      </c>
      <c r="CS829" s="1612">
        <f t="shared" si="1003"/>
        <v>0.15187929668776423</v>
      </c>
      <c r="CT829" s="1612">
        <f t="shared" si="1003"/>
        <v>0.10797901218515604</v>
      </c>
      <c r="CU829" s="1612">
        <f t="shared" si="1003"/>
        <v>-8.4545077296494853E-2</v>
      </c>
      <c r="CV829" s="1612">
        <f t="shared" si="1003"/>
        <v>-0.15825397104670247</v>
      </c>
      <c r="CW829" s="1612">
        <f>+CW827/CS827-1</f>
        <v>-0.10761647850110234</v>
      </c>
      <c r="CX829" s="1612">
        <f>+CX827/CT827-1</f>
        <v>-3.0611819320118028E-2</v>
      </c>
      <c r="CY829" s="1612">
        <f>+CY827/CU827-1</f>
        <v>3.2818436096844206E-2</v>
      </c>
      <c r="CZ829" s="1612">
        <f t="shared" ref="CZ829:DC829" si="1004">+CZ827/CV827-1</f>
        <v>0.11886648618421169</v>
      </c>
      <c r="DA829" s="1612">
        <f t="shared" si="1004"/>
        <v>1.2746296301202165E-2</v>
      </c>
      <c r="DB829" s="1612">
        <f t="shared" si="1004"/>
        <v>-3.9002672997057175E-2</v>
      </c>
      <c r="DC829" s="1612">
        <f t="shared" si="1004"/>
        <v>6.0953614819159396E-2</v>
      </c>
    </row>
    <row r="830" spans="1:107">
      <c r="B830" s="15" t="s">
        <v>1314</v>
      </c>
      <c r="BU830" s="1612"/>
      <c r="BV830" s="1612">
        <f>+BV827/BU827-1</f>
        <v>0.11277913771786219</v>
      </c>
      <c r="BW830" s="1612">
        <f>+BW827/BV827-1</f>
        <v>4.0254731748762929E-2</v>
      </c>
      <c r="BX830" s="1612">
        <f>+BX827/BW827-1</f>
        <v>8.1728566128587143E-3</v>
      </c>
      <c r="BY830" s="1612">
        <f t="shared" ref="BY830:CV830" si="1005">+BY827/BX827-1</f>
        <v>4.1359897521677125E-2</v>
      </c>
      <c r="BZ830" s="1612">
        <f t="shared" si="1005"/>
        <v>-1.6988595266191897E-3</v>
      </c>
      <c r="CA830" s="1612">
        <f t="shared" si="1005"/>
        <v>2.2530766427547366E-2</v>
      </c>
      <c r="CB830" s="1612">
        <f t="shared" si="1005"/>
        <v>1.1539889919121249E-2</v>
      </c>
      <c r="CC830" s="1612">
        <f t="shared" si="1005"/>
        <v>1.6225616227477202E-2</v>
      </c>
      <c r="CD830" s="1612">
        <f t="shared" si="1005"/>
        <v>1.5548570161925346E-2</v>
      </c>
      <c r="CE830" s="1612">
        <f t="shared" si="1005"/>
        <v>3.6201813440197128E-2</v>
      </c>
      <c r="CF830" s="1612">
        <f t="shared" si="1005"/>
        <v>5.3717798220043189E-3</v>
      </c>
      <c r="CG830" s="1612">
        <f t="shared" si="1005"/>
        <v>1.1480374383276759E-2</v>
      </c>
      <c r="CH830" s="1612">
        <f t="shared" si="1005"/>
        <v>2.0084425821317753E-2</v>
      </c>
      <c r="CI830" s="1612">
        <f t="shared" si="1005"/>
        <v>-3.6707026792037745E-4</v>
      </c>
      <c r="CJ830" s="1612">
        <f t="shared" si="1005"/>
        <v>6.623202761714797E-3</v>
      </c>
      <c r="CK830" s="1612">
        <f t="shared" si="1005"/>
        <v>3.4069480280134679E-2</v>
      </c>
      <c r="CL830" s="1612">
        <f t="shared" si="1005"/>
        <v>1.3801414105317988E-2</v>
      </c>
      <c r="CM830" s="1612">
        <f t="shared" si="1005"/>
        <v>2.0467223635739717E-2</v>
      </c>
      <c r="CN830" s="1612">
        <f t="shared" si="1005"/>
        <v>-1.1271675372135692E-2</v>
      </c>
      <c r="CO830" s="1612">
        <f t="shared" si="1005"/>
        <v>-5.5012134595296969E-3</v>
      </c>
      <c r="CP830" s="1612">
        <f t="shared" si="1005"/>
        <v>1.2786512643389703E-2</v>
      </c>
      <c r="CQ830" s="1612">
        <f t="shared" si="1005"/>
        <v>3.5112378058056226E-2</v>
      </c>
      <c r="CR830" s="1612">
        <f t="shared" si="1005"/>
        <v>5.2305556080021409E-2</v>
      </c>
      <c r="CS830" s="1612">
        <f t="shared" si="1005"/>
        <v>4.4142318777425249E-2</v>
      </c>
      <c r="CT830" s="1612">
        <f t="shared" si="1005"/>
        <v>-2.581268448889551E-2</v>
      </c>
      <c r="CU830" s="1612">
        <f t="shared" si="1005"/>
        <v>-0.14475029614890877</v>
      </c>
      <c r="CV830" s="1612">
        <f t="shared" si="1005"/>
        <v>-3.2422021982253857E-2</v>
      </c>
      <c r="CW830" s="1612">
        <f>+CW827/CV827-1</f>
        <v>0.10695550359207084</v>
      </c>
      <c r="CX830" s="1612">
        <f>+CX827/CW827-1</f>
        <v>5.8250905214517923E-2</v>
      </c>
      <c r="CY830" s="1612">
        <f>+CY827/CX827-1</f>
        <v>-8.8788496488313995E-2</v>
      </c>
      <c r="CZ830" s="1612">
        <f t="shared" ref="CZ830:DC830" si="1006">+CZ827/CY827-1</f>
        <v>4.8190596272846609E-2</v>
      </c>
      <c r="DA830" s="1612">
        <f t="shared" si="1006"/>
        <v>1.9650246709848052E-3</v>
      </c>
      <c r="DB830" s="1612">
        <f t="shared" si="1006"/>
        <v>4.176756729541431E-3</v>
      </c>
      <c r="DC830" s="1612">
        <f t="shared" si="1006"/>
        <v>5.9894146953896055E-3</v>
      </c>
    </row>
    <row r="832" spans="1:107">
      <c r="B832" s="114" t="s">
        <v>225</v>
      </c>
      <c r="C832" s="66"/>
      <c r="D832" s="66"/>
      <c r="E832" s="66"/>
      <c r="F832" s="66"/>
      <c r="G832" s="66"/>
      <c r="H832" s="66"/>
      <c r="I832" s="66"/>
      <c r="J832" s="66"/>
      <c r="K832" s="66"/>
      <c r="L832" s="66"/>
      <c r="M832" s="66"/>
      <c r="N832" s="59"/>
      <c r="O832" s="59"/>
      <c r="P832" s="59"/>
      <c r="Q832" s="59"/>
      <c r="R832" s="59"/>
      <c r="S832" s="59"/>
      <c r="T832" s="59"/>
      <c r="U832" s="59"/>
      <c r="V832" s="59"/>
      <c r="W832" s="59"/>
      <c r="X832" s="60"/>
      <c r="Y832" s="60"/>
      <c r="Z832" s="60"/>
      <c r="AA832" s="60"/>
      <c r="AB832" s="60"/>
      <c r="AC832" s="60"/>
      <c r="AD832" s="60"/>
      <c r="AE832" s="59"/>
      <c r="AF832" s="60"/>
      <c r="AG832" s="60"/>
      <c r="AH832" s="60"/>
      <c r="AI832" s="60"/>
      <c r="AJ832" s="60"/>
      <c r="AK832" s="60"/>
      <c r="AL832" s="60"/>
      <c r="AM832" s="60"/>
      <c r="AN832" s="60"/>
      <c r="AO832" s="60"/>
      <c r="AP832" s="60"/>
      <c r="AQ832" s="60"/>
      <c r="AR832" s="60"/>
      <c r="AS832" s="60"/>
      <c r="AT832" s="60"/>
      <c r="AU832" s="60"/>
      <c r="AV832" s="60"/>
      <c r="AW832" s="60"/>
      <c r="AX832" s="60"/>
      <c r="AY832" s="60"/>
      <c r="AZ832" s="60"/>
      <c r="BA832" s="60"/>
      <c r="BB832" s="60"/>
      <c r="BC832" s="60"/>
      <c r="BD832" s="60"/>
      <c r="BE832" s="60"/>
      <c r="BF832" s="60"/>
      <c r="BG832" s="60"/>
      <c r="BH832" s="60"/>
      <c r="BI832" s="60"/>
      <c r="BJ832" s="60"/>
      <c r="BK832" s="60"/>
      <c r="BL832" s="60"/>
      <c r="BM832" s="60"/>
      <c r="BN832" s="60"/>
      <c r="BO832" s="60"/>
      <c r="BP832" s="59"/>
      <c r="BQ832" s="59"/>
      <c r="BR832" s="59"/>
      <c r="BS832" s="59"/>
      <c r="BT832" s="59"/>
      <c r="BU832" s="59"/>
      <c r="BV832" s="59"/>
      <c r="BW832" s="59"/>
      <c r="BX832" s="59"/>
      <c r="BY832" s="59"/>
      <c r="BZ832" s="59"/>
      <c r="CA832" s="59"/>
      <c r="CB832" s="59"/>
      <c r="CC832" s="59"/>
      <c r="CD832" s="59"/>
      <c r="CE832" s="59"/>
      <c r="CF832" s="59"/>
      <c r="CG832" s="59"/>
      <c r="CH832" s="59"/>
      <c r="CI832" s="59"/>
      <c r="CJ832" s="59"/>
      <c r="CK832" s="59"/>
      <c r="CL832" s="59"/>
      <c r="CM832" s="59"/>
      <c r="CN832" s="59"/>
      <c r="CO832" s="59"/>
      <c r="CP832" s="59"/>
      <c r="CQ832" s="59"/>
      <c r="CR832" s="59"/>
      <c r="CS832" s="59"/>
      <c r="CT832" s="59"/>
      <c r="CU832" s="59"/>
      <c r="CV832" s="59"/>
      <c r="CW832" s="59"/>
      <c r="CX832" s="59"/>
      <c r="CY832" s="59"/>
      <c r="CZ832" s="59"/>
      <c r="DA832" s="59"/>
      <c r="DB832" s="59"/>
      <c r="DC832" s="59"/>
    </row>
    <row r="833" spans="2:114" s="15" customFormat="1">
      <c r="B833" s="21"/>
      <c r="C833" s="14"/>
      <c r="D833" s="14"/>
      <c r="E833" s="14"/>
      <c r="F833" s="14"/>
      <c r="G833" s="14"/>
      <c r="H833" s="14"/>
      <c r="I833" s="14"/>
      <c r="J833" s="14"/>
      <c r="K833" s="14"/>
      <c r="L833" s="14"/>
      <c r="M833" s="14"/>
      <c r="N833" s="23"/>
      <c r="O833" s="23"/>
      <c r="P833" s="23"/>
      <c r="Q833" s="23"/>
      <c r="R833" s="23"/>
      <c r="S833" s="23"/>
      <c r="T833" s="23"/>
      <c r="U833" s="23"/>
      <c r="V833" s="23"/>
      <c r="W833" s="23"/>
      <c r="AE833" s="23"/>
      <c r="BP833" s="23"/>
      <c r="BQ833" s="23"/>
      <c r="BR833" s="23"/>
      <c r="BS833" s="23"/>
      <c r="BT833" s="23"/>
      <c r="BU833" s="23"/>
      <c r="BV833" s="23"/>
      <c r="BW833" s="23"/>
      <c r="BX833" s="23"/>
      <c r="BY833" s="23"/>
      <c r="BZ833" s="23"/>
      <c r="CA833" s="23"/>
      <c r="CB833" s="23"/>
      <c r="CC833" s="23"/>
      <c r="CD833" s="23"/>
      <c r="CE833" s="23"/>
      <c r="CF833" s="23"/>
      <c r="CG833" s="23"/>
      <c r="CH833" s="23"/>
      <c r="CI833" s="23"/>
      <c r="CJ833" s="23"/>
      <c r="CK833" s="23"/>
      <c r="CL833" s="23"/>
      <c r="CM833" s="23"/>
      <c r="CN833" s="23"/>
      <c r="CO833" s="23"/>
      <c r="CP833" s="23"/>
      <c r="CQ833" s="23"/>
      <c r="CR833" s="23"/>
      <c r="CS833" s="23"/>
      <c r="CT833" s="23"/>
      <c r="CU833" s="23"/>
      <c r="CV833" s="23"/>
      <c r="CW833" s="23"/>
      <c r="CX833" s="23"/>
      <c r="CY833" s="23"/>
      <c r="CZ833" s="23"/>
      <c r="DA833" s="23"/>
      <c r="DB833" s="23"/>
      <c r="DC833" s="23"/>
    </row>
    <row r="834" spans="2:114" s="15" customFormat="1">
      <c r="B834" s="1724" t="s">
        <v>994</v>
      </c>
      <c r="C834" s="14"/>
      <c r="D834" s="14"/>
      <c r="E834" s="14"/>
      <c r="F834" s="14"/>
      <c r="G834" s="14"/>
      <c r="H834" s="14"/>
      <c r="I834" s="14"/>
      <c r="J834" s="14"/>
      <c r="K834" s="14"/>
      <c r="L834" s="14"/>
      <c r="M834" s="14"/>
      <c r="N834" s="23"/>
      <c r="O834" s="23"/>
      <c r="P834" s="23"/>
      <c r="Q834" s="23"/>
      <c r="R834" s="23"/>
      <c r="S834" s="23"/>
      <c r="T834" s="23"/>
      <c r="U834" s="23"/>
      <c r="V834" s="23"/>
      <c r="W834" s="23"/>
      <c r="AE834" s="23"/>
      <c r="BP834" s="23"/>
      <c r="BQ834" s="23"/>
      <c r="BR834" s="23"/>
      <c r="BS834" s="23"/>
      <c r="BT834" s="23"/>
      <c r="BU834" s="23"/>
      <c r="BV834" s="23"/>
      <c r="BW834" s="23"/>
      <c r="BX834" s="23"/>
      <c r="BY834" s="23"/>
      <c r="BZ834" s="23"/>
      <c r="CA834" s="23"/>
      <c r="CB834" s="23"/>
      <c r="CC834" s="23"/>
      <c r="CD834" s="23"/>
      <c r="CE834" s="23"/>
      <c r="CF834" s="23"/>
      <c r="CG834" s="23"/>
      <c r="CH834" s="23"/>
      <c r="CI834" s="23"/>
      <c r="CJ834" s="23"/>
      <c r="CK834" s="23"/>
      <c r="CL834" s="23"/>
      <c r="CM834" s="23"/>
      <c r="CN834" s="23"/>
      <c r="CO834" s="23"/>
      <c r="CP834" s="23"/>
      <c r="CQ834" s="23"/>
      <c r="CR834" s="23"/>
      <c r="CS834" s="23"/>
      <c r="CT834" s="23"/>
      <c r="CU834" s="23"/>
      <c r="CV834" s="23"/>
      <c r="CW834" s="23"/>
      <c r="CX834" s="23"/>
      <c r="CY834" s="23"/>
      <c r="CZ834" s="23"/>
      <c r="DA834" s="23"/>
      <c r="DB834" s="23"/>
      <c r="DC834" s="23"/>
    </row>
    <row r="835" spans="2:114">
      <c r="B835" t="s">
        <v>148</v>
      </c>
      <c r="BX835" s="81">
        <f t="shared" ref="BX835:CV835" si="1007">+BX301-(BX310-BX317)</f>
        <v>108.55600000000001</v>
      </c>
      <c r="BY835" s="81">
        <f t="shared" si="1007"/>
        <v>118.58200000000002</v>
      </c>
      <c r="BZ835" s="81">
        <f t="shared" si="1007"/>
        <v>122.71300000000006</v>
      </c>
      <c r="CA835" s="81">
        <f t="shared" si="1007"/>
        <v>128.07100000000005</v>
      </c>
      <c r="CB835" s="81">
        <f t="shared" si="1007"/>
        <v>129.50800000000004</v>
      </c>
      <c r="CC835" s="81">
        <f t="shared" si="1007"/>
        <v>139.44800000000004</v>
      </c>
      <c r="CD835" s="81">
        <f t="shared" si="1007"/>
        <v>139.92899999999995</v>
      </c>
      <c r="CE835" s="81">
        <f t="shared" si="1007"/>
        <v>146.84100000000001</v>
      </c>
      <c r="CF835" s="81">
        <f t="shared" si="1007"/>
        <v>144.517</v>
      </c>
      <c r="CG835" s="81">
        <f t="shared" si="1007"/>
        <v>154.29099999999997</v>
      </c>
      <c r="CH835" s="81">
        <f t="shared" si="1007"/>
        <v>150.30399999999995</v>
      </c>
      <c r="CI835" s="81">
        <f t="shared" si="1007"/>
        <v>159.60600000000002</v>
      </c>
      <c r="CJ835" s="81">
        <f t="shared" si="1007"/>
        <v>149.56299999999999</v>
      </c>
      <c r="CK835" s="81">
        <f t="shared" si="1007"/>
        <v>158.12499999999991</v>
      </c>
      <c r="CL835" s="81">
        <f t="shared" si="1007"/>
        <v>160.07499999999999</v>
      </c>
      <c r="CM835" s="81">
        <f t="shared" si="1007"/>
        <v>167.24400000000003</v>
      </c>
      <c r="CN835" s="81">
        <f t="shared" si="1007"/>
        <v>172.73400000000004</v>
      </c>
      <c r="CO835" s="81">
        <f t="shared" si="1007"/>
        <v>170.88600000000008</v>
      </c>
      <c r="CP835" s="81">
        <f t="shared" si="1007"/>
        <v>174.16999999999996</v>
      </c>
      <c r="CQ835" s="81">
        <f t="shared" si="1007"/>
        <v>180.81399999999999</v>
      </c>
      <c r="CR835" s="81">
        <f t="shared" si="1007"/>
        <v>184.46000000000009</v>
      </c>
      <c r="CS835" s="81">
        <f t="shared" si="1007"/>
        <v>195.02800000000002</v>
      </c>
      <c r="CT835" s="81">
        <f t="shared" si="1007"/>
        <v>202.13099999999997</v>
      </c>
      <c r="CU835" s="81">
        <f t="shared" si="1007"/>
        <v>205.69199999999995</v>
      </c>
      <c r="CV835" s="81">
        <f t="shared" si="1007"/>
        <v>198.61900000000003</v>
      </c>
      <c r="DF835" s="81"/>
      <c r="DG835" s="81"/>
      <c r="DH835" s="81"/>
      <c r="DI835" s="81"/>
    </row>
    <row r="836" spans="2:114">
      <c r="B836" t="s">
        <v>248</v>
      </c>
      <c r="BX836" s="81">
        <f t="shared" ref="BX836:CV836" si="1008">+BX503</f>
        <v>23.159000000000002</v>
      </c>
      <c r="BY836" s="81">
        <f t="shared" si="1008"/>
        <v>23.974999999999994</v>
      </c>
      <c r="BZ836" s="81">
        <f t="shared" si="1008"/>
        <v>26.058000000000003</v>
      </c>
      <c r="CA836" s="81">
        <f t="shared" si="1008"/>
        <v>25.454999999999998</v>
      </c>
      <c r="CB836" s="81">
        <f t="shared" si="1008"/>
        <v>30.474999999999998</v>
      </c>
      <c r="CC836" s="81">
        <f t="shared" si="1008"/>
        <v>31.899000000000001</v>
      </c>
      <c r="CD836" s="81">
        <f t="shared" si="1008"/>
        <v>38.695000000000007</v>
      </c>
      <c r="CE836" s="81">
        <f t="shared" si="1008"/>
        <v>47.45000000000001</v>
      </c>
      <c r="CF836" s="81">
        <f t="shared" si="1008"/>
        <v>47.641999999999996</v>
      </c>
      <c r="CG836" s="81">
        <f t="shared" si="1008"/>
        <v>43.054999999999986</v>
      </c>
      <c r="CH836" s="81">
        <f t="shared" si="1008"/>
        <v>41.002000000000017</v>
      </c>
      <c r="CI836" s="81">
        <f t="shared" si="1008"/>
        <v>44.294999999999987</v>
      </c>
      <c r="CJ836" s="81">
        <f t="shared" si="1008"/>
        <v>47.620000000000005</v>
      </c>
      <c r="CK836" s="81">
        <f t="shared" si="1008"/>
        <v>51.800999999999988</v>
      </c>
      <c r="CL836" s="81">
        <f t="shared" si="1008"/>
        <v>53.999000000000002</v>
      </c>
      <c r="CM836" s="81">
        <f t="shared" si="1008"/>
        <v>56.240999999999993</v>
      </c>
      <c r="CN836" s="81">
        <f t="shared" si="1008"/>
        <v>56.983000000000004</v>
      </c>
      <c r="CO836" s="81">
        <f t="shared" si="1008"/>
        <v>60.84899999999999</v>
      </c>
      <c r="CP836" s="81">
        <f t="shared" si="1008"/>
        <v>65.899000000000001</v>
      </c>
      <c r="CQ836" s="81">
        <f t="shared" si="1008"/>
        <v>70.737000000000009</v>
      </c>
      <c r="CR836" s="81">
        <f t="shared" si="1008"/>
        <v>84.700999999999979</v>
      </c>
      <c r="CS836" s="81">
        <f t="shared" si="1008"/>
        <v>91.807999999999993</v>
      </c>
      <c r="CT836" s="81">
        <f t="shared" si="1008"/>
        <v>96.442999999999998</v>
      </c>
      <c r="CU836" s="81">
        <f t="shared" si="1008"/>
        <v>102.94799999999999</v>
      </c>
      <c r="CV836" s="81">
        <f t="shared" si="1008"/>
        <v>99.40100000000001</v>
      </c>
      <c r="DF836" s="81"/>
      <c r="DG836" s="81"/>
      <c r="DH836" s="81"/>
      <c r="DI836" s="81"/>
    </row>
    <row r="837" spans="2:114">
      <c r="B837" t="s">
        <v>1225</v>
      </c>
      <c r="BX837" s="1726">
        <f>+BX673</f>
        <v>30.611999999999988</v>
      </c>
      <c r="BY837" s="1726">
        <f t="shared" ref="BY837:CD837" si="1009">+BY673</f>
        <v>34.849000000000004</v>
      </c>
      <c r="BZ837" s="1726">
        <f t="shared" si="1009"/>
        <v>37.966999999999999</v>
      </c>
      <c r="CA837" s="1726">
        <f t="shared" si="1009"/>
        <v>39.717999999999989</v>
      </c>
      <c r="CB837" s="1726">
        <f t="shared" si="1009"/>
        <v>46.751999999999967</v>
      </c>
      <c r="CC837" s="1726">
        <f t="shared" si="1009"/>
        <v>45.073</v>
      </c>
      <c r="CD837" s="1726">
        <f t="shared" si="1009"/>
        <v>46.391999999999982</v>
      </c>
      <c r="CE837" s="1726">
        <f t="shared" ref="CE837:CJ837" si="1010">+CE673</f>
        <v>45.395000000000017</v>
      </c>
      <c r="CF837" s="1726">
        <f t="shared" si="1010"/>
        <v>48.728999999999999</v>
      </c>
      <c r="CG837" s="1726">
        <f t="shared" si="1010"/>
        <v>50.689</v>
      </c>
      <c r="CH837" s="1726">
        <f t="shared" si="1010"/>
        <v>57.13900000000001</v>
      </c>
      <c r="CI837" s="1726">
        <f t="shared" si="1010"/>
        <v>59.628999999999976</v>
      </c>
      <c r="CJ837" s="1726">
        <f t="shared" si="1010"/>
        <v>63.205000000000005</v>
      </c>
      <c r="CK837" s="1726">
        <f t="shared" ref="CK837:CP837" si="1011">+CK673</f>
        <v>65.350999999999999</v>
      </c>
      <c r="CL837" s="1726">
        <f t="shared" si="1011"/>
        <v>69.785999999999973</v>
      </c>
      <c r="CM837" s="1726">
        <f t="shared" si="1011"/>
        <v>70.880000000000024</v>
      </c>
      <c r="CN837" s="1726">
        <f t="shared" si="1011"/>
        <v>76.033000000000015</v>
      </c>
      <c r="CO837" s="1726">
        <f t="shared" si="1011"/>
        <v>79.533000000000015</v>
      </c>
      <c r="CP837" s="1726">
        <f t="shared" si="1011"/>
        <v>81.40300000000002</v>
      </c>
      <c r="CQ837" s="1726">
        <f t="shared" ref="CQ837:CV837" si="1012">+CQ673</f>
        <v>81.593999999999994</v>
      </c>
      <c r="CR837" s="1726">
        <f t="shared" si="1012"/>
        <v>111.48899999999998</v>
      </c>
      <c r="CS837" s="1726">
        <f t="shared" si="1012"/>
        <v>133.45499999999998</v>
      </c>
      <c r="CT837" s="1726">
        <f t="shared" si="1012"/>
        <v>121.46800000000002</v>
      </c>
      <c r="CU837" s="1726">
        <f t="shared" si="1012"/>
        <v>127.85100000000003</v>
      </c>
      <c r="CV837" s="1726">
        <f t="shared" si="1012"/>
        <v>129.55400000000003</v>
      </c>
      <c r="DF837" s="1726"/>
      <c r="DG837" s="1726"/>
      <c r="DH837" s="1726"/>
      <c r="DI837" s="1726"/>
    </row>
    <row r="838" spans="2:114">
      <c r="B838" t="s">
        <v>462</v>
      </c>
      <c r="BX838" s="81">
        <f>SUM(BX835:BX837)</f>
        <v>162.327</v>
      </c>
      <c r="BY838" s="81">
        <f t="shared" ref="BY838:CJ838" si="1013">SUM(BY835:BY837)</f>
        <v>177.40600000000001</v>
      </c>
      <c r="BZ838" s="81">
        <f t="shared" si="1013"/>
        <v>186.73800000000006</v>
      </c>
      <c r="CA838" s="81">
        <f t="shared" si="1013"/>
        <v>193.24400000000006</v>
      </c>
      <c r="CB838" s="81">
        <f t="shared" si="1013"/>
        <v>206.73500000000001</v>
      </c>
      <c r="CC838" s="81">
        <f t="shared" si="1013"/>
        <v>216.42000000000004</v>
      </c>
      <c r="CD838" s="81">
        <f t="shared" si="1013"/>
        <v>225.01599999999996</v>
      </c>
      <c r="CE838" s="81">
        <f t="shared" si="1013"/>
        <v>239.68600000000004</v>
      </c>
      <c r="CF838" s="81">
        <f t="shared" si="1013"/>
        <v>240.88799999999998</v>
      </c>
      <c r="CG838" s="81">
        <f t="shared" si="1013"/>
        <v>248.03499999999994</v>
      </c>
      <c r="CH838" s="81">
        <f t="shared" si="1013"/>
        <v>248.44499999999996</v>
      </c>
      <c r="CI838" s="81">
        <f t="shared" si="1013"/>
        <v>263.52999999999997</v>
      </c>
      <c r="CJ838" s="81">
        <f t="shared" si="1013"/>
        <v>260.38799999999998</v>
      </c>
      <c r="CK838" s="81">
        <f t="shared" ref="CK838:CP838" si="1014">SUM(CK835:CK837)</f>
        <v>275.27699999999993</v>
      </c>
      <c r="CL838" s="81">
        <f t="shared" si="1014"/>
        <v>283.85999999999996</v>
      </c>
      <c r="CM838" s="81">
        <f t="shared" si="1014"/>
        <v>294.36500000000001</v>
      </c>
      <c r="CN838" s="81">
        <f t="shared" si="1014"/>
        <v>305.75000000000006</v>
      </c>
      <c r="CO838" s="81">
        <f t="shared" si="1014"/>
        <v>311.26800000000009</v>
      </c>
      <c r="CP838" s="81">
        <f t="shared" si="1014"/>
        <v>321.47199999999998</v>
      </c>
      <c r="CQ838" s="81">
        <f t="shared" ref="CQ838:CV838" si="1015">SUM(CQ835:CQ837)</f>
        <v>333.14499999999998</v>
      </c>
      <c r="CR838" s="81">
        <f t="shared" si="1015"/>
        <v>380.65000000000003</v>
      </c>
      <c r="CS838" s="81">
        <f t="shared" si="1015"/>
        <v>420.291</v>
      </c>
      <c r="CT838" s="81">
        <f t="shared" si="1015"/>
        <v>420.04199999999997</v>
      </c>
      <c r="CU838" s="81">
        <f t="shared" si="1015"/>
        <v>436.49099999999999</v>
      </c>
      <c r="CV838" s="81">
        <f t="shared" si="1015"/>
        <v>427.57400000000007</v>
      </c>
      <c r="DF838" s="81"/>
      <c r="DG838" s="81"/>
      <c r="DH838" s="81"/>
      <c r="DI838" s="81"/>
    </row>
    <row r="839" spans="2:114">
      <c r="B839" s="1725" t="s">
        <v>1237</v>
      </c>
      <c r="BX839" s="1727">
        <f>+IS!CO37-BX838</f>
        <v>0</v>
      </c>
      <c r="BY839" s="1727">
        <f>+IS!CP37-BY838</f>
        <v>0</v>
      </c>
      <c r="BZ839" s="1728">
        <f>+IS!CQ37-BZ838</f>
        <v>8.9999999999918145E-2</v>
      </c>
      <c r="CA839" s="1727">
        <f>+IS!CR37-CA838</f>
        <v>0</v>
      </c>
      <c r="CB839" s="1727">
        <f>+IS!CT37-CB838</f>
        <v>0</v>
      </c>
      <c r="CC839" s="1728">
        <f>+IS!CU37-CC838</f>
        <v>0</v>
      </c>
      <c r="CD839" s="1727">
        <f>+IS!CV37-CD838</f>
        <v>0</v>
      </c>
      <c r="CE839" s="1727">
        <f>+IS!CW37-CE838</f>
        <v>0</v>
      </c>
      <c r="CF839" s="1727">
        <f>+IS!CX37-CF838</f>
        <v>0</v>
      </c>
      <c r="CG839" s="1727">
        <f>+IS!CY37-CG838</f>
        <v>0</v>
      </c>
      <c r="CH839" s="1727">
        <f>+IS!CZ37-CH838</f>
        <v>0</v>
      </c>
      <c r="CI839" s="1727">
        <f>+IS!DA37-CI838</f>
        <v>0</v>
      </c>
      <c r="CJ839" s="1727">
        <f>+IS!DB37-CJ838</f>
        <v>0</v>
      </c>
      <c r="CK839" s="1727">
        <f>+IS!DC37-CK838</f>
        <v>0</v>
      </c>
      <c r="CL839" s="1727">
        <f>+IS!DD37-CL838</f>
        <v>1.0000000000331966E-3</v>
      </c>
      <c r="CM839" s="1727">
        <f>+IS!DE37-CM838</f>
        <v>0</v>
      </c>
      <c r="CN839" s="1727">
        <f>+IS!DF37-CN838</f>
        <v>-2.0000000000663931E-3</v>
      </c>
      <c r="CO839" s="1727">
        <f>+IS!DG37-CO838</f>
        <v>-6.0000000001991793E-3</v>
      </c>
      <c r="CP839" s="1727">
        <f>+IS!DH37-CP838</f>
        <v>0</v>
      </c>
      <c r="CQ839" s="1727">
        <f>+IS!DI37-CQ838</f>
        <v>0</v>
      </c>
      <c r="CR839" s="1727">
        <f>+IS!DJ37-CR838</f>
        <v>0</v>
      </c>
      <c r="CS839" s="1727">
        <f>+IS!DK37-CS838</f>
        <v>0</v>
      </c>
      <c r="CT839" s="1727">
        <f>+IS!DL37-CT838</f>
        <v>0</v>
      </c>
      <c r="CU839" s="1727">
        <f>+IS!DM37-CU838</f>
        <v>0</v>
      </c>
      <c r="CV839" s="1727">
        <f>+IS!DN37-CV838</f>
        <v>0</v>
      </c>
      <c r="CW839" s="1727"/>
      <c r="CX839" s="1727"/>
      <c r="CY839" s="1727"/>
      <c r="CZ839" s="1727"/>
      <c r="DA839" s="1727"/>
      <c r="DB839" s="1727"/>
      <c r="DC839" s="1727"/>
      <c r="DF839" s="1727"/>
      <c r="DG839" s="1727"/>
      <c r="DH839" s="1727"/>
      <c r="DI839" s="1727"/>
    </row>
    <row r="841" spans="2:114">
      <c r="B841" s="1724" t="s">
        <v>994</v>
      </c>
    </row>
    <row r="842" spans="2:114">
      <c r="B842" t="s">
        <v>148</v>
      </c>
      <c r="BX842" s="1612">
        <f>+BX835/BX$838</f>
        <v>0.6687488834266635</v>
      </c>
      <c r="BY842" s="1612">
        <f t="shared" ref="BY842:CD842" si="1016">+BY835/BY$838</f>
        <v>0.66842158664306739</v>
      </c>
      <c r="BZ842" s="1612">
        <f t="shared" si="1016"/>
        <v>0.6571399500905013</v>
      </c>
      <c r="CA842" s="1612">
        <f t="shared" si="1016"/>
        <v>0.66274243961002677</v>
      </c>
      <c r="CB842" s="1612">
        <f t="shared" si="1016"/>
        <v>0.62644448206641368</v>
      </c>
      <c r="CC842" s="1612">
        <f t="shared" si="1016"/>
        <v>0.64433970982349142</v>
      </c>
      <c r="CD842" s="1612">
        <f t="shared" si="1016"/>
        <v>0.62186244533722035</v>
      </c>
      <c r="CE842" s="1612">
        <f t="shared" ref="CE842:CF844" si="1017">+CE835/CE$838</f>
        <v>0.61263903607219439</v>
      </c>
      <c r="CF842" s="1612">
        <f t="shared" si="1017"/>
        <v>0.5999344093520641</v>
      </c>
      <c r="CG842" s="1612">
        <f t="shared" ref="CG842:CH844" si="1018">+CG835/CG$838</f>
        <v>0.62205333924647732</v>
      </c>
      <c r="CH842" s="1612">
        <f t="shared" si="1018"/>
        <v>0.60497896918835137</v>
      </c>
      <c r="CI842" s="1612">
        <f t="shared" ref="CI842:CJ844" si="1019">+CI835/CI$838</f>
        <v>0.60564641596782165</v>
      </c>
      <c r="CJ842" s="1612">
        <f t="shared" si="1019"/>
        <v>0.57438514831712673</v>
      </c>
      <c r="CK842" s="1612">
        <f t="shared" ref="CK842:CM844" si="1020">+CK835/CK$838</f>
        <v>0.574421400988822</v>
      </c>
      <c r="CL842" s="1612">
        <f t="shared" si="1020"/>
        <v>0.56392235609103081</v>
      </c>
      <c r="CM842" s="1612">
        <f t="shared" si="1020"/>
        <v>0.56815178434936231</v>
      </c>
      <c r="CN842" s="1612">
        <f t="shared" ref="CN842:CO844" si="1021">+CN835/CN$838</f>
        <v>0.56495175797219954</v>
      </c>
      <c r="CO842" s="1612">
        <f t="shared" si="1021"/>
        <v>0.54899957592813919</v>
      </c>
      <c r="CP842" s="1612">
        <f t="shared" ref="CP842:CQ844" si="1022">+CP835/CP$838</f>
        <v>0.54178902050567379</v>
      </c>
      <c r="CQ842" s="1612">
        <f t="shared" si="1022"/>
        <v>0.54274865298893871</v>
      </c>
      <c r="CR842" s="1612">
        <f t="shared" ref="CR842:CS844" si="1023">+CR835/CR$838</f>
        <v>0.48459214501510595</v>
      </c>
      <c r="CS842" s="1612">
        <f t="shared" si="1023"/>
        <v>0.46403087384692993</v>
      </c>
      <c r="CT842" s="1612">
        <f t="shared" ref="CT842:CU844" si="1024">+CT835/CT$838</f>
        <v>0.48121616409787588</v>
      </c>
      <c r="CU842" s="1612">
        <f t="shared" si="1024"/>
        <v>0.47123995683759795</v>
      </c>
      <c r="CV842" s="1612">
        <f>+CV835/CV$838</f>
        <v>0.46452543887140002</v>
      </c>
      <c r="DF842" s="1612"/>
      <c r="DG842" s="1612"/>
      <c r="DH842" s="1612"/>
      <c r="DI842" s="1612"/>
    </row>
    <row r="843" spans="2:114">
      <c r="B843" t="s">
        <v>248</v>
      </c>
      <c r="BX843" s="1612">
        <f t="shared" ref="BX843:CD844" si="1025">+BX836/BX$838</f>
        <v>0.14266881048747285</v>
      </c>
      <c r="BY843" s="1612">
        <f t="shared" si="1025"/>
        <v>0.13514199068802629</v>
      </c>
      <c r="BZ843" s="1612">
        <f t="shared" si="1025"/>
        <v>0.1395431031712881</v>
      </c>
      <c r="CA843" s="1612">
        <f t="shared" si="1025"/>
        <v>0.1317246589803564</v>
      </c>
      <c r="CB843" s="1612">
        <f t="shared" si="1025"/>
        <v>0.14741093670641156</v>
      </c>
      <c r="CC843" s="1612">
        <f t="shared" si="1025"/>
        <v>0.14739395619628498</v>
      </c>
      <c r="CD843" s="1612">
        <f t="shared" si="1025"/>
        <v>0.17196554911650733</v>
      </c>
      <c r="CE843" s="1612">
        <f t="shared" si="1017"/>
        <v>0.19796734060395685</v>
      </c>
      <c r="CF843" s="1612">
        <f t="shared" si="1017"/>
        <v>0.19777656006110725</v>
      </c>
      <c r="CG843" s="1612">
        <f t="shared" si="1018"/>
        <v>0.17358437317314088</v>
      </c>
      <c r="CH843" s="1612">
        <f t="shared" si="1018"/>
        <v>0.16503451468131788</v>
      </c>
      <c r="CI843" s="1612">
        <f t="shared" si="1019"/>
        <v>0.16808333017113797</v>
      </c>
      <c r="CJ843" s="1612">
        <f t="shared" si="1019"/>
        <v>0.18288093153294319</v>
      </c>
      <c r="CK843" s="1612">
        <f t="shared" si="1020"/>
        <v>0.188177726435554</v>
      </c>
      <c r="CL843" s="1612">
        <f t="shared" si="1020"/>
        <v>0.19023109983794831</v>
      </c>
      <c r="CM843" s="1612">
        <f t="shared" si="1020"/>
        <v>0.19105871961680224</v>
      </c>
      <c r="CN843" s="1612">
        <f t="shared" si="1021"/>
        <v>0.18637121831561732</v>
      </c>
      <c r="CO843" s="1612">
        <f t="shared" si="1021"/>
        <v>0.19548748988010323</v>
      </c>
      <c r="CP843" s="1612">
        <f t="shared" si="1022"/>
        <v>0.20499141449333069</v>
      </c>
      <c r="CQ843" s="1612">
        <f t="shared" si="1022"/>
        <v>0.21233096699635298</v>
      </c>
      <c r="CR843" s="1612">
        <f t="shared" si="1023"/>
        <v>0.22251674766846177</v>
      </c>
      <c r="CS843" s="1612">
        <f t="shared" si="1023"/>
        <v>0.21843912907961388</v>
      </c>
      <c r="CT843" s="1612">
        <f t="shared" si="1024"/>
        <v>0.22960323015317516</v>
      </c>
      <c r="CU843" s="1612">
        <f t="shared" si="1024"/>
        <v>0.23585366021292534</v>
      </c>
      <c r="CV843" s="1612">
        <f>+CV836/CV$838</f>
        <v>0.2324767174804829</v>
      </c>
      <c r="DF843" s="1612"/>
      <c r="DG843" s="1612"/>
      <c r="DH843" s="1612"/>
      <c r="DI843" s="1612"/>
    </row>
    <row r="844" spans="2:114">
      <c r="B844" t="s">
        <v>1225</v>
      </c>
      <c r="BX844" s="1612">
        <f t="shared" si="1025"/>
        <v>0.18858230608586365</v>
      </c>
      <c r="BY844" s="1612">
        <f t="shared" si="1025"/>
        <v>0.19643642266890637</v>
      </c>
      <c r="BZ844" s="1612">
        <f t="shared" si="1025"/>
        <v>0.20331694673821069</v>
      </c>
      <c r="CA844" s="1612">
        <f t="shared" si="1025"/>
        <v>0.20553290140961675</v>
      </c>
      <c r="CB844" s="1612">
        <f t="shared" si="1025"/>
        <v>0.22614458122717471</v>
      </c>
      <c r="CC844" s="1612">
        <f t="shared" si="1025"/>
        <v>0.20826633398022359</v>
      </c>
      <c r="CD844" s="1612">
        <f t="shared" si="1025"/>
        <v>0.20617200554627221</v>
      </c>
      <c r="CE844" s="1612">
        <f t="shared" si="1017"/>
        <v>0.18939362332384874</v>
      </c>
      <c r="CF844" s="1612">
        <f t="shared" si="1017"/>
        <v>0.20228903058682876</v>
      </c>
      <c r="CG844" s="1612">
        <f t="shared" si="1018"/>
        <v>0.20436228758038186</v>
      </c>
      <c r="CH844" s="1612">
        <f t="shared" si="1018"/>
        <v>0.22998651613033072</v>
      </c>
      <c r="CI844" s="1612">
        <f t="shared" si="1019"/>
        <v>0.22627025386104041</v>
      </c>
      <c r="CJ844" s="1612">
        <f t="shared" si="1019"/>
        <v>0.24273392014993014</v>
      </c>
      <c r="CK844" s="1612">
        <f t="shared" si="1020"/>
        <v>0.23740087257562389</v>
      </c>
      <c r="CL844" s="1612">
        <f t="shared" si="1020"/>
        <v>0.24584654407102086</v>
      </c>
      <c r="CM844" s="1612">
        <f t="shared" si="1020"/>
        <v>0.24078949603383562</v>
      </c>
      <c r="CN844" s="1612">
        <f t="shared" si="1021"/>
        <v>0.24867702371218317</v>
      </c>
      <c r="CO844" s="1612">
        <f t="shared" si="1021"/>
        <v>0.25551293419175758</v>
      </c>
      <c r="CP844" s="1612">
        <f t="shared" si="1022"/>
        <v>0.25321956500099552</v>
      </c>
      <c r="CQ844" s="1612">
        <f t="shared" si="1022"/>
        <v>0.24492038001470831</v>
      </c>
      <c r="CR844" s="1612">
        <f t="shared" si="1023"/>
        <v>0.29289110731643231</v>
      </c>
      <c r="CS844" s="1612">
        <f t="shared" si="1023"/>
        <v>0.31752999707345619</v>
      </c>
      <c r="CT844" s="1612">
        <f t="shared" si="1024"/>
        <v>0.28918060574894899</v>
      </c>
      <c r="CU844" s="1612">
        <f t="shared" si="1024"/>
        <v>0.29290638294947668</v>
      </c>
      <c r="CV844" s="1612">
        <f>+CV837/CV$838</f>
        <v>0.30299784364811705</v>
      </c>
      <c r="DF844" s="1612"/>
      <c r="DG844" s="1612"/>
      <c r="DH844" s="1612"/>
      <c r="DI844" s="1612"/>
    </row>
    <row r="846" spans="2:114">
      <c r="B846" t="s">
        <v>226</v>
      </c>
      <c r="Q846" s="1722">
        <f>+CE846</f>
        <v>0.61263903607219439</v>
      </c>
      <c r="R846" s="1722">
        <f>+CI846</f>
        <v>0.60564641596782165</v>
      </c>
      <c r="S846" s="1722">
        <f>+CM846</f>
        <v>0.56815178434936231</v>
      </c>
      <c r="T846" s="1722">
        <f>+CQ846</f>
        <v>0.54274865298893871</v>
      </c>
      <c r="U846" s="1722">
        <f>+CU846</f>
        <v>0.47123995683759795</v>
      </c>
      <c r="V846" s="1722">
        <f>+CY846</f>
        <v>0.46452543887140002</v>
      </c>
      <c r="W846" s="1722">
        <f>+DC846</f>
        <v>0.46452543887140002</v>
      </c>
      <c r="X846" s="1729">
        <f t="shared" ref="X846:Z847" si="1026">+W846</f>
        <v>0.46452543887140002</v>
      </c>
      <c r="Y846" s="1729">
        <f t="shared" si="1026"/>
        <v>0.46452543887140002</v>
      </c>
      <c r="Z846" s="1729">
        <f t="shared" si="1026"/>
        <v>0.46452543887140002</v>
      </c>
      <c r="AA846" s="1729">
        <f t="shared" ref="AA846:AA847" si="1027">+Z846</f>
        <v>0.46452543887140002</v>
      </c>
      <c r="AB846" s="1729">
        <f t="shared" ref="AB846:AB847" si="1028">+AA846</f>
        <v>0.46452543887140002</v>
      </c>
      <c r="AC846" s="1729">
        <f t="shared" ref="AC846:AC847" si="1029">+AB846</f>
        <v>0.46452543887140002</v>
      </c>
      <c r="AD846" s="1729">
        <f t="shared" ref="AD846:AD847" si="1030">+AC846</f>
        <v>0.46452543887140002</v>
      </c>
      <c r="BX846" s="1722">
        <f>+BX842</f>
        <v>0.6687488834266635</v>
      </c>
      <c r="BY846" s="1722">
        <f t="shared" ref="BY846:CD846" si="1031">+BY842</f>
        <v>0.66842158664306739</v>
      </c>
      <c r="BZ846" s="1722">
        <f t="shared" si="1031"/>
        <v>0.6571399500905013</v>
      </c>
      <c r="CA846" s="1722">
        <f t="shared" si="1031"/>
        <v>0.66274243961002677</v>
      </c>
      <c r="CB846" s="1722">
        <f t="shared" si="1031"/>
        <v>0.62644448206641368</v>
      </c>
      <c r="CC846" s="1722">
        <f t="shared" si="1031"/>
        <v>0.64433970982349142</v>
      </c>
      <c r="CD846" s="1722">
        <f t="shared" si="1031"/>
        <v>0.62186244533722035</v>
      </c>
      <c r="CE846" s="1722">
        <f t="shared" ref="CE846:CJ846" si="1032">+CE842</f>
        <v>0.61263903607219439</v>
      </c>
      <c r="CF846" s="1722">
        <f t="shared" si="1032"/>
        <v>0.5999344093520641</v>
      </c>
      <c r="CG846" s="1722">
        <f t="shared" si="1032"/>
        <v>0.62205333924647732</v>
      </c>
      <c r="CH846" s="1722">
        <f t="shared" si="1032"/>
        <v>0.60497896918835137</v>
      </c>
      <c r="CI846" s="1722">
        <f t="shared" si="1032"/>
        <v>0.60564641596782165</v>
      </c>
      <c r="CJ846" s="1722">
        <f t="shared" si="1032"/>
        <v>0.57438514831712673</v>
      </c>
      <c r="CK846" s="1722">
        <f t="shared" ref="CK846:CP846" si="1033">+CK842</f>
        <v>0.574421400988822</v>
      </c>
      <c r="CL846" s="1722">
        <f t="shared" si="1033"/>
        <v>0.56392235609103081</v>
      </c>
      <c r="CM846" s="1722">
        <f t="shared" si="1033"/>
        <v>0.56815178434936231</v>
      </c>
      <c r="CN846" s="1722">
        <f t="shared" si="1033"/>
        <v>0.56495175797219954</v>
      </c>
      <c r="CO846" s="1722">
        <f t="shared" si="1033"/>
        <v>0.54899957592813919</v>
      </c>
      <c r="CP846" s="1722">
        <f t="shared" si="1033"/>
        <v>0.54178902050567379</v>
      </c>
      <c r="CQ846" s="1722">
        <f t="shared" ref="CQ846:CV846" si="1034">+CQ842</f>
        <v>0.54274865298893871</v>
      </c>
      <c r="CR846" s="1722">
        <f t="shared" si="1034"/>
        <v>0.48459214501510595</v>
      </c>
      <c r="CS846" s="1722">
        <f t="shared" si="1034"/>
        <v>0.46403087384692993</v>
      </c>
      <c r="CT846" s="1722">
        <f t="shared" si="1034"/>
        <v>0.48121616409787588</v>
      </c>
      <c r="CU846" s="1722">
        <f t="shared" si="1034"/>
        <v>0.47123995683759795</v>
      </c>
      <c r="CV846" s="1722">
        <f t="shared" si="1034"/>
        <v>0.46452543887140002</v>
      </c>
      <c r="CW846" s="1729">
        <f t="shared" ref="CW846:CY847" si="1035">+CV846</f>
        <v>0.46452543887140002</v>
      </c>
      <c r="CX846" s="1729">
        <f t="shared" si="1035"/>
        <v>0.46452543887140002</v>
      </c>
      <c r="CY846" s="1729">
        <f t="shared" si="1035"/>
        <v>0.46452543887140002</v>
      </c>
      <c r="CZ846" s="1729">
        <f t="shared" ref="CZ846:CZ847" si="1036">+CY846</f>
        <v>0.46452543887140002</v>
      </c>
      <c r="DA846" s="1729">
        <f t="shared" ref="DA846:DA847" si="1037">+CZ846</f>
        <v>0.46452543887140002</v>
      </c>
      <c r="DB846" s="1729">
        <f t="shared" ref="DB846:DB847" si="1038">+DA846</f>
        <v>0.46452543887140002</v>
      </c>
      <c r="DC846" s="1729">
        <f t="shared" ref="DC846:DC847" si="1039">+DB846</f>
        <v>0.46452543887140002</v>
      </c>
      <c r="DF846" s="1722"/>
      <c r="DG846" s="1722"/>
      <c r="DH846" s="1722"/>
      <c r="DI846" s="1722"/>
      <c r="DJ846" s="1722"/>
    </row>
    <row r="847" spans="2:114">
      <c r="B847" t="s">
        <v>1147</v>
      </c>
      <c r="Q847" s="1722">
        <f>+CE847</f>
        <v>0.38736096392780561</v>
      </c>
      <c r="R847" s="1722">
        <f>+CI847</f>
        <v>0.39435358403217835</v>
      </c>
      <c r="S847" s="1722">
        <f>+CM847</f>
        <v>0.43184821565063786</v>
      </c>
      <c r="T847" s="1722">
        <f>+CQ847</f>
        <v>0.45725134701106129</v>
      </c>
      <c r="U847" s="1722">
        <f>+CU847</f>
        <v>0.52876004316240199</v>
      </c>
      <c r="V847" s="1722">
        <f>+CY847</f>
        <v>0.53547456112859992</v>
      </c>
      <c r="W847" s="1722">
        <f>+DC847</f>
        <v>0.53547456112859992</v>
      </c>
      <c r="X847" s="1729">
        <f t="shared" si="1026"/>
        <v>0.53547456112859992</v>
      </c>
      <c r="Y847" s="1729">
        <f t="shared" si="1026"/>
        <v>0.53547456112859992</v>
      </c>
      <c r="Z847" s="1729">
        <f t="shared" si="1026"/>
        <v>0.53547456112859992</v>
      </c>
      <c r="AA847" s="1729">
        <f t="shared" si="1027"/>
        <v>0.53547456112859992</v>
      </c>
      <c r="AB847" s="1729">
        <f t="shared" si="1028"/>
        <v>0.53547456112859992</v>
      </c>
      <c r="AC847" s="1729">
        <f t="shared" si="1029"/>
        <v>0.53547456112859992</v>
      </c>
      <c r="AD847" s="1729">
        <f t="shared" si="1030"/>
        <v>0.53547456112859992</v>
      </c>
      <c r="BX847" s="1722">
        <f>+SUM(BX843:BX844)</f>
        <v>0.3312511165733365</v>
      </c>
      <c r="BY847" s="1722">
        <f t="shared" ref="BY847:CD847" si="1040">+SUM(BY843:BY844)</f>
        <v>0.33157841335693267</v>
      </c>
      <c r="BZ847" s="1722">
        <f t="shared" si="1040"/>
        <v>0.34286004990949881</v>
      </c>
      <c r="CA847" s="1722">
        <f t="shared" si="1040"/>
        <v>0.33725756038997312</v>
      </c>
      <c r="CB847" s="1722">
        <f t="shared" si="1040"/>
        <v>0.37355551793358627</v>
      </c>
      <c r="CC847" s="1722">
        <f t="shared" si="1040"/>
        <v>0.35566029017650858</v>
      </c>
      <c r="CD847" s="1722">
        <f t="shared" si="1040"/>
        <v>0.37813755466277954</v>
      </c>
      <c r="CE847" s="1722">
        <f t="shared" ref="CE847:CJ847" si="1041">+SUM(CE843:CE844)</f>
        <v>0.38736096392780561</v>
      </c>
      <c r="CF847" s="1722">
        <f t="shared" si="1041"/>
        <v>0.40006559064793601</v>
      </c>
      <c r="CG847" s="1722">
        <f t="shared" si="1041"/>
        <v>0.37794666075352273</v>
      </c>
      <c r="CH847" s="1722">
        <f t="shared" si="1041"/>
        <v>0.39502103081164863</v>
      </c>
      <c r="CI847" s="1722">
        <f t="shared" si="1041"/>
        <v>0.39435358403217835</v>
      </c>
      <c r="CJ847" s="1722">
        <f t="shared" si="1041"/>
        <v>0.42561485168287333</v>
      </c>
      <c r="CK847" s="1722">
        <f t="shared" ref="CK847:CP847" si="1042">+SUM(CK843:CK844)</f>
        <v>0.42557859901117789</v>
      </c>
      <c r="CL847" s="1722">
        <f t="shared" si="1042"/>
        <v>0.43607764390896919</v>
      </c>
      <c r="CM847" s="1722">
        <f t="shared" si="1042"/>
        <v>0.43184821565063786</v>
      </c>
      <c r="CN847" s="1722">
        <f t="shared" si="1042"/>
        <v>0.43504824202780046</v>
      </c>
      <c r="CO847" s="1722">
        <f t="shared" si="1042"/>
        <v>0.45100042407186081</v>
      </c>
      <c r="CP847" s="1722">
        <f t="shared" si="1042"/>
        <v>0.45821097949432621</v>
      </c>
      <c r="CQ847" s="1722">
        <f t="shared" ref="CQ847:CV847" si="1043">+SUM(CQ843:CQ844)</f>
        <v>0.45725134701106129</v>
      </c>
      <c r="CR847" s="1722">
        <f t="shared" si="1043"/>
        <v>0.51540785498489405</v>
      </c>
      <c r="CS847" s="1722">
        <f t="shared" si="1043"/>
        <v>0.53596912615307013</v>
      </c>
      <c r="CT847" s="1722">
        <f t="shared" si="1043"/>
        <v>0.51878383590212418</v>
      </c>
      <c r="CU847" s="1722">
        <f t="shared" si="1043"/>
        <v>0.52876004316240199</v>
      </c>
      <c r="CV847" s="1722">
        <f t="shared" si="1043"/>
        <v>0.53547456112859992</v>
      </c>
      <c r="CW847" s="1729">
        <f t="shared" si="1035"/>
        <v>0.53547456112859992</v>
      </c>
      <c r="CX847" s="1729">
        <f t="shared" si="1035"/>
        <v>0.53547456112859992</v>
      </c>
      <c r="CY847" s="1729">
        <f t="shared" si="1035"/>
        <v>0.53547456112859992</v>
      </c>
      <c r="CZ847" s="1729">
        <f t="shared" si="1036"/>
        <v>0.53547456112859992</v>
      </c>
      <c r="DA847" s="1729">
        <f t="shared" si="1037"/>
        <v>0.53547456112859992</v>
      </c>
      <c r="DB847" s="1729">
        <f t="shared" si="1038"/>
        <v>0.53547456112859992</v>
      </c>
      <c r="DC847" s="1729">
        <f t="shared" si="1039"/>
        <v>0.53547456112859992</v>
      </c>
      <c r="DF847" s="1722"/>
      <c r="DG847" s="1722"/>
      <c r="DH847" s="1722"/>
      <c r="DI847" s="1722"/>
      <c r="DJ847" s="1722"/>
    </row>
    <row r="923" s="15" customFormat="1"/>
    <row r="924" s="15" customFormat="1"/>
    <row r="925" s="15" customFormat="1"/>
    <row r="926" s="15" customFormat="1"/>
    <row r="927" s="15" customFormat="1"/>
    <row r="928" s="15" customFormat="1"/>
    <row r="929" s="15" customFormat="1"/>
    <row r="930" s="15" customFormat="1"/>
    <row r="931" s="15" customFormat="1"/>
    <row r="932" s="15" customFormat="1"/>
    <row r="933" s="15" customFormat="1"/>
    <row r="934" s="15" customFormat="1"/>
    <row r="935" s="15" customFormat="1"/>
    <row r="936" s="15" customFormat="1"/>
    <row r="937" s="15" customFormat="1"/>
    <row r="938" s="15" customFormat="1"/>
    <row r="939" s="15" customFormat="1"/>
    <row r="940" s="15" customFormat="1"/>
    <row r="941" s="15" customFormat="1"/>
    <row r="942" s="15" customFormat="1"/>
    <row r="943" s="15" customFormat="1"/>
    <row r="944" s="15" customFormat="1"/>
    <row r="945" s="15" customFormat="1"/>
    <row r="946" s="15" customFormat="1"/>
    <row r="947" s="15" customFormat="1"/>
    <row r="948" s="15" customFormat="1"/>
    <row r="949" s="15" customFormat="1"/>
    <row r="950" s="15" customFormat="1"/>
    <row r="951" s="15" customFormat="1"/>
  </sheetData>
  <phoneticPr fontId="2" type="noConversion"/>
  <pageMargins left="0.7" right="0.7" top="0.75" bottom="0.75" header="0.3" footer="0.3"/>
  <pageSetup scale="80" orientation="landscape" r:id="rId1"/>
  <headerFooter alignWithMargins="0"/>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A1:EE65523"/>
  <sheetViews>
    <sheetView showGridLines="0" zoomScale="70" zoomScaleNormal="70" zoomScaleSheetLayoutView="50" workbookViewId="0">
      <pane xSplit="2" ySplit="7" topLeftCell="C8" activePane="bottomRight" state="frozen"/>
      <selection activeCell="W275" sqref="W275"/>
      <selection pane="topRight" activeCell="W275" sqref="W275"/>
      <selection pane="bottomLeft" activeCell="W275" sqref="W275"/>
      <selection pane="bottomRight" activeCell="C8" sqref="C8"/>
    </sheetView>
  </sheetViews>
  <sheetFormatPr defaultRowHeight="12.75" outlineLevelRow="2" outlineLevelCol="2"/>
  <cols>
    <col min="1" max="1" width="2.42578125" style="15" bestFit="1" customWidth="1"/>
    <col min="2" max="2" width="42.7109375" style="15" customWidth="1"/>
    <col min="3" max="3" width="6.85546875" style="15" bestFit="1" customWidth="1"/>
    <col min="4" max="4" width="7.85546875" style="15" hidden="1" customWidth="1" outlineLevel="1"/>
    <col min="5" max="8" width="8.5703125" style="15" hidden="1" customWidth="1" outlineLevel="1"/>
    <col min="9" max="10" width="9.140625" style="15" hidden="1" customWidth="1" outlineLevel="1"/>
    <col min="11" max="11" width="9.28515625" style="15" hidden="1" customWidth="1" outlineLevel="1"/>
    <col min="12" max="12" width="9.42578125" style="15" hidden="1" customWidth="1" outlineLevel="1"/>
    <col min="13" max="14" width="9.140625" style="15" hidden="1" customWidth="1" outlineLevel="1"/>
    <col min="15" max="15" width="10.140625" style="15" hidden="1" customWidth="1" outlineLevel="1"/>
    <col min="16" max="16" width="9.85546875" style="15" hidden="1" customWidth="1" outlineLevel="1" collapsed="1"/>
    <col min="17" max="17" width="10.42578125" style="15" hidden="1" customWidth="1" outlineLevel="1" collapsed="1"/>
    <col min="18" max="19" width="10.28515625" style="15" hidden="1" customWidth="1" outlineLevel="1" collapsed="1"/>
    <col min="20" max="20" width="10" style="15" hidden="1" customWidth="1" outlineLevel="1" collapsed="1"/>
    <col min="21" max="21" width="10" style="15" customWidth="1" collapsed="1"/>
    <col min="22" max="24" width="10" style="15" customWidth="1"/>
    <col min="25" max="30" width="10" style="15" hidden="1" customWidth="1" outlineLevel="1"/>
    <col min="31" max="31" width="1" style="15" customWidth="1" collapsed="1"/>
    <col min="32" max="32" width="1" style="15" customWidth="1"/>
    <col min="33" max="33" width="8.140625" style="15" hidden="1" customWidth="1" outlineLevel="1"/>
    <col min="34" max="35" width="8" style="15" hidden="1" customWidth="1" outlineLevel="1"/>
    <col min="36" max="37" width="8.42578125" style="15" hidden="1" customWidth="1" outlineLevel="1"/>
    <col min="38" max="47" width="8.5703125" style="15" hidden="1" customWidth="1" outlineLevel="1"/>
    <col min="48" max="48" width="8.140625" style="15" hidden="1" customWidth="1" outlineLevel="1"/>
    <col min="49" max="52" width="8.5703125" style="15" hidden="1" customWidth="1" outlineLevel="1"/>
    <col min="53" max="53" width="9.28515625" style="15" hidden="1" customWidth="1" outlineLevel="1"/>
    <col min="54" max="62" width="8.5703125" style="15" hidden="1" customWidth="1" outlineLevel="1"/>
    <col min="63" max="71" width="9.140625" style="15" hidden="1" customWidth="1" outlineLevel="1"/>
    <col min="72" max="72" width="8.85546875" style="15" hidden="1" customWidth="1" outlineLevel="1"/>
    <col min="73" max="77" width="9.140625" style="15" hidden="1" customWidth="1" outlineLevel="1"/>
    <col min="78" max="78" width="9.28515625" style="15" hidden="1" customWidth="1" outlineLevel="1" collapsed="1"/>
    <col min="79" max="80" width="9.28515625" style="15" hidden="1" customWidth="1" outlineLevel="1"/>
    <col min="81" max="81" width="8.7109375" style="15" hidden="1" customWidth="1" outlineLevel="1"/>
    <col min="82" max="82" width="9.7109375" style="15" hidden="1" customWidth="1" outlineLevel="1"/>
    <col min="83" max="83" width="9.85546875" style="15" hidden="1" customWidth="1" outlineLevel="1" collapsed="1"/>
    <col min="84" max="85" width="10.5703125" style="15" hidden="1" customWidth="1" outlineLevel="1"/>
    <col min="86" max="86" width="10.140625" style="15" hidden="1" customWidth="1" outlineLevel="1"/>
    <col min="87" max="87" width="9.140625" style="15" hidden="1" customWidth="1" outlineLevel="1"/>
    <col min="88" max="88" width="9.85546875" style="15" hidden="1" customWidth="1" outlineLevel="1" collapsed="1"/>
    <col min="89" max="89" width="9.85546875" style="15" hidden="1" customWidth="1" outlineLevel="1"/>
    <col min="90" max="91" width="9.42578125" style="15" hidden="1" customWidth="1" outlineLevel="1"/>
    <col min="92" max="92" width="9.140625" style="15" hidden="1" customWidth="1" outlineLevel="2"/>
    <col min="93" max="93" width="9.7109375" style="15" hidden="1" customWidth="1" outlineLevel="1" collapsed="1"/>
    <col min="94" max="95" width="8.85546875" style="15" hidden="1" customWidth="1" outlineLevel="1"/>
    <col min="96" max="96" width="9.28515625" style="15" hidden="1" customWidth="1" outlineLevel="1"/>
    <col min="97" max="97" width="8.85546875" style="15" hidden="1" customWidth="1" outlineLevel="1"/>
    <col min="98" max="98" width="8.85546875" style="15" hidden="1" customWidth="1" outlineLevel="1" collapsed="1"/>
    <col min="99" max="101" width="8.85546875" style="15" hidden="1" customWidth="1" outlineLevel="1"/>
    <col min="102" max="102" width="8.85546875" style="15" hidden="1" customWidth="1" outlineLevel="1" collapsed="1"/>
    <col min="103" max="105" width="8.85546875" style="15" hidden="1" customWidth="1" outlineLevel="1"/>
    <col min="106" max="106" width="8.85546875" style="15" hidden="1" customWidth="1" outlineLevel="1" collapsed="1"/>
    <col min="107" max="109" width="8.85546875" style="15" hidden="1" customWidth="1" outlineLevel="1"/>
    <col min="110" max="110" width="8.85546875" style="15" hidden="1" customWidth="1" outlineLevel="1" collapsed="1"/>
    <col min="111" max="113" width="8.85546875" style="15" hidden="1" customWidth="1" outlineLevel="1"/>
    <col min="114" max="114" width="8.85546875" style="15" hidden="1" customWidth="1" outlineLevel="1" collapsed="1"/>
    <col min="115" max="117" width="8.85546875" style="15" hidden="1" customWidth="1" outlineLevel="1"/>
    <col min="118" max="118" width="10" style="15" customWidth="1" collapsed="1"/>
    <col min="119" max="125" width="10" style="15" customWidth="1"/>
    <col min="126" max="129" width="8.85546875" style="15" customWidth="1"/>
    <col min="130" max="130" width="48.5703125" bestFit="1" customWidth="1"/>
    <col min="131" max="131" width="9.28515625" bestFit="1" customWidth="1"/>
    <col min="133" max="133" width="9.28515625" bestFit="1" customWidth="1"/>
    <col min="136" max="16384" width="9.140625" style="15"/>
  </cols>
  <sheetData>
    <row r="1" spans="1:135" s="1565" customFormat="1" hidden="1" outlineLevel="1">
      <c r="B1" s="1566"/>
      <c r="C1" s="1566"/>
      <c r="D1" s="1566"/>
      <c r="E1" s="1566"/>
      <c r="F1" s="1566"/>
      <c r="G1" s="1566"/>
      <c r="H1" s="1566"/>
      <c r="I1" s="1566"/>
      <c r="J1" s="1566"/>
      <c r="K1" s="1566"/>
      <c r="L1" s="1566"/>
      <c r="M1" s="1566"/>
      <c r="N1" s="1566"/>
      <c r="O1" s="1566"/>
      <c r="P1" s="1566">
        <v>40908</v>
      </c>
      <c r="Q1" s="1566">
        <f t="shared" ref="Q1:Z1" si="0">+EOMONTH(P1,12)</f>
        <v>41274</v>
      </c>
      <c r="R1" s="1566">
        <f t="shared" si="0"/>
        <v>41639</v>
      </c>
      <c r="S1" s="1566">
        <f t="shared" si="0"/>
        <v>42004</v>
      </c>
      <c r="T1" s="1566">
        <f t="shared" si="0"/>
        <v>42369</v>
      </c>
      <c r="U1" s="1566">
        <f t="shared" si="0"/>
        <v>42735</v>
      </c>
      <c r="V1" s="1566">
        <f t="shared" si="0"/>
        <v>43100</v>
      </c>
      <c r="W1" s="1566">
        <f t="shared" si="0"/>
        <v>43465</v>
      </c>
      <c r="X1" s="1566">
        <f t="shared" si="0"/>
        <v>43830</v>
      </c>
      <c r="Y1" s="1566">
        <f t="shared" si="0"/>
        <v>44196</v>
      </c>
      <c r="Z1" s="1566">
        <f t="shared" si="0"/>
        <v>44561</v>
      </c>
      <c r="AA1" s="1566">
        <f t="shared" ref="AA1" si="1">+EOMONTH(Z1,12)</f>
        <v>44926</v>
      </c>
      <c r="AB1" s="1566">
        <f t="shared" ref="AB1" si="2">+EOMONTH(AA1,12)</f>
        <v>45291</v>
      </c>
      <c r="AC1" s="1566">
        <f t="shared" ref="AC1" si="3">+EOMONTH(AB1,12)</f>
        <v>45657</v>
      </c>
      <c r="AD1" s="1566">
        <f t="shared" ref="AD1" si="4">+EOMONTH(AC1,12)</f>
        <v>46022</v>
      </c>
      <c r="AE1" s="1566"/>
      <c r="AF1" s="1566"/>
      <c r="AG1" s="1566"/>
      <c r="AH1" s="1566"/>
      <c r="AI1" s="1566"/>
      <c r="AJ1" s="1566"/>
      <c r="AK1" s="1566"/>
      <c r="AL1" s="1566"/>
      <c r="AM1" s="1566"/>
      <c r="AN1" s="1566"/>
      <c r="AO1" s="1566"/>
      <c r="AP1" s="1566"/>
      <c r="AQ1" s="1566"/>
      <c r="AR1" s="1566"/>
      <c r="AS1" s="1566"/>
      <c r="AT1" s="1566"/>
      <c r="AU1" s="1566"/>
      <c r="AV1" s="1566"/>
      <c r="AW1" s="1566"/>
      <c r="AX1" s="1566"/>
      <c r="AY1" s="1566"/>
      <c r="AZ1" s="1566"/>
      <c r="BA1" s="1566"/>
      <c r="BB1" s="1566"/>
      <c r="BC1" s="1566"/>
      <c r="BD1" s="1566"/>
      <c r="BE1" s="1566"/>
      <c r="BF1" s="1566"/>
      <c r="BG1" s="1566"/>
      <c r="BH1" s="1566"/>
      <c r="BI1" s="1566"/>
      <c r="BJ1" s="1566"/>
      <c r="BK1" s="1566"/>
      <c r="BL1" s="1566"/>
      <c r="BM1" s="1566"/>
      <c r="BN1" s="1566"/>
      <c r="BO1" s="1566"/>
      <c r="BP1" s="1566"/>
      <c r="BQ1" s="1566"/>
      <c r="BR1" s="1566"/>
      <c r="BS1" s="1566"/>
      <c r="BT1" s="1566"/>
      <c r="BU1" s="1566"/>
      <c r="BV1" s="1566"/>
      <c r="BW1" s="1566"/>
      <c r="BX1" s="1566"/>
      <c r="BY1" s="1566"/>
      <c r="BZ1" s="1566">
        <v>39538</v>
      </c>
      <c r="CA1" s="1566">
        <v>39629</v>
      </c>
      <c r="CB1" s="1566">
        <v>39721</v>
      </c>
      <c r="CC1" s="1566">
        <v>39813</v>
      </c>
      <c r="CD1" s="1566">
        <v>39813</v>
      </c>
      <c r="CE1" s="1566">
        <v>39903</v>
      </c>
      <c r="CF1" s="1566">
        <v>39994</v>
      </c>
      <c r="CG1" s="1566">
        <v>40086</v>
      </c>
      <c r="CH1" s="1566">
        <v>40178</v>
      </c>
      <c r="CI1" s="1566"/>
      <c r="CJ1" s="1566">
        <f>CH1+90</f>
        <v>40268</v>
      </c>
      <c r="CK1" s="1566">
        <f>CJ1+91</f>
        <v>40359</v>
      </c>
      <c r="CL1" s="1566">
        <f>CK1+92</f>
        <v>40451</v>
      </c>
      <c r="CM1" s="1566">
        <f>CL1+92</f>
        <v>40543</v>
      </c>
      <c r="CN1" s="1566"/>
      <c r="CO1" s="1566">
        <f>CM1+90</f>
        <v>40633</v>
      </c>
      <c r="CP1" s="1566">
        <f>CO1+91</f>
        <v>40724</v>
      </c>
      <c r="CQ1" s="1566">
        <f>CP1+92</f>
        <v>40816</v>
      </c>
      <c r="CR1" s="1566">
        <f>CQ1+92</f>
        <v>40908</v>
      </c>
      <c r="CS1" s="1566"/>
      <c r="CT1" s="1567">
        <v>40999</v>
      </c>
      <c r="CU1" s="1567">
        <v>41090</v>
      </c>
      <c r="CV1" s="1567">
        <v>41182</v>
      </c>
      <c r="CW1" s="1567">
        <v>41274</v>
      </c>
      <c r="CX1" s="1567">
        <v>41364</v>
      </c>
      <c r="CY1" s="1567">
        <v>41455</v>
      </c>
      <c r="CZ1" s="1567">
        <v>41547</v>
      </c>
      <c r="DA1" s="1567">
        <v>41639</v>
      </c>
      <c r="DB1" s="1567">
        <v>41729</v>
      </c>
      <c r="DC1" s="1567">
        <v>41820</v>
      </c>
      <c r="DD1" s="1567">
        <v>41912</v>
      </c>
      <c r="DE1" s="1567">
        <v>42004</v>
      </c>
      <c r="DF1" s="1567">
        <v>42094</v>
      </c>
      <c r="DG1" s="1567">
        <v>42185</v>
      </c>
      <c r="DH1" s="1567">
        <v>42277</v>
      </c>
      <c r="DI1" s="1567">
        <v>42369</v>
      </c>
      <c r="DJ1" s="1567">
        <v>42369</v>
      </c>
      <c r="DK1" s="1567">
        <v>42369</v>
      </c>
      <c r="DL1" s="1567">
        <v>42369</v>
      </c>
      <c r="DM1" s="1567">
        <v>42369</v>
      </c>
      <c r="DN1" s="1567">
        <v>42369</v>
      </c>
      <c r="DO1" s="1567">
        <v>42369</v>
      </c>
      <c r="DP1" s="1567">
        <v>42369</v>
      </c>
      <c r="DQ1" s="1567">
        <v>42369</v>
      </c>
      <c r="DR1" s="1567">
        <v>42369</v>
      </c>
      <c r="DS1" s="1567">
        <v>42369</v>
      </c>
      <c r="DT1" s="1567">
        <v>42369</v>
      </c>
      <c r="DU1" s="1567">
        <v>42369</v>
      </c>
      <c r="DV1" s="1567"/>
      <c r="DW1" s="1567"/>
      <c r="DX1" s="1567"/>
      <c r="DY1" s="1567"/>
      <c r="DZ1"/>
      <c r="EA1"/>
      <c r="EB1"/>
      <c r="EC1"/>
      <c r="ED1"/>
      <c r="EE1"/>
    </row>
    <row r="2" spans="1:135" customFormat="1" collapsed="1">
      <c r="B2" s="882" t="s">
        <v>952</v>
      </c>
      <c r="C2" s="15"/>
      <c r="D2" s="15"/>
      <c r="E2" s="15"/>
      <c r="F2" s="15"/>
      <c r="G2" s="15"/>
      <c r="H2" s="15"/>
      <c r="I2" s="15"/>
      <c r="J2" s="15"/>
      <c r="K2" s="15"/>
      <c r="L2" s="15"/>
      <c r="M2" s="883"/>
      <c r="N2" s="884"/>
      <c r="O2" s="884"/>
      <c r="P2" s="884"/>
      <c r="Q2" s="799"/>
      <c r="R2" s="883"/>
      <c r="S2" s="883"/>
      <c r="T2" s="883"/>
      <c r="U2" s="883"/>
      <c r="V2" s="883"/>
      <c r="W2" s="883"/>
      <c r="X2" s="883"/>
      <c r="Y2" s="883"/>
      <c r="Z2" s="883"/>
      <c r="AA2" s="883"/>
      <c r="AB2" s="883"/>
      <c r="AC2" s="883"/>
      <c r="AD2" s="883"/>
      <c r="AE2" s="15"/>
      <c r="AF2" s="15"/>
      <c r="AG2" s="15"/>
      <c r="AH2" s="15"/>
      <c r="AI2" s="15"/>
      <c r="AJ2" s="15"/>
      <c r="AK2" s="15"/>
      <c r="AL2" s="15"/>
      <c r="AM2" s="15"/>
      <c r="AN2" s="15"/>
      <c r="AO2" s="15"/>
      <c r="AP2" s="15"/>
      <c r="AQ2" s="15"/>
      <c r="AR2" s="15"/>
      <c r="AS2" s="15"/>
      <c r="AT2" s="15"/>
      <c r="AU2" s="15"/>
      <c r="AV2" s="15"/>
      <c r="AW2" s="15"/>
      <c r="AX2" s="15"/>
      <c r="AY2" s="15"/>
      <c r="AZ2" s="15"/>
      <c r="BA2" s="15"/>
      <c r="BB2" s="15"/>
      <c r="BC2" s="15"/>
      <c r="BD2" s="15"/>
      <c r="BE2" s="15"/>
      <c r="BF2" s="15"/>
      <c r="BG2" s="15"/>
      <c r="BH2" s="15"/>
      <c r="BI2" s="15"/>
      <c r="BJ2" s="15"/>
      <c r="BK2" s="15"/>
      <c r="BL2" s="15"/>
      <c r="BM2" s="15"/>
      <c r="BN2" s="15"/>
      <c r="BO2" s="15"/>
      <c r="BP2" s="15"/>
      <c r="BQ2" s="15"/>
      <c r="BR2" s="15"/>
      <c r="BS2" s="15"/>
      <c r="BT2" s="15"/>
      <c r="BU2" s="15"/>
      <c r="BV2" s="15"/>
      <c r="BW2" s="15"/>
      <c r="BX2" s="15"/>
      <c r="BY2" s="15"/>
      <c r="BZ2" s="15"/>
      <c r="CA2" s="15"/>
      <c r="CB2" s="15"/>
      <c r="CC2" s="15"/>
      <c r="CD2" s="15"/>
      <c r="CE2" s="884"/>
      <c r="CF2" s="884"/>
      <c r="CG2" s="884"/>
      <c r="CH2" s="884"/>
      <c r="CI2" s="15"/>
      <c r="CJ2" s="771"/>
      <c r="CK2" s="15"/>
      <c r="CL2" s="15"/>
      <c r="CM2" s="15"/>
      <c r="CN2" s="15"/>
      <c r="CO2" s="15"/>
      <c r="CP2" s="15"/>
      <c r="CQ2" s="15"/>
      <c r="CR2" s="15"/>
      <c r="CS2" s="15"/>
      <c r="CT2" s="15"/>
      <c r="CU2" s="15"/>
      <c r="CV2" s="15"/>
      <c r="CW2" s="15"/>
      <c r="CX2" s="15"/>
      <c r="CY2" s="15"/>
      <c r="CZ2" s="15"/>
      <c r="DA2" s="15"/>
      <c r="DB2" s="15"/>
      <c r="DC2" s="15"/>
      <c r="DD2" s="15"/>
      <c r="DE2" s="15"/>
      <c r="DF2" s="15"/>
      <c r="DG2" s="15"/>
      <c r="DH2" s="15"/>
      <c r="DI2" s="15"/>
      <c r="DJ2" s="15"/>
      <c r="DK2" s="15"/>
      <c r="DL2" s="15"/>
      <c r="DM2" s="15"/>
      <c r="DN2" s="15"/>
      <c r="DO2" s="15"/>
      <c r="DP2" s="15"/>
      <c r="DQ2" s="15"/>
      <c r="DR2" s="15"/>
      <c r="DS2" s="15"/>
      <c r="DT2" s="15"/>
      <c r="DU2" s="15"/>
      <c r="DV2" s="15"/>
      <c r="DW2" s="15"/>
      <c r="DX2" s="15"/>
      <c r="DY2" s="15"/>
    </row>
    <row r="3" spans="1:135" customFormat="1">
      <c r="B3" s="528" t="s">
        <v>1719</v>
      </c>
      <c r="C3" s="15"/>
      <c r="D3" s="15"/>
      <c r="E3" s="15"/>
      <c r="F3" s="15"/>
      <c r="G3" s="15"/>
      <c r="H3" s="15"/>
      <c r="I3" s="15"/>
      <c r="J3" s="15"/>
      <c r="K3" s="15"/>
      <c r="L3" s="15"/>
      <c r="M3" s="15"/>
      <c r="N3" s="15"/>
      <c r="O3" s="15"/>
      <c r="P3" s="15"/>
      <c r="Q3" s="766" t="str">
        <f>IF(mode=2, "BASE CASE", IF(mode=1, "BULL CASE", IF(mode=3, "BEAR CASE", na)))</f>
        <v>BASE CASE</v>
      </c>
      <c r="R3" s="15"/>
      <c r="S3" s="15"/>
      <c r="T3" s="15"/>
      <c r="U3" s="15"/>
      <c r="V3" s="15"/>
      <c r="W3" s="1677"/>
      <c r="X3" s="15"/>
      <c r="Y3" s="15"/>
      <c r="Z3" s="15"/>
      <c r="AA3" s="15"/>
      <c r="AB3" s="15"/>
      <c r="AC3" s="15"/>
      <c r="AD3" s="15"/>
      <c r="AE3" s="15"/>
      <c r="AF3" s="15"/>
      <c r="AG3" s="15"/>
      <c r="AH3" s="15"/>
      <c r="AI3" s="15"/>
      <c r="AJ3" s="15"/>
      <c r="AK3" s="15"/>
      <c r="AL3" s="15"/>
      <c r="AM3" s="15"/>
      <c r="AN3" s="15"/>
      <c r="AO3" s="15"/>
      <c r="AP3" s="15"/>
      <c r="AQ3" s="15"/>
      <c r="AR3" s="15"/>
      <c r="AS3" s="885"/>
      <c r="AT3" s="15"/>
      <c r="AU3" s="15"/>
      <c r="AV3" s="15"/>
      <c r="AW3" s="15"/>
      <c r="AX3" s="15"/>
      <c r="AY3" s="886"/>
      <c r="AZ3" s="15"/>
      <c r="BA3" s="15"/>
      <c r="BB3" s="15"/>
      <c r="BC3" s="15"/>
      <c r="BD3" s="15"/>
      <c r="BE3" s="15"/>
      <c r="BF3" s="15"/>
      <c r="BG3" s="15"/>
      <c r="BH3" s="15"/>
      <c r="BI3" s="15"/>
      <c r="BJ3" s="15"/>
      <c r="BK3" s="15"/>
      <c r="BL3" s="15"/>
      <c r="BM3" s="15"/>
      <c r="BN3" s="15"/>
      <c r="BO3" s="15"/>
      <c r="BP3" s="15"/>
      <c r="BQ3" s="15"/>
      <c r="BR3" s="15"/>
      <c r="BS3" s="15"/>
      <c r="BT3" s="885"/>
      <c r="BU3" s="15"/>
      <c r="BV3" s="15"/>
      <c r="BW3" s="15"/>
      <c r="BX3" s="885"/>
      <c r="BY3" s="26"/>
      <c r="BZ3" s="772"/>
      <c r="CA3" s="15"/>
      <c r="CB3" s="15"/>
      <c r="CC3" s="15"/>
      <c r="CD3" s="15"/>
      <c r="CE3" s="15"/>
      <c r="CF3" s="15"/>
      <c r="CG3" s="765"/>
      <c r="CH3" s="15"/>
      <c r="CI3" s="26"/>
      <c r="CJ3" s="771"/>
      <c r="CK3" s="15"/>
      <c r="CL3" s="15"/>
      <c r="CM3" s="768"/>
      <c r="CN3" s="15"/>
      <c r="CO3" s="15"/>
      <c r="CP3" s="15"/>
      <c r="CQ3" s="15"/>
      <c r="CR3" s="15"/>
      <c r="CS3" s="15"/>
      <c r="CT3" s="15"/>
      <c r="CU3" s="15"/>
      <c r="CV3" s="15"/>
      <c r="CW3" s="15"/>
      <c r="CX3" s="15"/>
      <c r="CY3" s="15"/>
      <c r="CZ3" s="15"/>
      <c r="DA3" s="15"/>
      <c r="DB3" s="15"/>
      <c r="DC3" s="15"/>
      <c r="DD3" s="15"/>
      <c r="DE3" s="15"/>
      <c r="DF3" s="15"/>
      <c r="DG3" s="15"/>
      <c r="DH3" s="15"/>
      <c r="DI3" s="15"/>
      <c r="DJ3" s="15"/>
      <c r="DK3" s="15"/>
      <c r="DL3" s="15"/>
      <c r="DM3" s="15"/>
      <c r="DN3" s="15"/>
      <c r="DO3" s="15"/>
      <c r="DP3" s="15"/>
      <c r="DQ3" s="15"/>
      <c r="DR3" s="15"/>
      <c r="DS3" s="15"/>
      <c r="DT3" s="15"/>
      <c r="DU3" s="15"/>
      <c r="DV3" s="15"/>
      <c r="DW3" s="15"/>
      <c r="DX3" s="15"/>
      <c r="DY3" s="15"/>
    </row>
    <row r="4" spans="1:135" customFormat="1">
      <c r="B4" s="14" t="s">
        <v>1060</v>
      </c>
      <c r="C4" s="15"/>
      <c r="D4" s="15"/>
      <c r="E4" s="15"/>
      <c r="F4" s="15"/>
      <c r="G4" s="15"/>
      <c r="H4" s="15"/>
      <c r="I4" s="15"/>
      <c r="J4" s="15"/>
      <c r="K4" s="15"/>
      <c r="L4" s="15"/>
      <c r="M4" s="15"/>
      <c r="N4" s="15"/>
      <c r="O4" s="15"/>
      <c r="P4" s="15"/>
      <c r="Q4" s="765"/>
      <c r="R4" s="1166"/>
      <c r="S4" s="1166"/>
      <c r="T4" s="1166"/>
      <c r="U4" s="1166"/>
      <c r="V4" s="1166"/>
      <c r="W4" s="1166"/>
      <c r="X4" s="1166"/>
      <c r="Y4" s="1166"/>
      <c r="Z4" s="1166"/>
      <c r="AA4" s="1166"/>
      <c r="AB4" s="1166"/>
      <c r="AC4" s="1166"/>
      <c r="AD4" s="1166"/>
      <c r="AE4" s="15"/>
      <c r="AF4" s="15"/>
      <c r="AG4" s="15"/>
      <c r="AH4" s="15"/>
      <c r="AI4" s="15"/>
      <c r="AJ4" s="15"/>
      <c r="AK4" s="15"/>
      <c r="AL4" s="15"/>
      <c r="AM4" s="15"/>
      <c r="AN4" s="15"/>
      <c r="AO4" s="15"/>
      <c r="AP4" s="15"/>
      <c r="AQ4" s="15"/>
      <c r="AR4" s="15"/>
      <c r="AS4" s="885"/>
      <c r="AT4" s="15"/>
      <c r="AU4" s="15"/>
      <c r="AV4" s="15"/>
      <c r="AW4" s="15"/>
      <c r="AX4" s="15"/>
      <c r="AY4" s="885"/>
      <c r="AZ4" s="15"/>
      <c r="BA4" s="15"/>
      <c r="BB4" s="15"/>
      <c r="BC4" s="15"/>
      <c r="BD4" s="15"/>
      <c r="BE4" s="15"/>
      <c r="BF4" s="15"/>
      <c r="BG4" s="15"/>
      <c r="BH4" s="15"/>
      <c r="BI4" s="15"/>
      <c r="BJ4" s="15"/>
      <c r="BK4" s="15"/>
      <c r="BL4" s="15"/>
      <c r="BM4" s="15"/>
      <c r="BN4" s="15"/>
      <c r="BO4" s="15"/>
      <c r="BP4" s="15"/>
      <c r="BQ4" s="15"/>
      <c r="BR4" s="15"/>
      <c r="BS4" s="15"/>
      <c r="BT4" s="885"/>
      <c r="BU4" s="15"/>
      <c r="BV4" s="15"/>
      <c r="BW4" s="15"/>
      <c r="BX4" s="15"/>
      <c r="BY4" s="26"/>
      <c r="BZ4" s="772"/>
      <c r="CA4" s="772"/>
      <c r="CB4" s="772"/>
      <c r="CC4" s="772"/>
      <c r="CD4" s="772"/>
      <c r="CE4" s="772"/>
      <c r="CF4" s="772"/>
      <c r="CG4" s="772"/>
      <c r="CH4" s="772"/>
      <c r="CI4" s="772"/>
      <c r="CJ4" s="15"/>
      <c r="CK4" s="15"/>
      <c r="CL4" s="768"/>
      <c r="CM4" s="772"/>
      <c r="CN4" s="15"/>
      <c r="CO4" s="15"/>
      <c r="CP4" s="15"/>
      <c r="CQ4" s="15"/>
      <c r="CR4" s="15"/>
      <c r="CS4" s="15"/>
      <c r="CT4" s="15"/>
      <c r="CU4" s="15"/>
      <c r="CV4" s="1498"/>
      <c r="CW4" s="15"/>
      <c r="CX4" s="15"/>
      <c r="CY4" s="15"/>
      <c r="CZ4" s="15"/>
      <c r="DA4" s="15"/>
      <c r="DB4" s="15"/>
      <c r="DC4" s="15"/>
      <c r="DD4" s="15"/>
      <c r="DE4" s="15"/>
      <c r="DF4" s="15"/>
      <c r="DG4" s="15"/>
      <c r="DH4" s="15"/>
      <c r="DI4" s="15"/>
      <c r="DJ4" s="15"/>
      <c r="DK4" s="15"/>
      <c r="DL4" s="15"/>
      <c r="DM4" s="15"/>
      <c r="DN4" s="15"/>
      <c r="DO4" s="15"/>
      <c r="DP4" s="15"/>
      <c r="DQ4" s="15"/>
      <c r="DR4" s="15"/>
      <c r="DS4" s="15"/>
      <c r="DT4" s="15"/>
      <c r="DU4" s="15"/>
      <c r="DV4" s="15"/>
      <c r="DW4" s="15"/>
      <c r="DX4" s="15"/>
      <c r="DY4" s="15"/>
    </row>
    <row r="5" spans="1:135" customFormat="1">
      <c r="B5" s="15"/>
      <c r="C5" s="15"/>
      <c r="D5" s="15"/>
      <c r="E5" s="15"/>
      <c r="F5" s="15"/>
      <c r="G5" s="15"/>
      <c r="H5" s="15"/>
      <c r="I5" s="15"/>
      <c r="J5" s="15"/>
      <c r="K5" s="15"/>
      <c r="L5" s="15"/>
      <c r="M5" s="768"/>
      <c r="N5" s="15"/>
      <c r="O5" s="765"/>
      <c r="P5" s="15"/>
      <c r="Q5" s="1498"/>
      <c r="R5" s="26"/>
      <c r="S5" s="26"/>
      <c r="T5" s="26"/>
      <c r="U5" s="26"/>
      <c r="V5" s="26"/>
      <c r="W5" s="26"/>
      <c r="X5" s="26"/>
      <c r="Y5" s="26"/>
      <c r="Z5" s="1165"/>
      <c r="AA5" s="1165"/>
      <c r="AB5" s="1165"/>
      <c r="AC5" s="1165"/>
      <c r="AD5" s="1165"/>
      <c r="AE5" s="15"/>
      <c r="AF5" s="15"/>
      <c r="AG5" s="15"/>
      <c r="AH5" s="15"/>
      <c r="AI5" s="15"/>
      <c r="AJ5" s="15"/>
      <c r="AK5" s="15"/>
      <c r="AL5" s="15"/>
      <c r="AM5" s="15"/>
      <c r="AN5" s="15"/>
      <c r="AO5" s="15"/>
      <c r="AP5" s="15"/>
      <c r="AQ5" s="15"/>
      <c r="AR5" s="15"/>
      <c r="AS5" s="15"/>
      <c r="AT5" s="15"/>
      <c r="AU5" s="15"/>
      <c r="AV5" s="885"/>
      <c r="AW5" s="15"/>
      <c r="AX5" s="885"/>
      <c r="AY5" s="885"/>
      <c r="AZ5" s="15"/>
      <c r="BA5" s="15"/>
      <c r="BB5" s="15"/>
      <c r="BC5" s="15"/>
      <c r="BD5" s="15"/>
      <c r="BE5" s="15"/>
      <c r="BF5" s="15"/>
      <c r="BG5" s="15"/>
      <c r="BH5" s="15"/>
      <c r="BI5" s="887"/>
      <c r="BJ5" s="15"/>
      <c r="BK5" s="15"/>
      <c r="BL5" s="15"/>
      <c r="BM5" s="15"/>
      <c r="BN5" s="885"/>
      <c r="BO5" s="15"/>
      <c r="BP5" s="768"/>
      <c r="BQ5" s="768"/>
      <c r="BR5" s="768"/>
      <c r="BS5" s="768"/>
      <c r="BT5" s="15"/>
      <c r="BU5" s="768"/>
      <c r="BV5" s="768"/>
      <c r="BW5" s="768"/>
      <c r="BX5" s="768"/>
      <c r="BY5" s="15"/>
      <c r="BZ5" s="772"/>
      <c r="CA5" s="772"/>
      <c r="CB5" s="772"/>
      <c r="CC5" s="772"/>
      <c r="CD5" s="772"/>
      <c r="CE5" s="772"/>
      <c r="CF5" s="772"/>
      <c r="CG5" s="772"/>
      <c r="CH5" s="772"/>
      <c r="CI5" s="772"/>
      <c r="CJ5" s="772"/>
      <c r="CK5" s="1687"/>
      <c r="CL5" s="1687"/>
      <c r="CM5" s="1687"/>
      <c r="CN5" s="1687"/>
      <c r="CO5" s="1687"/>
      <c r="CP5" s="1687"/>
      <c r="CQ5" s="1687"/>
      <c r="CR5" s="1687"/>
      <c r="CS5" s="1687"/>
      <c r="CT5" s="1687"/>
      <c r="CU5" s="1687"/>
      <c r="CV5" s="1687"/>
      <c r="CW5" s="1687"/>
      <c r="CX5" s="1677"/>
      <c r="CY5" s="15"/>
      <c r="CZ5" s="15"/>
      <c r="DA5" s="26"/>
      <c r="DB5" s="15"/>
      <c r="DC5" s="15"/>
      <c r="DD5" s="15"/>
      <c r="DE5" s="15"/>
      <c r="DF5" s="15"/>
      <c r="DG5" s="15"/>
      <c r="DH5" s="15"/>
      <c r="DI5" s="15"/>
      <c r="DJ5" s="15"/>
      <c r="DK5" s="15"/>
      <c r="DL5" s="15"/>
      <c r="DM5" s="15"/>
      <c r="DN5" s="15"/>
      <c r="DO5" s="15"/>
      <c r="DP5" s="15"/>
      <c r="DQ5" s="15"/>
      <c r="DR5" s="15"/>
      <c r="DS5" s="15"/>
      <c r="DT5" s="15"/>
      <c r="DU5" s="15"/>
      <c r="DV5" s="15"/>
      <c r="DW5" s="15"/>
      <c r="DX5" s="15"/>
      <c r="DY5" s="15"/>
    </row>
    <row r="6" spans="1:135" customFormat="1">
      <c r="B6" s="773" t="s">
        <v>1122</v>
      </c>
      <c r="C6" s="974"/>
      <c r="D6" s="121"/>
      <c r="E6" s="121"/>
      <c r="F6" s="121"/>
      <c r="G6" s="121"/>
      <c r="H6" s="121"/>
      <c r="I6" s="775" t="s">
        <v>1052</v>
      </c>
      <c r="J6" s="775"/>
      <c r="K6" s="775"/>
      <c r="L6" s="776"/>
      <c r="M6" s="776"/>
      <c r="N6" s="775"/>
      <c r="O6" s="775"/>
      <c r="P6" s="775"/>
      <c r="Q6" s="775"/>
      <c r="R6" s="775"/>
      <c r="S6" s="775"/>
      <c r="T6" s="775"/>
      <c r="U6" s="775"/>
      <c r="V6" s="775"/>
      <c r="W6" s="775"/>
      <c r="X6" s="775"/>
      <c r="Y6" s="775"/>
      <c r="Z6" s="888"/>
      <c r="AA6" s="888"/>
      <c r="AB6" s="888"/>
      <c r="AC6" s="888"/>
      <c r="AD6" s="888"/>
      <c r="AE6" s="889"/>
      <c r="AF6" s="23"/>
      <c r="AG6" s="776" t="s">
        <v>1254</v>
      </c>
      <c r="AH6" s="775"/>
      <c r="AI6" s="775"/>
      <c r="AJ6" s="890"/>
      <c r="AK6" s="1100" t="s">
        <v>1254</v>
      </c>
      <c r="AL6" s="776" t="s">
        <v>1242</v>
      </c>
      <c r="AM6" s="775"/>
      <c r="AN6" s="775"/>
      <c r="AO6" s="890"/>
      <c r="AP6" s="1100" t="s">
        <v>1242</v>
      </c>
      <c r="AQ6" s="776" t="s">
        <v>1241</v>
      </c>
      <c r="AR6" s="775"/>
      <c r="AS6" s="775"/>
      <c r="AT6" s="890"/>
      <c r="AU6" s="1100" t="s">
        <v>1241</v>
      </c>
      <c r="AV6" s="776" t="s">
        <v>1240</v>
      </c>
      <c r="AW6" s="775"/>
      <c r="AX6" s="775"/>
      <c r="AY6" s="890"/>
      <c r="AZ6" s="1100" t="s">
        <v>1240</v>
      </c>
      <c r="BA6" s="776" t="s">
        <v>1239</v>
      </c>
      <c r="BB6" s="775"/>
      <c r="BC6" s="775"/>
      <c r="BD6" s="890"/>
      <c r="BE6" s="1100" t="s">
        <v>1239</v>
      </c>
      <c r="BF6" s="776" t="s">
        <v>1238</v>
      </c>
      <c r="BG6" s="775"/>
      <c r="BH6" s="775"/>
      <c r="BI6" s="890"/>
      <c r="BJ6" s="1100" t="s">
        <v>1238</v>
      </c>
      <c r="BK6" s="776" t="s">
        <v>1059</v>
      </c>
      <c r="BL6" s="775"/>
      <c r="BM6" s="775"/>
      <c r="BN6" s="890"/>
      <c r="BO6" s="1100" t="s">
        <v>1059</v>
      </c>
      <c r="BP6" s="776" t="s">
        <v>1058</v>
      </c>
      <c r="BQ6" s="775"/>
      <c r="BR6" s="775"/>
      <c r="BS6" s="890"/>
      <c r="BT6" s="1100" t="s">
        <v>1058</v>
      </c>
      <c r="BU6" s="776" t="s">
        <v>1057</v>
      </c>
      <c r="BV6" s="775"/>
      <c r="BW6" s="775"/>
      <c r="BX6" s="890"/>
      <c r="BY6" s="1100" t="s">
        <v>1057</v>
      </c>
      <c r="BZ6" s="776" t="s">
        <v>1234</v>
      </c>
      <c r="CA6" s="775"/>
      <c r="CB6" s="775"/>
      <c r="CC6" s="890"/>
      <c r="CD6" s="1100" t="s">
        <v>1234</v>
      </c>
      <c r="CE6" s="776" t="s">
        <v>843</v>
      </c>
      <c r="CF6" s="775"/>
      <c r="CG6" s="775"/>
      <c r="CH6" s="779"/>
      <c r="CI6" s="272" t="s">
        <v>843</v>
      </c>
      <c r="CJ6" s="776" t="s">
        <v>634</v>
      </c>
      <c r="CK6" s="775"/>
      <c r="CL6" s="775"/>
      <c r="CM6" s="893"/>
      <c r="CN6" s="1100" t="s">
        <v>984</v>
      </c>
      <c r="CO6" s="776" t="s">
        <v>1306</v>
      </c>
      <c r="CP6" s="775"/>
      <c r="CQ6" s="775"/>
      <c r="CR6" s="779"/>
      <c r="CS6" s="272" t="s">
        <v>1306</v>
      </c>
      <c r="CT6" s="779" t="s">
        <v>1343</v>
      </c>
      <c r="CU6" s="779"/>
      <c r="CV6" s="779"/>
      <c r="CW6" s="779"/>
      <c r="CX6" s="1673">
        <v>2013</v>
      </c>
      <c r="CY6" s="1673"/>
      <c r="CZ6" s="1673"/>
      <c r="DA6" s="1673"/>
      <c r="DB6" s="1673">
        <v>2014</v>
      </c>
      <c r="DC6" s="1673"/>
      <c r="DD6" s="1673"/>
      <c r="DE6" s="1673"/>
      <c r="DF6" s="1673">
        <v>2015</v>
      </c>
      <c r="DG6" s="1673"/>
      <c r="DH6" s="1673"/>
      <c r="DI6" s="1673"/>
      <c r="DJ6" s="1673">
        <v>2016</v>
      </c>
      <c r="DK6" s="1673"/>
      <c r="DL6" s="1673"/>
      <c r="DM6" s="1673"/>
      <c r="DN6" s="1673">
        <v>2017</v>
      </c>
      <c r="DO6" s="1673"/>
      <c r="DP6" s="1673"/>
      <c r="DQ6" s="1673"/>
      <c r="DR6" s="1673" t="s">
        <v>194</v>
      </c>
      <c r="DS6" s="1673"/>
      <c r="DT6" s="1673"/>
      <c r="DU6" s="1673"/>
      <c r="DV6" s="892"/>
      <c r="DW6" s="892"/>
      <c r="DX6" s="892"/>
      <c r="DY6" s="892"/>
    </row>
    <row r="7" spans="1:135" customFormat="1">
      <c r="B7" s="773" t="s">
        <v>468</v>
      </c>
      <c r="C7" s="974"/>
      <c r="D7" s="781" t="s">
        <v>1254</v>
      </c>
      <c r="E7" s="781" t="s">
        <v>1242</v>
      </c>
      <c r="F7" s="781" t="s">
        <v>1241</v>
      </c>
      <c r="G7" s="781" t="s">
        <v>1240</v>
      </c>
      <c r="H7" s="781" t="s">
        <v>1239</v>
      </c>
      <c r="I7" s="781" t="s">
        <v>1238</v>
      </c>
      <c r="J7" s="781" t="str">
        <f>BK6</f>
        <v>2005A</v>
      </c>
      <c r="K7" s="781" t="str">
        <f>BP6</f>
        <v>2006A</v>
      </c>
      <c r="L7" s="780" t="str">
        <f>BU6</f>
        <v>2007A</v>
      </c>
      <c r="M7" s="780" t="str">
        <f>BZ6</f>
        <v>2008A</v>
      </c>
      <c r="N7" s="781" t="s">
        <v>843</v>
      </c>
      <c r="O7" s="781" t="s">
        <v>634</v>
      </c>
      <c r="P7" s="781">
        <v>2011</v>
      </c>
      <c r="Q7" s="781">
        <v>2012</v>
      </c>
      <c r="R7" s="781">
        <v>2013</v>
      </c>
      <c r="S7" s="781">
        <v>2014</v>
      </c>
      <c r="T7" s="781">
        <v>2015</v>
      </c>
      <c r="U7" s="2361">
        <v>2016</v>
      </c>
      <c r="V7" s="2361">
        <v>2017</v>
      </c>
      <c r="W7" s="2361" t="s">
        <v>194</v>
      </c>
      <c r="X7" s="2361" t="s">
        <v>276</v>
      </c>
      <c r="Y7" s="2361" t="s">
        <v>277</v>
      </c>
      <c r="Z7" s="2361" t="s">
        <v>880</v>
      </c>
      <c r="AA7" s="2361" t="s">
        <v>2764</v>
      </c>
      <c r="AB7" s="2361" t="s">
        <v>2765</v>
      </c>
      <c r="AC7" s="2361" t="s">
        <v>2766</v>
      </c>
      <c r="AD7" s="2361" t="s">
        <v>2767</v>
      </c>
      <c r="AE7" s="894"/>
      <c r="AF7" s="23"/>
      <c r="AG7" s="780" t="s">
        <v>1053</v>
      </c>
      <c r="AH7" s="781" t="s">
        <v>1054</v>
      </c>
      <c r="AI7" s="781" t="s">
        <v>1055</v>
      </c>
      <c r="AJ7" s="895" t="s">
        <v>1056</v>
      </c>
      <c r="AK7" s="1101" t="s">
        <v>1751</v>
      </c>
      <c r="AL7" s="780" t="s">
        <v>1053</v>
      </c>
      <c r="AM7" s="781" t="s">
        <v>1054</v>
      </c>
      <c r="AN7" s="781" t="s">
        <v>1055</v>
      </c>
      <c r="AO7" s="895" t="s">
        <v>1056</v>
      </c>
      <c r="AP7" s="1101" t="s">
        <v>1751</v>
      </c>
      <c r="AQ7" s="780" t="s">
        <v>1053</v>
      </c>
      <c r="AR7" s="781" t="s">
        <v>1054</v>
      </c>
      <c r="AS7" s="781" t="s">
        <v>1055</v>
      </c>
      <c r="AT7" s="895" t="s">
        <v>1056</v>
      </c>
      <c r="AU7" s="1101" t="s">
        <v>1751</v>
      </c>
      <c r="AV7" s="780" t="s">
        <v>1053</v>
      </c>
      <c r="AW7" s="781" t="s">
        <v>1054</v>
      </c>
      <c r="AX7" s="781" t="s">
        <v>1055</v>
      </c>
      <c r="AY7" s="895" t="s">
        <v>1056</v>
      </c>
      <c r="AZ7" s="1101" t="s">
        <v>1751</v>
      </c>
      <c r="BA7" s="780" t="s">
        <v>1053</v>
      </c>
      <c r="BB7" s="781" t="s">
        <v>1054</v>
      </c>
      <c r="BC7" s="781" t="s">
        <v>1055</v>
      </c>
      <c r="BD7" s="895" t="s">
        <v>1056</v>
      </c>
      <c r="BE7" s="1101" t="s">
        <v>1751</v>
      </c>
      <c r="BF7" s="780" t="s">
        <v>1053</v>
      </c>
      <c r="BG7" s="781" t="s">
        <v>1054</v>
      </c>
      <c r="BH7" s="781" t="s">
        <v>1055</v>
      </c>
      <c r="BI7" s="895" t="s">
        <v>1056</v>
      </c>
      <c r="BJ7" s="1101" t="s">
        <v>1751</v>
      </c>
      <c r="BK7" s="780" t="s">
        <v>1053</v>
      </c>
      <c r="BL7" s="781" t="s">
        <v>1054</v>
      </c>
      <c r="BM7" s="781" t="s">
        <v>1055</v>
      </c>
      <c r="BN7" s="895" t="s">
        <v>1056</v>
      </c>
      <c r="BO7" s="1101" t="s">
        <v>1751</v>
      </c>
      <c r="BP7" s="780" t="s">
        <v>1053</v>
      </c>
      <c r="BQ7" s="781" t="s">
        <v>1054</v>
      </c>
      <c r="BR7" s="781" t="s">
        <v>1055</v>
      </c>
      <c r="BS7" s="895" t="s">
        <v>1056</v>
      </c>
      <c r="BT7" s="1101" t="s">
        <v>1751</v>
      </c>
      <c r="BU7" s="780" t="s">
        <v>126</v>
      </c>
      <c r="BV7" s="781" t="s">
        <v>49</v>
      </c>
      <c r="BW7" s="781" t="s">
        <v>48</v>
      </c>
      <c r="BX7" s="895" t="s">
        <v>1513</v>
      </c>
      <c r="BY7" s="1101" t="s">
        <v>1751</v>
      </c>
      <c r="BZ7" s="780" t="s">
        <v>1487</v>
      </c>
      <c r="CA7" s="781" t="s">
        <v>1488</v>
      </c>
      <c r="CB7" s="781" t="s">
        <v>1492</v>
      </c>
      <c r="CC7" s="895" t="s">
        <v>1493</v>
      </c>
      <c r="CD7" s="1101" t="s">
        <v>1751</v>
      </c>
      <c r="CE7" s="780" t="s">
        <v>147</v>
      </c>
      <c r="CF7" s="781" t="s">
        <v>197</v>
      </c>
      <c r="CG7" s="781" t="s">
        <v>250</v>
      </c>
      <c r="CH7" s="782" t="s">
        <v>251</v>
      </c>
      <c r="CI7" s="273" t="s">
        <v>1751</v>
      </c>
      <c r="CJ7" s="780" t="s">
        <v>249</v>
      </c>
      <c r="CK7" s="781" t="s">
        <v>252</v>
      </c>
      <c r="CL7" s="781" t="s">
        <v>1466</v>
      </c>
      <c r="CM7" s="896" t="s">
        <v>1378</v>
      </c>
      <c r="CN7" s="1101" t="s">
        <v>1751</v>
      </c>
      <c r="CO7" s="780" t="s">
        <v>1791</v>
      </c>
      <c r="CP7" s="781" t="s">
        <v>1790</v>
      </c>
      <c r="CQ7" s="781" t="s">
        <v>1381</v>
      </c>
      <c r="CR7" s="782" t="s">
        <v>881</v>
      </c>
      <c r="CS7" s="273" t="s">
        <v>1751</v>
      </c>
      <c r="CT7" s="780" t="s">
        <v>683</v>
      </c>
      <c r="CU7" s="781" t="s">
        <v>1622</v>
      </c>
      <c r="CV7" s="781" t="s">
        <v>799</v>
      </c>
      <c r="CW7" s="782" t="s">
        <v>1723</v>
      </c>
      <c r="CX7" s="1674" t="s">
        <v>1605</v>
      </c>
      <c r="CY7" s="1675" t="s">
        <v>1269</v>
      </c>
      <c r="CZ7" s="1675" t="s">
        <v>672</v>
      </c>
      <c r="DA7" s="1676" t="s">
        <v>553</v>
      </c>
      <c r="DB7" s="1674" t="s">
        <v>510</v>
      </c>
      <c r="DC7" s="1675" t="s">
        <v>1778</v>
      </c>
      <c r="DD7" s="1675" t="s">
        <v>1862</v>
      </c>
      <c r="DE7" s="1676" t="s">
        <v>1882</v>
      </c>
      <c r="DF7" s="1674" t="s">
        <v>1926</v>
      </c>
      <c r="DG7" s="1675" t="s">
        <v>1989</v>
      </c>
      <c r="DH7" s="1675" t="s">
        <v>2012</v>
      </c>
      <c r="DI7" s="1676" t="s">
        <v>2475</v>
      </c>
      <c r="DJ7" s="1674" t="s">
        <v>2124</v>
      </c>
      <c r="DK7" s="1675" t="s">
        <v>2535</v>
      </c>
      <c r="DL7" s="1675" t="s">
        <v>2566</v>
      </c>
      <c r="DM7" s="1676" t="s">
        <v>2592</v>
      </c>
      <c r="DN7" s="1674" t="s">
        <v>2635</v>
      </c>
      <c r="DO7" s="1675" t="s">
        <v>2661</v>
      </c>
      <c r="DP7" s="1675" t="s">
        <v>2690</v>
      </c>
      <c r="DQ7" s="1676" t="s">
        <v>2728</v>
      </c>
      <c r="DR7" s="1674" t="s">
        <v>2730</v>
      </c>
      <c r="DS7" s="1675" t="s">
        <v>2731</v>
      </c>
      <c r="DT7" s="1675" t="s">
        <v>2732</v>
      </c>
      <c r="DU7" s="1676" t="s">
        <v>2733</v>
      </c>
      <c r="DV7" s="892"/>
      <c r="DW7" s="892"/>
      <c r="DX7" s="892"/>
      <c r="DY7" s="892"/>
    </row>
    <row r="8" spans="1:135">
      <c r="B8" s="23"/>
      <c r="C8" s="23"/>
      <c r="I8" s="897"/>
      <c r="J8" s="897"/>
      <c r="K8" s="897"/>
      <c r="L8" s="897"/>
      <c r="M8" s="897"/>
      <c r="N8" s="90"/>
      <c r="O8" s="59" t="s">
        <v>923</v>
      </c>
      <c r="P8" s="1652"/>
      <c r="Q8" s="1652"/>
      <c r="R8" s="23"/>
      <c r="S8" s="23"/>
      <c r="T8" s="23"/>
      <c r="U8" s="23"/>
      <c r="V8" s="23"/>
      <c r="W8" s="23"/>
      <c r="X8" s="23"/>
      <c r="Y8" s="23"/>
      <c r="Z8" s="23"/>
      <c r="AA8" s="23"/>
      <c r="AB8" s="23"/>
      <c r="AC8" s="23"/>
      <c r="AD8" s="23"/>
      <c r="AE8" s="23"/>
      <c r="AF8" s="23"/>
      <c r="AG8" s="23"/>
      <c r="AH8" s="23"/>
      <c r="AI8" s="23"/>
      <c r="AJ8" s="120"/>
      <c r="AK8" s="1102"/>
      <c r="AP8" s="42"/>
      <c r="AU8" s="42"/>
      <c r="AZ8" s="42"/>
      <c r="BE8" s="42"/>
      <c r="BJ8" s="42"/>
      <c r="BK8" s="897"/>
      <c r="BL8" s="897"/>
      <c r="BM8" s="897"/>
      <c r="BN8" s="897"/>
      <c r="BO8" s="1136"/>
      <c r="BP8" s="897"/>
      <c r="BQ8" s="897"/>
      <c r="BR8" s="897"/>
      <c r="BS8" s="897"/>
      <c r="BT8" s="42"/>
      <c r="BU8" s="897"/>
      <c r="BV8" s="897"/>
      <c r="BW8" s="897"/>
      <c r="BX8" s="897"/>
      <c r="BY8" s="1136"/>
      <c r="BZ8" s="897"/>
      <c r="CA8" s="897"/>
      <c r="CB8" s="897"/>
      <c r="CC8" s="897"/>
      <c r="CD8" s="1136"/>
      <c r="CE8" s="897"/>
      <c r="CF8" s="897"/>
      <c r="CG8" s="897"/>
      <c r="CH8" s="897"/>
      <c r="CI8" s="1136"/>
      <c r="CJ8" s="23"/>
      <c r="CK8" s="1652" t="s">
        <v>923</v>
      </c>
      <c r="CL8" s="59"/>
      <c r="CM8" s="59"/>
      <c r="CN8" s="59"/>
      <c r="CO8" s="1652" t="s">
        <v>923</v>
      </c>
      <c r="CP8" s="59"/>
      <c r="CQ8" s="59"/>
      <c r="CR8" s="59"/>
      <c r="CS8" s="59"/>
      <c r="CT8" s="59" t="s">
        <v>923</v>
      </c>
      <c r="CU8" s="59"/>
      <c r="CV8" s="1652"/>
      <c r="CW8"/>
      <c r="CX8"/>
      <c r="CY8"/>
      <c r="CZ8"/>
      <c r="DA8"/>
      <c r="DB8"/>
      <c r="DC8"/>
      <c r="DD8"/>
      <c r="DE8"/>
      <c r="DF8"/>
      <c r="DG8"/>
      <c r="DH8"/>
      <c r="DI8"/>
      <c r="DJ8"/>
      <c r="DK8"/>
      <c r="DL8"/>
      <c r="DM8"/>
      <c r="DN8"/>
      <c r="DO8"/>
      <c r="DP8"/>
      <c r="DQ8"/>
      <c r="DR8"/>
      <c r="DS8"/>
      <c r="DT8"/>
      <c r="DU8"/>
      <c r="DV8" s="23"/>
      <c r="DW8" s="23"/>
      <c r="DX8" s="23"/>
      <c r="DY8" s="23"/>
    </row>
    <row r="9" spans="1:135">
      <c r="A9" s="1163" t="s">
        <v>604</v>
      </c>
      <c r="B9" s="17" t="s">
        <v>1050</v>
      </c>
      <c r="C9" s="23"/>
      <c r="D9" s="26">
        <f>AK9</f>
        <v>0</v>
      </c>
      <c r="E9" s="54">
        <f>AP9</f>
        <v>0</v>
      </c>
      <c r="F9" s="54">
        <f>AU9</f>
        <v>0</v>
      </c>
      <c r="G9" s="54">
        <f>AZ9</f>
        <v>0</v>
      </c>
      <c r="H9" s="54">
        <f t="shared" ref="H9:H14" si="5">BE9</f>
        <v>0</v>
      </c>
      <c r="I9" s="54">
        <f t="shared" ref="I9:I14" si="6">BJ9</f>
        <v>0</v>
      </c>
      <c r="J9" s="54">
        <f>BO9</f>
        <v>152.60599999999999</v>
      </c>
      <c r="K9" s="54">
        <f>BT9</f>
        <v>201.77200000000002</v>
      </c>
      <c r="L9" s="54">
        <f>BY9</f>
        <v>305.21500000000003</v>
      </c>
      <c r="M9" s="54">
        <f>CD9</f>
        <v>545.86699999999996</v>
      </c>
      <c r="N9" s="1483">
        <f>CI9</f>
        <v>709.41000000000008</v>
      </c>
      <c r="O9" s="1483">
        <f>CN9</f>
        <v>937.72587801188251</v>
      </c>
      <c r="P9" s="1483">
        <f>CS9</f>
        <v>1194.3321927429165</v>
      </c>
      <c r="Q9" s="1483">
        <f>Rev!Q8</f>
        <v>1433.694</v>
      </c>
      <c r="R9" s="1483">
        <f>Rev!R8</f>
        <v>1628.1789999999999</v>
      </c>
      <c r="S9" s="1483">
        <f>Rev!S8</f>
        <v>1829.8119999999999</v>
      </c>
      <c r="T9" s="2107">
        <f>Rev!T8</f>
        <v>2024.963</v>
      </c>
      <c r="U9" s="2107">
        <f>Rev!U8</f>
        <v>2651.9139999999998</v>
      </c>
      <c r="V9" s="2107">
        <f>Rev!V8</f>
        <v>3178.145</v>
      </c>
      <c r="W9" s="2107">
        <f ca="1">Rev!W8</f>
        <v>3583.0415037890748</v>
      </c>
      <c r="X9" s="2107">
        <f ca="1">Rev!X8</f>
        <v>3946.6869258393253</v>
      </c>
      <c r="Y9" s="2107">
        <f ca="1">Rev!Y8</f>
        <v>4287.5186893385498</v>
      </c>
      <c r="Z9" s="2107">
        <f ca="1">Rev!Z8</f>
        <v>4608.6966481774907</v>
      </c>
      <c r="AA9" s="2107">
        <f ca="1">Rev!AA8</f>
        <v>4926.6460839202491</v>
      </c>
      <c r="AB9" s="2107">
        <f ca="1">Rev!AB8</f>
        <v>5241.0650322594038</v>
      </c>
      <c r="AC9" s="2107">
        <f ca="1">Rev!AC8</f>
        <v>5551.6926318198221</v>
      </c>
      <c r="AD9" s="2107">
        <f ca="1">Rev!AD8</f>
        <v>5858.3047011375184</v>
      </c>
      <c r="AE9" s="1483"/>
      <c r="AF9" s="1483"/>
      <c r="AG9" s="1483"/>
      <c r="AH9" s="1483"/>
      <c r="AI9" s="1483"/>
      <c r="AJ9" s="1491"/>
      <c r="AK9" s="1532"/>
      <c r="AL9" s="1484"/>
      <c r="AM9" s="1484"/>
      <c r="AN9" s="1484"/>
      <c r="AO9" s="1484"/>
      <c r="AP9" s="1533"/>
      <c r="AQ9" s="1484"/>
      <c r="AR9" s="1484"/>
      <c r="AS9" s="1484"/>
      <c r="AT9" s="1484"/>
      <c r="AU9" s="1533"/>
      <c r="AV9" s="1484"/>
      <c r="AW9" s="1484"/>
      <c r="AX9" s="1484"/>
      <c r="AY9" s="1484"/>
      <c r="AZ9" s="1533"/>
      <c r="BA9" s="1483">
        <v>0</v>
      </c>
      <c r="BB9" s="1483">
        <v>0</v>
      </c>
      <c r="BC9" s="1483">
        <v>0</v>
      </c>
      <c r="BD9" s="1483">
        <v>0</v>
      </c>
      <c r="BE9" s="1532">
        <f t="shared" ref="BE9:BE15" si="7">SUM(BA9:BD9)</f>
        <v>0</v>
      </c>
      <c r="BF9" s="1483">
        <v>0</v>
      </c>
      <c r="BG9" s="1483">
        <v>0</v>
      </c>
      <c r="BH9" s="1483">
        <v>0</v>
      </c>
      <c r="BI9" s="1483">
        <v>0</v>
      </c>
      <c r="BJ9" s="1532">
        <f t="shared" ref="BJ9:BJ15" si="8">SUM(BF9:BI9)</f>
        <v>0</v>
      </c>
      <c r="BK9" s="1483">
        <v>33.235999999999997</v>
      </c>
      <c r="BL9" s="1483">
        <v>36.104999999999997</v>
      </c>
      <c r="BM9" s="1483">
        <v>40.137999999999998</v>
      </c>
      <c r="BN9" s="1483">
        <v>43.127000000000002</v>
      </c>
      <c r="BO9" s="1532">
        <f t="shared" ref="BO9:BO15" si="9">SUM(BK9:BN9)</f>
        <v>152.60599999999999</v>
      </c>
      <c r="BP9" s="1483">
        <v>45.569000000000003</v>
      </c>
      <c r="BQ9" s="1483">
        <v>47.988</v>
      </c>
      <c r="BR9" s="1483">
        <v>51.677999999999997</v>
      </c>
      <c r="BS9" s="1483">
        <v>56.536999999999999</v>
      </c>
      <c r="BT9" s="1532">
        <f t="shared" ref="BT9:BT15" si="10">SUM(BP9:BS9)</f>
        <v>201.77200000000002</v>
      </c>
      <c r="BU9" s="1483">
        <v>59.759</v>
      </c>
      <c r="BV9" s="1483">
        <v>65.641000000000005</v>
      </c>
      <c r="BW9" s="1483">
        <v>75.281999999999996</v>
      </c>
      <c r="BX9" s="1483">
        <v>104.533</v>
      </c>
      <c r="BY9" s="1532">
        <f t="shared" ref="BY9:BY15" si="11">SUM(BU9:BX9)</f>
        <v>305.21500000000003</v>
      </c>
      <c r="BZ9" s="1483">
        <v>121.349</v>
      </c>
      <c r="CA9" s="1483">
        <v>132.97399999999999</v>
      </c>
      <c r="CB9" s="1483">
        <v>141.93799999999999</v>
      </c>
      <c r="CC9" s="1483">
        <v>149.60599999999999</v>
      </c>
      <c r="CD9" s="1532">
        <f t="shared" ref="CD9:CD15" si="12">SUM(BZ9:CC9)</f>
        <v>545.86699999999996</v>
      </c>
      <c r="CE9" s="1483">
        <f>Rev!BP8</f>
        <v>158.44900000000001</v>
      </c>
      <c r="CF9" s="1483">
        <f>Rev!BQ8</f>
        <v>171.809</v>
      </c>
      <c r="CG9" s="1483">
        <f>Rev!BR8</f>
        <v>183.78399999999999</v>
      </c>
      <c r="CH9" s="1483">
        <f>Rev!BS8</f>
        <v>195.36799999999999</v>
      </c>
      <c r="CI9" s="1532">
        <f t="shared" ref="CI9:CI15" si="13">SUM(CE9:CH9)</f>
        <v>709.41000000000008</v>
      </c>
      <c r="CJ9" s="1483">
        <f>Rev!BT8</f>
        <v>200.35900000000001</v>
      </c>
      <c r="CK9" s="1483">
        <f>Rev!BU8</f>
        <v>228.52190162018246</v>
      </c>
      <c r="CL9" s="1483">
        <f>Rev!BV8</f>
        <v>250.36456583980473</v>
      </c>
      <c r="CM9" s="1483">
        <f>Rev!BW8</f>
        <v>258.48041055189532</v>
      </c>
      <c r="CN9" s="1532">
        <f t="shared" ref="CN9:CN15" si="14">SUM(CJ9:CM9)</f>
        <v>937.72587801188251</v>
      </c>
      <c r="CO9" s="1483">
        <f>Rev!BX8</f>
        <v>273.7451797671327</v>
      </c>
      <c r="CP9" s="1483">
        <f>Rev!BY8</f>
        <v>294.5841052125009</v>
      </c>
      <c r="CQ9" s="1483">
        <f>Rev!BZ8</f>
        <v>306.08713505872367</v>
      </c>
      <c r="CR9" s="1483">
        <f>Rev!CA8</f>
        <v>319.91577270455917</v>
      </c>
      <c r="CS9" s="1532">
        <f t="shared" ref="CS9:CS15" si="15">SUM(CO9:CR9)</f>
        <v>1194.3321927429165</v>
      </c>
      <c r="CT9" s="1483">
        <f>Rev!CB8</f>
        <v>334.71299999999997</v>
      </c>
      <c r="CU9" s="1483">
        <f>Rev!CC8</f>
        <v>347.495</v>
      </c>
      <c r="CV9" s="1483">
        <f>Rev!CD8</f>
        <v>365.78699999999998</v>
      </c>
      <c r="CW9" s="1483">
        <f>Rev!CE8</f>
        <v>385.69899999999996</v>
      </c>
      <c r="CX9" s="1483">
        <f>Rev!CF8</f>
        <v>394.83099999999996</v>
      </c>
      <c r="CY9" s="1483">
        <f>Rev!CG8</f>
        <v>398.08699999999999</v>
      </c>
      <c r="CZ9" s="1483">
        <f>Rev!CH8</f>
        <v>408.56900000000002</v>
      </c>
      <c r="DA9" s="1483">
        <f>Rev!CI8</f>
        <v>426.69200000000001</v>
      </c>
      <c r="DB9" s="1483">
        <f>Rev!CJ8</f>
        <v>434.62299999999999</v>
      </c>
      <c r="DC9" s="1483">
        <f>Rev!CK8</f>
        <v>452.66</v>
      </c>
      <c r="DD9" s="1483">
        <f>Rev!CL8</f>
        <v>462.46499999999997</v>
      </c>
      <c r="DE9" s="1483">
        <f>Rev!CM8</f>
        <v>480.06399999999996</v>
      </c>
      <c r="DF9" s="1483">
        <f>Rev!CN8</f>
        <v>481.54500000000002</v>
      </c>
      <c r="DG9" s="1483">
        <f>Rev!CO8</f>
        <v>496.61</v>
      </c>
      <c r="DH9" s="1483">
        <f>Rev!CP8</f>
        <v>511.65200000000004</v>
      </c>
      <c r="DI9" s="1483">
        <f>Rev!CQ8</f>
        <v>535.15599999999995</v>
      </c>
      <c r="DJ9" s="2107">
        <f>Rev!CR8</f>
        <v>619.89300000000003</v>
      </c>
      <c r="DK9" s="2107">
        <f>Rev!CS8</f>
        <v>662.66899999999987</v>
      </c>
      <c r="DL9" s="2107">
        <f>Rev!CT8</f>
        <v>680.84</v>
      </c>
      <c r="DM9" s="2107">
        <f>Rev!CU8</f>
        <v>688.51199999999994</v>
      </c>
      <c r="DN9" s="2107">
        <f>Rev!CV8</f>
        <v>691.52200000000005</v>
      </c>
      <c r="DO9" s="2107">
        <f>Rev!CW8</f>
        <v>782.23099999999999</v>
      </c>
      <c r="DP9" s="2107">
        <f>Rev!CX8</f>
        <v>842.68000000000006</v>
      </c>
      <c r="DQ9" s="2107">
        <f>Rev!CY8</f>
        <v>861.71199999999999</v>
      </c>
      <c r="DR9" s="2107">
        <f ca="1">Rev!CZ8</f>
        <v>860.47423816514561</v>
      </c>
      <c r="DS9" s="2107">
        <f ca="1">Rev!DA8</f>
        <v>879.79325867605326</v>
      </c>
      <c r="DT9" s="2107">
        <f ca="1">Rev!DB8</f>
        <v>907.07790258932414</v>
      </c>
      <c r="DU9" s="2107">
        <f ca="1">Rev!DC8</f>
        <v>935.69610435855191</v>
      </c>
      <c r="DV9" s="54"/>
      <c r="DW9" s="54"/>
      <c r="DX9" s="54"/>
      <c r="DY9" s="54"/>
    </row>
    <row r="10" spans="1:135">
      <c r="B10" s="17" t="s">
        <v>1124</v>
      </c>
      <c r="C10" s="23"/>
      <c r="D10" s="26">
        <f>AK10</f>
        <v>0</v>
      </c>
      <c r="E10" s="54">
        <f>AP10</f>
        <v>0</v>
      </c>
      <c r="F10" s="54">
        <f>AU10</f>
        <v>0</v>
      </c>
      <c r="G10" s="54">
        <f>AZ10</f>
        <v>0</v>
      </c>
      <c r="H10" s="54">
        <f t="shared" si="5"/>
        <v>0</v>
      </c>
      <c r="I10" s="54">
        <f t="shared" si="6"/>
        <v>0</v>
      </c>
      <c r="J10" s="54">
        <f>BO10</f>
        <v>40.876999999999995</v>
      </c>
      <c r="K10" s="54">
        <f>BT10</f>
        <v>53.811</v>
      </c>
      <c r="L10" s="54">
        <f>BY10</f>
        <v>73.684999999999988</v>
      </c>
      <c r="M10" s="54">
        <f>CD10</f>
        <v>95.451999999999998</v>
      </c>
      <c r="N10" s="1483">
        <f>CI10</f>
        <v>106.657</v>
      </c>
      <c r="O10" s="1483">
        <f>CN10</f>
        <v>166.24039568911962</v>
      </c>
      <c r="P10" s="1483">
        <f>CS10</f>
        <v>227.8346072884718</v>
      </c>
      <c r="Q10" s="1483">
        <f>Rev!Q9</f>
        <v>272.10300000000001</v>
      </c>
      <c r="R10" s="1483">
        <f>Rev!R9</f>
        <v>319.863</v>
      </c>
      <c r="S10" s="1483">
        <f>Rev!S9</f>
        <v>372.35</v>
      </c>
      <c r="T10" s="2107">
        <f>Rev!T9</f>
        <v>435.80900000000008</v>
      </c>
      <c r="U10" s="2107">
        <f>Rev!U9</f>
        <v>544.26300000000003</v>
      </c>
      <c r="V10" s="2107">
        <f>Rev!V9</f>
        <v>681.173</v>
      </c>
      <c r="W10" s="2107">
        <f>Rev!W9</f>
        <v>849.1210918021153</v>
      </c>
      <c r="X10" s="2107">
        <f>Rev!X9</f>
        <v>941.65484614531488</v>
      </c>
      <c r="Y10" s="2107">
        <f>Rev!Y9</f>
        <v>1032.3182433774814</v>
      </c>
      <c r="Z10" s="2107">
        <f>Rev!Z9</f>
        <v>1117.8153362103321</v>
      </c>
      <c r="AA10" s="2107">
        <f>Rev!AA9</f>
        <v>1205.0103330235074</v>
      </c>
      <c r="AB10" s="2107">
        <f>Rev!AB9</f>
        <v>1293.9184400237984</v>
      </c>
      <c r="AC10" s="2107">
        <f>Rev!AC9</f>
        <v>1384.5721821908021</v>
      </c>
      <c r="AD10" s="2107">
        <f>Rev!AD9</f>
        <v>1477.0071998505059</v>
      </c>
      <c r="AE10" s="1483"/>
      <c r="AF10" s="1483"/>
      <c r="AG10" s="1483"/>
      <c r="AH10" s="1483"/>
      <c r="AI10" s="1483"/>
      <c r="AJ10" s="1491"/>
      <c r="AK10" s="1532"/>
      <c r="AL10" s="1484"/>
      <c r="AM10" s="1484"/>
      <c r="AN10" s="1484"/>
      <c r="AO10" s="1484"/>
      <c r="AP10" s="1533"/>
      <c r="AQ10" s="1484"/>
      <c r="AR10" s="1484"/>
      <c r="AS10" s="1484"/>
      <c r="AT10" s="1484"/>
      <c r="AU10" s="1533"/>
      <c r="AV10" s="1484"/>
      <c r="AW10" s="1484"/>
      <c r="AX10" s="1484"/>
      <c r="AY10" s="1484"/>
      <c r="AZ10" s="1533"/>
      <c r="BA10" s="1483">
        <v>0</v>
      </c>
      <c r="BB10" s="1483">
        <v>0</v>
      </c>
      <c r="BC10" s="1483">
        <v>0</v>
      </c>
      <c r="BD10" s="1483">
        <v>0</v>
      </c>
      <c r="BE10" s="1532">
        <f t="shared" si="7"/>
        <v>0</v>
      </c>
      <c r="BF10" s="1483">
        <v>0</v>
      </c>
      <c r="BG10" s="1483">
        <v>0</v>
      </c>
      <c r="BH10" s="1483">
        <v>0</v>
      </c>
      <c r="BI10" s="1483">
        <v>0</v>
      </c>
      <c r="BJ10" s="1532">
        <f t="shared" si="8"/>
        <v>0</v>
      </c>
      <c r="BK10" s="1483">
        <v>9.3239999999999998</v>
      </c>
      <c r="BL10" s="1483">
        <v>9.8450000000000006</v>
      </c>
      <c r="BM10" s="1483">
        <v>10.526999999999999</v>
      </c>
      <c r="BN10" s="1483">
        <v>11.180999999999999</v>
      </c>
      <c r="BO10" s="1532">
        <f t="shared" si="9"/>
        <v>40.876999999999995</v>
      </c>
      <c r="BP10" s="1483">
        <v>11.804</v>
      </c>
      <c r="BQ10" s="1483">
        <v>12.644</v>
      </c>
      <c r="BR10" s="1483">
        <v>13.862</v>
      </c>
      <c r="BS10" s="1483">
        <v>15.500999999999999</v>
      </c>
      <c r="BT10" s="1532">
        <f t="shared" si="10"/>
        <v>53.811</v>
      </c>
      <c r="BU10" s="1483">
        <v>16.72</v>
      </c>
      <c r="BV10" s="1483">
        <v>17.652999999999999</v>
      </c>
      <c r="BW10" s="1483">
        <v>18.797999999999998</v>
      </c>
      <c r="BX10" s="1483">
        <v>20.513999999999999</v>
      </c>
      <c r="BY10" s="1532">
        <f t="shared" si="11"/>
        <v>73.684999999999988</v>
      </c>
      <c r="BZ10" s="1483">
        <v>22.148</v>
      </c>
      <c r="CA10" s="1483">
        <v>23.391999999999999</v>
      </c>
      <c r="CB10" s="1483">
        <v>24.356999999999999</v>
      </c>
      <c r="CC10" s="1483">
        <v>25.555</v>
      </c>
      <c r="CD10" s="1532">
        <f t="shared" si="12"/>
        <v>95.451999999999998</v>
      </c>
      <c r="CE10" s="1483">
        <f>Rev!BP9</f>
        <v>25.196999999999999</v>
      </c>
      <c r="CF10" s="1483">
        <f>Rev!BQ9</f>
        <v>25.896999999999998</v>
      </c>
      <c r="CG10" s="1483">
        <f>Rev!BR9</f>
        <v>27.234999999999999</v>
      </c>
      <c r="CH10" s="1483">
        <f>Rev!BS9</f>
        <v>28.327999999999999</v>
      </c>
      <c r="CI10" s="1532">
        <f t="shared" si="13"/>
        <v>106.657</v>
      </c>
      <c r="CJ10" s="1483">
        <f>Rev!BT9</f>
        <v>29.231999999999999</v>
      </c>
      <c r="CK10" s="1483">
        <f>Rev!BU9</f>
        <v>39.809335000054112</v>
      </c>
      <c r="CL10" s="1483">
        <f>Rev!BV9</f>
        <v>47.06487839266493</v>
      </c>
      <c r="CM10" s="1483">
        <f>Rev!BW9</f>
        <v>50.134182296400596</v>
      </c>
      <c r="CN10" s="1532">
        <f t="shared" si="14"/>
        <v>166.24039568911962</v>
      </c>
      <c r="CO10" s="1483">
        <f>Rev!BX9</f>
        <v>52.253241703933497</v>
      </c>
      <c r="CP10" s="1483">
        <f>Rev!BY9</f>
        <v>57.047457179678545</v>
      </c>
      <c r="CQ10" s="1483">
        <f>Rev!BZ9</f>
        <v>57.513920722041156</v>
      </c>
      <c r="CR10" s="1483">
        <f>Rev!CA9</f>
        <v>61.019987682818595</v>
      </c>
      <c r="CS10" s="1532">
        <f t="shared" si="15"/>
        <v>227.8346072884718</v>
      </c>
      <c r="CT10" s="1483">
        <f>Rev!CB9</f>
        <v>62.882999999999996</v>
      </c>
      <c r="CU10" s="1483">
        <f>Rev!CC9</f>
        <v>65.033999999999992</v>
      </c>
      <c r="CV10" s="1483">
        <f>Rev!CD9</f>
        <v>70.680999999999997</v>
      </c>
      <c r="CW10" s="1483">
        <f>Rev!CE9</f>
        <v>73.50500000000001</v>
      </c>
      <c r="CX10" s="1483">
        <f>Rev!CF9</f>
        <v>75.991</v>
      </c>
      <c r="CY10" s="1483">
        <f>Rev!CG9</f>
        <v>78.352999999999994</v>
      </c>
      <c r="CZ10" s="1483">
        <f>Rev!CH9</f>
        <v>81.650000000000006</v>
      </c>
      <c r="DA10" s="1483">
        <f>Rev!CI9</f>
        <v>83.869</v>
      </c>
      <c r="DB10" s="1483">
        <f>Rev!CJ9</f>
        <v>87.02600000000001</v>
      </c>
      <c r="DC10" s="1483">
        <f>Rev!CK9</f>
        <v>90.968999999999994</v>
      </c>
      <c r="DD10" s="1483">
        <f>Rev!CL9</f>
        <v>95.647999999999996</v>
      </c>
      <c r="DE10" s="1483">
        <f>Rev!CM9</f>
        <v>98.706999999999994</v>
      </c>
      <c r="DF10" s="1483">
        <f>Rev!CN9</f>
        <v>101.658</v>
      </c>
      <c r="DG10" s="1483">
        <f>Rev!CO9</f>
        <v>104.661</v>
      </c>
      <c r="DH10" s="1483">
        <f>Rev!CP9</f>
        <v>110.56800000000001</v>
      </c>
      <c r="DI10" s="1483">
        <f>Rev!CQ9</f>
        <v>118.922</v>
      </c>
      <c r="DJ10" s="2107">
        <f>Rev!CR9</f>
        <v>127.20500000000001</v>
      </c>
      <c r="DK10" s="2107">
        <f>Rev!CS9</f>
        <v>135.721</v>
      </c>
      <c r="DL10" s="2107">
        <f>Rev!CT9</f>
        <v>135.43899999999999</v>
      </c>
      <c r="DM10" s="2107">
        <f>Rev!CU9</f>
        <v>145.898</v>
      </c>
      <c r="DN10" s="2107">
        <f>Rev!CV9</f>
        <v>148.06</v>
      </c>
      <c r="DO10" s="2107">
        <f>Rev!CW9</f>
        <v>165.684</v>
      </c>
      <c r="DP10" s="2107">
        <f>Rev!CX9</f>
        <v>179.54400000000001</v>
      </c>
      <c r="DQ10" s="2107">
        <f>Rev!CY9</f>
        <v>187.88500000000002</v>
      </c>
      <c r="DR10" s="2107">
        <f>Rev!CZ9</f>
        <v>204.02026291746381</v>
      </c>
      <c r="DS10" s="2107">
        <f>Rev!DA9</f>
        <v>208.79275598201298</v>
      </c>
      <c r="DT10" s="2107">
        <f>Rev!DB9</f>
        <v>214.88398761966346</v>
      </c>
      <c r="DU10" s="2107">
        <f>Rev!DC9</f>
        <v>221.42408528297506</v>
      </c>
      <c r="DV10" s="54"/>
      <c r="DW10" s="54"/>
      <c r="DX10" s="54"/>
      <c r="DY10" s="54"/>
    </row>
    <row r="11" spans="1:135">
      <c r="B11" s="17" t="s">
        <v>1221</v>
      </c>
      <c r="C11" s="23"/>
      <c r="D11" s="26">
        <f>AK11</f>
        <v>0</v>
      </c>
      <c r="E11" s="54">
        <f>AP11</f>
        <v>0</v>
      </c>
      <c r="F11" s="54">
        <f>AU11</f>
        <v>0</v>
      </c>
      <c r="G11" s="54">
        <f>AZ11</f>
        <v>0</v>
      </c>
      <c r="H11" s="54">
        <f t="shared" si="5"/>
        <v>0</v>
      </c>
      <c r="I11" s="54">
        <f t="shared" si="6"/>
        <v>0</v>
      </c>
      <c r="J11" s="54">
        <f>BO11</f>
        <v>14.208</v>
      </c>
      <c r="K11" s="54">
        <f>BT11</f>
        <v>16.196999999999999</v>
      </c>
      <c r="L11" s="54">
        <f>BY11</f>
        <v>19.518999999999998</v>
      </c>
      <c r="M11" s="54">
        <f>CD11</f>
        <v>27.740000000000002</v>
      </c>
      <c r="N11" s="1483">
        <f>CI11</f>
        <v>29.241</v>
      </c>
      <c r="O11" s="1483">
        <f>CN11</f>
        <v>30.410681655156001</v>
      </c>
      <c r="P11" s="1483">
        <f>CS11</f>
        <v>67.519290548747449</v>
      </c>
      <c r="Q11" s="1483">
        <f>Rev!Q10</f>
        <v>88.108999999999995</v>
      </c>
      <c r="R11" s="1483">
        <f>Rev!R10</f>
        <v>97.4</v>
      </c>
      <c r="S11" s="1483">
        <f>Rev!S10</f>
        <v>105.291</v>
      </c>
      <c r="T11" s="2107">
        <f>Rev!T10</f>
        <v>97.687999999999988</v>
      </c>
      <c r="U11" s="2107">
        <f>Rev!U10</f>
        <v>199.29599999999999</v>
      </c>
      <c r="V11" s="2107">
        <f>Rev!V10</f>
        <v>245.16899999999998</v>
      </c>
      <c r="W11" s="2107">
        <f>Rev!W10</f>
        <v>276.35599999999999</v>
      </c>
      <c r="X11" s="2107">
        <f>Rev!X10</f>
        <v>277.10599999999999</v>
      </c>
      <c r="Y11" s="2107">
        <f>Rev!Y10</f>
        <v>277.85599999999999</v>
      </c>
      <c r="Z11" s="2107">
        <f>Rev!Z10</f>
        <v>278.60599999999999</v>
      </c>
      <c r="AA11" s="2107">
        <f>Rev!AA10</f>
        <v>279.35599999999999</v>
      </c>
      <c r="AB11" s="2107">
        <f>Rev!AB10</f>
        <v>280.10599999999999</v>
      </c>
      <c r="AC11" s="2107">
        <f>Rev!AC10</f>
        <v>280.85599999999999</v>
      </c>
      <c r="AD11" s="2107">
        <f>Rev!AD10</f>
        <v>281.60599999999999</v>
      </c>
      <c r="AE11" s="1483"/>
      <c r="AF11" s="1483"/>
      <c r="AG11" s="1483"/>
      <c r="AH11" s="1483"/>
      <c r="AI11" s="1483"/>
      <c r="AJ11" s="1491"/>
      <c r="AK11" s="1532"/>
      <c r="AL11" s="1484"/>
      <c r="AM11" s="1484"/>
      <c r="AN11" s="1484"/>
      <c r="AO11" s="1484"/>
      <c r="AP11" s="1533"/>
      <c r="AQ11" s="1484"/>
      <c r="AR11" s="1484"/>
      <c r="AS11" s="1484"/>
      <c r="AT11" s="1484"/>
      <c r="AU11" s="1533"/>
      <c r="AV11" s="1484"/>
      <c r="AW11" s="1484"/>
      <c r="AX11" s="1484"/>
      <c r="AY11" s="1484"/>
      <c r="AZ11" s="1533"/>
      <c r="BA11" s="1483">
        <v>0</v>
      </c>
      <c r="BB11" s="1483">
        <v>0</v>
      </c>
      <c r="BC11" s="1483">
        <v>0</v>
      </c>
      <c r="BD11" s="1483">
        <v>0</v>
      </c>
      <c r="BE11" s="1532">
        <f t="shared" si="7"/>
        <v>0</v>
      </c>
      <c r="BF11" s="1483">
        <v>0</v>
      </c>
      <c r="BG11" s="1483">
        <v>0</v>
      </c>
      <c r="BH11" s="1483">
        <v>0</v>
      </c>
      <c r="BI11" s="1483">
        <v>0</v>
      </c>
      <c r="BJ11" s="1532">
        <f t="shared" si="8"/>
        <v>0</v>
      </c>
      <c r="BK11" s="1483">
        <v>3.3410000000000002</v>
      </c>
      <c r="BL11" s="1483">
        <v>3.4809999999999999</v>
      </c>
      <c r="BM11" s="1483">
        <v>3.6259999999999999</v>
      </c>
      <c r="BN11" s="1483">
        <v>3.76</v>
      </c>
      <c r="BO11" s="1532">
        <f t="shared" si="9"/>
        <v>14.208</v>
      </c>
      <c r="BP11" s="1483">
        <v>3.9329999999999998</v>
      </c>
      <c r="BQ11" s="1483">
        <v>4.0460000000000003</v>
      </c>
      <c r="BR11" s="1483">
        <v>4.0659999999999998</v>
      </c>
      <c r="BS11" s="1483">
        <v>4.1520000000000001</v>
      </c>
      <c r="BT11" s="1532">
        <f t="shared" si="10"/>
        <v>16.196999999999999</v>
      </c>
      <c r="BU11" s="1483">
        <v>4.0990000000000002</v>
      </c>
      <c r="BV11" s="1483">
        <v>4.2850000000000001</v>
      </c>
      <c r="BW11" s="1483">
        <v>4.83</v>
      </c>
      <c r="BX11" s="1483">
        <v>6.3049999999999997</v>
      </c>
      <c r="BY11" s="1532">
        <f t="shared" si="11"/>
        <v>19.518999999999998</v>
      </c>
      <c r="BZ11" s="1483">
        <v>6.5</v>
      </c>
      <c r="CA11" s="1483">
        <v>6.8330000000000002</v>
      </c>
      <c r="CB11" s="1483">
        <v>6.968</v>
      </c>
      <c r="CC11" s="1483">
        <v>7.4390000000000001</v>
      </c>
      <c r="CD11" s="1532">
        <f t="shared" si="12"/>
        <v>27.740000000000002</v>
      </c>
      <c r="CE11" s="1483">
        <f>Rev!BP10</f>
        <v>7.3769999999999998</v>
      </c>
      <c r="CF11" s="1483">
        <f>Rev!BQ10</f>
        <v>7.3680000000000003</v>
      </c>
      <c r="CG11" s="1483">
        <f>Rev!BR10</f>
        <v>7.02</v>
      </c>
      <c r="CH11" s="1483">
        <f>Rev!BS10</f>
        <v>7.476</v>
      </c>
      <c r="CI11" s="1532">
        <f t="shared" si="13"/>
        <v>29.241</v>
      </c>
      <c r="CJ11" s="1483">
        <f>Rev!BT10</f>
        <v>7.3</v>
      </c>
      <c r="CK11" s="1483">
        <f>Rev!BU10</f>
        <v>7.2709076160481398</v>
      </c>
      <c r="CL11" s="1483">
        <f>Rev!BV10</f>
        <v>7.7704431656543127</v>
      </c>
      <c r="CM11" s="1483">
        <f>Rev!BW10</f>
        <v>8.0693308734535485</v>
      </c>
      <c r="CN11" s="1532">
        <f t="shared" si="14"/>
        <v>30.410681655156001</v>
      </c>
      <c r="CO11" s="1483">
        <f>Rev!BX10</f>
        <v>8.4465725662409525</v>
      </c>
      <c r="CP11" s="1483">
        <f>Rev!BY10</f>
        <v>15.108665496188809</v>
      </c>
      <c r="CQ11" s="1483">
        <f>Rev!BZ10</f>
        <v>23.820327282895878</v>
      </c>
      <c r="CR11" s="1483">
        <f>Rev!CA10</f>
        <v>20.143725203421813</v>
      </c>
      <c r="CS11" s="1532">
        <f t="shared" si="15"/>
        <v>67.519290548747449</v>
      </c>
      <c r="CT11" s="1483">
        <f>Rev!CB10</f>
        <v>21.766000000000002</v>
      </c>
      <c r="CU11" s="1483">
        <f>Rev!CC10</f>
        <v>20.305</v>
      </c>
      <c r="CV11" s="1483">
        <f>Rev!CD10</f>
        <v>23.231000000000002</v>
      </c>
      <c r="CW11" s="1483">
        <f>Rev!CE10</f>
        <v>22.806999999999999</v>
      </c>
      <c r="CX11" s="1483">
        <f>Rev!CF10</f>
        <v>23.12</v>
      </c>
      <c r="CY11" s="1483">
        <f>Rev!CG10</f>
        <v>24.791000000000004</v>
      </c>
      <c r="CZ11" s="1483">
        <f>Rev!CH10</f>
        <v>24.413</v>
      </c>
      <c r="DA11" s="1483">
        <f>Rev!CI10</f>
        <v>25.076000000000001</v>
      </c>
      <c r="DB11" s="1483">
        <f>Rev!CJ10</f>
        <v>25.384</v>
      </c>
      <c r="DC11" s="1483">
        <f>Rev!CK10</f>
        <v>27.856000000000002</v>
      </c>
      <c r="DD11" s="1483">
        <f>Rev!CL10</f>
        <v>27.756999999999998</v>
      </c>
      <c r="DE11" s="1483">
        <f>Rev!CM10</f>
        <v>24.293999999999997</v>
      </c>
      <c r="DF11" s="1483">
        <f>Rev!CN10</f>
        <v>23.855</v>
      </c>
      <c r="DG11" s="1483">
        <f>Rev!CO10</f>
        <v>23.466000000000001</v>
      </c>
      <c r="DH11" s="1483">
        <f>Rev!CP10</f>
        <v>22.326999999999998</v>
      </c>
      <c r="DI11" s="1483">
        <f>Rev!CQ10</f>
        <v>28.04</v>
      </c>
      <c r="DJ11" s="2107">
        <f>Rev!CR10</f>
        <v>44.736000000000004</v>
      </c>
      <c r="DK11" s="2107">
        <f>Rev!CS10</f>
        <v>45.243000000000002</v>
      </c>
      <c r="DL11" s="2107">
        <f>Rev!CT10</f>
        <v>55.327000000000005</v>
      </c>
      <c r="DM11" s="2107">
        <f>Rev!CU10</f>
        <v>53.989999999999995</v>
      </c>
      <c r="DN11" s="2107">
        <f>Rev!CV10</f>
        <v>54.608999999999995</v>
      </c>
      <c r="DO11" s="2107">
        <f>Rev!CW10</f>
        <v>58.192999999999998</v>
      </c>
      <c r="DP11" s="2107">
        <f>Rev!CX10</f>
        <v>63.278000000000006</v>
      </c>
      <c r="DQ11" s="2107">
        <f>Rev!CY10</f>
        <v>69.088999999999999</v>
      </c>
      <c r="DR11" s="2107">
        <f>Rev!CZ10</f>
        <v>69.088999999999999</v>
      </c>
      <c r="DS11" s="2107">
        <f>Rev!DA10</f>
        <v>69.088999999999999</v>
      </c>
      <c r="DT11" s="2107">
        <f>Rev!DB10</f>
        <v>69.088999999999999</v>
      </c>
      <c r="DU11" s="2107">
        <f>Rev!DC10</f>
        <v>69.088999999999999</v>
      </c>
      <c r="DV11" s="54"/>
      <c r="DW11" s="54"/>
      <c r="DX11" s="54"/>
      <c r="DY11" s="54"/>
    </row>
    <row r="12" spans="1:135">
      <c r="B12" s="17" t="s">
        <v>1222</v>
      </c>
      <c r="C12" s="23"/>
      <c r="D12" s="26">
        <f>AK12</f>
        <v>0</v>
      </c>
      <c r="E12" s="54">
        <f>AP12</f>
        <v>0</v>
      </c>
      <c r="F12" s="54">
        <f>AU12</f>
        <v>0</v>
      </c>
      <c r="G12" s="54">
        <f>AZ12</f>
        <v>0</v>
      </c>
      <c r="H12" s="54">
        <f t="shared" si="5"/>
        <v>0</v>
      </c>
      <c r="I12" s="54">
        <f t="shared" si="6"/>
        <v>0</v>
      </c>
      <c r="J12" s="54">
        <f>BO12</f>
        <v>0.312</v>
      </c>
      <c r="K12" s="54">
        <f>BT12</f>
        <v>1.3800000000000001</v>
      </c>
      <c r="L12" s="54">
        <f>BY12</f>
        <v>1.2370000000000001</v>
      </c>
      <c r="M12" s="54">
        <f>CD12</f>
        <v>1.028</v>
      </c>
      <c r="N12" s="1483">
        <f>CI12</f>
        <v>1.091</v>
      </c>
      <c r="O12" s="1483">
        <f>CN12</f>
        <v>2.4090446438418791</v>
      </c>
      <c r="P12" s="1483">
        <f>CS12</f>
        <v>2.727909419864333</v>
      </c>
      <c r="Q12" s="1483">
        <f>Rev!Q11</f>
        <v>3.1619999999999999</v>
      </c>
      <c r="R12" s="1483">
        <f>Rev!R11</f>
        <v>4.5199999999999996</v>
      </c>
      <c r="S12" s="1483">
        <f>Rev!S11</f>
        <v>10.336</v>
      </c>
      <c r="T12" s="2107">
        <f>Rev!T11</f>
        <v>10.681000000000001</v>
      </c>
      <c r="U12" s="2107">
        <f>Rev!U11</f>
        <v>22.840000000000003</v>
      </c>
      <c r="V12" s="2107">
        <f>Rev!V11</f>
        <v>15.633000000000001</v>
      </c>
      <c r="W12" s="2107">
        <f>Rev!W11</f>
        <v>16.152000000000001</v>
      </c>
      <c r="X12" s="2107">
        <f>Rev!X11</f>
        <v>17.001999999999999</v>
      </c>
      <c r="Y12" s="2107">
        <f>Rev!Y11</f>
        <v>17.852</v>
      </c>
      <c r="Z12" s="2107">
        <f>Rev!Z11</f>
        <v>18.701999999999998</v>
      </c>
      <c r="AA12" s="2107">
        <f>Rev!AA11</f>
        <v>19.552</v>
      </c>
      <c r="AB12" s="2107">
        <f>Rev!AB11</f>
        <v>20.401999999999997</v>
      </c>
      <c r="AC12" s="2107">
        <f>Rev!AC11</f>
        <v>21.251999999999995</v>
      </c>
      <c r="AD12" s="2107">
        <f>Rev!AD11</f>
        <v>22.101999999999997</v>
      </c>
      <c r="AE12" s="1483"/>
      <c r="AF12" s="1483"/>
      <c r="AG12" s="1483"/>
      <c r="AH12" s="1483"/>
      <c r="AI12" s="1483"/>
      <c r="AJ12" s="1491"/>
      <c r="AK12" s="1532"/>
      <c r="AL12" s="1484"/>
      <c r="AM12" s="1484"/>
      <c r="AN12" s="1484"/>
      <c r="AO12" s="1484"/>
      <c r="AP12" s="1533"/>
      <c r="AQ12" s="1484"/>
      <c r="AR12" s="1484"/>
      <c r="AS12" s="1484"/>
      <c r="AT12" s="1484"/>
      <c r="AU12" s="1533"/>
      <c r="AV12" s="1484"/>
      <c r="AW12" s="1484"/>
      <c r="AX12" s="1484"/>
      <c r="AY12" s="1484"/>
      <c r="AZ12" s="1533"/>
      <c r="BA12" s="1483">
        <v>0</v>
      </c>
      <c r="BB12" s="1483">
        <v>0</v>
      </c>
      <c r="BC12" s="1483">
        <v>0</v>
      </c>
      <c r="BD12" s="1483">
        <v>0</v>
      </c>
      <c r="BE12" s="1532">
        <f t="shared" si="7"/>
        <v>0</v>
      </c>
      <c r="BF12" s="1483">
        <v>0</v>
      </c>
      <c r="BG12" s="1483">
        <v>0</v>
      </c>
      <c r="BH12" s="1483">
        <v>0</v>
      </c>
      <c r="BI12" s="1483">
        <v>0</v>
      </c>
      <c r="BJ12" s="1532">
        <f t="shared" si="8"/>
        <v>0</v>
      </c>
      <c r="BK12" s="1483">
        <v>0</v>
      </c>
      <c r="BL12" s="1483">
        <v>0</v>
      </c>
      <c r="BM12" s="1483">
        <v>0</v>
      </c>
      <c r="BN12" s="1483">
        <v>0.312</v>
      </c>
      <c r="BO12" s="1532">
        <f t="shared" si="9"/>
        <v>0.312</v>
      </c>
      <c r="BP12" s="1483">
        <v>0.44600000000000001</v>
      </c>
      <c r="BQ12" s="1483">
        <v>0.41099999999999998</v>
      </c>
      <c r="BR12" s="1483">
        <v>0.312</v>
      </c>
      <c r="BS12" s="1483">
        <v>0.21099999999999999</v>
      </c>
      <c r="BT12" s="1532">
        <f t="shared" si="10"/>
        <v>1.3800000000000001</v>
      </c>
      <c r="BU12" s="1483">
        <v>0.308</v>
      </c>
      <c r="BV12" s="1483">
        <v>0.32500000000000001</v>
      </c>
      <c r="BW12" s="1483">
        <v>0.378</v>
      </c>
      <c r="BX12" s="1483">
        <v>0.22600000000000001</v>
      </c>
      <c r="BY12" s="1532">
        <f t="shared" si="11"/>
        <v>1.2370000000000001</v>
      </c>
      <c r="BZ12" s="1483">
        <v>0.36199999999999999</v>
      </c>
      <c r="CA12" s="1483">
        <v>0.19600000000000001</v>
      </c>
      <c r="CB12" s="1483">
        <v>0.254</v>
      </c>
      <c r="CC12" s="1483">
        <v>0.216</v>
      </c>
      <c r="CD12" s="1532">
        <f t="shared" si="12"/>
        <v>1.028</v>
      </c>
      <c r="CE12" s="1483">
        <f>Rev!BP11</f>
        <v>0.26400000000000001</v>
      </c>
      <c r="CF12" s="1483">
        <f>Rev!BQ11</f>
        <v>0.23899999999999999</v>
      </c>
      <c r="CG12" s="1483">
        <f>Rev!BR11</f>
        <v>0.29499999999999998</v>
      </c>
      <c r="CH12" s="1483">
        <f>Rev!BS11</f>
        <v>0.29299999999999998</v>
      </c>
      <c r="CI12" s="1532">
        <f t="shared" si="13"/>
        <v>1.091</v>
      </c>
      <c r="CJ12" s="1483">
        <f>Rev!BT11</f>
        <v>0.34499999999999997</v>
      </c>
      <c r="CK12" s="1483">
        <f>Rev!BU11</f>
        <v>0.54685576371527223</v>
      </c>
      <c r="CL12" s="1483">
        <f>Rev!BV11</f>
        <v>0.76811260187605723</v>
      </c>
      <c r="CM12" s="1483">
        <f>Rev!BW11</f>
        <v>0.7490762782505499</v>
      </c>
      <c r="CN12" s="1532">
        <f t="shared" si="14"/>
        <v>2.4090446438418791</v>
      </c>
      <c r="CO12" s="1483">
        <f>Rev!BX11</f>
        <v>0.60200596269288098</v>
      </c>
      <c r="CP12" s="1483">
        <f>Rev!BY11</f>
        <v>0.64777211163177673</v>
      </c>
      <c r="CQ12" s="1483">
        <f>Rev!BZ11</f>
        <v>0.79261693633926678</v>
      </c>
      <c r="CR12" s="1483">
        <f>Rev!CA11</f>
        <v>0.68551440920040863</v>
      </c>
      <c r="CS12" s="1532">
        <f t="shared" si="15"/>
        <v>2.727909419864333</v>
      </c>
      <c r="CT12" s="1483">
        <f>Rev!CB11</f>
        <v>0.78299999999999992</v>
      </c>
      <c r="CU12" s="1483">
        <f>Rev!CC11</f>
        <v>0.78100000000000003</v>
      </c>
      <c r="CV12" s="1483">
        <f>Rev!CD11</f>
        <v>0.78299999999999992</v>
      </c>
      <c r="CW12" s="1483">
        <f>Rev!CE11</f>
        <v>0.81499999999999995</v>
      </c>
      <c r="CX12" s="1483">
        <f>Rev!CF11</f>
        <v>0.58000000000000007</v>
      </c>
      <c r="CY12" s="1483">
        <f>Rev!CG11</f>
        <v>0.58299999999999996</v>
      </c>
      <c r="CZ12" s="1483">
        <f>Rev!CH11</f>
        <v>0.93399999999999994</v>
      </c>
      <c r="DA12" s="1483">
        <f>Rev!CI11</f>
        <v>2.423</v>
      </c>
      <c r="DB12" s="1483">
        <f>Rev!CJ11</f>
        <v>2.67</v>
      </c>
      <c r="DC12" s="1483">
        <f>Rev!CK11</f>
        <v>2.673</v>
      </c>
      <c r="DD12" s="1483">
        <f>Rev!CL11</f>
        <v>2.5659999999999998</v>
      </c>
      <c r="DE12" s="1483">
        <f>Rev!CM11</f>
        <v>2.427</v>
      </c>
      <c r="DF12" s="1483">
        <f>Rev!CN11</f>
        <v>2.5990000000000002</v>
      </c>
      <c r="DG12" s="1483">
        <f>Rev!CO11</f>
        <v>1.954</v>
      </c>
      <c r="DH12" s="1483">
        <f>Rev!CP11</f>
        <v>2.1739999999999999</v>
      </c>
      <c r="DI12" s="1483">
        <f>Rev!CQ11</f>
        <v>3.9539999999999997</v>
      </c>
      <c r="DJ12" s="2107">
        <f>Rev!CR11</f>
        <v>5.26</v>
      </c>
      <c r="DK12" s="2107">
        <f>Rev!CS11</f>
        <v>8.1379999999999999</v>
      </c>
      <c r="DL12" s="2107">
        <f>Rev!CT11</f>
        <v>5.4</v>
      </c>
      <c r="DM12" s="2107">
        <f>Rev!CU11</f>
        <v>4.0419999999999998</v>
      </c>
      <c r="DN12" s="2107">
        <f>Rev!CV11</f>
        <v>4.2490000000000006</v>
      </c>
      <c r="DO12" s="2107">
        <f>Rev!CW11</f>
        <v>3.94</v>
      </c>
      <c r="DP12" s="2107">
        <f>Rev!CX11</f>
        <v>3.5310000000000001</v>
      </c>
      <c r="DQ12" s="2107">
        <f>Rev!CY11</f>
        <v>3.9130000000000003</v>
      </c>
      <c r="DR12" s="2107">
        <f>Rev!CZ11</f>
        <v>3.9630000000000001</v>
      </c>
      <c r="DS12" s="2107">
        <f>Rev!DA11</f>
        <v>4.0129999999999999</v>
      </c>
      <c r="DT12" s="2107">
        <f>Rev!DB11</f>
        <v>4.0630000000000006</v>
      </c>
      <c r="DU12" s="2107">
        <f>Rev!DC11</f>
        <v>4.1130000000000004</v>
      </c>
      <c r="DV12" s="54"/>
      <c r="DW12" s="54"/>
      <c r="DX12" s="54"/>
      <c r="DY12" s="54"/>
    </row>
    <row r="13" spans="1:135">
      <c r="B13" s="23" t="s">
        <v>1219</v>
      </c>
      <c r="C13" s="23"/>
      <c r="D13" s="26">
        <f>SUM(D9:D12)</f>
        <v>0</v>
      </c>
      <c r="E13" s="26">
        <f>SUM(E9:E12)</f>
        <v>0</v>
      </c>
      <c r="F13" s="26">
        <f>SUM(F9:F12)</f>
        <v>0</v>
      </c>
      <c r="G13" s="26">
        <f>SUM(G9:G12)</f>
        <v>0</v>
      </c>
      <c r="H13" s="54">
        <f t="shared" si="5"/>
        <v>109.95700000000001</v>
      </c>
      <c r="I13" s="54">
        <f t="shared" si="6"/>
        <v>154.43199999999999</v>
      </c>
      <c r="J13" s="54">
        <f t="shared" ref="J13:S13" si="16">SUM(J9:J12)</f>
        <v>208.00300000000001</v>
      </c>
      <c r="K13" s="54">
        <f t="shared" si="16"/>
        <v>273.16000000000003</v>
      </c>
      <c r="L13" s="54">
        <f t="shared" si="16"/>
        <v>399.65600000000006</v>
      </c>
      <c r="M13" s="54">
        <f t="shared" si="16"/>
        <v>670.08699999999999</v>
      </c>
      <c r="N13" s="1483">
        <f t="shared" si="16"/>
        <v>846.39900000000011</v>
      </c>
      <c r="O13" s="1483">
        <f t="shared" si="16"/>
        <v>1136.7860000000001</v>
      </c>
      <c r="P13" s="1483">
        <f t="shared" si="16"/>
        <v>1492.414</v>
      </c>
      <c r="Q13" s="1483">
        <f t="shared" si="16"/>
        <v>1797.068</v>
      </c>
      <c r="R13" s="1483">
        <f t="shared" si="16"/>
        <v>2049.962</v>
      </c>
      <c r="S13" s="1483">
        <f t="shared" si="16"/>
        <v>2317.7889999999998</v>
      </c>
      <c r="T13" s="2107">
        <f t="shared" ref="T13:Z13" si="17">SUM(T9:T12)</f>
        <v>2569.1410000000001</v>
      </c>
      <c r="U13" s="2107">
        <f t="shared" si="17"/>
        <v>3418.3129999999996</v>
      </c>
      <c r="V13" s="2107">
        <f>SUM(V9:V12)</f>
        <v>4120.12</v>
      </c>
      <c r="W13" s="2107">
        <f ca="1">SUM(W9:W12)</f>
        <v>4724.6705955911902</v>
      </c>
      <c r="X13" s="2107">
        <f t="shared" ca="1" si="17"/>
        <v>5182.4497719846404</v>
      </c>
      <c r="Y13" s="2107">
        <f t="shared" ca="1" si="17"/>
        <v>5615.5449327160304</v>
      </c>
      <c r="Z13" s="2107">
        <f t="shared" ca="1" si="17"/>
        <v>6023.8199843878228</v>
      </c>
      <c r="AA13" s="2107">
        <f t="shared" ref="AA13:AD13" ca="1" si="18">SUM(AA9:AA12)</f>
        <v>6430.5644169437564</v>
      </c>
      <c r="AB13" s="2107">
        <f t="shared" ca="1" si="18"/>
        <v>6835.4914722832018</v>
      </c>
      <c r="AC13" s="2107">
        <f t="shared" ca="1" si="18"/>
        <v>7238.3728140106241</v>
      </c>
      <c r="AD13" s="2107">
        <f t="shared" ca="1" si="18"/>
        <v>7639.0199009880243</v>
      </c>
      <c r="AE13" s="1483"/>
      <c r="AF13" s="1483"/>
      <c r="AG13" s="1483"/>
      <c r="AH13" s="1483"/>
      <c r="AI13" s="1483"/>
      <c r="AJ13" s="1491"/>
      <c r="AK13" s="1532"/>
      <c r="AL13" s="1484"/>
      <c r="AM13" s="1484"/>
      <c r="AN13" s="1484"/>
      <c r="AO13" s="1484"/>
      <c r="AP13" s="1533"/>
      <c r="AQ13" s="1484"/>
      <c r="AR13" s="1484"/>
      <c r="AS13" s="1484"/>
      <c r="AT13" s="1484"/>
      <c r="AU13" s="1533"/>
      <c r="AV13" s="1484"/>
      <c r="AW13" s="1484"/>
      <c r="AX13" s="1484"/>
      <c r="AY13" s="1484"/>
      <c r="AZ13" s="1533"/>
      <c r="BA13" s="1483">
        <v>24.103000000000002</v>
      </c>
      <c r="BB13" s="1483">
        <v>25.998999999999999</v>
      </c>
      <c r="BC13" s="1483">
        <v>28.359000000000002</v>
      </c>
      <c r="BD13" s="1483">
        <v>31.495999999999999</v>
      </c>
      <c r="BE13" s="1532">
        <f t="shared" si="7"/>
        <v>109.95700000000001</v>
      </c>
      <c r="BF13" s="1483">
        <v>34.482999999999997</v>
      </c>
      <c r="BG13" s="1483">
        <v>37.271000000000001</v>
      </c>
      <c r="BH13" s="1483">
        <v>40.057000000000002</v>
      </c>
      <c r="BI13" s="1483">
        <v>42.621000000000002</v>
      </c>
      <c r="BJ13" s="1532">
        <f t="shared" si="8"/>
        <v>154.43199999999999</v>
      </c>
      <c r="BK13" s="1483">
        <f>SUM(BK9:BK12)</f>
        <v>45.900999999999996</v>
      </c>
      <c r="BL13" s="1483">
        <f>SUM(BL9:BL12)</f>
        <v>49.430999999999997</v>
      </c>
      <c r="BM13" s="1483">
        <f>SUM(BM9:BM12)</f>
        <v>54.290999999999997</v>
      </c>
      <c r="BN13" s="1483">
        <f>SUM(BN9:BN12)</f>
        <v>58.379999999999995</v>
      </c>
      <c r="BO13" s="1532">
        <f t="shared" si="9"/>
        <v>208.00299999999999</v>
      </c>
      <c r="BP13" s="1483">
        <f>SUM(BP9:BP12)</f>
        <v>61.752000000000002</v>
      </c>
      <c r="BQ13" s="1483">
        <f>SUM(BQ9:BQ12)</f>
        <v>65.088999999999999</v>
      </c>
      <c r="BR13" s="1483">
        <f>SUM(BR9:BR12)</f>
        <v>69.917999999999992</v>
      </c>
      <c r="BS13" s="1483">
        <f>SUM(BS9:BS12)</f>
        <v>76.400999999999996</v>
      </c>
      <c r="BT13" s="1532">
        <f t="shared" si="10"/>
        <v>273.16000000000003</v>
      </c>
      <c r="BU13" s="1483">
        <f>SUM(BU9:BU12)</f>
        <v>80.88600000000001</v>
      </c>
      <c r="BV13" s="1483">
        <f>SUM(BV9:BV12)</f>
        <v>87.904000000000011</v>
      </c>
      <c r="BW13" s="1483">
        <f>SUM(BW9:BW12)</f>
        <v>99.287999999999997</v>
      </c>
      <c r="BX13" s="1483">
        <f>SUM(BX9:BX12)</f>
        <v>131.578</v>
      </c>
      <c r="BY13" s="1532">
        <f t="shared" si="11"/>
        <v>399.65600000000006</v>
      </c>
      <c r="BZ13" s="1483">
        <f>SUM(BZ9:BZ12)</f>
        <v>150.35900000000001</v>
      </c>
      <c r="CA13" s="1483">
        <f>SUM(CA9:CA12)</f>
        <v>163.39499999999998</v>
      </c>
      <c r="CB13" s="1483">
        <f>SUM(CB9:CB12)</f>
        <v>173.51699999999997</v>
      </c>
      <c r="CC13" s="1483">
        <f>SUM(CC9:CC12)</f>
        <v>182.816</v>
      </c>
      <c r="CD13" s="1532">
        <f t="shared" si="12"/>
        <v>670.08699999999999</v>
      </c>
      <c r="CE13" s="1483">
        <f>SUM(CE9:CE12)</f>
        <v>191.28700000000003</v>
      </c>
      <c r="CF13" s="1483">
        <f>SUM(CF9:CF12)</f>
        <v>205.31299999999999</v>
      </c>
      <c r="CG13" s="1483">
        <f>SUM(CG9:CG12)</f>
        <v>218.334</v>
      </c>
      <c r="CH13" s="1483">
        <f>SUM(CH9:CH12)</f>
        <v>231.465</v>
      </c>
      <c r="CI13" s="1532">
        <f t="shared" si="13"/>
        <v>846.399</v>
      </c>
      <c r="CJ13" s="1483">
        <f>SUM(CJ9:CJ12)</f>
        <v>237.23600000000002</v>
      </c>
      <c r="CK13" s="1483">
        <f>SUM(CK9:CK12)</f>
        <v>276.14899999999994</v>
      </c>
      <c r="CL13" s="1483">
        <f>SUM(CL9:CL12)</f>
        <v>305.96800000000002</v>
      </c>
      <c r="CM13" s="1483">
        <f>SUM(CM9:CM12)</f>
        <v>317.43299999999999</v>
      </c>
      <c r="CN13" s="1532">
        <f t="shared" si="14"/>
        <v>1136.7860000000001</v>
      </c>
      <c r="CO13" s="1483">
        <f>SUM(CO9:CO12)</f>
        <v>335.04700000000003</v>
      </c>
      <c r="CP13" s="1483">
        <f>SUM(CP9:CP12)</f>
        <v>367.38799999999998</v>
      </c>
      <c r="CQ13" s="1483">
        <f>SUM(CQ9:CQ12)</f>
        <v>388.214</v>
      </c>
      <c r="CR13" s="1483">
        <f>SUM(CR9:CR12)</f>
        <v>401.76499999999999</v>
      </c>
      <c r="CS13" s="1532">
        <f t="shared" si="15"/>
        <v>1492.4139999999998</v>
      </c>
      <c r="CT13" s="1483">
        <f t="shared" ref="CT13:DB13" si="19">SUM(CT9:CT12)</f>
        <v>420.14499999999998</v>
      </c>
      <c r="CU13" s="1483">
        <f t="shared" si="19"/>
        <v>433.61500000000001</v>
      </c>
      <c r="CV13" s="1483">
        <f t="shared" si="19"/>
        <v>460.48199999999997</v>
      </c>
      <c r="CW13" s="1483">
        <f t="shared" si="19"/>
        <v>482.82599999999996</v>
      </c>
      <c r="CX13" s="1483">
        <f t="shared" si="19"/>
        <v>494.52199999999993</v>
      </c>
      <c r="CY13" s="1483">
        <f t="shared" si="19"/>
        <v>501.81400000000002</v>
      </c>
      <c r="CZ13" s="1483">
        <f t="shared" si="19"/>
        <v>515.56600000000003</v>
      </c>
      <c r="DA13" s="1483">
        <f t="shared" si="19"/>
        <v>538.06000000000006</v>
      </c>
      <c r="DB13" s="1483">
        <f t="shared" si="19"/>
        <v>549.70299999999997</v>
      </c>
      <c r="DC13" s="1483">
        <f t="shared" ref="DC13:DM13" si="20">SUM(DC9:DC12)</f>
        <v>574.15800000000002</v>
      </c>
      <c r="DD13" s="1483">
        <f t="shared" si="20"/>
        <v>588.43599999999992</v>
      </c>
      <c r="DE13" s="1483">
        <f t="shared" si="20"/>
        <v>605.49199999999996</v>
      </c>
      <c r="DF13" s="1483">
        <f t="shared" si="20"/>
        <v>609.65700000000004</v>
      </c>
      <c r="DG13" s="1483">
        <f t="shared" si="20"/>
        <v>626.69099999999992</v>
      </c>
      <c r="DH13" s="1483">
        <f t="shared" si="20"/>
        <v>646.721</v>
      </c>
      <c r="DI13" s="1483">
        <f t="shared" si="20"/>
        <v>686.07199999999989</v>
      </c>
      <c r="DJ13" s="1483">
        <f t="shared" si="20"/>
        <v>797.09400000000005</v>
      </c>
      <c r="DK13" s="1483">
        <f t="shared" si="20"/>
        <v>851.77099999999996</v>
      </c>
      <c r="DL13" s="1483">
        <f t="shared" si="20"/>
        <v>877.00599999999997</v>
      </c>
      <c r="DM13" s="1483">
        <f t="shared" si="20"/>
        <v>892.44200000000001</v>
      </c>
      <c r="DN13" s="1483">
        <f>SUM(DN9:DN12)</f>
        <v>898.44000000000017</v>
      </c>
      <c r="DO13" s="1483">
        <f>SUM(DO9:DO12)</f>
        <v>1010.048</v>
      </c>
      <c r="DP13" s="1483">
        <f>SUM(DP9:DP12)</f>
        <v>1089.0329999999999</v>
      </c>
      <c r="DQ13" s="1483">
        <f>SUM(DQ9:DQ12)</f>
        <v>1122.5989999999999</v>
      </c>
      <c r="DR13" s="1483">
        <f t="shared" ref="DR13:DU13" ca="1" si="21">SUM(DR9:DR12)</f>
        <v>1137.5465010826094</v>
      </c>
      <c r="DS13" s="1483">
        <f t="shared" ca="1" si="21"/>
        <v>1161.6880146580661</v>
      </c>
      <c r="DT13" s="1483">
        <f t="shared" ca="1" si="21"/>
        <v>1195.1138902089876</v>
      </c>
      <c r="DU13" s="1483">
        <f t="shared" ca="1" si="21"/>
        <v>1230.3221896415268</v>
      </c>
      <c r="DV13" s="54"/>
      <c r="DW13" s="54"/>
      <c r="DX13" s="54"/>
      <c r="DY13" s="54"/>
    </row>
    <row r="14" spans="1:135">
      <c r="B14" s="23" t="s">
        <v>1220</v>
      </c>
      <c r="C14" s="23"/>
      <c r="D14" s="26">
        <f>AK14</f>
        <v>0</v>
      </c>
      <c r="E14" s="54">
        <f>AP14</f>
        <v>0</v>
      </c>
      <c r="F14" s="54">
        <f>AU14</f>
        <v>0</v>
      </c>
      <c r="G14" s="54">
        <f>AZ14</f>
        <v>0</v>
      </c>
      <c r="H14" s="54">
        <f t="shared" si="5"/>
        <v>7.9849999999999994</v>
      </c>
      <c r="I14" s="54">
        <f t="shared" si="6"/>
        <v>9.2390000000000008</v>
      </c>
      <c r="J14" s="54">
        <f>BO14</f>
        <v>13.053999999999998</v>
      </c>
      <c r="K14" s="54">
        <f>BT14</f>
        <v>14.934000000000001</v>
      </c>
      <c r="L14" s="54">
        <f>BY14</f>
        <v>19.785999999999998</v>
      </c>
      <c r="M14" s="54">
        <f>CD14</f>
        <v>34.592999999999996</v>
      </c>
      <c r="N14" s="1483">
        <f>CI14</f>
        <v>36.11</v>
      </c>
      <c r="O14" s="1483">
        <f>CN14</f>
        <v>59.427999999999997</v>
      </c>
      <c r="P14" s="1483">
        <f>CS14</f>
        <v>77.37</v>
      </c>
      <c r="Q14" s="1483">
        <f>Rev!Q13</f>
        <v>90.307999999999993</v>
      </c>
      <c r="R14" s="1483">
        <f>Rev!R13</f>
        <v>102.804</v>
      </c>
      <c r="S14" s="1483">
        <f>Rev!S13</f>
        <v>125.98599999999999</v>
      </c>
      <c r="T14" s="2107">
        <f>Rev!T13</f>
        <v>156.726</v>
      </c>
      <c r="U14" s="2107">
        <f>Rev!U13</f>
        <v>193.67600000000002</v>
      </c>
      <c r="V14" s="2107">
        <f>Rev!V13</f>
        <v>248.30800000000002</v>
      </c>
      <c r="W14" s="2107">
        <f>Rev!W13</f>
        <v>314.48800000000006</v>
      </c>
      <c r="X14" s="2107">
        <f>Rev!X13</f>
        <v>318.13800000000009</v>
      </c>
      <c r="Y14" s="2107">
        <f>Rev!Y13</f>
        <v>321.78800000000012</v>
      </c>
      <c r="Z14" s="2107">
        <f>Rev!Z13</f>
        <v>325.4380000000001</v>
      </c>
      <c r="AA14" s="2107">
        <f>Rev!AA13</f>
        <v>329.08800000000008</v>
      </c>
      <c r="AB14" s="2107">
        <f>Rev!AB13</f>
        <v>332.73800000000011</v>
      </c>
      <c r="AC14" s="2107">
        <f>Rev!AC13</f>
        <v>336.38800000000015</v>
      </c>
      <c r="AD14" s="2107">
        <f>Rev!AD13</f>
        <v>340.03800000000012</v>
      </c>
      <c r="AE14" s="1483"/>
      <c r="AF14" s="1483"/>
      <c r="AG14" s="1491"/>
      <c r="AH14" s="1491"/>
      <c r="AI14" s="1491"/>
      <c r="AJ14" s="1491"/>
      <c r="AK14" s="1534"/>
      <c r="AL14" s="1484"/>
      <c r="AM14" s="1484"/>
      <c r="AN14" s="1484"/>
      <c r="AO14" s="1484"/>
      <c r="AP14" s="1533"/>
      <c r="AQ14" s="1484"/>
      <c r="AR14" s="1484"/>
      <c r="AS14" s="1484"/>
      <c r="AT14" s="1484"/>
      <c r="AU14" s="1533"/>
      <c r="AV14" s="1484"/>
      <c r="AW14" s="1484"/>
      <c r="AX14" s="1484"/>
      <c r="AY14" s="1484"/>
      <c r="AZ14" s="1533"/>
      <c r="BA14" s="1483">
        <v>1.3320000000000001</v>
      </c>
      <c r="BB14" s="1483">
        <v>2.4350000000000001</v>
      </c>
      <c r="BC14" s="1483">
        <v>2.56</v>
      </c>
      <c r="BD14" s="1483">
        <v>1.6579999999999999</v>
      </c>
      <c r="BE14" s="1532">
        <f t="shared" si="7"/>
        <v>7.9849999999999994</v>
      </c>
      <c r="BF14" s="1483">
        <v>2.3370000000000002</v>
      </c>
      <c r="BG14" s="1483">
        <v>2.1520000000000001</v>
      </c>
      <c r="BH14" s="1483">
        <v>2.3820000000000001</v>
      </c>
      <c r="BI14" s="1483">
        <v>2.3679999999999999</v>
      </c>
      <c r="BJ14" s="1532">
        <f t="shared" si="8"/>
        <v>9.2390000000000008</v>
      </c>
      <c r="BK14" s="1483">
        <v>2.7829999999999999</v>
      </c>
      <c r="BL14" s="1483">
        <v>3.048</v>
      </c>
      <c r="BM14" s="1483">
        <v>3.8050000000000002</v>
      </c>
      <c r="BN14" s="1483">
        <v>3.4180000000000001</v>
      </c>
      <c r="BO14" s="1532">
        <f t="shared" si="9"/>
        <v>13.053999999999998</v>
      </c>
      <c r="BP14" s="1483">
        <v>3.117</v>
      </c>
      <c r="BQ14" s="1483">
        <v>3.4590000000000001</v>
      </c>
      <c r="BR14" s="1483">
        <v>3.8079999999999998</v>
      </c>
      <c r="BS14" s="1483">
        <v>4.55</v>
      </c>
      <c r="BT14" s="1532">
        <f t="shared" si="10"/>
        <v>14.934000000000001</v>
      </c>
      <c r="BU14" s="1483">
        <v>4.2229999999999999</v>
      </c>
      <c r="BV14" s="1483">
        <v>3.9329999999999998</v>
      </c>
      <c r="BW14" s="1483">
        <v>4.4939999999999998</v>
      </c>
      <c r="BX14" s="1483">
        <v>7.1360000000000001</v>
      </c>
      <c r="BY14" s="1532">
        <f t="shared" si="11"/>
        <v>19.785999999999998</v>
      </c>
      <c r="BZ14" s="1483">
        <v>7.859</v>
      </c>
      <c r="CA14" s="1483">
        <v>8.6489999999999991</v>
      </c>
      <c r="CB14" s="1483">
        <v>10.218</v>
      </c>
      <c r="CC14" s="1483">
        <v>7.867</v>
      </c>
      <c r="CD14" s="1532">
        <f t="shared" si="12"/>
        <v>34.592999999999996</v>
      </c>
      <c r="CE14" s="1483">
        <v>7.944</v>
      </c>
      <c r="CF14" s="1483">
        <v>7.8550000000000004</v>
      </c>
      <c r="CG14" s="1483">
        <v>9.2240000000000002</v>
      </c>
      <c r="CH14" s="1483">
        <f>Rev!BS13</f>
        <v>11.087</v>
      </c>
      <c r="CI14" s="1532">
        <f t="shared" si="13"/>
        <v>36.11</v>
      </c>
      <c r="CJ14" s="1483">
        <f>Rev!BT13</f>
        <v>11.413</v>
      </c>
      <c r="CK14" s="1483">
        <f>Rev!BU13</f>
        <v>13.868</v>
      </c>
      <c r="CL14" s="1483">
        <f>Rev!BV13</f>
        <v>15.425999999999998</v>
      </c>
      <c r="CM14" s="1483">
        <f>Rev!BW13</f>
        <v>18.721</v>
      </c>
      <c r="CN14" s="1532">
        <f t="shared" si="14"/>
        <v>59.427999999999997</v>
      </c>
      <c r="CO14" s="1483">
        <f>Rev!BX13</f>
        <v>18.902000000000001</v>
      </c>
      <c r="CP14" s="1483">
        <f>Rev!BY13</f>
        <v>18.123000000000001</v>
      </c>
      <c r="CQ14" s="1483">
        <f>Rev!BZ13</f>
        <v>19.994</v>
      </c>
      <c r="CR14" s="1483">
        <f>Rev!CA13</f>
        <v>20.350999999999999</v>
      </c>
      <c r="CS14" s="1532">
        <f t="shared" si="15"/>
        <v>77.37</v>
      </c>
      <c r="CT14" s="1483">
        <f>Rev!CB13</f>
        <v>20.806999999999999</v>
      </c>
      <c r="CU14" s="1483">
        <f>Rev!CC13</f>
        <v>21.914999999999999</v>
      </c>
      <c r="CV14" s="1483">
        <f>Rev!CD13</f>
        <v>24.353000000000002</v>
      </c>
      <c r="CW14" s="1483">
        <f>Rev!CE13</f>
        <v>23.233000000000001</v>
      </c>
      <c r="CX14" s="1483">
        <f>Rev!CF13</f>
        <v>21.612000000000002</v>
      </c>
      <c r="CY14" s="1483">
        <f>Rev!CG13</f>
        <v>27.056999999999999</v>
      </c>
      <c r="CZ14" s="1483">
        <f>Rev!CH13</f>
        <v>27.518000000000001</v>
      </c>
      <c r="DA14" s="1483">
        <f>Rev!CI13</f>
        <v>26.616999999999997</v>
      </c>
      <c r="DB14" s="1483">
        <f>Rev!CJ13</f>
        <v>30.35</v>
      </c>
      <c r="DC14" s="1483">
        <f>Rev!CK13</f>
        <v>31.003</v>
      </c>
      <c r="DD14" s="1483">
        <f>Rev!CL13</f>
        <v>32.003999999999998</v>
      </c>
      <c r="DE14" s="1483">
        <f>Rev!CM13</f>
        <v>32.628999999999998</v>
      </c>
      <c r="DF14" s="1483">
        <f>Rev!CN13</f>
        <v>33.516999999999996</v>
      </c>
      <c r="DG14" s="1483">
        <f>Rev!CO13</f>
        <v>38.890999999999998</v>
      </c>
      <c r="DH14" s="1483">
        <f>Rev!CP13</f>
        <v>39.927999999999997</v>
      </c>
      <c r="DI14" s="1483">
        <f>Rev!CQ13</f>
        <v>44.39</v>
      </c>
      <c r="DJ14" s="1483">
        <f>Rev!CR13</f>
        <v>47.062000000000005</v>
      </c>
      <c r="DK14" s="1483">
        <f>Rev!CS13</f>
        <v>48.739000000000004</v>
      </c>
      <c r="DL14" s="1483">
        <f>Rev!CT13</f>
        <v>47.67</v>
      </c>
      <c r="DM14" s="1483">
        <f>Rev!CU13</f>
        <v>50.205000000000005</v>
      </c>
      <c r="DN14" s="1483">
        <f>Rev!CV13</f>
        <v>51.084999999999994</v>
      </c>
      <c r="DO14" s="1483">
        <f>Rev!CW13</f>
        <v>56.372999999999998</v>
      </c>
      <c r="DP14" s="1483">
        <f>Rev!CX13</f>
        <v>63.228000000000002</v>
      </c>
      <c r="DQ14" s="1483">
        <f>Rev!CY13</f>
        <v>77.622000000000014</v>
      </c>
      <c r="DR14" s="1483">
        <f>Rev!CZ13</f>
        <v>78.022000000000006</v>
      </c>
      <c r="DS14" s="1483">
        <f>Rev!DA13</f>
        <v>78.422000000000025</v>
      </c>
      <c r="DT14" s="1483">
        <f>Rev!DB13</f>
        <v>78.822000000000017</v>
      </c>
      <c r="DU14" s="1483">
        <f>Rev!DC13</f>
        <v>79.222000000000037</v>
      </c>
      <c r="DV14" s="54"/>
      <c r="DW14" s="54"/>
      <c r="DX14" s="54"/>
      <c r="DY14" s="54"/>
    </row>
    <row r="15" spans="1:135">
      <c r="B15" s="14" t="s">
        <v>280</v>
      </c>
      <c r="C15" s="14"/>
      <c r="D15" s="195">
        <f>AK15</f>
        <v>3.6999999999999998E-2</v>
      </c>
      <c r="E15" s="195">
        <f>AP15</f>
        <v>13.016</v>
      </c>
      <c r="F15" s="195">
        <f>AU15</f>
        <v>63.414000000000001</v>
      </c>
      <c r="G15" s="195">
        <f>AZ15</f>
        <v>77.188000000000002</v>
      </c>
      <c r="H15" s="842">
        <f t="shared" ref="H15:S15" si="22">SUM(H13:H14)</f>
        <v>117.94200000000001</v>
      </c>
      <c r="I15" s="842">
        <f t="shared" si="22"/>
        <v>163.67099999999999</v>
      </c>
      <c r="J15" s="842">
        <f t="shared" si="22"/>
        <v>221.05700000000002</v>
      </c>
      <c r="K15" s="842">
        <f t="shared" si="22"/>
        <v>288.09400000000005</v>
      </c>
      <c r="L15" s="842">
        <f t="shared" si="22"/>
        <v>419.44200000000006</v>
      </c>
      <c r="M15" s="842">
        <f t="shared" si="22"/>
        <v>704.68</v>
      </c>
      <c r="N15" s="1531">
        <f t="shared" si="22"/>
        <v>882.50900000000013</v>
      </c>
      <c r="O15" s="1531">
        <f t="shared" si="22"/>
        <v>1196.2139999999999</v>
      </c>
      <c r="P15" s="1531">
        <f t="shared" si="22"/>
        <v>1569.7840000000001</v>
      </c>
      <c r="Q15" s="1531">
        <f t="shared" si="22"/>
        <v>1887.376</v>
      </c>
      <c r="R15" s="1531">
        <f t="shared" si="22"/>
        <v>2152.7660000000001</v>
      </c>
      <c r="S15" s="1531">
        <f t="shared" si="22"/>
        <v>2443.7749999999996</v>
      </c>
      <c r="T15" s="1531">
        <f t="shared" ref="T15:Z15" si="23">SUM(T13:T14)</f>
        <v>2725.8670000000002</v>
      </c>
      <c r="U15" s="1531">
        <f t="shared" si="23"/>
        <v>3611.9889999999996</v>
      </c>
      <c r="V15" s="1531">
        <f>SUM(V13:V14)</f>
        <v>4368.4279999999999</v>
      </c>
      <c r="W15" s="1531">
        <f ca="1">SUM(W13:W14)</f>
        <v>5039.1585955911905</v>
      </c>
      <c r="X15" s="1531">
        <f t="shared" ca="1" si="23"/>
        <v>5500.5877719846403</v>
      </c>
      <c r="Y15" s="1531">
        <f t="shared" ca="1" si="23"/>
        <v>5937.3329327160309</v>
      </c>
      <c r="Z15" s="1531">
        <f t="shared" ca="1" si="23"/>
        <v>6349.2579843878229</v>
      </c>
      <c r="AA15" s="1531">
        <f t="shared" ref="AA15:AD15" ca="1" si="24">SUM(AA13:AA14)</f>
        <v>6759.6524169437562</v>
      </c>
      <c r="AB15" s="1531">
        <f t="shared" ca="1" si="24"/>
        <v>7168.2294722832021</v>
      </c>
      <c r="AC15" s="1531">
        <f t="shared" ca="1" si="24"/>
        <v>7574.760814010624</v>
      </c>
      <c r="AD15" s="1531">
        <f t="shared" ca="1" si="24"/>
        <v>7979.0579009880248</v>
      </c>
      <c r="AE15" s="1483"/>
      <c r="AF15" s="1483"/>
      <c r="AG15" s="1535">
        <v>0</v>
      </c>
      <c r="AH15" s="1535">
        <v>0</v>
      </c>
      <c r="AI15" s="1535">
        <v>0</v>
      </c>
      <c r="AJ15" s="1535">
        <v>3.6999999999999998E-2</v>
      </c>
      <c r="AK15" s="1536">
        <f>SUM(AG15:AJ15)</f>
        <v>3.6999999999999998E-2</v>
      </c>
      <c r="AL15" s="1535">
        <v>0.13600000000000001</v>
      </c>
      <c r="AM15" s="1535">
        <v>0.89200000000000002</v>
      </c>
      <c r="AN15" s="1535">
        <v>3.9329999999999998</v>
      </c>
      <c r="AO15" s="1535">
        <v>8.0549999999999997</v>
      </c>
      <c r="AP15" s="1536">
        <f>SUM(AL15:AO15)</f>
        <v>13.016</v>
      </c>
      <c r="AQ15" s="1531">
        <v>12.613</v>
      </c>
      <c r="AR15" s="1531">
        <v>16.157</v>
      </c>
      <c r="AS15" s="1531">
        <v>17.178000000000001</v>
      </c>
      <c r="AT15" s="1531">
        <v>17.466000000000001</v>
      </c>
      <c r="AU15" s="1536">
        <f>SUM(AQ15:AT15)</f>
        <v>63.414000000000001</v>
      </c>
      <c r="AV15" s="1531">
        <v>20.158000000000001</v>
      </c>
      <c r="AW15" s="1531">
        <v>18.04</v>
      </c>
      <c r="AX15" s="1531">
        <v>20.187000000000001</v>
      </c>
      <c r="AY15" s="1531">
        <v>18.803000000000001</v>
      </c>
      <c r="AZ15" s="1536">
        <f>SUM(AV15:AY15)</f>
        <v>77.188000000000002</v>
      </c>
      <c r="BA15" s="1531">
        <f>SUM(BA13:BA14)</f>
        <v>25.435000000000002</v>
      </c>
      <c r="BB15" s="1531">
        <f>SUM(BB13:BB14)</f>
        <v>28.433999999999997</v>
      </c>
      <c r="BC15" s="1531">
        <f>SUM(BC13:BC14)</f>
        <v>30.919</v>
      </c>
      <c r="BD15" s="1531">
        <f>SUM(BD13:BD14)</f>
        <v>33.153999999999996</v>
      </c>
      <c r="BE15" s="1537">
        <f t="shared" si="7"/>
        <v>117.94199999999999</v>
      </c>
      <c r="BF15" s="1531">
        <f>SUM(BF13:BF14)</f>
        <v>36.82</v>
      </c>
      <c r="BG15" s="1531">
        <f>SUM(BG13:BG14)</f>
        <v>39.423000000000002</v>
      </c>
      <c r="BH15" s="1531">
        <f>SUM(BH13:BH14)</f>
        <v>42.439</v>
      </c>
      <c r="BI15" s="1531">
        <f>SUM(BI13:BI14)</f>
        <v>44.989000000000004</v>
      </c>
      <c r="BJ15" s="1537">
        <f t="shared" si="8"/>
        <v>163.67099999999999</v>
      </c>
      <c r="BK15" s="1531">
        <f>SUM(BK13:BK14)</f>
        <v>48.683999999999997</v>
      </c>
      <c r="BL15" s="1531">
        <f>SUM(BL13:BL14)</f>
        <v>52.478999999999999</v>
      </c>
      <c r="BM15" s="1531">
        <f>SUM(BM13:BM14)</f>
        <v>58.095999999999997</v>
      </c>
      <c r="BN15" s="1531">
        <f>SUM(BN13:BN14)</f>
        <v>61.797999999999995</v>
      </c>
      <c r="BO15" s="1537">
        <f t="shared" si="9"/>
        <v>221.05699999999999</v>
      </c>
      <c r="BP15" s="1538">
        <f>SUM(BP13:BP14)</f>
        <v>64.869</v>
      </c>
      <c r="BQ15" s="1538">
        <f>SUM(BQ13:BQ14)</f>
        <v>68.548000000000002</v>
      </c>
      <c r="BR15" s="1538">
        <f>SUM(BR13:BR14)</f>
        <v>73.725999999999999</v>
      </c>
      <c r="BS15" s="1538">
        <f>SUM(BS13:BS14)</f>
        <v>80.950999999999993</v>
      </c>
      <c r="BT15" s="1537">
        <f t="shared" si="10"/>
        <v>288.09399999999999</v>
      </c>
      <c r="BU15" s="1538">
        <f>SUM(BU13:BU14)</f>
        <v>85.109000000000009</v>
      </c>
      <c r="BV15" s="1538">
        <f>SUM(BV13:BV14)</f>
        <v>91.837000000000018</v>
      </c>
      <c r="BW15" s="1538">
        <f>SUM(BW13:BW14)</f>
        <v>103.782</v>
      </c>
      <c r="BX15" s="1538">
        <f>SUM(BX13:BX14)</f>
        <v>138.714</v>
      </c>
      <c r="BY15" s="1539">
        <f t="shared" si="11"/>
        <v>419.44200000000001</v>
      </c>
      <c r="BZ15" s="1531">
        <f>SUM(BZ13:BZ14)</f>
        <v>158.21800000000002</v>
      </c>
      <c r="CA15" s="1531">
        <f>SUM(CA13:CA14)</f>
        <v>172.04399999999998</v>
      </c>
      <c r="CB15" s="1531">
        <f>SUM(CB13:CB14)</f>
        <v>183.73499999999996</v>
      </c>
      <c r="CC15" s="1531">
        <f>SUM(CC13:CC14)</f>
        <v>190.68299999999999</v>
      </c>
      <c r="CD15" s="1539">
        <f t="shared" si="12"/>
        <v>704.68</v>
      </c>
      <c r="CE15" s="1538">
        <f>SUM(CE13:CE14)</f>
        <v>199.23100000000002</v>
      </c>
      <c r="CF15" s="1538">
        <f>SUM(CF13:CF14)</f>
        <v>213.16799999999998</v>
      </c>
      <c r="CG15" s="1538">
        <f>SUM(CG13:CG14)</f>
        <v>227.55799999999999</v>
      </c>
      <c r="CH15" s="1538">
        <f>SUM(CH13:CH14)</f>
        <v>242.55199999999999</v>
      </c>
      <c r="CI15" s="1539">
        <f t="shared" si="13"/>
        <v>882.50900000000001</v>
      </c>
      <c r="CJ15" s="1531">
        <f>SUM(CJ13:CJ14)</f>
        <v>248.64900000000003</v>
      </c>
      <c r="CK15" s="1531">
        <f>SUM(CK13:CK14)</f>
        <v>290.01699999999994</v>
      </c>
      <c r="CL15" s="1531">
        <f>SUM(CL13:CL14)</f>
        <v>321.39400000000001</v>
      </c>
      <c r="CM15" s="1531">
        <f>SUM(CM13:CM14)</f>
        <v>336.154</v>
      </c>
      <c r="CN15" s="1539">
        <f t="shared" si="14"/>
        <v>1196.2139999999999</v>
      </c>
      <c r="CO15" s="1531">
        <f>SUM(CO13:CO14)</f>
        <v>353.94900000000001</v>
      </c>
      <c r="CP15" s="1531">
        <f>SUM(CP13:CP14)</f>
        <v>385.51099999999997</v>
      </c>
      <c r="CQ15" s="1531">
        <f>SUM(CQ13:CQ14)</f>
        <v>408.20799999999997</v>
      </c>
      <c r="CR15" s="1531">
        <f>SUM(CR13:CR14)</f>
        <v>422.11599999999999</v>
      </c>
      <c r="CS15" s="1539">
        <f t="shared" si="15"/>
        <v>1569.7840000000001</v>
      </c>
      <c r="CT15" s="1531">
        <f t="shared" ref="CT15:DB15" si="25">SUM(CT13:CT14)</f>
        <v>440.952</v>
      </c>
      <c r="CU15" s="1531">
        <f t="shared" si="25"/>
        <v>455.53000000000003</v>
      </c>
      <c r="CV15" s="1531">
        <f t="shared" si="25"/>
        <v>484.83499999999998</v>
      </c>
      <c r="CW15" s="1531">
        <f t="shared" si="25"/>
        <v>506.05899999999997</v>
      </c>
      <c r="CX15" s="1531">
        <f t="shared" si="25"/>
        <v>516.1339999999999</v>
      </c>
      <c r="CY15" s="1531">
        <f t="shared" si="25"/>
        <v>528.87099999999998</v>
      </c>
      <c r="CZ15" s="1531">
        <f t="shared" si="25"/>
        <v>543.08400000000006</v>
      </c>
      <c r="DA15" s="1531">
        <f t="shared" si="25"/>
        <v>564.67700000000002</v>
      </c>
      <c r="DB15" s="1531">
        <f t="shared" si="25"/>
        <v>580.053</v>
      </c>
      <c r="DC15" s="1531">
        <f t="shared" ref="DC15:DI15" si="26">SUM(DC13:DC14)</f>
        <v>605.16100000000006</v>
      </c>
      <c r="DD15" s="1531">
        <f t="shared" si="26"/>
        <v>620.43999999999994</v>
      </c>
      <c r="DE15" s="1531">
        <f t="shared" si="26"/>
        <v>638.12099999999998</v>
      </c>
      <c r="DF15" s="1531">
        <f t="shared" si="26"/>
        <v>643.17399999999998</v>
      </c>
      <c r="DG15" s="1531">
        <f t="shared" si="26"/>
        <v>665.58199999999988</v>
      </c>
      <c r="DH15" s="1531">
        <f t="shared" si="26"/>
        <v>686.649</v>
      </c>
      <c r="DI15" s="1531">
        <f t="shared" si="26"/>
        <v>730.46199999999988</v>
      </c>
      <c r="DJ15" s="1531">
        <f t="shared" ref="DJ15:DM15" si="27">SUM(DJ13:DJ14)</f>
        <v>844.15600000000006</v>
      </c>
      <c r="DK15" s="1531">
        <f t="shared" si="27"/>
        <v>900.51</v>
      </c>
      <c r="DL15" s="1531">
        <f t="shared" si="27"/>
        <v>924.67599999999993</v>
      </c>
      <c r="DM15" s="1531">
        <f t="shared" si="27"/>
        <v>942.64700000000005</v>
      </c>
      <c r="DN15" s="1531">
        <f>SUM(DN13:DN14)</f>
        <v>949.5250000000002</v>
      </c>
      <c r="DO15" s="1531">
        <f>SUM(DO13:DO14)</f>
        <v>1066.421</v>
      </c>
      <c r="DP15" s="1531">
        <f>SUM(DP13:DP14)</f>
        <v>1152.261</v>
      </c>
      <c r="DQ15" s="1531">
        <f>SUM(DQ13:DQ14)</f>
        <v>1200.221</v>
      </c>
      <c r="DR15" s="1531">
        <f t="shared" ref="DR15:DU15" ca="1" si="28">SUM(DR13:DR14)</f>
        <v>1215.5685010826094</v>
      </c>
      <c r="DS15" s="1531">
        <f t="shared" ca="1" si="28"/>
        <v>1240.1100146580661</v>
      </c>
      <c r="DT15" s="1531">
        <f t="shared" ca="1" si="28"/>
        <v>1273.9358902089878</v>
      </c>
      <c r="DU15" s="1531">
        <f t="shared" ca="1" si="28"/>
        <v>1309.5441896415268</v>
      </c>
      <c r="DV15" s="54"/>
      <c r="DW15" s="54"/>
      <c r="DX15" s="54"/>
      <c r="DY15" s="54"/>
    </row>
    <row r="16" spans="1:135">
      <c r="B16" s="17" t="s">
        <v>281</v>
      </c>
      <c r="C16" s="14"/>
      <c r="D16" s="14"/>
      <c r="E16" s="842"/>
      <c r="F16" s="842"/>
      <c r="G16" s="842"/>
      <c r="H16" s="842"/>
      <c r="I16" s="842"/>
      <c r="J16" s="842"/>
      <c r="K16" s="842"/>
      <c r="L16" s="842"/>
      <c r="M16" s="795"/>
      <c r="N16" s="23"/>
      <c r="O16" s="23"/>
      <c r="P16" s="23"/>
      <c r="Q16" s="23"/>
      <c r="R16" s="23"/>
      <c r="S16" s="23"/>
      <c r="T16" s="23"/>
      <c r="U16" s="23"/>
      <c r="V16" s="23"/>
      <c r="W16" s="23"/>
      <c r="X16" s="122"/>
      <c r="Y16" s="122"/>
      <c r="Z16" s="122"/>
      <c r="AA16" s="122"/>
      <c r="AB16" s="122"/>
      <c r="AC16" s="122"/>
      <c r="AD16" s="122"/>
      <c r="AE16" s="54"/>
      <c r="AF16" s="23"/>
      <c r="AG16" s="122"/>
      <c r="AH16" s="1064" t="str">
        <f>IF(OR(ISERROR(AH15/AG15-1), AH15&lt;0, AG15&lt;0), "NM", AH15/AG15-1)</f>
        <v>NM</v>
      </c>
      <c r="AI16" s="1064" t="str">
        <f>IF(OR(ISERROR(AI15/AH15-1), AI15&lt;0, AH15&lt;0), "NM", AI15/AH15-1)</f>
        <v>NM</v>
      </c>
      <c r="AJ16" s="1064" t="str">
        <f>IF(OR(ISERROR(AJ15/AI15-1), AJ15&lt;0, AI15&lt;0), "NM", AJ15/AI15-1)</f>
        <v>NM</v>
      </c>
      <c r="AK16" s="1104"/>
      <c r="AL16" s="2363">
        <f>IF(OR(ISERROR(AL15/AJ15-1), AL15&lt;0, AJ15&lt;0), "NM", AL15/AJ15-1)</f>
        <v>2.6756756756756763</v>
      </c>
      <c r="AM16" s="2363">
        <f>IF(OR(ISERROR(AM15/AL15-1), AM15&lt;0, AL15&lt;0), "NM", AM15/AL15-1)</f>
        <v>5.5588235294117645</v>
      </c>
      <c r="AN16" s="2363">
        <f>IF(OR(ISERROR(AN15/AM15-1), AN15&lt;0, AM15&lt;0), "NM", AN15/AM15-1)</f>
        <v>3.4091928251121075</v>
      </c>
      <c r="AO16" s="2363">
        <f>IF(OR(ISERROR(AO15/AN15-1), AO15&lt;0, AN15&lt;0), "NM", AO15/AN15-1)</f>
        <v>1.0480549199084668</v>
      </c>
      <c r="AP16" s="2364">
        <f>IF(OR(ISERROR(AP15/AK15-1), AP15&lt;0, AK15&lt;0), "NM", AP15/AK15-1)</f>
        <v>350.7837837837838</v>
      </c>
      <c r="AQ16" s="2363">
        <f>IF(OR(ISERROR(AQ15/AO15-1), AQ15&lt;0, AO15&lt;0), "NM", AQ15/AO15-1)</f>
        <v>0.56585971446306638</v>
      </c>
      <c r="AR16" s="2363">
        <f>IF(OR(ISERROR(AR15/AQ15-1), AR15&lt;0, AQ15&lt;0), "NM", AR15/AQ15-1)</f>
        <v>0.28097994133037352</v>
      </c>
      <c r="AS16" s="2363">
        <f>IF(OR(ISERROR(AS15/AR15-1), AS15&lt;0, AR15&lt;0), "NM", AS15/AR15-1)</f>
        <v>6.3192424336200981E-2</v>
      </c>
      <c r="AT16" s="2363">
        <f>IF(OR(ISERROR(AT15/AS15-1), AT15&lt;0, AS15&lt;0), "NM", AT15/AS15-1)</f>
        <v>1.6765630457562075E-2</v>
      </c>
      <c r="AU16" s="2364">
        <f>IF(OR(ISERROR(AU15/AP15-1), AU15&lt;0, AP15&lt;0), "NM", AU15/AP15-1)</f>
        <v>3.8720036877688999</v>
      </c>
      <c r="AV16" s="2363">
        <f>IF(OR(ISERROR(AV15/AT15-1), AV15&lt;0, AT15&lt;0), "NM", AV15/AT15-1)</f>
        <v>0.15412802015344096</v>
      </c>
      <c r="AW16" s="2363">
        <f>IF(OR(ISERROR(AW15/AV15-1), AW15&lt;0, AV15&lt;0), "NM", AW15/AV15-1)</f>
        <v>-0.10506994741541831</v>
      </c>
      <c r="AX16" s="2363">
        <f>IF(OR(ISERROR(AX15/AW15-1), AX15&lt;0, AW15&lt;0), "NM", AX15/AW15-1)</f>
        <v>0.11901330376940145</v>
      </c>
      <c r="AY16" s="2363">
        <f>IF(OR(ISERROR(AY15/AX15-1), AY15&lt;0, AX15&lt;0), "NM", AY15/AX15-1)</f>
        <v>-6.8558973596869244E-2</v>
      </c>
      <c r="AZ16" s="2364">
        <f>IF(OR(ISERROR(AZ15/AU15-1), AZ15&lt;0, AU15&lt;0), "NM", AZ15/AU15-1)</f>
        <v>0.21720755669095149</v>
      </c>
      <c r="BA16" s="2363">
        <f>IF(OR(ISERROR(BA15/AY15-1), BA15&lt;0, AY15&lt;0), "NM", BA15/AY15-1)</f>
        <v>0.35270967398819342</v>
      </c>
      <c r="BB16" s="2363">
        <f>IF(OR(ISERROR(BB15/BA15-1), BB15&lt;0, BA15&lt;0), "NM", BB15/BA15-1)</f>
        <v>0.11790839394535069</v>
      </c>
      <c r="BC16" s="2363">
        <f>IF(OR(ISERROR(BC15/BB15-1), BC15&lt;0, BB15&lt;0), "NM", BC15/BB15-1)</f>
        <v>8.7395371738060224E-2</v>
      </c>
      <c r="BD16" s="2363">
        <f>IF(OR(ISERROR(BD15/BC15-1), BD15&lt;0, BC15&lt;0), "NM", BD15/BC15-1)</f>
        <v>7.2285649600569046E-2</v>
      </c>
      <c r="BE16" s="2364">
        <f>IF(OR(ISERROR(BE15/AZ15-1), BE15&lt;0, AZ15&lt;0), "NM", BE15/AZ15-1)</f>
        <v>0.52798362439757462</v>
      </c>
      <c r="BF16" s="2363">
        <f>IF(OR(ISERROR(BF15/BD15-1), BF15&lt;0, BD15&lt;0), "NM", BF15/BD15-1)</f>
        <v>0.11057489292393097</v>
      </c>
      <c r="BG16" s="2363">
        <f>IF(OR(ISERROR(BG15/BF15-1), BG15&lt;0, BF15&lt;0), "NM", BG15/BF15-1)</f>
        <v>7.0695274307441602E-2</v>
      </c>
      <c r="BH16" s="2363">
        <f>IF(OR(ISERROR(BH15/BG15-1), BH15&lt;0, BG15&lt;0), "NM", BH15/BG15-1)</f>
        <v>7.6503563909392946E-2</v>
      </c>
      <c r="BI16" s="2363">
        <f>IF(OR(ISERROR(BI15/BH15-1), BI15&lt;0, BH15&lt;0), "NM", BI15/BH15-1)</f>
        <v>6.0086241428874532E-2</v>
      </c>
      <c r="BJ16" s="2364">
        <f>IF(OR(ISERROR(BJ15/BE15-1), BJ15&lt;0, BE15&lt;0), "NM", BJ15/BE15-1)</f>
        <v>0.38772447474182226</v>
      </c>
      <c r="BK16" s="2363">
        <f>IF(OR(ISERROR(BK15/BI15-1), BK15&lt;0, BI15&lt;0), "NM", BK15/BI15-1)</f>
        <v>8.2131187623641244E-2</v>
      </c>
      <c r="BL16" s="2363">
        <f>IF(OR(ISERROR(BL15/BK15-1), BL15&lt;0, BK15&lt;0), "NM", BL15/BK15-1)</f>
        <v>7.7951688439733768E-2</v>
      </c>
      <c r="BM16" s="2363">
        <f>IF(OR(ISERROR(BM15/BL15-1), BM15&lt;0, BL15&lt;0), "NM", BM15/BL15-1)</f>
        <v>0.10703328950627866</v>
      </c>
      <c r="BN16" s="2363">
        <f>IF(OR(ISERROR(BN15/BM15-1), BN15&lt;0, BM15&lt;0), "NM", BN15/BM15-1)</f>
        <v>6.3722115119801748E-2</v>
      </c>
      <c r="BO16" s="2364">
        <f>IF(OR(ISERROR(BO15/BJ15-1), BO15&lt;0, BJ15&lt;0), "NM", BO15/BJ15-1)</f>
        <v>0.35061800807717924</v>
      </c>
      <c r="BP16" s="2363">
        <f>IF(OR(ISERROR(BP15/BN15-1), BP15&lt;0, BN15&lt;0), "NM", BP15/BN15-1)</f>
        <v>4.9694164859704237E-2</v>
      </c>
      <c r="BQ16" s="2363">
        <f>IF(OR(ISERROR(BQ15/BP15-1), BQ15&lt;0, BP15&lt;0), "NM", BQ15/BP15-1)</f>
        <v>5.6714301129969558E-2</v>
      </c>
      <c r="BR16" s="2363">
        <f>IF(OR(ISERROR(BR15/BQ15-1), BR15&lt;0, BQ15&lt;0), "NM", BR15/BQ15-1)</f>
        <v>7.5538308922215025E-2</v>
      </c>
      <c r="BS16" s="2363">
        <f>IF(OR(ISERROR(BS15/BR15-1), BS15&lt;0, BR15&lt;0), "NM", BS15/BR15-1)</f>
        <v>9.7997992567072645E-2</v>
      </c>
      <c r="BT16" s="2364">
        <f>IF(OR(ISERROR(BT15/BO15-1), BT15&lt;0, BO15&lt;0), "NM", BT15/BO15-1)</f>
        <v>0.30325662611905524</v>
      </c>
      <c r="BU16" s="2363">
        <f>IF(OR(ISERROR(BU15/BS15-1), BU15&lt;0, BS15&lt;0), "NM", BU15/BS15-1)</f>
        <v>5.1364405628096188E-2</v>
      </c>
      <c r="BV16" s="2363">
        <f>IF(OR(ISERROR(BV15/BU15-1), BV15&lt;0, BU15&lt;0), "NM", BV15/BU15-1)</f>
        <v>7.9051569164248381E-2</v>
      </c>
      <c r="BW16" s="2363">
        <f>IF(OR(ISERROR(BW15/BV15-1), BW15&lt;0, BV15&lt;0), "NM", BW15/BV15-1)</f>
        <v>0.130067402027505</v>
      </c>
      <c r="BX16" s="2363">
        <f>IF(OR(ISERROR(BX15/BW15-1), BX15&lt;0, BW15&lt;0), "NM", BX15/BW15-1)</f>
        <v>0.33659016014337739</v>
      </c>
      <c r="BY16" s="2364">
        <f>IF(OR(ISERROR(BY15/BT15-1), BY15&lt;0, BT15&lt;0), "NM", BY15/BT15-1)</f>
        <v>0.45592063701430785</v>
      </c>
      <c r="BZ16" s="2363">
        <f>IF(OR(ISERROR(BZ15/BX15-1), BZ15&lt;0, BX15&lt;0), "NM", BZ15/BX15-1)</f>
        <v>0.14060585088743771</v>
      </c>
      <c r="CA16" s="2363">
        <f>IF(OR(ISERROR(CA15/BZ15-1), CA15&lt;0, BZ15&lt;0), "NM", CA15/BZ15-1)</f>
        <v>8.7385758889632958E-2</v>
      </c>
      <c r="CB16" s="2363">
        <f>IF(OR(ISERROR(CB15/CA15-1), CB15&lt;0, CA15&lt;0), "NM", CB15/CA15-1)</f>
        <v>6.7953546767105966E-2</v>
      </c>
      <c r="CC16" s="2363">
        <f>IF(OR(ISERROR(CC15/CB15-1), CC15&lt;0, CB15&lt;0), "NM", CC15/CB15-1)</f>
        <v>3.7815331863825907E-2</v>
      </c>
      <c r="CD16" s="2364" t="e">
        <f>IF(OR(ISERROR(CD15/#REF!-1), CD15&lt;0,#REF!&lt; 0), "NM", CD15/#REF!-1)</f>
        <v>#REF!</v>
      </c>
      <c r="CE16" s="1068">
        <f>IF(OR(ISERROR(CE15/CC15-1), CE15&lt;0, CC15&lt;0), "NM", CE15/CC15-1)</f>
        <v>4.4828327643261501E-2</v>
      </c>
      <c r="CF16" s="1068">
        <f>IF(OR(ISERROR(CF15/CE15-1), CF15&lt;0, CE15&lt;0), "NM", CF15/CE15-1)</f>
        <v>6.9953973026285921E-2</v>
      </c>
      <c r="CG16" s="1068">
        <f>IF(OR(ISERROR(CG15/CF15-1), CG15&lt;0, CF15&lt;0), "NM", CG15/CF15-1)</f>
        <v>6.7505441717331083E-2</v>
      </c>
      <c r="CH16" s="1068">
        <f>IF(OR(ISERROR(CH15/CG15-1), CH15&lt;0, CG15&lt;0), "NM", CH15/CG15-1)</f>
        <v>6.589089375016477E-2</v>
      </c>
      <c r="CI16" s="2365">
        <f>IF(OR(ISERROR(CI15/CD15-1), CI15&lt;0, CD15&lt;0), "NM", CI15/CD15-1)</f>
        <v>0.2523542600896862</v>
      </c>
      <c r="CJ16" s="1068">
        <f>IF(OR(ISERROR(CJ15/CH15-1), CJ15&lt;0, CH15&lt;0), "NM", CJ15/CH15-1)</f>
        <v>2.5136877865365115E-2</v>
      </c>
      <c r="CK16" s="1068">
        <f>IF(OR(ISERROR(CK15/CJ15-1), CK15&lt;0, CJ15&lt;0), "NM", CK15/CJ15-1)</f>
        <v>0.16637106925827139</v>
      </c>
      <c r="CL16" s="1068">
        <f>IF(OR(ISERROR(CL15/CK15-1), CL15&lt;0, CK15&lt;0), "NM", CL15/CK15-1)</f>
        <v>0.10819020953944114</v>
      </c>
      <c r="CM16" s="1068">
        <f>IF(OR(ISERROR(CM15/CL15-1), CM15&lt;0, CL15&lt;0), "NM", CM15/CL15-1)</f>
        <v>4.5924939482379745E-2</v>
      </c>
      <c r="CN16" s="2365">
        <f>IF(OR(ISERROR(CN15/CI15-1), CN15&lt;0, CI15&lt;0), "NM", CN15/CI15-1)</f>
        <v>0.35546946263437529</v>
      </c>
      <c r="CO16" s="1068">
        <f>IF(OR(ISERROR(CO15/CM15-1), CO15&lt;0, CM15&lt;0), "NM", CO15/CM15-1)</f>
        <v>5.2937046710733737E-2</v>
      </c>
      <c r="CP16" s="1068">
        <f>IF(OR(ISERROR(CP15/CO15-1), CP15&lt;0, CO15&lt;0), "NM", CP15/CO15-1)</f>
        <v>8.9171038765471833E-2</v>
      </c>
      <c r="CQ16" s="1068">
        <f>IF(OR(ISERROR(CQ15/CP15-1), CQ15&lt;0, CP15&lt;0), "NM", CQ15/CP15-1)</f>
        <v>5.8875103434143261E-2</v>
      </c>
      <c r="CR16" s="1068">
        <f>IF(OR(ISERROR(CR15/CQ15-1), CR15&lt;0, CQ15&lt;0), "NM", CR15/CQ15-1)</f>
        <v>3.4070865833104813E-2</v>
      </c>
      <c r="CS16" s="2365">
        <f>IF(OR(ISERROR(CS15/CN15-1), CS15&lt;0, CN15&lt;0), "NM", CS15/CN15-1)</f>
        <v>0.312293619703498</v>
      </c>
      <c r="CT16" s="1068">
        <f>IF(OR(ISERROR(CT15/CR15-1), CT15&lt;0, CR15&lt;0), "NM", CT15/CR15-1)</f>
        <v>4.4622805105705599E-2</v>
      </c>
      <c r="CU16" s="1068">
        <f t="shared" ref="CU16:DQ16" si="29">IF(OR(ISERROR(CU15/CT15-1), CU15&lt;0, CT15&lt;0), "NM", CU15/CT15-1)</f>
        <v>3.3060287741069505E-2</v>
      </c>
      <c r="CV16" s="1068">
        <f t="shared" si="29"/>
        <v>6.4331657629574268E-2</v>
      </c>
      <c r="CW16" s="1068">
        <f t="shared" si="29"/>
        <v>4.3775717512143375E-2</v>
      </c>
      <c r="CX16" s="1068">
        <f t="shared" si="29"/>
        <v>1.9908745818175255E-2</v>
      </c>
      <c r="CY16" s="1068">
        <f t="shared" si="29"/>
        <v>2.4677699977137868E-2</v>
      </c>
      <c r="CZ16" s="1068">
        <f t="shared" si="29"/>
        <v>2.6874228308982895E-2</v>
      </c>
      <c r="DA16" s="1068">
        <f t="shared" si="29"/>
        <v>3.9759963467898007E-2</v>
      </c>
      <c r="DB16" s="1068">
        <f t="shared" si="29"/>
        <v>2.7229726020362E-2</v>
      </c>
      <c r="DC16" s="1068">
        <f t="shared" si="29"/>
        <v>4.3285699755022389E-2</v>
      </c>
      <c r="DD16" s="1068">
        <f t="shared" si="29"/>
        <v>2.5247826611430435E-2</v>
      </c>
      <c r="DE16" s="1068">
        <f t="shared" si="29"/>
        <v>2.8497517890529345E-2</v>
      </c>
      <c r="DF16" s="1068">
        <f t="shared" si="29"/>
        <v>7.9185608998919577E-3</v>
      </c>
      <c r="DG16" s="1068">
        <f t="shared" si="29"/>
        <v>3.4839716779595964E-2</v>
      </c>
      <c r="DH16" s="1068">
        <f t="shared" si="29"/>
        <v>3.1651997800421494E-2</v>
      </c>
      <c r="DI16" s="1068">
        <f t="shared" si="29"/>
        <v>6.380698144175545E-2</v>
      </c>
      <c r="DJ16" s="1068">
        <f t="shared" si="29"/>
        <v>0.15564670030747685</v>
      </c>
      <c r="DK16" s="1068">
        <f t="shared" si="29"/>
        <v>6.6757803060097709E-2</v>
      </c>
      <c r="DL16" s="1068">
        <f t="shared" si="29"/>
        <v>2.6835904098788443E-2</v>
      </c>
      <c r="DM16" s="1068">
        <f t="shared" si="29"/>
        <v>1.9434915581241663E-2</v>
      </c>
      <c r="DN16" s="1068">
        <f t="shared" si="29"/>
        <v>7.2964747142887365E-3</v>
      </c>
      <c r="DO16" s="1068">
        <f t="shared" si="29"/>
        <v>0.12310997604065177</v>
      </c>
      <c r="DP16" s="1068">
        <f t="shared" si="29"/>
        <v>8.0493538668124476E-2</v>
      </c>
      <c r="DQ16" s="1068">
        <f t="shared" si="29"/>
        <v>4.1622514343538475E-2</v>
      </c>
      <c r="DR16" s="1068">
        <f t="shared" ref="DR16" ca="1" si="30">IF(OR(ISERROR(DR15/DQ15-1), DR15&lt;0, DQ15&lt;0), "NM", DR15/DQ15-1)</f>
        <v>1.2787229254120236E-2</v>
      </c>
      <c r="DS16" s="1068">
        <f t="shared" ref="DS16" ca="1" si="31">IF(OR(ISERROR(DS15/DR15-1), DS15&lt;0, DR15&lt;0), "NM", DS15/DR15-1)</f>
        <v>2.0189329974904302E-2</v>
      </c>
      <c r="DT16" s="1068">
        <f t="shared" ref="DT16" ca="1" si="32">IF(OR(ISERROR(DT15/DS15-1), DT15&lt;0, DS15&lt;0), "NM", DT15/DS15-1)</f>
        <v>2.7276511882898147E-2</v>
      </c>
      <c r="DU16" s="1068">
        <f t="shared" ref="DU16" ca="1" si="33">IF(OR(ISERROR(DU15/DT15-1), DU15&lt;0, DT15&lt;0), "NM", DU15/DT15-1)</f>
        <v>2.7951406115654276E-2</v>
      </c>
      <c r="DV16" s="54"/>
      <c r="DW16" s="54"/>
      <c r="DX16" s="861"/>
      <c r="DY16" s="861"/>
    </row>
    <row r="17" spans="2:129">
      <c r="B17" s="17" t="s">
        <v>290</v>
      </c>
      <c r="C17" s="14"/>
      <c r="D17" s="14"/>
      <c r="E17" s="795"/>
      <c r="F17" s="795">
        <f t="shared" ref="F17:Z17" si="34">F15/E15-1</f>
        <v>3.8720036877688999</v>
      </c>
      <c r="G17" s="795">
        <f t="shared" si="34"/>
        <v>0.21720755669095149</v>
      </c>
      <c r="H17" s="795">
        <f t="shared" si="34"/>
        <v>0.52798362439757485</v>
      </c>
      <c r="I17" s="795">
        <f t="shared" si="34"/>
        <v>0.38772447474182203</v>
      </c>
      <c r="J17" s="795">
        <f t="shared" si="34"/>
        <v>0.35061800807717947</v>
      </c>
      <c r="K17" s="795">
        <f t="shared" si="34"/>
        <v>0.30325662611905546</v>
      </c>
      <c r="L17" s="795">
        <f t="shared" si="34"/>
        <v>0.45592063701430785</v>
      </c>
      <c r="M17" s="795">
        <f t="shared" si="34"/>
        <v>0.68004157905026164</v>
      </c>
      <c r="N17" s="795">
        <f t="shared" si="34"/>
        <v>0.25235426008968642</v>
      </c>
      <c r="O17" s="795">
        <f t="shared" si="34"/>
        <v>0.35546946263437507</v>
      </c>
      <c r="P17" s="795">
        <f t="shared" si="34"/>
        <v>0.312293619703498</v>
      </c>
      <c r="Q17" s="795">
        <f t="shared" si="34"/>
        <v>0.20231573261034619</v>
      </c>
      <c r="R17" s="795">
        <f t="shared" si="34"/>
        <v>0.14061321114605674</v>
      </c>
      <c r="S17" s="795">
        <f t="shared" si="34"/>
        <v>0.13517911375411895</v>
      </c>
      <c r="T17" s="795">
        <f t="shared" si="34"/>
        <v>0.11543288559707854</v>
      </c>
      <c r="U17" s="795">
        <f t="shared" si="34"/>
        <v>0.32507895653016061</v>
      </c>
      <c r="V17" s="795">
        <f t="shared" si="34"/>
        <v>0.20942450267705692</v>
      </c>
      <c r="W17" s="795">
        <f t="shared" ca="1" si="34"/>
        <v>0.1535404945649077</v>
      </c>
      <c r="X17" s="795">
        <f t="shared" ca="1" si="34"/>
        <v>9.1568694979586196E-2</v>
      </c>
      <c r="Y17" s="795">
        <f t="shared" ca="1" si="34"/>
        <v>7.9399725781270636E-2</v>
      </c>
      <c r="Z17" s="795">
        <f t="shared" ca="1" si="34"/>
        <v>6.9378802964205288E-2</v>
      </c>
      <c r="AA17" s="795">
        <f t="shared" ref="AA17" ca="1" si="35">AA15/Z15-1</f>
        <v>6.463659746777517E-2</v>
      </c>
      <c r="AB17" s="795">
        <f t="shared" ref="AB17" ca="1" si="36">AB15/AA15-1</f>
        <v>6.0443500662150207E-2</v>
      </c>
      <c r="AC17" s="795">
        <f t="shared" ref="AC17" ca="1" si="37">AC15/AB15-1</f>
        <v>5.6712936339346154E-2</v>
      </c>
      <c r="AD17" s="795">
        <f t="shared" ref="AD17" ca="1" si="38">AD15/AC15-1</f>
        <v>5.3374238065655444E-2</v>
      </c>
      <c r="AE17" s="795"/>
      <c r="AF17" s="23"/>
      <c r="AG17" s="122"/>
      <c r="AH17" s="122"/>
      <c r="AI17" s="122"/>
      <c r="AJ17" s="122"/>
      <c r="AK17" s="1104"/>
      <c r="AL17" s="2363" t="str">
        <f t="shared" ref="AL17:BY17" si="39">IF(OR(ISERROR(AL15/AG15-1), AL15&lt;0, AG15&lt;0), "NM", AL15/AG15-1)</f>
        <v>NM</v>
      </c>
      <c r="AM17" s="2363" t="str">
        <f t="shared" si="39"/>
        <v>NM</v>
      </c>
      <c r="AN17" s="2363" t="str">
        <f t="shared" si="39"/>
        <v>NM</v>
      </c>
      <c r="AO17" s="2363">
        <f t="shared" si="39"/>
        <v>216.70270270270271</v>
      </c>
      <c r="AP17" s="2364">
        <f t="shared" si="39"/>
        <v>350.7837837837838</v>
      </c>
      <c r="AQ17" s="2363">
        <f t="shared" si="39"/>
        <v>91.742647058823522</v>
      </c>
      <c r="AR17" s="2363">
        <f t="shared" si="39"/>
        <v>17.11322869955157</v>
      </c>
      <c r="AS17" s="2363">
        <f t="shared" si="39"/>
        <v>3.3676582761250957</v>
      </c>
      <c r="AT17" s="2363">
        <f t="shared" si="39"/>
        <v>1.168342644320298</v>
      </c>
      <c r="AU17" s="2364">
        <f t="shared" si="39"/>
        <v>3.8720036877688999</v>
      </c>
      <c r="AV17" s="2363">
        <f t="shared" si="39"/>
        <v>0.59819234123523368</v>
      </c>
      <c r="AW17" s="2363">
        <f t="shared" si="39"/>
        <v>0.11654391285510912</v>
      </c>
      <c r="AX17" s="2363">
        <f t="shared" si="39"/>
        <v>0.17516590988473624</v>
      </c>
      <c r="AY17" s="2363">
        <f t="shared" si="39"/>
        <v>7.6548723233711202E-2</v>
      </c>
      <c r="AZ17" s="2364">
        <f t="shared" si="39"/>
        <v>0.21720755669095149</v>
      </c>
      <c r="BA17" s="2363">
        <f t="shared" si="39"/>
        <v>0.26178192280980261</v>
      </c>
      <c r="BB17" s="2363">
        <f t="shared" si="39"/>
        <v>0.57616407982261642</v>
      </c>
      <c r="BC17" s="2363">
        <f t="shared" si="39"/>
        <v>0.53162926635953833</v>
      </c>
      <c r="BD17" s="2363">
        <f t="shared" si="39"/>
        <v>0.7632292719246927</v>
      </c>
      <c r="BE17" s="2364">
        <f t="shared" si="39"/>
        <v>0.52798362439757462</v>
      </c>
      <c r="BF17" s="2363">
        <f t="shared" si="39"/>
        <v>0.44761155887556514</v>
      </c>
      <c r="BG17" s="2363">
        <f t="shared" si="39"/>
        <v>0.38647393964971521</v>
      </c>
      <c r="BH17" s="2363">
        <f t="shared" si="39"/>
        <v>0.37258643552508164</v>
      </c>
      <c r="BI17" s="2363">
        <f t="shared" si="39"/>
        <v>0.35697050129697794</v>
      </c>
      <c r="BJ17" s="2364">
        <f t="shared" si="39"/>
        <v>0.38772447474182226</v>
      </c>
      <c r="BK17" s="2363">
        <f t="shared" si="39"/>
        <v>0.32221618685497</v>
      </c>
      <c r="BL17" s="2363">
        <f t="shared" si="39"/>
        <v>0.33117723156532985</v>
      </c>
      <c r="BM17" s="2363">
        <f t="shared" si="39"/>
        <v>0.36892952237328869</v>
      </c>
      <c r="BN17" s="2363">
        <f t="shared" si="39"/>
        <v>0.373624663806708</v>
      </c>
      <c r="BO17" s="2364">
        <f t="shared" si="39"/>
        <v>0.35061800807717924</v>
      </c>
      <c r="BP17" s="2363">
        <f t="shared" si="39"/>
        <v>0.33245008627064343</v>
      </c>
      <c r="BQ17" s="2363">
        <f t="shared" si="39"/>
        <v>0.30619866994416811</v>
      </c>
      <c r="BR17" s="2363">
        <f t="shared" si="39"/>
        <v>0.2690374552464887</v>
      </c>
      <c r="BS17" s="2363">
        <f t="shared" si="39"/>
        <v>0.30992912391986804</v>
      </c>
      <c r="BT17" s="2364">
        <f t="shared" si="39"/>
        <v>0.30325662611905524</v>
      </c>
      <c r="BU17" s="2363">
        <f t="shared" si="39"/>
        <v>0.31201344247637564</v>
      </c>
      <c r="BV17" s="2363">
        <f t="shared" si="39"/>
        <v>0.33974733033786575</v>
      </c>
      <c r="BW17" s="2363">
        <f t="shared" si="39"/>
        <v>0.4076716490790222</v>
      </c>
      <c r="BX17" s="2363">
        <f t="shared" si="39"/>
        <v>0.713555113587232</v>
      </c>
      <c r="BY17" s="2364">
        <f t="shared" si="39"/>
        <v>0.45592063701430785</v>
      </c>
      <c r="BZ17" s="2363">
        <f>IF(OR(ISERROR(BZ15/BV15-1), BZ15&lt;0, BV15&lt;0), "NM", BZ15/BV15-1)</f>
        <v>0.7228132452061804</v>
      </c>
      <c r="CA17" s="2363">
        <f>IF(OR(ISERROR(CA15/BW15-1), CA15&lt;0, BW15&lt;0), "NM", CA15/BW15-1)</f>
        <v>0.65774411747701911</v>
      </c>
      <c r="CB17" s="2363">
        <f>IF(OR(ISERROR(CB15/BX15-1), CB15&lt;0, BX15&lt;0), "NM", CB15/BX15-1)</f>
        <v>0.32455988580820949</v>
      </c>
      <c r="CC17" s="2363">
        <f>IF(OR(ISERROR(CC15/BX15-1), CC15&lt;0, BX15&lt;0), "NM", CC15/BX15-1)</f>
        <v>0.37464855746355807</v>
      </c>
      <c r="CD17" s="2364" t="e">
        <f>IF(OR(ISERROR(CD15/#REF!-1), CD15&lt;0,#REF!&lt; 0), "NM", CD15/#REF!-1)</f>
        <v>#REF!</v>
      </c>
      <c r="CE17" s="1068">
        <f t="shared" ref="CE17:DQ17" si="40">IF(OR(ISERROR(CE15/BZ15-1), CE15&lt;0, BZ15&lt;0), "NM", CE15/BZ15-1)</f>
        <v>0.25921829374660277</v>
      </c>
      <c r="CF17" s="1068">
        <f t="shared" si="40"/>
        <v>0.23903187556671557</v>
      </c>
      <c r="CG17" s="1068">
        <f t="shared" si="40"/>
        <v>0.23851198737311918</v>
      </c>
      <c r="CH17" s="1068">
        <f t="shared" si="40"/>
        <v>0.27201690764252717</v>
      </c>
      <c r="CI17" s="2365">
        <f t="shared" si="40"/>
        <v>0.2523542600896862</v>
      </c>
      <c r="CJ17" s="1068">
        <f t="shared" si="40"/>
        <v>0.2480437281346779</v>
      </c>
      <c r="CK17" s="1068">
        <f t="shared" si="40"/>
        <v>0.36050908203857968</v>
      </c>
      <c r="CL17" s="1068">
        <f t="shared" si="40"/>
        <v>0.41236080471791814</v>
      </c>
      <c r="CM17" s="1068">
        <f t="shared" si="40"/>
        <v>0.38590487812922603</v>
      </c>
      <c r="CN17" s="2365">
        <f t="shared" si="40"/>
        <v>0.35546946263437529</v>
      </c>
      <c r="CO17" s="1068">
        <f t="shared" si="40"/>
        <v>0.42348853202707426</v>
      </c>
      <c r="CP17" s="1068">
        <f t="shared" si="40"/>
        <v>0.32927035311723118</v>
      </c>
      <c r="CQ17" s="1068">
        <f t="shared" si="40"/>
        <v>0.27011705258965613</v>
      </c>
      <c r="CR17" s="1068">
        <f t="shared" si="40"/>
        <v>0.25572207976106176</v>
      </c>
      <c r="CS17" s="2365">
        <f t="shared" si="40"/>
        <v>0.312293619703498</v>
      </c>
      <c r="CT17" s="1068">
        <f t="shared" si="40"/>
        <v>0.24580659925582493</v>
      </c>
      <c r="CU17" s="1068">
        <f t="shared" si="40"/>
        <v>0.18162646461449894</v>
      </c>
      <c r="CV17" s="1068">
        <f t="shared" si="40"/>
        <v>0.18771557637282954</v>
      </c>
      <c r="CW17" s="1068">
        <f t="shared" si="40"/>
        <v>0.198862398013816</v>
      </c>
      <c r="CX17" s="1068">
        <f t="shared" si="40"/>
        <v>-0.67120699408326256</v>
      </c>
      <c r="CY17" s="1068">
        <f t="shared" si="40"/>
        <v>0.19938451350713904</v>
      </c>
      <c r="CZ17" s="1068">
        <f t="shared" si="40"/>
        <v>0.19220248940794238</v>
      </c>
      <c r="DA17" s="1068">
        <f t="shared" si="40"/>
        <v>0.16467870512648641</v>
      </c>
      <c r="DB17" s="1068">
        <f t="shared" si="40"/>
        <v>0.14621615266204135</v>
      </c>
      <c r="DC17" s="1068">
        <f t="shared" si="40"/>
        <v>0.17248815230153447</v>
      </c>
      <c r="DD17" s="1068">
        <f t="shared" si="40"/>
        <v>0.1731405200890197</v>
      </c>
      <c r="DE17" s="1068">
        <f t="shared" si="40"/>
        <v>0.17499502839339764</v>
      </c>
      <c r="DF17" s="1068">
        <f t="shared" si="40"/>
        <v>0.13901221406219832</v>
      </c>
      <c r="DG17" s="1068">
        <f t="shared" si="40"/>
        <v>0.14745031919496987</v>
      </c>
      <c r="DH17" s="1068">
        <f t="shared" si="40"/>
        <v>0.13465507526096343</v>
      </c>
      <c r="DI17" s="1068">
        <f t="shared" si="40"/>
        <v>0.17732899232802524</v>
      </c>
      <c r="DJ17" s="1068">
        <f t="shared" si="40"/>
        <v>0.32287763605961883</v>
      </c>
      <c r="DK17" s="1068">
        <f t="shared" si="40"/>
        <v>0.40010323800402392</v>
      </c>
      <c r="DL17" s="1068">
        <f t="shared" si="40"/>
        <v>0.38927434936641925</v>
      </c>
      <c r="DM17" s="1068">
        <f t="shared" si="40"/>
        <v>0.37282221338704358</v>
      </c>
      <c r="DN17" s="1068">
        <f t="shared" si="40"/>
        <v>0.29989650385646405</v>
      </c>
      <c r="DO17" s="1068">
        <f t="shared" si="40"/>
        <v>0.26329848985258653</v>
      </c>
      <c r="DP17" s="1068">
        <f t="shared" si="40"/>
        <v>0.27956491321584442</v>
      </c>
      <c r="DQ17" s="1068">
        <f t="shared" si="40"/>
        <v>0.29799086382689732</v>
      </c>
      <c r="DR17" s="1068">
        <f t="shared" ref="DR17:DU17" ca="1" si="41">IF(OR(ISERROR(DR15/DN15-1), DR15&lt;0, DN15&lt;0), "NM", DR15/DN15-1)</f>
        <v>0.28018588355505036</v>
      </c>
      <c r="DS17" s="1068">
        <f t="shared" ca="1" si="41"/>
        <v>0.16287096246047872</v>
      </c>
      <c r="DT17" s="1068">
        <f t="shared" ca="1" si="41"/>
        <v>0.1055966401787336</v>
      </c>
      <c r="DU17" s="1068">
        <f t="shared" ca="1" si="41"/>
        <v>9.1085883051143846E-2</v>
      </c>
      <c r="DV17" s="54"/>
      <c r="DW17" s="54"/>
      <c r="DX17" s="861"/>
      <c r="DY17" s="861"/>
    </row>
    <row r="18" spans="2:129" customFormat="1">
      <c r="B18" s="23" t="s">
        <v>278</v>
      </c>
      <c r="C18" s="23"/>
      <c r="D18" s="26">
        <f>AK18</f>
        <v>2.7669999999999995</v>
      </c>
      <c r="E18" s="26">
        <f>AP18</f>
        <v>31.164999999999999</v>
      </c>
      <c r="F18" s="54">
        <f>AU18</f>
        <v>54.463000000000008</v>
      </c>
      <c r="G18" s="54">
        <f>AZ18</f>
        <v>56.006999999999991</v>
      </c>
      <c r="H18" s="54">
        <f>BE18</f>
        <v>73.176000000000002</v>
      </c>
      <c r="I18" s="54">
        <f>BJ18</f>
        <v>82.438000000000002</v>
      </c>
      <c r="J18" s="54">
        <f>BO18</f>
        <v>95.556999999999988</v>
      </c>
      <c r="K18" s="54">
        <f>BT18</f>
        <v>112.142</v>
      </c>
      <c r="L18" s="54">
        <f>BY18</f>
        <v>165.411</v>
      </c>
      <c r="M18" s="54">
        <f>CD18</f>
        <v>264.68</v>
      </c>
      <c r="N18" s="1483">
        <f>CI18</f>
        <v>314.58</v>
      </c>
      <c r="O18" s="1483">
        <f>CN18</f>
        <v>418.72799999999995</v>
      </c>
      <c r="P18" s="1483">
        <f>CS18</f>
        <v>529.75299999999993</v>
      </c>
      <c r="Q18" s="1491">
        <f>+SUM(CT18:CW18)</f>
        <v>594.79200000000003</v>
      </c>
      <c r="R18" s="1491">
        <f>+SUM(CX18:DA18)</f>
        <v>678.82600000000002</v>
      </c>
      <c r="S18" s="1491">
        <f>+SUM(DB18:DE18)</f>
        <v>767.55199999999991</v>
      </c>
      <c r="T18" s="1491">
        <f>+SUM(DF18:DI18)</f>
        <v>836.43899999999996</v>
      </c>
      <c r="U18" s="1491">
        <f>+SUM(DJ18:DM18)</f>
        <v>1169.4940000000001</v>
      </c>
      <c r="V18" s="1491">
        <f>+SUM(DN18:DQ18)</f>
        <v>1433.165</v>
      </c>
      <c r="W18" s="1491">
        <f ca="1">+SUM(DR18:DU18)</f>
        <v>1662.9223365450925</v>
      </c>
      <c r="X18" s="1491">
        <f t="shared" ref="X18:AD18" ca="1" si="42">X15*(1-X104/100)</f>
        <v>1809.693376982947</v>
      </c>
      <c r="Y18" s="1491">
        <f t="shared" ca="1" si="42"/>
        <v>1947.4452019308585</v>
      </c>
      <c r="Z18" s="1491">
        <f t="shared" ca="1" si="42"/>
        <v>2076.2073608948194</v>
      </c>
      <c r="AA18" s="1491">
        <f t="shared" ca="1" si="42"/>
        <v>2203.6466879236659</v>
      </c>
      <c r="AB18" s="1491">
        <f t="shared" ca="1" si="42"/>
        <v>2329.6745784920427</v>
      </c>
      <c r="AC18" s="1491">
        <f t="shared" ca="1" si="42"/>
        <v>2454.2225037394442</v>
      </c>
      <c r="AD18" s="1491">
        <f t="shared" ca="1" si="42"/>
        <v>2577.2357020191353</v>
      </c>
      <c r="AE18" s="1491"/>
      <c r="AF18" s="1483"/>
      <c r="AG18" s="1540">
        <v>4.2999999999999997E-2</v>
      </c>
      <c r="AH18" s="1540">
        <v>0.29700000000000004</v>
      </c>
      <c r="AI18" s="1540">
        <v>0.59499999999999997</v>
      </c>
      <c r="AJ18" s="1540">
        <f>2.26-0.324-0.104</f>
        <v>1.8319999999999996</v>
      </c>
      <c r="AK18" s="1541">
        <f>SUM(AG18:AJ18)</f>
        <v>2.7669999999999995</v>
      </c>
      <c r="AL18" s="1540">
        <f>3.321-0.984-0.106</f>
        <v>2.2310000000000003</v>
      </c>
      <c r="AM18" s="1540">
        <f>5.302-1.319-0.108</f>
        <v>3.8749999999999996</v>
      </c>
      <c r="AN18" s="1540">
        <f>12.639-0.22-2.567</f>
        <v>9.8519999999999985</v>
      </c>
      <c r="AO18" s="1540">
        <f>22.139-0.332-6.6</f>
        <v>15.206999999999999</v>
      </c>
      <c r="AP18" s="1541">
        <f>SUM(AL18:AO18)</f>
        <v>31.164999999999999</v>
      </c>
      <c r="AQ18" s="1540">
        <f>23.678-9.1-0.241</f>
        <v>14.337000000000002</v>
      </c>
      <c r="AR18" s="1540">
        <f>26.318-11.3-0.152</f>
        <v>14.866000000000001</v>
      </c>
      <c r="AS18" s="1540">
        <f>24.597-9.6-0.019</f>
        <v>14.978000000000002</v>
      </c>
      <c r="AT18" s="1540">
        <f>20.296-10-0.014</f>
        <v>10.282</v>
      </c>
      <c r="AU18" s="1534">
        <f>SUM(AQ18:AT18)</f>
        <v>54.463000000000008</v>
      </c>
      <c r="AV18" s="1540">
        <f>25.426-0.091-10.9</f>
        <v>14.434999999999997</v>
      </c>
      <c r="AW18" s="1540">
        <f>26.956-0.076-11.9</f>
        <v>14.979999999999999</v>
      </c>
      <c r="AX18" s="1540">
        <f>26.217-0.049-12.2</f>
        <v>13.968</v>
      </c>
      <c r="AY18" s="1540">
        <f>25.474-12.8-0.05</f>
        <v>12.623999999999999</v>
      </c>
      <c r="AZ18" s="1534">
        <f>SUM(AV18:AY18)</f>
        <v>56.006999999999991</v>
      </c>
      <c r="BA18" s="1540">
        <f>30.619-13.549-0.04</f>
        <v>17.03</v>
      </c>
      <c r="BB18" s="1540">
        <f>31.634-14.154-0.025</f>
        <v>17.455000000000002</v>
      </c>
      <c r="BC18" s="1540">
        <f>33.314-13.64+0.016</f>
        <v>19.689999999999998</v>
      </c>
      <c r="BD18" s="1540">
        <v>19.001000000000001</v>
      </c>
      <c r="BE18" s="1532">
        <f>SUM(BA18:BD18)</f>
        <v>73.176000000000002</v>
      </c>
      <c r="BF18" s="1540">
        <f>33.785-13.545-0.02</f>
        <v>20.219999999999995</v>
      </c>
      <c r="BG18" s="1540">
        <f>34.15-13.517-0.002</f>
        <v>20.631</v>
      </c>
      <c r="BH18" s="1540">
        <v>20.658999999999999</v>
      </c>
      <c r="BI18" s="1540">
        <v>20.928000000000001</v>
      </c>
      <c r="BJ18" s="1532">
        <f>SUM(BF18:BI18)</f>
        <v>82.438000000000002</v>
      </c>
      <c r="BK18" s="1540">
        <v>21.928999999999998</v>
      </c>
      <c r="BL18" s="1540">
        <v>23.317</v>
      </c>
      <c r="BM18" s="1540">
        <v>25.119</v>
      </c>
      <c r="BN18" s="1540">
        <v>25.192</v>
      </c>
      <c r="BO18" s="1532">
        <f>SUM(BK18:BN18)</f>
        <v>95.556999999999988</v>
      </c>
      <c r="BP18" s="1540">
        <v>25.271999999999998</v>
      </c>
      <c r="BQ18" s="1540">
        <v>26.844999999999999</v>
      </c>
      <c r="BR18" s="1540">
        <v>29.738</v>
      </c>
      <c r="BS18" s="1540">
        <v>30.287000000000003</v>
      </c>
      <c r="BT18" s="1532">
        <f>SUM(BP18:BS18)</f>
        <v>112.142</v>
      </c>
      <c r="BU18" s="1540">
        <v>31.930999999999997</v>
      </c>
      <c r="BV18" s="1540">
        <v>33.739000000000004</v>
      </c>
      <c r="BW18" s="1540">
        <v>40.24</v>
      </c>
      <c r="BX18" s="1540">
        <v>59.500999999999998</v>
      </c>
      <c r="BY18" s="1532">
        <f>SUM(BU18:BX18)</f>
        <v>165.411</v>
      </c>
      <c r="BZ18" s="1542">
        <v>61.76100000000001</v>
      </c>
      <c r="CA18" s="1542">
        <v>66.087999999999994</v>
      </c>
      <c r="CB18" s="1542">
        <v>70.600999999999999</v>
      </c>
      <c r="CC18" s="1542">
        <v>66.23</v>
      </c>
      <c r="CD18" s="1532">
        <f>SUM(BZ18:CC18)</f>
        <v>264.68</v>
      </c>
      <c r="CE18" s="1542">
        <v>71.938999999999993</v>
      </c>
      <c r="CF18" s="1542">
        <v>75.177000000000007</v>
      </c>
      <c r="CG18" s="1542">
        <v>81.930999999999997</v>
      </c>
      <c r="CH18" s="1542">
        <v>85.533000000000001</v>
      </c>
      <c r="CI18" s="1532">
        <f>SUM(CE18:CH18)</f>
        <v>314.58</v>
      </c>
      <c r="CJ18" s="1542">
        <v>85.084000000000003</v>
      </c>
      <c r="CK18" s="1685">
        <f>103.892-Rev!BU317</f>
        <v>100.68599999999999</v>
      </c>
      <c r="CL18" s="1685">
        <f>116.602-Rev!BV317</f>
        <v>112.024</v>
      </c>
      <c r="CM18" s="1685">
        <f>125.456-Rev!BW317</f>
        <v>120.934</v>
      </c>
      <c r="CN18" s="1532">
        <f>SUM(CJ18:CM18)</f>
        <v>418.72799999999995</v>
      </c>
      <c r="CO18" s="1685">
        <f>122.631-Rev!BX317</f>
        <v>118.5</v>
      </c>
      <c r="CP18" s="1685">
        <f>137.558-Rev!BY317</f>
        <v>132.09099999999998</v>
      </c>
      <c r="CQ18" s="1685">
        <f>144.56-Rev!BZ317</f>
        <v>139.96700000000001</v>
      </c>
      <c r="CR18" s="1685">
        <f>143.504-Rev!CA317</f>
        <v>139.19499999999999</v>
      </c>
      <c r="CS18" s="1532">
        <f>SUM(CO18:CR18)</f>
        <v>529.75299999999993</v>
      </c>
      <c r="CT18" s="1486">
        <v>137.929</v>
      </c>
      <c r="CU18" s="1486">
        <v>141.352</v>
      </c>
      <c r="CV18" s="1486">
        <v>157.42500000000001</v>
      </c>
      <c r="CW18" s="1486">
        <v>158.08600000000001</v>
      </c>
      <c r="CX18" s="1486">
        <v>162.01</v>
      </c>
      <c r="CY18" s="1486">
        <v>168.42099999999999</v>
      </c>
      <c r="CZ18" s="1486">
        <v>174.11099999999999</v>
      </c>
      <c r="DA18" s="1486">
        <v>174.28399999999999</v>
      </c>
      <c r="DB18" s="1486">
        <v>184.24799999999999</v>
      </c>
      <c r="DC18" s="1486">
        <v>190.90100000000001</v>
      </c>
      <c r="DD18" s="1486">
        <v>196.458</v>
      </c>
      <c r="DE18" s="1486">
        <v>195.94499999999999</v>
      </c>
      <c r="DF18" s="1486">
        <v>192.13</v>
      </c>
      <c r="DG18" s="1486">
        <v>204.73599999999999</v>
      </c>
      <c r="DH18" s="1486">
        <v>211.61699999999999</v>
      </c>
      <c r="DI18" s="1486">
        <v>227.95599999999999</v>
      </c>
      <c r="DJ18" s="1486">
        <v>271.10000000000002</v>
      </c>
      <c r="DK18" s="1486">
        <v>292.03300000000002</v>
      </c>
      <c r="DL18" s="1486">
        <v>304.82100000000003</v>
      </c>
      <c r="DM18" s="1486">
        <v>301.54000000000002</v>
      </c>
      <c r="DN18" s="1486">
        <v>303.54000000000002</v>
      </c>
      <c r="DO18" s="1486">
        <v>344.46899999999999</v>
      </c>
      <c r="DP18" s="1486">
        <v>377.767</v>
      </c>
      <c r="DQ18" s="1486">
        <v>407.38900000000001</v>
      </c>
      <c r="DR18" s="1491">
        <f ca="1">DR15*(1-DR104/100)</f>
        <v>401.13760535726107</v>
      </c>
      <c r="DS18" s="1491">
        <f ca="1">DS15*(1-DS104/100)</f>
        <v>409.23630483716175</v>
      </c>
      <c r="DT18" s="1491">
        <f ca="1">DT15*(1-DT104/100)</f>
        <v>420.39884376896589</v>
      </c>
      <c r="DU18" s="1491">
        <f ca="1">DU15*(1-DU104/100)</f>
        <v>432.14958258170378</v>
      </c>
      <c r="DV18" s="54"/>
      <c r="DW18" s="54"/>
      <c r="DX18" s="54"/>
      <c r="DY18" s="54"/>
    </row>
    <row r="19" spans="2:129" customFormat="1">
      <c r="B19" s="14" t="s">
        <v>279</v>
      </c>
      <c r="C19" s="14"/>
      <c r="D19" s="195">
        <f t="shared" ref="D19:AD19" si="43">D15-D18</f>
        <v>-2.7299999999999995</v>
      </c>
      <c r="E19" s="195">
        <f t="shared" si="43"/>
        <v>-18.149000000000001</v>
      </c>
      <c r="F19" s="195">
        <f t="shared" si="43"/>
        <v>8.9509999999999934</v>
      </c>
      <c r="G19" s="195">
        <f t="shared" si="43"/>
        <v>21.181000000000012</v>
      </c>
      <c r="H19" s="195">
        <f t="shared" si="43"/>
        <v>44.766000000000005</v>
      </c>
      <c r="I19" s="195">
        <f t="shared" si="43"/>
        <v>81.23299999999999</v>
      </c>
      <c r="J19" s="195">
        <f t="shared" si="43"/>
        <v>125.50000000000003</v>
      </c>
      <c r="K19" s="195">
        <f t="shared" si="43"/>
        <v>175.95200000000006</v>
      </c>
      <c r="L19" s="195">
        <f t="shared" si="43"/>
        <v>254.03100000000006</v>
      </c>
      <c r="M19" s="195">
        <f t="shared" si="43"/>
        <v>439.99999999999994</v>
      </c>
      <c r="N19" s="1494">
        <f t="shared" si="43"/>
        <v>567.92900000000009</v>
      </c>
      <c r="O19" s="1494">
        <f t="shared" si="43"/>
        <v>777.48599999999999</v>
      </c>
      <c r="P19" s="1494">
        <f t="shared" si="43"/>
        <v>1040.0310000000002</v>
      </c>
      <c r="Q19" s="1494">
        <f t="shared" si="43"/>
        <v>1292.5839999999998</v>
      </c>
      <c r="R19" s="1494">
        <f t="shared" si="43"/>
        <v>1473.94</v>
      </c>
      <c r="S19" s="1494">
        <f t="shared" si="43"/>
        <v>1676.2229999999997</v>
      </c>
      <c r="T19" s="1494">
        <f t="shared" si="43"/>
        <v>1889.4280000000003</v>
      </c>
      <c r="U19" s="1494">
        <f t="shared" si="43"/>
        <v>2442.4949999999994</v>
      </c>
      <c r="V19" s="1494">
        <f t="shared" si="43"/>
        <v>2935.2629999999999</v>
      </c>
      <c r="W19" s="1494">
        <f t="shared" ca="1" si="43"/>
        <v>3376.236259046098</v>
      </c>
      <c r="X19" s="1494">
        <f t="shared" ca="1" si="43"/>
        <v>3690.8943950016933</v>
      </c>
      <c r="Y19" s="1494">
        <f t="shared" ca="1" si="43"/>
        <v>3989.8877307851726</v>
      </c>
      <c r="Z19" s="1494">
        <f t="shared" ca="1" si="43"/>
        <v>4273.0506234930035</v>
      </c>
      <c r="AA19" s="1494">
        <f t="shared" ca="1" si="43"/>
        <v>4556.0057290200903</v>
      </c>
      <c r="AB19" s="1494">
        <f t="shared" ca="1" si="43"/>
        <v>4838.554893791159</v>
      </c>
      <c r="AC19" s="1494">
        <f t="shared" ca="1" si="43"/>
        <v>5120.5383102711803</v>
      </c>
      <c r="AD19" s="1494">
        <f t="shared" ca="1" si="43"/>
        <v>5401.82219896889</v>
      </c>
      <c r="AE19" s="1494"/>
      <c r="AF19" s="1483"/>
      <c r="AG19" s="1531">
        <f>AG15-AG18</f>
        <v>-4.2999999999999997E-2</v>
      </c>
      <c r="AH19" s="1531">
        <f>AH15-AH18</f>
        <v>-0.29700000000000004</v>
      </c>
      <c r="AI19" s="1531">
        <f>AI15-AI18</f>
        <v>-0.59499999999999997</v>
      </c>
      <c r="AJ19" s="1531">
        <f>AJ15-AJ18</f>
        <v>-1.7949999999999997</v>
      </c>
      <c r="AK19" s="1536">
        <f>SUM(AG19:AJ19)</f>
        <v>-2.7299999999999995</v>
      </c>
      <c r="AL19" s="1531">
        <f t="shared" ref="AL19:AY19" si="44">AL15-AL18</f>
        <v>-2.0950000000000002</v>
      </c>
      <c r="AM19" s="1531">
        <f t="shared" si="44"/>
        <v>-2.9829999999999997</v>
      </c>
      <c r="AN19" s="1531">
        <f t="shared" si="44"/>
        <v>-5.9189999999999987</v>
      </c>
      <c r="AO19" s="1531">
        <f t="shared" si="44"/>
        <v>-7.1519999999999992</v>
      </c>
      <c r="AP19" s="1536">
        <f t="shared" si="44"/>
        <v>-18.149000000000001</v>
      </c>
      <c r="AQ19" s="1531">
        <f t="shared" si="44"/>
        <v>-1.724000000000002</v>
      </c>
      <c r="AR19" s="1531">
        <f t="shared" si="44"/>
        <v>1.2909999999999986</v>
      </c>
      <c r="AS19" s="1531">
        <f t="shared" si="44"/>
        <v>2.1999999999999993</v>
      </c>
      <c r="AT19" s="1531">
        <f t="shared" si="44"/>
        <v>7.1840000000000011</v>
      </c>
      <c r="AU19" s="1536">
        <f t="shared" si="44"/>
        <v>8.9509999999999934</v>
      </c>
      <c r="AV19" s="1531">
        <f t="shared" si="44"/>
        <v>5.7230000000000043</v>
      </c>
      <c r="AW19" s="1531">
        <f t="shared" si="44"/>
        <v>3.0600000000000005</v>
      </c>
      <c r="AX19" s="1531">
        <f t="shared" si="44"/>
        <v>6.2190000000000012</v>
      </c>
      <c r="AY19" s="1531">
        <f t="shared" si="44"/>
        <v>6.179000000000002</v>
      </c>
      <c r="AZ19" s="1536">
        <f>SUM(AV19:AY19)</f>
        <v>21.181000000000008</v>
      </c>
      <c r="BA19" s="1531">
        <f t="shared" ref="BA19:CF19" si="45">BA15-BA18</f>
        <v>8.4050000000000011</v>
      </c>
      <c r="BB19" s="1531">
        <f t="shared" si="45"/>
        <v>10.978999999999996</v>
      </c>
      <c r="BC19" s="1531">
        <f t="shared" si="45"/>
        <v>11.229000000000003</v>
      </c>
      <c r="BD19" s="1531">
        <f t="shared" si="45"/>
        <v>14.152999999999995</v>
      </c>
      <c r="BE19" s="1536">
        <f t="shared" si="45"/>
        <v>44.765999999999991</v>
      </c>
      <c r="BF19" s="1531">
        <f t="shared" si="45"/>
        <v>16.600000000000005</v>
      </c>
      <c r="BG19" s="1531">
        <f t="shared" si="45"/>
        <v>18.792000000000002</v>
      </c>
      <c r="BH19" s="1531">
        <f t="shared" si="45"/>
        <v>21.78</v>
      </c>
      <c r="BI19" s="1531">
        <f t="shared" si="45"/>
        <v>24.061000000000003</v>
      </c>
      <c r="BJ19" s="1536">
        <f t="shared" si="45"/>
        <v>81.23299999999999</v>
      </c>
      <c r="BK19" s="1531">
        <f t="shared" si="45"/>
        <v>26.754999999999999</v>
      </c>
      <c r="BL19" s="1531">
        <f t="shared" si="45"/>
        <v>29.161999999999999</v>
      </c>
      <c r="BM19" s="1531">
        <f t="shared" si="45"/>
        <v>32.976999999999997</v>
      </c>
      <c r="BN19" s="1531">
        <f t="shared" si="45"/>
        <v>36.605999999999995</v>
      </c>
      <c r="BO19" s="1536">
        <f t="shared" si="45"/>
        <v>125.5</v>
      </c>
      <c r="BP19" s="1531">
        <f t="shared" si="45"/>
        <v>39.597000000000001</v>
      </c>
      <c r="BQ19" s="1531">
        <f t="shared" si="45"/>
        <v>41.703000000000003</v>
      </c>
      <c r="BR19" s="1531">
        <f t="shared" si="45"/>
        <v>43.988</v>
      </c>
      <c r="BS19" s="1531">
        <f t="shared" si="45"/>
        <v>50.663999999999987</v>
      </c>
      <c r="BT19" s="1536">
        <f t="shared" si="45"/>
        <v>175.952</v>
      </c>
      <c r="BU19" s="1531">
        <f t="shared" si="45"/>
        <v>53.178000000000011</v>
      </c>
      <c r="BV19" s="1531">
        <f t="shared" si="45"/>
        <v>58.098000000000013</v>
      </c>
      <c r="BW19" s="1531">
        <f t="shared" si="45"/>
        <v>63.541999999999994</v>
      </c>
      <c r="BX19" s="1531">
        <f t="shared" si="45"/>
        <v>79.212999999999994</v>
      </c>
      <c r="BY19" s="1536">
        <f t="shared" si="45"/>
        <v>254.03100000000001</v>
      </c>
      <c r="BZ19" s="1531">
        <f t="shared" si="45"/>
        <v>96.457000000000008</v>
      </c>
      <c r="CA19" s="1531">
        <f t="shared" si="45"/>
        <v>105.95599999999999</v>
      </c>
      <c r="CB19" s="1531">
        <f t="shared" si="45"/>
        <v>113.13399999999996</v>
      </c>
      <c r="CC19" s="1531">
        <f t="shared" si="45"/>
        <v>124.45299999999999</v>
      </c>
      <c r="CD19" s="1536">
        <f t="shared" si="45"/>
        <v>439.99999999999994</v>
      </c>
      <c r="CE19" s="1531">
        <f t="shared" si="45"/>
        <v>127.29200000000003</v>
      </c>
      <c r="CF19" s="1531">
        <f t="shared" si="45"/>
        <v>137.99099999999999</v>
      </c>
      <c r="CG19" s="1531">
        <f t="shared" ref="CG19:DL19" si="46">CG15-CG18</f>
        <v>145.62700000000001</v>
      </c>
      <c r="CH19" s="1531">
        <f t="shared" si="46"/>
        <v>157.01900000000001</v>
      </c>
      <c r="CI19" s="1536">
        <f t="shared" si="46"/>
        <v>567.92900000000009</v>
      </c>
      <c r="CJ19" s="1531">
        <f t="shared" si="46"/>
        <v>163.56500000000003</v>
      </c>
      <c r="CK19" s="1531">
        <f t="shared" si="46"/>
        <v>189.33099999999996</v>
      </c>
      <c r="CL19" s="1531">
        <f t="shared" si="46"/>
        <v>209.37</v>
      </c>
      <c r="CM19" s="1531">
        <f t="shared" si="46"/>
        <v>215.22</v>
      </c>
      <c r="CN19" s="1536">
        <f t="shared" si="46"/>
        <v>777.48599999999999</v>
      </c>
      <c r="CO19" s="1531">
        <f t="shared" si="46"/>
        <v>235.44900000000001</v>
      </c>
      <c r="CP19" s="1531">
        <f t="shared" si="46"/>
        <v>253.42</v>
      </c>
      <c r="CQ19" s="1531">
        <f t="shared" si="46"/>
        <v>268.24099999999999</v>
      </c>
      <c r="CR19" s="1531">
        <f t="shared" si="46"/>
        <v>282.92099999999999</v>
      </c>
      <c r="CS19" s="1536">
        <f t="shared" si="46"/>
        <v>1040.0310000000002</v>
      </c>
      <c r="CT19" s="1531">
        <f t="shared" si="46"/>
        <v>303.02300000000002</v>
      </c>
      <c r="CU19" s="1531">
        <f t="shared" si="46"/>
        <v>314.178</v>
      </c>
      <c r="CV19" s="1531">
        <f t="shared" si="46"/>
        <v>327.40999999999997</v>
      </c>
      <c r="CW19" s="1531">
        <f t="shared" si="46"/>
        <v>347.97299999999996</v>
      </c>
      <c r="CX19" s="1531">
        <f t="shared" si="46"/>
        <v>354.12399999999991</v>
      </c>
      <c r="CY19" s="1531">
        <f t="shared" si="46"/>
        <v>360.45</v>
      </c>
      <c r="CZ19" s="1531">
        <f t="shared" si="46"/>
        <v>368.97300000000007</v>
      </c>
      <c r="DA19" s="1531">
        <f t="shared" si="46"/>
        <v>390.39300000000003</v>
      </c>
      <c r="DB19" s="1531">
        <f t="shared" si="46"/>
        <v>395.80500000000001</v>
      </c>
      <c r="DC19" s="1531">
        <f t="shared" si="46"/>
        <v>414.26000000000005</v>
      </c>
      <c r="DD19" s="1531">
        <f t="shared" si="46"/>
        <v>423.98199999999997</v>
      </c>
      <c r="DE19" s="1531">
        <f t="shared" si="46"/>
        <v>442.17599999999999</v>
      </c>
      <c r="DF19" s="1531">
        <f t="shared" si="46"/>
        <v>451.04399999999998</v>
      </c>
      <c r="DG19" s="1531">
        <f t="shared" si="46"/>
        <v>460.84599999999989</v>
      </c>
      <c r="DH19" s="1531">
        <f t="shared" si="46"/>
        <v>475.03200000000004</v>
      </c>
      <c r="DI19" s="1531">
        <f t="shared" si="46"/>
        <v>502.50599999999986</v>
      </c>
      <c r="DJ19" s="1531">
        <f t="shared" si="46"/>
        <v>573.05600000000004</v>
      </c>
      <c r="DK19" s="1531">
        <f t="shared" si="46"/>
        <v>608.47699999999998</v>
      </c>
      <c r="DL19" s="1531">
        <f t="shared" si="46"/>
        <v>619.8549999999999</v>
      </c>
      <c r="DM19" s="1531">
        <f t="shared" ref="DM19:DU19" si="47">DM15-DM18</f>
        <v>641.10699999999997</v>
      </c>
      <c r="DN19" s="1531">
        <f t="shared" si="47"/>
        <v>645.98500000000013</v>
      </c>
      <c r="DO19" s="1531">
        <f t="shared" si="47"/>
        <v>721.952</v>
      </c>
      <c r="DP19" s="1531">
        <f t="shared" si="47"/>
        <v>774.49399999999991</v>
      </c>
      <c r="DQ19" s="1531">
        <f t="shared" si="47"/>
        <v>792.83199999999999</v>
      </c>
      <c r="DR19" s="1531">
        <f t="shared" ca="1" si="47"/>
        <v>814.43089572534836</v>
      </c>
      <c r="DS19" s="1531">
        <f t="shared" ca="1" si="47"/>
        <v>830.87370982090442</v>
      </c>
      <c r="DT19" s="1531">
        <f t="shared" ca="1" si="47"/>
        <v>853.53704644002187</v>
      </c>
      <c r="DU19" s="1531">
        <f t="shared" ca="1" si="47"/>
        <v>877.3946070598231</v>
      </c>
      <c r="DV19" s="54"/>
      <c r="DW19" s="54"/>
      <c r="DX19" s="54"/>
      <c r="DY19" s="54"/>
    </row>
    <row r="20" spans="2:129" customFormat="1">
      <c r="B20" s="2366" t="s">
        <v>291</v>
      </c>
      <c r="C20" s="123"/>
      <c r="D20" s="2363" t="str">
        <f t="shared" ref="D20:AD20" si="48">IF(OR(ISERROR(D19/D15),D19&lt;0), "NM", D19/D15)</f>
        <v>NM</v>
      </c>
      <c r="E20" s="2363" t="str">
        <f t="shared" si="48"/>
        <v>NM</v>
      </c>
      <c r="F20" s="2363">
        <f t="shared" si="48"/>
        <v>0.14115179613334583</v>
      </c>
      <c r="G20" s="2363">
        <f t="shared" si="48"/>
        <v>0.2744079390578848</v>
      </c>
      <c r="H20" s="2363">
        <f t="shared" si="48"/>
        <v>0.37955944447270695</v>
      </c>
      <c r="I20" s="2363">
        <f t="shared" si="48"/>
        <v>0.49631883473553651</v>
      </c>
      <c r="J20" s="2363">
        <f t="shared" si="48"/>
        <v>0.56772687587364357</v>
      </c>
      <c r="K20" s="2363">
        <f t="shared" si="48"/>
        <v>0.61074510402854632</v>
      </c>
      <c r="L20" s="2363">
        <f t="shared" si="48"/>
        <v>0.60564035075171307</v>
      </c>
      <c r="M20" s="1068">
        <f t="shared" si="48"/>
        <v>0.6243968893682238</v>
      </c>
      <c r="N20" s="1068">
        <f t="shared" si="48"/>
        <v>0.6435390460607201</v>
      </c>
      <c r="O20" s="1068">
        <f t="shared" si="48"/>
        <v>0.64995560994939039</v>
      </c>
      <c r="P20" s="1068">
        <f t="shared" si="48"/>
        <v>0.66253127818859159</v>
      </c>
      <c r="Q20" s="1068">
        <f t="shared" si="48"/>
        <v>0.68485770720831451</v>
      </c>
      <c r="R20" s="1068">
        <f t="shared" si="48"/>
        <v>0.68467264904778313</v>
      </c>
      <c r="S20" s="1068">
        <f t="shared" si="48"/>
        <v>0.68591543820523571</v>
      </c>
      <c r="T20" s="1068">
        <f t="shared" si="48"/>
        <v>0.69314753801267637</v>
      </c>
      <c r="U20" s="1068">
        <f t="shared" si="48"/>
        <v>0.67621883676832895</v>
      </c>
      <c r="V20" s="1068">
        <f t="shared" si="48"/>
        <v>0.67192660609262644</v>
      </c>
      <c r="W20" s="1068">
        <f t="shared" ca="1" si="48"/>
        <v>0.67</v>
      </c>
      <c r="X20" s="1068">
        <f t="shared" ca="1" si="48"/>
        <v>0.67099999999999993</v>
      </c>
      <c r="Y20" s="1068">
        <f t="shared" ca="1" si="48"/>
        <v>0.67199999999999993</v>
      </c>
      <c r="Z20" s="1068">
        <f t="shared" ca="1" si="48"/>
        <v>0.67299999999999982</v>
      </c>
      <c r="AA20" s="1068">
        <f t="shared" ca="1" si="48"/>
        <v>0.67399999999999982</v>
      </c>
      <c r="AB20" s="1068">
        <f t="shared" ca="1" si="48"/>
        <v>0.67499999999999971</v>
      </c>
      <c r="AC20" s="1068">
        <f t="shared" ca="1" si="48"/>
        <v>0.67599999999999982</v>
      </c>
      <c r="AD20" s="1068">
        <f t="shared" ca="1" si="48"/>
        <v>0.6769999999999996</v>
      </c>
      <c r="AE20" s="2363"/>
      <c r="AF20" s="123"/>
      <c r="AG20" s="2363" t="str">
        <f t="shared" ref="AG20:BL20" si="49">IF(OR(ISERROR(AG19/AG15),AG19&lt;0), "NM", AG19/AG15)</f>
        <v>NM</v>
      </c>
      <c r="AH20" s="2363" t="str">
        <f t="shared" si="49"/>
        <v>NM</v>
      </c>
      <c r="AI20" s="2363" t="str">
        <f t="shared" si="49"/>
        <v>NM</v>
      </c>
      <c r="AJ20" s="2363" t="str">
        <f t="shared" si="49"/>
        <v>NM</v>
      </c>
      <c r="AK20" s="2364" t="str">
        <f t="shared" si="49"/>
        <v>NM</v>
      </c>
      <c r="AL20" s="2363" t="str">
        <f t="shared" si="49"/>
        <v>NM</v>
      </c>
      <c r="AM20" s="2363" t="str">
        <f t="shared" si="49"/>
        <v>NM</v>
      </c>
      <c r="AN20" s="2363" t="str">
        <f t="shared" si="49"/>
        <v>NM</v>
      </c>
      <c r="AO20" s="2363" t="str">
        <f t="shared" si="49"/>
        <v>NM</v>
      </c>
      <c r="AP20" s="2364" t="str">
        <f t="shared" si="49"/>
        <v>NM</v>
      </c>
      <c r="AQ20" s="2363" t="str">
        <f t="shared" si="49"/>
        <v>NM</v>
      </c>
      <c r="AR20" s="2363">
        <f t="shared" si="49"/>
        <v>7.9903447422169871E-2</v>
      </c>
      <c r="AS20" s="2363">
        <f t="shared" si="49"/>
        <v>0.12807078821748744</v>
      </c>
      <c r="AT20" s="2363">
        <f t="shared" si="49"/>
        <v>0.41131340890873702</v>
      </c>
      <c r="AU20" s="2364">
        <f t="shared" si="49"/>
        <v>0.14115179613334583</v>
      </c>
      <c r="AV20" s="2363">
        <f t="shared" si="49"/>
        <v>0.28390713364421094</v>
      </c>
      <c r="AW20" s="2363">
        <f t="shared" si="49"/>
        <v>0.16962305986696233</v>
      </c>
      <c r="AX20" s="2363">
        <f t="shared" si="49"/>
        <v>0.30806954971020956</v>
      </c>
      <c r="AY20" s="2363">
        <f t="shared" si="49"/>
        <v>0.32861777375950657</v>
      </c>
      <c r="AZ20" s="2364">
        <f t="shared" si="49"/>
        <v>0.27440793905788474</v>
      </c>
      <c r="BA20" s="2363">
        <f t="shared" si="49"/>
        <v>0.33045016709258895</v>
      </c>
      <c r="BB20" s="2363">
        <f t="shared" si="49"/>
        <v>0.38612224801294215</v>
      </c>
      <c r="BC20" s="2363">
        <f t="shared" si="49"/>
        <v>0.36317474691937007</v>
      </c>
      <c r="BD20" s="2363">
        <f t="shared" si="49"/>
        <v>0.42688665017795729</v>
      </c>
      <c r="BE20" s="2364">
        <f t="shared" si="49"/>
        <v>0.3795594444727069</v>
      </c>
      <c r="BF20" s="796">
        <f t="shared" si="49"/>
        <v>0.4508419337316677</v>
      </c>
      <c r="BG20" s="796">
        <f t="shared" si="49"/>
        <v>0.4766760520508333</v>
      </c>
      <c r="BH20" s="796">
        <f t="shared" si="49"/>
        <v>0.5132071914983859</v>
      </c>
      <c r="BI20" s="796">
        <f t="shared" si="49"/>
        <v>0.53481962257440707</v>
      </c>
      <c r="BJ20" s="2367">
        <f t="shared" si="49"/>
        <v>0.49631883473553651</v>
      </c>
      <c r="BK20" s="796">
        <f t="shared" si="49"/>
        <v>0.54956453865746446</v>
      </c>
      <c r="BL20" s="796">
        <f t="shared" si="49"/>
        <v>0.55568894224356413</v>
      </c>
      <c r="BM20" s="796">
        <f t="shared" ref="BM20:CR20" si="50">IF(OR(ISERROR(BM19/BM15),BM19&lt;0), "NM", BM19/BM15)</f>
        <v>0.56762944092536494</v>
      </c>
      <c r="BN20" s="796">
        <f t="shared" si="50"/>
        <v>0.59234926696656842</v>
      </c>
      <c r="BO20" s="2367">
        <f t="shared" si="50"/>
        <v>0.56772687587364346</v>
      </c>
      <c r="BP20" s="796">
        <f t="shared" si="50"/>
        <v>0.61041483605420155</v>
      </c>
      <c r="BQ20" s="796">
        <f t="shared" si="50"/>
        <v>0.60837661200910309</v>
      </c>
      <c r="BR20" s="796">
        <f t="shared" si="50"/>
        <v>0.59664161896752843</v>
      </c>
      <c r="BS20" s="796">
        <f t="shared" si="50"/>
        <v>0.62586008820150452</v>
      </c>
      <c r="BT20" s="2367">
        <f t="shared" si="50"/>
        <v>0.6107451040285462</v>
      </c>
      <c r="BU20" s="796">
        <f t="shared" si="50"/>
        <v>0.62482228671468354</v>
      </c>
      <c r="BV20" s="796">
        <f t="shared" si="50"/>
        <v>0.63262083909535372</v>
      </c>
      <c r="BW20" s="796">
        <f t="shared" si="50"/>
        <v>0.61226416912374015</v>
      </c>
      <c r="BX20" s="796">
        <f t="shared" si="50"/>
        <v>0.57105266952146139</v>
      </c>
      <c r="BY20" s="2367">
        <f t="shared" si="50"/>
        <v>0.60564035075171296</v>
      </c>
      <c r="BZ20" s="796">
        <f t="shared" si="50"/>
        <v>0.6096461843785157</v>
      </c>
      <c r="CA20" s="796">
        <f t="shared" si="50"/>
        <v>0.6158657087721745</v>
      </c>
      <c r="CB20" s="796">
        <f t="shared" si="50"/>
        <v>0.61574550303426123</v>
      </c>
      <c r="CC20" s="796">
        <f t="shared" si="50"/>
        <v>0.6526696139666357</v>
      </c>
      <c r="CD20" s="2367">
        <f t="shared" si="50"/>
        <v>0.6243968893682238</v>
      </c>
      <c r="CE20" s="795">
        <f t="shared" si="50"/>
        <v>0.63891663445949687</v>
      </c>
      <c r="CF20" s="795">
        <f t="shared" si="50"/>
        <v>0.64733449673496957</v>
      </c>
      <c r="CG20" s="795">
        <f t="shared" si="50"/>
        <v>0.63995552782147858</v>
      </c>
      <c r="CH20" s="795">
        <f t="shared" si="50"/>
        <v>0.6473622151126357</v>
      </c>
      <c r="CI20" s="2367">
        <f t="shared" si="50"/>
        <v>0.6435390460607201</v>
      </c>
      <c r="CJ20" s="795">
        <f t="shared" si="50"/>
        <v>0.65781483134860785</v>
      </c>
      <c r="CK20" s="795">
        <f t="shared" si="50"/>
        <v>0.65282724805787251</v>
      </c>
      <c r="CL20" s="795">
        <f t="shared" si="50"/>
        <v>0.65144339969010001</v>
      </c>
      <c r="CM20" s="795">
        <f t="shared" si="50"/>
        <v>0.64024226991200461</v>
      </c>
      <c r="CN20" s="2368">
        <f t="shared" si="50"/>
        <v>0.64995560994939039</v>
      </c>
      <c r="CO20" s="795">
        <f t="shared" si="50"/>
        <v>0.66520600425485032</v>
      </c>
      <c r="CP20" s="795">
        <f t="shared" si="50"/>
        <v>0.65736126855005439</v>
      </c>
      <c r="CQ20" s="795">
        <f t="shared" si="50"/>
        <v>0.65711842982009172</v>
      </c>
      <c r="CR20" s="795">
        <f t="shared" si="50"/>
        <v>0.6702446720806603</v>
      </c>
      <c r="CS20" s="2368">
        <f t="shared" ref="CS20:DU20" si="51">IF(OR(ISERROR(CS19/CS15),CS19&lt;0), "NM", CS19/CS15)</f>
        <v>0.66253127818859159</v>
      </c>
      <c r="CT20" s="795">
        <f t="shared" si="51"/>
        <v>0.68720178159981138</v>
      </c>
      <c r="CU20" s="795">
        <f t="shared" si="51"/>
        <v>0.68969771474985175</v>
      </c>
      <c r="CV20" s="795">
        <f t="shared" si="51"/>
        <v>0.67530190683428382</v>
      </c>
      <c r="CW20" s="795">
        <f t="shared" si="51"/>
        <v>0.68761349961170526</v>
      </c>
      <c r="CX20" s="795">
        <f t="shared" si="51"/>
        <v>0.68610864620428025</v>
      </c>
      <c r="CY20" s="795">
        <f t="shared" si="51"/>
        <v>0.68154616154033787</v>
      </c>
      <c r="CZ20" s="795">
        <f t="shared" si="51"/>
        <v>0.67940318624743135</v>
      </c>
      <c r="DA20" s="795">
        <f t="shared" si="51"/>
        <v>0.69135629749396565</v>
      </c>
      <c r="DB20" s="795">
        <f t="shared" si="51"/>
        <v>0.68236006020139539</v>
      </c>
      <c r="DC20" s="795">
        <f t="shared" si="51"/>
        <v>0.684545104525903</v>
      </c>
      <c r="DD20" s="795">
        <f t="shared" si="51"/>
        <v>0.68335697247114957</v>
      </c>
      <c r="DE20" s="795">
        <f t="shared" si="51"/>
        <v>0.69293441212560003</v>
      </c>
      <c r="DF20" s="795">
        <f t="shared" si="51"/>
        <v>0.70127834769440311</v>
      </c>
      <c r="DG20" s="795">
        <f t="shared" si="51"/>
        <v>0.69239552752328037</v>
      </c>
      <c r="DH20" s="795">
        <f t="shared" si="51"/>
        <v>0.69181197380320958</v>
      </c>
      <c r="DI20" s="795">
        <f t="shared" si="51"/>
        <v>0.68792900931191481</v>
      </c>
      <c r="DJ20" s="795">
        <f t="shared" si="51"/>
        <v>0.67885082851984702</v>
      </c>
      <c r="DK20" s="795">
        <f t="shared" si="51"/>
        <v>0.67570265738303847</v>
      </c>
      <c r="DL20" s="795">
        <f t="shared" si="51"/>
        <v>0.67034831659954397</v>
      </c>
      <c r="DM20" s="795">
        <f t="shared" si="51"/>
        <v>0.68011355258118888</v>
      </c>
      <c r="DN20" s="795">
        <f t="shared" si="51"/>
        <v>0.6803243727126721</v>
      </c>
      <c r="DO20" s="795">
        <f t="shared" si="51"/>
        <v>0.67698591831931287</v>
      </c>
      <c r="DP20" s="795">
        <f t="shared" si="51"/>
        <v>0.67215153511227055</v>
      </c>
      <c r="DQ20" s="795">
        <f t="shared" si="51"/>
        <v>0.66057167804929262</v>
      </c>
      <c r="DR20" s="795">
        <f t="shared" ca="1" si="51"/>
        <v>0.67</v>
      </c>
      <c r="DS20" s="795">
        <f t="shared" ca="1" si="51"/>
        <v>0.67000000000000015</v>
      </c>
      <c r="DT20" s="795">
        <f t="shared" ca="1" si="51"/>
        <v>0.67</v>
      </c>
      <c r="DU20" s="795">
        <f t="shared" ca="1" si="51"/>
        <v>0.67000000000000015</v>
      </c>
      <c r="DV20" s="54"/>
      <c r="DW20" s="54"/>
      <c r="DX20" s="922"/>
      <c r="DY20" s="922"/>
    </row>
    <row r="21" spans="2:129" customFormat="1" ht="12.75" customHeight="1">
      <c r="B21" s="123"/>
      <c r="C21" s="123"/>
      <c r="D21" s="124"/>
      <c r="E21" s="124"/>
      <c r="F21" s="124"/>
      <c r="G21" s="124"/>
      <c r="H21" s="124"/>
      <c r="I21" s="124"/>
      <c r="J21" s="124"/>
      <c r="K21" s="124"/>
      <c r="L21" s="123"/>
      <c r="M21" s="123"/>
      <c r="N21" s="901"/>
      <c r="O21" s="123"/>
      <c r="P21" s="123"/>
      <c r="Q21" s="123"/>
      <c r="R21" s="123"/>
      <c r="S21" s="123"/>
      <c r="T21" s="123"/>
      <c r="U21" s="123"/>
      <c r="V21" s="123"/>
      <c r="W21" s="123"/>
      <c r="X21" s="123"/>
      <c r="Y21" s="123"/>
      <c r="Z21" s="123"/>
      <c r="AA21" s="123"/>
      <c r="AB21" s="123"/>
      <c r="AC21" s="123"/>
      <c r="AD21" s="123"/>
      <c r="AE21" s="123"/>
      <c r="AF21" s="123"/>
      <c r="AG21" s="123"/>
      <c r="AH21" s="123"/>
      <c r="AI21" s="123"/>
      <c r="AJ21" s="123"/>
      <c r="AK21" s="1103"/>
      <c r="AL21" s="2369"/>
      <c r="AM21" s="2369"/>
      <c r="AN21" s="2369"/>
      <c r="AO21" s="2369"/>
      <c r="AP21" s="2370"/>
      <c r="AQ21" s="2369"/>
      <c r="AR21" s="2369"/>
      <c r="AS21" s="2369"/>
      <c r="AT21" s="2369"/>
      <c r="AU21" s="2370"/>
      <c r="AV21" s="2369"/>
      <c r="AW21" s="2369"/>
      <c r="AX21" s="2369"/>
      <c r="AY21" s="2369"/>
      <c r="AZ21" s="2370"/>
      <c r="BA21" s="2369"/>
      <c r="BB21" s="2369"/>
      <c r="BC21" s="2369"/>
      <c r="BD21" s="2369"/>
      <c r="BE21" s="2370"/>
      <c r="BF21" s="2369"/>
      <c r="BG21" s="2369"/>
      <c r="BH21" s="2369"/>
      <c r="BI21" s="2369"/>
      <c r="BJ21" s="2370"/>
      <c r="BK21" s="2369"/>
      <c r="BL21" s="2369"/>
      <c r="BM21" s="2369"/>
      <c r="BN21" s="2369"/>
      <c r="BO21" s="2370"/>
      <c r="BP21" s="2369"/>
      <c r="BQ21" s="2369"/>
      <c r="BR21" s="2369"/>
      <c r="BS21" s="2369"/>
      <c r="BT21" s="2370"/>
      <c r="BU21" s="829"/>
      <c r="BV21" s="829"/>
      <c r="BW21" s="829"/>
      <c r="BX21" s="829"/>
      <c r="BY21" s="2371"/>
      <c r="BZ21" s="901"/>
      <c r="CA21" s="901"/>
      <c r="CB21" s="901"/>
      <c r="CC21" s="901"/>
      <c r="CD21" s="1106"/>
      <c r="CE21" s="901"/>
      <c r="CF21" s="123"/>
      <c r="CG21" s="123"/>
      <c r="CH21" s="123"/>
      <c r="CI21" s="1103"/>
      <c r="CJ21" s="123"/>
      <c r="CK21" s="123"/>
      <c r="CL21" s="123"/>
      <c r="CM21" s="123"/>
      <c r="CN21" s="1103"/>
      <c r="CO21" s="123"/>
      <c r="CP21" s="123"/>
      <c r="CQ21" s="123"/>
      <c r="CR21" s="123"/>
      <c r="CS21" s="1103"/>
      <c r="CT21" s="123"/>
      <c r="CU21" s="123"/>
      <c r="CV21" s="123"/>
      <c r="CW21" s="123"/>
      <c r="CX21" s="123"/>
      <c r="CY21" s="123"/>
      <c r="CZ21" s="123"/>
      <c r="DA21" s="123"/>
      <c r="DB21" s="123"/>
      <c r="DC21" s="123"/>
      <c r="DD21" s="123"/>
      <c r="DE21" s="123"/>
      <c r="DF21" s="123"/>
      <c r="DG21" s="123"/>
      <c r="DH21" s="123"/>
      <c r="DI21" s="123"/>
      <c r="DJ21" s="123"/>
      <c r="DK21" s="123"/>
      <c r="DL21" s="123"/>
      <c r="DM21" s="123"/>
      <c r="DN21" s="123"/>
      <c r="DO21" s="123"/>
      <c r="DP21" s="123"/>
      <c r="DQ21" s="123"/>
      <c r="DR21" s="123"/>
      <c r="DS21" s="123"/>
      <c r="DT21" s="123"/>
      <c r="DU21" s="123"/>
      <c r="DV21" s="54"/>
      <c r="DW21" s="54"/>
      <c r="DX21" s="23"/>
      <c r="DY21" s="23"/>
    </row>
    <row r="22" spans="2:129" customFormat="1">
      <c r="B22" s="17" t="s">
        <v>1223</v>
      </c>
      <c r="C22" s="23"/>
      <c r="D22" s="26">
        <f>AK22</f>
        <v>3.6080000000000001</v>
      </c>
      <c r="E22" s="26">
        <f>AP22</f>
        <v>13.821</v>
      </c>
      <c r="F22" s="54">
        <f>AU22</f>
        <v>14.105</v>
      </c>
      <c r="G22" s="54">
        <f>AZ22</f>
        <v>14.295000000000002</v>
      </c>
      <c r="H22" s="54">
        <f>BE22</f>
        <v>17.096</v>
      </c>
      <c r="I22" s="54">
        <f>BJ22</f>
        <v>16.641999999999999</v>
      </c>
      <c r="J22" s="54">
        <f>BO22</f>
        <v>18.931000000000001</v>
      </c>
      <c r="K22" s="54">
        <f>BT22</f>
        <v>25.11</v>
      </c>
      <c r="L22" s="54">
        <f>BY22</f>
        <v>29.658999999999999</v>
      </c>
      <c r="M22" s="54">
        <f>CD22</f>
        <v>50.216999999999999</v>
      </c>
      <c r="N22" s="1483">
        <f>CI22</f>
        <v>47.540999999999997</v>
      </c>
      <c r="O22" s="1483">
        <f>CN22</f>
        <v>87.037000000000006</v>
      </c>
      <c r="P22" s="1483">
        <f>CS22</f>
        <v>127.95400000000001</v>
      </c>
      <c r="Q22" s="1483">
        <f>+SUM(CT22:CW22)</f>
        <v>162.92399999999998</v>
      </c>
      <c r="R22" s="1483">
        <f>+SUM(CX22:DA22)</f>
        <v>195.11700000000002</v>
      </c>
      <c r="S22" s="1483">
        <f>+SUM(DB22:DE22)</f>
        <v>240.054</v>
      </c>
      <c r="T22" s="1483">
        <f>+SUM(DF22:DI22)</f>
        <v>269.27000000000004</v>
      </c>
      <c r="U22" s="1483">
        <f>+SUM(DJ22:DM22)</f>
        <v>322.47399999999993</v>
      </c>
      <c r="V22" s="1483">
        <f>+SUM(DN22:DQ22)</f>
        <v>380.62300000000005</v>
      </c>
      <c r="W22" s="1483">
        <f ca="1">+SUM(DR22:DU22)</f>
        <v>416.51485254168887</v>
      </c>
      <c r="X22" s="1483">
        <f ca="1">X24*0.425</f>
        <v>452.31682422545265</v>
      </c>
      <c r="Y22" s="1483">
        <f ca="1">Y24*0.425</f>
        <v>485.70728953880433</v>
      </c>
      <c r="Z22" s="1483">
        <f ca="1">Z24*0.425</f>
        <v>516.7066452346304</v>
      </c>
      <c r="AA22" s="1483">
        <f t="shared" ref="AA22:AD22" ca="1" si="52">AA24*0.425</f>
        <v>547.23195239438451</v>
      </c>
      <c r="AB22" s="1483">
        <f t="shared" ca="1" si="52"/>
        <v>577.26206974556385</v>
      </c>
      <c r="AC22" s="1483">
        <f t="shared" ca="1" si="52"/>
        <v>606.7810234122087</v>
      </c>
      <c r="AD22" s="1483">
        <f t="shared" ca="1" si="52"/>
        <v>635.77639860161401</v>
      </c>
      <c r="AE22" s="1483"/>
      <c r="AF22" s="1483"/>
      <c r="AG22" s="1540">
        <v>0.115</v>
      </c>
      <c r="AH22" s="1540">
        <v>0.53600000000000003</v>
      </c>
      <c r="AI22" s="1540">
        <v>0.85299999999999998</v>
      </c>
      <c r="AJ22" s="1540">
        <v>2.1040000000000001</v>
      </c>
      <c r="AK22" s="1541">
        <f>SUM(AG22:AJ22)</f>
        <v>3.6080000000000001</v>
      </c>
      <c r="AL22" s="1540">
        <f>4.516-1.358</f>
        <v>3.1579999999999999</v>
      </c>
      <c r="AM22" s="1540">
        <f>4.192-1.612</f>
        <v>2.58</v>
      </c>
      <c r="AN22" s="1540">
        <f>5.046-2.351</f>
        <v>2.6950000000000003</v>
      </c>
      <c r="AO22" s="1540">
        <f>6.385-0.997</f>
        <v>5.3879999999999999</v>
      </c>
      <c r="AP22" s="1541">
        <f>SUM(AL22:AO22)</f>
        <v>13.821</v>
      </c>
      <c r="AQ22" s="1484">
        <f>5.225-1.083</f>
        <v>4.1419999999999995</v>
      </c>
      <c r="AR22" s="1484">
        <f>4.067-0.765</f>
        <v>3.302</v>
      </c>
      <c r="AS22" s="1484">
        <f>3.982-0.496</f>
        <v>3.4860000000000002</v>
      </c>
      <c r="AT22" s="1484">
        <f>3.661-0.486</f>
        <v>3.1749999999999998</v>
      </c>
      <c r="AU22" s="1534">
        <f>SUM(AQ22:AT22)</f>
        <v>14.105</v>
      </c>
      <c r="AV22" s="1484">
        <f>4.17-0.433</f>
        <v>3.7370000000000001</v>
      </c>
      <c r="AW22" s="1484">
        <f>5.11-0.151</f>
        <v>4.9590000000000005</v>
      </c>
      <c r="AX22" s="1484">
        <f>2.888-0.218</f>
        <v>2.67</v>
      </c>
      <c r="AY22" s="1484">
        <f>3.079-0.15</f>
        <v>2.9290000000000003</v>
      </c>
      <c r="AZ22" s="1534">
        <f>SUM(AV22:AY22)</f>
        <v>14.295000000000002</v>
      </c>
      <c r="BA22" s="1484">
        <f>4.703-0.525-0.113</f>
        <v>4.0649999999999995</v>
      </c>
      <c r="BB22" s="1484">
        <f>4.684-0.519-0.069</f>
        <v>4.0960000000000001</v>
      </c>
      <c r="BC22" s="1484">
        <f>4.823-0.518-0.061</f>
        <v>4.2440000000000007</v>
      </c>
      <c r="BD22" s="1484">
        <v>4.6909999999999998</v>
      </c>
      <c r="BE22" s="1532">
        <f>SUM(BA22:BD22)</f>
        <v>17.096</v>
      </c>
      <c r="BF22" s="1484">
        <v>4.1379999999999999</v>
      </c>
      <c r="BG22" s="1484">
        <v>3.9329999999999998</v>
      </c>
      <c r="BH22" s="1484">
        <v>3.9580000000000002</v>
      </c>
      <c r="BI22" s="1484">
        <v>4.6130000000000004</v>
      </c>
      <c r="BJ22" s="1532">
        <f>SUM(BF22:BI22)</f>
        <v>16.641999999999999</v>
      </c>
      <c r="BK22" s="1484">
        <v>4.3570000000000002</v>
      </c>
      <c r="BL22" s="1484">
        <v>4.6760000000000002</v>
      </c>
      <c r="BM22" s="1484">
        <v>4.5659999999999998</v>
      </c>
      <c r="BN22" s="1484">
        <v>5.3319999999999999</v>
      </c>
      <c r="BO22" s="1481">
        <f>SUM(BK22:BN22)</f>
        <v>18.931000000000001</v>
      </c>
      <c r="BP22" s="1484">
        <v>5.2910000000000004</v>
      </c>
      <c r="BQ22" s="1484">
        <v>6.3330000000000002</v>
      </c>
      <c r="BR22" s="1484">
        <v>5.8639999999999999</v>
      </c>
      <c r="BS22" s="1484">
        <v>7.6219999999999999</v>
      </c>
      <c r="BT22" s="1481">
        <f>SUM(BP22:BS22)</f>
        <v>25.11</v>
      </c>
      <c r="BU22" s="1484">
        <v>6.4349999999999996</v>
      </c>
      <c r="BV22" s="1484">
        <v>6.8619999999999992</v>
      </c>
      <c r="BW22" s="1484">
        <v>7.2830000000000013</v>
      </c>
      <c r="BX22" s="1484">
        <v>9.0790000000000006</v>
      </c>
      <c r="BY22" s="1481">
        <f>SUM(BU22:BX22)</f>
        <v>29.658999999999999</v>
      </c>
      <c r="BZ22" s="1490">
        <v>11.477</v>
      </c>
      <c r="CA22" s="1490">
        <v>10.911</v>
      </c>
      <c r="CB22" s="1490">
        <v>12.082000000000001</v>
      </c>
      <c r="CC22" s="1490">
        <v>15.747</v>
      </c>
      <c r="CD22" s="1532">
        <f>SUM(BZ22:CC22)</f>
        <v>50.216999999999999</v>
      </c>
      <c r="CE22" s="1490">
        <v>10.646000000000001</v>
      </c>
      <c r="CF22" s="1490">
        <v>12.204000000000001</v>
      </c>
      <c r="CG22" s="1490">
        <v>11.452999999999999</v>
      </c>
      <c r="CH22" s="1490">
        <v>13.238</v>
      </c>
      <c r="CI22" s="1532">
        <f>SUM(CE22:CH22)</f>
        <v>47.540999999999997</v>
      </c>
      <c r="CJ22" s="1490">
        <v>15.185</v>
      </c>
      <c r="CK22" s="1490">
        <v>22.158000000000001</v>
      </c>
      <c r="CL22" s="1490">
        <v>24.170999999999999</v>
      </c>
      <c r="CM22" s="1490">
        <v>25.523</v>
      </c>
      <c r="CN22" s="1532">
        <f>SUM(CJ22:CM22)</f>
        <v>87.037000000000006</v>
      </c>
      <c r="CO22" s="1490">
        <v>27.103999999999999</v>
      </c>
      <c r="CP22" s="1485">
        <v>29.260999999999999</v>
      </c>
      <c r="CQ22" s="1485">
        <v>34.503999999999998</v>
      </c>
      <c r="CR22" s="1485">
        <v>37.085000000000001</v>
      </c>
      <c r="CS22" s="1483">
        <f>+SUM(CO22:CR22)</f>
        <v>127.95400000000001</v>
      </c>
      <c r="CT22" s="1485">
        <v>38.119</v>
      </c>
      <c r="CU22" s="1485">
        <v>38.689</v>
      </c>
      <c r="CV22" s="1485">
        <f>53.211-6.296-4.795</f>
        <v>42.12</v>
      </c>
      <c r="CW22" s="1485">
        <f>55.69-6.469-5.225</f>
        <v>43.995999999999995</v>
      </c>
      <c r="CX22" s="1485">
        <v>46.28</v>
      </c>
      <c r="CY22" s="1485">
        <v>46.43</v>
      </c>
      <c r="CZ22" s="1485">
        <v>48.171999999999997</v>
      </c>
      <c r="DA22" s="1485">
        <v>54.234999999999999</v>
      </c>
      <c r="DB22" s="1485">
        <v>55.798999999999999</v>
      </c>
      <c r="DC22" s="1485">
        <v>58.784999999999997</v>
      </c>
      <c r="DD22" s="1485">
        <v>58.433999999999997</v>
      </c>
      <c r="DE22" s="1485">
        <v>67.036000000000001</v>
      </c>
      <c r="DF22" s="1485">
        <v>63.82</v>
      </c>
      <c r="DG22" s="1485">
        <v>65.058000000000007</v>
      </c>
      <c r="DH22" s="1485">
        <v>68.322999999999993</v>
      </c>
      <c r="DI22" s="1485">
        <v>72.069000000000003</v>
      </c>
      <c r="DJ22" s="1485">
        <v>79.691999999999993</v>
      </c>
      <c r="DK22" s="1485">
        <v>78.070999999999998</v>
      </c>
      <c r="DL22" s="1485">
        <v>79.515000000000001</v>
      </c>
      <c r="DM22" s="1485">
        <v>85.195999999999998</v>
      </c>
      <c r="DN22" s="1485">
        <v>99.861000000000004</v>
      </c>
      <c r="DO22" s="1485">
        <v>89.616</v>
      </c>
      <c r="DP22" s="1485">
        <v>96.873000000000005</v>
      </c>
      <c r="DQ22" s="1485">
        <v>94.272999999999996</v>
      </c>
      <c r="DR22" s="1483">
        <f t="shared" ref="DR22:DU22" ca="1" si="53">DR24*0.425</f>
        <v>108.48948872162288</v>
      </c>
      <c r="DS22" s="1483">
        <f t="shared" ca="1" si="53"/>
        <v>102.45771771896617</v>
      </c>
      <c r="DT22" s="1483">
        <f t="shared" ca="1" si="53"/>
        <v>102.62791512843465</v>
      </c>
      <c r="DU22" s="1483">
        <f t="shared" ca="1" si="53"/>
        <v>102.9397309726652</v>
      </c>
      <c r="DV22" s="54"/>
      <c r="DW22" s="54"/>
      <c r="DX22" s="54"/>
      <c r="DY22" s="54"/>
    </row>
    <row r="23" spans="2:129" customFormat="1">
      <c r="B23" s="17" t="s">
        <v>1224</v>
      </c>
      <c r="C23" s="23"/>
      <c r="D23" s="26">
        <f>AK23</f>
        <v>6.2089999999999996</v>
      </c>
      <c r="E23" s="26">
        <f>AP23</f>
        <v>30.43</v>
      </c>
      <c r="F23" s="54">
        <f>AU23</f>
        <v>32.852999999999994</v>
      </c>
      <c r="G23" s="54">
        <f>AZ23</f>
        <v>18.716999999999999</v>
      </c>
      <c r="H23" s="54">
        <f>BE23</f>
        <v>25.972000000000001</v>
      </c>
      <c r="I23" s="54">
        <f>BJ23</f>
        <v>28.977</v>
      </c>
      <c r="J23" s="54">
        <f>BO23</f>
        <v>36.43</v>
      </c>
      <c r="K23" s="54">
        <f>BT23</f>
        <v>48.769999999999996</v>
      </c>
      <c r="L23" s="54">
        <f>BY23</f>
        <v>68.981999999999999</v>
      </c>
      <c r="M23" s="54">
        <f>CD23</f>
        <v>97.306999999999988</v>
      </c>
      <c r="N23" s="1483">
        <f>CI23</f>
        <v>111.78</v>
      </c>
      <c r="O23" s="1483">
        <f>CN23</f>
        <v>157.428</v>
      </c>
      <c r="P23" s="1483">
        <f>CS23</f>
        <v>192.27199999999999</v>
      </c>
      <c r="Q23" s="1483">
        <f>+SUM(CT23:CW23)</f>
        <v>241.803</v>
      </c>
      <c r="R23" s="1483">
        <f>+SUM(CX23:DA23)</f>
        <v>277.92500000000001</v>
      </c>
      <c r="S23" s="1483">
        <f>+SUM(DB23:DE23)</f>
        <v>322.27800000000002</v>
      </c>
      <c r="T23" s="1483">
        <f>+SUM(DF23:DI23)</f>
        <v>348.53100000000001</v>
      </c>
      <c r="U23" s="1483">
        <f>+SUM(DJ23:DM23)</f>
        <v>462.54700000000003</v>
      </c>
      <c r="V23" s="1483">
        <f>+SUM(DN23:DQ23)</f>
        <v>502.59899999999999</v>
      </c>
      <c r="W23" s="1483">
        <f ca="1">+SUM(DR23:DU23)</f>
        <v>563.52009461522607</v>
      </c>
      <c r="X23" s="1483">
        <f ca="1">X24*(0.575)</f>
        <v>611.95805630502412</v>
      </c>
      <c r="Y23" s="1483">
        <f ca="1">Y24*(0.575)</f>
        <v>657.13339172897054</v>
      </c>
      <c r="Z23" s="1483">
        <f ca="1">Z24*(0.575)</f>
        <v>699.07369649391171</v>
      </c>
      <c r="AA23" s="1483">
        <f t="shared" ref="AA23:AD23" ca="1" si="54">AA24*(0.575)</f>
        <v>740.37264147475548</v>
      </c>
      <c r="AB23" s="1483">
        <f t="shared" ca="1" si="54"/>
        <v>781.00162377340996</v>
      </c>
      <c r="AC23" s="1483">
        <f t="shared" ca="1" si="54"/>
        <v>820.93903167534108</v>
      </c>
      <c r="AD23" s="1483">
        <f t="shared" ca="1" si="54"/>
        <v>860.16806869630125</v>
      </c>
      <c r="AE23" s="1483"/>
      <c r="AF23" s="1483"/>
      <c r="AG23" s="1540">
        <v>0.83499999999999996</v>
      </c>
      <c r="AH23" s="1540">
        <v>1.4130000000000003</v>
      </c>
      <c r="AI23" s="1540">
        <f>1.938-0.112</f>
        <v>1.8259999999999998</v>
      </c>
      <c r="AJ23" s="1540">
        <f>4.673-0.037-2.501</f>
        <v>2.1350000000000002</v>
      </c>
      <c r="AK23" s="1541">
        <f>SUM(AG23:AJ23)</f>
        <v>6.2089999999999996</v>
      </c>
      <c r="AL23" s="1540">
        <f>6.254-2.018-0.652</f>
        <v>3.5839999999999996</v>
      </c>
      <c r="AM23" s="1540">
        <f>15.915-4.828-0.655</f>
        <v>10.432</v>
      </c>
      <c r="AN23" s="1540">
        <f>16.198-7.515-0.652</f>
        <v>8.0310000000000006</v>
      </c>
      <c r="AO23" s="1540">
        <f>18.218-1.387-8.448</f>
        <v>8.3829999999999991</v>
      </c>
      <c r="AP23" s="1541">
        <f>SUM(AL23:AO23)</f>
        <v>30.43</v>
      </c>
      <c r="AQ23" s="1484">
        <f>18.676-1.425-6.825</f>
        <v>10.425999999999998</v>
      </c>
      <c r="AR23" s="1484">
        <f>15.716-2.184-4.076</f>
        <v>9.4559999999999995</v>
      </c>
      <c r="AS23" s="1484">
        <f>12.621-2.835-2.384</f>
        <v>7.402000000000001</v>
      </c>
      <c r="AT23" s="1484">
        <f>11.273-3.201-2.503</f>
        <v>5.5689999999999991</v>
      </c>
      <c r="AU23" s="1534">
        <f>SUM(AQ23:AT23)</f>
        <v>32.852999999999994</v>
      </c>
      <c r="AV23" s="1484">
        <f>6.741-2.057-1.159</f>
        <v>3.5249999999999995</v>
      </c>
      <c r="AW23" s="1484">
        <f>7.835-1.46-1.34</f>
        <v>5.0350000000000001</v>
      </c>
      <c r="AX23" s="1484">
        <f>8.159-1.88-1.225</f>
        <v>5.0540000000000003</v>
      </c>
      <c r="AY23" s="1484">
        <f>7.924-1.783-1.038</f>
        <v>5.1029999999999998</v>
      </c>
      <c r="AZ23" s="1534">
        <f>SUM(AV23:AY23)</f>
        <v>18.716999999999999</v>
      </c>
      <c r="BA23" s="1484">
        <f>10.924-2.705-0.805</f>
        <v>7.4139999999999997</v>
      </c>
      <c r="BB23" s="1484">
        <f>8.358-1.148-0.616</f>
        <v>6.5940000000000012</v>
      </c>
      <c r="BC23" s="1484">
        <f>7.068-1.016-0.447</f>
        <v>5.6049999999999995</v>
      </c>
      <c r="BD23" s="1484">
        <v>6.359</v>
      </c>
      <c r="BE23" s="1532">
        <f>SUM(BA23:BD23)</f>
        <v>25.972000000000001</v>
      </c>
      <c r="BF23" s="1484">
        <v>6.8049999999999997</v>
      </c>
      <c r="BG23" s="1484">
        <v>7.3310000000000004</v>
      </c>
      <c r="BH23" s="1484">
        <v>7.7560000000000002</v>
      </c>
      <c r="BI23" s="1484">
        <v>7.085</v>
      </c>
      <c r="BJ23" s="1532">
        <f>SUM(BF23:BI23)</f>
        <v>28.977</v>
      </c>
      <c r="BK23" s="1484">
        <v>8.0609999999999999</v>
      </c>
      <c r="BL23" s="1484">
        <v>8.4309999999999992</v>
      </c>
      <c r="BM23" s="1484">
        <v>10.492000000000001</v>
      </c>
      <c r="BN23" s="1484">
        <v>9.4459999999999997</v>
      </c>
      <c r="BO23" s="1481">
        <f>SUM(BK23:BN23)</f>
        <v>36.43</v>
      </c>
      <c r="BP23" s="1484">
        <v>11.471</v>
      </c>
      <c r="BQ23" s="1484">
        <v>11.332000000000001</v>
      </c>
      <c r="BR23" s="1484">
        <v>13.197000000000003</v>
      </c>
      <c r="BS23" s="1484">
        <v>12.77</v>
      </c>
      <c r="BT23" s="1481">
        <f>SUM(BP23:BS23)</f>
        <v>48.769999999999996</v>
      </c>
      <c r="BU23" s="1484">
        <v>14.365</v>
      </c>
      <c r="BV23" s="1484">
        <v>15.925000000000001</v>
      </c>
      <c r="BW23" s="1484">
        <v>15.62</v>
      </c>
      <c r="BX23" s="1484">
        <v>23.071999999999996</v>
      </c>
      <c r="BY23" s="1481">
        <f>SUM(BU23:BX23)</f>
        <v>68.981999999999999</v>
      </c>
      <c r="BZ23" s="1490">
        <v>22.710999999999999</v>
      </c>
      <c r="CA23" s="1490">
        <v>25.910999999999998</v>
      </c>
      <c r="CB23" s="1490">
        <v>24.079000000000001</v>
      </c>
      <c r="CC23" s="1490">
        <v>24.605999999999998</v>
      </c>
      <c r="CD23" s="1532">
        <f>SUM(BZ23:CC23)</f>
        <v>97.306999999999988</v>
      </c>
      <c r="CE23" s="1490">
        <v>25.268000000000001</v>
      </c>
      <c r="CF23" s="1490">
        <v>26.253</v>
      </c>
      <c r="CG23" s="1490">
        <v>28.138000000000002</v>
      </c>
      <c r="CH23" s="1490">
        <v>32.121000000000002</v>
      </c>
      <c r="CI23" s="1532">
        <f>SUM(CE23:CH23)</f>
        <v>111.78</v>
      </c>
      <c r="CJ23" s="1490">
        <v>31.108000000000001</v>
      </c>
      <c r="CK23" s="1490">
        <v>37.889000000000003</v>
      </c>
      <c r="CL23" s="1490">
        <v>43.113</v>
      </c>
      <c r="CM23" s="1490">
        <v>45.317999999999998</v>
      </c>
      <c r="CN23" s="1532">
        <f>SUM(CJ23:CM23)</f>
        <v>157.428</v>
      </c>
      <c r="CO23" s="1490">
        <v>46.018000000000001</v>
      </c>
      <c r="CP23" s="1485">
        <v>46.753</v>
      </c>
      <c r="CQ23" s="1485">
        <v>46.908999999999999</v>
      </c>
      <c r="CR23" s="1485">
        <v>52.591999999999999</v>
      </c>
      <c r="CS23" s="1483">
        <f>+SUM(CO23:CR23)</f>
        <v>192.27199999999999</v>
      </c>
      <c r="CT23" s="1485">
        <v>58.168999999999997</v>
      </c>
      <c r="CU23" s="1485">
        <v>59.069000000000003</v>
      </c>
      <c r="CV23" s="1485">
        <f>83.621-7.431-15.916</f>
        <v>60.274000000000001</v>
      </c>
      <c r="CW23" s="1485">
        <f>86.867-7.48-15.096</f>
        <v>64.290999999999997</v>
      </c>
      <c r="CX23" s="1485">
        <v>66.956000000000003</v>
      </c>
      <c r="CY23" s="1485">
        <v>65.984999999999999</v>
      </c>
      <c r="CZ23" s="1485">
        <v>72.355999999999995</v>
      </c>
      <c r="DA23" s="1485">
        <v>72.628</v>
      </c>
      <c r="DB23" s="1485">
        <v>79.617999999999995</v>
      </c>
      <c r="DC23" s="1485">
        <v>80.197999999999993</v>
      </c>
      <c r="DD23" s="1485">
        <v>81.686999999999998</v>
      </c>
      <c r="DE23" s="1485">
        <v>80.775000000000006</v>
      </c>
      <c r="DF23" s="1485">
        <v>81.475999999999999</v>
      </c>
      <c r="DG23" s="1485">
        <v>84.525999999999996</v>
      </c>
      <c r="DH23" s="1485">
        <v>85.236999999999995</v>
      </c>
      <c r="DI23" s="1485">
        <v>97.292000000000002</v>
      </c>
      <c r="DJ23" s="1485">
        <v>112.714</v>
      </c>
      <c r="DK23" s="1485">
        <v>110.11499999999999</v>
      </c>
      <c r="DL23" s="1485">
        <v>120.298</v>
      </c>
      <c r="DM23" s="1485">
        <v>119.42</v>
      </c>
      <c r="DN23" s="1485">
        <v>118.55</v>
      </c>
      <c r="DO23" s="1485">
        <v>123.02800000000001</v>
      </c>
      <c r="DP23" s="1485">
        <v>127.30200000000001</v>
      </c>
      <c r="DQ23" s="1485">
        <v>133.71899999999999</v>
      </c>
      <c r="DR23" s="1483">
        <f t="shared" ref="DR23:DU23" ca="1" si="55">DR24*0.575</f>
        <v>146.77989650572505</v>
      </c>
      <c r="DS23" s="1483">
        <f t="shared" ca="1" si="55"/>
        <v>138.61926514918952</v>
      </c>
      <c r="DT23" s="1483">
        <f t="shared" ca="1" si="55"/>
        <v>138.84953223258805</v>
      </c>
      <c r="DU23" s="1483">
        <f t="shared" ca="1" si="55"/>
        <v>139.27140072772352</v>
      </c>
      <c r="DV23" s="54"/>
      <c r="DW23" s="54"/>
      <c r="DX23" s="54"/>
      <c r="DY23" s="54"/>
    </row>
    <row r="24" spans="2:129" customFormat="1">
      <c r="B24" s="123" t="s">
        <v>1428</v>
      </c>
      <c r="C24" s="123"/>
      <c r="D24" s="829">
        <f t="shared" ref="D24:P24" si="56">SUM(D22:D23)</f>
        <v>9.8170000000000002</v>
      </c>
      <c r="E24" s="829">
        <f t="shared" si="56"/>
        <v>44.250999999999998</v>
      </c>
      <c r="F24" s="829">
        <f t="shared" si="56"/>
        <v>46.957999999999998</v>
      </c>
      <c r="G24" s="829">
        <f t="shared" si="56"/>
        <v>33.012</v>
      </c>
      <c r="H24" s="829">
        <f t="shared" si="56"/>
        <v>43.067999999999998</v>
      </c>
      <c r="I24" s="829">
        <f t="shared" si="56"/>
        <v>45.619</v>
      </c>
      <c r="J24" s="829">
        <f t="shared" si="56"/>
        <v>55.361000000000004</v>
      </c>
      <c r="K24" s="829">
        <f t="shared" si="56"/>
        <v>73.88</v>
      </c>
      <c r="L24" s="901">
        <f t="shared" si="56"/>
        <v>98.640999999999991</v>
      </c>
      <c r="M24" s="901">
        <f t="shared" si="56"/>
        <v>147.524</v>
      </c>
      <c r="N24" s="1491">
        <f t="shared" si="56"/>
        <v>159.321</v>
      </c>
      <c r="O24" s="1491">
        <f t="shared" si="56"/>
        <v>244.465</v>
      </c>
      <c r="P24" s="1491">
        <f t="shared" si="56"/>
        <v>320.226</v>
      </c>
      <c r="Q24" s="1491">
        <f t="shared" ref="Q24:V24" si="57">SUM(Q22:Q23)</f>
        <v>404.72699999999998</v>
      </c>
      <c r="R24" s="1491">
        <f t="shared" si="57"/>
        <v>473.04200000000003</v>
      </c>
      <c r="S24" s="1491">
        <f t="shared" si="57"/>
        <v>562.33199999999999</v>
      </c>
      <c r="T24" s="1491">
        <f t="shared" si="57"/>
        <v>617.80100000000004</v>
      </c>
      <c r="U24" s="1491">
        <f t="shared" si="57"/>
        <v>785.02099999999996</v>
      </c>
      <c r="V24" s="1491">
        <f t="shared" si="57"/>
        <v>883.22199999999998</v>
      </c>
      <c r="W24" s="1491">
        <f t="shared" ref="W24" ca="1" si="58">SUM(W22:W23)</f>
        <v>980.034947156915</v>
      </c>
      <c r="X24" s="1491">
        <f t="shared" ref="X24:AD24" ca="1" si="59">X110*X15/100</f>
        <v>1064.2748805304768</v>
      </c>
      <c r="Y24" s="1491">
        <f t="shared" ca="1" si="59"/>
        <v>1142.8406812677749</v>
      </c>
      <c r="Z24" s="1491">
        <f t="shared" ca="1" si="59"/>
        <v>1215.7803417285422</v>
      </c>
      <c r="AA24" s="1491">
        <f t="shared" ca="1" si="59"/>
        <v>1287.60459386914</v>
      </c>
      <c r="AB24" s="1491">
        <f t="shared" ca="1" si="59"/>
        <v>1358.2636935189739</v>
      </c>
      <c r="AC24" s="1491">
        <f t="shared" ca="1" si="59"/>
        <v>1427.7200550875498</v>
      </c>
      <c r="AD24" s="1491">
        <f t="shared" ca="1" si="59"/>
        <v>1495.9444672979153</v>
      </c>
      <c r="AE24" s="1491"/>
      <c r="AF24" s="1483"/>
      <c r="AG24" s="1525">
        <f t="shared" ref="AG24:BL24" si="60">SUM(AG22:AG23)</f>
        <v>0.95</v>
      </c>
      <c r="AH24" s="1525">
        <f t="shared" si="60"/>
        <v>1.9490000000000003</v>
      </c>
      <c r="AI24" s="1525">
        <f t="shared" si="60"/>
        <v>2.6789999999999998</v>
      </c>
      <c r="AJ24" s="1525">
        <f t="shared" si="60"/>
        <v>4.2390000000000008</v>
      </c>
      <c r="AK24" s="1543">
        <f t="shared" si="60"/>
        <v>9.8170000000000002</v>
      </c>
      <c r="AL24" s="1525">
        <f t="shared" si="60"/>
        <v>6.7419999999999991</v>
      </c>
      <c r="AM24" s="1525">
        <f t="shared" si="60"/>
        <v>13.012</v>
      </c>
      <c r="AN24" s="1525">
        <f t="shared" si="60"/>
        <v>10.726000000000001</v>
      </c>
      <c r="AO24" s="1525">
        <f t="shared" si="60"/>
        <v>13.770999999999999</v>
      </c>
      <c r="AP24" s="1543">
        <f t="shared" si="60"/>
        <v>44.250999999999998</v>
      </c>
      <c r="AQ24" s="1525">
        <f t="shared" si="60"/>
        <v>14.567999999999998</v>
      </c>
      <c r="AR24" s="1525">
        <f t="shared" si="60"/>
        <v>12.757999999999999</v>
      </c>
      <c r="AS24" s="1525">
        <f t="shared" si="60"/>
        <v>10.888000000000002</v>
      </c>
      <c r="AT24" s="1525">
        <f t="shared" si="60"/>
        <v>8.7439999999999998</v>
      </c>
      <c r="AU24" s="1543">
        <f t="shared" si="60"/>
        <v>46.957999999999998</v>
      </c>
      <c r="AV24" s="1525">
        <f t="shared" si="60"/>
        <v>7.2619999999999996</v>
      </c>
      <c r="AW24" s="1525">
        <f t="shared" si="60"/>
        <v>9.9939999999999998</v>
      </c>
      <c r="AX24" s="1525">
        <f t="shared" si="60"/>
        <v>7.7240000000000002</v>
      </c>
      <c r="AY24" s="1525">
        <f t="shared" si="60"/>
        <v>8.032</v>
      </c>
      <c r="AZ24" s="1543">
        <f t="shared" si="60"/>
        <v>33.012</v>
      </c>
      <c r="BA24" s="1525">
        <f t="shared" si="60"/>
        <v>11.478999999999999</v>
      </c>
      <c r="BB24" s="1525">
        <f t="shared" si="60"/>
        <v>10.690000000000001</v>
      </c>
      <c r="BC24" s="1525">
        <f t="shared" si="60"/>
        <v>9.8490000000000002</v>
      </c>
      <c r="BD24" s="1525">
        <f t="shared" si="60"/>
        <v>11.05</v>
      </c>
      <c r="BE24" s="1543">
        <f t="shared" si="60"/>
        <v>43.067999999999998</v>
      </c>
      <c r="BF24" s="1525">
        <f t="shared" si="60"/>
        <v>10.943</v>
      </c>
      <c r="BG24" s="1525">
        <f t="shared" si="60"/>
        <v>11.263999999999999</v>
      </c>
      <c r="BH24" s="1525">
        <f t="shared" si="60"/>
        <v>11.714</v>
      </c>
      <c r="BI24" s="1525">
        <f t="shared" si="60"/>
        <v>11.698</v>
      </c>
      <c r="BJ24" s="1543">
        <f t="shared" si="60"/>
        <v>45.619</v>
      </c>
      <c r="BK24" s="1525">
        <f t="shared" si="60"/>
        <v>12.417999999999999</v>
      </c>
      <c r="BL24" s="1525">
        <f t="shared" si="60"/>
        <v>13.106999999999999</v>
      </c>
      <c r="BM24" s="1525">
        <f t="shared" ref="BM24:DB24" si="61">SUM(BM22:BM23)</f>
        <v>15.058</v>
      </c>
      <c r="BN24" s="1525">
        <f t="shared" si="61"/>
        <v>14.777999999999999</v>
      </c>
      <c r="BO24" s="1543">
        <f t="shared" si="61"/>
        <v>55.361000000000004</v>
      </c>
      <c r="BP24" s="1525">
        <f t="shared" si="61"/>
        <v>16.762</v>
      </c>
      <c r="BQ24" s="1525">
        <f t="shared" si="61"/>
        <v>17.664999999999999</v>
      </c>
      <c r="BR24" s="1525">
        <f t="shared" si="61"/>
        <v>19.061000000000003</v>
      </c>
      <c r="BS24" s="1525">
        <f t="shared" si="61"/>
        <v>20.391999999999999</v>
      </c>
      <c r="BT24" s="1543">
        <f t="shared" si="61"/>
        <v>73.88</v>
      </c>
      <c r="BU24" s="1525">
        <f t="shared" si="61"/>
        <v>20.8</v>
      </c>
      <c r="BV24" s="1525">
        <f t="shared" si="61"/>
        <v>22.786999999999999</v>
      </c>
      <c r="BW24" s="1525">
        <f t="shared" si="61"/>
        <v>22.902999999999999</v>
      </c>
      <c r="BX24" s="1525">
        <f t="shared" si="61"/>
        <v>32.150999999999996</v>
      </c>
      <c r="BY24" s="1543">
        <f t="shared" si="61"/>
        <v>98.640999999999991</v>
      </c>
      <c r="BZ24" s="1491">
        <f t="shared" si="61"/>
        <v>34.188000000000002</v>
      </c>
      <c r="CA24" s="1491">
        <f t="shared" si="61"/>
        <v>36.821999999999996</v>
      </c>
      <c r="CB24" s="1491">
        <f t="shared" si="61"/>
        <v>36.161000000000001</v>
      </c>
      <c r="CC24" s="1491">
        <f t="shared" si="61"/>
        <v>40.352999999999994</v>
      </c>
      <c r="CD24" s="1534">
        <f t="shared" si="61"/>
        <v>147.524</v>
      </c>
      <c r="CE24" s="1491">
        <f t="shared" si="61"/>
        <v>35.914000000000001</v>
      </c>
      <c r="CF24" s="1491">
        <f t="shared" si="61"/>
        <v>38.457000000000001</v>
      </c>
      <c r="CG24" s="1491">
        <f t="shared" si="61"/>
        <v>39.591000000000001</v>
      </c>
      <c r="CH24" s="1491">
        <f t="shared" si="61"/>
        <v>45.359000000000002</v>
      </c>
      <c r="CI24" s="1534">
        <f t="shared" si="61"/>
        <v>159.321</v>
      </c>
      <c r="CJ24" s="1491">
        <f t="shared" si="61"/>
        <v>46.292999999999999</v>
      </c>
      <c r="CK24" s="1491">
        <f t="shared" si="61"/>
        <v>60.047000000000004</v>
      </c>
      <c r="CL24" s="1491">
        <f t="shared" si="61"/>
        <v>67.283999999999992</v>
      </c>
      <c r="CM24" s="1491">
        <f t="shared" si="61"/>
        <v>70.840999999999994</v>
      </c>
      <c r="CN24" s="1534">
        <f t="shared" si="61"/>
        <v>244.465</v>
      </c>
      <c r="CO24" s="1491">
        <f t="shared" si="61"/>
        <v>73.122</v>
      </c>
      <c r="CP24" s="1491">
        <f t="shared" si="61"/>
        <v>76.013999999999996</v>
      </c>
      <c r="CQ24" s="1491">
        <f t="shared" si="61"/>
        <v>81.412999999999997</v>
      </c>
      <c r="CR24" s="1491">
        <f t="shared" si="61"/>
        <v>89.676999999999992</v>
      </c>
      <c r="CS24" s="1534">
        <f>SUM(CS22:CS23)</f>
        <v>320.226</v>
      </c>
      <c r="CT24" s="1491">
        <f t="shared" si="61"/>
        <v>96.287999999999997</v>
      </c>
      <c r="CU24" s="1491">
        <f t="shared" si="61"/>
        <v>97.75800000000001</v>
      </c>
      <c r="CV24" s="1491">
        <f t="shared" si="61"/>
        <v>102.39400000000001</v>
      </c>
      <c r="CW24" s="1491">
        <f t="shared" si="61"/>
        <v>108.28699999999999</v>
      </c>
      <c r="CX24" s="1491">
        <f t="shared" si="61"/>
        <v>113.236</v>
      </c>
      <c r="CY24" s="1491">
        <f t="shared" si="61"/>
        <v>112.41499999999999</v>
      </c>
      <c r="CZ24" s="1491">
        <f t="shared" si="61"/>
        <v>120.52799999999999</v>
      </c>
      <c r="DA24" s="1491">
        <f t="shared" si="61"/>
        <v>126.863</v>
      </c>
      <c r="DB24" s="1491">
        <f t="shared" si="61"/>
        <v>135.417</v>
      </c>
      <c r="DC24" s="1491">
        <f t="shared" ref="DC24:DH24" si="62">SUM(DC22:DC23)</f>
        <v>138.983</v>
      </c>
      <c r="DD24" s="1491">
        <f t="shared" si="62"/>
        <v>140.12099999999998</v>
      </c>
      <c r="DE24" s="1491">
        <f t="shared" si="62"/>
        <v>147.81100000000001</v>
      </c>
      <c r="DF24" s="1491">
        <f t="shared" si="62"/>
        <v>145.29599999999999</v>
      </c>
      <c r="DG24" s="1491">
        <f t="shared" si="62"/>
        <v>149.584</v>
      </c>
      <c r="DH24" s="1491">
        <f t="shared" si="62"/>
        <v>153.56</v>
      </c>
      <c r="DI24" s="1491">
        <f t="shared" ref="DI24:DN24" si="63">SUM(DI22:DI23)</f>
        <v>169.36099999999999</v>
      </c>
      <c r="DJ24" s="1491">
        <f t="shared" si="63"/>
        <v>192.40600000000001</v>
      </c>
      <c r="DK24" s="1491">
        <f t="shared" si="63"/>
        <v>188.18599999999998</v>
      </c>
      <c r="DL24" s="1491">
        <f t="shared" si="63"/>
        <v>199.81299999999999</v>
      </c>
      <c r="DM24" s="1491">
        <f t="shared" si="63"/>
        <v>204.61599999999999</v>
      </c>
      <c r="DN24" s="1491">
        <f t="shared" si="63"/>
        <v>218.411</v>
      </c>
      <c r="DO24" s="1491">
        <f t="shared" ref="DO24:DP24" si="64">SUM(DO22:DO23)</f>
        <v>212.64400000000001</v>
      </c>
      <c r="DP24" s="1491">
        <f t="shared" si="64"/>
        <v>224.17500000000001</v>
      </c>
      <c r="DQ24" s="1491">
        <f t="shared" ref="DQ24" si="65">SUM(DQ22:DQ23)</f>
        <v>227.99199999999999</v>
      </c>
      <c r="DR24" s="1491">
        <f ca="1">DR110*DR15/100</f>
        <v>255.26938522734795</v>
      </c>
      <c r="DS24" s="1491">
        <f ca="1">DS110*DS15/100</f>
        <v>241.07698286815568</v>
      </c>
      <c r="DT24" s="1491">
        <f ca="1">DT110*DT15/100</f>
        <v>241.47744736102271</v>
      </c>
      <c r="DU24" s="1491">
        <f ca="1">DU110*DU15/100</f>
        <v>242.21113170038873</v>
      </c>
      <c r="DV24" s="54"/>
      <c r="DW24" s="54"/>
      <c r="DX24" s="54"/>
      <c r="DY24" s="54"/>
    </row>
    <row r="25" spans="2:129" customFormat="1" ht="12.75" hidden="1" customHeight="1" outlineLevel="1">
      <c r="B25" s="123"/>
      <c r="C25" s="23"/>
      <c r="D25" s="15"/>
      <c r="E25" s="54"/>
      <c r="F25" s="54"/>
      <c r="G25" s="54"/>
      <c r="H25" s="54"/>
      <c r="I25" s="54"/>
      <c r="J25" s="54"/>
      <c r="K25" s="54"/>
      <c r="L25" s="54"/>
      <c r="M25" s="54"/>
      <c r="N25" s="1483"/>
      <c r="O25" s="1483"/>
      <c r="P25" s="1483"/>
      <c r="Q25" s="1483"/>
      <c r="R25" s="1483"/>
      <c r="S25" s="1483"/>
      <c r="T25" s="1483"/>
      <c r="U25" s="1483"/>
      <c r="V25" s="1483"/>
      <c r="W25" s="1483"/>
      <c r="X25" s="1483"/>
      <c r="Y25" s="1483"/>
      <c r="Z25" s="1483"/>
      <c r="AA25" s="1483"/>
      <c r="AB25" s="1483"/>
      <c r="AC25" s="1483"/>
      <c r="AD25" s="1483"/>
      <c r="AE25" s="1483"/>
      <c r="AF25" s="1483"/>
      <c r="AG25" s="1483"/>
      <c r="AH25" s="1483"/>
      <c r="AI25" s="1483"/>
      <c r="AJ25" s="1491"/>
      <c r="AK25" s="1532"/>
      <c r="AL25" s="1484"/>
      <c r="AM25" s="1484"/>
      <c r="AN25" s="1484"/>
      <c r="AO25" s="1484"/>
      <c r="AP25" s="1532"/>
      <c r="AQ25" s="1484"/>
      <c r="AR25" s="1484"/>
      <c r="AS25" s="1484"/>
      <c r="AT25" s="1484"/>
      <c r="AU25" s="1533"/>
      <c r="AV25" s="1484"/>
      <c r="AW25" s="1484"/>
      <c r="AX25" s="1484"/>
      <c r="AY25" s="1484"/>
      <c r="AZ25" s="1533"/>
      <c r="BA25" s="1484"/>
      <c r="BB25" s="1484"/>
      <c r="BC25" s="1484"/>
      <c r="BD25" s="1484"/>
      <c r="BE25" s="1533"/>
      <c r="BF25" s="1484"/>
      <c r="BG25" s="1484"/>
      <c r="BH25" s="1484"/>
      <c r="BI25" s="1484"/>
      <c r="BJ25" s="1533"/>
      <c r="BK25" s="1484"/>
      <c r="BL25" s="1484"/>
      <c r="BM25" s="1484"/>
      <c r="BN25" s="1484"/>
      <c r="BO25" s="1533"/>
      <c r="BP25" s="1484"/>
      <c r="BQ25" s="1544"/>
      <c r="BR25" s="1484"/>
      <c r="BS25" s="1484"/>
      <c r="BT25" s="1533"/>
      <c r="BU25" s="1544"/>
      <c r="BV25" s="1484"/>
      <c r="BW25" s="1484"/>
      <c r="BX25" s="1484"/>
      <c r="BY25" s="1533"/>
      <c r="BZ25" s="1483"/>
      <c r="CA25" s="1483"/>
      <c r="CB25" s="1483"/>
      <c r="CC25" s="1483"/>
      <c r="CD25" s="1532"/>
      <c r="CE25" s="1483"/>
      <c r="CF25" s="1544"/>
      <c r="CG25" s="1483"/>
      <c r="CH25" s="1483"/>
      <c r="CI25" s="1532"/>
      <c r="CJ25" s="1483"/>
      <c r="CK25" s="1483"/>
      <c r="CL25" s="1483"/>
      <c r="CM25" s="1483"/>
      <c r="CN25" s="1481"/>
      <c r="CO25" s="1483"/>
      <c r="CP25" s="1483"/>
      <c r="CQ25" s="1483"/>
      <c r="CR25" s="1483"/>
      <c r="CS25" s="1481"/>
      <c r="CT25" s="1483"/>
      <c r="CU25" s="1483"/>
      <c r="CV25" s="1483"/>
      <c r="CW25" s="1483"/>
      <c r="CX25" s="1483"/>
      <c r="CY25" s="1483"/>
      <c r="CZ25" s="1483"/>
      <c r="DA25" s="1483"/>
      <c r="DB25" s="1483"/>
      <c r="DC25" s="1483"/>
      <c r="DD25" s="1483"/>
      <c r="DE25" s="1483"/>
      <c r="DF25" s="1483"/>
      <c r="DG25" s="1483"/>
      <c r="DH25" s="1483"/>
      <c r="DI25" s="1483"/>
      <c r="DJ25" s="1483"/>
      <c r="DK25" s="1483"/>
      <c r="DL25" s="1483"/>
      <c r="DM25" s="1483"/>
      <c r="DN25" s="1483"/>
      <c r="DO25" s="1483"/>
      <c r="DP25" s="1483"/>
      <c r="DQ25" s="1483"/>
      <c r="DR25" s="1483"/>
      <c r="DS25" s="1483"/>
      <c r="DT25" s="1483"/>
      <c r="DU25" s="1483"/>
      <c r="DV25" s="54"/>
      <c r="DW25" s="54"/>
      <c r="DX25" s="15"/>
      <c r="DY25" s="15"/>
    </row>
    <row r="26" spans="2:129" customFormat="1" hidden="1" outlineLevel="1">
      <c r="B26" s="17" t="s">
        <v>292</v>
      </c>
      <c r="C26" s="23"/>
      <c r="D26" s="26">
        <f>AK26</f>
        <v>6.6270000000000007</v>
      </c>
      <c r="E26" s="26">
        <f>AP26</f>
        <v>29.893000000000001</v>
      </c>
      <c r="F26" s="54">
        <f>AU26</f>
        <v>19.044</v>
      </c>
      <c r="G26" s="54">
        <f>AZ26</f>
        <v>6.8780000000000001</v>
      </c>
      <c r="H26" s="54">
        <f>BE26</f>
        <v>2.9050000000000002</v>
      </c>
      <c r="I26" s="54">
        <f>BJ26</f>
        <v>1.4670000000000001</v>
      </c>
      <c r="J26" s="54">
        <f>BO26</f>
        <v>8.277000000000001</v>
      </c>
      <c r="K26" s="54">
        <f>BT26</f>
        <v>30.766999999999999</v>
      </c>
      <c r="L26" s="54">
        <f>BY26</f>
        <v>42.731000000000002</v>
      </c>
      <c r="M26" s="54">
        <f>CD26</f>
        <v>55.085000000000001</v>
      </c>
      <c r="N26" s="1483">
        <f>CI26</f>
        <v>53.055999999999997</v>
      </c>
      <c r="O26" s="1483">
        <f>CN26</f>
        <v>67.242999999999995</v>
      </c>
      <c r="P26" s="1483">
        <f>CS26</f>
        <v>71.137</v>
      </c>
      <c r="Q26" s="1483">
        <f>+SUM(CT26:CW26)</f>
        <v>82.734999999999999</v>
      </c>
      <c r="R26" s="1483">
        <f>+SUM(CX26:DA26)</f>
        <v>102.94</v>
      </c>
      <c r="S26" s="1483">
        <f>+SUM(DB26:DE26)</f>
        <v>117.99</v>
      </c>
      <c r="T26" s="1483">
        <f>+SUM(DF26:DI26)</f>
        <v>133.63299999999998</v>
      </c>
      <c r="U26" s="1483">
        <f>+SUM(DJ26:DM26)</f>
        <v>156.148</v>
      </c>
      <c r="V26" s="1483">
        <f t="shared" ref="V26:W30" si="66">+SUM(DN26:DQ26)</f>
        <v>175.5</v>
      </c>
      <c r="W26" s="1483">
        <f t="shared" ca="1" si="66"/>
        <v>183.66190824830562</v>
      </c>
      <c r="X26" s="1483">
        <f t="shared" ref="X26:AD26" ca="1" si="67">+W26/W15*X15</f>
        <v>200.47958950406345</v>
      </c>
      <c r="Y26" s="1483">
        <f t="shared" ca="1" si="67"/>
        <v>216.39761393542778</v>
      </c>
      <c r="Z26" s="1483">
        <f t="shared" ca="1" si="67"/>
        <v>231.411021354578</v>
      </c>
      <c r="AA26" s="1483">
        <f t="shared" ca="1" si="67"/>
        <v>246.36864239148056</v>
      </c>
      <c r="AB26" s="1483">
        <f t="shared" ca="1" si="67"/>
        <v>261.26002559100311</v>
      </c>
      <c r="AC26" s="1483">
        <f t="shared" ca="1" si="67"/>
        <v>276.07684879036162</v>
      </c>
      <c r="AD26" s="1483">
        <f t="shared" ca="1" si="67"/>
        <v>290.81224024211429</v>
      </c>
      <c r="AE26" s="1483"/>
      <c r="AF26" s="1483"/>
      <c r="AG26" s="1540">
        <v>0.375</v>
      </c>
      <c r="AH26" s="1540">
        <v>0.74900000000000011</v>
      </c>
      <c r="AI26" s="1540">
        <v>2.8980000000000001</v>
      </c>
      <c r="AJ26" s="1540">
        <v>2.605</v>
      </c>
      <c r="AK26" s="1541">
        <f>SUM(AG26:AJ26)</f>
        <v>6.6270000000000007</v>
      </c>
      <c r="AL26" s="1540">
        <v>3.4820000000000002</v>
      </c>
      <c r="AM26" s="1540">
        <v>6.548</v>
      </c>
      <c r="AN26" s="1540">
        <v>10.086</v>
      </c>
      <c r="AO26" s="1540">
        <v>9.777000000000001</v>
      </c>
      <c r="AP26" s="1541">
        <f>SUM(AL26:AO26)</f>
        <v>29.893000000000001</v>
      </c>
      <c r="AQ26" s="1484">
        <v>8.1489999999999991</v>
      </c>
      <c r="AR26" s="1484">
        <v>4.9930000000000003</v>
      </c>
      <c r="AS26" s="1484">
        <v>2.899</v>
      </c>
      <c r="AT26" s="1484">
        <v>3.0030000000000001</v>
      </c>
      <c r="AU26" s="1534">
        <f>SUM(AQ26:AT26)</f>
        <v>19.044</v>
      </c>
      <c r="AV26" s="1484">
        <v>2.581</v>
      </c>
      <c r="AW26" s="1484">
        <v>1.5669999999999999</v>
      </c>
      <c r="AX26" s="1484">
        <v>1.492</v>
      </c>
      <c r="AY26" s="1484">
        <v>1.238</v>
      </c>
      <c r="AZ26" s="1534">
        <f>SUM(AV26:AY26)</f>
        <v>6.8780000000000001</v>
      </c>
      <c r="BA26" s="1484">
        <v>0.95799999999999996</v>
      </c>
      <c r="BB26" s="1484">
        <v>0.71</v>
      </c>
      <c r="BC26" s="1484">
        <v>0.49199999999999999</v>
      </c>
      <c r="BD26" s="1484">
        <v>0.745</v>
      </c>
      <c r="BE26" s="1532">
        <f>SUM(BA26:BD26)</f>
        <v>2.9050000000000002</v>
      </c>
      <c r="BF26" s="1484">
        <v>0.67700000000000005</v>
      </c>
      <c r="BG26" s="1484">
        <v>0.183</v>
      </c>
      <c r="BH26" s="1484">
        <v>0.159</v>
      </c>
      <c r="BI26" s="1484">
        <v>0.44800000000000001</v>
      </c>
      <c r="BJ26" s="1532">
        <f>SUM(BF26:BI26)</f>
        <v>1.4670000000000001</v>
      </c>
      <c r="BK26" s="1484">
        <v>2.444</v>
      </c>
      <c r="BL26" s="1484">
        <v>2.4889999999999999</v>
      </c>
      <c r="BM26" s="1484">
        <v>1.3580000000000001</v>
      </c>
      <c r="BN26" s="1484">
        <v>1.986</v>
      </c>
      <c r="BO26" s="1481">
        <f>SUM(BK26:BN26)</f>
        <v>8.277000000000001</v>
      </c>
      <c r="BP26" s="1484">
        <v>7.7579999999999991</v>
      </c>
      <c r="BQ26" s="1484">
        <v>8.8970000000000002</v>
      </c>
      <c r="BR26" s="1484">
        <v>6.8849999999999998</v>
      </c>
      <c r="BS26" s="1484">
        <v>7.2270000000000003</v>
      </c>
      <c r="BT26" s="1481">
        <f>SUM(BP26:BS26)</f>
        <v>30.766999999999999</v>
      </c>
      <c r="BU26" s="1484">
        <v>10.498000000000001</v>
      </c>
      <c r="BV26" s="1484">
        <v>10.045</v>
      </c>
      <c r="BW26" s="1484">
        <v>10.489000000000001</v>
      </c>
      <c r="BX26" s="1484">
        <v>11.699</v>
      </c>
      <c r="BY26" s="1481">
        <f>SUM(BU26:BX26)</f>
        <v>42.731000000000002</v>
      </c>
      <c r="BZ26" s="1484">
        <v>12.341000000000001</v>
      </c>
      <c r="CA26" s="1484">
        <v>17.048000000000002</v>
      </c>
      <c r="CB26" s="1484">
        <v>12.561999999999999</v>
      </c>
      <c r="CC26" s="1484">
        <v>13.134</v>
      </c>
      <c r="CD26" s="1481">
        <f>SUM(BZ26:CC26)</f>
        <v>55.085000000000001</v>
      </c>
      <c r="CE26" s="1484">
        <v>11.538</v>
      </c>
      <c r="CF26" s="1484">
        <v>13.459</v>
      </c>
      <c r="CG26" s="1484">
        <v>14.032999999999999</v>
      </c>
      <c r="CH26" s="1484">
        <v>14.026</v>
      </c>
      <c r="CI26" s="1532">
        <f>SUM(CE26:CH26)</f>
        <v>53.055999999999997</v>
      </c>
      <c r="CJ26" s="1490">
        <v>14.974</v>
      </c>
      <c r="CK26" s="1658">
        <f>18.096-Rev!BU316</f>
        <v>18.065000000000001</v>
      </c>
      <c r="CL26" s="1658">
        <f>16.95-Rev!BV316</f>
        <v>16.901</v>
      </c>
      <c r="CM26" s="1658">
        <f>17.469-Rev!BW316</f>
        <v>17.303000000000001</v>
      </c>
      <c r="CN26" s="1481">
        <f>SUM(CJ26:CM26)</f>
        <v>67.242999999999995</v>
      </c>
      <c r="CO26" s="1658">
        <f>15.535-Rev!BX316</f>
        <v>15.445</v>
      </c>
      <c r="CP26" s="1658">
        <f>18.318-Rev!BY316</f>
        <v>18.215</v>
      </c>
      <c r="CQ26" s="1658">
        <f>19.207-Rev!BZ316</f>
        <v>19.102</v>
      </c>
      <c r="CR26" s="1658">
        <f>18.472-Rev!CA316</f>
        <v>18.375</v>
      </c>
      <c r="CS26" s="1481">
        <f>SUM(CO26:CR26)</f>
        <v>71.137</v>
      </c>
      <c r="CT26" s="1485">
        <f>1.317+4.035+13.529</f>
        <v>18.881</v>
      </c>
      <c r="CU26" s="1485">
        <f>1.534+4.675+13.908</f>
        <v>20.116999999999997</v>
      </c>
      <c r="CV26" s="1485">
        <f>1.726+4.795+15.585</f>
        <v>22.106000000000002</v>
      </c>
      <c r="CW26" s="1485">
        <f>1.641+5.225+14.765</f>
        <v>21.631</v>
      </c>
      <c r="CX26" s="1485">
        <f>1.602+5.721+16.513</f>
        <v>23.836000000000002</v>
      </c>
      <c r="CY26" s="1485">
        <f>1.794+6.825+15.575</f>
        <v>24.193999999999999</v>
      </c>
      <c r="CZ26" s="1485">
        <f>2.27+7.25+17.76</f>
        <v>27.28</v>
      </c>
      <c r="DA26" s="1485">
        <f>2.189+6.742+18.699</f>
        <v>27.630000000000003</v>
      </c>
      <c r="DB26" s="1485">
        <f>1.87+7+16.111</f>
        <v>24.981000000000002</v>
      </c>
      <c r="DC26" s="1485">
        <f>2.228+7.943+23.659</f>
        <v>33.83</v>
      </c>
      <c r="DD26" s="1485">
        <f>2.145+7.256+18.261</f>
        <v>27.661999999999999</v>
      </c>
      <c r="DE26" s="1485">
        <v>31.516999999999999</v>
      </c>
      <c r="DF26" s="1485">
        <f>2.306+8.711+19.596</f>
        <v>30.613</v>
      </c>
      <c r="DG26" s="1485">
        <f>2.551+9.922+21.52</f>
        <v>33.993000000000002</v>
      </c>
      <c r="DH26" s="1485">
        <f>2.514+9.173+22.282</f>
        <v>33.969000000000001</v>
      </c>
      <c r="DI26" s="1485">
        <f>2.507+9.041+23.51</f>
        <v>35.058</v>
      </c>
      <c r="DJ26" s="1485">
        <f>2.997+9.771+21.747</f>
        <v>34.515000000000001</v>
      </c>
      <c r="DK26" s="1485">
        <f>3.441+10.714+25.168</f>
        <v>39.323</v>
      </c>
      <c r="DL26" s="1485">
        <f>3.316+11.702+27.455</f>
        <v>42.472999999999999</v>
      </c>
      <c r="DM26" s="1485">
        <f>28.312+6.884+4.641</f>
        <v>39.836999999999996</v>
      </c>
      <c r="DN26" s="1485">
        <v>38.323</v>
      </c>
      <c r="DO26" s="1485">
        <v>45.625</v>
      </c>
      <c r="DP26" s="1485">
        <v>45.654000000000003</v>
      </c>
      <c r="DQ26" s="1485">
        <v>45.898000000000003</v>
      </c>
      <c r="DR26" s="1483">
        <f ca="1">+DQ26/DQ15*DR15</f>
        <v>46.484908248305615</v>
      </c>
      <c r="DS26" s="1483">
        <f ca="1">+DR26/DR15*DS15</f>
        <v>47.423407399783812</v>
      </c>
      <c r="DT26" s="1483">
        <f ca="1">+DS26/DS15*DT15</f>
        <v>48.716952535251529</v>
      </c>
      <c r="DU26" s="1483">
        <f ca="1">+DT26/DT15*DU15</f>
        <v>50.078659860281405</v>
      </c>
      <c r="DV26" s="54"/>
      <c r="DW26" s="54"/>
      <c r="DX26" s="26"/>
      <c r="DY26" s="26"/>
    </row>
    <row r="27" spans="2:129" customFormat="1" hidden="1" outlineLevel="1">
      <c r="B27" s="17" t="s">
        <v>293</v>
      </c>
      <c r="C27" s="907"/>
      <c r="D27" s="26">
        <f>AK27</f>
        <v>0</v>
      </c>
      <c r="E27" s="26">
        <f>AP27</f>
        <v>0</v>
      </c>
      <c r="F27" s="54">
        <f>AU27</f>
        <v>48.564999999999998</v>
      </c>
      <c r="G27" s="54">
        <f>AZ27</f>
        <v>28.885000000000002</v>
      </c>
      <c r="H27" s="54">
        <f>BE27</f>
        <v>0</v>
      </c>
      <c r="I27" s="54">
        <f>BJ27</f>
        <v>17.684999999999999</v>
      </c>
      <c r="J27" s="54">
        <f>BO27</f>
        <v>33.814</v>
      </c>
      <c r="K27" s="54">
        <f>BT27</f>
        <v>1.5269999999999999</v>
      </c>
      <c r="L27" s="54">
        <f>BY27</f>
        <v>0.40699999999999997</v>
      </c>
      <c r="M27" s="54">
        <f>CD27</f>
        <v>3.1419999999999999</v>
      </c>
      <c r="N27" s="1483">
        <f>CI27</f>
        <v>-6.0529999999999999</v>
      </c>
      <c r="O27" s="1483">
        <f>CN27</f>
        <v>6.734</v>
      </c>
      <c r="P27" s="1483">
        <f>CS27</f>
        <v>3.4809999999999999</v>
      </c>
      <c r="Q27" s="1490">
        <f>+SUM(CT27:CW27)</f>
        <v>0</v>
      </c>
      <c r="R27" s="1490">
        <f>+SUM(CX27:DA27)</f>
        <v>-4.8369999999999997</v>
      </c>
      <c r="S27" s="1490">
        <f>+SUM(DB27:DE27)</f>
        <v>1.9259999999999999</v>
      </c>
      <c r="T27" s="1490">
        <f>+SUM(DF27:DI27)</f>
        <v>0</v>
      </c>
      <c r="U27" s="1490">
        <f>+SUM(DJ27:DM27)</f>
        <v>0</v>
      </c>
      <c r="V27" s="1483">
        <f t="shared" si="66"/>
        <v>0</v>
      </c>
      <c r="W27" s="1483">
        <f t="shared" si="66"/>
        <v>0</v>
      </c>
      <c r="X27" s="1484">
        <f t="shared" ref="X27:Y30" si="68">W27</f>
        <v>0</v>
      </c>
      <c r="Y27" s="1484">
        <f t="shared" si="68"/>
        <v>0</v>
      </c>
      <c r="Z27" s="1484">
        <f>Y27</f>
        <v>0</v>
      </c>
      <c r="AA27" s="1484">
        <f t="shared" ref="AA27:AD27" si="69">Z27</f>
        <v>0</v>
      </c>
      <c r="AB27" s="1484">
        <f t="shared" si="69"/>
        <v>0</v>
      </c>
      <c r="AC27" s="1484">
        <f t="shared" si="69"/>
        <v>0</v>
      </c>
      <c r="AD27" s="1484">
        <f t="shared" si="69"/>
        <v>0</v>
      </c>
      <c r="AE27" s="1483"/>
      <c r="AF27" s="1483"/>
      <c r="AG27" s="1484">
        <v>0</v>
      </c>
      <c r="AH27" s="1484">
        <v>0</v>
      </c>
      <c r="AI27" s="1484">
        <v>0</v>
      </c>
      <c r="AJ27" s="1540">
        <v>0</v>
      </c>
      <c r="AK27" s="1541">
        <f>SUM(AG27:AJ27)</f>
        <v>0</v>
      </c>
      <c r="AL27" s="1484">
        <v>0</v>
      </c>
      <c r="AM27" s="1484">
        <v>0</v>
      </c>
      <c r="AN27" s="1484">
        <v>0</v>
      </c>
      <c r="AO27" s="1484">
        <v>0</v>
      </c>
      <c r="AP27" s="1541">
        <f>SUM(AL27:AO27)</f>
        <v>0</v>
      </c>
      <c r="AQ27" s="1484">
        <v>0</v>
      </c>
      <c r="AR27" s="1484">
        <v>0</v>
      </c>
      <c r="AS27" s="1484">
        <v>48.564999999999998</v>
      </c>
      <c r="AT27" s="1484">
        <v>0</v>
      </c>
      <c r="AU27" s="1534">
        <f>SUM(AQ27:AT27)</f>
        <v>48.564999999999998</v>
      </c>
      <c r="AV27" s="1484">
        <v>0</v>
      </c>
      <c r="AW27" s="1484">
        <v>9.9499999999999993</v>
      </c>
      <c r="AX27" s="1484">
        <v>19.010000000000002</v>
      </c>
      <c r="AY27" s="1484">
        <f>-0.075</f>
        <v>-7.4999999999999997E-2</v>
      </c>
      <c r="AZ27" s="1534">
        <f>SUM(AV27:AY27)</f>
        <v>28.885000000000002</v>
      </c>
      <c r="BA27" s="1484">
        <v>0</v>
      </c>
      <c r="BB27" s="1484">
        <v>0</v>
      </c>
      <c r="BC27" s="1484">
        <v>0</v>
      </c>
      <c r="BD27" s="1484">
        <v>0</v>
      </c>
      <c r="BE27" s="1532">
        <f>SUM(BA27:BD27)</f>
        <v>0</v>
      </c>
      <c r="BF27" s="1484">
        <v>0</v>
      </c>
      <c r="BG27" s="1484">
        <v>0</v>
      </c>
      <c r="BH27" s="1484">
        <v>0</v>
      </c>
      <c r="BI27" s="1484">
        <v>17.684999999999999</v>
      </c>
      <c r="BJ27" s="1532">
        <f>SUM(BF27:BI27)</f>
        <v>17.684999999999999</v>
      </c>
      <c r="BK27" s="1484">
        <v>0</v>
      </c>
      <c r="BL27" s="1484">
        <v>0</v>
      </c>
      <c r="BM27" s="1484">
        <v>0</v>
      </c>
      <c r="BN27" s="1484">
        <v>33.814</v>
      </c>
      <c r="BO27" s="1481">
        <f>SUM(BK27:BN27)</f>
        <v>33.814</v>
      </c>
      <c r="BP27" s="1484">
        <v>0</v>
      </c>
      <c r="BQ27" s="1484">
        <v>0</v>
      </c>
      <c r="BR27" s="1484">
        <v>1.5269999999999999</v>
      </c>
      <c r="BS27" s="1484">
        <v>0</v>
      </c>
      <c r="BT27" s="1481">
        <f>SUM(BP27:BS27)</f>
        <v>1.5269999999999999</v>
      </c>
      <c r="BU27" s="1484">
        <v>0</v>
      </c>
      <c r="BV27" s="1484">
        <v>0.40699999999999997</v>
      </c>
      <c r="BW27" s="1484">
        <v>0</v>
      </c>
      <c r="BX27" s="1484">
        <v>0</v>
      </c>
      <c r="BY27" s="1481">
        <f>SUM(BU27:BX27)</f>
        <v>0.40699999999999997</v>
      </c>
      <c r="BZ27" s="1484">
        <v>0</v>
      </c>
      <c r="CA27" s="1484">
        <v>0</v>
      </c>
      <c r="CB27" s="1484">
        <v>0.79900000000000004</v>
      </c>
      <c r="CC27" s="1484">
        <v>2.343</v>
      </c>
      <c r="CD27" s="1481">
        <f>SUM(BZ27:CC27)</f>
        <v>3.1419999999999999</v>
      </c>
      <c r="CE27" s="1484">
        <v>-5.8330000000000002</v>
      </c>
      <c r="CF27" s="1484">
        <v>-0.22</v>
      </c>
      <c r="CG27" s="1484">
        <v>0</v>
      </c>
      <c r="CH27" s="1484">
        <f>CG27</f>
        <v>0</v>
      </c>
      <c r="CI27" s="1532">
        <f>SUM(CE27:CH27)</f>
        <v>-6.0529999999999999</v>
      </c>
      <c r="CJ27" s="1490">
        <f>CH27</f>
        <v>0</v>
      </c>
      <c r="CK27" s="1490">
        <v>4.3570000000000002</v>
      </c>
      <c r="CL27" s="1490">
        <v>1.8859999999999999</v>
      </c>
      <c r="CM27" s="1490">
        <v>0.49099999999999999</v>
      </c>
      <c r="CN27" s="1481">
        <f>SUM(CJ27:CM27)</f>
        <v>6.734</v>
      </c>
      <c r="CO27" s="1490">
        <v>0.496</v>
      </c>
      <c r="CP27" s="1485">
        <v>0.10299999999999999</v>
      </c>
      <c r="CQ27" s="1485">
        <v>1.587</v>
      </c>
      <c r="CR27" s="1485">
        <v>1.2949999999999999</v>
      </c>
      <c r="CS27" s="1481">
        <f>SUM(CO27:CR27)</f>
        <v>3.4809999999999999</v>
      </c>
      <c r="CT27" s="1485">
        <v>0</v>
      </c>
      <c r="CU27" s="1485">
        <v>0</v>
      </c>
      <c r="CV27" s="1485">
        <v>0</v>
      </c>
      <c r="CW27" s="1485">
        <v>0</v>
      </c>
      <c r="CX27" s="1485"/>
      <c r="CY27" s="1485">
        <v>-4.8369999999999997</v>
      </c>
      <c r="CZ27" s="1485"/>
      <c r="DA27" s="1485"/>
      <c r="DB27" s="1485"/>
      <c r="DC27" s="1485"/>
      <c r="DD27" s="1485"/>
      <c r="DE27" s="1485">
        <v>1.9259999999999999</v>
      </c>
      <c r="DF27" s="1485"/>
      <c r="DG27" s="1485"/>
      <c r="DH27" s="1485"/>
      <c r="DI27" s="1485"/>
      <c r="DJ27" s="1485"/>
      <c r="DK27" s="1485"/>
      <c r="DL27" s="1485"/>
      <c r="DM27" s="1485"/>
      <c r="DN27" s="1485"/>
      <c r="DO27" s="1485"/>
      <c r="DP27" s="1485"/>
      <c r="DQ27" s="1485"/>
      <c r="DR27" s="1483">
        <v>0</v>
      </c>
      <c r="DS27" s="1483">
        <v>0</v>
      </c>
      <c r="DT27" s="1483">
        <v>0</v>
      </c>
      <c r="DU27" s="1483">
        <v>0</v>
      </c>
      <c r="DV27" s="54"/>
      <c r="DW27" s="54"/>
      <c r="DX27" s="26"/>
      <c r="DY27" s="26"/>
    </row>
    <row r="28" spans="2:129" customFormat="1" hidden="1" outlineLevel="1">
      <c r="B28" s="17" t="s">
        <v>294</v>
      </c>
      <c r="C28" s="907"/>
      <c r="D28" s="26">
        <f>AK28</f>
        <v>0</v>
      </c>
      <c r="E28" s="26">
        <f>AP28</f>
        <v>0</v>
      </c>
      <c r="F28" s="54">
        <f>AU28</f>
        <v>0</v>
      </c>
      <c r="G28" s="54">
        <f>AZ28</f>
        <v>0</v>
      </c>
      <c r="H28" s="54">
        <f>BE28</f>
        <v>0</v>
      </c>
      <c r="I28" s="54">
        <f>BJ28</f>
        <v>0</v>
      </c>
      <c r="J28" s="54">
        <f>BO28</f>
        <v>0</v>
      </c>
      <c r="K28" s="54">
        <f>BT28</f>
        <v>0</v>
      </c>
      <c r="L28" s="54">
        <f>BY28</f>
        <v>0</v>
      </c>
      <c r="M28" s="54">
        <f>CD28</f>
        <v>0</v>
      </c>
      <c r="N28" s="1483">
        <f>CI28</f>
        <v>5.1549999999999994</v>
      </c>
      <c r="O28" s="1483">
        <f>CN28</f>
        <v>12.337000000000002</v>
      </c>
      <c r="P28" s="1483">
        <f>CS28</f>
        <v>3.5339999999999998</v>
      </c>
      <c r="Q28" s="1490">
        <f>+SUM(CT28:CW28)</f>
        <v>8.8219999999999992</v>
      </c>
      <c r="R28" s="1490">
        <f>+SUM(CX28:DA28)</f>
        <v>10.855</v>
      </c>
      <c r="S28" s="1490">
        <f>+SUM(DB28:DE28)</f>
        <v>0.57999999999999996</v>
      </c>
      <c r="T28" s="1490">
        <f>+SUM(DF28:DI28)</f>
        <v>41.722999999999999</v>
      </c>
      <c r="U28" s="1490">
        <f>+SUM(DJ28:DM28)</f>
        <v>64.195000000000007</v>
      </c>
      <c r="V28" s="1483">
        <f t="shared" si="66"/>
        <v>38.634999999999998</v>
      </c>
      <c r="W28" s="1483">
        <f t="shared" si="66"/>
        <v>35.61</v>
      </c>
      <c r="X28" s="1484">
        <f t="shared" si="68"/>
        <v>35.61</v>
      </c>
      <c r="Y28" s="1484">
        <f t="shared" si="68"/>
        <v>35.61</v>
      </c>
      <c r="Z28" s="1484">
        <f>Y28</f>
        <v>35.61</v>
      </c>
      <c r="AA28" s="1484">
        <f t="shared" ref="AA28:AD28" si="70">Z28</f>
        <v>35.61</v>
      </c>
      <c r="AB28" s="1484">
        <f t="shared" si="70"/>
        <v>35.61</v>
      </c>
      <c r="AC28" s="1484">
        <f t="shared" si="70"/>
        <v>35.61</v>
      </c>
      <c r="AD28" s="1484">
        <f t="shared" si="70"/>
        <v>35.61</v>
      </c>
      <c r="AE28" s="1483"/>
      <c r="AF28" s="1483"/>
      <c r="AG28" s="1484">
        <v>0</v>
      </c>
      <c r="AH28" s="1484">
        <v>0</v>
      </c>
      <c r="AI28" s="1484">
        <v>0</v>
      </c>
      <c r="AJ28" s="1540">
        <v>0</v>
      </c>
      <c r="AK28" s="1541">
        <f>SUM(AG28:AJ28)</f>
        <v>0</v>
      </c>
      <c r="AL28" s="1484">
        <v>0</v>
      </c>
      <c r="AM28" s="1484">
        <v>0</v>
      </c>
      <c r="AN28" s="1484">
        <v>0</v>
      </c>
      <c r="AO28" s="1484">
        <v>0</v>
      </c>
      <c r="AP28" s="1541">
        <f>SUM(AL28:AO28)</f>
        <v>0</v>
      </c>
      <c r="AQ28" s="1484">
        <v>0</v>
      </c>
      <c r="AR28" s="1484">
        <v>0</v>
      </c>
      <c r="AS28" s="1484">
        <v>0</v>
      </c>
      <c r="AT28" s="1484">
        <v>0</v>
      </c>
      <c r="AU28" s="1534">
        <f>SUM(AQ28:AT28)</f>
        <v>0</v>
      </c>
      <c r="AV28" s="1484">
        <v>0</v>
      </c>
      <c r="AW28" s="1484">
        <v>0</v>
      </c>
      <c r="AX28" s="1484">
        <v>0</v>
      </c>
      <c r="AY28" s="1484">
        <v>0</v>
      </c>
      <c r="AZ28" s="1534">
        <f>SUM(AV28:AY28)</f>
        <v>0</v>
      </c>
      <c r="BA28" s="1484">
        <v>0</v>
      </c>
      <c r="BB28" s="1484">
        <v>0</v>
      </c>
      <c r="BC28" s="1484">
        <v>0</v>
      </c>
      <c r="BD28" s="1484">
        <v>0</v>
      </c>
      <c r="BE28" s="1532">
        <f>SUM(BA28:BD28)</f>
        <v>0</v>
      </c>
      <c r="BF28" s="1484">
        <v>0</v>
      </c>
      <c r="BG28" s="1484">
        <v>0</v>
      </c>
      <c r="BH28" s="1484">
        <v>0</v>
      </c>
      <c r="BI28" s="1484">
        <v>0</v>
      </c>
      <c r="BJ28" s="1532">
        <f>SUM(BF28:BI28)</f>
        <v>0</v>
      </c>
      <c r="BK28" s="1484">
        <v>0</v>
      </c>
      <c r="BL28" s="1484">
        <v>0</v>
      </c>
      <c r="BM28" s="1484">
        <v>0</v>
      </c>
      <c r="BN28" s="1484">
        <v>0</v>
      </c>
      <c r="BO28" s="1481">
        <f>SUM(BK28:BN28)</f>
        <v>0</v>
      </c>
      <c r="BP28" s="1484">
        <v>0</v>
      </c>
      <c r="BQ28" s="1484">
        <v>0</v>
      </c>
      <c r="BR28" s="1484">
        <v>0</v>
      </c>
      <c r="BS28" s="1484">
        <v>0</v>
      </c>
      <c r="BT28" s="1481">
        <f>SUM(BP28:BS28)</f>
        <v>0</v>
      </c>
      <c r="BU28" s="1484">
        <v>0</v>
      </c>
      <c r="BV28" s="1484">
        <v>0</v>
      </c>
      <c r="BW28" s="1484">
        <v>0</v>
      </c>
      <c r="BX28" s="1484">
        <v>0</v>
      </c>
      <c r="BY28" s="1481">
        <f>SUM(BU28:BX28)</f>
        <v>0</v>
      </c>
      <c r="BZ28" s="1484">
        <v>0</v>
      </c>
      <c r="CA28" s="1484">
        <v>0</v>
      </c>
      <c r="CB28" s="1484">
        <v>0</v>
      </c>
      <c r="CC28" s="1484">
        <v>0</v>
      </c>
      <c r="CD28" s="1481">
        <f>SUM(BZ28:CC28)</f>
        <v>0</v>
      </c>
      <c r="CE28" s="1484">
        <v>0</v>
      </c>
      <c r="CF28" s="1484">
        <v>0</v>
      </c>
      <c r="CG28" s="1484">
        <v>1.379</v>
      </c>
      <c r="CH28" s="1484">
        <v>3.7759999999999998</v>
      </c>
      <c r="CI28" s="1532">
        <f>SUM(CE28:CH28)</f>
        <v>5.1549999999999994</v>
      </c>
      <c r="CJ28" s="1490">
        <v>4.9939999999999998</v>
      </c>
      <c r="CK28" s="1490">
        <v>5.8490000000000002</v>
      </c>
      <c r="CL28" s="1490">
        <v>1.1140000000000001</v>
      </c>
      <c r="CM28" s="1490">
        <v>0.38</v>
      </c>
      <c r="CN28" s="1481">
        <f>SUM(CJ28:CM28)</f>
        <v>12.337000000000002</v>
      </c>
      <c r="CO28" s="1490">
        <v>0.41499999999999998</v>
      </c>
      <c r="CP28" s="1485">
        <v>1.615</v>
      </c>
      <c r="CQ28" s="1485">
        <v>0.69899999999999995</v>
      </c>
      <c r="CR28" s="1485">
        <v>0.80500000000000005</v>
      </c>
      <c r="CS28" s="1481">
        <f>SUM(CO28:CR28)</f>
        <v>3.5339999999999998</v>
      </c>
      <c r="CT28" s="1485">
        <v>0.67500000000000004</v>
      </c>
      <c r="CU28" s="1485">
        <v>1.6659999999999999</v>
      </c>
      <c r="CV28" s="1485">
        <v>4.5419999999999998</v>
      </c>
      <c r="CW28" s="1485">
        <v>1.9390000000000001</v>
      </c>
      <c r="CX28" s="1485">
        <v>3.6619999999999999</v>
      </c>
      <c r="CY28" s="1485">
        <v>2.5259999999999998</v>
      </c>
      <c r="CZ28" s="1485">
        <v>0.438</v>
      </c>
      <c r="DA28" s="1485">
        <v>4.2290000000000001</v>
      </c>
      <c r="DB28" s="1485">
        <v>0.185</v>
      </c>
      <c r="DC28" s="1485">
        <v>0.67600000000000005</v>
      </c>
      <c r="DD28" s="1485">
        <v>-0.28100000000000003</v>
      </c>
      <c r="DE28" s="1485"/>
      <c r="DF28" s="1485">
        <v>1.1559999999999999</v>
      </c>
      <c r="DG28" s="1485">
        <v>9.8659999999999997</v>
      </c>
      <c r="DH28" s="1485">
        <v>13.352</v>
      </c>
      <c r="DI28" s="1485">
        <v>17.349</v>
      </c>
      <c r="DJ28" s="1485">
        <v>36.536000000000001</v>
      </c>
      <c r="DK28" s="1485">
        <v>15.593999999999999</v>
      </c>
      <c r="DL28" s="1485">
        <v>12.505000000000001</v>
      </c>
      <c r="DM28" s="1485">
        <v>-0.44</v>
      </c>
      <c r="DN28" s="1485">
        <v>3.0249999999999999</v>
      </c>
      <c r="DO28" s="1485">
        <v>26.402000000000001</v>
      </c>
      <c r="DP28" s="1485">
        <v>2.0830000000000002</v>
      </c>
      <c r="DQ28" s="1485">
        <v>7.125</v>
      </c>
      <c r="DR28" s="1483">
        <v>0</v>
      </c>
      <c r="DS28" s="1483">
        <v>0</v>
      </c>
      <c r="DT28" s="1483">
        <v>0</v>
      </c>
      <c r="DU28" s="1483">
        <v>0</v>
      </c>
      <c r="DV28" s="54"/>
      <c r="DW28" s="54"/>
      <c r="DX28" s="26"/>
      <c r="DY28" s="26"/>
    </row>
    <row r="29" spans="2:129" customFormat="1" hidden="1" outlineLevel="1">
      <c r="B29" s="17" t="s">
        <v>295</v>
      </c>
      <c r="C29" s="907"/>
      <c r="D29" s="26">
        <f>AK29</f>
        <v>0</v>
      </c>
      <c r="E29" s="26">
        <f>AP29</f>
        <v>0</v>
      </c>
      <c r="F29" s="54">
        <f>AU29</f>
        <v>0</v>
      </c>
      <c r="G29" s="54">
        <f>AZ29</f>
        <v>0</v>
      </c>
      <c r="H29" s="54">
        <f>BE29</f>
        <v>0</v>
      </c>
      <c r="I29" s="54">
        <f>BJ29</f>
        <v>0</v>
      </c>
      <c r="J29" s="54">
        <f>BO29</f>
        <v>0</v>
      </c>
      <c r="K29" s="54">
        <f>BT29</f>
        <v>-9.6470000000000002</v>
      </c>
      <c r="L29" s="54">
        <f>BY29</f>
        <v>-1.3380000000000001</v>
      </c>
      <c r="M29" s="54">
        <f>CD29</f>
        <v>0</v>
      </c>
      <c r="N29" s="1483">
        <f>CI29</f>
        <v>0</v>
      </c>
      <c r="O29" s="1483">
        <f>CN29</f>
        <v>0</v>
      </c>
      <c r="P29" s="1483">
        <f>CS29</f>
        <v>0</v>
      </c>
      <c r="Q29" s="1490">
        <f>+SUM(CT29:CW29)</f>
        <v>0</v>
      </c>
      <c r="R29" s="1490">
        <f>+SUM(CX29:DA29)</f>
        <v>0</v>
      </c>
      <c r="S29" s="1490">
        <f>+SUM(DB29:DE29)</f>
        <v>0</v>
      </c>
      <c r="T29" s="1490">
        <f>+SUM(DF29:DI29)</f>
        <v>0</v>
      </c>
      <c r="U29" s="1490">
        <f>+SUM(DJ29:DM29)</f>
        <v>-32.815999999999995</v>
      </c>
      <c r="V29" s="1483">
        <f t="shared" si="66"/>
        <v>0</v>
      </c>
      <c r="W29" s="1483">
        <f t="shared" si="66"/>
        <v>0</v>
      </c>
      <c r="X29" s="1484">
        <f t="shared" si="68"/>
        <v>0</v>
      </c>
      <c r="Y29" s="1484">
        <f t="shared" si="68"/>
        <v>0</v>
      </c>
      <c r="Z29" s="1484">
        <f>Y29</f>
        <v>0</v>
      </c>
      <c r="AA29" s="1484">
        <f t="shared" ref="AA29:AD29" si="71">Z29</f>
        <v>0</v>
      </c>
      <c r="AB29" s="1484">
        <f t="shared" si="71"/>
        <v>0</v>
      </c>
      <c r="AC29" s="1484">
        <f t="shared" si="71"/>
        <v>0</v>
      </c>
      <c r="AD29" s="1484">
        <f t="shared" si="71"/>
        <v>0</v>
      </c>
      <c r="AE29" s="1483"/>
      <c r="AF29" s="1483"/>
      <c r="AG29" s="1484">
        <v>0</v>
      </c>
      <c r="AH29" s="1484">
        <v>0</v>
      </c>
      <c r="AI29" s="1484">
        <v>0</v>
      </c>
      <c r="AJ29" s="1540">
        <v>0</v>
      </c>
      <c r="AK29" s="1541">
        <f>SUM(AG29:AJ29)</f>
        <v>0</v>
      </c>
      <c r="AL29" s="1484">
        <v>0</v>
      </c>
      <c r="AM29" s="1484">
        <v>0</v>
      </c>
      <c r="AN29" s="1484">
        <v>0</v>
      </c>
      <c r="AO29" s="1484">
        <v>0</v>
      </c>
      <c r="AP29" s="1541">
        <f>SUM(AL29:AO29)</f>
        <v>0</v>
      </c>
      <c r="AQ29" s="1484">
        <v>0</v>
      </c>
      <c r="AR29" s="1484">
        <v>0</v>
      </c>
      <c r="AS29" s="1484">
        <v>0</v>
      </c>
      <c r="AT29" s="1484">
        <v>0</v>
      </c>
      <c r="AU29" s="1534">
        <f>SUM(AQ29:AT29)</f>
        <v>0</v>
      </c>
      <c r="AV29" s="1484">
        <v>0</v>
      </c>
      <c r="AW29" s="1484">
        <v>0</v>
      </c>
      <c r="AX29" s="1484">
        <v>0</v>
      </c>
      <c r="AY29" s="1484">
        <v>0</v>
      </c>
      <c r="AZ29" s="1534">
        <f>SUM(AV29:AY29)</f>
        <v>0</v>
      </c>
      <c r="BA29" s="1484">
        <v>0</v>
      </c>
      <c r="BB29" s="1484">
        <v>0</v>
      </c>
      <c r="BC29" s="1484">
        <v>0</v>
      </c>
      <c r="BD29" s="1484">
        <v>0</v>
      </c>
      <c r="BE29" s="1532">
        <f>SUM(BA29:BD29)</f>
        <v>0</v>
      </c>
      <c r="BF29" s="1484">
        <v>0</v>
      </c>
      <c r="BG29" s="1484">
        <v>0</v>
      </c>
      <c r="BH29" s="1484">
        <v>0</v>
      </c>
      <c r="BI29" s="1484">
        <v>0</v>
      </c>
      <c r="BJ29" s="1532">
        <f>SUM(BF29:BI29)</f>
        <v>0</v>
      </c>
      <c r="BK29" s="1484">
        <v>0</v>
      </c>
      <c r="BL29" s="1484">
        <v>0</v>
      </c>
      <c r="BM29" s="1484">
        <v>0</v>
      </c>
      <c r="BN29" s="1484">
        <v>0</v>
      </c>
      <c r="BO29" s="1481">
        <f>SUM(BK29:BN29)</f>
        <v>0</v>
      </c>
      <c r="BP29" s="1484">
        <v>0</v>
      </c>
      <c r="BQ29" s="1484">
        <v>0</v>
      </c>
      <c r="BR29" s="1484">
        <v>0</v>
      </c>
      <c r="BS29" s="1484">
        <v>-9.6470000000000002</v>
      </c>
      <c r="BT29" s="1481">
        <f>SUM(BP29:BS29)</f>
        <v>-9.6470000000000002</v>
      </c>
      <c r="BU29" s="1484">
        <v>0</v>
      </c>
      <c r="BV29" s="1484">
        <v>0</v>
      </c>
      <c r="BW29" s="1484">
        <v>0</v>
      </c>
      <c r="BX29" s="1484">
        <v>-1.3380000000000001</v>
      </c>
      <c r="BY29" s="1481">
        <f>SUM(BU29:BX29)</f>
        <v>-1.3380000000000001</v>
      </c>
      <c r="BZ29" s="1484">
        <v>0</v>
      </c>
      <c r="CA29" s="1484">
        <v>0</v>
      </c>
      <c r="CB29" s="1484">
        <v>0</v>
      </c>
      <c r="CC29" s="1484">
        <v>0</v>
      </c>
      <c r="CD29" s="1481">
        <f>SUM(BZ29:CC29)</f>
        <v>0</v>
      </c>
      <c r="CE29" s="1484">
        <v>0</v>
      </c>
      <c r="CF29" s="1484">
        <v>0</v>
      </c>
      <c r="CG29" s="1484">
        <v>0</v>
      </c>
      <c r="CH29" s="1484">
        <f>CG29</f>
        <v>0</v>
      </c>
      <c r="CI29" s="1532">
        <f>SUM(CE29:CH29)</f>
        <v>0</v>
      </c>
      <c r="CJ29" s="1483">
        <f>CH29</f>
        <v>0</v>
      </c>
      <c r="CK29" s="1483">
        <f t="shared" ref="CK29:CM30" si="72">CJ29</f>
        <v>0</v>
      </c>
      <c r="CL29" s="1483">
        <f t="shared" si="72"/>
        <v>0</v>
      </c>
      <c r="CM29" s="1483">
        <f t="shared" si="72"/>
        <v>0</v>
      </c>
      <c r="CN29" s="1481">
        <f>SUM(CJ29:CM29)</f>
        <v>0</v>
      </c>
      <c r="CO29" s="1483">
        <f t="shared" ref="CO29:CR30" si="73">CN29</f>
        <v>0</v>
      </c>
      <c r="CP29" s="1483">
        <f t="shared" si="73"/>
        <v>0</v>
      </c>
      <c r="CQ29" s="1483">
        <f t="shared" si="73"/>
        <v>0</v>
      </c>
      <c r="CR29" s="1483">
        <f t="shared" si="73"/>
        <v>0</v>
      </c>
      <c r="CS29" s="1481">
        <f>SUM(CO29:CR29)</f>
        <v>0</v>
      </c>
      <c r="CT29" s="1483">
        <f t="shared" ref="CT29:CV30" si="74">CR29</f>
        <v>0</v>
      </c>
      <c r="CU29" s="1483">
        <f t="shared" si="74"/>
        <v>0</v>
      </c>
      <c r="CV29" s="1483">
        <f t="shared" si="74"/>
        <v>0</v>
      </c>
      <c r="CW29" s="1485">
        <v>0</v>
      </c>
      <c r="CX29" s="1485"/>
      <c r="CY29" s="1485"/>
      <c r="CZ29" s="1485"/>
      <c r="DA29" s="1485"/>
      <c r="DB29" s="1485"/>
      <c r="DC29" s="1485"/>
      <c r="DD29" s="1485"/>
      <c r="DE29" s="1485"/>
      <c r="DF29" s="1485"/>
      <c r="DG29" s="1485"/>
      <c r="DH29" s="1485"/>
      <c r="DI29" s="1485"/>
      <c r="DJ29" s="1485">
        <v>-5.242</v>
      </c>
      <c r="DK29" s="1485"/>
      <c r="DL29" s="1485">
        <v>-27.945</v>
      </c>
      <c r="DM29" s="1485">
        <v>0.371</v>
      </c>
      <c r="DN29" s="1485"/>
      <c r="DO29" s="1485"/>
      <c r="DP29" s="1485"/>
      <c r="DQ29" s="1485"/>
      <c r="DR29" s="1483">
        <f t="shared" ref="DR29:DR30" si="75">DQ29</f>
        <v>0</v>
      </c>
      <c r="DS29" s="1483">
        <f t="shared" ref="DS29:DS30" si="76">DR29</f>
        <v>0</v>
      </c>
      <c r="DT29" s="1483">
        <f t="shared" ref="DT29:DT30" si="77">DS29</f>
        <v>0</v>
      </c>
      <c r="DU29" s="1483">
        <f t="shared" ref="DU29:DU30" si="78">DT29</f>
        <v>0</v>
      </c>
      <c r="DV29" s="54"/>
      <c r="DW29" s="54"/>
      <c r="DX29" s="26"/>
      <c r="DY29" s="26"/>
    </row>
    <row r="30" spans="2:129" customFormat="1" hidden="1" outlineLevel="1">
      <c r="B30" s="17" t="s">
        <v>296</v>
      </c>
      <c r="C30" s="907"/>
      <c r="D30" s="26">
        <f>AK30</f>
        <v>0</v>
      </c>
      <c r="E30" s="26">
        <f>AP30</f>
        <v>0</v>
      </c>
      <c r="F30" s="54">
        <f>AU30</f>
        <v>0</v>
      </c>
      <c r="G30" s="54">
        <v>0</v>
      </c>
      <c r="H30" s="54">
        <f>BE30</f>
        <v>0</v>
      </c>
      <c r="I30" s="54">
        <f>BJ30</f>
        <v>0</v>
      </c>
      <c r="J30" s="54">
        <f>BO30</f>
        <v>0</v>
      </c>
      <c r="K30" s="54">
        <f>BT30</f>
        <v>1.179</v>
      </c>
      <c r="L30" s="54">
        <f>BY30</f>
        <v>0</v>
      </c>
      <c r="M30" s="54">
        <f>CD30</f>
        <v>0</v>
      </c>
      <c r="N30" s="1483">
        <f>CI30</f>
        <v>0</v>
      </c>
      <c r="O30" s="1483">
        <f>CN30</f>
        <v>0</v>
      </c>
      <c r="P30" s="1483">
        <f>CS30</f>
        <v>0</v>
      </c>
      <c r="Q30" s="1490">
        <f>+SUM(CT30:CW30)</f>
        <v>9.8610000000000007</v>
      </c>
      <c r="R30" s="1490">
        <f>+SUM(CX30:DA30)</f>
        <v>0</v>
      </c>
      <c r="S30" s="1490">
        <f>+SUM(DB30:DE30)</f>
        <v>0</v>
      </c>
      <c r="T30" s="1490">
        <f>+SUM(DF30:DI30)</f>
        <v>0</v>
      </c>
      <c r="U30" s="1490">
        <f>+SUM(DJ30:DM30)</f>
        <v>7.6980000000000004</v>
      </c>
      <c r="V30" s="1483">
        <f t="shared" si="66"/>
        <v>0</v>
      </c>
      <c r="W30" s="1483">
        <f t="shared" si="66"/>
        <v>0</v>
      </c>
      <c r="X30" s="1484">
        <f t="shared" si="68"/>
        <v>0</v>
      </c>
      <c r="Y30" s="1484">
        <f t="shared" si="68"/>
        <v>0</v>
      </c>
      <c r="Z30" s="1484">
        <f>Y30</f>
        <v>0</v>
      </c>
      <c r="AA30" s="1484">
        <f t="shared" ref="AA30:AD30" si="79">Z30</f>
        <v>0</v>
      </c>
      <c r="AB30" s="1484">
        <f t="shared" si="79"/>
        <v>0</v>
      </c>
      <c r="AC30" s="1484">
        <f t="shared" si="79"/>
        <v>0</v>
      </c>
      <c r="AD30" s="1484">
        <f t="shared" si="79"/>
        <v>0</v>
      </c>
      <c r="AE30" s="1483"/>
      <c r="AF30" s="1483"/>
      <c r="AG30" s="1484">
        <v>0</v>
      </c>
      <c r="AH30" s="1484">
        <v>0</v>
      </c>
      <c r="AI30" s="1484">
        <v>0</v>
      </c>
      <c r="AJ30" s="1484">
        <v>0</v>
      </c>
      <c r="AK30" s="1534">
        <f>SUM(AG30:AJ30)</f>
        <v>0</v>
      </c>
      <c r="AL30" s="1484">
        <v>0</v>
      </c>
      <c r="AM30" s="1484">
        <v>0</v>
      </c>
      <c r="AN30" s="1484">
        <v>0</v>
      </c>
      <c r="AO30" s="1484">
        <v>0</v>
      </c>
      <c r="AP30" s="1534">
        <f>SUM(AL30:AO30)</f>
        <v>0</v>
      </c>
      <c r="AQ30" s="1484">
        <v>0</v>
      </c>
      <c r="AR30" s="1484">
        <v>0</v>
      </c>
      <c r="AS30" s="1484">
        <v>0</v>
      </c>
      <c r="AT30" s="1484">
        <v>0</v>
      </c>
      <c r="AU30" s="1534">
        <f>SUM(AQ30:AT30)</f>
        <v>0</v>
      </c>
      <c r="AV30" s="1484">
        <v>0</v>
      </c>
      <c r="AW30" s="1484">
        <v>0</v>
      </c>
      <c r="AX30" s="1484">
        <v>0</v>
      </c>
      <c r="AY30" s="1484">
        <v>0.24</v>
      </c>
      <c r="AZ30" s="1534">
        <f>SUM(AV30:AY30)</f>
        <v>0.24</v>
      </c>
      <c r="BA30" s="1484">
        <v>0</v>
      </c>
      <c r="BB30" s="1484">
        <v>0</v>
      </c>
      <c r="BC30" s="1484">
        <v>0</v>
      </c>
      <c r="BD30" s="1484">
        <v>0</v>
      </c>
      <c r="BE30" s="1532">
        <f>SUM(BA30:BD30)</f>
        <v>0</v>
      </c>
      <c r="BF30" s="1484">
        <v>0</v>
      </c>
      <c r="BG30" s="1484">
        <v>0</v>
      </c>
      <c r="BH30" s="1484">
        <v>0</v>
      </c>
      <c r="BI30" s="1484">
        <v>0</v>
      </c>
      <c r="BJ30" s="1532">
        <f>SUM(BF30:BI30)</f>
        <v>0</v>
      </c>
      <c r="BK30" s="1484">
        <v>0</v>
      </c>
      <c r="BL30" s="1484">
        <v>0</v>
      </c>
      <c r="BM30" s="1484">
        <v>0</v>
      </c>
      <c r="BN30" s="1484">
        <v>0</v>
      </c>
      <c r="BO30" s="1481">
        <f>SUM(BK30:BN30)</f>
        <v>0</v>
      </c>
      <c r="BP30" s="1484">
        <v>0</v>
      </c>
      <c r="BQ30" s="1484">
        <v>0</v>
      </c>
      <c r="BR30" s="1484">
        <v>0</v>
      </c>
      <c r="BS30" s="1484">
        <v>1.179</v>
      </c>
      <c r="BT30" s="1481">
        <f>SUM(BP30:BS30)</f>
        <v>1.179</v>
      </c>
      <c r="BU30" s="1484">
        <v>0</v>
      </c>
      <c r="BV30" s="1484">
        <v>0</v>
      </c>
      <c r="BW30" s="1484">
        <v>0</v>
      </c>
      <c r="BX30" s="1484">
        <v>0</v>
      </c>
      <c r="BY30" s="1481">
        <f>SUM(BU30:BX30)</f>
        <v>0</v>
      </c>
      <c r="BZ30" s="1484">
        <v>0</v>
      </c>
      <c r="CA30" s="1484">
        <v>0</v>
      </c>
      <c r="CB30" s="1484">
        <v>0</v>
      </c>
      <c r="CC30" s="1484">
        <v>0</v>
      </c>
      <c r="CD30" s="1481">
        <f>SUM(BZ30:CC30)</f>
        <v>0</v>
      </c>
      <c r="CE30" s="1484">
        <v>0</v>
      </c>
      <c r="CF30" s="1484">
        <v>0</v>
      </c>
      <c r="CG30" s="1484">
        <v>0</v>
      </c>
      <c r="CH30" s="1484">
        <f>CG30</f>
        <v>0</v>
      </c>
      <c r="CI30" s="1532">
        <f>SUM(CE30:CH30)</f>
        <v>0</v>
      </c>
      <c r="CJ30" s="1483">
        <f>CH30</f>
        <v>0</v>
      </c>
      <c r="CK30" s="1483">
        <f t="shared" si="72"/>
        <v>0</v>
      </c>
      <c r="CL30" s="1483">
        <f t="shared" si="72"/>
        <v>0</v>
      </c>
      <c r="CM30" s="1483">
        <f t="shared" si="72"/>
        <v>0</v>
      </c>
      <c r="CN30" s="1481">
        <f>SUM(CJ30:CM30)</f>
        <v>0</v>
      </c>
      <c r="CO30" s="1483">
        <f t="shared" si="73"/>
        <v>0</v>
      </c>
      <c r="CP30" s="1483">
        <f t="shared" si="73"/>
        <v>0</v>
      </c>
      <c r="CQ30" s="1483">
        <f t="shared" si="73"/>
        <v>0</v>
      </c>
      <c r="CR30" s="1483">
        <f t="shared" si="73"/>
        <v>0</v>
      </c>
      <c r="CS30" s="1481">
        <f>SUM(CO30:CR30)</f>
        <v>0</v>
      </c>
      <c r="CT30" s="1483">
        <f t="shared" si="74"/>
        <v>0</v>
      </c>
      <c r="CU30" s="1483">
        <f>+CT30:CT30</f>
        <v>0</v>
      </c>
      <c r="CV30" s="1483">
        <f>+CU30:CU30</f>
        <v>0</v>
      </c>
      <c r="CW30" s="1485">
        <v>9.8610000000000007</v>
      </c>
      <c r="CX30" s="1485"/>
      <c r="CY30" s="1485"/>
      <c r="CZ30" s="1485"/>
      <c r="DA30" s="1485"/>
      <c r="DB30" s="1485"/>
      <c r="DC30" s="1485"/>
      <c r="DD30" s="1485"/>
      <c r="DE30" s="1485"/>
      <c r="DF30" s="1485"/>
      <c r="DG30" s="1485"/>
      <c r="DH30" s="1485"/>
      <c r="DI30" s="1485"/>
      <c r="DJ30" s="1485"/>
      <c r="DK30" s="1485"/>
      <c r="DL30" s="1485">
        <v>7.6980000000000004</v>
      </c>
      <c r="DM30" s="1485"/>
      <c r="DN30" s="1485"/>
      <c r="DO30" s="1485"/>
      <c r="DP30" s="1485"/>
      <c r="DQ30" s="1485"/>
      <c r="DR30" s="1483">
        <f t="shared" si="75"/>
        <v>0</v>
      </c>
      <c r="DS30" s="1483">
        <f t="shared" si="76"/>
        <v>0</v>
      </c>
      <c r="DT30" s="1483">
        <f t="shared" si="77"/>
        <v>0</v>
      </c>
      <c r="DU30" s="1483">
        <f t="shared" si="78"/>
        <v>0</v>
      </c>
      <c r="DV30" s="54"/>
      <c r="DW30" s="54"/>
      <c r="DX30" s="26"/>
      <c r="DY30" s="26"/>
    </row>
    <row r="31" spans="2:129" customFormat="1" collapsed="1">
      <c r="B31" s="123" t="s">
        <v>354</v>
      </c>
      <c r="C31" s="23"/>
      <c r="D31" s="26">
        <f>SUM(D26:D30)</f>
        <v>6.6270000000000007</v>
      </c>
      <c r="E31" s="26">
        <f>SUM(E26:E30)</f>
        <v>29.893000000000001</v>
      </c>
      <c r="F31" s="26">
        <f>SUM(F26:F30)</f>
        <v>67.608999999999995</v>
      </c>
      <c r="G31" s="26">
        <f>SUM(G26:G29)</f>
        <v>35.763000000000005</v>
      </c>
      <c r="H31" s="26">
        <f t="shared" ref="H31:O31" si="80">SUM(H26:H30)</f>
        <v>2.9050000000000002</v>
      </c>
      <c r="I31" s="26">
        <f t="shared" si="80"/>
        <v>19.151999999999997</v>
      </c>
      <c r="J31" s="26">
        <f t="shared" si="80"/>
        <v>42.091000000000001</v>
      </c>
      <c r="K31" s="26">
        <f t="shared" si="80"/>
        <v>23.825999999999997</v>
      </c>
      <c r="L31" s="54">
        <f t="shared" si="80"/>
        <v>41.8</v>
      </c>
      <c r="M31" s="54">
        <f t="shared" si="80"/>
        <v>58.227000000000004</v>
      </c>
      <c r="N31" s="1483">
        <f t="shared" si="80"/>
        <v>52.158000000000001</v>
      </c>
      <c r="O31" s="1483">
        <f t="shared" si="80"/>
        <v>86.313999999999993</v>
      </c>
      <c r="P31" s="1483">
        <f>SUM(P26:P29)</f>
        <v>78.152000000000001</v>
      </c>
      <c r="Q31" s="1483">
        <f t="shared" ref="Q31:V31" si="81">SUM(Q26:Q29)</f>
        <v>91.557000000000002</v>
      </c>
      <c r="R31" s="1483">
        <f t="shared" si="81"/>
        <v>108.958</v>
      </c>
      <c r="S31" s="1483">
        <f t="shared" si="81"/>
        <v>120.496</v>
      </c>
      <c r="T31" s="1483">
        <f t="shared" si="81"/>
        <v>175.35599999999999</v>
      </c>
      <c r="U31" s="1483">
        <f t="shared" si="81"/>
        <v>187.52700000000002</v>
      </c>
      <c r="V31" s="1483">
        <f t="shared" si="81"/>
        <v>214.13499999999999</v>
      </c>
      <c r="W31" s="1483">
        <f t="shared" ref="W31" ca="1" si="82">SUM(W26:W29)</f>
        <v>219.27190824830564</v>
      </c>
      <c r="X31" s="1483">
        <f ca="1">SUM(X26:X29)</f>
        <v>236.08958950406344</v>
      </c>
      <c r="Y31" s="1483">
        <f ca="1">SUM(Y26:Y29)</f>
        <v>252.0076139354278</v>
      </c>
      <c r="Z31" s="1483">
        <f ca="1">SUM(Z26:Z29)</f>
        <v>267.02102135457801</v>
      </c>
      <c r="AA31" s="1483">
        <f t="shared" ref="AA31:AD31" ca="1" si="83">SUM(AA26:AA29)</f>
        <v>281.97864239148055</v>
      </c>
      <c r="AB31" s="1483">
        <f t="shared" ca="1" si="83"/>
        <v>296.87002559100313</v>
      </c>
      <c r="AC31" s="1483">
        <f t="shared" ca="1" si="83"/>
        <v>311.68684879036164</v>
      </c>
      <c r="AD31" s="1483">
        <f t="shared" ca="1" si="83"/>
        <v>326.4222402421143</v>
      </c>
      <c r="AE31" s="1483"/>
      <c r="AF31" s="1483"/>
      <c r="AG31" s="1498">
        <f t="shared" ref="AG31:AX31" si="84">SUM(AG26:AG30)</f>
        <v>0.375</v>
      </c>
      <c r="AH31" s="1498">
        <f t="shared" si="84"/>
        <v>0.74900000000000011</v>
      </c>
      <c r="AI31" s="1498">
        <f t="shared" si="84"/>
        <v>2.8980000000000001</v>
      </c>
      <c r="AJ31" s="1498">
        <f t="shared" si="84"/>
        <v>2.605</v>
      </c>
      <c r="AK31" s="1481">
        <f t="shared" si="84"/>
        <v>6.6270000000000007</v>
      </c>
      <c r="AL31" s="1498">
        <f t="shared" si="84"/>
        <v>3.4820000000000002</v>
      </c>
      <c r="AM31" s="1498">
        <f t="shared" si="84"/>
        <v>6.548</v>
      </c>
      <c r="AN31" s="1498">
        <f t="shared" si="84"/>
        <v>10.086</v>
      </c>
      <c r="AO31" s="1498">
        <f t="shared" si="84"/>
        <v>9.777000000000001</v>
      </c>
      <c r="AP31" s="1481">
        <f t="shared" si="84"/>
        <v>29.893000000000001</v>
      </c>
      <c r="AQ31" s="1498">
        <f t="shared" si="84"/>
        <v>8.1489999999999991</v>
      </c>
      <c r="AR31" s="1498">
        <f t="shared" si="84"/>
        <v>4.9930000000000003</v>
      </c>
      <c r="AS31" s="1498">
        <f t="shared" si="84"/>
        <v>51.463999999999999</v>
      </c>
      <c r="AT31" s="1498">
        <f t="shared" si="84"/>
        <v>3.0030000000000001</v>
      </c>
      <c r="AU31" s="1481">
        <f t="shared" si="84"/>
        <v>67.608999999999995</v>
      </c>
      <c r="AV31" s="1498">
        <f t="shared" si="84"/>
        <v>2.581</v>
      </c>
      <c r="AW31" s="1498">
        <f t="shared" si="84"/>
        <v>11.516999999999999</v>
      </c>
      <c r="AX31" s="1498">
        <f t="shared" si="84"/>
        <v>20.502000000000002</v>
      </c>
      <c r="AY31" s="1498">
        <f>SUM(AY26:AY29)</f>
        <v>1.163</v>
      </c>
      <c r="AZ31" s="1481">
        <f>SUM(AZ26:AZ29)</f>
        <v>35.763000000000005</v>
      </c>
      <c r="BA31" s="1498">
        <f t="shared" ref="BA31:BI31" si="85">SUM(BA26:BA30)</f>
        <v>0.95799999999999996</v>
      </c>
      <c r="BB31" s="1498">
        <f t="shared" si="85"/>
        <v>0.71</v>
      </c>
      <c r="BC31" s="1498">
        <f t="shared" si="85"/>
        <v>0.49199999999999999</v>
      </c>
      <c r="BD31" s="1498">
        <f t="shared" si="85"/>
        <v>0.745</v>
      </c>
      <c r="BE31" s="1481">
        <f t="shared" si="85"/>
        <v>2.9050000000000002</v>
      </c>
      <c r="BF31" s="1498">
        <f t="shared" si="85"/>
        <v>0.67700000000000005</v>
      </c>
      <c r="BG31" s="1498">
        <f t="shared" si="85"/>
        <v>0.183</v>
      </c>
      <c r="BH31" s="1498">
        <f t="shared" si="85"/>
        <v>0.159</v>
      </c>
      <c r="BI31" s="1498">
        <f t="shared" si="85"/>
        <v>18.132999999999999</v>
      </c>
      <c r="BJ31" s="1481">
        <f>SUM(BJ26:BJ29)</f>
        <v>19.151999999999997</v>
      </c>
      <c r="BK31" s="1498">
        <f>SUM(BK26:BK30)</f>
        <v>2.444</v>
      </c>
      <c r="BL31" s="1498">
        <f>SUM(BL26:BL30)</f>
        <v>2.4889999999999999</v>
      </c>
      <c r="BM31" s="1498">
        <f>SUM(BM26:BM30)</f>
        <v>1.3580000000000001</v>
      </c>
      <c r="BN31" s="1498">
        <f>SUM(BN26:BN30)</f>
        <v>35.799999999999997</v>
      </c>
      <c r="BO31" s="1481">
        <f>SUM(BO26:BO29)</f>
        <v>42.091000000000001</v>
      </c>
      <c r="BP31" s="1498">
        <f t="shared" ref="BP31:CI31" si="86">SUM(BP26:BP30)</f>
        <v>7.7579999999999991</v>
      </c>
      <c r="BQ31" s="1498">
        <f t="shared" si="86"/>
        <v>8.8970000000000002</v>
      </c>
      <c r="BR31" s="1498">
        <f t="shared" si="86"/>
        <v>8.411999999999999</v>
      </c>
      <c r="BS31" s="1498">
        <f t="shared" si="86"/>
        <v>-1.2409999999999999</v>
      </c>
      <c r="BT31" s="1481">
        <f t="shared" si="86"/>
        <v>23.825999999999997</v>
      </c>
      <c r="BU31" s="1498">
        <f t="shared" si="86"/>
        <v>10.498000000000001</v>
      </c>
      <c r="BV31" s="1498">
        <f t="shared" si="86"/>
        <v>10.452</v>
      </c>
      <c r="BW31" s="1498">
        <f t="shared" si="86"/>
        <v>10.489000000000001</v>
      </c>
      <c r="BX31" s="1498">
        <f t="shared" si="86"/>
        <v>10.361000000000001</v>
      </c>
      <c r="BY31" s="1481">
        <f t="shared" si="86"/>
        <v>41.8</v>
      </c>
      <c r="BZ31" s="1483">
        <f t="shared" si="86"/>
        <v>12.341000000000001</v>
      </c>
      <c r="CA31" s="1483">
        <f t="shared" si="86"/>
        <v>17.048000000000002</v>
      </c>
      <c r="CB31" s="1483">
        <f t="shared" si="86"/>
        <v>13.360999999999999</v>
      </c>
      <c r="CC31" s="1483">
        <f t="shared" si="86"/>
        <v>15.477</v>
      </c>
      <c r="CD31" s="1532">
        <f t="shared" si="86"/>
        <v>58.227000000000004</v>
      </c>
      <c r="CE31" s="1483">
        <f t="shared" si="86"/>
        <v>5.7050000000000001</v>
      </c>
      <c r="CF31" s="1483">
        <f t="shared" si="86"/>
        <v>13.238999999999999</v>
      </c>
      <c r="CG31" s="1483">
        <f t="shared" si="86"/>
        <v>15.411999999999999</v>
      </c>
      <c r="CH31" s="1483">
        <f t="shared" si="86"/>
        <v>17.802</v>
      </c>
      <c r="CI31" s="1532">
        <f t="shared" si="86"/>
        <v>52.158000000000001</v>
      </c>
      <c r="CJ31" s="1483">
        <f t="shared" ref="CJ31:CP31" si="87">SUM(CJ26:CJ29)</f>
        <v>19.968</v>
      </c>
      <c r="CK31" s="1483">
        <f t="shared" si="87"/>
        <v>28.271000000000001</v>
      </c>
      <c r="CL31" s="1483">
        <f t="shared" si="87"/>
        <v>19.901</v>
      </c>
      <c r="CM31" s="1483">
        <f t="shared" si="87"/>
        <v>18.173999999999999</v>
      </c>
      <c r="CN31" s="1532">
        <f t="shared" si="87"/>
        <v>86.313999999999993</v>
      </c>
      <c r="CO31" s="1483">
        <f t="shared" si="87"/>
        <v>16.356000000000002</v>
      </c>
      <c r="CP31" s="1483">
        <f t="shared" si="87"/>
        <v>19.933</v>
      </c>
      <c r="CQ31" s="1483">
        <f>SUM(CQ26:CQ29)</f>
        <v>21.388000000000002</v>
      </c>
      <c r="CR31" s="1483">
        <f>SUM(CR26:CR29)</f>
        <v>20.475000000000001</v>
      </c>
      <c r="CS31" s="1532">
        <f>SUM(CS26:CS30)</f>
        <v>78.152000000000001</v>
      </c>
      <c r="CT31" s="1483">
        <f t="shared" ref="CT31:CZ31" si="88">SUM(CT26:CT29)</f>
        <v>19.556000000000001</v>
      </c>
      <c r="CU31" s="1483">
        <f t="shared" si="88"/>
        <v>21.782999999999998</v>
      </c>
      <c r="CV31" s="1483">
        <f t="shared" si="88"/>
        <v>26.648000000000003</v>
      </c>
      <c r="CW31" s="1483">
        <f t="shared" si="88"/>
        <v>23.57</v>
      </c>
      <c r="CX31" s="1483">
        <f t="shared" si="88"/>
        <v>27.498000000000001</v>
      </c>
      <c r="CY31" s="1483">
        <f t="shared" si="88"/>
        <v>21.882999999999999</v>
      </c>
      <c r="CZ31" s="1483">
        <f t="shared" si="88"/>
        <v>27.718</v>
      </c>
      <c r="DA31" s="1483">
        <f t="shared" ref="DA31:DI31" si="89">SUM(DA26:DA29)</f>
        <v>31.859000000000002</v>
      </c>
      <c r="DB31" s="1483">
        <f t="shared" si="89"/>
        <v>25.166</v>
      </c>
      <c r="DC31" s="1483">
        <f t="shared" si="89"/>
        <v>34.506</v>
      </c>
      <c r="DD31" s="1483">
        <f t="shared" si="89"/>
        <v>27.381</v>
      </c>
      <c r="DE31" s="1483">
        <f t="shared" si="89"/>
        <v>33.442999999999998</v>
      </c>
      <c r="DF31" s="1483">
        <f t="shared" si="89"/>
        <v>31.768999999999998</v>
      </c>
      <c r="DG31" s="1483">
        <f t="shared" si="89"/>
        <v>43.859000000000002</v>
      </c>
      <c r="DH31" s="1483">
        <f t="shared" si="89"/>
        <v>47.320999999999998</v>
      </c>
      <c r="DI31" s="1483">
        <f t="shared" si="89"/>
        <v>52.406999999999996</v>
      </c>
      <c r="DJ31" s="1483">
        <f t="shared" ref="DJ31:DM31" si="90">SUM(DJ26:DJ29)</f>
        <v>65.808999999999997</v>
      </c>
      <c r="DK31" s="1483">
        <f t="shared" si="90"/>
        <v>54.917000000000002</v>
      </c>
      <c r="DL31" s="1483">
        <f t="shared" si="90"/>
        <v>27.033000000000001</v>
      </c>
      <c r="DM31" s="1483">
        <f t="shared" si="90"/>
        <v>39.768000000000001</v>
      </c>
      <c r="DN31" s="1483">
        <f>SUM(DN26:DN29)</f>
        <v>41.347999999999999</v>
      </c>
      <c r="DO31" s="1483">
        <f>SUM(DO26:DO29)</f>
        <v>72.027000000000001</v>
      </c>
      <c r="DP31" s="1483">
        <f>SUM(DP26:DP29)</f>
        <v>47.737000000000002</v>
      </c>
      <c r="DQ31" s="1483">
        <f>SUM(DQ26:DQ29)</f>
        <v>53.023000000000003</v>
      </c>
      <c r="DR31" s="1483">
        <f t="shared" ref="DR31:DU31" ca="1" si="91">SUM(DR26:DR29)</f>
        <v>46.484908248305615</v>
      </c>
      <c r="DS31" s="1483">
        <f t="shared" ca="1" si="91"/>
        <v>47.423407399783812</v>
      </c>
      <c r="DT31" s="1483">
        <f t="shared" ca="1" si="91"/>
        <v>48.716952535251529</v>
      </c>
      <c r="DU31" s="1483">
        <f t="shared" ca="1" si="91"/>
        <v>50.078659860281405</v>
      </c>
      <c r="DV31" s="54"/>
      <c r="DW31" s="54"/>
      <c r="DX31" s="54"/>
      <c r="DY31" s="54"/>
    </row>
    <row r="32" spans="2:129" customFormat="1">
      <c r="B32" s="123"/>
      <c r="C32" s="23"/>
      <c r="D32" s="26"/>
      <c r="E32" s="26"/>
      <c r="F32" s="26"/>
      <c r="G32" s="26"/>
      <c r="H32" s="26"/>
      <c r="I32" s="26"/>
      <c r="J32" s="26"/>
      <c r="K32" s="26"/>
      <c r="L32" s="54"/>
      <c r="M32" s="54"/>
      <c r="N32" s="1483"/>
      <c r="O32" s="1483"/>
      <c r="P32" s="1483"/>
      <c r="Q32" s="1483"/>
      <c r="R32" s="1483"/>
      <c r="S32" s="1483"/>
      <c r="T32" s="1483"/>
      <c r="U32" s="1483"/>
      <c r="V32" s="1483"/>
      <c r="W32" s="1483"/>
      <c r="X32" s="1483"/>
      <c r="Y32" s="1483"/>
      <c r="Z32" s="1483"/>
      <c r="AA32" s="1483"/>
      <c r="AB32" s="1483"/>
      <c r="AC32" s="1483"/>
      <c r="AD32" s="1483"/>
      <c r="AE32" s="1483"/>
      <c r="AF32" s="1483"/>
      <c r="AG32" s="1498"/>
      <c r="AH32" s="1498"/>
      <c r="AI32" s="1498"/>
      <c r="AJ32" s="1498"/>
      <c r="AK32" s="1481"/>
      <c r="AL32" s="1498"/>
      <c r="AM32" s="1498"/>
      <c r="AN32" s="1498"/>
      <c r="AO32" s="1498"/>
      <c r="AP32" s="1481"/>
      <c r="AQ32" s="1498"/>
      <c r="AR32" s="1498"/>
      <c r="AS32" s="1498"/>
      <c r="AT32" s="1498"/>
      <c r="AU32" s="1481"/>
      <c r="AV32" s="1498"/>
      <c r="AW32" s="1498"/>
      <c r="AX32" s="1498"/>
      <c r="AY32" s="1498"/>
      <c r="AZ32" s="1481"/>
      <c r="BA32" s="1498"/>
      <c r="BB32" s="1498"/>
      <c r="BC32" s="1498"/>
      <c r="BD32" s="1498"/>
      <c r="BE32" s="1481"/>
      <c r="BF32" s="1498"/>
      <c r="BG32" s="1498"/>
      <c r="BH32" s="1498"/>
      <c r="BI32" s="1498"/>
      <c r="BJ32" s="1481"/>
      <c r="BK32" s="1498"/>
      <c r="BL32" s="1498"/>
      <c r="BM32" s="1498"/>
      <c r="BN32" s="1498"/>
      <c r="BO32" s="1481"/>
      <c r="BP32" s="1498"/>
      <c r="BQ32" s="1498"/>
      <c r="BR32" s="1498"/>
      <c r="BS32" s="1498"/>
      <c r="BT32" s="1481"/>
      <c r="BU32" s="1498"/>
      <c r="BV32" s="1498"/>
      <c r="BW32" s="1498"/>
      <c r="BX32" s="1498"/>
      <c r="BY32" s="1481"/>
      <c r="BZ32" s="1483"/>
      <c r="CA32" s="1483"/>
      <c r="CB32" s="1483"/>
      <c r="CC32" s="1483"/>
      <c r="CD32" s="1532"/>
      <c r="CE32" s="1483"/>
      <c r="CF32" s="1483"/>
      <c r="CG32" s="1483"/>
      <c r="CH32" s="1483"/>
      <c r="CI32" s="1532"/>
      <c r="CJ32" s="1483"/>
      <c r="CK32" s="1483"/>
      <c r="CL32" s="1483"/>
      <c r="CM32" s="1483"/>
      <c r="CN32" s="1532"/>
      <c r="CO32" s="1483"/>
      <c r="CP32" s="1483"/>
      <c r="CQ32" s="1483"/>
      <c r="CR32" s="1483"/>
      <c r="CS32" s="1532"/>
      <c r="CT32" s="1483"/>
      <c r="CU32" s="1483"/>
      <c r="CV32" s="1483"/>
      <c r="CW32" s="1483"/>
      <c r="CX32" s="1483"/>
      <c r="CY32" s="1483"/>
      <c r="CZ32" s="1483"/>
      <c r="DA32" s="1483"/>
      <c r="DB32" s="1483"/>
      <c r="DC32" s="1483"/>
      <c r="DD32" s="1483"/>
      <c r="DE32" s="1483"/>
      <c r="DF32" s="1483"/>
      <c r="DG32" s="1483"/>
      <c r="DH32" s="1483"/>
      <c r="DI32" s="1483"/>
      <c r="DJ32" s="1483"/>
      <c r="DK32" s="1483"/>
      <c r="DL32" s="1483"/>
      <c r="DM32" s="1483"/>
      <c r="DN32" s="1483"/>
      <c r="DO32" s="1483"/>
      <c r="DP32" s="1483"/>
      <c r="DQ32" s="1483"/>
      <c r="DR32" s="1483"/>
      <c r="DS32" s="1483"/>
      <c r="DT32" s="1483"/>
      <c r="DU32" s="1483"/>
      <c r="DV32" s="54"/>
      <c r="DW32" s="54"/>
      <c r="DX32" s="54"/>
      <c r="DY32" s="54"/>
    </row>
    <row r="33" spans="2:135">
      <c r="B33" s="2274" t="s">
        <v>2135</v>
      </c>
      <c r="C33" s="2275"/>
      <c r="D33" s="2276"/>
      <c r="E33" s="2276"/>
      <c r="F33" s="2276"/>
      <c r="G33" s="2276"/>
      <c r="H33" s="2276"/>
      <c r="I33" s="2276"/>
      <c r="J33" s="2276"/>
      <c r="K33" s="2276"/>
      <c r="L33" s="2277"/>
      <c r="M33" s="2277"/>
      <c r="N33" s="2278"/>
      <c r="O33" s="2278"/>
      <c r="P33" s="2278"/>
      <c r="Q33" s="2278"/>
      <c r="R33" s="2278"/>
      <c r="S33" s="2278"/>
      <c r="T33" s="2278"/>
      <c r="U33" s="2278">
        <f t="shared" ref="U33:Z33" si="92">U122</f>
        <v>0</v>
      </c>
      <c r="V33" s="2278">
        <f>V122</f>
        <v>0</v>
      </c>
      <c r="W33" s="2278">
        <f>W122</f>
        <v>0</v>
      </c>
      <c r="X33" s="2278">
        <f t="shared" si="92"/>
        <v>0</v>
      </c>
      <c r="Y33" s="2278">
        <f t="shared" si="92"/>
        <v>0</v>
      </c>
      <c r="Z33" s="2278">
        <f t="shared" si="92"/>
        <v>0</v>
      </c>
      <c r="AA33" s="2278">
        <f t="shared" ref="AA33:AD33" si="93">AA122</f>
        <v>0</v>
      </c>
      <c r="AB33" s="2278">
        <f t="shared" si="93"/>
        <v>0</v>
      </c>
      <c r="AC33" s="2278">
        <f t="shared" si="93"/>
        <v>0</v>
      </c>
      <c r="AD33" s="2278">
        <f t="shared" si="93"/>
        <v>0</v>
      </c>
      <c r="AE33" s="2278"/>
      <c r="AF33" s="2278"/>
      <c r="AG33" s="2279"/>
      <c r="AH33" s="2279"/>
      <c r="AI33" s="2279"/>
      <c r="AJ33" s="2279"/>
      <c r="AK33" s="2279"/>
      <c r="AL33" s="2279"/>
      <c r="AM33" s="2279"/>
      <c r="AN33" s="2279"/>
      <c r="AO33" s="2279"/>
      <c r="AP33" s="2279"/>
      <c r="AQ33" s="2279"/>
      <c r="AR33" s="2279"/>
      <c r="AS33" s="2279"/>
      <c r="AT33" s="2279"/>
      <c r="AU33" s="2279"/>
      <c r="AV33" s="2279"/>
      <c r="AW33" s="2279"/>
      <c r="AX33" s="2279"/>
      <c r="AY33" s="2279"/>
      <c r="AZ33" s="2279"/>
      <c r="BA33" s="2279"/>
      <c r="BB33" s="2279"/>
      <c r="BC33" s="2279"/>
      <c r="BD33" s="2279"/>
      <c r="BE33" s="2279"/>
      <c r="BF33" s="2279"/>
      <c r="BG33" s="2279"/>
      <c r="BH33" s="2279"/>
      <c r="BI33" s="2279"/>
      <c r="BJ33" s="2279"/>
      <c r="BK33" s="2279"/>
      <c r="BL33" s="2279"/>
      <c r="BM33" s="2279"/>
      <c r="BN33" s="2279"/>
      <c r="BO33" s="2279"/>
      <c r="BP33" s="2279"/>
      <c r="BQ33" s="2279"/>
      <c r="BR33" s="2279"/>
      <c r="BS33" s="2279"/>
      <c r="BT33" s="2279"/>
      <c r="BU33" s="2279"/>
      <c r="BV33" s="2279"/>
      <c r="BW33" s="2279"/>
      <c r="BX33" s="2279"/>
      <c r="BY33" s="2279"/>
      <c r="BZ33" s="2278"/>
      <c r="CA33" s="2278"/>
      <c r="CB33" s="2278"/>
      <c r="CC33" s="2278"/>
      <c r="CD33" s="2278"/>
      <c r="CE33" s="2278"/>
      <c r="CF33" s="2278"/>
      <c r="CG33" s="2278"/>
      <c r="CH33" s="2278"/>
      <c r="CI33" s="2278"/>
      <c r="CJ33" s="2278"/>
      <c r="CK33" s="2278"/>
      <c r="CL33" s="2278"/>
      <c r="CM33" s="2278"/>
      <c r="CN33" s="2278"/>
      <c r="CO33" s="2278"/>
      <c r="CP33" s="2278"/>
      <c r="CQ33" s="2278"/>
      <c r="CR33" s="2278"/>
      <c r="CS33" s="2278"/>
      <c r="CT33" s="2278"/>
      <c r="CU33" s="2278"/>
      <c r="CV33" s="2278"/>
      <c r="CW33" s="2278"/>
      <c r="CX33" s="2278"/>
      <c r="CY33" s="2278"/>
      <c r="CZ33" s="2278"/>
      <c r="DA33" s="2278"/>
      <c r="DB33" s="2278"/>
      <c r="DC33" s="2278"/>
      <c r="DD33" s="2278"/>
      <c r="DE33" s="2278"/>
      <c r="DF33" s="2278">
        <f t="shared" ref="DF33:DL33" si="94">DF122</f>
        <v>0</v>
      </c>
      <c r="DG33" s="2278">
        <f t="shared" si="94"/>
        <v>0</v>
      </c>
      <c r="DH33" s="2278">
        <f t="shared" si="94"/>
        <v>0</v>
      </c>
      <c r="DI33" s="2278">
        <f t="shared" si="94"/>
        <v>0</v>
      </c>
      <c r="DJ33" s="2278">
        <f t="shared" si="94"/>
        <v>0</v>
      </c>
      <c r="DK33" s="2278">
        <f t="shared" si="94"/>
        <v>0</v>
      </c>
      <c r="DL33" s="2278">
        <f t="shared" si="94"/>
        <v>0</v>
      </c>
      <c r="DM33" s="2278">
        <f>DM122</f>
        <v>0</v>
      </c>
      <c r="DN33" s="2278">
        <f>DN122</f>
        <v>0</v>
      </c>
      <c r="DO33" s="2278">
        <f>DO122</f>
        <v>0</v>
      </c>
      <c r="DP33" s="2278">
        <f>DP122</f>
        <v>0</v>
      </c>
      <c r="DQ33" s="2278">
        <f>DQ122</f>
        <v>0</v>
      </c>
      <c r="DR33" s="2278">
        <f t="shared" ref="DR33:DU33" si="95">DR122</f>
        <v>0</v>
      </c>
      <c r="DS33" s="2278">
        <f t="shared" si="95"/>
        <v>0</v>
      </c>
      <c r="DT33" s="2278">
        <f t="shared" si="95"/>
        <v>0</v>
      </c>
      <c r="DU33" s="2278">
        <f t="shared" si="95"/>
        <v>0</v>
      </c>
      <c r="DV33" s="54"/>
      <c r="DW33" s="54"/>
      <c r="DX33" s="54"/>
      <c r="DY33" s="54"/>
    </row>
    <row r="34" spans="2:135">
      <c r="B34" s="2274" t="s">
        <v>2499</v>
      </c>
      <c r="C34" s="2275"/>
      <c r="D34" s="2276"/>
      <c r="E34" s="2276"/>
      <c r="F34" s="2276"/>
      <c r="G34" s="2276"/>
      <c r="H34" s="2276"/>
      <c r="I34" s="2276"/>
      <c r="J34" s="2276"/>
      <c r="K34" s="2276"/>
      <c r="L34" s="2277"/>
      <c r="M34" s="2277"/>
      <c r="N34" s="2278"/>
      <c r="O34" s="2278"/>
      <c r="P34" s="2278"/>
      <c r="Q34" s="2278"/>
      <c r="R34" s="2278"/>
      <c r="S34" s="2278"/>
      <c r="T34" s="2278"/>
      <c r="U34" s="2278">
        <f>+SUM(DJ34:DM34)</f>
        <v>0</v>
      </c>
      <c r="V34" s="2278">
        <f>+SUM(DN34:DQ34)</f>
        <v>0</v>
      </c>
      <c r="W34" s="2278">
        <f>+SUM(DR34:DU34)</f>
        <v>0</v>
      </c>
      <c r="X34" s="2278"/>
      <c r="Y34" s="2278"/>
      <c r="Z34" s="2278"/>
      <c r="AA34" s="2278"/>
      <c r="AB34" s="2278"/>
      <c r="AC34" s="2278"/>
      <c r="AD34" s="2278"/>
      <c r="AE34" s="2278"/>
      <c r="AF34" s="2278"/>
      <c r="AG34" s="2279"/>
      <c r="AH34" s="2279"/>
      <c r="AI34" s="2279"/>
      <c r="AJ34" s="2279"/>
      <c r="AK34" s="2279"/>
      <c r="AL34" s="2279"/>
      <c r="AM34" s="2279"/>
      <c r="AN34" s="2279"/>
      <c r="AO34" s="2279"/>
      <c r="AP34" s="2279"/>
      <c r="AQ34" s="2279"/>
      <c r="AR34" s="2279"/>
      <c r="AS34" s="2279"/>
      <c r="AT34" s="2279"/>
      <c r="AU34" s="2279"/>
      <c r="AV34" s="2279"/>
      <c r="AW34" s="2279"/>
      <c r="AX34" s="2279"/>
      <c r="AY34" s="2279"/>
      <c r="AZ34" s="2279"/>
      <c r="BA34" s="2279"/>
      <c r="BB34" s="2279"/>
      <c r="BC34" s="2279"/>
      <c r="BD34" s="2279"/>
      <c r="BE34" s="2279"/>
      <c r="BF34" s="2279"/>
      <c r="BG34" s="2279"/>
      <c r="BH34" s="2279"/>
      <c r="BI34" s="2279"/>
      <c r="BJ34" s="2279"/>
      <c r="BK34" s="2279"/>
      <c r="BL34" s="2279"/>
      <c r="BM34" s="2279"/>
      <c r="BN34" s="2279"/>
      <c r="BO34" s="2279"/>
      <c r="BP34" s="2279"/>
      <c r="BQ34" s="2279"/>
      <c r="BR34" s="2279"/>
      <c r="BS34" s="2279"/>
      <c r="BT34" s="2279"/>
      <c r="BU34" s="2279"/>
      <c r="BV34" s="2279"/>
      <c r="BW34" s="2279"/>
      <c r="BX34" s="2279"/>
      <c r="BY34" s="2279"/>
      <c r="BZ34" s="2278"/>
      <c r="CA34" s="2278"/>
      <c r="CB34" s="2278"/>
      <c r="CC34" s="2278"/>
      <c r="CD34" s="2278"/>
      <c r="CE34" s="2278"/>
      <c r="CF34" s="2278"/>
      <c r="CG34" s="2278"/>
      <c r="CH34" s="2278"/>
      <c r="CI34" s="2278"/>
      <c r="CJ34" s="2278"/>
      <c r="CK34" s="2278"/>
      <c r="CL34" s="2278"/>
      <c r="CM34" s="2278"/>
      <c r="CN34" s="2278"/>
      <c r="CO34" s="2278"/>
      <c r="CP34" s="2278"/>
      <c r="CQ34" s="2278"/>
      <c r="CR34" s="2278"/>
      <c r="CS34" s="2278"/>
      <c r="CT34" s="2278"/>
      <c r="CU34" s="2278"/>
      <c r="CV34" s="2278"/>
      <c r="CW34" s="2278"/>
      <c r="CX34" s="2278"/>
      <c r="CY34" s="2278"/>
      <c r="CZ34" s="2278"/>
      <c r="DA34" s="2278"/>
      <c r="DB34" s="2278"/>
      <c r="DC34" s="2278"/>
      <c r="DD34" s="2278"/>
      <c r="DE34" s="2278"/>
      <c r="DF34" s="2278"/>
      <c r="DG34" s="2278"/>
      <c r="DH34" s="2278"/>
      <c r="DI34" s="2278"/>
      <c r="DJ34" s="2314"/>
      <c r="DK34" s="2314"/>
      <c r="DL34" s="2314"/>
      <c r="DM34" s="2314"/>
      <c r="DN34" s="2314"/>
      <c r="DO34" s="2314"/>
      <c r="DP34" s="2314"/>
      <c r="DQ34" s="2314"/>
      <c r="DR34" s="2314"/>
      <c r="DS34" s="2314"/>
      <c r="DT34" s="2314"/>
      <c r="DU34" s="2314"/>
      <c r="DV34" s="54"/>
      <c r="DW34" s="54"/>
      <c r="DX34" s="54"/>
      <c r="DY34" s="54"/>
    </row>
    <row r="35" spans="2:135" s="69" customFormat="1" ht="12.75" customHeight="1">
      <c r="B35" s="123"/>
      <c r="C35" s="123"/>
      <c r="D35" s="124"/>
      <c r="E35" s="124"/>
      <c r="F35" s="124"/>
      <c r="G35" s="124"/>
      <c r="H35" s="124"/>
      <c r="I35" s="124"/>
      <c r="J35" s="124"/>
      <c r="K35" s="124"/>
      <c r="L35" s="123"/>
      <c r="M35" s="123"/>
      <c r="N35" s="1491"/>
      <c r="O35" s="1491"/>
      <c r="P35" s="1491"/>
      <c r="Q35" s="1491"/>
      <c r="R35" s="1491"/>
      <c r="S35" s="1491"/>
      <c r="T35" s="1491"/>
      <c r="U35" s="1491"/>
      <c r="V35" s="1491"/>
      <c r="W35" s="1491"/>
      <c r="X35" s="1491"/>
      <c r="Y35" s="1491"/>
      <c r="Z35" s="1491"/>
      <c r="AA35" s="1491"/>
      <c r="AB35" s="1491"/>
      <c r="AC35" s="1491"/>
      <c r="AD35" s="1491"/>
      <c r="AE35" s="1491"/>
      <c r="AF35" s="1491"/>
      <c r="AG35" s="1491"/>
      <c r="AH35" s="1491"/>
      <c r="AI35" s="1491"/>
      <c r="AJ35" s="1491"/>
      <c r="AK35" s="1534"/>
      <c r="AL35" s="1525"/>
      <c r="AM35" s="1525"/>
      <c r="AN35" s="1525"/>
      <c r="AO35" s="1525"/>
      <c r="AP35" s="1534"/>
      <c r="AQ35" s="1525"/>
      <c r="AR35" s="1525"/>
      <c r="AS35" s="1525"/>
      <c r="AT35" s="1525"/>
      <c r="AU35" s="1543"/>
      <c r="AV35" s="1525"/>
      <c r="AW35" s="1525"/>
      <c r="AX35" s="1525"/>
      <c r="AY35" s="1525"/>
      <c r="AZ35" s="1543"/>
      <c r="BA35" s="1525"/>
      <c r="BB35" s="1525"/>
      <c r="BC35" s="1525"/>
      <c r="BD35" s="1525"/>
      <c r="BE35" s="1543"/>
      <c r="BF35" s="1525"/>
      <c r="BG35" s="1525"/>
      <c r="BH35" s="1525"/>
      <c r="BI35" s="1525"/>
      <c r="BJ35" s="1543"/>
      <c r="BK35" s="1525"/>
      <c r="BL35" s="1525"/>
      <c r="BM35" s="1525"/>
      <c r="BN35" s="1525"/>
      <c r="BO35" s="1543"/>
      <c r="BP35" s="1525"/>
      <c r="BQ35" s="1525"/>
      <c r="BR35" s="1525"/>
      <c r="BS35" s="1525"/>
      <c r="BT35" s="1543"/>
      <c r="BU35" s="1525"/>
      <c r="BV35" s="1525"/>
      <c r="BW35" s="1525"/>
      <c r="BX35" s="1525"/>
      <c r="BY35" s="1543"/>
      <c r="BZ35" s="1491"/>
      <c r="CA35" s="1491"/>
      <c r="CB35" s="1491"/>
      <c r="CC35" s="1491"/>
      <c r="CD35" s="1534"/>
      <c r="CE35" s="1491"/>
      <c r="CF35" s="1491"/>
      <c r="CG35" s="1491"/>
      <c r="CH35" s="1491"/>
      <c r="CI35" s="1534"/>
      <c r="CJ35" s="1491"/>
      <c r="CK35" s="1491"/>
      <c r="CL35" s="1491"/>
      <c r="CM35" s="1491"/>
      <c r="CN35" s="1534"/>
      <c r="CO35" s="1491"/>
      <c r="CP35" s="1491"/>
      <c r="CQ35" s="1491"/>
      <c r="CR35" s="1491"/>
      <c r="CS35" s="1534"/>
      <c r="CT35" s="1491"/>
      <c r="CU35" s="1491"/>
      <c r="CV35" s="1491"/>
      <c r="CW35" s="1491"/>
      <c r="CX35" s="1491"/>
      <c r="CY35" s="1491"/>
      <c r="CZ35" s="1491"/>
      <c r="DA35" s="1491"/>
      <c r="DB35" s="1491"/>
      <c r="DC35" s="1491"/>
      <c r="DD35" s="1491"/>
      <c r="DE35" s="1491"/>
      <c r="DF35" s="1491"/>
      <c r="DG35" s="1491"/>
      <c r="DH35" s="1491"/>
      <c r="DI35" s="1491"/>
      <c r="DJ35" s="1491"/>
      <c r="DK35" s="1491"/>
      <c r="DL35" s="1491"/>
      <c r="DM35" s="1491"/>
      <c r="DN35" s="1491"/>
      <c r="DO35" s="1491"/>
      <c r="DP35" s="1491"/>
      <c r="DQ35" s="1491"/>
      <c r="DR35" s="1491"/>
      <c r="DS35" s="1491"/>
      <c r="DT35" s="1491"/>
      <c r="DU35" s="1491"/>
      <c r="DV35" s="54"/>
      <c r="DW35" s="901"/>
      <c r="DX35" s="123"/>
      <c r="DY35" s="123"/>
      <c r="DZ35"/>
      <c r="EA35"/>
      <c r="EB35"/>
      <c r="EC35"/>
      <c r="ED35"/>
      <c r="EE35"/>
    </row>
    <row r="36" spans="2:135" customFormat="1">
      <c r="B36" s="126" t="s">
        <v>355</v>
      </c>
      <c r="C36" s="122"/>
      <c r="D36" s="903">
        <f t="shared" ref="D36:Q36" si="96">D19-D24-D31</f>
        <v>-19.173999999999999</v>
      </c>
      <c r="E36" s="903">
        <f t="shared" si="96"/>
        <v>-92.293000000000006</v>
      </c>
      <c r="F36" s="903">
        <f t="shared" si="96"/>
        <v>-105.616</v>
      </c>
      <c r="G36" s="903">
        <f t="shared" si="96"/>
        <v>-47.593999999999994</v>
      </c>
      <c r="H36" s="903">
        <f t="shared" si="96"/>
        <v>-1.2069999999999927</v>
      </c>
      <c r="I36" s="903">
        <f t="shared" si="96"/>
        <v>16.461999999999993</v>
      </c>
      <c r="J36" s="903">
        <f t="shared" si="96"/>
        <v>28.048000000000023</v>
      </c>
      <c r="K36" s="903">
        <f t="shared" si="96"/>
        <v>78.246000000000066</v>
      </c>
      <c r="L36" s="903">
        <f t="shared" si="96"/>
        <v>113.59000000000007</v>
      </c>
      <c r="M36" s="903">
        <f t="shared" si="96"/>
        <v>234.24899999999994</v>
      </c>
      <c r="N36" s="1545">
        <f t="shared" si="96"/>
        <v>356.45000000000005</v>
      </c>
      <c r="O36" s="1545">
        <f t="shared" si="96"/>
        <v>446.70699999999999</v>
      </c>
      <c r="P36" s="1545">
        <f t="shared" si="96"/>
        <v>641.65300000000013</v>
      </c>
      <c r="Q36" s="1545">
        <f t="shared" si="96"/>
        <v>796.29999999999984</v>
      </c>
      <c r="R36" s="1545">
        <f>R19-R24-R31</f>
        <v>891.94</v>
      </c>
      <c r="S36" s="1545">
        <f>S19-S24-S31</f>
        <v>993.39499999999964</v>
      </c>
      <c r="T36" s="1545">
        <f>T19-T24-T31</f>
        <v>1096.2710000000004</v>
      </c>
      <c r="U36" s="1491">
        <f>+SUM(DJ36:DM36)</f>
        <v>1469.9469999999999</v>
      </c>
      <c r="V36" s="1491">
        <f>+SUM(DN36:DQ36)</f>
        <v>1837.9059999999999</v>
      </c>
      <c r="W36" s="2252">
        <f ca="1">+SUM(DR36:DU36)</f>
        <v>2203.4973838455603</v>
      </c>
      <c r="X36" s="2252">
        <f ca="1">X19-X24-X31+X33-X34</f>
        <v>2390.529924967153</v>
      </c>
      <c r="Y36" s="2252">
        <f ca="1">Y19-Y24-Y31+Y33-Y34</f>
        <v>2595.0394355819699</v>
      </c>
      <c r="Z36" s="2252">
        <f ca="1">Z19-Z24-Z31+Z33-Z34</f>
        <v>2790.2492604098834</v>
      </c>
      <c r="AA36" s="2252">
        <f t="shared" ref="AA36:AD36" ca="1" si="97">AA19-AA24-AA31+AA33-AA34</f>
        <v>2986.4224927594696</v>
      </c>
      <c r="AB36" s="2252">
        <f t="shared" ca="1" si="97"/>
        <v>3183.421174681182</v>
      </c>
      <c r="AC36" s="2252">
        <f t="shared" ca="1" si="97"/>
        <v>3381.1314063932691</v>
      </c>
      <c r="AD36" s="2252">
        <f t="shared" ca="1" si="97"/>
        <v>3579.4554914288606</v>
      </c>
      <c r="AE36" s="1545"/>
      <c r="AF36" s="1483"/>
      <c r="AG36" s="1545">
        <f t="shared" ref="AG36:BL36" si="98">AG19-AG24-AG31</f>
        <v>-1.3679999999999999</v>
      </c>
      <c r="AH36" s="1545">
        <f t="shared" si="98"/>
        <v>-2.9950000000000006</v>
      </c>
      <c r="AI36" s="1545">
        <f t="shared" si="98"/>
        <v>-6.1720000000000006</v>
      </c>
      <c r="AJ36" s="1545">
        <f t="shared" si="98"/>
        <v>-8.6390000000000011</v>
      </c>
      <c r="AK36" s="1541">
        <f t="shared" si="98"/>
        <v>-19.173999999999999</v>
      </c>
      <c r="AL36" s="1545">
        <f t="shared" si="98"/>
        <v>-12.318999999999999</v>
      </c>
      <c r="AM36" s="1545">
        <f t="shared" si="98"/>
        <v>-22.542999999999999</v>
      </c>
      <c r="AN36" s="1545">
        <f t="shared" si="98"/>
        <v>-26.731000000000002</v>
      </c>
      <c r="AO36" s="1545">
        <f t="shared" si="98"/>
        <v>-30.7</v>
      </c>
      <c r="AP36" s="1541">
        <f t="shared" si="98"/>
        <v>-92.293000000000006</v>
      </c>
      <c r="AQ36" s="1545">
        <f t="shared" si="98"/>
        <v>-24.441000000000003</v>
      </c>
      <c r="AR36" s="1545">
        <f t="shared" si="98"/>
        <v>-16.46</v>
      </c>
      <c r="AS36" s="1545">
        <f t="shared" si="98"/>
        <v>-60.152000000000001</v>
      </c>
      <c r="AT36" s="1545">
        <f t="shared" si="98"/>
        <v>-4.5629999999999988</v>
      </c>
      <c r="AU36" s="1541">
        <f t="shared" si="98"/>
        <v>-105.616</v>
      </c>
      <c r="AV36" s="1545">
        <f t="shared" si="98"/>
        <v>-4.1199999999999957</v>
      </c>
      <c r="AW36" s="1545">
        <f t="shared" si="98"/>
        <v>-18.451000000000001</v>
      </c>
      <c r="AX36" s="1545">
        <f t="shared" si="98"/>
        <v>-22.007000000000001</v>
      </c>
      <c r="AY36" s="1545">
        <f t="shared" si="98"/>
        <v>-3.0159999999999982</v>
      </c>
      <c r="AZ36" s="1541">
        <f t="shared" si="98"/>
        <v>-47.593999999999994</v>
      </c>
      <c r="BA36" s="1545">
        <f t="shared" si="98"/>
        <v>-4.0319999999999983</v>
      </c>
      <c r="BB36" s="1545">
        <f t="shared" si="98"/>
        <v>-0.42100000000000559</v>
      </c>
      <c r="BC36" s="1545">
        <f t="shared" si="98"/>
        <v>0.88800000000000257</v>
      </c>
      <c r="BD36" s="1545">
        <f t="shared" si="98"/>
        <v>2.3579999999999943</v>
      </c>
      <c r="BE36" s="1541">
        <f t="shared" si="98"/>
        <v>-1.207000000000007</v>
      </c>
      <c r="BF36" s="1545">
        <f t="shared" si="98"/>
        <v>4.9800000000000058</v>
      </c>
      <c r="BG36" s="1545">
        <f t="shared" si="98"/>
        <v>7.3450000000000024</v>
      </c>
      <c r="BH36" s="1545">
        <f t="shared" si="98"/>
        <v>9.907</v>
      </c>
      <c r="BI36" s="1545">
        <f t="shared" si="98"/>
        <v>-5.769999999999996</v>
      </c>
      <c r="BJ36" s="1541">
        <f t="shared" si="98"/>
        <v>16.461999999999993</v>
      </c>
      <c r="BK36" s="1545">
        <f t="shared" si="98"/>
        <v>11.893000000000001</v>
      </c>
      <c r="BL36" s="1545">
        <f t="shared" si="98"/>
        <v>13.565999999999999</v>
      </c>
      <c r="BM36" s="1545">
        <f t="shared" ref="BM36:CS36" si="99">BM19-BM24-BM31</f>
        <v>16.560999999999996</v>
      </c>
      <c r="BN36" s="1545">
        <f t="shared" si="99"/>
        <v>-13.972000000000001</v>
      </c>
      <c r="BO36" s="1541">
        <f t="shared" si="99"/>
        <v>28.047999999999995</v>
      </c>
      <c r="BP36" s="1545">
        <f t="shared" si="99"/>
        <v>15.077000000000002</v>
      </c>
      <c r="BQ36" s="1545">
        <f t="shared" si="99"/>
        <v>15.141000000000004</v>
      </c>
      <c r="BR36" s="1545">
        <f t="shared" si="99"/>
        <v>16.514999999999997</v>
      </c>
      <c r="BS36" s="1545">
        <f t="shared" si="99"/>
        <v>31.512999999999987</v>
      </c>
      <c r="BT36" s="1541">
        <f t="shared" si="99"/>
        <v>78.246000000000009</v>
      </c>
      <c r="BU36" s="1545">
        <f t="shared" si="99"/>
        <v>21.880000000000013</v>
      </c>
      <c r="BV36" s="1545">
        <f t="shared" si="99"/>
        <v>24.859000000000016</v>
      </c>
      <c r="BW36" s="1545">
        <f t="shared" si="99"/>
        <v>30.149999999999995</v>
      </c>
      <c r="BX36" s="1545">
        <f t="shared" si="99"/>
        <v>36.700999999999993</v>
      </c>
      <c r="BY36" s="1541">
        <f t="shared" si="99"/>
        <v>113.59000000000002</v>
      </c>
      <c r="BZ36" s="1545">
        <f t="shared" si="99"/>
        <v>49.928000000000004</v>
      </c>
      <c r="CA36" s="1545">
        <f t="shared" si="99"/>
        <v>52.085999999999984</v>
      </c>
      <c r="CB36" s="1545">
        <f t="shared" si="99"/>
        <v>63.611999999999959</v>
      </c>
      <c r="CC36" s="1545">
        <f t="shared" si="99"/>
        <v>68.62299999999999</v>
      </c>
      <c r="CD36" s="1541">
        <f t="shared" si="99"/>
        <v>234.24899999999994</v>
      </c>
      <c r="CE36" s="1545">
        <f t="shared" si="99"/>
        <v>85.67300000000003</v>
      </c>
      <c r="CF36" s="1545">
        <f t="shared" si="99"/>
        <v>86.294999999999987</v>
      </c>
      <c r="CG36" s="1545">
        <f t="shared" si="99"/>
        <v>90.623999999999995</v>
      </c>
      <c r="CH36" s="1545">
        <f t="shared" si="99"/>
        <v>93.858000000000004</v>
      </c>
      <c r="CI36" s="1541">
        <f t="shared" si="99"/>
        <v>356.45000000000005</v>
      </c>
      <c r="CJ36" s="1545">
        <f t="shared" si="99"/>
        <v>97.304000000000016</v>
      </c>
      <c r="CK36" s="1545">
        <f t="shared" si="99"/>
        <v>101.01299999999996</v>
      </c>
      <c r="CL36" s="1545">
        <f t="shared" si="99"/>
        <v>122.18500000000002</v>
      </c>
      <c r="CM36" s="1545">
        <f t="shared" si="99"/>
        <v>126.20500000000001</v>
      </c>
      <c r="CN36" s="1541">
        <f t="shared" si="99"/>
        <v>446.70699999999999</v>
      </c>
      <c r="CO36" s="1545">
        <f t="shared" si="99"/>
        <v>145.971</v>
      </c>
      <c r="CP36" s="1545">
        <f t="shared" si="99"/>
        <v>157.47300000000001</v>
      </c>
      <c r="CQ36" s="1545">
        <f>CQ19-CQ24-CQ31</f>
        <v>165.43999999999997</v>
      </c>
      <c r="CR36" s="1545">
        <f>CR19-CR24-CR31</f>
        <v>172.76900000000001</v>
      </c>
      <c r="CS36" s="1541">
        <f t="shared" si="99"/>
        <v>641.65300000000013</v>
      </c>
      <c r="CT36" s="1545">
        <f t="shared" ref="CT36:DE36" si="100">CT19-CT24-CT31</f>
        <v>187.179</v>
      </c>
      <c r="CU36" s="1545">
        <f t="shared" si="100"/>
        <v>194.637</v>
      </c>
      <c r="CV36" s="1545">
        <f t="shared" si="100"/>
        <v>198.36799999999997</v>
      </c>
      <c r="CW36" s="1545">
        <f t="shared" si="100"/>
        <v>216.11599999999999</v>
      </c>
      <c r="CX36" s="1545">
        <f t="shared" si="100"/>
        <v>213.38999999999993</v>
      </c>
      <c r="CY36" s="1545">
        <f t="shared" si="100"/>
        <v>226.15199999999999</v>
      </c>
      <c r="CZ36" s="1545">
        <f t="shared" si="100"/>
        <v>220.72700000000009</v>
      </c>
      <c r="DA36" s="1545">
        <f t="shared" si="100"/>
        <v>231.67100000000002</v>
      </c>
      <c r="DB36" s="1545">
        <f t="shared" si="100"/>
        <v>235.22200000000004</v>
      </c>
      <c r="DC36" s="1545">
        <f t="shared" si="100"/>
        <v>240.77100000000004</v>
      </c>
      <c r="DD36" s="1545">
        <f t="shared" si="100"/>
        <v>256.48</v>
      </c>
      <c r="DE36" s="1545">
        <f t="shared" si="100"/>
        <v>260.92200000000003</v>
      </c>
      <c r="DF36" s="1545">
        <f t="shared" ref="DF36:DK36" si="101">DF19-DF24-DF31</f>
        <v>273.97899999999998</v>
      </c>
      <c r="DG36" s="1545">
        <f t="shared" si="101"/>
        <v>267.40299999999991</v>
      </c>
      <c r="DH36" s="1545">
        <f t="shared" si="101"/>
        <v>274.15100000000007</v>
      </c>
      <c r="DI36" s="1545">
        <f t="shared" si="101"/>
        <v>280.73799999999989</v>
      </c>
      <c r="DJ36" s="1545">
        <f t="shared" si="101"/>
        <v>314.84100000000001</v>
      </c>
      <c r="DK36" s="1545">
        <f t="shared" si="101"/>
        <v>365.37400000000002</v>
      </c>
      <c r="DL36" s="1545">
        <f t="shared" ref="DL36:DQ36" si="102">DL19-DL24-DL31</f>
        <v>393.0089999999999</v>
      </c>
      <c r="DM36" s="1545">
        <f t="shared" si="102"/>
        <v>396.72299999999996</v>
      </c>
      <c r="DN36" s="1545">
        <f t="shared" si="102"/>
        <v>386.22600000000011</v>
      </c>
      <c r="DO36" s="1545">
        <f t="shared" si="102"/>
        <v>437.28100000000001</v>
      </c>
      <c r="DP36" s="1545">
        <f t="shared" si="102"/>
        <v>502.58199999999994</v>
      </c>
      <c r="DQ36" s="1545">
        <f t="shared" si="102"/>
        <v>511.81700000000001</v>
      </c>
      <c r="DR36" s="2252">
        <f t="shared" ref="DR36:DU36" ca="1" si="103">DR19-DR24-DR31+DR33-DR34</f>
        <v>512.67660224969484</v>
      </c>
      <c r="DS36" s="2252">
        <f t="shared" ca="1" si="103"/>
        <v>542.37331955296486</v>
      </c>
      <c r="DT36" s="2252">
        <f t="shared" ca="1" si="103"/>
        <v>563.34264654374761</v>
      </c>
      <c r="DU36" s="2252">
        <f t="shared" ca="1" si="103"/>
        <v>585.10481549915301</v>
      </c>
      <c r="DV36" s="54"/>
      <c r="DW36" s="54"/>
      <c r="DX36" s="54"/>
      <c r="DY36" s="54"/>
    </row>
    <row r="37" spans="2:135" customFormat="1">
      <c r="B37" s="908" t="s">
        <v>356</v>
      </c>
      <c r="C37" s="908"/>
      <c r="D37" s="909">
        <f t="shared" ref="D37:P37" si="104">D19-D24</f>
        <v>-12.547000000000001</v>
      </c>
      <c r="E37" s="909">
        <f t="shared" si="104"/>
        <v>-62.4</v>
      </c>
      <c r="F37" s="909">
        <f t="shared" si="104"/>
        <v>-38.007000000000005</v>
      </c>
      <c r="G37" s="909">
        <f t="shared" si="104"/>
        <v>-11.830999999999989</v>
      </c>
      <c r="H37" s="909">
        <f t="shared" si="104"/>
        <v>1.6980000000000075</v>
      </c>
      <c r="I37" s="909">
        <f t="shared" si="104"/>
        <v>35.61399999999999</v>
      </c>
      <c r="J37" s="909">
        <f t="shared" si="104"/>
        <v>70.139000000000024</v>
      </c>
      <c r="K37" s="909">
        <f t="shared" si="104"/>
        <v>102.07200000000006</v>
      </c>
      <c r="L37" s="909">
        <f t="shared" si="104"/>
        <v>155.39000000000007</v>
      </c>
      <c r="M37" s="909">
        <f t="shared" si="104"/>
        <v>292.47599999999994</v>
      </c>
      <c r="N37" s="1546">
        <f t="shared" si="104"/>
        <v>408.60800000000006</v>
      </c>
      <c r="O37" s="1546">
        <f t="shared" si="104"/>
        <v>533.02099999999996</v>
      </c>
      <c r="P37" s="1546">
        <f t="shared" si="104"/>
        <v>719.80500000000018</v>
      </c>
      <c r="Q37" s="1546">
        <f>Q19-Q24</f>
        <v>887.85699999999986</v>
      </c>
      <c r="R37" s="1546">
        <f>R19-R24</f>
        <v>1000.898</v>
      </c>
      <c r="S37" s="1546">
        <f>S19-S24</f>
        <v>1113.8909999999996</v>
      </c>
      <c r="T37" s="1546">
        <f>T19-T24</f>
        <v>1271.6270000000004</v>
      </c>
      <c r="U37" s="1546">
        <f>+SUM(DJ37:DM37)</f>
        <v>1657.4739999999999</v>
      </c>
      <c r="V37" s="1546">
        <f>+SUM(DN37:DQ37)</f>
        <v>2052.0410000000002</v>
      </c>
      <c r="W37" s="2253">
        <f ca="1">+SUM(DR37:DU37)</f>
        <v>2396.2013118891828</v>
      </c>
      <c r="X37" s="2253">
        <f ca="1">X19-X24+X33-X34</f>
        <v>2626.6195144712165</v>
      </c>
      <c r="Y37" s="2253">
        <f ca="1">Y19-Y24+Y33-Y34</f>
        <v>2847.0470495173977</v>
      </c>
      <c r="Z37" s="2253">
        <f ca="1">Z19-Z24+Z33-Z34</f>
        <v>3057.2702817644613</v>
      </c>
      <c r="AA37" s="2253">
        <f t="shared" ref="AA37:AD37" ca="1" si="105">AA19-AA24+AA33-AA34</f>
        <v>3268.4011351509503</v>
      </c>
      <c r="AB37" s="2253">
        <f t="shared" ca="1" si="105"/>
        <v>3480.2912002721851</v>
      </c>
      <c r="AC37" s="2253">
        <f t="shared" ca="1" si="105"/>
        <v>3692.8182551836308</v>
      </c>
      <c r="AD37" s="2253">
        <f t="shared" ca="1" si="105"/>
        <v>3905.8777316709748</v>
      </c>
      <c r="AE37" s="1531"/>
      <c r="AF37" s="1483"/>
      <c r="AG37" s="1546">
        <f t="shared" ref="AG37:BL37" si="106">AG19-AG24</f>
        <v>-0.99299999999999999</v>
      </c>
      <c r="AH37" s="1546">
        <f t="shared" si="106"/>
        <v>-2.2460000000000004</v>
      </c>
      <c r="AI37" s="1546">
        <f t="shared" si="106"/>
        <v>-3.274</v>
      </c>
      <c r="AJ37" s="1546">
        <f t="shared" si="106"/>
        <v>-6.0340000000000007</v>
      </c>
      <c r="AK37" s="1547">
        <f t="shared" si="106"/>
        <v>-12.547000000000001</v>
      </c>
      <c r="AL37" s="1546">
        <f t="shared" si="106"/>
        <v>-8.8369999999999997</v>
      </c>
      <c r="AM37" s="1546">
        <f t="shared" si="106"/>
        <v>-15.995000000000001</v>
      </c>
      <c r="AN37" s="1546">
        <f t="shared" si="106"/>
        <v>-16.645</v>
      </c>
      <c r="AO37" s="1546">
        <f t="shared" si="106"/>
        <v>-20.922999999999998</v>
      </c>
      <c r="AP37" s="1547">
        <f t="shared" si="106"/>
        <v>-62.4</v>
      </c>
      <c r="AQ37" s="1546">
        <f t="shared" si="106"/>
        <v>-16.292000000000002</v>
      </c>
      <c r="AR37" s="1546">
        <f t="shared" si="106"/>
        <v>-11.467000000000001</v>
      </c>
      <c r="AS37" s="1546">
        <f t="shared" si="106"/>
        <v>-8.6880000000000024</v>
      </c>
      <c r="AT37" s="1546">
        <f t="shared" si="106"/>
        <v>-1.5599999999999987</v>
      </c>
      <c r="AU37" s="1547">
        <f t="shared" si="106"/>
        <v>-38.007000000000005</v>
      </c>
      <c r="AV37" s="1546">
        <f t="shared" si="106"/>
        <v>-1.5389999999999953</v>
      </c>
      <c r="AW37" s="1546">
        <f t="shared" si="106"/>
        <v>-6.9339999999999993</v>
      </c>
      <c r="AX37" s="1546">
        <f t="shared" si="106"/>
        <v>-1.504999999999999</v>
      </c>
      <c r="AY37" s="1546">
        <f t="shared" si="106"/>
        <v>-1.852999999999998</v>
      </c>
      <c r="AZ37" s="1547">
        <f t="shared" si="106"/>
        <v>-11.830999999999992</v>
      </c>
      <c r="BA37" s="1546">
        <f t="shared" si="106"/>
        <v>-3.0739999999999981</v>
      </c>
      <c r="BB37" s="1546">
        <f t="shared" si="106"/>
        <v>0.28899999999999437</v>
      </c>
      <c r="BC37" s="1546">
        <f t="shared" si="106"/>
        <v>1.3800000000000026</v>
      </c>
      <c r="BD37" s="1546">
        <f t="shared" si="106"/>
        <v>3.1029999999999944</v>
      </c>
      <c r="BE37" s="1547">
        <f t="shared" si="106"/>
        <v>1.6979999999999933</v>
      </c>
      <c r="BF37" s="1546">
        <f t="shared" si="106"/>
        <v>5.6570000000000054</v>
      </c>
      <c r="BG37" s="1546">
        <f t="shared" si="106"/>
        <v>7.5280000000000022</v>
      </c>
      <c r="BH37" s="1546">
        <f t="shared" si="106"/>
        <v>10.066000000000001</v>
      </c>
      <c r="BI37" s="1546">
        <f t="shared" si="106"/>
        <v>12.363000000000003</v>
      </c>
      <c r="BJ37" s="1547">
        <f t="shared" si="106"/>
        <v>35.61399999999999</v>
      </c>
      <c r="BK37" s="1546">
        <f t="shared" si="106"/>
        <v>14.337</v>
      </c>
      <c r="BL37" s="1546">
        <f t="shared" si="106"/>
        <v>16.055</v>
      </c>
      <c r="BM37" s="1546">
        <f t="shared" ref="BM37:CS37" si="107">BM19-BM24</f>
        <v>17.918999999999997</v>
      </c>
      <c r="BN37" s="1546">
        <f t="shared" si="107"/>
        <v>21.827999999999996</v>
      </c>
      <c r="BO37" s="1547">
        <f t="shared" si="107"/>
        <v>70.138999999999996</v>
      </c>
      <c r="BP37" s="1546">
        <f t="shared" si="107"/>
        <v>22.835000000000001</v>
      </c>
      <c r="BQ37" s="1546">
        <f t="shared" si="107"/>
        <v>24.038000000000004</v>
      </c>
      <c r="BR37" s="1546">
        <f t="shared" si="107"/>
        <v>24.926999999999996</v>
      </c>
      <c r="BS37" s="1546">
        <f t="shared" si="107"/>
        <v>30.271999999999988</v>
      </c>
      <c r="BT37" s="1547">
        <f t="shared" si="107"/>
        <v>102.072</v>
      </c>
      <c r="BU37" s="1546">
        <f t="shared" si="107"/>
        <v>32.378000000000014</v>
      </c>
      <c r="BV37" s="1546">
        <f t="shared" si="107"/>
        <v>35.311000000000014</v>
      </c>
      <c r="BW37" s="1546">
        <f t="shared" si="107"/>
        <v>40.638999999999996</v>
      </c>
      <c r="BX37" s="1546">
        <f t="shared" si="107"/>
        <v>47.061999999999998</v>
      </c>
      <c r="BY37" s="1547">
        <f t="shared" si="107"/>
        <v>155.39000000000001</v>
      </c>
      <c r="BZ37" s="1546">
        <f t="shared" si="107"/>
        <v>62.269000000000005</v>
      </c>
      <c r="CA37" s="1546">
        <f t="shared" si="107"/>
        <v>69.133999999999986</v>
      </c>
      <c r="CB37" s="1546">
        <f t="shared" si="107"/>
        <v>76.972999999999956</v>
      </c>
      <c r="CC37" s="1546">
        <f t="shared" si="107"/>
        <v>84.1</v>
      </c>
      <c r="CD37" s="1547">
        <f t="shared" si="107"/>
        <v>292.47599999999994</v>
      </c>
      <c r="CE37" s="1546">
        <f t="shared" si="107"/>
        <v>91.378000000000029</v>
      </c>
      <c r="CF37" s="1546">
        <f t="shared" si="107"/>
        <v>99.533999999999992</v>
      </c>
      <c r="CG37" s="1546">
        <f t="shared" si="107"/>
        <v>106.036</v>
      </c>
      <c r="CH37" s="1546">
        <f t="shared" si="107"/>
        <v>111.66</v>
      </c>
      <c r="CI37" s="1547">
        <f t="shared" si="107"/>
        <v>408.60800000000006</v>
      </c>
      <c r="CJ37" s="1546">
        <f t="shared" si="107"/>
        <v>117.27200000000002</v>
      </c>
      <c r="CK37" s="1546">
        <f t="shared" si="107"/>
        <v>129.28399999999996</v>
      </c>
      <c r="CL37" s="1546">
        <f t="shared" si="107"/>
        <v>142.08600000000001</v>
      </c>
      <c r="CM37" s="1546">
        <f t="shared" si="107"/>
        <v>144.37900000000002</v>
      </c>
      <c r="CN37" s="1547">
        <f t="shared" si="107"/>
        <v>533.02099999999996</v>
      </c>
      <c r="CO37" s="1546">
        <f t="shared" si="107"/>
        <v>162.327</v>
      </c>
      <c r="CP37" s="1546">
        <f t="shared" si="107"/>
        <v>177.40600000000001</v>
      </c>
      <c r="CQ37" s="1546">
        <f>CQ19-CQ24</f>
        <v>186.82799999999997</v>
      </c>
      <c r="CR37" s="1546">
        <f>CR19-CR24</f>
        <v>193.244</v>
      </c>
      <c r="CS37" s="1547">
        <f t="shared" si="107"/>
        <v>719.80500000000018</v>
      </c>
      <c r="CT37" s="1546">
        <f t="shared" ref="CT37:DE37" si="108">CT19-CT24</f>
        <v>206.73500000000001</v>
      </c>
      <c r="CU37" s="1546">
        <f t="shared" si="108"/>
        <v>216.42</v>
      </c>
      <c r="CV37" s="1546">
        <f t="shared" si="108"/>
        <v>225.01599999999996</v>
      </c>
      <c r="CW37" s="1546">
        <f t="shared" si="108"/>
        <v>239.68599999999998</v>
      </c>
      <c r="CX37" s="1546">
        <f t="shared" si="108"/>
        <v>240.88799999999992</v>
      </c>
      <c r="CY37" s="1546">
        <f t="shared" si="108"/>
        <v>248.035</v>
      </c>
      <c r="CZ37" s="1546">
        <f t="shared" si="108"/>
        <v>248.44500000000008</v>
      </c>
      <c r="DA37" s="1546">
        <f t="shared" si="108"/>
        <v>263.53000000000003</v>
      </c>
      <c r="DB37" s="1546">
        <f t="shared" si="108"/>
        <v>260.38800000000003</v>
      </c>
      <c r="DC37" s="1546">
        <f t="shared" si="108"/>
        <v>275.27700000000004</v>
      </c>
      <c r="DD37" s="1546">
        <f t="shared" si="108"/>
        <v>283.86099999999999</v>
      </c>
      <c r="DE37" s="1546">
        <f t="shared" si="108"/>
        <v>294.36500000000001</v>
      </c>
      <c r="DF37" s="1546">
        <f t="shared" ref="DF37:DK37" si="109">DF19-DF24</f>
        <v>305.74799999999999</v>
      </c>
      <c r="DG37" s="1546">
        <f t="shared" si="109"/>
        <v>311.26199999999989</v>
      </c>
      <c r="DH37" s="1546">
        <f t="shared" si="109"/>
        <v>321.47200000000004</v>
      </c>
      <c r="DI37" s="1546">
        <f t="shared" si="109"/>
        <v>333.14499999999987</v>
      </c>
      <c r="DJ37" s="1546">
        <f t="shared" si="109"/>
        <v>380.65000000000003</v>
      </c>
      <c r="DK37" s="1546">
        <f t="shared" si="109"/>
        <v>420.291</v>
      </c>
      <c r="DL37" s="1546">
        <f t="shared" ref="DL37:DQ37" si="110">DL19-DL24</f>
        <v>420.04199999999992</v>
      </c>
      <c r="DM37" s="1546">
        <f t="shared" si="110"/>
        <v>436.49099999999999</v>
      </c>
      <c r="DN37" s="1546">
        <f t="shared" si="110"/>
        <v>427.57400000000013</v>
      </c>
      <c r="DO37" s="1546">
        <f t="shared" si="110"/>
        <v>509.30799999999999</v>
      </c>
      <c r="DP37" s="1546">
        <f t="shared" si="110"/>
        <v>550.31899999999996</v>
      </c>
      <c r="DQ37" s="1546">
        <f t="shared" si="110"/>
        <v>564.84</v>
      </c>
      <c r="DR37" s="2253">
        <f t="shared" ref="DR37:DU37" ca="1" si="111">DR19-DR24+DR33-DR34</f>
        <v>559.16151049800044</v>
      </c>
      <c r="DS37" s="2253">
        <f t="shared" ca="1" si="111"/>
        <v>589.79672695274871</v>
      </c>
      <c r="DT37" s="2253">
        <f t="shared" ca="1" si="111"/>
        <v>612.0595990789991</v>
      </c>
      <c r="DU37" s="2253">
        <f t="shared" ca="1" si="111"/>
        <v>635.1834753594344</v>
      </c>
      <c r="DV37" s="54"/>
      <c r="DW37" s="54"/>
      <c r="DX37" s="54"/>
      <c r="DY37" s="54"/>
    </row>
    <row r="38" spans="2:135" customFormat="1" ht="12.75" customHeight="1">
      <c r="B38" s="122"/>
      <c r="C38" s="122"/>
      <c r="D38" s="122"/>
      <c r="E38" s="842"/>
      <c r="F38" s="842"/>
      <c r="G38" s="842"/>
      <c r="H38" s="842"/>
      <c r="I38" s="842"/>
      <c r="J38" s="842"/>
      <c r="K38" s="842"/>
      <c r="L38" s="842"/>
      <c r="M38" s="842"/>
      <c r="N38" s="1531"/>
      <c r="O38" s="1531"/>
      <c r="P38" s="1531"/>
      <c r="Q38" s="1531"/>
      <c r="R38" s="1531"/>
      <c r="S38" s="1531"/>
      <c r="T38" s="1531"/>
      <c r="U38" s="1531"/>
      <c r="V38" s="1531"/>
      <c r="W38" s="1531"/>
      <c r="X38" s="1531"/>
      <c r="Y38" s="1531"/>
      <c r="Z38" s="1531"/>
      <c r="AA38" s="1531"/>
      <c r="AB38" s="1531"/>
      <c r="AC38" s="1531"/>
      <c r="AD38" s="1531"/>
      <c r="AE38" s="1531"/>
      <c r="AF38" s="1483"/>
      <c r="AG38" s="1531"/>
      <c r="AH38" s="1531"/>
      <c r="AI38" s="1531"/>
      <c r="AJ38" s="1531"/>
      <c r="AK38" s="1536"/>
      <c r="AL38" s="1531"/>
      <c r="AM38" s="1531"/>
      <c r="AN38" s="1531"/>
      <c r="AO38" s="1531"/>
      <c r="AP38" s="1536"/>
      <c r="AQ38" s="1531"/>
      <c r="AR38" s="1531"/>
      <c r="AS38" s="1531"/>
      <c r="AT38" s="1531"/>
      <c r="AU38" s="1536"/>
      <c r="AV38" s="1531"/>
      <c r="AW38" s="1531"/>
      <c r="AX38" s="1531"/>
      <c r="AY38" s="1531"/>
      <c r="AZ38" s="1536"/>
      <c r="BA38" s="1531"/>
      <c r="BB38" s="1531"/>
      <c r="BC38" s="1531"/>
      <c r="BD38" s="1531"/>
      <c r="BE38" s="1536"/>
      <c r="BF38" s="1531"/>
      <c r="BG38" s="1531"/>
      <c r="BH38" s="1531"/>
      <c r="BI38" s="1531"/>
      <c r="BJ38" s="1536"/>
      <c r="BK38" s="1531"/>
      <c r="BL38" s="1531"/>
      <c r="BM38" s="1531"/>
      <c r="BN38" s="1531"/>
      <c r="BO38" s="1536"/>
      <c r="BP38" s="1531"/>
      <c r="BQ38" s="1531"/>
      <c r="BR38" s="1531"/>
      <c r="BS38" s="1531"/>
      <c r="BT38" s="1536"/>
      <c r="BU38" s="1531"/>
      <c r="BV38" s="1531"/>
      <c r="BW38" s="1531"/>
      <c r="BX38" s="1531"/>
      <c r="BY38" s="1536"/>
      <c r="BZ38" s="1531"/>
      <c r="CA38" s="1531"/>
      <c r="CB38" s="1531"/>
      <c r="CC38" s="1531"/>
      <c r="CD38" s="1536"/>
      <c r="CE38" s="1531"/>
      <c r="CF38" s="1531"/>
      <c r="CG38" s="1531"/>
      <c r="CH38" s="1531"/>
      <c r="CI38" s="1536"/>
      <c r="CJ38" s="1531"/>
      <c r="CK38" s="1531"/>
      <c r="CL38" s="1531"/>
      <c r="CM38" s="1531"/>
      <c r="CN38" s="1532"/>
      <c r="CO38" s="1531"/>
      <c r="CP38" s="1531"/>
      <c r="CQ38" s="1531"/>
      <c r="CR38" s="1531"/>
      <c r="CS38" s="1532"/>
      <c r="CT38" s="1531"/>
      <c r="CU38" s="1531"/>
      <c r="CV38" s="1531"/>
      <c r="CW38" s="1531"/>
      <c r="CX38" s="1531"/>
      <c r="CY38" s="1531"/>
      <c r="CZ38" s="1531"/>
      <c r="DA38" s="1531"/>
      <c r="DB38" s="1531"/>
      <c r="DC38" s="1531"/>
      <c r="DD38" s="1531"/>
      <c r="DE38" s="1531"/>
      <c r="DF38" s="1531"/>
      <c r="DG38" s="1531"/>
      <c r="DH38" s="1531"/>
      <c r="DI38" s="1531"/>
      <c r="DJ38" s="1531"/>
      <c r="DK38" s="1531"/>
      <c r="DL38" s="1531"/>
      <c r="DM38" s="1531"/>
      <c r="DN38" s="1531"/>
      <c r="DO38" s="1531"/>
      <c r="DP38" s="1531"/>
      <c r="DQ38" s="1531"/>
      <c r="DR38" s="1531"/>
      <c r="DS38" s="1531"/>
      <c r="DT38" s="1531"/>
      <c r="DU38" s="1531"/>
      <c r="DV38" s="54"/>
      <c r="DW38" s="54"/>
      <c r="DX38" s="23"/>
      <c r="DY38" s="23"/>
    </row>
    <row r="39" spans="2:135" customFormat="1">
      <c r="B39" s="189" t="s">
        <v>357</v>
      </c>
      <c r="C39" s="122"/>
      <c r="D39" s="122"/>
      <c r="E39" s="842"/>
      <c r="F39" s="842"/>
      <c r="G39" s="842"/>
      <c r="H39" s="842"/>
      <c r="I39" s="842"/>
      <c r="J39" s="842"/>
      <c r="K39" s="842"/>
      <c r="L39" s="842"/>
      <c r="M39" s="842"/>
      <c r="N39" s="842"/>
      <c r="O39" s="24"/>
      <c r="P39" s="855"/>
      <c r="Q39" s="23"/>
      <c r="R39" s="23"/>
      <c r="S39" s="23"/>
      <c r="T39" s="23"/>
      <c r="U39" s="23"/>
      <c r="V39" s="23"/>
      <c r="W39" s="23"/>
      <c r="X39" s="15"/>
      <c r="Y39" s="15"/>
      <c r="Z39" s="15"/>
      <c r="AA39" s="15"/>
      <c r="AB39" s="15"/>
      <c r="AC39" s="15"/>
      <c r="AD39" s="15"/>
      <c r="AE39" s="23"/>
      <c r="AF39" s="23"/>
      <c r="AG39" s="122"/>
      <c r="AH39" s="899" t="str">
        <f>IF(OR(ISERROR(AH37/AG37-1), AH37&lt;0, AG37&lt;0), "NM", AH37/AG37-1)</f>
        <v>NM</v>
      </c>
      <c r="AI39" s="899" t="str">
        <f>IF(OR(ISERROR(AI37/AH37-1), AI37&lt;0, AH37&lt;0), "NM", AI37/AH37-1)</f>
        <v>NM</v>
      </c>
      <c r="AJ39" s="899" t="str">
        <f>IF(OR(ISERROR(AJ37/AI37-1), AJ37&lt;0, AI37&lt;0), "NM", AJ37/AI37-1)</f>
        <v>NM</v>
      </c>
      <c r="AK39" s="1104"/>
      <c r="AL39" s="899" t="str">
        <f>IF(OR(ISERROR(AL37/AJ37-1), AL37&lt;0, AJ37&lt;0), "NM", AL37/AJ37-1)</f>
        <v>NM</v>
      </c>
      <c r="AM39" s="899" t="str">
        <f>IF(OR(ISERROR(AM37/AL37-1), AM37&lt;0, AL37&lt;0), "NM", AM37/AL37-1)</f>
        <v>NM</v>
      </c>
      <c r="AN39" s="899" t="str">
        <f>IF(OR(ISERROR(AN37/AM37-1), AN37&lt;0, AM37&lt;0), "NM", AN37/AM37-1)</f>
        <v>NM</v>
      </c>
      <c r="AO39" s="899" t="str">
        <f>IF(OR(ISERROR(AO37/AN37-1), AO37&lt;0, AN37&lt;0), "NM", AO37/AN37-1)</f>
        <v>NM</v>
      </c>
      <c r="AP39" s="1123" t="str">
        <f>IF(OR(ISERROR(AP37/AK37-1), AP37&lt;0, AK37&lt;0), "NM", AP37/AK37-1)</f>
        <v>NM</v>
      </c>
      <c r="AQ39" s="899" t="str">
        <f>IF(OR(ISERROR(AQ37/AO37-1), AQ37&lt;0, AO37&lt;0), "NM", AQ37/AO37-1)</f>
        <v>NM</v>
      </c>
      <c r="AR39" s="899" t="str">
        <f>IF(OR(ISERROR(AR37/AQ37-1), AR37&lt;0, AQ37&lt;0), "NM", AR37/AQ37-1)</f>
        <v>NM</v>
      </c>
      <c r="AS39" s="899" t="str">
        <f>IF(OR(ISERROR(AS37/AR37-1), AS37&lt;0, AR37&lt;0), "NM", AS37/AR37-1)</f>
        <v>NM</v>
      </c>
      <c r="AT39" s="899" t="str">
        <f>IF(OR(ISERROR(AT37/AS37-1), AT37&lt;0, AS37&lt;0), "NM", AT37/AS37-1)</f>
        <v>NM</v>
      </c>
      <c r="AU39" s="1123" t="str">
        <f>IF(OR(ISERROR(AU37/AP37-1), AU37&lt;0, AP37&lt;0), "NM", AU37/AP37-1)</f>
        <v>NM</v>
      </c>
      <c r="AV39" s="899" t="str">
        <f>IF(OR(ISERROR(AV37/AT37-1), AV37&lt;0, AT37&lt;0), "NM", AV37/AT37-1)</f>
        <v>NM</v>
      </c>
      <c r="AW39" s="899" t="str">
        <f>IF(OR(ISERROR(AW37/AV37-1), AW37&lt;0, AV37&lt;0), "NM", AW37/AV37-1)</f>
        <v>NM</v>
      </c>
      <c r="AX39" s="899" t="str">
        <f>IF(OR(ISERROR(AX37/AW37-1), AX37&lt;0, AW37&lt;0), "NM", AX37/AW37-1)</f>
        <v>NM</v>
      </c>
      <c r="AY39" s="899" t="str">
        <f>IF(OR(ISERROR(AY37/AX37-1), AY37&lt;0, AX37&lt;0), "NM", AY37/AX37-1)</f>
        <v>NM</v>
      </c>
      <c r="AZ39" s="1123" t="str">
        <f>IF(OR(ISERROR(AZ37/AU37-1), AZ37&lt;0, AU37&lt;0), "NM", AZ37/AU37-1)</f>
        <v>NM</v>
      </c>
      <c r="BA39" s="900" t="str">
        <f>IF(OR(ISERROR(BA37/AY37-1), BA37&lt;0, AY37&lt;0), "NM", BA37/AY37-1)</f>
        <v>NM</v>
      </c>
      <c r="BB39" s="900" t="str">
        <f>IF(OR(ISERROR(BB37/BA37-1), BB37&lt;0, BA37&lt;0), "NM", BB37/BA37-1)</f>
        <v>NM</v>
      </c>
      <c r="BC39" s="900">
        <f>IF(OR(ISERROR(BC37/BB37-1), BC37&lt;0, BB37&lt;0), "NM", BC37/BB37-1)</f>
        <v>3.775086505190413</v>
      </c>
      <c r="BD39" s="900">
        <f>IF(OR(ISERROR(BD37/BC37-1), BD37&lt;0, BC37&lt;0), "NM", BD37/BC37-1)</f>
        <v>1.2485507246376728</v>
      </c>
      <c r="BE39" s="1121" t="str">
        <f>IF(OR(ISERROR(BE37/AZ37-1), BE37&lt;0, AZ37&lt;0), "NM", BE37/AZ37-1)</f>
        <v>NM</v>
      </c>
      <c r="BF39" s="900">
        <f>IF(OR(ISERROR(BF37/BD37-1), BF37&lt;0, BD37&lt;0), "NM", BF37/BD37-1)</f>
        <v>0.82307444408637309</v>
      </c>
      <c r="BG39" s="900">
        <f>IF(OR(ISERROR(BG37/BF37-1), BG37&lt;0, BF37&lt;0), "NM", BG37/BF37-1)</f>
        <v>0.33074067526957673</v>
      </c>
      <c r="BH39" s="900">
        <f>IF(OR(ISERROR(BH37/BG37-1), BH37&lt;0, BG37&lt;0), "NM", BH37/BG37-1)</f>
        <v>0.33714133900106247</v>
      </c>
      <c r="BI39" s="900">
        <f>IF(OR(ISERROR(BI37/BH37-1), BI37&lt;0, BH37&lt;0), "NM", BI37/BH37-1)</f>
        <v>0.228193920127161</v>
      </c>
      <c r="BJ39" s="1121">
        <f>IF(OR(ISERROR(BJ37/BE37-1), BJ37&lt;0, BE37&lt;0), "NM", BJ37/BE37-1)</f>
        <v>19.974087161366391</v>
      </c>
      <c r="BK39" s="900">
        <f>IF(OR(ISERROR(BK37/BI37-1), BK37&lt;0, BI37&lt;0), "NM", BK37/BI37-1)</f>
        <v>0.15966998301383128</v>
      </c>
      <c r="BL39" s="900">
        <f>IF(OR(ISERROR(BL37/BK37-1), BL37&lt;0, BK37&lt;0), "NM", BL37/BK37-1)</f>
        <v>0.11982981097858691</v>
      </c>
      <c r="BM39" s="900">
        <f>IF(OR(ISERROR(BM37/BL37-1), BM37&lt;0, BL37&lt;0), "NM", BM37/BL37-1)</f>
        <v>0.11610090314543742</v>
      </c>
      <c r="BN39" s="900">
        <f>IF(OR(ISERROR(BN37/BM37-1), BN37&lt;0, BM37&lt;0), "NM", BN37/BM37-1)</f>
        <v>0.21814833417043356</v>
      </c>
      <c r="BO39" s="1121">
        <f>IF(OR(ISERROR(BO37/BJ37-1), BO37&lt;0, BJ37&lt;0), "NM", BO37/BJ37-1)</f>
        <v>0.96942213736171201</v>
      </c>
      <c r="BP39" s="900">
        <f>IF(OR(ISERROR(BP37/BN37-1), BP37&lt;0, BN37&lt;0), "NM", BP37/BN37-1)</f>
        <v>4.6133406633681817E-2</v>
      </c>
      <c r="BQ39" s="900">
        <f>IF(OR(ISERROR(BQ37/BP37-1), BQ37&lt;0, BP37&lt;0), "NM", BQ37/BP37-1)</f>
        <v>5.2682285964528175E-2</v>
      </c>
      <c r="BR39" s="900">
        <f>IF(OR(ISERROR(BR37/BQ37-1), BR37&lt;0, BQ37&lt;0), "NM", BR37/BQ37-1)</f>
        <v>3.6983110075713199E-2</v>
      </c>
      <c r="BS39" s="900">
        <f>IF(OR(ISERROR(BS37/BR37-1), BS37&lt;0, BR37&lt;0), "NM", BS37/BR37-1)</f>
        <v>0.21442612428290575</v>
      </c>
      <c r="BT39" s="1121">
        <f>IF(OR(ISERROR(BT37/BO37-1), BT37&lt;0, BO37&lt;0), "NM", BT37/BO37-1)</f>
        <v>0.45528165499935858</v>
      </c>
      <c r="BU39" s="900">
        <f>IF(OR(ISERROR(BU37/BS37-1), BU37&lt;0, BS37&lt;0), "NM", BU37/BS37-1)</f>
        <v>6.9569238900635044E-2</v>
      </c>
      <c r="BV39" s="900">
        <f>IF(OR(ISERROR(BV37/BU37-1), BV37&lt;0, BU37&lt;0), "NM", BV37/BU37-1)</f>
        <v>9.0586200506516779E-2</v>
      </c>
      <c r="BW39" s="900">
        <f>IF(OR(ISERROR(BW37/BV37-1), BW37&lt;0, BV37&lt;0), "NM", BW37/BV37-1)</f>
        <v>0.15088782532355305</v>
      </c>
      <c r="BX39" s="900">
        <f>IF(OR(ISERROR(BX37/BW37-1), BX37&lt;0, BW37&lt;0), "NM", BX37/BW37-1)</f>
        <v>0.15805014887177338</v>
      </c>
      <c r="BY39" s="1121">
        <f>IF(OR(ISERROR(BY37/BT37-1), BY37&lt;0, BT37&lt;0), "NM", BY37/BT37-1)</f>
        <v>0.52235676777176909</v>
      </c>
      <c r="BZ39" s="900">
        <f>IF(OR(ISERROR(BZ37/BX37-1), BZ37&lt;0, BX37&lt;0), "NM", BZ37/BX37-1)</f>
        <v>0.32312693893162225</v>
      </c>
      <c r="CA39" s="900">
        <f>IF(OR(ISERROR(CA37/BZ37-1), CA37&lt;0, BZ37&lt;0), "NM", CA37/BZ37-1)</f>
        <v>0.11024747466636664</v>
      </c>
      <c r="CB39" s="900">
        <f>IF(OR(ISERROR(CB37/CA37-1), CB37&lt;0, CA37&lt;0), "NM", CB37/CA37-1)</f>
        <v>0.11338849191425315</v>
      </c>
      <c r="CC39" s="900">
        <f>IF(OR(ISERROR(CC37/CB37-1), CC37&lt;0, CB37&lt;0), "NM", CC37/CB37-1)</f>
        <v>9.2590908500383762E-2</v>
      </c>
      <c r="CD39" s="1121">
        <f>IF(OR(ISERROR(CD37/BY37-1), CD37&lt;0, BY37&lt;0), "NM", CD37/BY37-1)</f>
        <v>0.88220606216616204</v>
      </c>
      <c r="CE39" s="900">
        <f>IF(OR(ISERROR(CE37/CC37-1), CE37&lt;0, CC37&lt;0), "NM", CE37/CC37-1)</f>
        <v>8.6539833531510624E-2</v>
      </c>
      <c r="CF39" s="900">
        <f>IF(OR(ISERROR(CF37/CE37-1), CF37&lt;0, CE37&lt;0), "NM", CF37/CE37-1)</f>
        <v>8.9255619514543527E-2</v>
      </c>
      <c r="CG39" s="900">
        <f>IF(OR(ISERROR(CG37/CF37-1), CG37&lt;0, CF37&lt;0), "NM", CG37/CF37-1)</f>
        <v>6.5324411758796108E-2</v>
      </c>
      <c r="CH39" s="900">
        <f>IF(OR(ISERROR(CH37/CG37-1), CH37&lt;0, CG37&lt;0), "NM", CH37/CG37-1)</f>
        <v>5.3038590667320529E-2</v>
      </c>
      <c r="CI39" s="1121">
        <f>IF(OR(ISERROR(CI37/CD37-1), CI37&lt;0, CD37&lt;0), "NM", CI37/CD37-1)</f>
        <v>0.39706505832957273</v>
      </c>
      <c r="CJ39" s="900">
        <f>IF(OR(ISERROR(CJ37/CH37-1), CJ37&lt;0, CH37&lt;0), "NM", CJ37/CH37-1)</f>
        <v>5.0259716998029891E-2</v>
      </c>
      <c r="CK39" s="900">
        <f>IF(OR(ISERROR(CK37/CJ37-1), CK37&lt;0, CJ37&lt;0), "NM", CK37/CJ37-1)</f>
        <v>0.1024285421925093</v>
      </c>
      <c r="CL39" s="900">
        <f>IF(OR(ISERROR(CL37/CK37-1), CL37&lt;0, CK37&lt;0), "NM", CL37/CK37-1)</f>
        <v>9.9022307478110694E-2</v>
      </c>
      <c r="CM39" s="900">
        <f>IF(OR(ISERROR(CM37/CL37-1), CM37&lt;0, CL37&lt;0), "NM", CM37/CL37-1)</f>
        <v>1.6138113536872112E-2</v>
      </c>
      <c r="CN39" s="1121">
        <f>IF(OR(ISERROR(CN37/CI37-1), CN37&lt;0, CI37&lt;0), "NM", CN37/CI37-1)</f>
        <v>0.30448008849557495</v>
      </c>
      <c r="CO39" s="900">
        <f>IF(OR(ISERROR(CO37/CM37-1), CO37&lt;0, CM37&lt;0), "NM", CO37/CM37-1)</f>
        <v>0.12431170738126718</v>
      </c>
      <c r="CP39" s="900">
        <f>IF(OR(ISERROR(CP37/CO37-1), CP37&lt;0, CO37&lt;0), "NM", CP37/CO37-1)</f>
        <v>9.2892741195241824E-2</v>
      </c>
      <c r="CQ39" s="900">
        <f>IF(OR(ISERROR(CQ37/CP37-1), CQ37&lt;0, CP37&lt;0), "NM", CQ37/CP37-1)</f>
        <v>5.3109815902505852E-2</v>
      </c>
      <c r="CR39" s="900">
        <f>IF(OR(ISERROR(CR37/CQ37-1), CR37&lt;0, CQ37&lt;0), "NM", CR37/CQ37-1)</f>
        <v>3.4341747489669672E-2</v>
      </c>
      <c r="CS39" s="1121">
        <f>IF(OR(ISERROR(CS37/CM37-1), CS37&lt;0, CM37&lt;0), "NM", CS37/CM37-1)</f>
        <v>3.985524210584642</v>
      </c>
      <c r="CT39" s="900">
        <f t="shared" ref="CT39:DQ39" si="112">IF(OR(ISERROR(CT37/CR37-1), CT37&lt;0, CR37&lt;0), "NM", CT37/CR37-1)</f>
        <v>6.981329303885242E-2</v>
      </c>
      <c r="CU39" s="900">
        <f t="shared" si="112"/>
        <v>-0.69933523662658648</v>
      </c>
      <c r="CV39" s="900">
        <f t="shared" si="112"/>
        <v>8.8427213582605413E-2</v>
      </c>
      <c r="CW39" s="900">
        <f t="shared" si="112"/>
        <v>0.10750392754828564</v>
      </c>
      <c r="CX39" s="900">
        <f t="shared" si="112"/>
        <v>7.0537206243111328E-2</v>
      </c>
      <c r="CY39" s="900">
        <f t="shared" si="112"/>
        <v>3.4833073270862824E-2</v>
      </c>
      <c r="CZ39" s="900">
        <f t="shared" si="112"/>
        <v>3.1371425724818769E-2</v>
      </c>
      <c r="DA39" s="900">
        <f t="shared" si="112"/>
        <v>6.2471022234765305E-2</v>
      </c>
      <c r="DB39" s="900">
        <f t="shared" si="112"/>
        <v>4.8071001630139332E-2</v>
      </c>
      <c r="DC39" s="900">
        <f t="shared" si="112"/>
        <v>4.4575570143816634E-2</v>
      </c>
      <c r="DD39" s="900">
        <f t="shared" si="112"/>
        <v>9.0146243298462103E-2</v>
      </c>
      <c r="DE39" s="900">
        <f t="shared" si="112"/>
        <v>6.9341063728535213E-2</v>
      </c>
      <c r="DF39" s="900">
        <f t="shared" si="112"/>
        <v>7.7104639242446149E-2</v>
      </c>
      <c r="DG39" s="900">
        <f t="shared" si="112"/>
        <v>5.7401525317207769E-2</v>
      </c>
      <c r="DH39" s="900">
        <f t="shared" si="112"/>
        <v>5.142797336368532E-2</v>
      </c>
      <c r="DI39" s="900">
        <f t="shared" si="112"/>
        <v>7.0304116789071447E-2</v>
      </c>
      <c r="DJ39" s="900">
        <f t="shared" si="112"/>
        <v>0.18408446147720481</v>
      </c>
      <c r="DK39" s="900">
        <f t="shared" si="112"/>
        <v>0.26158579597472631</v>
      </c>
      <c r="DL39" s="900">
        <f t="shared" si="112"/>
        <v>0.10348614212531171</v>
      </c>
      <c r="DM39" s="900">
        <f t="shared" si="112"/>
        <v>3.8544722585066138E-2</v>
      </c>
      <c r="DN39" s="900">
        <f t="shared" si="112"/>
        <v>1.7931540179315864E-2</v>
      </c>
      <c r="DO39" s="900">
        <f t="shared" si="112"/>
        <v>0.16682360002840846</v>
      </c>
      <c r="DP39" s="900">
        <f t="shared" si="112"/>
        <v>0.28707311482924536</v>
      </c>
      <c r="DQ39" s="900">
        <f t="shared" si="112"/>
        <v>0.10903421897947818</v>
      </c>
      <c r="DR39" s="900">
        <f t="shared" ref="DR39:DU39" ca="1" si="113">IF(OR(ISERROR(DR37/DQ37-1), DR37&lt;0, DQ37&lt;0), "NM", DR37/DQ37-1)</f>
        <v>-1.0053270841299478E-2</v>
      </c>
      <c r="DS39" s="900">
        <f t="shared" ca="1" si="113"/>
        <v>5.4787777555475703E-2</v>
      </c>
      <c r="DT39" s="900">
        <f t="shared" ca="1" si="113"/>
        <v>3.7746686458017598E-2</v>
      </c>
      <c r="DU39" s="900">
        <f t="shared" ca="1" si="113"/>
        <v>3.7780432355331239E-2</v>
      </c>
      <c r="DV39" s="54"/>
      <c r="DW39" s="54"/>
      <c r="DX39" s="900"/>
      <c r="DY39" s="900"/>
    </row>
    <row r="40" spans="2:135" customFormat="1">
      <c r="B40" s="189" t="s">
        <v>358</v>
      </c>
      <c r="C40" s="122"/>
      <c r="D40" s="122"/>
      <c r="E40" s="842"/>
      <c r="F40" s="842"/>
      <c r="G40" s="842"/>
      <c r="H40" s="842"/>
      <c r="I40" s="799">
        <f t="shared" ref="I40:O40" si="114">I37/H37-1</f>
        <v>19.974087161366214</v>
      </c>
      <c r="J40" s="799">
        <f t="shared" si="114"/>
        <v>0.9694221373617129</v>
      </c>
      <c r="K40" s="799">
        <f t="shared" si="114"/>
        <v>0.4552816549993588</v>
      </c>
      <c r="L40" s="799">
        <f t="shared" si="114"/>
        <v>0.52235676777176887</v>
      </c>
      <c r="M40" s="799">
        <f t="shared" si="114"/>
        <v>0.88220606216616138</v>
      </c>
      <c r="N40" s="799">
        <f t="shared" si="114"/>
        <v>0.39706505832957273</v>
      </c>
      <c r="O40" s="799">
        <f t="shared" si="114"/>
        <v>0.30448008849557495</v>
      </c>
      <c r="P40" s="799">
        <f t="shared" ref="P40:Z40" si="115">P36/O36-1</f>
        <v>0.43640686176845267</v>
      </c>
      <c r="Q40" s="799">
        <f t="shared" si="115"/>
        <v>0.24101344496168431</v>
      </c>
      <c r="R40" s="799">
        <f t="shared" si="115"/>
        <v>0.12010548788145203</v>
      </c>
      <c r="S40" s="799">
        <f t="shared" si="115"/>
        <v>0.11374644034352044</v>
      </c>
      <c r="T40" s="799">
        <f t="shared" si="115"/>
        <v>0.10356001389175584</v>
      </c>
      <c r="U40" s="799">
        <f t="shared" si="115"/>
        <v>0.34086097324475362</v>
      </c>
      <c r="V40" s="799">
        <f t="shared" si="115"/>
        <v>0.25032127008660865</v>
      </c>
      <c r="W40" s="799">
        <f t="shared" ca="1" si="115"/>
        <v>0.19891734606969047</v>
      </c>
      <c r="X40" s="799">
        <f t="shared" ca="1" si="115"/>
        <v>8.4879856219834515E-2</v>
      </c>
      <c r="Y40" s="799">
        <f t="shared" ca="1" si="115"/>
        <v>8.5549864270210607E-2</v>
      </c>
      <c r="Z40" s="799">
        <f t="shared" ca="1" si="115"/>
        <v>7.5224222858153E-2</v>
      </c>
      <c r="AA40" s="799">
        <f t="shared" ref="AA40" ca="1" si="116">AA36/Z36-1</f>
        <v>7.0306705258571967E-2</v>
      </c>
      <c r="AB40" s="799">
        <f t="shared" ref="AB40" ca="1" si="117">AB36/AA36-1</f>
        <v>6.5964773035072088E-2</v>
      </c>
      <c r="AC40" s="799">
        <f t="shared" ref="AC40" ca="1" si="118">AC36/AB36-1</f>
        <v>6.210621242471559E-2</v>
      </c>
      <c r="AD40" s="799">
        <f t="shared" ref="AD40" ca="1" si="119">AD36/AC36-1</f>
        <v>5.8656130507257709E-2</v>
      </c>
      <c r="AE40" s="799"/>
      <c r="AF40" s="23"/>
      <c r="AG40" s="122"/>
      <c r="AH40" s="122"/>
      <c r="AI40" s="122"/>
      <c r="AJ40" s="122"/>
      <c r="AK40" s="1104"/>
      <c r="AL40" s="900" t="str">
        <f t="shared" ref="AL40:BQ40" si="120">IF(OR(ISERROR(AL37/AG37-1), AL37&lt;0, AG37&lt;0), "NM", AL37/AG37-1)</f>
        <v>NM</v>
      </c>
      <c r="AM40" s="900" t="str">
        <f t="shared" si="120"/>
        <v>NM</v>
      </c>
      <c r="AN40" s="900" t="str">
        <f t="shared" si="120"/>
        <v>NM</v>
      </c>
      <c r="AO40" s="900" t="str">
        <f t="shared" si="120"/>
        <v>NM</v>
      </c>
      <c r="AP40" s="1121" t="str">
        <f t="shared" si="120"/>
        <v>NM</v>
      </c>
      <c r="AQ40" s="900" t="str">
        <f t="shared" si="120"/>
        <v>NM</v>
      </c>
      <c r="AR40" s="900" t="str">
        <f t="shared" si="120"/>
        <v>NM</v>
      </c>
      <c r="AS40" s="900" t="str">
        <f t="shared" si="120"/>
        <v>NM</v>
      </c>
      <c r="AT40" s="900" t="str">
        <f t="shared" si="120"/>
        <v>NM</v>
      </c>
      <c r="AU40" s="1121" t="str">
        <f t="shared" si="120"/>
        <v>NM</v>
      </c>
      <c r="AV40" s="900" t="str">
        <f t="shared" si="120"/>
        <v>NM</v>
      </c>
      <c r="AW40" s="900" t="str">
        <f t="shared" si="120"/>
        <v>NM</v>
      </c>
      <c r="AX40" s="900" t="str">
        <f t="shared" si="120"/>
        <v>NM</v>
      </c>
      <c r="AY40" s="900" t="str">
        <f t="shared" si="120"/>
        <v>NM</v>
      </c>
      <c r="AZ40" s="1121" t="str">
        <f t="shared" si="120"/>
        <v>NM</v>
      </c>
      <c r="BA40" s="900" t="str">
        <f t="shared" si="120"/>
        <v>NM</v>
      </c>
      <c r="BB40" s="900" t="str">
        <f t="shared" si="120"/>
        <v>NM</v>
      </c>
      <c r="BC40" s="900" t="str">
        <f t="shared" si="120"/>
        <v>NM</v>
      </c>
      <c r="BD40" s="900" t="str">
        <f t="shared" si="120"/>
        <v>NM</v>
      </c>
      <c r="BE40" s="1121" t="str">
        <f t="shared" si="120"/>
        <v>NM</v>
      </c>
      <c r="BF40" s="900" t="str">
        <f t="shared" si="120"/>
        <v>NM</v>
      </c>
      <c r="BG40" s="900">
        <f t="shared" si="120"/>
        <v>25.048442906574909</v>
      </c>
      <c r="BH40" s="900">
        <f t="shared" si="120"/>
        <v>6.2942028985507115</v>
      </c>
      <c r="BI40" s="900">
        <f t="shared" si="120"/>
        <v>2.9842088301643654</v>
      </c>
      <c r="BJ40" s="1121">
        <f t="shared" si="120"/>
        <v>19.974087161366391</v>
      </c>
      <c r="BK40" s="900">
        <f t="shared" si="120"/>
        <v>1.5343821813682141</v>
      </c>
      <c r="BL40" s="900">
        <f t="shared" si="120"/>
        <v>1.1327045696068008</v>
      </c>
      <c r="BM40" s="900">
        <f t="shared" si="120"/>
        <v>0.7801510033777066</v>
      </c>
      <c r="BN40" s="900">
        <f t="shared" si="120"/>
        <v>0.76559087600096976</v>
      </c>
      <c r="BO40" s="1121">
        <f t="shared" si="120"/>
        <v>0.96942213736171201</v>
      </c>
      <c r="BP40" s="900">
        <f t="shared" si="120"/>
        <v>0.59273209179047237</v>
      </c>
      <c r="BQ40" s="900">
        <f t="shared" si="120"/>
        <v>0.49722827779507961</v>
      </c>
      <c r="BR40" s="900">
        <f t="shared" ref="BR40:CR40" si="121">IF(OR(ISERROR(BR37/BM37-1), BR37&lt;0, BM37&lt;0), "NM", BR37/BM37-1)</f>
        <v>0.39109325297170594</v>
      </c>
      <c r="BS40" s="900">
        <f t="shared" si="121"/>
        <v>0.38684258750229028</v>
      </c>
      <c r="BT40" s="1121">
        <f t="shared" si="121"/>
        <v>0.45528165499935858</v>
      </c>
      <c r="BU40" s="900">
        <f t="shared" si="121"/>
        <v>0.41791110137946186</v>
      </c>
      <c r="BV40" s="900">
        <f t="shared" si="121"/>
        <v>0.46896580414343991</v>
      </c>
      <c r="BW40" s="900">
        <f t="shared" si="121"/>
        <v>0.63032053596501791</v>
      </c>
      <c r="BX40" s="900">
        <f t="shared" si="121"/>
        <v>0.55463794926004284</v>
      </c>
      <c r="BY40" s="1121">
        <f t="shared" si="121"/>
        <v>0.52235676777176909</v>
      </c>
      <c r="BZ40" s="900">
        <f t="shared" si="121"/>
        <v>0.92318858484155841</v>
      </c>
      <c r="CA40" s="900">
        <f t="shared" si="121"/>
        <v>0.95786015689161896</v>
      </c>
      <c r="CB40" s="900">
        <f t="shared" si="121"/>
        <v>0.8940672752774419</v>
      </c>
      <c r="CC40" s="900">
        <f t="shared" si="121"/>
        <v>0.78700437720453875</v>
      </c>
      <c r="CD40" s="1121">
        <f t="shared" si="121"/>
        <v>0.88220606216616204</v>
      </c>
      <c r="CE40" s="900">
        <f t="shared" si="121"/>
        <v>0.46747177568292431</v>
      </c>
      <c r="CF40" s="900">
        <f t="shared" si="121"/>
        <v>0.43972574999276781</v>
      </c>
      <c r="CG40" s="900">
        <f t="shared" si="121"/>
        <v>0.37757395450352793</v>
      </c>
      <c r="CH40" s="900">
        <f t="shared" si="121"/>
        <v>0.3277051129607611</v>
      </c>
      <c r="CI40" s="1121">
        <f t="shared" si="121"/>
        <v>0.39706505832957273</v>
      </c>
      <c r="CJ40" s="900">
        <f t="shared" si="121"/>
        <v>0.28337236533957832</v>
      </c>
      <c r="CK40" s="900">
        <f t="shared" si="121"/>
        <v>0.29889284063736987</v>
      </c>
      <c r="CL40" s="900">
        <f t="shared" si="121"/>
        <v>0.33997887509902314</v>
      </c>
      <c r="CM40" s="900">
        <f t="shared" si="121"/>
        <v>0.29302346408740831</v>
      </c>
      <c r="CN40" s="1121">
        <f t="shared" si="121"/>
        <v>0.30448008849557495</v>
      </c>
      <c r="CO40" s="900">
        <f t="shared" si="121"/>
        <v>0.38419230506855828</v>
      </c>
      <c r="CP40" s="900">
        <f t="shared" si="121"/>
        <v>0.37221930014541682</v>
      </c>
      <c r="CQ40" s="900">
        <f t="shared" si="121"/>
        <v>0.31489379671466544</v>
      </c>
      <c r="CR40" s="900">
        <f t="shared" si="121"/>
        <v>0.33844949750309938</v>
      </c>
      <c r="CS40" s="1121">
        <f>IF(OR(ISERROR(CS37/CM37-1), CS37&lt;0, CM37&lt;0), "NM", CS37/CM37-1)</f>
        <v>3.985524210584642</v>
      </c>
      <c r="CT40" s="900">
        <f t="shared" ref="CT40:DQ40" si="122">IF(OR(ISERROR(CT37/CO37-1), CT37&lt;0, CO37&lt;0), "NM", CT37/CO37-1)</f>
        <v>0.27357124815957912</v>
      </c>
      <c r="CU40" s="900">
        <f t="shared" si="122"/>
        <v>0.21991364440886985</v>
      </c>
      <c r="CV40" s="900">
        <f t="shared" si="122"/>
        <v>0.20440190977797768</v>
      </c>
      <c r="CW40" s="900">
        <f t="shared" si="122"/>
        <v>0.24032828962348107</v>
      </c>
      <c r="CX40" s="900">
        <f t="shared" si="122"/>
        <v>-0.66534269698043236</v>
      </c>
      <c r="CY40" s="900">
        <f t="shared" si="122"/>
        <v>0.19977265581541581</v>
      </c>
      <c r="CZ40" s="900">
        <f t="shared" si="122"/>
        <v>0.14797615747158344</v>
      </c>
      <c r="DA40" s="900">
        <f t="shared" si="122"/>
        <v>0.17116116187293384</v>
      </c>
      <c r="DB40" s="900">
        <f t="shared" si="122"/>
        <v>8.6371335831045837E-2</v>
      </c>
      <c r="DC40" s="900">
        <f t="shared" si="122"/>
        <v>0.14275929062468928</v>
      </c>
      <c r="DD40" s="900">
        <f t="shared" si="122"/>
        <v>0.14443929284173596</v>
      </c>
      <c r="DE40" s="900">
        <f t="shared" si="122"/>
        <v>0.18482964036305782</v>
      </c>
      <c r="DF40" s="900">
        <f t="shared" si="122"/>
        <v>0.16020187454938695</v>
      </c>
      <c r="DG40" s="900">
        <f t="shared" si="122"/>
        <v>0.19537766717360183</v>
      </c>
      <c r="DH40" s="900">
        <f t="shared" si="122"/>
        <v>0.1678127849402602</v>
      </c>
      <c r="DI40" s="900">
        <f t="shared" si="122"/>
        <v>0.17362018734521434</v>
      </c>
      <c r="DJ40" s="900">
        <f t="shared" si="122"/>
        <v>0.29312248399096363</v>
      </c>
      <c r="DK40" s="900">
        <f t="shared" si="122"/>
        <v>0.37463204992346633</v>
      </c>
      <c r="DL40" s="900">
        <f t="shared" si="122"/>
        <v>0.34948050195655123</v>
      </c>
      <c r="DM40" s="900">
        <f t="shared" si="122"/>
        <v>0.35778854768066881</v>
      </c>
      <c r="DN40" s="900">
        <f t="shared" si="122"/>
        <v>0.28344714763841661</v>
      </c>
      <c r="DO40" s="900">
        <f t="shared" si="122"/>
        <v>0.33799553395507664</v>
      </c>
      <c r="DP40" s="900">
        <f t="shared" si="122"/>
        <v>0.30937612273401038</v>
      </c>
      <c r="DQ40" s="900">
        <f t="shared" si="122"/>
        <v>0.3447226705900841</v>
      </c>
      <c r="DR40" s="900">
        <f t="shared" ref="DR40:DU40" ca="1" si="123">IF(OR(ISERROR(DR37/DN37-1), DR37&lt;0, DN37&lt;0), "NM", DR37/DN37-1)</f>
        <v>0.30775377010295357</v>
      </c>
      <c r="DS40" s="900">
        <f t="shared" ca="1" si="123"/>
        <v>0.15803546567646443</v>
      </c>
      <c r="DT40" s="900">
        <f t="shared" ca="1" si="123"/>
        <v>0.11219056416187545</v>
      </c>
      <c r="DU40" s="900">
        <f t="shared" ca="1" si="123"/>
        <v>0.12453699341306268</v>
      </c>
      <c r="DV40" s="54"/>
      <c r="DW40" s="54"/>
      <c r="DX40" s="900"/>
      <c r="DY40" s="900"/>
    </row>
    <row r="41" spans="2:135" customFormat="1">
      <c r="B41" s="910" t="s">
        <v>359</v>
      </c>
      <c r="C41" s="911"/>
      <c r="D41" s="912" t="str">
        <f t="shared" ref="D41:AD41" si="124">IF(OR(ISERROR(D36/D15),D36&lt;0), "NM", D36/D15)</f>
        <v>NM</v>
      </c>
      <c r="E41" s="912" t="str">
        <f t="shared" si="124"/>
        <v>NM</v>
      </c>
      <c r="F41" s="912" t="str">
        <f t="shared" si="124"/>
        <v>NM</v>
      </c>
      <c r="G41" s="912" t="str">
        <f t="shared" si="124"/>
        <v>NM</v>
      </c>
      <c r="H41" s="912" t="str">
        <f t="shared" si="124"/>
        <v>NM</v>
      </c>
      <c r="I41" s="913">
        <f t="shared" si="124"/>
        <v>0.10057982171551462</v>
      </c>
      <c r="J41" s="913">
        <f t="shared" si="124"/>
        <v>0.12688130210760129</v>
      </c>
      <c r="K41" s="913">
        <f t="shared" si="124"/>
        <v>0.27159885315209636</v>
      </c>
      <c r="L41" s="913">
        <f t="shared" si="124"/>
        <v>0.27081217426962501</v>
      </c>
      <c r="M41" s="913">
        <f t="shared" si="124"/>
        <v>0.33241897031276602</v>
      </c>
      <c r="N41" s="913">
        <f t="shared" si="124"/>
        <v>0.40390522929511202</v>
      </c>
      <c r="O41" s="913">
        <f t="shared" si="124"/>
        <v>0.37343401765904766</v>
      </c>
      <c r="P41" s="913">
        <f t="shared" si="124"/>
        <v>0.40875241434490356</v>
      </c>
      <c r="Q41" s="913">
        <f t="shared" si="124"/>
        <v>0.42190851213536668</v>
      </c>
      <c r="R41" s="913">
        <f t="shared" si="124"/>
        <v>0.41432278287561214</v>
      </c>
      <c r="S41" s="913">
        <f t="shared" si="124"/>
        <v>0.40650018925637582</v>
      </c>
      <c r="T41" s="913">
        <f t="shared" si="124"/>
        <v>0.40217332687178076</v>
      </c>
      <c r="U41" s="913">
        <f t="shared" si="124"/>
        <v>0.40696331024263921</v>
      </c>
      <c r="V41" s="913">
        <f t="shared" si="124"/>
        <v>0.42072480077501562</v>
      </c>
      <c r="W41" s="913">
        <f t="shared" ca="1" si="124"/>
        <v>0.43727486286568196</v>
      </c>
      <c r="X41" s="913">
        <f t="shared" ca="1" si="124"/>
        <v>0.43459536036175955</v>
      </c>
      <c r="Y41" s="913">
        <f t="shared" ca="1" si="124"/>
        <v>0.43707157152712844</v>
      </c>
      <c r="Z41" s="913">
        <f t="shared" ca="1" si="124"/>
        <v>0.43946068458248527</v>
      </c>
      <c r="AA41" s="913">
        <f t="shared" ca="1" si="124"/>
        <v>0.44180119162247128</v>
      </c>
      <c r="AB41" s="913">
        <f t="shared" ca="1" si="124"/>
        <v>0.44410146005931483</v>
      </c>
      <c r="AC41" s="913">
        <f t="shared" ca="1" si="124"/>
        <v>0.44636807543010121</v>
      </c>
      <c r="AD41" s="913">
        <f t="shared" ca="1" si="124"/>
        <v>0.44860628107306083</v>
      </c>
      <c r="AE41" s="914"/>
      <c r="AF41" s="23"/>
      <c r="AG41" s="913" t="str">
        <f t="shared" ref="AG41:BL41" si="125">IF(OR(ISERROR(AG36/AG15),AG36&lt;0), "NM", AG36/AG15)</f>
        <v>NM</v>
      </c>
      <c r="AH41" s="913" t="str">
        <f t="shared" si="125"/>
        <v>NM</v>
      </c>
      <c r="AI41" s="913" t="str">
        <f t="shared" si="125"/>
        <v>NM</v>
      </c>
      <c r="AJ41" s="913" t="str">
        <f t="shared" si="125"/>
        <v>NM</v>
      </c>
      <c r="AK41" s="1108" t="str">
        <f t="shared" si="125"/>
        <v>NM</v>
      </c>
      <c r="AL41" s="913" t="str">
        <f t="shared" si="125"/>
        <v>NM</v>
      </c>
      <c r="AM41" s="913" t="str">
        <f t="shared" si="125"/>
        <v>NM</v>
      </c>
      <c r="AN41" s="913" t="str">
        <f t="shared" si="125"/>
        <v>NM</v>
      </c>
      <c r="AO41" s="913" t="str">
        <f t="shared" si="125"/>
        <v>NM</v>
      </c>
      <c r="AP41" s="1108" t="str">
        <f t="shared" si="125"/>
        <v>NM</v>
      </c>
      <c r="AQ41" s="913" t="str">
        <f t="shared" si="125"/>
        <v>NM</v>
      </c>
      <c r="AR41" s="913" t="str">
        <f t="shared" si="125"/>
        <v>NM</v>
      </c>
      <c r="AS41" s="913" t="str">
        <f t="shared" si="125"/>
        <v>NM</v>
      </c>
      <c r="AT41" s="913" t="str">
        <f t="shared" si="125"/>
        <v>NM</v>
      </c>
      <c r="AU41" s="1108" t="str">
        <f t="shared" si="125"/>
        <v>NM</v>
      </c>
      <c r="AV41" s="913" t="str">
        <f t="shared" si="125"/>
        <v>NM</v>
      </c>
      <c r="AW41" s="913" t="str">
        <f t="shared" si="125"/>
        <v>NM</v>
      </c>
      <c r="AX41" s="913" t="str">
        <f t="shared" si="125"/>
        <v>NM</v>
      </c>
      <c r="AY41" s="913" t="str">
        <f t="shared" si="125"/>
        <v>NM</v>
      </c>
      <c r="AZ41" s="1108" t="str">
        <f t="shared" si="125"/>
        <v>NM</v>
      </c>
      <c r="BA41" s="913" t="str">
        <f t="shared" si="125"/>
        <v>NM</v>
      </c>
      <c r="BB41" s="913" t="str">
        <f t="shared" si="125"/>
        <v>NM</v>
      </c>
      <c r="BC41" s="913">
        <f t="shared" si="125"/>
        <v>2.8720204405058462E-2</v>
      </c>
      <c r="BD41" s="913">
        <f t="shared" si="125"/>
        <v>7.1122639802135332E-2</v>
      </c>
      <c r="BE41" s="1108" t="str">
        <f t="shared" si="125"/>
        <v>NM</v>
      </c>
      <c r="BF41" s="913">
        <f t="shared" si="125"/>
        <v>0.13525258011950042</v>
      </c>
      <c r="BG41" s="913">
        <f t="shared" si="125"/>
        <v>0.1863125586586511</v>
      </c>
      <c r="BH41" s="913">
        <f t="shared" si="125"/>
        <v>0.23344093875916019</v>
      </c>
      <c r="BI41" s="913" t="str">
        <f t="shared" si="125"/>
        <v>NM</v>
      </c>
      <c r="BJ41" s="1108">
        <f t="shared" si="125"/>
        <v>0.10057982171551462</v>
      </c>
      <c r="BK41" s="913">
        <f t="shared" si="125"/>
        <v>0.24428970503656236</v>
      </c>
      <c r="BL41" s="913">
        <f t="shared" si="125"/>
        <v>0.25850340136054423</v>
      </c>
      <c r="BM41" s="913">
        <f t="shared" ref="BM41:CR41" si="126">IF(OR(ISERROR(BM36/BM15),BM36&lt;0), "NM", BM36/BM15)</f>
        <v>0.28506265491600108</v>
      </c>
      <c r="BN41" s="913" t="str">
        <f t="shared" si="126"/>
        <v>NM</v>
      </c>
      <c r="BO41" s="1108">
        <f t="shared" si="126"/>
        <v>0.12688130210760118</v>
      </c>
      <c r="BP41" s="913">
        <f t="shared" si="126"/>
        <v>0.23242226641384947</v>
      </c>
      <c r="BQ41" s="913">
        <f t="shared" si="126"/>
        <v>0.22088171792028949</v>
      </c>
      <c r="BR41" s="913">
        <f t="shared" si="126"/>
        <v>0.22400509996473425</v>
      </c>
      <c r="BS41" s="913">
        <f t="shared" si="126"/>
        <v>0.3892848760361205</v>
      </c>
      <c r="BT41" s="1108">
        <f t="shared" si="126"/>
        <v>0.27159885315209625</v>
      </c>
      <c r="BU41" s="913">
        <f t="shared" si="126"/>
        <v>0.2570820947255873</v>
      </c>
      <c r="BV41" s="913">
        <f t="shared" si="126"/>
        <v>0.27068610690680239</v>
      </c>
      <c r="BW41" s="913">
        <f t="shared" si="126"/>
        <v>0.29051280568884774</v>
      </c>
      <c r="BX41" s="913">
        <f t="shared" si="126"/>
        <v>0.26458035958879417</v>
      </c>
      <c r="BY41" s="1108">
        <f t="shared" si="126"/>
        <v>0.27081217426962489</v>
      </c>
      <c r="BZ41" s="913">
        <f t="shared" si="126"/>
        <v>0.3155646007407501</v>
      </c>
      <c r="CA41" s="913">
        <f t="shared" si="126"/>
        <v>0.30274813419822832</v>
      </c>
      <c r="CB41" s="913">
        <f t="shared" si="126"/>
        <v>0.34621601763409243</v>
      </c>
      <c r="CC41" s="913">
        <f t="shared" si="126"/>
        <v>0.3598800102788397</v>
      </c>
      <c r="CD41" s="1108">
        <f t="shared" si="126"/>
        <v>0.33241897031276602</v>
      </c>
      <c r="CE41" s="913">
        <f t="shared" si="126"/>
        <v>0.43001842082808406</v>
      </c>
      <c r="CF41" s="913">
        <f t="shared" si="126"/>
        <v>0.40482154920063046</v>
      </c>
      <c r="CG41" s="913">
        <f t="shared" si="126"/>
        <v>0.39824572196978353</v>
      </c>
      <c r="CH41" s="913">
        <f t="shared" si="126"/>
        <v>0.38696032191035329</v>
      </c>
      <c r="CI41" s="1108">
        <f t="shared" si="126"/>
        <v>0.40390522929511202</v>
      </c>
      <c r="CJ41" s="913">
        <f t="shared" si="126"/>
        <v>0.39133075138046003</v>
      </c>
      <c r="CK41" s="913">
        <f t="shared" si="126"/>
        <v>0.3483002720530175</v>
      </c>
      <c r="CL41" s="913">
        <f t="shared" si="126"/>
        <v>0.38017200072185547</v>
      </c>
      <c r="CM41" s="913">
        <f t="shared" si="126"/>
        <v>0.37543804327778346</v>
      </c>
      <c r="CN41" s="1108">
        <f t="shared" si="126"/>
        <v>0.37343401765904766</v>
      </c>
      <c r="CO41" s="913">
        <f t="shared" si="126"/>
        <v>0.41240687217650002</v>
      </c>
      <c r="CP41" s="913">
        <f t="shared" si="126"/>
        <v>0.40847861669316837</v>
      </c>
      <c r="CQ41" s="913">
        <f t="shared" si="126"/>
        <v>0.40528358091953115</v>
      </c>
      <c r="CR41" s="913">
        <f t="shared" si="126"/>
        <v>0.40929270627031433</v>
      </c>
      <c r="CS41" s="1108">
        <f t="shared" ref="CS41:DU41" si="127">IF(OR(ISERROR(CS36/CS15),CS36&lt;0), "NM", CS36/CS15)</f>
        <v>0.40875241434490356</v>
      </c>
      <c r="CT41" s="913">
        <f t="shared" si="127"/>
        <v>0.42448837968758507</v>
      </c>
      <c r="CU41" s="913">
        <f t="shared" si="127"/>
        <v>0.4272759203565078</v>
      </c>
      <c r="CV41" s="913">
        <f t="shared" si="127"/>
        <v>0.40914537935586326</v>
      </c>
      <c r="CW41" s="913">
        <f t="shared" si="127"/>
        <v>0.42705692419263364</v>
      </c>
      <c r="CX41" s="913">
        <f t="shared" si="127"/>
        <v>0.41343914564822309</v>
      </c>
      <c r="CY41" s="913">
        <f t="shared" si="127"/>
        <v>0.42761278270126363</v>
      </c>
      <c r="CZ41" s="913">
        <f t="shared" si="127"/>
        <v>0.40643252240905653</v>
      </c>
      <c r="DA41" s="913">
        <f t="shared" si="127"/>
        <v>0.41027171285531377</v>
      </c>
      <c r="DB41" s="913">
        <f t="shared" si="127"/>
        <v>0.4055181164479798</v>
      </c>
      <c r="DC41" s="913">
        <f t="shared" si="127"/>
        <v>0.39786271752475788</v>
      </c>
      <c r="DD41" s="913">
        <f t="shared" si="127"/>
        <v>0.41338405002901174</v>
      </c>
      <c r="DE41" s="913">
        <f t="shared" si="127"/>
        <v>0.40889110372484222</v>
      </c>
      <c r="DF41" s="913">
        <f t="shared" si="127"/>
        <v>0.4259795949463131</v>
      </c>
      <c r="DG41" s="913">
        <f t="shared" si="127"/>
        <v>0.40175816052717767</v>
      </c>
      <c r="DH41" s="913">
        <f t="shared" si="127"/>
        <v>0.3992593013315392</v>
      </c>
      <c r="DI41" s="913">
        <f t="shared" si="127"/>
        <v>0.38432936963182196</v>
      </c>
      <c r="DJ41" s="913">
        <f t="shared" si="127"/>
        <v>0.37296542345253719</v>
      </c>
      <c r="DK41" s="913">
        <f t="shared" si="127"/>
        <v>0.40574119110281953</v>
      </c>
      <c r="DL41" s="913">
        <f t="shared" si="127"/>
        <v>0.42502346767948984</v>
      </c>
      <c r="DM41" s="913">
        <f t="shared" si="127"/>
        <v>0.42086061908646605</v>
      </c>
      <c r="DN41" s="913">
        <f t="shared" si="127"/>
        <v>0.40675706274189727</v>
      </c>
      <c r="DO41" s="913">
        <f t="shared" si="127"/>
        <v>0.41004537607567743</v>
      </c>
      <c r="DP41" s="913">
        <f t="shared" si="127"/>
        <v>0.43617027739375014</v>
      </c>
      <c r="DQ41" s="913">
        <f t="shared" si="127"/>
        <v>0.42643563143787688</v>
      </c>
      <c r="DR41" s="913">
        <f t="shared" ca="1" si="127"/>
        <v>0.42175870943767868</v>
      </c>
      <c r="DS41" s="913">
        <f t="shared" ca="1" si="127"/>
        <v>0.4373590352002058</v>
      </c>
      <c r="DT41" s="913">
        <f t="shared" ca="1" si="127"/>
        <v>0.44220643352102423</v>
      </c>
      <c r="DU41" s="913">
        <f t="shared" ca="1" si="127"/>
        <v>0.44680036010034829</v>
      </c>
      <c r="DV41" s="54"/>
      <c r="DW41" s="54"/>
      <c r="DX41" s="914"/>
      <c r="DY41" s="914"/>
    </row>
    <row r="42" spans="2:135" customFormat="1">
      <c r="B42" s="915" t="s">
        <v>360</v>
      </c>
      <c r="C42" s="834"/>
      <c r="D42" s="916" t="str">
        <f t="shared" ref="D42:AD42" si="128">IF(OR(ISERROR(D37/D15), D37&lt;0),"NM", D37/D15)</f>
        <v>NM</v>
      </c>
      <c r="E42" s="916" t="str">
        <f t="shared" si="128"/>
        <v>NM</v>
      </c>
      <c r="F42" s="916" t="str">
        <f t="shared" si="128"/>
        <v>NM</v>
      </c>
      <c r="G42" s="916" t="str">
        <f t="shared" si="128"/>
        <v>NM</v>
      </c>
      <c r="H42" s="916">
        <f t="shared" si="128"/>
        <v>1.439690695426572E-2</v>
      </c>
      <c r="I42" s="916">
        <f t="shared" si="128"/>
        <v>0.21759505349145536</v>
      </c>
      <c r="J42" s="916">
        <f t="shared" si="128"/>
        <v>0.31728920595140631</v>
      </c>
      <c r="K42" s="916">
        <f t="shared" si="128"/>
        <v>0.35430102674821429</v>
      </c>
      <c r="L42" s="917">
        <f t="shared" si="128"/>
        <v>0.37046838418660993</v>
      </c>
      <c r="M42" s="917">
        <f t="shared" si="128"/>
        <v>0.41504796503377417</v>
      </c>
      <c r="N42" s="917">
        <f t="shared" si="128"/>
        <v>0.46300717613078168</v>
      </c>
      <c r="O42" s="917">
        <f t="shared" si="128"/>
        <v>0.44559000312653085</v>
      </c>
      <c r="P42" s="917">
        <f t="shared" si="128"/>
        <v>0.45853760772182678</v>
      </c>
      <c r="Q42" s="917">
        <f t="shared" si="128"/>
        <v>0.47041871889861897</v>
      </c>
      <c r="R42" s="917">
        <f t="shared" si="128"/>
        <v>0.46493580816493757</v>
      </c>
      <c r="S42" s="917">
        <f t="shared" si="128"/>
        <v>0.45580751092060429</v>
      </c>
      <c r="T42" s="917">
        <f t="shared" si="128"/>
        <v>0.46650368488264482</v>
      </c>
      <c r="U42" s="917">
        <f t="shared" si="128"/>
        <v>0.45888124244010714</v>
      </c>
      <c r="V42" s="917">
        <f t="shared" si="128"/>
        <v>0.46974357823912866</v>
      </c>
      <c r="W42" s="917">
        <f t="shared" ca="1" si="128"/>
        <v>0.47551615342800341</v>
      </c>
      <c r="X42" s="917">
        <f t="shared" ca="1" si="128"/>
        <v>0.4775161534280033</v>
      </c>
      <c r="Y42" s="917">
        <f t="shared" ca="1" si="128"/>
        <v>0.47951615342800341</v>
      </c>
      <c r="Z42" s="917">
        <f t="shared" ca="1" si="128"/>
        <v>0.48151615342800319</v>
      </c>
      <c r="AA42" s="917">
        <f t="shared" ca="1" si="128"/>
        <v>0.48351615342800325</v>
      </c>
      <c r="AB42" s="917">
        <f t="shared" ca="1" si="128"/>
        <v>0.48551615342800314</v>
      </c>
      <c r="AC42" s="917">
        <f t="shared" ca="1" si="128"/>
        <v>0.48751615342800331</v>
      </c>
      <c r="AD42" s="917">
        <f t="shared" ca="1" si="128"/>
        <v>0.48951615342800314</v>
      </c>
      <c r="AE42" s="918"/>
      <c r="AF42" s="24"/>
      <c r="AG42" s="917" t="str">
        <f t="shared" ref="AG42:BL42" si="129">IF(OR(ISERROR(AG37/AG15), AG37&lt;0),"NM", AG37/AG15)</f>
        <v>NM</v>
      </c>
      <c r="AH42" s="917" t="str">
        <f t="shared" si="129"/>
        <v>NM</v>
      </c>
      <c r="AI42" s="917" t="str">
        <f t="shared" si="129"/>
        <v>NM</v>
      </c>
      <c r="AJ42" s="917" t="str">
        <f t="shared" si="129"/>
        <v>NM</v>
      </c>
      <c r="AK42" s="1109" t="str">
        <f t="shared" si="129"/>
        <v>NM</v>
      </c>
      <c r="AL42" s="917" t="str">
        <f t="shared" si="129"/>
        <v>NM</v>
      </c>
      <c r="AM42" s="917" t="str">
        <f t="shared" si="129"/>
        <v>NM</v>
      </c>
      <c r="AN42" s="917" t="str">
        <f t="shared" si="129"/>
        <v>NM</v>
      </c>
      <c r="AO42" s="917" t="str">
        <f t="shared" si="129"/>
        <v>NM</v>
      </c>
      <c r="AP42" s="1109" t="str">
        <f t="shared" si="129"/>
        <v>NM</v>
      </c>
      <c r="AQ42" s="917" t="str">
        <f t="shared" si="129"/>
        <v>NM</v>
      </c>
      <c r="AR42" s="917" t="str">
        <f t="shared" si="129"/>
        <v>NM</v>
      </c>
      <c r="AS42" s="917" t="str">
        <f t="shared" si="129"/>
        <v>NM</v>
      </c>
      <c r="AT42" s="917" t="str">
        <f t="shared" si="129"/>
        <v>NM</v>
      </c>
      <c r="AU42" s="1109" t="str">
        <f t="shared" si="129"/>
        <v>NM</v>
      </c>
      <c r="AV42" s="917" t="str">
        <f t="shared" si="129"/>
        <v>NM</v>
      </c>
      <c r="AW42" s="917" t="str">
        <f t="shared" si="129"/>
        <v>NM</v>
      </c>
      <c r="AX42" s="917" t="str">
        <f t="shared" si="129"/>
        <v>NM</v>
      </c>
      <c r="AY42" s="917" t="str">
        <f t="shared" si="129"/>
        <v>NM</v>
      </c>
      <c r="AZ42" s="1109" t="str">
        <f t="shared" si="129"/>
        <v>NM</v>
      </c>
      <c r="BA42" s="917" t="str">
        <f t="shared" si="129"/>
        <v>NM</v>
      </c>
      <c r="BB42" s="917">
        <f t="shared" si="129"/>
        <v>1.0163888302735964E-2</v>
      </c>
      <c r="BC42" s="917">
        <f t="shared" si="129"/>
        <v>4.4632750088942158E-2</v>
      </c>
      <c r="BD42" s="917">
        <f t="shared" si="129"/>
        <v>9.3593533208662441E-2</v>
      </c>
      <c r="BE42" s="1109">
        <f t="shared" si="129"/>
        <v>1.43969069542656E-2</v>
      </c>
      <c r="BF42" s="917">
        <f t="shared" si="129"/>
        <v>0.15363932645301481</v>
      </c>
      <c r="BG42" s="917">
        <f t="shared" si="129"/>
        <v>0.19095451893564674</v>
      </c>
      <c r="BH42" s="917">
        <f t="shared" si="129"/>
        <v>0.23718749263649003</v>
      </c>
      <c r="BI42" s="917">
        <f t="shared" si="129"/>
        <v>0.27480050679054885</v>
      </c>
      <c r="BJ42" s="1109">
        <f t="shared" si="129"/>
        <v>0.21759505349145536</v>
      </c>
      <c r="BK42" s="917">
        <f t="shared" si="129"/>
        <v>0.29449100320433819</v>
      </c>
      <c r="BL42" s="917">
        <f t="shared" si="129"/>
        <v>0.30593189656815106</v>
      </c>
      <c r="BM42" s="917">
        <f t="shared" ref="BM42:CR42" si="130">IF(OR(ISERROR(BM37/BM15), BM37&lt;0),"NM", BM37/BM15)</f>
        <v>0.30843775819333513</v>
      </c>
      <c r="BN42" s="917">
        <f t="shared" si="130"/>
        <v>0.35321531441146958</v>
      </c>
      <c r="BO42" s="1109">
        <f t="shared" si="130"/>
        <v>0.31728920595140619</v>
      </c>
      <c r="BP42" s="917">
        <f t="shared" si="130"/>
        <v>0.3520171422405155</v>
      </c>
      <c r="BQ42" s="917">
        <f t="shared" si="130"/>
        <v>0.35067398027659458</v>
      </c>
      <c r="BR42" s="917">
        <f t="shared" si="130"/>
        <v>0.33810324715839724</v>
      </c>
      <c r="BS42" s="917">
        <f t="shared" si="130"/>
        <v>0.37395461451989465</v>
      </c>
      <c r="BT42" s="1109">
        <f t="shared" si="130"/>
        <v>0.35430102674821412</v>
      </c>
      <c r="BU42" s="917">
        <f t="shared" si="130"/>
        <v>0.38042980178359526</v>
      </c>
      <c r="BV42" s="917">
        <f t="shared" si="130"/>
        <v>0.38449644478804845</v>
      </c>
      <c r="BW42" s="917">
        <f t="shared" si="130"/>
        <v>0.39158042820527644</v>
      </c>
      <c r="BX42" s="917">
        <f t="shared" si="130"/>
        <v>0.33927361333391004</v>
      </c>
      <c r="BY42" s="1109">
        <f t="shared" si="130"/>
        <v>0.37046838418660988</v>
      </c>
      <c r="BZ42" s="917">
        <f t="shared" si="130"/>
        <v>0.39356457545917656</v>
      </c>
      <c r="CA42" s="917">
        <f t="shared" si="130"/>
        <v>0.40183906442537953</v>
      </c>
      <c r="CB42" s="917">
        <f t="shared" si="130"/>
        <v>0.41893487903774446</v>
      </c>
      <c r="CC42" s="917">
        <f t="shared" si="130"/>
        <v>0.44104613415983596</v>
      </c>
      <c r="CD42" s="1109">
        <f t="shared" si="130"/>
        <v>0.41504796503377417</v>
      </c>
      <c r="CE42" s="917">
        <f t="shared" si="130"/>
        <v>0.45865352279514743</v>
      </c>
      <c r="CF42" s="917">
        <f t="shared" si="130"/>
        <v>0.46692749380770099</v>
      </c>
      <c r="CG42" s="917">
        <f t="shared" si="130"/>
        <v>0.465973510050185</v>
      </c>
      <c r="CH42" s="917">
        <f t="shared" si="130"/>
        <v>0.46035489297140408</v>
      </c>
      <c r="CI42" s="1109">
        <f t="shared" si="130"/>
        <v>0.46300717613078174</v>
      </c>
      <c r="CJ42" s="917">
        <f t="shared" si="130"/>
        <v>0.47163672486114966</v>
      </c>
      <c r="CK42" s="917">
        <f t="shared" si="130"/>
        <v>0.44578076457586968</v>
      </c>
      <c r="CL42" s="917">
        <f t="shared" si="130"/>
        <v>0.44209288287895859</v>
      </c>
      <c r="CM42" s="917">
        <f t="shared" si="130"/>
        <v>0.42950254942675092</v>
      </c>
      <c r="CN42" s="1109">
        <f t="shared" si="130"/>
        <v>0.44559000312653085</v>
      </c>
      <c r="CO42" s="917">
        <f t="shared" si="130"/>
        <v>0.4586169193866913</v>
      </c>
      <c r="CP42" s="917">
        <f t="shared" si="130"/>
        <v>0.46018401550150323</v>
      </c>
      <c r="CQ42" s="917">
        <f t="shared" si="130"/>
        <v>0.4576784384431466</v>
      </c>
      <c r="CR42" s="917">
        <f t="shared" si="130"/>
        <v>0.45779833031678496</v>
      </c>
      <c r="CS42" s="1109">
        <f t="shared" ref="CS42:DU42" si="131">IF(OR(ISERROR(CS37/CS15), CS37&lt;0),"NM", CS37/CS15)</f>
        <v>0.45853760772182678</v>
      </c>
      <c r="CT42" s="917">
        <f t="shared" si="131"/>
        <v>0.468837878045683</v>
      </c>
      <c r="CU42" s="917">
        <f t="shared" si="131"/>
        <v>0.47509494435053667</v>
      </c>
      <c r="CV42" s="917">
        <f t="shared" si="131"/>
        <v>0.46410840801509784</v>
      </c>
      <c r="CW42" s="917">
        <f t="shared" si="131"/>
        <v>0.47363252110919873</v>
      </c>
      <c r="CX42" s="917">
        <f t="shared" si="131"/>
        <v>0.46671600785842432</v>
      </c>
      <c r="CY42" s="917">
        <f t="shared" si="131"/>
        <v>0.46898960237940823</v>
      </c>
      <c r="CZ42" s="917">
        <f t="shared" si="131"/>
        <v>0.45747066752104654</v>
      </c>
      <c r="DA42" s="917">
        <f t="shared" si="131"/>
        <v>0.46669157766298258</v>
      </c>
      <c r="DB42" s="917">
        <f t="shared" si="131"/>
        <v>0.4489038070659061</v>
      </c>
      <c r="DC42" s="917">
        <f t="shared" si="131"/>
        <v>0.45488225447442915</v>
      </c>
      <c r="DD42" s="917">
        <f t="shared" si="131"/>
        <v>0.45751563406614665</v>
      </c>
      <c r="DE42" s="917">
        <f t="shared" si="131"/>
        <v>0.46129965946897222</v>
      </c>
      <c r="DF42" s="917">
        <f t="shared" si="131"/>
        <v>0.47537369358836024</v>
      </c>
      <c r="DG42" s="917">
        <f t="shared" si="131"/>
        <v>0.46765387285112869</v>
      </c>
      <c r="DH42" s="917">
        <f t="shared" si="131"/>
        <v>0.4681751520791555</v>
      </c>
      <c r="DI42" s="917">
        <f t="shared" si="131"/>
        <v>0.45607437484769903</v>
      </c>
      <c r="DJ42" s="917">
        <f t="shared" si="131"/>
        <v>0.45092376290638225</v>
      </c>
      <c r="DK42" s="917">
        <f t="shared" si="131"/>
        <v>0.46672552220408436</v>
      </c>
      <c r="DL42" s="917">
        <f t="shared" si="131"/>
        <v>0.45425857273250303</v>
      </c>
      <c r="DM42" s="917">
        <f t="shared" si="131"/>
        <v>0.46304820362235277</v>
      </c>
      <c r="DN42" s="917">
        <f t="shared" si="131"/>
        <v>0.45030304625997214</v>
      </c>
      <c r="DO42" s="917">
        <f t="shared" si="131"/>
        <v>0.47758624408184008</v>
      </c>
      <c r="DP42" s="917">
        <f t="shared" si="131"/>
        <v>0.47759925919561624</v>
      </c>
      <c r="DQ42" s="917">
        <f t="shared" si="131"/>
        <v>0.47061332871196226</v>
      </c>
      <c r="DR42" s="917">
        <f t="shared" ca="1" si="131"/>
        <v>0.46000000000000013</v>
      </c>
      <c r="DS42" s="917">
        <f t="shared" ca="1" si="131"/>
        <v>0.47560032576252725</v>
      </c>
      <c r="DT42" s="917">
        <f t="shared" ca="1" si="131"/>
        <v>0.48044772408334568</v>
      </c>
      <c r="DU42" s="917">
        <f t="shared" ca="1" si="131"/>
        <v>0.48504165066266974</v>
      </c>
      <c r="DV42" s="54"/>
      <c r="DW42" s="54"/>
      <c r="DX42" s="918"/>
      <c r="DY42" s="918"/>
    </row>
    <row r="43" spans="2:135" customFormat="1" ht="12.75" customHeight="1">
      <c r="B43" s="919"/>
      <c r="C43" s="123"/>
      <c r="D43" s="124"/>
      <c r="E43" s="920"/>
      <c r="F43" s="920"/>
      <c r="G43" s="920"/>
      <c r="H43" s="920"/>
      <c r="I43" s="920"/>
      <c r="J43" s="920"/>
      <c r="K43" s="920"/>
      <c r="L43" s="920"/>
      <c r="M43" s="920"/>
      <c r="N43" s="920"/>
      <c r="O43" s="920"/>
      <c r="P43" s="920"/>
      <c r="Q43" s="920"/>
      <c r="R43" s="920"/>
      <c r="S43" s="920"/>
      <c r="T43" s="920"/>
      <c r="U43" s="920"/>
      <c r="V43" s="920"/>
      <c r="W43" s="920"/>
      <c r="X43" s="123"/>
      <c r="Y43" s="123"/>
      <c r="Z43" s="123"/>
      <c r="AA43" s="123"/>
      <c r="AB43" s="123"/>
      <c r="AC43" s="123"/>
      <c r="AD43" s="123"/>
      <c r="AE43" s="123"/>
      <c r="AF43" s="23"/>
      <c r="AG43" s="123"/>
      <c r="AH43" s="123"/>
      <c r="AI43" s="123"/>
      <c r="AJ43" s="123"/>
      <c r="AK43" s="1103"/>
      <c r="AL43" s="920"/>
      <c r="AM43" s="920"/>
      <c r="AN43" s="920"/>
      <c r="AO43" s="920"/>
      <c r="AP43" s="1124"/>
      <c r="AQ43" s="920"/>
      <c r="AR43" s="920"/>
      <c r="AS43" s="920"/>
      <c r="AT43" s="920"/>
      <c r="AU43" s="1124"/>
      <c r="AV43" s="920"/>
      <c r="AW43" s="920"/>
      <c r="AX43" s="920"/>
      <c r="AY43" s="920"/>
      <c r="AZ43" s="1124"/>
      <c r="BA43" s="920"/>
      <c r="BB43" s="920"/>
      <c r="BC43" s="920"/>
      <c r="BD43" s="920"/>
      <c r="BE43" s="1124"/>
      <c r="BF43" s="920"/>
      <c r="BG43" s="920"/>
      <c r="BH43" s="920"/>
      <c r="BI43" s="920"/>
      <c r="BJ43" s="1124"/>
      <c r="BK43" s="920"/>
      <c r="BL43" s="920"/>
      <c r="BM43" s="920"/>
      <c r="BN43" s="920"/>
      <c r="BO43" s="1124"/>
      <c r="BP43" s="920"/>
      <c r="BQ43" s="920"/>
      <c r="BR43" s="920"/>
      <c r="BS43" s="921"/>
      <c r="BT43" s="42"/>
      <c r="BU43" s="920"/>
      <c r="BV43" s="920"/>
      <c r="BW43" s="920"/>
      <c r="BX43" s="920"/>
      <c r="BY43" s="1124"/>
      <c r="BZ43" s="920"/>
      <c r="CA43" s="920"/>
      <c r="CB43" s="920"/>
      <c r="CC43" s="920"/>
      <c r="CD43" s="1124"/>
      <c r="CE43" s="920"/>
      <c r="CF43" s="920"/>
      <c r="CG43" s="920"/>
      <c r="CH43" s="920"/>
      <c r="CI43" s="1124"/>
      <c r="CJ43" s="123"/>
      <c r="CK43" s="123"/>
      <c r="CL43" s="123"/>
      <c r="CM43" s="123"/>
      <c r="CN43" s="1102"/>
      <c r="CO43" s="123"/>
      <c r="CP43" s="123"/>
      <c r="CQ43" s="123"/>
      <c r="CR43" s="123"/>
      <c r="CS43" s="1102"/>
      <c r="CT43" s="123"/>
      <c r="CU43" s="123"/>
      <c r="CV43" s="123"/>
      <c r="CW43" s="123"/>
      <c r="CX43" s="123"/>
      <c r="CY43" s="123"/>
      <c r="CZ43" s="123"/>
      <c r="DA43" s="123"/>
      <c r="DB43" s="123"/>
      <c r="DC43" s="123"/>
      <c r="DD43" s="123"/>
      <c r="DE43" s="123"/>
      <c r="DF43" s="123"/>
      <c r="DG43" s="123"/>
      <c r="DH43" s="123"/>
      <c r="DI43" s="123"/>
      <c r="DJ43" s="123"/>
      <c r="DK43" s="123"/>
      <c r="DL43" s="123"/>
      <c r="DM43" s="123"/>
      <c r="DN43" s="123"/>
      <c r="DO43" s="123"/>
      <c r="DP43" s="123"/>
      <c r="DQ43" s="123"/>
      <c r="DR43" s="123"/>
      <c r="DS43" s="123"/>
      <c r="DT43" s="123"/>
      <c r="DU43" s="123"/>
      <c r="DV43" s="54"/>
      <c r="DW43" s="54"/>
      <c r="DX43" s="23"/>
      <c r="DY43" s="23"/>
    </row>
    <row r="44" spans="2:135" customFormat="1" ht="12.75" customHeight="1">
      <c r="B44" s="919" t="s">
        <v>362</v>
      </c>
      <c r="C44" s="123"/>
      <c r="D44" s="124"/>
      <c r="E44" s="924" t="str">
        <f t="shared" ref="E44:AD44" si="132">IF(OR(ISERROR((E37-D37)/(E15-D15)), E37&lt;0,E15&lt; 0), "NM", (E37-D37)/(E15-D15))</f>
        <v>NM</v>
      </c>
      <c r="F44" s="924" t="str">
        <f t="shared" si="132"/>
        <v>NM</v>
      </c>
      <c r="G44" s="924" t="str">
        <f t="shared" si="132"/>
        <v>NM</v>
      </c>
      <c r="H44" s="924">
        <f t="shared" si="132"/>
        <v>0.33196741424154669</v>
      </c>
      <c r="I44" s="924">
        <f t="shared" si="132"/>
        <v>0.74167377375407273</v>
      </c>
      <c r="J44" s="924">
        <f t="shared" si="132"/>
        <v>0.60162757466978045</v>
      </c>
      <c r="K44" s="924">
        <f t="shared" si="132"/>
        <v>0.47634888196070857</v>
      </c>
      <c r="L44" s="924">
        <f t="shared" si="132"/>
        <v>0.40592928708469111</v>
      </c>
      <c r="M44" s="924">
        <f t="shared" si="132"/>
        <v>0.48060216380706611</v>
      </c>
      <c r="N44" s="924">
        <f t="shared" si="132"/>
        <v>0.6530543387186567</v>
      </c>
      <c r="O44" s="924">
        <f t="shared" si="132"/>
        <v>0.39659233993720205</v>
      </c>
      <c r="P44" s="924">
        <f t="shared" si="132"/>
        <v>0.49999732312551903</v>
      </c>
      <c r="Q44" s="924">
        <f t="shared" si="132"/>
        <v>0.52914431093982139</v>
      </c>
      <c r="R44" s="924">
        <f t="shared" si="132"/>
        <v>0.42594295188213621</v>
      </c>
      <c r="S44" s="924">
        <f t="shared" si="132"/>
        <v>0.38828008755742871</v>
      </c>
      <c r="T44" s="924">
        <f t="shared" si="132"/>
        <v>0.55916509507536716</v>
      </c>
      <c r="U44" s="924">
        <f t="shared" si="132"/>
        <v>0.43543326991091497</v>
      </c>
      <c r="V44" s="924">
        <f t="shared" si="132"/>
        <v>0.52161112792968112</v>
      </c>
      <c r="W44" s="924">
        <f t="shared" ca="1" si="132"/>
        <v>0.51311258820068473</v>
      </c>
      <c r="X44" s="924">
        <f t="shared" ca="1" si="132"/>
        <v>0.49935767907654266</v>
      </c>
      <c r="Y44" s="924">
        <f t="shared" ca="1" si="132"/>
        <v>0.50470515729823917</v>
      </c>
      <c r="Z44" s="924">
        <f t="shared" ca="1" si="132"/>
        <v>0.51034340201907014</v>
      </c>
      <c r="AA44" s="924">
        <f t="shared" ca="1" si="132"/>
        <v>0.51445837622983259</v>
      </c>
      <c r="AB44" s="924">
        <f t="shared" ca="1" si="132"/>
        <v>0.5186049053713907</v>
      </c>
      <c r="AC44" s="924">
        <f t="shared" ca="1" si="132"/>
        <v>0.52278147610558512</v>
      </c>
      <c r="AD44" s="924">
        <f t="shared" ca="1" si="132"/>
        <v>0.52698741432993179</v>
      </c>
      <c r="AE44" s="924"/>
      <c r="AF44" s="23"/>
      <c r="AG44" s="123"/>
      <c r="AH44" s="906" t="str">
        <f>IF(OR(ISERROR((AH37-AG37)/(AH15-AG15)), AH37&lt;0, AG37&lt;0), "NM", (AH37-AG37)/(AH15-AG15))</f>
        <v>NM</v>
      </c>
      <c r="AI44" s="906" t="str">
        <f>IF(OR(ISERROR((AI37-AH37)/(AI15-AH15)), AI37&lt;0, AH37&lt;0), "NM", (AI37-AH37)/(AI15-AH15))</f>
        <v>NM</v>
      </c>
      <c r="AJ44" s="906" t="str">
        <f>IF(OR(ISERROR((AJ37-AI37)/(AJ15-AI15)), AJ37&lt;0, AI37&lt;0), "NM", (AJ37-AI37)/(AJ15-AI15))</f>
        <v>NM</v>
      </c>
      <c r="AK44" s="1103"/>
      <c r="AL44" s="924" t="str">
        <f>IF(OR(ISERROR((AL37-AJ37)/(AL15-AJ15)), AL37&lt;0, AJ37&lt;0), "NM", (AL37-AJ37)/(AL15-AJ15))</f>
        <v>NM</v>
      </c>
      <c r="AM44" s="924" t="str">
        <f>IF(OR(ISERROR((AM37-AL37)/(AM15-AL15)), AM37&lt;0, AL37&lt;0), "NM", (AM37-AL37)/(AM15-AL15))</f>
        <v>NM</v>
      </c>
      <c r="AN44" s="924" t="str">
        <f>IF(OR(ISERROR((AN37-AM37)/(AN15-AM15)), AN37&lt;0, AM37&lt;0), "NM", (AN37-AM37)/(AN15-AM15))</f>
        <v>NM</v>
      </c>
      <c r="AO44" s="924" t="str">
        <f>IF(OR(ISERROR((AO37-AN37)/(AO15-AN15)), AO37&lt;0, AN37&lt;0), "NM", (AO37-AN37)/(AO15-AN15))</f>
        <v>NM</v>
      </c>
      <c r="AP44" s="1125" t="str">
        <f>IF(OR(ISERROR((AP37-AK37)/(AP15-AK15)), AP37&lt;0, AK37&lt;0), "NM", (AP37-AK37)/(AP15-AK15))</f>
        <v>NM</v>
      </c>
      <c r="AQ44" s="924" t="str">
        <f>IF(OR(ISERROR((AQ37-AO37)/(AQ15-AO15)), AQ37&lt;0, AO37&lt;0), "NM", (AQ37-AO37)/(AQ15-AO15))</f>
        <v>NM</v>
      </c>
      <c r="AR44" s="924" t="str">
        <f>IF(OR(ISERROR((AR37-AQ37)/(AR15-AQ15)), AR37&lt;0, AQ37&lt;0), "NM", (AR37-AQ37)/(AR15-AQ15))</f>
        <v>NM</v>
      </c>
      <c r="AS44" s="924" t="str">
        <f>IF(OR(ISERROR((AS37-AR37)/(AS15-AR15)), AS37&lt;0, AR37&lt;0), "NM", (AS37-AR37)/(AS15-AR15))</f>
        <v>NM</v>
      </c>
      <c r="AT44" s="924" t="str">
        <f>IF(OR(ISERROR((AT37-AS37)/(AT15-AS15)), AT37&lt;0, AS37&lt;0), "NM", (AT37-AS37)/(AT15-AS15))</f>
        <v>NM</v>
      </c>
      <c r="AU44" s="1125" t="str">
        <f>IF(OR(ISERROR((AU37-AP37)/(AU15-AP15)), AU37&lt;0, AP37&lt;0), "NM", (AU37-AP37)/(AU15-AP15))</f>
        <v>NM</v>
      </c>
      <c r="AV44" s="924" t="str">
        <f>IF(OR(ISERROR((AV37-AT37)/(AV15-AT15)), AV37&lt;0, AT37&lt;0), "NM", (AV37-AT37)/(AV15-AT15))</f>
        <v>NM</v>
      </c>
      <c r="AW44" s="924" t="str">
        <f>IF(OR(ISERROR((AW37-AV37)/(AW15-AV15)), AW37&lt;0, AV37&lt;0), "NM", (AW37-AV37)/(AW15-AV15))</f>
        <v>NM</v>
      </c>
      <c r="AX44" s="924" t="str">
        <f>IF(OR(ISERROR((AX37-AW37)/(AX15-AW15)), AX37&lt;0, AW37&lt;0), "NM", (AX37-AW37)/(AX15-AW15))</f>
        <v>NM</v>
      </c>
      <c r="AY44" s="924" t="str">
        <f>IF(OR(ISERROR((AY37-AX37)/(AY15-AX15)), AY37&lt;0, AX37&lt;0), "NM", (AY37-AX37)/(AY15-AX15))</f>
        <v>NM</v>
      </c>
      <c r="AZ44" s="1125" t="str">
        <f>IF(OR(ISERROR((AZ37-AU37)/(AZ15-AU15)), AZ37&lt;0, AU37&lt;0), "NM", (AZ37-AU37)/(AZ15-AU15))</f>
        <v>NM</v>
      </c>
      <c r="BA44" s="924" t="str">
        <f>IF(OR(ISERROR((BA37-AY37)/(BA15-AY15)), BA37&lt;0, AY37&lt;0), "NM", (BA37-AY37)/(BA15-AY15))</f>
        <v>NM</v>
      </c>
      <c r="BB44" s="924" t="str">
        <f>IF(OR(ISERROR((BB37-BA37)/(BB15-BA15)), BB37&lt;0, BA37&lt;0), "NM", (BB37-BA37)/(BB15-BA15))</f>
        <v>NM</v>
      </c>
      <c r="BC44" s="924">
        <f>IF(OR(ISERROR((BC37-BB37)/(BC15-BB15)), BC37&lt;0, BB37&lt;0), "NM", (BC37-BB37)/(BC15-BB15))</f>
        <v>0.43903420523139108</v>
      </c>
      <c r="BD44" s="924">
        <f>IF(OR(ISERROR((BD37-BC37)/(BD15-BC15)), BD37&lt;0, BC37&lt;0), "NM", (BD37-BC37)/(BD15-BC15))</f>
        <v>0.77091722595078083</v>
      </c>
      <c r="BE44" s="1125" t="str">
        <f>IF(OR(ISERROR((BE37-AZ37)/(BE15-AZ15)), BE37&lt;0, AZ37&lt;0), "NM", (BE37-AZ37)/(BE15-AZ15))</f>
        <v>NM</v>
      </c>
      <c r="BF44" s="924">
        <f>IF(OR(ISERROR((BF37-BD37)/(BF15-BD15)), BF37&lt;0, BD37&lt;0), "NM", (BF37-BD37)/(BF15-BD15))</f>
        <v>0.69667212220403929</v>
      </c>
      <c r="BG44" s="924">
        <f>IF(OR(ISERROR((BG37-BF37)/(BG15-BF15)), BG37&lt;0, BF37&lt;0), "NM", (BG37-BF37)/(BG15-BF15))</f>
        <v>0.71878601613522697</v>
      </c>
      <c r="BH44" s="924">
        <f>IF(OR(ISERROR((BH37-BG37)/(BH15-BG15)), BH37&lt;0, BG37&lt;0), "NM", (BH37-BG37)/(BH15-BG15))</f>
        <v>0.84151193633952248</v>
      </c>
      <c r="BI44" s="924">
        <f>IF(OR(ISERROR((BI37-BH37)/(BI15-BH15)), BI37&lt;0, BH37&lt;0), "NM", (BI37-BH37)/(BI15-BH15))</f>
        <v>0.90078431372548962</v>
      </c>
      <c r="BJ44" s="1125">
        <f>IF(OR(ISERROR((BJ37-BE37)/(BJ15-BE15)), BJ37&lt;0, BE37&lt;0), "NM", (BJ37-BE37)/(BJ15-BE15))</f>
        <v>0.74167377375407284</v>
      </c>
      <c r="BK44" s="924">
        <f>IF(OR(ISERROR((BK37-BI37)/(BK15-BI15)), BK37&lt;0, BI37&lt;0), "NM", (BK37-BI37)/(BK15-BI15))</f>
        <v>0.53423545331529099</v>
      </c>
      <c r="BL44" s="924">
        <f>IF(OR(ISERROR((BL37-BK37)/(BL15-BK15)), BL37&lt;0, BK37&lt;0), "NM", (BL37-BK37)/(BL15-BK15))</f>
        <v>0.45270092226613945</v>
      </c>
      <c r="BM44" s="924">
        <f>IF(OR(ISERROR((BM37-BL37)/(BM15-BL15)), BM37&lt;0, BL37&lt;0), "NM", (BM37-BL37)/(BM15-BL15))</f>
        <v>0.33184974185508243</v>
      </c>
      <c r="BN44" s="924">
        <f>IF(OR(ISERROR((BN37-BM37)/(BN15-BM15)), BN37&lt;0, BM37&lt;0), "NM", (BN37-BM37)/(BN15-BM15))</f>
        <v>1.0559157212317669</v>
      </c>
      <c r="BO44" s="1125">
        <f>IF(OR(ISERROR((BO37-BJ37)/(BO15-BJ15)), BO37&lt;0, BJ37&lt;0), "NM", (BO37-BJ37)/(BO15-BJ15))</f>
        <v>0.60162757466978023</v>
      </c>
      <c r="BP44" s="924">
        <f>IF(OR(ISERROR((BP37-BN37)/(BP15-BN15)), BP37&lt;0, BN37&lt;0), "NM", (BP37-BN37)/(BP15-BN15))</f>
        <v>0.3279062194724856</v>
      </c>
      <c r="BQ44" s="924">
        <f>IF(OR(ISERROR((BQ37-BP37)/(BQ15-BP15)), BQ37&lt;0, BP37&lt;0), "NM", (BQ37-BP37)/(BQ15-BP15))</f>
        <v>0.32699103017124281</v>
      </c>
      <c r="BR44" s="924">
        <f>IF(OR(ISERROR((BR37-BQ37)/(BR15-BQ15)), BR37&lt;0, BQ37&lt;0), "NM", (BR37-BQ37)/(BR15-BQ15))</f>
        <v>0.17168791039011061</v>
      </c>
      <c r="BS44" s="924">
        <f>IF(OR(ISERROR((BS37-BR37)/(BS15-BR15)), BS37&lt;0, BR37&lt;0), "NM", (BS37-BR37)/(BS15-BR15))</f>
        <v>0.73979238754325205</v>
      </c>
      <c r="BT44" s="1125">
        <f>IF(OR(ISERROR((BT37-BO37)/(BT15-BO15)), BT37&lt;0, BO37&lt;0), "NM", (BT37-BO37)/(BT15-BO15))</f>
        <v>0.47634888196070835</v>
      </c>
      <c r="BU44" s="924">
        <f>IF(OR(ISERROR((BU37-BS37)/(BU15-BS15)), BU37&lt;0, BS37&lt;0), "NM", (BU37-BS37)/(BU15-BS15))</f>
        <v>0.50649350649351099</v>
      </c>
      <c r="BV44" s="924">
        <f>IF(OR(ISERROR((BV37-BU37)/(BV15-BU15)), BV37&lt;0, BU37&lt;0), "NM", (BV37-BU37)/(BV15-BU15))</f>
        <v>0.43593935790725269</v>
      </c>
      <c r="BW44" s="924">
        <f>IF(OR(ISERROR((BW37-BV37)/(BW15-BV15)), BW37&lt;0, BV37&lt;0), "NM", (BW37-BV37)/(BW15-BV15))</f>
        <v>0.4460443700293002</v>
      </c>
      <c r="BX44" s="924">
        <f>IF(OR(ISERROR((BX37-BW37)/(BX15-BW15)), BX37&lt;0, BW37&lt;0), "NM", (BX37-BW37)/(BX15-BW15))</f>
        <v>0.18387152181380972</v>
      </c>
      <c r="BY44" s="1125">
        <f>IF(OR(ISERROR((BY37-BT37)/(BY15-BT15)), BY37&lt;0, BT37&lt;0), "NM", (BY37-BT37)/(BY15-BT15))</f>
        <v>0.40592928708469111</v>
      </c>
      <c r="BZ44" s="924">
        <f>IF(OR(ISERROR((BZ37-BX37)/(BZ15-BX15)), BZ37&lt;0, BX37&lt;0), "NM", (BZ37-BX37)/(BZ15-BX15))</f>
        <v>0.77968621821164852</v>
      </c>
      <c r="CA44" s="924">
        <f>IF(OR(ISERROR((CA37-BZ37)/(CA15-BZ15)), CA37&lt;0, BZ37&lt;0), "NM", (CA37-BZ37)/(CA15-BZ15))</f>
        <v>0.49652828005207567</v>
      </c>
      <c r="CB44" s="924">
        <f>IF(OR(ISERROR((CB37-CA37)/(CB15-CA15)), CB37&lt;0, CA37&lt;0), "NM", (CB37-CA37)/(CB15-CA15))</f>
        <v>0.67051578137028378</v>
      </c>
      <c r="CC44" s="924">
        <f>IF(OR(ISERROR((CC37-CB37)/(CC15-CB15)), CC37&lt;0, CB37&lt;0), "NM", (CC37-CB37)/(CC15-CB15))</f>
        <v>1.0257628094415661</v>
      </c>
      <c r="CD44" s="1125">
        <f>IF(OR(ISERROR((CD37-BY37)/(CD15-BY15)), CD37&lt;0, BY37&lt;0), "NM", (CD37-BY37)/(CD15-BY15))</f>
        <v>0.48060216380706622</v>
      </c>
      <c r="CE44" s="924">
        <f>IF(OR(ISERROR((CE37-CC37)/(CE15-CC15)), CE37&lt;0, CC37&lt;0), "NM", (CE37-CC37)/(CE15-CC15))</f>
        <v>0.85142723444080581</v>
      </c>
      <c r="CF44" s="924">
        <f>IF(OR(ISERROR((CF37-CE37)/(CF15-CE15)), CF37&lt;0, CE37&lt;0), "NM", (CF37-CE37)/(CF15-CE15))</f>
        <v>0.58520485039821979</v>
      </c>
      <c r="CG44" s="924">
        <f>IF(OR(ISERROR((CG37-CF37)/(CG15-CF15)), CG37&lt;0, CF37&lt;0), "NM", (CG37-CF37)/(CG15-CF15))</f>
        <v>0.45184155663655334</v>
      </c>
      <c r="CH44" s="924">
        <f>IF(OR(ISERROR((CH37-CG37)/(CH15-CG15)), CH37&lt;0, CG37&lt;0), "NM", (CH37-CG37)/(CH15-CG15))</f>
        <v>0.37508336668000503</v>
      </c>
      <c r="CI44" s="1125">
        <f>IF(OR(ISERROR((CI37-CD37)/(CI15-CD15)), CI37&lt;0, CD37&lt;0), "NM", (CI37-CD37)/(CI15-CD15))</f>
        <v>0.65305433871865715</v>
      </c>
      <c r="CJ44" s="924">
        <f>IF(OR(ISERROR((CJ37-CH37)/(CJ15-CH15)), CJ37&lt;0, CH37&lt;0), "NM", (CJ37-CH37)/(CJ15-CH15))</f>
        <v>0.92045268164670979</v>
      </c>
      <c r="CK44" s="924">
        <f>IF(OR(ISERROR((CK37-CJ37)/(CK15-CJ15)), CK37&lt;0, CJ37&lt;0), "NM", (CK37-CJ37)/(CK15-CJ15))</f>
        <v>0.29036936762715071</v>
      </c>
      <c r="CL44" s="924">
        <f>IF(OR(ISERROR((CL37-CK37)/(CL15-CK15)), CL37&lt;0, CK37&lt;0), "NM", (CL37-CK37)/(CL15-CK15))</f>
        <v>0.40800586416802187</v>
      </c>
      <c r="CM44" s="924">
        <f>IF(OR(ISERROR((CM37-CL37)/(CM15-CL15)), CM37&lt;0, CL37&lt;0), "NM", (CM37-CL37)/(CM15-CL15))</f>
        <v>0.15535230352303575</v>
      </c>
      <c r="CN44" s="1125">
        <f>IF(OR(ISERROR((CN37-CI37)/(CN15-CI15)), CN37&lt;0, CI37&lt;0), "NM", (CN37-CI37)/(CN15-CI15))</f>
        <v>0.39659233993720189</v>
      </c>
      <c r="CO44" s="924">
        <f>IF(OR(ISERROR((CO37-CN37)/(CO15-CN15)), CO37&lt;0, CN37&lt;0), "NM", (CO37-CN37)/(CO15-CN15))</f>
        <v>0.44011564056443048</v>
      </c>
      <c r="CP44" s="924">
        <f>IF(OR(ISERROR((CP37-CO37)/(CP15-CO15)), CP37&lt;0, CO37&lt;0), "NM", (CP37-CO37)/(CP15-CO15))</f>
        <v>0.47775806349407607</v>
      </c>
      <c r="CQ44" s="924">
        <f>IF(OR(ISERROR((CQ37-CP37)/(CQ15-CP15)), CQ37&lt;0, CP37&lt;0), "NM", (CQ37-CP37)/(CQ15-CP15))</f>
        <v>0.41512094109353515</v>
      </c>
      <c r="CR44" s="924">
        <f>IF(OR(ISERROR((CR37-CQ37)/(CR15-CQ15)), CR37&lt;0, CQ37&lt;0), "NM", (CR37-CQ37)/(CR15-CQ15))</f>
        <v>0.46131722749496823</v>
      </c>
      <c r="CS44" s="1125">
        <f>IF(OR(ISERROR((CS37-CM37)/(CS15-CM15)), CS37&lt;0, CM37&lt;0), "NM", (CS37-CM37)/(CS15-CM15))</f>
        <v>0.46644942162560904</v>
      </c>
      <c r="CT44" s="924">
        <f t="shared" ref="CT44:DQ44" si="133">IF(OR(ISERROR((CT37-CR37)/(CT15-CR15)), CT37&lt;0, CR37&lt;0), "NM", (CT37-CR37)/(CT15-CR15))</f>
        <v>0.71623486939902337</v>
      </c>
      <c r="CU44" s="924">
        <f t="shared" si="133"/>
        <v>0.45176862726092987</v>
      </c>
      <c r="CV44" s="924">
        <f t="shared" si="133"/>
        <v>0.41658501014060018</v>
      </c>
      <c r="CW44" s="924">
        <f t="shared" si="133"/>
        <v>0.46044845534247697</v>
      </c>
      <c r="CX44" s="924">
        <f t="shared" si="133"/>
        <v>0.50710885331799727</v>
      </c>
      <c r="CY44" s="924">
        <f t="shared" si="133"/>
        <v>0.36599158337717053</v>
      </c>
      <c r="CZ44" s="924">
        <f t="shared" si="133"/>
        <v>0.28040816326531037</v>
      </c>
      <c r="DA44" s="924">
        <f t="shared" si="133"/>
        <v>0.43274870133497223</v>
      </c>
      <c r="DB44" s="924">
        <f t="shared" si="133"/>
        <v>0.32305445102653507</v>
      </c>
      <c r="DC44" s="924">
        <f t="shared" si="133"/>
        <v>0.29016401541349679</v>
      </c>
      <c r="DD44" s="924">
        <f t="shared" si="133"/>
        <v>0.58120187188946915</v>
      </c>
      <c r="DE44" s="924">
        <f t="shared" si="133"/>
        <v>0.57912621359223337</v>
      </c>
      <c r="DF44" s="924">
        <f t="shared" si="133"/>
        <v>0.96274302806369161</v>
      </c>
      <c r="DG44" s="924">
        <f t="shared" si="133"/>
        <v>0.61530898364953712</v>
      </c>
      <c r="DH44" s="924">
        <f t="shared" si="133"/>
        <v>0.36167912593444596</v>
      </c>
      <c r="DI44" s="924">
        <f t="shared" si="133"/>
        <v>0.33728421701602934</v>
      </c>
      <c r="DJ44" s="924">
        <f t="shared" si="133"/>
        <v>0.37571663481623024</v>
      </c>
      <c r="DK44" s="924">
        <f t="shared" si="133"/>
        <v>0.51247882950696311</v>
      </c>
      <c r="DL44" s="924">
        <f t="shared" si="133"/>
        <v>0.48922006954793773</v>
      </c>
      <c r="DM44" s="924">
        <f t="shared" si="133"/>
        <v>0.38446021311436424</v>
      </c>
      <c r="DN44" s="924">
        <f t="shared" si="133"/>
        <v>0.30311078916657114</v>
      </c>
      <c r="DO44" s="924">
        <f t="shared" si="133"/>
        <v>0.58830610629049729</v>
      </c>
      <c r="DP44" s="924">
        <f t="shared" si="133"/>
        <v>0.60544254597111502</v>
      </c>
      <c r="DQ44" s="924">
        <f t="shared" si="133"/>
        <v>0.41503736920777323</v>
      </c>
      <c r="DR44" s="924">
        <f ca="1">IF(OR(ISERROR((DR37-DQ37)/(DR15-DQ15)), DR37&lt;0, DQ37&lt;0), "NM", (DR37-DQ37)/(DR15-DQ15))</f>
        <v>-0.36999440309106923</v>
      </c>
      <c r="DS44" s="924">
        <f ca="1">IF(OR(ISERROR((DS37-DR37)/(DS15-DR15)), DS37&lt;0, DR37&lt;0), "NM", (DS37-DR37)/(DS15-DR15))</f>
        <v>1.248301836011682</v>
      </c>
      <c r="DT44" s="924">
        <f ca="1">IF(OR(ISERROR((DT37-DS37)/(DT15-DS15)), DT37&lt;0, DS37&lt;0), "NM", (DT37-DS37)/(DT15-DS15))</f>
        <v>0.65816100141253553</v>
      </c>
      <c r="DU44" s="924">
        <f ca="1">IF(OR(ISERROR((DU37-DT37)/(DU15-DT15)), DU37&lt;0, DT37&lt;0), "NM", (DU37-DT37)/(DU15-DT15))</f>
        <v>0.64939569282841303</v>
      </c>
      <c r="DV44" s="54"/>
      <c r="DW44" s="54"/>
      <c r="DX44" s="924"/>
      <c r="DY44" s="924"/>
    </row>
    <row r="45" spans="2:135" customFormat="1">
      <c r="B45" s="23" t="s">
        <v>1229</v>
      </c>
      <c r="C45" s="23"/>
      <c r="D45" s="26">
        <f>AK45</f>
        <v>0.60899999999999999</v>
      </c>
      <c r="E45" s="26">
        <f>AP45</f>
        <v>14.815999999999999</v>
      </c>
      <c r="F45" s="54">
        <f>SUM(AQ45:AT45)</f>
        <v>49.645000000000003</v>
      </c>
      <c r="G45" s="54">
        <f>AZ45</f>
        <v>54.081999999999994</v>
      </c>
      <c r="H45" s="54">
        <f>BE45</f>
        <v>62.748000000000005</v>
      </c>
      <c r="I45" s="54">
        <f>BJ45</f>
        <v>58.524000000000001</v>
      </c>
      <c r="J45" s="54">
        <f>BO45</f>
        <v>64.820999999999998</v>
      </c>
      <c r="K45" s="54">
        <f>BT45</f>
        <v>76.332000000000008</v>
      </c>
      <c r="L45" s="54">
        <f>BY45</f>
        <v>103.47499999999999</v>
      </c>
      <c r="M45" s="54">
        <f>SUM(BZ45:CC45)</f>
        <v>160.98699999999999</v>
      </c>
      <c r="N45" s="1483">
        <f>CI45</f>
        <v>175.37100000000001</v>
      </c>
      <c r="O45" s="1483">
        <f>CN45</f>
        <v>253.60500000000002</v>
      </c>
      <c r="P45" s="1483">
        <f>CS45</f>
        <v>337.75800000000004</v>
      </c>
      <c r="Q45" s="1483">
        <f>+SUM(CT45:CW45)</f>
        <v>393.54300000000001</v>
      </c>
      <c r="R45" s="1483">
        <f>+SUM(CX45:DA45)</f>
        <v>431.00800000000004</v>
      </c>
      <c r="S45" s="1483">
        <f>+SUM(DB45:DE45)</f>
        <v>484.12900000000002</v>
      </c>
      <c r="T45" s="1483">
        <f>+SUM(DF45:DI45)</f>
        <v>528.92899999999997</v>
      </c>
      <c r="U45" s="1483">
        <f>+SUM(DJ45:DM45)</f>
        <v>843.51</v>
      </c>
      <c r="V45" s="1483">
        <f>+SUM(DN45:DQ45)</f>
        <v>1028.8919999999998</v>
      </c>
      <c r="W45" s="1483">
        <f ca="1">+SUM(DR45:DU45)</f>
        <v>1145.2535023802948</v>
      </c>
      <c r="X45" s="1483">
        <f ca="1">BS!X226</f>
        <v>1068.6071582547081</v>
      </c>
      <c r="Y45" s="1483">
        <f ca="1">BS!Y226</f>
        <v>1119.1830939566664</v>
      </c>
      <c r="Z45" s="1483">
        <f ca="1">BS!Z226</f>
        <v>1174.5018009925152</v>
      </c>
      <c r="AA45" s="1483">
        <f ca="1">BS!AA226</f>
        <v>1108.204357635519</v>
      </c>
      <c r="AB45" s="1483">
        <f ca="1">BS!AB226</f>
        <v>642.39027044481043</v>
      </c>
      <c r="AC45" s="1483">
        <f ca="1">BS!AC226</f>
        <v>345.7837590300627</v>
      </c>
      <c r="AD45" s="1483">
        <f ca="1">BS!AD226</f>
        <v>345.7837590300627</v>
      </c>
      <c r="AE45" s="1483"/>
      <c r="AF45" s="1483"/>
      <c r="AG45" s="1484">
        <v>5.0999999999999997E-2</v>
      </c>
      <c r="AH45" s="1484">
        <f>0.136-AG45</f>
        <v>8.500000000000002E-2</v>
      </c>
      <c r="AI45" s="1484">
        <f>0.248-AH45-AG45</f>
        <v>0.11199999999999999</v>
      </c>
      <c r="AJ45" s="1540">
        <v>0.36099999999999999</v>
      </c>
      <c r="AK45" s="1532">
        <f>SUM(AG45:AJ45)</f>
        <v>0.60899999999999999</v>
      </c>
      <c r="AL45" s="1484">
        <v>1.6359999999999999</v>
      </c>
      <c r="AM45" s="1484">
        <v>1.974</v>
      </c>
      <c r="AN45" s="1484">
        <v>3.2189999999999999</v>
      </c>
      <c r="AO45" s="1484">
        <v>7.9870000000000001</v>
      </c>
      <c r="AP45" s="1532">
        <f>SUM(AL45:AO45)</f>
        <v>14.815999999999999</v>
      </c>
      <c r="AQ45" s="1484">
        <v>10.525</v>
      </c>
      <c r="AR45" s="1484">
        <v>13.484</v>
      </c>
      <c r="AS45" s="1484">
        <v>12.435</v>
      </c>
      <c r="AT45" s="1484">
        <v>13.201000000000001</v>
      </c>
      <c r="AU45" s="1534">
        <f>SUM(AQ45:AT45)</f>
        <v>49.645000000000003</v>
      </c>
      <c r="AV45" s="1484">
        <v>12.058999999999999</v>
      </c>
      <c r="AW45" s="1484">
        <v>13.36</v>
      </c>
      <c r="AX45" s="1484">
        <v>14.08</v>
      </c>
      <c r="AY45" s="1484">
        <v>14.583</v>
      </c>
      <c r="AZ45" s="1534">
        <f>SUM(AV45:AY45)</f>
        <v>54.081999999999994</v>
      </c>
      <c r="BA45" s="1484">
        <v>16.779</v>
      </c>
      <c r="BB45" s="1484">
        <v>15.821</v>
      </c>
      <c r="BC45" s="1484">
        <v>15.173999999999999</v>
      </c>
      <c r="BD45" s="1484">
        <v>14.974</v>
      </c>
      <c r="BE45" s="1532">
        <f>SUM(BA45:BD45)</f>
        <v>62.748000000000005</v>
      </c>
      <c r="BF45" s="1484">
        <v>14.829000000000001</v>
      </c>
      <c r="BG45" s="1484">
        <v>14.503</v>
      </c>
      <c r="BH45" s="1484">
        <v>14.505000000000001</v>
      </c>
      <c r="BI45" s="1484">
        <v>14.686999999999999</v>
      </c>
      <c r="BJ45" s="1532">
        <f>SUM(BF45:BI45)</f>
        <v>58.524000000000001</v>
      </c>
      <c r="BK45" s="1484">
        <v>15.39</v>
      </c>
      <c r="BL45" s="1484">
        <v>16.07</v>
      </c>
      <c r="BM45" s="1484">
        <v>16.327000000000002</v>
      </c>
      <c r="BN45" s="1484">
        <v>17.033999999999999</v>
      </c>
      <c r="BO45" s="1532">
        <f>SUM(BK45:BN45)</f>
        <v>64.820999999999998</v>
      </c>
      <c r="BP45" s="1484">
        <v>17.881</v>
      </c>
      <c r="BQ45" s="1484">
        <v>18.361000000000001</v>
      </c>
      <c r="BR45" s="1484">
        <v>19.585999999999999</v>
      </c>
      <c r="BS45" s="1484">
        <v>20.504000000000001</v>
      </c>
      <c r="BT45" s="1481">
        <f>SUM(BP45:BS45)</f>
        <v>76.332000000000008</v>
      </c>
      <c r="BU45" s="1484">
        <v>21.074000000000002</v>
      </c>
      <c r="BV45" s="1484">
        <v>22.411999999999999</v>
      </c>
      <c r="BW45" s="1484">
        <v>24.071000000000002</v>
      </c>
      <c r="BX45" s="1484">
        <v>35.917999999999999</v>
      </c>
      <c r="BY45" s="1532">
        <f>SUM(BU45:BX45)</f>
        <v>103.47499999999999</v>
      </c>
      <c r="BZ45" s="1490">
        <v>35.945999999999998</v>
      </c>
      <c r="CA45" s="1490">
        <v>38.816000000000003</v>
      </c>
      <c r="CB45" s="1490">
        <v>42.119</v>
      </c>
      <c r="CC45" s="1490">
        <v>44.106000000000002</v>
      </c>
      <c r="CD45" s="1532">
        <f>SUM(BZ45:CC45)</f>
        <v>160.98699999999999</v>
      </c>
      <c r="CE45" s="1490">
        <v>41.966999999999999</v>
      </c>
      <c r="CF45" s="1490">
        <v>45.265999999999998</v>
      </c>
      <c r="CG45" s="1490">
        <v>45.066000000000003</v>
      </c>
      <c r="CH45" s="1490">
        <v>43.072000000000003</v>
      </c>
      <c r="CI45" s="1532">
        <f>SUM(CE45:CH45)</f>
        <v>175.37100000000001</v>
      </c>
      <c r="CJ45" s="1490">
        <v>49.322000000000003</v>
      </c>
      <c r="CK45" s="1658">
        <f>63.626-Rev!BU315</f>
        <v>61.324999999999996</v>
      </c>
      <c r="CL45" s="1658">
        <f>74.485-Rev!BV315</f>
        <v>70.781000000000006</v>
      </c>
      <c r="CM45" s="1658">
        <f>76.131-Rev!BW315</f>
        <v>72.177000000000007</v>
      </c>
      <c r="CN45" s="1532">
        <f>SUM(CJ45:CM45)</f>
        <v>253.60500000000002</v>
      </c>
      <c r="CO45" s="1658">
        <f>79.525-Rev!BX315</f>
        <v>75.779000000000011</v>
      </c>
      <c r="CP45" s="1658">
        <f>86.426-Rev!BY315</f>
        <v>82.671000000000006</v>
      </c>
      <c r="CQ45" s="1658">
        <f>92.019-Rev!BZ315</f>
        <v>88.288000000000011</v>
      </c>
      <c r="CR45" s="1658">
        <f>94.683-Rev!CA315</f>
        <v>91.02000000000001</v>
      </c>
      <c r="CS45" s="1532">
        <f>SUM(CO45:CR45)</f>
        <v>337.75800000000004</v>
      </c>
      <c r="CT45" s="1485">
        <f>79.492+4.256+6.474</f>
        <v>90.222000000000008</v>
      </c>
      <c r="CU45" s="1485">
        <f>82.718+4.239+7.291</f>
        <v>94.248000000000005</v>
      </c>
      <c r="CV45" s="1485">
        <f>91.795+6.296+7.431</f>
        <v>105.52200000000001</v>
      </c>
      <c r="CW45" s="1485">
        <f>89.602+6.469+7.48</f>
        <v>103.551</v>
      </c>
      <c r="CX45" s="1485">
        <f>94.979+6.275+7.349</f>
        <v>108.60300000000001</v>
      </c>
      <c r="CY45" s="1485">
        <f>96.894+6.223+7.072</f>
        <v>110.18900000000001</v>
      </c>
      <c r="CZ45" s="1485">
        <f>92.579+6.197+6.758</f>
        <v>105.53399999999999</v>
      </c>
      <c r="DA45" s="1485">
        <f>93.27+6.273+7.139</f>
        <v>106.68199999999999</v>
      </c>
      <c r="DB45" s="1485">
        <f>4.629+7.574+101.407</f>
        <v>113.61</v>
      </c>
      <c r="DC45" s="1485">
        <f>99.73+8.526+7.818</f>
        <v>116.074</v>
      </c>
      <c r="DD45" s="1485">
        <v>121.349</v>
      </c>
      <c r="DE45" s="1485">
        <v>133.096</v>
      </c>
      <c r="DF45" s="1485">
        <f>103.877+6.085+12.568</f>
        <v>122.52999999999999</v>
      </c>
      <c r="DG45" s="1485">
        <f>108.47+6.268+13.532</f>
        <v>128.27000000000001</v>
      </c>
      <c r="DH45" s="1485">
        <f>111.337+6.213+15.718</f>
        <v>133.268</v>
      </c>
      <c r="DI45" s="1485">
        <f>121.505+7.329+16.027</f>
        <v>144.86099999999999</v>
      </c>
      <c r="DJ45" s="1485">
        <f>153.583+17.127+31.443</f>
        <v>202.15300000000002</v>
      </c>
      <c r="DK45" s="1485">
        <f>161.493+19.047+33.179</f>
        <v>213.71899999999999</v>
      </c>
      <c r="DL45" s="1485">
        <f>162.165+19.719+33.486</f>
        <v>215.36999999999998</v>
      </c>
      <c r="DM45" s="1485">
        <f>83.305+76.598+52.365</f>
        <v>212.26800000000003</v>
      </c>
      <c r="DN45" s="1485">
        <v>219.01300000000001</v>
      </c>
      <c r="DO45" s="1485">
        <v>252.386</v>
      </c>
      <c r="DP45" s="1485">
        <v>277.71899999999999</v>
      </c>
      <c r="DQ45" s="1485">
        <v>279.774</v>
      </c>
      <c r="DR45" s="1483">
        <f ca="1">BS!CZ226</f>
        <v>281.97049740043303</v>
      </c>
      <c r="DS45" s="1483">
        <f ca="1">BS!DA226</f>
        <v>282.57294840672927</v>
      </c>
      <c r="DT45" s="1483">
        <f ca="1">BS!DB226</f>
        <v>286.35341777667611</v>
      </c>
      <c r="DU45" s="1483">
        <f ca="1">BS!DC226</f>
        <v>294.35663879645631</v>
      </c>
      <c r="DV45" s="54"/>
      <c r="DW45" s="54"/>
      <c r="DX45" s="54"/>
      <c r="DY45" s="54"/>
    </row>
    <row r="46" spans="2:135" customFormat="1" ht="12.75" customHeight="1">
      <c r="B46" s="23"/>
      <c r="C46" s="23"/>
      <c r="D46" s="15"/>
      <c r="E46" s="15"/>
      <c r="F46" s="15"/>
      <c r="G46" s="15"/>
      <c r="H46" s="15"/>
      <c r="I46" s="15"/>
      <c r="J46" s="15"/>
      <c r="K46" s="15"/>
      <c r="L46" s="23"/>
      <c r="M46" s="23"/>
      <c r="N46" s="1483"/>
      <c r="O46" s="1483"/>
      <c r="P46" s="1483"/>
      <c r="Q46" s="1483"/>
      <c r="R46" s="1483"/>
      <c r="S46" s="1483"/>
      <c r="T46" s="1483"/>
      <c r="U46" s="1483"/>
      <c r="V46" s="1483"/>
      <c r="W46" s="1483"/>
      <c r="X46" s="1483"/>
      <c r="Y46" s="1483"/>
      <c r="Z46" s="1483"/>
      <c r="AA46" s="1483"/>
      <c r="AB46" s="1483"/>
      <c r="AC46" s="1483"/>
      <c r="AD46" s="1483"/>
      <c r="AE46" s="1483"/>
      <c r="AF46" s="1483"/>
      <c r="AG46" s="1483"/>
      <c r="AH46" s="1483"/>
      <c r="AI46" s="1483"/>
      <c r="AJ46" s="1491"/>
      <c r="AK46" s="1532"/>
      <c r="AL46" s="1515"/>
      <c r="AM46" s="1515"/>
      <c r="AN46" s="1515"/>
      <c r="AO46" s="1515"/>
      <c r="AP46" s="1548"/>
      <c r="AQ46" s="1515"/>
      <c r="AR46" s="1515"/>
      <c r="AS46" s="1515"/>
      <c r="AT46" s="1515"/>
      <c r="AU46" s="1548"/>
      <c r="AV46" s="1515"/>
      <c r="AW46" s="1515"/>
      <c r="AX46" s="1515"/>
      <c r="AY46" s="1515"/>
      <c r="AZ46" s="1548"/>
      <c r="BA46" s="1515"/>
      <c r="BB46" s="1515"/>
      <c r="BC46" s="1515"/>
      <c r="BD46" s="1515"/>
      <c r="BE46" s="1548"/>
      <c r="BF46" s="1515"/>
      <c r="BG46" s="1515"/>
      <c r="BH46" s="1515"/>
      <c r="BI46" s="1515"/>
      <c r="BJ46" s="1548"/>
      <c r="BK46" s="1515"/>
      <c r="BL46" s="1515"/>
      <c r="BM46" s="1515"/>
      <c r="BN46" s="1515"/>
      <c r="BO46" s="1548"/>
      <c r="BP46" s="1515"/>
      <c r="BQ46" s="1515"/>
      <c r="BR46" s="1515"/>
      <c r="BS46" s="1515"/>
      <c r="BT46" s="1481"/>
      <c r="BU46" s="1515"/>
      <c r="BV46" s="1515"/>
      <c r="BW46" s="1515"/>
      <c r="BX46" s="1515"/>
      <c r="BY46" s="1548"/>
      <c r="BZ46" s="1483"/>
      <c r="CA46" s="1483"/>
      <c r="CB46" s="1483"/>
      <c r="CC46" s="1483"/>
      <c r="CD46" s="1532"/>
      <c r="CE46" s="1483"/>
      <c r="CF46" s="1483"/>
      <c r="CG46" s="1483"/>
      <c r="CH46" s="1483"/>
      <c r="CI46" s="1532"/>
      <c r="CJ46" s="1483"/>
      <c r="CK46" s="1483"/>
      <c r="CL46" s="1483"/>
      <c r="CM46" s="1483"/>
      <c r="CN46" s="1532"/>
      <c r="CO46" s="1483"/>
      <c r="CP46" s="1483"/>
      <c r="CQ46" s="1483"/>
      <c r="CR46" s="1483"/>
      <c r="CS46" s="1532"/>
      <c r="CT46" s="1483"/>
      <c r="CU46" s="1483"/>
      <c r="CV46" s="1483"/>
      <c r="CW46" s="1483"/>
      <c r="CX46" s="1483"/>
      <c r="CY46" s="1483"/>
      <c r="CZ46" s="1483"/>
      <c r="DA46" s="1483"/>
      <c r="DB46" s="1483"/>
      <c r="DC46" s="1483"/>
      <c r="DD46" s="1483"/>
      <c r="DE46" s="1483"/>
      <c r="DF46" s="1483"/>
      <c r="DG46" s="1483"/>
      <c r="DH46" s="1483"/>
      <c r="DI46" s="1483"/>
      <c r="DJ46" s="1483"/>
      <c r="DK46" s="1483"/>
      <c r="DL46" s="1483"/>
      <c r="DM46" s="1483"/>
      <c r="DN46" s="1483"/>
      <c r="DO46" s="1483"/>
      <c r="DP46" s="1483"/>
      <c r="DQ46" s="1483"/>
      <c r="DR46" s="1483"/>
      <c r="DS46" s="1483"/>
      <c r="DT46" s="1483"/>
      <c r="DU46" s="1483"/>
      <c r="DV46" s="54"/>
      <c r="DW46" s="54"/>
      <c r="DX46" s="23"/>
      <c r="DY46" s="23"/>
    </row>
    <row r="47" spans="2:135" customFormat="1">
      <c r="B47" s="14" t="s">
        <v>1231</v>
      </c>
      <c r="C47" s="23"/>
      <c r="D47" s="842">
        <f t="shared" ref="D47:P47" si="134">D36-D45</f>
        <v>-19.783000000000001</v>
      </c>
      <c r="E47" s="842">
        <f t="shared" si="134"/>
        <v>-107.10900000000001</v>
      </c>
      <c r="F47" s="842">
        <f t="shared" si="134"/>
        <v>-155.261</v>
      </c>
      <c r="G47" s="842">
        <f t="shared" si="134"/>
        <v>-101.67599999999999</v>
      </c>
      <c r="H47" s="842">
        <f t="shared" si="134"/>
        <v>-63.954999999999998</v>
      </c>
      <c r="I47" s="842">
        <f t="shared" si="134"/>
        <v>-42.062000000000012</v>
      </c>
      <c r="J47" s="842">
        <f t="shared" si="134"/>
        <v>-36.772999999999975</v>
      </c>
      <c r="K47" s="842">
        <f t="shared" si="134"/>
        <v>1.9140000000000583</v>
      </c>
      <c r="L47" s="842">
        <f t="shared" si="134"/>
        <v>10.11500000000008</v>
      </c>
      <c r="M47" s="842">
        <f t="shared" si="134"/>
        <v>73.261999999999944</v>
      </c>
      <c r="N47" s="1531">
        <f t="shared" si="134"/>
        <v>181.07900000000004</v>
      </c>
      <c r="O47" s="1531">
        <f t="shared" si="134"/>
        <v>193.10199999999998</v>
      </c>
      <c r="P47" s="1531">
        <f t="shared" si="134"/>
        <v>303.8950000000001</v>
      </c>
      <c r="Q47" s="1531">
        <f t="shared" ref="Q47:Z47" si="135">Q37-Q45-Q31-Q30</f>
        <v>392.89599999999984</v>
      </c>
      <c r="R47" s="1531">
        <f t="shared" si="135"/>
        <v>460.93200000000002</v>
      </c>
      <c r="S47" s="1531">
        <f t="shared" si="135"/>
        <v>509.26599999999962</v>
      </c>
      <c r="T47" s="1531">
        <f t="shared" si="135"/>
        <v>567.34200000000044</v>
      </c>
      <c r="U47" s="1531">
        <f t="shared" si="135"/>
        <v>618.73899999999992</v>
      </c>
      <c r="V47" s="1531">
        <f t="shared" si="135"/>
        <v>809.01400000000035</v>
      </c>
      <c r="W47" s="1531">
        <f t="shared" ref="W47" ca="1" si="136">W37-W45-W31-W30</f>
        <v>1031.6759012605824</v>
      </c>
      <c r="X47" s="1531">
        <f t="shared" ca="1" si="135"/>
        <v>1321.9227667124449</v>
      </c>
      <c r="Y47" s="1531">
        <f t="shared" ca="1" si="135"/>
        <v>1475.8563416253035</v>
      </c>
      <c r="Z47" s="1531">
        <f t="shared" ca="1" si="135"/>
        <v>1615.7474594173682</v>
      </c>
      <c r="AA47" s="1531">
        <f t="shared" ref="AA47:AD47" ca="1" si="137">AA37-AA45-AA31-AA30</f>
        <v>1878.2181351239506</v>
      </c>
      <c r="AB47" s="1531">
        <f t="shared" ca="1" si="137"/>
        <v>2541.0309042363715</v>
      </c>
      <c r="AC47" s="1531">
        <f t="shared" ca="1" si="137"/>
        <v>3035.3476473632063</v>
      </c>
      <c r="AD47" s="1531">
        <f t="shared" ca="1" si="137"/>
        <v>3233.6717323987978</v>
      </c>
      <c r="AE47" s="1483"/>
      <c r="AF47" s="1483"/>
      <c r="AG47" s="1494">
        <f t="shared" ref="AG47:AP47" si="138">AG36-AG45</f>
        <v>-1.4189999999999998</v>
      </c>
      <c r="AH47" s="1494">
        <f t="shared" si="138"/>
        <v>-3.0800000000000005</v>
      </c>
      <c r="AI47" s="1494">
        <f t="shared" si="138"/>
        <v>-6.2840000000000007</v>
      </c>
      <c r="AJ47" s="1531">
        <f t="shared" si="138"/>
        <v>-9.0000000000000018</v>
      </c>
      <c r="AK47" s="1536">
        <f t="shared" si="138"/>
        <v>-19.783000000000001</v>
      </c>
      <c r="AL47" s="1494">
        <f t="shared" si="138"/>
        <v>-13.954999999999998</v>
      </c>
      <c r="AM47" s="1494">
        <f t="shared" si="138"/>
        <v>-24.516999999999999</v>
      </c>
      <c r="AN47" s="1494">
        <f t="shared" si="138"/>
        <v>-29.950000000000003</v>
      </c>
      <c r="AO47" s="1494">
        <f t="shared" si="138"/>
        <v>-38.686999999999998</v>
      </c>
      <c r="AP47" s="1537">
        <f t="shared" si="138"/>
        <v>-107.10900000000001</v>
      </c>
      <c r="AQ47" s="1494">
        <f t="shared" ref="AQ47:BV47" si="139">AQ37-AQ45-AQ31</f>
        <v>-34.966000000000001</v>
      </c>
      <c r="AR47" s="1494">
        <f t="shared" si="139"/>
        <v>-29.944000000000003</v>
      </c>
      <c r="AS47" s="1494">
        <f t="shared" si="139"/>
        <v>-72.587000000000003</v>
      </c>
      <c r="AT47" s="1494">
        <f t="shared" si="139"/>
        <v>-17.763999999999999</v>
      </c>
      <c r="AU47" s="1537">
        <f t="shared" si="139"/>
        <v>-155.26100000000002</v>
      </c>
      <c r="AV47" s="1494">
        <f t="shared" si="139"/>
        <v>-16.178999999999995</v>
      </c>
      <c r="AW47" s="1494">
        <f t="shared" si="139"/>
        <v>-31.810999999999996</v>
      </c>
      <c r="AX47" s="1494">
        <f t="shared" si="139"/>
        <v>-36.087000000000003</v>
      </c>
      <c r="AY47" s="1494">
        <f t="shared" si="139"/>
        <v>-17.599</v>
      </c>
      <c r="AZ47" s="1537">
        <f t="shared" si="139"/>
        <v>-101.67599999999999</v>
      </c>
      <c r="BA47" s="1494">
        <f t="shared" si="139"/>
        <v>-20.810999999999996</v>
      </c>
      <c r="BB47" s="1494">
        <f t="shared" si="139"/>
        <v>-16.242000000000004</v>
      </c>
      <c r="BC47" s="1494">
        <f t="shared" si="139"/>
        <v>-14.285999999999998</v>
      </c>
      <c r="BD47" s="1494">
        <f t="shared" si="139"/>
        <v>-12.616000000000005</v>
      </c>
      <c r="BE47" s="1537">
        <f t="shared" si="139"/>
        <v>-63.955000000000013</v>
      </c>
      <c r="BF47" s="1494">
        <f t="shared" si="139"/>
        <v>-9.8489999999999949</v>
      </c>
      <c r="BG47" s="1494">
        <f t="shared" si="139"/>
        <v>-7.1579999999999977</v>
      </c>
      <c r="BH47" s="1494">
        <f t="shared" si="139"/>
        <v>-4.5979999999999999</v>
      </c>
      <c r="BI47" s="1494">
        <f t="shared" si="139"/>
        <v>-20.456999999999994</v>
      </c>
      <c r="BJ47" s="1537">
        <f t="shared" si="139"/>
        <v>-42.062000000000012</v>
      </c>
      <c r="BK47" s="1494">
        <f t="shared" si="139"/>
        <v>-3.4970000000000008</v>
      </c>
      <c r="BL47" s="1494">
        <f t="shared" si="139"/>
        <v>-2.5040000000000004</v>
      </c>
      <c r="BM47" s="1494">
        <f t="shared" si="139"/>
        <v>0.2339999999999951</v>
      </c>
      <c r="BN47" s="1494">
        <f t="shared" si="139"/>
        <v>-31.006</v>
      </c>
      <c r="BO47" s="1537">
        <f t="shared" si="139"/>
        <v>-36.773000000000003</v>
      </c>
      <c r="BP47" s="1494">
        <f t="shared" si="139"/>
        <v>-2.8039999999999985</v>
      </c>
      <c r="BQ47" s="1494">
        <f t="shared" si="139"/>
        <v>-3.2199999999999971</v>
      </c>
      <c r="BR47" s="1494">
        <f t="shared" si="139"/>
        <v>-3.0710000000000015</v>
      </c>
      <c r="BS47" s="1494">
        <f t="shared" si="139"/>
        <v>11.008999999999986</v>
      </c>
      <c r="BT47" s="1537">
        <f t="shared" si="139"/>
        <v>1.9139999999999979</v>
      </c>
      <c r="BU47" s="1494">
        <f t="shared" si="139"/>
        <v>0.8060000000000116</v>
      </c>
      <c r="BV47" s="1494">
        <f t="shared" si="139"/>
        <v>2.4470000000000152</v>
      </c>
      <c r="BW47" s="1494">
        <f t="shared" ref="BW47:CS47" si="140">BW37-BW45-BW31</f>
        <v>6.0789999999999935</v>
      </c>
      <c r="BX47" s="1494">
        <f t="shared" si="140"/>
        <v>0.7829999999999977</v>
      </c>
      <c r="BY47" s="1537">
        <f t="shared" si="140"/>
        <v>10.115000000000023</v>
      </c>
      <c r="BZ47" s="1494">
        <f t="shared" si="140"/>
        <v>13.982000000000006</v>
      </c>
      <c r="CA47" s="1494">
        <f t="shared" si="140"/>
        <v>13.269999999999982</v>
      </c>
      <c r="CB47" s="1494">
        <f t="shared" si="140"/>
        <v>21.492999999999959</v>
      </c>
      <c r="CC47" s="1494">
        <f t="shared" si="140"/>
        <v>24.516999999999992</v>
      </c>
      <c r="CD47" s="1537">
        <f t="shared" si="140"/>
        <v>73.261999999999944</v>
      </c>
      <c r="CE47" s="1494">
        <f t="shared" si="140"/>
        <v>43.706000000000031</v>
      </c>
      <c r="CF47" s="1494">
        <f t="shared" si="140"/>
        <v>41.028999999999996</v>
      </c>
      <c r="CG47" s="1494">
        <f t="shared" si="140"/>
        <v>45.558</v>
      </c>
      <c r="CH47" s="1494">
        <f t="shared" si="140"/>
        <v>50.785999999999994</v>
      </c>
      <c r="CI47" s="1537">
        <f t="shared" si="140"/>
        <v>181.07900000000006</v>
      </c>
      <c r="CJ47" s="1494">
        <f t="shared" si="140"/>
        <v>47.982000000000014</v>
      </c>
      <c r="CK47" s="1494">
        <f t="shared" si="140"/>
        <v>39.687999999999974</v>
      </c>
      <c r="CL47" s="1494">
        <f t="shared" si="140"/>
        <v>51.404000000000011</v>
      </c>
      <c r="CM47" s="1494">
        <f t="shared" si="140"/>
        <v>54.028000000000013</v>
      </c>
      <c r="CN47" s="1537">
        <f t="shared" si="140"/>
        <v>193.10199999999995</v>
      </c>
      <c r="CO47" s="1494">
        <f t="shared" si="140"/>
        <v>70.191999999999979</v>
      </c>
      <c r="CP47" s="1494">
        <f t="shared" si="140"/>
        <v>74.801999999999992</v>
      </c>
      <c r="CQ47" s="1494">
        <f t="shared" si="140"/>
        <v>77.151999999999958</v>
      </c>
      <c r="CR47" s="1494">
        <f t="shared" si="140"/>
        <v>81.748999999999995</v>
      </c>
      <c r="CS47" s="1537">
        <f t="shared" si="140"/>
        <v>303.89500000000015</v>
      </c>
      <c r="CT47" s="1494">
        <f t="shared" ref="CT47:DN47" si="141">CT37-CT45-CT31-CT30</f>
        <v>96.957000000000008</v>
      </c>
      <c r="CU47" s="1494">
        <f t="shared" si="141"/>
        <v>100.38899999999998</v>
      </c>
      <c r="CV47" s="1494">
        <f t="shared" si="141"/>
        <v>92.845999999999947</v>
      </c>
      <c r="CW47" s="1494">
        <f t="shared" si="141"/>
        <v>102.70399999999999</v>
      </c>
      <c r="CX47" s="1494">
        <f t="shared" si="141"/>
        <v>104.78699999999991</v>
      </c>
      <c r="CY47" s="1494">
        <f t="shared" si="141"/>
        <v>115.96300000000001</v>
      </c>
      <c r="CZ47" s="1494">
        <f t="shared" si="141"/>
        <v>115.19300000000008</v>
      </c>
      <c r="DA47" s="1494">
        <f t="shared" si="141"/>
        <v>124.98900000000003</v>
      </c>
      <c r="DB47" s="1494">
        <f t="shared" si="141"/>
        <v>121.61200000000002</v>
      </c>
      <c r="DC47" s="1494">
        <f t="shared" si="141"/>
        <v>124.69700000000003</v>
      </c>
      <c r="DD47" s="1494">
        <f t="shared" si="141"/>
        <v>135.131</v>
      </c>
      <c r="DE47" s="1494">
        <f t="shared" si="141"/>
        <v>127.82600000000001</v>
      </c>
      <c r="DF47" s="1494">
        <f t="shared" si="141"/>
        <v>151.44900000000001</v>
      </c>
      <c r="DG47" s="1494">
        <f t="shared" si="141"/>
        <v>139.13299999999987</v>
      </c>
      <c r="DH47" s="1494">
        <f t="shared" si="141"/>
        <v>140.88300000000004</v>
      </c>
      <c r="DI47" s="1494">
        <f t="shared" si="141"/>
        <v>135.8769999999999</v>
      </c>
      <c r="DJ47" s="1494">
        <f t="shared" si="141"/>
        <v>112.68800000000002</v>
      </c>
      <c r="DK47" s="1494">
        <f t="shared" si="141"/>
        <v>151.655</v>
      </c>
      <c r="DL47" s="1494">
        <f t="shared" si="141"/>
        <v>169.94099999999995</v>
      </c>
      <c r="DM47" s="1494">
        <f t="shared" si="141"/>
        <v>184.45499999999996</v>
      </c>
      <c r="DN47" s="1494">
        <f t="shared" si="141"/>
        <v>167.21300000000014</v>
      </c>
      <c r="DO47" s="1494">
        <f t="shared" ref="DO47:DP47" si="142">DO37-DO45-DO31-DO30</f>
        <v>184.89500000000004</v>
      </c>
      <c r="DP47" s="1494">
        <f t="shared" si="142"/>
        <v>224.86299999999997</v>
      </c>
      <c r="DQ47" s="1494">
        <f t="shared" ref="DQ47" si="143">DQ37-DQ45-DQ31-DQ30</f>
        <v>232.04300000000003</v>
      </c>
      <c r="DR47" s="1494">
        <f t="shared" ref="DR47:DU47" ca="1" si="144">DR37-DR45-DR31-DR30</f>
        <v>230.70610484926181</v>
      </c>
      <c r="DS47" s="1494">
        <f t="shared" ca="1" si="144"/>
        <v>259.80037114623565</v>
      </c>
      <c r="DT47" s="1494">
        <f t="shared" ca="1" si="144"/>
        <v>276.98922876707144</v>
      </c>
      <c r="DU47" s="1494">
        <f t="shared" ca="1" si="144"/>
        <v>290.7481767026967</v>
      </c>
      <c r="DV47" s="54"/>
      <c r="DW47" s="54"/>
      <c r="DX47" s="54"/>
      <c r="DY47" s="54"/>
    </row>
    <row r="48" spans="2:135" customFormat="1">
      <c r="B48" s="904" t="s">
        <v>363</v>
      </c>
      <c r="C48" s="52"/>
      <c r="D48" s="905" t="str">
        <f t="shared" ref="D48:AD48" si="145">IF(OR(ISERROR(D47/D15),D47&lt;0), "NM", D47/D15)</f>
        <v>NM</v>
      </c>
      <c r="E48" s="905" t="str">
        <f t="shared" si="145"/>
        <v>NM</v>
      </c>
      <c r="F48" s="905" t="str">
        <f t="shared" si="145"/>
        <v>NM</v>
      </c>
      <c r="G48" s="905" t="str">
        <f t="shared" si="145"/>
        <v>NM</v>
      </c>
      <c r="H48" s="905" t="str">
        <f t="shared" si="145"/>
        <v>NM</v>
      </c>
      <c r="I48" s="905" t="str">
        <f t="shared" si="145"/>
        <v>NM</v>
      </c>
      <c r="J48" s="905" t="str">
        <f t="shared" si="145"/>
        <v>NM</v>
      </c>
      <c r="K48" s="905">
        <f t="shared" si="145"/>
        <v>6.6436649149238022E-3</v>
      </c>
      <c r="L48" s="905">
        <f t="shared" si="145"/>
        <v>2.4115372327997861E-2</v>
      </c>
      <c r="M48" s="905">
        <f t="shared" si="145"/>
        <v>0.10396492024748814</v>
      </c>
      <c r="N48" s="905">
        <f t="shared" si="145"/>
        <v>0.20518657600092466</v>
      </c>
      <c r="O48" s="905">
        <f t="shared" si="145"/>
        <v>0.16142763752973965</v>
      </c>
      <c r="P48" s="905">
        <f t="shared" si="145"/>
        <v>0.19359032835090692</v>
      </c>
      <c r="Q48" s="905">
        <f t="shared" si="145"/>
        <v>0.2081704970286789</v>
      </c>
      <c r="R48" s="905">
        <f t="shared" si="145"/>
        <v>0.2141115197843147</v>
      </c>
      <c r="S48" s="905">
        <f t="shared" si="145"/>
        <v>0.20839316221828921</v>
      </c>
      <c r="T48" s="905">
        <f t="shared" si="145"/>
        <v>0.20813267852026543</v>
      </c>
      <c r="U48" s="905">
        <f t="shared" si="145"/>
        <v>0.17130146298895152</v>
      </c>
      <c r="V48" s="905">
        <f t="shared" si="145"/>
        <v>0.18519568137554296</v>
      </c>
      <c r="W48" s="905">
        <f t="shared" ca="1" si="145"/>
        <v>0.20473177846857327</v>
      </c>
      <c r="X48" s="905">
        <f t="shared" ca="1" si="145"/>
        <v>0.24032391110004747</v>
      </c>
      <c r="Y48" s="905">
        <f t="shared" ca="1" si="145"/>
        <v>0.24857227282859704</v>
      </c>
      <c r="Z48" s="905">
        <f t="shared" ca="1" si="145"/>
        <v>0.254478155304183</v>
      </c>
      <c r="AA48" s="905">
        <f t="shared" ca="1" si="145"/>
        <v>0.27785720615101539</v>
      </c>
      <c r="AB48" s="905">
        <f t="shared" ca="1" si="145"/>
        <v>0.35448515063050989</v>
      </c>
      <c r="AC48" s="905">
        <f t="shared" ca="1" si="145"/>
        <v>0.40071861302193046</v>
      </c>
      <c r="AD48" s="905">
        <f t="shared" ca="1" si="145"/>
        <v>0.40526986675938032</v>
      </c>
      <c r="AE48" s="54"/>
      <c r="AF48" s="23"/>
      <c r="AG48" s="905" t="str">
        <f t="shared" ref="AG48:BL48" si="146">IF(OR(ISERROR(AG47/AG15),AG47&lt;0), "NM", AG47/AG15)</f>
        <v>NM</v>
      </c>
      <c r="AH48" s="905" t="str">
        <f t="shared" si="146"/>
        <v>NM</v>
      </c>
      <c r="AI48" s="905" t="str">
        <f t="shared" si="146"/>
        <v>NM</v>
      </c>
      <c r="AJ48" s="905" t="str">
        <f t="shared" si="146"/>
        <v>NM</v>
      </c>
      <c r="AK48" s="1105" t="str">
        <f t="shared" si="146"/>
        <v>NM</v>
      </c>
      <c r="AL48" s="905" t="str">
        <f t="shared" si="146"/>
        <v>NM</v>
      </c>
      <c r="AM48" s="905" t="str">
        <f t="shared" si="146"/>
        <v>NM</v>
      </c>
      <c r="AN48" s="905" t="str">
        <f t="shared" si="146"/>
        <v>NM</v>
      </c>
      <c r="AO48" s="905" t="str">
        <f t="shared" si="146"/>
        <v>NM</v>
      </c>
      <c r="AP48" s="1105" t="str">
        <f t="shared" si="146"/>
        <v>NM</v>
      </c>
      <c r="AQ48" s="905" t="str">
        <f t="shared" si="146"/>
        <v>NM</v>
      </c>
      <c r="AR48" s="905" t="str">
        <f t="shared" si="146"/>
        <v>NM</v>
      </c>
      <c r="AS48" s="905" t="str">
        <f t="shared" si="146"/>
        <v>NM</v>
      </c>
      <c r="AT48" s="905" t="str">
        <f t="shared" si="146"/>
        <v>NM</v>
      </c>
      <c r="AU48" s="1105" t="str">
        <f t="shared" si="146"/>
        <v>NM</v>
      </c>
      <c r="AV48" s="905" t="str">
        <f t="shared" si="146"/>
        <v>NM</v>
      </c>
      <c r="AW48" s="905" t="str">
        <f t="shared" si="146"/>
        <v>NM</v>
      </c>
      <c r="AX48" s="905" t="str">
        <f t="shared" si="146"/>
        <v>NM</v>
      </c>
      <c r="AY48" s="905" t="str">
        <f t="shared" si="146"/>
        <v>NM</v>
      </c>
      <c r="AZ48" s="1105" t="str">
        <f t="shared" si="146"/>
        <v>NM</v>
      </c>
      <c r="BA48" s="905" t="str">
        <f t="shared" si="146"/>
        <v>NM</v>
      </c>
      <c r="BB48" s="905" t="str">
        <f t="shared" si="146"/>
        <v>NM</v>
      </c>
      <c r="BC48" s="905" t="str">
        <f t="shared" si="146"/>
        <v>NM</v>
      </c>
      <c r="BD48" s="905" t="str">
        <f t="shared" si="146"/>
        <v>NM</v>
      </c>
      <c r="BE48" s="1105" t="str">
        <f t="shared" si="146"/>
        <v>NM</v>
      </c>
      <c r="BF48" s="905" t="str">
        <f t="shared" si="146"/>
        <v>NM</v>
      </c>
      <c r="BG48" s="905" t="str">
        <f t="shared" si="146"/>
        <v>NM</v>
      </c>
      <c r="BH48" s="905" t="str">
        <f t="shared" si="146"/>
        <v>NM</v>
      </c>
      <c r="BI48" s="905" t="str">
        <f t="shared" si="146"/>
        <v>NM</v>
      </c>
      <c r="BJ48" s="1105" t="str">
        <f t="shared" si="146"/>
        <v>NM</v>
      </c>
      <c r="BK48" s="905" t="str">
        <f t="shared" si="146"/>
        <v>NM</v>
      </c>
      <c r="BL48" s="905" t="str">
        <f t="shared" si="146"/>
        <v>NM</v>
      </c>
      <c r="BM48" s="905">
        <f t="shared" ref="BM48:CR48" si="147">IF(OR(ISERROR(BM47/BM15),BM47&lt;0), "NM", BM47/BM15)</f>
        <v>4.0278160286421633E-3</v>
      </c>
      <c r="BN48" s="905" t="str">
        <f t="shared" si="147"/>
        <v>NM</v>
      </c>
      <c r="BO48" s="1105" t="str">
        <f t="shared" si="147"/>
        <v>NM</v>
      </c>
      <c r="BP48" s="905" t="str">
        <f t="shared" si="147"/>
        <v>NM</v>
      </c>
      <c r="BQ48" s="905" t="str">
        <f t="shared" si="147"/>
        <v>NM</v>
      </c>
      <c r="BR48" s="905" t="str">
        <f t="shared" si="147"/>
        <v>NM</v>
      </c>
      <c r="BS48" s="905">
        <f t="shared" si="147"/>
        <v>0.13599584934095918</v>
      </c>
      <c r="BT48" s="1105">
        <f t="shared" si="147"/>
        <v>6.643664914923594E-3</v>
      </c>
      <c r="BU48" s="905">
        <f t="shared" si="147"/>
        <v>9.4702087910798101E-3</v>
      </c>
      <c r="BV48" s="905">
        <f t="shared" si="147"/>
        <v>2.664503413656821E-2</v>
      </c>
      <c r="BW48" s="905">
        <f t="shared" si="147"/>
        <v>5.8574704669403115E-2</v>
      </c>
      <c r="BX48" s="905">
        <f t="shared" si="147"/>
        <v>5.6447078160819942E-3</v>
      </c>
      <c r="BY48" s="1105">
        <f t="shared" si="147"/>
        <v>2.4115372327997729E-2</v>
      </c>
      <c r="BZ48" s="905">
        <f t="shared" si="147"/>
        <v>8.837174025711364E-2</v>
      </c>
      <c r="CA48" s="905">
        <f t="shared" si="147"/>
        <v>7.7131431494268807E-2</v>
      </c>
      <c r="CB48" s="905">
        <f t="shared" si="147"/>
        <v>0.11697825672844023</v>
      </c>
      <c r="CC48" s="905">
        <f t="shared" si="147"/>
        <v>0.12857465007368246</v>
      </c>
      <c r="CD48" s="1105">
        <f t="shared" si="147"/>
        <v>0.10396492024748814</v>
      </c>
      <c r="CE48" s="905">
        <f t="shared" si="147"/>
        <v>0.2193734910731765</v>
      </c>
      <c r="CF48" s="905">
        <f t="shared" si="147"/>
        <v>0.19247260376792014</v>
      </c>
      <c r="CG48" s="905">
        <f t="shared" si="147"/>
        <v>0.20020390405962438</v>
      </c>
      <c r="CH48" s="905">
        <f t="shared" si="147"/>
        <v>0.20938190573567728</v>
      </c>
      <c r="CI48" s="1105">
        <f t="shared" si="147"/>
        <v>0.20518657600092471</v>
      </c>
      <c r="CJ48" s="905">
        <f t="shared" si="147"/>
        <v>0.19297081428037116</v>
      </c>
      <c r="CK48" s="905">
        <f t="shared" si="147"/>
        <v>0.13684715033946279</v>
      </c>
      <c r="CL48" s="905">
        <f t="shared" si="147"/>
        <v>0.15994075807264607</v>
      </c>
      <c r="CM48" s="905">
        <f t="shared" si="147"/>
        <v>0.16072395390208064</v>
      </c>
      <c r="CN48" s="1105">
        <f t="shared" si="147"/>
        <v>0.16142763752973963</v>
      </c>
      <c r="CO48" s="905">
        <f t="shared" si="147"/>
        <v>0.19831105611260372</v>
      </c>
      <c r="CP48" s="905">
        <f t="shared" si="147"/>
        <v>0.19403337388557007</v>
      </c>
      <c r="CQ48" s="905">
        <f t="shared" si="147"/>
        <v>0.1890016854152784</v>
      </c>
      <c r="CR48" s="905">
        <f t="shared" si="147"/>
        <v>0.1936647746117181</v>
      </c>
      <c r="CS48" s="1105">
        <f t="shared" ref="CS48:DU48" si="148">IF(OR(ISERROR(CS47/CS15),CS47&lt;0), "NM", CS47/CS15)</f>
        <v>0.19359032835090695</v>
      </c>
      <c r="CT48" s="905">
        <f t="shared" si="148"/>
        <v>0.21988107549120994</v>
      </c>
      <c r="CU48" s="905">
        <f t="shared" si="148"/>
        <v>0.22037846025508742</v>
      </c>
      <c r="CV48" s="905">
        <f t="shared" si="148"/>
        <v>0.19150020109934299</v>
      </c>
      <c r="CW48" s="905">
        <f t="shared" si="148"/>
        <v>0.20294866804068301</v>
      </c>
      <c r="CX48" s="905">
        <f t="shared" si="148"/>
        <v>0.20302285840498771</v>
      </c>
      <c r="CY48" s="905">
        <f t="shared" si="148"/>
        <v>0.21926518943182743</v>
      </c>
      <c r="CZ48" s="905">
        <f t="shared" si="148"/>
        <v>0.21210899234740863</v>
      </c>
      <c r="DA48" s="905">
        <f t="shared" si="148"/>
        <v>0.22134600842605601</v>
      </c>
      <c r="DB48" s="905">
        <f t="shared" si="148"/>
        <v>0.20965670378396462</v>
      </c>
      <c r="DC48" s="905">
        <f t="shared" si="148"/>
        <v>0.20605590908865579</v>
      </c>
      <c r="DD48" s="905">
        <f t="shared" si="148"/>
        <v>0.21779865901618209</v>
      </c>
      <c r="DE48" s="905">
        <f t="shared" si="148"/>
        <v>0.2003162409637044</v>
      </c>
      <c r="DF48" s="905">
        <f t="shared" si="148"/>
        <v>0.23547127215963334</v>
      </c>
      <c r="DG48" s="905">
        <f t="shared" si="148"/>
        <v>0.20903960744130684</v>
      </c>
      <c r="DH48" s="905">
        <f t="shared" si="148"/>
        <v>0.20517469624218493</v>
      </c>
      <c r="DI48" s="905">
        <f t="shared" si="148"/>
        <v>0.1860151520544531</v>
      </c>
      <c r="DJ48" s="905">
        <f t="shared" si="148"/>
        <v>0.13349191381687747</v>
      </c>
      <c r="DK48" s="905">
        <f t="shared" si="148"/>
        <v>0.16841012315243584</v>
      </c>
      <c r="DL48" s="905">
        <f t="shared" si="148"/>
        <v>0.1837843742024233</v>
      </c>
      <c r="DM48" s="905">
        <f t="shared" si="148"/>
        <v>0.19567770331842135</v>
      </c>
      <c r="DN48" s="905">
        <f t="shared" si="148"/>
        <v>0.17610173507806545</v>
      </c>
      <c r="DO48" s="905">
        <f t="shared" si="148"/>
        <v>0.17337899384952099</v>
      </c>
      <c r="DP48" s="905">
        <f t="shared" si="148"/>
        <v>0.19514936286136558</v>
      </c>
      <c r="DQ48" s="905">
        <f t="shared" si="148"/>
        <v>0.1933335610691698</v>
      </c>
      <c r="DR48" s="905">
        <f t="shared" ca="1" si="148"/>
        <v>0.18979276333977918</v>
      </c>
      <c r="DS48" s="905">
        <f t="shared" ca="1" si="148"/>
        <v>0.20949784138133104</v>
      </c>
      <c r="DT48" s="905">
        <f t="shared" ca="1" si="148"/>
        <v>0.21742791838734654</v>
      </c>
      <c r="DU48" s="905">
        <f t="shared" ca="1" si="148"/>
        <v>0.22202242505637459</v>
      </c>
      <c r="DV48" s="54"/>
      <c r="DW48" s="54"/>
      <c r="DX48" s="906"/>
      <c r="DY48" s="906"/>
    </row>
    <row r="49" spans="2:135" customFormat="1" ht="12.75" customHeight="1">
      <c r="B49" s="23"/>
      <c r="C49" s="23"/>
      <c r="D49" s="15"/>
      <c r="E49" s="15"/>
      <c r="F49" s="15"/>
      <c r="G49" s="15"/>
      <c r="H49" s="15"/>
      <c r="I49" s="15"/>
      <c r="J49" s="15"/>
      <c r="K49" s="15"/>
      <c r="L49" s="23"/>
      <c r="M49" s="23"/>
      <c r="N49" s="23"/>
      <c r="O49" s="23"/>
      <c r="P49" s="23"/>
      <c r="Q49" s="23"/>
      <c r="R49" s="23"/>
      <c r="S49" s="23"/>
      <c r="T49" s="23"/>
      <c r="U49" s="23"/>
      <c r="V49" s="23"/>
      <c r="W49" s="23"/>
      <c r="X49" s="23"/>
      <c r="Y49" s="23"/>
      <c r="Z49" s="23"/>
      <c r="AA49" s="23"/>
      <c r="AB49" s="23"/>
      <c r="AC49" s="23"/>
      <c r="AD49" s="23"/>
      <c r="AE49" s="54"/>
      <c r="AF49" s="23"/>
      <c r="AG49" s="23"/>
      <c r="AH49" s="23"/>
      <c r="AI49" s="23"/>
      <c r="AJ49" s="123"/>
      <c r="AK49" s="1102"/>
      <c r="AL49" s="15"/>
      <c r="AM49" s="15"/>
      <c r="AN49" s="15"/>
      <c r="AO49" s="15"/>
      <c r="AP49" s="42"/>
      <c r="AQ49" s="15"/>
      <c r="AR49" s="15"/>
      <c r="AS49" s="15"/>
      <c r="AT49" s="15"/>
      <c r="AU49" s="42"/>
      <c r="AV49" s="15"/>
      <c r="AW49" s="15"/>
      <c r="AX49" s="15"/>
      <c r="AY49" s="15"/>
      <c r="AZ49" s="42"/>
      <c r="BA49" s="15"/>
      <c r="BB49" s="15"/>
      <c r="BC49" s="15"/>
      <c r="BD49" s="15"/>
      <c r="BE49" s="42"/>
      <c r="BF49" s="15"/>
      <c r="BG49" s="15"/>
      <c r="BH49" s="15"/>
      <c r="BI49" s="15"/>
      <c r="BJ49" s="42"/>
      <c r="BK49" s="15"/>
      <c r="BL49" s="15"/>
      <c r="BM49" s="15"/>
      <c r="BN49" s="15"/>
      <c r="BO49" s="42"/>
      <c r="BP49" s="15"/>
      <c r="BQ49" s="15"/>
      <c r="BR49" s="15"/>
      <c r="BS49" s="15"/>
      <c r="BT49" s="42"/>
      <c r="BU49" s="15"/>
      <c r="BV49" s="15"/>
      <c r="BW49" s="15"/>
      <c r="BX49" s="15"/>
      <c r="BY49" s="42"/>
      <c r="BZ49" s="23"/>
      <c r="CA49" s="23"/>
      <c r="CB49" s="23"/>
      <c r="CC49" s="23"/>
      <c r="CD49" s="1102"/>
      <c r="CE49" s="23"/>
      <c r="CF49" s="23"/>
      <c r="CG49" s="23"/>
      <c r="CH49" s="23"/>
      <c r="CI49" s="1102"/>
      <c r="CJ49" s="23"/>
      <c r="CK49" s="23"/>
      <c r="CL49" s="23"/>
      <c r="CM49" s="23"/>
      <c r="CN49" s="1102"/>
      <c r="CO49" s="23"/>
      <c r="CP49" s="23"/>
      <c r="CQ49" s="23"/>
      <c r="CR49" s="23"/>
      <c r="CS49" s="1102"/>
      <c r="CT49" s="23"/>
      <c r="CU49" s="23"/>
      <c r="CV49" s="23"/>
      <c r="CW49" s="23"/>
      <c r="CX49" s="23"/>
      <c r="CY49" s="23"/>
      <c r="CZ49" s="23"/>
      <c r="DA49" s="23"/>
      <c r="DB49" s="23"/>
      <c r="DC49" s="23"/>
      <c r="DD49" s="23"/>
      <c r="DE49" s="23"/>
      <c r="DF49" s="23"/>
      <c r="DG49" s="23"/>
      <c r="DH49" s="23"/>
      <c r="DI49" s="23"/>
      <c r="DJ49" s="23"/>
      <c r="DK49" s="23"/>
      <c r="DL49" s="23"/>
      <c r="DM49" s="23"/>
      <c r="DN49" s="23"/>
      <c r="DO49" s="23"/>
      <c r="DP49" s="23"/>
      <c r="DQ49" s="23"/>
      <c r="DR49" s="23"/>
      <c r="DS49" s="23"/>
      <c r="DT49" s="23"/>
      <c r="DU49" s="23"/>
      <c r="DV49" s="54"/>
      <c r="DW49" s="54"/>
      <c r="DX49" s="23"/>
      <c r="DY49" s="23"/>
    </row>
    <row r="50" spans="2:135" customFormat="1">
      <c r="B50" s="23" t="s">
        <v>364</v>
      </c>
      <c r="C50" s="23"/>
      <c r="D50" s="26">
        <f>AK50</f>
        <v>3.1459999999999999</v>
      </c>
      <c r="E50" s="26">
        <f>AP50</f>
        <v>29.111000000000004</v>
      </c>
      <c r="F50" s="54">
        <f>AU50</f>
        <v>43.81</v>
      </c>
      <c r="G50" s="54">
        <f>AZ50</f>
        <v>35.097999999999999</v>
      </c>
      <c r="H50" s="54">
        <f>BE50</f>
        <v>20.512</v>
      </c>
      <c r="I50" s="54">
        <f>BJ50</f>
        <v>11.496</v>
      </c>
      <c r="J50" s="54">
        <f>BO50</f>
        <v>8.879999999999999</v>
      </c>
      <c r="K50" s="54">
        <f>BT50</f>
        <v>14.875</v>
      </c>
      <c r="L50" s="54">
        <f>BY50</f>
        <v>27.332999999999998</v>
      </c>
      <c r="M50" s="54">
        <f>CD50</f>
        <v>61.677000000000007</v>
      </c>
      <c r="N50" s="1483">
        <f>CI50</f>
        <v>74.231999999999999</v>
      </c>
      <c r="O50" s="1483">
        <f>CN50</f>
        <v>140.47500000000002</v>
      </c>
      <c r="P50" s="1483">
        <f>CS50</f>
        <v>181.303</v>
      </c>
      <c r="Q50" s="1483">
        <f>+SUM(CT50:CW50)</f>
        <v>200.32799999999997</v>
      </c>
      <c r="R50" s="1483">
        <f>+SUM(CX50:DA50)</f>
        <v>248.79199999999997</v>
      </c>
      <c r="S50" s="1483">
        <f>+SUM(DB50:DE50)</f>
        <v>270.553</v>
      </c>
      <c r="T50" s="1483">
        <f>+SUM(DF50:DI50)</f>
        <v>299.05499999999995</v>
      </c>
      <c r="U50" s="1483">
        <f>+SUM(DJ50:DM50)</f>
        <v>392.15599999999995</v>
      </c>
      <c r="V50" s="1483">
        <f>+SUM(DN50:DQ50)</f>
        <v>478.69799999999998</v>
      </c>
      <c r="W50" s="1483">
        <f ca="1">+SUM(DR50:DU50)</f>
        <v>472.52948585730513</v>
      </c>
      <c r="X50" s="1483">
        <f ca="1">Capital!X313</f>
        <v>492.41454210730512</v>
      </c>
      <c r="Y50" s="1483">
        <f ca="1">Capital!Y313</f>
        <v>527.21966210730511</v>
      </c>
      <c r="Z50" s="1483">
        <f ca="1">Capital!Z313</f>
        <v>562.0247821073051</v>
      </c>
      <c r="AA50" s="1483">
        <f ca="1">Capital!AA313</f>
        <v>579.32990210730509</v>
      </c>
      <c r="AB50" s="1483">
        <f ca="1">Capital!AB313</f>
        <v>579.13502210730508</v>
      </c>
      <c r="AC50" s="1483">
        <f ca="1">Capital!AC313</f>
        <v>578.94014210730506</v>
      </c>
      <c r="AD50" s="1483">
        <f ca="1">Capital!AD313</f>
        <v>578.74526210730505</v>
      </c>
      <c r="AE50" s="1483"/>
      <c r="AF50" s="1483"/>
      <c r="AG50" s="1540">
        <v>3.2000000000000015E-2</v>
      </c>
      <c r="AH50" s="1540">
        <f>0.138-AG50</f>
        <v>0.106</v>
      </c>
      <c r="AI50" s="1540">
        <v>0.24199999999999999</v>
      </c>
      <c r="AJ50" s="1540">
        <f>3.146-AI50-AH50-AG50</f>
        <v>2.766</v>
      </c>
      <c r="AK50" s="1532">
        <f>SUM(AG50:AJ50)</f>
        <v>3.1459999999999999</v>
      </c>
      <c r="AL50" s="1540">
        <f>13.88-AM50</f>
        <v>7.7160000000000011</v>
      </c>
      <c r="AM50" s="1540">
        <v>6.1639999999999997</v>
      </c>
      <c r="AN50" s="1540">
        <v>6.4820000000000002</v>
      </c>
      <c r="AO50" s="1540">
        <f>29.111-AN50-AM50-AL50</f>
        <v>8.7490000000000023</v>
      </c>
      <c r="AP50" s="1532">
        <f>SUM(AL50:AO50)</f>
        <v>29.111000000000004</v>
      </c>
      <c r="AQ50" s="1484">
        <v>10.518000000000001</v>
      </c>
      <c r="AR50" s="1484">
        <v>11.125</v>
      </c>
      <c r="AS50" s="1484">
        <v>11.305</v>
      </c>
      <c r="AT50" s="1484">
        <v>10.862</v>
      </c>
      <c r="AU50" s="1534">
        <f>SUM(AQ50:AT50)</f>
        <v>43.81</v>
      </c>
      <c r="AV50" s="1484">
        <v>9.67</v>
      </c>
      <c r="AW50" s="1484">
        <v>8.5609999999999999</v>
      </c>
      <c r="AX50" s="1484">
        <v>8.18</v>
      </c>
      <c r="AY50" s="1484">
        <v>8.6869999999999994</v>
      </c>
      <c r="AZ50" s="1534">
        <f>SUM(AV50:AY50)</f>
        <v>35.097999999999999</v>
      </c>
      <c r="BA50" s="1484">
        <v>4.8120000000000003</v>
      </c>
      <c r="BB50" s="1484">
        <v>5.0270000000000001</v>
      </c>
      <c r="BC50" s="1484">
        <v>5.4779999999999998</v>
      </c>
      <c r="BD50" s="1484">
        <v>5.1950000000000003</v>
      </c>
      <c r="BE50" s="1532">
        <f>SUM(BA50:BD50)</f>
        <v>20.512</v>
      </c>
      <c r="BF50" s="1484">
        <v>4.13</v>
      </c>
      <c r="BG50" s="1484">
        <v>2.2829999999999999</v>
      </c>
      <c r="BH50" s="1484">
        <v>2.3519999999999999</v>
      </c>
      <c r="BI50" s="1484">
        <v>2.7309999999999999</v>
      </c>
      <c r="BJ50" s="1532">
        <f>SUM(BF50:BI50)</f>
        <v>11.496</v>
      </c>
      <c r="BK50" s="1484">
        <v>2.4590000000000001</v>
      </c>
      <c r="BL50" s="1484">
        <v>1.9450000000000001</v>
      </c>
      <c r="BM50" s="1484">
        <v>1.9279999999999999</v>
      </c>
      <c r="BN50" s="1484">
        <v>2.548</v>
      </c>
      <c r="BO50" s="1532">
        <f>SUM(BK50:BN50)</f>
        <v>8.879999999999999</v>
      </c>
      <c r="BP50" s="1484">
        <v>3.8679999999999999</v>
      </c>
      <c r="BQ50" s="1484">
        <v>3.5649999999999999</v>
      </c>
      <c r="BR50" s="1484">
        <v>3.5510000000000002</v>
      </c>
      <c r="BS50" s="1484">
        <v>3.891</v>
      </c>
      <c r="BT50" s="1481">
        <f>SUM(BP50:BS50)</f>
        <v>14.875</v>
      </c>
      <c r="BU50" s="1484">
        <v>3.4620000000000002</v>
      </c>
      <c r="BV50" s="1484">
        <v>6.1150000000000002</v>
      </c>
      <c r="BW50" s="1484">
        <v>5.6619999999999999</v>
      </c>
      <c r="BX50" s="1484">
        <v>12.093999999999999</v>
      </c>
      <c r="BY50" s="1532">
        <f>SUM(BU50:BX50)</f>
        <v>27.332999999999998</v>
      </c>
      <c r="BZ50" s="1490">
        <v>15.195</v>
      </c>
      <c r="CA50" s="1490">
        <v>14.313000000000001</v>
      </c>
      <c r="CB50" s="1490">
        <v>15.670999999999999</v>
      </c>
      <c r="CC50" s="1490">
        <v>16.498000000000001</v>
      </c>
      <c r="CD50" s="1532">
        <f>SUM(BZ50:CC50)</f>
        <v>61.677000000000007</v>
      </c>
      <c r="CE50" s="1490">
        <v>13.451000000000001</v>
      </c>
      <c r="CF50" s="1490">
        <v>15.912000000000001</v>
      </c>
      <c r="CG50" s="1490">
        <v>22.256</v>
      </c>
      <c r="CH50" s="1490">
        <v>22.613</v>
      </c>
      <c r="CI50" s="1532">
        <f>SUM(CE50:CH50)</f>
        <v>74.231999999999999</v>
      </c>
      <c r="CJ50" s="1490">
        <v>25.675000000000001</v>
      </c>
      <c r="CK50" s="1490">
        <v>37.615000000000002</v>
      </c>
      <c r="CL50" s="1490">
        <v>38.363</v>
      </c>
      <c r="CM50" s="1490">
        <v>38.822000000000003</v>
      </c>
      <c r="CN50" s="1532">
        <f>SUM(CJ50:CM50)</f>
        <v>140.47500000000002</v>
      </c>
      <c r="CO50" s="1490">
        <v>37.360999999999997</v>
      </c>
      <c r="CP50" s="1485">
        <v>37.677</v>
      </c>
      <c r="CQ50" s="1485">
        <v>51.113999999999997</v>
      </c>
      <c r="CR50" s="1485">
        <v>55.151000000000003</v>
      </c>
      <c r="CS50" s="1532">
        <f>SUM(CO50:CR50)</f>
        <v>181.303</v>
      </c>
      <c r="CT50" s="1485">
        <v>52.817999999999998</v>
      </c>
      <c r="CU50" s="1485">
        <v>46.786999999999999</v>
      </c>
      <c r="CV50" s="1485">
        <v>50.207000000000001</v>
      </c>
      <c r="CW50" s="1485">
        <v>50.515999999999998</v>
      </c>
      <c r="CX50" s="1485">
        <v>60.331000000000003</v>
      </c>
      <c r="CY50" s="1485">
        <v>61.000999999999998</v>
      </c>
      <c r="CZ50" s="1485">
        <v>61.957000000000001</v>
      </c>
      <c r="DA50" s="1485">
        <v>65.503</v>
      </c>
      <c r="DB50" s="1485">
        <v>68.819999999999993</v>
      </c>
      <c r="DC50" s="1485">
        <v>66.873999999999995</v>
      </c>
      <c r="DD50" s="1485">
        <v>63.756</v>
      </c>
      <c r="DE50" s="1485">
        <v>71.102999999999994</v>
      </c>
      <c r="DF50" s="1485">
        <v>68.790999999999997</v>
      </c>
      <c r="DG50" s="1485">
        <v>74.495999999999995</v>
      </c>
      <c r="DH50" s="1485">
        <v>76.269000000000005</v>
      </c>
      <c r="DI50" s="1485">
        <v>79.498999999999995</v>
      </c>
      <c r="DJ50" s="1485">
        <v>100.863</v>
      </c>
      <c r="DK50" s="1485">
        <v>100.33199999999999</v>
      </c>
      <c r="DL50" s="1485">
        <v>92.2</v>
      </c>
      <c r="DM50" s="1485">
        <v>98.760999999999996</v>
      </c>
      <c r="DN50" s="1485">
        <v>111.684</v>
      </c>
      <c r="DO50" s="1485">
        <v>119.042</v>
      </c>
      <c r="DP50" s="1485">
        <v>121.828</v>
      </c>
      <c r="DQ50" s="1485">
        <v>126.14400000000001</v>
      </c>
      <c r="DR50" s="2107">
        <f ca="1">Capital!CZ313</f>
        <v>118.13237146432628</v>
      </c>
      <c r="DS50" s="2107">
        <f ca="1">Capital!DA313</f>
        <v>118.13237146432628</v>
      </c>
      <c r="DT50" s="2107">
        <f ca="1">Capital!DB313</f>
        <v>118.13237146432628</v>
      </c>
      <c r="DU50" s="2107">
        <f ca="1">Capital!DC313</f>
        <v>118.13237146432628</v>
      </c>
      <c r="DV50" s="54"/>
      <c r="DW50" s="54"/>
      <c r="DX50" s="54"/>
      <c r="DY50" s="54"/>
    </row>
    <row r="51" spans="2:135" customFormat="1">
      <c r="B51" s="23" t="s">
        <v>365</v>
      </c>
      <c r="C51" s="23"/>
      <c r="D51" s="26">
        <f>AK51</f>
        <v>0</v>
      </c>
      <c r="E51" s="26">
        <f>AP51</f>
        <v>0</v>
      </c>
      <c r="F51" s="54">
        <f>AU51</f>
        <v>0</v>
      </c>
      <c r="G51" s="54">
        <f>AZ51</f>
        <v>0</v>
      </c>
      <c r="H51" s="54">
        <f>BE51</f>
        <v>0</v>
      </c>
      <c r="I51" s="54">
        <f>BJ51</f>
        <v>0</v>
      </c>
      <c r="J51" s="54">
        <f>BO51</f>
        <v>0</v>
      </c>
      <c r="K51" s="54">
        <f>BT51</f>
        <v>0</v>
      </c>
      <c r="L51" s="54">
        <f>BY51</f>
        <v>0.49199999999999999</v>
      </c>
      <c r="M51" s="54">
        <f>CD51</f>
        <v>1.3069999999999999</v>
      </c>
      <c r="N51" s="1483">
        <f>CI51</f>
        <v>-0.20300000000000007</v>
      </c>
      <c r="O51" s="1483">
        <f>CN51</f>
        <v>4.1099999999999994</v>
      </c>
      <c r="P51" s="1483">
        <f>CS51</f>
        <v>2.8210000000000002</v>
      </c>
      <c r="Q51" s="1490">
        <f>+SUM(CT51:CW51)</f>
        <v>-2.2080000000000002</v>
      </c>
      <c r="R51" s="1490">
        <f>+SUM(CX51:DA51)</f>
        <v>-9.6460000000000008</v>
      </c>
      <c r="S51" s="1490">
        <f>+SUM(DB51:DE51)</f>
        <v>0.11899999999999977</v>
      </c>
      <c r="T51" s="1490">
        <f>+SUM(DF51:DI51)</f>
        <v>-60.580999999999996</v>
      </c>
      <c r="U51" s="1490">
        <f>+SUM(DJ51:DM51)</f>
        <v>-57.923999999999999</v>
      </c>
      <c r="V51" s="1490">
        <f>+SUM(DN51:DQ51)</f>
        <v>9.2129999999999992</v>
      </c>
      <c r="W51" s="1490">
        <f>+SUM(DR51:DU51)</f>
        <v>0</v>
      </c>
      <c r="X51" s="1484">
        <v>0</v>
      </c>
      <c r="Y51" s="1484">
        <v>0</v>
      </c>
      <c r="Z51" s="1484">
        <v>0</v>
      </c>
      <c r="AA51" s="1484">
        <v>0</v>
      </c>
      <c r="AB51" s="1484">
        <v>0</v>
      </c>
      <c r="AC51" s="1484">
        <v>0</v>
      </c>
      <c r="AD51" s="1484">
        <v>0</v>
      </c>
      <c r="AE51" s="1483"/>
      <c r="AF51" s="1483"/>
      <c r="AG51" s="1484">
        <v>0</v>
      </c>
      <c r="AH51" s="1484">
        <v>0</v>
      </c>
      <c r="AI51" s="1484">
        <v>0</v>
      </c>
      <c r="AJ51" s="1484">
        <v>0</v>
      </c>
      <c r="AK51" s="1532">
        <f>SUM(AG51:AJ51)</f>
        <v>0</v>
      </c>
      <c r="AL51" s="1484">
        <v>0</v>
      </c>
      <c r="AM51" s="1484">
        <v>0</v>
      </c>
      <c r="AN51" s="1484">
        <v>0</v>
      </c>
      <c r="AO51" s="1484">
        <v>0</v>
      </c>
      <c r="AP51" s="1532">
        <f>SUM(AL51:AO51)</f>
        <v>0</v>
      </c>
      <c r="AQ51" s="1484">
        <v>0</v>
      </c>
      <c r="AR51" s="1484">
        <v>0</v>
      </c>
      <c r="AS51" s="1484">
        <v>0</v>
      </c>
      <c r="AT51" s="1484">
        <v>0</v>
      </c>
      <c r="AU51" s="1534">
        <f>SUM(AQ51:AT51)</f>
        <v>0</v>
      </c>
      <c r="AV51" s="1484">
        <v>0</v>
      </c>
      <c r="AW51" s="1484">
        <v>0</v>
      </c>
      <c r="AX51" s="1484">
        <v>0</v>
      </c>
      <c r="AY51" s="1484">
        <v>0</v>
      </c>
      <c r="AZ51" s="1534">
        <f>SUM(AV51:AY51)</f>
        <v>0</v>
      </c>
      <c r="BA51" s="1484">
        <v>0</v>
      </c>
      <c r="BB51" s="1484">
        <v>0</v>
      </c>
      <c r="BC51" s="1484">
        <v>0</v>
      </c>
      <c r="BD51" s="1484">
        <v>0</v>
      </c>
      <c r="BE51" s="1532">
        <f>SUM(BA51:BD51)</f>
        <v>0</v>
      </c>
      <c r="BF51" s="1484">
        <v>0</v>
      </c>
      <c r="BG51" s="1484">
        <v>0</v>
      </c>
      <c r="BH51" s="1484">
        <v>0</v>
      </c>
      <c r="BI51" s="1484">
        <v>0</v>
      </c>
      <c r="BJ51" s="1532">
        <f>SUM(BF51:BI51)</f>
        <v>0</v>
      </c>
      <c r="BK51" s="1484">
        <v>0</v>
      </c>
      <c r="BL51" s="1484">
        <v>0</v>
      </c>
      <c r="BM51" s="1484">
        <v>0</v>
      </c>
      <c r="BN51" s="1484">
        <v>0</v>
      </c>
      <c r="BO51" s="1532">
        <f>SUM(BK51:BN51)</f>
        <v>0</v>
      </c>
      <c r="BP51" s="1484">
        <v>0</v>
      </c>
      <c r="BQ51" s="1484">
        <v>0</v>
      </c>
      <c r="BR51" s="1484">
        <v>0</v>
      </c>
      <c r="BS51" s="1484">
        <v>0</v>
      </c>
      <c r="BT51" s="1481">
        <f>SUM(BP51:BS51)</f>
        <v>0</v>
      </c>
      <c r="BU51" s="1484">
        <v>0</v>
      </c>
      <c r="BV51" s="1484">
        <v>0</v>
      </c>
      <c r="BW51" s="1484">
        <v>0.61299999999999999</v>
      </c>
      <c r="BX51" s="1484">
        <v>-0.121</v>
      </c>
      <c r="BY51" s="1532">
        <f>SUM(BU51:BX51)</f>
        <v>0.49199999999999999</v>
      </c>
      <c r="BZ51" s="1490">
        <v>2.04</v>
      </c>
      <c r="CA51" s="1490">
        <v>-0.91800000000000004</v>
      </c>
      <c r="CB51" s="1490">
        <v>-0.52</v>
      </c>
      <c r="CC51" s="1490">
        <v>0.70499999999999996</v>
      </c>
      <c r="CD51" s="1532">
        <f>SUM(BZ51:CC51)</f>
        <v>1.3069999999999999</v>
      </c>
      <c r="CE51" s="1490">
        <v>-4.1059999999999999</v>
      </c>
      <c r="CF51" s="1490">
        <v>2.61</v>
      </c>
      <c r="CG51" s="1490">
        <v>2.484</v>
      </c>
      <c r="CH51" s="1490">
        <f>-1.288+0.097</f>
        <v>-1.1910000000000001</v>
      </c>
      <c r="CI51" s="1532">
        <f>SUM(CE51:CH51)</f>
        <v>-0.20300000000000007</v>
      </c>
      <c r="CJ51" s="1490">
        <f>0.02+3.42</f>
        <v>3.44</v>
      </c>
      <c r="CK51" s="1490">
        <v>-1.4810000000000001</v>
      </c>
      <c r="CL51" s="1490">
        <v>1.6539999999999999</v>
      </c>
      <c r="CM51" s="1490">
        <v>0.497</v>
      </c>
      <c r="CN51" s="1532">
        <f>SUM(CJ51:CM51)</f>
        <v>4.1099999999999994</v>
      </c>
      <c r="CO51" s="1490">
        <v>2.1110000000000002</v>
      </c>
      <c r="CP51" s="1485">
        <v>1.0209999999999999</v>
      </c>
      <c r="CQ51" s="1485">
        <v>-1.694</v>
      </c>
      <c r="CR51" s="1485">
        <v>1.383</v>
      </c>
      <c r="CS51" s="1532">
        <f>SUM(CO51:CR51)</f>
        <v>2.8210000000000002</v>
      </c>
      <c r="CT51" s="1485">
        <v>-0.154</v>
      </c>
      <c r="CU51" s="1485">
        <v>-1.8440000000000001</v>
      </c>
      <c r="CV51" s="1485">
        <f>0.507</f>
        <v>0.50700000000000001</v>
      </c>
      <c r="CW51" s="1485">
        <v>-0.71699999999999997</v>
      </c>
      <c r="CX51" s="1485">
        <v>-0.45900000000000002</v>
      </c>
      <c r="CY51" s="1485">
        <v>2.7679999999999998</v>
      </c>
      <c r="CZ51" s="1485">
        <v>0.98499999999999999</v>
      </c>
      <c r="DA51" s="1485">
        <f>-14.899+1.959</f>
        <v>-12.94</v>
      </c>
      <c r="DB51" s="1485">
        <v>0.67800000000000005</v>
      </c>
      <c r="DC51" s="1485">
        <v>0.68100000000000005</v>
      </c>
      <c r="DD51" s="1485">
        <v>1.8109999999999999</v>
      </c>
      <c r="DE51" s="1485">
        <v>-3.0510000000000002</v>
      </c>
      <c r="DF51" s="1485">
        <v>-0.51400000000000001</v>
      </c>
      <c r="DG51" s="1485">
        <v>1.3859999999999999</v>
      </c>
      <c r="DH51" s="1485">
        <v>-12.836</v>
      </c>
      <c r="DI51" s="1485">
        <v>-48.616999999999997</v>
      </c>
      <c r="DJ51" s="1485">
        <v>-60.71</v>
      </c>
      <c r="DK51" s="1485">
        <v>1.5549999999999999</v>
      </c>
      <c r="DL51" s="1485">
        <v>2.9380000000000002</v>
      </c>
      <c r="DM51" s="1485">
        <v>-1.7070000000000001</v>
      </c>
      <c r="DN51" s="1485">
        <v>0.33700000000000002</v>
      </c>
      <c r="DO51" s="1485">
        <v>1.284</v>
      </c>
      <c r="DP51" s="1485">
        <v>-1.0760000000000001</v>
      </c>
      <c r="DQ51" s="1485">
        <v>8.6679999999999993</v>
      </c>
      <c r="DR51" s="1485">
        <v>0</v>
      </c>
      <c r="DS51" s="1485">
        <v>0</v>
      </c>
      <c r="DT51" s="1485">
        <v>0</v>
      </c>
      <c r="DU51" s="1485">
        <v>0</v>
      </c>
      <c r="DV51" s="54"/>
      <c r="DW51" s="54"/>
      <c r="DX51" s="54"/>
      <c r="DY51" s="54"/>
    </row>
    <row r="52" spans="2:135" customFormat="1">
      <c r="B52" s="23" t="s">
        <v>1230</v>
      </c>
      <c r="C52" s="23"/>
      <c r="D52" s="26">
        <f>AK52</f>
        <v>2.1379999999999999</v>
      </c>
      <c r="E52" s="26">
        <f>AP52</f>
        <v>16.43</v>
      </c>
      <c r="F52" s="54">
        <f>AU52</f>
        <v>10.656000000000001</v>
      </c>
      <c r="G52" s="54">
        <f>AZ52</f>
        <v>0.99800000000000011</v>
      </c>
      <c r="H52" s="54">
        <f>BE52</f>
        <v>0.29599999999999999</v>
      </c>
      <c r="I52" s="54">
        <f>BJ52</f>
        <v>1.2909999999999999</v>
      </c>
      <c r="J52" s="54">
        <f>BO52</f>
        <v>3.5840000000000001</v>
      </c>
      <c r="K52" s="54">
        <f>BT52</f>
        <v>6.6270000000000007</v>
      </c>
      <c r="L52" s="54">
        <f>BY52</f>
        <v>15.405999999999999</v>
      </c>
      <c r="M52" s="54">
        <f>CD52</f>
        <v>7.4130000000000003</v>
      </c>
      <c r="N52" s="1483">
        <f>CI52</f>
        <v>2.3839999999999999</v>
      </c>
      <c r="O52" s="1483">
        <f>CN52</f>
        <v>1.5149999999999999</v>
      </c>
      <c r="P52" s="1483">
        <f>CS52</f>
        <v>2.2800000000000002</v>
      </c>
      <c r="Q52" s="1483">
        <f>+SUM(CT52:CW52)</f>
        <v>3.4660000000000002</v>
      </c>
      <c r="R52" s="1483">
        <f>+SUM(CX52:DA52)</f>
        <v>3.387</v>
      </c>
      <c r="S52" s="1483">
        <f>+SUM(DB52:DE52)</f>
        <v>2.891</v>
      </c>
      <c r="T52" s="1483">
        <f>+SUM(DF52:DI52)</f>
        <v>3.581</v>
      </c>
      <c r="U52" s="1483">
        <f>+SUM(DJ52:DM52)</f>
        <v>3.476</v>
      </c>
      <c r="V52" s="1483">
        <f>+SUM(DN52:DQ52)</f>
        <v>13.074999999999999</v>
      </c>
      <c r="W52" s="1483">
        <f ca="1">+SUM(DR52:DU52)</f>
        <v>3.1479812284464197</v>
      </c>
      <c r="X52" s="1483">
        <f ca="1">Capital!X368</f>
        <v>1.489289780354359</v>
      </c>
      <c r="Y52" s="1483">
        <f ca="1">Capital!Y368</f>
        <v>0.96180134804502171</v>
      </c>
      <c r="Z52" s="1483">
        <f ca="1">Capital!Z368</f>
        <v>1.1755846425500882</v>
      </c>
      <c r="AA52" s="1483">
        <f ca="1">Capital!AA368</f>
        <v>1.7278097839721935</v>
      </c>
      <c r="AB52" s="1483">
        <f ca="1">Capital!AB368</f>
        <v>1.2400925069034734</v>
      </c>
      <c r="AC52" s="1483">
        <f ca="1">Capital!AC368</f>
        <v>0.89885509242505035</v>
      </c>
      <c r="AD52" s="1483">
        <f ca="1">Capital!AD368</f>
        <v>0.74023462287895625</v>
      </c>
      <c r="AE52" s="1483"/>
      <c r="AF52" s="1483"/>
      <c r="AG52" s="1540">
        <v>0.10599999999999998</v>
      </c>
      <c r="AH52" s="1540">
        <f>0.172-AG52</f>
        <v>6.6000000000000003E-2</v>
      </c>
      <c r="AI52" s="1540">
        <v>0.23799999999999999</v>
      </c>
      <c r="AJ52" s="1540">
        <f>2.138-AI52-AH52-AG52</f>
        <v>1.7279999999999998</v>
      </c>
      <c r="AK52" s="1532">
        <f>SUM(AG52:AJ52)</f>
        <v>2.1379999999999999</v>
      </c>
      <c r="AL52" s="1540">
        <f>7.532-AM52</f>
        <v>3.6619999999999999</v>
      </c>
      <c r="AM52" s="1540">
        <v>3.87</v>
      </c>
      <c r="AN52" s="1540">
        <v>4.3470000000000004</v>
      </c>
      <c r="AO52" s="1540">
        <f>16.43-AN52-AM52-AL52</f>
        <v>4.5509999999999975</v>
      </c>
      <c r="AP52" s="1532">
        <f>SUM(AL52:AO52)</f>
        <v>16.43</v>
      </c>
      <c r="AQ52" s="1484">
        <v>3.9470000000000001</v>
      </c>
      <c r="AR52" s="1484">
        <v>3.2120000000000002</v>
      </c>
      <c r="AS52" s="1484">
        <v>2.3180000000000001</v>
      </c>
      <c r="AT52" s="1484">
        <v>1.179</v>
      </c>
      <c r="AU52" s="1534">
        <f>SUM(AQ52:AT52)</f>
        <v>10.656000000000001</v>
      </c>
      <c r="AV52" s="1484">
        <v>0.49299999999999999</v>
      </c>
      <c r="AW52" s="1484">
        <v>0.28899999999999998</v>
      </c>
      <c r="AX52" s="1484">
        <v>0.17899999999999999</v>
      </c>
      <c r="AY52" s="1484">
        <v>3.6999999999999998E-2</v>
      </c>
      <c r="AZ52" s="1534">
        <f>SUM(AV52:AY52)</f>
        <v>0.99800000000000011</v>
      </c>
      <c r="BA52" s="1484">
        <v>7.0000000000000007E-2</v>
      </c>
      <c r="BB52" s="1484">
        <v>6.6000000000000003E-2</v>
      </c>
      <c r="BC52" s="1484">
        <v>4.5999999999999999E-2</v>
      </c>
      <c r="BD52" s="1484">
        <v>0.114</v>
      </c>
      <c r="BE52" s="1532">
        <f>SUM(BA52:BD52)</f>
        <v>0.29599999999999999</v>
      </c>
      <c r="BF52" s="1484">
        <v>0.24199999999999999</v>
      </c>
      <c r="BG52" s="1484">
        <v>0.24199999999999999</v>
      </c>
      <c r="BH52" s="1484">
        <v>0.33500000000000002</v>
      </c>
      <c r="BI52" s="1484">
        <v>0.47199999999999998</v>
      </c>
      <c r="BJ52" s="1532">
        <f>SUM(BF52:BI52)</f>
        <v>1.2909999999999999</v>
      </c>
      <c r="BK52" s="1484">
        <v>0.66700000000000004</v>
      </c>
      <c r="BL52" s="1484">
        <v>0.90200000000000002</v>
      </c>
      <c r="BM52" s="1484">
        <v>1.075</v>
      </c>
      <c r="BN52" s="1484">
        <v>0.94</v>
      </c>
      <c r="BO52" s="1532">
        <f>SUM(BK52:BN52)</f>
        <v>3.5840000000000001</v>
      </c>
      <c r="BP52" s="1484">
        <v>1.611</v>
      </c>
      <c r="BQ52" s="1484">
        <v>1.73</v>
      </c>
      <c r="BR52" s="1484">
        <v>1.724</v>
      </c>
      <c r="BS52" s="1484">
        <v>1.5620000000000001</v>
      </c>
      <c r="BT52" s="1481">
        <f>SUM(BP52:BS52)</f>
        <v>6.6270000000000007</v>
      </c>
      <c r="BU52" s="1484">
        <v>1.9490000000000001</v>
      </c>
      <c r="BV52" s="1484">
        <v>5.0819999999999999</v>
      </c>
      <c r="BW52" s="1484">
        <v>3.3090000000000002</v>
      </c>
      <c r="BX52" s="1484">
        <v>5.0659999999999998</v>
      </c>
      <c r="BY52" s="1532">
        <f>SUM(BU52:BX52)</f>
        <v>15.405999999999999</v>
      </c>
      <c r="BZ52" s="1490">
        <v>3.4409999999999998</v>
      </c>
      <c r="CA52" s="1490">
        <v>2.411</v>
      </c>
      <c r="CB52" s="1490">
        <v>0.441</v>
      </c>
      <c r="CC52" s="1490">
        <v>1.1200000000000001</v>
      </c>
      <c r="CD52" s="1532">
        <f>SUM(BZ52:CC52)</f>
        <v>7.4130000000000003</v>
      </c>
      <c r="CE52" s="1490">
        <v>0.91600000000000004</v>
      </c>
      <c r="CF52" s="1490">
        <v>0.68</v>
      </c>
      <c r="CG52" s="1490">
        <v>0.35299999999999998</v>
      </c>
      <c r="CH52" s="1490">
        <v>0.435</v>
      </c>
      <c r="CI52" s="1532">
        <f>SUM(CE52:CH52)</f>
        <v>2.3839999999999999</v>
      </c>
      <c r="CJ52" s="1485">
        <v>0.50600000000000001</v>
      </c>
      <c r="CK52" s="1485">
        <v>0.49099999999999999</v>
      </c>
      <c r="CL52" s="1485">
        <v>0.31</v>
      </c>
      <c r="CM52" s="1485">
        <v>0.20799999999999999</v>
      </c>
      <c r="CN52" s="1532">
        <f>SUM(CJ52:CM52)</f>
        <v>1.5149999999999999</v>
      </c>
      <c r="CO52" s="1490">
        <v>0.215</v>
      </c>
      <c r="CP52" s="1485">
        <v>0.63200000000000001</v>
      </c>
      <c r="CQ52" s="1485">
        <v>0.67900000000000005</v>
      </c>
      <c r="CR52" s="1485">
        <v>0.754</v>
      </c>
      <c r="CS52" s="1532">
        <f>SUM(CO52:CR52)</f>
        <v>2.2800000000000002</v>
      </c>
      <c r="CT52" s="1485">
        <v>0.69099999999999995</v>
      </c>
      <c r="CU52" s="1485">
        <v>0.96299999999999997</v>
      </c>
      <c r="CV52" s="1485">
        <v>1.054</v>
      </c>
      <c r="CW52" s="1485">
        <v>0.75800000000000001</v>
      </c>
      <c r="CX52" s="1485">
        <v>0.747</v>
      </c>
      <c r="CY52" s="1485">
        <v>0.91700000000000004</v>
      </c>
      <c r="CZ52" s="1485">
        <v>0.92900000000000005</v>
      </c>
      <c r="DA52" s="1485">
        <v>0.79400000000000004</v>
      </c>
      <c r="DB52" s="1485">
        <v>1.4339999999999999</v>
      </c>
      <c r="DC52" s="1485">
        <v>0.74399999999999999</v>
      </c>
      <c r="DD52" s="1485">
        <v>0.35599999999999998</v>
      </c>
      <c r="DE52" s="1485">
        <v>0.35699999999999998</v>
      </c>
      <c r="DF52" s="1485">
        <v>0.52</v>
      </c>
      <c r="DG52" s="1485">
        <v>0.92100000000000004</v>
      </c>
      <c r="DH52" s="1485">
        <v>0.93400000000000005</v>
      </c>
      <c r="DI52" s="1485">
        <v>1.206</v>
      </c>
      <c r="DJ52" s="1485">
        <v>0.92500000000000004</v>
      </c>
      <c r="DK52" s="1485">
        <v>0.84099999999999997</v>
      </c>
      <c r="DL52" s="1485">
        <v>0.76200000000000001</v>
      </c>
      <c r="DM52" s="1485">
        <v>0.94799999999999995</v>
      </c>
      <c r="DN52" s="1485">
        <v>3.0920000000000001</v>
      </c>
      <c r="DO52" s="1485">
        <v>4.4370000000000003</v>
      </c>
      <c r="DP52" s="1485">
        <v>2.2909999999999999</v>
      </c>
      <c r="DQ52" s="1485">
        <v>3.2549999999999999</v>
      </c>
      <c r="DR52" s="2107">
        <f>Capital!CZ368</f>
        <v>0.90626937499999993</v>
      </c>
      <c r="DS52" s="2107">
        <f ca="1">Capital!DA368</f>
        <v>0.81768139775469817</v>
      </c>
      <c r="DT52" s="2107">
        <f ca="1">Capital!DB368</f>
        <v>0.83161641886625959</v>
      </c>
      <c r="DU52" s="2107">
        <f ca="1">Capital!DC368</f>
        <v>0.59241403682546179</v>
      </c>
      <c r="DV52" s="54"/>
      <c r="DW52" s="54"/>
      <c r="DX52" s="54"/>
      <c r="DY52" s="54"/>
    </row>
    <row r="53" spans="2:135" customFormat="1">
      <c r="B53" s="23" t="s">
        <v>369</v>
      </c>
      <c r="C53" s="23"/>
      <c r="D53" s="26">
        <f>AK53</f>
        <v>0</v>
      </c>
      <c r="E53" s="26">
        <f>AP53</f>
        <v>0</v>
      </c>
      <c r="F53" s="54">
        <f>AU53</f>
        <v>0</v>
      </c>
      <c r="G53" s="54">
        <f>AZ53</f>
        <v>-114.158</v>
      </c>
      <c r="H53" s="54">
        <f>BE53</f>
        <v>0</v>
      </c>
      <c r="I53" s="54">
        <f>BJ53</f>
        <v>16.210999999999999</v>
      </c>
      <c r="J53" s="54">
        <f>BO53</f>
        <v>0</v>
      </c>
      <c r="K53" s="54">
        <f>BT53</f>
        <v>0</v>
      </c>
      <c r="L53" s="54">
        <f>BY53</f>
        <v>3.395</v>
      </c>
      <c r="M53" s="54">
        <f>CD53</f>
        <v>0</v>
      </c>
      <c r="N53" s="1483">
        <f>CI53</f>
        <v>0</v>
      </c>
      <c r="O53" s="1483">
        <f>CN53</f>
        <v>9.9809999999999981</v>
      </c>
      <c r="P53" s="1483">
        <f>CS53</f>
        <v>0</v>
      </c>
      <c r="Q53" s="1490">
        <f>+SUM(CT53:CW53)</f>
        <v>5.2039999999999997</v>
      </c>
      <c r="R53" s="1490">
        <f>+SUM(CX53:DA53)</f>
        <v>93.602000000000004</v>
      </c>
      <c r="S53" s="1490">
        <f>+SUM(DB53:DE53)</f>
        <v>156.99</v>
      </c>
      <c r="T53" s="1490">
        <f>+SUM(DF53:DI53)</f>
        <v>0.28899999999999998</v>
      </c>
      <c r="U53" s="1490">
        <f>+SUM(DJ53:DM53)</f>
        <v>12.276</v>
      </c>
      <c r="V53" s="1490">
        <f>+SUM(DN53:DQ53)</f>
        <v>65.771999999999991</v>
      </c>
      <c r="W53" s="1490">
        <f>+SUM(DR53:DU53)</f>
        <v>0</v>
      </c>
      <c r="X53" s="1484">
        <f>W53</f>
        <v>0</v>
      </c>
      <c r="Y53" s="1484">
        <f>X53</f>
        <v>0</v>
      </c>
      <c r="Z53" s="1484">
        <f>Y53</f>
        <v>0</v>
      </c>
      <c r="AA53" s="1484">
        <f t="shared" ref="AA53:AD53" si="149">Z53</f>
        <v>0</v>
      </c>
      <c r="AB53" s="1484">
        <f t="shared" si="149"/>
        <v>0</v>
      </c>
      <c r="AC53" s="1484">
        <f t="shared" si="149"/>
        <v>0</v>
      </c>
      <c r="AD53" s="1484">
        <f t="shared" si="149"/>
        <v>0</v>
      </c>
      <c r="AE53" s="1483"/>
      <c r="AF53" s="1483"/>
      <c r="AG53" s="1484">
        <v>0</v>
      </c>
      <c r="AH53" s="1484">
        <v>0</v>
      </c>
      <c r="AI53" s="1484">
        <v>0</v>
      </c>
      <c r="AJ53" s="1484">
        <v>0</v>
      </c>
      <c r="AK53" s="1532">
        <f>SUM(AG53:AJ53)</f>
        <v>0</v>
      </c>
      <c r="AL53" s="1484">
        <v>0</v>
      </c>
      <c r="AM53" s="1484">
        <v>0</v>
      </c>
      <c r="AN53" s="1484">
        <v>0</v>
      </c>
      <c r="AO53" s="1484">
        <v>0</v>
      </c>
      <c r="AP53" s="1532">
        <f>SUM(AL53:AO53)</f>
        <v>0</v>
      </c>
      <c r="AQ53" s="1484">
        <v>0</v>
      </c>
      <c r="AR53" s="1484">
        <v>0</v>
      </c>
      <c r="AS53" s="1484">
        <v>0</v>
      </c>
      <c r="AT53" s="1484">
        <v>0</v>
      </c>
      <c r="AU53" s="1534">
        <f>SUM(AQ53:AT53)</f>
        <v>0</v>
      </c>
      <c r="AV53" s="1484">
        <v>-11.662000000000001</v>
      </c>
      <c r="AW53" s="1484">
        <v>-15.526</v>
      </c>
      <c r="AX53" s="1484">
        <v>0</v>
      </c>
      <c r="AY53" s="1484">
        <v>-86.97</v>
      </c>
      <c r="AZ53" s="1534">
        <f>SUM(AV53:AY53)</f>
        <v>-114.158</v>
      </c>
      <c r="BA53" s="1484">
        <v>0</v>
      </c>
      <c r="BB53" s="1484">
        <v>0</v>
      </c>
      <c r="BC53" s="1484">
        <v>0</v>
      </c>
      <c r="BD53" s="1484">
        <v>0</v>
      </c>
      <c r="BE53" s="1532">
        <f>SUM(BA53:BD53)</f>
        <v>0</v>
      </c>
      <c r="BF53" s="1484">
        <v>16.210999999999999</v>
      </c>
      <c r="BG53" s="1484">
        <v>0</v>
      </c>
      <c r="BH53" s="1484">
        <v>0</v>
      </c>
      <c r="BI53" s="1484">
        <v>0</v>
      </c>
      <c r="BJ53" s="1532">
        <f>SUM(BF53:BI53)</f>
        <v>16.210999999999999</v>
      </c>
      <c r="BK53" s="1484">
        <v>0</v>
      </c>
      <c r="BL53" s="1484">
        <v>0</v>
      </c>
      <c r="BM53" s="1484">
        <v>0</v>
      </c>
      <c r="BN53" s="1484">
        <v>0</v>
      </c>
      <c r="BO53" s="1532">
        <f>SUM(BK53:BN53)</f>
        <v>0</v>
      </c>
      <c r="BP53" s="1484">
        <v>0</v>
      </c>
      <c r="BQ53" s="1484">
        <v>0</v>
      </c>
      <c r="BR53" s="1484">
        <v>0</v>
      </c>
      <c r="BS53" s="1484">
        <v>0</v>
      </c>
      <c r="BT53" s="1481">
        <f>SUM(BP53:BS53)</f>
        <v>0</v>
      </c>
      <c r="BU53" s="1484">
        <v>3.395</v>
      </c>
      <c r="BV53" s="1484">
        <v>0</v>
      </c>
      <c r="BW53" s="1484">
        <v>0</v>
      </c>
      <c r="BX53" s="1484">
        <v>0</v>
      </c>
      <c r="BY53" s="1532">
        <f>SUM(BU53:BX53)</f>
        <v>3.395</v>
      </c>
      <c r="BZ53" s="1490">
        <v>0</v>
      </c>
      <c r="CA53" s="1490">
        <v>0</v>
      </c>
      <c r="CB53" s="1490">
        <v>0</v>
      </c>
      <c r="CC53" s="1490">
        <v>0</v>
      </c>
      <c r="CD53" s="1532">
        <f>SUM(BZ53:CC53)</f>
        <v>0</v>
      </c>
      <c r="CE53" s="1490">
        <v>0</v>
      </c>
      <c r="CF53" s="1490">
        <v>0</v>
      </c>
      <c r="CG53" s="1490">
        <v>0</v>
      </c>
      <c r="CH53" s="1490">
        <v>0</v>
      </c>
      <c r="CI53" s="1532">
        <f>SUM(CE53:CH53)</f>
        <v>0</v>
      </c>
      <c r="CJ53" s="1490">
        <v>3.3769999999999998</v>
      </c>
      <c r="CK53" s="1490">
        <v>1.454</v>
      </c>
      <c r="CL53" s="1490">
        <v>-0.20599999999999999</v>
      </c>
      <c r="CM53" s="1490">
        <v>5.3559999999999999</v>
      </c>
      <c r="CN53" s="1532">
        <f>SUM(CJ53:CM53)</f>
        <v>9.9809999999999981</v>
      </c>
      <c r="CO53" s="1485">
        <v>0</v>
      </c>
      <c r="CP53" s="1485">
        <v>0</v>
      </c>
      <c r="CQ53" s="1485">
        <v>0</v>
      </c>
      <c r="CR53" s="1485">
        <v>0</v>
      </c>
      <c r="CS53" s="1532">
        <f>SUM(CO53:CR53)</f>
        <v>0</v>
      </c>
      <c r="CT53" s="1485">
        <v>0</v>
      </c>
      <c r="CU53" s="1485">
        <v>0</v>
      </c>
      <c r="CV53" s="1485">
        <v>5.2039999999999997</v>
      </c>
      <c r="CW53" s="1485">
        <v>0</v>
      </c>
      <c r="CX53" s="1485"/>
      <c r="CY53" s="1485">
        <v>93.602000000000004</v>
      </c>
      <c r="CZ53" s="1485"/>
      <c r="DA53" s="1485"/>
      <c r="DB53" s="1485"/>
      <c r="DC53" s="1485">
        <v>51.183</v>
      </c>
      <c r="DD53" s="1485"/>
      <c r="DE53" s="1485">
        <v>105.807</v>
      </c>
      <c r="DF53" s="1485"/>
      <c r="DG53" s="1485"/>
      <c r="DH53" s="1485"/>
      <c r="DI53" s="1485">
        <v>0.28899999999999998</v>
      </c>
      <c r="DJ53" s="1485"/>
      <c r="DK53" s="1485">
        <v>0.60499999999999998</v>
      </c>
      <c r="DL53" s="1485">
        <v>9.8940000000000001</v>
      </c>
      <c r="DM53" s="1485">
        <v>1.7769999999999999</v>
      </c>
      <c r="DN53" s="1485">
        <v>3.5030000000000001</v>
      </c>
      <c r="DO53" s="1485">
        <v>16.443999999999999</v>
      </c>
      <c r="DP53" s="1485">
        <v>22.155999999999999</v>
      </c>
      <c r="DQ53" s="1485">
        <v>23.669</v>
      </c>
      <c r="DR53" s="1485">
        <v>0</v>
      </c>
      <c r="DS53" s="1485">
        <v>0</v>
      </c>
      <c r="DT53" s="1485">
        <v>0</v>
      </c>
      <c r="DU53" s="1485">
        <v>0</v>
      </c>
      <c r="DV53" s="54"/>
      <c r="DW53" s="54"/>
      <c r="DX53" s="54"/>
      <c r="DY53" s="54"/>
    </row>
    <row r="54" spans="2:135" customFormat="1" ht="12.75" customHeight="1">
      <c r="B54" s="23"/>
      <c r="C54" s="23"/>
      <c r="D54" s="15"/>
      <c r="E54" s="15"/>
      <c r="F54" s="15"/>
      <c r="G54" s="15"/>
      <c r="H54" s="15"/>
      <c r="I54" s="15"/>
      <c r="J54" s="15"/>
      <c r="K54" s="15"/>
      <c r="L54" s="23"/>
      <c r="M54" s="23"/>
      <c r="N54" s="1483"/>
      <c r="O54" s="1483"/>
      <c r="P54" s="1483"/>
      <c r="Q54" s="1483"/>
      <c r="R54" s="1483"/>
      <c r="S54" s="1483"/>
      <c r="T54" s="1483"/>
      <c r="U54" s="1483"/>
      <c r="V54" s="1483"/>
      <c r="W54" s="1483"/>
      <c r="X54" s="1483"/>
      <c r="Y54" s="1483"/>
      <c r="Z54" s="1483"/>
      <c r="AA54" s="1483"/>
      <c r="AB54" s="1483"/>
      <c r="AC54" s="1483"/>
      <c r="AD54" s="1483"/>
      <c r="AE54" s="1483"/>
      <c r="AF54" s="1483"/>
      <c r="AG54" s="1483"/>
      <c r="AH54" s="1483"/>
      <c r="AI54" s="1483"/>
      <c r="AJ54" s="1491"/>
      <c r="AK54" s="1532"/>
      <c r="AL54" s="1549"/>
      <c r="AM54" s="1549"/>
      <c r="AN54" s="1549"/>
      <c r="AO54" s="1549"/>
      <c r="AP54" s="1532"/>
      <c r="AQ54" s="1549"/>
      <c r="AR54" s="1549"/>
      <c r="AS54" s="1549"/>
      <c r="AT54" s="1549"/>
      <c r="AU54" s="1550"/>
      <c r="AV54" s="1549"/>
      <c r="AW54" s="1549"/>
      <c r="AX54" s="1549"/>
      <c r="AY54" s="1549"/>
      <c r="AZ54" s="1550"/>
      <c r="BA54" s="1549"/>
      <c r="BB54" s="1549"/>
      <c r="BC54" s="1549"/>
      <c r="BD54" s="1549"/>
      <c r="BE54" s="1550"/>
      <c r="BF54" s="1549"/>
      <c r="BG54" s="1549"/>
      <c r="BH54" s="1549"/>
      <c r="BI54" s="1549"/>
      <c r="BJ54" s="1550"/>
      <c r="BK54" s="1549"/>
      <c r="BL54" s="1549"/>
      <c r="BM54" s="1549"/>
      <c r="BN54" s="1549"/>
      <c r="BO54" s="1550"/>
      <c r="BP54" s="1549"/>
      <c r="BQ54" s="1549"/>
      <c r="BR54" s="1549"/>
      <c r="BS54" s="1549"/>
      <c r="BT54" s="1481"/>
      <c r="BU54" s="1551"/>
      <c r="BV54" s="1551"/>
      <c r="BW54" s="1551"/>
      <c r="BX54" s="1551"/>
      <c r="BY54" s="1552"/>
      <c r="BZ54" s="1551"/>
      <c r="CA54" s="1551"/>
      <c r="CB54" s="1551"/>
      <c r="CC54" s="1551"/>
      <c r="CD54" s="1552"/>
      <c r="CE54" s="1551"/>
      <c r="CF54" s="1551"/>
      <c r="CG54" s="1551"/>
      <c r="CH54" s="1551"/>
      <c r="CI54" s="1552"/>
      <c r="CJ54" s="1551"/>
      <c r="CK54" s="1551"/>
      <c r="CL54" s="1551"/>
      <c r="CM54" s="1551"/>
      <c r="CN54" s="1532"/>
      <c r="CO54" s="1551"/>
      <c r="CP54" s="1551"/>
      <c r="CQ54" s="1551"/>
      <c r="CR54" s="1551"/>
      <c r="CS54" s="1532"/>
      <c r="CT54" s="1551"/>
      <c r="CU54" s="1551"/>
      <c r="CV54" s="1551"/>
      <c r="CW54" s="1551"/>
      <c r="CX54" s="1551"/>
      <c r="CY54" s="1551"/>
      <c r="CZ54" s="1551"/>
      <c r="DA54" s="1551"/>
      <c r="DB54" s="1551"/>
      <c r="DC54" s="1551"/>
      <c r="DD54" s="1551"/>
      <c r="DE54" s="1551"/>
      <c r="DF54" s="1551"/>
      <c r="DG54" s="1551"/>
      <c r="DH54" s="1551"/>
      <c r="DI54" s="1551"/>
      <c r="DJ54" s="1551"/>
      <c r="DK54" s="1551"/>
      <c r="DL54" s="1551"/>
      <c r="DM54" s="1551"/>
      <c r="DN54" s="1551"/>
      <c r="DO54" s="1551"/>
      <c r="DP54" s="1551"/>
      <c r="DQ54" s="1551"/>
      <c r="DR54" s="1551"/>
      <c r="DS54" s="1551"/>
      <c r="DT54" s="1551"/>
      <c r="DU54" s="1551"/>
      <c r="DV54" s="54"/>
      <c r="DW54" s="54"/>
      <c r="DX54" s="23"/>
      <c r="DY54" s="23"/>
    </row>
    <row r="55" spans="2:135" customFormat="1">
      <c r="B55" s="14" t="s">
        <v>370</v>
      </c>
      <c r="C55" s="23"/>
      <c r="D55" s="195">
        <f t="shared" ref="D55:N55" si="150">D47-D50+D51+D52-D53</f>
        <v>-20.791000000000004</v>
      </c>
      <c r="E55" s="195">
        <f t="shared" si="150"/>
        <v>-119.79000000000002</v>
      </c>
      <c r="F55" s="195">
        <f t="shared" si="150"/>
        <v>-188.41499999999999</v>
      </c>
      <c r="G55" s="195">
        <f t="shared" si="150"/>
        <v>-21.618000000000009</v>
      </c>
      <c r="H55" s="195">
        <f t="shared" si="150"/>
        <v>-84.170999999999992</v>
      </c>
      <c r="I55" s="195">
        <f t="shared" si="150"/>
        <v>-68.478000000000009</v>
      </c>
      <c r="J55" s="195">
        <f t="shared" si="150"/>
        <v>-42.068999999999974</v>
      </c>
      <c r="K55" s="195">
        <f t="shared" si="150"/>
        <v>-6.333999999999941</v>
      </c>
      <c r="L55" s="195">
        <f t="shared" si="150"/>
        <v>-4.7149999999999181</v>
      </c>
      <c r="M55" s="195">
        <f t="shared" si="150"/>
        <v>20.304999999999936</v>
      </c>
      <c r="N55" s="1494">
        <f t="shared" si="150"/>
        <v>109.02800000000003</v>
      </c>
      <c r="O55" s="1494">
        <f t="shared" ref="O55:Y55" si="151">O47-O50+O51+O52-O53</f>
        <v>48.270999999999958</v>
      </c>
      <c r="P55" s="1494">
        <f t="shared" si="151"/>
        <v>127.6930000000001</v>
      </c>
      <c r="Q55" s="1494">
        <f t="shared" ref="Q55:V55" si="152">Q47-Q50+Q51+Q52-Q53</f>
        <v>188.62199999999987</v>
      </c>
      <c r="R55" s="1494">
        <f t="shared" si="152"/>
        <v>112.27900000000002</v>
      </c>
      <c r="S55" s="1494">
        <f t="shared" si="152"/>
        <v>84.732999999999606</v>
      </c>
      <c r="T55" s="1494">
        <f t="shared" si="152"/>
        <v>210.9980000000005</v>
      </c>
      <c r="U55" s="1494">
        <f t="shared" si="152"/>
        <v>159.85899999999995</v>
      </c>
      <c r="V55" s="1494">
        <f t="shared" si="152"/>
        <v>286.83200000000039</v>
      </c>
      <c r="W55" s="1494">
        <f t="shared" ref="W55" ca="1" si="153">W47-W50+W51+W52-W53</f>
        <v>562.29439663172354</v>
      </c>
      <c r="X55" s="1494">
        <f t="shared" ca="1" si="151"/>
        <v>830.99751438549413</v>
      </c>
      <c r="Y55" s="1494">
        <f t="shared" ca="1" si="151"/>
        <v>949.59848086604336</v>
      </c>
      <c r="Z55" s="1494">
        <f ca="1">Z47-Z50+Z51+Z52-Z53</f>
        <v>1054.8982619526132</v>
      </c>
      <c r="AA55" s="1494">
        <f t="shared" ref="AA55:AD55" ca="1" si="154">AA47-AA50+AA51+AA52-AA53</f>
        <v>1300.6160428006176</v>
      </c>
      <c r="AB55" s="1494">
        <f t="shared" ca="1" si="154"/>
        <v>1963.1359746359699</v>
      </c>
      <c r="AC55" s="1494">
        <f t="shared" ca="1" si="154"/>
        <v>2457.3063603483261</v>
      </c>
      <c r="AD55" s="1494">
        <f t="shared" ca="1" si="154"/>
        <v>2655.6667049143716</v>
      </c>
      <c r="AE55" s="1483"/>
      <c r="AF55" s="1483"/>
      <c r="AG55" s="1494">
        <f t="shared" ref="AG55:BL55" si="155">AG47-AG50+AG51+AG52-AG53</f>
        <v>-1.3449999999999998</v>
      </c>
      <c r="AH55" s="1494">
        <f t="shared" si="155"/>
        <v>-3.1200000000000006</v>
      </c>
      <c r="AI55" s="1494">
        <f t="shared" si="155"/>
        <v>-6.2880000000000003</v>
      </c>
      <c r="AJ55" s="1494">
        <f t="shared" si="155"/>
        <v>-10.038000000000002</v>
      </c>
      <c r="AK55" s="1537">
        <f t="shared" si="155"/>
        <v>-20.791000000000004</v>
      </c>
      <c r="AL55" s="1494">
        <f t="shared" si="155"/>
        <v>-18.009</v>
      </c>
      <c r="AM55" s="1494">
        <f t="shared" si="155"/>
        <v>-26.810999999999996</v>
      </c>
      <c r="AN55" s="1494">
        <f t="shared" si="155"/>
        <v>-32.085000000000001</v>
      </c>
      <c r="AO55" s="1494">
        <f t="shared" si="155"/>
        <v>-42.885000000000005</v>
      </c>
      <c r="AP55" s="1537">
        <f t="shared" si="155"/>
        <v>-119.79000000000002</v>
      </c>
      <c r="AQ55" s="1494">
        <f t="shared" si="155"/>
        <v>-41.536999999999999</v>
      </c>
      <c r="AR55" s="1494">
        <f t="shared" si="155"/>
        <v>-37.856999999999999</v>
      </c>
      <c r="AS55" s="1494">
        <f t="shared" si="155"/>
        <v>-81.573999999999998</v>
      </c>
      <c r="AT55" s="1494">
        <f t="shared" si="155"/>
        <v>-27.446999999999999</v>
      </c>
      <c r="AU55" s="1537">
        <f t="shared" si="155"/>
        <v>-188.41500000000002</v>
      </c>
      <c r="AV55" s="1494">
        <f t="shared" si="155"/>
        <v>-13.693999999999997</v>
      </c>
      <c r="AW55" s="1494">
        <f t="shared" si="155"/>
        <v>-24.556999999999999</v>
      </c>
      <c r="AX55" s="1494">
        <f t="shared" si="155"/>
        <v>-44.088000000000001</v>
      </c>
      <c r="AY55" s="1494">
        <f t="shared" si="155"/>
        <v>60.720999999999997</v>
      </c>
      <c r="AZ55" s="1537">
        <f t="shared" si="155"/>
        <v>-21.618000000000009</v>
      </c>
      <c r="BA55" s="1494">
        <f t="shared" si="155"/>
        <v>-25.552999999999997</v>
      </c>
      <c r="BB55" s="1494">
        <f t="shared" si="155"/>
        <v>-21.203000000000007</v>
      </c>
      <c r="BC55" s="1494">
        <f t="shared" si="155"/>
        <v>-19.717999999999996</v>
      </c>
      <c r="BD55" s="1494">
        <f t="shared" si="155"/>
        <v>-17.697000000000006</v>
      </c>
      <c r="BE55" s="1537">
        <f t="shared" si="155"/>
        <v>-84.171000000000006</v>
      </c>
      <c r="BF55" s="1494">
        <f t="shared" si="155"/>
        <v>-29.947999999999993</v>
      </c>
      <c r="BG55" s="1494">
        <f t="shared" si="155"/>
        <v>-9.1989999999999981</v>
      </c>
      <c r="BH55" s="1494">
        <f t="shared" si="155"/>
        <v>-6.6149999999999993</v>
      </c>
      <c r="BI55" s="1494">
        <f t="shared" si="155"/>
        <v>-22.715999999999994</v>
      </c>
      <c r="BJ55" s="1537">
        <f t="shared" si="155"/>
        <v>-68.478000000000009</v>
      </c>
      <c r="BK55" s="1494">
        <f t="shared" si="155"/>
        <v>-5.2890000000000015</v>
      </c>
      <c r="BL55" s="1494">
        <f t="shared" si="155"/>
        <v>-3.5470000000000006</v>
      </c>
      <c r="BM55" s="1494">
        <f t="shared" ref="BM55:CS55" si="156">BM47-BM50+BM51+BM52-BM53</f>
        <v>-0.61900000000000488</v>
      </c>
      <c r="BN55" s="1494">
        <f t="shared" si="156"/>
        <v>-32.614000000000004</v>
      </c>
      <c r="BO55" s="1537">
        <f t="shared" si="156"/>
        <v>-42.069000000000003</v>
      </c>
      <c r="BP55" s="1494">
        <f t="shared" si="156"/>
        <v>-5.0609999999999991</v>
      </c>
      <c r="BQ55" s="1494">
        <f t="shared" si="156"/>
        <v>-5.0549999999999962</v>
      </c>
      <c r="BR55" s="1494">
        <f t="shared" si="156"/>
        <v>-4.8980000000000015</v>
      </c>
      <c r="BS55" s="1494">
        <f t="shared" si="156"/>
        <v>8.6799999999999855</v>
      </c>
      <c r="BT55" s="1537">
        <f t="shared" si="156"/>
        <v>-6.3340000000000014</v>
      </c>
      <c r="BU55" s="1494">
        <f t="shared" si="156"/>
        <v>-4.1019999999999888</v>
      </c>
      <c r="BV55" s="1494">
        <f t="shared" si="156"/>
        <v>1.4140000000000148</v>
      </c>
      <c r="BW55" s="1494">
        <f t="shared" si="156"/>
        <v>4.3389999999999933</v>
      </c>
      <c r="BX55" s="1494">
        <f t="shared" si="156"/>
        <v>-6.3660000000000023</v>
      </c>
      <c r="BY55" s="1537">
        <f t="shared" si="156"/>
        <v>-4.714999999999975</v>
      </c>
      <c r="BZ55" s="1494">
        <f t="shared" si="156"/>
        <v>4.268000000000006</v>
      </c>
      <c r="CA55" s="1494">
        <f t="shared" si="156"/>
        <v>0.44999999999998108</v>
      </c>
      <c r="CB55" s="1494">
        <f t="shared" si="156"/>
        <v>5.7429999999999604</v>
      </c>
      <c r="CC55" s="1494">
        <f t="shared" si="156"/>
        <v>9.8439999999999905</v>
      </c>
      <c r="CD55" s="1537">
        <f t="shared" si="156"/>
        <v>20.304999999999936</v>
      </c>
      <c r="CE55" s="1494">
        <f t="shared" si="156"/>
        <v>27.06500000000003</v>
      </c>
      <c r="CF55" s="1494">
        <f t="shared" si="156"/>
        <v>28.406999999999996</v>
      </c>
      <c r="CG55" s="1494">
        <f t="shared" si="156"/>
        <v>26.139000000000003</v>
      </c>
      <c r="CH55" s="1494">
        <f t="shared" si="156"/>
        <v>27.416999999999994</v>
      </c>
      <c r="CI55" s="1537">
        <f t="shared" si="156"/>
        <v>109.02800000000006</v>
      </c>
      <c r="CJ55" s="1494">
        <f t="shared" si="156"/>
        <v>22.876000000000015</v>
      </c>
      <c r="CK55" s="1494">
        <f t="shared" si="156"/>
        <v>-0.3710000000000282</v>
      </c>
      <c r="CL55" s="1494">
        <f t="shared" si="156"/>
        <v>15.211000000000011</v>
      </c>
      <c r="CM55" s="1494">
        <f t="shared" si="156"/>
        <v>10.55500000000001</v>
      </c>
      <c r="CN55" s="1537">
        <f t="shared" si="156"/>
        <v>48.27099999999993</v>
      </c>
      <c r="CO55" s="1494">
        <f t="shared" si="156"/>
        <v>35.156999999999982</v>
      </c>
      <c r="CP55" s="1494">
        <f t="shared" si="156"/>
        <v>38.777999999999992</v>
      </c>
      <c r="CQ55" s="1494">
        <f>CQ47-CQ50+CQ51+CQ52-CQ53</f>
        <v>25.022999999999961</v>
      </c>
      <c r="CR55" s="1494">
        <f>CR47-CR50+CR51+CR52-CR53</f>
        <v>28.734999999999992</v>
      </c>
      <c r="CS55" s="1537">
        <f t="shared" si="156"/>
        <v>127.69300000000015</v>
      </c>
      <c r="CT55" s="1494">
        <f t="shared" ref="CT55:DE55" si="157">CT47-CT50+CT51+CT52-CT53</f>
        <v>44.676000000000009</v>
      </c>
      <c r="CU55" s="1494">
        <f t="shared" si="157"/>
        <v>52.720999999999982</v>
      </c>
      <c r="CV55" s="1494">
        <f t="shared" si="157"/>
        <v>38.995999999999945</v>
      </c>
      <c r="CW55" s="1494">
        <f t="shared" si="157"/>
        <v>52.228999999999999</v>
      </c>
      <c r="CX55" s="1494">
        <f t="shared" si="157"/>
        <v>44.7439999999999</v>
      </c>
      <c r="CY55" s="1494">
        <f t="shared" si="157"/>
        <v>-34.954999999999991</v>
      </c>
      <c r="CZ55" s="1494">
        <f t="shared" si="157"/>
        <v>55.150000000000084</v>
      </c>
      <c r="DA55" s="1494">
        <f t="shared" si="157"/>
        <v>47.340000000000032</v>
      </c>
      <c r="DB55" s="1494">
        <f t="shared" si="157"/>
        <v>54.904000000000025</v>
      </c>
      <c r="DC55" s="1494">
        <f t="shared" si="157"/>
        <v>8.0650000000000333</v>
      </c>
      <c r="DD55" s="1494">
        <f t="shared" si="157"/>
        <v>73.542000000000002</v>
      </c>
      <c r="DE55" s="1494">
        <f t="shared" si="157"/>
        <v>-51.777999999999992</v>
      </c>
      <c r="DF55" s="1494">
        <f>DF47-DF50+DF51+DF52-DF53</f>
        <v>82.664000000000016</v>
      </c>
      <c r="DG55" s="1494">
        <f>DG47-DG50+DG51+DG52-DG53</f>
        <v>66.943999999999875</v>
      </c>
      <c r="DH55" s="1494">
        <f>DH47-DH50+DH51+DH52-DH53</f>
        <v>52.712000000000032</v>
      </c>
      <c r="DI55" s="1494">
        <f>DI47-DI50+DI51+DI52-DI53</f>
        <v>8.6779999999999031</v>
      </c>
      <c r="DJ55" s="1494">
        <f t="shared" ref="DJ55:DM55" si="158">DJ47-DJ50+DJ51+DJ52-DJ53</f>
        <v>-47.959999999999987</v>
      </c>
      <c r="DK55" s="1494">
        <f t="shared" si="158"/>
        <v>53.114000000000011</v>
      </c>
      <c r="DL55" s="1494">
        <f t="shared" si="158"/>
        <v>71.54699999999994</v>
      </c>
      <c r="DM55" s="1494">
        <f t="shared" si="158"/>
        <v>83.157999999999959</v>
      </c>
      <c r="DN55" s="1494">
        <f>DN47-DN50+DN51+DN52-DN53</f>
        <v>55.45500000000014</v>
      </c>
      <c r="DO55" s="1494">
        <f>DO47-DO50+DO51+DO52-DO53</f>
        <v>55.130000000000038</v>
      </c>
      <c r="DP55" s="1494">
        <f>DP47-DP50+DP51+DP52-DP53</f>
        <v>82.093999999999966</v>
      </c>
      <c r="DQ55" s="1494">
        <f>DQ47-DQ50+DQ51+DQ52-DQ53</f>
        <v>94.153000000000034</v>
      </c>
      <c r="DR55" s="1494">
        <f t="shared" ref="DR55:DU55" ca="1" si="159">DR47-DR50+DR51+DR52-DR53</f>
        <v>113.48000275993552</v>
      </c>
      <c r="DS55" s="1494">
        <f t="shared" ca="1" si="159"/>
        <v>142.48568107966406</v>
      </c>
      <c r="DT55" s="1494">
        <f t="shared" ca="1" si="159"/>
        <v>159.68847372161139</v>
      </c>
      <c r="DU55" s="1494">
        <f t="shared" ca="1" si="159"/>
        <v>173.20821927519586</v>
      </c>
      <c r="DV55" s="54"/>
      <c r="DW55" s="54"/>
      <c r="DX55" s="54"/>
      <c r="DY55" s="54"/>
    </row>
    <row r="56" spans="2:135" customFormat="1" ht="12.75" customHeight="1">
      <c r="B56" s="14"/>
      <c r="C56" s="23"/>
      <c r="D56" s="15"/>
      <c r="E56" s="195"/>
      <c r="F56" s="195"/>
      <c r="G56" s="195"/>
      <c r="H56" s="195"/>
      <c r="I56" s="195"/>
      <c r="J56" s="195"/>
      <c r="K56" s="195"/>
      <c r="L56" s="195"/>
      <c r="M56" s="195"/>
      <c r="N56" s="1483"/>
      <c r="O56" s="1483"/>
      <c r="P56" s="1483"/>
      <c r="Q56" s="1483"/>
      <c r="R56" s="1483"/>
      <c r="S56" s="1483"/>
      <c r="T56" s="1483"/>
      <c r="U56" s="1483"/>
      <c r="V56" s="1483"/>
      <c r="W56" s="1483"/>
      <c r="X56" s="1483"/>
      <c r="Y56" s="1483"/>
      <c r="Z56" s="1483"/>
      <c r="AA56" s="1483"/>
      <c r="AB56" s="1483"/>
      <c r="AC56" s="1483"/>
      <c r="AD56" s="1483"/>
      <c r="AE56" s="1483"/>
      <c r="AF56" s="1483"/>
      <c r="AG56" s="1483"/>
      <c r="AH56" s="1483"/>
      <c r="AI56" s="1483"/>
      <c r="AJ56" s="1491"/>
      <c r="AK56" s="1532"/>
      <c r="AL56" s="1494"/>
      <c r="AM56" s="1494"/>
      <c r="AN56" s="1494"/>
      <c r="AO56" s="1494"/>
      <c r="AP56" s="1532"/>
      <c r="AQ56" s="1494"/>
      <c r="AR56" s="1494"/>
      <c r="AS56" s="1494"/>
      <c r="AT56" s="1494"/>
      <c r="AU56" s="1537"/>
      <c r="AV56" s="1494"/>
      <c r="AW56" s="1494"/>
      <c r="AX56" s="1494"/>
      <c r="AY56" s="1494"/>
      <c r="AZ56" s="1537"/>
      <c r="BA56" s="1494"/>
      <c r="BB56" s="1494"/>
      <c r="BC56" s="1494"/>
      <c r="BD56" s="1494"/>
      <c r="BE56" s="1537"/>
      <c r="BF56" s="1494"/>
      <c r="BG56" s="1494"/>
      <c r="BH56" s="1494"/>
      <c r="BI56" s="1494"/>
      <c r="BJ56" s="1537"/>
      <c r="BK56" s="1494"/>
      <c r="BL56" s="1494"/>
      <c r="BM56" s="1494"/>
      <c r="BN56" s="1494"/>
      <c r="BO56" s="1537"/>
      <c r="BP56" s="1494"/>
      <c r="BQ56" s="1494"/>
      <c r="BR56" s="1494"/>
      <c r="BS56" s="1494"/>
      <c r="BT56" s="1481"/>
      <c r="BU56" s="1494"/>
      <c r="BV56" s="1494"/>
      <c r="BW56" s="1494"/>
      <c r="BX56" s="1494"/>
      <c r="BY56" s="1537"/>
      <c r="BZ56" s="1494"/>
      <c r="CA56" s="1494"/>
      <c r="CB56" s="1494"/>
      <c r="CC56" s="1494"/>
      <c r="CD56" s="1537"/>
      <c r="CE56" s="1494"/>
      <c r="CF56" s="1494"/>
      <c r="CG56" s="1494"/>
      <c r="CH56" s="1483"/>
      <c r="CI56" s="1532"/>
      <c r="CJ56" s="1483"/>
      <c r="CK56" s="1483"/>
      <c r="CL56" s="1483"/>
      <c r="CM56" s="1483"/>
      <c r="CN56" s="1532"/>
      <c r="CO56" s="1483"/>
      <c r="CP56" s="1483"/>
      <c r="CQ56" s="1483"/>
      <c r="CR56" s="1483"/>
      <c r="CS56" s="1532"/>
      <c r="CT56" s="1483"/>
      <c r="CU56" s="1483"/>
      <c r="CV56" s="1483"/>
      <c r="CW56" s="1483"/>
      <c r="CX56" s="1483"/>
      <c r="CY56" s="1483"/>
      <c r="CZ56" s="1483"/>
      <c r="DA56" s="1483"/>
      <c r="DB56" s="1483"/>
      <c r="DC56" s="1483"/>
      <c r="DD56" s="1483"/>
      <c r="DE56" s="1483"/>
      <c r="DF56" s="1483"/>
      <c r="DG56" s="1483"/>
      <c r="DH56" s="1483"/>
      <c r="DI56" s="1483"/>
      <c r="DJ56" s="1483"/>
      <c r="DK56" s="1483"/>
      <c r="DL56" s="1483"/>
      <c r="DM56" s="1483"/>
      <c r="DN56" s="1483"/>
      <c r="DO56" s="1483"/>
      <c r="DP56" s="1483"/>
      <c r="DQ56" s="1483"/>
      <c r="DR56" s="1483"/>
      <c r="DS56" s="1483"/>
      <c r="DT56" s="1483"/>
      <c r="DU56" s="1483"/>
      <c r="DV56" s="54"/>
      <c r="DW56" s="54"/>
      <c r="DX56" s="23"/>
      <c r="DY56" s="23"/>
    </row>
    <row r="57" spans="2:135" customFormat="1">
      <c r="B57" s="23" t="s">
        <v>1859</v>
      </c>
      <c r="C57" s="23"/>
      <c r="D57" s="26">
        <f>AK57</f>
        <v>0</v>
      </c>
      <c r="E57" s="26">
        <f>AP57</f>
        <v>0</v>
      </c>
      <c r="F57" s="54">
        <f>AU57</f>
        <v>0</v>
      </c>
      <c r="G57" s="54">
        <f>AZ57</f>
        <v>0</v>
      </c>
      <c r="H57" s="54">
        <f>BE57</f>
        <v>0</v>
      </c>
      <c r="I57" s="54">
        <f>BJ57</f>
        <v>-0.15300000000000002</v>
      </c>
      <c r="J57" s="54">
        <f>BO57</f>
        <v>-0.54300000000000004</v>
      </c>
      <c r="K57" s="54">
        <f>BT57</f>
        <v>-0.439</v>
      </c>
      <c r="L57" s="54">
        <f>BY57</f>
        <v>-0.47299999999999992</v>
      </c>
      <c r="M57" s="54">
        <f>CD57</f>
        <v>87.619</v>
      </c>
      <c r="N57" s="1483">
        <f>CI57</f>
        <v>-39.597000000000001</v>
      </c>
      <c r="O57" s="1483">
        <f>SUM(CJ57:CM57)</f>
        <v>-12.999000000000001</v>
      </c>
      <c r="P57" s="1483">
        <f>CS57</f>
        <v>-38.350999999999999</v>
      </c>
      <c r="Q57" s="1483">
        <f>+SUM(CT57:CW57)</f>
        <v>-58.564</v>
      </c>
      <c r="R57" s="1483">
        <f>+SUM(CX57:DA57)</f>
        <v>-16.156000000000002</v>
      </c>
      <c r="S57" s="1483">
        <f>+SUM(DB57:DE57)</f>
        <v>-345.459</v>
      </c>
      <c r="T57" s="1483">
        <f>+SUM(DF57:DI57)</f>
        <v>-23.224</v>
      </c>
      <c r="U57" s="1483">
        <f>+SUM(DJ57:DM57)</f>
        <v>-45.451000000000001</v>
      </c>
      <c r="V57" s="1483">
        <f>+SUM(DN57:DQ57)</f>
        <v>-53.849999999999994</v>
      </c>
      <c r="W57" s="1483">
        <f ca="1">+SUM(DR57:DU57)</f>
        <v>-88.329356525461023</v>
      </c>
      <c r="X57" s="1483">
        <f ca="1">-X58*X55</f>
        <v>-124.64962715782411</v>
      </c>
      <c r="Y57" s="1483">
        <f ca="1">-Y58*Y55</f>
        <v>-142.43977212990649</v>
      </c>
      <c r="Z57" s="1483">
        <f ca="1">-Z58*Z55</f>
        <v>-158.23473929289199</v>
      </c>
      <c r="AA57" s="1483">
        <f t="shared" ref="AA57:AD57" ca="1" si="160">-AA58*AA55</f>
        <v>-195.09240642009263</v>
      </c>
      <c r="AB57" s="1483">
        <f t="shared" ca="1" si="160"/>
        <v>-294.47039619539549</v>
      </c>
      <c r="AC57" s="1483">
        <f t="shared" ca="1" si="160"/>
        <v>-368.59595405224889</v>
      </c>
      <c r="AD57" s="1483">
        <f t="shared" ca="1" si="160"/>
        <v>-398.35000573715575</v>
      </c>
      <c r="AE57" s="1483"/>
      <c r="AF57" s="1483"/>
      <c r="AG57" s="1484">
        <v>0</v>
      </c>
      <c r="AH57" s="1484">
        <v>0</v>
      </c>
      <c r="AI57" s="1484">
        <v>0</v>
      </c>
      <c r="AJ57" s="1484">
        <v>0</v>
      </c>
      <c r="AK57" s="1532">
        <f>SUM(AG57:AJ57)</f>
        <v>0</v>
      </c>
      <c r="AL57" s="1484">
        <v>0</v>
      </c>
      <c r="AM57" s="1484">
        <v>0</v>
      </c>
      <c r="AN57" s="1484">
        <v>0</v>
      </c>
      <c r="AO57" s="1484">
        <v>0</v>
      </c>
      <c r="AP57" s="1532">
        <f>SUM(AL57:AO57)</f>
        <v>0</v>
      </c>
      <c r="AQ57" s="1484">
        <v>0</v>
      </c>
      <c r="AR57" s="1484">
        <v>0</v>
      </c>
      <c r="AS57" s="1484">
        <v>0</v>
      </c>
      <c r="AT57" s="1484">
        <v>0</v>
      </c>
      <c r="AU57" s="1534">
        <f>SUM(AQ57:AT57)</f>
        <v>0</v>
      </c>
      <c r="AV57" s="1484">
        <v>0</v>
      </c>
      <c r="AW57" s="1484">
        <v>0</v>
      </c>
      <c r="AX57" s="1484">
        <v>0</v>
      </c>
      <c r="AY57" s="1484">
        <v>0</v>
      </c>
      <c r="AZ57" s="1534">
        <f>SUM(AV57:AY57)</f>
        <v>0</v>
      </c>
      <c r="BA57" s="1484">
        <v>0</v>
      </c>
      <c r="BB57" s="1484">
        <v>0</v>
      </c>
      <c r="BC57" s="1484">
        <v>0</v>
      </c>
      <c r="BD57" s="1484">
        <v>0</v>
      </c>
      <c r="BE57" s="1532">
        <f>SUM(BA57:BD57)</f>
        <v>0</v>
      </c>
      <c r="BF57" s="1484">
        <v>-0.19400000000000001</v>
      </c>
      <c r="BG57" s="1484">
        <v>-6.0000000000000001E-3</v>
      </c>
      <c r="BH57" s="1484">
        <v>0</v>
      </c>
      <c r="BI57" s="1484">
        <v>4.7E-2</v>
      </c>
      <c r="BJ57" s="1532">
        <f>SUM(BF57:BI57)</f>
        <v>-0.15300000000000002</v>
      </c>
      <c r="BK57" s="1484">
        <v>-0.505</v>
      </c>
      <c r="BL57" s="1484">
        <v>0.11600000000000001</v>
      </c>
      <c r="BM57" s="1484">
        <v>-0.16400000000000001</v>
      </c>
      <c r="BN57" s="1484">
        <v>0.01</v>
      </c>
      <c r="BO57" s="1532">
        <f>SUM(BK57:BN57)</f>
        <v>-0.54300000000000004</v>
      </c>
      <c r="BP57" s="1484">
        <v>-0.38500000000000001</v>
      </c>
      <c r="BQ57" s="1484">
        <v>-0.215</v>
      </c>
      <c r="BR57" s="1484">
        <v>-0.27</v>
      </c>
      <c r="BS57" s="1484">
        <v>0.43099999999999999</v>
      </c>
      <c r="BT57" s="1481">
        <f>SUM(BP57:BS57)</f>
        <v>-0.439</v>
      </c>
      <c r="BU57" s="1484">
        <v>-0.35399999999999998</v>
      </c>
      <c r="BV57" s="1484">
        <v>-0.19700000000000001</v>
      </c>
      <c r="BW57" s="1484">
        <v>-0.215</v>
      </c>
      <c r="BX57" s="1484">
        <v>0.29299999999999998</v>
      </c>
      <c r="BY57" s="1532">
        <f>SUM(BU57:BX57)</f>
        <v>-0.47299999999999992</v>
      </c>
      <c r="BZ57" s="1490">
        <v>-0.47099999999999997</v>
      </c>
      <c r="CA57" s="1490">
        <v>0.25800000000000001</v>
      </c>
      <c r="CB57" s="1490">
        <v>-0.187</v>
      </c>
      <c r="CC57" s="1490">
        <v>88.019000000000005</v>
      </c>
      <c r="CD57" s="1532">
        <f>SUM(BZ57:CC57)</f>
        <v>87.619</v>
      </c>
      <c r="CE57" s="1490">
        <v>-11.608000000000001</v>
      </c>
      <c r="CF57" s="1490">
        <v>-10.967000000000001</v>
      </c>
      <c r="CG57" s="1490">
        <v>-7.327</v>
      </c>
      <c r="CH57" s="1490">
        <v>-9.6950000000000003</v>
      </c>
      <c r="CI57" s="1532">
        <f>SUM(CE57:CH57)</f>
        <v>-39.597000000000001</v>
      </c>
      <c r="CJ57" s="1490">
        <v>-8.6769999999999996</v>
      </c>
      <c r="CK57" s="1490">
        <v>-2.4420000000000002</v>
      </c>
      <c r="CL57" s="1542">
        <v>-4.6369999999999996</v>
      </c>
      <c r="CM57" s="1490">
        <v>2.7570000000000001</v>
      </c>
      <c r="CN57" s="1532">
        <f>SUM(CJ57:CM57)</f>
        <v>-12.999000000000001</v>
      </c>
      <c r="CO57" s="1490">
        <v>-11.125</v>
      </c>
      <c r="CP57" s="1485">
        <v>-8.109</v>
      </c>
      <c r="CQ57" s="1485">
        <v>-5.3479999999999999</v>
      </c>
      <c r="CR57" s="1485">
        <v>-13.769</v>
      </c>
      <c r="CS57" s="1532">
        <f>SUM(CO57:CR57)</f>
        <v>-38.350999999999999</v>
      </c>
      <c r="CT57" s="1485">
        <v>-12.468999999999999</v>
      </c>
      <c r="CU57" s="1485">
        <v>-16.271000000000001</v>
      </c>
      <c r="CV57" s="1485">
        <v>-12.348000000000001</v>
      </c>
      <c r="CW57" s="1485">
        <v>-17.475999999999999</v>
      </c>
      <c r="CX57" s="1485">
        <v>-11.46</v>
      </c>
      <c r="CY57" s="1485">
        <v>9.6679999999999993</v>
      </c>
      <c r="CZ57" s="1485">
        <v>-12.397</v>
      </c>
      <c r="DA57" s="1485">
        <v>-1.9670000000000001</v>
      </c>
      <c r="DB57" s="1485">
        <v>-13.567</v>
      </c>
      <c r="DC57" s="1485">
        <v>2.0139999999999998</v>
      </c>
      <c r="DD57" s="1485">
        <v>-30.581</v>
      </c>
      <c r="DE57" s="1485">
        <v>-303.32499999999999</v>
      </c>
      <c r="DF57" s="1485">
        <v>-6.2119999999999997</v>
      </c>
      <c r="DG57" s="1485">
        <v>-7.4850000000000003</v>
      </c>
      <c r="DH57" s="1485">
        <v>-11.58</v>
      </c>
      <c r="DI57" s="1485">
        <v>2.0529999999999999</v>
      </c>
      <c r="DJ57" s="1485">
        <v>10.632999999999999</v>
      </c>
      <c r="DK57" s="1485">
        <v>-13.811999999999999</v>
      </c>
      <c r="DL57" s="1485">
        <v>-22.777999999999999</v>
      </c>
      <c r="DM57" s="1485">
        <v>-19.494</v>
      </c>
      <c r="DN57" s="1485">
        <v>-13.393000000000001</v>
      </c>
      <c r="DO57" s="1485">
        <v>-9.3249999999999993</v>
      </c>
      <c r="DP57" s="1485">
        <v>-2.194</v>
      </c>
      <c r="DQ57" s="1485">
        <v>-28.937999999999999</v>
      </c>
      <c r="DR57" s="1483">
        <f t="shared" ref="DR57:DU57" ca="1" si="161">-DR58*DR55</f>
        <v>-17.022000413990327</v>
      </c>
      <c r="DS57" s="1483">
        <f t="shared" ca="1" si="161"/>
        <v>-21.372852161949609</v>
      </c>
      <c r="DT57" s="1483">
        <f t="shared" ca="1" si="161"/>
        <v>-23.953271058241707</v>
      </c>
      <c r="DU57" s="1483">
        <f t="shared" ca="1" si="161"/>
        <v>-25.98123289127938</v>
      </c>
      <c r="DV57" s="54"/>
      <c r="DW57" s="54"/>
      <c r="DX57" s="54"/>
      <c r="DY57" s="54"/>
    </row>
    <row r="58" spans="2:135" customFormat="1">
      <c r="B58" s="17" t="s">
        <v>1038</v>
      </c>
      <c r="C58" s="23"/>
      <c r="D58" s="1067">
        <f t="shared" ref="D58:N58" si="162">IF(OR(-(D57/D55)&lt;0, -(D57/D55)&gt;1),"NM", -(D57/D55))</f>
        <v>0</v>
      </c>
      <c r="E58" s="1067">
        <f t="shared" si="162"/>
        <v>0</v>
      </c>
      <c r="F58" s="1067">
        <f t="shared" si="162"/>
        <v>0</v>
      </c>
      <c r="G58" s="1067">
        <f t="shared" si="162"/>
        <v>0</v>
      </c>
      <c r="H58" s="1067">
        <f t="shared" si="162"/>
        <v>0</v>
      </c>
      <c r="I58" s="1067" t="str">
        <f t="shared" si="162"/>
        <v>NM</v>
      </c>
      <c r="J58" s="1067" t="str">
        <f t="shared" si="162"/>
        <v>NM</v>
      </c>
      <c r="K58" s="1067" t="str">
        <f t="shared" si="162"/>
        <v>NM</v>
      </c>
      <c r="L58" s="1067" t="str">
        <f t="shared" si="162"/>
        <v>NM</v>
      </c>
      <c r="M58" s="1067" t="str">
        <f t="shared" si="162"/>
        <v>NM</v>
      </c>
      <c r="N58" s="1067">
        <f t="shared" si="162"/>
        <v>0.36318193491580136</v>
      </c>
      <c r="O58" s="1067">
        <f t="shared" ref="O58:T58" si="163">IF(OR(-(O57/O55)&lt;0, -(O57/O55)&gt;1),"NM", -(O57/O55))</f>
        <v>0.26929212156367199</v>
      </c>
      <c r="P58" s="1067">
        <f t="shared" si="163"/>
        <v>0.30033752829050903</v>
      </c>
      <c r="Q58" s="1067">
        <f t="shared" si="163"/>
        <v>0.31048340066376162</v>
      </c>
      <c r="R58" s="1067">
        <f t="shared" si="163"/>
        <v>0.14389155585639343</v>
      </c>
      <c r="S58" s="1067" t="str">
        <f t="shared" si="163"/>
        <v>NM</v>
      </c>
      <c r="T58" s="1067">
        <f t="shared" si="163"/>
        <v>0.11006739400373437</v>
      </c>
      <c r="U58" s="1067">
        <f>IF(OR(-(U57/U55)&lt;0, -(U57/U55)&gt;1),"NM", -(U57/U55))</f>
        <v>0.28431930638875519</v>
      </c>
      <c r="V58" s="1067">
        <f>IF(OR(-(V57/V55)&lt;0, -(V57/V55)&gt;1),"NM", -(V57/V55))</f>
        <v>0.18774055893345207</v>
      </c>
      <c r="W58" s="1067">
        <f ca="1">IF(OR(-(W57/W55)&lt;0, -(W57/W55)&gt;1),"NM", -(W57/W55))</f>
        <v>0.15708738528175767</v>
      </c>
      <c r="X58" s="2144">
        <v>0.15</v>
      </c>
      <c r="Y58" s="2144">
        <v>0.15</v>
      </c>
      <c r="Z58" s="2144">
        <v>0.15</v>
      </c>
      <c r="AA58" s="2144">
        <v>0.15</v>
      </c>
      <c r="AB58" s="2144">
        <v>0.15</v>
      </c>
      <c r="AC58" s="2144">
        <v>0.15</v>
      </c>
      <c r="AD58" s="2144">
        <v>0.15</v>
      </c>
      <c r="AE58" s="54"/>
      <c r="AF58" s="23"/>
      <c r="AG58" s="24">
        <f t="shared" ref="AG58:AP58" si="164">AG57/AG55</f>
        <v>0</v>
      </c>
      <c r="AH58" s="24">
        <f t="shared" si="164"/>
        <v>0</v>
      </c>
      <c r="AI58" s="24">
        <f t="shared" si="164"/>
        <v>0</v>
      </c>
      <c r="AJ58" s="24">
        <f t="shared" si="164"/>
        <v>0</v>
      </c>
      <c r="AK58" s="2357">
        <f t="shared" si="164"/>
        <v>0</v>
      </c>
      <c r="AL58" s="24">
        <f t="shared" si="164"/>
        <v>0</v>
      </c>
      <c r="AM58" s="24">
        <f t="shared" si="164"/>
        <v>0</v>
      </c>
      <c r="AN58" s="24">
        <f t="shared" si="164"/>
        <v>0</v>
      </c>
      <c r="AO58" s="24">
        <f t="shared" si="164"/>
        <v>0</v>
      </c>
      <c r="AP58" s="2357">
        <f t="shared" si="164"/>
        <v>0</v>
      </c>
      <c r="AQ58" s="1067">
        <f t="shared" ref="AQ58:BO58" si="165">IF(OR(-(AQ57/AQ55)&lt;0, -(AQ57/AQ55)&gt;1),"NM", -(AQ57/AQ55))</f>
        <v>0</v>
      </c>
      <c r="AR58" s="1067">
        <f t="shared" si="165"/>
        <v>0</v>
      </c>
      <c r="AS58" s="1067">
        <f t="shared" si="165"/>
        <v>0</v>
      </c>
      <c r="AT58" s="1067">
        <f t="shared" si="165"/>
        <v>0</v>
      </c>
      <c r="AU58" s="2358">
        <f t="shared" si="165"/>
        <v>0</v>
      </c>
      <c r="AV58" s="1067">
        <f t="shared" si="165"/>
        <v>0</v>
      </c>
      <c r="AW58" s="1067">
        <f t="shared" si="165"/>
        <v>0</v>
      </c>
      <c r="AX58" s="1067">
        <f t="shared" si="165"/>
        <v>0</v>
      </c>
      <c r="AY58" s="1067">
        <f t="shared" si="165"/>
        <v>0</v>
      </c>
      <c r="AZ58" s="2358">
        <f t="shared" si="165"/>
        <v>0</v>
      </c>
      <c r="BA58" s="1067">
        <f t="shared" si="165"/>
        <v>0</v>
      </c>
      <c r="BB58" s="1067">
        <f t="shared" si="165"/>
        <v>0</v>
      </c>
      <c r="BC58" s="1067">
        <f t="shared" si="165"/>
        <v>0</v>
      </c>
      <c r="BD58" s="1067">
        <f t="shared" si="165"/>
        <v>0</v>
      </c>
      <c r="BE58" s="2358">
        <f t="shared" si="165"/>
        <v>0</v>
      </c>
      <c r="BF58" s="1067" t="str">
        <f t="shared" si="165"/>
        <v>NM</v>
      </c>
      <c r="BG58" s="1067" t="str">
        <f t="shared" si="165"/>
        <v>NM</v>
      </c>
      <c r="BH58" s="1067">
        <f t="shared" si="165"/>
        <v>0</v>
      </c>
      <c r="BI58" s="1067">
        <f t="shared" si="165"/>
        <v>2.0690262370135592E-3</v>
      </c>
      <c r="BJ58" s="2358" t="str">
        <f t="shared" si="165"/>
        <v>NM</v>
      </c>
      <c r="BK58" s="1067" t="str">
        <f t="shared" si="165"/>
        <v>NM</v>
      </c>
      <c r="BL58" s="1067">
        <f t="shared" si="165"/>
        <v>3.2703693261911471E-2</v>
      </c>
      <c r="BM58" s="1067" t="str">
        <f t="shared" si="165"/>
        <v>NM</v>
      </c>
      <c r="BN58" s="1067">
        <f t="shared" si="165"/>
        <v>3.0661679033543876E-4</v>
      </c>
      <c r="BO58" s="2358" t="str">
        <f t="shared" si="165"/>
        <v>NM</v>
      </c>
      <c r="BP58" s="1067" t="str">
        <f t="shared" ref="BP58:BY58" si="166">IF(OR(-(BP57/BP55)&lt;0, -(BP57/BP55)&gt;1, (BP55&lt;0)),"NM", -(BP57/BP55))</f>
        <v>NM</v>
      </c>
      <c r="BQ58" s="1067" t="str">
        <f t="shared" si="166"/>
        <v>NM</v>
      </c>
      <c r="BR58" s="1067" t="str">
        <f t="shared" si="166"/>
        <v>NM</v>
      </c>
      <c r="BS58" s="1067" t="str">
        <f t="shared" si="166"/>
        <v>NM</v>
      </c>
      <c r="BT58" s="2358" t="str">
        <f t="shared" si="166"/>
        <v>NM</v>
      </c>
      <c r="BU58" s="1067" t="str">
        <f t="shared" si="166"/>
        <v>NM</v>
      </c>
      <c r="BV58" s="1067">
        <f t="shared" si="166"/>
        <v>0.13932107496463786</v>
      </c>
      <c r="BW58" s="1067">
        <f t="shared" si="166"/>
        <v>4.9550587693016901E-2</v>
      </c>
      <c r="BX58" s="1067" t="str">
        <f t="shared" si="166"/>
        <v>NM</v>
      </c>
      <c r="BY58" s="2358" t="str">
        <f t="shared" si="166"/>
        <v>NM</v>
      </c>
      <c r="BZ58" s="1067">
        <f t="shared" ref="BZ58:CH58" si="167">IF(OR(-(BZ57/BZ55)&lt;0, -(BZ57/BZ55)&gt;1),"NM", -(BZ57/BZ55))</f>
        <v>0.11035613870665401</v>
      </c>
      <c r="CA58" s="1067" t="str">
        <f t="shared" si="167"/>
        <v>NM</v>
      </c>
      <c r="CB58" s="1067">
        <f t="shared" si="167"/>
        <v>3.2561379070172605E-2</v>
      </c>
      <c r="CC58" s="1067" t="str">
        <f t="shared" si="167"/>
        <v>NM</v>
      </c>
      <c r="CD58" s="2358" t="str">
        <f t="shared" si="167"/>
        <v>NM</v>
      </c>
      <c r="CE58" s="1067">
        <f t="shared" si="167"/>
        <v>0.42889340476630289</v>
      </c>
      <c r="CF58" s="1067">
        <f t="shared" si="167"/>
        <v>0.38606681451754854</v>
      </c>
      <c r="CG58" s="24">
        <f t="shared" si="167"/>
        <v>0.2803091166456253</v>
      </c>
      <c r="CH58" s="24">
        <f t="shared" si="167"/>
        <v>0.35361272203377475</v>
      </c>
      <c r="CI58" s="2357">
        <f>-(CI57/CI55)</f>
        <v>0.36318193491580125</v>
      </c>
      <c r="CJ58" s="24">
        <f>IF(OR(-(CJ57/CJ55)&lt;0, -(CJ57/CJ55)&gt;1),"NM", -(CJ57/CJ55))</f>
        <v>0.37930582269627527</v>
      </c>
      <c r="CK58" s="1067" t="str">
        <f>IF(OR(-(CK57/CK55)&lt;0, -(CK57/CK55)&gt;1),"NM", -(CK57/CK55))</f>
        <v>NM</v>
      </c>
      <c r="CL58" s="1068">
        <f>IF(OR(-(CL57/CL55)&lt;0, -(CL57/CL55)&gt;1),"NM", -(CL57/CL55))</f>
        <v>0.30484517783183196</v>
      </c>
      <c r="CM58" s="1067" t="str">
        <f>IF(OR(-(CM57/CM55)&lt;0, -(CM57/CM55)&gt;1),"NM", -(CM57/CM55))</f>
        <v>NM</v>
      </c>
      <c r="CN58" s="2357">
        <f>-(CN57/CN55)</f>
        <v>0.26929212156367216</v>
      </c>
      <c r="CO58" s="24">
        <f>-CO57/CO55</f>
        <v>0.31643769377364411</v>
      </c>
      <c r="CP58" s="24">
        <f>-CP57/CP55</f>
        <v>0.20911341482283774</v>
      </c>
      <c r="CQ58" s="24">
        <f>-CQ57/CQ55</f>
        <v>0.2137233744954645</v>
      </c>
      <c r="CR58" s="24">
        <f>-CR57/CR55</f>
        <v>0.47917174177831928</v>
      </c>
      <c r="CS58" s="2357">
        <f>-(CS57/CS55)</f>
        <v>0.30033752829050891</v>
      </c>
      <c r="CT58" s="24">
        <f t="shared" ref="CT58:DB58" si="168">-CT57/CT55</f>
        <v>0.27909839734980746</v>
      </c>
      <c r="CU58" s="24">
        <f t="shared" si="168"/>
        <v>0.308624646725214</v>
      </c>
      <c r="CV58" s="24">
        <f t="shared" si="168"/>
        <v>0.3166478613191101</v>
      </c>
      <c r="CW58" s="24">
        <f t="shared" si="168"/>
        <v>0.33460338126328282</v>
      </c>
      <c r="CX58" s="24">
        <f t="shared" si="168"/>
        <v>0.25612372608617973</v>
      </c>
      <c r="CY58" s="24">
        <f t="shared" si="168"/>
        <v>0.27658417965956233</v>
      </c>
      <c r="CZ58" s="24">
        <f t="shared" si="168"/>
        <v>0.22478694469628252</v>
      </c>
      <c r="DA58" s="24">
        <f t="shared" si="168"/>
        <v>4.1550485847063764E-2</v>
      </c>
      <c r="DB58" s="24">
        <f t="shared" si="168"/>
        <v>0.24710403613580056</v>
      </c>
      <c r="DC58" s="24">
        <f t="shared" ref="DC58:DH58" si="169">-DC57/DC55</f>
        <v>-0.24972101673899461</v>
      </c>
      <c r="DD58" s="24">
        <f t="shared" si="169"/>
        <v>0.41583040983383646</v>
      </c>
      <c r="DE58" s="24">
        <f t="shared" si="169"/>
        <v>-5.8581830120900777</v>
      </c>
      <c r="DF58" s="24">
        <f t="shared" si="169"/>
        <v>7.5147585405980821E-2</v>
      </c>
      <c r="DG58" s="24">
        <f t="shared" si="169"/>
        <v>0.1118098709369027</v>
      </c>
      <c r="DH58" s="24">
        <f t="shared" si="169"/>
        <v>0.21968432235544075</v>
      </c>
      <c r="DI58" s="24">
        <f t="shared" ref="DI58:DN58" si="170">-DI57/DI55</f>
        <v>-0.23657524775294109</v>
      </c>
      <c r="DJ58" s="24">
        <f t="shared" si="170"/>
        <v>0.22170558798999171</v>
      </c>
      <c r="DK58" s="24">
        <f t="shared" si="170"/>
        <v>0.26004443272960043</v>
      </c>
      <c r="DL58" s="24">
        <f t="shared" si="170"/>
        <v>0.31836415223559361</v>
      </c>
      <c r="DM58" s="24">
        <f t="shared" si="170"/>
        <v>0.23442122225161752</v>
      </c>
      <c r="DN58" s="24">
        <f t="shared" si="170"/>
        <v>0.24151113515462927</v>
      </c>
      <c r="DO58" s="24">
        <f t="shared" ref="DO58:DP58" si="171">-DO57/DO55</f>
        <v>0.1691456557228368</v>
      </c>
      <c r="DP58" s="24">
        <f t="shared" si="171"/>
        <v>2.6725461056837294E-2</v>
      </c>
      <c r="DQ58" s="24">
        <f t="shared" ref="DQ58" si="172">-DQ57/DQ55</f>
        <v>0.30735080135524079</v>
      </c>
      <c r="DR58" s="2144">
        <v>0.15</v>
      </c>
      <c r="DS58" s="2144">
        <v>0.15</v>
      </c>
      <c r="DT58" s="2144">
        <v>0.15</v>
      </c>
      <c r="DU58" s="2144">
        <v>0.15</v>
      </c>
      <c r="DV58" s="54"/>
      <c r="DW58" s="54"/>
      <c r="DX58" s="851"/>
      <c r="DY58" s="851"/>
    </row>
    <row r="59" spans="2:135" s="1901" customFormat="1">
      <c r="B59" s="17" t="s">
        <v>1037</v>
      </c>
      <c r="C59" s="23"/>
      <c r="D59" s="24">
        <v>0.35</v>
      </c>
      <c r="E59" s="24">
        <v>0.35</v>
      </c>
      <c r="F59" s="24">
        <v>0.35</v>
      </c>
      <c r="G59" s="24">
        <v>0.35</v>
      </c>
      <c r="H59" s="24">
        <v>0.35</v>
      </c>
      <c r="I59" s="24">
        <v>0.35</v>
      </c>
      <c r="J59" s="24">
        <v>0.35</v>
      </c>
      <c r="K59" s="24">
        <v>0.35</v>
      </c>
      <c r="L59" s="24">
        <v>0.35</v>
      </c>
      <c r="M59" s="853">
        <v>0.35</v>
      </c>
      <c r="N59" s="853">
        <v>0.35</v>
      </c>
      <c r="O59" s="853">
        <v>0.35</v>
      </c>
      <c r="P59" s="853">
        <v>0.35</v>
      </c>
      <c r="Q59" s="853">
        <v>0.35</v>
      </c>
      <c r="R59" s="853">
        <v>0.35</v>
      </c>
      <c r="S59" s="853">
        <v>0.35</v>
      </c>
      <c r="T59" s="853">
        <v>0.35</v>
      </c>
      <c r="U59" s="853">
        <v>0.35</v>
      </c>
      <c r="V59" s="853">
        <v>0.35</v>
      </c>
      <c r="W59" s="2360">
        <v>0.23</v>
      </c>
      <c r="X59" s="2360">
        <v>0.23</v>
      </c>
      <c r="Y59" s="2360">
        <v>0.23</v>
      </c>
      <c r="Z59" s="2360">
        <v>0.23</v>
      </c>
      <c r="AA59" s="2360">
        <v>0.23</v>
      </c>
      <c r="AB59" s="2360">
        <v>0.23</v>
      </c>
      <c r="AC59" s="2360">
        <v>0.23</v>
      </c>
      <c r="AD59" s="2360">
        <v>0.23</v>
      </c>
      <c r="AE59" s="54"/>
      <c r="AF59" s="23"/>
      <c r="AG59" s="24">
        <v>0.35</v>
      </c>
      <c r="AH59" s="24">
        <v>0.35</v>
      </c>
      <c r="AI59" s="24">
        <v>0.35</v>
      </c>
      <c r="AJ59" s="24">
        <v>0.35</v>
      </c>
      <c r="AK59" s="2357">
        <v>0.35</v>
      </c>
      <c r="AL59" s="24">
        <v>0.35</v>
      </c>
      <c r="AM59" s="24">
        <v>0.35</v>
      </c>
      <c r="AN59" s="24">
        <v>0.35</v>
      </c>
      <c r="AO59" s="24">
        <v>0.35</v>
      </c>
      <c r="AP59" s="2357">
        <v>0.35</v>
      </c>
      <c r="AQ59" s="853">
        <v>0.35</v>
      </c>
      <c r="AR59" s="853">
        <v>0.35</v>
      </c>
      <c r="AS59" s="853">
        <v>0.35</v>
      </c>
      <c r="AT59" s="853">
        <v>0.35</v>
      </c>
      <c r="AU59" s="1119">
        <v>0.35</v>
      </c>
      <c r="AV59" s="853">
        <v>0.35</v>
      </c>
      <c r="AW59" s="853">
        <v>0.35</v>
      </c>
      <c r="AX59" s="853">
        <v>0.35</v>
      </c>
      <c r="AY59" s="853">
        <v>0.35</v>
      </c>
      <c r="AZ59" s="1119">
        <v>0.35</v>
      </c>
      <c r="BA59" s="853">
        <v>0.35</v>
      </c>
      <c r="BB59" s="853">
        <v>0.35</v>
      </c>
      <c r="BC59" s="853">
        <v>0.35</v>
      </c>
      <c r="BD59" s="853">
        <v>0.35</v>
      </c>
      <c r="BE59" s="1119">
        <v>0.35</v>
      </c>
      <c r="BF59" s="853">
        <v>0.35</v>
      </c>
      <c r="BG59" s="853">
        <v>0.35</v>
      </c>
      <c r="BH59" s="853">
        <v>0.35</v>
      </c>
      <c r="BI59" s="853">
        <v>0.35</v>
      </c>
      <c r="BJ59" s="1119">
        <v>0.35</v>
      </c>
      <c r="BK59" s="853">
        <v>0.35</v>
      </c>
      <c r="BL59" s="853">
        <v>0.35</v>
      </c>
      <c r="BM59" s="853">
        <v>0.35</v>
      </c>
      <c r="BN59" s="853">
        <v>0.35</v>
      </c>
      <c r="BO59" s="1119">
        <v>0.35</v>
      </c>
      <c r="BP59" s="853">
        <v>0.35</v>
      </c>
      <c r="BQ59" s="853">
        <v>0.35</v>
      </c>
      <c r="BR59" s="853">
        <v>0.35</v>
      </c>
      <c r="BS59" s="853">
        <v>0.35</v>
      </c>
      <c r="BT59" s="1119">
        <v>0.35</v>
      </c>
      <c r="BU59" s="853">
        <v>0.35</v>
      </c>
      <c r="BV59" s="853">
        <v>0.35</v>
      </c>
      <c r="BW59" s="853">
        <v>0.35</v>
      </c>
      <c r="BX59" s="853">
        <v>0.35</v>
      </c>
      <c r="BY59" s="1119">
        <v>0.35</v>
      </c>
      <c r="BZ59" s="853">
        <v>0.35</v>
      </c>
      <c r="CA59" s="853">
        <v>0.35</v>
      </c>
      <c r="CB59" s="853">
        <v>0.35</v>
      </c>
      <c r="CC59" s="853">
        <v>0.35</v>
      </c>
      <c r="CD59" s="1119">
        <v>0.35</v>
      </c>
      <c r="CE59" s="853">
        <v>0.35</v>
      </c>
      <c r="CF59" s="853">
        <v>0.35</v>
      </c>
      <c r="CG59" s="853">
        <v>0.35</v>
      </c>
      <c r="CH59" s="853">
        <v>0.35</v>
      </c>
      <c r="CI59" s="1119">
        <v>0.35</v>
      </c>
      <c r="CJ59" s="853">
        <v>0.35</v>
      </c>
      <c r="CK59" s="853">
        <v>0.35</v>
      </c>
      <c r="CL59" s="954">
        <v>0.35</v>
      </c>
      <c r="CM59" s="853">
        <v>0.35</v>
      </c>
      <c r="CN59" s="1119">
        <v>0.35</v>
      </c>
      <c r="CO59" s="853">
        <v>0.35</v>
      </c>
      <c r="CP59" s="853">
        <v>0.35</v>
      </c>
      <c r="CQ59" s="853">
        <v>0.35</v>
      </c>
      <c r="CR59" s="853">
        <v>0.35</v>
      </c>
      <c r="CS59" s="1119">
        <v>0.35</v>
      </c>
      <c r="CT59" s="853">
        <v>0.35</v>
      </c>
      <c r="CU59" s="853">
        <v>0.35</v>
      </c>
      <c r="CV59" s="853">
        <v>0.35</v>
      </c>
      <c r="CW59" s="853">
        <v>0.35</v>
      </c>
      <c r="CX59" s="853">
        <v>0.35</v>
      </c>
      <c r="CY59" s="853">
        <v>0.35</v>
      </c>
      <c r="CZ59" s="853">
        <v>0.35</v>
      </c>
      <c r="DA59" s="853">
        <v>0.35</v>
      </c>
      <c r="DB59" s="853">
        <v>0.35</v>
      </c>
      <c r="DC59" s="853">
        <v>0.35</v>
      </c>
      <c r="DD59" s="853">
        <v>0.35</v>
      </c>
      <c r="DE59" s="853">
        <v>0.35</v>
      </c>
      <c r="DF59" s="853">
        <v>0.35</v>
      </c>
      <c r="DG59" s="853">
        <v>0.35</v>
      </c>
      <c r="DH59" s="853">
        <v>0.35</v>
      </c>
      <c r="DI59" s="853">
        <v>0.35</v>
      </c>
      <c r="DJ59" s="853">
        <v>0.35</v>
      </c>
      <c r="DK59" s="853">
        <v>0.35</v>
      </c>
      <c r="DL59" s="853">
        <v>0.35</v>
      </c>
      <c r="DM59" s="853">
        <v>0.35</v>
      </c>
      <c r="DN59" s="853">
        <v>0.35</v>
      </c>
      <c r="DO59" s="853">
        <v>0.35</v>
      </c>
      <c r="DP59" s="853">
        <v>0.35</v>
      </c>
      <c r="DQ59" s="853">
        <v>0.35</v>
      </c>
      <c r="DR59" s="2360">
        <v>0.23</v>
      </c>
      <c r="DS59" s="2360">
        <v>0.23</v>
      </c>
      <c r="DT59" s="2360">
        <v>0.23</v>
      </c>
      <c r="DU59" s="2360">
        <v>0.23</v>
      </c>
      <c r="DV59" s="54"/>
      <c r="DW59" s="54"/>
      <c r="DX59" s="1900"/>
      <c r="DY59" s="1900"/>
      <c r="DZ59"/>
      <c r="EA59"/>
      <c r="EB59"/>
      <c r="EC59"/>
      <c r="ED59"/>
      <c r="EE59"/>
    </row>
    <row r="60" spans="2:135" customFormat="1">
      <c r="B60" s="23"/>
      <c r="C60" s="23"/>
      <c r="D60" s="15"/>
      <c r="E60" s="15"/>
      <c r="F60" s="15"/>
      <c r="G60" s="15"/>
      <c r="H60" s="15"/>
      <c r="I60" s="15"/>
      <c r="J60" s="15"/>
      <c r="K60" s="15"/>
      <c r="L60" s="23"/>
      <c r="M60" s="23"/>
      <c r="N60" s="23"/>
      <c r="O60" s="928"/>
      <c r="P60" s="928"/>
      <c r="Q60" s="928"/>
      <c r="R60" s="928"/>
      <c r="S60" s="928"/>
      <c r="T60" s="928"/>
      <c r="U60" s="928"/>
      <c r="V60" s="928"/>
      <c r="W60" s="928"/>
      <c r="X60" s="928"/>
      <c r="Y60" s="928"/>
      <c r="Z60" s="928"/>
      <c r="AA60" s="928"/>
      <c r="AB60" s="928"/>
      <c r="AC60" s="928"/>
      <c r="AD60" s="928"/>
      <c r="AE60" s="54"/>
      <c r="AF60" s="23"/>
      <c r="AG60" s="23"/>
      <c r="AH60" s="23"/>
      <c r="AI60" s="23"/>
      <c r="AJ60" s="123"/>
      <c r="AK60" s="1102"/>
      <c r="AL60" s="15"/>
      <c r="AM60" s="15"/>
      <c r="AN60" s="15"/>
      <c r="AO60" s="15"/>
      <c r="AP60" s="42"/>
      <c r="AQ60" s="15"/>
      <c r="AR60" s="15"/>
      <c r="AS60" s="15"/>
      <c r="AT60" s="15"/>
      <c r="AU60" s="42"/>
      <c r="AV60" s="15"/>
      <c r="AW60" s="15"/>
      <c r="AX60" s="15"/>
      <c r="AY60" s="15"/>
      <c r="AZ60" s="42"/>
      <c r="BA60" s="15"/>
      <c r="BB60" s="15"/>
      <c r="BC60" s="15"/>
      <c r="BD60" s="15"/>
      <c r="BE60" s="42"/>
      <c r="BF60" s="15"/>
      <c r="BG60" s="15"/>
      <c r="BH60" s="15"/>
      <c r="BI60" s="15"/>
      <c r="BJ60" s="42"/>
      <c r="BK60" s="15"/>
      <c r="BL60" s="15"/>
      <c r="BM60" s="15"/>
      <c r="BN60" s="15"/>
      <c r="BO60" s="42"/>
      <c r="BP60" s="15"/>
      <c r="BQ60" s="15"/>
      <c r="BR60" s="15"/>
      <c r="BS60" s="15"/>
      <c r="BT60" s="42"/>
      <c r="BU60" s="15"/>
      <c r="BV60" s="15"/>
      <c r="BW60" s="15"/>
      <c r="BX60" s="15"/>
      <c r="BY60" s="42"/>
      <c r="BZ60" s="929"/>
      <c r="CA60" s="23"/>
      <c r="CB60" s="23"/>
      <c r="CC60" s="929"/>
      <c r="CD60" s="1139"/>
      <c r="CE60" s="23"/>
      <c r="CF60" s="23"/>
      <c r="CG60" s="23"/>
      <c r="CH60" s="23"/>
      <c r="CI60" s="1102"/>
      <c r="CJ60" s="23"/>
      <c r="CK60" s="23"/>
      <c r="CL60" s="123"/>
      <c r="CM60" s="23"/>
      <c r="CN60" s="1102"/>
      <c r="CO60" s="23"/>
      <c r="CP60" s="23"/>
      <c r="CQ60" s="23"/>
      <c r="CR60" s="23"/>
      <c r="CS60" s="1102"/>
      <c r="CT60" s="23"/>
      <c r="CU60" s="23"/>
      <c r="CV60" s="23"/>
      <c r="CW60" s="23"/>
      <c r="CX60" s="23"/>
      <c r="CY60" s="23"/>
      <c r="CZ60" s="23"/>
      <c r="DA60" s="23"/>
      <c r="DB60" s="23"/>
      <c r="DC60" s="23"/>
      <c r="DD60" s="23"/>
      <c r="DE60" s="23"/>
      <c r="DF60" s="23"/>
      <c r="DG60" s="23"/>
      <c r="DH60" s="23"/>
      <c r="DI60" s="23"/>
      <c r="DJ60" s="23"/>
      <c r="DK60" s="23"/>
      <c r="DL60" s="23"/>
      <c r="DM60" s="23"/>
      <c r="DN60" s="23"/>
      <c r="DO60" s="23"/>
      <c r="DP60" s="23"/>
      <c r="DQ60" s="23"/>
      <c r="DR60" s="23"/>
      <c r="DS60" s="23"/>
      <c r="DT60" s="23"/>
      <c r="DU60" s="23"/>
      <c r="DV60" s="54"/>
      <c r="DW60" s="54"/>
      <c r="DX60" s="23"/>
      <c r="DY60" s="23"/>
    </row>
    <row r="61" spans="2:135" customFormat="1">
      <c r="B61" s="14" t="s">
        <v>371</v>
      </c>
      <c r="C61" s="23"/>
      <c r="D61" s="195">
        <f t="shared" ref="D61:N61" si="173">SUM(D57,D55)</f>
        <v>-20.791000000000004</v>
      </c>
      <c r="E61" s="195">
        <f t="shared" si="173"/>
        <v>-119.79000000000002</v>
      </c>
      <c r="F61" s="195">
        <f t="shared" si="173"/>
        <v>-188.41499999999999</v>
      </c>
      <c r="G61" s="195">
        <f t="shared" si="173"/>
        <v>-21.618000000000009</v>
      </c>
      <c r="H61" s="195">
        <f t="shared" si="173"/>
        <v>-84.170999999999992</v>
      </c>
      <c r="I61" s="195">
        <f t="shared" si="173"/>
        <v>-68.631000000000014</v>
      </c>
      <c r="J61" s="195">
        <f t="shared" si="173"/>
        <v>-42.611999999999973</v>
      </c>
      <c r="K61" s="195">
        <f t="shared" si="173"/>
        <v>-6.7729999999999411</v>
      </c>
      <c r="L61" s="195">
        <f t="shared" si="173"/>
        <v>-5.187999999999918</v>
      </c>
      <c r="M61" s="195">
        <f t="shared" si="173"/>
        <v>107.92399999999994</v>
      </c>
      <c r="N61" s="1494">
        <f t="shared" si="173"/>
        <v>69.43100000000004</v>
      </c>
      <c r="O61" s="1494">
        <f t="shared" ref="O61:Y61" si="174">SUM(O55:O57)</f>
        <v>35.271999999999956</v>
      </c>
      <c r="P61" s="1494">
        <f t="shared" si="174"/>
        <v>89.342000000000098</v>
      </c>
      <c r="Q61" s="1494">
        <f t="shared" ref="Q61:V61" si="175">SUM(Q55:Q57)</f>
        <v>130.05799999999988</v>
      </c>
      <c r="R61" s="1494">
        <f t="shared" si="175"/>
        <v>96.123000000000019</v>
      </c>
      <c r="S61" s="1494">
        <f t="shared" si="175"/>
        <v>-260.7260000000004</v>
      </c>
      <c r="T61" s="1494">
        <f t="shared" si="175"/>
        <v>187.77400000000051</v>
      </c>
      <c r="U61" s="1494">
        <f t="shared" si="175"/>
        <v>114.40799999999996</v>
      </c>
      <c r="V61" s="1494">
        <f t="shared" si="175"/>
        <v>232.9820000000004</v>
      </c>
      <c r="W61" s="1494">
        <f t="shared" ref="W61" ca="1" si="176">SUM(W55:W57)</f>
        <v>473.96504010626251</v>
      </c>
      <c r="X61" s="1494">
        <f t="shared" ca="1" si="174"/>
        <v>706.34788722767007</v>
      </c>
      <c r="Y61" s="1494">
        <f t="shared" ca="1" si="174"/>
        <v>807.15870873613687</v>
      </c>
      <c r="Z61" s="1494">
        <f ca="1">SUM(Z55:Z57)</f>
        <v>896.66352265972125</v>
      </c>
      <c r="AA61" s="1494">
        <f t="shared" ref="AA61:AD61" ca="1" si="177">SUM(AA55:AA57)</f>
        <v>1105.523636380525</v>
      </c>
      <c r="AB61" s="1494">
        <f t="shared" ca="1" si="177"/>
        <v>1668.6655784405743</v>
      </c>
      <c r="AC61" s="1494">
        <f t="shared" ca="1" si="177"/>
        <v>2088.7104062960771</v>
      </c>
      <c r="AD61" s="1494">
        <f t="shared" ca="1" si="177"/>
        <v>2257.3166991772159</v>
      </c>
      <c r="AE61" s="1483"/>
      <c r="AF61" s="1483"/>
      <c r="AG61" s="1494">
        <f>AG55-AG57</f>
        <v>-1.3449999999999998</v>
      </c>
      <c r="AH61" s="1494">
        <f>AH55-AH57</f>
        <v>-3.1200000000000006</v>
      </c>
      <c r="AI61" s="1494">
        <f>AI55-AI57</f>
        <v>-6.2880000000000003</v>
      </c>
      <c r="AJ61" s="1494">
        <f>AJ55-AJ57</f>
        <v>-10.038000000000002</v>
      </c>
      <c r="AK61" s="1537">
        <f>AK55-AK57</f>
        <v>-20.791000000000004</v>
      </c>
      <c r="AL61" s="1494">
        <f>SUM(AL55,AL57)</f>
        <v>-18.009</v>
      </c>
      <c r="AM61" s="1494">
        <f>SUM(AM55,AM57)</f>
        <v>-26.810999999999996</v>
      </c>
      <c r="AN61" s="1494">
        <f>SUM(AN55,AN57)</f>
        <v>-32.085000000000001</v>
      </c>
      <c r="AO61" s="1494">
        <f>SUM(AO55,AO57)</f>
        <v>-42.885000000000005</v>
      </c>
      <c r="AP61" s="1537">
        <f>AP55-AP57</f>
        <v>-119.79000000000002</v>
      </c>
      <c r="AQ61" s="1494">
        <f t="shared" ref="AQ61:CG61" si="178">SUM(AQ55,AQ57)</f>
        <v>-41.536999999999999</v>
      </c>
      <c r="AR61" s="1494">
        <f t="shared" si="178"/>
        <v>-37.856999999999999</v>
      </c>
      <c r="AS61" s="1494">
        <f t="shared" si="178"/>
        <v>-81.573999999999998</v>
      </c>
      <c r="AT61" s="1494">
        <f t="shared" si="178"/>
        <v>-27.446999999999999</v>
      </c>
      <c r="AU61" s="1537">
        <f t="shared" si="178"/>
        <v>-188.41500000000002</v>
      </c>
      <c r="AV61" s="1494">
        <f t="shared" si="178"/>
        <v>-13.693999999999997</v>
      </c>
      <c r="AW61" s="1494">
        <f t="shared" si="178"/>
        <v>-24.556999999999999</v>
      </c>
      <c r="AX61" s="1494">
        <f t="shared" si="178"/>
        <v>-44.088000000000001</v>
      </c>
      <c r="AY61" s="1494">
        <f t="shared" si="178"/>
        <v>60.720999999999997</v>
      </c>
      <c r="AZ61" s="1537">
        <f t="shared" si="178"/>
        <v>-21.618000000000009</v>
      </c>
      <c r="BA61" s="1494">
        <f t="shared" si="178"/>
        <v>-25.552999999999997</v>
      </c>
      <c r="BB61" s="1494">
        <f t="shared" si="178"/>
        <v>-21.203000000000007</v>
      </c>
      <c r="BC61" s="1494">
        <f t="shared" si="178"/>
        <v>-19.717999999999996</v>
      </c>
      <c r="BD61" s="1494">
        <f t="shared" si="178"/>
        <v>-17.697000000000006</v>
      </c>
      <c r="BE61" s="1537">
        <f t="shared" si="178"/>
        <v>-84.171000000000006</v>
      </c>
      <c r="BF61" s="1494">
        <f t="shared" si="178"/>
        <v>-30.141999999999992</v>
      </c>
      <c r="BG61" s="1494">
        <f t="shared" si="178"/>
        <v>-9.2049999999999983</v>
      </c>
      <c r="BH61" s="1494">
        <f t="shared" si="178"/>
        <v>-6.6149999999999993</v>
      </c>
      <c r="BI61" s="1494">
        <f t="shared" si="178"/>
        <v>-22.668999999999993</v>
      </c>
      <c r="BJ61" s="1537">
        <f t="shared" si="178"/>
        <v>-68.631000000000014</v>
      </c>
      <c r="BK61" s="1494">
        <f t="shared" si="178"/>
        <v>-5.7940000000000014</v>
      </c>
      <c r="BL61" s="1494">
        <f t="shared" si="178"/>
        <v>-3.4310000000000005</v>
      </c>
      <c r="BM61" s="1494">
        <f t="shared" si="178"/>
        <v>-0.78300000000000491</v>
      </c>
      <c r="BN61" s="1494">
        <f t="shared" si="178"/>
        <v>-32.604000000000006</v>
      </c>
      <c r="BO61" s="1537">
        <f t="shared" si="178"/>
        <v>-42.612000000000002</v>
      </c>
      <c r="BP61" s="1494">
        <f t="shared" si="178"/>
        <v>-5.4459999999999988</v>
      </c>
      <c r="BQ61" s="1494">
        <f t="shared" si="178"/>
        <v>-5.269999999999996</v>
      </c>
      <c r="BR61" s="1494">
        <f t="shared" si="178"/>
        <v>-5.168000000000001</v>
      </c>
      <c r="BS61" s="1494">
        <f t="shared" si="178"/>
        <v>9.1109999999999847</v>
      </c>
      <c r="BT61" s="1537">
        <f t="shared" si="178"/>
        <v>-6.7730000000000015</v>
      </c>
      <c r="BU61" s="1494">
        <f t="shared" si="178"/>
        <v>-4.4559999999999889</v>
      </c>
      <c r="BV61" s="1494">
        <f t="shared" si="178"/>
        <v>1.2170000000000147</v>
      </c>
      <c r="BW61" s="1494">
        <f t="shared" si="178"/>
        <v>4.1239999999999934</v>
      </c>
      <c r="BX61" s="1494">
        <f t="shared" si="178"/>
        <v>-6.0730000000000022</v>
      </c>
      <c r="BY61" s="1537">
        <f t="shared" si="178"/>
        <v>-5.1879999999999749</v>
      </c>
      <c r="BZ61" s="1494">
        <f t="shared" si="178"/>
        <v>3.7970000000000059</v>
      </c>
      <c r="CA61" s="1494">
        <f t="shared" si="178"/>
        <v>0.70799999999998109</v>
      </c>
      <c r="CB61" s="1494">
        <f t="shared" si="178"/>
        <v>5.5559999999999601</v>
      </c>
      <c r="CC61" s="1494">
        <f t="shared" si="178"/>
        <v>97.863</v>
      </c>
      <c r="CD61" s="1537">
        <f t="shared" si="178"/>
        <v>107.92399999999994</v>
      </c>
      <c r="CE61" s="1494">
        <f t="shared" si="178"/>
        <v>15.457000000000029</v>
      </c>
      <c r="CF61" s="1494">
        <f t="shared" si="178"/>
        <v>17.439999999999998</v>
      </c>
      <c r="CG61" s="1494">
        <f t="shared" si="178"/>
        <v>18.812000000000005</v>
      </c>
      <c r="CH61" s="1494">
        <f t="shared" ref="CH61:CS61" si="179">SUM(CH55:CH57)</f>
        <v>17.721999999999994</v>
      </c>
      <c r="CI61" s="1537">
        <f t="shared" si="179"/>
        <v>69.431000000000068</v>
      </c>
      <c r="CJ61" s="1494">
        <f t="shared" si="179"/>
        <v>14.199000000000016</v>
      </c>
      <c r="CK61" s="1494">
        <f t="shared" si="179"/>
        <v>-2.8130000000000281</v>
      </c>
      <c r="CL61" s="1494">
        <f t="shared" si="179"/>
        <v>10.574000000000012</v>
      </c>
      <c r="CM61" s="1494">
        <f t="shared" si="179"/>
        <v>13.31200000000001</v>
      </c>
      <c r="CN61" s="1537">
        <f t="shared" si="179"/>
        <v>35.271999999999927</v>
      </c>
      <c r="CO61" s="1494">
        <f t="shared" si="179"/>
        <v>24.031999999999982</v>
      </c>
      <c r="CP61" s="1494">
        <f t="shared" si="179"/>
        <v>30.66899999999999</v>
      </c>
      <c r="CQ61" s="1494">
        <f>SUM(CQ55:CQ57)</f>
        <v>19.674999999999962</v>
      </c>
      <c r="CR61" s="1494">
        <f>SUM(CR55:CR57)</f>
        <v>14.965999999999992</v>
      </c>
      <c r="CS61" s="1537">
        <f t="shared" si="179"/>
        <v>89.342000000000155</v>
      </c>
      <c r="CT61" s="1494">
        <f t="shared" ref="CT61:DE61" si="180">SUM(CT55:CT57)</f>
        <v>32.207000000000008</v>
      </c>
      <c r="CU61" s="1494">
        <f t="shared" si="180"/>
        <v>36.449999999999982</v>
      </c>
      <c r="CV61" s="1494">
        <f t="shared" si="180"/>
        <v>26.647999999999946</v>
      </c>
      <c r="CW61" s="1494">
        <f t="shared" si="180"/>
        <v>34.753</v>
      </c>
      <c r="CX61" s="1494">
        <f t="shared" si="180"/>
        <v>33.283999999999899</v>
      </c>
      <c r="CY61" s="1494">
        <f t="shared" si="180"/>
        <v>-25.286999999999992</v>
      </c>
      <c r="CZ61" s="1494">
        <f t="shared" si="180"/>
        <v>42.753000000000085</v>
      </c>
      <c r="DA61" s="1494">
        <f t="shared" si="180"/>
        <v>45.373000000000033</v>
      </c>
      <c r="DB61" s="1494">
        <f t="shared" si="180"/>
        <v>41.337000000000025</v>
      </c>
      <c r="DC61" s="1494">
        <f t="shared" si="180"/>
        <v>10.079000000000033</v>
      </c>
      <c r="DD61" s="1494">
        <f t="shared" si="180"/>
        <v>42.960999999999999</v>
      </c>
      <c r="DE61" s="1494">
        <f t="shared" si="180"/>
        <v>-355.10299999999995</v>
      </c>
      <c r="DF61" s="1494">
        <f>SUM(DF55:DF57)</f>
        <v>76.452000000000012</v>
      </c>
      <c r="DG61" s="1494">
        <f>SUM(DG55:DG57)</f>
        <v>59.458999999999875</v>
      </c>
      <c r="DH61" s="1494">
        <f>SUM(DH55:DH57)</f>
        <v>41.132000000000033</v>
      </c>
      <c r="DI61" s="1494">
        <f>SUM(DI55:DI57)</f>
        <v>10.730999999999902</v>
      </c>
      <c r="DJ61" s="1494">
        <f t="shared" ref="DJ61:DM61" si="181">SUM(DJ55:DJ57)</f>
        <v>-37.326999999999984</v>
      </c>
      <c r="DK61" s="1494">
        <f t="shared" si="181"/>
        <v>39.302000000000014</v>
      </c>
      <c r="DL61" s="1494">
        <f t="shared" si="181"/>
        <v>48.768999999999942</v>
      </c>
      <c r="DM61" s="1494">
        <f t="shared" si="181"/>
        <v>63.663999999999959</v>
      </c>
      <c r="DN61" s="1494">
        <f>SUM(DN55:DN57)</f>
        <v>42.06200000000014</v>
      </c>
      <c r="DO61" s="1494">
        <f>SUM(DO55:DO57)</f>
        <v>45.805000000000035</v>
      </c>
      <c r="DP61" s="1494">
        <f>SUM(DP55:DP57)</f>
        <v>79.899999999999963</v>
      </c>
      <c r="DQ61" s="1494">
        <f>SUM(DQ55:DQ57)</f>
        <v>65.215000000000032</v>
      </c>
      <c r="DR61" s="1494">
        <f t="shared" ref="DR61:DU61" ca="1" si="182">SUM(DR55:DR57)</f>
        <v>96.458002345945189</v>
      </c>
      <c r="DS61" s="1494">
        <f t="shared" ca="1" si="182"/>
        <v>121.11282891771445</v>
      </c>
      <c r="DT61" s="1494">
        <f t="shared" ca="1" si="182"/>
        <v>135.73520266336968</v>
      </c>
      <c r="DU61" s="1494">
        <f t="shared" ca="1" si="182"/>
        <v>147.22698638391648</v>
      </c>
      <c r="DV61" s="54"/>
      <c r="DW61" s="54"/>
      <c r="DX61" s="54"/>
      <c r="DY61" s="54"/>
    </row>
    <row r="62" spans="2:135" customFormat="1">
      <c r="B62" s="123" t="s">
        <v>996</v>
      </c>
      <c r="C62" s="23"/>
      <c r="D62" s="26">
        <f>AK62</f>
        <v>0</v>
      </c>
      <c r="E62" s="26">
        <f>AP62</f>
        <v>0</v>
      </c>
      <c r="F62" s="54">
        <f>AU62</f>
        <v>0</v>
      </c>
      <c r="G62" s="54">
        <f>AZ62</f>
        <v>0</v>
      </c>
      <c r="H62" s="54">
        <f>BE62</f>
        <v>0</v>
      </c>
      <c r="I62" s="54">
        <f>BJ62</f>
        <v>0</v>
      </c>
      <c r="J62" s="54">
        <f>BO62</f>
        <v>0</v>
      </c>
      <c r="K62" s="54">
        <f>BT62</f>
        <v>0.376</v>
      </c>
      <c r="L62" s="54">
        <f>BY62</f>
        <v>0</v>
      </c>
      <c r="M62" s="54">
        <f>CD62</f>
        <v>0</v>
      </c>
      <c r="N62" s="1483">
        <f>CI62</f>
        <v>0</v>
      </c>
      <c r="O62" s="1483">
        <f>+SUM(CJ62:CM62)</f>
        <v>1.6090000000000018</v>
      </c>
      <c r="P62" s="1491">
        <f>+SUM(CO62:CR62)</f>
        <v>3.2680000000000016</v>
      </c>
      <c r="Q62" s="1491">
        <f>+SUM(CT62:CW62)</f>
        <v>13.086</v>
      </c>
      <c r="R62" s="1491">
        <f>+SUM(CX62:DA62)</f>
        <v>0</v>
      </c>
      <c r="S62" s="1491">
        <f>+SUM(DB62:DE62)</f>
        <v>0</v>
      </c>
      <c r="T62" s="1491">
        <f>+SUM(DF62:DI62)</f>
        <v>0</v>
      </c>
      <c r="U62" s="1491">
        <f>+SUM(DJ62:DM62)</f>
        <v>12.392000000000001</v>
      </c>
      <c r="V62" s="1491">
        <f>+SUM(DN62:DQ62)</f>
        <v>0</v>
      </c>
      <c r="W62" s="1491">
        <f>+SUM(DR62:DU62)</f>
        <v>0</v>
      </c>
      <c r="X62" s="1653"/>
      <c r="Y62" s="1653"/>
      <c r="Z62" s="1653"/>
      <c r="AA62" s="1653"/>
      <c r="AB62" s="1653"/>
      <c r="AC62" s="1653"/>
      <c r="AD62" s="1653"/>
      <c r="AE62" s="1483"/>
      <c r="AF62" s="1483"/>
      <c r="AG62" s="1488">
        <v>0</v>
      </c>
      <c r="AH62" s="1488">
        <v>0</v>
      </c>
      <c r="AI62" s="1488">
        <v>0</v>
      </c>
      <c r="AJ62" s="1488">
        <v>0</v>
      </c>
      <c r="AK62" s="1553">
        <f>SUM(AG62:AJ62)</f>
        <v>0</v>
      </c>
      <c r="AL62" s="1488">
        <v>0</v>
      </c>
      <c r="AM62" s="1488">
        <v>0</v>
      </c>
      <c r="AN62" s="1488">
        <v>0</v>
      </c>
      <c r="AO62" s="1488">
        <v>0</v>
      </c>
      <c r="AP62" s="1553">
        <f>SUM(AL62:AO62)</f>
        <v>0</v>
      </c>
      <c r="AQ62" s="1488">
        <v>0</v>
      </c>
      <c r="AR62" s="1488">
        <v>0</v>
      </c>
      <c r="AS62" s="1488">
        <v>0</v>
      </c>
      <c r="AT62" s="1488">
        <v>0</v>
      </c>
      <c r="AU62" s="1554">
        <f>SUM(AQ62:AT62)</f>
        <v>0</v>
      </c>
      <c r="AV62" s="1488">
        <v>0</v>
      </c>
      <c r="AW62" s="1488">
        <v>0</v>
      </c>
      <c r="AX62" s="1488">
        <v>0</v>
      </c>
      <c r="AY62" s="1488">
        <v>0</v>
      </c>
      <c r="AZ62" s="1553">
        <f>SUM(AV62:AY62)</f>
        <v>0</v>
      </c>
      <c r="BA62" s="1488">
        <v>0</v>
      </c>
      <c r="BB62" s="1488">
        <v>0</v>
      </c>
      <c r="BC62" s="1488">
        <v>0</v>
      </c>
      <c r="BD62" s="1488">
        <v>0</v>
      </c>
      <c r="BE62" s="1553">
        <f>SUM(BA62:BD62)</f>
        <v>0</v>
      </c>
      <c r="BF62" s="1488">
        <v>0</v>
      </c>
      <c r="BG62" s="1488">
        <v>0</v>
      </c>
      <c r="BH62" s="1488">
        <v>0</v>
      </c>
      <c r="BI62" s="1488">
        <v>0</v>
      </c>
      <c r="BJ62" s="1553">
        <f>SUM(BF62:BI62)</f>
        <v>0</v>
      </c>
      <c r="BK62" s="1488">
        <v>0</v>
      </c>
      <c r="BL62" s="1488">
        <v>0</v>
      </c>
      <c r="BM62" s="1488">
        <v>0</v>
      </c>
      <c r="BN62" s="1488">
        <v>0</v>
      </c>
      <c r="BO62" s="1553">
        <f>SUM(BK62:BN62)</f>
        <v>0</v>
      </c>
      <c r="BP62" s="1488">
        <v>0.376</v>
      </c>
      <c r="BQ62" s="1488">
        <v>0</v>
      </c>
      <c r="BR62" s="1488">
        <v>0</v>
      </c>
      <c r="BS62" s="1488">
        <v>0</v>
      </c>
      <c r="BT62" s="1553">
        <f>SUM(BP62:BS62)</f>
        <v>0.376</v>
      </c>
      <c r="BU62" s="1488">
        <v>0</v>
      </c>
      <c r="BV62" s="1488">
        <v>0</v>
      </c>
      <c r="BW62" s="1488">
        <v>0</v>
      </c>
      <c r="BX62" s="1488">
        <v>0</v>
      </c>
      <c r="BY62" s="1553">
        <f>SUM(BU62:BX62)</f>
        <v>0</v>
      </c>
      <c r="BZ62" s="1555">
        <v>0</v>
      </c>
      <c r="CA62" s="1555">
        <v>0</v>
      </c>
      <c r="CB62" s="1555">
        <v>0</v>
      </c>
      <c r="CC62" s="1555">
        <v>0</v>
      </c>
      <c r="CD62" s="1554">
        <v>0</v>
      </c>
      <c r="CE62" s="1555">
        <v>0</v>
      </c>
      <c r="CF62" s="1555">
        <v>0</v>
      </c>
      <c r="CG62" s="1555">
        <v>0</v>
      </c>
      <c r="CH62" s="1555">
        <v>0</v>
      </c>
      <c r="CI62" s="1532">
        <f>SUM(CE62:CH62)</f>
        <v>0</v>
      </c>
      <c r="CJ62" s="1491">
        <v>0</v>
      </c>
      <c r="CK62" s="1653">
        <f>+Rev!BU321</f>
        <v>0.5389999999999997</v>
      </c>
      <c r="CL62" s="1653">
        <f>+Rev!BV321</f>
        <v>0.62200000000000166</v>
      </c>
      <c r="CM62" s="1653">
        <f>+Rev!BW321</f>
        <v>0.4480000000000004</v>
      </c>
      <c r="CN62" s="1532">
        <f>SUM(CJ62:CM62)</f>
        <v>1.6090000000000018</v>
      </c>
      <c r="CO62" s="1653">
        <f>Rev!BX321</f>
        <v>1.1130000000000004</v>
      </c>
      <c r="CP62" s="1653">
        <f>Rev!BY321</f>
        <v>6.4000000000001833E-2</v>
      </c>
      <c r="CQ62" s="1653">
        <f>Rev!BZ321</f>
        <v>0.96400000000000041</v>
      </c>
      <c r="CR62" s="1653">
        <f>Rev!CA321</f>
        <v>1.1269999999999989</v>
      </c>
      <c r="CS62" s="1532">
        <f>SUM(CO62:CR62)</f>
        <v>3.2680000000000016</v>
      </c>
      <c r="CT62" s="1486">
        <v>0.19900000000000001</v>
      </c>
      <c r="CU62" s="1486">
        <v>0.35</v>
      </c>
      <c r="CV62" s="1486">
        <v>0.67900000000000005</v>
      </c>
      <c r="CW62" s="1486">
        <f>0.006+11.852</f>
        <v>11.858000000000001</v>
      </c>
      <c r="CX62" s="1486"/>
      <c r="CY62" s="1486"/>
      <c r="CZ62" s="1486"/>
      <c r="DA62" s="1486"/>
      <c r="DB62" s="1486"/>
      <c r="DC62" s="1486"/>
      <c r="DD62" s="1486"/>
      <c r="DE62" s="1486"/>
      <c r="DF62" s="1486"/>
      <c r="DG62" s="1486"/>
      <c r="DH62" s="1486"/>
      <c r="DI62" s="1486"/>
      <c r="DJ62" s="1486">
        <v>6.2160000000000002</v>
      </c>
      <c r="DK62" s="1486">
        <v>5.4089999999999998</v>
      </c>
      <c r="DL62" s="1486">
        <v>2.681</v>
      </c>
      <c r="DM62" s="1486">
        <v>-1.9139999999999999</v>
      </c>
      <c r="DN62" s="1486"/>
      <c r="DO62" s="1486"/>
      <c r="DP62" s="1486"/>
      <c r="DQ62" s="1486"/>
      <c r="DR62" s="1653"/>
      <c r="DS62" s="1653"/>
      <c r="DT62" s="1653"/>
      <c r="DU62" s="1653"/>
      <c r="DV62" s="54"/>
      <c r="DW62" s="54"/>
      <c r="DX62" s="54"/>
      <c r="DY62" s="54"/>
    </row>
    <row r="63" spans="2:135" customFormat="1">
      <c r="B63" s="908" t="s">
        <v>463</v>
      </c>
      <c r="C63" s="52"/>
      <c r="D63" s="909">
        <f>D61-D62</f>
        <v>-20.791000000000004</v>
      </c>
      <c r="E63" s="909">
        <f>E61-E62</f>
        <v>-119.79000000000002</v>
      </c>
      <c r="F63" s="909">
        <f t="shared" ref="F63:N63" si="183">SUM(F61:F62)</f>
        <v>-188.41499999999999</v>
      </c>
      <c r="G63" s="909">
        <f t="shared" si="183"/>
        <v>-21.618000000000009</v>
      </c>
      <c r="H63" s="909">
        <f t="shared" si="183"/>
        <v>-84.170999999999992</v>
      </c>
      <c r="I63" s="909">
        <f t="shared" si="183"/>
        <v>-68.631000000000014</v>
      </c>
      <c r="J63" s="909">
        <f t="shared" si="183"/>
        <v>-42.611999999999973</v>
      </c>
      <c r="K63" s="909">
        <f t="shared" si="183"/>
        <v>-6.3969999999999407</v>
      </c>
      <c r="L63" s="909">
        <f t="shared" si="183"/>
        <v>-5.187999999999918</v>
      </c>
      <c r="M63" s="909">
        <f t="shared" si="183"/>
        <v>107.92399999999994</v>
      </c>
      <c r="N63" s="1546">
        <f t="shared" si="183"/>
        <v>69.43100000000004</v>
      </c>
      <c r="O63" s="1546">
        <f t="shared" ref="O63:Z63" si="184">SUM(O61:O62)</f>
        <v>36.880999999999958</v>
      </c>
      <c r="P63" s="1546">
        <f t="shared" si="184"/>
        <v>92.610000000000099</v>
      </c>
      <c r="Q63" s="1546">
        <f t="shared" si="184"/>
        <v>143.14399999999989</v>
      </c>
      <c r="R63" s="1546">
        <f t="shared" si="184"/>
        <v>96.123000000000019</v>
      </c>
      <c r="S63" s="1546">
        <f t="shared" si="184"/>
        <v>-260.7260000000004</v>
      </c>
      <c r="T63" s="1546">
        <f>SUM(T61:T62)</f>
        <v>187.77400000000051</v>
      </c>
      <c r="U63" s="1546">
        <f>SUM(U61:U62)</f>
        <v>126.79999999999995</v>
      </c>
      <c r="V63" s="1546">
        <f>SUM(V61:V62)</f>
        <v>232.9820000000004</v>
      </c>
      <c r="W63" s="1546">
        <f ca="1">SUM(W61:W62)</f>
        <v>473.96504010626251</v>
      </c>
      <c r="X63" s="1546">
        <f t="shared" ca="1" si="184"/>
        <v>706.34788722767007</v>
      </c>
      <c r="Y63" s="1546">
        <f t="shared" ca="1" si="184"/>
        <v>807.15870873613687</v>
      </c>
      <c r="Z63" s="1546">
        <f t="shared" ca="1" si="184"/>
        <v>896.66352265972125</v>
      </c>
      <c r="AA63" s="1546">
        <f t="shared" ref="AA63:AD63" ca="1" si="185">SUM(AA61:AA62)</f>
        <v>1105.523636380525</v>
      </c>
      <c r="AB63" s="1546">
        <f t="shared" ca="1" si="185"/>
        <v>1668.6655784405743</v>
      </c>
      <c r="AC63" s="1546">
        <f t="shared" ca="1" si="185"/>
        <v>2088.7104062960771</v>
      </c>
      <c r="AD63" s="1546">
        <f t="shared" ca="1" si="185"/>
        <v>2257.3166991772159</v>
      </c>
      <c r="AE63" s="1483"/>
      <c r="AF63" s="1483"/>
      <c r="AG63" s="1546">
        <f>AG61-AG62</f>
        <v>-1.3449999999999998</v>
      </c>
      <c r="AH63" s="1546">
        <f>AH61-AH62</f>
        <v>-3.1200000000000006</v>
      </c>
      <c r="AI63" s="1546">
        <f>AI61-AI62</f>
        <v>-6.2880000000000003</v>
      </c>
      <c r="AJ63" s="1546">
        <f>AJ61-AJ62</f>
        <v>-10.038000000000002</v>
      </c>
      <c r="AK63" s="1547">
        <f>AK61-AK62</f>
        <v>-20.791000000000004</v>
      </c>
      <c r="AL63" s="1546">
        <f>SUM(AL61:AL62)</f>
        <v>-18.009</v>
      </c>
      <c r="AM63" s="1546">
        <f>SUM(AM61:AM62)</f>
        <v>-26.810999999999996</v>
      </c>
      <c r="AN63" s="1546">
        <f>SUM(AN61:AN62)</f>
        <v>-32.085000000000001</v>
      </c>
      <c r="AO63" s="1546">
        <f>SUM(AO61:AO62)</f>
        <v>-42.885000000000005</v>
      </c>
      <c r="AP63" s="1547">
        <f>AP61-AP62</f>
        <v>-119.79000000000002</v>
      </c>
      <c r="AQ63" s="1546">
        <f t="shared" ref="AQ63:BV63" si="186">SUM(AQ61:AQ62)</f>
        <v>-41.536999999999999</v>
      </c>
      <c r="AR63" s="1546">
        <f t="shared" si="186"/>
        <v>-37.856999999999999</v>
      </c>
      <c r="AS63" s="1546">
        <f t="shared" si="186"/>
        <v>-81.573999999999998</v>
      </c>
      <c r="AT63" s="1546">
        <f t="shared" si="186"/>
        <v>-27.446999999999999</v>
      </c>
      <c r="AU63" s="1547">
        <f t="shared" si="186"/>
        <v>-188.41500000000002</v>
      </c>
      <c r="AV63" s="1546">
        <f t="shared" si="186"/>
        <v>-13.693999999999997</v>
      </c>
      <c r="AW63" s="1546">
        <f t="shared" si="186"/>
        <v>-24.556999999999999</v>
      </c>
      <c r="AX63" s="1546">
        <f t="shared" si="186"/>
        <v>-44.088000000000001</v>
      </c>
      <c r="AY63" s="1546">
        <f t="shared" si="186"/>
        <v>60.720999999999997</v>
      </c>
      <c r="AZ63" s="1547">
        <f t="shared" si="186"/>
        <v>-21.618000000000009</v>
      </c>
      <c r="BA63" s="1546">
        <f t="shared" si="186"/>
        <v>-25.552999999999997</v>
      </c>
      <c r="BB63" s="1546">
        <f t="shared" si="186"/>
        <v>-21.203000000000007</v>
      </c>
      <c r="BC63" s="1546">
        <f t="shared" si="186"/>
        <v>-19.717999999999996</v>
      </c>
      <c r="BD63" s="1546">
        <f t="shared" si="186"/>
        <v>-17.697000000000006</v>
      </c>
      <c r="BE63" s="1547">
        <f t="shared" si="186"/>
        <v>-84.171000000000006</v>
      </c>
      <c r="BF63" s="1546">
        <f t="shared" si="186"/>
        <v>-30.141999999999992</v>
      </c>
      <c r="BG63" s="1546">
        <f t="shared" si="186"/>
        <v>-9.2049999999999983</v>
      </c>
      <c r="BH63" s="1546">
        <f t="shared" si="186"/>
        <v>-6.6149999999999993</v>
      </c>
      <c r="BI63" s="1546">
        <f t="shared" si="186"/>
        <v>-22.668999999999993</v>
      </c>
      <c r="BJ63" s="1547">
        <f t="shared" si="186"/>
        <v>-68.631000000000014</v>
      </c>
      <c r="BK63" s="1546">
        <f t="shared" si="186"/>
        <v>-5.7940000000000014</v>
      </c>
      <c r="BL63" s="1546">
        <f t="shared" si="186"/>
        <v>-3.4310000000000005</v>
      </c>
      <c r="BM63" s="1546">
        <f t="shared" si="186"/>
        <v>-0.78300000000000491</v>
      </c>
      <c r="BN63" s="1546">
        <f t="shared" si="186"/>
        <v>-32.604000000000006</v>
      </c>
      <c r="BO63" s="1547">
        <f t="shared" si="186"/>
        <v>-42.612000000000002</v>
      </c>
      <c r="BP63" s="1546">
        <f t="shared" si="186"/>
        <v>-5.0699999999999985</v>
      </c>
      <c r="BQ63" s="1546">
        <f t="shared" si="186"/>
        <v>-5.269999999999996</v>
      </c>
      <c r="BR63" s="1546">
        <f t="shared" si="186"/>
        <v>-5.168000000000001</v>
      </c>
      <c r="BS63" s="1546">
        <f t="shared" si="186"/>
        <v>9.1109999999999847</v>
      </c>
      <c r="BT63" s="1547">
        <f t="shared" si="186"/>
        <v>-6.3970000000000011</v>
      </c>
      <c r="BU63" s="1546">
        <f t="shared" si="186"/>
        <v>-4.4559999999999889</v>
      </c>
      <c r="BV63" s="1546">
        <f t="shared" si="186"/>
        <v>1.2170000000000147</v>
      </c>
      <c r="BW63" s="1546">
        <f t="shared" ref="BW63:DB63" si="187">SUM(BW61:BW62)</f>
        <v>4.1239999999999934</v>
      </c>
      <c r="BX63" s="1546">
        <f t="shared" si="187"/>
        <v>-6.0730000000000022</v>
      </c>
      <c r="BY63" s="1547">
        <f t="shared" si="187"/>
        <v>-5.1879999999999749</v>
      </c>
      <c r="BZ63" s="1546">
        <f t="shared" si="187"/>
        <v>3.7970000000000059</v>
      </c>
      <c r="CA63" s="1546">
        <f t="shared" si="187"/>
        <v>0.70799999999998109</v>
      </c>
      <c r="CB63" s="1546">
        <f t="shared" si="187"/>
        <v>5.5559999999999601</v>
      </c>
      <c r="CC63" s="1546">
        <f t="shared" si="187"/>
        <v>97.863</v>
      </c>
      <c r="CD63" s="1547">
        <f t="shared" si="187"/>
        <v>107.92399999999994</v>
      </c>
      <c r="CE63" s="1546">
        <f t="shared" si="187"/>
        <v>15.457000000000029</v>
      </c>
      <c r="CF63" s="1546">
        <f t="shared" si="187"/>
        <v>17.439999999999998</v>
      </c>
      <c r="CG63" s="1546">
        <f t="shared" si="187"/>
        <v>18.812000000000005</v>
      </c>
      <c r="CH63" s="1546">
        <f t="shared" si="187"/>
        <v>17.721999999999994</v>
      </c>
      <c r="CI63" s="1547">
        <f t="shared" si="187"/>
        <v>69.431000000000068</v>
      </c>
      <c r="CJ63" s="1546">
        <f t="shared" si="187"/>
        <v>14.199000000000016</v>
      </c>
      <c r="CK63" s="1546">
        <f t="shared" si="187"/>
        <v>-2.2740000000000284</v>
      </c>
      <c r="CL63" s="1546">
        <f t="shared" si="187"/>
        <v>11.196000000000014</v>
      </c>
      <c r="CM63" s="1546">
        <f t="shared" si="187"/>
        <v>13.76000000000001</v>
      </c>
      <c r="CN63" s="1547">
        <f t="shared" si="187"/>
        <v>36.880999999999929</v>
      </c>
      <c r="CO63" s="1546">
        <f t="shared" si="187"/>
        <v>25.144999999999982</v>
      </c>
      <c r="CP63" s="1546">
        <f t="shared" si="187"/>
        <v>30.73299999999999</v>
      </c>
      <c r="CQ63" s="1546">
        <f t="shared" si="187"/>
        <v>20.63899999999996</v>
      </c>
      <c r="CR63" s="1546">
        <f t="shared" si="187"/>
        <v>16.092999999999989</v>
      </c>
      <c r="CS63" s="1547">
        <f t="shared" si="187"/>
        <v>92.610000000000156</v>
      </c>
      <c r="CT63" s="1546">
        <f t="shared" si="187"/>
        <v>32.406000000000006</v>
      </c>
      <c r="CU63" s="1546">
        <f t="shared" si="187"/>
        <v>36.799999999999983</v>
      </c>
      <c r="CV63" s="1546">
        <f t="shared" si="187"/>
        <v>27.326999999999945</v>
      </c>
      <c r="CW63" s="1546">
        <f t="shared" si="187"/>
        <v>46.611000000000004</v>
      </c>
      <c r="CX63" s="1546">
        <f t="shared" si="187"/>
        <v>33.283999999999899</v>
      </c>
      <c r="CY63" s="1546">
        <f t="shared" si="187"/>
        <v>-25.286999999999992</v>
      </c>
      <c r="CZ63" s="1546">
        <f t="shared" si="187"/>
        <v>42.753000000000085</v>
      </c>
      <c r="DA63" s="1546">
        <f t="shared" si="187"/>
        <v>45.373000000000033</v>
      </c>
      <c r="DB63" s="1546">
        <f t="shared" si="187"/>
        <v>41.337000000000025</v>
      </c>
      <c r="DC63" s="1546">
        <f t="shared" ref="DC63:DI63" si="188">SUM(DC61:DC62)</f>
        <v>10.079000000000033</v>
      </c>
      <c r="DD63" s="1546">
        <f t="shared" si="188"/>
        <v>42.960999999999999</v>
      </c>
      <c r="DE63" s="1546">
        <f t="shared" si="188"/>
        <v>-355.10299999999995</v>
      </c>
      <c r="DF63" s="1546">
        <f t="shared" si="188"/>
        <v>76.452000000000012</v>
      </c>
      <c r="DG63" s="1546">
        <f t="shared" si="188"/>
        <v>59.458999999999875</v>
      </c>
      <c r="DH63" s="1546">
        <f t="shared" si="188"/>
        <v>41.132000000000033</v>
      </c>
      <c r="DI63" s="1546">
        <f t="shared" si="188"/>
        <v>10.730999999999902</v>
      </c>
      <c r="DJ63" s="1546">
        <f t="shared" ref="DJ63:DM63" si="189">SUM(DJ61:DJ62)</f>
        <v>-31.110999999999983</v>
      </c>
      <c r="DK63" s="1546">
        <f t="shared" si="189"/>
        <v>44.711000000000013</v>
      </c>
      <c r="DL63" s="1546">
        <f t="shared" si="189"/>
        <v>51.449999999999939</v>
      </c>
      <c r="DM63" s="1546">
        <f t="shared" si="189"/>
        <v>61.749999999999957</v>
      </c>
      <c r="DN63" s="1546">
        <f>SUM(DN61:DN62)</f>
        <v>42.06200000000014</v>
      </c>
      <c r="DO63" s="1546">
        <f>SUM(DO61:DO62)</f>
        <v>45.805000000000035</v>
      </c>
      <c r="DP63" s="1546">
        <f>SUM(DP61:DP62)</f>
        <v>79.899999999999963</v>
      </c>
      <c r="DQ63" s="1546">
        <f>SUM(DQ61:DQ62)</f>
        <v>65.215000000000032</v>
      </c>
      <c r="DR63" s="1546">
        <f t="shared" ref="DR63:DU63" ca="1" si="190">SUM(DR61:DR62)</f>
        <v>96.458002345945189</v>
      </c>
      <c r="DS63" s="1546">
        <f t="shared" ca="1" si="190"/>
        <v>121.11282891771445</v>
      </c>
      <c r="DT63" s="1546">
        <f t="shared" ca="1" si="190"/>
        <v>135.73520266336968</v>
      </c>
      <c r="DU63" s="1546">
        <f t="shared" ca="1" si="190"/>
        <v>147.22698638391648</v>
      </c>
      <c r="DV63" s="54"/>
      <c r="DW63" s="54"/>
      <c r="DX63" s="54"/>
      <c r="DY63" s="54"/>
    </row>
    <row r="64" spans="2:135" customFormat="1">
      <c r="B64" s="122"/>
      <c r="C64" s="123"/>
      <c r="D64" s="842"/>
      <c r="E64" s="842"/>
      <c r="F64" s="842"/>
      <c r="G64" s="842"/>
      <c r="H64" s="842"/>
      <c r="I64" s="842"/>
      <c r="J64" s="842"/>
      <c r="K64" s="842"/>
      <c r="L64" s="842"/>
      <c r="M64" s="842"/>
      <c r="N64" s="1531"/>
      <c r="O64" s="1531"/>
      <c r="P64" s="1531"/>
      <c r="Q64" s="1531"/>
      <c r="R64" s="1531"/>
      <c r="S64" s="1531"/>
      <c r="T64" s="1531"/>
      <c r="U64" s="1531"/>
      <c r="V64" s="1531"/>
      <c r="W64" s="1531"/>
      <c r="X64" s="1531"/>
      <c r="Y64" s="1531"/>
      <c r="Z64" s="1531"/>
      <c r="AA64" s="1531"/>
      <c r="AB64" s="1531"/>
      <c r="AC64" s="1531"/>
      <c r="AD64" s="1531"/>
      <c r="AE64" s="1483"/>
      <c r="AF64" s="1483"/>
      <c r="AG64" s="1531"/>
      <c r="AH64" s="1531"/>
      <c r="AI64" s="1531"/>
      <c r="AJ64" s="1531"/>
      <c r="AK64" s="1536"/>
      <c r="AL64" s="1531"/>
      <c r="AM64" s="1531"/>
      <c r="AN64" s="1531"/>
      <c r="AO64" s="1531"/>
      <c r="AP64" s="1536"/>
      <c r="AQ64" s="1531"/>
      <c r="AR64" s="1531"/>
      <c r="AS64" s="1531"/>
      <c r="AT64" s="1531"/>
      <c r="AU64" s="1536"/>
      <c r="AV64" s="1531"/>
      <c r="AW64" s="1531"/>
      <c r="AX64" s="1531"/>
      <c r="AY64" s="1531"/>
      <c r="AZ64" s="1536"/>
      <c r="BA64" s="1531"/>
      <c r="BB64" s="1531"/>
      <c r="BC64" s="1531"/>
      <c r="BD64" s="1531"/>
      <c r="BE64" s="1536"/>
      <c r="BF64" s="1531"/>
      <c r="BG64" s="1531"/>
      <c r="BH64" s="1531"/>
      <c r="BI64" s="1531"/>
      <c r="BJ64" s="1536"/>
      <c r="BK64" s="1531"/>
      <c r="BL64" s="1531"/>
      <c r="BM64" s="1531"/>
      <c r="BN64" s="1531"/>
      <c r="BO64" s="1536"/>
      <c r="BP64" s="1531"/>
      <c r="BQ64" s="1531"/>
      <c r="BR64" s="1531"/>
      <c r="BS64" s="1531"/>
      <c r="BT64" s="1536"/>
      <c r="BU64" s="1531"/>
      <c r="BV64" s="1531"/>
      <c r="BW64" s="1531"/>
      <c r="BX64" s="1531"/>
      <c r="BY64" s="1536"/>
      <c r="BZ64" s="1531"/>
      <c r="CA64" s="1531"/>
      <c r="CB64" s="1531"/>
      <c r="CC64" s="1531"/>
      <c r="CD64" s="1536"/>
      <c r="CE64" s="1531"/>
      <c r="CF64" s="1531"/>
      <c r="CG64" s="1531"/>
      <c r="CH64" s="1531"/>
      <c r="CI64" s="1536"/>
      <c r="CJ64" s="1686"/>
      <c r="CK64" s="1686"/>
      <c r="CL64" s="1686"/>
      <c r="CM64" s="1686"/>
      <c r="CN64" s="1536"/>
      <c r="CO64" s="1531"/>
      <c r="CP64" s="1531"/>
      <c r="CQ64" s="1531"/>
      <c r="CR64" s="1531"/>
      <c r="CS64" s="1536"/>
      <c r="CT64" s="1531"/>
      <c r="CU64" s="1531"/>
      <c r="CV64" s="1531"/>
      <c r="CW64" s="1531"/>
      <c r="CX64" s="1531"/>
      <c r="CY64" s="1531"/>
      <c r="CZ64" s="1531"/>
      <c r="DA64" s="1531"/>
      <c r="DB64" s="1531"/>
      <c r="DC64" s="1531"/>
      <c r="DD64" s="1531"/>
      <c r="DE64" s="1531"/>
      <c r="DF64" s="1531"/>
      <c r="DG64" s="1531"/>
      <c r="DH64" s="1531"/>
      <c r="DI64" s="1531"/>
      <c r="DJ64" s="1531"/>
      <c r="DK64" s="1531"/>
      <c r="DL64" s="1531"/>
      <c r="DM64" s="1531"/>
      <c r="DN64" s="1531"/>
      <c r="DO64" s="1531"/>
      <c r="DP64" s="1531"/>
      <c r="DQ64" s="1531"/>
      <c r="DR64" s="1531"/>
      <c r="DS64" s="1531"/>
      <c r="DT64" s="1531"/>
      <c r="DU64" s="1531"/>
      <c r="DV64" s="54"/>
      <c r="DW64" s="54"/>
      <c r="DX64" s="842"/>
      <c r="DY64" s="842"/>
    </row>
    <row r="65" spans="2:129" customFormat="1">
      <c r="B65" s="126" t="s">
        <v>572</v>
      </c>
      <c r="C65" s="123"/>
      <c r="D65" s="842"/>
      <c r="E65" s="842"/>
      <c r="F65" s="842"/>
      <c r="G65" s="842"/>
      <c r="H65" s="842"/>
      <c r="I65" s="842"/>
      <c r="J65" s="842"/>
      <c r="K65" s="842"/>
      <c r="L65" s="842"/>
      <c r="M65" s="842"/>
      <c r="N65" s="1531"/>
      <c r="O65" s="1531"/>
      <c r="P65" s="1531"/>
      <c r="Q65" s="1531"/>
      <c r="R65" s="1531"/>
      <c r="S65" s="1531"/>
      <c r="T65" s="1531"/>
      <c r="U65" s="1531"/>
      <c r="V65" s="1531"/>
      <c r="W65" s="1531"/>
      <c r="X65" s="1531"/>
      <c r="Y65" s="1531"/>
      <c r="Z65" s="1531"/>
      <c r="AA65" s="1531"/>
      <c r="AB65" s="1531"/>
      <c r="AC65" s="1531"/>
      <c r="AD65" s="1531"/>
      <c r="AE65" s="1483"/>
      <c r="AF65" s="1483"/>
      <c r="AG65" s="1531"/>
      <c r="AH65" s="1531"/>
      <c r="AI65" s="1531"/>
      <c r="AJ65" s="1531"/>
      <c r="AK65" s="1536"/>
      <c r="AL65" s="1531"/>
      <c r="AM65" s="1531"/>
      <c r="AN65" s="1531"/>
      <c r="AO65" s="1531"/>
      <c r="AP65" s="1536"/>
      <c r="AQ65" s="1531"/>
      <c r="AR65" s="1531"/>
      <c r="AS65" s="1531"/>
      <c r="AT65" s="1531"/>
      <c r="AU65" s="1536"/>
      <c r="AV65" s="1531"/>
      <c r="AW65" s="1531"/>
      <c r="AX65" s="1531"/>
      <c r="AY65" s="1531"/>
      <c r="AZ65" s="1536"/>
      <c r="BA65" s="1531"/>
      <c r="BB65" s="1531"/>
      <c r="BC65" s="1531"/>
      <c r="BD65" s="1531"/>
      <c r="BE65" s="1536"/>
      <c r="BF65" s="1531"/>
      <c r="BG65" s="1531"/>
      <c r="BH65" s="1531"/>
      <c r="BI65" s="1531"/>
      <c r="BJ65" s="1536"/>
      <c r="BK65" s="1531"/>
      <c r="BL65" s="1531"/>
      <c r="BM65" s="1531"/>
      <c r="BN65" s="1531"/>
      <c r="BO65" s="1536"/>
      <c r="BP65" s="1531"/>
      <c r="BQ65" s="1531"/>
      <c r="BR65" s="1531"/>
      <c r="BS65" s="1531"/>
      <c r="BT65" s="1536"/>
      <c r="BU65" s="1531"/>
      <c r="BV65" s="1531"/>
      <c r="BW65" s="1531"/>
      <c r="BX65" s="1531"/>
      <c r="BY65" s="1536"/>
      <c r="BZ65" s="1531"/>
      <c r="CA65" s="1531"/>
      <c r="CB65" s="1531"/>
      <c r="CC65" s="1531"/>
      <c r="CD65" s="1536"/>
      <c r="CE65" s="1531"/>
      <c r="CF65" s="1531"/>
      <c r="CG65" s="1531"/>
      <c r="CH65" s="1531"/>
      <c r="CI65" s="1536"/>
      <c r="CJ65" s="1531"/>
      <c r="CK65" s="1531"/>
      <c r="CL65" s="1531"/>
      <c r="CM65" s="1531"/>
      <c r="CN65" s="1536"/>
      <c r="CO65" s="1531"/>
      <c r="CP65" s="1556">
        <v>-3.0000000000000001E-3</v>
      </c>
      <c r="CQ65" s="1556">
        <v>-0.32</v>
      </c>
      <c r="CR65" s="1556">
        <v>1.7170000000000001</v>
      </c>
      <c r="CS65" s="1536"/>
      <c r="CT65" s="1556">
        <v>-0.28799999999999998</v>
      </c>
      <c r="CU65" s="1556">
        <v>-1.1930000000000001</v>
      </c>
      <c r="CV65" s="1556">
        <v>-0.36199999999999999</v>
      </c>
      <c r="CW65" s="1556">
        <v>-1.2729999999999999</v>
      </c>
      <c r="CX65" s="1556">
        <v>-0.441</v>
      </c>
      <c r="CY65" s="1556">
        <v>-0.52900000000000003</v>
      </c>
      <c r="CZ65" s="1556">
        <v>-0.28199999999999997</v>
      </c>
      <c r="DA65" s="1556">
        <v>-0.186</v>
      </c>
      <c r="DB65" s="1556">
        <v>0.05</v>
      </c>
      <c r="DC65" s="1556">
        <v>1.2490000000000001</v>
      </c>
      <c r="DD65" s="1556">
        <v>-0.12</v>
      </c>
      <c r="DE65" s="1556"/>
      <c r="DF65" s="1556"/>
      <c r="DG65" s="1556"/>
      <c r="DH65" s="1556"/>
      <c r="DI65" s="1556"/>
      <c r="DJ65" s="1556"/>
      <c r="DK65" s="1556"/>
      <c r="DL65" s="1556"/>
      <c r="DM65" s="1556"/>
      <c r="DN65" s="1556"/>
      <c r="DO65" s="1556"/>
      <c r="DP65" s="1556"/>
      <c r="DQ65" s="1556"/>
      <c r="DR65" s="1531">
        <f t="shared" ref="DR65:DU65" si="191">+DQ65</f>
        <v>0</v>
      </c>
      <c r="DS65" s="1531">
        <f t="shared" si="191"/>
        <v>0</v>
      </c>
      <c r="DT65" s="1531">
        <f t="shared" si="191"/>
        <v>0</v>
      </c>
      <c r="DU65" s="1531">
        <f t="shared" si="191"/>
        <v>0</v>
      </c>
      <c r="DV65" s="54"/>
      <c r="DW65" s="54"/>
      <c r="DX65" s="842"/>
      <c r="DY65" s="842"/>
    </row>
    <row r="66" spans="2:129" customFormat="1">
      <c r="B66" s="16" t="s">
        <v>372</v>
      </c>
      <c r="C66" s="23"/>
      <c r="D66" s="26">
        <f>AK66</f>
        <v>0</v>
      </c>
      <c r="E66" s="26">
        <f>AP66</f>
        <v>0</v>
      </c>
      <c r="F66" s="54">
        <f>AU66</f>
        <v>0</v>
      </c>
      <c r="G66" s="54">
        <f>AZ66</f>
        <v>0</v>
      </c>
      <c r="H66" s="54">
        <f>BE66</f>
        <v>0</v>
      </c>
      <c r="I66" s="54">
        <f>BJ66</f>
        <v>0</v>
      </c>
      <c r="J66" s="54">
        <f>BO66</f>
        <v>0</v>
      </c>
      <c r="K66" s="54">
        <f>BT66</f>
        <v>0</v>
      </c>
      <c r="L66" s="54">
        <f>BY66</f>
        <v>0</v>
      </c>
      <c r="M66" s="54">
        <f>CD66</f>
        <v>0</v>
      </c>
      <c r="N66" s="1483">
        <f>CI66</f>
        <v>0</v>
      </c>
      <c r="O66" s="1483">
        <f>CN66</f>
        <v>0</v>
      </c>
      <c r="P66" s="1483">
        <f>O66</f>
        <v>0</v>
      </c>
      <c r="Q66" s="1483">
        <f t="shared" ref="Q66:W66" si="192">P66</f>
        <v>0</v>
      </c>
      <c r="R66" s="1483">
        <f t="shared" si="192"/>
        <v>0</v>
      </c>
      <c r="S66" s="1483">
        <f t="shared" si="192"/>
        <v>0</v>
      </c>
      <c r="T66" s="1483">
        <f t="shared" si="192"/>
        <v>0</v>
      </c>
      <c r="U66" s="1483">
        <f t="shared" si="192"/>
        <v>0</v>
      </c>
      <c r="V66" s="1483">
        <f t="shared" si="192"/>
        <v>0</v>
      </c>
      <c r="W66" s="1483">
        <f t="shared" si="192"/>
        <v>0</v>
      </c>
      <c r="X66" s="1483">
        <f>W66</f>
        <v>0</v>
      </c>
      <c r="Y66" s="1483">
        <f>X66</f>
        <v>0</v>
      </c>
      <c r="Z66" s="1483">
        <f>Y66</f>
        <v>0</v>
      </c>
      <c r="AA66" s="1483">
        <f t="shared" ref="AA66:AD66" si="193">Z66</f>
        <v>0</v>
      </c>
      <c r="AB66" s="1483">
        <f t="shared" si="193"/>
        <v>0</v>
      </c>
      <c r="AC66" s="1483">
        <f t="shared" si="193"/>
        <v>0</v>
      </c>
      <c r="AD66" s="1483">
        <f t="shared" si="193"/>
        <v>0</v>
      </c>
      <c r="AE66" s="1483"/>
      <c r="AF66" s="1483"/>
      <c r="AG66" s="1540">
        <v>0</v>
      </c>
      <c r="AH66" s="1540">
        <v>0</v>
      </c>
      <c r="AI66" s="1540">
        <v>0</v>
      </c>
      <c r="AJ66" s="1540">
        <v>0</v>
      </c>
      <c r="AK66" s="1534">
        <f>SUM(AG66:AJ66)</f>
        <v>0</v>
      </c>
      <c r="AL66" s="1540">
        <v>0</v>
      </c>
      <c r="AM66" s="1540">
        <v>0</v>
      </c>
      <c r="AN66" s="1540">
        <v>0</v>
      </c>
      <c r="AO66" s="1540">
        <v>0</v>
      </c>
      <c r="AP66" s="1534">
        <f>SUM(AL66:AO66)</f>
        <v>0</v>
      </c>
      <c r="AQ66" s="1540">
        <v>0</v>
      </c>
      <c r="AR66" s="1540">
        <v>0</v>
      </c>
      <c r="AS66" s="1540">
        <v>0</v>
      </c>
      <c r="AT66" s="1540">
        <v>0</v>
      </c>
      <c r="AU66" s="1534">
        <f>SUM(AQ66:AT66)</f>
        <v>0</v>
      </c>
      <c r="AV66" s="1557">
        <v>0</v>
      </c>
      <c r="AW66" s="1557">
        <v>0</v>
      </c>
      <c r="AX66" s="1557">
        <v>0</v>
      </c>
      <c r="AY66" s="1557">
        <v>0</v>
      </c>
      <c r="AZ66" s="1558">
        <f>SUM(AV66:AY66)</f>
        <v>0</v>
      </c>
      <c r="BA66" s="1557">
        <v>0</v>
      </c>
      <c r="BB66" s="1557">
        <v>0</v>
      </c>
      <c r="BC66" s="1557">
        <v>0</v>
      </c>
      <c r="BD66" s="1557">
        <v>0</v>
      </c>
      <c r="BE66" s="1558">
        <f>SUM(BA66:BD66)</f>
        <v>0</v>
      </c>
      <c r="BF66" s="1557">
        <v>0</v>
      </c>
      <c r="BG66" s="1557">
        <v>0</v>
      </c>
      <c r="BH66" s="1557">
        <v>0</v>
      </c>
      <c r="BI66" s="1557">
        <v>0</v>
      </c>
      <c r="BJ66" s="1558">
        <f>SUM(BF66:BI66)</f>
        <v>0</v>
      </c>
      <c r="BK66" s="1557">
        <v>0</v>
      </c>
      <c r="BL66" s="1557">
        <v>0</v>
      </c>
      <c r="BM66" s="1557">
        <v>0</v>
      </c>
      <c r="BN66" s="1557">
        <v>0</v>
      </c>
      <c r="BO66" s="1558">
        <f>SUM(BK66:BN66)</f>
        <v>0</v>
      </c>
      <c r="BP66" s="1557">
        <v>0</v>
      </c>
      <c r="BQ66" s="1557">
        <v>0</v>
      </c>
      <c r="BR66" s="1557">
        <v>0</v>
      </c>
      <c r="BS66" s="1557">
        <v>0</v>
      </c>
      <c r="BT66" s="1558">
        <f>SUM(BP66:BS66)</f>
        <v>0</v>
      </c>
      <c r="BU66" s="1484">
        <v>0</v>
      </c>
      <c r="BV66" s="1557">
        <v>0</v>
      </c>
      <c r="BW66" s="1557">
        <v>0</v>
      </c>
      <c r="BX66" s="1557">
        <v>0</v>
      </c>
      <c r="BY66" s="1558">
        <f>SUM(BU66:BX66)</f>
        <v>0</v>
      </c>
      <c r="BZ66" s="1559">
        <v>0</v>
      </c>
      <c r="CA66" s="1559">
        <v>0</v>
      </c>
      <c r="CB66" s="1559">
        <v>0</v>
      </c>
      <c r="CC66" s="1559">
        <v>0</v>
      </c>
      <c r="CD66" s="1558">
        <f>SUM(BZ66:CC66)</f>
        <v>0</v>
      </c>
      <c r="CE66" s="1559">
        <v>0</v>
      </c>
      <c r="CF66" s="1559">
        <v>0</v>
      </c>
      <c r="CG66" s="1559">
        <v>0</v>
      </c>
      <c r="CH66" s="1559">
        <v>0</v>
      </c>
      <c r="CI66" s="1532">
        <f>SUM(CE66:CH66)</f>
        <v>0</v>
      </c>
      <c r="CJ66" s="1490">
        <v>0</v>
      </c>
      <c r="CK66" s="1490">
        <v>0</v>
      </c>
      <c r="CL66" s="1490">
        <v>0</v>
      </c>
      <c r="CM66" s="1490">
        <v>0</v>
      </c>
      <c r="CN66" s="1532">
        <f>SUM(CJ66:CM66)</f>
        <v>0</v>
      </c>
      <c r="CO66" s="1490">
        <v>0</v>
      </c>
      <c r="CP66" s="1490">
        <v>0</v>
      </c>
      <c r="CQ66" s="1490">
        <v>0</v>
      </c>
      <c r="CR66" s="1490">
        <v>0</v>
      </c>
      <c r="CS66" s="1532">
        <f>SUM(CO66:CR66)</f>
        <v>0</v>
      </c>
      <c r="CT66" s="1490">
        <v>0</v>
      </c>
      <c r="CU66" s="1490">
        <v>0</v>
      </c>
      <c r="CV66" s="1490">
        <v>0</v>
      </c>
      <c r="CW66" s="1490">
        <v>0</v>
      </c>
      <c r="CX66" s="1490">
        <v>0</v>
      </c>
      <c r="CY66" s="1490">
        <v>0</v>
      </c>
      <c r="CZ66" s="1490">
        <v>0</v>
      </c>
      <c r="DA66" s="1490">
        <v>0</v>
      </c>
      <c r="DB66" s="1490">
        <v>0</v>
      </c>
      <c r="DC66" s="1490">
        <v>0</v>
      </c>
      <c r="DD66" s="1490">
        <v>0</v>
      </c>
      <c r="DE66" s="1490"/>
      <c r="DF66" s="1490"/>
      <c r="DG66" s="1490"/>
      <c r="DH66" s="1490"/>
      <c r="DI66" s="1490"/>
      <c r="DJ66" s="1490"/>
      <c r="DK66" s="1490"/>
      <c r="DL66" s="1490"/>
      <c r="DM66" s="1490"/>
      <c r="DN66" s="1490"/>
      <c r="DO66" s="1490"/>
      <c r="DP66" s="1490"/>
      <c r="DQ66" s="1490"/>
      <c r="DR66" s="1490">
        <v>0</v>
      </c>
      <c r="DS66" s="1490">
        <v>0</v>
      </c>
      <c r="DT66" s="1490">
        <v>0</v>
      </c>
      <c r="DU66" s="1490">
        <v>0</v>
      </c>
      <c r="DV66" s="54"/>
      <c r="DW66" s="54"/>
      <c r="DX66" s="54"/>
      <c r="DY66" s="54"/>
    </row>
    <row r="67" spans="2:129" customFormat="1">
      <c r="B67" s="14" t="s">
        <v>373</v>
      </c>
      <c r="C67" s="23"/>
      <c r="D67" s="842">
        <f>D63-D66</f>
        <v>-20.791000000000004</v>
      </c>
      <c r="E67" s="842">
        <f>E63-E66</f>
        <v>-119.79000000000002</v>
      </c>
      <c r="F67" s="195">
        <f t="shared" ref="F67:N67" si="194">SUM(F63:F66)</f>
        <v>-188.41499999999999</v>
      </c>
      <c r="G67" s="195">
        <f t="shared" si="194"/>
        <v>-21.618000000000009</v>
      </c>
      <c r="H67" s="195">
        <f t="shared" si="194"/>
        <v>-84.170999999999992</v>
      </c>
      <c r="I67" s="195">
        <f t="shared" si="194"/>
        <v>-68.631000000000014</v>
      </c>
      <c r="J67" s="195">
        <f t="shared" si="194"/>
        <v>-42.611999999999973</v>
      </c>
      <c r="K67" s="195">
        <f t="shared" si="194"/>
        <v>-6.3969999999999407</v>
      </c>
      <c r="L67" s="195">
        <f t="shared" si="194"/>
        <v>-5.187999999999918</v>
      </c>
      <c r="M67" s="195">
        <f t="shared" si="194"/>
        <v>107.92399999999994</v>
      </c>
      <c r="N67" s="1494">
        <f t="shared" si="194"/>
        <v>69.43100000000004</v>
      </c>
      <c r="O67" s="1494">
        <f t="shared" ref="O67:Z67" si="195">SUM(O63:O66)</f>
        <v>36.880999999999958</v>
      </c>
      <c r="P67" s="1494">
        <f t="shared" si="195"/>
        <v>92.610000000000099</v>
      </c>
      <c r="Q67" s="1494">
        <f t="shared" si="195"/>
        <v>143.14399999999989</v>
      </c>
      <c r="R67" s="1494">
        <f t="shared" si="195"/>
        <v>96.123000000000019</v>
      </c>
      <c r="S67" s="1494">
        <f t="shared" si="195"/>
        <v>-260.7260000000004</v>
      </c>
      <c r="T67" s="1494">
        <f>SUM(T63:T66)</f>
        <v>187.77400000000051</v>
      </c>
      <c r="U67" s="1494">
        <f>SUM(U63:U66)</f>
        <v>126.79999999999995</v>
      </c>
      <c r="V67" s="1494">
        <f>SUM(V63:V66)</f>
        <v>232.9820000000004</v>
      </c>
      <c r="W67" s="1494">
        <f ca="1">SUM(W63:W66)</f>
        <v>473.96504010626251</v>
      </c>
      <c r="X67" s="1494">
        <f t="shared" ca="1" si="195"/>
        <v>706.34788722767007</v>
      </c>
      <c r="Y67" s="1494">
        <f t="shared" ca="1" si="195"/>
        <v>807.15870873613687</v>
      </c>
      <c r="Z67" s="1494">
        <f t="shared" ca="1" si="195"/>
        <v>896.66352265972125</v>
      </c>
      <c r="AA67" s="1494">
        <f t="shared" ref="AA67:AD67" ca="1" si="196">SUM(AA63:AA66)</f>
        <v>1105.523636380525</v>
      </c>
      <c r="AB67" s="1494">
        <f t="shared" ca="1" si="196"/>
        <v>1668.6655784405743</v>
      </c>
      <c r="AC67" s="1494">
        <f t="shared" ca="1" si="196"/>
        <v>2088.7104062960771</v>
      </c>
      <c r="AD67" s="1494">
        <f t="shared" ca="1" si="196"/>
        <v>2257.3166991772159</v>
      </c>
      <c r="AE67" s="1483"/>
      <c r="AF67" s="1483"/>
      <c r="AG67" s="1491">
        <f>AG63-AG66</f>
        <v>-1.3449999999999998</v>
      </c>
      <c r="AH67" s="1491">
        <f>AH63-AH66</f>
        <v>-3.1200000000000006</v>
      </c>
      <c r="AI67" s="1491">
        <f>AI63-AI66</f>
        <v>-6.2880000000000003</v>
      </c>
      <c r="AJ67" s="1491">
        <f>AJ63-AJ66</f>
        <v>-10.038000000000002</v>
      </c>
      <c r="AK67" s="1534">
        <f>AK63-AK66</f>
        <v>-20.791000000000004</v>
      </c>
      <c r="AL67" s="1494">
        <f>SUM(AL63:AL66)</f>
        <v>-18.009</v>
      </c>
      <c r="AM67" s="1494">
        <f>SUM(AM63:AM66)</f>
        <v>-26.810999999999996</v>
      </c>
      <c r="AN67" s="1494">
        <f>SUM(AN63:AN66)</f>
        <v>-32.085000000000001</v>
      </c>
      <c r="AO67" s="1494">
        <f>SUM(AO63:AO66)</f>
        <v>-42.885000000000005</v>
      </c>
      <c r="AP67" s="1534">
        <f>AP63-AP66</f>
        <v>-119.79000000000002</v>
      </c>
      <c r="AQ67" s="1494">
        <f t="shared" ref="AQ67:BV67" si="197">SUM(AQ63:AQ66)</f>
        <v>-41.536999999999999</v>
      </c>
      <c r="AR67" s="1494">
        <f t="shared" si="197"/>
        <v>-37.856999999999999</v>
      </c>
      <c r="AS67" s="1494">
        <f t="shared" si="197"/>
        <v>-81.573999999999998</v>
      </c>
      <c r="AT67" s="1494">
        <f t="shared" si="197"/>
        <v>-27.446999999999999</v>
      </c>
      <c r="AU67" s="1537">
        <f t="shared" si="197"/>
        <v>-188.41500000000002</v>
      </c>
      <c r="AV67" s="1494">
        <f t="shared" si="197"/>
        <v>-13.693999999999997</v>
      </c>
      <c r="AW67" s="1494">
        <f t="shared" si="197"/>
        <v>-24.556999999999999</v>
      </c>
      <c r="AX67" s="1494">
        <f t="shared" si="197"/>
        <v>-44.088000000000001</v>
      </c>
      <c r="AY67" s="1494">
        <f t="shared" si="197"/>
        <v>60.720999999999997</v>
      </c>
      <c r="AZ67" s="1537">
        <f t="shared" si="197"/>
        <v>-21.618000000000009</v>
      </c>
      <c r="BA67" s="1494">
        <f t="shared" si="197"/>
        <v>-25.552999999999997</v>
      </c>
      <c r="BB67" s="1494">
        <f t="shared" si="197"/>
        <v>-21.203000000000007</v>
      </c>
      <c r="BC67" s="1494">
        <f t="shared" si="197"/>
        <v>-19.717999999999996</v>
      </c>
      <c r="BD67" s="1494">
        <f t="shared" si="197"/>
        <v>-17.697000000000006</v>
      </c>
      <c r="BE67" s="1537">
        <f t="shared" si="197"/>
        <v>-84.171000000000006</v>
      </c>
      <c r="BF67" s="1494">
        <f t="shared" si="197"/>
        <v>-30.141999999999992</v>
      </c>
      <c r="BG67" s="1494">
        <f t="shared" si="197"/>
        <v>-9.2049999999999983</v>
      </c>
      <c r="BH67" s="1494">
        <f t="shared" si="197"/>
        <v>-6.6149999999999993</v>
      </c>
      <c r="BI67" s="1494">
        <f t="shared" si="197"/>
        <v>-22.668999999999993</v>
      </c>
      <c r="BJ67" s="1537">
        <f t="shared" si="197"/>
        <v>-68.631000000000014</v>
      </c>
      <c r="BK67" s="1494">
        <f t="shared" si="197"/>
        <v>-5.7940000000000014</v>
      </c>
      <c r="BL67" s="1494">
        <f t="shared" si="197"/>
        <v>-3.4310000000000005</v>
      </c>
      <c r="BM67" s="1494">
        <f t="shared" si="197"/>
        <v>-0.78300000000000491</v>
      </c>
      <c r="BN67" s="1494">
        <f t="shared" si="197"/>
        <v>-32.604000000000006</v>
      </c>
      <c r="BO67" s="1537">
        <f t="shared" si="197"/>
        <v>-42.612000000000002</v>
      </c>
      <c r="BP67" s="1494">
        <f t="shared" si="197"/>
        <v>-5.0699999999999985</v>
      </c>
      <c r="BQ67" s="1494">
        <f t="shared" si="197"/>
        <v>-5.269999999999996</v>
      </c>
      <c r="BR67" s="1494">
        <f t="shared" si="197"/>
        <v>-5.168000000000001</v>
      </c>
      <c r="BS67" s="1494">
        <f t="shared" si="197"/>
        <v>9.1109999999999847</v>
      </c>
      <c r="BT67" s="1537">
        <f t="shared" si="197"/>
        <v>-6.3970000000000011</v>
      </c>
      <c r="BU67" s="1494">
        <f t="shared" si="197"/>
        <v>-4.4559999999999889</v>
      </c>
      <c r="BV67" s="1494">
        <f t="shared" si="197"/>
        <v>1.2170000000000147</v>
      </c>
      <c r="BW67" s="1494">
        <f t="shared" ref="BW67:DB67" si="198">SUM(BW63:BW66)</f>
        <v>4.1239999999999934</v>
      </c>
      <c r="BX67" s="1494">
        <f t="shared" si="198"/>
        <v>-6.0730000000000022</v>
      </c>
      <c r="BY67" s="1537">
        <f t="shared" si="198"/>
        <v>-5.1879999999999749</v>
      </c>
      <c r="BZ67" s="1494">
        <f t="shared" si="198"/>
        <v>3.7970000000000059</v>
      </c>
      <c r="CA67" s="1494">
        <f t="shared" si="198"/>
        <v>0.70799999999998109</v>
      </c>
      <c r="CB67" s="1494">
        <f t="shared" si="198"/>
        <v>5.5559999999999601</v>
      </c>
      <c r="CC67" s="1494">
        <f t="shared" si="198"/>
        <v>97.863</v>
      </c>
      <c r="CD67" s="1537">
        <f t="shared" si="198"/>
        <v>107.92399999999994</v>
      </c>
      <c r="CE67" s="1494">
        <f t="shared" si="198"/>
        <v>15.457000000000029</v>
      </c>
      <c r="CF67" s="1494">
        <f t="shared" si="198"/>
        <v>17.439999999999998</v>
      </c>
      <c r="CG67" s="1494">
        <f t="shared" si="198"/>
        <v>18.812000000000005</v>
      </c>
      <c r="CH67" s="1494">
        <f t="shared" si="198"/>
        <v>17.721999999999994</v>
      </c>
      <c r="CI67" s="1537">
        <f t="shared" si="198"/>
        <v>69.431000000000068</v>
      </c>
      <c r="CJ67" s="1494">
        <f t="shared" si="198"/>
        <v>14.199000000000016</v>
      </c>
      <c r="CK67" s="1494">
        <f t="shared" si="198"/>
        <v>-2.2740000000000284</v>
      </c>
      <c r="CL67" s="1494">
        <f t="shared" si="198"/>
        <v>11.196000000000014</v>
      </c>
      <c r="CM67" s="1494">
        <f t="shared" si="198"/>
        <v>13.76000000000001</v>
      </c>
      <c r="CN67" s="1537">
        <f t="shared" si="198"/>
        <v>36.880999999999929</v>
      </c>
      <c r="CO67" s="1494">
        <f t="shared" si="198"/>
        <v>25.144999999999982</v>
      </c>
      <c r="CP67" s="1494">
        <f t="shared" si="198"/>
        <v>30.72999999999999</v>
      </c>
      <c r="CQ67" s="1494">
        <f t="shared" si="198"/>
        <v>20.31899999999996</v>
      </c>
      <c r="CR67" s="1494">
        <f t="shared" si="198"/>
        <v>17.809999999999988</v>
      </c>
      <c r="CS67" s="1537">
        <f t="shared" si="198"/>
        <v>92.610000000000156</v>
      </c>
      <c r="CT67" s="1494">
        <f t="shared" si="198"/>
        <v>32.118000000000009</v>
      </c>
      <c r="CU67" s="1494">
        <f t="shared" si="198"/>
        <v>35.606999999999985</v>
      </c>
      <c r="CV67" s="1494">
        <f t="shared" si="198"/>
        <v>26.964999999999947</v>
      </c>
      <c r="CW67" s="1494">
        <f t="shared" si="198"/>
        <v>45.338000000000001</v>
      </c>
      <c r="CX67" s="1494">
        <f t="shared" si="198"/>
        <v>32.842999999999897</v>
      </c>
      <c r="CY67" s="1494">
        <f t="shared" si="198"/>
        <v>-25.815999999999992</v>
      </c>
      <c r="CZ67" s="1494">
        <f t="shared" si="198"/>
        <v>42.471000000000089</v>
      </c>
      <c r="DA67" s="1494">
        <f t="shared" si="198"/>
        <v>45.187000000000033</v>
      </c>
      <c r="DB67" s="1494">
        <f t="shared" si="198"/>
        <v>41.387000000000022</v>
      </c>
      <c r="DC67" s="1494">
        <f t="shared" ref="DC67:DI67" si="199">SUM(DC63:DC66)</f>
        <v>11.328000000000033</v>
      </c>
      <c r="DD67" s="1494">
        <f t="shared" si="199"/>
        <v>42.841000000000001</v>
      </c>
      <c r="DE67" s="1494">
        <f t="shared" si="199"/>
        <v>-355.10299999999995</v>
      </c>
      <c r="DF67" s="1494">
        <f t="shared" si="199"/>
        <v>76.452000000000012</v>
      </c>
      <c r="DG67" s="1494">
        <f t="shared" si="199"/>
        <v>59.458999999999875</v>
      </c>
      <c r="DH67" s="1494">
        <f t="shared" si="199"/>
        <v>41.132000000000033</v>
      </c>
      <c r="DI67" s="1494">
        <f t="shared" si="199"/>
        <v>10.730999999999902</v>
      </c>
      <c r="DJ67" s="1494">
        <f t="shared" ref="DJ67:DM67" si="200">SUM(DJ63:DJ66)</f>
        <v>-31.110999999999983</v>
      </c>
      <c r="DK67" s="1494">
        <f t="shared" si="200"/>
        <v>44.711000000000013</v>
      </c>
      <c r="DL67" s="1494">
        <f t="shared" si="200"/>
        <v>51.449999999999939</v>
      </c>
      <c r="DM67" s="1494">
        <f t="shared" si="200"/>
        <v>61.749999999999957</v>
      </c>
      <c r="DN67" s="1494">
        <f>SUM(DN63:DN66)</f>
        <v>42.06200000000014</v>
      </c>
      <c r="DO67" s="1494">
        <f>SUM(DO63:DO66)</f>
        <v>45.805000000000035</v>
      </c>
      <c r="DP67" s="1494">
        <f>SUM(DP63:DP66)</f>
        <v>79.899999999999963</v>
      </c>
      <c r="DQ67" s="1494">
        <f>SUM(DQ63:DQ66)</f>
        <v>65.215000000000032</v>
      </c>
      <c r="DR67" s="1494">
        <f t="shared" ref="DR67:DU67" ca="1" si="201">SUM(DR63:DR66)</f>
        <v>96.458002345945189</v>
      </c>
      <c r="DS67" s="1494">
        <f t="shared" ca="1" si="201"/>
        <v>121.11282891771445</v>
      </c>
      <c r="DT67" s="1494">
        <f t="shared" ca="1" si="201"/>
        <v>135.73520266336968</v>
      </c>
      <c r="DU67" s="1494">
        <f t="shared" ca="1" si="201"/>
        <v>147.22698638391648</v>
      </c>
      <c r="DV67" s="54"/>
      <c r="DW67" s="54"/>
      <c r="DX67" s="195"/>
      <c r="DY67" s="195"/>
    </row>
    <row r="68" spans="2:129" customFormat="1" ht="12.75" customHeight="1">
      <c r="B68" s="14"/>
      <c r="C68" s="23"/>
      <c r="D68" s="15"/>
      <c r="E68" s="26"/>
      <c r="F68" s="26"/>
      <c r="G68" s="26"/>
      <c r="H68" s="26"/>
      <c r="I68" s="26"/>
      <c r="J68" s="26"/>
      <c r="K68" s="26"/>
      <c r="L68" s="54"/>
      <c r="M68" s="54"/>
      <c r="N68" s="1483"/>
      <c r="O68" s="1483"/>
      <c r="P68" s="1483"/>
      <c r="Q68" s="1483"/>
      <c r="R68" s="1483"/>
      <c r="S68" s="1483"/>
      <c r="T68" s="1483"/>
      <c r="U68" s="1483"/>
      <c r="V68" s="1483"/>
      <c r="W68" s="1483"/>
      <c r="X68" s="1483"/>
      <c r="Y68" s="1483"/>
      <c r="Z68" s="1483"/>
      <c r="AA68" s="1483"/>
      <c r="AB68" s="1483"/>
      <c r="AC68" s="1483"/>
      <c r="AD68" s="1483"/>
      <c r="AE68" s="1483"/>
      <c r="AF68" s="1483"/>
      <c r="AG68" s="1491"/>
      <c r="AH68" s="1491"/>
      <c r="AI68" s="1491"/>
      <c r="AJ68" s="1491"/>
      <c r="AK68" s="1534"/>
      <c r="AL68" s="1498"/>
      <c r="AM68" s="1498"/>
      <c r="AN68" s="1498"/>
      <c r="AO68" s="1498"/>
      <c r="AP68" s="1534"/>
      <c r="AQ68" s="1498"/>
      <c r="AR68" s="1498"/>
      <c r="AS68" s="1498"/>
      <c r="AT68" s="1498"/>
      <c r="AU68" s="1481"/>
      <c r="AV68" s="1498"/>
      <c r="AW68" s="1498"/>
      <c r="AX68" s="1498"/>
      <c r="AY68" s="1498"/>
      <c r="AZ68" s="1481"/>
      <c r="BA68" s="1498"/>
      <c r="BB68" s="1498"/>
      <c r="BC68" s="1498"/>
      <c r="BD68" s="1498"/>
      <c r="BE68" s="1481"/>
      <c r="BF68" s="1498"/>
      <c r="BG68" s="1498"/>
      <c r="BH68" s="1498"/>
      <c r="BI68" s="1498"/>
      <c r="BJ68" s="1481"/>
      <c r="BK68" s="1498"/>
      <c r="BL68" s="1498"/>
      <c r="BM68" s="1498"/>
      <c r="BN68" s="1498"/>
      <c r="BO68" s="1481"/>
      <c r="BP68" s="1498"/>
      <c r="BQ68" s="1498"/>
      <c r="BR68" s="1498"/>
      <c r="BS68" s="1494"/>
      <c r="BT68" s="1481"/>
      <c r="BU68" s="1498"/>
      <c r="BV68" s="1498"/>
      <c r="BW68" s="1498"/>
      <c r="BX68" s="1498"/>
      <c r="BY68" s="1481"/>
      <c r="BZ68" s="1483"/>
      <c r="CA68" s="1483"/>
      <c r="CB68" s="1483"/>
      <c r="CC68" s="1483"/>
      <c r="CD68" s="1532"/>
      <c r="CE68" s="1483"/>
      <c r="CF68" s="1483"/>
      <c r="CG68" s="1483"/>
      <c r="CH68" s="1483"/>
      <c r="CI68" s="1532"/>
      <c r="CJ68" s="1483"/>
      <c r="CK68" s="1483"/>
      <c r="CL68" s="1483"/>
      <c r="CM68" s="1483"/>
      <c r="CN68" s="1532"/>
      <c r="CO68" s="1483"/>
      <c r="CP68" s="1483"/>
      <c r="CQ68" s="1483"/>
      <c r="CR68" s="1483"/>
      <c r="CS68" s="1532"/>
      <c r="CT68" s="1483"/>
      <c r="CU68" s="1483"/>
      <c r="CV68" s="1483"/>
      <c r="CW68" s="1483"/>
      <c r="CX68" s="1483"/>
      <c r="CY68" s="1483"/>
      <c r="CZ68" s="1483"/>
      <c r="DA68" s="1483"/>
      <c r="DB68" s="1483"/>
      <c r="DC68" s="1483"/>
      <c r="DD68" s="1483"/>
      <c r="DE68" s="1483"/>
      <c r="DF68" s="1483"/>
      <c r="DG68" s="1483"/>
      <c r="DH68" s="1483"/>
      <c r="DI68" s="1483"/>
      <c r="DJ68" s="1483"/>
      <c r="DK68" s="1483"/>
      <c r="DL68" s="1483"/>
      <c r="DM68" s="1483"/>
      <c r="DN68" s="1483"/>
      <c r="DO68" s="1483"/>
      <c r="DP68" s="1483"/>
      <c r="DQ68" s="1483"/>
      <c r="DR68" s="1483"/>
      <c r="DS68" s="1483"/>
      <c r="DT68" s="1483"/>
      <c r="DU68" s="1483"/>
      <c r="DV68" s="54"/>
      <c r="DW68" s="54"/>
      <c r="DX68" s="54"/>
      <c r="DY68" s="54"/>
    </row>
    <row r="69" spans="2:129" customFormat="1" hidden="1" outlineLevel="2">
      <c r="B69" s="19" t="str">
        <f>B27</f>
        <v>Restructuring costs</v>
      </c>
      <c r="C69" s="23"/>
      <c r="D69" s="26">
        <f>AK69</f>
        <v>0</v>
      </c>
      <c r="E69" s="26">
        <f>AP69</f>
        <v>0</v>
      </c>
      <c r="F69" s="54">
        <f>AU69</f>
        <v>48.564999999999998</v>
      </c>
      <c r="G69" s="54">
        <f>AZ69</f>
        <v>28.885000000000002</v>
      </c>
      <c r="H69" s="54">
        <f>BE69</f>
        <v>0</v>
      </c>
      <c r="I69" s="54">
        <f>BJ69</f>
        <v>17.648409270998414</v>
      </c>
      <c r="J69" s="54">
        <f>BO69</f>
        <v>33.803632059851601</v>
      </c>
      <c r="K69" s="54">
        <f>BT69</f>
        <v>1.5269999999999999</v>
      </c>
      <c r="L69" s="54">
        <f>BY69</f>
        <v>0.35029632248939235</v>
      </c>
      <c r="M69" s="54">
        <f>CD69</f>
        <v>3.115983458122932</v>
      </c>
      <c r="N69" s="54">
        <f>CI69</f>
        <v>-3.466330070804295</v>
      </c>
      <c r="O69" s="54">
        <f>CN69</f>
        <v>6.1590619946091643</v>
      </c>
      <c r="P69" s="809">
        <f t="shared" ref="P69:Z69" si="202">IF(ISERROR(P27*(1-P$58)), (1-0%)*P27, (P27*(1-P$58)))</f>
        <v>2.4355250640207382</v>
      </c>
      <c r="Q69" s="809">
        <f t="shared" si="202"/>
        <v>0</v>
      </c>
      <c r="R69" s="809">
        <f t="shared" si="202"/>
        <v>-4.1409965443226247</v>
      </c>
      <c r="S69" s="809">
        <f t="shared" si="202"/>
        <v>1.9259999999999999</v>
      </c>
      <c r="T69" s="809">
        <f t="shared" si="202"/>
        <v>0</v>
      </c>
      <c r="U69" s="809">
        <f t="shared" si="202"/>
        <v>0</v>
      </c>
      <c r="V69" s="809">
        <f t="shared" si="202"/>
        <v>0</v>
      </c>
      <c r="W69" s="809">
        <f t="shared" ref="W69" ca="1" si="203">IF(ISERROR(W27*(1-W$58)), (1-0%)*W27, (W27*(1-W$58)))</f>
        <v>0</v>
      </c>
      <c r="X69" s="809">
        <f t="shared" si="202"/>
        <v>0</v>
      </c>
      <c r="Y69" s="809">
        <f t="shared" si="202"/>
        <v>0</v>
      </c>
      <c r="Z69" s="809">
        <f t="shared" si="202"/>
        <v>0</v>
      </c>
      <c r="AA69" s="809">
        <f t="shared" ref="AA69:AD69" si="204">IF(ISERROR(AA27*(1-AA$58)), (1-0%)*AA27, (AA27*(1-AA$58)))</f>
        <v>0</v>
      </c>
      <c r="AB69" s="809">
        <f t="shared" si="204"/>
        <v>0</v>
      </c>
      <c r="AC69" s="809">
        <f t="shared" si="204"/>
        <v>0</v>
      </c>
      <c r="AD69" s="809">
        <f t="shared" si="204"/>
        <v>0</v>
      </c>
      <c r="AE69" s="54"/>
      <c r="AF69" s="15"/>
      <c r="AG69" s="809">
        <f t="shared" ref="AG69:AJ71" si="205">IF(ISERROR(AG27*(1-AG$58)), (1-0%)*AG27, (AG27*(1-AG$58)))</f>
        <v>0</v>
      </c>
      <c r="AH69" s="809">
        <f t="shared" si="205"/>
        <v>0</v>
      </c>
      <c r="AI69" s="809">
        <f t="shared" si="205"/>
        <v>0</v>
      </c>
      <c r="AJ69" s="809">
        <f t="shared" si="205"/>
        <v>0</v>
      </c>
      <c r="AK69" s="1106">
        <f>SUM(AG69:AJ69)</f>
        <v>0</v>
      </c>
      <c r="AL69" s="809">
        <f t="shared" ref="AL69:AO71" si="206">IF(ISERROR(AL27*(1-AL$58)), (1-0%)*AL27, (AL27*(1-AL$58)))</f>
        <v>0</v>
      </c>
      <c r="AM69" s="809">
        <f t="shared" si="206"/>
        <v>0</v>
      </c>
      <c r="AN69" s="809">
        <f t="shared" si="206"/>
        <v>0</v>
      </c>
      <c r="AO69" s="809">
        <f t="shared" si="206"/>
        <v>0</v>
      </c>
      <c r="AP69" s="1106">
        <f>SUM(AL69:AO69)</f>
        <v>0</v>
      </c>
      <c r="AQ69" s="809">
        <f t="shared" ref="AQ69:AT71" si="207">IF(ISERROR(AQ27*(1-AQ$58)), (1-0%)*AQ27, (AQ27*(1-AQ$58)))</f>
        <v>0</v>
      </c>
      <c r="AR69" s="809">
        <f t="shared" si="207"/>
        <v>0</v>
      </c>
      <c r="AS69" s="809">
        <f t="shared" si="207"/>
        <v>48.564999999999998</v>
      </c>
      <c r="AT69" s="809">
        <f t="shared" si="207"/>
        <v>0</v>
      </c>
      <c r="AU69" s="1133">
        <f>SUM(AQ69:AT69)</f>
        <v>48.564999999999998</v>
      </c>
      <c r="AV69" s="809">
        <f t="shared" ref="AV69:AY71" si="208">IF(ISERROR(AV27*(1-AV$58)), (1-0%)*AV27, (AV27*(1-AV$58)))</f>
        <v>0</v>
      </c>
      <c r="AW69" s="809">
        <f t="shared" si="208"/>
        <v>9.9499999999999993</v>
      </c>
      <c r="AX69" s="809">
        <f t="shared" si="208"/>
        <v>19.010000000000002</v>
      </c>
      <c r="AY69" s="809">
        <f t="shared" si="208"/>
        <v>-7.4999999999999997E-2</v>
      </c>
      <c r="AZ69" s="1106">
        <f>SUM(AV69:AY69)</f>
        <v>28.885000000000002</v>
      </c>
      <c r="BA69" s="809">
        <f t="shared" ref="BA69:BD71" si="209">IF(ISERROR(BA27*(1-BA$58)), (1-0%)*BA27, (BA27*(1-BA$58)))</f>
        <v>0</v>
      </c>
      <c r="BB69" s="809">
        <f t="shared" si="209"/>
        <v>0</v>
      </c>
      <c r="BC69" s="809">
        <f t="shared" si="209"/>
        <v>0</v>
      </c>
      <c r="BD69" s="809">
        <f t="shared" si="209"/>
        <v>0</v>
      </c>
      <c r="BE69" s="1106">
        <f>SUM(BA69:BD69)</f>
        <v>0</v>
      </c>
      <c r="BF69" s="809">
        <f t="shared" ref="BF69:BI71" si="210">IF(ISERROR(BF27*(1-BF$58)), (1-0%)*BF27, (BF27*(1-BF$58)))</f>
        <v>0</v>
      </c>
      <c r="BG69" s="809">
        <f t="shared" si="210"/>
        <v>0</v>
      </c>
      <c r="BH69" s="809">
        <f t="shared" si="210"/>
        <v>0</v>
      </c>
      <c r="BI69" s="809">
        <f t="shared" si="210"/>
        <v>17.648409270998414</v>
      </c>
      <c r="BJ69" s="1110">
        <f>SUM(BF69:BI69)</f>
        <v>17.648409270998414</v>
      </c>
      <c r="BK69" s="809">
        <f t="shared" ref="BK69:BN71" si="211">IF(ISERROR(BK27*(1-BK$58)), (1-0%)*BK27, (BK27*(1-BK$58)))</f>
        <v>0</v>
      </c>
      <c r="BL69" s="809">
        <f t="shared" si="211"/>
        <v>0</v>
      </c>
      <c r="BM69" s="809">
        <f t="shared" si="211"/>
        <v>0</v>
      </c>
      <c r="BN69" s="809">
        <f t="shared" si="211"/>
        <v>33.803632059851601</v>
      </c>
      <c r="BO69" s="1133">
        <f>SUM(BK69:BN69)</f>
        <v>33.803632059851601</v>
      </c>
      <c r="BP69" s="809">
        <f t="shared" ref="BP69:BS71" si="212">IF(ISERROR(BP27*(1-BP$58)), (1-0%)*BP27, (BP27*(1-BP$58)))</f>
        <v>0</v>
      </c>
      <c r="BQ69" s="809">
        <f t="shared" si="212"/>
        <v>0</v>
      </c>
      <c r="BR69" s="809">
        <f t="shared" si="212"/>
        <v>1.5269999999999999</v>
      </c>
      <c r="BS69" s="809">
        <f t="shared" si="212"/>
        <v>0</v>
      </c>
      <c r="BT69" s="1133">
        <f>SUM(BP69:BS69)</f>
        <v>1.5269999999999999</v>
      </c>
      <c r="BU69" s="809">
        <f t="shared" ref="BU69:BX71" si="213">IF(ISERROR(BU27*(1-BU$58)), (1-0%)*BU27, (BU27*(1-BU$58)))</f>
        <v>0</v>
      </c>
      <c r="BV69" s="809">
        <f t="shared" si="213"/>
        <v>0.35029632248939235</v>
      </c>
      <c r="BW69" s="809">
        <f t="shared" si="213"/>
        <v>0</v>
      </c>
      <c r="BX69" s="809">
        <f t="shared" si="213"/>
        <v>0</v>
      </c>
      <c r="BY69" s="1110">
        <f>SUM(BU69:BX69)</f>
        <v>0.35029632248939235</v>
      </c>
      <c r="BZ69" s="809">
        <f t="shared" ref="BZ69:CC71" si="214">IF(ISERROR(BZ27*(1-BZ$58)), (1-0%)*BZ27, (BZ27*(1-BZ$58)))</f>
        <v>0</v>
      </c>
      <c r="CA69" s="809">
        <f t="shared" si="214"/>
        <v>0</v>
      </c>
      <c r="CB69" s="809">
        <f t="shared" si="214"/>
        <v>0.77298345812293212</v>
      </c>
      <c r="CC69" s="809">
        <f t="shared" si="214"/>
        <v>2.343</v>
      </c>
      <c r="CD69" s="1133">
        <f>SUM(BZ69:CC69)</f>
        <v>3.115983458122932</v>
      </c>
      <c r="CE69" s="809">
        <f t="shared" ref="CE69:CH71" si="215">IF(ISERROR(CE27*(1-CE$58)), (1-0%)*CE27, (CE27*(1-CE$58)))</f>
        <v>-3.3312647699981555</v>
      </c>
      <c r="CF69" s="809">
        <f t="shared" si="215"/>
        <v>-0.13506530080613932</v>
      </c>
      <c r="CG69" s="809">
        <f t="shared" si="215"/>
        <v>0</v>
      </c>
      <c r="CH69" s="809">
        <f t="shared" si="215"/>
        <v>0</v>
      </c>
      <c r="CI69" s="1133">
        <f>SUM(CE69:CH69)</f>
        <v>-3.466330070804295</v>
      </c>
      <c r="CJ69" s="809">
        <f t="shared" ref="CJ69:CM71" si="216">IF(ISERROR(CJ27*(1-CJ$58)), (1-0%)*CJ27, (CJ27*(1-CJ$58)))</f>
        <v>0</v>
      </c>
      <c r="CK69" s="809">
        <f t="shared" si="216"/>
        <v>4.3570000000000002</v>
      </c>
      <c r="CL69" s="809">
        <f t="shared" si="216"/>
        <v>1.3110619946091648</v>
      </c>
      <c r="CM69" s="809">
        <f t="shared" si="216"/>
        <v>0.49099999999999999</v>
      </c>
      <c r="CN69" s="1133">
        <f>SUM(CJ69:CM69)</f>
        <v>6.1590619946091643</v>
      </c>
      <c r="CO69" s="809">
        <f t="shared" ref="CO69:CR71" si="217">IF(ISERROR(CO27*(1-CO$58)), (1-0%)*CO27, (CO27*(1-CO$58)))</f>
        <v>0.33904690388827247</v>
      </c>
      <c r="CP69" s="809">
        <f t="shared" si="217"/>
        <v>8.1461318273247707E-2</v>
      </c>
      <c r="CQ69" s="809">
        <f t="shared" si="217"/>
        <v>1.2478210046756977</v>
      </c>
      <c r="CR69" s="809">
        <f t="shared" si="217"/>
        <v>0.67447259439707652</v>
      </c>
      <c r="CS69" s="1133">
        <f>SUM(CO69:CR69)</f>
        <v>2.3428018212342945</v>
      </c>
      <c r="CT69" s="809">
        <f t="shared" ref="CT69:DN69" si="218">IF(ISERROR(CT27*(1-CT$58)), (1-0%)*CT27, (CT27*(1-CT$58)))</f>
        <v>0</v>
      </c>
      <c r="CU69" s="809">
        <f t="shared" si="218"/>
        <v>0</v>
      </c>
      <c r="CV69" s="809">
        <f t="shared" si="218"/>
        <v>0</v>
      </c>
      <c r="CW69" s="809">
        <f t="shared" si="218"/>
        <v>0</v>
      </c>
      <c r="CX69" s="809">
        <f t="shared" si="218"/>
        <v>0</v>
      </c>
      <c r="CY69" s="809">
        <f t="shared" si="218"/>
        <v>-3.499162322986697</v>
      </c>
      <c r="CZ69" s="809">
        <f t="shared" si="218"/>
        <v>0</v>
      </c>
      <c r="DA69" s="809">
        <f t="shared" si="218"/>
        <v>0</v>
      </c>
      <c r="DB69" s="809">
        <f t="shared" si="218"/>
        <v>0</v>
      </c>
      <c r="DC69" s="809">
        <f t="shared" si="218"/>
        <v>0</v>
      </c>
      <c r="DD69" s="809">
        <f t="shared" si="218"/>
        <v>0</v>
      </c>
      <c r="DE69" s="809">
        <f t="shared" si="218"/>
        <v>13.208860481285489</v>
      </c>
      <c r="DF69" s="809">
        <f t="shared" si="218"/>
        <v>0</v>
      </c>
      <c r="DG69" s="809">
        <f t="shared" si="218"/>
        <v>0</v>
      </c>
      <c r="DH69" s="809">
        <f t="shared" si="218"/>
        <v>0</v>
      </c>
      <c r="DI69" s="809">
        <f t="shared" si="218"/>
        <v>0</v>
      </c>
      <c r="DJ69" s="809">
        <f t="shared" si="218"/>
        <v>0</v>
      </c>
      <c r="DK69" s="809">
        <f t="shared" si="218"/>
        <v>0</v>
      </c>
      <c r="DL69" s="809">
        <f t="shared" si="218"/>
        <v>0</v>
      </c>
      <c r="DM69" s="809">
        <f t="shared" si="218"/>
        <v>0</v>
      </c>
      <c r="DN69" s="809">
        <f t="shared" si="218"/>
        <v>0</v>
      </c>
      <c r="DO69" s="809">
        <f t="shared" ref="DO69:DP69" si="219">IF(ISERROR(DO27*(1-DO$58)), (1-0%)*DO27, (DO27*(1-DO$58)))</f>
        <v>0</v>
      </c>
      <c r="DP69" s="809">
        <f t="shared" si="219"/>
        <v>0</v>
      </c>
      <c r="DQ69" s="809">
        <f t="shared" ref="DQ69" si="220">IF(ISERROR(DQ27*(1-DQ$58)), (1-0%)*DQ27, (DQ27*(1-DQ$58)))</f>
        <v>0</v>
      </c>
      <c r="DR69" s="809">
        <f t="shared" ref="DR69:DU69" si="221">IF(ISERROR(DR27*(1-DR$58)), (1-0%)*DR27, (DR27*(1-DR$58)))</f>
        <v>0</v>
      </c>
      <c r="DS69" s="809">
        <f t="shared" si="221"/>
        <v>0</v>
      </c>
      <c r="DT69" s="809">
        <f t="shared" si="221"/>
        <v>0</v>
      </c>
      <c r="DU69" s="809">
        <f t="shared" si="221"/>
        <v>0</v>
      </c>
      <c r="DV69" s="809"/>
      <c r="DW69" s="54"/>
      <c r="DX69" s="809"/>
      <c r="DY69" s="809"/>
    </row>
    <row r="70" spans="2:129" customFormat="1" hidden="1" outlineLevel="2">
      <c r="B70" s="19" t="str">
        <f>B28</f>
        <v>Acqusition costs</v>
      </c>
      <c r="C70" s="23"/>
      <c r="D70" s="26">
        <f>AK70</f>
        <v>0</v>
      </c>
      <c r="E70" s="26">
        <f>AP70</f>
        <v>0</v>
      </c>
      <c r="F70" s="54">
        <f>AU70</f>
        <v>0</v>
      </c>
      <c r="G70" s="54">
        <f>AZ70</f>
        <v>0</v>
      </c>
      <c r="H70" s="54">
        <f>BE70</f>
        <v>0</v>
      </c>
      <c r="I70" s="54">
        <f>BJ70</f>
        <v>0</v>
      </c>
      <c r="J70" s="54">
        <f>BO70</f>
        <v>0</v>
      </c>
      <c r="K70" s="54">
        <f>BT70</f>
        <v>0</v>
      </c>
      <c r="L70" s="54">
        <f>BY70</f>
        <v>0</v>
      </c>
      <c r="M70" s="54">
        <f>CD70</f>
        <v>0</v>
      </c>
      <c r="N70" s="54">
        <f>CI70</f>
        <v>3.4332120897461489</v>
      </c>
      <c r="O70" s="54">
        <f>CN70</f>
        <v>10.103149193350141</v>
      </c>
      <c r="P70" s="809">
        <f t="shared" ref="P70:Z70" si="222">IF(ISERROR(P28*(1-P$58)), (1-0%)*P28, (P28*(1-P$58)))</f>
        <v>2.472607175021341</v>
      </c>
      <c r="Q70" s="809">
        <f t="shared" si="222"/>
        <v>6.082915439344295</v>
      </c>
      <c r="R70" s="809">
        <f t="shared" si="222"/>
        <v>9.2930571611788491</v>
      </c>
      <c r="S70" s="809">
        <f t="shared" si="222"/>
        <v>0.57999999999999996</v>
      </c>
      <c r="T70" s="809">
        <f t="shared" si="222"/>
        <v>37.130658119982193</v>
      </c>
      <c r="U70" s="809">
        <f t="shared" si="222"/>
        <v>45.943122126373865</v>
      </c>
      <c r="V70" s="809">
        <f t="shared" si="222"/>
        <v>31.381643505606078</v>
      </c>
      <c r="W70" s="809">
        <f t="shared" ref="W70" ca="1" si="223">IF(ISERROR(W28*(1-W$58)), (1-0%)*W28, (W28*(1-W$58)))</f>
        <v>30.016118210116609</v>
      </c>
      <c r="X70" s="809">
        <f t="shared" si="222"/>
        <v>30.2685</v>
      </c>
      <c r="Y70" s="809">
        <f t="shared" si="222"/>
        <v>30.2685</v>
      </c>
      <c r="Z70" s="809">
        <f t="shared" si="222"/>
        <v>30.2685</v>
      </c>
      <c r="AA70" s="809">
        <f t="shared" ref="AA70:AD70" si="224">IF(ISERROR(AA28*(1-AA$58)), (1-0%)*AA28, (AA28*(1-AA$58)))</f>
        <v>30.2685</v>
      </c>
      <c r="AB70" s="809">
        <f t="shared" si="224"/>
        <v>30.2685</v>
      </c>
      <c r="AC70" s="809">
        <f t="shared" si="224"/>
        <v>30.2685</v>
      </c>
      <c r="AD70" s="809">
        <f t="shared" si="224"/>
        <v>30.2685</v>
      </c>
      <c r="AE70" s="54"/>
      <c r="AF70" s="15"/>
      <c r="AG70" s="809">
        <f t="shared" si="205"/>
        <v>0</v>
      </c>
      <c r="AH70" s="809">
        <f t="shared" si="205"/>
        <v>0</v>
      </c>
      <c r="AI70" s="809">
        <f t="shared" si="205"/>
        <v>0</v>
      </c>
      <c r="AJ70" s="809">
        <f t="shared" si="205"/>
        <v>0</v>
      </c>
      <c r="AK70" s="1106">
        <f>SUM(AG70:AJ70)</f>
        <v>0</v>
      </c>
      <c r="AL70" s="809">
        <f t="shared" si="206"/>
        <v>0</v>
      </c>
      <c r="AM70" s="809">
        <f t="shared" si="206"/>
        <v>0</v>
      </c>
      <c r="AN70" s="809">
        <f t="shared" si="206"/>
        <v>0</v>
      </c>
      <c r="AO70" s="809">
        <f t="shared" si="206"/>
        <v>0</v>
      </c>
      <c r="AP70" s="1106">
        <f>SUM(AL70:AO70)</f>
        <v>0</v>
      </c>
      <c r="AQ70" s="809">
        <f t="shared" si="207"/>
        <v>0</v>
      </c>
      <c r="AR70" s="809">
        <f t="shared" si="207"/>
        <v>0</v>
      </c>
      <c r="AS70" s="809">
        <f t="shared" si="207"/>
        <v>0</v>
      </c>
      <c r="AT70" s="809">
        <f t="shared" si="207"/>
        <v>0</v>
      </c>
      <c r="AU70" s="1133">
        <f>SUM(AQ70:AT70)</f>
        <v>0</v>
      </c>
      <c r="AV70" s="809">
        <f t="shared" si="208"/>
        <v>0</v>
      </c>
      <c r="AW70" s="809">
        <f t="shared" si="208"/>
        <v>0</v>
      </c>
      <c r="AX70" s="809">
        <f t="shared" si="208"/>
        <v>0</v>
      </c>
      <c r="AY70" s="809">
        <f t="shared" si="208"/>
        <v>0</v>
      </c>
      <c r="AZ70" s="1106">
        <f>SUM(AV70:AY70)</f>
        <v>0</v>
      </c>
      <c r="BA70" s="809">
        <f t="shared" si="209"/>
        <v>0</v>
      </c>
      <c r="BB70" s="809">
        <f t="shared" si="209"/>
        <v>0</v>
      </c>
      <c r="BC70" s="809">
        <f t="shared" si="209"/>
        <v>0</v>
      </c>
      <c r="BD70" s="809">
        <f t="shared" si="209"/>
        <v>0</v>
      </c>
      <c r="BE70" s="1106">
        <f>SUM(BA70:BD70)</f>
        <v>0</v>
      </c>
      <c r="BF70" s="809">
        <f t="shared" si="210"/>
        <v>0</v>
      </c>
      <c r="BG70" s="809">
        <f t="shared" si="210"/>
        <v>0</v>
      </c>
      <c r="BH70" s="809">
        <f t="shared" si="210"/>
        <v>0</v>
      </c>
      <c r="BI70" s="809">
        <f t="shared" si="210"/>
        <v>0</v>
      </c>
      <c r="BJ70" s="1110">
        <f>SUM(BF70:BI70)</f>
        <v>0</v>
      </c>
      <c r="BK70" s="809">
        <f t="shared" si="211"/>
        <v>0</v>
      </c>
      <c r="BL70" s="809">
        <f t="shared" si="211"/>
        <v>0</v>
      </c>
      <c r="BM70" s="809">
        <f t="shared" si="211"/>
        <v>0</v>
      </c>
      <c r="BN70" s="809">
        <f t="shared" si="211"/>
        <v>0</v>
      </c>
      <c r="BO70" s="1133">
        <f>SUM(BK70:BN70)</f>
        <v>0</v>
      </c>
      <c r="BP70" s="809">
        <f t="shared" si="212"/>
        <v>0</v>
      </c>
      <c r="BQ70" s="809">
        <f t="shared" si="212"/>
        <v>0</v>
      </c>
      <c r="BR70" s="809">
        <f t="shared" si="212"/>
        <v>0</v>
      </c>
      <c r="BS70" s="809">
        <f t="shared" si="212"/>
        <v>0</v>
      </c>
      <c r="BT70" s="1133">
        <f>SUM(BP70:BS70)</f>
        <v>0</v>
      </c>
      <c r="BU70" s="809">
        <f t="shared" si="213"/>
        <v>0</v>
      </c>
      <c r="BV70" s="809">
        <f t="shared" si="213"/>
        <v>0</v>
      </c>
      <c r="BW70" s="809">
        <f t="shared" si="213"/>
        <v>0</v>
      </c>
      <c r="BX70" s="809">
        <f t="shared" si="213"/>
        <v>0</v>
      </c>
      <c r="BY70" s="1110">
        <f>SUM(BU70:BX70)</f>
        <v>0</v>
      </c>
      <c r="BZ70" s="809">
        <f t="shared" si="214"/>
        <v>0</v>
      </c>
      <c r="CA70" s="809">
        <f t="shared" si="214"/>
        <v>0</v>
      </c>
      <c r="CB70" s="809">
        <f t="shared" si="214"/>
        <v>0</v>
      </c>
      <c r="CC70" s="809">
        <f t="shared" si="214"/>
        <v>0</v>
      </c>
      <c r="CD70" s="1133">
        <f>SUM(BZ70:CC70)</f>
        <v>0</v>
      </c>
      <c r="CE70" s="809">
        <f t="shared" si="215"/>
        <v>0</v>
      </c>
      <c r="CF70" s="809">
        <f t="shared" si="215"/>
        <v>0</v>
      </c>
      <c r="CG70" s="809">
        <f t="shared" si="215"/>
        <v>0.99245372814568267</v>
      </c>
      <c r="CH70" s="809">
        <f t="shared" si="215"/>
        <v>2.4407583616004662</v>
      </c>
      <c r="CI70" s="1133">
        <f>SUM(CE70:CH70)</f>
        <v>3.4332120897461489</v>
      </c>
      <c r="CJ70" s="809">
        <f t="shared" si="216"/>
        <v>3.0997467214548009</v>
      </c>
      <c r="CK70" s="809">
        <f t="shared" si="216"/>
        <v>5.8490000000000002</v>
      </c>
      <c r="CL70" s="809">
        <f t="shared" si="216"/>
        <v>0.77440247189533928</v>
      </c>
      <c r="CM70" s="809">
        <f t="shared" si="216"/>
        <v>0.38</v>
      </c>
      <c r="CN70" s="1133">
        <f>SUM(CJ70:CM70)</f>
        <v>10.103149193350141</v>
      </c>
      <c r="CO70" s="809">
        <f t="shared" si="217"/>
        <v>0.28367835708393768</v>
      </c>
      <c r="CP70" s="809">
        <f t="shared" si="217"/>
        <v>1.277281835061117</v>
      </c>
      <c r="CQ70" s="809">
        <f t="shared" si="217"/>
        <v>0.54960736122767029</v>
      </c>
      <c r="CR70" s="809">
        <f t="shared" si="217"/>
        <v>0.41926674786845303</v>
      </c>
      <c r="CS70" s="1133">
        <f>SUM(CO70:CR70)</f>
        <v>2.5298343012411779</v>
      </c>
      <c r="CT70" s="809">
        <f t="shared" ref="CT70:DN70" si="225">IF(ISERROR(CT28*(1-CT$58)), (1-0%)*CT28, (CT28*(1-CT$58)))</f>
        <v>0.48660858178888</v>
      </c>
      <c r="CU70" s="809">
        <f t="shared" si="225"/>
        <v>1.1518313385557932</v>
      </c>
      <c r="CV70" s="809">
        <f t="shared" si="225"/>
        <v>3.1037854138886014</v>
      </c>
      <c r="CW70" s="809">
        <f t="shared" si="225"/>
        <v>1.2902040437304947</v>
      </c>
      <c r="CX70" s="809">
        <f t="shared" si="225"/>
        <v>2.7240749150724097</v>
      </c>
      <c r="CY70" s="809">
        <f t="shared" si="225"/>
        <v>1.8273483621799456</v>
      </c>
      <c r="CZ70" s="809">
        <f t="shared" si="225"/>
        <v>0.3395433182230283</v>
      </c>
      <c r="DA70" s="809">
        <f t="shared" si="225"/>
        <v>4.0532829953527676</v>
      </c>
      <c r="DB70" s="809">
        <f t="shared" si="225"/>
        <v>0.13928575331487689</v>
      </c>
      <c r="DC70" s="809">
        <f t="shared" si="225"/>
        <v>0.84481140731556048</v>
      </c>
      <c r="DD70" s="809">
        <f t="shared" si="225"/>
        <v>-0.16415165483669197</v>
      </c>
      <c r="DE70" s="809">
        <f t="shared" si="225"/>
        <v>0</v>
      </c>
      <c r="DF70" s="809">
        <f t="shared" si="225"/>
        <v>1.0691293912706861</v>
      </c>
      <c r="DG70" s="809">
        <f t="shared" si="225"/>
        <v>8.7628838133365186</v>
      </c>
      <c r="DH70" s="809">
        <f t="shared" si="225"/>
        <v>10.418774927910155</v>
      </c>
      <c r="DI70" s="809">
        <f t="shared" si="225"/>
        <v>21.453343973265774</v>
      </c>
      <c r="DJ70" s="809">
        <f t="shared" si="225"/>
        <v>28.435764637197664</v>
      </c>
      <c r="DK70" s="809">
        <f t="shared" si="225"/>
        <v>11.538867116014611</v>
      </c>
      <c r="DL70" s="809">
        <f t="shared" si="225"/>
        <v>8.5238562762939036</v>
      </c>
      <c r="DM70" s="809">
        <f t="shared" si="225"/>
        <v>-0.33685466220928828</v>
      </c>
      <c r="DN70" s="809">
        <f t="shared" si="225"/>
        <v>2.2944288161572461</v>
      </c>
      <c r="DO70" s="809">
        <f t="shared" ref="DO70:DP70" si="226">IF(ISERROR(DO28*(1-DO$58)), (1-0%)*DO28, (DO28*(1-DO$58)))</f>
        <v>21.936216397605662</v>
      </c>
      <c r="DP70" s="809">
        <f t="shared" si="226"/>
        <v>2.0273308646186083</v>
      </c>
      <c r="DQ70" s="809">
        <f t="shared" ref="DQ70" si="227">IF(ISERROR(DQ28*(1-DQ$58)), (1-0%)*DQ28, (DQ28*(1-DQ$58)))</f>
        <v>4.9351255403439094</v>
      </c>
      <c r="DR70" s="809">
        <f t="shared" ref="DR70:DU70" si="228">IF(ISERROR(DR28*(1-DR$58)), (1-0%)*DR28, (DR28*(1-DR$58)))</f>
        <v>0</v>
      </c>
      <c r="DS70" s="809">
        <f t="shared" si="228"/>
        <v>0</v>
      </c>
      <c r="DT70" s="809">
        <f t="shared" si="228"/>
        <v>0</v>
      </c>
      <c r="DU70" s="809">
        <f t="shared" si="228"/>
        <v>0</v>
      </c>
      <c r="DV70" s="809"/>
      <c r="DW70" s="54"/>
      <c r="DX70" s="809"/>
      <c r="DY70" s="809"/>
    </row>
    <row r="71" spans="2:129" customFormat="1" hidden="1" outlineLevel="2">
      <c r="B71" s="19" t="str">
        <f>B29</f>
        <v>Gains on asset sales</v>
      </c>
      <c r="C71" s="23"/>
      <c r="D71" s="26">
        <f>AK71</f>
        <v>0</v>
      </c>
      <c r="E71" s="26">
        <f>AP71</f>
        <v>0</v>
      </c>
      <c r="F71" s="54">
        <f>AU71</f>
        <v>0</v>
      </c>
      <c r="G71" s="54">
        <f>AZ71</f>
        <v>0</v>
      </c>
      <c r="H71" s="54">
        <f>BE71</f>
        <v>0</v>
      </c>
      <c r="I71" s="54">
        <f>BJ71</f>
        <v>0</v>
      </c>
      <c r="J71" s="54">
        <f>BO71</f>
        <v>0</v>
      </c>
      <c r="K71" s="54">
        <f>BT71</f>
        <v>-9.6470000000000002</v>
      </c>
      <c r="L71" s="54">
        <f>BY71</f>
        <v>-1.3380000000000001</v>
      </c>
      <c r="M71" s="54">
        <f>CD71</f>
        <v>0</v>
      </c>
      <c r="N71" s="54">
        <f>CI71</f>
        <v>0</v>
      </c>
      <c r="O71" s="54">
        <f>CN71</f>
        <v>0</v>
      </c>
      <c r="P71" s="809">
        <f t="shared" ref="P71:Z71" si="229">IF(ISERROR(P29*(1-P$58)), (1-0%)*P29, (P29*(1-P$58)))</f>
        <v>0</v>
      </c>
      <c r="Q71" s="809">
        <f t="shared" si="229"/>
        <v>0</v>
      </c>
      <c r="R71" s="809">
        <f t="shared" si="229"/>
        <v>0</v>
      </c>
      <c r="S71" s="809">
        <f t="shared" si="229"/>
        <v>0</v>
      </c>
      <c r="T71" s="809">
        <f t="shared" si="229"/>
        <v>0</v>
      </c>
      <c r="U71" s="809">
        <f t="shared" si="229"/>
        <v>-23.485777641546605</v>
      </c>
      <c r="V71" s="809">
        <f t="shared" si="229"/>
        <v>0</v>
      </c>
      <c r="W71" s="809">
        <f t="shared" ref="W71" ca="1" si="230">IF(ISERROR(W29*(1-W$58)), (1-0%)*W29, (W29*(1-W$58)))</f>
        <v>0</v>
      </c>
      <c r="X71" s="809">
        <f t="shared" si="229"/>
        <v>0</v>
      </c>
      <c r="Y71" s="809">
        <f t="shared" si="229"/>
        <v>0</v>
      </c>
      <c r="Z71" s="809">
        <f t="shared" si="229"/>
        <v>0</v>
      </c>
      <c r="AA71" s="809">
        <f t="shared" ref="AA71:AD71" si="231">IF(ISERROR(AA29*(1-AA$58)), (1-0%)*AA29, (AA29*(1-AA$58)))</f>
        <v>0</v>
      </c>
      <c r="AB71" s="809">
        <f t="shared" si="231"/>
        <v>0</v>
      </c>
      <c r="AC71" s="809">
        <f t="shared" si="231"/>
        <v>0</v>
      </c>
      <c r="AD71" s="809">
        <f t="shared" si="231"/>
        <v>0</v>
      </c>
      <c r="AE71" s="54"/>
      <c r="AF71" s="15"/>
      <c r="AG71" s="809">
        <f t="shared" si="205"/>
        <v>0</v>
      </c>
      <c r="AH71" s="809">
        <f t="shared" si="205"/>
        <v>0</v>
      </c>
      <c r="AI71" s="809">
        <f t="shared" si="205"/>
        <v>0</v>
      </c>
      <c r="AJ71" s="809">
        <f t="shared" si="205"/>
        <v>0</v>
      </c>
      <c r="AK71" s="1106">
        <f>SUM(AG71:AJ71)</f>
        <v>0</v>
      </c>
      <c r="AL71" s="809">
        <f t="shared" si="206"/>
        <v>0</v>
      </c>
      <c r="AM71" s="809">
        <f t="shared" si="206"/>
        <v>0</v>
      </c>
      <c r="AN71" s="809">
        <f t="shared" si="206"/>
        <v>0</v>
      </c>
      <c r="AO71" s="809">
        <f t="shared" si="206"/>
        <v>0</v>
      </c>
      <c r="AP71" s="1106">
        <f>SUM(AL71:AO71)</f>
        <v>0</v>
      </c>
      <c r="AQ71" s="809">
        <f t="shared" si="207"/>
        <v>0</v>
      </c>
      <c r="AR71" s="809">
        <f t="shared" si="207"/>
        <v>0</v>
      </c>
      <c r="AS71" s="809">
        <f t="shared" si="207"/>
        <v>0</v>
      </c>
      <c r="AT71" s="809">
        <f t="shared" si="207"/>
        <v>0</v>
      </c>
      <c r="AU71" s="1133">
        <f>SUM(AQ71:AT71)</f>
        <v>0</v>
      </c>
      <c r="AV71" s="809">
        <f t="shared" si="208"/>
        <v>0</v>
      </c>
      <c r="AW71" s="809">
        <f t="shared" si="208"/>
        <v>0</v>
      </c>
      <c r="AX71" s="809">
        <f t="shared" si="208"/>
        <v>0</v>
      </c>
      <c r="AY71" s="809">
        <f t="shared" si="208"/>
        <v>0</v>
      </c>
      <c r="AZ71" s="1106">
        <f>SUM(AV71:AY71)</f>
        <v>0</v>
      </c>
      <c r="BA71" s="809">
        <f t="shared" si="209"/>
        <v>0</v>
      </c>
      <c r="BB71" s="809">
        <f t="shared" si="209"/>
        <v>0</v>
      </c>
      <c r="BC71" s="809">
        <f t="shared" si="209"/>
        <v>0</v>
      </c>
      <c r="BD71" s="809">
        <f t="shared" si="209"/>
        <v>0</v>
      </c>
      <c r="BE71" s="1106">
        <f>SUM(BA71:BD71)</f>
        <v>0</v>
      </c>
      <c r="BF71" s="809">
        <f t="shared" si="210"/>
        <v>0</v>
      </c>
      <c r="BG71" s="809">
        <f t="shared" si="210"/>
        <v>0</v>
      </c>
      <c r="BH71" s="809">
        <f t="shared" si="210"/>
        <v>0</v>
      </c>
      <c r="BI71" s="809">
        <f t="shared" si="210"/>
        <v>0</v>
      </c>
      <c r="BJ71" s="1110">
        <f>SUM(BF71:BI71)</f>
        <v>0</v>
      </c>
      <c r="BK71" s="809">
        <f t="shared" si="211"/>
        <v>0</v>
      </c>
      <c r="BL71" s="809">
        <f t="shared" si="211"/>
        <v>0</v>
      </c>
      <c r="BM71" s="809">
        <f t="shared" si="211"/>
        <v>0</v>
      </c>
      <c r="BN71" s="809">
        <f t="shared" si="211"/>
        <v>0</v>
      </c>
      <c r="BO71" s="1133">
        <f>SUM(BK71:BN71)</f>
        <v>0</v>
      </c>
      <c r="BP71" s="809">
        <f t="shared" si="212"/>
        <v>0</v>
      </c>
      <c r="BQ71" s="809">
        <f t="shared" si="212"/>
        <v>0</v>
      </c>
      <c r="BR71" s="809">
        <f t="shared" si="212"/>
        <v>0</v>
      </c>
      <c r="BS71" s="809">
        <f t="shared" si="212"/>
        <v>-9.6470000000000002</v>
      </c>
      <c r="BT71" s="1133">
        <f>SUM(BP71:BS71)</f>
        <v>-9.6470000000000002</v>
      </c>
      <c r="BU71" s="809">
        <f t="shared" si="213"/>
        <v>0</v>
      </c>
      <c r="BV71" s="809">
        <f t="shared" si="213"/>
        <v>0</v>
      </c>
      <c r="BW71" s="809">
        <f t="shared" si="213"/>
        <v>0</v>
      </c>
      <c r="BX71" s="809">
        <f t="shared" si="213"/>
        <v>-1.3380000000000001</v>
      </c>
      <c r="BY71" s="1110">
        <f>SUM(BU71:BX71)</f>
        <v>-1.3380000000000001</v>
      </c>
      <c r="BZ71" s="809">
        <f t="shared" si="214"/>
        <v>0</v>
      </c>
      <c r="CA71" s="809">
        <f t="shared" si="214"/>
        <v>0</v>
      </c>
      <c r="CB71" s="809">
        <f t="shared" si="214"/>
        <v>0</v>
      </c>
      <c r="CC71" s="809">
        <f t="shared" si="214"/>
        <v>0</v>
      </c>
      <c r="CD71" s="1133">
        <f>SUM(BZ71:CC71)</f>
        <v>0</v>
      </c>
      <c r="CE71" s="809">
        <f t="shared" si="215"/>
        <v>0</v>
      </c>
      <c r="CF71" s="809">
        <f t="shared" si="215"/>
        <v>0</v>
      </c>
      <c r="CG71" s="809">
        <f t="shared" si="215"/>
        <v>0</v>
      </c>
      <c r="CH71" s="809">
        <f t="shared" si="215"/>
        <v>0</v>
      </c>
      <c r="CI71" s="1133">
        <f>SUM(CE71:CH71)</f>
        <v>0</v>
      </c>
      <c r="CJ71" s="809">
        <f t="shared" si="216"/>
        <v>0</v>
      </c>
      <c r="CK71" s="809">
        <f t="shared" si="216"/>
        <v>0</v>
      </c>
      <c r="CL71" s="809">
        <f t="shared" si="216"/>
        <v>0</v>
      </c>
      <c r="CM71" s="809">
        <f t="shared" si="216"/>
        <v>0</v>
      </c>
      <c r="CN71" s="1133">
        <f>SUM(CJ71:CM71)</f>
        <v>0</v>
      </c>
      <c r="CO71" s="809">
        <f t="shared" si="217"/>
        <v>0</v>
      </c>
      <c r="CP71" s="809">
        <f t="shared" si="217"/>
        <v>0</v>
      </c>
      <c r="CQ71" s="809">
        <f t="shared" si="217"/>
        <v>0</v>
      </c>
      <c r="CR71" s="809">
        <f t="shared" si="217"/>
        <v>0</v>
      </c>
      <c r="CS71" s="1133">
        <f>SUM(CO71:CR71)</f>
        <v>0</v>
      </c>
      <c r="CT71" s="809">
        <f t="shared" ref="CT71:DN71" si="232">IF(ISERROR(CT29*(1-CT$58)), (1-0%)*CT29, (CT29*(1-CT$58)))</f>
        <v>0</v>
      </c>
      <c r="CU71" s="809">
        <f t="shared" si="232"/>
        <v>0</v>
      </c>
      <c r="CV71" s="809">
        <f t="shared" si="232"/>
        <v>0</v>
      </c>
      <c r="CW71" s="809">
        <f t="shared" si="232"/>
        <v>0</v>
      </c>
      <c r="CX71" s="809">
        <f t="shared" si="232"/>
        <v>0</v>
      </c>
      <c r="CY71" s="809">
        <f t="shared" si="232"/>
        <v>0</v>
      </c>
      <c r="CZ71" s="809">
        <f t="shared" si="232"/>
        <v>0</v>
      </c>
      <c r="DA71" s="809">
        <f t="shared" si="232"/>
        <v>0</v>
      </c>
      <c r="DB71" s="809">
        <f t="shared" si="232"/>
        <v>0</v>
      </c>
      <c r="DC71" s="809">
        <f t="shared" si="232"/>
        <v>0</v>
      </c>
      <c r="DD71" s="809">
        <f t="shared" si="232"/>
        <v>0</v>
      </c>
      <c r="DE71" s="809">
        <f t="shared" si="232"/>
        <v>0</v>
      </c>
      <c r="DF71" s="809">
        <f t="shared" si="232"/>
        <v>0</v>
      </c>
      <c r="DG71" s="809">
        <f t="shared" si="232"/>
        <v>0</v>
      </c>
      <c r="DH71" s="809">
        <f t="shared" si="232"/>
        <v>0</v>
      </c>
      <c r="DI71" s="809">
        <f t="shared" si="232"/>
        <v>0</v>
      </c>
      <c r="DJ71" s="809">
        <f t="shared" si="232"/>
        <v>-4.0798193077564635</v>
      </c>
      <c r="DK71" s="809">
        <f t="shared" si="232"/>
        <v>0</v>
      </c>
      <c r="DL71" s="809">
        <f t="shared" si="232"/>
        <v>-19.048313765776339</v>
      </c>
      <c r="DM71" s="809">
        <f t="shared" si="232"/>
        <v>0.28402972654464986</v>
      </c>
      <c r="DN71" s="809">
        <f t="shared" si="232"/>
        <v>0</v>
      </c>
      <c r="DO71" s="809">
        <f t="shared" ref="DO71:DP71" si="233">IF(ISERROR(DO29*(1-DO$58)), (1-0%)*DO29, (DO29*(1-DO$58)))</f>
        <v>0</v>
      </c>
      <c r="DP71" s="809">
        <f t="shared" si="233"/>
        <v>0</v>
      </c>
      <c r="DQ71" s="809">
        <f t="shared" ref="DQ71" si="234">IF(ISERROR(DQ29*(1-DQ$58)), (1-0%)*DQ29, (DQ29*(1-DQ$58)))</f>
        <v>0</v>
      </c>
      <c r="DR71" s="809">
        <f t="shared" ref="DR71:DU71" si="235">IF(ISERROR(DR29*(1-DR$58)), (1-0%)*DR29, (DR29*(1-DR$58)))</f>
        <v>0</v>
      </c>
      <c r="DS71" s="809">
        <f t="shared" si="235"/>
        <v>0</v>
      </c>
      <c r="DT71" s="809">
        <f t="shared" si="235"/>
        <v>0</v>
      </c>
      <c r="DU71" s="809">
        <f t="shared" si="235"/>
        <v>0</v>
      </c>
      <c r="DV71" s="809"/>
      <c r="DW71" s="54"/>
      <c r="DX71" s="809"/>
      <c r="DY71" s="809"/>
    </row>
    <row r="72" spans="2:129" customFormat="1" hidden="1" outlineLevel="2">
      <c r="B72" s="19" t="str">
        <f>B53</f>
        <v>Loss (gain) from debt extinguishment</v>
      </c>
      <c r="C72" s="23"/>
      <c r="D72" s="26">
        <f>AK72</f>
        <v>0</v>
      </c>
      <c r="E72" s="26">
        <f>AP72</f>
        <v>0</v>
      </c>
      <c r="F72" s="54">
        <f>AU72</f>
        <v>0</v>
      </c>
      <c r="G72" s="54">
        <f>AZ72</f>
        <v>-114.158</v>
      </c>
      <c r="H72" s="54">
        <f>BE72</f>
        <v>0</v>
      </c>
      <c r="I72" s="54">
        <f>BJ72</f>
        <v>16.210999999999999</v>
      </c>
      <c r="J72" s="54">
        <f>BO72</f>
        <v>0</v>
      </c>
      <c r="K72" s="54">
        <f>BT72</f>
        <v>0</v>
      </c>
      <c r="L72" s="54">
        <f>BY72</f>
        <v>3.395</v>
      </c>
      <c r="M72" s="54">
        <f>CD72</f>
        <v>0</v>
      </c>
      <c r="N72" s="54">
        <f>CI72</f>
        <v>0</v>
      </c>
      <c r="O72" s="54">
        <f>CN72</f>
        <v>8.7628823433880356</v>
      </c>
      <c r="P72" s="809">
        <f t="shared" ref="P72:Z72" si="236">IF(ISERROR(P30*(1-P$58)), (1-0%)*P30, (P30*(1-P$58)))</f>
        <v>0</v>
      </c>
      <c r="Q72" s="809">
        <f t="shared" si="236"/>
        <v>6.7993231860546475</v>
      </c>
      <c r="R72" s="809">
        <f t="shared" si="236"/>
        <v>0</v>
      </c>
      <c r="S72" s="809">
        <f t="shared" si="236"/>
        <v>0</v>
      </c>
      <c r="T72" s="809">
        <f t="shared" si="236"/>
        <v>0</v>
      </c>
      <c r="U72" s="809">
        <f t="shared" si="236"/>
        <v>5.5093099794193625</v>
      </c>
      <c r="V72" s="809">
        <f t="shared" si="236"/>
        <v>0</v>
      </c>
      <c r="W72" s="809">
        <f t="shared" ref="W72" ca="1" si="237">IF(ISERROR(W30*(1-W$58)), (1-0%)*W30, (W30*(1-W$58)))</f>
        <v>0</v>
      </c>
      <c r="X72" s="809">
        <f t="shared" si="236"/>
        <v>0</v>
      </c>
      <c r="Y72" s="809">
        <f t="shared" si="236"/>
        <v>0</v>
      </c>
      <c r="Z72" s="809">
        <f t="shared" si="236"/>
        <v>0</v>
      </c>
      <c r="AA72" s="809">
        <f t="shared" ref="AA72:AD72" si="238">IF(ISERROR(AA30*(1-AA$58)), (1-0%)*AA30, (AA30*(1-AA$58)))</f>
        <v>0</v>
      </c>
      <c r="AB72" s="809">
        <f t="shared" si="238"/>
        <v>0</v>
      </c>
      <c r="AC72" s="809">
        <f t="shared" si="238"/>
        <v>0</v>
      </c>
      <c r="AD72" s="809">
        <f t="shared" si="238"/>
        <v>0</v>
      </c>
      <c r="AE72" s="54"/>
      <c r="AF72" s="15"/>
      <c r="AG72" s="809">
        <f>IF(ISERROR(AG53*(1-AG$58)), (1-0%)*AG53, (AG53*(1-AG$58)))</f>
        <v>0</v>
      </c>
      <c r="AH72" s="809">
        <f>IF(ISERROR(AH53*(1-AH$58)), (1-0%)*AH53, (AH53*(1-AH$58)))</f>
        <v>0</v>
      </c>
      <c r="AI72" s="809">
        <f>IF(ISERROR(AI53*(1-AI$58)), (1-0%)*AI53, (AI53*(1-AI$58)))</f>
        <v>0</v>
      </c>
      <c r="AJ72" s="809">
        <f>IF(ISERROR(AJ53*(1-AJ$58)), (1-0%)*AJ53, (AJ53*(1-AJ$58)))</f>
        <v>0</v>
      </c>
      <c r="AK72" s="1106">
        <f>SUM(AG72:AJ72)</f>
        <v>0</v>
      </c>
      <c r="AL72" s="809">
        <f>IF(ISERROR(AL53*(1-AL$58)), (1-0%)*AL53, (AL53*(1-AL$58)))</f>
        <v>0</v>
      </c>
      <c r="AM72" s="809">
        <f>IF(ISERROR(AM53*(1-AM$58)), (1-0%)*AM53, (AM53*(1-AM$58)))</f>
        <v>0</v>
      </c>
      <c r="AN72" s="809">
        <f>IF(ISERROR(AN53*(1-AN$58)), (1-0%)*AN53, (AN53*(1-AN$58)))</f>
        <v>0</v>
      </c>
      <c r="AO72" s="809">
        <f>IF(ISERROR(AO53*(1-AO$58)), (1-0%)*AO53, (AO53*(1-AO$58)))</f>
        <v>0</v>
      </c>
      <c r="AP72" s="1106">
        <f>SUM(AL72:AO72)</f>
        <v>0</v>
      </c>
      <c r="AQ72" s="809">
        <f>IF(ISERROR(AQ53*(1-AQ$58)), (1-0%)*AQ53, (AQ53*(1-AQ$58)))</f>
        <v>0</v>
      </c>
      <c r="AR72" s="809">
        <f>IF(ISERROR(AR53*(1-AR$58)), (1-0%)*AR53, (AR53*(1-AR$58)))</f>
        <v>0</v>
      </c>
      <c r="AS72" s="809">
        <f>IF(ISERROR(AS53*(1-AS$58)), (1-0%)*AS53, (AS53*(1-AS$58)))</f>
        <v>0</v>
      </c>
      <c r="AT72" s="809">
        <f>IF(ISERROR(AT53*(1-AT$58)), (1-0%)*AT53, (AT53*(1-AT$58)))</f>
        <v>0</v>
      </c>
      <c r="AU72" s="1106">
        <f>SUM(AQ72:AT72)</f>
        <v>0</v>
      </c>
      <c r="AV72" s="809">
        <f>IF(ISERROR(AV53*(1-AV$58)), (1-0%)*AV53, (AV53*(1-AV$58)))</f>
        <v>-11.662000000000001</v>
      </c>
      <c r="AW72" s="809">
        <f>IF(ISERROR(AW53*(1-AW$58)), (1-0%)*AW53, (AW53*(1-AW$58)))</f>
        <v>-15.526</v>
      </c>
      <c r="AX72" s="809">
        <f>IF(ISERROR(AX53*(1-AX$58)), (1-0%)*AX53, (AX53*(1-AX$58)))</f>
        <v>0</v>
      </c>
      <c r="AY72" s="809">
        <f>IF(ISERROR(AY53*(1-AY$58)), (1-0%)*AY53, (AY53*(1-AY$58)))</f>
        <v>-86.97</v>
      </c>
      <c r="AZ72" s="1106">
        <f>SUM(AV72:AY72)</f>
        <v>-114.158</v>
      </c>
      <c r="BA72" s="809">
        <f>IF(ISERROR(BA53*(1-BA$58)), (1-0%)*BA53, (BA53*(1-BA$58)))</f>
        <v>0</v>
      </c>
      <c r="BB72" s="809">
        <f>IF(ISERROR(BB53*(1-BB$58)), (1-0%)*BB53, (BB53*(1-BB$58)))</f>
        <v>0</v>
      </c>
      <c r="BC72" s="809">
        <f>IF(ISERROR(BC53*(1-BC$58)), (1-0%)*BC53, (BC53*(1-BC$58)))</f>
        <v>0</v>
      </c>
      <c r="BD72" s="809">
        <f>IF(ISERROR(BD53*(1-BD$58)), (1-0%)*BD53, (BD53*(1-BD$58)))</f>
        <v>0</v>
      </c>
      <c r="BE72" s="1106">
        <f>SUM(BA72:BD72)</f>
        <v>0</v>
      </c>
      <c r="BF72" s="809">
        <f>IF(ISERROR(BF53*(1-BF$58)), (1-0%)*BF53, (BF53*(1-BF$58)))</f>
        <v>16.210999999999999</v>
      </c>
      <c r="BG72" s="809">
        <f>IF(ISERROR(BG53*(1-BG$58)), (1-0%)*BG53, (BG53*(1-BG$58)))</f>
        <v>0</v>
      </c>
      <c r="BH72" s="809">
        <f>IF(ISERROR(BH53*(1-BH$58)), (1-0%)*BH53, (BH53*(1-BH$58)))</f>
        <v>0</v>
      </c>
      <c r="BI72" s="809">
        <f>IF(ISERROR(BI53*(1-BI$58)), (1-0%)*BI53, (BI53*(1-BI$58)))</f>
        <v>0</v>
      </c>
      <c r="BJ72" s="1110">
        <f>SUM(BF72:BI72)</f>
        <v>16.210999999999999</v>
      </c>
      <c r="BK72" s="809">
        <f>IF(ISERROR(BK53*(1-BK$58)), (1-0%)*BK53, (BK53*(1-BK$58)))</f>
        <v>0</v>
      </c>
      <c r="BL72" s="809">
        <f>IF(ISERROR(BL53*(1-BL$58)), (1-0%)*BL53, (BL53*(1-BL$58)))</f>
        <v>0</v>
      </c>
      <c r="BM72" s="809">
        <f>IF(ISERROR(BM53*(1-BM$58)), (1-0%)*BM53, (BM53*(1-BM$58)))</f>
        <v>0</v>
      </c>
      <c r="BN72" s="809">
        <f>IF(ISERROR(BN53*(1-BN$58)), (1-0%)*BN53, (BN53*(1-BN$58)))</f>
        <v>0</v>
      </c>
      <c r="BO72" s="1133">
        <f>SUM(BK72:BN72)</f>
        <v>0</v>
      </c>
      <c r="BP72" s="809">
        <f>IF(ISERROR(BP53*(1-BP$58)), (1-0%)*BP53, (BP53*(1-BP$58)))</f>
        <v>0</v>
      </c>
      <c r="BQ72" s="809">
        <f>IF(ISERROR(BQ53*(1-BQ$58)), (1-0%)*BQ53, (BQ53*(1-BQ$58)))</f>
        <v>0</v>
      </c>
      <c r="BR72" s="809">
        <f>IF(ISERROR(BR53*(1-BR$58)), (1-0%)*BR53, (BR53*(1-BR$58)))</f>
        <v>0</v>
      </c>
      <c r="BS72" s="809">
        <f>IF(ISERROR(BS53*(1-BS$58)), (1-0%)*BS53, (BS53*(1-BS$58)))</f>
        <v>0</v>
      </c>
      <c r="BT72" s="1133">
        <f>SUM(BP72:BS72)</f>
        <v>0</v>
      </c>
      <c r="BU72" s="809">
        <f>IF(ISERROR(BU53*(1-BU$58)), (1-0%)*BU53, (BU53*(1-BU$58)))</f>
        <v>3.395</v>
      </c>
      <c r="BV72" s="809">
        <f>IF(ISERROR(BV53*(1-BV$58)), (1-0%)*BV53, (BV53*(1-BV$58)))</f>
        <v>0</v>
      </c>
      <c r="BW72" s="809">
        <f>IF(ISERROR(BW53*(1-BW$58)), (1-0%)*BW53, (BW53*(1-BW$58)))</f>
        <v>0</v>
      </c>
      <c r="BX72" s="809">
        <f>IF(ISERROR(BX53*(1-BX$58)), (1-0%)*BX53, (BX53*(1-BX$58)))</f>
        <v>0</v>
      </c>
      <c r="BY72" s="1110">
        <f>SUM(BU72:BX72)</f>
        <v>3.395</v>
      </c>
      <c r="BZ72" s="809">
        <f>IF(ISERROR(BZ53*(1-BZ$58)), (1-0%)*BZ53, (BZ53*(1-BZ$58)))</f>
        <v>0</v>
      </c>
      <c r="CA72" s="809">
        <f>IF(ISERROR(CA53*(1-CA$58)), (1-0%)*CA53, (CA53*(1-CA$58)))</f>
        <v>0</v>
      </c>
      <c r="CB72" s="809">
        <f>IF(ISERROR(CB53*(1-CB$58)), (1-0%)*CB53, (CB53*(1-CB$58)))</f>
        <v>0</v>
      </c>
      <c r="CC72" s="809">
        <f>IF(ISERROR(CC53*(1-CC$58)), (1-0%)*CC53, (CC53*(1-CC$58)))</f>
        <v>0</v>
      </c>
      <c r="CD72" s="1133">
        <f>SUM(BZ72:CC72)</f>
        <v>0</v>
      </c>
      <c r="CE72" s="809">
        <f>IF(ISERROR(CE53*(1-CE$58)), (1-0%)*CE53, (CE53*(1-CE$58)))</f>
        <v>0</v>
      </c>
      <c r="CF72" s="809">
        <f>IF(ISERROR(CF53*(1-CF$58)), (1-0%)*CF53, (CF53*(1-CF$58)))</f>
        <v>0</v>
      </c>
      <c r="CG72" s="809">
        <f>IF(ISERROR(CG53*(1-CG$58)), (1-0%)*CG53, (CG53*(1-CG$58)))</f>
        <v>0</v>
      </c>
      <c r="CH72" s="809">
        <f>IF(ISERROR(CH53*(1-CH$58)), (1-0%)*CH53, (CH53*(1-CH$58)))</f>
        <v>0</v>
      </c>
      <c r="CI72" s="1133">
        <f>SUM(CE72:CH72)</f>
        <v>0</v>
      </c>
      <c r="CJ72" s="809">
        <f>IF(ISERROR(CJ53*(1-CJ$58)), (1-0%)*CJ53, (CJ53*(1-CJ$58)))</f>
        <v>2.0960842367546779</v>
      </c>
      <c r="CK72" s="809">
        <f>IF(ISERROR(CK53*(1-CK$58)), (1-0%)*CK53, (CK53*(1-CK$58)))</f>
        <v>1.454</v>
      </c>
      <c r="CL72" s="809">
        <f>IF(ISERROR(CL53*(1-CL$58)), (1-0%)*CL53, (CL53*(1-CL$58)))</f>
        <v>-0.1432018933666426</v>
      </c>
      <c r="CM72" s="809">
        <f>IF(ISERROR(CM53*(1-CM$58)), (1-0%)*CM53, (CM53*(1-CM$58)))</f>
        <v>5.3559999999999999</v>
      </c>
      <c r="CN72" s="1133">
        <f>SUM(CJ72:CM72)</f>
        <v>8.7628823433880356</v>
      </c>
      <c r="CO72" s="809">
        <f>IF(ISERROR(CO53*(1-CO$58)), (1-0%)*CO53, (CO53*(1-CO$58)))</f>
        <v>0</v>
      </c>
      <c r="CP72" s="809">
        <f>IF(ISERROR(CP53*(1-CP$58)), (1-0%)*CP53, (CP53*(1-CP$58)))</f>
        <v>0</v>
      </c>
      <c r="CQ72" s="809">
        <f>IF(ISERROR(CQ53*(1-CQ$58)), (1-0%)*CQ53, (CQ53*(1-CQ$58)))</f>
        <v>0</v>
      </c>
      <c r="CR72" s="809">
        <f>IF(ISERROR(CR53*(1-CR$58)), (1-0%)*CR53, (CR53*(1-CR$58)))</f>
        <v>0</v>
      </c>
      <c r="CS72" s="1133">
        <f>SUM(CO72:CR72)</f>
        <v>0</v>
      </c>
      <c r="CT72" s="809">
        <f t="shared" ref="CT72:CZ72" si="239">IF(ISERROR(CT53*(1-CT$58)), (1-0%)*CT53, (CT53*(1-CT$58)))</f>
        <v>0</v>
      </c>
      <c r="CU72" s="809">
        <f t="shared" si="239"/>
        <v>0</v>
      </c>
      <c r="CV72" s="809">
        <f t="shared" si="239"/>
        <v>3.5561645296953506</v>
      </c>
      <c r="CW72" s="809">
        <f t="shared" si="239"/>
        <v>0</v>
      </c>
      <c r="CX72" s="809">
        <f t="shared" si="239"/>
        <v>0</v>
      </c>
      <c r="CY72" s="809">
        <f t="shared" si="239"/>
        <v>67.713167615505654</v>
      </c>
      <c r="CZ72" s="809">
        <f t="shared" si="239"/>
        <v>0</v>
      </c>
      <c r="DA72" s="809">
        <f t="shared" ref="DA72:DI72" si="240">IF(ISERROR(DA53*(1-DA$58)), (1-0%)*DA53, (DA53*(1-DA$58)))</f>
        <v>0</v>
      </c>
      <c r="DB72" s="809">
        <f t="shared" si="240"/>
        <v>0</v>
      </c>
      <c r="DC72" s="809">
        <f t="shared" si="240"/>
        <v>63.964470799751965</v>
      </c>
      <c r="DD72" s="809">
        <f t="shared" si="240"/>
        <v>0</v>
      </c>
      <c r="DE72" s="809">
        <f t="shared" si="240"/>
        <v>725.64376996021485</v>
      </c>
      <c r="DF72" s="809">
        <f t="shared" si="240"/>
        <v>0</v>
      </c>
      <c r="DG72" s="809">
        <f t="shared" si="240"/>
        <v>0</v>
      </c>
      <c r="DH72" s="809">
        <f t="shared" si="240"/>
        <v>0</v>
      </c>
      <c r="DI72" s="809">
        <f t="shared" si="240"/>
        <v>0.35737024660059991</v>
      </c>
      <c r="DJ72" s="809">
        <f t="shared" ref="DJ72:DN72" si="241">IF(ISERROR(DJ53*(1-DJ$58)), (1-0%)*DJ53, (DJ53*(1-DJ$58)))</f>
        <v>0</v>
      </c>
      <c r="DK72" s="809">
        <f t="shared" si="241"/>
        <v>0.44767311819859174</v>
      </c>
      <c r="DL72" s="809">
        <f t="shared" si="241"/>
        <v>6.7441050777810378</v>
      </c>
      <c r="DM72" s="809">
        <f t="shared" si="241"/>
        <v>1.3604334880588755</v>
      </c>
      <c r="DN72" s="809">
        <f t="shared" si="241"/>
        <v>2.6569864935533336</v>
      </c>
      <c r="DO72" s="809">
        <f t="shared" ref="DO72:DP72" si="242">IF(ISERROR(DO53*(1-DO$58)), (1-0%)*DO53, (DO53*(1-DO$58)))</f>
        <v>13.662568837293671</v>
      </c>
      <c r="DP72" s="809">
        <f t="shared" si="242"/>
        <v>21.563870684824714</v>
      </c>
      <c r="DQ72" s="809">
        <f t="shared" ref="DQ72" si="243">IF(ISERROR(DQ53*(1-DQ$58)), (1-0%)*DQ53, (DQ53*(1-DQ$58)))</f>
        <v>16.394313882722805</v>
      </c>
      <c r="DR72" s="809">
        <f t="shared" ref="DR72:DU72" si="244">IF(ISERROR(DR53*(1-DR$58)), (1-0%)*DR53, (DR53*(1-DR$58)))</f>
        <v>0</v>
      </c>
      <c r="DS72" s="809">
        <f t="shared" si="244"/>
        <v>0</v>
      </c>
      <c r="DT72" s="809">
        <f t="shared" si="244"/>
        <v>0</v>
      </c>
      <c r="DU72" s="809">
        <f t="shared" si="244"/>
        <v>0</v>
      </c>
      <c r="DV72" s="809"/>
      <c r="DW72" s="54"/>
      <c r="DX72" s="809"/>
      <c r="DY72" s="809"/>
    </row>
    <row r="73" spans="2:129" customFormat="1" hidden="1" outlineLevel="1">
      <c r="B73" s="16" t="s">
        <v>374</v>
      </c>
      <c r="C73" s="23"/>
      <c r="D73" s="26">
        <f t="shared" ref="D73:O73" si="245">SUM(D69:D72)</f>
        <v>0</v>
      </c>
      <c r="E73" s="26">
        <f t="shared" si="245"/>
        <v>0</v>
      </c>
      <c r="F73" s="26">
        <f t="shared" si="245"/>
        <v>48.564999999999998</v>
      </c>
      <c r="G73" s="26">
        <f t="shared" si="245"/>
        <v>-85.272999999999996</v>
      </c>
      <c r="H73" s="26">
        <f t="shared" si="245"/>
        <v>0</v>
      </c>
      <c r="I73" s="26">
        <f t="shared" si="245"/>
        <v>33.859409270998412</v>
      </c>
      <c r="J73" s="26">
        <f t="shared" si="245"/>
        <v>33.803632059851601</v>
      </c>
      <c r="K73" s="26">
        <f t="shared" si="245"/>
        <v>-8.120000000000001</v>
      </c>
      <c r="L73" s="54">
        <f t="shared" si="245"/>
        <v>2.4072963224893922</v>
      </c>
      <c r="M73" s="54">
        <f t="shared" si="245"/>
        <v>3.115983458122932</v>
      </c>
      <c r="N73" s="54">
        <f t="shared" si="245"/>
        <v>-3.3117981058146118E-2</v>
      </c>
      <c r="O73" s="54">
        <f t="shared" si="245"/>
        <v>25.025093531347341</v>
      </c>
      <c r="P73" s="809">
        <f>SUM(P69:P71)</f>
        <v>4.9081322390420787</v>
      </c>
      <c r="Q73" s="809">
        <f t="shared" ref="Q73:V73" si="246">SUM(Q69:Q71)</f>
        <v>6.082915439344295</v>
      </c>
      <c r="R73" s="809">
        <f t="shared" si="246"/>
        <v>5.1520606168562244</v>
      </c>
      <c r="S73" s="809">
        <f t="shared" si="246"/>
        <v>2.5059999999999998</v>
      </c>
      <c r="T73" s="809">
        <f t="shared" si="246"/>
        <v>37.130658119982193</v>
      </c>
      <c r="U73" s="809">
        <f t="shared" si="246"/>
        <v>22.45734448482726</v>
      </c>
      <c r="V73" s="809">
        <f t="shared" si="246"/>
        <v>31.381643505606078</v>
      </c>
      <c r="W73" s="809">
        <f t="shared" ref="W73" ca="1" si="247">SUM(W69:W71)</f>
        <v>30.016118210116609</v>
      </c>
      <c r="X73" s="809">
        <f>SUM(X69:X71)</f>
        <v>30.2685</v>
      </c>
      <c r="Y73" s="809">
        <f>SUM(Y69:Y71)</f>
        <v>30.2685</v>
      </c>
      <c r="Z73" s="809">
        <f>SUM(Z69:Z71)</f>
        <v>30.2685</v>
      </c>
      <c r="AA73" s="809">
        <f t="shared" ref="AA73:AD73" si="248">SUM(AA69:AA71)</f>
        <v>30.2685</v>
      </c>
      <c r="AB73" s="809">
        <f t="shared" si="248"/>
        <v>30.2685</v>
      </c>
      <c r="AC73" s="809">
        <f t="shared" si="248"/>
        <v>30.2685</v>
      </c>
      <c r="AD73" s="809">
        <f t="shared" si="248"/>
        <v>30.2685</v>
      </c>
      <c r="AE73" s="54"/>
      <c r="AF73" s="23"/>
      <c r="AG73" s="901">
        <f t="shared" ref="AG73:BJ73" si="249">SUM(AG69:AG72)</f>
        <v>0</v>
      </c>
      <c r="AH73" s="901">
        <f t="shared" si="249"/>
        <v>0</v>
      </c>
      <c r="AI73" s="901">
        <f t="shared" si="249"/>
        <v>0</v>
      </c>
      <c r="AJ73" s="901">
        <f t="shared" si="249"/>
        <v>0</v>
      </c>
      <c r="AK73" s="1106">
        <f t="shared" si="249"/>
        <v>0</v>
      </c>
      <c r="AL73" s="901">
        <f t="shared" si="249"/>
        <v>0</v>
      </c>
      <c r="AM73" s="901">
        <f t="shared" si="249"/>
        <v>0</v>
      </c>
      <c r="AN73" s="901">
        <f t="shared" si="249"/>
        <v>0</v>
      </c>
      <c r="AO73" s="901">
        <f t="shared" si="249"/>
        <v>0</v>
      </c>
      <c r="AP73" s="1106">
        <f t="shared" si="249"/>
        <v>0</v>
      </c>
      <c r="AQ73" s="901">
        <f t="shared" si="249"/>
        <v>0</v>
      </c>
      <c r="AR73" s="901">
        <f t="shared" si="249"/>
        <v>0</v>
      </c>
      <c r="AS73" s="901">
        <f t="shared" si="249"/>
        <v>48.564999999999998</v>
      </c>
      <c r="AT73" s="901">
        <f t="shared" si="249"/>
        <v>0</v>
      </c>
      <c r="AU73" s="1106">
        <f t="shared" si="249"/>
        <v>48.564999999999998</v>
      </c>
      <c r="AV73" s="901">
        <f t="shared" si="249"/>
        <v>-11.662000000000001</v>
      </c>
      <c r="AW73" s="901">
        <f t="shared" si="249"/>
        <v>-5.5760000000000005</v>
      </c>
      <c r="AX73" s="901">
        <f t="shared" si="249"/>
        <v>19.010000000000002</v>
      </c>
      <c r="AY73" s="901">
        <f t="shared" si="249"/>
        <v>-87.045000000000002</v>
      </c>
      <c r="AZ73" s="1106">
        <f t="shared" si="249"/>
        <v>-85.272999999999996</v>
      </c>
      <c r="BA73" s="901">
        <f t="shared" si="249"/>
        <v>0</v>
      </c>
      <c r="BB73" s="901">
        <f t="shared" si="249"/>
        <v>0</v>
      </c>
      <c r="BC73" s="901">
        <f t="shared" si="249"/>
        <v>0</v>
      </c>
      <c r="BD73" s="901">
        <f t="shared" si="249"/>
        <v>0</v>
      </c>
      <c r="BE73" s="1106">
        <f t="shared" si="249"/>
        <v>0</v>
      </c>
      <c r="BF73" s="901">
        <f t="shared" si="249"/>
        <v>16.210999999999999</v>
      </c>
      <c r="BG73" s="901">
        <f t="shared" si="249"/>
        <v>0</v>
      </c>
      <c r="BH73" s="901">
        <f t="shared" si="249"/>
        <v>0</v>
      </c>
      <c r="BI73" s="901">
        <f t="shared" si="249"/>
        <v>17.648409270998414</v>
      </c>
      <c r="BJ73" s="1106">
        <f t="shared" si="249"/>
        <v>33.859409270998412</v>
      </c>
      <c r="BK73" s="809">
        <f t="shared" ref="BK73:BT73" si="250">SUM(BK69:BK71)</f>
        <v>0</v>
      </c>
      <c r="BL73" s="809">
        <f t="shared" si="250"/>
        <v>0</v>
      </c>
      <c r="BM73" s="809">
        <f t="shared" si="250"/>
        <v>0</v>
      </c>
      <c r="BN73" s="809">
        <f t="shared" si="250"/>
        <v>33.803632059851601</v>
      </c>
      <c r="BO73" s="1133">
        <f t="shared" si="250"/>
        <v>33.803632059851601</v>
      </c>
      <c r="BP73" s="809">
        <f t="shared" si="250"/>
        <v>0</v>
      </c>
      <c r="BQ73" s="809">
        <f t="shared" si="250"/>
        <v>0</v>
      </c>
      <c r="BR73" s="809">
        <f t="shared" si="250"/>
        <v>1.5269999999999999</v>
      </c>
      <c r="BS73" s="809">
        <f t="shared" si="250"/>
        <v>-9.6470000000000002</v>
      </c>
      <c r="BT73" s="1133">
        <f t="shared" si="250"/>
        <v>-8.120000000000001</v>
      </c>
      <c r="BU73" s="809">
        <f>SUM(BU69:BU72)</f>
        <v>3.395</v>
      </c>
      <c r="BV73" s="809">
        <f>SUM(BV69:BV72)</f>
        <v>0.35029632248939235</v>
      </c>
      <c r="BW73" s="809">
        <f>SUM(BW69:BW72)</f>
        <v>0</v>
      </c>
      <c r="BX73" s="809">
        <f>SUM(BX69:BX72)</f>
        <v>-1.3380000000000001</v>
      </c>
      <c r="BY73" s="1133">
        <f>SUM(BY69:BY72)</f>
        <v>2.4072963224893922</v>
      </c>
      <c r="BZ73" s="809">
        <f t="shared" ref="BZ73:CS73" si="251">SUM(BZ69:BZ71)</f>
        <v>0</v>
      </c>
      <c r="CA73" s="809">
        <f t="shared" si="251"/>
        <v>0</v>
      </c>
      <c r="CB73" s="809">
        <f t="shared" si="251"/>
        <v>0.77298345812293212</v>
      </c>
      <c r="CC73" s="809">
        <f t="shared" si="251"/>
        <v>2.343</v>
      </c>
      <c r="CD73" s="1133">
        <f t="shared" si="251"/>
        <v>3.115983458122932</v>
      </c>
      <c r="CE73" s="809">
        <f t="shared" si="251"/>
        <v>-3.3312647699981555</v>
      </c>
      <c r="CF73" s="809">
        <f t="shared" si="251"/>
        <v>-0.13506530080613932</v>
      </c>
      <c r="CG73" s="809">
        <f t="shared" si="251"/>
        <v>0.99245372814568267</v>
      </c>
      <c r="CH73" s="809">
        <f t="shared" si="251"/>
        <v>2.4407583616004662</v>
      </c>
      <c r="CI73" s="1133">
        <f t="shared" si="251"/>
        <v>-3.3117981058146118E-2</v>
      </c>
      <c r="CJ73" s="809">
        <f t="shared" si="251"/>
        <v>3.0997467214548009</v>
      </c>
      <c r="CK73" s="809">
        <f t="shared" si="251"/>
        <v>10.206</v>
      </c>
      <c r="CL73" s="809">
        <f t="shared" si="251"/>
        <v>2.0854644665045043</v>
      </c>
      <c r="CM73" s="809">
        <f t="shared" si="251"/>
        <v>0.871</v>
      </c>
      <c r="CN73" s="1133">
        <f t="shared" si="251"/>
        <v>16.262211187959306</v>
      </c>
      <c r="CO73" s="809">
        <f t="shared" si="251"/>
        <v>0.62272526097221015</v>
      </c>
      <c r="CP73" s="809">
        <f t="shared" si="251"/>
        <v>1.3587431533343648</v>
      </c>
      <c r="CQ73" s="809">
        <f>SUM(CQ69:CQ71)</f>
        <v>1.7974283659033681</v>
      </c>
      <c r="CR73" s="809">
        <f>SUM(CR69:CR71)</f>
        <v>1.0937393422655295</v>
      </c>
      <c r="CS73" s="1133">
        <f t="shared" si="251"/>
        <v>4.8726361224754724</v>
      </c>
      <c r="CT73" s="809">
        <f t="shared" ref="CT73:DE73" si="252">SUM(CT69:CT71)</f>
        <v>0.48660858178888</v>
      </c>
      <c r="CU73" s="809">
        <f t="shared" si="252"/>
        <v>1.1518313385557932</v>
      </c>
      <c r="CV73" s="809">
        <f t="shared" si="252"/>
        <v>3.1037854138886014</v>
      </c>
      <c r="CW73" s="809">
        <f t="shared" si="252"/>
        <v>1.2902040437304947</v>
      </c>
      <c r="CX73" s="809">
        <f t="shared" si="252"/>
        <v>2.7240749150724097</v>
      </c>
      <c r="CY73" s="809">
        <f t="shared" si="252"/>
        <v>-1.6718139608067515</v>
      </c>
      <c r="CZ73" s="809">
        <f t="shared" si="252"/>
        <v>0.3395433182230283</v>
      </c>
      <c r="DA73" s="809">
        <f t="shared" si="252"/>
        <v>4.0532829953527676</v>
      </c>
      <c r="DB73" s="809">
        <f t="shared" si="252"/>
        <v>0.13928575331487689</v>
      </c>
      <c r="DC73" s="809">
        <f t="shared" si="252"/>
        <v>0.84481140731556048</v>
      </c>
      <c r="DD73" s="809">
        <f t="shared" si="252"/>
        <v>-0.16415165483669197</v>
      </c>
      <c r="DE73" s="809">
        <f t="shared" si="252"/>
        <v>13.208860481285489</v>
      </c>
      <c r="DF73" s="809">
        <f>SUM(DF69:DF71)</f>
        <v>1.0691293912706861</v>
      </c>
      <c r="DG73" s="809">
        <f>SUM(DG69:DG71)</f>
        <v>8.7628838133365186</v>
      </c>
      <c r="DH73" s="809">
        <f>SUM(DH69:DH71)</f>
        <v>10.418774927910155</v>
      </c>
      <c r="DI73" s="809">
        <f>SUM(DI69:DI71)</f>
        <v>21.453343973265774</v>
      </c>
      <c r="DJ73" s="809">
        <f t="shared" ref="DJ73:DM73" si="253">SUM(DJ69:DJ71)</f>
        <v>24.355945329441202</v>
      </c>
      <c r="DK73" s="809">
        <f t="shared" si="253"/>
        <v>11.538867116014611</v>
      </c>
      <c r="DL73" s="809">
        <f t="shared" si="253"/>
        <v>-10.524457489482435</v>
      </c>
      <c r="DM73" s="809">
        <f t="shared" si="253"/>
        <v>-5.2824935664638417E-2</v>
      </c>
      <c r="DN73" s="809">
        <f>SUM(DN69:DN71)</f>
        <v>2.2944288161572461</v>
      </c>
      <c r="DO73" s="809">
        <f>SUM(DO69:DO71)</f>
        <v>21.936216397605662</v>
      </c>
      <c r="DP73" s="809">
        <f>SUM(DP69:DP71)</f>
        <v>2.0273308646186083</v>
      </c>
      <c r="DQ73" s="809">
        <f>SUM(DQ69:DQ71)</f>
        <v>4.9351255403439094</v>
      </c>
      <c r="DR73" s="809">
        <f t="shared" ref="DR73:DU73" si="254">SUM(DR69:DR71)</f>
        <v>0</v>
      </c>
      <c r="DS73" s="809">
        <f t="shared" si="254"/>
        <v>0</v>
      </c>
      <c r="DT73" s="809">
        <f t="shared" si="254"/>
        <v>0</v>
      </c>
      <c r="DU73" s="809">
        <f t="shared" si="254"/>
        <v>0</v>
      </c>
      <c r="DV73" s="809"/>
      <c r="DW73" s="54"/>
      <c r="DX73" s="809"/>
      <c r="DY73" s="809"/>
    </row>
    <row r="74" spans="2:129" customFormat="1" ht="12.75" hidden="1" customHeight="1" outlineLevel="1">
      <c r="B74" s="16"/>
      <c r="C74" s="23"/>
      <c r="D74" s="15"/>
      <c r="E74" s="26"/>
      <c r="F74" s="26"/>
      <c r="G74" s="26"/>
      <c r="H74" s="26"/>
      <c r="I74" s="26"/>
      <c r="J74" s="26"/>
      <c r="K74" s="26"/>
      <c r="L74" s="54"/>
      <c r="M74" s="54"/>
      <c r="N74" s="54"/>
      <c r="O74" s="54"/>
      <c r="P74" s="54"/>
      <c r="Q74" s="54"/>
      <c r="R74" s="54"/>
      <c r="S74" s="54"/>
      <c r="T74" s="54"/>
      <c r="U74" s="54"/>
      <c r="V74" s="54"/>
      <c r="W74" s="54"/>
      <c r="X74" s="54"/>
      <c r="Y74" s="54"/>
      <c r="Z74" s="54"/>
      <c r="AA74" s="54"/>
      <c r="AB74" s="54"/>
      <c r="AC74" s="54"/>
      <c r="AD74" s="54"/>
      <c r="AE74" s="54"/>
      <c r="AF74" s="23"/>
      <c r="AG74" s="123"/>
      <c r="AH74" s="123"/>
      <c r="AI74" s="123"/>
      <c r="AJ74" s="123"/>
      <c r="AK74" s="1103"/>
      <c r="AL74" s="26"/>
      <c r="AM74" s="26"/>
      <c r="AN74" s="26"/>
      <c r="AO74" s="26"/>
      <c r="AP74" s="1103"/>
      <c r="AQ74" s="26"/>
      <c r="AR74" s="26"/>
      <c r="AS74" s="26"/>
      <c r="AT74" s="26"/>
      <c r="AU74" s="1107"/>
      <c r="AV74" s="26"/>
      <c r="AW74" s="26"/>
      <c r="AX74" s="26"/>
      <c r="AY74" s="26"/>
      <c r="AZ74" s="1107"/>
      <c r="BA74" s="26"/>
      <c r="BB74" s="26"/>
      <c r="BC74" s="26"/>
      <c r="BD74" s="26"/>
      <c r="BE74" s="1107"/>
      <c r="BF74" s="26"/>
      <c r="BG74" s="26"/>
      <c r="BH74" s="26"/>
      <c r="BI74" s="26"/>
      <c r="BJ74" s="1107"/>
      <c r="BK74" s="26"/>
      <c r="BL74" s="26"/>
      <c r="BM74" s="26"/>
      <c r="BN74" s="26"/>
      <c r="BO74" s="1107"/>
      <c r="BP74" s="26"/>
      <c r="BQ74" s="26"/>
      <c r="BR74" s="26"/>
      <c r="BS74" s="195"/>
      <c r="BT74" s="42"/>
      <c r="BU74" s="26"/>
      <c r="BV74" s="26"/>
      <c r="BW74" s="26"/>
      <c r="BX74" s="26"/>
      <c r="BY74" s="1107"/>
      <c r="BZ74" s="54"/>
      <c r="CA74" s="54"/>
      <c r="CB74" s="54"/>
      <c r="CC74" s="54"/>
      <c r="CD74" s="1110"/>
      <c r="CE74" s="54"/>
      <c r="CF74" s="54"/>
      <c r="CG74" s="54"/>
      <c r="CH74" s="54"/>
      <c r="CI74" s="1110"/>
      <c r="CJ74" s="54"/>
      <c r="CK74" s="54"/>
      <c r="CL74" s="54"/>
      <c r="CM74" s="54"/>
      <c r="CN74" s="1110"/>
      <c r="CO74" s="54"/>
      <c r="CP74" s="54"/>
      <c r="CQ74" s="54"/>
      <c r="CR74" s="54"/>
      <c r="CS74" s="1110"/>
      <c r="CT74" s="54"/>
      <c r="CU74" s="54"/>
      <c r="CV74" s="54"/>
      <c r="CW74" s="54"/>
      <c r="CX74" s="54"/>
      <c r="CY74" s="54"/>
      <c r="CZ74" s="54"/>
      <c r="DA74" s="54"/>
      <c r="DB74" s="54"/>
      <c r="DC74" s="54"/>
      <c r="DD74" s="54"/>
      <c r="DE74" s="54"/>
      <c r="DF74" s="54"/>
      <c r="DG74" s="54"/>
      <c r="DH74" s="54"/>
      <c r="DI74" s="54"/>
      <c r="DJ74" s="54"/>
      <c r="DK74" s="54"/>
      <c r="DL74" s="54"/>
      <c r="DM74" s="54"/>
      <c r="DN74" s="54"/>
      <c r="DO74" s="54"/>
      <c r="DP74" s="54"/>
      <c r="DQ74" s="54"/>
      <c r="DR74" s="54"/>
      <c r="DS74" s="54"/>
      <c r="DT74" s="54"/>
      <c r="DU74" s="54"/>
      <c r="DV74" s="54"/>
      <c r="DW74" s="54"/>
      <c r="DX74" s="54"/>
      <c r="DY74" s="54"/>
    </row>
    <row r="75" spans="2:129" customFormat="1" hidden="1" outlineLevel="1">
      <c r="B75" s="14" t="s">
        <v>375</v>
      </c>
      <c r="C75" s="23"/>
      <c r="D75" s="195">
        <f>D73+D67</f>
        <v>-20.791000000000004</v>
      </c>
      <c r="E75" s="195">
        <f>E73+E67</f>
        <v>-119.79000000000002</v>
      </c>
      <c r="F75" s="195">
        <f>F73+F67</f>
        <v>-139.85</v>
      </c>
      <c r="G75" s="195">
        <f t="shared" ref="G75:N75" si="255">G73+G67-G66</f>
        <v>-106.89100000000001</v>
      </c>
      <c r="H75" s="195">
        <f t="shared" si="255"/>
        <v>-84.170999999999992</v>
      </c>
      <c r="I75" s="195">
        <f t="shared" si="255"/>
        <v>-34.771590729001602</v>
      </c>
      <c r="J75" s="195">
        <f t="shared" si="255"/>
        <v>-8.8083679401483721</v>
      </c>
      <c r="K75" s="195">
        <f t="shared" si="255"/>
        <v>-14.516999999999943</v>
      </c>
      <c r="L75" s="195">
        <f t="shared" si="255"/>
        <v>-2.7807036775105258</v>
      </c>
      <c r="M75" s="195">
        <f t="shared" si="255"/>
        <v>111.03998345812286</v>
      </c>
      <c r="N75" s="195">
        <f t="shared" si="255"/>
        <v>69.3978820189419</v>
      </c>
      <c r="O75" s="195">
        <f t="shared" ref="O75:Y75" si="256">O73+O67-O66</f>
        <v>61.906093531347295</v>
      </c>
      <c r="P75" s="195">
        <f t="shared" si="256"/>
        <v>97.518132239042174</v>
      </c>
      <c r="Q75" s="195">
        <f t="shared" ref="Q75:V75" si="257">Q73+Q67-Q66</f>
        <v>149.2269154393442</v>
      </c>
      <c r="R75" s="195">
        <f t="shared" si="257"/>
        <v>101.27506061685624</v>
      </c>
      <c r="S75" s="195">
        <f t="shared" si="257"/>
        <v>-258.22000000000043</v>
      </c>
      <c r="T75" s="195">
        <f t="shared" si="257"/>
        <v>224.90465811998271</v>
      </c>
      <c r="U75" s="195">
        <f t="shared" si="257"/>
        <v>149.25734448482723</v>
      </c>
      <c r="V75" s="195">
        <f t="shared" si="257"/>
        <v>264.36364350560649</v>
      </c>
      <c r="W75" s="195">
        <f t="shared" ref="W75" ca="1" si="258">W73+W67-W66</f>
        <v>503.98115831637909</v>
      </c>
      <c r="X75" s="195">
        <f t="shared" ca="1" si="256"/>
        <v>736.61638722767009</v>
      </c>
      <c r="Y75" s="195">
        <f t="shared" ca="1" si="256"/>
        <v>837.42720873613689</v>
      </c>
      <c r="Z75" s="195">
        <f ca="1">Z73+Z67-Z66</f>
        <v>926.93202265972127</v>
      </c>
      <c r="AA75" s="195">
        <f t="shared" ref="AA75:AD75" ca="1" si="259">AA73+AA67-AA66</f>
        <v>1135.7921363805249</v>
      </c>
      <c r="AB75" s="195">
        <f t="shared" ca="1" si="259"/>
        <v>1698.9340784405742</v>
      </c>
      <c r="AC75" s="195">
        <f t="shared" ca="1" si="259"/>
        <v>2118.9789062960772</v>
      </c>
      <c r="AD75" s="195">
        <f t="shared" ca="1" si="259"/>
        <v>2287.5851991772161</v>
      </c>
      <c r="AE75" s="54"/>
      <c r="AF75" s="23"/>
      <c r="AG75" s="195">
        <f t="shared" ref="AG75:BT75" si="260">AG73+AG67</f>
        <v>-1.3449999999999998</v>
      </c>
      <c r="AH75" s="195">
        <f t="shared" si="260"/>
        <v>-3.1200000000000006</v>
      </c>
      <c r="AI75" s="195">
        <f t="shared" si="260"/>
        <v>-6.2880000000000003</v>
      </c>
      <c r="AJ75" s="195">
        <f t="shared" si="260"/>
        <v>-10.038000000000002</v>
      </c>
      <c r="AK75" s="1111">
        <f t="shared" si="260"/>
        <v>-20.791000000000004</v>
      </c>
      <c r="AL75" s="195">
        <f t="shared" si="260"/>
        <v>-18.009</v>
      </c>
      <c r="AM75" s="195">
        <f t="shared" si="260"/>
        <v>-26.810999999999996</v>
      </c>
      <c r="AN75" s="195">
        <f t="shared" si="260"/>
        <v>-32.085000000000001</v>
      </c>
      <c r="AO75" s="195">
        <f t="shared" si="260"/>
        <v>-42.885000000000005</v>
      </c>
      <c r="AP75" s="1111">
        <f t="shared" si="260"/>
        <v>-119.79000000000002</v>
      </c>
      <c r="AQ75" s="195">
        <f t="shared" si="260"/>
        <v>-41.536999999999999</v>
      </c>
      <c r="AR75" s="195">
        <f t="shared" si="260"/>
        <v>-37.856999999999999</v>
      </c>
      <c r="AS75" s="195">
        <f t="shared" si="260"/>
        <v>-33.009</v>
      </c>
      <c r="AT75" s="195">
        <f t="shared" si="260"/>
        <v>-27.446999999999999</v>
      </c>
      <c r="AU75" s="1111">
        <f t="shared" si="260"/>
        <v>-139.85000000000002</v>
      </c>
      <c r="AV75" s="195">
        <f t="shared" si="260"/>
        <v>-25.355999999999998</v>
      </c>
      <c r="AW75" s="195">
        <f t="shared" si="260"/>
        <v>-30.132999999999999</v>
      </c>
      <c r="AX75" s="195">
        <f t="shared" si="260"/>
        <v>-25.077999999999999</v>
      </c>
      <c r="AY75" s="195">
        <f t="shared" si="260"/>
        <v>-26.324000000000005</v>
      </c>
      <c r="AZ75" s="1111">
        <f t="shared" si="260"/>
        <v>-106.89100000000001</v>
      </c>
      <c r="BA75" s="195">
        <f t="shared" si="260"/>
        <v>-25.552999999999997</v>
      </c>
      <c r="BB75" s="195">
        <f t="shared" si="260"/>
        <v>-21.203000000000007</v>
      </c>
      <c r="BC75" s="195">
        <f t="shared" si="260"/>
        <v>-19.717999999999996</v>
      </c>
      <c r="BD75" s="195">
        <f t="shared" si="260"/>
        <v>-17.697000000000006</v>
      </c>
      <c r="BE75" s="1111">
        <f t="shared" si="260"/>
        <v>-84.171000000000006</v>
      </c>
      <c r="BF75" s="195">
        <f t="shared" si="260"/>
        <v>-13.930999999999994</v>
      </c>
      <c r="BG75" s="195">
        <f t="shared" si="260"/>
        <v>-9.2049999999999983</v>
      </c>
      <c r="BH75" s="195">
        <f t="shared" si="260"/>
        <v>-6.6149999999999993</v>
      </c>
      <c r="BI75" s="195">
        <f t="shared" si="260"/>
        <v>-5.0205907290015794</v>
      </c>
      <c r="BJ75" s="1111">
        <f t="shared" si="260"/>
        <v>-34.771590729001602</v>
      </c>
      <c r="BK75" s="195">
        <f t="shared" si="260"/>
        <v>-5.7940000000000014</v>
      </c>
      <c r="BL75" s="195">
        <f t="shared" si="260"/>
        <v>-3.4310000000000005</v>
      </c>
      <c r="BM75" s="195">
        <f t="shared" si="260"/>
        <v>-0.78300000000000491</v>
      </c>
      <c r="BN75" s="195">
        <f t="shared" si="260"/>
        <v>1.199632059851595</v>
      </c>
      <c r="BO75" s="1111">
        <f t="shared" si="260"/>
        <v>-8.8083679401484005</v>
      </c>
      <c r="BP75" s="195">
        <f t="shared" si="260"/>
        <v>-5.0699999999999985</v>
      </c>
      <c r="BQ75" s="195">
        <f t="shared" si="260"/>
        <v>-5.269999999999996</v>
      </c>
      <c r="BR75" s="195">
        <f t="shared" si="260"/>
        <v>-3.6410000000000009</v>
      </c>
      <c r="BS75" s="195">
        <f t="shared" si="260"/>
        <v>-0.53600000000001558</v>
      </c>
      <c r="BT75" s="1111">
        <f t="shared" si="260"/>
        <v>-14.517000000000003</v>
      </c>
      <c r="BU75" s="195">
        <f t="shared" ref="BU75:CS75" si="261">BU73+BU67-BU66</f>
        <v>-1.0609999999999888</v>
      </c>
      <c r="BV75" s="195">
        <f t="shared" si="261"/>
        <v>1.567296322489407</v>
      </c>
      <c r="BW75" s="195">
        <f t="shared" si="261"/>
        <v>4.1239999999999934</v>
      </c>
      <c r="BX75" s="195">
        <f t="shared" si="261"/>
        <v>-7.4110000000000023</v>
      </c>
      <c r="BY75" s="1111">
        <f t="shared" si="261"/>
        <v>-2.7807036775105827</v>
      </c>
      <c r="BZ75" s="195">
        <f t="shared" si="261"/>
        <v>3.7970000000000059</v>
      </c>
      <c r="CA75" s="195">
        <f t="shared" si="261"/>
        <v>0.70799999999998109</v>
      </c>
      <c r="CB75" s="195">
        <f t="shared" si="261"/>
        <v>6.3289834581228925</v>
      </c>
      <c r="CC75" s="195">
        <f t="shared" si="261"/>
        <v>100.206</v>
      </c>
      <c r="CD75" s="1111">
        <f t="shared" si="261"/>
        <v>111.03998345812286</v>
      </c>
      <c r="CE75" s="195">
        <f t="shared" si="261"/>
        <v>12.125735230001874</v>
      </c>
      <c r="CF75" s="195">
        <f t="shared" si="261"/>
        <v>17.304934699193858</v>
      </c>
      <c r="CG75" s="195">
        <f t="shared" si="261"/>
        <v>19.804453728145688</v>
      </c>
      <c r="CH75" s="195">
        <f t="shared" si="261"/>
        <v>20.16275836160046</v>
      </c>
      <c r="CI75" s="1111">
        <f t="shared" si="261"/>
        <v>69.397882018941928</v>
      </c>
      <c r="CJ75" s="195">
        <f t="shared" si="261"/>
        <v>17.298746721454815</v>
      </c>
      <c r="CK75" s="195">
        <f t="shared" si="261"/>
        <v>7.9319999999999711</v>
      </c>
      <c r="CL75" s="195">
        <f t="shared" si="261"/>
        <v>13.281464466504518</v>
      </c>
      <c r="CM75" s="195">
        <f t="shared" si="261"/>
        <v>14.631000000000011</v>
      </c>
      <c r="CN75" s="1111">
        <f t="shared" si="261"/>
        <v>53.143211187959238</v>
      </c>
      <c r="CO75" s="195">
        <f t="shared" si="261"/>
        <v>25.767725260972192</v>
      </c>
      <c r="CP75" s="195">
        <f t="shared" si="261"/>
        <v>32.088743153334356</v>
      </c>
      <c r="CQ75" s="195">
        <f>CQ73+CQ67-CQ66</f>
        <v>22.116428365903328</v>
      </c>
      <c r="CR75" s="195">
        <f>CR73+CR67-CR66</f>
        <v>18.903739342265517</v>
      </c>
      <c r="CS75" s="1111">
        <f t="shared" si="261"/>
        <v>97.482636122475625</v>
      </c>
      <c r="CT75" s="195">
        <f t="shared" ref="CT75:DE75" si="262">CT73+CT67-CT66</f>
        <v>32.604608581788888</v>
      </c>
      <c r="CU75" s="195">
        <f t="shared" si="262"/>
        <v>36.75883133855578</v>
      </c>
      <c r="CV75" s="195">
        <f t="shared" si="262"/>
        <v>30.068785413888548</v>
      </c>
      <c r="CW75" s="195">
        <f t="shared" si="262"/>
        <v>46.628204043730499</v>
      </c>
      <c r="CX75" s="195">
        <f t="shared" si="262"/>
        <v>35.567074915072304</v>
      </c>
      <c r="CY75" s="195">
        <f t="shared" si="262"/>
        <v>-27.487813960806744</v>
      </c>
      <c r="CZ75" s="195">
        <f t="shared" si="262"/>
        <v>42.810543318223118</v>
      </c>
      <c r="DA75" s="195">
        <f t="shared" si="262"/>
        <v>49.2402829953528</v>
      </c>
      <c r="DB75" s="195">
        <f t="shared" si="262"/>
        <v>41.526285753314902</v>
      </c>
      <c r="DC75" s="195">
        <f t="shared" si="262"/>
        <v>12.172811407315594</v>
      </c>
      <c r="DD75" s="195">
        <f t="shared" si="262"/>
        <v>42.676848345163307</v>
      </c>
      <c r="DE75" s="195">
        <f t="shared" si="262"/>
        <v>-341.89413951871444</v>
      </c>
      <c r="DF75" s="195">
        <f>DF73+DF67-DF66</f>
        <v>77.521129391270705</v>
      </c>
      <c r="DG75" s="195">
        <f>DG73+DG67-DG66</f>
        <v>68.22188381333639</v>
      </c>
      <c r="DH75" s="195">
        <f>DH73+DH67-DH66</f>
        <v>51.55077492791019</v>
      </c>
      <c r="DI75" s="195">
        <f>DI73+DI67-DI66</f>
        <v>32.184343973265676</v>
      </c>
      <c r="DJ75" s="195">
        <f t="shared" ref="DJ75:DM75" si="263">DJ73+DJ67-DJ66</f>
        <v>-6.7550546705587813</v>
      </c>
      <c r="DK75" s="195">
        <f t="shared" si="263"/>
        <v>56.249867116014627</v>
      </c>
      <c r="DL75" s="195">
        <f t="shared" si="263"/>
        <v>40.925542510517502</v>
      </c>
      <c r="DM75" s="195">
        <f t="shared" si="263"/>
        <v>61.697175064335319</v>
      </c>
      <c r="DN75" s="195">
        <f>DN73+DN67-DN66</f>
        <v>44.356428816157383</v>
      </c>
      <c r="DO75" s="195">
        <f>DO73+DO67-DO66</f>
        <v>67.741216397605697</v>
      </c>
      <c r="DP75" s="195">
        <f>DP73+DP67-DP66</f>
        <v>81.927330864618568</v>
      </c>
      <c r="DQ75" s="195">
        <f>DQ73+DQ67-DQ66</f>
        <v>70.150125540343936</v>
      </c>
      <c r="DR75" s="195">
        <f t="shared" ref="DR75:DU75" ca="1" si="264">DR73+DR67-DR66</f>
        <v>96.458002345945189</v>
      </c>
      <c r="DS75" s="195">
        <f t="shared" ca="1" si="264"/>
        <v>121.11282891771445</v>
      </c>
      <c r="DT75" s="195">
        <f t="shared" ca="1" si="264"/>
        <v>135.73520266336968</v>
      </c>
      <c r="DU75" s="195">
        <f t="shared" ca="1" si="264"/>
        <v>147.22698638391648</v>
      </c>
      <c r="DV75" s="195"/>
      <c r="DW75" s="54"/>
      <c r="DX75" s="195"/>
      <c r="DY75" s="195"/>
    </row>
    <row r="76" spans="2:129" customFormat="1" hidden="1" outlineLevel="1">
      <c r="B76" s="14"/>
      <c r="C76" s="23"/>
      <c r="D76" s="15"/>
      <c r="E76" s="195"/>
      <c r="F76" s="195"/>
      <c r="G76" s="195"/>
      <c r="H76" s="195"/>
      <c r="I76" s="195"/>
      <c r="J76" s="195"/>
      <c r="K76" s="195"/>
      <c r="L76" s="195"/>
      <c r="M76" s="195"/>
      <c r="N76" s="195"/>
      <c r="O76" s="113"/>
      <c r="P76" s="113"/>
      <c r="Q76" s="113"/>
      <c r="R76" s="113"/>
      <c r="S76" s="113"/>
      <c r="T76" s="113"/>
      <c r="U76" s="113"/>
      <c r="V76" s="113"/>
      <c r="W76" s="113"/>
      <c r="X76" s="113"/>
      <c r="Y76" s="113"/>
      <c r="Z76" s="113"/>
      <c r="AA76" s="113"/>
      <c r="AB76" s="113"/>
      <c r="AC76" s="113"/>
      <c r="AD76" s="113"/>
      <c r="AE76" s="54"/>
      <c r="AF76" s="23"/>
      <c r="AG76" s="195"/>
      <c r="AH76" s="195"/>
      <c r="AI76" s="195"/>
      <c r="AJ76" s="195"/>
      <c r="AK76" s="1111"/>
      <c r="AL76" s="195"/>
      <c r="AM76" s="195"/>
      <c r="AN76" s="195"/>
      <c r="AO76" s="195"/>
      <c r="AP76" s="1111"/>
      <c r="AQ76" s="195"/>
      <c r="AR76" s="195"/>
      <c r="AS76" s="195"/>
      <c r="AT76" s="195"/>
      <c r="AU76" s="1111"/>
      <c r="AV76" s="195"/>
      <c r="AW76" s="195"/>
      <c r="AX76" s="195"/>
      <c r="AY76" s="195"/>
      <c r="AZ76" s="1111"/>
      <c r="BA76" s="195"/>
      <c r="BB76" s="195"/>
      <c r="BC76" s="195"/>
      <c r="BD76" s="195"/>
      <c r="BE76" s="1111"/>
      <c r="BF76" s="195"/>
      <c r="BG76" s="195"/>
      <c r="BH76" s="195"/>
      <c r="BI76" s="195"/>
      <c r="BJ76" s="1111"/>
      <c r="BK76" s="195"/>
      <c r="BL76" s="195"/>
      <c r="BM76" s="195"/>
      <c r="BN76" s="195"/>
      <c r="BO76" s="1111"/>
      <c r="BP76" s="195"/>
      <c r="BQ76" s="195"/>
      <c r="BR76" s="195"/>
      <c r="BS76" s="195"/>
      <c r="BT76" s="1111"/>
      <c r="BU76" s="195"/>
      <c r="BV76" s="195"/>
      <c r="BW76" s="195"/>
      <c r="BX76" s="195"/>
      <c r="BY76" s="1111"/>
      <c r="BZ76" s="195"/>
      <c r="CA76" s="195"/>
      <c r="CB76" s="195"/>
      <c r="CC76" s="195"/>
      <c r="CD76" s="1111"/>
      <c r="CE76" s="195"/>
      <c r="CF76" s="195"/>
      <c r="CG76" s="195"/>
      <c r="CH76" s="195"/>
      <c r="CI76" s="1111"/>
      <c r="CJ76" s="932"/>
      <c r="CK76" s="932"/>
      <c r="CL76" s="932"/>
      <c r="CM76" s="932"/>
      <c r="CN76" s="1111"/>
      <c r="CO76" s="932"/>
      <c r="CP76" s="932"/>
      <c r="CQ76" s="932"/>
      <c r="CR76" s="932"/>
      <c r="CS76" s="1111"/>
      <c r="CT76" s="932"/>
      <c r="CU76" s="932"/>
      <c r="CV76" s="932"/>
      <c r="CW76" s="932"/>
      <c r="CX76" s="932"/>
      <c r="CY76" s="932"/>
      <c r="CZ76" s="932"/>
      <c r="DA76" s="932"/>
      <c r="DB76" s="932"/>
      <c r="DC76" s="932"/>
      <c r="DD76" s="932"/>
      <c r="DE76" s="932"/>
      <c r="DF76" s="932"/>
      <c r="DG76" s="932"/>
      <c r="DH76" s="932"/>
      <c r="DI76" s="932"/>
      <c r="DJ76" s="932"/>
      <c r="DK76" s="932"/>
      <c r="DL76" s="932"/>
      <c r="DM76" s="932"/>
      <c r="DN76" s="932"/>
      <c r="DO76" s="932"/>
      <c r="DP76" s="932"/>
      <c r="DQ76" s="932"/>
      <c r="DR76" s="932"/>
      <c r="DS76" s="932"/>
      <c r="DT76" s="932"/>
      <c r="DU76" s="932"/>
      <c r="DV76" s="195"/>
      <c r="DW76" s="54"/>
      <c r="DX76" s="195"/>
      <c r="DY76" s="195"/>
    </row>
    <row r="77" spans="2:129" customFormat="1" hidden="1" outlineLevel="1">
      <c r="B77" s="23" t="s">
        <v>376</v>
      </c>
      <c r="C77" s="23"/>
      <c r="D77" s="26">
        <f>AK77</f>
        <v>0</v>
      </c>
      <c r="E77" s="26">
        <f>AP77</f>
        <v>0</v>
      </c>
      <c r="F77" s="54">
        <f>AU77</f>
        <v>0</v>
      </c>
      <c r="G77" s="54">
        <f>AZ77</f>
        <v>0</v>
      </c>
      <c r="H77" s="54">
        <f>BE77</f>
        <v>0</v>
      </c>
      <c r="I77" s="54">
        <f>BJ77</f>
        <v>0</v>
      </c>
      <c r="J77" s="54">
        <f>BO77</f>
        <v>0</v>
      </c>
      <c r="K77" s="54">
        <f>BT77</f>
        <v>0</v>
      </c>
      <c r="L77" s="54">
        <f>BY77</f>
        <v>0</v>
      </c>
      <c r="M77" s="54">
        <f>CD77</f>
        <v>8.0589999999999993</v>
      </c>
      <c r="N77" s="54">
        <f>CI77</f>
        <v>2.3E-2</v>
      </c>
      <c r="O77" s="54">
        <f>CN77</f>
        <v>0</v>
      </c>
      <c r="P77" s="54">
        <f>O77</f>
        <v>0</v>
      </c>
      <c r="Q77" s="54">
        <f t="shared" ref="Q77:W77" si="265">P77</f>
        <v>0</v>
      </c>
      <c r="R77" s="54">
        <f t="shared" si="265"/>
        <v>0</v>
      </c>
      <c r="S77" s="54">
        <f t="shared" si="265"/>
        <v>0</v>
      </c>
      <c r="T77" s="54">
        <f t="shared" si="265"/>
        <v>0</v>
      </c>
      <c r="U77" s="54">
        <f t="shared" si="265"/>
        <v>0</v>
      </c>
      <c r="V77" s="54">
        <f t="shared" si="265"/>
        <v>0</v>
      </c>
      <c r="W77" s="54">
        <f t="shared" si="265"/>
        <v>0</v>
      </c>
      <c r="X77" s="54">
        <f>W77</f>
        <v>0</v>
      </c>
      <c r="Y77" s="54">
        <f>X77</f>
        <v>0</v>
      </c>
      <c r="Z77" s="54">
        <f>Y77</f>
        <v>0</v>
      </c>
      <c r="AA77" s="54">
        <f t="shared" ref="AA77:AD77" si="266">Z77</f>
        <v>0</v>
      </c>
      <c r="AB77" s="54">
        <f t="shared" si="266"/>
        <v>0</v>
      </c>
      <c r="AC77" s="54">
        <f t="shared" si="266"/>
        <v>0</v>
      </c>
      <c r="AD77" s="54">
        <f t="shared" si="266"/>
        <v>0</v>
      </c>
      <c r="AE77" s="54"/>
      <c r="AF77" s="23"/>
      <c r="AG77" s="783">
        <v>0</v>
      </c>
      <c r="AH77" s="783">
        <v>0</v>
      </c>
      <c r="AI77" s="783">
        <v>0</v>
      </c>
      <c r="AJ77" s="783">
        <v>0</v>
      </c>
      <c r="AK77" s="1106">
        <f>SUM(AG77:AJ77)</f>
        <v>0</v>
      </c>
      <c r="AL77" s="783">
        <v>0</v>
      </c>
      <c r="AM77" s="783">
        <v>0</v>
      </c>
      <c r="AN77" s="783">
        <v>0</v>
      </c>
      <c r="AO77" s="783">
        <v>0</v>
      </c>
      <c r="AP77" s="1106">
        <f>SUM(AL77:AO77)</f>
        <v>0</v>
      </c>
      <c r="AQ77" s="783">
        <v>0</v>
      </c>
      <c r="AR77" s="783">
        <v>0</v>
      </c>
      <c r="AS77" s="783">
        <v>0</v>
      </c>
      <c r="AT77" s="783">
        <v>0</v>
      </c>
      <c r="AU77" s="1106">
        <f>SUM(AQ77:AT77)</f>
        <v>0</v>
      </c>
      <c r="AV77" s="783">
        <v>0</v>
      </c>
      <c r="AW77" s="783">
        <v>0</v>
      </c>
      <c r="AX77" s="783">
        <v>0</v>
      </c>
      <c r="AY77" s="783">
        <v>0</v>
      </c>
      <c r="AZ77" s="1106">
        <f>SUM(AV77:AY77)</f>
        <v>0</v>
      </c>
      <c r="BA77" s="783">
        <v>0</v>
      </c>
      <c r="BB77" s="783">
        <v>0</v>
      </c>
      <c r="BC77" s="783">
        <v>0</v>
      </c>
      <c r="BD77" s="783">
        <v>0</v>
      </c>
      <c r="BE77" s="1106">
        <f>SUM(BA77:BD77)</f>
        <v>0</v>
      </c>
      <c r="BF77" s="783">
        <v>0</v>
      </c>
      <c r="BG77" s="783">
        <v>0</v>
      </c>
      <c r="BH77" s="783">
        <v>0</v>
      </c>
      <c r="BI77" s="783">
        <v>0</v>
      </c>
      <c r="BJ77" s="1106">
        <f>SUM(BF77:BI77)</f>
        <v>0</v>
      </c>
      <c r="BK77" s="783">
        <v>0</v>
      </c>
      <c r="BL77" s="783">
        <v>0</v>
      </c>
      <c r="BM77" s="783">
        <v>0</v>
      </c>
      <c r="BN77" s="783">
        <v>0</v>
      </c>
      <c r="BO77" s="1106">
        <f>SUM(BK77:BN77)</f>
        <v>0</v>
      </c>
      <c r="BP77" s="783">
        <v>0</v>
      </c>
      <c r="BQ77" s="783">
        <v>0</v>
      </c>
      <c r="BR77" s="783">
        <v>0</v>
      </c>
      <c r="BS77" s="783">
        <v>0.7</v>
      </c>
      <c r="BT77" s="1137">
        <v>0</v>
      </c>
      <c r="BU77" s="783">
        <v>0</v>
      </c>
      <c r="BV77" s="783">
        <v>0</v>
      </c>
      <c r="BW77" s="783">
        <v>0</v>
      </c>
      <c r="BX77" s="783">
        <v>0</v>
      </c>
      <c r="BY77" s="1110">
        <f>SUM(BU77:BX77)</f>
        <v>0</v>
      </c>
      <c r="BZ77" s="907">
        <v>0</v>
      </c>
      <c r="CA77" s="907">
        <v>0</v>
      </c>
      <c r="CB77" s="907">
        <v>0</v>
      </c>
      <c r="CC77" s="907">
        <v>2.9449999999999998</v>
      </c>
      <c r="CD77" s="1120">
        <v>8.0589999999999993</v>
      </c>
      <c r="CE77" s="907">
        <v>0</v>
      </c>
      <c r="CF77" s="907">
        <v>0</v>
      </c>
      <c r="CG77" s="907">
        <v>0</v>
      </c>
      <c r="CH77" s="907">
        <v>0</v>
      </c>
      <c r="CI77" s="1120">
        <v>2.3E-2</v>
      </c>
      <c r="CJ77" s="907">
        <v>0</v>
      </c>
      <c r="CK77" s="907">
        <v>0</v>
      </c>
      <c r="CL77" s="907">
        <v>0</v>
      </c>
      <c r="CM77" s="907">
        <v>0</v>
      </c>
      <c r="CN77" s="1110">
        <f>SUM(CJ77:CM77)</f>
        <v>0</v>
      </c>
      <c r="CO77" s="907">
        <v>0</v>
      </c>
      <c r="CP77" s="907">
        <v>0</v>
      </c>
      <c r="CQ77" s="907">
        <v>0</v>
      </c>
      <c r="CR77" s="907">
        <v>0</v>
      </c>
      <c r="CS77" s="1110">
        <f>SUM(CO77:CR77)</f>
        <v>0</v>
      </c>
      <c r="CT77" s="907">
        <v>0</v>
      </c>
      <c r="CU77" s="907">
        <v>0</v>
      </c>
      <c r="CV77" s="907">
        <v>0</v>
      </c>
      <c r="CW77" s="907">
        <v>0</v>
      </c>
      <c r="CX77" s="907">
        <v>0</v>
      </c>
      <c r="CY77" s="907">
        <v>0</v>
      </c>
      <c r="CZ77" s="907">
        <v>0</v>
      </c>
      <c r="DA77" s="907">
        <v>0</v>
      </c>
      <c r="DB77" s="907">
        <v>0</v>
      </c>
      <c r="DC77" s="907">
        <v>0</v>
      </c>
      <c r="DD77" s="907">
        <v>0</v>
      </c>
      <c r="DE77" s="907">
        <v>0</v>
      </c>
      <c r="DF77" s="907">
        <v>0</v>
      </c>
      <c r="DG77" s="907">
        <v>0</v>
      </c>
      <c r="DH77" s="907">
        <v>0</v>
      </c>
      <c r="DI77" s="907">
        <v>0</v>
      </c>
      <c r="DJ77" s="907">
        <v>0</v>
      </c>
      <c r="DK77" s="907">
        <v>0</v>
      </c>
      <c r="DL77" s="907">
        <v>0</v>
      </c>
      <c r="DM77" s="907">
        <v>0</v>
      </c>
      <c r="DN77" s="907">
        <v>0</v>
      </c>
      <c r="DO77" s="907">
        <v>0</v>
      </c>
      <c r="DP77" s="907">
        <v>0</v>
      </c>
      <c r="DQ77" s="907">
        <v>0</v>
      </c>
      <c r="DR77" s="907">
        <v>0</v>
      </c>
      <c r="DS77" s="907">
        <v>0</v>
      </c>
      <c r="DT77" s="907">
        <v>0</v>
      </c>
      <c r="DU77" s="907">
        <v>0</v>
      </c>
      <c r="DV77" s="54"/>
      <c r="DW77" s="54"/>
      <c r="DX77" s="54"/>
      <c r="DY77" s="54"/>
    </row>
    <row r="78" spans="2:129" customFormat="1" hidden="1" outlineLevel="1">
      <c r="B78" s="23" t="s">
        <v>377</v>
      </c>
      <c r="C78" s="23"/>
      <c r="D78" s="933">
        <f t="shared" ref="D78:N78" si="267">(D$63+D77)/D82</f>
        <v>-0.73839542564903948</v>
      </c>
      <c r="E78" s="933">
        <f t="shared" si="267"/>
        <v>-2.105087426412442</v>
      </c>
      <c r="F78" s="933">
        <f t="shared" si="267"/>
        <v>-2.3946696152819613</v>
      </c>
      <c r="G78" s="933">
        <f t="shared" si="267"/>
        <v>-7.2301003344481627</v>
      </c>
      <c r="H78" s="933">
        <f t="shared" si="267"/>
        <v>-8.7641607663473557</v>
      </c>
      <c r="I78" s="933">
        <f t="shared" si="267"/>
        <v>-3.8732998476211979</v>
      </c>
      <c r="J78" s="933">
        <f t="shared" si="267"/>
        <v>-1.7787610619469016</v>
      </c>
      <c r="K78" s="933">
        <f t="shared" si="267"/>
        <v>-0.22405519946761729</v>
      </c>
      <c r="L78" s="933">
        <f t="shared" si="267"/>
        <v>-0.16143888473985304</v>
      </c>
      <c r="M78" s="933">
        <f t="shared" si="267"/>
        <v>2.7892597758645552</v>
      </c>
      <c r="N78" s="933">
        <f t="shared" si="267"/>
        <v>1.7505292872265357</v>
      </c>
      <c r="O78" s="933">
        <f t="shared" ref="O78:Z78" si="268">(O$63+O77)/O82</f>
        <v>0.82305288997991422</v>
      </c>
      <c r="P78" s="933">
        <f t="shared" si="268"/>
        <v>1.9103806424663135</v>
      </c>
      <c r="Q78" s="933">
        <f t="shared" si="268"/>
        <v>2.739807832178538</v>
      </c>
      <c r="R78" s="933">
        <f t="shared" si="268"/>
        <v>1.8314462772519642</v>
      </c>
      <c r="S78" s="933">
        <f t="shared" si="268"/>
        <v>-4.8378678022554125</v>
      </c>
      <c r="T78" s="933">
        <f>(T$63+T77)/T82</f>
        <v>3.2183805602094551</v>
      </c>
      <c r="U78" s="933">
        <f>(U$63+U77)/U82</f>
        <v>1.796269341238051</v>
      </c>
      <c r="V78" s="933">
        <f>(V$63+V77)/V82</f>
        <v>3.0089176745597719</v>
      </c>
      <c r="W78" s="933">
        <f ca="1">(W$63+W77)/W82</f>
        <v>5.9212995148727741</v>
      </c>
      <c r="X78" s="933">
        <f t="shared" ca="1" si="268"/>
        <v>8.5158016440649558</v>
      </c>
      <c r="Y78" s="933">
        <f t="shared" ca="1" si="268"/>
        <v>9.3917785115511307</v>
      </c>
      <c r="Z78" s="933">
        <f t="shared" ca="1" si="268"/>
        <v>10.070286068488072</v>
      </c>
      <c r="AA78" s="933">
        <f t="shared" ref="AA78:AD78" ca="1" si="269">(AA$63+AA77)/AA82</f>
        <v>11.985084719790914</v>
      </c>
      <c r="AB78" s="933">
        <f t="shared" ca="1" si="269"/>
        <v>17.463726584417955</v>
      </c>
      <c r="AC78" s="933">
        <f t="shared" ca="1" si="269"/>
        <v>21.104298538109571</v>
      </c>
      <c r="AD78" s="933">
        <f t="shared" ca="1" si="269"/>
        <v>22.021043244204655</v>
      </c>
      <c r="AE78" s="54"/>
      <c r="AF78" s="23"/>
      <c r="AG78" s="933">
        <f t="shared" ref="AG78:BL78" si="270">(AG$63+AG77)/AG82</f>
        <v>-0.74473975636766321</v>
      </c>
      <c r="AH78" s="933">
        <f t="shared" si="270"/>
        <v>-1.8978102189781025</v>
      </c>
      <c r="AI78" s="933">
        <f t="shared" si="270"/>
        <v>-2.4543325526932085</v>
      </c>
      <c r="AJ78" s="933">
        <f t="shared" si="270"/>
        <v>-0.27058062429241475</v>
      </c>
      <c r="AK78" s="1113">
        <f t="shared" si="270"/>
        <v>-0.73839542564903948</v>
      </c>
      <c r="AL78" s="933">
        <f t="shared" si="270"/>
        <v>-2.3960883448642893</v>
      </c>
      <c r="AM78" s="933">
        <f t="shared" si="270"/>
        <v>-2.6180060540962793</v>
      </c>
      <c r="AN78" s="933">
        <f t="shared" si="270"/>
        <v>-0.70463829226512065</v>
      </c>
      <c r="AO78" s="933">
        <f t="shared" si="270"/>
        <v>-0.5710842410845075</v>
      </c>
      <c r="AP78" s="1113">
        <f t="shared" si="270"/>
        <v>-2.105087426412442</v>
      </c>
      <c r="AQ78" s="933">
        <f t="shared" si="270"/>
        <v>-0.54382037182508514</v>
      </c>
      <c r="AR78" s="933">
        <f t="shared" si="270"/>
        <v>-0.48491097732803895</v>
      </c>
      <c r="AS78" s="933">
        <f t="shared" si="270"/>
        <v>-1.031824736269574</v>
      </c>
      <c r="AT78" s="933">
        <f t="shared" si="270"/>
        <v>-0.3406476114827548</v>
      </c>
      <c r="AU78" s="1113">
        <f t="shared" si="270"/>
        <v>-2.3946696152819618</v>
      </c>
      <c r="AV78" s="933">
        <f t="shared" si="270"/>
        <v>-0.16110967316878039</v>
      </c>
      <c r="AW78" s="933">
        <f t="shared" si="270"/>
        <v>-0.24820092985647865</v>
      </c>
      <c r="AX78" s="933">
        <f t="shared" si="270"/>
        <v>-0.43864728531773273</v>
      </c>
      <c r="AY78" s="933">
        <f t="shared" si="270"/>
        <v>18.467457420924575</v>
      </c>
      <c r="AZ78" s="1113">
        <f t="shared" si="270"/>
        <v>-7.2301003344481627</v>
      </c>
      <c r="BA78" s="933">
        <f t="shared" si="270"/>
        <v>-3.0019971804511272</v>
      </c>
      <c r="BB78" s="933">
        <f t="shared" si="270"/>
        <v>-2.4354468182862403</v>
      </c>
      <c r="BC78" s="933">
        <f t="shared" si="270"/>
        <v>-2.1218121166469381</v>
      </c>
      <c r="BD78" s="933">
        <f t="shared" si="270"/>
        <v>-1.486518269634608</v>
      </c>
      <c r="BE78" s="1113">
        <f t="shared" si="270"/>
        <v>-8.7641607663473575</v>
      </c>
      <c r="BF78" s="933">
        <f t="shared" si="270"/>
        <v>-1.9956302966101691</v>
      </c>
      <c r="BG78" s="933">
        <f t="shared" si="270"/>
        <v>-0.50601946017261279</v>
      </c>
      <c r="BH78" s="933">
        <f t="shared" si="270"/>
        <v>-0.35978461873164364</v>
      </c>
      <c r="BI78" s="933">
        <f t="shared" si="270"/>
        <v>-1.2079825215815834</v>
      </c>
      <c r="BJ78" s="1113">
        <f t="shared" si="270"/>
        <v>-3.8732998476211979</v>
      </c>
      <c r="BK78" s="933">
        <f t="shared" si="270"/>
        <v>-0.26459037355009596</v>
      </c>
      <c r="BL78" s="933">
        <f t="shared" si="270"/>
        <v>-0.14460319467273572</v>
      </c>
      <c r="BM78" s="933">
        <f t="shared" ref="BM78:CI78" si="271">(BM$63+BM77)/BM82</f>
        <v>-3.2522013623525706E-2</v>
      </c>
      <c r="BN78" s="933">
        <f t="shared" si="271"/>
        <v>-1.2491954022988507</v>
      </c>
      <c r="BO78" s="1113">
        <f t="shared" si="271"/>
        <v>-1.7787610619469028</v>
      </c>
      <c r="BP78" s="933">
        <f t="shared" si="271"/>
        <v>-0.18205975294455612</v>
      </c>
      <c r="BQ78" s="933">
        <f t="shared" si="271"/>
        <v>-0.18512013488829548</v>
      </c>
      <c r="BR78" s="933">
        <f t="shared" si="271"/>
        <v>-0.17980029920328433</v>
      </c>
      <c r="BS78" s="933">
        <f t="shared" si="271"/>
        <v>0.30003058103975483</v>
      </c>
      <c r="BT78" s="1113">
        <f t="shared" si="271"/>
        <v>-0.2240551994676194</v>
      </c>
      <c r="BU78" s="933">
        <f t="shared" si="271"/>
        <v>-0.14905004013914866</v>
      </c>
      <c r="BV78" s="933">
        <f t="shared" si="271"/>
        <v>3.7250160692969748E-2</v>
      </c>
      <c r="BW78" s="933">
        <f t="shared" si="271"/>
        <v>0.12454699202705947</v>
      </c>
      <c r="BX78" s="933">
        <f t="shared" si="271"/>
        <v>-0.1686803877454657</v>
      </c>
      <c r="BY78" s="1113">
        <f t="shared" si="271"/>
        <v>-0.16143888473985482</v>
      </c>
      <c r="BZ78" s="933">
        <f t="shared" si="271"/>
        <v>0.10190826377519541</v>
      </c>
      <c r="CA78" s="933">
        <f t="shared" si="271"/>
        <v>1.8708381777824253E-2</v>
      </c>
      <c r="CB78" s="933">
        <f t="shared" si="271"/>
        <v>0.14647263524201096</v>
      </c>
      <c r="CC78" s="933">
        <f t="shared" si="271"/>
        <v>2.3020781000228361</v>
      </c>
      <c r="CD78" s="1113">
        <f t="shared" si="271"/>
        <v>2.7892597758645552</v>
      </c>
      <c r="CE78" s="933">
        <f t="shared" si="271"/>
        <v>0.39900358811533676</v>
      </c>
      <c r="CF78" s="933">
        <f t="shared" si="271"/>
        <v>0.44356274479881985</v>
      </c>
      <c r="CG78" s="933">
        <f t="shared" si="271"/>
        <v>0.4716323614210145</v>
      </c>
      <c r="CH78" s="933">
        <f t="shared" si="271"/>
        <v>0.43760185688182118</v>
      </c>
      <c r="CI78" s="1113">
        <f t="shared" si="271"/>
        <v>1.7505292872265366</v>
      </c>
      <c r="CJ78" s="166">
        <f t="shared" ref="CJ78:CS78" si="272">(CJ63-CJ62)/CJ82</f>
        <v>0.34814269952188348</v>
      </c>
      <c r="CK78" s="166">
        <f t="shared" si="272"/>
        <v>-6.4656262210679397E-2</v>
      </c>
      <c r="CL78" s="166">
        <f t="shared" si="272"/>
        <v>0.22625441318069994</v>
      </c>
      <c r="CM78" s="166">
        <f t="shared" si="272"/>
        <v>0.28401356915790166</v>
      </c>
      <c r="CN78" s="1140">
        <f t="shared" si="272"/>
        <v>0.78714572640035541</v>
      </c>
      <c r="CO78" s="166">
        <f t="shared" si="272"/>
        <v>0.50894766937038016</v>
      </c>
      <c r="CP78" s="166">
        <f t="shared" si="272"/>
        <v>0.60534107058266207</v>
      </c>
      <c r="CQ78" s="166">
        <f>(CQ63-CQ62)/CQ82</f>
        <v>0.41038316333979857</v>
      </c>
      <c r="CR78" s="166">
        <f>(CR63-CR62)/CR82</f>
        <v>0.31125345756296385</v>
      </c>
      <c r="CS78" s="1140">
        <f t="shared" si="272"/>
        <v>1.8429675775750511</v>
      </c>
      <c r="CT78" s="166">
        <f t="shared" ref="CT78:DE78" si="273">(CT63-CT62)/CT82</f>
        <v>0.63075537102681123</v>
      </c>
      <c r="CU78" s="166">
        <f t="shared" si="273"/>
        <v>0.69626177150388691</v>
      </c>
      <c r="CV78" s="166">
        <f t="shared" si="273"/>
        <v>0.50608679137783585</v>
      </c>
      <c r="CW78" s="166">
        <f t="shared" si="273"/>
        <v>0.65674546931987832</v>
      </c>
      <c r="CX78" s="166">
        <f t="shared" si="273"/>
        <v>0.6223635003739697</v>
      </c>
      <c r="CY78" s="166">
        <f t="shared" si="273"/>
        <v>-0.51210028554648723</v>
      </c>
      <c r="CZ78" s="166">
        <f t="shared" si="273"/>
        <v>0.79791343946548376</v>
      </c>
      <c r="DA78" s="166">
        <f t="shared" si="273"/>
        <v>0.84810931045440163</v>
      </c>
      <c r="DB78" s="166">
        <f t="shared" si="273"/>
        <v>0.77430412467688203</v>
      </c>
      <c r="DC78" s="166">
        <f t="shared" si="273"/>
        <v>0.19513281189499018</v>
      </c>
      <c r="DD78" s="166">
        <f t="shared" si="273"/>
        <v>0.77774358231652119</v>
      </c>
      <c r="DE78" s="166">
        <f t="shared" si="273"/>
        <v>-6.4219730536214836</v>
      </c>
      <c r="DF78" s="166">
        <f>(DF63-DF62)/DF82</f>
        <v>1.3359428241913784</v>
      </c>
      <c r="DG78" s="166">
        <f>(DG63-DG62)/DG82</f>
        <v>1.0340875493486821</v>
      </c>
      <c r="DH78" s="166">
        <f>(DH63-DH62)/DH82</f>
        <v>0.71276079573022866</v>
      </c>
      <c r="DI78" s="166">
        <f>(DI63-DI62)/DI82</f>
        <v>0.17608256895787708</v>
      </c>
      <c r="DJ78" s="166">
        <f t="shared" ref="DJ78:DM78" si="274">(DJ63-DJ62)/DJ82</f>
        <v>-0.54786297187811872</v>
      </c>
      <c r="DK78" s="166">
        <f t="shared" si="274"/>
        <v>0.55855266897845501</v>
      </c>
      <c r="DL78" s="166">
        <f t="shared" si="274"/>
        <v>0.67821382878121961</v>
      </c>
      <c r="DM78" s="166">
        <f t="shared" si="274"/>
        <v>0.88472602454175231</v>
      </c>
      <c r="DN78" s="166">
        <f>(DN63-DN62)/DN82</f>
        <v>0.57330952608121</v>
      </c>
      <c r="DO78" s="166">
        <f>(DO63-DO62)/DO82</f>
        <v>0.58344372548020629</v>
      </c>
      <c r="DP78" s="166">
        <f>(DP63-DP62)/DP82</f>
        <v>1.0150027312338821</v>
      </c>
      <c r="DQ78" s="166">
        <f>(DQ63-DQ62)/DQ82</f>
        <v>0.82417096350217411</v>
      </c>
      <c r="DR78" s="166">
        <f t="shared" ref="DR78:DU78" ca="1" si="275">(DR63-DR62)/DR82</f>
        <v>1.2145888261365561</v>
      </c>
      <c r="DS78" s="166">
        <f t="shared" ca="1" si="275"/>
        <v>1.5170620305228153</v>
      </c>
      <c r="DT78" s="166">
        <f t="shared" ca="1" si="275"/>
        <v>1.6913433423172282</v>
      </c>
      <c r="DU78" s="166">
        <f t="shared" ca="1" si="275"/>
        <v>1.8249735663206352</v>
      </c>
      <c r="DV78" s="166"/>
      <c r="DW78" s="54"/>
      <c r="DX78" s="166"/>
      <c r="DY78" s="166"/>
    </row>
    <row r="79" spans="2:129" customFormat="1" hidden="1" outlineLevel="1">
      <c r="B79" s="23" t="s">
        <v>378</v>
      </c>
      <c r="C79" s="23"/>
      <c r="D79" s="933">
        <f t="shared" ref="D79:N79" si="276">D$63/D83</f>
        <v>-0.73839542564903948</v>
      </c>
      <c r="E79" s="933">
        <f t="shared" si="276"/>
        <v>-2.105087426412442</v>
      </c>
      <c r="F79" s="933">
        <f t="shared" si="276"/>
        <v>-2.3946696152819613</v>
      </c>
      <c r="G79" s="933">
        <f t="shared" si="276"/>
        <v>-7.2301003344481627</v>
      </c>
      <c r="H79" s="933">
        <f t="shared" si="276"/>
        <v>-8.7641607663473557</v>
      </c>
      <c r="I79" s="933">
        <f t="shared" si="276"/>
        <v>-3.8732998476211979</v>
      </c>
      <c r="J79" s="933">
        <f t="shared" si="276"/>
        <v>-1.7787610619469016</v>
      </c>
      <c r="K79" s="933">
        <f t="shared" si="276"/>
        <v>-0.22405519946761729</v>
      </c>
      <c r="L79" s="933">
        <f t="shared" si="276"/>
        <v>-0.16143888473985304</v>
      </c>
      <c r="M79" s="933">
        <f t="shared" si="276"/>
        <v>2.9074353448275847</v>
      </c>
      <c r="N79" s="933">
        <f t="shared" si="276"/>
        <v>1.8039648721679495</v>
      </c>
      <c r="O79" s="933">
        <f t="shared" ref="O79:Y79" si="277">O$63/O83</f>
        <v>0.84314846143294686</v>
      </c>
      <c r="P79" s="933">
        <f t="shared" si="277"/>
        <v>1.9723979298447403</v>
      </c>
      <c r="Q79" s="933">
        <f t="shared" ref="Q79:V79" si="278">Q$63/Q83</f>
        <v>2.9820890080987454</v>
      </c>
      <c r="R79" s="933">
        <f t="shared" si="278"/>
        <v>1.9445500890111671</v>
      </c>
      <c r="S79" s="933">
        <f t="shared" si="278"/>
        <v>-4.9813433192269923</v>
      </c>
      <c r="T79" s="933">
        <f t="shared" si="278"/>
        <v>3.2504987644490311</v>
      </c>
      <c r="U79" s="933">
        <f t="shared" si="278"/>
        <v>1.8085865069177001</v>
      </c>
      <c r="V79" s="933">
        <f t="shared" si="278"/>
        <v>3.0326918195604264</v>
      </c>
      <c r="W79" s="933">
        <f t="shared" ref="W79" ca="1" si="279">W$63/W83</f>
        <v>5.9368147119774699</v>
      </c>
      <c r="X79" s="933">
        <f t="shared" ca="1" si="277"/>
        <v>8.6009690820431803</v>
      </c>
      <c r="Y79" s="933">
        <f t="shared" ca="1" si="277"/>
        <v>9.4877546434895574</v>
      </c>
      <c r="Z79" s="933">
        <f ca="1">Z$63/Z83</f>
        <v>10.175342029791812</v>
      </c>
      <c r="AA79" s="933">
        <f t="shared" ref="AA79:AD79" ca="1" si="280">AA$63/AA83</f>
        <v>12.11261041037792</v>
      </c>
      <c r="AB79" s="933">
        <f t="shared" ca="1" si="280"/>
        <v>17.653092936652833</v>
      </c>
      <c r="AC79" s="933">
        <f t="shared" ca="1" si="280"/>
        <v>21.337319262883767</v>
      </c>
      <c r="AD79" s="933">
        <f t="shared" ca="1" si="280"/>
        <v>22.268434186048758</v>
      </c>
      <c r="AE79" s="54"/>
      <c r="AF79" s="23"/>
      <c r="AG79" s="933">
        <f t="shared" ref="AG79:BL79" si="281">AG$63/AG83</f>
        <v>-0.74473975636766321</v>
      </c>
      <c r="AH79" s="933">
        <f t="shared" si="281"/>
        <v>-1.8978102189781025</v>
      </c>
      <c r="AI79" s="933">
        <f t="shared" si="281"/>
        <v>-2.4543325526932085</v>
      </c>
      <c r="AJ79" s="933">
        <f t="shared" si="281"/>
        <v>-0.27058062429241475</v>
      </c>
      <c r="AK79" s="1113">
        <f t="shared" si="281"/>
        <v>-0.73839542564903948</v>
      </c>
      <c r="AL79" s="933">
        <f t="shared" si="281"/>
        <v>-2.3960883448642893</v>
      </c>
      <c r="AM79" s="933">
        <f t="shared" si="281"/>
        <v>-2.6180060540962793</v>
      </c>
      <c r="AN79" s="933">
        <f t="shared" si="281"/>
        <v>-0.70463829226512065</v>
      </c>
      <c r="AO79" s="933">
        <f t="shared" si="281"/>
        <v>-0.5710842410845075</v>
      </c>
      <c r="AP79" s="1113">
        <f t="shared" si="281"/>
        <v>-2.105087426412442</v>
      </c>
      <c r="AQ79" s="933">
        <f t="shared" si="281"/>
        <v>-0.54382037182508514</v>
      </c>
      <c r="AR79" s="933">
        <f t="shared" si="281"/>
        <v>-0.48491097732803895</v>
      </c>
      <c r="AS79" s="933">
        <f t="shared" si="281"/>
        <v>-1.031824736269574</v>
      </c>
      <c r="AT79" s="933">
        <f t="shared" si="281"/>
        <v>-0.3406476114827548</v>
      </c>
      <c r="AU79" s="1113">
        <f t="shared" si="281"/>
        <v>-2.3946696152819618</v>
      </c>
      <c r="AV79" s="933">
        <f t="shared" si="281"/>
        <v>-0.16110967316878039</v>
      </c>
      <c r="AW79" s="933">
        <f t="shared" si="281"/>
        <v>-0.24820092985647865</v>
      </c>
      <c r="AX79" s="933">
        <f t="shared" si="281"/>
        <v>-0.43864728531773273</v>
      </c>
      <c r="AY79" s="933">
        <f t="shared" si="281"/>
        <v>19.136779073432081</v>
      </c>
      <c r="AZ79" s="1113">
        <f t="shared" si="281"/>
        <v>-7.2301003344481627</v>
      </c>
      <c r="BA79" s="933">
        <f t="shared" si="281"/>
        <v>-3.0019971804511272</v>
      </c>
      <c r="BB79" s="933">
        <f t="shared" si="281"/>
        <v>-2.4354468182862403</v>
      </c>
      <c r="BC79" s="933">
        <f t="shared" si="281"/>
        <v>-2.1218121166469381</v>
      </c>
      <c r="BD79" s="933">
        <f t="shared" si="281"/>
        <v>-1.486518269634608</v>
      </c>
      <c r="BE79" s="1113">
        <f t="shared" si="281"/>
        <v>-8.7641607663473575</v>
      </c>
      <c r="BF79" s="933">
        <f t="shared" si="281"/>
        <v>-1.9956302966101691</v>
      </c>
      <c r="BG79" s="933">
        <f t="shared" si="281"/>
        <v>-0.50601946017261279</v>
      </c>
      <c r="BH79" s="933">
        <f t="shared" si="281"/>
        <v>-0.35978461873164364</v>
      </c>
      <c r="BI79" s="933">
        <f t="shared" si="281"/>
        <v>-1.2079825215815834</v>
      </c>
      <c r="BJ79" s="1113">
        <f t="shared" si="281"/>
        <v>-3.8732998476211979</v>
      </c>
      <c r="BK79" s="933">
        <f t="shared" si="281"/>
        <v>-0.26459037355009596</v>
      </c>
      <c r="BL79" s="933">
        <f t="shared" si="281"/>
        <v>-0.14460319467273572</v>
      </c>
      <c r="BM79" s="933">
        <f t="shared" ref="BM79:CI79" si="282">BM$63/BM83</f>
        <v>-3.2522013623525706E-2</v>
      </c>
      <c r="BN79" s="933">
        <f t="shared" si="282"/>
        <v>-1.2491954022988507</v>
      </c>
      <c r="BO79" s="1113">
        <f t="shared" si="282"/>
        <v>-1.7787610619469028</v>
      </c>
      <c r="BP79" s="933">
        <f t="shared" si="282"/>
        <v>-0.18205975294455612</v>
      </c>
      <c r="BQ79" s="933">
        <f t="shared" si="282"/>
        <v>-0.18512013488829548</v>
      </c>
      <c r="BR79" s="933">
        <f t="shared" si="282"/>
        <v>-0.17980029920328433</v>
      </c>
      <c r="BS79" s="933">
        <f t="shared" si="282"/>
        <v>0.31275960317187823</v>
      </c>
      <c r="BT79" s="1113">
        <f t="shared" si="282"/>
        <v>-0.2240551994676194</v>
      </c>
      <c r="BU79" s="933">
        <f t="shared" si="282"/>
        <v>-0.14905004013914866</v>
      </c>
      <c r="BV79" s="933">
        <f t="shared" si="282"/>
        <v>3.9099145408983314E-2</v>
      </c>
      <c r="BW79" s="933">
        <f t="shared" si="282"/>
        <v>0.13016444149859527</v>
      </c>
      <c r="BX79" s="933">
        <f t="shared" si="282"/>
        <v>-0.1686803877454657</v>
      </c>
      <c r="BY79" s="1113">
        <f t="shared" si="282"/>
        <v>-0.16143888473985482</v>
      </c>
      <c r="BZ79" s="933">
        <f t="shared" si="282"/>
        <v>0.10466686881495178</v>
      </c>
      <c r="CA79" s="933">
        <f t="shared" si="282"/>
        <v>1.9359072514491444E-2</v>
      </c>
      <c r="CB79" s="933">
        <f t="shared" si="282"/>
        <v>0.15027588445309856</v>
      </c>
      <c r="CC79" s="933">
        <f t="shared" si="282"/>
        <v>2.6062744680284426</v>
      </c>
      <c r="CD79" s="1113">
        <f t="shared" si="282"/>
        <v>2.9074353448275847</v>
      </c>
      <c r="CE79" s="933">
        <f t="shared" si="282"/>
        <v>0.40825651726050632</v>
      </c>
      <c r="CF79" s="933">
        <f t="shared" si="282"/>
        <v>0.45711889284965396</v>
      </c>
      <c r="CG79" s="933">
        <f t="shared" si="282"/>
        <v>0.48500786345940666</v>
      </c>
      <c r="CH79" s="933">
        <f t="shared" si="282"/>
        <v>0.4528311529026981</v>
      </c>
      <c r="CI79" s="1113">
        <f t="shared" si="282"/>
        <v>1.8039648721679502</v>
      </c>
      <c r="CJ79" s="166">
        <f>CJ63/CJ83</f>
        <v>0.35890500985794493</v>
      </c>
      <c r="CK79" s="166">
        <f>CK63/CK83</f>
        <v>-5.2267451214747705E-2</v>
      </c>
      <c r="CL79" s="166">
        <f>CL63/CL83</f>
        <v>0.24474805989725684</v>
      </c>
      <c r="CM79" s="166">
        <f>CM63/CM83</f>
        <v>0.29874725895047682</v>
      </c>
      <c r="CN79" s="1140">
        <f>CN63/CN82</f>
        <v>0.82305288997991355</v>
      </c>
      <c r="CO79" s="166">
        <f>CO63/CO83</f>
        <v>0.54132311467998495</v>
      </c>
      <c r="CP79" s="166">
        <f>CP63/CP83</f>
        <v>0.65495268945528917</v>
      </c>
      <c r="CQ79" s="166">
        <f>CQ63/CQ83</f>
        <v>0.43724842167704675</v>
      </c>
      <c r="CR79" s="166">
        <f>CR63/CR83</f>
        <v>0.340700751561342</v>
      </c>
      <c r="CS79" s="1140">
        <f>CS63/CS82</f>
        <v>1.9103806424663146</v>
      </c>
      <c r="CT79" s="166">
        <f t="shared" ref="CT79:CZ79" si="283">CT63/CT83</f>
        <v>0.69015014375465888</v>
      </c>
      <c r="CU79" s="166">
        <f t="shared" si="283"/>
        <v>0.76641119626791032</v>
      </c>
      <c r="CV79" s="166">
        <f t="shared" si="283"/>
        <v>0.56506275718037147</v>
      </c>
      <c r="CW79" s="166">
        <f t="shared" si="283"/>
        <v>0.95763565015511687</v>
      </c>
      <c r="CX79" s="166">
        <f t="shared" si="283"/>
        <v>0.67886352974769826</v>
      </c>
      <c r="CY79" s="166">
        <f t="shared" si="283"/>
        <v>-0.51210028554648723</v>
      </c>
      <c r="CZ79" s="166">
        <f t="shared" si="283"/>
        <v>0.86273837150640875</v>
      </c>
      <c r="DA79" s="166">
        <f t="shared" ref="DA79:DI79" si="284">DA63/DA83</f>
        <v>0.9117452024515228</v>
      </c>
      <c r="DB79" s="166">
        <f t="shared" si="284"/>
        <v>0.83344086455099042</v>
      </c>
      <c r="DC79" s="166">
        <f t="shared" si="284"/>
        <v>0.19634925582482726</v>
      </c>
      <c r="DD79" s="166">
        <f t="shared" si="284"/>
        <v>0.80849502230084491</v>
      </c>
      <c r="DE79" s="166">
        <f t="shared" si="284"/>
        <v>-6.4219730536214836</v>
      </c>
      <c r="DF79" s="166">
        <f t="shared" si="284"/>
        <v>1.3492878699634672</v>
      </c>
      <c r="DG79" s="166">
        <f t="shared" si="284"/>
        <v>1.0443312549398414</v>
      </c>
      <c r="DH79" s="166">
        <f t="shared" si="284"/>
        <v>0.72057741494691907</v>
      </c>
      <c r="DI79" s="166">
        <f t="shared" si="284"/>
        <v>0.17768615568029245</v>
      </c>
      <c r="DJ79" s="166">
        <f t="shared" ref="DJ79:DM79" si="285">DJ63/DJ83</f>
        <v>-0.45662830975165825</v>
      </c>
      <c r="DK79" s="166">
        <f t="shared" si="285"/>
        <v>0.64121097391329307</v>
      </c>
      <c r="DL79" s="166">
        <f t="shared" si="285"/>
        <v>0.72271386430678386</v>
      </c>
      <c r="DM79" s="166">
        <f t="shared" si="285"/>
        <v>0.86497919847595517</v>
      </c>
      <c r="DN79" s="166">
        <f>DN63/DN83</f>
        <v>0.57798908936006677</v>
      </c>
      <c r="DO79" s="166">
        <f>DO63/DO83</f>
        <v>0.58782387741745101</v>
      </c>
      <c r="DP79" s="166">
        <f>DP63/DP83</f>
        <v>1.0236371789123049</v>
      </c>
      <c r="DQ79" s="166">
        <f>DQ63/DQ83</f>
        <v>0.83030951198706471</v>
      </c>
      <c r="DR79" s="166">
        <f t="shared" ref="DR79:DU79" ca="1" si="286">DR63/DR83</f>
        <v>1.2177796939362711</v>
      </c>
      <c r="DS79" s="166">
        <f t="shared" ca="1" si="286"/>
        <v>1.5210404344837618</v>
      </c>
      <c r="DT79" s="166">
        <f t="shared" ca="1" si="286"/>
        <v>1.6957711562016056</v>
      </c>
      <c r="DU79" s="166">
        <f t="shared" ca="1" si="286"/>
        <v>1.8297432698094243</v>
      </c>
      <c r="DV79" s="166"/>
      <c r="DW79" s="54"/>
      <c r="DX79" s="166"/>
      <c r="DY79" s="166"/>
    </row>
    <row r="80" spans="2:129" customFormat="1" hidden="1" outlineLevel="1">
      <c r="B80" s="16" t="s">
        <v>379</v>
      </c>
      <c r="C80" s="16"/>
      <c r="D80" s="934">
        <f t="shared" ref="D80:N80" si="287">D$75/D84</f>
        <v>-0.73839542564903948</v>
      </c>
      <c r="E80" s="934">
        <f t="shared" si="287"/>
        <v>-2.105087426412442</v>
      </c>
      <c r="F80" s="934">
        <f t="shared" si="287"/>
        <v>-1.7774303834470837</v>
      </c>
      <c r="G80" s="934">
        <f t="shared" si="287"/>
        <v>-35.749498327759198</v>
      </c>
      <c r="H80" s="934">
        <f t="shared" si="287"/>
        <v>-8.7641607663473557</v>
      </c>
      <c r="I80" s="934">
        <f t="shared" si="287"/>
        <v>-1.9623901308765506</v>
      </c>
      <c r="J80" s="934">
        <f t="shared" si="287"/>
        <v>-0.36768942812441024</v>
      </c>
      <c r="K80" s="934">
        <f t="shared" si="287"/>
        <v>-0.50845854786171918</v>
      </c>
      <c r="L80" s="934">
        <f t="shared" si="287"/>
        <v>-8.6529240649443784E-2</v>
      </c>
      <c r="M80" s="934">
        <f t="shared" si="287"/>
        <v>2.539333686839619</v>
      </c>
      <c r="N80" s="934">
        <f t="shared" si="287"/>
        <v>1.7520072207859509</v>
      </c>
      <c r="O80" s="934">
        <f t="shared" ref="O80:Y80" si="288">O$75/O84</f>
        <v>1.3919458011073154</v>
      </c>
      <c r="P80" s="934">
        <f t="shared" si="288"/>
        <v>2.0116267370579428</v>
      </c>
      <c r="Q80" s="934">
        <f t="shared" ref="Q80:V80" si="289">Q$75/Q84</f>
        <v>2.8562361795992839</v>
      </c>
      <c r="R80" s="934">
        <f t="shared" si="289"/>
        <v>1.9296092792069361</v>
      </c>
      <c r="S80" s="934">
        <f t="shared" si="289"/>
        <v>-4.7913680411558213</v>
      </c>
      <c r="T80" s="934">
        <f t="shared" si="289"/>
        <v>3.8547870290556947</v>
      </c>
      <c r="U80" s="934">
        <f t="shared" si="289"/>
        <v>2.1144037212358167</v>
      </c>
      <c r="V80" s="934">
        <f t="shared" si="289"/>
        <v>3.4142055586055431</v>
      </c>
      <c r="W80" s="934">
        <f t="shared" ref="W80" ca="1" si="290">W$75/W84</f>
        <v>6.2962943165064118</v>
      </c>
      <c r="X80" s="934">
        <f t="shared" ca="1" si="288"/>
        <v>8.8138415243260795</v>
      </c>
      <c r="Y80" s="934">
        <f t="shared" ca="1" si="288"/>
        <v>9.6731302861707267</v>
      </c>
      <c r="Z80" s="934">
        <f ca="1">Z$75/Z84</f>
        <v>10.33715682125532</v>
      </c>
      <c r="AA80" s="934">
        <f t="shared" ref="AA80:AD80" ca="1" si="291">AA$75/AA84</f>
        <v>12.229780085963682</v>
      </c>
      <c r="AB80" s="934">
        <f t="shared" ca="1" si="291"/>
        <v>17.66415189104568</v>
      </c>
      <c r="AC80" s="934">
        <f t="shared" ca="1" si="291"/>
        <v>21.274835159850038</v>
      </c>
      <c r="AD80" s="934">
        <f t="shared" ca="1" si="291"/>
        <v>22.180137921827338</v>
      </c>
      <c r="AE80" s="809"/>
      <c r="AF80" s="16"/>
      <c r="AG80" s="934">
        <f t="shared" ref="AG80:BD80" si="292">AG$75/AG84</f>
        <v>-0.74473975636766321</v>
      </c>
      <c r="AH80" s="934">
        <f t="shared" si="292"/>
        <v>-1.8978102189781025</v>
      </c>
      <c r="AI80" s="934">
        <f t="shared" si="292"/>
        <v>-2.4543325526932085</v>
      </c>
      <c r="AJ80" s="934">
        <f t="shared" si="292"/>
        <v>-0.27058062429241475</v>
      </c>
      <c r="AK80" s="1114">
        <f t="shared" si="292"/>
        <v>-0.73839542564903948</v>
      </c>
      <c r="AL80" s="934">
        <f t="shared" si="292"/>
        <v>-2.3960883448642893</v>
      </c>
      <c r="AM80" s="934">
        <f t="shared" si="292"/>
        <v>-2.6180060540962793</v>
      </c>
      <c r="AN80" s="934">
        <f t="shared" si="292"/>
        <v>-0.70463829226512065</v>
      </c>
      <c r="AO80" s="934">
        <f t="shared" si="292"/>
        <v>-0.5710842410845075</v>
      </c>
      <c r="AP80" s="1114">
        <f t="shared" si="292"/>
        <v>-2.105087426412442</v>
      </c>
      <c r="AQ80" s="934">
        <f t="shared" si="292"/>
        <v>-0.54382037182508514</v>
      </c>
      <c r="AR80" s="934">
        <f t="shared" si="292"/>
        <v>-0.48491097732803895</v>
      </c>
      <c r="AS80" s="934">
        <f t="shared" si="292"/>
        <v>-0.41752890283083305</v>
      </c>
      <c r="AT80" s="934">
        <f t="shared" si="292"/>
        <v>-0.3406476114827548</v>
      </c>
      <c r="AU80" s="1114">
        <f t="shared" si="292"/>
        <v>-1.7774303834470842</v>
      </c>
      <c r="AV80" s="934">
        <f t="shared" si="292"/>
        <v>-0.31099827059646018</v>
      </c>
      <c r="AW80" s="934">
        <f t="shared" si="292"/>
        <v>-0.36051486351228862</v>
      </c>
      <c r="AX80" s="934">
        <f t="shared" si="292"/>
        <v>-0.2967019492506448</v>
      </c>
      <c r="AY80" s="934">
        <f t="shared" si="292"/>
        <v>-8.0060827250608284</v>
      </c>
      <c r="AZ80" s="1114">
        <f t="shared" si="292"/>
        <v>-35.749498327759198</v>
      </c>
      <c r="BA80" s="934">
        <f t="shared" si="292"/>
        <v>-3.0019971804511272</v>
      </c>
      <c r="BB80" s="934">
        <f t="shared" si="292"/>
        <v>-2.4354468182862403</v>
      </c>
      <c r="BC80" s="934">
        <f t="shared" si="292"/>
        <v>-2.1218121166469381</v>
      </c>
      <c r="BD80" s="934">
        <f t="shared" si="292"/>
        <v>-1.486518269634608</v>
      </c>
      <c r="BE80" s="1114">
        <f>BE$63/BE84</f>
        <v>-8.7641607663473575</v>
      </c>
      <c r="BF80" s="934">
        <f t="shared" ref="BF80:CI80" si="293">BF$75/BF84</f>
        <v>-0.92233845338983012</v>
      </c>
      <c r="BG80" s="934">
        <f t="shared" si="293"/>
        <v>-0.50601946017261279</v>
      </c>
      <c r="BH80" s="934">
        <f t="shared" si="293"/>
        <v>-0.35978461873164364</v>
      </c>
      <c r="BI80" s="934">
        <f t="shared" si="293"/>
        <v>-0.26753654103173719</v>
      </c>
      <c r="BJ80" s="1114">
        <f t="shared" si="293"/>
        <v>-1.9623901308765506</v>
      </c>
      <c r="BK80" s="934">
        <f t="shared" si="293"/>
        <v>-0.26459037355009596</v>
      </c>
      <c r="BL80" s="934">
        <f t="shared" si="293"/>
        <v>-0.14460319467273572</v>
      </c>
      <c r="BM80" s="934">
        <f t="shared" si="293"/>
        <v>-3.2522013623525706E-2</v>
      </c>
      <c r="BN80" s="934">
        <f t="shared" si="293"/>
        <v>4.5962914170559192E-2</v>
      </c>
      <c r="BO80" s="1114">
        <f t="shared" si="293"/>
        <v>-0.36768942812441147</v>
      </c>
      <c r="BP80" s="934">
        <f t="shared" si="293"/>
        <v>-0.18205975294455612</v>
      </c>
      <c r="BQ80" s="934">
        <f t="shared" si="293"/>
        <v>-0.18512013488829548</v>
      </c>
      <c r="BR80" s="934">
        <f t="shared" si="293"/>
        <v>-0.12667432070417148</v>
      </c>
      <c r="BS80" s="934">
        <f t="shared" si="293"/>
        <v>-1.6391437308868977E-2</v>
      </c>
      <c r="BT80" s="1114">
        <f t="shared" si="293"/>
        <v>-0.50845854786172129</v>
      </c>
      <c r="BU80" s="934">
        <f t="shared" si="293"/>
        <v>-3.5489697618410115E-2</v>
      </c>
      <c r="BV80" s="934">
        <f t="shared" si="293"/>
        <v>4.7972095206434057E-2</v>
      </c>
      <c r="BW80" s="934">
        <f t="shared" si="293"/>
        <v>0.12454699202705947</v>
      </c>
      <c r="BX80" s="934">
        <f t="shared" si="293"/>
        <v>-0.2058439574479905</v>
      </c>
      <c r="BY80" s="1114">
        <f t="shared" si="293"/>
        <v>-8.652924064944556E-2</v>
      </c>
      <c r="BZ80" s="934">
        <f t="shared" si="293"/>
        <v>0.10190826377519541</v>
      </c>
      <c r="CA80" s="934">
        <f t="shared" si="293"/>
        <v>1.8708381777824253E-2</v>
      </c>
      <c r="CB80" s="934">
        <f t="shared" si="293"/>
        <v>0.16685077133087872</v>
      </c>
      <c r="CC80" s="934">
        <f t="shared" si="293"/>
        <v>2.2933058702368694</v>
      </c>
      <c r="CD80" s="1114">
        <f t="shared" si="293"/>
        <v>2.539333686839619</v>
      </c>
      <c r="CE80" s="934">
        <f t="shared" si="293"/>
        <v>0.31301105423479891</v>
      </c>
      <c r="CF80" s="934">
        <f t="shared" si="293"/>
        <v>0.44012754207217708</v>
      </c>
      <c r="CG80" s="934">
        <f t="shared" si="293"/>
        <v>0.49651399524019574</v>
      </c>
      <c r="CH80" s="934">
        <f t="shared" si="293"/>
        <v>0.49787047166774806</v>
      </c>
      <c r="CI80" s="1114">
        <f t="shared" si="293"/>
        <v>1.7520072207859516</v>
      </c>
      <c r="CJ80" s="935">
        <f t="shared" ref="CJ80:CS80" si="294">CJ75/CJ82</f>
        <v>0.42414482582946711</v>
      </c>
      <c r="CK80" s="935">
        <f t="shared" si="294"/>
        <v>0.18231548946146531</v>
      </c>
      <c r="CL80" s="935">
        <f t="shared" si="294"/>
        <v>0.28418667950154097</v>
      </c>
      <c r="CM80" s="935">
        <f t="shared" si="294"/>
        <v>0.31215463719570757</v>
      </c>
      <c r="CN80" s="1152">
        <f t="shared" si="294"/>
        <v>1.1859676676625583</v>
      </c>
      <c r="CO80" s="935">
        <f t="shared" si="294"/>
        <v>0.54570671257273962</v>
      </c>
      <c r="CP80" s="935">
        <f t="shared" si="294"/>
        <v>0.63336379191012071</v>
      </c>
      <c r="CQ80" s="935">
        <f>CQ75/CQ82</f>
        <v>0.4613067260268095</v>
      </c>
      <c r="CR80" s="935">
        <f>CR75/CR82</f>
        <v>0.39314808440125443</v>
      </c>
      <c r="CS80" s="1152">
        <f t="shared" si="294"/>
        <v>2.0108945149008166</v>
      </c>
      <c r="CT80" s="935">
        <f t="shared" ref="CT80:DE80" si="295">CT75/CT82</f>
        <v>0.63854230394604272</v>
      </c>
      <c r="CU80" s="935">
        <f t="shared" si="295"/>
        <v>0.70216101580783141</v>
      </c>
      <c r="CV80" s="935">
        <f t="shared" si="295"/>
        <v>0.57105280436593953</v>
      </c>
      <c r="CW80" s="935">
        <f t="shared" si="295"/>
        <v>0.88115736046507731</v>
      </c>
      <c r="CX80" s="935">
        <f t="shared" si="295"/>
        <v>0.66505375682633328</v>
      </c>
      <c r="CY80" s="935">
        <f t="shared" si="295"/>
        <v>-0.55667012213302713</v>
      </c>
      <c r="CZ80" s="935">
        <f t="shared" si="295"/>
        <v>0.79898738952656945</v>
      </c>
      <c r="DA80" s="935">
        <f t="shared" si="295"/>
        <v>0.9203963250780911</v>
      </c>
      <c r="DB80" s="935">
        <f t="shared" si="295"/>
        <v>0.7778497312650301</v>
      </c>
      <c r="DC80" s="935">
        <f t="shared" si="295"/>
        <v>0.23566970121806693</v>
      </c>
      <c r="DD80" s="935">
        <f t="shared" si="295"/>
        <v>0.77259944866148866</v>
      </c>
      <c r="DE80" s="935">
        <f t="shared" si="295"/>
        <v>-6.1830932185317735</v>
      </c>
      <c r="DF80" s="935">
        <f>DF75/DF82</f>
        <v>1.3546250789185299</v>
      </c>
      <c r="DG80" s="935">
        <f>DG75/DG82</f>
        <v>1.1864881791567921</v>
      </c>
      <c r="DH80" s="935">
        <f>DH75/DH82</f>
        <v>0.89330378678710387</v>
      </c>
      <c r="DI80" s="935">
        <f>DI75/DI82</f>
        <v>0.52810567207498282</v>
      </c>
      <c r="DJ80" s="935">
        <f t="shared" ref="DJ80:DM80" si="296">DJ75/DJ82</f>
        <v>-9.914657826804997E-2</v>
      </c>
      <c r="DK80" s="935">
        <f t="shared" si="296"/>
        <v>0.79941258478788335</v>
      </c>
      <c r="DL80" s="935">
        <f t="shared" si="296"/>
        <v>0.56913754395223759</v>
      </c>
      <c r="DM80" s="935">
        <f t="shared" si="296"/>
        <v>0.85739344716206889</v>
      </c>
      <c r="DN80" s="935">
        <f>DN75/DN82</f>
        <v>0.60458283446450556</v>
      </c>
      <c r="DO80" s="935">
        <f>DO75/DO82</f>
        <v>0.86285749729461581</v>
      </c>
      <c r="DP80" s="935">
        <f>DP75/DP82</f>
        <v>1.0407567533202731</v>
      </c>
      <c r="DQ80" s="935">
        <f>DQ75/DQ82</f>
        <v>0.88653985365918431</v>
      </c>
      <c r="DR80" s="935">
        <f t="shared" ref="DR80:DU80" ca="1" si="297">DR75/DR82</f>
        <v>1.2145888261365561</v>
      </c>
      <c r="DS80" s="935">
        <f t="shared" ca="1" si="297"/>
        <v>1.5170620305228153</v>
      </c>
      <c r="DT80" s="935">
        <f t="shared" ca="1" si="297"/>
        <v>1.6913433423172282</v>
      </c>
      <c r="DU80" s="935">
        <f t="shared" ca="1" si="297"/>
        <v>1.8249735663206352</v>
      </c>
      <c r="DV80" s="935"/>
      <c r="DW80" s="54"/>
      <c r="DX80" s="935"/>
      <c r="DY80" s="935"/>
    </row>
    <row r="81" spans="2:135" customFormat="1" ht="12.75" hidden="1" customHeight="1" outlineLevel="1">
      <c r="B81" s="23"/>
      <c r="C81" s="23"/>
      <c r="D81" s="15"/>
      <c r="E81" s="883"/>
      <c r="F81" s="883"/>
      <c r="G81" s="883"/>
      <c r="H81" s="883"/>
      <c r="I81" s="883"/>
      <c r="J81" s="883"/>
      <c r="K81" s="883"/>
      <c r="L81" s="166"/>
      <c r="M81" s="166"/>
      <c r="N81" s="55"/>
      <c r="O81" s="166"/>
      <c r="P81" s="166"/>
      <c r="Q81" s="166"/>
      <c r="R81" s="166"/>
      <c r="S81" s="166"/>
      <c r="T81" s="166"/>
      <c r="U81" s="166"/>
      <c r="V81" s="166"/>
      <c r="W81" s="166"/>
      <c r="X81" s="166"/>
      <c r="Y81" s="166"/>
      <c r="Z81" s="166"/>
      <c r="AA81" s="166"/>
      <c r="AB81" s="166"/>
      <c r="AC81" s="166"/>
      <c r="AD81" s="166"/>
      <c r="AE81" s="54"/>
      <c r="AF81" s="23"/>
      <c r="AG81" s="23"/>
      <c r="AH81" s="23"/>
      <c r="AI81" s="23"/>
      <c r="AJ81" s="123"/>
      <c r="AK81" s="1102"/>
      <c r="AL81" s="883"/>
      <c r="AM81" s="883"/>
      <c r="AN81" s="883"/>
      <c r="AO81" s="883"/>
      <c r="AP81" s="1127"/>
      <c r="AQ81" s="883"/>
      <c r="AR81" s="883"/>
      <c r="AS81" s="883"/>
      <c r="AT81" s="883"/>
      <c r="AU81" s="1127"/>
      <c r="AV81" s="883"/>
      <c r="AW81" s="883"/>
      <c r="AX81" s="883"/>
      <c r="AY81" s="883"/>
      <c r="AZ81" s="1127"/>
      <c r="BA81" s="883"/>
      <c r="BB81" s="883"/>
      <c r="BC81" s="883"/>
      <c r="BD81" s="883"/>
      <c r="BE81" s="1127"/>
      <c r="BF81" s="883"/>
      <c r="BG81" s="883"/>
      <c r="BH81" s="883"/>
      <c r="BI81" s="883"/>
      <c r="BJ81" s="1127"/>
      <c r="BK81" s="883"/>
      <c r="BL81" s="883"/>
      <c r="BM81" s="883"/>
      <c r="BN81" s="883"/>
      <c r="BO81" s="1127"/>
      <c r="BP81" s="883"/>
      <c r="BQ81" s="883"/>
      <c r="BR81" s="883"/>
      <c r="BS81" s="883"/>
      <c r="BT81" s="42"/>
      <c r="BU81" s="883"/>
      <c r="BV81" s="883"/>
      <c r="BW81" s="883"/>
      <c r="BX81" s="883"/>
      <c r="BY81" s="1127"/>
      <c r="BZ81" s="166"/>
      <c r="CA81" s="166"/>
      <c r="CB81" s="166"/>
      <c r="CC81" s="166"/>
      <c r="CD81" s="1140"/>
      <c r="CE81" s="166"/>
      <c r="CF81" s="166"/>
      <c r="CG81" s="166"/>
      <c r="CH81" s="166"/>
      <c r="CI81" s="1140"/>
      <c r="CJ81" s="166"/>
      <c r="CK81" s="166"/>
      <c r="CL81" s="166"/>
      <c r="CM81" s="166"/>
      <c r="CN81" s="1140"/>
      <c r="CO81" s="166"/>
      <c r="CP81" s="166"/>
      <c r="CQ81" s="166"/>
      <c r="CR81" s="166"/>
      <c r="CS81" s="1140"/>
      <c r="CT81" s="166"/>
      <c r="CU81" s="166"/>
      <c r="CV81" s="166"/>
      <c r="CW81" s="166"/>
      <c r="CX81" s="166"/>
      <c r="CY81" s="166"/>
      <c r="CZ81" s="166"/>
      <c r="DA81" s="166"/>
      <c r="DB81" s="166"/>
      <c r="DC81" s="166"/>
      <c r="DD81" s="166"/>
      <c r="DE81" s="166"/>
      <c r="DF81" s="166"/>
      <c r="DG81" s="166"/>
      <c r="DH81" s="166"/>
      <c r="DI81" s="166"/>
      <c r="DJ81" s="166"/>
      <c r="DK81" s="166"/>
      <c r="DL81" s="166"/>
      <c r="DM81" s="166"/>
      <c r="DN81" s="166"/>
      <c r="DO81" s="166"/>
      <c r="DP81" s="166"/>
      <c r="DQ81" s="166"/>
      <c r="DR81" s="166"/>
      <c r="DS81" s="166"/>
      <c r="DT81" s="166"/>
      <c r="DU81" s="166"/>
      <c r="DV81" s="166"/>
      <c r="DW81" s="54"/>
      <c r="DX81" s="166"/>
      <c r="DY81" s="166"/>
    </row>
    <row r="82" spans="2:135" customFormat="1" collapsed="1">
      <c r="B82" s="23" t="s">
        <v>1111</v>
      </c>
      <c r="C82" s="23"/>
      <c r="D82" s="26">
        <f>AK82</f>
        <v>28.157</v>
      </c>
      <c r="E82" s="26">
        <f>AP82</f>
        <v>56.905000000000001</v>
      </c>
      <c r="F82" s="54">
        <f>AU82</f>
        <v>78.680999999999997</v>
      </c>
      <c r="G82" s="804">
        <f>AZ82</f>
        <v>2.99</v>
      </c>
      <c r="H82" s="804">
        <f>BE82</f>
        <v>9.6039999999999992</v>
      </c>
      <c r="I82" s="804">
        <f>BJ82</f>
        <v>17.719000000000001</v>
      </c>
      <c r="J82" s="804">
        <f>BO82</f>
        <v>23.956</v>
      </c>
      <c r="K82" s="54">
        <f>BT82</f>
        <v>28.550999999999998</v>
      </c>
      <c r="L82" s="54">
        <f>BY82</f>
        <v>32.136000000000003</v>
      </c>
      <c r="M82" s="54">
        <f>CD82</f>
        <v>41.582000000000001</v>
      </c>
      <c r="N82" s="54">
        <f>CI82</f>
        <v>39.676000000000002</v>
      </c>
      <c r="O82" s="54">
        <f>CN82</f>
        <v>44.81</v>
      </c>
      <c r="P82" s="54">
        <f>CS82</f>
        <v>48.477250000000005</v>
      </c>
      <c r="Q82" s="54">
        <f>+AVERAGE(CT82:CW82)</f>
        <v>52.246000000000002</v>
      </c>
      <c r="R82" s="54">
        <f>+AVERAGE(CX82:DA82)</f>
        <v>52.484749999999998</v>
      </c>
      <c r="S82" s="54">
        <f>+AVERAGE(DB82:DE82)</f>
        <v>53.892750000000007</v>
      </c>
      <c r="T82" s="54">
        <f>+AVERAGE(DF82:DI82)</f>
        <v>58.344250000000002</v>
      </c>
      <c r="U82" s="54">
        <f>+AVERAGE(DJ82:DM82)</f>
        <v>70.59075</v>
      </c>
      <c r="V82" s="54">
        <f>+AVERAGE(DN82:DQ82)</f>
        <v>77.430499999999995</v>
      </c>
      <c r="W82" s="54">
        <f ca="1">+AVERAGE(DR82:DU82)</f>
        <v>80.044091489678038</v>
      </c>
      <c r="X82" s="54">
        <f ca="1">W82+X$226-X207+Capital!F7</f>
        <v>82.945554247374417</v>
      </c>
      <c r="Y82" s="54">
        <f ca="1">X82+Y$226-Y207+Capital!G7</f>
        <v>85.943115858556155</v>
      </c>
      <c r="Z82" s="54">
        <f ca="1">Y82+Z$226-Z207+Capital!H7</f>
        <v>89.040521447107622</v>
      </c>
      <c r="AA82" s="54">
        <f ca="1">Z82+AA$226-AA207+Capital!I7</f>
        <v>92.241620499768274</v>
      </c>
      <c r="AB82" s="54">
        <f ca="1">AA82+AB$226-AB207+Capital!J7</f>
        <v>95.550372388986247</v>
      </c>
      <c r="AC82" s="54">
        <f ca="1">AB82+AC$226-AC207+Capital!K7</f>
        <v>98.970851958161049</v>
      </c>
      <c r="AD82" s="54">
        <f ca="1">AC82+AD$226-AD207+Capital!L7</f>
        <v>102.50725518062278</v>
      </c>
      <c r="AE82" s="54"/>
      <c r="AF82" s="23"/>
      <c r="AG82" s="936">
        <v>1.806</v>
      </c>
      <c r="AH82" s="936">
        <v>1.6439999999999999</v>
      </c>
      <c r="AI82" s="936">
        <v>2.5619999999999998</v>
      </c>
      <c r="AJ82" s="936">
        <v>37.097999999999999</v>
      </c>
      <c r="AK82" s="1115">
        <v>28.157</v>
      </c>
      <c r="AL82" s="783">
        <v>7.516</v>
      </c>
      <c r="AM82" s="783">
        <v>10.241</v>
      </c>
      <c r="AN82" s="783">
        <v>45.533999999999999</v>
      </c>
      <c r="AO82" s="783">
        <v>75.093999999999994</v>
      </c>
      <c r="AP82" s="1120">
        <v>56.905000000000001</v>
      </c>
      <c r="AQ82" s="783">
        <v>76.38</v>
      </c>
      <c r="AR82" s="783">
        <v>78.069999999999993</v>
      </c>
      <c r="AS82" s="783">
        <v>79.058000000000007</v>
      </c>
      <c r="AT82" s="783">
        <v>80.572999999999993</v>
      </c>
      <c r="AU82" s="1120">
        <v>78.680999999999997</v>
      </c>
      <c r="AV82" s="783">
        <v>84.998000000000005</v>
      </c>
      <c r="AW82" s="783">
        <v>98.94</v>
      </c>
      <c r="AX82" s="783">
        <v>100.509</v>
      </c>
      <c r="AY82" s="783">
        <v>3.2879999999999998</v>
      </c>
      <c r="AZ82" s="1120">
        <v>2.99</v>
      </c>
      <c r="BA82" s="783">
        <v>8.5120000000000005</v>
      </c>
      <c r="BB82" s="783">
        <v>8.7059999999999995</v>
      </c>
      <c r="BC82" s="783">
        <v>9.2929999999999993</v>
      </c>
      <c r="BD82" s="783">
        <v>11.904999999999999</v>
      </c>
      <c r="BE82" s="1120">
        <v>9.6039999999999992</v>
      </c>
      <c r="BF82" s="783">
        <v>15.103999999999999</v>
      </c>
      <c r="BG82" s="783">
        <v>18.190999999999999</v>
      </c>
      <c r="BH82" s="783">
        <v>18.385999999999999</v>
      </c>
      <c r="BI82" s="783">
        <v>18.765999999999998</v>
      </c>
      <c r="BJ82" s="1120">
        <v>17.719000000000001</v>
      </c>
      <c r="BK82" s="783">
        <v>21.898</v>
      </c>
      <c r="BL82" s="783">
        <v>23.727</v>
      </c>
      <c r="BM82" s="783">
        <v>24.076000000000001</v>
      </c>
      <c r="BN82" s="783">
        <v>26.1</v>
      </c>
      <c r="BO82" s="1120">
        <v>23.956</v>
      </c>
      <c r="BP82" s="783">
        <v>27.847999999999999</v>
      </c>
      <c r="BQ82" s="783">
        <v>28.468</v>
      </c>
      <c r="BR82" s="783">
        <v>28.742999999999999</v>
      </c>
      <c r="BS82" s="783">
        <v>32.700000000000003</v>
      </c>
      <c r="BT82" s="1120">
        <v>28.550999999999998</v>
      </c>
      <c r="BU82" s="783">
        <v>29.896000000000001</v>
      </c>
      <c r="BV82" s="783">
        <v>32.670999999999999</v>
      </c>
      <c r="BW82" s="783">
        <v>33.112000000000002</v>
      </c>
      <c r="BX82" s="783">
        <v>36.003</v>
      </c>
      <c r="BY82" s="1120">
        <v>32.136000000000003</v>
      </c>
      <c r="BZ82" s="907">
        <v>37.259</v>
      </c>
      <c r="CA82" s="907">
        <v>37.844000000000001</v>
      </c>
      <c r="CB82" s="907">
        <v>37.932000000000002</v>
      </c>
      <c r="CC82" s="907">
        <v>43.79</v>
      </c>
      <c r="CD82" s="1120">
        <v>41.582000000000001</v>
      </c>
      <c r="CE82" s="907">
        <v>38.738999999999997</v>
      </c>
      <c r="CF82" s="907">
        <v>39.317999999999998</v>
      </c>
      <c r="CG82" s="907">
        <v>39.887</v>
      </c>
      <c r="CH82" s="907">
        <v>40.497999999999998</v>
      </c>
      <c r="CI82" s="1120">
        <v>39.676000000000002</v>
      </c>
      <c r="CJ82" s="907">
        <v>40.784999999999997</v>
      </c>
      <c r="CK82" s="907">
        <v>43.506999999999998</v>
      </c>
      <c r="CL82" s="907">
        <v>46.734999999999999</v>
      </c>
      <c r="CM82" s="907">
        <v>46.871000000000002</v>
      </c>
      <c r="CN82" s="1110">
        <v>44.81</v>
      </c>
      <c r="CO82" s="907">
        <v>47.219000000000001</v>
      </c>
      <c r="CP82" s="907">
        <v>50.664000000000001</v>
      </c>
      <c r="CQ82" s="907">
        <v>47.942999999999998</v>
      </c>
      <c r="CR82" s="907">
        <v>48.082999999999998</v>
      </c>
      <c r="CS82" s="1110">
        <f>AVERAGE(CO82:CR82)</f>
        <v>48.477250000000005</v>
      </c>
      <c r="CT82" s="907">
        <v>51.061</v>
      </c>
      <c r="CU82" s="907">
        <v>52.350999999999999</v>
      </c>
      <c r="CV82" s="907">
        <v>52.655000000000001</v>
      </c>
      <c r="CW82" s="907">
        <v>52.917000000000002</v>
      </c>
      <c r="CX82" s="907">
        <v>53.48</v>
      </c>
      <c r="CY82" s="907">
        <v>49.378999999999998</v>
      </c>
      <c r="CZ82" s="907">
        <v>53.581000000000003</v>
      </c>
      <c r="DA82" s="907">
        <v>53.499000000000002</v>
      </c>
      <c r="DB82" s="907">
        <v>53.386000000000003</v>
      </c>
      <c r="DC82" s="907">
        <v>51.652000000000001</v>
      </c>
      <c r="DD82" s="907">
        <v>55.238</v>
      </c>
      <c r="DE82" s="907">
        <v>55.295000000000002</v>
      </c>
      <c r="DF82" s="907">
        <v>57.226999999999997</v>
      </c>
      <c r="DG82" s="907">
        <v>57.499000000000002</v>
      </c>
      <c r="DH82" s="907">
        <v>57.707999999999998</v>
      </c>
      <c r="DI82" s="907">
        <v>60.942999999999998</v>
      </c>
      <c r="DJ82" s="907">
        <v>68.132000000000005</v>
      </c>
      <c r="DK82" s="907">
        <v>70.364000000000004</v>
      </c>
      <c r="DL82" s="907">
        <v>71.908000000000001</v>
      </c>
      <c r="DM82" s="907">
        <v>71.959000000000003</v>
      </c>
      <c r="DN82" s="907">
        <v>73.367000000000004</v>
      </c>
      <c r="DO82" s="907">
        <v>78.507999999999996</v>
      </c>
      <c r="DP82" s="907">
        <v>78.718999999999994</v>
      </c>
      <c r="DQ82" s="907">
        <v>79.128</v>
      </c>
      <c r="DR82" s="54">
        <f ca="1">DQ85+DR$226+Capital!CZ7</f>
        <v>79.416177944568403</v>
      </c>
      <c r="DS82" s="54">
        <f ca="1">DR85+DS$226+Capital!DA7</f>
        <v>79.833801440522592</v>
      </c>
      <c r="DT82" s="54">
        <f ca="1">DS85+DT$226+Capital!DB7</f>
        <v>80.252896775769614</v>
      </c>
      <c r="DU82" s="54">
        <f ca="1">DT85+DU$226+Capital!DC7</f>
        <v>80.673489797851531</v>
      </c>
      <c r="DV82" s="54"/>
      <c r="DW82" s="54"/>
      <c r="DX82" s="54"/>
      <c r="DY82" s="54"/>
    </row>
    <row r="83" spans="2:135" customFormat="1">
      <c r="B83" s="23" t="s">
        <v>1110</v>
      </c>
      <c r="C83" s="23"/>
      <c r="D83" s="26">
        <f>AK83</f>
        <v>28.157</v>
      </c>
      <c r="E83" s="26">
        <f>AP83</f>
        <v>56.905000000000001</v>
      </c>
      <c r="F83" s="54">
        <f>AU83</f>
        <v>78.680999999999997</v>
      </c>
      <c r="G83" s="804">
        <f>AZ83</f>
        <v>2.99</v>
      </c>
      <c r="H83" s="804">
        <f>BE83</f>
        <v>9.6039999999999992</v>
      </c>
      <c r="I83" s="804">
        <f>BJ83</f>
        <v>17.719000000000001</v>
      </c>
      <c r="J83" s="804">
        <f>BO83</f>
        <v>23.956</v>
      </c>
      <c r="K83" s="54">
        <f>BT83</f>
        <v>28.550999999999998</v>
      </c>
      <c r="L83" s="54">
        <f>BY83</f>
        <v>32.136000000000003</v>
      </c>
      <c r="M83" s="54">
        <f>CD83</f>
        <v>37.119999999999997</v>
      </c>
      <c r="N83" s="54">
        <f>CI83</f>
        <v>38.488</v>
      </c>
      <c r="O83" s="54">
        <f>CN83</f>
        <v>43.741999999999997</v>
      </c>
      <c r="P83" s="54">
        <f>CS83</f>
        <v>46.953000000000003</v>
      </c>
      <c r="Q83" s="54">
        <f>+AVERAGE(CT83:CW83)</f>
        <v>48.001249999999999</v>
      </c>
      <c r="R83" s="54">
        <f>+AVERAGE(CX83:DA83)</f>
        <v>49.432000000000002</v>
      </c>
      <c r="S83" s="54">
        <f>+AVERAGE(DB83:DE83)</f>
        <v>52.340500000000006</v>
      </c>
      <c r="T83" s="54">
        <f>+AVERAGE(DF83:DI83)</f>
        <v>57.767749999999999</v>
      </c>
      <c r="U83" s="54">
        <f>+AVERAGE(DJ83:DM83)</f>
        <v>70.11</v>
      </c>
      <c r="V83" s="54">
        <f>+AVERAGE(DN83:DQ83)</f>
        <v>76.823499999999996</v>
      </c>
      <c r="W83" s="54">
        <f ca="1">+AVERAGE(DR83:DU83)</f>
        <v>79.834905264946599</v>
      </c>
      <c r="X83" s="54">
        <f ca="1">+AVERAGE(W85:X85)</f>
        <v>82.12422117669972</v>
      </c>
      <c r="Y83" s="54">
        <f ca="1">+AVERAGE(X85:Y85)</f>
        <v>85.073733361138778</v>
      </c>
      <c r="Z83" s="54">
        <f ca="1">+AVERAGE(Y85:Z85)</f>
        <v>88.121216961005388</v>
      </c>
      <c r="AA83" s="54">
        <f t="shared" ref="AA83:AD83" ca="1" si="298">+AVERAGE(Z85:AA85)</f>
        <v>91.27046928161144</v>
      </c>
      <c r="AB83" s="54">
        <f t="shared" ca="1" si="298"/>
        <v>94.525394752550753</v>
      </c>
      <c r="AC83" s="54">
        <f t="shared" ca="1" si="298"/>
        <v>97.89001048174714</v>
      </c>
      <c r="AD83" s="54">
        <f t="shared" ca="1" si="298"/>
        <v>101.36845187756541</v>
      </c>
      <c r="AE83" s="54"/>
      <c r="AF83" s="23"/>
      <c r="AG83" s="936">
        <v>1.806</v>
      </c>
      <c r="AH83" s="936">
        <v>1.6439999999999999</v>
      </c>
      <c r="AI83" s="936">
        <v>2.5619999999999998</v>
      </c>
      <c r="AJ83" s="936">
        <v>37.097999999999999</v>
      </c>
      <c r="AK83" s="1115">
        <v>28.157</v>
      </c>
      <c r="AL83" s="783">
        <v>7.516</v>
      </c>
      <c r="AM83" s="783">
        <v>10.241</v>
      </c>
      <c r="AN83" s="783">
        <v>45.533999999999999</v>
      </c>
      <c r="AO83" s="783">
        <v>75.093999999999994</v>
      </c>
      <c r="AP83" s="1120">
        <v>56.905000000000001</v>
      </c>
      <c r="AQ83" s="783">
        <v>76.38</v>
      </c>
      <c r="AR83" s="783">
        <v>78.069999999999993</v>
      </c>
      <c r="AS83" s="783">
        <v>79.058000000000007</v>
      </c>
      <c r="AT83" s="783">
        <v>80.572999999999993</v>
      </c>
      <c r="AU83" s="1120">
        <v>78.680999999999997</v>
      </c>
      <c r="AV83" s="783">
        <v>84.998000000000005</v>
      </c>
      <c r="AW83" s="783">
        <v>98.94</v>
      </c>
      <c r="AX83" s="783">
        <v>100.509</v>
      </c>
      <c r="AY83" s="783">
        <v>3.173</v>
      </c>
      <c r="AZ83" s="1120">
        <v>2.99</v>
      </c>
      <c r="BA83" s="783">
        <v>8.5120000000000005</v>
      </c>
      <c r="BB83" s="783">
        <v>8.7059999999999995</v>
      </c>
      <c r="BC83" s="783">
        <v>9.2929999999999993</v>
      </c>
      <c r="BD83" s="783">
        <v>11.904999999999999</v>
      </c>
      <c r="BE83" s="1120">
        <v>9.6039999999999992</v>
      </c>
      <c r="BF83" s="783">
        <v>15.103999999999999</v>
      </c>
      <c r="BG83" s="783">
        <v>18.190999999999999</v>
      </c>
      <c r="BH83" s="783">
        <v>18.385999999999999</v>
      </c>
      <c r="BI83" s="783">
        <v>18.765999999999998</v>
      </c>
      <c r="BJ83" s="1120">
        <v>17.719000000000001</v>
      </c>
      <c r="BK83" s="783">
        <v>21.898</v>
      </c>
      <c r="BL83" s="783">
        <v>23.727</v>
      </c>
      <c r="BM83" s="783">
        <v>24.076000000000001</v>
      </c>
      <c r="BN83" s="783">
        <v>26.1</v>
      </c>
      <c r="BO83" s="1120">
        <v>23.956</v>
      </c>
      <c r="BP83" s="783">
        <v>27.847999999999999</v>
      </c>
      <c r="BQ83" s="783">
        <v>28.468</v>
      </c>
      <c r="BR83" s="783">
        <v>28.742999999999999</v>
      </c>
      <c r="BS83" s="783">
        <v>29.131</v>
      </c>
      <c r="BT83" s="1120">
        <v>28.550999999999998</v>
      </c>
      <c r="BU83" s="783">
        <v>29.896000000000001</v>
      </c>
      <c r="BV83" s="783">
        <v>31.126000000000001</v>
      </c>
      <c r="BW83" s="783">
        <v>31.683</v>
      </c>
      <c r="BX83" s="783">
        <v>36.003</v>
      </c>
      <c r="BY83" s="1120">
        <v>32.136000000000003</v>
      </c>
      <c r="BZ83" s="907">
        <v>36.277000000000001</v>
      </c>
      <c r="CA83" s="907">
        <v>36.572000000000003</v>
      </c>
      <c r="CB83" s="907">
        <v>36.972000000000001</v>
      </c>
      <c r="CC83" s="907">
        <v>37.548999999999999</v>
      </c>
      <c r="CD83" s="1120">
        <v>37.119999999999997</v>
      </c>
      <c r="CE83" s="907">
        <v>37.860999999999997</v>
      </c>
      <c r="CF83" s="907">
        <v>38.152000000000001</v>
      </c>
      <c r="CG83" s="907">
        <v>38.786999999999999</v>
      </c>
      <c r="CH83" s="907">
        <v>39.136000000000003</v>
      </c>
      <c r="CI83" s="1120">
        <v>38.488</v>
      </c>
      <c r="CJ83" s="907">
        <v>39.561999999999998</v>
      </c>
      <c r="CK83" s="907">
        <v>43.506999999999998</v>
      </c>
      <c r="CL83" s="907">
        <v>45.744999999999997</v>
      </c>
      <c r="CM83" s="907">
        <v>46.058999999999997</v>
      </c>
      <c r="CN83" s="1110">
        <v>43.741999999999997</v>
      </c>
      <c r="CO83" s="907">
        <v>46.451000000000001</v>
      </c>
      <c r="CP83" s="907">
        <v>46.923999999999999</v>
      </c>
      <c r="CQ83" s="907">
        <v>47.201999999999998</v>
      </c>
      <c r="CR83" s="907">
        <v>47.234999999999999</v>
      </c>
      <c r="CS83" s="1110">
        <f>AVERAGE(CO83:CR83)</f>
        <v>46.953000000000003</v>
      </c>
      <c r="CT83" s="907">
        <v>46.954999999999998</v>
      </c>
      <c r="CU83" s="907">
        <v>48.015999999999998</v>
      </c>
      <c r="CV83" s="907">
        <v>48.360999999999997</v>
      </c>
      <c r="CW83" s="907">
        <v>48.673000000000002</v>
      </c>
      <c r="CX83" s="907">
        <v>49.029000000000003</v>
      </c>
      <c r="CY83" s="907">
        <v>49.378999999999998</v>
      </c>
      <c r="CZ83" s="907">
        <v>49.555</v>
      </c>
      <c r="DA83" s="907">
        <v>49.765000000000001</v>
      </c>
      <c r="DB83" s="907">
        <v>49.597999999999999</v>
      </c>
      <c r="DC83" s="907">
        <v>51.332000000000001</v>
      </c>
      <c r="DD83" s="907">
        <v>53.137</v>
      </c>
      <c r="DE83" s="907">
        <v>55.295000000000002</v>
      </c>
      <c r="DF83" s="907">
        <v>56.661000000000001</v>
      </c>
      <c r="DG83" s="907">
        <v>56.935000000000002</v>
      </c>
      <c r="DH83" s="907">
        <v>57.082000000000001</v>
      </c>
      <c r="DI83" s="907">
        <v>60.393000000000001</v>
      </c>
      <c r="DJ83" s="907">
        <v>68.132000000000005</v>
      </c>
      <c r="DK83" s="907">
        <v>69.728999999999999</v>
      </c>
      <c r="DL83" s="907">
        <v>71.19</v>
      </c>
      <c r="DM83" s="907">
        <v>71.388999999999996</v>
      </c>
      <c r="DN83" s="907">
        <v>72.772999999999996</v>
      </c>
      <c r="DO83" s="907">
        <v>77.923000000000002</v>
      </c>
      <c r="DP83" s="907">
        <v>78.055000000000007</v>
      </c>
      <c r="DQ83" s="907">
        <v>78.543000000000006</v>
      </c>
      <c r="DR83" s="54">
        <f t="shared" ref="DR83:DU83" ca="1" si="299">+AVERAGE(DQ85:DR85)</f>
        <v>79.208088972284202</v>
      </c>
      <c r="DS83" s="54">
        <f t="shared" ca="1" si="299"/>
        <v>79.624989692545498</v>
      </c>
      <c r="DT83" s="54">
        <f t="shared" ca="1" si="299"/>
        <v>80.043349108146103</v>
      </c>
      <c r="DU83" s="54">
        <f t="shared" ca="1" si="299"/>
        <v>80.463193286810565</v>
      </c>
      <c r="DV83" s="54"/>
      <c r="DW83" s="54"/>
      <c r="DX83" s="54"/>
      <c r="DY83" s="54"/>
    </row>
    <row r="84" spans="2:135" customFormat="1">
      <c r="B84" s="23" t="s">
        <v>380</v>
      </c>
      <c r="C84" s="23"/>
      <c r="D84" s="26">
        <f>AK84</f>
        <v>28.157</v>
      </c>
      <c r="E84" s="26">
        <f>AP84</f>
        <v>56.905000000000001</v>
      </c>
      <c r="F84" s="54">
        <f>AU84</f>
        <v>78.680999999999997</v>
      </c>
      <c r="G84" s="804">
        <f>AZ84</f>
        <v>2.99</v>
      </c>
      <c r="H84" s="804">
        <f>BE84</f>
        <v>9.6039999999999992</v>
      </c>
      <c r="I84" s="804">
        <f>BJ84</f>
        <v>17.719000000000001</v>
      </c>
      <c r="J84" s="804">
        <f>BO84</f>
        <v>23.956</v>
      </c>
      <c r="K84" s="54">
        <f>BT84</f>
        <v>28.550999999999998</v>
      </c>
      <c r="L84" s="54">
        <f>BY84</f>
        <v>32.136000000000003</v>
      </c>
      <c r="M84" s="54">
        <f>CD84</f>
        <v>43.728000000000002</v>
      </c>
      <c r="N84" s="54">
        <f>CI84</f>
        <v>39.610499999999995</v>
      </c>
      <c r="O84" s="54">
        <f>CN84</f>
        <v>44.474499999999999</v>
      </c>
      <c r="P84" s="54">
        <f>CS84</f>
        <v>48.477250000000005</v>
      </c>
      <c r="Q84" s="54">
        <f>+AVERAGE(CT84:CW84)</f>
        <v>52.246000000000002</v>
      </c>
      <c r="R84" s="54">
        <f>+AVERAGE(CX84:DA84)</f>
        <v>52.484749999999998</v>
      </c>
      <c r="S84" s="54">
        <f>+AVERAGE(DB84:DE84)</f>
        <v>53.892750000000007</v>
      </c>
      <c r="T84" s="54">
        <f>+AVERAGE(DF84:DI84)</f>
        <v>58.344250000000002</v>
      </c>
      <c r="U84" s="54">
        <f>+AVERAGE(DJ84:DM84)</f>
        <v>70.59075</v>
      </c>
      <c r="V84" s="54">
        <f>+AVERAGE(DN84:DQ84)</f>
        <v>77.430499999999995</v>
      </c>
      <c r="W84" s="54">
        <f ca="1">+AVERAGE(DR84:DU84)</f>
        <v>80.044091489678038</v>
      </c>
      <c r="X84" s="54">
        <f ca="1">+X85</f>
        <v>83.57495255554791</v>
      </c>
      <c r="Y84" s="54">
        <f ca="1">+Y85</f>
        <v>86.572514166729647</v>
      </c>
      <c r="Z84" s="54">
        <f ca="1">+Z85</f>
        <v>89.669919755281114</v>
      </c>
      <c r="AA84" s="54">
        <f t="shared" ref="AA84:AD84" ca="1" si="300">+AA85</f>
        <v>92.871018807941766</v>
      </c>
      <c r="AB84" s="54">
        <f t="shared" ca="1" si="300"/>
        <v>96.179770697159739</v>
      </c>
      <c r="AC84" s="54">
        <f t="shared" ca="1" si="300"/>
        <v>99.600250266334541</v>
      </c>
      <c r="AD84" s="54">
        <f t="shared" ca="1" si="300"/>
        <v>103.13665348879627</v>
      </c>
      <c r="AE84" s="54"/>
      <c r="AF84" s="23"/>
      <c r="AG84" s="936">
        <v>1.806</v>
      </c>
      <c r="AH84" s="936">
        <v>1.6439999999999999</v>
      </c>
      <c r="AI84" s="936">
        <v>2.5619999999999998</v>
      </c>
      <c r="AJ84" s="936">
        <v>37.097999999999999</v>
      </c>
      <c r="AK84" s="1115">
        <v>28.157</v>
      </c>
      <c r="AL84" s="783">
        <v>7.516</v>
      </c>
      <c r="AM84" s="783">
        <v>10.241</v>
      </c>
      <c r="AN84" s="783">
        <v>45.533999999999999</v>
      </c>
      <c r="AO84" s="783">
        <v>75.093999999999994</v>
      </c>
      <c r="AP84" s="1120">
        <v>56.905000000000001</v>
      </c>
      <c r="AQ84" s="783">
        <v>76.38</v>
      </c>
      <c r="AR84" s="783">
        <v>78.069999999999993</v>
      </c>
      <c r="AS84" s="783">
        <v>79.058000000000007</v>
      </c>
      <c r="AT84" s="783">
        <v>80.572999999999993</v>
      </c>
      <c r="AU84" s="1120">
        <v>78.680999999999997</v>
      </c>
      <c r="AV84" s="783">
        <v>81.531000000000006</v>
      </c>
      <c r="AW84" s="783">
        <v>83.583239000000006</v>
      </c>
      <c r="AX84" s="783">
        <v>84.522531999999998</v>
      </c>
      <c r="AY84" s="783">
        <v>3.2879999999999998</v>
      </c>
      <c r="AZ84" s="1120">
        <v>2.99</v>
      </c>
      <c r="BA84" s="783">
        <v>8.5120000000000005</v>
      </c>
      <c r="BB84" s="783">
        <v>8.7059999999999995</v>
      </c>
      <c r="BC84" s="783">
        <v>9.2929999999999993</v>
      </c>
      <c r="BD84" s="783">
        <v>11.904999999999999</v>
      </c>
      <c r="BE84" s="1120">
        <v>9.6039999999999992</v>
      </c>
      <c r="BF84" s="783">
        <v>15.103999999999999</v>
      </c>
      <c r="BG84" s="783">
        <v>18.190999999999999</v>
      </c>
      <c r="BH84" s="783">
        <v>18.385999999999999</v>
      </c>
      <c r="BI84" s="783">
        <v>18.765999999999998</v>
      </c>
      <c r="BJ84" s="1120">
        <v>17.719000000000001</v>
      </c>
      <c r="BK84" s="783">
        <v>21.898</v>
      </c>
      <c r="BL84" s="783">
        <v>23.727</v>
      </c>
      <c r="BM84" s="783">
        <v>24.076000000000001</v>
      </c>
      <c r="BN84" s="783">
        <v>26.1</v>
      </c>
      <c r="BO84" s="1120">
        <v>23.956</v>
      </c>
      <c r="BP84" s="783">
        <v>27.847999999999999</v>
      </c>
      <c r="BQ84" s="783">
        <v>28.468</v>
      </c>
      <c r="BR84" s="783">
        <v>28.742999999999999</v>
      </c>
      <c r="BS84" s="783">
        <v>32.700000000000003</v>
      </c>
      <c r="BT84" s="1120">
        <v>28.550999999999998</v>
      </c>
      <c r="BU84" s="783">
        <v>29.896000000000001</v>
      </c>
      <c r="BV84" s="783">
        <v>32.670999999999999</v>
      </c>
      <c r="BW84" s="783">
        <v>33.112000000000002</v>
      </c>
      <c r="BX84" s="783">
        <v>36.003</v>
      </c>
      <c r="BY84" s="1120">
        <v>32.136000000000003</v>
      </c>
      <c r="BZ84" s="907">
        <v>37.259</v>
      </c>
      <c r="CA84" s="907">
        <v>37.844000000000001</v>
      </c>
      <c r="CB84" s="907">
        <v>37.932000000000002</v>
      </c>
      <c r="CC84" s="907">
        <v>43.695</v>
      </c>
      <c r="CD84" s="1120">
        <v>43.728000000000002</v>
      </c>
      <c r="CE84" s="907">
        <v>38.738999999999997</v>
      </c>
      <c r="CF84" s="907">
        <v>39.317999999999998</v>
      </c>
      <c r="CG84" s="907">
        <v>39.887</v>
      </c>
      <c r="CH84" s="907">
        <f>CH82</f>
        <v>40.497999999999998</v>
      </c>
      <c r="CI84" s="1120">
        <f>AVERAGE(CE84:CH84)</f>
        <v>39.610499999999995</v>
      </c>
      <c r="CJ84" s="907">
        <f>CJ82</f>
        <v>40.784999999999997</v>
      </c>
      <c r="CK84" s="907">
        <f>CK82</f>
        <v>43.506999999999998</v>
      </c>
      <c r="CL84" s="907">
        <f>CL82</f>
        <v>46.734999999999999</v>
      </c>
      <c r="CM84" s="907">
        <f>CM82</f>
        <v>46.871000000000002</v>
      </c>
      <c r="CN84" s="1110">
        <f>AVERAGE(CJ84:CM84)</f>
        <v>44.474499999999999</v>
      </c>
      <c r="CO84" s="907">
        <f>CO82</f>
        <v>47.219000000000001</v>
      </c>
      <c r="CP84" s="907">
        <f>CP82</f>
        <v>50.664000000000001</v>
      </c>
      <c r="CQ84" s="907">
        <f>CQ82</f>
        <v>47.942999999999998</v>
      </c>
      <c r="CR84" s="54">
        <f>CR82</f>
        <v>48.082999999999998</v>
      </c>
      <c r="CS84" s="1110">
        <f>AVERAGE(CO84:CR84)</f>
        <v>48.477250000000005</v>
      </c>
      <c r="CT84" s="54">
        <f t="shared" ref="CT84:CZ84" si="301">CT82</f>
        <v>51.061</v>
      </c>
      <c r="CU84" s="54">
        <f t="shared" si="301"/>
        <v>52.350999999999999</v>
      </c>
      <c r="CV84" s="54">
        <f t="shared" si="301"/>
        <v>52.655000000000001</v>
      </c>
      <c r="CW84" s="54">
        <f t="shared" si="301"/>
        <v>52.917000000000002</v>
      </c>
      <c r="CX84" s="54">
        <f t="shared" si="301"/>
        <v>53.48</v>
      </c>
      <c r="CY84" s="54">
        <f t="shared" si="301"/>
        <v>49.378999999999998</v>
      </c>
      <c r="CZ84" s="54">
        <f t="shared" si="301"/>
        <v>53.581000000000003</v>
      </c>
      <c r="DA84" s="54">
        <f t="shared" ref="DA84:DF84" si="302">DA82</f>
        <v>53.499000000000002</v>
      </c>
      <c r="DB84" s="54">
        <f t="shared" si="302"/>
        <v>53.386000000000003</v>
      </c>
      <c r="DC84" s="54">
        <f t="shared" si="302"/>
        <v>51.652000000000001</v>
      </c>
      <c r="DD84" s="54">
        <f t="shared" si="302"/>
        <v>55.238</v>
      </c>
      <c r="DE84" s="54">
        <f t="shared" si="302"/>
        <v>55.295000000000002</v>
      </c>
      <c r="DF84" s="54">
        <f t="shared" si="302"/>
        <v>57.226999999999997</v>
      </c>
      <c r="DG84" s="54">
        <f t="shared" ref="DG84:DL84" si="303">DG82</f>
        <v>57.499000000000002</v>
      </c>
      <c r="DH84" s="54">
        <f t="shared" si="303"/>
        <v>57.707999999999998</v>
      </c>
      <c r="DI84" s="54">
        <f t="shared" si="303"/>
        <v>60.942999999999998</v>
      </c>
      <c r="DJ84" s="54">
        <f t="shared" si="303"/>
        <v>68.132000000000005</v>
      </c>
      <c r="DK84" s="54">
        <f t="shared" si="303"/>
        <v>70.364000000000004</v>
      </c>
      <c r="DL84" s="54">
        <f t="shared" si="303"/>
        <v>71.908000000000001</v>
      </c>
      <c r="DM84" s="54">
        <f>DM82</f>
        <v>71.959000000000003</v>
      </c>
      <c r="DN84" s="54">
        <f>DN82</f>
        <v>73.367000000000004</v>
      </c>
      <c r="DO84" s="54">
        <f>DO82</f>
        <v>78.507999999999996</v>
      </c>
      <c r="DP84" s="54">
        <f>DP82</f>
        <v>78.718999999999994</v>
      </c>
      <c r="DQ84" s="54">
        <f>DQ82</f>
        <v>79.128</v>
      </c>
      <c r="DR84" s="54">
        <f t="shared" ref="DR84:DU84" ca="1" si="304">+DR85</f>
        <v>79.416177944568403</v>
      </c>
      <c r="DS84" s="54">
        <f t="shared" ca="1" si="304"/>
        <v>79.833801440522592</v>
      </c>
      <c r="DT84" s="54">
        <f t="shared" ca="1" si="304"/>
        <v>80.252896775769614</v>
      </c>
      <c r="DU84" s="54">
        <f t="shared" ca="1" si="304"/>
        <v>80.673489797851531</v>
      </c>
      <c r="DV84" s="54"/>
      <c r="DW84" s="54"/>
      <c r="DX84" s="54"/>
      <c r="DY84" s="54"/>
    </row>
    <row r="85" spans="2:135" s="33" customFormat="1">
      <c r="B85" s="23" t="s">
        <v>381</v>
      </c>
      <c r="C85" s="23"/>
      <c r="D85" s="804" t="str">
        <f>AK85</f>
        <v>NA</v>
      </c>
      <c r="E85" s="54">
        <f>AP85</f>
        <v>77.099198000000001</v>
      </c>
      <c r="F85" s="54">
        <f>AU85</f>
        <v>84.714924999999994</v>
      </c>
      <c r="G85" s="804">
        <f>AZ85</f>
        <v>8.5000400000000003</v>
      </c>
      <c r="H85" s="804">
        <f>BE85</f>
        <v>15.507068</v>
      </c>
      <c r="I85" s="804">
        <f>BJ85</f>
        <v>23.445361999999999</v>
      </c>
      <c r="J85" s="804">
        <f>BO85</f>
        <v>24.188739000000002</v>
      </c>
      <c r="K85" s="54">
        <f>BT85</f>
        <v>33.806677000000001</v>
      </c>
      <c r="L85" s="54">
        <f>BY85</f>
        <v>34.311387000000003</v>
      </c>
      <c r="M85" s="54">
        <f>CD85</f>
        <v>37.769925999999998</v>
      </c>
      <c r="N85" s="54">
        <f>CI85</f>
        <v>39.374788000000002</v>
      </c>
      <c r="O85" s="54">
        <f>CN85</f>
        <v>46.166688999999998</v>
      </c>
      <c r="P85" s="54">
        <f>CS85</f>
        <v>47.351449130399999</v>
      </c>
      <c r="Q85" s="54">
        <f>+AVERAGE(CT85:CW85)</f>
        <v>48.413646845757633</v>
      </c>
      <c r="R85" s="54">
        <f>+AVERAGE(CX85:DA85)</f>
        <v>50.308699556189062</v>
      </c>
      <c r="S85" s="54">
        <f>+AVERAGE(DB85:DE85)</f>
        <v>53.187750000000001</v>
      </c>
      <c r="T85" s="54">
        <f>+AVERAGE(DF85:DI85)</f>
        <v>58.307689000000003</v>
      </c>
      <c r="U85" s="54">
        <f>+DM85</f>
        <v>71.400000000000006</v>
      </c>
      <c r="V85" s="54">
        <f>+DQ85</f>
        <v>79</v>
      </c>
      <c r="W85" s="54">
        <f ca="1">+DU85</f>
        <v>80.673489797851531</v>
      </c>
      <c r="X85" s="54">
        <f ca="1">W85+X226+Capital!F7</f>
        <v>83.57495255554791</v>
      </c>
      <c r="Y85" s="54">
        <f ca="1">X85+Y226+Capital!G7</f>
        <v>86.572514166729647</v>
      </c>
      <c r="Z85" s="54">
        <f ca="1">Y85+Z226+Capital!H7</f>
        <v>89.669919755281114</v>
      </c>
      <c r="AA85" s="54">
        <f ca="1">Z85+AA226+Capital!I7</f>
        <v>92.871018807941766</v>
      </c>
      <c r="AB85" s="54">
        <f ca="1">AA85+AB226+Capital!J7</f>
        <v>96.179770697159739</v>
      </c>
      <c r="AC85" s="54">
        <f ca="1">AB85+AC226+Capital!K7</f>
        <v>99.600250266334541</v>
      </c>
      <c r="AD85" s="54">
        <f ca="1">AC85+AD226+Capital!L7</f>
        <v>103.13665348879627</v>
      </c>
      <c r="AE85" s="54"/>
      <c r="AF85" s="23"/>
      <c r="AG85" s="2142" t="s">
        <v>981</v>
      </c>
      <c r="AH85" s="2142" t="s">
        <v>981</v>
      </c>
      <c r="AI85" s="2142" t="s">
        <v>981</v>
      </c>
      <c r="AJ85" s="2142" t="s">
        <v>981</v>
      </c>
      <c r="AK85" s="1914" t="s">
        <v>981</v>
      </c>
      <c r="AL85" s="2142" t="s">
        <v>981</v>
      </c>
      <c r="AM85" s="2142">
        <v>13.068709</v>
      </c>
      <c r="AN85" s="2142">
        <v>76.589827</v>
      </c>
      <c r="AO85" s="2142">
        <v>77.099198000000001</v>
      </c>
      <c r="AP85" s="1110">
        <f>AO85</f>
        <v>77.099198000000001</v>
      </c>
      <c r="AQ85" s="2142">
        <v>79.659049999999993</v>
      </c>
      <c r="AR85" s="2142">
        <v>79.693634000000003</v>
      </c>
      <c r="AS85" s="2142">
        <v>80.034667999999996</v>
      </c>
      <c r="AT85" s="2142">
        <v>84.714924999999994</v>
      </c>
      <c r="AU85" s="2143">
        <f>AT85</f>
        <v>84.714924999999994</v>
      </c>
      <c r="AV85" s="2142">
        <v>90.246841000000003</v>
      </c>
      <c r="AW85" s="2142">
        <v>98.458830000000006</v>
      </c>
      <c r="AX85" s="2142">
        <v>98.892711000000006</v>
      </c>
      <c r="AY85" s="2142">
        <v>8.5000400000000003</v>
      </c>
      <c r="AZ85" s="2143">
        <f>AY85</f>
        <v>8.5000400000000003</v>
      </c>
      <c r="BA85" s="2142">
        <v>8.5187899999999992</v>
      </c>
      <c r="BB85" s="2142">
        <v>9.0863359999999993</v>
      </c>
      <c r="BC85" s="2142">
        <v>9.4207769999999993</v>
      </c>
      <c r="BD85" s="2142">
        <v>15.507068</v>
      </c>
      <c r="BE85" s="2143">
        <f>BD85</f>
        <v>15.507068</v>
      </c>
      <c r="BF85" s="2142">
        <v>18.108032000000001</v>
      </c>
      <c r="BG85" s="2142">
        <v>18.239747000000001</v>
      </c>
      <c r="BH85" s="2142">
        <v>18.459337000000001</v>
      </c>
      <c r="BI85" s="2142">
        <v>23.445361999999999</v>
      </c>
      <c r="BJ85" s="2143">
        <f>BI85</f>
        <v>23.445361999999999</v>
      </c>
      <c r="BK85" s="2142">
        <v>23.561775999999998</v>
      </c>
      <c r="BL85" s="2142">
        <v>23.864266000000001</v>
      </c>
      <c r="BM85" s="2142">
        <v>24.188739000000002</v>
      </c>
      <c r="BN85" s="2142" t="s">
        <v>981</v>
      </c>
      <c r="BO85" s="2143">
        <f>BM85</f>
        <v>24.188739000000002</v>
      </c>
      <c r="BP85" s="2142">
        <v>28.560002000000001</v>
      </c>
      <c r="BQ85" s="2142">
        <v>28.835113</v>
      </c>
      <c r="BR85" s="2142">
        <v>29.176241000000001</v>
      </c>
      <c r="BS85" s="783">
        <v>33.806677000000001</v>
      </c>
      <c r="BT85" s="2143">
        <f>BS85</f>
        <v>33.806677000000001</v>
      </c>
      <c r="BU85" s="783">
        <v>33.822333999999998</v>
      </c>
      <c r="BV85" s="783">
        <v>33.882294000000002</v>
      </c>
      <c r="BW85" s="783">
        <v>33.907407999999997</v>
      </c>
      <c r="BX85" s="783">
        <v>34.311387000000003</v>
      </c>
      <c r="BY85" s="1110">
        <f>BX85</f>
        <v>34.311387000000003</v>
      </c>
      <c r="BZ85" s="907">
        <v>36.766800000000003</v>
      </c>
      <c r="CA85" s="907">
        <v>37.180219999999998</v>
      </c>
      <c r="CB85" s="907">
        <v>37.349752000000002</v>
      </c>
      <c r="CC85" s="907">
        <v>37.769925999999998</v>
      </c>
      <c r="CD85" s="1110">
        <f>CC85</f>
        <v>37.769925999999998</v>
      </c>
      <c r="CE85" s="907">
        <v>37.947965000000003</v>
      </c>
      <c r="CF85" s="907">
        <v>38.610639999999997</v>
      </c>
      <c r="CG85" s="907">
        <v>38.983344000000002</v>
      </c>
      <c r="CH85" s="907">
        <v>39.374788000000002</v>
      </c>
      <c r="CI85" s="1120">
        <f>CH85</f>
        <v>39.374788000000002</v>
      </c>
      <c r="CJ85" s="907">
        <v>39.792209999999997</v>
      </c>
      <c r="CK85" s="907">
        <v>45.589838999999998</v>
      </c>
      <c r="CL85" s="907">
        <v>45.994363</v>
      </c>
      <c r="CM85" s="907">
        <v>46.166688999999998</v>
      </c>
      <c r="CN85" s="1110">
        <f>CM85</f>
        <v>46.166688999999998</v>
      </c>
      <c r="CO85" s="907">
        <v>46.807851999999997</v>
      </c>
      <c r="CP85" s="907">
        <f>CO85+CP226</f>
        <v>47.275930519999996</v>
      </c>
      <c r="CQ85" s="907">
        <f>CP85+CQ226</f>
        <v>47.748689825199996</v>
      </c>
      <c r="CR85" s="54">
        <f>CQ85+CR226</f>
        <v>47.351449130399999</v>
      </c>
      <c r="CS85" s="1110">
        <f>CR85</f>
        <v>47.351449130399999</v>
      </c>
      <c r="CT85" s="54">
        <f t="shared" ref="CT85:DA85" si="305">CS85+CT226</f>
        <v>47.693463621703998</v>
      </c>
      <c r="CU85" s="54">
        <f t="shared" si="305"/>
        <v>48.170398257921036</v>
      </c>
      <c r="CV85" s="54">
        <f t="shared" si="305"/>
        <v>48.652102240500248</v>
      </c>
      <c r="CW85" s="54">
        <f t="shared" si="305"/>
        <v>49.138623262905249</v>
      </c>
      <c r="CX85" s="54">
        <f t="shared" si="305"/>
        <v>49.630009495534303</v>
      </c>
      <c r="CY85" s="54">
        <f t="shared" si="305"/>
        <v>50.126309590489647</v>
      </c>
      <c r="CZ85" s="54">
        <f t="shared" si="305"/>
        <v>50.627572686394544</v>
      </c>
      <c r="DA85" s="54">
        <f t="shared" si="305"/>
        <v>50.850906452337746</v>
      </c>
      <c r="DB85" s="907">
        <v>49.8</v>
      </c>
      <c r="DC85" s="907">
        <v>53.2</v>
      </c>
      <c r="DD85" s="907">
        <v>53.3</v>
      </c>
      <c r="DE85" s="907">
        <v>56.451000000000001</v>
      </c>
      <c r="DF85" s="907">
        <v>56.921219999999998</v>
      </c>
      <c r="DG85" s="907">
        <v>56.958446000000002</v>
      </c>
      <c r="DH85" s="907">
        <v>57.285665999999999</v>
      </c>
      <c r="DI85" s="907">
        <f>62.100159-0.034735</f>
        <v>62.065424</v>
      </c>
      <c r="DJ85" s="907">
        <v>69.400000000000006</v>
      </c>
      <c r="DK85" s="907">
        <v>71.099999999999994</v>
      </c>
      <c r="DL85" s="907">
        <v>71.379000000000005</v>
      </c>
      <c r="DM85" s="907">
        <v>71.400000000000006</v>
      </c>
      <c r="DN85" s="907">
        <v>77.912000000000006</v>
      </c>
      <c r="DO85" s="907">
        <v>77.900000000000006</v>
      </c>
      <c r="DP85" s="907">
        <v>78.233999999999995</v>
      </c>
      <c r="DQ85" s="907">
        <v>79</v>
      </c>
      <c r="DR85" s="54">
        <f ca="1">DQ85+DR226+Capital!CZ7</f>
        <v>79.416177944568403</v>
      </c>
      <c r="DS85" s="54">
        <f ca="1">DR85+DS226+Capital!DA7</f>
        <v>79.833801440522592</v>
      </c>
      <c r="DT85" s="54">
        <f ca="1">DS85+DT226+Capital!DB7</f>
        <v>80.252896775769614</v>
      </c>
      <c r="DU85" s="54">
        <f ca="1">DT85+DU226+Capital!DC7</f>
        <v>80.673489797851531</v>
      </c>
      <c r="DV85" s="54"/>
      <c r="DW85" s="54"/>
      <c r="DX85" s="54"/>
      <c r="DY85" s="54"/>
      <c r="DZ85"/>
      <c r="EA85"/>
      <c r="EB85"/>
      <c r="EC85"/>
      <c r="ED85"/>
      <c r="EE85"/>
    </row>
    <row r="86" spans="2:135" ht="12.75" customHeight="1">
      <c r="B86" s="23"/>
      <c r="C86" s="23"/>
      <c r="L86" s="23"/>
      <c r="M86" s="23"/>
      <c r="N86" s="23"/>
      <c r="O86" s="855"/>
      <c r="P86" s="855"/>
      <c r="Q86" s="855"/>
      <c r="R86" s="855"/>
      <c r="S86" s="855"/>
      <c r="T86" s="855"/>
      <c r="U86" s="855"/>
      <c r="V86" s="855"/>
      <c r="W86" s="855"/>
      <c r="X86" s="23"/>
      <c r="Y86" s="23"/>
      <c r="Z86" s="23"/>
      <c r="AA86" s="23"/>
      <c r="AB86" s="23"/>
      <c r="AC86" s="23"/>
      <c r="AD86" s="23"/>
      <c r="AE86" s="54"/>
      <c r="AF86" s="23"/>
      <c r="AG86" s="23"/>
      <c r="AH86" s="23"/>
      <c r="AI86" s="23"/>
      <c r="AJ86" s="123"/>
      <c r="AK86" s="1102"/>
      <c r="AP86" s="42"/>
      <c r="AU86" s="42"/>
      <c r="AZ86" s="42"/>
      <c r="BE86" s="42"/>
      <c r="BJ86" s="42"/>
      <c r="BO86" s="42"/>
      <c r="BT86" s="42"/>
      <c r="BY86" s="42"/>
      <c r="BZ86" s="20"/>
      <c r="CA86" s="20"/>
      <c r="CB86" s="20"/>
      <c r="CC86" s="20"/>
      <c r="CD86" s="1141"/>
      <c r="CE86" s="937"/>
      <c r="CF86" s="937"/>
      <c r="CG86" s="937"/>
      <c r="CH86" s="937"/>
      <c r="CI86" s="1147"/>
      <c r="CJ86" s="24"/>
      <c r="CK86" s="24"/>
      <c r="CL86" s="24"/>
      <c r="CM86" s="24"/>
      <c r="CN86" s="1102"/>
      <c r="CO86" s="24"/>
      <c r="CP86" s="24"/>
      <c r="CQ86" s="24"/>
      <c r="CR86" s="24"/>
      <c r="CS86" s="1102"/>
      <c r="CT86" s="24"/>
      <c r="CU86" s="24"/>
      <c r="CV86" s="24"/>
      <c r="CW86" s="24"/>
      <c r="CX86" s="24"/>
      <c r="CY86" s="24"/>
      <c r="CZ86" s="24"/>
      <c r="DA86" s="24"/>
      <c r="DB86" s="24"/>
      <c r="DC86" s="24"/>
      <c r="DD86" s="24"/>
      <c r="DE86" s="24"/>
      <c r="DF86" s="24"/>
      <c r="DG86" s="24"/>
      <c r="DH86" s="24"/>
      <c r="DI86" s="24"/>
      <c r="DJ86" s="24"/>
      <c r="DK86" s="24"/>
      <c r="DL86" s="24"/>
      <c r="DM86" s="24"/>
      <c r="DN86" s="24"/>
      <c r="DO86" s="24"/>
      <c r="DP86" s="24"/>
      <c r="DQ86" s="24"/>
      <c r="DR86" s="24"/>
      <c r="DS86" s="24"/>
      <c r="DT86" s="24"/>
      <c r="DU86" s="24"/>
      <c r="DV86" s="23"/>
      <c r="DW86" s="54"/>
      <c r="DX86" s="23"/>
      <c r="DY86" s="23"/>
    </row>
    <row r="87" spans="2:135" ht="12" hidden="1" customHeight="1" outlineLevel="1">
      <c r="B87" s="938" t="s">
        <v>852</v>
      </c>
      <c r="C87" s="23"/>
      <c r="L87" s="23"/>
      <c r="M87" s="23"/>
      <c r="N87" s="23"/>
      <c r="O87" s="855"/>
      <c r="P87" s="855"/>
      <c r="Q87" s="855"/>
      <c r="R87" s="855"/>
      <c r="S87" s="855"/>
      <c r="T87" s="855"/>
      <c r="U87" s="855"/>
      <c r="V87" s="855"/>
      <c r="W87" s="855"/>
      <c r="X87" s="23"/>
      <c r="Y87" s="23"/>
      <c r="Z87" s="23"/>
      <c r="AA87" s="23"/>
      <c r="AB87" s="23"/>
      <c r="AC87" s="23"/>
      <c r="AD87" s="23"/>
      <c r="AE87" s="54"/>
      <c r="AF87" s="23"/>
      <c r="AG87" s="23"/>
      <c r="AH87" s="23"/>
      <c r="AI87" s="23"/>
      <c r="AJ87" s="123"/>
      <c r="AK87" s="1102"/>
      <c r="AP87" s="42"/>
      <c r="AU87" s="42"/>
      <c r="AZ87" s="42"/>
      <c r="BE87" s="42"/>
      <c r="BJ87" s="42"/>
      <c r="BO87" s="42"/>
      <c r="BT87" s="42"/>
      <c r="BY87" s="42"/>
      <c r="BZ87" s="20"/>
      <c r="CA87" s="20"/>
      <c r="CB87" s="20"/>
      <c r="CC87" s="20"/>
      <c r="CD87" s="1141"/>
      <c r="CE87" s="937"/>
      <c r="CF87" s="937"/>
      <c r="CG87" s="937"/>
      <c r="CH87" s="937"/>
      <c r="CI87" s="1147"/>
      <c r="CJ87" s="24"/>
      <c r="CK87" s="24"/>
      <c r="CL87" s="24"/>
      <c r="CM87" s="24"/>
      <c r="CN87" s="1102"/>
      <c r="CO87" s="24"/>
      <c r="CP87" s="24"/>
      <c r="CQ87" s="24"/>
      <c r="CR87" s="24"/>
      <c r="CS87" s="1102"/>
      <c r="CT87" s="24"/>
      <c r="CU87" s="24"/>
      <c r="CV87" s="24"/>
      <c r="CW87" s="24"/>
      <c r="CX87" s="24"/>
      <c r="CY87" s="24"/>
      <c r="CZ87" s="24"/>
      <c r="DA87" s="24"/>
      <c r="DB87" s="24"/>
      <c r="DC87" s="24"/>
      <c r="DD87" s="24"/>
      <c r="DE87" s="24"/>
      <c r="DF87" s="24"/>
      <c r="DG87" s="24"/>
      <c r="DH87" s="24"/>
      <c r="DI87" s="24"/>
      <c r="DJ87" s="24"/>
      <c r="DK87" s="24"/>
      <c r="DL87" s="24"/>
      <c r="DM87" s="24"/>
      <c r="DN87" s="24"/>
      <c r="DO87" s="24"/>
      <c r="DP87" s="24"/>
      <c r="DQ87" s="24"/>
      <c r="DR87" s="24"/>
      <c r="DS87" s="24"/>
      <c r="DT87" s="24"/>
      <c r="DU87" s="24"/>
      <c r="DV87" s="23"/>
      <c r="DW87" s="54"/>
      <c r="DX87" s="23"/>
      <c r="DY87" s="23"/>
    </row>
    <row r="88" spans="2:135" ht="12" hidden="1" customHeight="1" outlineLevel="1">
      <c r="B88" s="939" t="s">
        <v>877</v>
      </c>
      <c r="C88" s="23"/>
      <c r="L88" s="23"/>
      <c r="M88" s="54">
        <f t="shared" ref="M88:AD88" si="306">M15</f>
        <v>704.68</v>
      </c>
      <c r="N88" s="54">
        <f t="shared" si="306"/>
        <v>882.50900000000013</v>
      </c>
      <c r="O88" s="54">
        <f t="shared" si="306"/>
        <v>1196.2139999999999</v>
      </c>
      <c r="P88" s="54">
        <f t="shared" si="306"/>
        <v>1569.7840000000001</v>
      </c>
      <c r="Q88" s="54">
        <f t="shared" si="306"/>
        <v>1887.376</v>
      </c>
      <c r="R88" s="54">
        <f t="shared" si="306"/>
        <v>2152.7660000000001</v>
      </c>
      <c r="S88" s="54">
        <f t="shared" si="306"/>
        <v>2443.7749999999996</v>
      </c>
      <c r="T88" s="54">
        <f t="shared" si="306"/>
        <v>2725.8670000000002</v>
      </c>
      <c r="U88" s="54">
        <f t="shared" si="306"/>
        <v>3611.9889999999996</v>
      </c>
      <c r="V88" s="54">
        <f t="shared" si="306"/>
        <v>4368.4279999999999</v>
      </c>
      <c r="W88" s="54">
        <f t="shared" ca="1" si="306"/>
        <v>5039.1585955911905</v>
      </c>
      <c r="X88" s="54">
        <f t="shared" ca="1" si="306"/>
        <v>5500.5877719846403</v>
      </c>
      <c r="Y88" s="54">
        <f t="shared" ca="1" si="306"/>
        <v>5937.3329327160309</v>
      </c>
      <c r="Z88" s="54">
        <f t="shared" ca="1" si="306"/>
        <v>6349.2579843878229</v>
      </c>
      <c r="AA88" s="54">
        <f t="shared" ca="1" si="306"/>
        <v>6759.6524169437562</v>
      </c>
      <c r="AB88" s="54">
        <f t="shared" ca="1" si="306"/>
        <v>7168.2294722832021</v>
      </c>
      <c r="AC88" s="54">
        <f t="shared" ca="1" si="306"/>
        <v>7574.760814010624</v>
      </c>
      <c r="AD88" s="54">
        <f t="shared" ca="1" si="306"/>
        <v>7979.0579009880248</v>
      </c>
      <c r="AE88" s="54"/>
      <c r="AF88" s="23"/>
      <c r="AG88" s="23"/>
      <c r="AH88" s="23"/>
      <c r="AI88" s="23"/>
      <c r="AJ88" s="123"/>
      <c r="AK88" s="1102"/>
      <c r="AP88" s="42"/>
      <c r="AU88" s="42"/>
      <c r="AZ88" s="42"/>
      <c r="BE88" s="42"/>
      <c r="BJ88" s="42"/>
      <c r="BO88" s="42"/>
      <c r="BT88" s="42"/>
      <c r="BY88" s="42"/>
      <c r="BZ88" s="20"/>
      <c r="CA88" s="20"/>
      <c r="CB88" s="20"/>
      <c r="CC88" s="20"/>
      <c r="CD88" s="1141"/>
      <c r="CE88" s="54">
        <f>CE15</f>
        <v>199.23100000000002</v>
      </c>
      <c r="CF88" s="54">
        <f>CF15</f>
        <v>213.16799999999998</v>
      </c>
      <c r="CG88" s="54">
        <f>CG15</f>
        <v>227.55799999999999</v>
      </c>
      <c r="CH88" s="54">
        <f>CH15</f>
        <v>242.55199999999999</v>
      </c>
      <c r="CI88" s="1111">
        <f>SUM(CE88:CH88)</f>
        <v>882.50900000000001</v>
      </c>
      <c r="CJ88" s="54">
        <f>CJ15</f>
        <v>248.64900000000003</v>
      </c>
      <c r="CK88" s="54">
        <f>CK15</f>
        <v>290.01699999999994</v>
      </c>
      <c r="CL88" s="54">
        <f>CL15</f>
        <v>321.39400000000001</v>
      </c>
      <c r="CM88" s="54">
        <f>CM15</f>
        <v>336.154</v>
      </c>
      <c r="CN88" s="1111">
        <f>SUM(CJ88:CM88)</f>
        <v>1196.2139999999999</v>
      </c>
      <c r="CO88" s="54">
        <f>CO15</f>
        <v>353.94900000000001</v>
      </c>
      <c r="CP88" s="54">
        <f>CP15</f>
        <v>385.51099999999997</v>
      </c>
      <c r="CQ88" s="54">
        <f>CQ15</f>
        <v>408.20799999999997</v>
      </c>
      <c r="CR88" s="54">
        <f>CR15</f>
        <v>422.11599999999999</v>
      </c>
      <c r="CS88" s="1111">
        <f>SUM(CO88:CR88)</f>
        <v>1569.7840000000001</v>
      </c>
      <c r="CT88" s="54">
        <f t="shared" ref="CT88:DU88" si="307">CT15</f>
        <v>440.952</v>
      </c>
      <c r="CU88" s="54">
        <f t="shared" si="307"/>
        <v>455.53000000000003</v>
      </c>
      <c r="CV88" s="54">
        <f t="shared" si="307"/>
        <v>484.83499999999998</v>
      </c>
      <c r="CW88" s="54">
        <f t="shared" si="307"/>
        <v>506.05899999999997</v>
      </c>
      <c r="CX88" s="54">
        <f t="shared" si="307"/>
        <v>516.1339999999999</v>
      </c>
      <c r="CY88" s="54">
        <f t="shared" si="307"/>
        <v>528.87099999999998</v>
      </c>
      <c r="CZ88" s="54">
        <f t="shared" si="307"/>
        <v>543.08400000000006</v>
      </c>
      <c r="DA88" s="54">
        <f t="shared" si="307"/>
        <v>564.67700000000002</v>
      </c>
      <c r="DB88" s="54">
        <f t="shared" si="307"/>
        <v>580.053</v>
      </c>
      <c r="DC88" s="54">
        <f t="shared" si="307"/>
        <v>605.16100000000006</v>
      </c>
      <c r="DD88" s="54">
        <f t="shared" si="307"/>
        <v>620.43999999999994</v>
      </c>
      <c r="DE88" s="54">
        <f t="shared" si="307"/>
        <v>638.12099999999998</v>
      </c>
      <c r="DF88" s="54">
        <f t="shared" si="307"/>
        <v>643.17399999999998</v>
      </c>
      <c r="DG88" s="54">
        <f t="shared" si="307"/>
        <v>665.58199999999988</v>
      </c>
      <c r="DH88" s="54">
        <f t="shared" si="307"/>
        <v>686.649</v>
      </c>
      <c r="DI88" s="54">
        <f t="shared" si="307"/>
        <v>730.46199999999988</v>
      </c>
      <c r="DJ88" s="54">
        <f t="shared" si="307"/>
        <v>844.15600000000006</v>
      </c>
      <c r="DK88" s="54">
        <f t="shared" si="307"/>
        <v>900.51</v>
      </c>
      <c r="DL88" s="54">
        <f t="shared" si="307"/>
        <v>924.67599999999993</v>
      </c>
      <c r="DM88" s="54">
        <f t="shared" si="307"/>
        <v>942.64700000000005</v>
      </c>
      <c r="DN88" s="54">
        <f t="shared" si="307"/>
        <v>949.5250000000002</v>
      </c>
      <c r="DO88" s="54">
        <f t="shared" si="307"/>
        <v>1066.421</v>
      </c>
      <c r="DP88" s="54">
        <f t="shared" si="307"/>
        <v>1152.261</v>
      </c>
      <c r="DQ88" s="54">
        <f t="shared" si="307"/>
        <v>1200.221</v>
      </c>
      <c r="DR88" s="54">
        <f t="shared" ca="1" si="307"/>
        <v>1215.5685010826094</v>
      </c>
      <c r="DS88" s="54">
        <f t="shared" ca="1" si="307"/>
        <v>1240.1100146580661</v>
      </c>
      <c r="DT88" s="54">
        <f t="shared" ca="1" si="307"/>
        <v>1273.9358902089878</v>
      </c>
      <c r="DU88" s="54">
        <f t="shared" ca="1" si="307"/>
        <v>1309.5441896415268</v>
      </c>
      <c r="DV88" s="195"/>
      <c r="DW88" s="54"/>
      <c r="DX88" s="195"/>
      <c r="DY88" s="195"/>
    </row>
    <row r="89" spans="2:135" ht="12" hidden="1" customHeight="1" outlineLevel="1">
      <c r="B89" s="939" t="s">
        <v>886</v>
      </c>
      <c r="C89" s="23"/>
      <c r="L89" s="23"/>
      <c r="M89" s="54">
        <f t="shared" ref="M89:Z89" si="308">M18+M24+M45</f>
        <v>573.19100000000003</v>
      </c>
      <c r="N89" s="54">
        <f t="shared" si="308"/>
        <v>649.27199999999993</v>
      </c>
      <c r="O89" s="54">
        <f t="shared" si="308"/>
        <v>916.798</v>
      </c>
      <c r="P89" s="54">
        <f t="shared" si="308"/>
        <v>1187.7370000000001</v>
      </c>
      <c r="Q89" s="54">
        <f t="shared" si="308"/>
        <v>1393.0619999999999</v>
      </c>
      <c r="R89" s="54">
        <f t="shared" si="308"/>
        <v>1582.876</v>
      </c>
      <c r="S89" s="54">
        <f t="shared" si="308"/>
        <v>1814.0129999999999</v>
      </c>
      <c r="T89" s="54">
        <f t="shared" si="308"/>
        <v>1983.1689999999999</v>
      </c>
      <c r="U89" s="54">
        <f t="shared" si="308"/>
        <v>2798.0250000000001</v>
      </c>
      <c r="V89" s="54">
        <f t="shared" si="308"/>
        <v>3345.2789999999995</v>
      </c>
      <c r="W89" s="54">
        <f t="shared" ref="W89" ca="1" si="309">W18+W24+W45</f>
        <v>3788.2107860823025</v>
      </c>
      <c r="X89" s="54">
        <f t="shared" ca="1" si="308"/>
        <v>3942.5754157681322</v>
      </c>
      <c r="Y89" s="54">
        <f t="shared" ca="1" si="308"/>
        <v>4209.4689771552994</v>
      </c>
      <c r="Z89" s="54">
        <f t="shared" ca="1" si="308"/>
        <v>4466.4895036158769</v>
      </c>
      <c r="AA89" s="54">
        <f t="shared" ref="AA89:AD89" ca="1" si="310">AA18+AA24+AA45</f>
        <v>4599.4556394283245</v>
      </c>
      <c r="AB89" s="54">
        <f t="shared" ca="1" si="310"/>
        <v>4330.3285424558271</v>
      </c>
      <c r="AC89" s="54">
        <f t="shared" ca="1" si="310"/>
        <v>4227.7263178570565</v>
      </c>
      <c r="AD89" s="54">
        <f t="shared" ca="1" si="310"/>
        <v>4418.9639283471133</v>
      </c>
      <c r="AE89" s="54"/>
      <c r="AF89" s="23"/>
      <c r="AG89" s="23"/>
      <c r="AH89" s="23"/>
      <c r="AI89" s="23"/>
      <c r="AJ89" s="123"/>
      <c r="AK89" s="1102"/>
      <c r="AP89" s="42"/>
      <c r="AU89" s="42"/>
      <c r="AZ89" s="42"/>
      <c r="BE89" s="42"/>
      <c r="BJ89" s="42"/>
      <c r="BO89" s="42"/>
      <c r="BT89" s="42"/>
      <c r="BY89" s="42"/>
      <c r="BZ89" s="20"/>
      <c r="CA89" s="20"/>
      <c r="CB89" s="20"/>
      <c r="CC89" s="20"/>
      <c r="CD89" s="1141"/>
      <c r="CE89" s="54">
        <f>CE18+CE24+CE45</f>
        <v>149.82</v>
      </c>
      <c r="CF89" s="54">
        <f>CF18+CF24+CF45</f>
        <v>158.9</v>
      </c>
      <c r="CG89" s="54">
        <f>CG18+CG24+CG45</f>
        <v>166.58799999999999</v>
      </c>
      <c r="CH89" s="54">
        <f>CH18+CH24+CH45</f>
        <v>173.964</v>
      </c>
      <c r="CI89" s="1111">
        <f>SUM(CE89:CH89)</f>
        <v>649.27199999999993</v>
      </c>
      <c r="CJ89" s="54">
        <f>CJ18+CJ24+CJ45</f>
        <v>180.69900000000001</v>
      </c>
      <c r="CK89" s="54">
        <f>CK18+CK24+CK45</f>
        <v>222.05799999999999</v>
      </c>
      <c r="CL89" s="54">
        <f>CL18+CL24+CL45</f>
        <v>250.089</v>
      </c>
      <c r="CM89" s="54">
        <f>CM18+CM24+CM45</f>
        <v>263.952</v>
      </c>
      <c r="CN89" s="1111">
        <f>SUM(CJ89:CM89)</f>
        <v>916.798</v>
      </c>
      <c r="CO89" s="54">
        <f>CO18+CO24+CO45</f>
        <v>267.40100000000001</v>
      </c>
      <c r="CP89" s="54">
        <f>CP18+CP24+CP45</f>
        <v>290.77599999999995</v>
      </c>
      <c r="CQ89" s="54">
        <f>CQ18+CQ24+CQ45</f>
        <v>309.66800000000001</v>
      </c>
      <c r="CR89" s="54">
        <f>CR18+CR24+CR45</f>
        <v>319.892</v>
      </c>
      <c r="CS89" s="1111">
        <f>SUM(CO89:CR89)</f>
        <v>1187.7369999999999</v>
      </c>
      <c r="CT89" s="54">
        <f t="shared" ref="CT89:DN89" si="311">CT18+CT24+CT45</f>
        <v>324.43899999999996</v>
      </c>
      <c r="CU89" s="54">
        <f t="shared" si="311"/>
        <v>333.358</v>
      </c>
      <c r="CV89" s="54">
        <f t="shared" si="311"/>
        <v>365.34100000000001</v>
      </c>
      <c r="CW89" s="54">
        <f t="shared" si="311"/>
        <v>369.92399999999998</v>
      </c>
      <c r="CX89" s="54">
        <f t="shared" si="311"/>
        <v>383.84899999999999</v>
      </c>
      <c r="CY89" s="54">
        <f t="shared" si="311"/>
        <v>391.02500000000003</v>
      </c>
      <c r="CZ89" s="54">
        <f t="shared" si="311"/>
        <v>400.173</v>
      </c>
      <c r="DA89" s="54">
        <f t="shared" si="311"/>
        <v>407.82899999999995</v>
      </c>
      <c r="DB89" s="54">
        <f t="shared" si="311"/>
        <v>433.27499999999998</v>
      </c>
      <c r="DC89" s="54">
        <f t="shared" si="311"/>
        <v>445.95800000000003</v>
      </c>
      <c r="DD89" s="54">
        <f t="shared" si="311"/>
        <v>457.92799999999994</v>
      </c>
      <c r="DE89" s="54">
        <f t="shared" si="311"/>
        <v>476.85199999999998</v>
      </c>
      <c r="DF89" s="54">
        <f t="shared" si="311"/>
        <v>459.95599999999996</v>
      </c>
      <c r="DG89" s="54">
        <f t="shared" si="311"/>
        <v>482.59000000000003</v>
      </c>
      <c r="DH89" s="54">
        <f t="shared" si="311"/>
        <v>498.44500000000005</v>
      </c>
      <c r="DI89" s="54">
        <f t="shared" si="311"/>
        <v>542.178</v>
      </c>
      <c r="DJ89" s="54">
        <f t="shared" si="311"/>
        <v>665.65900000000011</v>
      </c>
      <c r="DK89" s="54">
        <f t="shared" si="311"/>
        <v>693.93799999999999</v>
      </c>
      <c r="DL89" s="54">
        <f t="shared" si="311"/>
        <v>720.00400000000002</v>
      </c>
      <c r="DM89" s="54">
        <f t="shared" si="311"/>
        <v>718.42399999999998</v>
      </c>
      <c r="DN89" s="54">
        <f t="shared" si="311"/>
        <v>740.96400000000006</v>
      </c>
      <c r="DO89" s="54">
        <f t="shared" ref="DO89:DP89" si="312">DO18+DO24+DO45</f>
        <v>809.49900000000002</v>
      </c>
      <c r="DP89" s="54">
        <f t="shared" si="312"/>
        <v>879.66100000000006</v>
      </c>
      <c r="DQ89" s="54">
        <f t="shared" ref="DQ89" si="313">DQ18+DQ24+DQ45</f>
        <v>915.15499999999997</v>
      </c>
      <c r="DR89" s="54">
        <f t="shared" ref="DR89:DU89" ca="1" si="314">DR18+DR24+DR45</f>
        <v>938.37748798504208</v>
      </c>
      <c r="DS89" s="54">
        <f t="shared" ca="1" si="314"/>
        <v>932.88623611204662</v>
      </c>
      <c r="DT89" s="54">
        <f t="shared" ca="1" si="314"/>
        <v>948.22970890666477</v>
      </c>
      <c r="DU89" s="54">
        <f t="shared" ca="1" si="314"/>
        <v>968.71735307854885</v>
      </c>
      <c r="DV89" s="195"/>
      <c r="DW89" s="54"/>
      <c r="DX89" s="195"/>
      <c r="DY89" s="195"/>
    </row>
    <row r="90" spans="2:135" ht="12" hidden="1" customHeight="1" outlineLevel="1">
      <c r="B90" s="939" t="s">
        <v>994</v>
      </c>
      <c r="C90" s="23"/>
      <c r="L90" s="23"/>
      <c r="M90" s="54">
        <f t="shared" ref="M90:Z90" si="315">M88-M89+M45</f>
        <v>292.47599999999989</v>
      </c>
      <c r="N90" s="54">
        <f t="shared" si="315"/>
        <v>408.60800000000017</v>
      </c>
      <c r="O90" s="54">
        <f t="shared" si="315"/>
        <v>533.02099999999996</v>
      </c>
      <c r="P90" s="54">
        <f t="shared" si="315"/>
        <v>719.80500000000006</v>
      </c>
      <c r="Q90" s="54">
        <f t="shared" si="315"/>
        <v>887.85700000000008</v>
      </c>
      <c r="R90" s="54">
        <f t="shared" si="315"/>
        <v>1000.8980000000001</v>
      </c>
      <c r="S90" s="54">
        <f t="shared" si="315"/>
        <v>1113.8909999999996</v>
      </c>
      <c r="T90" s="54">
        <f>T88-T89+T45</f>
        <v>1271.6270000000004</v>
      </c>
      <c r="U90" s="54">
        <f>U88-U89+U45</f>
        <v>1657.4739999999995</v>
      </c>
      <c r="V90" s="54">
        <f>V88-V89+V45</f>
        <v>2052.0410000000002</v>
      </c>
      <c r="W90" s="54">
        <f ca="1">W88-W89+W45</f>
        <v>2396.2013118891828</v>
      </c>
      <c r="X90" s="54">
        <f t="shared" ca="1" si="315"/>
        <v>2626.6195144712165</v>
      </c>
      <c r="Y90" s="54">
        <f t="shared" ca="1" si="315"/>
        <v>2847.0470495173977</v>
      </c>
      <c r="Z90" s="54">
        <f t="shared" ca="1" si="315"/>
        <v>3057.2702817644613</v>
      </c>
      <c r="AA90" s="54">
        <f t="shared" ref="AA90:AD90" ca="1" si="316">AA88-AA89+AA45</f>
        <v>3268.4011351509507</v>
      </c>
      <c r="AB90" s="54">
        <f t="shared" ca="1" si="316"/>
        <v>3480.2912002721855</v>
      </c>
      <c r="AC90" s="54">
        <f t="shared" ca="1" si="316"/>
        <v>3692.8182551836303</v>
      </c>
      <c r="AD90" s="54">
        <f t="shared" ca="1" si="316"/>
        <v>3905.8777316709743</v>
      </c>
      <c r="AE90" s="54"/>
      <c r="AF90" s="23"/>
      <c r="AG90" s="23"/>
      <c r="AH90" s="23"/>
      <c r="AI90" s="23"/>
      <c r="AJ90" s="123"/>
      <c r="AK90" s="1102"/>
      <c r="AP90" s="42"/>
      <c r="AU90" s="42"/>
      <c r="AZ90" s="42"/>
      <c r="BE90" s="42"/>
      <c r="BJ90" s="42"/>
      <c r="BO90" s="42"/>
      <c r="BT90" s="42"/>
      <c r="BY90" s="42"/>
      <c r="BZ90" s="20"/>
      <c r="CA90" s="20"/>
      <c r="CB90" s="20"/>
      <c r="CC90" s="20"/>
      <c r="CD90" s="1141"/>
      <c r="CE90" s="54">
        <f>CE88-CE89+CE45</f>
        <v>91.378000000000029</v>
      </c>
      <c r="CF90" s="54">
        <f>CF88-CF89+CF45</f>
        <v>99.533999999999963</v>
      </c>
      <c r="CG90" s="54">
        <f>CG88-CG89+CG45</f>
        <v>106.036</v>
      </c>
      <c r="CH90" s="54">
        <f>CH88-CH89+CH45</f>
        <v>111.66</v>
      </c>
      <c r="CI90" s="1111">
        <f>SUM(CE90:CH90)</f>
        <v>408.60799999999995</v>
      </c>
      <c r="CJ90" s="54">
        <f>CJ88-CJ89+CJ45</f>
        <v>117.27200000000002</v>
      </c>
      <c r="CK90" s="54">
        <f>CK88-CK89+CK45</f>
        <v>129.28399999999993</v>
      </c>
      <c r="CL90" s="54">
        <f>CL88-CL89+CL45</f>
        <v>142.08600000000001</v>
      </c>
      <c r="CM90" s="54">
        <f>CM88-CM89+CM45</f>
        <v>144.37900000000002</v>
      </c>
      <c r="CN90" s="1111">
        <f>SUM(CJ90:CM90)</f>
        <v>533.02099999999996</v>
      </c>
      <c r="CO90" s="54">
        <f>CO88-CO89+CO45</f>
        <v>162.327</v>
      </c>
      <c r="CP90" s="54">
        <f>CP88-CP89+CP45</f>
        <v>177.40600000000001</v>
      </c>
      <c r="CQ90" s="54">
        <f>CQ88-CQ89+CQ45</f>
        <v>186.82799999999997</v>
      </c>
      <c r="CR90" s="54">
        <f>CR88-CR89+CR45</f>
        <v>193.244</v>
      </c>
      <c r="CS90" s="1111">
        <f>SUM(CO90:CR90)</f>
        <v>719.80499999999995</v>
      </c>
      <c r="CT90" s="54">
        <f t="shared" ref="CT90:DB90" si="317">CT88-CT89+CT45</f>
        <v>206.73500000000004</v>
      </c>
      <c r="CU90" s="54">
        <f t="shared" si="317"/>
        <v>216.42000000000002</v>
      </c>
      <c r="CV90" s="54">
        <f t="shared" si="317"/>
        <v>225.01599999999996</v>
      </c>
      <c r="CW90" s="54">
        <f t="shared" si="317"/>
        <v>239.68599999999998</v>
      </c>
      <c r="CX90" s="54">
        <f t="shared" si="317"/>
        <v>240.88799999999992</v>
      </c>
      <c r="CY90" s="54">
        <f t="shared" si="317"/>
        <v>248.03499999999997</v>
      </c>
      <c r="CZ90" s="54">
        <f t="shared" si="317"/>
        <v>248.44500000000005</v>
      </c>
      <c r="DA90" s="54">
        <f t="shared" si="317"/>
        <v>263.53000000000009</v>
      </c>
      <c r="DB90" s="54">
        <f t="shared" si="317"/>
        <v>260.38800000000003</v>
      </c>
      <c r="DC90" s="54">
        <f t="shared" ref="DC90:DI90" si="318">DC88-DC89+DC45</f>
        <v>275.27700000000004</v>
      </c>
      <c r="DD90" s="54">
        <f t="shared" si="318"/>
        <v>283.86099999999999</v>
      </c>
      <c r="DE90" s="54">
        <f t="shared" si="318"/>
        <v>294.36500000000001</v>
      </c>
      <c r="DF90" s="54">
        <f t="shared" si="318"/>
        <v>305.74799999999999</v>
      </c>
      <c r="DG90" s="54">
        <f t="shared" si="318"/>
        <v>311.26199999999983</v>
      </c>
      <c r="DH90" s="54">
        <f t="shared" si="318"/>
        <v>321.47199999999998</v>
      </c>
      <c r="DI90" s="54">
        <f t="shared" si="318"/>
        <v>333.14499999999987</v>
      </c>
      <c r="DJ90" s="54">
        <f t="shared" ref="DJ90:DM90" si="319">DJ88-DJ89+DJ45</f>
        <v>380.65</v>
      </c>
      <c r="DK90" s="54">
        <f t="shared" si="319"/>
        <v>420.291</v>
      </c>
      <c r="DL90" s="54">
        <f t="shared" si="319"/>
        <v>420.04199999999992</v>
      </c>
      <c r="DM90" s="54">
        <f t="shared" si="319"/>
        <v>436.4910000000001</v>
      </c>
      <c r="DN90" s="54">
        <f>DN88-DN89+DN45</f>
        <v>427.57400000000018</v>
      </c>
      <c r="DO90" s="54">
        <f>DO88-DO89+DO45</f>
        <v>509.30799999999999</v>
      </c>
      <c r="DP90" s="54">
        <f>DP88-DP89+DP45</f>
        <v>550.31899999999996</v>
      </c>
      <c r="DQ90" s="54">
        <f>DQ88-DQ89+DQ45</f>
        <v>564.84</v>
      </c>
      <c r="DR90" s="54">
        <f t="shared" ref="DR90:DU90" ca="1" si="320">DR88-DR89+DR45</f>
        <v>559.16151049800033</v>
      </c>
      <c r="DS90" s="54">
        <f t="shared" ca="1" si="320"/>
        <v>589.79672695274871</v>
      </c>
      <c r="DT90" s="54">
        <f t="shared" ca="1" si="320"/>
        <v>612.0595990789991</v>
      </c>
      <c r="DU90" s="54">
        <f t="shared" ca="1" si="320"/>
        <v>635.18347535943428</v>
      </c>
      <c r="DV90" s="195"/>
      <c r="DW90" s="54"/>
      <c r="DX90" s="195"/>
      <c r="DY90" s="195"/>
    </row>
    <row r="91" spans="2:135" ht="12" hidden="1" customHeight="1" outlineLevel="1">
      <c r="B91" s="939" t="s">
        <v>878</v>
      </c>
      <c r="C91" s="23"/>
      <c r="L91" s="23"/>
      <c r="M91" s="54">
        <f t="shared" ref="M91:Z91" si="321">M90-M45</f>
        <v>131.48899999999989</v>
      </c>
      <c r="N91" s="54">
        <f t="shared" si="321"/>
        <v>233.23700000000017</v>
      </c>
      <c r="O91" s="54">
        <f t="shared" si="321"/>
        <v>279.41599999999994</v>
      </c>
      <c r="P91" s="54">
        <f t="shared" si="321"/>
        <v>382.04700000000003</v>
      </c>
      <c r="Q91" s="54">
        <f t="shared" si="321"/>
        <v>494.31400000000008</v>
      </c>
      <c r="R91" s="54">
        <f t="shared" si="321"/>
        <v>569.8900000000001</v>
      </c>
      <c r="S91" s="54">
        <f t="shared" si="321"/>
        <v>629.7619999999996</v>
      </c>
      <c r="T91" s="54">
        <f>T90-T45</f>
        <v>742.69800000000043</v>
      </c>
      <c r="U91" s="54">
        <f>U90-U45</f>
        <v>813.96399999999949</v>
      </c>
      <c r="V91" s="54">
        <f>V90-V45</f>
        <v>1023.1490000000003</v>
      </c>
      <c r="W91" s="54">
        <f ca="1">W90-W45</f>
        <v>1250.947809508888</v>
      </c>
      <c r="X91" s="54">
        <f t="shared" ca="1" si="321"/>
        <v>1558.0123562165084</v>
      </c>
      <c r="Y91" s="54">
        <f t="shared" ca="1" si="321"/>
        <v>1727.8639555607313</v>
      </c>
      <c r="Z91" s="54">
        <f t="shared" ca="1" si="321"/>
        <v>1882.7684807719461</v>
      </c>
      <c r="AA91" s="54">
        <f t="shared" ref="AA91:AD91" ca="1" si="322">AA90-AA45</f>
        <v>2160.1967775154317</v>
      </c>
      <c r="AB91" s="54">
        <f t="shared" ca="1" si="322"/>
        <v>2837.900929827375</v>
      </c>
      <c r="AC91" s="54">
        <f t="shared" ca="1" si="322"/>
        <v>3347.0344961535675</v>
      </c>
      <c r="AD91" s="54">
        <f t="shared" ca="1" si="322"/>
        <v>3560.0939726409115</v>
      </c>
      <c r="AE91" s="54"/>
      <c r="AF91" s="23"/>
      <c r="AG91" s="23"/>
      <c r="AH91" s="23"/>
      <c r="AI91" s="23"/>
      <c r="AJ91" s="123"/>
      <c r="AK91" s="1102"/>
      <c r="AP91" s="42"/>
      <c r="AU91" s="42"/>
      <c r="AZ91" s="42"/>
      <c r="BE91" s="42"/>
      <c r="BJ91" s="42"/>
      <c r="BO91" s="42"/>
      <c r="BT91" s="42"/>
      <c r="BY91" s="42"/>
      <c r="BZ91" s="20"/>
      <c r="CA91" s="20"/>
      <c r="CB91" s="20"/>
      <c r="CC91" s="20"/>
      <c r="CD91" s="1141"/>
      <c r="CE91" s="54">
        <f>CE90-CE45</f>
        <v>49.41100000000003</v>
      </c>
      <c r="CF91" s="54">
        <f>CF90-CF45</f>
        <v>54.267999999999965</v>
      </c>
      <c r="CG91" s="54">
        <f>CG90-CG45</f>
        <v>60.97</v>
      </c>
      <c r="CH91" s="54">
        <f>CH90-CH45</f>
        <v>68.587999999999994</v>
      </c>
      <c r="CI91" s="1111">
        <f>SUM(CE91:CH91)</f>
        <v>233.23699999999999</v>
      </c>
      <c r="CJ91" s="54">
        <f>CJ90-CJ45</f>
        <v>67.950000000000017</v>
      </c>
      <c r="CK91" s="54">
        <f>CK90-CK45</f>
        <v>67.958999999999946</v>
      </c>
      <c r="CL91" s="54">
        <f>CL90-CL45</f>
        <v>71.305000000000007</v>
      </c>
      <c r="CM91" s="54">
        <f>CM90-CM45</f>
        <v>72.202000000000012</v>
      </c>
      <c r="CN91" s="1111">
        <f>SUM(CJ91:CM91)</f>
        <v>279.416</v>
      </c>
      <c r="CO91" s="54">
        <f>CO90-CO45</f>
        <v>86.547999999999988</v>
      </c>
      <c r="CP91" s="54">
        <f>CP90-CP45</f>
        <v>94.734999999999999</v>
      </c>
      <c r="CQ91" s="54">
        <f>CQ90-CQ45</f>
        <v>98.539999999999964</v>
      </c>
      <c r="CR91" s="54">
        <f>CR90-CR45</f>
        <v>102.22399999999999</v>
      </c>
      <c r="CS91" s="1111">
        <f>SUM(CO91:CR91)</f>
        <v>382.04699999999997</v>
      </c>
      <c r="CT91" s="54">
        <f t="shared" ref="CT91:DB91" si="323">CT90-CT45</f>
        <v>116.51300000000003</v>
      </c>
      <c r="CU91" s="54">
        <f t="shared" si="323"/>
        <v>122.17200000000001</v>
      </c>
      <c r="CV91" s="54">
        <f t="shared" si="323"/>
        <v>119.49399999999996</v>
      </c>
      <c r="CW91" s="54">
        <f t="shared" si="323"/>
        <v>136.13499999999999</v>
      </c>
      <c r="CX91" s="54">
        <f t="shared" si="323"/>
        <v>132.28499999999991</v>
      </c>
      <c r="CY91" s="54">
        <f t="shared" si="323"/>
        <v>137.84599999999995</v>
      </c>
      <c r="CZ91" s="54">
        <f t="shared" si="323"/>
        <v>142.91100000000006</v>
      </c>
      <c r="DA91" s="54">
        <f t="shared" si="323"/>
        <v>156.8480000000001</v>
      </c>
      <c r="DB91" s="54">
        <f t="shared" si="323"/>
        <v>146.77800000000002</v>
      </c>
      <c r="DC91" s="54">
        <f t="shared" ref="DC91:DI91" si="324">DC90-DC45</f>
        <v>159.20300000000003</v>
      </c>
      <c r="DD91" s="54">
        <f t="shared" si="324"/>
        <v>162.512</v>
      </c>
      <c r="DE91" s="54">
        <f t="shared" si="324"/>
        <v>161.26900000000001</v>
      </c>
      <c r="DF91" s="54">
        <f t="shared" si="324"/>
        <v>183.21800000000002</v>
      </c>
      <c r="DG91" s="54">
        <f t="shared" si="324"/>
        <v>182.99199999999982</v>
      </c>
      <c r="DH91" s="54">
        <f t="shared" si="324"/>
        <v>188.20399999999998</v>
      </c>
      <c r="DI91" s="54">
        <f t="shared" si="324"/>
        <v>188.28399999999988</v>
      </c>
      <c r="DJ91" s="54">
        <f t="shared" ref="DJ91:DM91" si="325">DJ90-DJ45</f>
        <v>178.49699999999996</v>
      </c>
      <c r="DK91" s="54">
        <f t="shared" si="325"/>
        <v>206.572</v>
      </c>
      <c r="DL91" s="54">
        <f t="shared" si="325"/>
        <v>204.67199999999994</v>
      </c>
      <c r="DM91" s="54">
        <f t="shared" si="325"/>
        <v>224.22300000000007</v>
      </c>
      <c r="DN91" s="54">
        <f>DN90-DN45</f>
        <v>208.56100000000018</v>
      </c>
      <c r="DO91" s="54">
        <f>DO90-DO45</f>
        <v>256.92200000000003</v>
      </c>
      <c r="DP91" s="54">
        <f>DP90-DP45</f>
        <v>272.59999999999997</v>
      </c>
      <c r="DQ91" s="54">
        <f>DQ90-DQ45</f>
        <v>285.06600000000003</v>
      </c>
      <c r="DR91" s="54">
        <f t="shared" ref="DR91:DU91" ca="1" si="326">DR90-DR45</f>
        <v>277.19101309756729</v>
      </c>
      <c r="DS91" s="54">
        <f t="shared" ca="1" si="326"/>
        <v>307.22377854601945</v>
      </c>
      <c r="DT91" s="54">
        <f t="shared" ca="1" si="326"/>
        <v>325.70618130232299</v>
      </c>
      <c r="DU91" s="54">
        <f t="shared" ca="1" si="326"/>
        <v>340.82683656297797</v>
      </c>
      <c r="DV91" s="195"/>
      <c r="DW91" s="54"/>
      <c r="DX91" s="195"/>
      <c r="DY91" s="195"/>
    </row>
    <row r="92" spans="2:135" ht="12" hidden="1" customHeight="1" outlineLevel="1">
      <c r="B92" s="939" t="s">
        <v>882</v>
      </c>
      <c r="C92" s="23"/>
      <c r="L92" s="23"/>
      <c r="M92" s="54">
        <f t="shared" ref="M92:Z92" si="327">M91*(1-M59)</f>
        <v>85.467849999999927</v>
      </c>
      <c r="N92" s="54">
        <f t="shared" si="327"/>
        <v>151.60405000000011</v>
      </c>
      <c r="O92" s="54">
        <f t="shared" si="327"/>
        <v>181.62039999999996</v>
      </c>
      <c r="P92" s="54">
        <f t="shared" si="327"/>
        <v>248.33055000000002</v>
      </c>
      <c r="Q92" s="54">
        <f t="shared" si="327"/>
        <v>321.30410000000006</v>
      </c>
      <c r="R92" s="54">
        <f t="shared" si="327"/>
        <v>370.4285000000001</v>
      </c>
      <c r="S92" s="54">
        <f t="shared" si="327"/>
        <v>409.34529999999978</v>
      </c>
      <c r="T92" s="54">
        <f>T91*(1-T59)</f>
        <v>482.75370000000032</v>
      </c>
      <c r="U92" s="54">
        <f>U91*(1-U59)</f>
        <v>529.07659999999964</v>
      </c>
      <c r="V92" s="54">
        <f>V91*(1-V59)</f>
        <v>665.04685000000029</v>
      </c>
      <c r="W92" s="54">
        <f ca="1">W91*(1-W59)</f>
        <v>963.22981332184372</v>
      </c>
      <c r="X92" s="54">
        <f t="shared" ca="1" si="327"/>
        <v>1199.6695142867115</v>
      </c>
      <c r="Y92" s="54">
        <f t="shared" ca="1" si="327"/>
        <v>1330.4552457817631</v>
      </c>
      <c r="Z92" s="54">
        <f t="shared" ca="1" si="327"/>
        <v>1449.7317301943986</v>
      </c>
      <c r="AA92" s="54">
        <f t="shared" ref="AA92:AD92" ca="1" si="328">AA91*(1-AA59)</f>
        <v>1663.3515186868824</v>
      </c>
      <c r="AB92" s="54">
        <f t="shared" ca="1" si="328"/>
        <v>2185.1837159670786</v>
      </c>
      <c r="AC92" s="54">
        <f t="shared" ca="1" si="328"/>
        <v>2577.216562038247</v>
      </c>
      <c r="AD92" s="54">
        <f t="shared" ca="1" si="328"/>
        <v>2741.2723589335019</v>
      </c>
      <c r="AE92" s="54"/>
      <c r="AF92" s="23"/>
      <c r="AG92" s="23"/>
      <c r="AH92" s="23"/>
      <c r="AI92" s="23"/>
      <c r="AJ92" s="123"/>
      <c r="AK92" s="1102"/>
      <c r="AP92" s="42"/>
      <c r="AU92" s="42"/>
      <c r="AZ92" s="42"/>
      <c r="BE92" s="42"/>
      <c r="BJ92" s="42"/>
      <c r="BO92" s="42"/>
      <c r="BT92" s="42"/>
      <c r="BY92" s="42"/>
      <c r="BZ92" s="20"/>
      <c r="CA92" s="20"/>
      <c r="CB92" s="20"/>
      <c r="CC92" s="20"/>
      <c r="CD92" s="1141"/>
      <c r="CE92" s="54">
        <f>CE91*(1-CE59)</f>
        <v>32.117150000000024</v>
      </c>
      <c r="CF92" s="54">
        <f>CF91*(1-CF59)</f>
        <v>35.274199999999979</v>
      </c>
      <c r="CG92" s="54">
        <f>CG91*(1-CG59)</f>
        <v>39.630499999999998</v>
      </c>
      <c r="CH92" s="54">
        <f>CH91*(1-CH59)</f>
        <v>44.5822</v>
      </c>
      <c r="CI92" s="1111">
        <f>SUM(CE92:CH92)</f>
        <v>151.60405</v>
      </c>
      <c r="CJ92" s="54">
        <f>CJ91*(1-CJ59)</f>
        <v>44.167500000000011</v>
      </c>
      <c r="CK92" s="54">
        <f>CK91*(1-CK59)</f>
        <v>44.173349999999964</v>
      </c>
      <c r="CL92" s="54">
        <f>CL91*(1-CL59)</f>
        <v>46.348250000000007</v>
      </c>
      <c r="CM92" s="54">
        <f>CM91*(1-CM59)</f>
        <v>46.931300000000007</v>
      </c>
      <c r="CN92" s="1111">
        <f>SUM(CJ92:CM92)</f>
        <v>181.62040000000002</v>
      </c>
      <c r="CO92" s="54">
        <f>CO91*(1-CO59)</f>
        <v>56.256199999999993</v>
      </c>
      <c r="CP92" s="54">
        <f>CP91*(1-CP59)</f>
        <v>61.577750000000002</v>
      </c>
      <c r="CQ92" s="54">
        <f>CQ91*(1-CQ59)</f>
        <v>64.050999999999974</v>
      </c>
      <c r="CR92" s="54">
        <f>CR91*(1-CR59)</f>
        <v>66.445599999999999</v>
      </c>
      <c r="CS92" s="1111">
        <f>SUM(CO92:CR92)</f>
        <v>248.33054999999996</v>
      </c>
      <c r="CT92" s="54">
        <f t="shared" ref="CT92:DB92" si="329">CT91*(1-CT59)</f>
        <v>75.733450000000019</v>
      </c>
      <c r="CU92" s="54">
        <f t="shared" si="329"/>
        <v>79.411800000000014</v>
      </c>
      <c r="CV92" s="54">
        <f t="shared" si="329"/>
        <v>77.671099999999981</v>
      </c>
      <c r="CW92" s="54">
        <f t="shared" si="329"/>
        <v>88.487749999999991</v>
      </c>
      <c r="CX92" s="54">
        <f t="shared" si="329"/>
        <v>85.985249999999951</v>
      </c>
      <c r="CY92" s="54">
        <f t="shared" si="329"/>
        <v>89.599899999999963</v>
      </c>
      <c r="CZ92" s="54">
        <f t="shared" si="329"/>
        <v>92.892150000000044</v>
      </c>
      <c r="DA92" s="54">
        <f t="shared" si="329"/>
        <v>101.95120000000007</v>
      </c>
      <c r="DB92" s="54">
        <f t="shared" si="329"/>
        <v>95.40570000000001</v>
      </c>
      <c r="DC92" s="54">
        <f t="shared" ref="DC92:DI92" si="330">DC91*(1-DC59)</f>
        <v>103.48195000000003</v>
      </c>
      <c r="DD92" s="54">
        <f t="shared" si="330"/>
        <v>105.6328</v>
      </c>
      <c r="DE92" s="54">
        <f t="shared" si="330"/>
        <v>104.82485000000001</v>
      </c>
      <c r="DF92" s="54">
        <f t="shared" si="330"/>
        <v>119.09170000000002</v>
      </c>
      <c r="DG92" s="54">
        <f t="shared" si="330"/>
        <v>118.94479999999989</v>
      </c>
      <c r="DH92" s="54">
        <f t="shared" si="330"/>
        <v>122.33259999999999</v>
      </c>
      <c r="DI92" s="54">
        <f t="shared" si="330"/>
        <v>122.38459999999992</v>
      </c>
      <c r="DJ92" s="54">
        <f t="shared" ref="DJ92:DM92" si="331">DJ91*(1-DJ59)</f>
        <v>116.02304999999997</v>
      </c>
      <c r="DK92" s="54">
        <f t="shared" si="331"/>
        <v>134.27180000000001</v>
      </c>
      <c r="DL92" s="54">
        <f t="shared" si="331"/>
        <v>133.03679999999997</v>
      </c>
      <c r="DM92" s="54">
        <f t="shared" si="331"/>
        <v>145.74495000000005</v>
      </c>
      <c r="DN92" s="54">
        <f>DN91*(1-DN59)</f>
        <v>135.56465000000011</v>
      </c>
      <c r="DO92" s="54">
        <f>DO91*(1-DO59)</f>
        <v>166.99930000000003</v>
      </c>
      <c r="DP92" s="54">
        <f>DP91*(1-DP59)</f>
        <v>177.19</v>
      </c>
      <c r="DQ92" s="54">
        <f>DQ91*(1-DQ59)</f>
        <v>185.29290000000003</v>
      </c>
      <c r="DR92" s="54">
        <f t="shared" ref="DR92:DU92" ca="1" si="332">DR91*(1-DR59)</f>
        <v>213.43708008512681</v>
      </c>
      <c r="DS92" s="54">
        <f t="shared" ca="1" si="332"/>
        <v>236.56230948043498</v>
      </c>
      <c r="DT92" s="54">
        <f t="shared" ca="1" si="332"/>
        <v>250.7937596027887</v>
      </c>
      <c r="DU92" s="54">
        <f t="shared" ca="1" si="332"/>
        <v>262.43666415349304</v>
      </c>
      <c r="DV92" s="195"/>
      <c r="DW92" s="54"/>
      <c r="DX92" s="195"/>
      <c r="DY92" s="195"/>
    </row>
    <row r="93" spans="2:135" hidden="1" outlineLevel="1">
      <c r="B93" s="939" t="s">
        <v>887</v>
      </c>
      <c r="M93" s="768">
        <f t="shared" ref="M93:Z93" si="333">M92/M88</f>
        <v>0.12128604472952252</v>
      </c>
      <c r="N93" s="768">
        <f t="shared" si="333"/>
        <v>0.17178753984378639</v>
      </c>
      <c r="O93" s="768">
        <f t="shared" si="333"/>
        <v>0.15182935494819486</v>
      </c>
      <c r="P93" s="768">
        <f t="shared" si="333"/>
        <v>0.15819408912308955</v>
      </c>
      <c r="Q93" s="768">
        <f t="shared" si="333"/>
        <v>0.17023852163003031</v>
      </c>
      <c r="R93" s="768">
        <f t="shared" si="333"/>
        <v>0.17207095429786615</v>
      </c>
      <c r="S93" s="768">
        <f t="shared" si="333"/>
        <v>0.16750531452363651</v>
      </c>
      <c r="T93" s="768">
        <f>T92/T88</f>
        <v>0.1771009737452342</v>
      </c>
      <c r="U93" s="768">
        <f>U92/U88</f>
        <v>0.14647791009330308</v>
      </c>
      <c r="V93" s="768">
        <f>V92/V88</f>
        <v>0.15223939824577634</v>
      </c>
      <c r="W93" s="768">
        <f ca="1">W92/W88</f>
        <v>0.19114893787319631</v>
      </c>
      <c r="X93" s="768">
        <f t="shared" ca="1" si="333"/>
        <v>0.21809842220804426</v>
      </c>
      <c r="Y93" s="768">
        <f t="shared" ca="1" si="333"/>
        <v>0.22408297814169345</v>
      </c>
      <c r="Z93" s="768">
        <f t="shared" ca="1" si="333"/>
        <v>0.2283308905952697</v>
      </c>
      <c r="AA93" s="768">
        <f t="shared" ref="AA93:AD93" ca="1" si="334">AA92/AA88</f>
        <v>0.24607056932654151</v>
      </c>
      <c r="AB93" s="768">
        <f t="shared" ca="1" si="334"/>
        <v>0.30484287987938263</v>
      </c>
      <c r="AC93" s="768">
        <f t="shared" ca="1" si="334"/>
        <v>0.34023735208527106</v>
      </c>
      <c r="AD93" s="768">
        <f t="shared" ca="1" si="334"/>
        <v>0.34355839911802843</v>
      </c>
      <c r="AK93" s="42"/>
      <c r="AP93" s="42"/>
      <c r="AU93" s="42"/>
      <c r="AZ93" s="42"/>
      <c r="BE93" s="42"/>
      <c r="BJ93" s="42"/>
      <c r="BO93" s="42"/>
      <c r="BT93" s="42"/>
      <c r="BY93" s="42"/>
      <c r="CD93" s="42"/>
      <c r="CE93" s="768">
        <f t="shared" ref="CE93:DB93" si="335">CE92/CE88</f>
        <v>0.16120558547615593</v>
      </c>
      <c r="CF93" s="768">
        <f t="shared" si="335"/>
        <v>0.16547605644374383</v>
      </c>
      <c r="CG93" s="768">
        <f t="shared" si="335"/>
        <v>0.17415559989101678</v>
      </c>
      <c r="CH93" s="768">
        <f t="shared" si="335"/>
        <v>0.18380470991787329</v>
      </c>
      <c r="CI93" s="1148">
        <f t="shared" si="335"/>
        <v>0.17178753984378628</v>
      </c>
      <c r="CJ93" s="768">
        <f t="shared" si="335"/>
        <v>0.17762991204468953</v>
      </c>
      <c r="CK93" s="768">
        <f t="shared" si="335"/>
        <v>0.15231296786050463</v>
      </c>
      <c r="CL93" s="768">
        <f t="shared" si="335"/>
        <v>0.14421006614933696</v>
      </c>
      <c r="CM93" s="768">
        <f t="shared" si="335"/>
        <v>0.13961249903318124</v>
      </c>
      <c r="CN93" s="1148">
        <f t="shared" si="335"/>
        <v>0.15182935494819491</v>
      </c>
      <c r="CO93" s="768">
        <f t="shared" si="335"/>
        <v>0.15893871715981678</v>
      </c>
      <c r="CP93" s="768">
        <f t="shared" si="335"/>
        <v>0.15973020225103826</v>
      </c>
      <c r="CQ93" s="768">
        <f t="shared" si="335"/>
        <v>0.15690775291028097</v>
      </c>
      <c r="CR93" s="768">
        <f t="shared" si="335"/>
        <v>0.15741075912782268</v>
      </c>
      <c r="CS93" s="1148">
        <f t="shared" si="335"/>
        <v>0.15819408912308952</v>
      </c>
      <c r="CT93" s="768">
        <f t="shared" si="335"/>
        <v>0.17174987300205016</v>
      </c>
      <c r="CU93" s="768">
        <f t="shared" si="335"/>
        <v>0.17432836476192567</v>
      </c>
      <c r="CV93" s="768">
        <f t="shared" si="335"/>
        <v>0.16020109934307544</v>
      </c>
      <c r="CW93" s="768">
        <f t="shared" si="335"/>
        <v>0.17485658786821298</v>
      </c>
      <c r="CX93" s="768">
        <f t="shared" si="335"/>
        <v>0.16659481839987283</v>
      </c>
      <c r="CY93" s="768">
        <f t="shared" si="335"/>
        <v>0.16941730592148174</v>
      </c>
      <c r="CZ93" s="768">
        <f t="shared" si="335"/>
        <v>0.17104563934860911</v>
      </c>
      <c r="DA93" s="768">
        <f t="shared" si="335"/>
        <v>0.18054781760192121</v>
      </c>
      <c r="DB93" s="768">
        <f t="shared" si="335"/>
        <v>0.16447755636122907</v>
      </c>
      <c r="DC93" s="768">
        <f t="shared" ref="DC93:DI93" si="336">DC92/DC88</f>
        <v>0.17099903992491258</v>
      </c>
      <c r="DD93" s="768">
        <f t="shared" si="336"/>
        <v>0.17025465798465608</v>
      </c>
      <c r="DE93" s="768">
        <f t="shared" si="336"/>
        <v>0.16427111786009238</v>
      </c>
      <c r="DF93" s="768">
        <f t="shared" si="336"/>
        <v>0.18516249102109231</v>
      </c>
      <c r="DG93" s="768">
        <f t="shared" si="336"/>
        <v>0.17870795784741761</v>
      </c>
      <c r="DH93" s="768">
        <f t="shared" si="336"/>
        <v>0.17815885554337074</v>
      </c>
      <c r="DI93" s="768">
        <f t="shared" si="336"/>
        <v>0.16754410222571461</v>
      </c>
      <c r="DJ93" s="768">
        <f t="shared" ref="DJ93:DM93" si="337">DJ92/DJ88</f>
        <v>0.13744266462596957</v>
      </c>
      <c r="DK93" s="768">
        <f t="shared" si="337"/>
        <v>0.14910639526490546</v>
      </c>
      <c r="DL93" s="768">
        <f t="shared" si="337"/>
        <v>0.14387396233924096</v>
      </c>
      <c r="DM93" s="768">
        <f t="shared" si="337"/>
        <v>0.15461243710530032</v>
      </c>
      <c r="DN93" s="768">
        <f>DN92/DN88</f>
        <v>0.14277101708749121</v>
      </c>
      <c r="DO93" s="768">
        <f>DO92/DO88</f>
        <v>0.1565979102061944</v>
      </c>
      <c r="DP93" s="768">
        <f>DP92/DP88</f>
        <v>0.1537759240311006</v>
      </c>
      <c r="DQ93" s="768">
        <f>DQ92/DQ88</f>
        <v>0.15438231792311585</v>
      </c>
      <c r="DR93" s="768">
        <f t="shared" ref="DR93:DU93" ca="1" si="338">DR92/DR88</f>
        <v>0.17558622150461739</v>
      </c>
      <c r="DS93" s="768">
        <f t="shared" ca="1" si="338"/>
        <v>0.1907591315966124</v>
      </c>
      <c r="DT93" s="768">
        <f t="shared" ca="1" si="338"/>
        <v>0.19686529089124435</v>
      </c>
      <c r="DU93" s="768">
        <f t="shared" ca="1" si="338"/>
        <v>0.20040306102639588</v>
      </c>
      <c r="DV93" s="55"/>
      <c r="DW93" s="54"/>
      <c r="DX93" s="55"/>
      <c r="DY93" s="55"/>
    </row>
    <row r="94" spans="2:135" ht="12" hidden="1" customHeight="1" outlineLevel="1">
      <c r="B94" s="940" t="s">
        <v>888</v>
      </c>
      <c r="M94" s="54">
        <f>M92+((1-M59)*CF!M11)</f>
        <v>89.764349999999922</v>
      </c>
      <c r="N94" s="54">
        <f>N92+((1-N59)*CF!N11)</f>
        <v>155.21480000000011</v>
      </c>
      <c r="O94" s="54">
        <f>O92+((1-O59)*CF!O11)</f>
        <v>190.48119999999997</v>
      </c>
      <c r="P94" s="54">
        <f>P92+((1-P59)*CF!P11)</f>
        <v>248.33055000000002</v>
      </c>
      <c r="Q94" s="54">
        <f>Q92+((1-Q59)*CF!Q11)</f>
        <v>321.30410000000006</v>
      </c>
      <c r="R94" s="54">
        <f>R92+((1-R59)*CF!R11)</f>
        <v>370.4285000000001</v>
      </c>
      <c r="S94" s="54">
        <f>S92+((1-S59)*CF!S11)</f>
        <v>409.34529999999978</v>
      </c>
      <c r="T94" s="54">
        <f>T92+((1-T59)*CF!T11)</f>
        <v>482.75370000000032</v>
      </c>
      <c r="U94" s="54">
        <f>U92+((1-U59)*CF!U11)</f>
        <v>529.07659999999964</v>
      </c>
      <c r="V94" s="54">
        <f>V92+((1-V59)*CF!V11)</f>
        <v>665.04685000000029</v>
      </c>
      <c r="W94" s="54">
        <f ca="1">W92+((1-W59)*CF!W11)</f>
        <v>976.07572332184372</v>
      </c>
      <c r="X94" s="54">
        <f ca="1">X92+((1-X59)*CF!X11)</f>
        <v>1211.5059542867116</v>
      </c>
      <c r="Y94" s="54">
        <f ca="1">Y92+((1-Y59)*CF!Y11)</f>
        <v>1333.345055781763</v>
      </c>
      <c r="Z94" s="54">
        <f ca="1">Z92+((1-Z59)*CF!AE11)</f>
        <v>1449.7317301943986</v>
      </c>
      <c r="AA94" s="54">
        <f ca="1">AA92+((1-AA59)*CF!AF11)</f>
        <v>1663.3515186868824</v>
      </c>
      <c r="AB94" s="54">
        <f ca="1">AB92+((1-AB59)*CF!AG11)</f>
        <v>2185.1837159670786</v>
      </c>
      <c r="AC94" s="54">
        <f ca="1">AC92+((1-AC59)*CF!AH11)</f>
        <v>2577.216562038247</v>
      </c>
      <c r="AD94" s="54">
        <f ca="1">AD92+((1-AD59)*CF!AI11)</f>
        <v>2741.2723589335019</v>
      </c>
      <c r="AK94" s="42"/>
      <c r="AP94" s="42"/>
      <c r="AU94" s="42"/>
      <c r="AZ94" s="42"/>
      <c r="BE94" s="42"/>
      <c r="BJ94" s="42"/>
      <c r="BO94" s="42"/>
      <c r="BT94" s="42"/>
      <c r="BY94" s="42"/>
      <c r="CD94" s="42"/>
      <c r="CE94" s="54">
        <f>CE92+((1-CE59)*CF!BP11)</f>
        <v>32.946550000000023</v>
      </c>
      <c r="CF94" s="54">
        <f>CF92+((1-CF59)*CF!BQ11)</f>
        <v>36.164699999999982</v>
      </c>
      <c r="CG94" s="54">
        <f>CG92+((1-CG59)*CF!BR11)</f>
        <v>40.575599999999994</v>
      </c>
      <c r="CH94" s="54">
        <f>CH92+((1-CH59)*CF!BS11)</f>
        <v>45.527949999999997</v>
      </c>
      <c r="CI94" s="1111">
        <f>SUM(CE94:CH94)</f>
        <v>155.2148</v>
      </c>
      <c r="CJ94" s="54">
        <f>CJ92+((1-CJ59)*CF!BT11)</f>
        <v>45.069700000000012</v>
      </c>
      <c r="CK94" s="54">
        <f>CK92+((1-CK59)*CF!BU11)</f>
        <v>46.534799999999962</v>
      </c>
      <c r="CL94" s="54">
        <f>CL92+((1-CL59)*CF!BV11)</f>
        <v>49.18030000000001</v>
      </c>
      <c r="CM94" s="54">
        <f>CM92+((1-CM59)*CF!BW11)</f>
        <v>49.696400000000004</v>
      </c>
      <c r="CN94" s="1111">
        <f>SUM(CJ94:CM94)</f>
        <v>190.4812</v>
      </c>
      <c r="CO94" s="54">
        <f>CO92+((1-CO59)*CF!BX11)</f>
        <v>56.256199999999993</v>
      </c>
      <c r="CP94" s="54">
        <f>CP92+((1-CP59)*CF!BY11)</f>
        <v>61.577750000000002</v>
      </c>
      <c r="CQ94" s="54">
        <f>CQ92+((1-CQ59)*CF!BZ11)</f>
        <v>64.050999999999974</v>
      </c>
      <c r="CR94" s="54">
        <f>CR92+((1-CR59)*CF!CA11)</f>
        <v>66.445599999999999</v>
      </c>
      <c r="CS94" s="1111">
        <f>SUM(CO94:CR94)</f>
        <v>248.33054999999996</v>
      </c>
      <c r="CT94" s="54">
        <f>CT92+((1-CT59)*CF!CC11)</f>
        <v>75.733450000000019</v>
      </c>
      <c r="CU94" s="54">
        <f>CU92+((1-CU59)*CF!CD11)</f>
        <v>79.411800000000014</v>
      </c>
      <c r="CV94" s="54">
        <f>CV92+((1-CV59)*CF!CE11)</f>
        <v>77.671099999999981</v>
      </c>
      <c r="CW94" s="54">
        <f>CW92+((1-CW59)*CF!CF11)</f>
        <v>88.487749999999991</v>
      </c>
      <c r="CX94" s="54">
        <f>CX92+((1-CX59)*CF!CG11)</f>
        <v>85.985249999999951</v>
      </c>
      <c r="CY94" s="54">
        <f>CY92+((1-CY59)*CF!CH11)</f>
        <v>89.599899999999963</v>
      </c>
      <c r="CZ94" s="54">
        <f>CZ92+((1-CZ59)*CF!CI11)</f>
        <v>92.892150000000044</v>
      </c>
      <c r="DA94" s="54">
        <f>DA92+((1-DA59)*CF!CJ11)</f>
        <v>101.95120000000007</v>
      </c>
      <c r="DB94" s="54">
        <f>DB92+((1-DB59)*CF!CK11)</f>
        <v>95.40570000000001</v>
      </c>
      <c r="DC94" s="54">
        <f>DC92+((1-DC59)*CF!CL11)</f>
        <v>103.48195000000003</v>
      </c>
      <c r="DD94" s="54">
        <f>DD92+((1-DD59)*CF!CM11)</f>
        <v>105.6328</v>
      </c>
      <c r="DE94" s="54">
        <f>DE92+((1-DE59)*CF!CN11)</f>
        <v>104.82485000000001</v>
      </c>
      <c r="DF94" s="54">
        <f>DF92+((1-DF59)*CF!CO11)</f>
        <v>119.09170000000002</v>
      </c>
      <c r="DG94" s="54">
        <f>DG92+((1-DG59)*CF!CP11)</f>
        <v>118.94479999999989</v>
      </c>
      <c r="DH94" s="54">
        <f>DH92+((1-DH59)*CF!CQ11)</f>
        <v>122.33259999999999</v>
      </c>
      <c r="DI94" s="54">
        <f>DI92+((1-DI59)*CF!CR11)</f>
        <v>122.38459999999992</v>
      </c>
      <c r="DJ94" s="54">
        <f>DJ92+((1-DJ59)*CF!CS11)</f>
        <v>116.02304999999997</v>
      </c>
      <c r="DK94" s="54">
        <f>DK92+((1-DK59)*CF!CT11)</f>
        <v>134.27180000000001</v>
      </c>
      <c r="DL94" s="54">
        <f>DL92+((1-DL59)*CF!CU11)</f>
        <v>133.03679999999997</v>
      </c>
      <c r="DM94" s="54">
        <f>DM92+((1-DM59)*CF!CV11)</f>
        <v>145.74495000000005</v>
      </c>
      <c r="DN94" s="54">
        <f>DN92+((1-DN59)*CF!CW11)</f>
        <v>135.56465000000011</v>
      </c>
      <c r="DO94" s="54">
        <f>DO92+((1-DO59)*CF!CX11)</f>
        <v>166.99930000000003</v>
      </c>
      <c r="DP94" s="54">
        <f>DP92+((1-DP59)*CF!CY11)</f>
        <v>177.19</v>
      </c>
      <c r="DQ94" s="54">
        <f>DQ92+((1-DQ59)*CF!CZ11)</f>
        <v>188.00388750000002</v>
      </c>
      <c r="DR94" s="54">
        <f ca="1">DR92+((1-DR59)*CF!ED11)</f>
        <v>213.59955008512682</v>
      </c>
      <c r="DS94" s="54">
        <f ca="1">DS92+((1-DS59)*CF!EE11)</f>
        <v>237.03046948043499</v>
      </c>
      <c r="DT94" s="54">
        <f ca="1">DT92+((1-DT59)*CF!EF11)</f>
        <v>251.4351696027887</v>
      </c>
      <c r="DU94" s="54">
        <f ca="1">DU92+((1-DU59)*CF!EG11)</f>
        <v>263.23823415349307</v>
      </c>
      <c r="DV94" s="195"/>
      <c r="DW94" s="54"/>
      <c r="DX94" s="195"/>
      <c r="DY94" s="195"/>
    </row>
    <row r="95" spans="2:135" ht="12" hidden="1" customHeight="1" outlineLevel="1">
      <c r="B95" s="940" t="s">
        <v>895</v>
      </c>
      <c r="M95" s="768">
        <f>M94/M88</f>
        <v>0.12738313844581928</v>
      </c>
      <c r="N95" s="768">
        <f t="shared" ref="N95:Z95" si="339">N94/N88</f>
        <v>0.17587899953428246</v>
      </c>
      <c r="O95" s="768">
        <f t="shared" si="339"/>
        <v>0.15923672520134355</v>
      </c>
      <c r="P95" s="768">
        <f t="shared" si="339"/>
        <v>0.15819408912308955</v>
      </c>
      <c r="Q95" s="768">
        <f t="shared" si="339"/>
        <v>0.17023852163003031</v>
      </c>
      <c r="R95" s="768">
        <f t="shared" si="339"/>
        <v>0.17207095429786615</v>
      </c>
      <c r="S95" s="768">
        <f t="shared" si="339"/>
        <v>0.16750531452363651</v>
      </c>
      <c r="T95" s="768">
        <f>T94/T88</f>
        <v>0.1771009737452342</v>
      </c>
      <c r="U95" s="768">
        <f>U94/U88</f>
        <v>0.14647791009330308</v>
      </c>
      <c r="V95" s="768">
        <f>V94/V88</f>
        <v>0.15223939824577634</v>
      </c>
      <c r="W95" s="768">
        <f ca="1">W94/W88</f>
        <v>0.19369815511974994</v>
      </c>
      <c r="X95" s="768">
        <f t="shared" ca="1" si="339"/>
        <v>0.22025027224492302</v>
      </c>
      <c r="Y95" s="768">
        <f t="shared" ca="1" si="339"/>
        <v>0.22456969667891349</v>
      </c>
      <c r="Z95" s="768">
        <f t="shared" ca="1" si="339"/>
        <v>0.2283308905952697</v>
      </c>
      <c r="AA95" s="768">
        <f t="shared" ref="AA95:AD95" ca="1" si="340">AA94/AA88</f>
        <v>0.24607056932654151</v>
      </c>
      <c r="AB95" s="768">
        <f t="shared" ca="1" si="340"/>
        <v>0.30484287987938263</v>
      </c>
      <c r="AC95" s="768">
        <f t="shared" ca="1" si="340"/>
        <v>0.34023735208527106</v>
      </c>
      <c r="AD95" s="768">
        <f t="shared" ca="1" si="340"/>
        <v>0.34355839911802843</v>
      </c>
      <c r="AK95" s="42"/>
      <c r="AP95" s="42"/>
      <c r="AU95" s="42"/>
      <c r="AZ95" s="42"/>
      <c r="BE95" s="42"/>
      <c r="BJ95" s="42"/>
      <c r="BO95" s="42"/>
      <c r="BT95" s="42"/>
      <c r="BY95" s="42"/>
      <c r="CD95" s="42"/>
      <c r="CE95" s="768">
        <f t="shared" ref="CE95:DB95" si="341">CE94/CE88</f>
        <v>0.16536859223715195</v>
      </c>
      <c r="CF95" s="768">
        <f t="shared" si="341"/>
        <v>0.16965351272235976</v>
      </c>
      <c r="CG95" s="768">
        <f t="shared" si="341"/>
        <v>0.17830882676065002</v>
      </c>
      <c r="CH95" s="768">
        <f t="shared" si="341"/>
        <v>0.18770387380850292</v>
      </c>
      <c r="CI95" s="1148">
        <f t="shared" si="341"/>
        <v>0.17587899953428238</v>
      </c>
      <c r="CJ95" s="768">
        <f t="shared" si="341"/>
        <v>0.18125831996106964</v>
      </c>
      <c r="CK95" s="768">
        <f t="shared" si="341"/>
        <v>0.16045542157873494</v>
      </c>
      <c r="CL95" s="768">
        <f t="shared" si="341"/>
        <v>0.15302183612637452</v>
      </c>
      <c r="CM95" s="768">
        <f t="shared" si="341"/>
        <v>0.14783819320906491</v>
      </c>
      <c r="CN95" s="1148">
        <f t="shared" si="341"/>
        <v>0.15923672520134358</v>
      </c>
      <c r="CO95" s="768">
        <f t="shared" si="341"/>
        <v>0.15893871715981678</v>
      </c>
      <c r="CP95" s="768">
        <f t="shared" si="341"/>
        <v>0.15973020225103826</v>
      </c>
      <c r="CQ95" s="768">
        <f t="shared" si="341"/>
        <v>0.15690775291028097</v>
      </c>
      <c r="CR95" s="768">
        <f t="shared" si="341"/>
        <v>0.15741075912782268</v>
      </c>
      <c r="CS95" s="1148">
        <f t="shared" si="341"/>
        <v>0.15819408912308952</v>
      </c>
      <c r="CT95" s="768">
        <f t="shared" si="341"/>
        <v>0.17174987300205016</v>
      </c>
      <c r="CU95" s="768">
        <f t="shared" si="341"/>
        <v>0.17432836476192567</v>
      </c>
      <c r="CV95" s="768">
        <f t="shared" si="341"/>
        <v>0.16020109934307544</v>
      </c>
      <c r="CW95" s="768">
        <f t="shared" si="341"/>
        <v>0.17485658786821298</v>
      </c>
      <c r="CX95" s="768">
        <f t="shared" si="341"/>
        <v>0.16659481839987283</v>
      </c>
      <c r="CY95" s="768">
        <f t="shared" si="341"/>
        <v>0.16941730592148174</v>
      </c>
      <c r="CZ95" s="768">
        <f t="shared" si="341"/>
        <v>0.17104563934860911</v>
      </c>
      <c r="DA95" s="768">
        <f t="shared" si="341"/>
        <v>0.18054781760192121</v>
      </c>
      <c r="DB95" s="768">
        <f t="shared" si="341"/>
        <v>0.16447755636122907</v>
      </c>
      <c r="DC95" s="768">
        <f t="shared" ref="DC95:DI95" si="342">DC94/DC88</f>
        <v>0.17099903992491258</v>
      </c>
      <c r="DD95" s="768">
        <f t="shared" si="342"/>
        <v>0.17025465798465608</v>
      </c>
      <c r="DE95" s="768">
        <f t="shared" si="342"/>
        <v>0.16427111786009238</v>
      </c>
      <c r="DF95" s="768">
        <f t="shared" si="342"/>
        <v>0.18516249102109231</v>
      </c>
      <c r="DG95" s="768">
        <f t="shared" si="342"/>
        <v>0.17870795784741761</v>
      </c>
      <c r="DH95" s="768">
        <f t="shared" si="342"/>
        <v>0.17815885554337074</v>
      </c>
      <c r="DI95" s="768">
        <f t="shared" si="342"/>
        <v>0.16754410222571461</v>
      </c>
      <c r="DJ95" s="768">
        <f t="shared" ref="DJ95:DM95" si="343">DJ94/DJ88</f>
        <v>0.13744266462596957</v>
      </c>
      <c r="DK95" s="768">
        <f t="shared" si="343"/>
        <v>0.14910639526490546</v>
      </c>
      <c r="DL95" s="768">
        <f t="shared" si="343"/>
        <v>0.14387396233924096</v>
      </c>
      <c r="DM95" s="768">
        <f t="shared" si="343"/>
        <v>0.15461243710530032</v>
      </c>
      <c r="DN95" s="768">
        <f>DN94/DN88</f>
        <v>0.14277101708749121</v>
      </c>
      <c r="DO95" s="768">
        <f>DO94/DO88</f>
        <v>0.1565979102061944</v>
      </c>
      <c r="DP95" s="768">
        <f>DP94/DP88</f>
        <v>0.1537759240311006</v>
      </c>
      <c r="DQ95" s="768">
        <f>DQ94/DQ88</f>
        <v>0.15664105818845031</v>
      </c>
      <c r="DR95" s="768">
        <f t="shared" ref="DR95:DU95" ca="1" si="344">DR94/DR88</f>
        <v>0.17571987913053919</v>
      </c>
      <c r="DS95" s="768">
        <f t="shared" ca="1" si="344"/>
        <v>0.19113664649002216</v>
      </c>
      <c r="DT95" s="768">
        <f t="shared" ca="1" si="344"/>
        <v>0.1973687777659997</v>
      </c>
      <c r="DU95" s="768">
        <f t="shared" ca="1" si="344"/>
        <v>0.20101515950030796</v>
      </c>
      <c r="DV95" s="55"/>
      <c r="DW95" s="54"/>
      <c r="DX95" s="55"/>
      <c r="DY95" s="55"/>
    </row>
    <row r="96" spans="2:135" ht="12" hidden="1" customHeight="1" outlineLevel="1">
      <c r="B96" s="939" t="s">
        <v>883</v>
      </c>
      <c r="C96" s="23"/>
      <c r="L96" s="23"/>
      <c r="M96" s="54">
        <f>(M52-M50)*(1-M59)</f>
        <v>-35.271600000000007</v>
      </c>
      <c r="N96" s="54">
        <f>(N52-N50)*(1-N59)</f>
        <v>-46.7012</v>
      </c>
      <c r="O96" s="54">
        <f t="shared" ref="O96:T96" si="345">(O52-O50)*(1-O59)</f>
        <v>-90.324000000000026</v>
      </c>
      <c r="P96" s="54">
        <f t="shared" si="345"/>
        <v>-116.36495000000001</v>
      </c>
      <c r="Q96" s="54">
        <f t="shared" si="345"/>
        <v>-127.96029999999999</v>
      </c>
      <c r="R96" s="54">
        <f t="shared" si="345"/>
        <v>-159.51325</v>
      </c>
      <c r="S96" s="54">
        <f t="shared" si="345"/>
        <v>-173.9803</v>
      </c>
      <c r="T96" s="54">
        <f t="shared" si="345"/>
        <v>-192.05809999999997</v>
      </c>
      <c r="U96" s="54">
        <f t="shared" ref="U96:Z96" si="346">(U52-U50)*(1-U59)</f>
        <v>-252.64199999999997</v>
      </c>
      <c r="V96" s="54">
        <f t="shared" si="346"/>
        <v>-302.65494999999999</v>
      </c>
      <c r="W96" s="54">
        <f t="shared" ref="W96" ca="1" si="347">(W52-W50)*(1-W59)</f>
        <v>-361.4237585642212</v>
      </c>
      <c r="X96" s="54">
        <f t="shared" ca="1" si="346"/>
        <v>-378.0124442917521</v>
      </c>
      <c r="Y96" s="54">
        <f t="shared" ca="1" si="346"/>
        <v>-405.21855278463028</v>
      </c>
      <c r="Z96" s="54">
        <f t="shared" ca="1" si="346"/>
        <v>-431.85388204786136</v>
      </c>
      <c r="AA96" s="54">
        <f t="shared" ref="AA96:AD96" ca="1" si="348">(AA52-AA50)*(1-AA59)</f>
        <v>-444.7536110889663</v>
      </c>
      <c r="AB96" s="54">
        <f t="shared" ca="1" si="348"/>
        <v>-444.97909579230924</v>
      </c>
      <c r="AC96" s="54">
        <f t="shared" ca="1" si="348"/>
        <v>-445.09179100145764</v>
      </c>
      <c r="AD96" s="54">
        <f t="shared" ca="1" si="348"/>
        <v>-445.06387116300812</v>
      </c>
      <c r="AE96" s="54"/>
      <c r="AF96" s="23"/>
      <c r="AG96" s="23"/>
      <c r="AH96" s="23"/>
      <c r="AI96" s="23"/>
      <c r="AJ96" s="123"/>
      <c r="AK96" s="1102"/>
      <c r="AP96" s="42"/>
      <c r="AU96" s="42"/>
      <c r="AZ96" s="42"/>
      <c r="BE96" s="42"/>
      <c r="BJ96" s="42"/>
      <c r="BO96" s="42"/>
      <c r="BT96" s="42"/>
      <c r="BY96" s="42"/>
      <c r="BZ96" s="20"/>
      <c r="CA96" s="20"/>
      <c r="CB96" s="20"/>
      <c r="CC96" s="20"/>
      <c r="CD96" s="1141"/>
      <c r="CE96" s="54">
        <f>(CE52-CE50)*(1-CE59)</f>
        <v>-8.1477500000000003</v>
      </c>
      <c r="CF96" s="54">
        <f>(CF52-CF50)*(1-CF59)</f>
        <v>-9.9008000000000003</v>
      </c>
      <c r="CG96" s="54">
        <f>(CG52-CG50)*(1-CG59)</f>
        <v>-14.23695</v>
      </c>
      <c r="CH96" s="54">
        <f>(CH52-CH50)*(1-CH59)</f>
        <v>-14.415700000000001</v>
      </c>
      <c r="CI96" s="1111">
        <f>SUM(CE96:CH96)</f>
        <v>-46.7012</v>
      </c>
      <c r="CJ96" s="54">
        <f>(CJ52-CJ50)*(1-CJ59)</f>
        <v>-16.359850000000002</v>
      </c>
      <c r="CK96" s="54">
        <f>(CK52-CK50)*(1-CK59)</f>
        <v>-24.130600000000001</v>
      </c>
      <c r="CL96" s="54">
        <f>(CL52-CL50)*(1-CL59)</f>
        <v>-24.734449999999999</v>
      </c>
      <c r="CM96" s="54">
        <f>(CM52-CM50)*(1-CM59)</f>
        <v>-25.099100000000004</v>
      </c>
      <c r="CN96" s="1111">
        <f>SUM(CJ96:CM96)</f>
        <v>-90.324000000000012</v>
      </c>
      <c r="CO96" s="54">
        <f>(CO52-CO50)*(1-CO59)</f>
        <v>-24.144899999999996</v>
      </c>
      <c r="CP96" s="54">
        <f>(CP52-CP50)*(1-CP59)</f>
        <v>-24.079250000000002</v>
      </c>
      <c r="CQ96" s="54">
        <f>(CQ52-CQ50)*(1-CQ59)</f>
        <v>-32.78275</v>
      </c>
      <c r="CR96" s="54">
        <f>(CR52-CR50)*(1-CR59)</f>
        <v>-35.358050000000006</v>
      </c>
      <c r="CS96" s="1111">
        <f>SUM(CO96:CR96)</f>
        <v>-116.36495000000001</v>
      </c>
      <c r="CT96" s="54">
        <f t="shared" ref="CT96:CZ96" si="349">(CT52-CT50)*(1-CT59)</f>
        <v>-33.882549999999995</v>
      </c>
      <c r="CU96" s="54">
        <f t="shared" si="349"/>
        <v>-29.785599999999999</v>
      </c>
      <c r="CV96" s="54">
        <f t="shared" si="349"/>
        <v>-31.949449999999999</v>
      </c>
      <c r="CW96" s="54">
        <f t="shared" si="349"/>
        <v>-32.342700000000001</v>
      </c>
      <c r="CX96" s="54">
        <f t="shared" si="349"/>
        <v>-38.729600000000005</v>
      </c>
      <c r="CY96" s="54">
        <f t="shared" si="349"/>
        <v>-39.054600000000001</v>
      </c>
      <c r="CZ96" s="54">
        <f t="shared" si="349"/>
        <v>-39.668199999999999</v>
      </c>
      <c r="DA96" s="54">
        <f t="shared" ref="DA96:DI96" si="350">(DA52-DA50)*(1-DA59)</f>
        <v>-42.060850000000002</v>
      </c>
      <c r="DB96" s="54">
        <f t="shared" si="350"/>
        <v>-43.800899999999999</v>
      </c>
      <c r="DC96" s="54">
        <f t="shared" si="350"/>
        <v>-42.984499999999997</v>
      </c>
      <c r="DD96" s="54">
        <f t="shared" si="350"/>
        <v>-41.21</v>
      </c>
      <c r="DE96" s="54">
        <f t="shared" si="350"/>
        <v>-45.984899999999996</v>
      </c>
      <c r="DF96" s="54">
        <f t="shared" si="350"/>
        <v>-44.376150000000003</v>
      </c>
      <c r="DG96" s="54">
        <f t="shared" si="350"/>
        <v>-47.823749999999997</v>
      </c>
      <c r="DH96" s="54">
        <f t="shared" si="350"/>
        <v>-48.967750000000009</v>
      </c>
      <c r="DI96" s="54">
        <f t="shared" si="350"/>
        <v>-50.890449999999994</v>
      </c>
      <c r="DJ96" s="54">
        <f t="shared" ref="DJ96:DM96" si="351">(DJ52-DJ50)*(1-DJ59)</f>
        <v>-64.959699999999998</v>
      </c>
      <c r="DK96" s="54">
        <f t="shared" si="351"/>
        <v>-64.669150000000002</v>
      </c>
      <c r="DL96" s="54">
        <f t="shared" si="351"/>
        <v>-59.434700000000007</v>
      </c>
      <c r="DM96" s="54">
        <f t="shared" si="351"/>
        <v>-63.578450000000004</v>
      </c>
      <c r="DN96" s="54">
        <f>(DN52-DN50)*(1-DN59)</f>
        <v>-70.584800000000001</v>
      </c>
      <c r="DO96" s="54">
        <f>(DO52-DO50)*(1-DO59)</f>
        <v>-74.493250000000003</v>
      </c>
      <c r="DP96" s="54">
        <f>(DP52-DP50)*(1-DP59)</f>
        <v>-77.69905</v>
      </c>
      <c r="DQ96" s="54">
        <f>(DQ52-DQ50)*(1-DQ59)</f>
        <v>-79.877850000000009</v>
      </c>
      <c r="DR96" s="54">
        <f t="shared" ref="DR96:DU96" ca="1" si="352">(DR52-DR50)*(1-DR59)</f>
        <v>-90.264098608781239</v>
      </c>
      <c r="DS96" s="54">
        <f t="shared" ca="1" si="352"/>
        <v>-90.332311351260117</v>
      </c>
      <c r="DT96" s="54">
        <f t="shared" ca="1" si="352"/>
        <v>-90.321581385004222</v>
      </c>
      <c r="DU96" s="54">
        <f t="shared" ca="1" si="352"/>
        <v>-90.505767219175638</v>
      </c>
      <c r="DV96" s="195"/>
      <c r="DW96" s="54"/>
      <c r="DX96" s="195"/>
      <c r="DY96" s="195"/>
    </row>
    <row r="97" spans="1:129" ht="12" hidden="1" customHeight="1" outlineLevel="1">
      <c r="B97" s="939" t="s">
        <v>884</v>
      </c>
      <c r="C97" s="23"/>
      <c r="L97" s="23"/>
      <c r="M97" s="54">
        <f t="shared" ref="M97:Z97" si="353">(-M31-M53+M51)+M57+((M96/(1-M59))*M59)+(M92/(1-M59)*M59)</f>
        <v>57.727749999999951</v>
      </c>
      <c r="N97" s="54">
        <f t="shared" si="353"/>
        <v>-35.471849999999947</v>
      </c>
      <c r="O97" s="54">
        <f t="shared" si="353"/>
        <v>-56.024400000000014</v>
      </c>
      <c r="P97" s="54">
        <f t="shared" si="353"/>
        <v>-42.623599999999982</v>
      </c>
      <c r="Q97" s="54">
        <f t="shared" si="353"/>
        <v>-53.424799999999948</v>
      </c>
      <c r="R97" s="54">
        <f t="shared" si="353"/>
        <v>-114.79225</v>
      </c>
      <c r="S97" s="54">
        <f t="shared" si="353"/>
        <v>-496.09100000000012</v>
      </c>
      <c r="T97" s="54">
        <f t="shared" si="353"/>
        <v>-102.92159999999984</v>
      </c>
      <c r="U97" s="54">
        <f t="shared" si="353"/>
        <v>-154.32860000000022</v>
      </c>
      <c r="V97" s="54">
        <f t="shared" si="353"/>
        <v>-129.40989999999977</v>
      </c>
      <c r="W97" s="54">
        <f t="shared" ref="W97" ca="1" si="354">(-W31-W53+W51)+W57+((W96/(1-W59))*W59)+(W92/(1-W59)*W59)</f>
        <v>-127.8410146513599</v>
      </c>
      <c r="X97" s="54">
        <f t="shared" ca="1" si="353"/>
        <v>-115.30918276728926</v>
      </c>
      <c r="Y97" s="54">
        <f t="shared" ca="1" si="353"/>
        <v>-118.07798426099583</v>
      </c>
      <c r="Z97" s="54">
        <f t="shared" ca="1" si="353"/>
        <v>-121.21432548681599</v>
      </c>
      <c r="AA97" s="54">
        <f t="shared" ref="AA97:AD97" ca="1" si="355">(-AA31-AA53+AA51)+AA57+((AA96/(1-AA59))*AA59)+(AA92/(1-AA59)*AA59)</f>
        <v>-113.07427121739039</v>
      </c>
      <c r="AB97" s="54">
        <f t="shared" ca="1" si="355"/>
        <v>-71.539041734194825</v>
      </c>
      <c r="AC97" s="54">
        <f t="shared" ca="1" si="355"/>
        <v>-43.414364740712358</v>
      </c>
      <c r="AD97" s="54">
        <f t="shared" ca="1" si="355"/>
        <v>-38.89178859327842</v>
      </c>
      <c r="AE97" s="54"/>
      <c r="AF97" s="23"/>
      <c r="AG97" s="23"/>
      <c r="AH97" s="23"/>
      <c r="AI97" s="23"/>
      <c r="AJ97" s="123"/>
      <c r="AK97" s="1102"/>
      <c r="AP97" s="42"/>
      <c r="AU97" s="42"/>
      <c r="AZ97" s="42"/>
      <c r="BE97" s="42"/>
      <c r="BJ97" s="42"/>
      <c r="BO97" s="42"/>
      <c r="BT97" s="42"/>
      <c r="BY97" s="42"/>
      <c r="BZ97" s="20"/>
      <c r="CA97" s="20"/>
      <c r="CB97" s="20"/>
      <c r="CC97" s="20"/>
      <c r="CD97" s="1141"/>
      <c r="CE97" s="54">
        <f>(-CE31-CE53+CE51)+CE57+((CE96/(1-CE59))*CE59)+(CE92/(1-CE59)*CE59)</f>
        <v>-8.5123999999999853</v>
      </c>
      <c r="CF97" s="54">
        <f>(-CF31-CF53+CF51)+CF57+((CF96/(1-CF59))*CF59)+(CF92/(1-CF59)*CF59)</f>
        <v>-7.9334000000000131</v>
      </c>
      <c r="CG97" s="54">
        <f>(-CG31-CG53+CG51)+CG57+((CG96/(1-CG59))*CG59)+(CG92/(1-CG59)*CG59)</f>
        <v>-6.58155</v>
      </c>
      <c r="CH97" s="54">
        <f>(-CH31-CH53+CH51)+CH57+((CH96/(1-CH59))*CH59)+(CH92/(1-CH59)*CH59)</f>
        <v>-12.444500000000001</v>
      </c>
      <c r="CI97" s="1111">
        <f>SUM(CE97:CH97)</f>
        <v>-35.471850000000003</v>
      </c>
      <c r="CJ97" s="54">
        <f>(-CJ31-CJ53+CJ51)+CJ57+((CJ96/(1-CJ59))*CJ59)+(CJ92/(1-CJ59)*CJ59)</f>
        <v>-13.60864999999999</v>
      </c>
      <c r="CK97" s="54">
        <f>(-CK31-CK53+CK51)+CK57+((CK96/(1-CK59))*CK59)+(CK92/(1-CK59)*CK59)</f>
        <v>-22.855750000000025</v>
      </c>
      <c r="CL97" s="54">
        <f>(-CL31-CL53+CL51)+CL57+((CL96/(1-CL59))*CL59)+(CL92/(1-CL59)*CL59)</f>
        <v>-11.0398</v>
      </c>
      <c r="CM97" s="54">
        <f>(-CM31-CM53+CM51)+CM57+((CM96/(1-CM59))*CM59)+(CM92/(1-CM59)*CM59)</f>
        <v>-8.5201999999999991</v>
      </c>
      <c r="CN97" s="1111">
        <f>SUM(CJ97:CM97)</f>
        <v>-56.024400000000014</v>
      </c>
      <c r="CO97" s="54">
        <f>(-CO31-CO53+CO51)+CO57+((CO96/(1-CO59))*CO59)+(CO92/(1-CO59)*CO59)</f>
        <v>-8.0793000000000035</v>
      </c>
      <c r="CP97" s="54">
        <f>(-CP31-CP53+CP51)+CP57+((CP96/(1-CP59))*CP59)+(CP92/(1-CP59)*CP59)</f>
        <v>-6.829500000000003</v>
      </c>
      <c r="CQ97" s="54">
        <f>(-CQ31-CQ53+CQ51)+CQ57+((CQ96/(1-CQ59))*CQ59)+(CQ92/(1-CQ59)*CQ59)</f>
        <v>-11.593250000000019</v>
      </c>
      <c r="CR97" s="54">
        <f>(-CR31-CR53+CR51)+CR57+((CR96/(1-CR59))*CR59)+(CR92/(1-CR59)*CR59)</f>
        <v>-16.121550000000013</v>
      </c>
      <c r="CS97" s="1111">
        <f>SUM(CO97:CR97)</f>
        <v>-42.623600000000039</v>
      </c>
      <c r="CT97" s="54">
        <f t="shared" ref="CT97:DN97" si="356">(-CT31-CT53+CT51)+CT57+((CT96/(1-CT59))*CT59)+(CT92/(1-CT59)*CT59)</f>
        <v>-9.6438999999999879</v>
      </c>
      <c r="CU97" s="54">
        <f t="shared" si="356"/>
        <v>-13.176199999999987</v>
      </c>
      <c r="CV97" s="54">
        <f t="shared" si="356"/>
        <v>-19.073650000000015</v>
      </c>
      <c r="CW97" s="54">
        <f t="shared" si="356"/>
        <v>-11.53105</v>
      </c>
      <c r="CX97" s="54">
        <f t="shared" si="356"/>
        <v>-13.971650000000032</v>
      </c>
      <c r="CY97" s="54">
        <f t="shared" si="356"/>
        <v>-75.832300000000032</v>
      </c>
      <c r="CZ97" s="54">
        <f t="shared" si="356"/>
        <v>-10.470949999999988</v>
      </c>
      <c r="DA97" s="54">
        <f t="shared" si="356"/>
        <v>-14.517349999999972</v>
      </c>
      <c r="DB97" s="54">
        <f t="shared" si="356"/>
        <v>-10.267799999999994</v>
      </c>
      <c r="DC97" s="54">
        <f t="shared" si="356"/>
        <v>-50.418449999999993</v>
      </c>
      <c r="DD97" s="54">
        <f t="shared" si="356"/>
        <v>-21.461799999999997</v>
      </c>
      <c r="DE97" s="54">
        <f t="shared" si="356"/>
        <v>-413.94295</v>
      </c>
      <c r="DF97" s="54">
        <f t="shared" si="356"/>
        <v>1.7364499999999978</v>
      </c>
      <c r="DG97" s="54">
        <f t="shared" si="356"/>
        <v>-11.662050000000065</v>
      </c>
      <c r="DH97" s="54">
        <f t="shared" si="356"/>
        <v>-32.232849999999999</v>
      </c>
      <c r="DI97" s="54">
        <f t="shared" si="356"/>
        <v>-60.763150000000024</v>
      </c>
      <c r="DJ97" s="54">
        <f t="shared" si="356"/>
        <v>-88.390350000000041</v>
      </c>
      <c r="DK97" s="54">
        <f t="shared" si="356"/>
        <v>-30.300650000000005</v>
      </c>
      <c r="DL97" s="54">
        <f t="shared" si="356"/>
        <v>-17.135100000000023</v>
      </c>
      <c r="DM97" s="54">
        <f t="shared" si="356"/>
        <v>-18.502499999999969</v>
      </c>
      <c r="DN97" s="54">
        <f t="shared" si="356"/>
        <v>-22.91784999999993</v>
      </c>
      <c r="DO97" s="54">
        <f t="shared" ref="DO97:DP97" si="357">(-DO31-DO53+DO51)+DO57+((DO96/(1-DO59))*DO59)+(DO92/(1-DO59)*DO59)</f>
        <v>-46.701049999999995</v>
      </c>
      <c r="DP97" s="54">
        <f t="shared" si="357"/>
        <v>-19.590950000000007</v>
      </c>
      <c r="DQ97" s="54">
        <f t="shared" ref="DQ97" si="358">(-DQ31-DQ53+DQ51)+DQ57+((DQ96/(1-DQ59))*DQ59)+(DQ92/(1-DQ59)*DQ59)</f>
        <v>-40.200050000000005</v>
      </c>
      <c r="DR97" s="54">
        <f t="shared" ref="DR97:DU97" ca="1" si="359">(-DR31-DR53+DR51)+DR57+((DR96/(1-DR59))*DR59)+(DR92/(1-DR59)*DR59)</f>
        <v>-26.714979130400515</v>
      </c>
      <c r="DS97" s="54">
        <f t="shared" ca="1" si="359"/>
        <v>-25.117169211460407</v>
      </c>
      <c r="DT97" s="54">
        <f t="shared" ca="1" si="359"/>
        <v>-24.736975554414755</v>
      </c>
      <c r="DU97" s="54">
        <f t="shared" ca="1" si="359"/>
        <v>-24.703910550401034</v>
      </c>
      <c r="DV97" s="195"/>
      <c r="DW97" s="54"/>
      <c r="DX97" s="195"/>
      <c r="DY97" s="195"/>
    </row>
    <row r="98" spans="1:129" ht="12" hidden="1" customHeight="1" outlineLevel="1">
      <c r="B98" s="939" t="s">
        <v>885</v>
      </c>
      <c r="C98" s="23"/>
      <c r="L98" s="23"/>
      <c r="M98" s="54">
        <f t="shared" ref="M98:Z98" si="360">M88-M89+M97/(1-M59)+M96/(1-M59)</f>
        <v>166.0369230769229</v>
      </c>
      <c r="N98" s="54">
        <f t="shared" si="360"/>
        <v>106.81692307692335</v>
      </c>
      <c r="O98" s="54">
        <f t="shared" si="360"/>
        <v>54.264615384615269</v>
      </c>
      <c r="P98" s="54">
        <f t="shared" si="360"/>
        <v>137.44923076923081</v>
      </c>
      <c r="Q98" s="54">
        <f t="shared" si="360"/>
        <v>215.26000000000022</v>
      </c>
      <c r="R98" s="54">
        <f t="shared" si="360"/>
        <v>147.88153846153861</v>
      </c>
      <c r="S98" s="54">
        <f t="shared" si="360"/>
        <v>-401.11692307692346</v>
      </c>
      <c r="T98" s="54">
        <f>T88-T89+T97/(1-T59)+T96/(1-T59)</f>
        <v>288.88307692307762</v>
      </c>
      <c r="U98" s="54">
        <f>U88-U89+U97/(1-U59)+U96/(1-U59)</f>
        <v>187.85538461538385</v>
      </c>
      <c r="V98" s="54">
        <f>V88-V89+V97/(1-V59)+V96/(1-V59)</f>
        <v>358.43384615384696</v>
      </c>
      <c r="W98" s="54">
        <f ca="1">W88-W89+W97/(1-W59)+W96/(1-W59)</f>
        <v>615.53901312501648</v>
      </c>
      <c r="X98" s="54">
        <f t="shared" ca="1" si="360"/>
        <v>917.33491847749337</v>
      </c>
      <c r="Y98" s="54">
        <f t="shared" ca="1" si="360"/>
        <v>1048.2580632936847</v>
      </c>
      <c r="Z98" s="54">
        <f t="shared" ca="1" si="360"/>
        <v>1164.4980813762613</v>
      </c>
      <c r="AA98" s="54">
        <f t="shared" ref="AA98:AD98" ca="1" si="361">AA88-AA89+AA97/(1-AA59)+AA96/(1-AA59)</f>
        <v>1435.7449823123711</v>
      </c>
      <c r="AB98" s="54">
        <f t="shared" ca="1" si="361"/>
        <v>2167.098153818928</v>
      </c>
      <c r="AC98" s="54">
        <f t="shared" ca="1" si="361"/>
        <v>2712.6109172676324</v>
      </c>
      <c r="AD98" s="54">
        <f t="shared" ca="1" si="361"/>
        <v>2931.5801288015782</v>
      </c>
      <c r="AE98" s="54"/>
      <c r="AF98" s="23"/>
      <c r="AG98" s="23"/>
      <c r="AH98" s="23"/>
      <c r="AI98" s="23"/>
      <c r="AJ98" s="123"/>
      <c r="AK98" s="1102"/>
      <c r="AP98" s="42"/>
      <c r="AU98" s="42"/>
      <c r="AZ98" s="42"/>
      <c r="BE98" s="42"/>
      <c r="BJ98" s="42"/>
      <c r="BO98" s="42"/>
      <c r="BT98" s="42"/>
      <c r="BY98" s="42"/>
      <c r="BZ98" s="20"/>
      <c r="CA98" s="20"/>
      <c r="CB98" s="20"/>
      <c r="CC98" s="20"/>
      <c r="CD98" s="1141"/>
      <c r="CE98" s="54">
        <f>CE88-CE89+CE97/(1-CE59)+CE96/(1-CE59)</f>
        <v>23.780000000000054</v>
      </c>
      <c r="CF98" s="54">
        <f>CF88-CF89+CF97/(1-CF59)+CF96/(1-CF59)</f>
        <v>26.830769230769185</v>
      </c>
      <c r="CG98" s="54">
        <f>CG88-CG89+CG97/(1-CG59)+CG96/(1-CG59)</f>
        <v>28.941538461538464</v>
      </c>
      <c r="CH98" s="54">
        <f>CH88-CH89+CH97/(1-CH59)+CH96/(1-CH59)</f>
        <v>27.264615384615379</v>
      </c>
      <c r="CI98" s="1111">
        <f>SUM(CE98:CH98)</f>
        <v>106.81692307692308</v>
      </c>
      <c r="CJ98" s="54">
        <f>CJ88-CJ89+CJ97/(1-CJ59)+CJ96/(1-CJ59)</f>
        <v>21.84461538461542</v>
      </c>
      <c r="CK98" s="54">
        <f>CK88-CK89+CK97/(1-CK59)+CK96/(1-CK59)</f>
        <v>-4.3276923076924021</v>
      </c>
      <c r="CL98" s="54">
        <f>CL88-CL89+CL97/(1-CL59)+CL96/(1-CL59)</f>
        <v>16.267692307692315</v>
      </c>
      <c r="CM98" s="54">
        <f>CM88-CM89+CM97/(1-CM59)+CM96/(1-CM59)</f>
        <v>20.479999999999997</v>
      </c>
      <c r="CN98" s="1111">
        <f>SUM(CJ98:CM98)</f>
        <v>54.264615384615333</v>
      </c>
      <c r="CO98" s="54">
        <f>CO88-CO89+CO97/(1-CO59)+CO96/(1-CO59)</f>
        <v>36.972307692307702</v>
      </c>
      <c r="CP98" s="54">
        <f>CP88-CP89+CP97/(1-CP59)+CP96/(1-CP59)</f>
        <v>47.183076923076925</v>
      </c>
      <c r="CQ98" s="54">
        <f>CQ88-CQ89+CQ97/(1-CQ59)+CQ96/(1-CQ59)</f>
        <v>30.26923076923071</v>
      </c>
      <c r="CR98" s="54">
        <f>CR88-CR89+CR97/(1-CR59)+CR96/(1-CR59)</f>
        <v>23.024615384615345</v>
      </c>
      <c r="CS98" s="1111">
        <f>SUM(CO98:CR98)</f>
        <v>137.4492307692307</v>
      </c>
      <c r="CT98" s="54">
        <f t="shared" ref="CT98:DB98" si="362">CT88-CT89+CT97/(1-CT59)+CT96/(1-CT59)</f>
        <v>49.549230769230839</v>
      </c>
      <c r="CU98" s="54">
        <f t="shared" si="362"/>
        <v>56.076923076923123</v>
      </c>
      <c r="CV98" s="54">
        <f t="shared" si="362"/>
        <v>40.996923076923032</v>
      </c>
      <c r="CW98" s="54">
        <f t="shared" si="362"/>
        <v>68.636923076923068</v>
      </c>
      <c r="CX98" s="54">
        <f t="shared" si="362"/>
        <v>51.206153846153711</v>
      </c>
      <c r="CY98" s="54">
        <f t="shared" si="362"/>
        <v>-38.903076923077016</v>
      </c>
      <c r="CZ98" s="54">
        <f t="shared" si="362"/>
        <v>65.773846153846222</v>
      </c>
      <c r="DA98" s="54">
        <f t="shared" si="362"/>
        <v>69.804615384615488</v>
      </c>
      <c r="DB98" s="54">
        <f t="shared" si="362"/>
        <v>63.59538461538466</v>
      </c>
      <c r="DC98" s="54">
        <f t="shared" ref="DC98:DI98" si="363">DC88-DC89+DC97/(1-DC59)+DC96/(1-DC59)</f>
        <v>15.506153846153893</v>
      </c>
      <c r="DD98" s="54">
        <f t="shared" si="363"/>
        <v>66.093846153846158</v>
      </c>
      <c r="DE98" s="54">
        <f t="shared" si="363"/>
        <v>-546.31230769230763</v>
      </c>
      <c r="DF98" s="54">
        <f t="shared" si="363"/>
        <v>117.61846153846155</v>
      </c>
      <c r="DG98" s="54">
        <f t="shared" si="363"/>
        <v>91.475384615384371</v>
      </c>
      <c r="DH98" s="54">
        <f t="shared" si="363"/>
        <v>63.279999999999944</v>
      </c>
      <c r="DI98" s="54">
        <f t="shared" si="363"/>
        <v>16.509230769230626</v>
      </c>
      <c r="DJ98" s="54">
        <f t="shared" ref="DJ98:DM98" si="364">DJ88-DJ89+DJ97/(1-DJ59)+DJ96/(1-DJ59)</f>
        <v>-57.426153846153937</v>
      </c>
      <c r="DK98" s="54">
        <f t="shared" si="364"/>
        <v>60.464615384615385</v>
      </c>
      <c r="DL98" s="54">
        <f t="shared" si="364"/>
        <v>86.872307692307558</v>
      </c>
      <c r="DM98" s="54">
        <f t="shared" si="364"/>
        <v>97.944615384615489</v>
      </c>
      <c r="DN98" s="54">
        <f>DN88-DN89+DN97/(1-DN59)+DN96/(1-DN59)</f>
        <v>64.710769230769486</v>
      </c>
      <c r="DO98" s="54">
        <f>DO88-DO89+DO97/(1-DO59)+DO96/(1-DO59)</f>
        <v>70.469230769230805</v>
      </c>
      <c r="DP98" s="54">
        <f>DP88-DP89+DP97/(1-DP59)+DP96/(1-DP59)</f>
        <v>122.92307692307683</v>
      </c>
      <c r="DQ98" s="54">
        <f>DQ88-DQ89+DQ97/(1-DQ59)+DQ96/(1-DQ59)</f>
        <v>100.33076923076925</v>
      </c>
      <c r="DR98" s="54">
        <f t="shared" ref="DR98:DU98" ca="1" si="365">DR88-DR89+DR97/(1-DR59)+DR96/(1-DR59)</f>
        <v>125.27013291681178</v>
      </c>
      <c r="DS98" s="54">
        <f t="shared" ca="1" si="365"/>
        <v>157.28938820482404</v>
      </c>
      <c r="DT98" s="54">
        <f t="shared" ca="1" si="365"/>
        <v>176.27948397840223</v>
      </c>
      <c r="DU98" s="54">
        <f t="shared" ca="1" si="365"/>
        <v>191.20387842067061</v>
      </c>
      <c r="DV98" s="195"/>
      <c r="DW98" s="54"/>
      <c r="DX98" s="195"/>
      <c r="DY98" s="195"/>
    </row>
    <row r="99" spans="1:129" ht="12" hidden="1" customHeight="1" outlineLevel="1">
      <c r="B99" s="939" t="s">
        <v>1115</v>
      </c>
      <c r="C99" s="23"/>
      <c r="L99" s="23"/>
      <c r="M99" s="391">
        <f t="shared" ref="M99:Z99" si="366">M98*(1-M59)</f>
        <v>107.92399999999989</v>
      </c>
      <c r="N99" s="391">
        <f t="shared" si="366"/>
        <v>69.431000000000182</v>
      </c>
      <c r="O99" s="391">
        <f t="shared" si="366"/>
        <v>35.271999999999927</v>
      </c>
      <c r="P99" s="391">
        <f t="shared" si="366"/>
        <v>89.342000000000027</v>
      </c>
      <c r="Q99" s="391">
        <f t="shared" si="366"/>
        <v>139.91900000000015</v>
      </c>
      <c r="R99" s="391">
        <f t="shared" si="366"/>
        <v>96.123000000000104</v>
      </c>
      <c r="S99" s="391">
        <f t="shared" si="366"/>
        <v>-260.72600000000028</v>
      </c>
      <c r="T99" s="391">
        <f>T98*(1-T59)</f>
        <v>187.77400000000046</v>
      </c>
      <c r="U99" s="391">
        <f>U98*(1-U59)</f>
        <v>122.10599999999951</v>
      </c>
      <c r="V99" s="391">
        <f>V98*(1-V59)</f>
        <v>232.98200000000054</v>
      </c>
      <c r="W99" s="391">
        <f ca="1">W98*(1-W59)</f>
        <v>473.96504010626268</v>
      </c>
      <c r="X99" s="391">
        <f t="shared" ca="1" si="366"/>
        <v>706.34788722766996</v>
      </c>
      <c r="Y99" s="391">
        <f t="shared" ca="1" si="366"/>
        <v>807.15870873613721</v>
      </c>
      <c r="Z99" s="391">
        <f t="shared" ca="1" si="366"/>
        <v>896.66352265972125</v>
      </c>
      <c r="AA99" s="391">
        <f t="shared" ref="AA99:AD99" ca="1" si="367">AA98*(1-AA59)</f>
        <v>1105.5236363805259</v>
      </c>
      <c r="AB99" s="391">
        <f t="shared" ca="1" si="367"/>
        <v>1668.6655784405746</v>
      </c>
      <c r="AC99" s="391">
        <f t="shared" ca="1" si="367"/>
        <v>2088.7104062960771</v>
      </c>
      <c r="AD99" s="391">
        <f t="shared" ca="1" si="367"/>
        <v>2257.3166991772155</v>
      </c>
      <c r="AE99" s="54"/>
      <c r="AF99" s="23"/>
      <c r="AG99" s="23"/>
      <c r="AH99" s="23"/>
      <c r="AI99" s="23"/>
      <c r="AJ99" s="123"/>
      <c r="AK99" s="1102"/>
      <c r="AP99" s="42"/>
      <c r="AU99" s="42"/>
      <c r="AZ99" s="42"/>
      <c r="BE99" s="42"/>
      <c r="BJ99" s="42"/>
      <c r="BO99" s="42"/>
      <c r="BT99" s="42"/>
      <c r="BY99" s="42"/>
      <c r="BZ99" s="20"/>
      <c r="CA99" s="20"/>
      <c r="CB99" s="20"/>
      <c r="CC99" s="20"/>
      <c r="CD99" s="1141"/>
      <c r="CE99" s="391">
        <f>CE98*(1-CE59)</f>
        <v>15.457000000000036</v>
      </c>
      <c r="CF99" s="54">
        <f>CF98*(1-CF59)</f>
        <v>17.439999999999969</v>
      </c>
      <c r="CG99" s="54">
        <f>CG98*(1-CG59)</f>
        <v>18.812000000000001</v>
      </c>
      <c r="CH99" s="54">
        <f>CH98*(1-CH59)</f>
        <v>17.721999999999998</v>
      </c>
      <c r="CI99" s="1111">
        <f>SUM(CE99:CH99)</f>
        <v>69.430999999999997</v>
      </c>
      <c r="CJ99" s="391">
        <f>CJ98*(1-CJ59)</f>
        <v>14.199000000000023</v>
      </c>
      <c r="CK99" s="54">
        <f>CK98*(1-CK59)</f>
        <v>-2.8130000000000615</v>
      </c>
      <c r="CL99" s="54">
        <f>CL98*(1-CL59)</f>
        <v>10.574000000000005</v>
      </c>
      <c r="CM99" s="54">
        <f>CM98*(1-CM59)</f>
        <v>13.311999999999998</v>
      </c>
      <c r="CN99" s="1111">
        <f>SUM(CJ99:CM99)</f>
        <v>35.271999999999963</v>
      </c>
      <c r="CO99" s="54">
        <f>CO98*(1-CO59)</f>
        <v>24.032000000000007</v>
      </c>
      <c r="CP99" s="54">
        <f>CP98*(1-CP59)</f>
        <v>30.669</v>
      </c>
      <c r="CQ99" s="54">
        <f>CQ98*(1-CQ59)</f>
        <v>19.674999999999962</v>
      </c>
      <c r="CR99" s="54">
        <f>CR98*(1-CR59)</f>
        <v>14.965999999999974</v>
      </c>
      <c r="CS99" s="1111">
        <f>SUM(CO99:CR99)</f>
        <v>89.341999999999956</v>
      </c>
      <c r="CT99" s="54">
        <f t="shared" ref="CT99:DB99" si="368">CT98*(1-CT59)</f>
        <v>32.207000000000043</v>
      </c>
      <c r="CU99" s="54">
        <f t="shared" si="368"/>
        <v>36.450000000000031</v>
      </c>
      <c r="CV99" s="54">
        <f t="shared" si="368"/>
        <v>26.647999999999971</v>
      </c>
      <c r="CW99" s="54">
        <f t="shared" si="368"/>
        <v>44.613999999999997</v>
      </c>
      <c r="CX99" s="54">
        <f t="shared" si="368"/>
        <v>33.283999999999914</v>
      </c>
      <c r="CY99" s="54">
        <f t="shared" si="368"/>
        <v>-25.287000000000063</v>
      </c>
      <c r="CZ99" s="54">
        <f t="shared" si="368"/>
        <v>42.753000000000043</v>
      </c>
      <c r="DA99" s="54">
        <f t="shared" si="368"/>
        <v>45.373000000000069</v>
      </c>
      <c r="DB99" s="54">
        <f t="shared" si="368"/>
        <v>41.337000000000032</v>
      </c>
      <c r="DC99" s="54">
        <f t="shared" ref="DC99:DI99" si="369">DC98*(1-DC59)</f>
        <v>10.079000000000031</v>
      </c>
      <c r="DD99" s="54">
        <f t="shared" si="369"/>
        <v>42.961000000000006</v>
      </c>
      <c r="DE99" s="54">
        <f t="shared" si="369"/>
        <v>-355.10299999999995</v>
      </c>
      <c r="DF99" s="54">
        <f t="shared" si="369"/>
        <v>76.452000000000012</v>
      </c>
      <c r="DG99" s="54">
        <f t="shared" si="369"/>
        <v>59.45899999999984</v>
      </c>
      <c r="DH99" s="54">
        <f t="shared" si="369"/>
        <v>41.131999999999962</v>
      </c>
      <c r="DI99" s="54">
        <f t="shared" si="369"/>
        <v>10.730999999999908</v>
      </c>
      <c r="DJ99" s="54">
        <f t="shared" ref="DJ99:DM99" si="370">DJ98*(1-DJ59)</f>
        <v>-37.327000000000062</v>
      </c>
      <c r="DK99" s="54">
        <f t="shared" si="370"/>
        <v>39.302</v>
      </c>
      <c r="DL99" s="54">
        <f t="shared" si="370"/>
        <v>56.466999999999913</v>
      </c>
      <c r="DM99" s="54">
        <f t="shared" si="370"/>
        <v>63.664000000000073</v>
      </c>
      <c r="DN99" s="54">
        <f>DN98*(1-DN59)</f>
        <v>42.062000000000168</v>
      </c>
      <c r="DO99" s="54">
        <f>DO98*(1-DO59)</f>
        <v>45.805000000000028</v>
      </c>
      <c r="DP99" s="54">
        <f>DP98*(1-DP59)</f>
        <v>79.899999999999949</v>
      </c>
      <c r="DQ99" s="54">
        <f>DQ98*(1-DQ59)</f>
        <v>65.215000000000018</v>
      </c>
      <c r="DR99" s="54">
        <f t="shared" ref="DR99:DU99" ca="1" si="371">DR98*(1-DR59)</f>
        <v>96.458002345945076</v>
      </c>
      <c r="DS99" s="54">
        <f t="shared" ca="1" si="371"/>
        <v>121.11282891771451</v>
      </c>
      <c r="DT99" s="54">
        <f t="shared" ca="1" si="371"/>
        <v>135.73520266336971</v>
      </c>
      <c r="DU99" s="54">
        <f t="shared" ca="1" si="371"/>
        <v>147.22698638391637</v>
      </c>
      <c r="DV99" s="195"/>
      <c r="DW99" s="54"/>
      <c r="DX99" s="195"/>
      <c r="DY99" s="195"/>
    </row>
    <row r="100" spans="1:129" collapsed="1">
      <c r="B100" s="939" t="s">
        <v>1361</v>
      </c>
      <c r="C100" s="23"/>
      <c r="L100" s="23"/>
      <c r="M100" s="941">
        <f t="shared" ref="M100:R100" si="372">M99/M82</f>
        <v>2.5954499543071496</v>
      </c>
      <c r="N100" s="941">
        <f t="shared" si="372"/>
        <v>1.7499495916927155</v>
      </c>
      <c r="O100" s="941">
        <f t="shared" si="372"/>
        <v>0.78714572640035541</v>
      </c>
      <c r="P100" s="941">
        <f t="shared" si="372"/>
        <v>1.8429675775750485</v>
      </c>
      <c r="Q100" s="941">
        <f t="shared" si="372"/>
        <v>2.6780806186119541</v>
      </c>
      <c r="R100" s="941">
        <f t="shared" si="372"/>
        <v>1.8314462772519657</v>
      </c>
      <c r="S100" s="941">
        <f>S61/S82</f>
        <v>-4.8378678022554125</v>
      </c>
      <c r="T100" s="941">
        <f t="shared" ref="T100:Z100" si="373">T61/T82</f>
        <v>3.2183805602094551</v>
      </c>
      <c r="U100" s="941">
        <f t="shared" si="373"/>
        <v>1.6207222617694239</v>
      </c>
      <c r="V100" s="941">
        <f>V61/V82</f>
        <v>3.0089176745597719</v>
      </c>
      <c r="W100" s="941">
        <f ca="1">W61/W82</f>
        <v>5.9212995148727741</v>
      </c>
      <c r="X100" s="941">
        <f t="shared" ca="1" si="373"/>
        <v>8.5158016440649558</v>
      </c>
      <c r="Y100" s="941">
        <f t="shared" ca="1" si="373"/>
        <v>9.3917785115511307</v>
      </c>
      <c r="Z100" s="941">
        <f t="shared" ca="1" si="373"/>
        <v>10.070286068488072</v>
      </c>
      <c r="AA100" s="941">
        <f t="shared" ref="AA100:AD100" ca="1" si="374">AA61/AA82</f>
        <v>11.985084719790914</v>
      </c>
      <c r="AB100" s="941">
        <f t="shared" ca="1" si="374"/>
        <v>17.463726584417955</v>
      </c>
      <c r="AC100" s="941">
        <f t="shared" ca="1" si="374"/>
        <v>21.104298538109571</v>
      </c>
      <c r="AD100" s="941">
        <f t="shared" ca="1" si="374"/>
        <v>22.021043244204655</v>
      </c>
      <c r="AE100" s="54"/>
      <c r="AF100" s="23"/>
      <c r="AG100" s="23"/>
      <c r="AH100" s="23"/>
      <c r="AI100" s="23"/>
      <c r="AJ100" s="123"/>
      <c r="AK100" s="1102"/>
      <c r="AP100" s="42"/>
      <c r="AU100" s="42"/>
      <c r="AZ100" s="42"/>
      <c r="BE100" s="42"/>
      <c r="BJ100" s="42"/>
      <c r="BO100" s="42"/>
      <c r="BT100" s="42"/>
      <c r="BY100" s="42"/>
      <c r="BZ100" s="20"/>
      <c r="CA100" s="20"/>
      <c r="CB100" s="20"/>
      <c r="CC100" s="20"/>
      <c r="CD100" s="1141"/>
      <c r="CE100" s="941">
        <f t="shared" ref="CE100:DE100" si="375">CE61/CE82</f>
        <v>0.39900358811533676</v>
      </c>
      <c r="CF100" s="941">
        <f t="shared" si="375"/>
        <v>0.44356274479881985</v>
      </c>
      <c r="CG100" s="941">
        <f t="shared" si="375"/>
        <v>0.4716323614210145</v>
      </c>
      <c r="CH100" s="941">
        <f t="shared" si="375"/>
        <v>0.43760185688182118</v>
      </c>
      <c r="CI100" s="1149">
        <f t="shared" si="375"/>
        <v>1.7499495916927126</v>
      </c>
      <c r="CJ100" s="941">
        <f t="shared" si="375"/>
        <v>0.34814269952188348</v>
      </c>
      <c r="CK100" s="941">
        <f t="shared" si="375"/>
        <v>-6.4656262210679397E-2</v>
      </c>
      <c r="CL100" s="941">
        <f t="shared" si="375"/>
        <v>0.22625441318069994</v>
      </c>
      <c r="CM100" s="941">
        <f t="shared" si="375"/>
        <v>0.28401356915790166</v>
      </c>
      <c r="CN100" s="1149">
        <f t="shared" si="375"/>
        <v>0.78714572640035541</v>
      </c>
      <c r="CO100" s="941">
        <f t="shared" si="375"/>
        <v>0.50894766937038016</v>
      </c>
      <c r="CP100" s="941">
        <f t="shared" si="375"/>
        <v>0.60534107058266207</v>
      </c>
      <c r="CQ100" s="941">
        <f t="shared" si="375"/>
        <v>0.41038316333979857</v>
      </c>
      <c r="CR100" s="941">
        <f t="shared" si="375"/>
        <v>0.31125345756296391</v>
      </c>
      <c r="CS100" s="1149">
        <f t="shared" si="375"/>
        <v>1.8429675775750511</v>
      </c>
      <c r="CT100" s="941">
        <f t="shared" si="375"/>
        <v>0.63075537102681123</v>
      </c>
      <c r="CU100" s="941">
        <f t="shared" si="375"/>
        <v>0.69626177150388691</v>
      </c>
      <c r="CV100" s="941">
        <f t="shared" si="375"/>
        <v>0.50608679137783585</v>
      </c>
      <c r="CW100" s="941">
        <f t="shared" si="375"/>
        <v>0.65674546931987832</v>
      </c>
      <c r="CX100" s="941">
        <f t="shared" si="375"/>
        <v>0.6223635003739697</v>
      </c>
      <c r="CY100" s="941">
        <f t="shared" si="375"/>
        <v>-0.51210028554648723</v>
      </c>
      <c r="CZ100" s="941">
        <f t="shared" si="375"/>
        <v>0.79791343946548376</v>
      </c>
      <c r="DA100" s="941">
        <f t="shared" si="375"/>
        <v>0.84810931045440163</v>
      </c>
      <c r="DB100" s="941">
        <f t="shared" si="375"/>
        <v>0.77430412467688203</v>
      </c>
      <c r="DC100" s="941">
        <f t="shared" si="375"/>
        <v>0.19513281189499018</v>
      </c>
      <c r="DD100" s="941">
        <f t="shared" si="375"/>
        <v>0.77774358231652119</v>
      </c>
      <c r="DE100" s="941">
        <f t="shared" si="375"/>
        <v>-6.4219730536214836</v>
      </c>
      <c r="DF100" s="941">
        <f>DF61/DF82</f>
        <v>1.3359428241913784</v>
      </c>
      <c r="DG100" s="941">
        <f>DG61/DG82</f>
        <v>1.0340875493486821</v>
      </c>
      <c r="DH100" s="941">
        <f>DH61/DH82</f>
        <v>0.71276079573022866</v>
      </c>
      <c r="DI100" s="941">
        <f>DI61/DI82</f>
        <v>0.17608256895787708</v>
      </c>
      <c r="DJ100" s="941">
        <f>DJ61/DJ82</f>
        <v>-0.54786297187811872</v>
      </c>
      <c r="DK100" s="941">
        <f t="shared" ref="DK100:DM100" si="376">DK61/DK82</f>
        <v>0.55855266897845501</v>
      </c>
      <c r="DL100" s="941">
        <f t="shared" si="376"/>
        <v>0.67821382878121961</v>
      </c>
      <c r="DM100" s="941">
        <f t="shared" si="376"/>
        <v>0.88472602454175231</v>
      </c>
      <c r="DN100" s="941">
        <f>DN61/DN82</f>
        <v>0.57330952608121</v>
      </c>
      <c r="DO100" s="941">
        <f>DO61/DO82</f>
        <v>0.58344372548020629</v>
      </c>
      <c r="DP100" s="941">
        <f>DP61/DP82</f>
        <v>1.0150027312338821</v>
      </c>
      <c r="DQ100" s="941">
        <f>DQ61/DQ82</f>
        <v>0.82417096350217411</v>
      </c>
      <c r="DR100" s="941">
        <f t="shared" ref="DR100:DU100" ca="1" si="377">DR61/DR82</f>
        <v>1.2145888261365561</v>
      </c>
      <c r="DS100" s="941">
        <f t="shared" ca="1" si="377"/>
        <v>1.5170620305228153</v>
      </c>
      <c r="DT100" s="941">
        <f t="shared" ca="1" si="377"/>
        <v>1.6913433423172282</v>
      </c>
      <c r="DU100" s="941">
        <f t="shared" ca="1" si="377"/>
        <v>1.8249735663206352</v>
      </c>
      <c r="DV100" s="878"/>
      <c r="DW100" s="54"/>
      <c r="DX100" s="878"/>
      <c r="DY100" s="878"/>
    </row>
    <row r="101" spans="1:129">
      <c r="AK101" s="42"/>
      <c r="AP101" s="42"/>
      <c r="AU101" s="42"/>
      <c r="AZ101" s="42"/>
      <c r="BE101" s="42"/>
      <c r="BJ101" s="42"/>
      <c r="BO101" s="42"/>
      <c r="BT101" s="42"/>
      <c r="BY101" s="42"/>
      <c r="CD101" s="42"/>
      <c r="CI101" s="42"/>
      <c r="CN101" s="42"/>
      <c r="CP101" s="772"/>
      <c r="CQ101" s="772"/>
      <c r="CR101" s="772"/>
      <c r="CS101" s="42"/>
      <c r="CT101" s="772"/>
      <c r="CU101" s="772"/>
      <c r="CV101" s="772"/>
      <c r="CW101" s="772"/>
      <c r="CX101" s="772"/>
      <c r="CY101" s="772"/>
      <c r="CZ101" s="772"/>
      <c r="DA101" s="772"/>
      <c r="DB101" s="772"/>
      <c r="DC101" s="772"/>
      <c r="DD101" s="772"/>
      <c r="DE101" s="772"/>
      <c r="DF101" s="772"/>
      <c r="DG101" s="772"/>
      <c r="DH101" s="772"/>
      <c r="DI101" s="772"/>
      <c r="DJ101" s="772"/>
      <c r="DK101" s="772"/>
      <c r="DL101" s="772"/>
      <c r="DM101" s="772"/>
      <c r="DN101" s="772"/>
      <c r="DO101" s="772"/>
      <c r="DP101" s="772"/>
      <c r="DQ101" s="772"/>
    </row>
    <row r="102" spans="1:129">
      <c r="A102" s="1163" t="s">
        <v>604</v>
      </c>
      <c r="B102" s="28" t="s">
        <v>1232</v>
      </c>
      <c r="C102" s="50"/>
      <c r="D102" s="29"/>
      <c r="E102" s="29"/>
      <c r="F102" s="29"/>
      <c r="G102" s="29"/>
      <c r="H102" s="29"/>
      <c r="I102" s="29"/>
      <c r="J102" s="29"/>
      <c r="K102" s="29"/>
      <c r="L102" s="50"/>
      <c r="M102" s="50"/>
      <c r="N102" s="50"/>
      <c r="O102" s="50"/>
      <c r="P102" s="50"/>
      <c r="Q102" s="50"/>
      <c r="R102" s="50"/>
      <c r="S102" s="50"/>
      <c r="T102" s="50"/>
      <c r="U102" s="50"/>
      <c r="V102" s="50"/>
      <c r="W102" s="50"/>
      <c r="X102" s="1164"/>
      <c r="Y102" s="1164"/>
      <c r="Z102" s="1164"/>
      <c r="AA102" s="1164"/>
      <c r="AB102" s="1164"/>
      <c r="AC102" s="1164"/>
      <c r="AD102" s="1164"/>
      <c r="AE102" s="54"/>
      <c r="AG102" s="23"/>
      <c r="AH102" s="23"/>
      <c r="AI102" s="23"/>
      <c r="AJ102" s="123"/>
      <c r="AK102" s="1102"/>
      <c r="AP102" s="42"/>
      <c r="AU102" s="42"/>
      <c r="AZ102" s="42"/>
      <c r="BE102" s="42"/>
      <c r="BJ102" s="42"/>
      <c r="BO102" s="42"/>
      <c r="BT102" s="42"/>
      <c r="BY102" s="42"/>
      <c r="BZ102" s="23"/>
      <c r="CA102" s="23"/>
      <c r="CB102" s="23"/>
      <c r="CC102" s="23"/>
      <c r="CD102" s="1102"/>
      <c r="CE102" s="23"/>
      <c r="CF102" s="23"/>
      <c r="CG102" s="23"/>
      <c r="CH102" s="23"/>
      <c r="CI102" s="1102"/>
      <c r="CJ102" s="50"/>
      <c r="CK102" s="50"/>
      <c r="CL102" s="50"/>
      <c r="CM102" s="50"/>
      <c r="CN102" s="1102"/>
      <c r="CO102" s="50"/>
      <c r="CP102" s="50"/>
      <c r="CQ102" s="50"/>
      <c r="CR102" s="50"/>
      <c r="CS102" s="1102"/>
      <c r="CT102" s="50"/>
      <c r="CU102" s="50"/>
      <c r="CV102" s="50"/>
      <c r="CW102" s="50"/>
      <c r="CX102" s="50"/>
      <c r="CY102" s="50"/>
      <c r="CZ102" s="50"/>
      <c r="DA102" s="50"/>
      <c r="DB102" s="50"/>
      <c r="DC102" s="50"/>
      <c r="DD102" s="50"/>
      <c r="DE102" s="50"/>
      <c r="DF102" s="50"/>
      <c r="DG102" s="50"/>
      <c r="DH102" s="50"/>
      <c r="DI102" s="50"/>
      <c r="DJ102" s="50"/>
      <c r="DK102" s="50"/>
      <c r="DL102" s="50"/>
      <c r="DM102" s="50"/>
      <c r="DN102" s="50"/>
      <c r="DO102" s="50"/>
      <c r="DP102" s="50"/>
      <c r="DQ102" s="50"/>
      <c r="DR102" s="50"/>
      <c r="DS102" s="50"/>
      <c r="DT102" s="50"/>
      <c r="DU102" s="50"/>
      <c r="DV102" s="23"/>
      <c r="DW102" s="23"/>
      <c r="DX102" s="23"/>
      <c r="DY102" s="23"/>
    </row>
    <row r="103" spans="1:129">
      <c r="B103" s="857" t="s">
        <v>1112</v>
      </c>
      <c r="C103" s="23"/>
      <c r="L103" s="23"/>
      <c r="M103" s="23"/>
      <c r="N103" s="23"/>
      <c r="O103" s="51"/>
      <c r="P103" s="51"/>
      <c r="Q103" s="51"/>
      <c r="R103" s="51"/>
      <c r="S103" s="51"/>
      <c r="T103" s="51"/>
      <c r="U103" s="51"/>
      <c r="V103" s="51"/>
      <c r="W103" s="51"/>
      <c r="X103" s="23"/>
      <c r="Y103" s="23"/>
      <c r="Z103" s="23"/>
      <c r="AA103" s="23"/>
      <c r="AB103" s="23"/>
      <c r="AC103" s="23"/>
      <c r="AD103" s="23"/>
      <c r="AE103" s="54"/>
      <c r="AG103" s="23"/>
      <c r="AH103" s="23"/>
      <c r="AI103" s="23"/>
      <c r="AJ103" s="123"/>
      <c r="AK103" s="1102"/>
      <c r="AP103" s="42"/>
      <c r="AU103" s="42"/>
      <c r="AZ103" s="42"/>
      <c r="BE103" s="42"/>
      <c r="BJ103" s="42"/>
      <c r="BO103" s="42"/>
      <c r="BT103" s="42"/>
      <c r="BY103" s="42"/>
      <c r="BZ103" s="23"/>
      <c r="CA103" s="23"/>
      <c r="CB103" s="23"/>
      <c r="CC103" s="23"/>
      <c r="CD103" s="1102"/>
      <c r="CE103" s="23"/>
      <c r="CF103" s="23"/>
      <c r="CG103" s="23"/>
      <c r="CH103" s="23"/>
      <c r="CI103" s="1102"/>
      <c r="CN103" s="42"/>
      <c r="CS103" s="42"/>
    </row>
    <row r="104" spans="1:129">
      <c r="B104" s="23" t="s">
        <v>291</v>
      </c>
      <c r="C104" s="23"/>
      <c r="E104" s="942"/>
      <c r="F104" s="942">
        <f t="shared" ref="F104:W104" si="378">(F19/F15)*100</f>
        <v>14.115179613334583</v>
      </c>
      <c r="G104" s="942">
        <f t="shared" si="378"/>
        <v>27.440793905788478</v>
      </c>
      <c r="H104" s="942">
        <f t="shared" si="378"/>
        <v>37.955944447270696</v>
      </c>
      <c r="I104" s="942">
        <f t="shared" si="378"/>
        <v>49.63188347355365</v>
      </c>
      <c r="J104" s="942">
        <f t="shared" si="378"/>
        <v>56.772687587364359</v>
      </c>
      <c r="K104" s="942">
        <f t="shared" si="378"/>
        <v>61.074510402854628</v>
      </c>
      <c r="L104" s="854">
        <f t="shared" si="378"/>
        <v>60.564035075171304</v>
      </c>
      <c r="M104" s="854">
        <f t="shared" si="378"/>
        <v>62.439688936822378</v>
      </c>
      <c r="N104" s="854">
        <f t="shared" si="378"/>
        <v>64.353904606072007</v>
      </c>
      <c r="O104" s="854">
        <f t="shared" si="378"/>
        <v>64.995560994939041</v>
      </c>
      <c r="P104" s="854">
        <f t="shared" si="378"/>
        <v>66.253127818859156</v>
      </c>
      <c r="Q104" s="854">
        <f t="shared" si="378"/>
        <v>68.485770720831454</v>
      </c>
      <c r="R104" s="854">
        <f t="shared" si="378"/>
        <v>68.467264904778318</v>
      </c>
      <c r="S104" s="854">
        <f t="shared" si="378"/>
        <v>68.591543820523569</v>
      </c>
      <c r="T104" s="854">
        <f t="shared" si="378"/>
        <v>69.314753801267642</v>
      </c>
      <c r="U104" s="854">
        <f t="shared" si="378"/>
        <v>67.621883676832894</v>
      </c>
      <c r="V104" s="854">
        <f t="shared" si="378"/>
        <v>67.192660609262646</v>
      </c>
      <c r="W104" s="854">
        <f t="shared" ca="1" si="378"/>
        <v>67</v>
      </c>
      <c r="X104" s="76">
        <f t="shared" ref="X104:AD104" ca="1" si="379">CHOOSE(mode,X105,X106,X107)</f>
        <v>67.099999999999994</v>
      </c>
      <c r="Y104" s="76">
        <f t="shared" ca="1" si="379"/>
        <v>67.199999999999989</v>
      </c>
      <c r="Z104" s="76">
        <f t="shared" ca="1" si="379"/>
        <v>67.299999999999983</v>
      </c>
      <c r="AA104" s="76">
        <f t="shared" ca="1" si="379"/>
        <v>67.399999999999977</v>
      </c>
      <c r="AB104" s="76">
        <f t="shared" ca="1" si="379"/>
        <v>67.499999999999972</v>
      </c>
      <c r="AC104" s="76">
        <f t="shared" ca="1" si="379"/>
        <v>67.599999999999966</v>
      </c>
      <c r="AD104" s="76">
        <f t="shared" ca="1" si="379"/>
        <v>67.69999999999996</v>
      </c>
      <c r="AE104" s="54"/>
      <c r="AG104" s="854"/>
      <c r="AH104" s="854"/>
      <c r="AI104" s="854"/>
      <c r="AJ104" s="943"/>
      <c r="AK104" s="1116"/>
      <c r="AL104" s="942"/>
      <c r="AM104" s="942"/>
      <c r="AN104" s="942"/>
      <c r="AO104" s="942"/>
      <c r="AP104" s="1128"/>
      <c r="AQ104" s="942">
        <f t="shared" ref="AQ104:BV104" si="380">(AQ19/AQ15)*100</f>
        <v>-13.668437326567842</v>
      </c>
      <c r="AR104" s="942">
        <f t="shared" si="380"/>
        <v>7.9903447422169869</v>
      </c>
      <c r="AS104" s="942">
        <f t="shared" si="380"/>
        <v>12.807078821748744</v>
      </c>
      <c r="AT104" s="942">
        <f t="shared" si="380"/>
        <v>41.131340890873702</v>
      </c>
      <c r="AU104" s="1128">
        <f t="shared" si="380"/>
        <v>14.115179613334583</v>
      </c>
      <c r="AV104" s="942">
        <f t="shared" si="380"/>
        <v>28.390713364421096</v>
      </c>
      <c r="AW104" s="942">
        <f t="shared" si="380"/>
        <v>16.962305986696233</v>
      </c>
      <c r="AX104" s="942">
        <f t="shared" si="380"/>
        <v>30.806954971020957</v>
      </c>
      <c r="AY104" s="942">
        <f t="shared" si="380"/>
        <v>32.861777375950659</v>
      </c>
      <c r="AZ104" s="1128">
        <f t="shared" si="380"/>
        <v>27.440793905788475</v>
      </c>
      <c r="BA104" s="942">
        <f t="shared" si="380"/>
        <v>33.045016709258896</v>
      </c>
      <c r="BB104" s="942">
        <f t="shared" si="380"/>
        <v>38.612224801294218</v>
      </c>
      <c r="BC104" s="942">
        <f t="shared" si="380"/>
        <v>36.317474691937008</v>
      </c>
      <c r="BD104" s="942">
        <f t="shared" si="380"/>
        <v>42.688665017795728</v>
      </c>
      <c r="BE104" s="1128">
        <f t="shared" si="380"/>
        <v>37.955944447270689</v>
      </c>
      <c r="BF104" s="942">
        <f t="shared" si="380"/>
        <v>45.084193373166769</v>
      </c>
      <c r="BG104" s="942">
        <f t="shared" si="380"/>
        <v>47.667605205083333</v>
      </c>
      <c r="BH104" s="942">
        <f t="shared" si="380"/>
        <v>51.320719149838588</v>
      </c>
      <c r="BI104" s="942">
        <f t="shared" si="380"/>
        <v>53.481962257440706</v>
      </c>
      <c r="BJ104" s="1128">
        <f t="shared" si="380"/>
        <v>49.63188347355365</v>
      </c>
      <c r="BK104" s="942">
        <f t="shared" si="380"/>
        <v>54.956453865746447</v>
      </c>
      <c r="BL104" s="942">
        <f t="shared" si="380"/>
        <v>55.568894224356413</v>
      </c>
      <c r="BM104" s="942">
        <f t="shared" si="380"/>
        <v>56.762944092536493</v>
      </c>
      <c r="BN104" s="942">
        <f t="shared" si="380"/>
        <v>59.234926696656842</v>
      </c>
      <c r="BO104" s="1128">
        <f t="shared" si="380"/>
        <v>56.772687587364345</v>
      </c>
      <c r="BP104" s="942">
        <f t="shared" si="380"/>
        <v>61.041483605420154</v>
      </c>
      <c r="BQ104" s="942">
        <f t="shared" si="380"/>
        <v>60.837661200910311</v>
      </c>
      <c r="BR104" s="942">
        <f t="shared" si="380"/>
        <v>59.664161896752844</v>
      </c>
      <c r="BS104" s="942">
        <f t="shared" si="380"/>
        <v>62.586008820150454</v>
      </c>
      <c r="BT104" s="1128">
        <f t="shared" si="380"/>
        <v>61.074510402854621</v>
      </c>
      <c r="BU104" s="942">
        <f t="shared" si="380"/>
        <v>62.482228671468356</v>
      </c>
      <c r="BV104" s="942">
        <f t="shared" si="380"/>
        <v>63.26208390953537</v>
      </c>
      <c r="BW104" s="942">
        <f t="shared" ref="BW104:DB104" si="381">(BW19/BW15)*100</f>
        <v>61.226416912374013</v>
      </c>
      <c r="BX104" s="942">
        <f t="shared" si="381"/>
        <v>57.105266952146138</v>
      </c>
      <c r="BY104" s="1128">
        <f t="shared" si="381"/>
        <v>60.564035075171297</v>
      </c>
      <c r="BZ104" s="854">
        <f t="shared" si="381"/>
        <v>60.96461843785157</v>
      </c>
      <c r="CA104" s="854">
        <f t="shared" si="381"/>
        <v>61.586570877217447</v>
      </c>
      <c r="CB104" s="854">
        <f t="shared" si="381"/>
        <v>61.574550303426122</v>
      </c>
      <c r="CC104" s="854">
        <f t="shared" si="381"/>
        <v>65.266961396663575</v>
      </c>
      <c r="CD104" s="1116">
        <f t="shared" si="381"/>
        <v>62.439688936822378</v>
      </c>
      <c r="CE104" s="854">
        <f t="shared" si="381"/>
        <v>63.891663445949689</v>
      </c>
      <c r="CF104" s="854">
        <f t="shared" si="381"/>
        <v>64.733449673496963</v>
      </c>
      <c r="CG104" s="854">
        <f t="shared" si="381"/>
        <v>63.995552782147854</v>
      </c>
      <c r="CH104" s="854">
        <f t="shared" si="381"/>
        <v>64.736221511263565</v>
      </c>
      <c r="CI104" s="1116">
        <f t="shared" si="381"/>
        <v>64.353904606072007</v>
      </c>
      <c r="CJ104" s="854">
        <f t="shared" si="381"/>
        <v>65.781483134860792</v>
      </c>
      <c r="CK104" s="854">
        <f t="shared" si="381"/>
        <v>65.282724805787254</v>
      </c>
      <c r="CL104" s="854">
        <f t="shared" si="381"/>
        <v>65.144339969010005</v>
      </c>
      <c r="CM104" s="854">
        <f t="shared" si="381"/>
        <v>64.024226991200464</v>
      </c>
      <c r="CN104" s="1116">
        <f t="shared" si="381"/>
        <v>64.995560994939041</v>
      </c>
      <c r="CO104" s="854">
        <f t="shared" si="381"/>
        <v>66.520600425485028</v>
      </c>
      <c r="CP104" s="854">
        <f t="shared" si="381"/>
        <v>65.736126855005438</v>
      </c>
      <c r="CQ104" s="854">
        <f t="shared" si="381"/>
        <v>65.711842982009173</v>
      </c>
      <c r="CR104" s="854">
        <f t="shared" si="381"/>
        <v>67.024467208066028</v>
      </c>
      <c r="CS104" s="1116">
        <f t="shared" si="381"/>
        <v>66.253127818859156</v>
      </c>
      <c r="CT104" s="854">
        <f t="shared" si="381"/>
        <v>68.720178159981131</v>
      </c>
      <c r="CU104" s="854">
        <f t="shared" si="381"/>
        <v>68.96977147498518</v>
      </c>
      <c r="CV104" s="854">
        <f t="shared" si="381"/>
        <v>67.530190683428387</v>
      </c>
      <c r="CW104" s="854">
        <f t="shared" si="381"/>
        <v>68.761349961170524</v>
      </c>
      <c r="CX104" s="854">
        <f t="shared" si="381"/>
        <v>68.610864620428032</v>
      </c>
      <c r="CY104" s="854">
        <f t="shared" si="381"/>
        <v>68.154616154033789</v>
      </c>
      <c r="CZ104" s="854">
        <f t="shared" si="381"/>
        <v>67.940318624743128</v>
      </c>
      <c r="DA104" s="854">
        <f t="shared" si="381"/>
        <v>69.135629749396571</v>
      </c>
      <c r="DB104" s="854">
        <f t="shared" si="381"/>
        <v>68.236006020139541</v>
      </c>
      <c r="DC104" s="854">
        <f t="shared" ref="DC104:DQ104" si="382">(DC19/DC15)*100</f>
        <v>68.454510452590299</v>
      </c>
      <c r="DD104" s="854">
        <f t="shared" si="382"/>
        <v>68.33569724711495</v>
      </c>
      <c r="DE104" s="854">
        <f t="shared" si="382"/>
        <v>69.293441212559998</v>
      </c>
      <c r="DF104" s="854">
        <f t="shared" si="382"/>
        <v>70.127834769440312</v>
      </c>
      <c r="DG104" s="854">
        <f t="shared" si="382"/>
        <v>69.239552752328038</v>
      </c>
      <c r="DH104" s="854">
        <f t="shared" si="382"/>
        <v>69.181197380320953</v>
      </c>
      <c r="DI104" s="854">
        <f t="shared" si="382"/>
        <v>68.792900931191483</v>
      </c>
      <c r="DJ104" s="854">
        <f t="shared" si="382"/>
        <v>67.885082851984706</v>
      </c>
      <c r="DK104" s="854">
        <f t="shared" si="382"/>
        <v>67.570265738303846</v>
      </c>
      <c r="DL104" s="854">
        <f t="shared" si="382"/>
        <v>67.034831659954392</v>
      </c>
      <c r="DM104" s="854">
        <f t="shared" si="382"/>
        <v>68.011355258118883</v>
      </c>
      <c r="DN104" s="854">
        <f t="shared" si="382"/>
        <v>68.032437271267213</v>
      </c>
      <c r="DO104" s="854">
        <f t="shared" si="382"/>
        <v>67.698591831931282</v>
      </c>
      <c r="DP104" s="854">
        <f t="shared" si="382"/>
        <v>67.215153511227058</v>
      </c>
      <c r="DQ104" s="854">
        <f t="shared" si="382"/>
        <v>66.057167804929264</v>
      </c>
      <c r="DR104" s="76">
        <f>CHOOSE(mode,DR105,DR106,DR107)</f>
        <v>67</v>
      </c>
      <c r="DS104" s="76">
        <f>CHOOSE(mode,DS105,DS106,DS107)</f>
        <v>67</v>
      </c>
      <c r="DT104" s="76">
        <f>CHOOSE(mode,DT105,DT106,DT107)</f>
        <v>67</v>
      </c>
      <c r="DU104" s="76">
        <f>CHOOSE(mode,DU105,DU106,DU107)</f>
        <v>67</v>
      </c>
      <c r="DV104" s="854"/>
      <c r="DW104" s="854"/>
      <c r="DX104" s="854"/>
      <c r="DY104" s="854"/>
    </row>
    <row r="105" spans="1:129" outlineLevel="1">
      <c r="B105" s="524" t="s">
        <v>1046</v>
      </c>
      <c r="C105" s="89"/>
      <c r="D105" s="132"/>
      <c r="E105" s="525"/>
      <c r="F105" s="525"/>
      <c r="G105" s="525"/>
      <c r="H105" s="525"/>
      <c r="I105" s="525"/>
      <c r="J105" s="525"/>
      <c r="K105" s="525"/>
      <c r="L105" s="525"/>
      <c r="M105" s="525"/>
      <c r="N105" s="526"/>
      <c r="O105" s="527"/>
      <c r="P105" s="527"/>
      <c r="Q105" s="527"/>
      <c r="R105" s="527"/>
      <c r="S105" s="527"/>
      <c r="T105" s="527"/>
      <c r="U105" s="527"/>
      <c r="V105" s="527"/>
      <c r="W105" s="527"/>
      <c r="X105" s="527">
        <f ca="1">X106+0.75</f>
        <v>67.849999999999994</v>
      </c>
      <c r="Y105" s="527">
        <f ca="1">Y106+0.75</f>
        <v>67.949999999999989</v>
      </c>
      <c r="Z105" s="527">
        <f ca="1">Z106+0.75</f>
        <v>68.049999999999983</v>
      </c>
      <c r="AA105" s="527">
        <f t="shared" ref="AA105:AD105" ca="1" si="383">AA106+0.75</f>
        <v>68.149999999999977</v>
      </c>
      <c r="AB105" s="527">
        <f t="shared" ca="1" si="383"/>
        <v>68.249999999999972</v>
      </c>
      <c r="AC105" s="527">
        <f t="shared" ca="1" si="383"/>
        <v>68.349999999999966</v>
      </c>
      <c r="AD105" s="527">
        <f t="shared" ca="1" si="383"/>
        <v>68.44999999999996</v>
      </c>
      <c r="AE105" s="54"/>
      <c r="AG105" s="123"/>
      <c r="AH105" s="123"/>
      <c r="AI105" s="123"/>
      <c r="AJ105" s="123"/>
      <c r="AK105" s="1103"/>
      <c r="AL105" s="944"/>
      <c r="AM105" s="944"/>
      <c r="AN105" s="944"/>
      <c r="AO105" s="944"/>
      <c r="AP105" s="1129"/>
      <c r="AQ105" s="944"/>
      <c r="AR105" s="944"/>
      <c r="AS105" s="944"/>
      <c r="AT105" s="944"/>
      <c r="AU105" s="1129"/>
      <c r="AV105" s="944"/>
      <c r="AW105" s="944"/>
      <c r="AX105" s="944"/>
      <c r="AY105" s="944"/>
      <c r="AZ105" s="1129"/>
      <c r="BA105" s="944"/>
      <c r="BB105" s="944"/>
      <c r="BC105" s="944"/>
      <c r="BD105" s="944"/>
      <c r="BE105" s="1129"/>
      <c r="BF105" s="944"/>
      <c r="BG105" s="944"/>
      <c r="BH105" s="944"/>
      <c r="BI105" s="944"/>
      <c r="BJ105" s="1129"/>
      <c r="BK105" s="944"/>
      <c r="BL105" s="944"/>
      <c r="BM105" s="944"/>
      <c r="BN105" s="944"/>
      <c r="BO105" s="1129"/>
      <c r="BP105" s="944"/>
      <c r="BQ105" s="944"/>
      <c r="BR105" s="944"/>
      <c r="BS105" s="944"/>
      <c r="BT105" s="1129"/>
      <c r="BU105" s="944"/>
      <c r="BV105" s="944"/>
      <c r="BW105" s="944"/>
      <c r="BX105" s="944"/>
      <c r="BY105" s="1129"/>
      <c r="BZ105" s="944"/>
      <c r="CA105" s="944"/>
      <c r="CB105" s="944"/>
      <c r="CC105" s="945"/>
      <c r="CD105" s="1142"/>
      <c r="CE105" s="946"/>
      <c r="CF105" s="946"/>
      <c r="CG105" s="946"/>
      <c r="CH105" s="946"/>
      <c r="CI105" s="1150"/>
      <c r="CJ105" s="946"/>
      <c r="CK105" s="946"/>
      <c r="CL105" s="946"/>
      <c r="CM105" s="946"/>
      <c r="CN105" s="1150"/>
      <c r="CO105" s="527"/>
      <c r="CP105" s="527"/>
      <c r="CQ105" s="527"/>
      <c r="CR105" s="527"/>
      <c r="CS105" s="1150"/>
      <c r="CT105" s="527"/>
      <c r="CU105" s="527"/>
      <c r="CV105" s="527"/>
      <c r="CW105" s="527"/>
      <c r="CX105" s="527"/>
      <c r="CY105" s="527"/>
      <c r="CZ105" s="527"/>
      <c r="DA105" s="527"/>
      <c r="DB105" s="527"/>
      <c r="DC105" s="527"/>
      <c r="DD105" s="527"/>
      <c r="DE105" s="527"/>
      <c r="DF105" s="527"/>
      <c r="DG105" s="527"/>
      <c r="DH105" s="527"/>
      <c r="DI105" s="527"/>
      <c r="DJ105" s="527"/>
      <c r="DK105" s="527"/>
      <c r="DL105" s="527"/>
      <c r="DM105" s="527"/>
      <c r="DN105" s="527"/>
      <c r="DO105" s="527"/>
      <c r="DP105" s="527"/>
      <c r="DQ105" s="527"/>
      <c r="DR105" s="527">
        <f>DR106+1.5</f>
        <v>68.5</v>
      </c>
      <c r="DS105" s="527">
        <f t="shared" ref="DS105:DU105" si="384">DS106+1.5</f>
        <v>68.5</v>
      </c>
      <c r="DT105" s="527">
        <f t="shared" si="384"/>
        <v>68.5</v>
      </c>
      <c r="DU105" s="527">
        <f t="shared" si="384"/>
        <v>68.5</v>
      </c>
      <c r="DV105" s="946"/>
      <c r="DW105" s="946"/>
      <c r="DX105" s="946"/>
      <c r="DY105" s="946"/>
    </row>
    <row r="106" spans="1:129" outlineLevel="1">
      <c r="B106" s="524" t="s">
        <v>1047</v>
      </c>
      <c r="C106" s="89"/>
      <c r="D106" s="132"/>
      <c r="E106" s="525"/>
      <c r="F106" s="525"/>
      <c r="G106" s="525"/>
      <c r="H106" s="525"/>
      <c r="I106" s="525"/>
      <c r="J106" s="525"/>
      <c r="K106" s="525"/>
      <c r="L106" s="525"/>
      <c r="M106" s="525"/>
      <c r="N106" s="526"/>
      <c r="O106" s="527"/>
      <c r="P106" s="527"/>
      <c r="Q106" s="527"/>
      <c r="R106" s="527"/>
      <c r="S106" s="527"/>
      <c r="T106" s="527"/>
      <c r="U106" s="527"/>
      <c r="V106" s="527"/>
      <c r="W106" s="527"/>
      <c r="X106" s="527">
        <f ca="1">+W104+0.1</f>
        <v>67.099999999999994</v>
      </c>
      <c r="Y106" s="527">
        <f ca="1">+X106+0.1</f>
        <v>67.199999999999989</v>
      </c>
      <c r="Z106" s="527">
        <f ca="1">+Y106+0.1</f>
        <v>67.299999999999983</v>
      </c>
      <c r="AA106" s="527">
        <f t="shared" ref="AA106:AD106" ca="1" si="385">+Z106+0.1</f>
        <v>67.399999999999977</v>
      </c>
      <c r="AB106" s="527">
        <f t="shared" ca="1" si="385"/>
        <v>67.499999999999972</v>
      </c>
      <c r="AC106" s="527">
        <f t="shared" ca="1" si="385"/>
        <v>67.599999999999966</v>
      </c>
      <c r="AD106" s="527">
        <f t="shared" ca="1" si="385"/>
        <v>67.69999999999996</v>
      </c>
      <c r="AE106" s="54"/>
      <c r="AG106" s="123"/>
      <c r="AH106" s="123"/>
      <c r="AI106" s="123"/>
      <c r="AJ106" s="123"/>
      <c r="AK106" s="1103"/>
      <c r="AL106" s="944"/>
      <c r="AM106" s="944"/>
      <c r="AN106" s="944"/>
      <c r="AO106" s="944"/>
      <c r="AP106" s="1129"/>
      <c r="AQ106" s="944"/>
      <c r="AR106" s="944"/>
      <c r="AS106" s="944"/>
      <c r="AT106" s="944"/>
      <c r="AU106" s="1129"/>
      <c r="AV106" s="944"/>
      <c r="AW106" s="944"/>
      <c r="AX106" s="944"/>
      <c r="AY106" s="944"/>
      <c r="AZ106" s="1129"/>
      <c r="BA106" s="944"/>
      <c r="BB106" s="944"/>
      <c r="BC106" s="944"/>
      <c r="BD106" s="944"/>
      <c r="BE106" s="1129"/>
      <c r="BF106" s="944"/>
      <c r="BG106" s="944"/>
      <c r="BH106" s="944"/>
      <c r="BI106" s="944"/>
      <c r="BJ106" s="1129"/>
      <c r="BK106" s="944"/>
      <c r="BL106" s="944"/>
      <c r="BM106" s="944"/>
      <c r="BN106" s="944"/>
      <c r="BO106" s="1129"/>
      <c r="BP106" s="944"/>
      <c r="BQ106" s="944"/>
      <c r="BR106" s="944"/>
      <c r="BS106" s="944"/>
      <c r="BT106" s="1129"/>
      <c r="BU106" s="944"/>
      <c r="BV106" s="944"/>
      <c r="BW106" s="944"/>
      <c r="BX106" s="944"/>
      <c r="BY106" s="1129"/>
      <c r="BZ106" s="944"/>
      <c r="CA106" s="944"/>
      <c r="CB106" s="944"/>
      <c r="CC106" s="945"/>
      <c r="CD106" s="1142"/>
      <c r="CE106" s="946"/>
      <c r="CF106" s="946"/>
      <c r="CG106" s="946"/>
      <c r="CH106" s="946"/>
      <c r="CI106" s="1150"/>
      <c r="CJ106" s="946"/>
      <c r="CK106" s="946"/>
      <c r="CL106" s="946"/>
      <c r="CM106" s="946"/>
      <c r="CN106" s="1150"/>
      <c r="CO106" s="527"/>
      <c r="CP106" s="527"/>
      <c r="CQ106" s="527"/>
      <c r="CR106" s="527"/>
      <c r="CS106" s="1150"/>
      <c r="CT106" s="527" t="s">
        <v>593</v>
      </c>
      <c r="CU106" s="527" t="s">
        <v>593</v>
      </c>
      <c r="CV106" s="527" t="s">
        <v>593</v>
      </c>
      <c r="CW106" s="527" t="s">
        <v>593</v>
      </c>
      <c r="CX106" s="527" t="s">
        <v>593</v>
      </c>
      <c r="CY106" s="527" t="s">
        <v>593</v>
      </c>
      <c r="CZ106" s="527" t="s">
        <v>593</v>
      </c>
      <c r="DA106" s="527" t="s">
        <v>593</v>
      </c>
      <c r="DB106" s="527" t="s">
        <v>593</v>
      </c>
      <c r="DC106" s="527" t="s">
        <v>593</v>
      </c>
      <c r="DD106" s="527" t="s">
        <v>593</v>
      </c>
      <c r="DE106" s="527" t="s">
        <v>593</v>
      </c>
      <c r="DF106" s="527" t="s">
        <v>593</v>
      </c>
      <c r="DG106" s="527" t="s">
        <v>593</v>
      </c>
      <c r="DH106" s="527" t="s">
        <v>593</v>
      </c>
      <c r="DI106" s="527" t="s">
        <v>593</v>
      </c>
      <c r="DJ106" s="527" t="s">
        <v>593</v>
      </c>
      <c r="DK106" s="527" t="s">
        <v>593</v>
      </c>
      <c r="DL106" s="527" t="s">
        <v>593</v>
      </c>
      <c r="DM106" s="527" t="s">
        <v>593</v>
      </c>
      <c r="DN106" s="527" t="s">
        <v>593</v>
      </c>
      <c r="DO106" s="527" t="s">
        <v>593</v>
      </c>
      <c r="DP106" s="527" t="s">
        <v>593</v>
      </c>
      <c r="DQ106" s="527" t="s">
        <v>593</v>
      </c>
      <c r="DR106" s="527">
        <v>67</v>
      </c>
      <c r="DS106" s="527">
        <v>67</v>
      </c>
      <c r="DT106" s="527">
        <v>67</v>
      </c>
      <c r="DU106" s="527">
        <v>67</v>
      </c>
      <c r="DV106" s="946"/>
      <c r="DW106" s="946"/>
      <c r="DX106" s="946"/>
      <c r="DY106" s="946"/>
    </row>
    <row r="107" spans="1:129" outlineLevel="1">
      <c r="B107" s="524" t="s">
        <v>1048</v>
      </c>
      <c r="C107" s="89"/>
      <c r="D107" s="132"/>
      <c r="E107" s="525"/>
      <c r="F107" s="525"/>
      <c r="G107" s="525"/>
      <c r="H107" s="525"/>
      <c r="I107" s="525"/>
      <c r="J107" s="525"/>
      <c r="K107" s="525"/>
      <c r="L107" s="525"/>
      <c r="M107" s="525"/>
      <c r="N107" s="526"/>
      <c r="O107" s="527"/>
      <c r="P107" s="527"/>
      <c r="Q107" s="527"/>
      <c r="R107" s="527"/>
      <c r="S107" s="527"/>
      <c r="T107" s="527"/>
      <c r="U107" s="527"/>
      <c r="V107" s="527"/>
      <c r="W107" s="527"/>
      <c r="X107" s="527">
        <f ca="1">X106-1.5</f>
        <v>65.599999999999994</v>
      </c>
      <c r="Y107" s="527">
        <f ca="1">Y106-1.5</f>
        <v>65.699999999999989</v>
      </c>
      <c r="Z107" s="527">
        <f ca="1">Z106-1.5</f>
        <v>65.799999999999983</v>
      </c>
      <c r="AA107" s="527">
        <f t="shared" ref="AA107:AD107" ca="1" si="386">AA106-1.5</f>
        <v>65.899999999999977</v>
      </c>
      <c r="AB107" s="527">
        <f t="shared" ca="1" si="386"/>
        <v>65.999999999999972</v>
      </c>
      <c r="AC107" s="527">
        <f t="shared" ca="1" si="386"/>
        <v>66.099999999999966</v>
      </c>
      <c r="AD107" s="527">
        <f t="shared" ca="1" si="386"/>
        <v>66.19999999999996</v>
      </c>
      <c r="AE107" s="54"/>
      <c r="AG107" s="23"/>
      <c r="AH107" s="23"/>
      <c r="AI107" s="23"/>
      <c r="AJ107" s="123"/>
      <c r="AK107" s="1102"/>
      <c r="AL107" s="944"/>
      <c r="AM107" s="944"/>
      <c r="AN107" s="944"/>
      <c r="AO107" s="944"/>
      <c r="AP107" s="1129"/>
      <c r="AQ107" s="944"/>
      <c r="AR107" s="944"/>
      <c r="AS107" s="944"/>
      <c r="AT107" s="944"/>
      <c r="AU107" s="1129"/>
      <c r="AV107" s="944"/>
      <c r="AW107" s="944"/>
      <c r="AX107" s="944"/>
      <c r="AY107" s="944"/>
      <c r="AZ107" s="1129"/>
      <c r="BA107" s="944"/>
      <c r="BB107" s="944"/>
      <c r="BC107" s="944"/>
      <c r="BD107" s="944"/>
      <c r="BE107" s="1129"/>
      <c r="BF107" s="944"/>
      <c r="BG107" s="944"/>
      <c r="BH107" s="944"/>
      <c r="BI107" s="944"/>
      <c r="BJ107" s="1129"/>
      <c r="BK107" s="944"/>
      <c r="BL107" s="944"/>
      <c r="BM107" s="944"/>
      <c r="BN107" s="944"/>
      <c r="BO107" s="1129"/>
      <c r="BP107" s="944"/>
      <c r="BQ107" s="944"/>
      <c r="BR107" s="944"/>
      <c r="BS107" s="944"/>
      <c r="BT107" s="1129"/>
      <c r="BU107" s="944"/>
      <c r="BV107" s="944"/>
      <c r="BW107" s="944"/>
      <c r="BX107" s="944"/>
      <c r="BY107" s="1129"/>
      <c r="BZ107" s="944"/>
      <c r="CA107" s="944"/>
      <c r="CB107" s="944"/>
      <c r="CC107" s="944"/>
      <c r="CD107" s="1129"/>
      <c r="CE107" s="946"/>
      <c r="CF107" s="946"/>
      <c r="CG107" s="946"/>
      <c r="CH107" s="946"/>
      <c r="CI107" s="1150"/>
      <c r="CJ107" s="946"/>
      <c r="CK107" s="946"/>
      <c r="CL107" s="946"/>
      <c r="CM107" s="946"/>
      <c r="CN107" s="1150"/>
      <c r="CO107" s="527"/>
      <c r="CP107" s="527"/>
      <c r="CQ107" s="527"/>
      <c r="CR107" s="527"/>
      <c r="CS107" s="1150"/>
      <c r="CT107" s="527"/>
      <c r="CU107" s="527"/>
      <c r="CV107" s="527"/>
      <c r="CW107" s="527"/>
      <c r="CX107" s="527"/>
      <c r="CY107" s="527"/>
      <c r="CZ107" s="527"/>
      <c r="DA107" s="527"/>
      <c r="DB107" s="527"/>
      <c r="DC107" s="527"/>
      <c r="DD107" s="527"/>
      <c r="DE107" s="527"/>
      <c r="DF107" s="527"/>
      <c r="DG107" s="527"/>
      <c r="DH107" s="527"/>
      <c r="DI107" s="527"/>
      <c r="DJ107" s="527"/>
      <c r="DK107" s="527"/>
      <c r="DL107" s="527"/>
      <c r="DM107" s="527"/>
      <c r="DN107" s="527"/>
      <c r="DO107" s="527"/>
      <c r="DP107" s="527"/>
      <c r="DQ107" s="527"/>
      <c r="DR107" s="527">
        <f t="shared" ref="DR107:DU107" si="387">+DR106-2</f>
        <v>65</v>
      </c>
      <c r="DS107" s="527">
        <f t="shared" si="387"/>
        <v>65</v>
      </c>
      <c r="DT107" s="527">
        <f t="shared" si="387"/>
        <v>65</v>
      </c>
      <c r="DU107" s="527">
        <f t="shared" si="387"/>
        <v>65</v>
      </c>
      <c r="DV107" s="946"/>
      <c r="DW107" s="946"/>
      <c r="DX107" s="946"/>
      <c r="DY107" s="946"/>
    </row>
    <row r="108" spans="1:129">
      <c r="B108" s="23" t="s">
        <v>1223</v>
      </c>
      <c r="C108" s="23"/>
      <c r="E108" s="942"/>
      <c r="F108" s="942">
        <f t="shared" ref="F108:AD108" si="388">(F22/F15)*100</f>
        <v>22.242722427224273</v>
      </c>
      <c r="G108" s="942">
        <f t="shared" si="388"/>
        <v>18.519718090894958</v>
      </c>
      <c r="H108" s="942">
        <f t="shared" si="388"/>
        <v>14.495260382221769</v>
      </c>
      <c r="I108" s="942">
        <f t="shared" si="388"/>
        <v>10.167958893145396</v>
      </c>
      <c r="J108" s="942">
        <f t="shared" si="388"/>
        <v>8.5638545714453738</v>
      </c>
      <c r="K108" s="942">
        <f t="shared" si="388"/>
        <v>8.715905225377826</v>
      </c>
      <c r="L108" s="854">
        <f t="shared" si="388"/>
        <v>7.0710610763824304</v>
      </c>
      <c r="M108" s="854">
        <f t="shared" si="388"/>
        <v>7.1262133166827502</v>
      </c>
      <c r="N108" s="854">
        <f t="shared" si="388"/>
        <v>5.3870272144533358</v>
      </c>
      <c r="O108" s="854">
        <f t="shared" si="388"/>
        <v>7.2760392371264677</v>
      </c>
      <c r="P108" s="854">
        <f t="shared" si="388"/>
        <v>8.1510577251392551</v>
      </c>
      <c r="Q108" s="854">
        <f t="shared" si="388"/>
        <v>8.6323022015750954</v>
      </c>
      <c r="R108" s="854">
        <f t="shared" si="388"/>
        <v>9.063548941222594</v>
      </c>
      <c r="S108" s="854">
        <f t="shared" si="388"/>
        <v>9.8230810937995532</v>
      </c>
      <c r="T108" s="854">
        <f t="shared" si="388"/>
        <v>9.8783249512907272</v>
      </c>
      <c r="U108" s="854">
        <f t="shared" si="388"/>
        <v>8.9278787947582323</v>
      </c>
      <c r="V108" s="854">
        <f t="shared" si="388"/>
        <v>8.7130427696187276</v>
      </c>
      <c r="W108" s="854">
        <f t="shared" ca="1" si="388"/>
        <v>8.2655634793098542</v>
      </c>
      <c r="X108" s="854">
        <f t="shared" ca="1" si="388"/>
        <v>8.2230634793098556</v>
      </c>
      <c r="Y108" s="854">
        <f t="shared" ca="1" si="388"/>
        <v>8.1805634793098552</v>
      </c>
      <c r="Z108" s="854">
        <f t="shared" ca="1" si="388"/>
        <v>8.138063479309853</v>
      </c>
      <c r="AA108" s="854">
        <f t="shared" ca="1" si="388"/>
        <v>8.0955634793098525</v>
      </c>
      <c r="AB108" s="854">
        <f t="shared" ca="1" si="388"/>
        <v>8.0530634793098521</v>
      </c>
      <c r="AC108" s="854">
        <f t="shared" ca="1" si="388"/>
        <v>8.0105634793098517</v>
      </c>
      <c r="AD108" s="854">
        <f t="shared" ca="1" si="388"/>
        <v>7.9680634793098521</v>
      </c>
      <c r="AE108" s="54"/>
      <c r="AG108" s="854"/>
      <c r="AH108" s="854"/>
      <c r="AI108" s="854"/>
      <c r="AJ108" s="943"/>
      <c r="AK108" s="1116"/>
      <c r="AL108" s="942"/>
      <c r="AM108" s="942"/>
      <c r="AN108" s="942"/>
      <c r="AO108" s="942"/>
      <c r="AP108" s="1128"/>
      <c r="AQ108" s="942">
        <f t="shared" ref="AQ108:BV108" si="389">(AQ22/AQ15)*100</f>
        <v>32.839134226591611</v>
      </c>
      <c r="AR108" s="942">
        <f t="shared" si="389"/>
        <v>20.436962307359039</v>
      </c>
      <c r="AS108" s="942">
        <f t="shared" si="389"/>
        <v>20.293398533007334</v>
      </c>
      <c r="AT108" s="942">
        <f t="shared" si="389"/>
        <v>18.178174739493873</v>
      </c>
      <c r="AU108" s="1128">
        <f t="shared" si="389"/>
        <v>22.242722427224273</v>
      </c>
      <c r="AV108" s="942">
        <f t="shared" si="389"/>
        <v>18.53854549062407</v>
      </c>
      <c r="AW108" s="942">
        <f t="shared" si="389"/>
        <v>27.488913525498898</v>
      </c>
      <c r="AX108" s="942">
        <f t="shared" si="389"/>
        <v>13.226333779164809</v>
      </c>
      <c r="AY108" s="942">
        <f t="shared" si="389"/>
        <v>15.577301494442377</v>
      </c>
      <c r="AZ108" s="1128">
        <f t="shared" si="389"/>
        <v>18.519718090894958</v>
      </c>
      <c r="BA108" s="942">
        <f t="shared" si="389"/>
        <v>15.981914684489873</v>
      </c>
      <c r="BB108" s="942">
        <f t="shared" si="389"/>
        <v>14.405289442217065</v>
      </c>
      <c r="BC108" s="942">
        <f t="shared" si="389"/>
        <v>13.726187780976101</v>
      </c>
      <c r="BD108" s="942">
        <f t="shared" si="389"/>
        <v>14.149122277854861</v>
      </c>
      <c r="BE108" s="1128">
        <f t="shared" si="389"/>
        <v>14.495260382221769</v>
      </c>
      <c r="BF108" s="942">
        <f t="shared" si="389"/>
        <v>11.238457360130363</v>
      </c>
      <c r="BG108" s="942">
        <f t="shared" si="389"/>
        <v>9.9764097100677258</v>
      </c>
      <c r="BH108" s="942">
        <f t="shared" si="389"/>
        <v>9.3263271990386212</v>
      </c>
      <c r="BI108" s="942">
        <f t="shared" si="389"/>
        <v>10.2536175509569</v>
      </c>
      <c r="BJ108" s="1128">
        <f t="shared" si="389"/>
        <v>10.167958893145396</v>
      </c>
      <c r="BK108" s="942">
        <f t="shared" si="389"/>
        <v>8.949552214279846</v>
      </c>
      <c r="BL108" s="942">
        <f t="shared" si="389"/>
        <v>8.9102307589702558</v>
      </c>
      <c r="BM108" s="942">
        <f t="shared" si="389"/>
        <v>7.8594051225557697</v>
      </c>
      <c r="BN108" s="942">
        <f t="shared" si="389"/>
        <v>8.6281109421016868</v>
      </c>
      <c r="BO108" s="1128">
        <f t="shared" si="389"/>
        <v>8.5638545714453738</v>
      </c>
      <c r="BP108" s="942">
        <f t="shared" si="389"/>
        <v>8.1564383603878596</v>
      </c>
      <c r="BQ108" s="942">
        <f t="shared" si="389"/>
        <v>9.238781583707766</v>
      </c>
      <c r="BR108" s="942">
        <f t="shared" si="389"/>
        <v>7.9537747877275313</v>
      </c>
      <c r="BS108" s="942">
        <f t="shared" si="389"/>
        <v>9.4155723832935987</v>
      </c>
      <c r="BT108" s="1128">
        <f t="shared" si="389"/>
        <v>8.7159052253778277</v>
      </c>
      <c r="BU108" s="942">
        <f t="shared" si="389"/>
        <v>7.5608925025555456</v>
      </c>
      <c r="BV108" s="942">
        <f t="shared" si="389"/>
        <v>7.4719339699685294</v>
      </c>
      <c r="BW108" s="942">
        <f t="shared" ref="BW108:DB108" si="390">(BW22/BW15)*100</f>
        <v>7.0175945732400633</v>
      </c>
      <c r="BX108" s="942">
        <f t="shared" si="390"/>
        <v>6.5451216171403033</v>
      </c>
      <c r="BY108" s="1128">
        <f t="shared" si="390"/>
        <v>7.0710610763824313</v>
      </c>
      <c r="BZ108" s="854">
        <f t="shared" si="390"/>
        <v>7.2539154836997053</v>
      </c>
      <c r="CA108" s="854">
        <f t="shared" si="390"/>
        <v>6.3419822836018698</v>
      </c>
      <c r="CB108" s="854">
        <f t="shared" si="390"/>
        <v>6.5757748931885613</v>
      </c>
      <c r="CC108" s="854">
        <f t="shared" si="390"/>
        <v>8.2582086499583074</v>
      </c>
      <c r="CD108" s="1116">
        <f t="shared" si="390"/>
        <v>7.1262133166827502</v>
      </c>
      <c r="CE108" s="854">
        <f t="shared" si="390"/>
        <v>5.3435459341166789</v>
      </c>
      <c r="CF108" s="854">
        <f t="shared" si="390"/>
        <v>5.7250619229903181</v>
      </c>
      <c r="CG108" s="854">
        <f t="shared" si="390"/>
        <v>5.0330025751676493</v>
      </c>
      <c r="CH108" s="854">
        <f t="shared" si="390"/>
        <v>5.4577987400639865</v>
      </c>
      <c r="CI108" s="1116">
        <f t="shared" si="390"/>
        <v>5.3870272144533367</v>
      </c>
      <c r="CJ108" s="854">
        <f t="shared" si="390"/>
        <v>6.1070022401055297</v>
      </c>
      <c r="CK108" s="854">
        <f t="shared" si="390"/>
        <v>7.6402417789302026</v>
      </c>
      <c r="CL108" s="854">
        <f t="shared" si="390"/>
        <v>7.5206755571043642</v>
      </c>
      <c r="CM108" s="854">
        <f t="shared" si="390"/>
        <v>7.5926509873450856</v>
      </c>
      <c r="CN108" s="1116">
        <f t="shared" si="390"/>
        <v>7.2760392371264677</v>
      </c>
      <c r="CO108" s="854">
        <f t="shared" si="390"/>
        <v>7.6576003887565722</v>
      </c>
      <c r="CP108" s="854">
        <f t="shared" si="390"/>
        <v>7.5901854940585363</v>
      </c>
      <c r="CQ108" s="854">
        <f t="shared" si="390"/>
        <v>8.4525536001254267</v>
      </c>
      <c r="CR108" s="854">
        <f t="shared" si="390"/>
        <v>8.7854997204559879</v>
      </c>
      <c r="CS108" s="1116">
        <f t="shared" si="390"/>
        <v>8.1510577251392551</v>
      </c>
      <c r="CT108" s="854">
        <f t="shared" si="390"/>
        <v>8.6447050926177909</v>
      </c>
      <c r="CU108" s="854">
        <f t="shared" si="390"/>
        <v>8.4931837639672469</v>
      </c>
      <c r="CV108" s="854">
        <f t="shared" si="390"/>
        <v>8.6874916208607047</v>
      </c>
      <c r="CW108" s="854">
        <f t="shared" si="390"/>
        <v>8.693847950535412</v>
      </c>
      <c r="CX108" s="854">
        <f t="shared" si="390"/>
        <v>8.9666636958619286</v>
      </c>
      <c r="CY108" s="854">
        <f t="shared" si="390"/>
        <v>8.7790784520232723</v>
      </c>
      <c r="CZ108" s="854">
        <f t="shared" si="390"/>
        <v>8.8700827128031747</v>
      </c>
      <c r="DA108" s="854">
        <f t="shared" si="390"/>
        <v>9.6046058189017796</v>
      </c>
      <c r="DB108" s="854">
        <f t="shared" si="390"/>
        <v>9.6196382054743275</v>
      </c>
      <c r="DC108" s="854">
        <f t="shared" ref="DC108:DU108" si="391">(DC22/DC15)*100</f>
        <v>9.7139438926170047</v>
      </c>
      <c r="DD108" s="854">
        <f t="shared" si="391"/>
        <v>9.418154857842822</v>
      </c>
      <c r="DE108" s="854">
        <f t="shared" si="391"/>
        <v>10.505217662480941</v>
      </c>
      <c r="DF108" s="854">
        <f t="shared" si="391"/>
        <v>9.9226647843351881</v>
      </c>
      <c r="DG108" s="854">
        <f t="shared" si="391"/>
        <v>9.7746032795358087</v>
      </c>
      <c r="DH108" s="854">
        <f t="shared" si="391"/>
        <v>9.9502074567937893</v>
      </c>
      <c r="DI108" s="854">
        <f t="shared" si="391"/>
        <v>9.8662216515027481</v>
      </c>
      <c r="DJ108" s="854">
        <f t="shared" si="391"/>
        <v>9.4404351802273503</v>
      </c>
      <c r="DK108" s="854">
        <f t="shared" si="391"/>
        <v>8.669642757992694</v>
      </c>
      <c r="DL108" s="854">
        <f t="shared" si="391"/>
        <v>8.5992282702265435</v>
      </c>
      <c r="DM108" s="854">
        <f t="shared" si="391"/>
        <v>9.0379537621187982</v>
      </c>
      <c r="DN108" s="854">
        <f t="shared" si="391"/>
        <v>10.516942681867247</v>
      </c>
      <c r="DO108" s="854">
        <f t="shared" si="391"/>
        <v>8.4034354162192972</v>
      </c>
      <c r="DP108" s="854">
        <f t="shared" si="391"/>
        <v>8.4072098248573894</v>
      </c>
      <c r="DQ108" s="854">
        <f t="shared" si="391"/>
        <v>7.8546367710613296</v>
      </c>
      <c r="DR108" s="854">
        <f t="shared" ca="1" si="391"/>
        <v>8.9249999999999989</v>
      </c>
      <c r="DS108" s="854">
        <f t="shared" ca="1" si="391"/>
        <v>8.261986155092595</v>
      </c>
      <c r="DT108" s="854">
        <f t="shared" ca="1" si="391"/>
        <v>8.055971726457809</v>
      </c>
      <c r="DU108" s="854">
        <f t="shared" ca="1" si="391"/>
        <v>7.8607298468365405</v>
      </c>
      <c r="DV108" s="854"/>
      <c r="DW108" s="854"/>
      <c r="DX108" s="854"/>
      <c r="DY108" s="854"/>
    </row>
    <row r="109" spans="1:129">
      <c r="B109" s="23" t="s">
        <v>1224</v>
      </c>
      <c r="C109" s="23"/>
      <c r="E109" s="942"/>
      <c r="F109" s="942">
        <f t="shared" ref="F109:AD109" si="392">(F23/F15)*100</f>
        <v>51.807171917873021</v>
      </c>
      <c r="G109" s="942">
        <f t="shared" si="392"/>
        <v>24.248587863398456</v>
      </c>
      <c r="H109" s="942">
        <f t="shared" si="392"/>
        <v>22.020993369622357</v>
      </c>
      <c r="I109" s="942">
        <f t="shared" si="392"/>
        <v>17.704419231262715</v>
      </c>
      <c r="J109" s="942">
        <f t="shared" si="392"/>
        <v>16.479912420778351</v>
      </c>
      <c r="K109" s="942">
        <f t="shared" si="392"/>
        <v>16.92850250265538</v>
      </c>
      <c r="L109" s="854">
        <f t="shared" si="392"/>
        <v>16.446135580127883</v>
      </c>
      <c r="M109" s="854">
        <f t="shared" si="392"/>
        <v>13.808679116762217</v>
      </c>
      <c r="N109" s="854">
        <f t="shared" si="392"/>
        <v>12.6661597785405</v>
      </c>
      <c r="O109" s="854">
        <f t="shared" si="392"/>
        <v>13.160521445159478</v>
      </c>
      <c r="P109" s="854">
        <f t="shared" si="392"/>
        <v>12.24830932153723</v>
      </c>
      <c r="Q109" s="854">
        <f t="shared" si="392"/>
        <v>12.811596629394462</v>
      </c>
      <c r="R109" s="854">
        <f t="shared" si="392"/>
        <v>12.910135147061967</v>
      </c>
      <c r="S109" s="854">
        <f t="shared" si="392"/>
        <v>13.187711634663588</v>
      </c>
      <c r="T109" s="854">
        <f t="shared" si="392"/>
        <v>12.786060361712437</v>
      </c>
      <c r="U109" s="854">
        <f t="shared" si="392"/>
        <v>12.805880638063961</v>
      </c>
      <c r="V109" s="854">
        <f t="shared" si="392"/>
        <v>11.505260015731061</v>
      </c>
      <c r="W109" s="854">
        <f t="shared" ca="1" si="392"/>
        <v>11.182821177889805</v>
      </c>
      <c r="X109" s="854">
        <f t="shared" ca="1" si="392"/>
        <v>11.125321177889804</v>
      </c>
      <c r="Y109" s="854">
        <f t="shared" ca="1" si="392"/>
        <v>11.067821177889801</v>
      </c>
      <c r="Z109" s="854">
        <f t="shared" ca="1" si="392"/>
        <v>11.010321177889804</v>
      </c>
      <c r="AA109" s="854">
        <f t="shared" ca="1" si="392"/>
        <v>10.952821177889801</v>
      </c>
      <c r="AB109" s="854">
        <f t="shared" ca="1" si="392"/>
        <v>10.8953211778898</v>
      </c>
      <c r="AC109" s="854">
        <f t="shared" ca="1" si="392"/>
        <v>10.837821177889797</v>
      </c>
      <c r="AD109" s="854">
        <f t="shared" ca="1" si="392"/>
        <v>10.780321177889798</v>
      </c>
      <c r="AE109" s="54"/>
      <c r="AG109" s="854"/>
      <c r="AH109" s="854"/>
      <c r="AI109" s="854"/>
      <c r="AJ109" s="943"/>
      <c r="AK109" s="1116"/>
      <c r="AL109" s="942"/>
      <c r="AM109" s="942"/>
      <c r="AN109" s="942"/>
      <c r="AO109" s="942"/>
      <c r="AP109" s="1128"/>
      <c r="AQ109" s="942">
        <f t="shared" ref="AQ109:BV109" si="393">(AQ23/AQ15)*100</f>
        <v>82.660746848489637</v>
      </c>
      <c r="AR109" s="942">
        <f t="shared" si="393"/>
        <v>58.525716407748959</v>
      </c>
      <c r="AS109" s="942">
        <f t="shared" si="393"/>
        <v>43.08999883572011</v>
      </c>
      <c r="AT109" s="942">
        <f t="shared" si="393"/>
        <v>31.884804763540586</v>
      </c>
      <c r="AU109" s="1128">
        <f t="shared" si="393"/>
        <v>51.807171917873021</v>
      </c>
      <c r="AV109" s="942">
        <f t="shared" si="393"/>
        <v>17.486853854549057</v>
      </c>
      <c r="AW109" s="942">
        <f t="shared" si="393"/>
        <v>27.91019955654102</v>
      </c>
      <c r="AX109" s="942">
        <f t="shared" si="393"/>
        <v>25.035914202209341</v>
      </c>
      <c r="AY109" s="942">
        <f t="shared" si="393"/>
        <v>27.139286284103598</v>
      </c>
      <c r="AZ109" s="1128">
        <f t="shared" si="393"/>
        <v>24.248587863398456</v>
      </c>
      <c r="BA109" s="942">
        <f t="shared" si="393"/>
        <v>29.148810693925693</v>
      </c>
      <c r="BB109" s="942">
        <f t="shared" si="393"/>
        <v>23.190546528803551</v>
      </c>
      <c r="BC109" s="942">
        <f t="shared" si="393"/>
        <v>18.128011902066689</v>
      </c>
      <c r="BD109" s="942">
        <f t="shared" si="393"/>
        <v>19.180189419074622</v>
      </c>
      <c r="BE109" s="1128">
        <f t="shared" si="393"/>
        <v>22.02099336962236</v>
      </c>
      <c r="BF109" s="942">
        <f t="shared" si="393"/>
        <v>18.481803367734926</v>
      </c>
      <c r="BG109" s="942">
        <f t="shared" si="393"/>
        <v>18.595743601450927</v>
      </c>
      <c r="BH109" s="942">
        <f t="shared" si="393"/>
        <v>18.27564268715097</v>
      </c>
      <c r="BI109" s="942">
        <f t="shared" si="393"/>
        <v>15.748294027428924</v>
      </c>
      <c r="BJ109" s="1128">
        <f t="shared" si="393"/>
        <v>17.704419231262715</v>
      </c>
      <c r="BK109" s="942">
        <f t="shared" si="393"/>
        <v>16.557801331032785</v>
      </c>
      <c r="BL109" s="942">
        <f t="shared" si="393"/>
        <v>16.065473808571046</v>
      </c>
      <c r="BM109" s="942">
        <f t="shared" si="393"/>
        <v>18.059763150647207</v>
      </c>
      <c r="BN109" s="942">
        <f t="shared" si="393"/>
        <v>15.285284313408201</v>
      </c>
      <c r="BO109" s="1128">
        <f t="shared" si="393"/>
        <v>16.479912420778355</v>
      </c>
      <c r="BP109" s="942">
        <f t="shared" si="393"/>
        <v>17.683331020980749</v>
      </c>
      <c r="BQ109" s="942">
        <f t="shared" si="393"/>
        <v>16.531481589543095</v>
      </c>
      <c r="BR109" s="942">
        <f t="shared" si="393"/>
        <v>17.900062393185586</v>
      </c>
      <c r="BS109" s="942">
        <f t="shared" si="393"/>
        <v>15.77497498486739</v>
      </c>
      <c r="BT109" s="1128">
        <f t="shared" si="393"/>
        <v>16.92850250265538</v>
      </c>
      <c r="BU109" s="942">
        <f t="shared" si="393"/>
        <v>16.878355990553288</v>
      </c>
      <c r="BV109" s="942">
        <f t="shared" si="393"/>
        <v>17.340505460762</v>
      </c>
      <c r="BW109" s="942">
        <f t="shared" ref="BW109:DB109" si="394">(BW23/BW15)*100</f>
        <v>15.050779518606308</v>
      </c>
      <c r="BX109" s="942">
        <f t="shared" si="394"/>
        <v>16.63278400161483</v>
      </c>
      <c r="BY109" s="1128">
        <f t="shared" si="394"/>
        <v>16.446135580127883</v>
      </c>
      <c r="BZ109" s="854">
        <f t="shared" si="394"/>
        <v>14.354245408234206</v>
      </c>
      <c r="CA109" s="854">
        <f t="shared" si="394"/>
        <v>15.060682151077632</v>
      </c>
      <c r="CB109" s="854">
        <f t="shared" si="394"/>
        <v>13.105287506463114</v>
      </c>
      <c r="CC109" s="854">
        <f t="shared" si="394"/>
        <v>12.904139330721668</v>
      </c>
      <c r="CD109" s="1116">
        <f t="shared" si="394"/>
        <v>13.808679116762217</v>
      </c>
      <c r="CE109" s="854">
        <f t="shared" si="394"/>
        <v>12.682765232318264</v>
      </c>
      <c r="CF109" s="854">
        <f t="shared" si="394"/>
        <v>12.315638369736547</v>
      </c>
      <c r="CG109" s="854">
        <f t="shared" si="394"/>
        <v>12.365199201961699</v>
      </c>
      <c r="CH109" s="854">
        <f t="shared" si="394"/>
        <v>13.242933474059171</v>
      </c>
      <c r="CI109" s="1116">
        <f t="shared" si="394"/>
        <v>12.666159778540504</v>
      </c>
      <c r="CJ109" s="854">
        <f t="shared" si="394"/>
        <v>12.510808408640292</v>
      </c>
      <c r="CK109" s="854">
        <f t="shared" si="394"/>
        <v>13.064406569270082</v>
      </c>
      <c r="CL109" s="854">
        <f t="shared" si="394"/>
        <v>13.414376124009783</v>
      </c>
      <c r="CM109" s="854">
        <f t="shared" si="394"/>
        <v>13.481321061180292</v>
      </c>
      <c r="CN109" s="1116">
        <f t="shared" si="394"/>
        <v>13.160521445159478</v>
      </c>
      <c r="CO109" s="854">
        <f t="shared" si="394"/>
        <v>13.001308098059324</v>
      </c>
      <c r="CP109" s="854">
        <f t="shared" si="394"/>
        <v>12.127539810796579</v>
      </c>
      <c r="CQ109" s="854">
        <f t="shared" si="394"/>
        <v>11.491445537569083</v>
      </c>
      <c r="CR109" s="854">
        <f t="shared" si="394"/>
        <v>12.459134455931546</v>
      </c>
      <c r="CS109" s="1116">
        <f t="shared" si="394"/>
        <v>12.24830932153723</v>
      </c>
      <c r="CT109" s="854">
        <f t="shared" si="394"/>
        <v>13.191685262795042</v>
      </c>
      <c r="CU109" s="854">
        <f t="shared" si="394"/>
        <v>12.967093275964261</v>
      </c>
      <c r="CV109" s="854">
        <f t="shared" si="394"/>
        <v>12.431858261057886</v>
      </c>
      <c r="CW109" s="854">
        <f t="shared" si="394"/>
        <v>12.704249899715251</v>
      </c>
      <c r="CX109" s="854">
        <f t="shared" si="394"/>
        <v>12.972600138723667</v>
      </c>
      <c r="CY109" s="854">
        <f t="shared" si="394"/>
        <v>12.476577464069688</v>
      </c>
      <c r="CZ109" s="854">
        <f t="shared" si="394"/>
        <v>13.323169159835308</v>
      </c>
      <c r="DA109" s="854">
        <f t="shared" si="394"/>
        <v>12.861866164196522</v>
      </c>
      <c r="DB109" s="854">
        <f t="shared" si="394"/>
        <v>13.725987108074605</v>
      </c>
      <c r="DC109" s="854">
        <f t="shared" ref="DC109:DU109" si="395">(DC23/DC15)*100</f>
        <v>13.252341112530383</v>
      </c>
      <c r="DD109" s="854">
        <f t="shared" si="395"/>
        <v>13.165978982657469</v>
      </c>
      <c r="DE109" s="854">
        <f t="shared" si="395"/>
        <v>12.658257603181845</v>
      </c>
      <c r="DF109" s="854">
        <f t="shared" si="395"/>
        <v>12.667800626269097</v>
      </c>
      <c r="DG109" s="854">
        <f t="shared" si="395"/>
        <v>12.699562187679355</v>
      </c>
      <c r="DH109" s="854">
        <f t="shared" si="395"/>
        <v>12.413474715611615</v>
      </c>
      <c r="DI109" s="854">
        <f t="shared" si="395"/>
        <v>13.319241794918835</v>
      </c>
      <c r="DJ109" s="854">
        <f t="shared" si="395"/>
        <v>13.352271381119129</v>
      </c>
      <c r="DK109" s="854">
        <f t="shared" si="395"/>
        <v>12.228070759902723</v>
      </c>
      <c r="DL109" s="854">
        <f t="shared" si="395"/>
        <v>13.009746116477555</v>
      </c>
      <c r="DM109" s="854">
        <f t="shared" si="395"/>
        <v>12.668581133764814</v>
      </c>
      <c r="DN109" s="854">
        <f t="shared" si="395"/>
        <v>12.485189963402751</v>
      </c>
      <c r="DO109" s="854">
        <f t="shared" si="395"/>
        <v>11.536532007527983</v>
      </c>
      <c r="DP109" s="854">
        <f t="shared" si="395"/>
        <v>11.048017766808043</v>
      </c>
      <c r="DQ109" s="854">
        <f t="shared" si="395"/>
        <v>11.141198162671708</v>
      </c>
      <c r="DR109" s="854">
        <f t="shared" ca="1" si="395"/>
        <v>12.074999999999998</v>
      </c>
      <c r="DS109" s="854">
        <f t="shared" ca="1" si="395"/>
        <v>11.177981268654687</v>
      </c>
      <c r="DT109" s="854">
        <f t="shared" ca="1" si="395"/>
        <v>10.899255865207623</v>
      </c>
      <c r="DU109" s="854">
        <f t="shared" ca="1" si="395"/>
        <v>10.635105086896496</v>
      </c>
      <c r="DV109" s="854"/>
      <c r="DW109" s="854"/>
      <c r="DX109" s="854"/>
      <c r="DY109" s="854"/>
    </row>
    <row r="110" spans="1:129">
      <c r="B110" s="23" t="s">
        <v>1539</v>
      </c>
      <c r="C110" s="23"/>
      <c r="E110" s="942"/>
      <c r="F110" s="942">
        <f t="shared" ref="F110:S110" si="396">F109+F108</f>
        <v>74.0498943450973</v>
      </c>
      <c r="G110" s="942">
        <f t="shared" si="396"/>
        <v>42.76830595429341</v>
      </c>
      <c r="H110" s="942">
        <f t="shared" si="396"/>
        <v>36.516253751844125</v>
      </c>
      <c r="I110" s="942">
        <f t="shared" si="396"/>
        <v>27.872378124408112</v>
      </c>
      <c r="J110" s="942">
        <f t="shared" si="396"/>
        <v>25.043766992223723</v>
      </c>
      <c r="K110" s="942">
        <f t="shared" si="396"/>
        <v>25.644407728033208</v>
      </c>
      <c r="L110" s="854">
        <f t="shared" si="396"/>
        <v>23.517196656510315</v>
      </c>
      <c r="M110" s="854">
        <f t="shared" si="396"/>
        <v>20.934892433444968</v>
      </c>
      <c r="N110" s="854">
        <f t="shared" si="396"/>
        <v>18.053186992993837</v>
      </c>
      <c r="O110" s="854">
        <f t="shared" si="396"/>
        <v>20.436560682285947</v>
      </c>
      <c r="P110" s="854">
        <f t="shared" si="396"/>
        <v>20.399367046676485</v>
      </c>
      <c r="Q110" s="854">
        <f t="shared" si="396"/>
        <v>21.443898830969559</v>
      </c>
      <c r="R110" s="854">
        <f t="shared" si="396"/>
        <v>21.973684088284561</v>
      </c>
      <c r="S110" s="854">
        <f t="shared" si="396"/>
        <v>23.010792728463141</v>
      </c>
      <c r="T110" s="854">
        <f>T109+T108</f>
        <v>22.664385313003166</v>
      </c>
      <c r="U110" s="854">
        <f>U109+U108</f>
        <v>21.733759432822193</v>
      </c>
      <c r="V110" s="854">
        <f>V109+V108</f>
        <v>20.218302785349788</v>
      </c>
      <c r="W110" s="854">
        <f ca="1">W109+W108</f>
        <v>19.448384657199661</v>
      </c>
      <c r="X110" s="76">
        <f t="shared" ref="X110:AD110" ca="1" si="397">CHOOSE(mode,X111,X112,X113)</f>
        <v>19.348384657199659</v>
      </c>
      <c r="Y110" s="76">
        <f t="shared" ca="1" si="397"/>
        <v>19.248384657199658</v>
      </c>
      <c r="Z110" s="76">
        <f t="shared" ca="1" si="397"/>
        <v>19.148384657199657</v>
      </c>
      <c r="AA110" s="76">
        <f t="shared" ca="1" si="397"/>
        <v>19.048384657199655</v>
      </c>
      <c r="AB110" s="76">
        <f t="shared" ca="1" si="397"/>
        <v>18.948384657199654</v>
      </c>
      <c r="AC110" s="76">
        <f t="shared" ca="1" si="397"/>
        <v>18.848384657199652</v>
      </c>
      <c r="AD110" s="76">
        <f t="shared" ca="1" si="397"/>
        <v>18.748384657199651</v>
      </c>
      <c r="AE110" s="54"/>
      <c r="AG110" s="854"/>
      <c r="AH110" s="854"/>
      <c r="AI110" s="854"/>
      <c r="AJ110" s="943"/>
      <c r="AK110" s="1116"/>
      <c r="AL110" s="854"/>
      <c r="AM110" s="854"/>
      <c r="AN110" s="854"/>
      <c r="AO110" s="854"/>
      <c r="AP110" s="1116"/>
      <c r="AQ110" s="854">
        <f t="shared" ref="AQ110:BV110" si="398">SUM(AQ108:AQ109)</f>
        <v>115.49988107508125</v>
      </c>
      <c r="AR110" s="854">
        <f t="shared" si="398"/>
        <v>78.962678715107998</v>
      </c>
      <c r="AS110" s="854">
        <f t="shared" si="398"/>
        <v>63.383397368727444</v>
      </c>
      <c r="AT110" s="854">
        <f t="shared" si="398"/>
        <v>50.062979503034455</v>
      </c>
      <c r="AU110" s="1116">
        <f t="shared" si="398"/>
        <v>74.0498943450973</v>
      </c>
      <c r="AV110" s="854">
        <f t="shared" si="398"/>
        <v>36.025399345173128</v>
      </c>
      <c r="AW110" s="854">
        <f t="shared" si="398"/>
        <v>55.399113082039918</v>
      </c>
      <c r="AX110" s="854">
        <f t="shared" si="398"/>
        <v>38.262247981374152</v>
      </c>
      <c r="AY110" s="854">
        <f t="shared" si="398"/>
        <v>42.716587778545971</v>
      </c>
      <c r="AZ110" s="1116">
        <f t="shared" si="398"/>
        <v>42.76830595429341</v>
      </c>
      <c r="BA110" s="854">
        <f t="shared" si="398"/>
        <v>45.130725378415562</v>
      </c>
      <c r="BB110" s="854">
        <f t="shared" si="398"/>
        <v>37.59583597102062</v>
      </c>
      <c r="BC110" s="854">
        <f t="shared" si="398"/>
        <v>31.85419968304279</v>
      </c>
      <c r="BD110" s="854">
        <f t="shared" si="398"/>
        <v>33.32931169692948</v>
      </c>
      <c r="BE110" s="1116">
        <f t="shared" si="398"/>
        <v>36.516253751844133</v>
      </c>
      <c r="BF110" s="854">
        <f t="shared" si="398"/>
        <v>29.720260727865288</v>
      </c>
      <c r="BG110" s="854">
        <f t="shared" si="398"/>
        <v>28.572153311518655</v>
      </c>
      <c r="BH110" s="854">
        <f t="shared" si="398"/>
        <v>27.601969886189593</v>
      </c>
      <c r="BI110" s="854">
        <f t="shared" si="398"/>
        <v>26.001911578385823</v>
      </c>
      <c r="BJ110" s="1116">
        <f t="shared" si="398"/>
        <v>27.872378124408112</v>
      </c>
      <c r="BK110" s="854">
        <f t="shared" si="398"/>
        <v>25.507353545312633</v>
      </c>
      <c r="BL110" s="854">
        <f t="shared" si="398"/>
        <v>24.9757045675413</v>
      </c>
      <c r="BM110" s="854">
        <f t="shared" si="398"/>
        <v>25.919168273202978</v>
      </c>
      <c r="BN110" s="854">
        <f t="shared" si="398"/>
        <v>23.91339525550989</v>
      </c>
      <c r="BO110" s="1116">
        <f t="shared" si="398"/>
        <v>25.04376699222373</v>
      </c>
      <c r="BP110" s="854">
        <f t="shared" si="398"/>
        <v>25.839769381368608</v>
      </c>
      <c r="BQ110" s="854">
        <f t="shared" si="398"/>
        <v>25.770263173250861</v>
      </c>
      <c r="BR110" s="854">
        <f t="shared" si="398"/>
        <v>25.853837180913118</v>
      </c>
      <c r="BS110" s="854">
        <f t="shared" si="398"/>
        <v>25.190547368160988</v>
      </c>
      <c r="BT110" s="1116">
        <f t="shared" si="398"/>
        <v>25.644407728033208</v>
      </c>
      <c r="BU110" s="854">
        <f t="shared" si="398"/>
        <v>24.439248493108835</v>
      </c>
      <c r="BV110" s="854">
        <f t="shared" si="398"/>
        <v>24.812439430730528</v>
      </c>
      <c r="BW110" s="854">
        <f t="shared" ref="BW110:DB110" si="399">SUM(BW108:BW109)</f>
        <v>22.068374091846373</v>
      </c>
      <c r="BX110" s="854">
        <f t="shared" si="399"/>
        <v>23.177905618755133</v>
      </c>
      <c r="BY110" s="1116">
        <f t="shared" si="399"/>
        <v>23.517196656510315</v>
      </c>
      <c r="BZ110" s="854">
        <f t="shared" si="399"/>
        <v>21.608160891933913</v>
      </c>
      <c r="CA110" s="854">
        <f t="shared" si="399"/>
        <v>21.402664434679501</v>
      </c>
      <c r="CB110" s="854">
        <f t="shared" si="399"/>
        <v>19.681062399651676</v>
      </c>
      <c r="CC110" s="854">
        <f t="shared" si="399"/>
        <v>21.162347980679975</v>
      </c>
      <c r="CD110" s="1116">
        <f t="shared" si="399"/>
        <v>20.934892433444968</v>
      </c>
      <c r="CE110" s="854">
        <f t="shared" si="399"/>
        <v>18.026311166434944</v>
      </c>
      <c r="CF110" s="854">
        <f t="shared" si="399"/>
        <v>18.040700292726864</v>
      </c>
      <c r="CG110" s="854">
        <f t="shared" si="399"/>
        <v>17.398201777129348</v>
      </c>
      <c r="CH110" s="854">
        <f t="shared" si="399"/>
        <v>18.700732214123157</v>
      </c>
      <c r="CI110" s="1116">
        <f t="shared" si="399"/>
        <v>18.05318699299384</v>
      </c>
      <c r="CJ110" s="854">
        <f t="shared" si="399"/>
        <v>18.617810648745824</v>
      </c>
      <c r="CK110" s="854">
        <f t="shared" si="399"/>
        <v>20.704648348200283</v>
      </c>
      <c r="CL110" s="854">
        <f t="shared" si="399"/>
        <v>20.935051681114146</v>
      </c>
      <c r="CM110" s="854">
        <f t="shared" si="399"/>
        <v>21.073972048525377</v>
      </c>
      <c r="CN110" s="1116">
        <f t="shared" si="399"/>
        <v>20.436560682285947</v>
      </c>
      <c r="CO110" s="854">
        <f t="shared" si="399"/>
        <v>20.658908486815896</v>
      </c>
      <c r="CP110" s="854">
        <f t="shared" si="399"/>
        <v>19.717725304855115</v>
      </c>
      <c r="CQ110" s="854">
        <f t="shared" si="399"/>
        <v>19.943999137694512</v>
      </c>
      <c r="CR110" s="854">
        <f t="shared" si="399"/>
        <v>21.244634176387535</v>
      </c>
      <c r="CS110" s="1116">
        <f>SUM(CS108:CS109)</f>
        <v>20.399367046676485</v>
      </c>
      <c r="CT110" s="854">
        <f t="shared" si="399"/>
        <v>21.836390355412831</v>
      </c>
      <c r="CU110" s="854">
        <f t="shared" si="399"/>
        <v>21.460277039931508</v>
      </c>
      <c r="CV110" s="854">
        <f t="shared" si="399"/>
        <v>21.119349881918591</v>
      </c>
      <c r="CW110" s="854">
        <f t="shared" si="399"/>
        <v>21.398097850250664</v>
      </c>
      <c r="CX110" s="854">
        <f t="shared" si="399"/>
        <v>21.939263834585596</v>
      </c>
      <c r="CY110" s="854">
        <f t="shared" si="399"/>
        <v>21.255655916092962</v>
      </c>
      <c r="CZ110" s="854">
        <f t="shared" si="399"/>
        <v>22.193251872638484</v>
      </c>
      <c r="DA110" s="854">
        <f t="shared" si="399"/>
        <v>22.466471983098302</v>
      </c>
      <c r="DB110" s="854">
        <f t="shared" si="399"/>
        <v>23.345625313548933</v>
      </c>
      <c r="DC110" s="854">
        <f t="shared" ref="DC110:DH110" si="400">SUM(DC108:DC109)</f>
        <v>22.966285005147387</v>
      </c>
      <c r="DD110" s="854">
        <f t="shared" si="400"/>
        <v>22.584133840500293</v>
      </c>
      <c r="DE110" s="854">
        <f t="shared" si="400"/>
        <v>23.163475265662786</v>
      </c>
      <c r="DF110" s="854">
        <f t="shared" si="400"/>
        <v>22.590465410604285</v>
      </c>
      <c r="DG110" s="854">
        <f t="shared" si="400"/>
        <v>22.474165467215165</v>
      </c>
      <c r="DH110" s="854">
        <f t="shared" si="400"/>
        <v>22.363682172405404</v>
      </c>
      <c r="DI110" s="854">
        <f t="shared" ref="DI110:DN110" si="401">SUM(DI108:DI109)</f>
        <v>23.185463446421583</v>
      </c>
      <c r="DJ110" s="854">
        <f t="shared" si="401"/>
        <v>22.792706561346478</v>
      </c>
      <c r="DK110" s="854">
        <f t="shared" si="401"/>
        <v>20.897713517895419</v>
      </c>
      <c r="DL110" s="854">
        <f t="shared" si="401"/>
        <v>21.608974386704098</v>
      </c>
      <c r="DM110" s="854">
        <f t="shared" si="401"/>
        <v>21.706534895883614</v>
      </c>
      <c r="DN110" s="854">
        <f t="shared" si="401"/>
        <v>23.002132645269999</v>
      </c>
      <c r="DO110" s="854">
        <f t="shared" ref="DO110:DP110" si="402">SUM(DO108:DO109)</f>
        <v>19.93996742374728</v>
      </c>
      <c r="DP110" s="854">
        <f t="shared" si="402"/>
        <v>19.455227591665434</v>
      </c>
      <c r="DQ110" s="854">
        <f t="shared" ref="DQ110" si="403">SUM(DQ108:DQ109)</f>
        <v>18.995834933733036</v>
      </c>
      <c r="DR110" s="76">
        <f>CHOOSE(mode,DR111,DR112,DR113)</f>
        <v>21</v>
      </c>
      <c r="DS110" s="76">
        <f>CHOOSE(mode,DS111,DS112,DS113)</f>
        <v>19.43996742374728</v>
      </c>
      <c r="DT110" s="76">
        <f>CHOOSE(mode,DT111,DT112,DT113)</f>
        <v>18.955227591665434</v>
      </c>
      <c r="DU110" s="76">
        <f>CHOOSE(mode,DU111,DU112,DU113)</f>
        <v>18.495834933733036</v>
      </c>
      <c r="DV110" s="854"/>
      <c r="DW110" s="854"/>
      <c r="DX110" s="854"/>
      <c r="DY110" s="854"/>
    </row>
    <row r="111" spans="1:129" outlineLevel="1">
      <c r="B111" s="524" t="s">
        <v>1046</v>
      </c>
      <c r="C111" s="89"/>
      <c r="D111" s="132"/>
      <c r="E111" s="525"/>
      <c r="F111" s="525"/>
      <c r="G111" s="525"/>
      <c r="H111" s="525"/>
      <c r="I111" s="525"/>
      <c r="J111" s="525"/>
      <c r="K111" s="525"/>
      <c r="L111" s="525"/>
      <c r="M111" s="525"/>
      <c r="N111" s="526"/>
      <c r="O111" s="527"/>
      <c r="P111" s="527"/>
      <c r="Q111" s="527"/>
      <c r="R111" s="527"/>
      <c r="S111" s="527"/>
      <c r="T111" s="527"/>
      <c r="U111" s="527"/>
      <c r="V111" s="527"/>
      <c r="W111" s="527"/>
      <c r="X111" s="527">
        <f ca="1">X112-0.75</f>
        <v>18.598384657199659</v>
      </c>
      <c r="Y111" s="527">
        <f ca="1">Y112-0.75</f>
        <v>18.498384657199658</v>
      </c>
      <c r="Z111" s="527">
        <f ca="1">Z112-0.75</f>
        <v>18.398384657199657</v>
      </c>
      <c r="AA111" s="527">
        <f t="shared" ref="AA111:AD111" ca="1" si="404">AA112-0.75</f>
        <v>18.298384657199655</v>
      </c>
      <c r="AB111" s="527">
        <f t="shared" ca="1" si="404"/>
        <v>18.198384657199654</v>
      </c>
      <c r="AC111" s="527">
        <f t="shared" ca="1" si="404"/>
        <v>18.098384657199652</v>
      </c>
      <c r="AD111" s="527">
        <f t="shared" ca="1" si="404"/>
        <v>17.998384657199651</v>
      </c>
      <c r="AE111" s="54"/>
      <c r="AG111" s="123"/>
      <c r="AH111" s="123"/>
      <c r="AI111" s="123"/>
      <c r="AJ111" s="123"/>
      <c r="AK111" s="1103"/>
      <c r="AL111" s="944"/>
      <c r="AM111" s="944"/>
      <c r="AN111" s="944"/>
      <c r="AO111" s="944"/>
      <c r="AP111" s="1129"/>
      <c r="AQ111" s="944"/>
      <c r="AR111" s="944"/>
      <c r="AS111" s="944"/>
      <c r="AT111" s="944"/>
      <c r="AU111" s="1129"/>
      <c r="AV111" s="944"/>
      <c r="AW111" s="944"/>
      <c r="AX111" s="944"/>
      <c r="AY111" s="944"/>
      <c r="AZ111" s="1129"/>
      <c r="BA111" s="944"/>
      <c r="BB111" s="944"/>
      <c r="BC111" s="944"/>
      <c r="BD111" s="944"/>
      <c r="BE111" s="1129"/>
      <c r="BF111" s="944"/>
      <c r="BG111" s="944"/>
      <c r="BH111" s="944"/>
      <c r="BI111" s="944"/>
      <c r="BJ111" s="1129"/>
      <c r="BK111" s="944"/>
      <c r="BL111" s="944"/>
      <c r="BM111" s="944"/>
      <c r="BN111" s="944"/>
      <c r="BO111" s="1129"/>
      <c r="BP111" s="944"/>
      <c r="BQ111" s="944"/>
      <c r="BR111" s="944"/>
      <c r="BS111" s="944"/>
      <c r="BT111" s="1129"/>
      <c r="BU111" s="944"/>
      <c r="BV111" s="944"/>
      <c r="BW111" s="944"/>
      <c r="BX111" s="944"/>
      <c r="BY111" s="1129"/>
      <c r="BZ111" s="944"/>
      <c r="CA111" s="944"/>
      <c r="CB111" s="944"/>
      <c r="CC111" s="945"/>
      <c r="CD111" s="1142"/>
      <c r="CE111" s="946"/>
      <c r="CF111" s="946"/>
      <c r="CG111" s="946"/>
      <c r="CH111" s="946"/>
      <c r="CI111" s="1150"/>
      <c r="CJ111" s="946"/>
      <c r="CK111" s="946"/>
      <c r="CL111" s="946"/>
      <c r="CM111" s="946"/>
      <c r="CN111" s="1150"/>
      <c r="CO111" s="527"/>
      <c r="CP111" s="527"/>
      <c r="CQ111" s="527"/>
      <c r="CR111" s="527"/>
      <c r="CS111" s="1150"/>
      <c r="CT111" s="527"/>
      <c r="CU111" s="527"/>
      <c r="CV111" s="527"/>
      <c r="CW111" s="527"/>
      <c r="CX111" s="527"/>
      <c r="CY111" s="527"/>
      <c r="CZ111" s="527"/>
      <c r="DA111" s="527"/>
      <c r="DB111" s="527"/>
      <c r="DC111" s="527"/>
      <c r="DD111" s="527"/>
      <c r="DE111" s="527"/>
      <c r="DF111" s="527"/>
      <c r="DG111" s="527"/>
      <c r="DH111" s="527"/>
      <c r="DI111" s="527"/>
      <c r="DJ111" s="527"/>
      <c r="DK111" s="527"/>
      <c r="DL111" s="527"/>
      <c r="DM111" s="527"/>
      <c r="DN111" s="527"/>
      <c r="DO111" s="527"/>
      <c r="DP111" s="527"/>
      <c r="DQ111" s="527"/>
      <c r="DR111" s="527">
        <f t="shared" ref="DR111:DU111" si="405">DR112-1</f>
        <v>20</v>
      </c>
      <c r="DS111" s="527">
        <f t="shared" si="405"/>
        <v>18.43996742374728</v>
      </c>
      <c r="DT111" s="527">
        <f t="shared" si="405"/>
        <v>17.955227591665434</v>
      </c>
      <c r="DU111" s="527">
        <f t="shared" si="405"/>
        <v>17.495834933733036</v>
      </c>
      <c r="DV111" s="946"/>
      <c r="DW111" s="946"/>
      <c r="DX111" s="946"/>
      <c r="DY111" s="946"/>
    </row>
    <row r="112" spans="1:129" outlineLevel="1">
      <c r="B112" s="524" t="s">
        <v>1047</v>
      </c>
      <c r="C112" s="89"/>
      <c r="D112" s="132"/>
      <c r="E112" s="525"/>
      <c r="F112" s="525"/>
      <c r="G112" s="525"/>
      <c r="H112" s="525"/>
      <c r="I112" s="525"/>
      <c r="J112" s="525"/>
      <c r="K112" s="525"/>
      <c r="L112" s="525"/>
      <c r="M112" s="525"/>
      <c r="N112" s="526"/>
      <c r="O112" s="527"/>
      <c r="P112" s="527"/>
      <c r="Q112" s="527"/>
      <c r="R112" s="527"/>
      <c r="S112" s="527"/>
      <c r="T112" s="527"/>
      <c r="U112" s="527"/>
      <c r="V112" s="527"/>
      <c r="W112" s="527"/>
      <c r="X112" s="527">
        <f ca="1">+W110-0.1</f>
        <v>19.348384657199659</v>
      </c>
      <c r="Y112" s="527">
        <f ca="1">+X112-0.1</f>
        <v>19.248384657199658</v>
      </c>
      <c r="Z112" s="527">
        <f ca="1">+Y112-0.1</f>
        <v>19.148384657199657</v>
      </c>
      <c r="AA112" s="527">
        <f t="shared" ref="AA112:AD112" ca="1" si="406">+Z112-0.1</f>
        <v>19.048384657199655</v>
      </c>
      <c r="AB112" s="527">
        <f t="shared" ca="1" si="406"/>
        <v>18.948384657199654</v>
      </c>
      <c r="AC112" s="527">
        <f t="shared" ca="1" si="406"/>
        <v>18.848384657199652</v>
      </c>
      <c r="AD112" s="527">
        <f t="shared" ca="1" si="406"/>
        <v>18.748384657199651</v>
      </c>
      <c r="AE112" s="54"/>
      <c r="AG112" s="123"/>
      <c r="AH112" s="123"/>
      <c r="AI112" s="123"/>
      <c r="AJ112" s="123"/>
      <c r="AK112" s="1103"/>
      <c r="AL112" s="944"/>
      <c r="AM112" s="944"/>
      <c r="AN112" s="944"/>
      <c r="AO112" s="944"/>
      <c r="AP112" s="1129"/>
      <c r="AQ112" s="944"/>
      <c r="AR112" s="944"/>
      <c r="AS112" s="944"/>
      <c r="AT112" s="944"/>
      <c r="AU112" s="1129"/>
      <c r="AV112" s="944"/>
      <c r="AW112" s="944"/>
      <c r="AX112" s="944"/>
      <c r="AY112" s="944"/>
      <c r="AZ112" s="1129"/>
      <c r="BA112" s="944"/>
      <c r="BB112" s="944"/>
      <c r="BC112" s="944"/>
      <c r="BD112" s="944"/>
      <c r="BE112" s="1129"/>
      <c r="BF112" s="944"/>
      <c r="BG112" s="944"/>
      <c r="BH112" s="944"/>
      <c r="BI112" s="944"/>
      <c r="BJ112" s="1129"/>
      <c r="BK112" s="944"/>
      <c r="BL112" s="944"/>
      <c r="BM112" s="944"/>
      <c r="BN112" s="944"/>
      <c r="BO112" s="1129"/>
      <c r="BP112" s="944"/>
      <c r="BQ112" s="944"/>
      <c r="BR112" s="944"/>
      <c r="BS112" s="944"/>
      <c r="BT112" s="1129"/>
      <c r="BU112" s="944"/>
      <c r="BV112" s="944"/>
      <c r="BW112" s="944"/>
      <c r="BX112" s="944"/>
      <c r="BY112" s="1129"/>
      <c r="BZ112" s="944"/>
      <c r="CA112" s="944"/>
      <c r="CB112" s="944"/>
      <c r="CC112" s="945"/>
      <c r="CD112" s="1142"/>
      <c r="CE112" s="946"/>
      <c r="CF112" s="946"/>
      <c r="CG112" s="946"/>
      <c r="CH112" s="946"/>
      <c r="CI112" s="1150"/>
      <c r="CJ112" s="946"/>
      <c r="CK112" s="946"/>
      <c r="CL112" s="946"/>
      <c r="CM112" s="946"/>
      <c r="CN112" s="1150"/>
      <c r="CO112" s="527"/>
      <c r="CP112" s="527"/>
      <c r="CQ112" s="527"/>
      <c r="CR112" s="527"/>
      <c r="CS112" s="1150"/>
      <c r="CT112" s="527"/>
      <c r="CU112" s="527"/>
      <c r="CV112" s="527"/>
      <c r="CW112" s="527"/>
      <c r="CX112" s="527"/>
      <c r="CY112" s="527"/>
      <c r="CZ112" s="527"/>
      <c r="DA112" s="527"/>
      <c r="DB112" s="527"/>
      <c r="DC112" s="527"/>
      <c r="DD112" s="527"/>
      <c r="DE112" s="527"/>
      <c r="DF112" s="527"/>
      <c r="DG112" s="527"/>
      <c r="DH112" s="527"/>
      <c r="DI112" s="527"/>
      <c r="DJ112" s="527"/>
      <c r="DK112" s="527"/>
      <c r="DL112" s="527"/>
      <c r="DM112" s="527"/>
      <c r="DN112" s="527"/>
      <c r="DO112" s="527"/>
      <c r="DP112" s="527"/>
      <c r="DQ112" s="527"/>
      <c r="DR112" s="527">
        <v>21</v>
      </c>
      <c r="DS112" s="527">
        <f>+DO110-0.5</f>
        <v>19.43996742374728</v>
      </c>
      <c r="DT112" s="527">
        <f t="shared" ref="DT112:DU112" si="407">+DP110-0.5</f>
        <v>18.955227591665434</v>
      </c>
      <c r="DU112" s="527">
        <f t="shared" si="407"/>
        <v>18.495834933733036</v>
      </c>
      <c r="DV112" s="946"/>
      <c r="DW112" s="946"/>
      <c r="DX112" s="946"/>
      <c r="DY112" s="946"/>
    </row>
    <row r="113" spans="1:129" outlineLevel="1">
      <c r="B113" s="524" t="s">
        <v>1048</v>
      </c>
      <c r="C113" s="89"/>
      <c r="D113" s="132"/>
      <c r="E113" s="525"/>
      <c r="F113" s="525"/>
      <c r="G113" s="525"/>
      <c r="H113" s="525"/>
      <c r="I113" s="525"/>
      <c r="J113" s="525"/>
      <c r="K113" s="525"/>
      <c r="L113" s="525"/>
      <c r="M113" s="525"/>
      <c r="N113" s="526"/>
      <c r="O113" s="527"/>
      <c r="P113" s="527"/>
      <c r="Q113" s="527"/>
      <c r="R113" s="527"/>
      <c r="S113" s="527"/>
      <c r="T113" s="527"/>
      <c r="U113" s="527"/>
      <c r="V113" s="527"/>
      <c r="W113" s="527"/>
      <c r="X113" s="527">
        <f ca="1">X112+1.25</f>
        <v>20.598384657199659</v>
      </c>
      <c r="Y113" s="527">
        <f ca="1">Y112+1.25</f>
        <v>20.498384657199658</v>
      </c>
      <c r="Z113" s="527">
        <f ca="1">Z112+1</f>
        <v>20.148384657199657</v>
      </c>
      <c r="AA113" s="527">
        <f t="shared" ref="AA113:AD113" ca="1" si="408">AA112+1</f>
        <v>20.048384657199655</v>
      </c>
      <c r="AB113" s="527">
        <f t="shared" ca="1" si="408"/>
        <v>19.948384657199654</v>
      </c>
      <c r="AC113" s="527">
        <f t="shared" ca="1" si="408"/>
        <v>19.848384657199652</v>
      </c>
      <c r="AD113" s="527">
        <f t="shared" ca="1" si="408"/>
        <v>19.748384657199651</v>
      </c>
      <c r="AE113" s="54"/>
      <c r="AG113" s="23"/>
      <c r="AH113" s="23"/>
      <c r="AI113" s="23"/>
      <c r="AJ113" s="123"/>
      <c r="AK113" s="1102"/>
      <c r="AL113" s="944"/>
      <c r="AM113" s="944"/>
      <c r="AN113" s="944"/>
      <c r="AO113" s="944"/>
      <c r="AP113" s="1129"/>
      <c r="AQ113" s="944"/>
      <c r="AR113" s="944"/>
      <c r="AS113" s="944"/>
      <c r="AT113" s="944"/>
      <c r="AU113" s="1129"/>
      <c r="AV113" s="944"/>
      <c r="AW113" s="944"/>
      <c r="AX113" s="944"/>
      <c r="AY113" s="944"/>
      <c r="AZ113" s="1129"/>
      <c r="BA113" s="944"/>
      <c r="BB113" s="944"/>
      <c r="BC113" s="944"/>
      <c r="BD113" s="944"/>
      <c r="BE113" s="1129"/>
      <c r="BF113" s="944"/>
      <c r="BG113" s="944"/>
      <c r="BH113" s="944"/>
      <c r="BI113" s="944"/>
      <c r="BJ113" s="1129"/>
      <c r="BK113" s="944"/>
      <c r="BL113" s="944"/>
      <c r="BM113" s="944"/>
      <c r="BN113" s="944"/>
      <c r="BO113" s="1129"/>
      <c r="BP113" s="944"/>
      <c r="BQ113" s="944"/>
      <c r="BR113" s="944"/>
      <c r="BS113" s="944"/>
      <c r="BT113" s="1129"/>
      <c r="BU113" s="944"/>
      <c r="BV113" s="944"/>
      <c r="BW113" s="944"/>
      <c r="BX113" s="944"/>
      <c r="BY113" s="1129"/>
      <c r="BZ113" s="944"/>
      <c r="CA113" s="944"/>
      <c r="CB113" s="944"/>
      <c r="CC113" s="944"/>
      <c r="CD113" s="1129"/>
      <c r="CE113" s="946"/>
      <c r="CF113" s="946"/>
      <c r="CG113" s="946"/>
      <c r="CH113" s="946"/>
      <c r="CI113" s="1150"/>
      <c r="CJ113" s="946"/>
      <c r="CK113" s="946"/>
      <c r="CL113" s="946"/>
      <c r="CM113" s="946"/>
      <c r="CN113" s="1150"/>
      <c r="CO113" s="527"/>
      <c r="CP113" s="527"/>
      <c r="CQ113" s="527"/>
      <c r="CR113" s="527"/>
      <c r="CS113" s="1150"/>
      <c r="CT113" s="527"/>
      <c r="CU113" s="527"/>
      <c r="CV113" s="527"/>
      <c r="CW113" s="527"/>
      <c r="CX113" s="527"/>
      <c r="CY113" s="527"/>
      <c r="CZ113" s="527"/>
      <c r="DA113" s="527"/>
      <c r="DB113" s="527"/>
      <c r="DC113" s="527"/>
      <c r="DD113" s="527"/>
      <c r="DE113" s="527"/>
      <c r="DF113" s="527"/>
      <c r="DG113" s="527"/>
      <c r="DH113" s="527"/>
      <c r="DI113" s="527"/>
      <c r="DJ113" s="527"/>
      <c r="DK113" s="527"/>
      <c r="DL113" s="527"/>
      <c r="DM113" s="527"/>
      <c r="DN113" s="527"/>
      <c r="DO113" s="527"/>
      <c r="DP113" s="527"/>
      <c r="DQ113" s="527"/>
      <c r="DR113" s="527">
        <f>DR112+1</f>
        <v>22</v>
      </c>
      <c r="DS113" s="527">
        <f t="shared" ref="DS113:DU113" si="409">DS112+1</f>
        <v>20.43996742374728</v>
      </c>
      <c r="DT113" s="527">
        <f t="shared" si="409"/>
        <v>19.955227591665434</v>
      </c>
      <c r="DU113" s="527">
        <f t="shared" si="409"/>
        <v>19.495834933733036</v>
      </c>
      <c r="DV113" s="946"/>
      <c r="DW113" s="946"/>
      <c r="DX113" s="946"/>
      <c r="DY113" s="946"/>
    </row>
    <row r="114" spans="1:129">
      <c r="B114" s="23" t="s">
        <v>994</v>
      </c>
      <c r="C114" s="23"/>
      <c r="E114" s="942"/>
      <c r="F114" s="942">
        <f t="shared" ref="F114:AD114" si="410">(F36/F15)*100</f>
        <v>-166.5499731920396</v>
      </c>
      <c r="G114" s="942">
        <f t="shared" si="410"/>
        <v>-61.659843498989474</v>
      </c>
      <c r="H114" s="942">
        <f t="shared" si="410"/>
        <v>-1.0233843753709388</v>
      </c>
      <c r="I114" s="942">
        <f t="shared" si="410"/>
        <v>10.057982171551462</v>
      </c>
      <c r="J114" s="942">
        <f t="shared" si="410"/>
        <v>12.688130210760129</v>
      </c>
      <c r="K114" s="942">
        <f t="shared" si="410"/>
        <v>27.159885315209635</v>
      </c>
      <c r="L114" s="854">
        <f t="shared" si="410"/>
        <v>27.0812174269625</v>
      </c>
      <c r="M114" s="854">
        <f t="shared" si="410"/>
        <v>33.241897031276601</v>
      </c>
      <c r="N114" s="854">
        <f t="shared" si="410"/>
        <v>40.390522929511199</v>
      </c>
      <c r="O114" s="854">
        <f t="shared" si="410"/>
        <v>37.343401765904765</v>
      </c>
      <c r="P114" s="854">
        <f t="shared" si="410"/>
        <v>40.875241434490356</v>
      </c>
      <c r="Q114" s="854">
        <f t="shared" si="410"/>
        <v>42.190851213536668</v>
      </c>
      <c r="R114" s="854">
        <f t="shared" si="410"/>
        <v>41.432278287561211</v>
      </c>
      <c r="S114" s="854">
        <f t="shared" si="410"/>
        <v>40.650018925637582</v>
      </c>
      <c r="T114" s="854">
        <f t="shared" si="410"/>
        <v>40.217332687178079</v>
      </c>
      <c r="U114" s="854">
        <f t="shared" si="410"/>
        <v>40.69633102426392</v>
      </c>
      <c r="V114" s="854">
        <f t="shared" si="410"/>
        <v>42.072480077501559</v>
      </c>
      <c r="W114" s="854">
        <f t="shared" ca="1" si="410"/>
        <v>43.727486286568194</v>
      </c>
      <c r="X114" s="854">
        <f t="shared" ca="1" si="410"/>
        <v>43.459536036175955</v>
      </c>
      <c r="Y114" s="854">
        <f t="shared" ca="1" si="410"/>
        <v>43.707157152712846</v>
      </c>
      <c r="Z114" s="854">
        <f t="shared" ca="1" si="410"/>
        <v>43.946068458248526</v>
      </c>
      <c r="AA114" s="854">
        <f t="shared" ca="1" si="410"/>
        <v>44.180119162247131</v>
      </c>
      <c r="AB114" s="854">
        <f t="shared" ca="1" si="410"/>
        <v>44.41014600593148</v>
      </c>
      <c r="AC114" s="854">
        <f t="shared" ca="1" si="410"/>
        <v>44.636807543010121</v>
      </c>
      <c r="AD114" s="854">
        <f t="shared" ca="1" si="410"/>
        <v>44.860628107306084</v>
      </c>
      <c r="AE114" s="54"/>
      <c r="AG114" s="854"/>
      <c r="AH114" s="854"/>
      <c r="AI114" s="854"/>
      <c r="AJ114" s="854"/>
      <c r="AK114" s="1116"/>
      <c r="AL114" s="854">
        <f t="shared" ref="AL114:BQ114" si="411">(AL37/AL15)*100</f>
        <v>-6497.7941176470576</v>
      </c>
      <c r="AM114" s="854">
        <f t="shared" si="411"/>
        <v>-1793.1614349775784</v>
      </c>
      <c r="AN114" s="854">
        <f t="shared" si="411"/>
        <v>-423.21383168065091</v>
      </c>
      <c r="AO114" s="854">
        <f t="shared" si="411"/>
        <v>-259.75170701427686</v>
      </c>
      <c r="AP114" s="1116">
        <f t="shared" si="411"/>
        <v>-479.40995697602949</v>
      </c>
      <c r="AQ114" s="854">
        <f t="shared" si="411"/>
        <v>-129.16831840164912</v>
      </c>
      <c r="AR114" s="854">
        <f t="shared" si="411"/>
        <v>-70.972333972891008</v>
      </c>
      <c r="AS114" s="854">
        <f t="shared" si="411"/>
        <v>-50.576318546978705</v>
      </c>
      <c r="AT114" s="854">
        <f t="shared" si="411"/>
        <v>-8.9316386121607607</v>
      </c>
      <c r="AU114" s="1116">
        <f t="shared" si="411"/>
        <v>-59.934714731762703</v>
      </c>
      <c r="AV114" s="854">
        <f t="shared" si="411"/>
        <v>-7.6346859807520344</v>
      </c>
      <c r="AW114" s="854">
        <f t="shared" si="411"/>
        <v>-38.436807095343681</v>
      </c>
      <c r="AX114" s="854">
        <f t="shared" si="411"/>
        <v>-7.4552930103531923</v>
      </c>
      <c r="AY114" s="854">
        <f t="shared" si="411"/>
        <v>-9.8548104025953194</v>
      </c>
      <c r="AZ114" s="1116">
        <f t="shared" si="411"/>
        <v>-15.327512048504937</v>
      </c>
      <c r="BA114" s="854">
        <f t="shared" si="411"/>
        <v>-12.085708669156665</v>
      </c>
      <c r="BB114" s="854">
        <f t="shared" si="411"/>
        <v>1.0163888302735964</v>
      </c>
      <c r="BC114" s="854">
        <f t="shared" si="411"/>
        <v>4.4632750088942155</v>
      </c>
      <c r="BD114" s="854">
        <f t="shared" si="411"/>
        <v>9.3593533208662443</v>
      </c>
      <c r="BE114" s="1116">
        <f t="shared" si="411"/>
        <v>1.43969069542656</v>
      </c>
      <c r="BF114" s="854">
        <f t="shared" si="411"/>
        <v>15.363932645301482</v>
      </c>
      <c r="BG114" s="854">
        <f t="shared" si="411"/>
        <v>19.095451893564675</v>
      </c>
      <c r="BH114" s="854">
        <f t="shared" si="411"/>
        <v>23.718749263649002</v>
      </c>
      <c r="BI114" s="854">
        <f t="shared" si="411"/>
        <v>27.480050679054884</v>
      </c>
      <c r="BJ114" s="1116">
        <f t="shared" si="411"/>
        <v>21.759505349145535</v>
      </c>
      <c r="BK114" s="854">
        <f t="shared" si="411"/>
        <v>29.449100320433818</v>
      </c>
      <c r="BL114" s="854">
        <f t="shared" si="411"/>
        <v>30.593189656815106</v>
      </c>
      <c r="BM114" s="854">
        <f t="shared" si="411"/>
        <v>30.843775819333512</v>
      </c>
      <c r="BN114" s="854">
        <f t="shared" si="411"/>
        <v>35.321531441146959</v>
      </c>
      <c r="BO114" s="1116">
        <f t="shared" si="411"/>
        <v>31.728920595140618</v>
      </c>
      <c r="BP114" s="854">
        <f t="shared" si="411"/>
        <v>35.20171422405155</v>
      </c>
      <c r="BQ114" s="854">
        <f t="shared" si="411"/>
        <v>35.067398027659458</v>
      </c>
      <c r="BR114" s="854">
        <f t="shared" ref="BR114:CI114" si="412">(BR37/BR15)*100</f>
        <v>33.810324715839727</v>
      </c>
      <c r="BS114" s="854">
        <f t="shared" si="412"/>
        <v>37.395461451989462</v>
      </c>
      <c r="BT114" s="1116">
        <f t="shared" si="412"/>
        <v>35.430102674821413</v>
      </c>
      <c r="BU114" s="854">
        <f t="shared" si="412"/>
        <v>38.042980178359528</v>
      </c>
      <c r="BV114" s="854">
        <f t="shared" si="412"/>
        <v>38.449644478804842</v>
      </c>
      <c r="BW114" s="854">
        <f t="shared" si="412"/>
        <v>39.158042820527648</v>
      </c>
      <c r="BX114" s="854">
        <f t="shared" si="412"/>
        <v>33.927361333391005</v>
      </c>
      <c r="BY114" s="1116">
        <f t="shared" si="412"/>
        <v>37.04683841866099</v>
      </c>
      <c r="BZ114" s="854">
        <f t="shared" si="412"/>
        <v>39.356457545917657</v>
      </c>
      <c r="CA114" s="854">
        <f t="shared" si="412"/>
        <v>40.183906442537953</v>
      </c>
      <c r="CB114" s="854">
        <f t="shared" si="412"/>
        <v>41.893487903774442</v>
      </c>
      <c r="CC114" s="854">
        <f t="shared" si="412"/>
        <v>44.104613415983593</v>
      </c>
      <c r="CD114" s="1116">
        <f t="shared" si="412"/>
        <v>41.50479650337742</v>
      </c>
      <c r="CE114" s="854">
        <f t="shared" si="412"/>
        <v>45.865352279514745</v>
      </c>
      <c r="CF114" s="854">
        <f t="shared" si="412"/>
        <v>46.692749380770096</v>
      </c>
      <c r="CG114" s="854">
        <f t="shared" si="412"/>
        <v>46.597351005018503</v>
      </c>
      <c r="CH114" s="854">
        <f t="shared" si="412"/>
        <v>46.035489297140408</v>
      </c>
      <c r="CI114" s="1116">
        <f t="shared" si="412"/>
        <v>46.300717613078177</v>
      </c>
      <c r="CJ114" s="854">
        <f>(CJ36/CJ15)*100</f>
        <v>39.133075138046003</v>
      </c>
      <c r="CK114" s="854">
        <f>(CK36/CK15)*100</f>
        <v>34.830027205301747</v>
      </c>
      <c r="CL114" s="854">
        <f>(CL36/CL15)*100</f>
        <v>38.017200072185545</v>
      </c>
      <c r="CM114" s="854">
        <f>(CM36/CM15)*100</f>
        <v>37.543804327778346</v>
      </c>
      <c r="CN114" s="1116">
        <f>(CN37/CN15)*100</f>
        <v>44.559000312653083</v>
      </c>
      <c r="CO114" s="854">
        <f>(CO36/CO15)*100</f>
        <v>41.240687217649999</v>
      </c>
      <c r="CP114" s="854">
        <f>(CP36/CP15)*100</f>
        <v>40.847861669316835</v>
      </c>
      <c r="CQ114" s="854">
        <f>(CQ36/CQ15)*100</f>
        <v>40.528358091953116</v>
      </c>
      <c r="CR114" s="854">
        <f>(CR36/CR15)*100</f>
        <v>40.929270627031435</v>
      </c>
      <c r="CS114" s="1116">
        <f>(CS37/CS15)*100</f>
        <v>45.853760772182675</v>
      </c>
      <c r="CT114" s="854">
        <f t="shared" ref="CT114:DU114" si="413">(CT36/CT15)*100</f>
        <v>42.448837968758504</v>
      </c>
      <c r="CU114" s="854">
        <f t="shared" si="413"/>
        <v>42.72759203565078</v>
      </c>
      <c r="CV114" s="854">
        <f t="shared" si="413"/>
        <v>40.914537935586324</v>
      </c>
      <c r="CW114" s="854">
        <f t="shared" si="413"/>
        <v>42.705692419263364</v>
      </c>
      <c r="CX114" s="854">
        <f t="shared" si="413"/>
        <v>41.343914564822306</v>
      </c>
      <c r="CY114" s="854">
        <f t="shared" si="413"/>
        <v>42.761278270126361</v>
      </c>
      <c r="CZ114" s="854">
        <f t="shared" si="413"/>
        <v>40.643252240905653</v>
      </c>
      <c r="DA114" s="854">
        <f t="shared" si="413"/>
        <v>41.027171285531381</v>
      </c>
      <c r="DB114" s="854">
        <f t="shared" si="413"/>
        <v>40.551811644797979</v>
      </c>
      <c r="DC114" s="854">
        <f t="shared" si="413"/>
        <v>39.786271752475791</v>
      </c>
      <c r="DD114" s="854">
        <f t="shared" si="413"/>
        <v>41.338405002901176</v>
      </c>
      <c r="DE114" s="854">
        <f t="shared" si="413"/>
        <v>40.889110372484225</v>
      </c>
      <c r="DF114" s="854">
        <f t="shared" si="413"/>
        <v>42.597959494631311</v>
      </c>
      <c r="DG114" s="854">
        <f t="shared" si="413"/>
        <v>40.175816052717764</v>
      </c>
      <c r="DH114" s="854">
        <f t="shared" si="413"/>
        <v>39.925930133153919</v>
      </c>
      <c r="DI114" s="854">
        <f t="shared" si="413"/>
        <v>38.432936963182193</v>
      </c>
      <c r="DJ114" s="854">
        <f t="shared" si="413"/>
        <v>37.296542345253719</v>
      </c>
      <c r="DK114" s="854">
        <f t="shared" si="413"/>
        <v>40.574119110281956</v>
      </c>
      <c r="DL114" s="854">
        <f t="shared" si="413"/>
        <v>42.502346767948985</v>
      </c>
      <c r="DM114" s="854">
        <f t="shared" si="413"/>
        <v>42.086061908646606</v>
      </c>
      <c r="DN114" s="854">
        <f t="shared" si="413"/>
        <v>40.675706274189729</v>
      </c>
      <c r="DO114" s="854">
        <f t="shared" si="413"/>
        <v>41.004537607567741</v>
      </c>
      <c r="DP114" s="854">
        <f t="shared" si="413"/>
        <v>43.617027739375011</v>
      </c>
      <c r="DQ114" s="854">
        <f t="shared" si="413"/>
        <v>42.643563143787688</v>
      </c>
      <c r="DR114" s="854">
        <f t="shared" ca="1" si="413"/>
        <v>42.175870943767869</v>
      </c>
      <c r="DS114" s="854">
        <f t="shared" ca="1" si="413"/>
        <v>43.735903520020578</v>
      </c>
      <c r="DT114" s="854">
        <f t="shared" ca="1" si="413"/>
        <v>44.220643352102421</v>
      </c>
      <c r="DU114" s="854">
        <f t="shared" ca="1" si="413"/>
        <v>44.680036010034826</v>
      </c>
      <c r="DV114" s="854"/>
      <c r="DW114" s="854"/>
      <c r="DX114" s="854"/>
      <c r="DY114" s="854"/>
    </row>
    <row r="115" spans="1:129">
      <c r="B115" s="23" t="s">
        <v>1229</v>
      </c>
      <c r="C115" s="23"/>
      <c r="E115" s="942"/>
      <c r="F115" s="942">
        <f t="shared" ref="F115:AD115" si="414">(F45/F15)*100</f>
        <v>78.287129025136409</v>
      </c>
      <c r="G115" s="942">
        <f t="shared" si="414"/>
        <v>70.065295123594325</v>
      </c>
      <c r="H115" s="942">
        <f t="shared" si="414"/>
        <v>53.202421529226228</v>
      </c>
      <c r="I115" s="942">
        <f t="shared" si="414"/>
        <v>35.757098080906211</v>
      </c>
      <c r="J115" s="942">
        <f t="shared" si="414"/>
        <v>29.323206231876842</v>
      </c>
      <c r="K115" s="942">
        <f t="shared" si="414"/>
        <v>26.495518823717255</v>
      </c>
      <c r="L115" s="854">
        <f t="shared" si="414"/>
        <v>24.669680194162716</v>
      </c>
      <c r="M115" s="854">
        <f t="shared" si="414"/>
        <v>22.845405006527784</v>
      </c>
      <c r="N115" s="854">
        <f t="shared" si="414"/>
        <v>19.871865329418732</v>
      </c>
      <c r="O115" s="854">
        <f t="shared" si="414"/>
        <v>21.200638012930799</v>
      </c>
      <c r="P115" s="854">
        <f t="shared" si="414"/>
        <v>21.516208599399665</v>
      </c>
      <c r="Q115" s="854">
        <f t="shared" si="414"/>
        <v>20.851330100626477</v>
      </c>
      <c r="R115" s="854">
        <f t="shared" si="414"/>
        <v>20.021126309129745</v>
      </c>
      <c r="S115" s="854">
        <f t="shared" si="414"/>
        <v>19.810702703808662</v>
      </c>
      <c r="T115" s="854">
        <f t="shared" si="414"/>
        <v>19.40406483515153</v>
      </c>
      <c r="U115" s="854">
        <f t="shared" si="414"/>
        <v>23.353061152733304</v>
      </c>
      <c r="V115" s="854">
        <f t="shared" si="414"/>
        <v>23.552911939947275</v>
      </c>
      <c r="W115" s="854">
        <f t="shared" ca="1" si="414"/>
        <v>22.72707795667095</v>
      </c>
      <c r="X115" s="854">
        <f t="shared" ca="1" si="414"/>
        <v>19.427144926171209</v>
      </c>
      <c r="Y115" s="854">
        <f t="shared" ca="1" si="414"/>
        <v>18.849929869853138</v>
      </c>
      <c r="Z115" s="854">
        <f t="shared" ca="1" si="414"/>
        <v>18.498252927830229</v>
      </c>
      <c r="AA115" s="854">
        <f t="shared" ca="1" si="414"/>
        <v>16.394398547145592</v>
      </c>
      <c r="AB115" s="854">
        <f t="shared" ca="1" si="414"/>
        <v>8.9616309428804914</v>
      </c>
      <c r="AC115" s="854">
        <f t="shared" ca="1" si="414"/>
        <v>4.5649462408170729</v>
      </c>
      <c r="AD115" s="854">
        <f t="shared" ca="1" si="414"/>
        <v>4.3336414313680471</v>
      </c>
      <c r="AE115" s="54"/>
      <c r="AG115" s="854"/>
      <c r="AH115" s="854"/>
      <c r="AI115" s="854"/>
      <c r="AJ115" s="854"/>
      <c r="AK115" s="1116"/>
      <c r="AL115" s="854">
        <f t="shared" ref="AL115:BQ115" si="415">(AL45/AL15)*100</f>
        <v>1202.9411764705881</v>
      </c>
      <c r="AM115" s="854">
        <f t="shared" si="415"/>
        <v>221.30044843049328</v>
      </c>
      <c r="AN115" s="854">
        <f t="shared" si="415"/>
        <v>81.845919145690317</v>
      </c>
      <c r="AO115" s="854">
        <f t="shared" si="415"/>
        <v>99.155803848541282</v>
      </c>
      <c r="AP115" s="1116">
        <f t="shared" si="415"/>
        <v>113.82913337430853</v>
      </c>
      <c r="AQ115" s="854">
        <f t="shared" si="415"/>
        <v>83.445651312138281</v>
      </c>
      <c r="AR115" s="854">
        <f t="shared" si="415"/>
        <v>83.456087144890759</v>
      </c>
      <c r="AS115" s="854">
        <f t="shared" si="415"/>
        <v>72.389102340202584</v>
      </c>
      <c r="AT115" s="854">
        <f t="shared" si="415"/>
        <v>75.581129050727128</v>
      </c>
      <c r="AU115" s="1116">
        <f t="shared" si="415"/>
        <v>78.287129025136409</v>
      </c>
      <c r="AV115" s="854">
        <f t="shared" si="415"/>
        <v>59.822403016172231</v>
      </c>
      <c r="AW115" s="854">
        <f t="shared" si="415"/>
        <v>74.057649667405769</v>
      </c>
      <c r="AX115" s="854">
        <f t="shared" si="415"/>
        <v>69.747857532075102</v>
      </c>
      <c r="AY115" s="854">
        <f t="shared" si="415"/>
        <v>77.556772855395423</v>
      </c>
      <c r="AZ115" s="1116">
        <f t="shared" si="415"/>
        <v>70.065295123594325</v>
      </c>
      <c r="BA115" s="854">
        <f t="shared" si="415"/>
        <v>65.968154118340863</v>
      </c>
      <c r="BB115" s="854">
        <f t="shared" si="415"/>
        <v>55.641133853836955</v>
      </c>
      <c r="BC115" s="854">
        <f t="shared" si="415"/>
        <v>49.07661955431935</v>
      </c>
      <c r="BD115" s="854">
        <f t="shared" si="415"/>
        <v>45.164987633468066</v>
      </c>
      <c r="BE115" s="1116">
        <f t="shared" si="415"/>
        <v>53.202421529226243</v>
      </c>
      <c r="BF115" s="854">
        <f t="shared" si="415"/>
        <v>40.274307441607817</v>
      </c>
      <c r="BG115" s="854">
        <f t="shared" si="415"/>
        <v>36.78816934276945</v>
      </c>
      <c r="BH115" s="854">
        <f t="shared" si="415"/>
        <v>34.178467918659727</v>
      </c>
      <c r="BI115" s="854">
        <f t="shared" si="415"/>
        <v>32.645757851919356</v>
      </c>
      <c r="BJ115" s="1116">
        <f t="shared" si="415"/>
        <v>35.757098080906211</v>
      </c>
      <c r="BK115" s="854">
        <f t="shared" si="415"/>
        <v>31.612028592556079</v>
      </c>
      <c r="BL115" s="854">
        <f t="shared" si="415"/>
        <v>30.62177251853122</v>
      </c>
      <c r="BM115" s="854">
        <f t="shared" si="415"/>
        <v>28.103483888735891</v>
      </c>
      <c r="BN115" s="854">
        <f t="shared" si="415"/>
        <v>27.56399883491375</v>
      </c>
      <c r="BO115" s="1116">
        <f t="shared" si="415"/>
        <v>29.323206231876846</v>
      </c>
      <c r="BP115" s="854">
        <f t="shared" si="415"/>
        <v>27.564784411660426</v>
      </c>
      <c r="BQ115" s="854">
        <f t="shared" si="415"/>
        <v>26.785610083445178</v>
      </c>
      <c r="BR115" s="854">
        <f t="shared" ref="BR115:CW115" si="416">(BR45/BR15)*100</f>
        <v>26.565933320673846</v>
      </c>
      <c r="BS115" s="854">
        <f t="shared" si="416"/>
        <v>25.328902669516129</v>
      </c>
      <c r="BT115" s="1116">
        <f t="shared" si="416"/>
        <v>26.495518823717262</v>
      </c>
      <c r="BU115" s="854">
        <f t="shared" si="416"/>
        <v>24.761188593450751</v>
      </c>
      <c r="BV115" s="854">
        <f t="shared" si="416"/>
        <v>24.404107277023414</v>
      </c>
      <c r="BW115" s="854">
        <f t="shared" si="416"/>
        <v>23.193810101944461</v>
      </c>
      <c r="BX115" s="854">
        <f t="shared" si="416"/>
        <v>25.893565177271221</v>
      </c>
      <c r="BY115" s="1116">
        <f t="shared" si="416"/>
        <v>24.669680194162719</v>
      </c>
      <c r="BZ115" s="854">
        <f t="shared" si="416"/>
        <v>22.719286048363646</v>
      </c>
      <c r="CA115" s="854">
        <f t="shared" si="416"/>
        <v>22.561670270395947</v>
      </c>
      <c r="CB115" s="854">
        <f t="shared" si="416"/>
        <v>22.923776090565219</v>
      </c>
      <c r="CC115" s="854">
        <f t="shared" si="416"/>
        <v>23.130536020515727</v>
      </c>
      <c r="CD115" s="1116">
        <f t="shared" si="416"/>
        <v>22.845405006527784</v>
      </c>
      <c r="CE115" s="854">
        <f t="shared" si="416"/>
        <v>21.064492975490758</v>
      </c>
      <c r="CF115" s="854">
        <f t="shared" si="416"/>
        <v>21.234894543271036</v>
      </c>
      <c r="CG115" s="854">
        <f t="shared" si="416"/>
        <v>19.804181791015917</v>
      </c>
      <c r="CH115" s="854">
        <f t="shared" si="416"/>
        <v>17.757841617467594</v>
      </c>
      <c r="CI115" s="1116">
        <f t="shared" si="416"/>
        <v>19.871865329418736</v>
      </c>
      <c r="CJ115" s="854">
        <f t="shared" si="416"/>
        <v>19.835993710008886</v>
      </c>
      <c r="CK115" s="854">
        <f t="shared" si="416"/>
        <v>21.145312171355478</v>
      </c>
      <c r="CL115" s="854">
        <f t="shared" si="416"/>
        <v>22.023124264920941</v>
      </c>
      <c r="CM115" s="854">
        <f t="shared" si="416"/>
        <v>21.471408937570281</v>
      </c>
      <c r="CN115" s="1116">
        <f t="shared" si="416"/>
        <v>21.200638012930799</v>
      </c>
      <c r="CO115" s="854">
        <f t="shared" si="416"/>
        <v>21.409581606389626</v>
      </c>
      <c r="CP115" s="854">
        <f t="shared" si="416"/>
        <v>21.444524280759829</v>
      </c>
      <c r="CQ115" s="854">
        <f t="shared" si="416"/>
        <v>21.628189550425279</v>
      </c>
      <c r="CR115" s="854">
        <f t="shared" si="416"/>
        <v>21.562793165859624</v>
      </c>
      <c r="CS115" s="1116">
        <f t="shared" si="416"/>
        <v>21.516208599399665</v>
      </c>
      <c r="CT115" s="854">
        <f t="shared" si="416"/>
        <v>20.460730419637514</v>
      </c>
      <c r="CU115" s="854">
        <f t="shared" si="416"/>
        <v>20.689746010142031</v>
      </c>
      <c r="CV115" s="854">
        <f t="shared" si="416"/>
        <v>21.764517825652028</v>
      </c>
      <c r="CW115" s="854">
        <f t="shared" si="416"/>
        <v>20.462238592733257</v>
      </c>
      <c r="CX115" s="854">
        <f t="shared" ref="CX115:DU115" si="417">(CX45/CX15)*100</f>
        <v>21.041628724323534</v>
      </c>
      <c r="CY115" s="854">
        <f t="shared" si="417"/>
        <v>20.834759326943626</v>
      </c>
      <c r="CZ115" s="854">
        <f t="shared" si="417"/>
        <v>19.432353006164789</v>
      </c>
      <c r="DA115" s="854">
        <f t="shared" si="417"/>
        <v>18.892570442925777</v>
      </c>
      <c r="DB115" s="854">
        <f t="shared" si="417"/>
        <v>19.586141266401519</v>
      </c>
      <c r="DC115" s="854">
        <f t="shared" si="417"/>
        <v>19.180680843610208</v>
      </c>
      <c r="DD115" s="854">
        <f t="shared" si="417"/>
        <v>19.558539101282964</v>
      </c>
      <c r="DE115" s="854">
        <f t="shared" si="417"/>
        <v>20.857486276113779</v>
      </c>
      <c r="DF115" s="854">
        <f t="shared" si="417"/>
        <v>19.050832278667979</v>
      </c>
      <c r="DG115" s="854">
        <f t="shared" si="417"/>
        <v>19.271855308587078</v>
      </c>
      <c r="DH115" s="854">
        <f t="shared" si="417"/>
        <v>19.408460508935423</v>
      </c>
      <c r="DI115" s="854">
        <f t="shared" si="417"/>
        <v>19.831421757736887</v>
      </c>
      <c r="DJ115" s="854">
        <f t="shared" si="417"/>
        <v>23.947350963565977</v>
      </c>
      <c r="DK115" s="854">
        <f t="shared" si="417"/>
        <v>23.733106795038367</v>
      </c>
      <c r="DL115" s="854">
        <f t="shared" si="417"/>
        <v>23.291401528751692</v>
      </c>
      <c r="DM115" s="854">
        <f t="shared" si="417"/>
        <v>22.518291576804469</v>
      </c>
      <c r="DN115" s="854">
        <f t="shared" si="417"/>
        <v>23.065532766383186</v>
      </c>
      <c r="DO115" s="854">
        <f t="shared" si="417"/>
        <v>23.666638222615642</v>
      </c>
      <c r="DP115" s="854">
        <f t="shared" si="417"/>
        <v>24.102091453238458</v>
      </c>
      <c r="DQ115" s="854">
        <f t="shared" si="417"/>
        <v>23.310207036870707</v>
      </c>
      <c r="DR115" s="854">
        <f t="shared" ca="1" si="417"/>
        <v>23.196594609789948</v>
      </c>
      <c r="DS115" s="854">
        <f t="shared" ca="1" si="417"/>
        <v>22.786119381887477</v>
      </c>
      <c r="DT115" s="854">
        <f t="shared" ca="1" si="417"/>
        <v>22.477851513367771</v>
      </c>
      <c r="DU115" s="854">
        <f t="shared" ca="1" si="417"/>
        <v>22.477793504397368</v>
      </c>
      <c r="DV115" s="854"/>
      <c r="DW115" s="854"/>
      <c r="DX115" s="854"/>
      <c r="DY115" s="854"/>
    </row>
    <row r="116" spans="1:129">
      <c r="B116" s="23" t="s">
        <v>1231</v>
      </c>
      <c r="C116" s="23"/>
      <c r="E116" s="942"/>
      <c r="F116" s="942">
        <f t="shared" ref="F116:AD116" si="418">(F47/F15)*100</f>
        <v>-244.83710221717598</v>
      </c>
      <c r="G116" s="942">
        <f t="shared" si="418"/>
        <v>-131.72513862258378</v>
      </c>
      <c r="H116" s="942">
        <f t="shared" si="418"/>
        <v>-54.225805904597166</v>
      </c>
      <c r="I116" s="942">
        <f t="shared" si="418"/>
        <v>-25.699115909354752</v>
      </c>
      <c r="J116" s="942">
        <f t="shared" si="418"/>
        <v>-16.635076021116713</v>
      </c>
      <c r="K116" s="942">
        <f t="shared" si="418"/>
        <v>0.66436649149238025</v>
      </c>
      <c r="L116" s="854">
        <f t="shared" si="418"/>
        <v>2.4115372327997862</v>
      </c>
      <c r="M116" s="854">
        <f t="shared" si="418"/>
        <v>10.396492024748815</v>
      </c>
      <c r="N116" s="854">
        <f t="shared" si="418"/>
        <v>20.518657600092467</v>
      </c>
      <c r="O116" s="854">
        <f t="shared" si="418"/>
        <v>16.142763752973966</v>
      </c>
      <c r="P116" s="854">
        <f t="shared" si="418"/>
        <v>19.359032835090691</v>
      </c>
      <c r="Q116" s="854">
        <f t="shared" si="418"/>
        <v>20.817049702867891</v>
      </c>
      <c r="R116" s="854">
        <f t="shared" si="418"/>
        <v>21.411151978431469</v>
      </c>
      <c r="S116" s="854">
        <f t="shared" si="418"/>
        <v>20.83931622182892</v>
      </c>
      <c r="T116" s="854">
        <f t="shared" si="418"/>
        <v>20.813267852026542</v>
      </c>
      <c r="U116" s="854">
        <f t="shared" si="418"/>
        <v>17.130146298895152</v>
      </c>
      <c r="V116" s="854">
        <f t="shared" si="418"/>
        <v>18.519568137554295</v>
      </c>
      <c r="W116" s="854">
        <f t="shared" ca="1" si="418"/>
        <v>20.473177846857325</v>
      </c>
      <c r="X116" s="854">
        <f t="shared" ca="1" si="418"/>
        <v>24.032391110004745</v>
      </c>
      <c r="Y116" s="854">
        <f t="shared" ca="1" si="418"/>
        <v>24.857227282859704</v>
      </c>
      <c r="Z116" s="854">
        <f t="shared" ca="1" si="418"/>
        <v>25.4478155304183</v>
      </c>
      <c r="AA116" s="854">
        <f t="shared" ca="1" si="418"/>
        <v>27.785720615101539</v>
      </c>
      <c r="AB116" s="854">
        <f t="shared" ca="1" si="418"/>
        <v>35.448515063050991</v>
      </c>
      <c r="AC116" s="854">
        <f t="shared" ca="1" si="418"/>
        <v>40.071861302193042</v>
      </c>
      <c r="AD116" s="854">
        <f t="shared" ca="1" si="418"/>
        <v>40.526986675938033</v>
      </c>
      <c r="AE116" s="54"/>
      <c r="AG116" s="854"/>
      <c r="AH116" s="854"/>
      <c r="AI116" s="854"/>
      <c r="AJ116" s="854"/>
      <c r="AK116" s="1116"/>
      <c r="AL116" s="854">
        <f t="shared" ref="AL116:BQ116" si="419">(AL47/AL15)*100</f>
        <v>-10261.029411764704</v>
      </c>
      <c r="AM116" s="854">
        <f t="shared" si="419"/>
        <v>-2748.5426008968611</v>
      </c>
      <c r="AN116" s="854">
        <f t="shared" si="419"/>
        <v>-761.50521230612776</v>
      </c>
      <c r="AO116" s="854">
        <f t="shared" si="419"/>
        <v>-480.28553693358162</v>
      </c>
      <c r="AP116" s="1116">
        <f t="shared" si="419"/>
        <v>-822.90258143822984</v>
      </c>
      <c r="AQ116" s="854">
        <f t="shared" si="419"/>
        <v>-277.22191389835882</v>
      </c>
      <c r="AR116" s="854">
        <f t="shared" si="419"/>
        <v>-185.33143529120505</v>
      </c>
      <c r="AS116" s="854">
        <f t="shared" si="419"/>
        <v>-422.55792292467112</v>
      </c>
      <c r="AT116" s="854">
        <f t="shared" si="419"/>
        <v>-101.70617199129737</v>
      </c>
      <c r="AU116" s="1116">
        <f t="shared" si="419"/>
        <v>-244.83710221717604</v>
      </c>
      <c r="AV116" s="854">
        <f t="shared" si="419"/>
        <v>-80.260938585177072</v>
      </c>
      <c r="AW116" s="854">
        <f t="shared" si="419"/>
        <v>-176.33592017738357</v>
      </c>
      <c r="AX116" s="854">
        <f t="shared" si="419"/>
        <v>-178.76356070738595</v>
      </c>
      <c r="AY116" s="854">
        <f t="shared" si="419"/>
        <v>-93.596766473435082</v>
      </c>
      <c r="AZ116" s="1116">
        <f t="shared" si="419"/>
        <v>-131.72513862258378</v>
      </c>
      <c r="BA116" s="854">
        <f t="shared" si="419"/>
        <v>-81.820326321997229</v>
      </c>
      <c r="BB116" s="854">
        <f t="shared" si="419"/>
        <v>-57.121755644650797</v>
      </c>
      <c r="BC116" s="854">
        <f t="shared" si="419"/>
        <v>-46.204599113813508</v>
      </c>
      <c r="BD116" s="854">
        <f t="shared" si="419"/>
        <v>-38.052723653254525</v>
      </c>
      <c r="BE116" s="1116">
        <f t="shared" si="419"/>
        <v>-54.225805904597188</v>
      </c>
      <c r="BF116" s="854">
        <f t="shared" si="419"/>
        <v>-26.749049429657777</v>
      </c>
      <c r="BG116" s="854">
        <f t="shared" si="419"/>
        <v>-18.156913476904339</v>
      </c>
      <c r="BH116" s="854">
        <f t="shared" si="419"/>
        <v>-10.834374042743702</v>
      </c>
      <c r="BI116" s="854">
        <f t="shared" si="419"/>
        <v>-45.471115161483901</v>
      </c>
      <c r="BJ116" s="1116">
        <f t="shared" si="419"/>
        <v>-25.699115909354752</v>
      </c>
      <c r="BK116" s="854">
        <f t="shared" si="419"/>
        <v>-7.1830580888998465</v>
      </c>
      <c r="BL116" s="854">
        <f t="shared" si="419"/>
        <v>-4.7714323824768012</v>
      </c>
      <c r="BM116" s="854">
        <f t="shared" si="419"/>
        <v>0.40278160286421633</v>
      </c>
      <c r="BN116" s="854">
        <f t="shared" si="419"/>
        <v>-50.173144761966412</v>
      </c>
      <c r="BO116" s="1116">
        <f t="shared" si="419"/>
        <v>-16.635076021116728</v>
      </c>
      <c r="BP116" s="854">
        <f t="shared" si="419"/>
        <v>-4.3225577702754761</v>
      </c>
      <c r="BQ116" s="854">
        <f t="shared" si="419"/>
        <v>-4.6974382914162298</v>
      </c>
      <c r="BR116" s="854">
        <f t="shared" ref="BR116:CW116" si="420">(BR47/BR15)*100</f>
        <v>-4.1654233242004199</v>
      </c>
      <c r="BS116" s="854">
        <f t="shared" si="420"/>
        <v>13.599584934095917</v>
      </c>
      <c r="BT116" s="1116">
        <f t="shared" si="420"/>
        <v>0.66436649149235938</v>
      </c>
      <c r="BU116" s="854">
        <f t="shared" si="420"/>
        <v>0.94702087910798105</v>
      </c>
      <c r="BV116" s="854">
        <f t="shared" si="420"/>
        <v>2.6645034136568211</v>
      </c>
      <c r="BW116" s="854">
        <f t="shared" si="420"/>
        <v>5.8574704669403115</v>
      </c>
      <c r="BX116" s="854">
        <f t="shared" si="420"/>
        <v>0.56447078160819941</v>
      </c>
      <c r="BY116" s="1116">
        <f t="shared" si="420"/>
        <v>2.4115372327997728</v>
      </c>
      <c r="BZ116" s="854">
        <f t="shared" si="420"/>
        <v>8.8371740257113647</v>
      </c>
      <c r="CA116" s="854">
        <f t="shared" si="420"/>
        <v>7.7131431494268803</v>
      </c>
      <c r="CB116" s="854">
        <f t="shared" si="420"/>
        <v>11.697825672844022</v>
      </c>
      <c r="CC116" s="854">
        <f t="shared" si="420"/>
        <v>12.857465007368246</v>
      </c>
      <c r="CD116" s="1116">
        <f t="shared" si="420"/>
        <v>10.396492024748815</v>
      </c>
      <c r="CE116" s="854">
        <f t="shared" si="420"/>
        <v>21.937349107317651</v>
      </c>
      <c r="CF116" s="854">
        <f t="shared" si="420"/>
        <v>19.247260376792013</v>
      </c>
      <c r="CG116" s="854">
        <f t="shared" si="420"/>
        <v>20.020390405962438</v>
      </c>
      <c r="CH116" s="854">
        <f t="shared" si="420"/>
        <v>20.938190573567727</v>
      </c>
      <c r="CI116" s="1116">
        <f t="shared" si="420"/>
        <v>20.518657600092471</v>
      </c>
      <c r="CJ116" s="854">
        <f t="shared" si="420"/>
        <v>19.297081428037117</v>
      </c>
      <c r="CK116" s="854">
        <f t="shared" si="420"/>
        <v>13.684715033946279</v>
      </c>
      <c r="CL116" s="854">
        <f t="shared" si="420"/>
        <v>15.994075807264608</v>
      </c>
      <c r="CM116" s="854">
        <f t="shared" si="420"/>
        <v>16.072395390208065</v>
      </c>
      <c r="CN116" s="1116">
        <f t="shared" si="420"/>
        <v>16.142763752973963</v>
      </c>
      <c r="CO116" s="854">
        <f t="shared" si="420"/>
        <v>19.831105611260373</v>
      </c>
      <c r="CP116" s="854">
        <f t="shared" si="420"/>
        <v>19.403337388557006</v>
      </c>
      <c r="CQ116" s="854">
        <f t="shared" si="420"/>
        <v>18.90016854152784</v>
      </c>
      <c r="CR116" s="854">
        <f t="shared" si="420"/>
        <v>19.366477461171812</v>
      </c>
      <c r="CS116" s="1116">
        <f t="shared" si="420"/>
        <v>19.359032835090694</v>
      </c>
      <c r="CT116" s="854">
        <f t="shared" si="420"/>
        <v>21.988107549120993</v>
      </c>
      <c r="CU116" s="854">
        <f t="shared" si="420"/>
        <v>22.037846025508742</v>
      </c>
      <c r="CV116" s="854">
        <f t="shared" si="420"/>
        <v>19.150020109934299</v>
      </c>
      <c r="CW116" s="854">
        <f t="shared" si="420"/>
        <v>20.294866804068302</v>
      </c>
      <c r="CX116" s="854">
        <f t="shared" ref="CX116:DU116" si="421">(CX47/CX15)*100</f>
        <v>20.302285840498772</v>
      </c>
      <c r="CY116" s="854">
        <f t="shared" si="421"/>
        <v>21.926518943182742</v>
      </c>
      <c r="CZ116" s="854">
        <f t="shared" si="421"/>
        <v>21.210899234740861</v>
      </c>
      <c r="DA116" s="854">
        <f t="shared" si="421"/>
        <v>22.1346008426056</v>
      </c>
      <c r="DB116" s="854">
        <f t="shared" si="421"/>
        <v>20.96567037839646</v>
      </c>
      <c r="DC116" s="854">
        <f t="shared" si="421"/>
        <v>20.60559090886558</v>
      </c>
      <c r="DD116" s="854">
        <f t="shared" si="421"/>
        <v>21.779865901618209</v>
      </c>
      <c r="DE116" s="854">
        <f t="shared" si="421"/>
        <v>20.03162409637044</v>
      </c>
      <c r="DF116" s="854">
        <f t="shared" si="421"/>
        <v>23.547127215963336</v>
      </c>
      <c r="DG116" s="854">
        <f t="shared" si="421"/>
        <v>20.903960744130686</v>
      </c>
      <c r="DH116" s="854">
        <f t="shared" si="421"/>
        <v>20.517469624218492</v>
      </c>
      <c r="DI116" s="854">
        <f t="shared" si="421"/>
        <v>18.60151520544531</v>
      </c>
      <c r="DJ116" s="854">
        <f t="shared" si="421"/>
        <v>13.349191381687747</v>
      </c>
      <c r="DK116" s="854">
        <f t="shared" si="421"/>
        <v>16.841012315243585</v>
      </c>
      <c r="DL116" s="854">
        <f t="shared" si="421"/>
        <v>18.378437420242332</v>
      </c>
      <c r="DM116" s="854">
        <f t="shared" si="421"/>
        <v>19.567770331842134</v>
      </c>
      <c r="DN116" s="854">
        <f t="shared" si="421"/>
        <v>17.610173507806547</v>
      </c>
      <c r="DO116" s="854">
        <f t="shared" si="421"/>
        <v>17.337899384952099</v>
      </c>
      <c r="DP116" s="854">
        <f t="shared" si="421"/>
        <v>19.514936286136557</v>
      </c>
      <c r="DQ116" s="854">
        <f t="shared" si="421"/>
        <v>19.33335610691698</v>
      </c>
      <c r="DR116" s="854">
        <f t="shared" ca="1" si="421"/>
        <v>18.979276333977918</v>
      </c>
      <c r="DS116" s="854">
        <f t="shared" ca="1" si="421"/>
        <v>20.949784138133104</v>
      </c>
      <c r="DT116" s="854">
        <f t="shared" ca="1" si="421"/>
        <v>21.742791838734654</v>
      </c>
      <c r="DU116" s="854">
        <f t="shared" ca="1" si="421"/>
        <v>22.202242505637461</v>
      </c>
      <c r="DV116" s="854"/>
      <c r="DW116" s="854"/>
      <c r="DX116" s="854"/>
      <c r="DY116" s="854"/>
    </row>
    <row r="117" spans="1:129">
      <c r="B117" s="23" t="s">
        <v>1123</v>
      </c>
      <c r="C117" s="23"/>
      <c r="E117" s="942"/>
      <c r="F117" s="854">
        <f t="shared" ref="F117:AD117" si="422">(F26/F15)*100</f>
        <v>30.03122338915697</v>
      </c>
      <c r="G117" s="854">
        <f t="shared" si="422"/>
        <v>8.9107115095610716</v>
      </c>
      <c r="H117" s="854">
        <f t="shared" si="422"/>
        <v>2.4630750707975104</v>
      </c>
      <c r="I117" s="854">
        <f t="shared" si="422"/>
        <v>0.89631028099052368</v>
      </c>
      <c r="J117" s="854">
        <f t="shared" si="422"/>
        <v>3.7442831486901569</v>
      </c>
      <c r="K117" s="854">
        <f t="shared" si="422"/>
        <v>10.67950044082834</v>
      </c>
      <c r="L117" s="854">
        <f t="shared" si="422"/>
        <v>10.18758255014996</v>
      </c>
      <c r="M117" s="854">
        <f t="shared" si="422"/>
        <v>7.8170233297383218</v>
      </c>
      <c r="N117" s="854">
        <f t="shared" si="422"/>
        <v>6.0119500197731686</v>
      </c>
      <c r="O117" s="854">
        <f t="shared" si="422"/>
        <v>5.6213185934958121</v>
      </c>
      <c r="P117" s="854">
        <f t="shared" si="422"/>
        <v>4.5316425699331875</v>
      </c>
      <c r="Q117" s="854">
        <f t="shared" si="422"/>
        <v>4.3835992404269204</v>
      </c>
      <c r="R117" s="854">
        <f t="shared" si="422"/>
        <v>4.7817551930864752</v>
      </c>
      <c r="S117" s="854">
        <f t="shared" si="422"/>
        <v>4.8281859009115005</v>
      </c>
      <c r="T117" s="854">
        <f t="shared" si="422"/>
        <v>4.9024035288588905</v>
      </c>
      <c r="U117" s="854">
        <f t="shared" si="422"/>
        <v>4.3230474954381091</v>
      </c>
      <c r="V117" s="854">
        <f t="shared" si="422"/>
        <v>4.0174634902990274</v>
      </c>
      <c r="W117" s="854">
        <f t="shared" ca="1" si="422"/>
        <v>3.6446939457113583</v>
      </c>
      <c r="X117" s="854">
        <f t="shared" ca="1" si="422"/>
        <v>3.6446939457113583</v>
      </c>
      <c r="Y117" s="854">
        <f t="shared" ca="1" si="422"/>
        <v>3.6446939457113583</v>
      </c>
      <c r="Z117" s="854">
        <f t="shared" ca="1" si="422"/>
        <v>3.6446939457113583</v>
      </c>
      <c r="AA117" s="854">
        <f t="shared" ca="1" si="422"/>
        <v>3.6446939457113583</v>
      </c>
      <c r="AB117" s="854">
        <f t="shared" ca="1" si="422"/>
        <v>3.6446939457113583</v>
      </c>
      <c r="AC117" s="854">
        <f t="shared" ca="1" si="422"/>
        <v>3.6446939457113583</v>
      </c>
      <c r="AD117" s="854">
        <f t="shared" ca="1" si="422"/>
        <v>3.6446939457113583</v>
      </c>
      <c r="AE117" s="54"/>
      <c r="AG117" s="854"/>
      <c r="AH117" s="854"/>
      <c r="AI117" s="854"/>
      <c r="AJ117" s="854"/>
      <c r="AK117" s="1116"/>
      <c r="AL117" s="854">
        <f t="shared" ref="AL117:BQ117" si="423">(AL26/AL15)*100</f>
        <v>2560.2941176470586</v>
      </c>
      <c r="AM117" s="854">
        <f t="shared" si="423"/>
        <v>734.08071748878922</v>
      </c>
      <c r="AN117" s="854">
        <f t="shared" si="423"/>
        <v>256.44546147978645</v>
      </c>
      <c r="AO117" s="854">
        <f t="shared" si="423"/>
        <v>121.37802607076351</v>
      </c>
      <c r="AP117" s="1116">
        <f t="shared" si="423"/>
        <v>229.66349108789183</v>
      </c>
      <c r="AQ117" s="854">
        <f t="shared" si="423"/>
        <v>64.607944184571465</v>
      </c>
      <c r="AR117" s="854">
        <f t="shared" si="423"/>
        <v>30.903014173423287</v>
      </c>
      <c r="AS117" s="854">
        <f t="shared" si="423"/>
        <v>16.876237047386191</v>
      </c>
      <c r="AT117" s="854">
        <f t="shared" si="423"/>
        <v>17.193404328409482</v>
      </c>
      <c r="AU117" s="1116">
        <f t="shared" si="423"/>
        <v>30.03122338915697</v>
      </c>
      <c r="AV117" s="854">
        <f t="shared" si="423"/>
        <v>12.803849588252803</v>
      </c>
      <c r="AW117" s="854">
        <f t="shared" si="423"/>
        <v>8.6862527716186264</v>
      </c>
      <c r="AX117" s="854">
        <f t="shared" si="423"/>
        <v>7.3908951305295485</v>
      </c>
      <c r="AY117" s="854">
        <f t="shared" si="423"/>
        <v>6.5840557357868423</v>
      </c>
      <c r="AZ117" s="1116">
        <f t="shared" si="423"/>
        <v>8.9107115095610716</v>
      </c>
      <c r="BA117" s="854">
        <f t="shared" si="423"/>
        <v>3.7664635344997048</v>
      </c>
      <c r="BB117" s="854">
        <f t="shared" si="423"/>
        <v>2.4970106210874308</v>
      </c>
      <c r="BC117" s="854">
        <f t="shared" si="423"/>
        <v>1.5912545683883697</v>
      </c>
      <c r="BD117" s="854">
        <f t="shared" si="423"/>
        <v>2.2470893406527122</v>
      </c>
      <c r="BE117" s="1116">
        <f t="shared" si="423"/>
        <v>2.4630750707975109</v>
      </c>
      <c r="BF117" s="854">
        <f t="shared" si="423"/>
        <v>1.8386746333514397</v>
      </c>
      <c r="BG117" s="854">
        <f t="shared" si="423"/>
        <v>0.46419602769956619</v>
      </c>
      <c r="BH117" s="854">
        <f t="shared" si="423"/>
        <v>0.37465538773298146</v>
      </c>
      <c r="BI117" s="854">
        <f t="shared" si="423"/>
        <v>0.99579897308230902</v>
      </c>
      <c r="BJ117" s="1116">
        <f t="shared" si="423"/>
        <v>0.89631028099052368</v>
      </c>
      <c r="BK117" s="854">
        <f t="shared" si="423"/>
        <v>5.0201298167775859</v>
      </c>
      <c r="BL117" s="854">
        <f t="shared" si="423"/>
        <v>4.7428495207606849</v>
      </c>
      <c r="BM117" s="854">
        <f t="shared" si="423"/>
        <v>2.3375103277334071</v>
      </c>
      <c r="BN117" s="854">
        <f t="shared" si="423"/>
        <v>3.2136962361241466</v>
      </c>
      <c r="BO117" s="1116">
        <f t="shared" si="423"/>
        <v>3.7442831486901578</v>
      </c>
      <c r="BP117" s="854">
        <f t="shared" si="423"/>
        <v>11.959487582666602</v>
      </c>
      <c r="BQ117" s="854">
        <f t="shared" si="423"/>
        <v>12.979226235630506</v>
      </c>
      <c r="BR117" s="854">
        <f t="shared" ref="BR117:CW117" si="424">(BR26/BR15)*100</f>
        <v>9.3386322328622189</v>
      </c>
      <c r="BS117" s="854">
        <f t="shared" si="424"/>
        <v>8.9276228829785929</v>
      </c>
      <c r="BT117" s="1116">
        <f t="shared" si="424"/>
        <v>10.67950044082834</v>
      </c>
      <c r="BU117" s="854">
        <f t="shared" si="424"/>
        <v>12.334770705800796</v>
      </c>
      <c r="BV117" s="854">
        <f t="shared" si="424"/>
        <v>10.937857290634492</v>
      </c>
      <c r="BW117" s="854">
        <f t="shared" si="424"/>
        <v>10.106762251642868</v>
      </c>
      <c r="BX117" s="854">
        <f t="shared" si="424"/>
        <v>8.4338999668382435</v>
      </c>
      <c r="BY117" s="1116">
        <f t="shared" si="424"/>
        <v>10.18758255014996</v>
      </c>
      <c r="BZ117" s="854">
        <f t="shared" si="424"/>
        <v>7.799997471842647</v>
      </c>
      <c r="CA117" s="854">
        <f t="shared" si="424"/>
        <v>9.9090930227151208</v>
      </c>
      <c r="CB117" s="854">
        <f t="shared" si="424"/>
        <v>6.8370207091735402</v>
      </c>
      <c r="CC117" s="854">
        <f t="shared" si="424"/>
        <v>6.8878714935259042</v>
      </c>
      <c r="CD117" s="1116">
        <f t="shared" si="424"/>
        <v>7.8170233297383218</v>
      </c>
      <c r="CE117" s="854">
        <f t="shared" si="424"/>
        <v>5.791267423242366</v>
      </c>
      <c r="CF117" s="854">
        <f t="shared" si="424"/>
        <v>6.3137994445695416</v>
      </c>
      <c r="CG117" s="854">
        <f t="shared" si="424"/>
        <v>6.1667794584237861</v>
      </c>
      <c r="CH117" s="854">
        <f t="shared" si="424"/>
        <v>5.7826775289422478</v>
      </c>
      <c r="CI117" s="1116">
        <f t="shared" si="424"/>
        <v>6.0119500197731695</v>
      </c>
      <c r="CJ117" s="854">
        <f t="shared" si="424"/>
        <v>6.022143664362213</v>
      </c>
      <c r="CK117" s="854">
        <f t="shared" si="424"/>
        <v>6.2289451997641532</v>
      </c>
      <c r="CL117" s="854">
        <f t="shared" si="424"/>
        <v>5.258654486393648</v>
      </c>
      <c r="CM117" s="854">
        <f t="shared" si="424"/>
        <v>5.1473431819939668</v>
      </c>
      <c r="CN117" s="1116">
        <f t="shared" si="424"/>
        <v>5.6213185934958121</v>
      </c>
      <c r="CO117" s="854">
        <f t="shared" si="424"/>
        <v>4.3636230078344624</v>
      </c>
      <c r="CP117" s="854">
        <f t="shared" si="424"/>
        <v>4.7248976034406285</v>
      </c>
      <c r="CQ117" s="854">
        <f t="shared" si="424"/>
        <v>4.6794771293066288</v>
      </c>
      <c r="CR117" s="854">
        <f t="shared" si="424"/>
        <v>4.3530688246832625</v>
      </c>
      <c r="CS117" s="1116">
        <f t="shared" si="424"/>
        <v>4.5316425699331875</v>
      </c>
      <c r="CT117" s="854">
        <f t="shared" si="424"/>
        <v>4.2818719497813822</v>
      </c>
      <c r="CU117" s="854">
        <f t="shared" si="424"/>
        <v>4.4161745658902811</v>
      </c>
      <c r="CV117" s="854">
        <f t="shared" si="424"/>
        <v>4.5594893107964571</v>
      </c>
      <c r="CW117" s="854">
        <f t="shared" si="424"/>
        <v>4.2744027870268102</v>
      </c>
      <c r="CX117" s="854">
        <f t="shared" ref="CX117:DU117" si="425">(CX26/CX15)*100</f>
        <v>4.6181805500122071</v>
      </c>
      <c r="CY117" s="854">
        <f t="shared" si="425"/>
        <v>4.5746505291460489</v>
      </c>
      <c r="CZ117" s="854">
        <f t="shared" si="425"/>
        <v>5.0231640040951309</v>
      </c>
      <c r="DA117" s="854">
        <f t="shared" si="425"/>
        <v>4.893062759772401</v>
      </c>
      <c r="DB117" s="854">
        <f t="shared" si="425"/>
        <v>4.3066754244870733</v>
      </c>
      <c r="DC117" s="854">
        <f t="shared" si="425"/>
        <v>5.5902478844472778</v>
      </c>
      <c r="DD117" s="854">
        <f t="shared" si="425"/>
        <v>4.4584488427567539</v>
      </c>
      <c r="DE117" s="854">
        <f t="shared" si="425"/>
        <v>4.9390319390836535</v>
      </c>
      <c r="DF117" s="854">
        <f t="shared" si="425"/>
        <v>4.7596762306934046</v>
      </c>
      <c r="DG117" s="854">
        <f t="shared" si="425"/>
        <v>5.1072595112247638</v>
      </c>
      <c r="DH117" s="854">
        <f t="shared" si="425"/>
        <v>4.9470690265332076</v>
      </c>
      <c r="DI117" s="854">
        <f t="shared" si="425"/>
        <v>4.7994283070166555</v>
      </c>
      <c r="DJ117" s="854">
        <f t="shared" si="425"/>
        <v>4.088699245163216</v>
      </c>
      <c r="DK117" s="854">
        <f t="shared" si="425"/>
        <v>4.3667477318408459</v>
      </c>
      <c r="DL117" s="854">
        <f t="shared" si="425"/>
        <v>4.593284566702283</v>
      </c>
      <c r="DM117" s="854">
        <f t="shared" si="425"/>
        <v>4.2260782668379573</v>
      </c>
      <c r="DN117" s="854">
        <f t="shared" si="425"/>
        <v>4.0360180090045015</v>
      </c>
      <c r="DO117" s="854">
        <f t="shared" si="425"/>
        <v>4.2783291026714592</v>
      </c>
      <c r="DP117" s="854">
        <f t="shared" si="425"/>
        <v>3.962123164803808</v>
      </c>
      <c r="DQ117" s="854">
        <f t="shared" si="425"/>
        <v>3.8241290562321444</v>
      </c>
      <c r="DR117" s="854">
        <f t="shared" ca="1" si="425"/>
        <v>3.8241290562321444</v>
      </c>
      <c r="DS117" s="854">
        <f t="shared" ca="1" si="425"/>
        <v>3.8241290562321444</v>
      </c>
      <c r="DT117" s="854">
        <f t="shared" ca="1" si="425"/>
        <v>3.8241290562321444</v>
      </c>
      <c r="DU117" s="854">
        <f t="shared" ca="1" si="425"/>
        <v>3.8241290562321444</v>
      </c>
      <c r="DV117" s="854"/>
      <c r="DW117" s="854"/>
      <c r="DX117" s="854"/>
      <c r="DY117" s="854"/>
    </row>
    <row r="118" spans="1:129">
      <c r="B118" s="23" t="s">
        <v>382</v>
      </c>
      <c r="C118" s="23"/>
      <c r="E118" s="942"/>
      <c r="F118" s="942">
        <f t="shared" ref="F118:AD118" si="426">(F61/F15)*100</f>
        <v>-297.11893272778877</v>
      </c>
      <c r="G118" s="942">
        <f t="shared" si="426"/>
        <v>-28.006944084572744</v>
      </c>
      <c r="H118" s="942">
        <f t="shared" si="426"/>
        <v>-71.36643434908683</v>
      </c>
      <c r="I118" s="942">
        <f t="shared" si="426"/>
        <v>-41.93229099840535</v>
      </c>
      <c r="J118" s="942">
        <f t="shared" si="426"/>
        <v>-19.276476202970262</v>
      </c>
      <c r="K118" s="942">
        <f t="shared" si="426"/>
        <v>-2.3509687810228397</v>
      </c>
      <c r="L118" s="854">
        <f t="shared" si="426"/>
        <v>-1.2368813805007408</v>
      </c>
      <c r="M118" s="854">
        <f t="shared" si="426"/>
        <v>15.315320429130946</v>
      </c>
      <c r="N118" s="854">
        <f t="shared" si="426"/>
        <v>7.8674551760945244</v>
      </c>
      <c r="O118" s="854">
        <f t="shared" si="426"/>
        <v>2.9486362807992514</v>
      </c>
      <c r="P118" s="854">
        <f t="shared" si="426"/>
        <v>5.6913562630272763</v>
      </c>
      <c r="Q118" s="854">
        <f t="shared" si="426"/>
        <v>6.8909427692203291</v>
      </c>
      <c r="R118" s="854">
        <f t="shared" si="426"/>
        <v>4.4650928154755336</v>
      </c>
      <c r="S118" s="854">
        <f t="shared" si="426"/>
        <v>-10.668985483524484</v>
      </c>
      <c r="T118" s="854">
        <f t="shared" si="426"/>
        <v>6.8885972793243582</v>
      </c>
      <c r="U118" s="854">
        <f t="shared" si="426"/>
        <v>3.1674515066352633</v>
      </c>
      <c r="V118" s="854">
        <f t="shared" si="426"/>
        <v>5.3333144096686587</v>
      </c>
      <c r="W118" s="854">
        <f t="shared" ca="1" si="426"/>
        <v>9.4056384833956042</v>
      </c>
      <c r="X118" s="854">
        <f t="shared" ca="1" si="426"/>
        <v>12.841316537574604</v>
      </c>
      <c r="Y118" s="854">
        <f t="shared" ca="1" si="426"/>
        <v>13.594634457645318</v>
      </c>
      <c r="Z118" s="854">
        <f t="shared" ca="1" si="426"/>
        <v>14.122335631415911</v>
      </c>
      <c r="AA118" s="854">
        <f t="shared" ca="1" si="426"/>
        <v>16.354740868175671</v>
      </c>
      <c r="AB118" s="854">
        <f t="shared" ca="1" si="426"/>
        <v>23.278629470396631</v>
      </c>
      <c r="AC118" s="854">
        <f t="shared" ca="1" si="426"/>
        <v>27.57460542427561</v>
      </c>
      <c r="AD118" s="854">
        <f t="shared" ca="1" si="426"/>
        <v>28.290516589655262</v>
      </c>
      <c r="AE118" s="54"/>
      <c r="AG118" s="854"/>
      <c r="AH118" s="854"/>
      <c r="AI118" s="854"/>
      <c r="AJ118" s="854"/>
      <c r="AK118" s="1116"/>
      <c r="AL118" s="854">
        <f t="shared" ref="AL118:BQ118" si="427">(AL75/AL15)*100</f>
        <v>-13241.911764705881</v>
      </c>
      <c r="AM118" s="854">
        <f t="shared" si="427"/>
        <v>-3005.7174887892374</v>
      </c>
      <c r="AN118" s="854">
        <f t="shared" si="427"/>
        <v>-815.78947368421063</v>
      </c>
      <c r="AO118" s="854">
        <f t="shared" si="427"/>
        <v>-532.40223463687164</v>
      </c>
      <c r="AP118" s="1116">
        <f t="shared" si="427"/>
        <v>-920.32882606023372</v>
      </c>
      <c r="AQ118" s="854">
        <f t="shared" si="427"/>
        <v>-329.31895663204631</v>
      </c>
      <c r="AR118" s="854">
        <f t="shared" si="427"/>
        <v>-234.30711146871323</v>
      </c>
      <c r="AS118" s="854">
        <f t="shared" si="427"/>
        <v>-192.15857492141112</v>
      </c>
      <c r="AT118" s="854">
        <f t="shared" si="427"/>
        <v>-157.14531088972862</v>
      </c>
      <c r="AU118" s="1116">
        <f t="shared" si="427"/>
        <v>-220.5348976566689</v>
      </c>
      <c r="AV118" s="854">
        <f t="shared" si="427"/>
        <v>-125.78628832225418</v>
      </c>
      <c r="AW118" s="854">
        <f t="shared" si="427"/>
        <v>-167.03436807095343</v>
      </c>
      <c r="AX118" s="854">
        <f t="shared" si="427"/>
        <v>-124.22846386288204</v>
      </c>
      <c r="AY118" s="854">
        <f t="shared" si="427"/>
        <v>-139.99893633994577</v>
      </c>
      <c r="AZ118" s="1116">
        <f t="shared" si="427"/>
        <v>-138.48137016116496</v>
      </c>
      <c r="BA118" s="854">
        <f t="shared" si="427"/>
        <v>-100.46392765873794</v>
      </c>
      <c r="BB118" s="854">
        <f t="shared" si="427"/>
        <v>-74.569177744953251</v>
      </c>
      <c r="BC118" s="854">
        <f t="shared" si="427"/>
        <v>-63.773084511142009</v>
      </c>
      <c r="BD118" s="854">
        <f t="shared" si="427"/>
        <v>-53.378174579236315</v>
      </c>
      <c r="BE118" s="1116">
        <f t="shared" si="427"/>
        <v>-71.366434349086845</v>
      </c>
      <c r="BF118" s="854">
        <f t="shared" si="427"/>
        <v>-37.835415535035288</v>
      </c>
      <c r="BG118" s="854">
        <f t="shared" si="427"/>
        <v>-23.349313852319707</v>
      </c>
      <c r="BH118" s="854">
        <f t="shared" si="427"/>
        <v>-15.587077923608</v>
      </c>
      <c r="BI118" s="854">
        <f t="shared" si="427"/>
        <v>-11.159596187960567</v>
      </c>
      <c r="BJ118" s="1116">
        <f t="shared" si="427"/>
        <v>-21.244808627674789</v>
      </c>
      <c r="BK118" s="854">
        <f t="shared" si="427"/>
        <v>-11.901240654013643</v>
      </c>
      <c r="BL118" s="854">
        <f t="shared" si="427"/>
        <v>-6.5378532365327091</v>
      </c>
      <c r="BM118" s="854">
        <f t="shared" si="427"/>
        <v>-1.3477692095841451</v>
      </c>
      <c r="BN118" s="854">
        <f t="shared" si="427"/>
        <v>1.9412150228997622</v>
      </c>
      <c r="BO118" s="1116">
        <f t="shared" si="427"/>
        <v>-3.9846591332318817</v>
      </c>
      <c r="BP118" s="854">
        <f t="shared" si="427"/>
        <v>-7.8157517458262005</v>
      </c>
      <c r="BQ118" s="854">
        <f t="shared" si="427"/>
        <v>-7.6880434148333956</v>
      </c>
      <c r="BR118" s="854">
        <f t="shared" ref="BR118:CI118" si="428">(BR75/BR15)*100</f>
        <v>-4.9385562759406465</v>
      </c>
      <c r="BS118" s="854">
        <f t="shared" si="428"/>
        <v>-0.6621289421996216</v>
      </c>
      <c r="BT118" s="1116">
        <f t="shared" si="428"/>
        <v>-5.0389803328080429</v>
      </c>
      <c r="BU118" s="854">
        <f t="shared" si="428"/>
        <v>-1.2466366659225097</v>
      </c>
      <c r="BV118" s="854">
        <f t="shared" si="428"/>
        <v>1.7066066209582267</v>
      </c>
      <c r="BW118" s="854">
        <f t="shared" si="428"/>
        <v>3.9737141315449627</v>
      </c>
      <c r="BX118" s="854">
        <f t="shared" si="428"/>
        <v>-5.3426474616837538</v>
      </c>
      <c r="BY118" s="1116">
        <f t="shared" si="428"/>
        <v>-0.66295308469599668</v>
      </c>
      <c r="BZ118" s="854">
        <f t="shared" si="428"/>
        <v>2.3998533668735575</v>
      </c>
      <c r="CA118" s="854">
        <f t="shared" si="428"/>
        <v>0.41152263374484499</v>
      </c>
      <c r="CB118" s="854">
        <f t="shared" si="428"/>
        <v>3.4446259330682198</v>
      </c>
      <c r="CC118" s="854">
        <f t="shared" si="428"/>
        <v>52.551092651154008</v>
      </c>
      <c r="CD118" s="1116">
        <f t="shared" si="428"/>
        <v>15.757504606079761</v>
      </c>
      <c r="CE118" s="854">
        <f t="shared" si="428"/>
        <v>6.0862693205384062</v>
      </c>
      <c r="CF118" s="854">
        <f t="shared" si="428"/>
        <v>8.1179795744172942</v>
      </c>
      <c r="CG118" s="854">
        <f t="shared" si="428"/>
        <v>8.7030355901113943</v>
      </c>
      <c r="CH118" s="854">
        <f t="shared" si="428"/>
        <v>8.3127570012205467</v>
      </c>
      <c r="CI118" s="1116">
        <f t="shared" si="428"/>
        <v>7.8637024686367987</v>
      </c>
      <c r="CJ118" s="854">
        <f>(CJ61/CJ15)*100</f>
        <v>5.7104593221770505</v>
      </c>
      <c r="CK118" s="854">
        <f>(CK61/CK15)*100</f>
        <v>-0.96994314126414272</v>
      </c>
      <c r="CL118" s="854">
        <f>(CL61/CL15)*100</f>
        <v>3.2900427512648065</v>
      </c>
      <c r="CM118" s="854">
        <f>(CM61/CM15)*100</f>
        <v>3.9600897207827397</v>
      </c>
      <c r="CN118" s="1116">
        <f>(CN75/CN15)*100</f>
        <v>4.4426173901960055</v>
      </c>
      <c r="CO118" s="854">
        <f>(CO61/CO15)*100</f>
        <v>6.7896787390273685</v>
      </c>
      <c r="CP118" s="854">
        <f>(CP61/CP15)*100</f>
        <v>7.9554150205830689</v>
      </c>
      <c r="CQ118" s="854">
        <f>(CQ61/CQ15)*100</f>
        <v>4.8198467447967612</v>
      </c>
      <c r="CR118" s="854">
        <f>(CR61/CR15)*100</f>
        <v>3.5454709132086899</v>
      </c>
      <c r="CS118" s="1116">
        <f>(CS75/CS15)*100</f>
        <v>6.209939464440688</v>
      </c>
      <c r="CT118" s="854">
        <f t="shared" ref="CT118:DU118" si="429">(CT61/CT15)*100</f>
        <v>7.3039695930622859</v>
      </c>
      <c r="CU118" s="854">
        <f t="shared" si="429"/>
        <v>8.0016683862753233</v>
      </c>
      <c r="CV118" s="854">
        <f t="shared" si="429"/>
        <v>5.4963028659234476</v>
      </c>
      <c r="CW118" s="854">
        <f t="shared" si="429"/>
        <v>6.8673810761195835</v>
      </c>
      <c r="CX118" s="854">
        <f t="shared" si="429"/>
        <v>6.4487129311380187</v>
      </c>
      <c r="CY118" s="854">
        <f t="shared" si="429"/>
        <v>-4.7813171832072463</v>
      </c>
      <c r="CZ118" s="854">
        <f t="shared" si="429"/>
        <v>7.8722628543650846</v>
      </c>
      <c r="DA118" s="854">
        <f t="shared" si="429"/>
        <v>8.0352130510008433</v>
      </c>
      <c r="DB118" s="854">
        <f t="shared" si="429"/>
        <v>7.1264177583772552</v>
      </c>
      <c r="DC118" s="854">
        <f t="shared" si="429"/>
        <v>1.6655071956058027</v>
      </c>
      <c r="DD118" s="854">
        <f t="shared" si="429"/>
        <v>6.9242795435497397</v>
      </c>
      <c r="DE118" s="854">
        <f t="shared" si="429"/>
        <v>-55.648223456053003</v>
      </c>
      <c r="DF118" s="854">
        <f t="shared" si="429"/>
        <v>11.886674523534847</v>
      </c>
      <c r="DG118" s="854">
        <f t="shared" si="429"/>
        <v>8.9333846167714697</v>
      </c>
      <c r="DH118" s="854">
        <f t="shared" si="429"/>
        <v>5.9902512054921848</v>
      </c>
      <c r="DI118" s="854">
        <f t="shared" si="429"/>
        <v>1.4690702596438834</v>
      </c>
      <c r="DJ118" s="854">
        <f t="shared" si="429"/>
        <v>-4.4218130298191305</v>
      </c>
      <c r="DK118" s="854">
        <f t="shared" si="429"/>
        <v>4.3644157199809008</v>
      </c>
      <c r="DL118" s="854">
        <f t="shared" si="429"/>
        <v>5.2741717098745884</v>
      </c>
      <c r="DM118" s="854">
        <f t="shared" si="429"/>
        <v>6.7537476913415055</v>
      </c>
      <c r="DN118" s="854">
        <f t="shared" si="429"/>
        <v>4.4297938442905807</v>
      </c>
      <c r="DO118" s="854">
        <f t="shared" si="429"/>
        <v>4.29520799009022</v>
      </c>
      <c r="DP118" s="854">
        <f t="shared" si="429"/>
        <v>6.9341928608188566</v>
      </c>
      <c r="DQ118" s="854">
        <f t="shared" si="429"/>
        <v>5.4335826485288985</v>
      </c>
      <c r="DR118" s="854">
        <f t="shared" ca="1" si="429"/>
        <v>7.935217329178716</v>
      </c>
      <c r="DS118" s="854">
        <f t="shared" ca="1" si="429"/>
        <v>9.7662971418796847</v>
      </c>
      <c r="DT118" s="854">
        <f t="shared" ca="1" si="429"/>
        <v>10.654790692889771</v>
      </c>
      <c r="DU118" s="854">
        <f t="shared" ca="1" si="429"/>
        <v>11.24261308235946</v>
      </c>
      <c r="DV118" s="854"/>
      <c r="DW118" s="854"/>
      <c r="DX118" s="854"/>
      <c r="DY118" s="854"/>
    </row>
    <row r="119" spans="1:129">
      <c r="B119" s="23" t="s">
        <v>383</v>
      </c>
      <c r="C119" s="23"/>
      <c r="E119" s="942"/>
      <c r="F119" s="942">
        <f t="shared" ref="F119:AD119" si="430">(F63/F15)*100</f>
        <v>-297.11893272778877</v>
      </c>
      <c r="G119" s="942">
        <f t="shared" si="430"/>
        <v>-28.006944084572744</v>
      </c>
      <c r="H119" s="942">
        <f t="shared" si="430"/>
        <v>-71.36643434908683</v>
      </c>
      <c r="I119" s="942">
        <f t="shared" si="430"/>
        <v>-41.93229099840535</v>
      </c>
      <c r="J119" s="942">
        <f t="shared" si="430"/>
        <v>-19.276476202970262</v>
      </c>
      <c r="K119" s="942">
        <f t="shared" si="430"/>
        <v>-2.2204558234464931</v>
      </c>
      <c r="L119" s="854">
        <f t="shared" si="430"/>
        <v>-1.2368813805007408</v>
      </c>
      <c r="M119" s="854">
        <f t="shared" si="430"/>
        <v>15.315320429130946</v>
      </c>
      <c r="N119" s="854">
        <f t="shared" si="430"/>
        <v>7.8674551760945244</v>
      </c>
      <c r="O119" s="854">
        <f t="shared" si="430"/>
        <v>3.0831439859423111</v>
      </c>
      <c r="P119" s="854">
        <f t="shared" si="430"/>
        <v>5.8995377708015937</v>
      </c>
      <c r="Q119" s="854">
        <f t="shared" si="430"/>
        <v>7.5842863319232565</v>
      </c>
      <c r="R119" s="854">
        <f t="shared" si="430"/>
        <v>4.4650928154755336</v>
      </c>
      <c r="S119" s="854">
        <f t="shared" si="430"/>
        <v>-10.668985483524484</v>
      </c>
      <c r="T119" s="854">
        <f t="shared" si="430"/>
        <v>6.8885972793243582</v>
      </c>
      <c r="U119" s="854">
        <f t="shared" si="430"/>
        <v>3.510531178251096</v>
      </c>
      <c r="V119" s="854">
        <f t="shared" si="430"/>
        <v>5.3333144096686587</v>
      </c>
      <c r="W119" s="854">
        <f t="shared" ca="1" si="430"/>
        <v>9.4056384833956042</v>
      </c>
      <c r="X119" s="854">
        <f t="shared" ca="1" si="430"/>
        <v>12.841316537574604</v>
      </c>
      <c r="Y119" s="854">
        <f t="shared" ca="1" si="430"/>
        <v>13.594634457645318</v>
      </c>
      <c r="Z119" s="854">
        <f t="shared" ca="1" si="430"/>
        <v>14.122335631415911</v>
      </c>
      <c r="AA119" s="854">
        <f t="shared" ca="1" si="430"/>
        <v>16.354740868175671</v>
      </c>
      <c r="AB119" s="854">
        <f t="shared" ca="1" si="430"/>
        <v>23.278629470396631</v>
      </c>
      <c r="AC119" s="854">
        <f t="shared" ca="1" si="430"/>
        <v>27.57460542427561</v>
      </c>
      <c r="AD119" s="854">
        <f t="shared" ca="1" si="430"/>
        <v>28.290516589655262</v>
      </c>
      <c r="AE119" s="54"/>
      <c r="AG119" s="854"/>
      <c r="AH119" s="854"/>
      <c r="AI119" s="854"/>
      <c r="AJ119" s="854"/>
      <c r="AK119" s="1116"/>
      <c r="AL119" s="854">
        <f t="shared" ref="AL119:BQ119" si="431">(AL63/AL15)*100</f>
        <v>-13241.911764705881</v>
      </c>
      <c r="AM119" s="854">
        <f t="shared" si="431"/>
        <v>-3005.7174887892374</v>
      </c>
      <c r="AN119" s="854">
        <f t="shared" si="431"/>
        <v>-815.78947368421063</v>
      </c>
      <c r="AO119" s="854">
        <f t="shared" si="431"/>
        <v>-532.40223463687164</v>
      </c>
      <c r="AP119" s="1116">
        <f t="shared" si="431"/>
        <v>-920.32882606023372</v>
      </c>
      <c r="AQ119" s="854">
        <f t="shared" si="431"/>
        <v>-329.31895663204631</v>
      </c>
      <c r="AR119" s="854">
        <f t="shared" si="431"/>
        <v>-234.30711146871323</v>
      </c>
      <c r="AS119" s="854">
        <f t="shared" si="431"/>
        <v>-474.8748399115147</v>
      </c>
      <c r="AT119" s="854">
        <f t="shared" si="431"/>
        <v>-157.14531088972862</v>
      </c>
      <c r="AU119" s="1116">
        <f t="shared" si="431"/>
        <v>-297.11893272778883</v>
      </c>
      <c r="AV119" s="854">
        <f t="shared" si="431"/>
        <v>-67.933326718920512</v>
      </c>
      <c r="AW119" s="854">
        <f t="shared" si="431"/>
        <v>-136.12527716186253</v>
      </c>
      <c r="AX119" s="854">
        <f t="shared" si="431"/>
        <v>-218.39797889731014</v>
      </c>
      <c r="AY119" s="854">
        <f t="shared" si="431"/>
        <v>322.93251076955801</v>
      </c>
      <c r="AZ119" s="1116">
        <f t="shared" si="431"/>
        <v>-28.006944084572744</v>
      </c>
      <c r="BA119" s="854">
        <f t="shared" si="431"/>
        <v>-100.46392765873794</v>
      </c>
      <c r="BB119" s="854">
        <f t="shared" si="431"/>
        <v>-74.569177744953251</v>
      </c>
      <c r="BC119" s="854">
        <f t="shared" si="431"/>
        <v>-63.773084511142009</v>
      </c>
      <c r="BD119" s="854">
        <f t="shared" si="431"/>
        <v>-53.378174579236315</v>
      </c>
      <c r="BE119" s="1116">
        <f t="shared" si="431"/>
        <v>-71.366434349086845</v>
      </c>
      <c r="BF119" s="854">
        <f t="shared" si="431"/>
        <v>-81.863117870722419</v>
      </c>
      <c r="BG119" s="854">
        <f t="shared" si="431"/>
        <v>-23.349313852319707</v>
      </c>
      <c r="BH119" s="854">
        <f t="shared" si="431"/>
        <v>-15.587077923608</v>
      </c>
      <c r="BI119" s="854">
        <f t="shared" si="431"/>
        <v>-50.387872591077794</v>
      </c>
      <c r="BJ119" s="1116">
        <f t="shared" si="431"/>
        <v>-41.93229099840535</v>
      </c>
      <c r="BK119" s="854">
        <f t="shared" si="431"/>
        <v>-11.901240654013643</v>
      </c>
      <c r="BL119" s="854">
        <f t="shared" si="431"/>
        <v>-6.5378532365327091</v>
      </c>
      <c r="BM119" s="854">
        <f t="shared" si="431"/>
        <v>-1.3477692095841451</v>
      </c>
      <c r="BN119" s="854">
        <f t="shared" si="431"/>
        <v>-52.758988964044164</v>
      </c>
      <c r="BO119" s="1116">
        <f t="shared" si="431"/>
        <v>-19.276476202970276</v>
      </c>
      <c r="BP119" s="854">
        <f t="shared" si="431"/>
        <v>-7.8157517458262005</v>
      </c>
      <c r="BQ119" s="854">
        <f t="shared" si="431"/>
        <v>-7.6880434148333956</v>
      </c>
      <c r="BR119" s="854">
        <f t="shared" ref="BR119:CW119" si="432">(BR63/BR15)*100</f>
        <v>-7.00973876244473</v>
      </c>
      <c r="BS119" s="854">
        <f t="shared" si="432"/>
        <v>11.25495670220255</v>
      </c>
      <c r="BT119" s="1116">
        <f t="shared" si="432"/>
        <v>-2.2204558234465144</v>
      </c>
      <c r="BU119" s="854">
        <f t="shared" si="432"/>
        <v>-5.2356390041006104</v>
      </c>
      <c r="BV119" s="854">
        <f t="shared" si="432"/>
        <v>1.325173949497495</v>
      </c>
      <c r="BW119" s="854">
        <f t="shared" si="432"/>
        <v>3.9737141315449627</v>
      </c>
      <c r="BX119" s="854">
        <f t="shared" si="432"/>
        <v>-4.3780728693570961</v>
      </c>
      <c r="BY119" s="1116">
        <f t="shared" si="432"/>
        <v>-1.2368813805007544</v>
      </c>
      <c r="BZ119" s="854">
        <f t="shared" si="432"/>
        <v>2.3998533668735575</v>
      </c>
      <c r="CA119" s="854">
        <f t="shared" si="432"/>
        <v>0.41152263374484499</v>
      </c>
      <c r="CB119" s="854">
        <f t="shared" si="432"/>
        <v>3.0239203200261038</v>
      </c>
      <c r="CC119" s="854">
        <f t="shared" si="432"/>
        <v>51.322351756580296</v>
      </c>
      <c r="CD119" s="1116">
        <f t="shared" si="432"/>
        <v>15.315320429130946</v>
      </c>
      <c r="CE119" s="854">
        <f t="shared" si="432"/>
        <v>7.7583307818562517</v>
      </c>
      <c r="CF119" s="854">
        <f t="shared" si="432"/>
        <v>8.1813405389176612</v>
      </c>
      <c r="CG119" s="854">
        <f t="shared" si="432"/>
        <v>8.266903382873819</v>
      </c>
      <c r="CH119" s="854">
        <f t="shared" si="432"/>
        <v>7.3064744879448513</v>
      </c>
      <c r="CI119" s="1116">
        <f t="shared" si="432"/>
        <v>7.8674551760945288</v>
      </c>
      <c r="CJ119" s="854">
        <f t="shared" si="432"/>
        <v>5.7104593221770505</v>
      </c>
      <c r="CK119" s="854">
        <f t="shared" si="432"/>
        <v>-0.78409196702263273</v>
      </c>
      <c r="CL119" s="854">
        <f t="shared" si="432"/>
        <v>3.4835746778097954</v>
      </c>
      <c r="CM119" s="854">
        <f t="shared" si="432"/>
        <v>4.0933619710013893</v>
      </c>
      <c r="CN119" s="1116">
        <f t="shared" si="432"/>
        <v>3.0831439859423089</v>
      </c>
      <c r="CO119" s="854">
        <f t="shared" si="432"/>
        <v>7.1041308211069909</v>
      </c>
      <c r="CP119" s="854">
        <f t="shared" si="432"/>
        <v>7.9720163626978202</v>
      </c>
      <c r="CQ119" s="854">
        <f t="shared" si="432"/>
        <v>5.0560008623054822</v>
      </c>
      <c r="CR119" s="854">
        <f t="shared" si="432"/>
        <v>3.8124591344559291</v>
      </c>
      <c r="CS119" s="1116">
        <f t="shared" si="432"/>
        <v>5.8995377708015972</v>
      </c>
      <c r="CT119" s="854">
        <f t="shared" si="432"/>
        <v>7.3490992216839937</v>
      </c>
      <c r="CU119" s="854">
        <f t="shared" si="432"/>
        <v>8.0785019647443601</v>
      </c>
      <c r="CV119" s="854">
        <f t="shared" si="432"/>
        <v>5.6363505109985761</v>
      </c>
      <c r="CW119" s="854">
        <f t="shared" si="432"/>
        <v>9.2105861174289974</v>
      </c>
      <c r="CX119" s="854">
        <f t="shared" ref="CX119:DU119" si="433">(CX63/CX15)*100</f>
        <v>6.4487129311380187</v>
      </c>
      <c r="CY119" s="854">
        <f t="shared" si="433"/>
        <v>-4.7813171832072463</v>
      </c>
      <c r="CZ119" s="854">
        <f t="shared" si="433"/>
        <v>7.8722628543650846</v>
      </c>
      <c r="DA119" s="854">
        <f t="shared" si="433"/>
        <v>8.0352130510008433</v>
      </c>
      <c r="DB119" s="854">
        <f t="shared" si="433"/>
        <v>7.1264177583772552</v>
      </c>
      <c r="DC119" s="854">
        <f t="shared" si="433"/>
        <v>1.6655071956058027</v>
      </c>
      <c r="DD119" s="854">
        <f t="shared" si="433"/>
        <v>6.9242795435497397</v>
      </c>
      <c r="DE119" s="854">
        <f t="shared" si="433"/>
        <v>-55.648223456053003</v>
      </c>
      <c r="DF119" s="854">
        <f t="shared" si="433"/>
        <v>11.886674523534847</v>
      </c>
      <c r="DG119" s="854">
        <f t="shared" si="433"/>
        <v>8.9333846167714697</v>
      </c>
      <c r="DH119" s="854">
        <f t="shared" si="433"/>
        <v>5.9902512054921848</v>
      </c>
      <c r="DI119" s="854">
        <f t="shared" si="433"/>
        <v>1.4690702596438834</v>
      </c>
      <c r="DJ119" s="854">
        <f t="shared" si="433"/>
        <v>-3.6854562426849995</v>
      </c>
      <c r="DK119" s="854">
        <f t="shared" si="433"/>
        <v>4.9650753461927151</v>
      </c>
      <c r="DL119" s="854">
        <f t="shared" si="433"/>
        <v>5.5641111048626701</v>
      </c>
      <c r="DM119" s="854">
        <f t="shared" si="433"/>
        <v>6.5507024368613012</v>
      </c>
      <c r="DN119" s="854">
        <f t="shared" si="433"/>
        <v>4.4297938442905807</v>
      </c>
      <c r="DO119" s="854">
        <f t="shared" si="433"/>
        <v>4.29520799009022</v>
      </c>
      <c r="DP119" s="854">
        <f t="shared" si="433"/>
        <v>6.9341928608188566</v>
      </c>
      <c r="DQ119" s="854">
        <f t="shared" si="433"/>
        <v>5.4335826485288985</v>
      </c>
      <c r="DR119" s="854">
        <f t="shared" ca="1" si="433"/>
        <v>7.935217329178716</v>
      </c>
      <c r="DS119" s="854">
        <f t="shared" ca="1" si="433"/>
        <v>9.7662971418796847</v>
      </c>
      <c r="DT119" s="854">
        <f t="shared" ca="1" si="433"/>
        <v>10.654790692889771</v>
      </c>
      <c r="DU119" s="854">
        <f t="shared" ca="1" si="433"/>
        <v>11.24261308235946</v>
      </c>
      <c r="DV119" s="854"/>
      <c r="DW119" s="854"/>
      <c r="DX119" s="854"/>
      <c r="DY119" s="854"/>
    </row>
    <row r="120" spans="1:129">
      <c r="B120" s="23"/>
      <c r="C120" s="23"/>
      <c r="L120" s="23"/>
      <c r="M120" s="23"/>
      <c r="N120" s="23"/>
      <c r="O120" s="23"/>
      <c r="P120" s="23"/>
      <c r="Q120" s="23"/>
      <c r="R120" s="23"/>
      <c r="S120" s="23"/>
      <c r="T120" s="23"/>
      <c r="U120" s="23"/>
      <c r="V120" s="23"/>
      <c r="W120" s="23"/>
      <c r="AE120" s="54"/>
      <c r="AG120" s="23"/>
      <c r="AH120" s="23"/>
      <c r="AI120" s="23"/>
      <c r="AJ120" s="123"/>
      <c r="AK120" s="1102"/>
      <c r="AP120" s="42"/>
      <c r="AU120" s="42"/>
      <c r="AZ120" s="42"/>
      <c r="BE120" s="42"/>
      <c r="BJ120" s="42"/>
      <c r="BO120" s="42"/>
      <c r="BT120" s="42"/>
      <c r="BY120" s="42"/>
      <c r="BZ120" s="23"/>
      <c r="CA120" s="23"/>
      <c r="CB120" s="23"/>
      <c r="CC120" s="23"/>
      <c r="CD120" s="1102"/>
      <c r="CE120" s="23"/>
      <c r="CF120" s="23"/>
      <c r="CG120" s="23"/>
      <c r="CH120" s="23"/>
      <c r="CI120" s="1102"/>
      <c r="CN120" s="42"/>
      <c r="CS120" s="42"/>
    </row>
    <row r="121" spans="1:129">
      <c r="A121" s="1163" t="s">
        <v>604</v>
      </c>
      <c r="B121" s="28" t="s">
        <v>2135</v>
      </c>
      <c r="C121" s="50"/>
      <c r="D121" s="29"/>
      <c r="E121" s="29"/>
      <c r="F121" s="29"/>
      <c r="G121" s="29"/>
      <c r="H121" s="29"/>
      <c r="I121" s="29"/>
      <c r="J121" s="29"/>
      <c r="K121" s="29"/>
      <c r="L121" s="50"/>
      <c r="M121" s="50"/>
      <c r="N121" s="50"/>
      <c r="O121" s="50"/>
      <c r="P121" s="50"/>
      <c r="Q121" s="50"/>
      <c r="R121" s="50"/>
      <c r="S121" s="50"/>
      <c r="T121" s="50"/>
      <c r="U121" s="50"/>
      <c r="V121" s="50"/>
      <c r="W121" s="50"/>
      <c r="X121" s="1164"/>
      <c r="Y121" s="1164"/>
      <c r="Z121" s="1164"/>
      <c r="AA121" s="1164"/>
      <c r="AB121" s="1164"/>
      <c r="AC121" s="1164"/>
      <c r="AD121" s="1164"/>
      <c r="AE121" s="54"/>
      <c r="AG121" s="23"/>
      <c r="AH121" s="23"/>
      <c r="AI121" s="23"/>
      <c r="AJ121" s="123"/>
      <c r="AK121" s="1102"/>
      <c r="AP121" s="42"/>
      <c r="AU121" s="42"/>
      <c r="AZ121" s="42"/>
      <c r="BE121" s="42"/>
      <c r="BJ121" s="42"/>
      <c r="BO121" s="42"/>
      <c r="BT121" s="42"/>
      <c r="BY121" s="42"/>
      <c r="BZ121" s="23"/>
      <c r="CA121" s="23"/>
      <c r="CB121" s="23"/>
      <c r="CC121" s="23"/>
      <c r="CD121" s="1102"/>
      <c r="CE121" s="23"/>
      <c r="CF121" s="23"/>
      <c r="CG121" s="23"/>
      <c r="CH121" s="23"/>
      <c r="CI121" s="1102"/>
      <c r="CJ121" s="50"/>
      <c r="CK121" s="50"/>
      <c r="CL121" s="50"/>
      <c r="CM121" s="50"/>
      <c r="CN121" s="1102"/>
      <c r="CO121" s="50"/>
      <c r="CP121" s="50"/>
      <c r="CQ121" s="50"/>
      <c r="CR121" s="50"/>
      <c r="CS121" s="1102"/>
      <c r="CT121" s="50"/>
      <c r="CU121" s="50"/>
      <c r="CV121" s="50"/>
      <c r="CW121" s="50"/>
      <c r="CX121" s="50"/>
      <c r="CY121" s="50"/>
      <c r="CZ121" s="50"/>
      <c r="DA121" s="50"/>
      <c r="DB121" s="50"/>
      <c r="DC121" s="50"/>
      <c r="DD121" s="50"/>
      <c r="DE121" s="50"/>
      <c r="DF121" s="50"/>
      <c r="DG121" s="50"/>
      <c r="DH121" s="50"/>
      <c r="DI121" s="50"/>
      <c r="DJ121" s="50"/>
      <c r="DK121" s="50"/>
      <c r="DL121" s="50"/>
      <c r="DM121" s="50"/>
      <c r="DN121" s="50"/>
      <c r="DO121" s="50"/>
      <c r="DP121" s="50"/>
      <c r="DQ121" s="50"/>
      <c r="DR121" s="50"/>
      <c r="DS121" s="50"/>
      <c r="DT121" s="50"/>
      <c r="DU121" s="50"/>
      <c r="DV121" s="23"/>
      <c r="DW121" s="23"/>
      <c r="DX121" s="23"/>
      <c r="DY121" s="23"/>
    </row>
    <row r="122" spans="1:129">
      <c r="B122" s="2275" t="s">
        <v>2135</v>
      </c>
      <c r="C122" s="2275"/>
      <c r="D122" s="2280"/>
      <c r="E122" s="2280"/>
      <c r="F122" s="2280"/>
      <c r="G122" s="2280"/>
      <c r="H122" s="2280"/>
      <c r="I122" s="2280"/>
      <c r="J122" s="2280"/>
      <c r="K122" s="2280"/>
      <c r="L122" s="2275"/>
      <c r="M122" s="2275"/>
      <c r="N122" s="2275"/>
      <c r="O122" s="2275"/>
      <c r="P122" s="2275"/>
      <c r="Q122" s="2275"/>
      <c r="R122" s="2275"/>
      <c r="S122" s="2275"/>
      <c r="T122" s="2275"/>
      <c r="U122" s="2278">
        <f>+SUM(DJ122:DM122)</f>
        <v>0</v>
      </c>
      <c r="V122" s="2278"/>
      <c r="W122" s="2278"/>
      <c r="X122" s="2314"/>
      <c r="Y122" s="2314"/>
      <c r="Z122" s="2314"/>
      <c r="AA122" s="2314"/>
      <c r="AB122" s="2314"/>
      <c r="AC122" s="2314"/>
      <c r="AD122" s="2314"/>
      <c r="AE122" s="2277"/>
      <c r="AF122" s="2280"/>
      <c r="AG122" s="2275"/>
      <c r="AH122" s="2275"/>
      <c r="AI122" s="2275"/>
      <c r="AJ122" s="2281"/>
      <c r="AK122" s="2275"/>
      <c r="AL122" s="2280"/>
      <c r="AM122" s="2280"/>
      <c r="AN122" s="2280"/>
      <c r="AO122" s="2280"/>
      <c r="AP122" s="2280"/>
      <c r="AQ122" s="2280"/>
      <c r="AR122" s="2280"/>
      <c r="AS122" s="2280"/>
      <c r="AT122" s="2280"/>
      <c r="AU122" s="2280"/>
      <c r="AV122" s="2280"/>
      <c r="AW122" s="2280"/>
      <c r="AX122" s="2280"/>
      <c r="AY122" s="2280"/>
      <c r="AZ122" s="2280"/>
      <c r="BA122" s="2280"/>
      <c r="BB122" s="2280"/>
      <c r="BC122" s="2280"/>
      <c r="BD122" s="2280"/>
      <c r="BE122" s="2280"/>
      <c r="BF122" s="2280"/>
      <c r="BG122" s="2280"/>
      <c r="BH122" s="2280"/>
      <c r="BI122" s="2280"/>
      <c r="BJ122" s="2280"/>
      <c r="BK122" s="2280"/>
      <c r="BL122" s="2280"/>
      <c r="BM122" s="2280"/>
      <c r="BN122" s="2280"/>
      <c r="BO122" s="2280"/>
      <c r="BP122" s="2280"/>
      <c r="BQ122" s="2280"/>
      <c r="BR122" s="2280"/>
      <c r="BS122" s="2280"/>
      <c r="BT122" s="2280"/>
      <c r="BU122" s="2280"/>
      <c r="BV122" s="2280"/>
      <c r="BW122" s="2280"/>
      <c r="BX122" s="2280"/>
      <c r="BY122" s="2280"/>
      <c r="BZ122" s="2275"/>
      <c r="CA122" s="2275"/>
      <c r="CB122" s="2275"/>
      <c r="CC122" s="2275"/>
      <c r="CD122" s="2275"/>
      <c r="CE122" s="2275"/>
      <c r="CF122" s="2275"/>
      <c r="CG122" s="2275"/>
      <c r="CH122" s="2275"/>
      <c r="CI122" s="2275"/>
      <c r="CJ122" s="2280"/>
      <c r="CK122" s="2280"/>
      <c r="CL122" s="2280"/>
      <c r="CM122" s="2280"/>
      <c r="CN122" s="2280"/>
      <c r="CO122" s="2280"/>
      <c r="CP122" s="2280"/>
      <c r="CQ122" s="2280"/>
      <c r="CR122" s="2280"/>
      <c r="CS122" s="2280"/>
      <c r="CT122" s="2280"/>
      <c r="CU122" s="2280"/>
      <c r="CV122" s="2280"/>
      <c r="CW122" s="2280"/>
      <c r="CX122" s="2280"/>
      <c r="CY122" s="2280"/>
      <c r="CZ122" s="2280"/>
      <c r="DA122" s="2280"/>
      <c r="DB122" s="2280"/>
      <c r="DC122" s="2280"/>
      <c r="DD122" s="2280"/>
      <c r="DE122" s="2280"/>
      <c r="DF122" s="2280"/>
      <c r="DG122" s="2280"/>
      <c r="DH122" s="2280"/>
      <c r="DI122" s="2280"/>
      <c r="DJ122" s="2280"/>
      <c r="DK122" s="2280"/>
      <c r="DL122" s="2280"/>
      <c r="DM122" s="2280"/>
      <c r="DN122" s="2280"/>
      <c r="DO122" s="2280"/>
      <c r="DP122" s="2280"/>
      <c r="DQ122" s="2280"/>
      <c r="DR122" s="2279"/>
      <c r="DS122" s="2279"/>
      <c r="DT122" s="2279"/>
      <c r="DU122" s="2279"/>
    </row>
    <row r="123" spans="1:129">
      <c r="B123" s="2275"/>
      <c r="C123" s="2275"/>
      <c r="D123" s="2280"/>
      <c r="E123" s="2280"/>
      <c r="F123" s="2280"/>
      <c r="G123" s="2280"/>
      <c r="H123" s="2280"/>
      <c r="I123" s="2280"/>
      <c r="J123" s="2280"/>
      <c r="K123" s="2280"/>
      <c r="L123" s="2275"/>
      <c r="M123" s="2275"/>
      <c r="N123" s="2275"/>
      <c r="O123" s="2275"/>
      <c r="P123" s="2275"/>
      <c r="Q123" s="2275"/>
      <c r="R123" s="2275"/>
      <c r="S123" s="2275"/>
      <c r="T123" s="2275"/>
      <c r="U123" s="2278"/>
      <c r="V123" s="2278"/>
      <c r="W123" s="2278"/>
      <c r="X123" s="2279"/>
      <c r="Y123" s="2279"/>
      <c r="Z123" s="2279"/>
      <c r="AA123" s="2279"/>
      <c r="AB123" s="2279"/>
      <c r="AC123" s="2279"/>
      <c r="AD123" s="2279"/>
      <c r="AE123" s="2277"/>
      <c r="AF123" s="2280"/>
      <c r="AG123" s="2275"/>
      <c r="AH123" s="2275"/>
      <c r="AI123" s="2275"/>
      <c r="AJ123" s="2281"/>
      <c r="AK123" s="2275"/>
      <c r="AL123" s="2280"/>
      <c r="AM123" s="2280"/>
      <c r="AN123" s="2280"/>
      <c r="AO123" s="2280"/>
      <c r="AP123" s="2280"/>
      <c r="AQ123" s="2280"/>
      <c r="AR123" s="2280"/>
      <c r="AS123" s="2280"/>
      <c r="AT123" s="2280"/>
      <c r="AU123" s="2280"/>
      <c r="AV123" s="2280"/>
      <c r="AW123" s="2280"/>
      <c r="AX123" s="2280"/>
      <c r="AY123" s="2280"/>
      <c r="AZ123" s="2280"/>
      <c r="BA123" s="2280"/>
      <c r="BB123" s="2280"/>
      <c r="BC123" s="2280"/>
      <c r="BD123" s="2280"/>
      <c r="BE123" s="2280"/>
      <c r="BF123" s="2280"/>
      <c r="BG123" s="2280"/>
      <c r="BH123" s="2280"/>
      <c r="BI123" s="2280"/>
      <c r="BJ123" s="2280"/>
      <c r="BK123" s="2280"/>
      <c r="BL123" s="2280"/>
      <c r="BM123" s="2280"/>
      <c r="BN123" s="2280"/>
      <c r="BO123" s="2280"/>
      <c r="BP123" s="2280"/>
      <c r="BQ123" s="2280"/>
      <c r="BR123" s="2280"/>
      <c r="BS123" s="2280"/>
      <c r="BT123" s="2280"/>
      <c r="BU123" s="2280"/>
      <c r="BV123" s="2280"/>
      <c r="BW123" s="2280"/>
      <c r="BX123" s="2280"/>
      <c r="BY123" s="2280"/>
      <c r="BZ123" s="2275"/>
      <c r="CA123" s="2275"/>
      <c r="CB123" s="2275"/>
      <c r="CC123" s="2275"/>
      <c r="CD123" s="2275"/>
      <c r="CE123" s="2275"/>
      <c r="CF123" s="2275"/>
      <c r="CG123" s="2275"/>
      <c r="CH123" s="2275"/>
      <c r="CI123" s="2275"/>
      <c r="CJ123" s="2280"/>
      <c r="CK123" s="2280"/>
      <c r="CL123" s="2280"/>
      <c r="CM123" s="2280"/>
      <c r="CN123" s="2280"/>
      <c r="CO123" s="2280"/>
      <c r="CP123" s="2280"/>
      <c r="CQ123" s="2280"/>
      <c r="CR123" s="2280"/>
      <c r="CS123" s="2280"/>
      <c r="CT123" s="2280"/>
      <c r="CU123" s="2280"/>
      <c r="CV123" s="2280"/>
      <c r="CW123" s="2280"/>
      <c r="CX123" s="2280"/>
      <c r="CY123" s="2280"/>
      <c r="CZ123" s="2280"/>
      <c r="DA123" s="2280"/>
      <c r="DB123" s="2280"/>
      <c r="DC123" s="2280"/>
      <c r="DD123" s="2280"/>
      <c r="DE123" s="2280"/>
      <c r="DF123" s="2280"/>
      <c r="DG123" s="2280"/>
      <c r="DH123" s="2280"/>
      <c r="DI123" s="2280"/>
      <c r="DJ123" s="2280"/>
      <c r="DK123" s="2280"/>
      <c r="DL123" s="2280"/>
      <c r="DM123" s="2280"/>
      <c r="DN123" s="2280"/>
      <c r="DO123" s="2280"/>
      <c r="DP123" s="2280"/>
      <c r="DQ123" s="2280"/>
      <c r="DR123" s="2279"/>
      <c r="DS123" s="2279"/>
      <c r="DT123" s="2279"/>
      <c r="DU123" s="2279"/>
    </row>
    <row r="124" spans="1:129">
      <c r="B124" s="2288" t="s">
        <v>2049</v>
      </c>
      <c r="C124" s="2275"/>
      <c r="D124" s="2280"/>
      <c r="E124" s="2280"/>
      <c r="F124" s="2280"/>
      <c r="G124" s="2280"/>
      <c r="H124" s="2280"/>
      <c r="I124" s="2280"/>
      <c r="J124" s="2280"/>
      <c r="K124" s="2280"/>
      <c r="L124" s="2275"/>
      <c r="M124" s="2275"/>
      <c r="N124" s="2275"/>
      <c r="O124" s="2275"/>
      <c r="P124" s="2275"/>
      <c r="Q124" s="2275"/>
      <c r="R124" s="2275"/>
      <c r="S124" s="2275"/>
      <c r="T124" s="2275"/>
      <c r="U124" s="2278"/>
      <c r="V124" s="2278"/>
      <c r="W124" s="2278"/>
      <c r="X124" s="2279"/>
      <c r="Y124" s="2279"/>
      <c r="Z124" s="2279"/>
      <c r="AA124" s="2279"/>
      <c r="AB124" s="2279"/>
      <c r="AC124" s="2279"/>
      <c r="AD124" s="2279"/>
      <c r="AE124" s="2277"/>
      <c r="AF124" s="2280"/>
      <c r="AG124" s="2275"/>
      <c r="AH124" s="2275"/>
      <c r="AI124" s="2275"/>
      <c r="AJ124" s="2281"/>
      <c r="AK124" s="2275"/>
      <c r="AL124" s="2280"/>
      <c r="AM124" s="2280"/>
      <c r="AN124" s="2280"/>
      <c r="AO124" s="2280"/>
      <c r="AP124" s="2280"/>
      <c r="AQ124" s="2280"/>
      <c r="AR124" s="2280"/>
      <c r="AS124" s="2280"/>
      <c r="AT124" s="2280"/>
      <c r="AU124" s="2280"/>
      <c r="AV124" s="2280"/>
      <c r="AW124" s="2280"/>
      <c r="AX124" s="2280"/>
      <c r="AY124" s="2280"/>
      <c r="AZ124" s="2280"/>
      <c r="BA124" s="2280"/>
      <c r="BB124" s="2280"/>
      <c r="BC124" s="2280"/>
      <c r="BD124" s="2280"/>
      <c r="BE124" s="2280"/>
      <c r="BF124" s="2280"/>
      <c r="BG124" s="2280"/>
      <c r="BH124" s="2280"/>
      <c r="BI124" s="2280"/>
      <c r="BJ124" s="2280"/>
      <c r="BK124" s="2280"/>
      <c r="BL124" s="2280"/>
      <c r="BM124" s="2280"/>
      <c r="BN124" s="2280"/>
      <c r="BO124" s="2280"/>
      <c r="BP124" s="2280"/>
      <c r="BQ124" s="2280"/>
      <c r="BR124" s="2280"/>
      <c r="BS124" s="2280"/>
      <c r="BT124" s="2280"/>
      <c r="BU124" s="2280"/>
      <c r="BV124" s="2280"/>
      <c r="BW124" s="2280"/>
      <c r="BX124" s="2280"/>
      <c r="BY124" s="2280"/>
      <c r="BZ124" s="2275"/>
      <c r="CA124" s="2275"/>
      <c r="CB124" s="2275"/>
      <c r="CC124" s="2275"/>
      <c r="CD124" s="2275"/>
      <c r="CE124" s="2275"/>
      <c r="CF124" s="2275"/>
      <c r="CG124" s="2275"/>
      <c r="CH124" s="2275"/>
      <c r="CI124" s="2275"/>
      <c r="CJ124" s="2280"/>
      <c r="CK124" s="2280"/>
      <c r="CL124" s="2280"/>
      <c r="CM124" s="2280"/>
      <c r="CN124" s="2280"/>
      <c r="CO124" s="2280"/>
      <c r="CP124" s="2280"/>
      <c r="CQ124" s="2280"/>
      <c r="CR124" s="2280"/>
      <c r="CS124" s="2280"/>
      <c r="CT124" s="2280"/>
      <c r="CU124" s="2280"/>
      <c r="CV124" s="2280"/>
      <c r="CW124" s="2280"/>
      <c r="CX124" s="2280"/>
      <c r="CY124" s="2280"/>
      <c r="CZ124" s="2280"/>
      <c r="DA124" s="2280"/>
      <c r="DB124" s="2280"/>
      <c r="DC124" s="2280"/>
      <c r="DD124" s="2280"/>
      <c r="DE124" s="2280"/>
      <c r="DF124" s="2280"/>
      <c r="DG124" s="2280"/>
      <c r="DH124" s="2280"/>
      <c r="DI124" s="2280"/>
      <c r="DJ124" s="2280"/>
      <c r="DK124" s="2280"/>
      <c r="DL124" s="2280"/>
      <c r="DM124" s="2280"/>
      <c r="DN124" s="2280"/>
      <c r="DO124" s="2280"/>
      <c r="DP124" s="2280"/>
      <c r="DQ124" s="2280"/>
      <c r="DR124" s="2279"/>
      <c r="DS124" s="2279"/>
      <c r="DT124" s="2279"/>
      <c r="DU124" s="2279"/>
    </row>
    <row r="125" spans="1:129">
      <c r="B125" s="2275" t="s">
        <v>2138</v>
      </c>
      <c r="C125" s="2275"/>
      <c r="D125" s="2280"/>
      <c r="E125" s="2280"/>
      <c r="F125" s="2280"/>
      <c r="G125" s="2280"/>
      <c r="H125" s="2280"/>
      <c r="I125" s="2280"/>
      <c r="J125" s="2280"/>
      <c r="K125" s="2280"/>
      <c r="L125" s="2275"/>
      <c r="M125" s="2275"/>
      <c r="N125" s="2275"/>
      <c r="O125" s="2275"/>
      <c r="P125" s="2275"/>
      <c r="Q125" s="2275"/>
      <c r="R125" s="2275"/>
      <c r="S125" s="2275"/>
      <c r="T125" s="2275"/>
      <c r="U125" s="2275"/>
      <c r="V125" s="2275"/>
      <c r="W125" s="2275"/>
      <c r="X125" s="2282"/>
      <c r="Y125" s="2282"/>
      <c r="Z125" s="2283"/>
      <c r="AA125" s="2283"/>
      <c r="AB125" s="2283"/>
      <c r="AC125" s="2283"/>
      <c r="AD125" s="2283"/>
      <c r="AE125" s="2277"/>
      <c r="AF125" s="2280"/>
      <c r="AG125" s="2275"/>
      <c r="AH125" s="2275"/>
      <c r="AI125" s="2275"/>
      <c r="AJ125" s="2281"/>
      <c r="AK125" s="2275"/>
      <c r="AL125" s="2280"/>
      <c r="AM125" s="2280"/>
      <c r="AN125" s="2280"/>
      <c r="AO125" s="2280"/>
      <c r="AP125" s="2280"/>
      <c r="AQ125" s="2280"/>
      <c r="AR125" s="2280"/>
      <c r="AS125" s="2280"/>
      <c r="AT125" s="2280"/>
      <c r="AU125" s="2280"/>
      <c r="AV125" s="2280"/>
      <c r="AW125" s="2280"/>
      <c r="AX125" s="2280"/>
      <c r="AY125" s="2280"/>
      <c r="AZ125" s="2280"/>
      <c r="BA125" s="2280"/>
      <c r="BB125" s="2280"/>
      <c r="BC125" s="2280"/>
      <c r="BD125" s="2280"/>
      <c r="BE125" s="2280"/>
      <c r="BF125" s="2280"/>
      <c r="BG125" s="2280"/>
      <c r="BH125" s="2280"/>
      <c r="BI125" s="2280"/>
      <c r="BJ125" s="2280"/>
      <c r="BK125" s="2280"/>
      <c r="BL125" s="2280"/>
      <c r="BM125" s="2280"/>
      <c r="BN125" s="2280"/>
      <c r="BO125" s="2280"/>
      <c r="BP125" s="2280"/>
      <c r="BQ125" s="2280"/>
      <c r="BR125" s="2280"/>
      <c r="BS125" s="2280"/>
      <c r="BT125" s="2280"/>
      <c r="BU125" s="2280"/>
      <c r="BV125" s="2280"/>
      <c r="BW125" s="2280"/>
      <c r="BX125" s="2280"/>
      <c r="BY125" s="2280"/>
      <c r="BZ125" s="2275"/>
      <c r="CA125" s="2275"/>
      <c r="CB125" s="2275"/>
      <c r="CC125" s="2275"/>
      <c r="CD125" s="2275"/>
      <c r="CE125" s="2275"/>
      <c r="CF125" s="2275"/>
      <c r="CG125" s="2275"/>
      <c r="CH125" s="2275"/>
      <c r="CI125" s="2275"/>
      <c r="CJ125" s="2280"/>
      <c r="CK125" s="2280"/>
      <c r="CL125" s="2280"/>
      <c r="CM125" s="2280"/>
      <c r="CN125" s="2280"/>
      <c r="CO125" s="2280"/>
      <c r="CP125" s="2280"/>
      <c r="CQ125" s="2280"/>
      <c r="CR125" s="2280"/>
      <c r="CS125" s="2280"/>
      <c r="CT125" s="2280"/>
      <c r="CU125" s="2280"/>
      <c r="CV125" s="2280"/>
      <c r="CW125" s="2280"/>
      <c r="CX125" s="2280"/>
      <c r="CY125" s="2280"/>
      <c r="CZ125" s="2280"/>
      <c r="DA125" s="2280"/>
      <c r="DB125" s="2280"/>
      <c r="DC125" s="2280"/>
      <c r="DD125" s="2280"/>
      <c r="DE125" s="2280"/>
      <c r="DF125" s="2282">
        <f>+(TCY!R9-TCY!R12-TCY!R14-TCY!R15)/2</f>
        <v>46.089999999999996</v>
      </c>
      <c r="DG125" s="2282">
        <f>+(TCY!R9-TCY!R12-TCY!R14-TCY!R15)/2</f>
        <v>46.089999999999996</v>
      </c>
      <c r="DH125" s="2282">
        <f>+(TCY!S9-TCY!S12-TCY!S14-TCY!S15)/2</f>
        <v>48.064476457117166</v>
      </c>
      <c r="DI125" s="2282">
        <f>+(TCY!T9-TCY!T12-TCY!T14-TCY!T15)/2</f>
        <v>49.025736767340391</v>
      </c>
      <c r="DJ125" s="2282">
        <f>+(TCY!U9-TCY!U12-TCY!U14-TCY!U15)/2</f>
        <v>52.767675922943241</v>
      </c>
      <c r="DK125" s="2282">
        <f>+(TCY!V9-TCY!V12-TCY!V14-TCY!V15)/2</f>
        <v>54.524912296223839</v>
      </c>
      <c r="DL125" s="2282">
        <f>+(TCY!W9-TCY!W12-TCY!W14-TCY!W15)/2</f>
        <v>58.764056593954443</v>
      </c>
      <c r="DM125" s="2282">
        <f>+(TCY!X9-TCY!X12-TCY!X14-TCY!X15)/2</f>
        <v>59.711264476912554</v>
      </c>
      <c r="DN125" s="2282"/>
      <c r="DO125" s="2282"/>
      <c r="DP125" s="2282"/>
      <c r="DQ125" s="2282"/>
      <c r="DR125" s="2282"/>
      <c r="DS125" s="2282"/>
      <c r="DT125" s="2282"/>
      <c r="DU125" s="2282"/>
    </row>
    <row r="126" spans="1:129">
      <c r="B126" s="2273" t="s">
        <v>2140</v>
      </c>
      <c r="C126" s="2275"/>
      <c r="D126" s="2280"/>
      <c r="E126" s="2280"/>
      <c r="F126" s="2280"/>
      <c r="G126" s="2280"/>
      <c r="H126" s="2280"/>
      <c r="I126" s="2280"/>
      <c r="J126" s="2280"/>
      <c r="K126" s="2280"/>
      <c r="L126" s="2275"/>
      <c r="M126" s="2275"/>
      <c r="N126" s="2275"/>
      <c r="O126" s="2275"/>
      <c r="P126" s="2275"/>
      <c r="Q126" s="2275"/>
      <c r="R126" s="2275"/>
      <c r="S126" s="2275"/>
      <c r="T126" s="2275"/>
      <c r="U126" s="2275"/>
      <c r="V126" s="2275"/>
      <c r="W126" s="2275"/>
      <c r="X126" s="2284"/>
      <c r="Y126" s="2284"/>
      <c r="Z126" s="2284"/>
      <c r="AA126" s="2284"/>
      <c r="AB126" s="2284"/>
      <c r="AC126" s="2284"/>
      <c r="AD126" s="2284"/>
      <c r="AE126" s="2277"/>
      <c r="AF126" s="2280"/>
      <c r="AG126" s="2275"/>
      <c r="AH126" s="2275"/>
      <c r="AI126" s="2275"/>
      <c r="AJ126" s="2281"/>
      <c r="AK126" s="2275"/>
      <c r="AL126" s="2280"/>
      <c r="AM126" s="2280"/>
      <c r="AN126" s="2280"/>
      <c r="AO126" s="2280"/>
      <c r="AP126" s="2280"/>
      <c r="AQ126" s="2280"/>
      <c r="AR126" s="2280"/>
      <c r="AS126" s="2280"/>
      <c r="AT126" s="2280"/>
      <c r="AU126" s="2280"/>
      <c r="AV126" s="2280"/>
      <c r="AW126" s="2280"/>
      <c r="AX126" s="2280"/>
      <c r="AY126" s="2280"/>
      <c r="AZ126" s="2280"/>
      <c r="BA126" s="2280"/>
      <c r="BB126" s="2280"/>
      <c r="BC126" s="2280"/>
      <c r="BD126" s="2280"/>
      <c r="BE126" s="2280"/>
      <c r="BF126" s="2280"/>
      <c r="BG126" s="2280"/>
      <c r="BH126" s="2280"/>
      <c r="BI126" s="2280"/>
      <c r="BJ126" s="2280"/>
      <c r="BK126" s="2280"/>
      <c r="BL126" s="2280"/>
      <c r="BM126" s="2280"/>
      <c r="BN126" s="2280"/>
      <c r="BO126" s="2280"/>
      <c r="BP126" s="2280"/>
      <c r="BQ126" s="2280"/>
      <c r="BR126" s="2280"/>
      <c r="BS126" s="2280"/>
      <c r="BT126" s="2280"/>
      <c r="BU126" s="2280"/>
      <c r="BV126" s="2280"/>
      <c r="BW126" s="2280"/>
      <c r="BX126" s="2280"/>
      <c r="BY126" s="2280"/>
      <c r="BZ126" s="2275"/>
      <c r="CA126" s="2275"/>
      <c r="CB126" s="2275"/>
      <c r="CC126" s="2275"/>
      <c r="CD126" s="2275"/>
      <c r="CE126" s="2275"/>
      <c r="CF126" s="2275"/>
      <c r="CG126" s="2275"/>
      <c r="CH126" s="2275"/>
      <c r="CI126" s="2275"/>
      <c r="CJ126" s="2280"/>
      <c r="CK126" s="2280"/>
      <c r="CL126" s="2280"/>
      <c r="CM126" s="2280"/>
      <c r="CN126" s="2280"/>
      <c r="CO126" s="2280"/>
      <c r="CP126" s="2280"/>
      <c r="CQ126" s="2280"/>
      <c r="CR126" s="2280"/>
      <c r="CS126" s="2280"/>
      <c r="CT126" s="2280"/>
      <c r="CU126" s="2280"/>
      <c r="CV126" s="2280"/>
      <c r="CW126" s="2280"/>
      <c r="CX126" s="2280"/>
      <c r="CY126" s="2280"/>
      <c r="CZ126" s="2280"/>
      <c r="DA126" s="2280"/>
      <c r="DB126" s="2280"/>
      <c r="DC126" s="2280"/>
      <c r="DD126" s="2280"/>
      <c r="DE126" s="2280"/>
      <c r="DF126" s="2284">
        <f>Rev!CN653</f>
        <v>1.5145412700605621</v>
      </c>
      <c r="DG126" s="2284">
        <f>Rev!CO653</f>
        <v>1.5331542381526166</v>
      </c>
      <c r="DH126" s="2284">
        <f>Rev!CP653</f>
        <v>1.5490797343420464</v>
      </c>
      <c r="DI126" s="2284">
        <f>Rev!CQ653</f>
        <v>1.5173000000000001</v>
      </c>
      <c r="DJ126" s="2284">
        <f>Rev!CR653</f>
        <v>1.4323600000000001</v>
      </c>
      <c r="DK126" s="2284">
        <f>Rev!CS653</f>
        <v>1.43435</v>
      </c>
      <c r="DL126" s="2284">
        <f>Rev!CT653</f>
        <v>1.31274</v>
      </c>
      <c r="DM126" s="2284">
        <f>Rev!CU653</f>
        <v>1.2429300000000001</v>
      </c>
      <c r="DN126" s="2284"/>
      <c r="DO126" s="2284"/>
      <c r="DP126" s="2284"/>
      <c r="DQ126" s="2284"/>
      <c r="DR126" s="2284"/>
      <c r="DS126" s="2284"/>
      <c r="DT126" s="2284"/>
      <c r="DU126" s="2284"/>
    </row>
    <row r="127" spans="1:129">
      <c r="B127" s="2275" t="s">
        <v>2139</v>
      </c>
      <c r="C127" s="2275"/>
      <c r="D127" s="2280"/>
      <c r="E127" s="2280"/>
      <c r="F127" s="2280"/>
      <c r="G127" s="2280"/>
      <c r="H127" s="2280"/>
      <c r="I127" s="2280"/>
      <c r="J127" s="2280"/>
      <c r="K127" s="2280"/>
      <c r="L127" s="2275"/>
      <c r="M127" s="2275"/>
      <c r="N127" s="2275"/>
      <c r="O127" s="2275"/>
      <c r="P127" s="2275"/>
      <c r="Q127" s="2275"/>
      <c r="R127" s="2275"/>
      <c r="S127" s="2275"/>
      <c r="T127" s="2275"/>
      <c r="U127" s="2275"/>
      <c r="V127" s="2275"/>
      <c r="W127" s="2275"/>
      <c r="X127" s="2285"/>
      <c r="Y127" s="2285"/>
      <c r="Z127" s="2285"/>
      <c r="AA127" s="2285"/>
      <c r="AB127" s="2285"/>
      <c r="AC127" s="2285"/>
      <c r="AD127" s="2285"/>
      <c r="AE127" s="2277"/>
      <c r="AF127" s="2280"/>
      <c r="AG127" s="2275"/>
      <c r="AH127" s="2275"/>
      <c r="AI127" s="2275"/>
      <c r="AJ127" s="2281"/>
      <c r="AK127" s="2275"/>
      <c r="AL127" s="2280"/>
      <c r="AM127" s="2280"/>
      <c r="AN127" s="2280"/>
      <c r="AO127" s="2280"/>
      <c r="AP127" s="2280"/>
      <c r="AQ127" s="2280"/>
      <c r="AR127" s="2280"/>
      <c r="AS127" s="2280"/>
      <c r="AT127" s="2280"/>
      <c r="AU127" s="2280"/>
      <c r="AV127" s="2280"/>
      <c r="AW127" s="2280"/>
      <c r="AX127" s="2280"/>
      <c r="AY127" s="2280"/>
      <c r="AZ127" s="2280"/>
      <c r="BA127" s="2280"/>
      <c r="BB127" s="2280"/>
      <c r="BC127" s="2280"/>
      <c r="BD127" s="2280"/>
      <c r="BE127" s="2280"/>
      <c r="BF127" s="2280"/>
      <c r="BG127" s="2280"/>
      <c r="BH127" s="2280"/>
      <c r="BI127" s="2280"/>
      <c r="BJ127" s="2280"/>
      <c r="BK127" s="2280"/>
      <c r="BL127" s="2280"/>
      <c r="BM127" s="2280"/>
      <c r="BN127" s="2280"/>
      <c r="BO127" s="2280"/>
      <c r="BP127" s="2280"/>
      <c r="BQ127" s="2280"/>
      <c r="BR127" s="2280"/>
      <c r="BS127" s="2280"/>
      <c r="BT127" s="2280"/>
      <c r="BU127" s="2280"/>
      <c r="BV127" s="2280"/>
      <c r="BW127" s="2280"/>
      <c r="BX127" s="2280"/>
      <c r="BY127" s="2280"/>
      <c r="BZ127" s="2275"/>
      <c r="CA127" s="2275"/>
      <c r="CB127" s="2275"/>
      <c r="CC127" s="2275"/>
      <c r="CD127" s="2275"/>
      <c r="CE127" s="2275"/>
      <c r="CF127" s="2275"/>
      <c r="CG127" s="2275"/>
      <c r="CH127" s="2275"/>
      <c r="CI127" s="2275"/>
      <c r="CJ127" s="2280"/>
      <c r="CK127" s="2280"/>
      <c r="CL127" s="2280"/>
      <c r="CM127" s="2280"/>
      <c r="CN127" s="2280"/>
      <c r="CO127" s="2280"/>
      <c r="CP127" s="2280"/>
      <c r="CQ127" s="2280"/>
      <c r="CR127" s="2280"/>
      <c r="CS127" s="2280"/>
      <c r="CT127" s="2280"/>
      <c r="CU127" s="2280"/>
      <c r="CV127" s="2280"/>
      <c r="CW127" s="2280"/>
      <c r="CX127" s="2280"/>
      <c r="CY127" s="2280"/>
      <c r="CZ127" s="2280"/>
      <c r="DA127" s="2280"/>
      <c r="DB127" s="2280"/>
      <c r="DC127" s="2280"/>
      <c r="DD127" s="2280"/>
      <c r="DE127" s="2280"/>
      <c r="DF127" s="2285">
        <f t="shared" ref="DF127:DM127" si="434">+DF125*DF126</f>
        <v>69.805207137091301</v>
      </c>
      <c r="DG127" s="2285">
        <f t="shared" si="434"/>
        <v>70.66307883645409</v>
      </c>
      <c r="DH127" s="2285">
        <f t="shared" si="434"/>
        <v>74.455706421480599</v>
      </c>
      <c r="DI127" s="2285">
        <f t="shared" si="434"/>
        <v>74.386750397085578</v>
      </c>
      <c r="DJ127" s="2285">
        <f t="shared" si="434"/>
        <v>75.582308284986979</v>
      </c>
      <c r="DK127" s="2285">
        <f t="shared" si="434"/>
        <v>78.207807952088658</v>
      </c>
      <c r="DL127" s="2285">
        <f t="shared" si="434"/>
        <v>77.141927653147761</v>
      </c>
      <c r="DM127" s="2285">
        <f t="shared" si="434"/>
        <v>74.216921956288928</v>
      </c>
      <c r="DN127" s="2285"/>
      <c r="DO127" s="2285"/>
      <c r="DP127" s="2285"/>
      <c r="DQ127" s="2285"/>
      <c r="DR127" s="2285"/>
      <c r="DS127" s="2285"/>
      <c r="DT127" s="2285"/>
      <c r="DU127" s="2285"/>
    </row>
    <row r="128" spans="1:129">
      <c r="B128" s="2273" t="s">
        <v>2136</v>
      </c>
      <c r="C128" s="2268">
        <v>0.1</v>
      </c>
      <c r="D128" s="2280"/>
      <c r="E128" s="2280"/>
      <c r="F128" s="2280"/>
      <c r="G128" s="2280"/>
      <c r="H128" s="2280"/>
      <c r="I128" s="2280"/>
      <c r="J128" s="2280"/>
      <c r="K128" s="2280"/>
      <c r="L128" s="2275"/>
      <c r="M128" s="2275"/>
      <c r="N128" s="2275"/>
      <c r="O128" s="2275"/>
      <c r="P128" s="2275"/>
      <c r="Q128" s="2275"/>
      <c r="R128" s="2275"/>
      <c r="S128" s="2275"/>
      <c r="T128" s="2275"/>
      <c r="U128" s="2275"/>
      <c r="V128" s="2275"/>
      <c r="W128" s="2275"/>
      <c r="X128" s="2279"/>
      <c r="Y128" s="2279"/>
      <c r="Z128" s="2279"/>
      <c r="AA128" s="2279"/>
      <c r="AB128" s="2279"/>
      <c r="AC128" s="2279"/>
      <c r="AD128" s="2279"/>
      <c r="AE128" s="2277"/>
      <c r="AF128" s="2280"/>
      <c r="AG128" s="2275"/>
      <c r="AH128" s="2275"/>
      <c r="AI128" s="2275"/>
      <c r="AJ128" s="2281"/>
      <c r="AK128" s="2275"/>
      <c r="AL128" s="2280"/>
      <c r="AM128" s="2280"/>
      <c r="AN128" s="2280"/>
      <c r="AO128" s="2280"/>
      <c r="AP128" s="2280"/>
      <c r="AQ128" s="2280"/>
      <c r="AR128" s="2280"/>
      <c r="AS128" s="2280"/>
      <c r="AT128" s="2280"/>
      <c r="AU128" s="2280"/>
      <c r="AV128" s="2280"/>
      <c r="AW128" s="2280"/>
      <c r="AX128" s="2280"/>
      <c r="AY128" s="2280"/>
      <c r="AZ128" s="2280"/>
      <c r="BA128" s="2280"/>
      <c r="BB128" s="2280"/>
      <c r="BC128" s="2280"/>
      <c r="BD128" s="2280"/>
      <c r="BE128" s="2280"/>
      <c r="BF128" s="2280"/>
      <c r="BG128" s="2280"/>
      <c r="BH128" s="2280"/>
      <c r="BI128" s="2280"/>
      <c r="BJ128" s="2280"/>
      <c r="BK128" s="2280"/>
      <c r="BL128" s="2280"/>
      <c r="BM128" s="2280"/>
      <c r="BN128" s="2280"/>
      <c r="BO128" s="2280"/>
      <c r="BP128" s="2280"/>
      <c r="BQ128" s="2280"/>
      <c r="BR128" s="2280"/>
      <c r="BS128" s="2280"/>
      <c r="BT128" s="2280"/>
      <c r="BU128" s="2280"/>
      <c r="BV128" s="2280"/>
      <c r="BW128" s="2280"/>
      <c r="BX128" s="2280"/>
      <c r="BY128" s="2280"/>
      <c r="BZ128" s="2275"/>
      <c r="CA128" s="2275"/>
      <c r="CB128" s="2275"/>
      <c r="CC128" s="2275"/>
      <c r="CD128" s="2275"/>
      <c r="CE128" s="2275"/>
      <c r="CF128" s="2275"/>
      <c r="CG128" s="2275"/>
      <c r="CH128" s="2275"/>
      <c r="CI128" s="2275"/>
      <c r="CJ128" s="2280"/>
      <c r="CK128" s="2280"/>
      <c r="CL128" s="2280"/>
      <c r="CM128" s="2280"/>
      <c r="CN128" s="2280"/>
      <c r="CO128" s="2280"/>
      <c r="CP128" s="2280"/>
      <c r="CQ128" s="2280"/>
      <c r="CR128" s="2280"/>
      <c r="CS128" s="2280"/>
      <c r="CT128" s="2280"/>
      <c r="CU128" s="2280"/>
      <c r="CV128" s="2280"/>
      <c r="CW128" s="2280"/>
      <c r="CX128" s="2280"/>
      <c r="CY128" s="2280"/>
      <c r="CZ128" s="2280"/>
      <c r="DA128" s="2280"/>
      <c r="DB128" s="2280"/>
      <c r="DC128" s="2280"/>
      <c r="DD128" s="2280"/>
      <c r="DE128" s="2280"/>
      <c r="DF128" s="2279">
        <f t="shared" ref="DF128:DM128" si="435">+DF127*$C$128</f>
        <v>6.9805207137091303</v>
      </c>
      <c r="DG128" s="2279">
        <f t="shared" si="435"/>
        <v>7.0663078836454094</v>
      </c>
      <c r="DH128" s="2279">
        <f t="shared" si="435"/>
        <v>7.4455706421480601</v>
      </c>
      <c r="DI128" s="2279">
        <f t="shared" si="435"/>
        <v>7.4386750397085581</v>
      </c>
      <c r="DJ128" s="2279">
        <f t="shared" si="435"/>
        <v>7.5582308284986981</v>
      </c>
      <c r="DK128" s="2279">
        <f t="shared" si="435"/>
        <v>7.8207807952088659</v>
      </c>
      <c r="DL128" s="2279">
        <f t="shared" si="435"/>
        <v>7.7141927653147766</v>
      </c>
      <c r="DM128" s="2279">
        <f t="shared" si="435"/>
        <v>7.4216921956288928</v>
      </c>
      <c r="DN128" s="2279"/>
      <c r="DO128" s="2279"/>
      <c r="DP128" s="2279"/>
      <c r="DQ128" s="2279"/>
      <c r="DR128" s="2279"/>
      <c r="DS128" s="2279"/>
      <c r="DT128" s="2279"/>
      <c r="DU128" s="2279"/>
    </row>
    <row r="129" spans="1:135">
      <c r="B129" s="2275" t="s">
        <v>2137</v>
      </c>
      <c r="C129" s="2275"/>
      <c r="D129" s="2280"/>
      <c r="E129" s="2280"/>
      <c r="F129" s="2280"/>
      <c r="G129" s="2280"/>
      <c r="H129" s="2280"/>
      <c r="I129" s="2280"/>
      <c r="J129" s="2280"/>
      <c r="K129" s="2280"/>
      <c r="L129" s="2275"/>
      <c r="M129" s="2275"/>
      <c r="N129" s="2275"/>
      <c r="O129" s="2275"/>
      <c r="P129" s="2275"/>
      <c r="Q129" s="2275"/>
      <c r="R129" s="2275"/>
      <c r="S129" s="2275"/>
      <c r="T129" s="2275"/>
      <c r="U129" s="2275"/>
      <c r="V129" s="2275"/>
      <c r="W129" s="2275"/>
      <c r="X129" s="2268"/>
      <c r="Y129" s="2268"/>
      <c r="Z129" s="2268"/>
      <c r="AA129" s="2268"/>
      <c r="AB129" s="2268"/>
      <c r="AC129" s="2268"/>
      <c r="AD129" s="2268"/>
      <c r="AE129" s="2268"/>
      <c r="AF129" s="2268"/>
      <c r="AG129" s="2268"/>
      <c r="AH129" s="2268"/>
      <c r="AI129" s="2268"/>
      <c r="AJ129" s="2286"/>
      <c r="AK129" s="2268"/>
      <c r="AL129" s="2268"/>
      <c r="AM129" s="2268"/>
      <c r="AN129" s="2268"/>
      <c r="AO129" s="2268"/>
      <c r="AP129" s="2268"/>
      <c r="AQ129" s="2268"/>
      <c r="AR129" s="2268"/>
      <c r="AS129" s="2268"/>
      <c r="AT129" s="2268"/>
      <c r="AU129" s="2268"/>
      <c r="AV129" s="2268"/>
      <c r="AW129" s="2268"/>
      <c r="AX129" s="2268"/>
      <c r="AY129" s="2268"/>
      <c r="AZ129" s="2268"/>
      <c r="BA129" s="2268"/>
      <c r="BB129" s="2268"/>
      <c r="BC129" s="2268"/>
      <c r="BD129" s="2268"/>
      <c r="BE129" s="2268"/>
      <c r="BF129" s="2268"/>
      <c r="BG129" s="2268"/>
      <c r="BH129" s="2268"/>
      <c r="BI129" s="2268"/>
      <c r="BJ129" s="2268"/>
      <c r="BK129" s="2268"/>
      <c r="BL129" s="2268"/>
      <c r="BM129" s="2268"/>
      <c r="BN129" s="2268"/>
      <c r="BO129" s="2268"/>
      <c r="BP129" s="2268"/>
      <c r="BQ129" s="2268"/>
      <c r="BR129" s="2268"/>
      <c r="BS129" s="2268"/>
      <c r="BT129" s="2268"/>
      <c r="BU129" s="2268"/>
      <c r="BV129" s="2268"/>
      <c r="BW129" s="2268"/>
      <c r="BX129" s="2268"/>
      <c r="BY129" s="2268"/>
      <c r="BZ129" s="2268"/>
      <c r="CA129" s="2268"/>
      <c r="CB129" s="2268"/>
      <c r="CC129" s="2268"/>
      <c r="CD129" s="2268"/>
      <c r="CE129" s="2268"/>
      <c r="CF129" s="2268"/>
      <c r="CG129" s="2268"/>
      <c r="CH129" s="2268"/>
      <c r="CI129" s="2268"/>
      <c r="CJ129" s="2268"/>
      <c r="CK129" s="2268"/>
      <c r="CL129" s="2268"/>
      <c r="CM129" s="2268"/>
      <c r="CN129" s="2268"/>
      <c r="CO129" s="2268"/>
      <c r="CP129" s="2268"/>
      <c r="CQ129" s="2268"/>
      <c r="CR129" s="2268"/>
      <c r="CS129" s="2268"/>
      <c r="CT129" s="2268"/>
      <c r="CU129" s="2268"/>
      <c r="CV129" s="2268"/>
      <c r="CW129" s="2268"/>
      <c r="CX129" s="2268"/>
      <c r="CY129" s="2268"/>
      <c r="CZ129" s="2268"/>
      <c r="DA129" s="2268"/>
      <c r="DB129" s="2268"/>
      <c r="DC129" s="2268"/>
      <c r="DD129" s="2268"/>
      <c r="DE129" s="2268"/>
      <c r="DF129" s="2268"/>
      <c r="DG129" s="2268"/>
      <c r="DH129" s="2268"/>
      <c r="DI129" s="2268"/>
      <c r="DJ129" s="2268"/>
      <c r="DK129" s="2268"/>
      <c r="DL129" s="2268"/>
      <c r="DM129" s="2268"/>
      <c r="DN129" s="2268"/>
      <c r="DO129" s="2268"/>
      <c r="DP129" s="2268"/>
      <c r="DQ129" s="2268"/>
      <c r="DR129" s="2268"/>
      <c r="DS129" s="2268"/>
      <c r="DT129" s="2268"/>
      <c r="DU129" s="2268"/>
    </row>
    <row r="130" spans="1:135">
      <c r="B130" s="2275" t="s">
        <v>2135</v>
      </c>
      <c r="C130" s="2275"/>
      <c r="D130" s="2280"/>
      <c r="E130" s="2280"/>
      <c r="F130" s="2280"/>
      <c r="G130" s="2280"/>
      <c r="H130" s="2280"/>
      <c r="I130" s="2280"/>
      <c r="J130" s="2280"/>
      <c r="K130" s="2280"/>
      <c r="L130" s="2275"/>
      <c r="M130" s="2275"/>
      <c r="N130" s="2275"/>
      <c r="O130" s="2275"/>
      <c r="P130" s="2275"/>
      <c r="Q130" s="2275"/>
      <c r="R130" s="2275"/>
      <c r="S130" s="2275"/>
      <c r="T130" s="2275"/>
      <c r="U130" s="2275"/>
      <c r="V130" s="2275"/>
      <c r="W130" s="2275"/>
      <c r="X130" s="2279"/>
      <c r="Y130" s="2279"/>
      <c r="Z130" s="2279"/>
      <c r="AA130" s="2279"/>
      <c r="AB130" s="2279"/>
      <c r="AC130" s="2279"/>
      <c r="AD130" s="2279"/>
      <c r="AE130" s="2268"/>
      <c r="AF130" s="2268"/>
      <c r="AG130" s="2268"/>
      <c r="AH130" s="2268"/>
      <c r="AI130" s="2268"/>
      <c r="AJ130" s="2286"/>
      <c r="AK130" s="2268"/>
      <c r="AL130" s="2268"/>
      <c r="AM130" s="2268"/>
      <c r="AN130" s="2268"/>
      <c r="AO130" s="2268"/>
      <c r="AP130" s="2268"/>
      <c r="AQ130" s="2268"/>
      <c r="AR130" s="2268"/>
      <c r="AS130" s="2268"/>
      <c r="AT130" s="2268"/>
      <c r="AU130" s="2268"/>
      <c r="AV130" s="2268"/>
      <c r="AW130" s="2268"/>
      <c r="AX130" s="2268"/>
      <c r="AY130" s="2268"/>
      <c r="AZ130" s="2268"/>
      <c r="BA130" s="2268"/>
      <c r="BB130" s="2268"/>
      <c r="BC130" s="2268"/>
      <c r="BD130" s="2268"/>
      <c r="BE130" s="2268"/>
      <c r="BF130" s="2268"/>
      <c r="BG130" s="2268"/>
      <c r="BH130" s="2268"/>
      <c r="BI130" s="2268"/>
      <c r="BJ130" s="2268"/>
      <c r="BK130" s="2268"/>
      <c r="BL130" s="2268"/>
      <c r="BM130" s="2268"/>
      <c r="BN130" s="2268"/>
      <c r="BO130" s="2268"/>
      <c r="BP130" s="2268"/>
      <c r="BQ130" s="2268"/>
      <c r="BR130" s="2268"/>
      <c r="BS130" s="2268"/>
      <c r="BT130" s="2268"/>
      <c r="BU130" s="2268"/>
      <c r="BV130" s="2268"/>
      <c r="BW130" s="2268"/>
      <c r="BX130" s="2268"/>
      <c r="BY130" s="2268"/>
      <c r="BZ130" s="2268"/>
      <c r="CA130" s="2268"/>
      <c r="CB130" s="2268"/>
      <c r="CC130" s="2268"/>
      <c r="CD130" s="2268"/>
      <c r="CE130" s="2268"/>
      <c r="CF130" s="2268"/>
      <c r="CG130" s="2268"/>
      <c r="CH130" s="2268"/>
      <c r="CI130" s="2268"/>
      <c r="CJ130" s="2268"/>
      <c r="CK130" s="2268"/>
      <c r="CL130" s="2268"/>
      <c r="CM130" s="2268"/>
      <c r="CN130" s="2268"/>
      <c r="CO130" s="2268"/>
      <c r="CP130" s="2268"/>
      <c r="CQ130" s="2268"/>
      <c r="CR130" s="2268"/>
      <c r="CS130" s="2268"/>
      <c r="CT130" s="2268"/>
      <c r="CU130" s="2268"/>
      <c r="CV130" s="2268"/>
      <c r="CW130" s="2268"/>
      <c r="CX130" s="2268"/>
      <c r="CY130" s="2268"/>
      <c r="CZ130" s="2268"/>
      <c r="DA130" s="2268"/>
      <c r="DB130" s="2268"/>
      <c r="DC130" s="2268"/>
      <c r="DD130" s="2268"/>
      <c r="DE130" s="2268"/>
      <c r="DF130" s="2268"/>
      <c r="DG130" s="2268"/>
      <c r="DH130" s="2268"/>
      <c r="DI130" s="2268"/>
      <c r="DJ130" s="2268"/>
      <c r="DK130" s="2268"/>
      <c r="DL130" s="2268"/>
      <c r="DM130" s="2268"/>
      <c r="DN130" s="2268"/>
      <c r="DO130" s="2268"/>
      <c r="DP130" s="2268"/>
      <c r="DQ130" s="2268"/>
      <c r="DR130" s="2279"/>
      <c r="DS130" s="2279"/>
      <c r="DT130" s="2279"/>
      <c r="DU130" s="2279"/>
    </row>
    <row r="131" spans="1:135">
      <c r="B131" s="2275"/>
      <c r="C131" s="2275"/>
      <c r="D131" s="2280"/>
      <c r="E131" s="2280"/>
      <c r="F131" s="2280"/>
      <c r="G131" s="2280"/>
      <c r="H131" s="2280"/>
      <c r="I131" s="2280"/>
      <c r="J131" s="2280"/>
      <c r="K131" s="2280"/>
      <c r="L131" s="2275"/>
      <c r="M131" s="2275"/>
      <c r="N131" s="2275"/>
      <c r="O131" s="2275"/>
      <c r="P131" s="2275"/>
      <c r="Q131" s="2275"/>
      <c r="R131" s="2275"/>
      <c r="S131" s="2275"/>
      <c r="T131" s="2275"/>
      <c r="U131" s="2275"/>
      <c r="V131" s="2275"/>
      <c r="W131" s="2275"/>
      <c r="X131" s="2268"/>
      <c r="Y131" s="2268"/>
      <c r="Z131" s="2268"/>
      <c r="AA131" s="2268"/>
      <c r="AB131" s="2268"/>
      <c r="AC131" s="2268"/>
      <c r="AD131" s="2268"/>
      <c r="AE131" s="2268"/>
      <c r="AF131" s="2268"/>
      <c r="AG131" s="2268"/>
      <c r="AH131" s="2268"/>
      <c r="AI131" s="2268"/>
      <c r="AJ131" s="2286"/>
      <c r="AK131" s="2268"/>
      <c r="AL131" s="2268"/>
      <c r="AM131" s="2268"/>
      <c r="AN131" s="2268"/>
      <c r="AO131" s="2268"/>
      <c r="AP131" s="2268"/>
      <c r="AQ131" s="2268"/>
      <c r="AR131" s="2268"/>
      <c r="AS131" s="2268"/>
      <c r="AT131" s="2268"/>
      <c r="AU131" s="2268"/>
      <c r="AV131" s="2268"/>
      <c r="AW131" s="2268"/>
      <c r="AX131" s="2268"/>
      <c r="AY131" s="2268"/>
      <c r="AZ131" s="2268"/>
      <c r="BA131" s="2268"/>
      <c r="BB131" s="2268"/>
      <c r="BC131" s="2268"/>
      <c r="BD131" s="2268"/>
      <c r="BE131" s="2268"/>
      <c r="BF131" s="2268"/>
      <c r="BG131" s="2268"/>
      <c r="BH131" s="2268"/>
      <c r="BI131" s="2268"/>
      <c r="BJ131" s="2268"/>
      <c r="BK131" s="2268"/>
      <c r="BL131" s="2268"/>
      <c r="BM131" s="2268"/>
      <c r="BN131" s="2268"/>
      <c r="BO131" s="2268"/>
      <c r="BP131" s="2268"/>
      <c r="BQ131" s="2268"/>
      <c r="BR131" s="2268"/>
      <c r="BS131" s="2268"/>
      <c r="BT131" s="2268"/>
      <c r="BU131" s="2268"/>
      <c r="BV131" s="2268"/>
      <c r="BW131" s="2268"/>
      <c r="BX131" s="2268"/>
      <c r="BY131" s="2268"/>
      <c r="BZ131" s="2268"/>
      <c r="CA131" s="2268"/>
      <c r="CB131" s="2268"/>
      <c r="CC131" s="2268"/>
      <c r="CD131" s="2268"/>
      <c r="CE131" s="2268"/>
      <c r="CF131" s="2268"/>
      <c r="CG131" s="2268"/>
      <c r="CH131" s="2268"/>
      <c r="CI131" s="2268"/>
      <c r="CJ131" s="2268"/>
      <c r="CK131" s="2268"/>
      <c r="CL131" s="2268"/>
      <c r="CM131" s="2268"/>
      <c r="CN131" s="2268"/>
      <c r="CO131" s="2268"/>
      <c r="CP131" s="2268"/>
      <c r="CQ131" s="2268"/>
      <c r="CR131" s="2268"/>
      <c r="CS131" s="2268"/>
      <c r="CT131" s="2268"/>
      <c r="CU131" s="2268"/>
      <c r="CV131" s="2268"/>
      <c r="CW131" s="2268"/>
      <c r="CX131" s="2268"/>
      <c r="CY131" s="2268"/>
      <c r="CZ131" s="2268"/>
      <c r="DA131" s="2268"/>
      <c r="DB131" s="2268"/>
      <c r="DC131" s="2268"/>
      <c r="DD131" s="2268"/>
      <c r="DE131" s="2268"/>
      <c r="DF131" s="2268"/>
      <c r="DG131" s="2268"/>
      <c r="DH131" s="2268"/>
      <c r="DI131" s="2268"/>
      <c r="DJ131" s="2268"/>
      <c r="DK131" s="2268"/>
      <c r="DL131" s="2268"/>
      <c r="DM131" s="2268"/>
      <c r="DN131" s="2268"/>
      <c r="DO131" s="2268"/>
      <c r="DP131" s="2268"/>
      <c r="DQ131" s="2268"/>
      <c r="DR131" s="2268"/>
      <c r="DS131" s="2268"/>
      <c r="DT131" s="2268"/>
      <c r="DU131" s="2268"/>
    </row>
    <row r="132" spans="1:135">
      <c r="B132" s="2288" t="s">
        <v>2501</v>
      </c>
      <c r="C132" s="2275"/>
      <c r="D132" s="2280"/>
      <c r="E132" s="2280"/>
      <c r="F132" s="2280"/>
      <c r="G132" s="2280"/>
      <c r="H132" s="2280"/>
      <c r="I132" s="2280"/>
      <c r="J132" s="2280"/>
      <c r="K132" s="2280"/>
      <c r="L132" s="2275"/>
      <c r="M132" s="2275"/>
      <c r="N132" s="2275"/>
      <c r="O132" s="2275"/>
      <c r="P132" s="2275"/>
      <c r="Q132" s="2275"/>
      <c r="R132" s="2275"/>
      <c r="S132" s="2275"/>
      <c r="T132" s="2275"/>
      <c r="U132" s="2278"/>
      <c r="V132" s="2278"/>
      <c r="W132" s="2278"/>
      <c r="X132" s="2279"/>
      <c r="Y132" s="2279"/>
      <c r="Z132" s="2279"/>
      <c r="AA132" s="2279"/>
      <c r="AB132" s="2279"/>
      <c r="AC132" s="2279"/>
      <c r="AD132" s="2279"/>
      <c r="AE132" s="2277"/>
      <c r="AF132" s="2280"/>
      <c r="AG132" s="2275"/>
      <c r="AH132" s="2275"/>
      <c r="AI132" s="2275"/>
      <c r="AJ132" s="2281"/>
      <c r="AK132" s="2275"/>
      <c r="AL132" s="2280"/>
      <c r="AM132" s="2280"/>
      <c r="AN132" s="2280"/>
      <c r="AO132" s="2280"/>
      <c r="AP132" s="2280"/>
      <c r="AQ132" s="2280"/>
      <c r="AR132" s="2280"/>
      <c r="AS132" s="2280"/>
      <c r="AT132" s="2280"/>
      <c r="AU132" s="2280"/>
      <c r="AV132" s="2280"/>
      <c r="AW132" s="2280"/>
      <c r="AX132" s="2280"/>
      <c r="AY132" s="2280"/>
      <c r="AZ132" s="2280"/>
      <c r="BA132" s="2280"/>
      <c r="BB132" s="2280"/>
      <c r="BC132" s="2280"/>
      <c r="BD132" s="2280"/>
      <c r="BE132" s="2280"/>
      <c r="BF132" s="2280"/>
      <c r="BG132" s="2280"/>
      <c r="BH132" s="2280"/>
      <c r="BI132" s="2280"/>
      <c r="BJ132" s="2280"/>
      <c r="BK132" s="2280"/>
      <c r="BL132" s="2280"/>
      <c r="BM132" s="2280"/>
      <c r="BN132" s="2280"/>
      <c r="BO132" s="2280"/>
      <c r="BP132" s="2280"/>
      <c r="BQ132" s="2280"/>
      <c r="BR132" s="2280"/>
      <c r="BS132" s="2280"/>
      <c r="BT132" s="2280"/>
      <c r="BU132" s="2280"/>
      <c r="BV132" s="2280"/>
      <c r="BW132" s="2280"/>
      <c r="BX132" s="2280"/>
      <c r="BY132" s="2280"/>
      <c r="BZ132" s="2275"/>
      <c r="CA132" s="2275"/>
      <c r="CB132" s="2275"/>
      <c r="CC132" s="2275"/>
      <c r="CD132" s="2275"/>
      <c r="CE132" s="2275"/>
      <c r="CF132" s="2275"/>
      <c r="CG132" s="2275"/>
      <c r="CH132" s="2275"/>
      <c r="CI132" s="2275"/>
      <c r="CJ132" s="2280"/>
      <c r="CK132" s="2280"/>
      <c r="CL132" s="2280"/>
      <c r="CM132" s="2280"/>
      <c r="CN132" s="2280"/>
      <c r="CO132" s="2280"/>
      <c r="CP132" s="2280"/>
      <c r="CQ132" s="2280"/>
      <c r="CR132" s="2280"/>
      <c r="CS132" s="2280"/>
      <c r="CT132" s="2280"/>
      <c r="CU132" s="2280"/>
      <c r="CV132" s="2280"/>
      <c r="CW132" s="2280"/>
      <c r="CX132" s="2280"/>
      <c r="CY132" s="2280"/>
      <c r="CZ132" s="2280"/>
      <c r="DA132" s="2280"/>
      <c r="DB132" s="2280"/>
      <c r="DC132" s="2280"/>
      <c r="DD132" s="2280"/>
      <c r="DE132" s="2280"/>
      <c r="DF132" s="2280"/>
      <c r="DG132" s="2280"/>
      <c r="DH132" s="2280"/>
      <c r="DI132" s="2280"/>
      <c r="DJ132" s="2280"/>
      <c r="DK132" s="2280"/>
      <c r="DL132" s="2280"/>
      <c r="DM132" s="2280"/>
      <c r="DN132" s="2280"/>
      <c r="DO132" s="2280"/>
      <c r="DP132" s="2280"/>
      <c r="DQ132" s="2280"/>
      <c r="DR132" s="2279"/>
      <c r="DS132" s="2279"/>
      <c r="DT132" s="2279"/>
      <c r="DU132" s="2279"/>
    </row>
    <row r="133" spans="1:135">
      <c r="B133" s="2275" t="s">
        <v>2502</v>
      </c>
      <c r="C133" s="2275"/>
      <c r="D133" s="2280"/>
      <c r="E133" s="2280"/>
      <c r="F133" s="2280"/>
      <c r="G133" s="2280"/>
      <c r="H133" s="2280"/>
      <c r="I133" s="2280"/>
      <c r="J133" s="2280"/>
      <c r="K133" s="2280"/>
      <c r="L133" s="2275"/>
      <c r="M133" s="2275"/>
      <c r="N133" s="2275"/>
      <c r="O133" s="2275"/>
      <c r="P133" s="2275"/>
      <c r="Q133" s="2275"/>
      <c r="R133" s="2275"/>
      <c r="S133" s="2275"/>
      <c r="T133" s="2275"/>
      <c r="U133" s="2275"/>
      <c r="V133" s="2275"/>
      <c r="W133" s="2275"/>
      <c r="X133" s="2315"/>
      <c r="Y133" s="2315"/>
      <c r="Z133" s="2315"/>
      <c r="AA133" s="2315"/>
      <c r="AB133" s="2315"/>
      <c r="AC133" s="2315"/>
      <c r="AD133" s="2315"/>
      <c r="AE133" s="2268"/>
      <c r="AF133" s="2268"/>
      <c r="AG133" s="2268"/>
      <c r="AH133" s="2268"/>
      <c r="AI133" s="2268"/>
      <c r="AJ133" s="2286"/>
      <c r="AK133" s="2268"/>
      <c r="AL133" s="2268"/>
      <c r="AM133" s="2268"/>
      <c r="AN133" s="2268"/>
      <c r="AO133" s="2268"/>
      <c r="AP133" s="2268"/>
      <c r="AQ133" s="2268"/>
      <c r="AR133" s="2268"/>
      <c r="AS133" s="2268"/>
      <c r="AT133" s="2268"/>
      <c r="AU133" s="2268"/>
      <c r="AV133" s="2268"/>
      <c r="AW133" s="2268"/>
      <c r="AX133" s="2268"/>
      <c r="AY133" s="2268"/>
      <c r="AZ133" s="2268"/>
      <c r="BA133" s="2268"/>
      <c r="BB133" s="2268"/>
      <c r="BC133" s="2268"/>
      <c r="BD133" s="2268"/>
      <c r="BE133" s="2268"/>
      <c r="BF133" s="2268"/>
      <c r="BG133" s="2268"/>
      <c r="BH133" s="2268"/>
      <c r="BI133" s="2268"/>
      <c r="BJ133" s="2268"/>
      <c r="BK133" s="2268"/>
      <c r="BL133" s="2268"/>
      <c r="BM133" s="2268"/>
      <c r="BN133" s="2268"/>
      <c r="BO133" s="2268"/>
      <c r="BP133" s="2268"/>
      <c r="BQ133" s="2268"/>
      <c r="BR133" s="2268"/>
      <c r="BS133" s="2268"/>
      <c r="BT133" s="2268"/>
      <c r="BU133" s="2268"/>
      <c r="BV133" s="2268"/>
      <c r="BW133" s="2268"/>
      <c r="BX133" s="2268"/>
      <c r="BY133" s="2268"/>
      <c r="BZ133" s="2268"/>
      <c r="CA133" s="2268"/>
      <c r="CB133" s="2268"/>
      <c r="CC133" s="2268"/>
      <c r="CD133" s="2268"/>
      <c r="CE133" s="2268"/>
      <c r="CF133" s="2268"/>
      <c r="CG133" s="2268"/>
      <c r="CH133" s="2268"/>
      <c r="CI133" s="2268"/>
      <c r="CJ133" s="2268"/>
      <c r="CK133" s="2268"/>
      <c r="CL133" s="2268"/>
      <c r="CM133" s="2268"/>
      <c r="CN133" s="2268"/>
      <c r="CO133" s="2268"/>
      <c r="CP133" s="2268"/>
      <c r="CQ133" s="2268"/>
      <c r="CR133" s="2268"/>
      <c r="CS133" s="2268"/>
      <c r="CT133" s="2268"/>
      <c r="CU133" s="2268"/>
      <c r="CV133" s="2268"/>
      <c r="CW133" s="2268"/>
      <c r="CX133" s="2268"/>
      <c r="CY133" s="2268"/>
      <c r="CZ133" s="2265"/>
      <c r="DA133" s="2265"/>
      <c r="DB133" s="2265"/>
      <c r="DC133" s="2265"/>
      <c r="DD133" s="2265"/>
      <c r="DE133" s="2265"/>
      <c r="DF133" s="2265"/>
      <c r="DG133" s="2265"/>
      <c r="DH133" s="2265"/>
      <c r="DI133" s="2268"/>
      <c r="DJ133" s="2268"/>
      <c r="DK133" s="2268"/>
      <c r="DL133" s="2268"/>
      <c r="DM133" s="2268"/>
      <c r="DN133" s="2268"/>
      <c r="DO133" s="2268"/>
      <c r="DP133" s="2268"/>
      <c r="DQ133" s="2268"/>
      <c r="DR133" s="2315"/>
      <c r="DS133" s="2315"/>
      <c r="DT133" s="2315"/>
      <c r="DU133" s="2315"/>
    </row>
    <row r="134" spans="1:135">
      <c r="B134" s="2275" t="s">
        <v>2137</v>
      </c>
      <c r="C134" s="2275"/>
      <c r="D134" s="2280"/>
      <c r="E134" s="2280"/>
      <c r="F134" s="2280"/>
      <c r="G134" s="2280"/>
      <c r="H134" s="2280"/>
      <c r="I134" s="2280"/>
      <c r="J134" s="2280"/>
      <c r="K134" s="2280"/>
      <c r="L134" s="2275"/>
      <c r="M134" s="2275"/>
      <c r="N134" s="2275"/>
      <c r="O134" s="2275"/>
      <c r="P134" s="2275"/>
      <c r="Q134" s="2275"/>
      <c r="R134" s="2275"/>
      <c r="S134" s="2275"/>
      <c r="T134" s="2275"/>
      <c r="U134" s="2275"/>
      <c r="V134" s="2275"/>
      <c r="W134" s="2275"/>
      <c r="X134" s="2268"/>
      <c r="Y134" s="2268"/>
      <c r="Z134" s="2268"/>
      <c r="AA134" s="2268"/>
      <c r="AB134" s="2268"/>
      <c r="AC134" s="2268"/>
      <c r="AD134" s="2268"/>
      <c r="AE134" s="2268"/>
      <c r="AF134" s="2268"/>
      <c r="AG134" s="2268"/>
      <c r="AH134" s="2268"/>
      <c r="AI134" s="2268"/>
      <c r="AJ134" s="2286"/>
      <c r="AK134" s="2268"/>
      <c r="AL134" s="2268"/>
      <c r="AM134" s="2268"/>
      <c r="AN134" s="2268"/>
      <c r="AO134" s="2268"/>
      <c r="AP134" s="2268"/>
      <c r="AQ134" s="2268"/>
      <c r="AR134" s="2268"/>
      <c r="AS134" s="2268"/>
      <c r="AT134" s="2268"/>
      <c r="AU134" s="2268"/>
      <c r="AV134" s="2268"/>
      <c r="AW134" s="2268"/>
      <c r="AX134" s="2268"/>
      <c r="AY134" s="2268"/>
      <c r="AZ134" s="2268"/>
      <c r="BA134" s="2268"/>
      <c r="BB134" s="2268"/>
      <c r="BC134" s="2268"/>
      <c r="BD134" s="2268"/>
      <c r="BE134" s="2268"/>
      <c r="BF134" s="2268"/>
      <c r="BG134" s="2268"/>
      <c r="BH134" s="2268"/>
      <c r="BI134" s="2268"/>
      <c r="BJ134" s="2268"/>
      <c r="BK134" s="2268"/>
      <c r="BL134" s="2268"/>
      <c r="BM134" s="2268"/>
      <c r="BN134" s="2268"/>
      <c r="BO134" s="2268"/>
      <c r="BP134" s="2268"/>
      <c r="BQ134" s="2268"/>
      <c r="BR134" s="2268"/>
      <c r="BS134" s="2268"/>
      <c r="BT134" s="2268"/>
      <c r="BU134" s="2268"/>
      <c r="BV134" s="2268"/>
      <c r="BW134" s="2268"/>
      <c r="BX134" s="2268"/>
      <c r="BY134" s="2268"/>
      <c r="BZ134" s="2268"/>
      <c r="CA134" s="2268"/>
      <c r="CB134" s="2268"/>
      <c r="CC134" s="2268"/>
      <c r="CD134" s="2268"/>
      <c r="CE134" s="2268"/>
      <c r="CF134" s="2268"/>
      <c r="CG134" s="2268"/>
      <c r="CH134" s="2268"/>
      <c r="CI134" s="2268"/>
      <c r="CJ134" s="2268"/>
      <c r="CK134" s="2268"/>
      <c r="CL134" s="2268"/>
      <c r="CM134" s="2268"/>
      <c r="CN134" s="2268"/>
      <c r="CO134" s="2268"/>
      <c r="CP134" s="2268"/>
      <c r="CQ134" s="2268"/>
      <c r="CR134" s="2268"/>
      <c r="CS134" s="2268"/>
      <c r="CT134" s="2268"/>
      <c r="CU134" s="2268"/>
      <c r="CV134" s="2268"/>
      <c r="CW134" s="2268"/>
      <c r="CX134" s="2268"/>
      <c r="CY134" s="2268"/>
      <c r="CZ134" s="2268"/>
      <c r="DA134" s="2268"/>
      <c r="DB134" s="2268"/>
      <c r="DC134" s="2268"/>
      <c r="DD134" s="2268"/>
      <c r="DE134" s="2268"/>
      <c r="DF134" s="2268"/>
      <c r="DG134" s="2268"/>
      <c r="DH134" s="2268"/>
      <c r="DI134" s="2268"/>
      <c r="DJ134" s="2268"/>
      <c r="DK134" s="2268"/>
      <c r="DL134" s="2268"/>
      <c r="DM134" s="2268"/>
      <c r="DN134" s="2268"/>
      <c r="DO134" s="2268"/>
      <c r="DP134" s="2268"/>
      <c r="DQ134" s="2268"/>
      <c r="DR134" s="2268"/>
      <c r="DS134" s="2268"/>
      <c r="DT134" s="2268"/>
      <c r="DU134" s="2268"/>
    </row>
    <row r="135" spans="1:135">
      <c r="B135" s="2275" t="s">
        <v>2135</v>
      </c>
      <c r="C135" s="2275"/>
      <c r="D135" s="2280"/>
      <c r="E135" s="2280"/>
      <c r="F135" s="2280"/>
      <c r="G135" s="2280"/>
      <c r="H135" s="2280"/>
      <c r="I135" s="2280"/>
      <c r="J135" s="2280"/>
      <c r="K135" s="2280"/>
      <c r="L135" s="2275"/>
      <c r="M135" s="2275"/>
      <c r="N135" s="2275"/>
      <c r="O135" s="2275"/>
      <c r="P135" s="2275"/>
      <c r="Q135" s="2275"/>
      <c r="R135" s="2275"/>
      <c r="S135" s="2275"/>
      <c r="T135" s="2275"/>
      <c r="U135" s="2275"/>
      <c r="V135" s="2275"/>
      <c r="W135" s="2275"/>
      <c r="X135" s="2279"/>
      <c r="Y135" s="2279"/>
      <c r="Z135" s="2279"/>
      <c r="AA135" s="2279"/>
      <c r="AB135" s="2279"/>
      <c r="AC135" s="2279"/>
      <c r="AD135" s="2279"/>
      <c r="AE135" s="2268"/>
      <c r="AF135" s="2268"/>
      <c r="AG135" s="2268"/>
      <c r="AH135" s="2268"/>
      <c r="AI135" s="2268"/>
      <c r="AJ135" s="2286"/>
      <c r="AK135" s="2268"/>
      <c r="AL135" s="2268"/>
      <c r="AM135" s="2268"/>
      <c r="AN135" s="2268"/>
      <c r="AO135" s="2268"/>
      <c r="AP135" s="2268"/>
      <c r="AQ135" s="2268"/>
      <c r="AR135" s="2268"/>
      <c r="AS135" s="2268"/>
      <c r="AT135" s="2268"/>
      <c r="AU135" s="2268"/>
      <c r="AV135" s="2268"/>
      <c r="AW135" s="2268"/>
      <c r="AX135" s="2268"/>
      <c r="AY135" s="2268"/>
      <c r="AZ135" s="2268"/>
      <c r="BA135" s="2268"/>
      <c r="BB135" s="2268"/>
      <c r="BC135" s="2268"/>
      <c r="BD135" s="2268"/>
      <c r="BE135" s="2268"/>
      <c r="BF135" s="2268"/>
      <c r="BG135" s="2268"/>
      <c r="BH135" s="2268"/>
      <c r="BI135" s="2268"/>
      <c r="BJ135" s="2268"/>
      <c r="BK135" s="2268"/>
      <c r="BL135" s="2268"/>
      <c r="BM135" s="2268"/>
      <c r="BN135" s="2268"/>
      <c r="BO135" s="2268"/>
      <c r="BP135" s="2268"/>
      <c r="BQ135" s="2268"/>
      <c r="BR135" s="2268"/>
      <c r="BS135" s="2268"/>
      <c r="BT135" s="2268"/>
      <c r="BU135" s="2268"/>
      <c r="BV135" s="2268"/>
      <c r="BW135" s="2268"/>
      <c r="BX135" s="2268"/>
      <c r="BY135" s="2268"/>
      <c r="BZ135" s="2268"/>
      <c r="CA135" s="2268"/>
      <c r="CB135" s="2268"/>
      <c r="CC135" s="2268"/>
      <c r="CD135" s="2268"/>
      <c r="CE135" s="2268"/>
      <c r="CF135" s="2268"/>
      <c r="CG135" s="2268"/>
      <c r="CH135" s="2268"/>
      <c r="CI135" s="2268"/>
      <c r="CJ135" s="2268"/>
      <c r="CK135" s="2268"/>
      <c r="CL135" s="2268"/>
      <c r="CM135" s="2268"/>
      <c r="CN135" s="2268"/>
      <c r="CO135" s="2268"/>
      <c r="CP135" s="2268"/>
      <c r="CQ135" s="2268"/>
      <c r="CR135" s="2268"/>
      <c r="CS135" s="2268"/>
      <c r="CT135" s="2268"/>
      <c r="CU135" s="2268"/>
      <c r="CV135" s="2268"/>
      <c r="CW135" s="2268"/>
      <c r="CX135" s="2268"/>
      <c r="CY135" s="2268"/>
      <c r="CZ135" s="2268"/>
      <c r="DA135" s="2268"/>
      <c r="DB135" s="2268"/>
      <c r="DC135" s="2268"/>
      <c r="DD135" s="2268"/>
      <c r="DE135" s="2268"/>
      <c r="DF135" s="2268"/>
      <c r="DG135" s="2268"/>
      <c r="DH135" s="2268"/>
      <c r="DI135" s="2268"/>
      <c r="DJ135" s="2268"/>
      <c r="DK135" s="2268"/>
      <c r="DL135" s="2268"/>
      <c r="DM135" s="2268"/>
      <c r="DN135" s="2268"/>
      <c r="DO135" s="2268"/>
      <c r="DP135" s="2268"/>
      <c r="DQ135" s="2268"/>
      <c r="DR135" s="2279"/>
      <c r="DS135" s="2279"/>
      <c r="DT135" s="2279"/>
      <c r="DU135" s="2279"/>
    </row>
    <row r="136" spans="1:135" s="124" customFormat="1">
      <c r="B136" s="123"/>
      <c r="C136" s="123"/>
      <c r="L136" s="123"/>
      <c r="M136" s="123"/>
      <c r="N136" s="123"/>
      <c r="O136" s="123"/>
      <c r="P136" s="123"/>
      <c r="Q136" s="123"/>
      <c r="R136" s="123"/>
      <c r="S136" s="123"/>
      <c r="T136" s="123"/>
      <c r="U136" s="123"/>
      <c r="V136" s="123"/>
      <c r="W136" s="123"/>
      <c r="AE136" s="901"/>
      <c r="AG136" s="123"/>
      <c r="AH136" s="123"/>
      <c r="AI136" s="123"/>
      <c r="AJ136" s="123"/>
      <c r="AK136" s="1103"/>
      <c r="AP136" s="1187"/>
      <c r="AU136" s="1187"/>
      <c r="AZ136" s="1187"/>
      <c r="BE136" s="1187"/>
      <c r="BJ136" s="1187"/>
      <c r="BO136" s="1187"/>
      <c r="BT136" s="1187"/>
      <c r="BY136" s="1187"/>
      <c r="BZ136" s="123"/>
      <c r="CA136" s="123"/>
      <c r="CB136" s="123"/>
      <c r="CC136" s="123"/>
      <c r="CD136" s="1103"/>
      <c r="CE136" s="123"/>
      <c r="CF136" s="123"/>
      <c r="CG136" s="123"/>
      <c r="CH136" s="123"/>
      <c r="CI136" s="1103"/>
      <c r="CN136" s="1187"/>
      <c r="CS136" s="1187"/>
      <c r="DZ136"/>
      <c r="EA136"/>
      <c r="EB136"/>
      <c r="EC136"/>
      <c r="ED136"/>
      <c r="EE136"/>
    </row>
    <row r="137" spans="1:135">
      <c r="A137" s="1163" t="s">
        <v>604</v>
      </c>
      <c r="B137" s="28" t="s">
        <v>1233</v>
      </c>
      <c r="C137" s="50"/>
      <c r="D137" s="29"/>
      <c r="E137" s="29"/>
      <c r="F137" s="29"/>
      <c r="G137" s="29"/>
      <c r="H137" s="29"/>
      <c r="I137" s="29"/>
      <c r="J137" s="29"/>
      <c r="K137" s="29"/>
      <c r="L137" s="50"/>
      <c r="M137" s="50"/>
      <c r="N137" s="50"/>
      <c r="O137" s="50"/>
      <c r="P137" s="50"/>
      <c r="Q137" s="50"/>
      <c r="R137" s="50"/>
      <c r="S137" s="50"/>
      <c r="T137" s="50"/>
      <c r="U137" s="50"/>
      <c r="V137" s="50"/>
      <c r="W137" s="50"/>
      <c r="X137" s="29"/>
      <c r="Y137" s="29"/>
      <c r="Z137" s="29"/>
      <c r="AA137" s="29"/>
      <c r="AB137" s="29"/>
      <c r="AC137" s="29"/>
      <c r="AD137" s="29"/>
      <c r="AE137" s="54"/>
      <c r="AG137" s="23"/>
      <c r="AH137" s="23"/>
      <c r="AI137" s="23"/>
      <c r="AJ137" s="123"/>
      <c r="AK137" s="1102"/>
      <c r="AP137" s="42"/>
      <c r="AU137" s="42"/>
      <c r="AZ137" s="42"/>
      <c r="BE137" s="42"/>
      <c r="BJ137" s="42"/>
      <c r="BO137" s="42"/>
      <c r="BT137" s="42"/>
      <c r="BY137" s="42"/>
      <c r="BZ137" s="23"/>
      <c r="CA137" s="23"/>
      <c r="CB137" s="23"/>
      <c r="CC137" s="23"/>
      <c r="CD137" s="1102"/>
      <c r="CE137" s="23"/>
      <c r="CF137" s="23"/>
      <c r="CG137" s="23"/>
      <c r="CH137" s="23"/>
      <c r="CI137" s="1102"/>
      <c r="CJ137" s="50"/>
      <c r="CK137" s="50"/>
      <c r="CL137" s="50"/>
      <c r="CM137" s="50"/>
      <c r="CN137" s="1102"/>
      <c r="CO137" s="50"/>
      <c r="CP137" s="50"/>
      <c r="CQ137" s="50"/>
      <c r="CR137" s="50"/>
      <c r="CS137" s="1102"/>
      <c r="CT137" s="50"/>
      <c r="CU137" s="50"/>
      <c r="CV137" s="50"/>
      <c r="CW137" s="50"/>
      <c r="CX137" s="50"/>
      <c r="CY137" s="50"/>
      <c r="CZ137" s="50"/>
      <c r="DA137" s="50"/>
      <c r="DB137" s="50"/>
      <c r="DC137" s="50"/>
      <c r="DD137" s="50"/>
      <c r="DE137" s="50"/>
      <c r="DF137" s="50"/>
      <c r="DG137" s="50"/>
      <c r="DH137" s="50"/>
      <c r="DI137" s="50"/>
      <c r="DJ137" s="50"/>
      <c r="DK137" s="50"/>
      <c r="DL137" s="50"/>
      <c r="DM137" s="50"/>
      <c r="DN137" s="50"/>
      <c r="DO137" s="50"/>
      <c r="DP137" s="50"/>
      <c r="DQ137" s="50"/>
      <c r="DR137" s="50"/>
      <c r="DS137" s="50"/>
      <c r="DT137" s="50"/>
      <c r="DU137" s="50"/>
      <c r="DV137" s="23"/>
      <c r="DW137" s="23"/>
      <c r="DX137" s="23"/>
      <c r="DY137" s="23"/>
    </row>
    <row r="138" spans="1:135">
      <c r="B138" s="14" t="s">
        <v>1417</v>
      </c>
      <c r="C138" s="23"/>
      <c r="L138" s="23"/>
      <c r="M138" s="23"/>
      <c r="N138" s="23"/>
      <c r="O138" s="23"/>
      <c r="P138" s="23"/>
      <c r="Q138" s="23"/>
      <c r="R138" s="23"/>
      <c r="S138" s="23"/>
      <c r="T138" s="23"/>
      <c r="U138" s="23"/>
      <c r="V138" s="23"/>
      <c r="W138" s="23"/>
      <c r="AE138" s="54"/>
      <c r="AG138" s="23"/>
      <c r="AH138" s="23"/>
      <c r="AI138" s="23"/>
      <c r="AJ138" s="123"/>
      <c r="AK138" s="1102"/>
      <c r="AP138" s="42"/>
      <c r="AU138" s="42"/>
      <c r="AZ138" s="42"/>
      <c r="BE138" s="42"/>
      <c r="BJ138" s="42"/>
      <c r="BO138" s="42"/>
      <c r="BT138" s="42"/>
      <c r="BY138" s="42"/>
      <c r="BZ138" s="23"/>
      <c r="CA138" s="23"/>
      <c r="CB138" s="23"/>
      <c r="CC138" s="23"/>
      <c r="CD138" s="1102"/>
      <c r="CE138" s="23"/>
      <c r="CF138" s="23"/>
      <c r="CG138" s="23"/>
      <c r="CH138" s="23"/>
      <c r="CI138" s="1102"/>
      <c r="CJ138" s="23"/>
      <c r="CK138" s="23"/>
      <c r="CL138" s="23"/>
      <c r="CM138" s="23"/>
      <c r="CN138" s="1102"/>
      <c r="CO138" s="23"/>
      <c r="CP138" s="23"/>
      <c r="CQ138" s="23"/>
      <c r="CR138" s="23"/>
      <c r="CS138" s="1102"/>
      <c r="CT138" s="23"/>
      <c r="CU138" s="23"/>
      <c r="CV138" s="23"/>
      <c r="CW138" s="23"/>
      <c r="CX138" s="23"/>
      <c r="CY138" s="23"/>
      <c r="CZ138" s="23"/>
      <c r="DA138" s="23"/>
      <c r="DB138" s="23"/>
      <c r="DC138" s="23"/>
      <c r="DD138" s="23"/>
      <c r="DE138" s="23"/>
      <c r="DF138" s="23"/>
      <c r="DG138" s="23"/>
      <c r="DH138" s="23"/>
      <c r="DI138" s="23"/>
      <c r="DJ138" s="23"/>
      <c r="DK138" s="23"/>
      <c r="DL138" s="23"/>
      <c r="DM138" s="23"/>
      <c r="DN138" s="23"/>
      <c r="DO138" s="23"/>
      <c r="DP138" s="23"/>
      <c r="DQ138" s="23"/>
      <c r="DR138" s="23"/>
      <c r="DS138" s="23"/>
      <c r="DT138" s="23"/>
      <c r="DU138" s="23"/>
      <c r="DV138" s="23"/>
      <c r="DW138" s="23"/>
      <c r="DX138" s="23"/>
      <c r="DY138" s="23"/>
    </row>
    <row r="139" spans="1:135" hidden="1" outlineLevel="1">
      <c r="B139" s="876" t="s">
        <v>1050</v>
      </c>
      <c r="C139" s="773"/>
      <c r="D139" s="773"/>
      <c r="E139" s="947"/>
      <c r="F139" s="947" t="e">
        <f t="shared" ref="F139:AD139" si="436">(F9/E9-1)*100</f>
        <v>#DIV/0!</v>
      </c>
      <c r="G139" s="947" t="e">
        <f t="shared" si="436"/>
        <v>#DIV/0!</v>
      </c>
      <c r="H139" s="947" t="e">
        <f t="shared" si="436"/>
        <v>#DIV/0!</v>
      </c>
      <c r="I139" s="947" t="e">
        <f t="shared" si="436"/>
        <v>#DIV/0!</v>
      </c>
      <c r="J139" s="947" t="e">
        <f t="shared" si="436"/>
        <v>#DIV/0!</v>
      </c>
      <c r="K139" s="947">
        <f t="shared" si="436"/>
        <v>32.217606122957164</v>
      </c>
      <c r="L139" s="947">
        <f t="shared" si="436"/>
        <v>51.267271970342755</v>
      </c>
      <c r="M139" s="947">
        <f t="shared" si="436"/>
        <v>78.846714611011876</v>
      </c>
      <c r="N139" s="947">
        <f t="shared" si="436"/>
        <v>29.960228407286049</v>
      </c>
      <c r="O139" s="947">
        <f t="shared" si="436"/>
        <v>32.183910293325766</v>
      </c>
      <c r="P139" s="947">
        <f t="shared" si="436"/>
        <v>27.364747070335447</v>
      </c>
      <c r="Q139" s="947">
        <f t="shared" si="436"/>
        <v>20.041476626981193</v>
      </c>
      <c r="R139" s="947">
        <f t="shared" si="436"/>
        <v>13.565307520293723</v>
      </c>
      <c r="S139" s="947">
        <f t="shared" si="436"/>
        <v>12.383957783511512</v>
      </c>
      <c r="T139" s="947">
        <f t="shared" si="436"/>
        <v>10.665084719085893</v>
      </c>
      <c r="U139" s="947">
        <f t="shared" si="436"/>
        <v>30.961108919027147</v>
      </c>
      <c r="V139" s="947">
        <f t="shared" si="436"/>
        <v>19.843441378566595</v>
      </c>
      <c r="W139" s="947">
        <f t="shared" ca="1" si="436"/>
        <v>12.740026140691342</v>
      </c>
      <c r="X139" s="947">
        <f t="shared" ca="1" si="436"/>
        <v>10.149070884769106</v>
      </c>
      <c r="Y139" s="947">
        <f t="shared" ca="1" si="436"/>
        <v>8.6358956234346085</v>
      </c>
      <c r="Z139" s="947">
        <f t="shared" ca="1" si="436"/>
        <v>7.4909984564636378</v>
      </c>
      <c r="AA139" s="947">
        <f t="shared" ca="1" si="436"/>
        <v>6.8989013600730509</v>
      </c>
      <c r="AB139" s="947">
        <f t="shared" ca="1" si="436"/>
        <v>6.3820080229705534</v>
      </c>
      <c r="AC139" s="947">
        <f t="shared" ca="1" si="436"/>
        <v>5.9268029999335337</v>
      </c>
      <c r="AD139" s="947">
        <f t="shared" ca="1" si="436"/>
        <v>5.5228574355923987</v>
      </c>
      <c r="AE139" s="54"/>
      <c r="AG139" s="56"/>
      <c r="AH139" s="56"/>
      <c r="AI139" s="56"/>
      <c r="AJ139" s="948"/>
      <c r="AK139" s="1117"/>
      <c r="AL139" s="949" t="s">
        <v>1045</v>
      </c>
      <c r="AM139" s="949" t="s">
        <v>1045</v>
      </c>
      <c r="AN139" s="949" t="s">
        <v>1045</v>
      </c>
      <c r="AO139" s="949" t="s">
        <v>1045</v>
      </c>
      <c r="AP139" s="1130"/>
      <c r="AQ139" s="949" t="s">
        <v>1045</v>
      </c>
      <c r="AR139" s="949" t="s">
        <v>1045</v>
      </c>
      <c r="AS139" s="949" t="s">
        <v>1045</v>
      </c>
      <c r="AT139" s="949" t="s">
        <v>1045</v>
      </c>
      <c r="AU139" s="1130"/>
      <c r="AV139" s="949" t="s">
        <v>1045</v>
      </c>
      <c r="AW139" s="949" t="s">
        <v>1045</v>
      </c>
      <c r="AX139" s="949" t="s">
        <v>1045</v>
      </c>
      <c r="AY139" s="949" t="s">
        <v>1045</v>
      </c>
      <c r="AZ139" s="1130"/>
      <c r="BA139" s="949" t="s">
        <v>1045</v>
      </c>
      <c r="BB139" s="949" t="s">
        <v>1045</v>
      </c>
      <c r="BC139" s="949" t="s">
        <v>1045</v>
      </c>
      <c r="BD139" s="949" t="s">
        <v>1045</v>
      </c>
      <c r="BE139" s="1130"/>
      <c r="BF139" s="949" t="s">
        <v>1045</v>
      </c>
      <c r="BG139" s="949" t="s">
        <v>1045</v>
      </c>
      <c r="BH139" s="949" t="s">
        <v>1045</v>
      </c>
      <c r="BI139" s="949" t="s">
        <v>1045</v>
      </c>
      <c r="BJ139" s="1130"/>
      <c r="BK139" s="949" t="s">
        <v>1045</v>
      </c>
      <c r="BL139" s="949" t="s">
        <v>1045</v>
      </c>
      <c r="BM139" s="949" t="s">
        <v>1045</v>
      </c>
      <c r="BN139" s="949" t="s">
        <v>1045</v>
      </c>
      <c r="BO139" s="1130"/>
      <c r="BP139" s="947">
        <f t="shared" ref="BP139:BS141" si="437">(BP9/BK9-1)*100</f>
        <v>37.107353472138669</v>
      </c>
      <c r="BQ139" s="947">
        <f t="shared" si="437"/>
        <v>32.912339011217284</v>
      </c>
      <c r="BR139" s="947">
        <f t="shared" si="437"/>
        <v>28.750809706512538</v>
      </c>
      <c r="BS139" s="947">
        <f t="shared" si="437"/>
        <v>31.094210123588461</v>
      </c>
      <c r="BT139" s="42"/>
      <c r="BU139" s="947">
        <f t="shared" ref="BU139:BX145" si="438">(BU9/BP9-1)*100</f>
        <v>31.139590511093051</v>
      </c>
      <c r="BV139" s="947">
        <f t="shared" si="438"/>
        <v>36.786279903309179</v>
      </c>
      <c r="BW139" s="947">
        <f t="shared" si="438"/>
        <v>45.67514222686637</v>
      </c>
      <c r="BX139" s="947">
        <f t="shared" si="438"/>
        <v>84.893078868705459</v>
      </c>
      <c r="BY139" s="1130"/>
      <c r="BZ139" s="947">
        <f t="shared" ref="BZ139:CC142" si="439">(BZ9/BU9-1)*100</f>
        <v>103.0639736274034</v>
      </c>
      <c r="CA139" s="947">
        <f t="shared" si="439"/>
        <v>102.57765725689731</v>
      </c>
      <c r="CB139" s="947">
        <f t="shared" si="439"/>
        <v>88.541749687840394</v>
      </c>
      <c r="CC139" s="947">
        <f t="shared" si="439"/>
        <v>43.118441066457478</v>
      </c>
      <c r="CD139" s="1130"/>
      <c r="CE139" s="947">
        <f t="shared" ref="CE139:CH145" si="440">(CE9/BZ9-1)*100</f>
        <v>30.572975467453389</v>
      </c>
      <c r="CF139" s="947">
        <f t="shared" si="440"/>
        <v>29.204957360085437</v>
      </c>
      <c r="CG139" s="947">
        <f t="shared" si="440"/>
        <v>29.481886457467343</v>
      </c>
      <c r="CH139" s="947">
        <f t="shared" si="440"/>
        <v>30.588345387217085</v>
      </c>
      <c r="CI139" s="1130"/>
      <c r="CJ139" s="947">
        <f t="shared" ref="CJ139:CS140" si="441">(CJ9/CE9-1)*100</f>
        <v>26.450151152736833</v>
      </c>
      <c r="CK139" s="947">
        <f t="shared" si="441"/>
        <v>33.009272867068937</v>
      </c>
      <c r="CL139" s="947">
        <f t="shared" si="441"/>
        <v>36.227618203872346</v>
      </c>
      <c r="CM139" s="947">
        <f t="shared" si="441"/>
        <v>32.304374591486493</v>
      </c>
      <c r="CN139" s="1130">
        <f t="shared" si="441"/>
        <v>32.183910293325766</v>
      </c>
      <c r="CO139" s="947">
        <f t="shared" si="441"/>
        <v>36.627343801442748</v>
      </c>
      <c r="CP139" s="947">
        <f t="shared" si="441"/>
        <v>28.908477972548074</v>
      </c>
      <c r="CQ139" s="947">
        <f t="shared" si="441"/>
        <v>22.25657174449076</v>
      </c>
      <c r="CR139" s="947">
        <f t="shared" si="441"/>
        <v>23.76789870516296</v>
      </c>
      <c r="CS139" s="947">
        <f t="shared" si="441"/>
        <v>27.364747070335447</v>
      </c>
      <c r="CT139" s="947">
        <f t="shared" ref="CT139:DC140" si="442">(CT9/CO9-1)*100</f>
        <v>22.271742021076268</v>
      </c>
      <c r="CU139" s="947">
        <f t="shared" si="442"/>
        <v>17.961218494572663</v>
      </c>
      <c r="CV139" s="947">
        <f t="shared" si="442"/>
        <v>19.504205862759537</v>
      </c>
      <c r="CW139" s="947">
        <f t="shared" si="442"/>
        <v>20.562670836549014</v>
      </c>
      <c r="CX139" s="947">
        <f t="shared" si="442"/>
        <v>-66.941274596875203</v>
      </c>
      <c r="CY139" s="947">
        <f t="shared" si="442"/>
        <v>18.933832865768597</v>
      </c>
      <c r="CZ139" s="947">
        <f t="shared" si="442"/>
        <v>17.575504683520627</v>
      </c>
      <c r="DA139" s="947">
        <f t="shared" si="442"/>
        <v>16.650400369614026</v>
      </c>
      <c r="DB139" s="947">
        <f t="shared" si="442"/>
        <v>12.684502682143339</v>
      </c>
      <c r="DC139" s="947">
        <f t="shared" si="442"/>
        <v>14.646519650179467</v>
      </c>
      <c r="DD139" s="947">
        <f t="shared" ref="DD139:DM140" si="443">(DD9/CY9-1)*100</f>
        <v>16.171841833569033</v>
      </c>
      <c r="DE139" s="947">
        <f t="shared" si="443"/>
        <v>17.498880238099311</v>
      </c>
      <c r="DF139" s="947">
        <f t="shared" si="443"/>
        <v>12.855408585115269</v>
      </c>
      <c r="DG139" s="947">
        <f t="shared" si="443"/>
        <v>14.26224567038561</v>
      </c>
      <c r="DH139" s="947">
        <f t="shared" si="443"/>
        <v>13.032297971987816</v>
      </c>
      <c r="DI139" s="947">
        <f t="shared" si="443"/>
        <v>15.718162455537165</v>
      </c>
      <c r="DJ139" s="947">
        <f t="shared" si="443"/>
        <v>29.127158045593937</v>
      </c>
      <c r="DK139" s="947">
        <f t="shared" si="443"/>
        <v>37.613099502642513</v>
      </c>
      <c r="DL139" s="947">
        <f t="shared" si="443"/>
        <v>37.097521193693254</v>
      </c>
      <c r="DM139" s="947">
        <f t="shared" si="443"/>
        <v>34.566463142917428</v>
      </c>
      <c r="DN139" s="947">
        <f t="shared" ref="DN139:DU140" si="444">(DN9/DI9-1)*100</f>
        <v>29.218769854023897</v>
      </c>
      <c r="DO139" s="947">
        <f t="shared" si="444"/>
        <v>26.18806794075752</v>
      </c>
      <c r="DP139" s="947">
        <f t="shared" si="444"/>
        <v>27.164542177165394</v>
      </c>
      <c r="DQ139" s="947">
        <f t="shared" si="444"/>
        <v>26.566006697608824</v>
      </c>
      <c r="DR139" s="947">
        <f t="shared" ca="1" si="444"/>
        <v>24.975924626607181</v>
      </c>
      <c r="DS139" s="947">
        <f t="shared" ca="1" si="444"/>
        <v>27.225635435467453</v>
      </c>
      <c r="DT139" s="947">
        <f t="shared" ca="1" si="444"/>
        <v>15.960362423545483</v>
      </c>
      <c r="DU139" s="947">
        <f t="shared" ca="1" si="444"/>
        <v>11.038128869624519</v>
      </c>
      <c r="DV139" s="947"/>
      <c r="DW139" s="947"/>
      <c r="DX139" s="947"/>
      <c r="DY139" s="947"/>
    </row>
    <row r="140" spans="1:135" hidden="1" outlineLevel="1">
      <c r="B140" s="17" t="s">
        <v>1124</v>
      </c>
      <c r="C140" s="773"/>
      <c r="D140" s="773"/>
      <c r="E140" s="947"/>
      <c r="F140" s="947" t="e">
        <f t="shared" ref="F140:AD140" si="445">(F10/E10-1)*100</f>
        <v>#DIV/0!</v>
      </c>
      <c r="G140" s="947" t="e">
        <f t="shared" si="445"/>
        <v>#DIV/0!</v>
      </c>
      <c r="H140" s="947" t="e">
        <f t="shared" si="445"/>
        <v>#DIV/0!</v>
      </c>
      <c r="I140" s="947" t="e">
        <f t="shared" si="445"/>
        <v>#DIV/0!</v>
      </c>
      <c r="J140" s="947" t="e">
        <f t="shared" si="445"/>
        <v>#DIV/0!</v>
      </c>
      <c r="K140" s="947">
        <f t="shared" si="445"/>
        <v>31.64126525919222</v>
      </c>
      <c r="L140" s="947">
        <f t="shared" si="445"/>
        <v>36.93296909553807</v>
      </c>
      <c r="M140" s="947">
        <f t="shared" si="445"/>
        <v>29.540612064870754</v>
      </c>
      <c r="N140" s="947">
        <f t="shared" si="445"/>
        <v>11.738884465490518</v>
      </c>
      <c r="O140" s="947">
        <f t="shared" si="445"/>
        <v>55.864496178515836</v>
      </c>
      <c r="P140" s="947">
        <f t="shared" si="445"/>
        <v>37.051290298019609</v>
      </c>
      <c r="Q140" s="947">
        <f t="shared" si="445"/>
        <v>19.430056407312168</v>
      </c>
      <c r="R140" s="947">
        <f t="shared" si="445"/>
        <v>17.552176932999643</v>
      </c>
      <c r="S140" s="947">
        <f t="shared" si="445"/>
        <v>16.409212694184717</v>
      </c>
      <c r="T140" s="947">
        <f t="shared" si="445"/>
        <v>17.042836041358946</v>
      </c>
      <c r="U140" s="947">
        <f t="shared" si="445"/>
        <v>24.885672393181402</v>
      </c>
      <c r="V140" s="947">
        <f t="shared" si="445"/>
        <v>25.15511802198569</v>
      </c>
      <c r="W140" s="947">
        <f t="shared" si="445"/>
        <v>24.655717681428246</v>
      </c>
      <c r="X140" s="947">
        <f t="shared" si="445"/>
        <v>10.89759225587159</v>
      </c>
      <c r="Y140" s="947">
        <f t="shared" si="445"/>
        <v>9.6280922466760686</v>
      </c>
      <c r="Z140" s="947">
        <f t="shared" si="445"/>
        <v>8.2820480390936488</v>
      </c>
      <c r="AA140" s="947">
        <f t="shared" si="445"/>
        <v>7.8004831378309492</v>
      </c>
      <c r="AB140" s="947">
        <f t="shared" si="445"/>
        <v>7.3782028721040449</v>
      </c>
      <c r="AC140" s="947">
        <f t="shared" si="445"/>
        <v>7.0061403688888024</v>
      </c>
      <c r="AD140" s="947">
        <f t="shared" si="445"/>
        <v>6.6760706916301205</v>
      </c>
      <c r="AE140" s="54"/>
      <c r="AG140" s="56"/>
      <c r="AH140" s="56"/>
      <c r="AI140" s="56"/>
      <c r="AJ140" s="948"/>
      <c r="AK140" s="1117"/>
      <c r="AL140" s="949" t="s">
        <v>1045</v>
      </c>
      <c r="AM140" s="949" t="s">
        <v>1045</v>
      </c>
      <c r="AN140" s="949" t="s">
        <v>1045</v>
      </c>
      <c r="AO140" s="949" t="s">
        <v>1045</v>
      </c>
      <c r="AP140" s="1130"/>
      <c r="AQ140" s="949" t="s">
        <v>1045</v>
      </c>
      <c r="AR140" s="949" t="s">
        <v>1045</v>
      </c>
      <c r="AS140" s="949" t="s">
        <v>1045</v>
      </c>
      <c r="AT140" s="949" t="s">
        <v>1045</v>
      </c>
      <c r="AU140" s="1130"/>
      <c r="AV140" s="949" t="s">
        <v>1045</v>
      </c>
      <c r="AW140" s="949" t="s">
        <v>1045</v>
      </c>
      <c r="AX140" s="949" t="s">
        <v>1045</v>
      </c>
      <c r="AY140" s="949" t="s">
        <v>1045</v>
      </c>
      <c r="AZ140" s="1130"/>
      <c r="BA140" s="949" t="s">
        <v>1045</v>
      </c>
      <c r="BB140" s="949" t="s">
        <v>1045</v>
      </c>
      <c r="BC140" s="949" t="s">
        <v>1045</v>
      </c>
      <c r="BD140" s="949" t="s">
        <v>1045</v>
      </c>
      <c r="BE140" s="1130"/>
      <c r="BF140" s="949" t="s">
        <v>1045</v>
      </c>
      <c r="BG140" s="949" t="s">
        <v>1045</v>
      </c>
      <c r="BH140" s="949" t="s">
        <v>1045</v>
      </c>
      <c r="BI140" s="949" t="s">
        <v>1045</v>
      </c>
      <c r="BJ140" s="1130"/>
      <c r="BK140" s="949" t="s">
        <v>1045</v>
      </c>
      <c r="BL140" s="949" t="s">
        <v>1045</v>
      </c>
      <c r="BM140" s="949" t="s">
        <v>1045</v>
      </c>
      <c r="BN140" s="949" t="s">
        <v>1045</v>
      </c>
      <c r="BO140" s="1130"/>
      <c r="BP140" s="947">
        <f t="shared" si="437"/>
        <v>26.598026598026614</v>
      </c>
      <c r="BQ140" s="947">
        <f t="shared" si="437"/>
        <v>28.430675469781619</v>
      </c>
      <c r="BR140" s="947">
        <f t="shared" si="437"/>
        <v>31.680440771349883</v>
      </c>
      <c r="BS140" s="947">
        <f t="shared" si="437"/>
        <v>38.636973437080769</v>
      </c>
      <c r="BT140" s="42"/>
      <c r="BU140" s="947">
        <f t="shared" si="438"/>
        <v>41.646899356150449</v>
      </c>
      <c r="BV140" s="947">
        <f t="shared" si="438"/>
        <v>39.615627965833575</v>
      </c>
      <c r="BW140" s="947">
        <f t="shared" si="438"/>
        <v>35.608137353917172</v>
      </c>
      <c r="BX140" s="947">
        <f t="shared" si="438"/>
        <v>32.33984904199729</v>
      </c>
      <c r="BY140" s="1130"/>
      <c r="BZ140" s="947">
        <f t="shared" si="439"/>
        <v>32.464114832535884</v>
      </c>
      <c r="CA140" s="947">
        <f t="shared" si="439"/>
        <v>32.510054948167458</v>
      </c>
      <c r="CB140" s="947">
        <f t="shared" si="439"/>
        <v>29.572294924992025</v>
      </c>
      <c r="CC140" s="947">
        <f t="shared" si="439"/>
        <v>24.573462025933512</v>
      </c>
      <c r="CD140" s="1130"/>
      <c r="CE140" s="947">
        <f t="shared" si="440"/>
        <v>13.766480043344774</v>
      </c>
      <c r="CF140" s="947">
        <f t="shared" si="440"/>
        <v>10.708789329685352</v>
      </c>
      <c r="CG140" s="947">
        <f t="shared" si="440"/>
        <v>11.815905078622158</v>
      </c>
      <c r="CH140" s="947">
        <f t="shared" si="440"/>
        <v>10.851105458814313</v>
      </c>
      <c r="CI140" s="1130"/>
      <c r="CJ140" s="947">
        <f t="shared" si="441"/>
        <v>16.013811167996185</v>
      </c>
      <c r="CK140" s="947">
        <f t="shared" si="441"/>
        <v>53.721801753307787</v>
      </c>
      <c r="CL140" s="947">
        <f t="shared" si="441"/>
        <v>72.810274986836546</v>
      </c>
      <c r="CM140" s="947">
        <f t="shared" si="441"/>
        <v>76.97748621999645</v>
      </c>
      <c r="CN140" s="1130">
        <f t="shared" si="441"/>
        <v>55.864496178515836</v>
      </c>
      <c r="CO140" s="947">
        <f t="shared" si="441"/>
        <v>78.753563573937811</v>
      </c>
      <c r="CP140" s="947">
        <f t="shared" si="441"/>
        <v>43.301708455067136</v>
      </c>
      <c r="CQ140" s="947">
        <f t="shared" si="441"/>
        <v>22.201358393405958</v>
      </c>
      <c r="CR140" s="947">
        <f t="shared" si="441"/>
        <v>21.713339856745904</v>
      </c>
      <c r="CS140" s="947">
        <f t="shared" si="441"/>
        <v>37.051290298019609</v>
      </c>
      <c r="CT140" s="947">
        <f t="shared" si="442"/>
        <v>20.342772906405759</v>
      </c>
      <c r="CU140" s="947">
        <f t="shared" si="442"/>
        <v>13.999822630422898</v>
      </c>
      <c r="CV140" s="947">
        <f t="shared" si="442"/>
        <v>22.893725749621517</v>
      </c>
      <c r="CW140" s="947">
        <f t="shared" si="442"/>
        <v>20.460529068079158</v>
      </c>
      <c r="CX140" s="947">
        <f t="shared" si="442"/>
        <v>-66.646419126404126</v>
      </c>
      <c r="CY140" s="947">
        <f t="shared" si="442"/>
        <v>24.601243579345766</v>
      </c>
      <c r="CZ140" s="947">
        <f t="shared" si="442"/>
        <v>25.549712458098874</v>
      </c>
      <c r="DA140" s="947">
        <f t="shared" si="442"/>
        <v>18.658479647995939</v>
      </c>
      <c r="DB140" s="947">
        <f t="shared" si="442"/>
        <v>18.394667029453782</v>
      </c>
      <c r="DC140" s="947">
        <f t="shared" si="442"/>
        <v>19.710228842889286</v>
      </c>
      <c r="DD140" s="947">
        <f t="shared" si="443"/>
        <v>22.073181626740524</v>
      </c>
      <c r="DE140" s="947">
        <f t="shared" si="443"/>
        <v>20.890385793018961</v>
      </c>
      <c r="DF140" s="947">
        <f t="shared" si="443"/>
        <v>21.210459168465114</v>
      </c>
      <c r="DG140" s="947">
        <f t="shared" si="443"/>
        <v>20.264059016845536</v>
      </c>
      <c r="DH140" s="947">
        <f t="shared" si="443"/>
        <v>21.544702041354768</v>
      </c>
      <c r="DI140" s="947">
        <f t="shared" si="443"/>
        <v>24.332970893275352</v>
      </c>
      <c r="DJ140" s="947">
        <f t="shared" si="443"/>
        <v>28.871305986404217</v>
      </c>
      <c r="DK140" s="947">
        <f t="shared" si="443"/>
        <v>33.507446536426059</v>
      </c>
      <c r="DL140" s="947">
        <f t="shared" si="443"/>
        <v>29.407324600376448</v>
      </c>
      <c r="DM140" s="947">
        <f t="shared" si="443"/>
        <v>31.953187178930587</v>
      </c>
      <c r="DN140" s="947">
        <f t="shared" si="444"/>
        <v>24.501774272212053</v>
      </c>
      <c r="DO140" s="947">
        <f t="shared" si="444"/>
        <v>30.249597107031946</v>
      </c>
      <c r="DP140" s="947">
        <f t="shared" si="444"/>
        <v>32.289034121469797</v>
      </c>
      <c r="DQ140" s="947">
        <f t="shared" si="444"/>
        <v>38.722967535200368</v>
      </c>
      <c r="DR140" s="947">
        <f t="shared" si="444"/>
        <v>39.837600870103643</v>
      </c>
      <c r="DS140" s="947">
        <f t="shared" si="444"/>
        <v>41.019016602737388</v>
      </c>
      <c r="DT140" s="947">
        <f t="shared" si="444"/>
        <v>29.695074732420434</v>
      </c>
      <c r="DU140" s="947">
        <f t="shared" si="444"/>
        <v>23.325806088187328</v>
      </c>
      <c r="DV140" s="947"/>
      <c r="DW140" s="947"/>
      <c r="DX140" s="947"/>
      <c r="DY140" s="947"/>
    </row>
    <row r="141" spans="1:135" hidden="1" outlineLevel="1">
      <c r="B141" s="876" t="s">
        <v>1221</v>
      </c>
      <c r="C141" s="773"/>
      <c r="D141" s="773"/>
      <c r="E141" s="947"/>
      <c r="F141" s="947" t="e">
        <f>(#REF!/#REF!-1)*100</f>
        <v>#REF!</v>
      </c>
      <c r="G141" s="947" t="e">
        <f>(#REF!/#REF!-1)*100</f>
        <v>#REF!</v>
      </c>
      <c r="H141" s="947" t="e">
        <f>(#REF!/#REF!-1)*100</f>
        <v>#REF!</v>
      </c>
      <c r="I141" s="947" t="e">
        <f>(#REF!/#REF!-1)*100</f>
        <v>#REF!</v>
      </c>
      <c r="J141" s="947" t="e">
        <f>(#REF!/#REF!-1)*100</f>
        <v>#REF!</v>
      </c>
      <c r="K141" s="947" t="e">
        <f>(#REF!/#REF!-1)*100</f>
        <v>#REF!</v>
      </c>
      <c r="L141" s="947" t="e">
        <f>(#REF!/#REF!-1)*100</f>
        <v>#REF!</v>
      </c>
      <c r="M141" s="947" t="e">
        <f>(#REF!/#REF!-1)*100</f>
        <v>#REF!</v>
      </c>
      <c r="N141" s="947">
        <f t="shared" ref="N141:AD141" si="446">(N11/M11-1)*100</f>
        <v>5.4109589041095862</v>
      </c>
      <c r="O141" s="947">
        <f t="shared" si="446"/>
        <v>4.0001424546219466</v>
      </c>
      <c r="P141" s="947">
        <f t="shared" si="446"/>
        <v>122.02491648949882</v>
      </c>
      <c r="Q141" s="947">
        <f t="shared" si="446"/>
        <v>30.49455834608812</v>
      </c>
      <c r="R141" s="947">
        <f t="shared" si="446"/>
        <v>10.544893257215504</v>
      </c>
      <c r="S141" s="947">
        <f t="shared" si="446"/>
        <v>8.1016427104722677</v>
      </c>
      <c r="T141" s="947">
        <f t="shared" si="446"/>
        <v>-7.220940061353776</v>
      </c>
      <c r="U141" s="947">
        <f t="shared" si="446"/>
        <v>104.01277536647288</v>
      </c>
      <c r="V141" s="947">
        <f t="shared" si="446"/>
        <v>23.017521676300579</v>
      </c>
      <c r="W141" s="947">
        <f t="shared" si="446"/>
        <v>12.720613128087166</v>
      </c>
      <c r="X141" s="947">
        <f t="shared" si="446"/>
        <v>0.2713890778560879</v>
      </c>
      <c r="Y141" s="947">
        <f t="shared" si="446"/>
        <v>0.27065455096606517</v>
      </c>
      <c r="Z141" s="947">
        <f t="shared" si="446"/>
        <v>0.26992398940457463</v>
      </c>
      <c r="AA141" s="947">
        <f t="shared" si="446"/>
        <v>0.26919736114801029</v>
      </c>
      <c r="AB141" s="947">
        <f t="shared" si="446"/>
        <v>0.26847463451653564</v>
      </c>
      <c r="AC141" s="947">
        <f t="shared" si="446"/>
        <v>0.2677557781696871</v>
      </c>
      <c r="AD141" s="947">
        <f t="shared" si="446"/>
        <v>0.26704076110177777</v>
      </c>
      <c r="AE141" s="54"/>
      <c r="AG141" s="56"/>
      <c r="AH141" s="56"/>
      <c r="AI141" s="56"/>
      <c r="AJ141" s="948"/>
      <c r="AK141" s="1117"/>
      <c r="AL141" s="949" t="s">
        <v>1045</v>
      </c>
      <c r="AM141" s="949" t="s">
        <v>1045</v>
      </c>
      <c r="AN141" s="949" t="s">
        <v>1045</v>
      </c>
      <c r="AO141" s="949" t="s">
        <v>1045</v>
      </c>
      <c r="AP141" s="1130"/>
      <c r="AQ141" s="949" t="s">
        <v>1045</v>
      </c>
      <c r="AR141" s="949" t="s">
        <v>1045</v>
      </c>
      <c r="AS141" s="949" t="s">
        <v>1045</v>
      </c>
      <c r="AT141" s="949" t="s">
        <v>1045</v>
      </c>
      <c r="AU141" s="1130"/>
      <c r="AV141" s="949" t="s">
        <v>1045</v>
      </c>
      <c r="AW141" s="949" t="s">
        <v>1045</v>
      </c>
      <c r="AX141" s="949" t="s">
        <v>1045</v>
      </c>
      <c r="AY141" s="949" t="s">
        <v>1045</v>
      </c>
      <c r="AZ141" s="1130"/>
      <c r="BA141" s="949" t="s">
        <v>1045</v>
      </c>
      <c r="BB141" s="949" t="s">
        <v>1045</v>
      </c>
      <c r="BC141" s="949" t="s">
        <v>1045</v>
      </c>
      <c r="BD141" s="949" t="s">
        <v>1045</v>
      </c>
      <c r="BE141" s="1130"/>
      <c r="BF141" s="949" t="s">
        <v>1045</v>
      </c>
      <c r="BG141" s="949" t="s">
        <v>1045</v>
      </c>
      <c r="BH141" s="949" t="s">
        <v>1045</v>
      </c>
      <c r="BI141" s="949" t="s">
        <v>1045</v>
      </c>
      <c r="BJ141" s="1130"/>
      <c r="BK141" s="949" t="s">
        <v>1045</v>
      </c>
      <c r="BL141" s="949" t="s">
        <v>1045</v>
      </c>
      <c r="BM141" s="949" t="s">
        <v>1045</v>
      </c>
      <c r="BN141" s="949" t="s">
        <v>1045</v>
      </c>
      <c r="BO141" s="1130"/>
      <c r="BP141" s="947">
        <f t="shared" si="437"/>
        <v>17.719245734809917</v>
      </c>
      <c r="BQ141" s="947">
        <f t="shared" si="437"/>
        <v>16.230968112611333</v>
      </c>
      <c r="BR141" s="947">
        <f t="shared" si="437"/>
        <v>12.134583563154999</v>
      </c>
      <c r="BS141" s="947">
        <f t="shared" si="437"/>
        <v>10.425531914893638</v>
      </c>
      <c r="BT141" s="42"/>
      <c r="BU141" s="947">
        <f t="shared" si="438"/>
        <v>4.2206966692092562</v>
      </c>
      <c r="BV141" s="947">
        <f t="shared" si="438"/>
        <v>5.9070687098368824</v>
      </c>
      <c r="BW141" s="947">
        <f t="shared" si="438"/>
        <v>18.789965568125933</v>
      </c>
      <c r="BX141" s="947">
        <f t="shared" si="438"/>
        <v>51.854527938342954</v>
      </c>
      <c r="BY141" s="1130"/>
      <c r="BZ141" s="947">
        <f t="shared" si="439"/>
        <v>58.57526225908758</v>
      </c>
      <c r="CA141" s="947">
        <f t="shared" si="439"/>
        <v>59.463243873978989</v>
      </c>
      <c r="CB141" s="947">
        <f t="shared" si="439"/>
        <v>44.265010351966858</v>
      </c>
      <c r="CC141" s="947">
        <f t="shared" si="439"/>
        <v>17.985725614591598</v>
      </c>
      <c r="CD141" s="1130"/>
      <c r="CE141" s="947">
        <f t="shared" si="440"/>
        <v>13.492307692307692</v>
      </c>
      <c r="CF141" s="947">
        <f t="shared" si="440"/>
        <v>7.8296502268403456</v>
      </c>
      <c r="CG141" s="947">
        <f t="shared" si="440"/>
        <v>0.74626865671640896</v>
      </c>
      <c r="CH141" s="947">
        <f t="shared" si="440"/>
        <v>0.49737867993009388</v>
      </c>
      <c r="CI141" s="1130"/>
      <c r="CJ141" s="947">
        <f t="shared" ref="CJ141:CM145" si="447">(CJ11/CE11-1)*100</f>
        <v>-1.04378473634269</v>
      </c>
      <c r="CK141" s="947">
        <f t="shared" si="447"/>
        <v>-1.3177576540697622</v>
      </c>
      <c r="CL141" s="947">
        <f t="shared" si="447"/>
        <v>10.690073584819281</v>
      </c>
      <c r="CM141" s="947">
        <f t="shared" si="447"/>
        <v>7.9364750328190015</v>
      </c>
      <c r="CN141" s="1130"/>
      <c r="CO141" s="947">
        <f t="shared" ref="CO141:CX142" si="448">(CO11/CJ11-1)*100</f>
        <v>15.706473510150044</v>
      </c>
      <c r="CP141" s="947">
        <f t="shared" si="448"/>
        <v>107.79614174771517</v>
      </c>
      <c r="CQ141" s="947">
        <f t="shared" si="448"/>
        <v>206.55043444861332</v>
      </c>
      <c r="CR141" s="947">
        <f t="shared" si="448"/>
        <v>149.63315446254111</v>
      </c>
      <c r="CS141" s="947">
        <f t="shared" si="448"/>
        <v>122.02491648949882</v>
      </c>
      <c r="CT141" s="947">
        <f t="shared" si="448"/>
        <v>157.69032148014449</v>
      </c>
      <c r="CU141" s="947">
        <f t="shared" si="448"/>
        <v>34.393073995330539</v>
      </c>
      <c r="CV141" s="947">
        <f t="shared" si="448"/>
        <v>-2.4740519972579977</v>
      </c>
      <c r="CW141" s="947">
        <f t="shared" si="448"/>
        <v>13.221361836914735</v>
      </c>
      <c r="CX141" s="947">
        <f t="shared" si="448"/>
        <v>-65.757934048036432</v>
      </c>
      <c r="CY141" s="947">
        <f t="shared" ref="CY141:DH142" si="449">(CY11/CT11-1)*100</f>
        <v>13.897822291647532</v>
      </c>
      <c r="CZ141" s="947">
        <f t="shared" si="449"/>
        <v>20.231470081260781</v>
      </c>
      <c r="DA141" s="947">
        <f t="shared" si="449"/>
        <v>7.9419740863501342</v>
      </c>
      <c r="DB141" s="947">
        <f t="shared" si="449"/>
        <v>11.299162537817352</v>
      </c>
      <c r="DC141" s="947">
        <f t="shared" si="449"/>
        <v>20.484429065743946</v>
      </c>
      <c r="DD141" s="947">
        <f t="shared" si="449"/>
        <v>11.964019200516285</v>
      </c>
      <c r="DE141" s="947">
        <f t="shared" si="449"/>
        <v>-0.48744521361571147</v>
      </c>
      <c r="DF141" s="947">
        <f t="shared" si="449"/>
        <v>-4.8691976391769032</v>
      </c>
      <c r="DG141" s="947">
        <f t="shared" si="449"/>
        <v>-7.5559407500787827</v>
      </c>
      <c r="DH141" s="947">
        <f t="shared" si="449"/>
        <v>-19.848506605399209</v>
      </c>
      <c r="DI141" s="947">
        <f t="shared" ref="DI141:DR142" si="450">(DI11/DD11-1)*100</f>
        <v>1.019562632849369</v>
      </c>
      <c r="DJ141" s="947">
        <f t="shared" si="450"/>
        <v>84.144233143986199</v>
      </c>
      <c r="DK141" s="947">
        <f t="shared" si="450"/>
        <v>89.658352546635925</v>
      </c>
      <c r="DL141" s="947">
        <f t="shared" si="450"/>
        <v>135.775164067161</v>
      </c>
      <c r="DM141" s="947">
        <f t="shared" si="450"/>
        <v>141.81484301518341</v>
      </c>
      <c r="DN141" s="947">
        <f t="shared" si="450"/>
        <v>94.753922967189723</v>
      </c>
      <c r="DO141" s="947">
        <f t="shared" si="450"/>
        <v>30.080919170243181</v>
      </c>
      <c r="DP141" s="947">
        <f t="shared" si="450"/>
        <v>39.862520168865913</v>
      </c>
      <c r="DQ141" s="947">
        <f t="shared" si="450"/>
        <v>24.873931353588642</v>
      </c>
      <c r="DR141" s="947">
        <f t="shared" si="450"/>
        <v>27.966290053713649</v>
      </c>
      <c r="DS141" s="947">
        <f t="shared" ref="DS141:DU142" si="451">(DS11/DN11-1)*100</f>
        <v>26.515775787873807</v>
      </c>
      <c r="DT141" s="947">
        <f t="shared" si="451"/>
        <v>18.723901500180439</v>
      </c>
      <c r="DU141" s="947">
        <f t="shared" si="451"/>
        <v>9.1832864502670688</v>
      </c>
      <c r="DV141" s="947"/>
      <c r="DW141" s="947"/>
      <c r="DX141" s="947"/>
      <c r="DY141" s="947"/>
    </row>
    <row r="142" spans="1:135" hidden="1" outlineLevel="1">
      <c r="B142" s="876" t="s">
        <v>1222</v>
      </c>
      <c r="C142" s="773"/>
      <c r="D142" s="773"/>
      <c r="E142" s="947"/>
      <c r="F142" s="947" t="e">
        <f>(#REF!/#REF!-1)*100</f>
        <v>#REF!</v>
      </c>
      <c r="G142" s="947" t="e">
        <f>(#REF!/#REF!-1)*100</f>
        <v>#REF!</v>
      </c>
      <c r="H142" s="947" t="e">
        <f>(#REF!/#REF!-1)*100</f>
        <v>#REF!</v>
      </c>
      <c r="I142" s="947" t="e">
        <f>(#REF!/#REF!-1)*100</f>
        <v>#REF!</v>
      </c>
      <c r="J142" s="947" t="e">
        <f>(#REF!/#REF!-1)*100</f>
        <v>#REF!</v>
      </c>
      <c r="K142" s="947" t="e">
        <f>(#REF!/#REF!-1)*100</f>
        <v>#REF!</v>
      </c>
      <c r="L142" s="947" t="e">
        <f>(#REF!/#REF!-1)*100</f>
        <v>#REF!</v>
      </c>
      <c r="M142" s="947" t="e">
        <f>(#REF!/#REF!-1)*100</f>
        <v>#REF!</v>
      </c>
      <c r="N142" s="947">
        <f t="shared" ref="N142:AD142" si="452">(N12/M12-1)*100</f>
        <v>6.1284046692607008</v>
      </c>
      <c r="O142" s="947">
        <f t="shared" si="452"/>
        <v>120.81069146121717</v>
      </c>
      <c r="P142" s="947">
        <f t="shared" si="452"/>
        <v>13.236150556095016</v>
      </c>
      <c r="Q142" s="947">
        <f t="shared" si="452"/>
        <v>15.912939666349168</v>
      </c>
      <c r="R142" s="947">
        <f t="shared" si="452"/>
        <v>42.94750158127767</v>
      </c>
      <c r="S142" s="947">
        <f t="shared" si="452"/>
        <v>128.67256637168146</v>
      </c>
      <c r="T142" s="947">
        <f t="shared" si="452"/>
        <v>3.3378482972136192</v>
      </c>
      <c r="U142" s="947">
        <f t="shared" si="452"/>
        <v>113.83765565022004</v>
      </c>
      <c r="V142" s="947">
        <f t="shared" si="452"/>
        <v>-31.554290718038537</v>
      </c>
      <c r="W142" s="947">
        <f t="shared" si="452"/>
        <v>3.3199002110919196</v>
      </c>
      <c r="X142" s="947">
        <f t="shared" si="452"/>
        <v>5.2625061911837356</v>
      </c>
      <c r="Y142" s="947">
        <f t="shared" si="452"/>
        <v>4.9994118339019122</v>
      </c>
      <c r="Z142" s="947">
        <f t="shared" si="452"/>
        <v>4.761371274927173</v>
      </c>
      <c r="AA142" s="947">
        <f t="shared" si="452"/>
        <v>4.5449684525719292</v>
      </c>
      <c r="AB142" s="947">
        <f t="shared" si="452"/>
        <v>4.3473813420621843</v>
      </c>
      <c r="AC142" s="947">
        <f t="shared" si="452"/>
        <v>4.166258209979401</v>
      </c>
      <c r="AD142" s="947">
        <f t="shared" si="452"/>
        <v>3.9996235648409595</v>
      </c>
      <c r="AE142" s="54"/>
      <c r="AG142" s="56"/>
      <c r="AH142" s="56"/>
      <c r="AI142" s="56"/>
      <c r="AJ142" s="948"/>
      <c r="AK142" s="1117"/>
      <c r="AL142" s="949" t="s">
        <v>1045</v>
      </c>
      <c r="AM142" s="949" t="s">
        <v>1045</v>
      </c>
      <c r="AN142" s="949" t="s">
        <v>1045</v>
      </c>
      <c r="AO142" s="949" t="s">
        <v>1045</v>
      </c>
      <c r="AP142" s="1131"/>
      <c r="AQ142" s="949" t="s">
        <v>1045</v>
      </c>
      <c r="AR142" s="949" t="s">
        <v>1045</v>
      </c>
      <c r="AS142" s="949" t="s">
        <v>1045</v>
      </c>
      <c r="AT142" s="949" t="s">
        <v>1045</v>
      </c>
      <c r="AU142" s="1131"/>
      <c r="AV142" s="949" t="s">
        <v>1045</v>
      </c>
      <c r="AW142" s="949" t="s">
        <v>1045</v>
      </c>
      <c r="AX142" s="949" t="s">
        <v>1045</v>
      </c>
      <c r="AY142" s="949" t="s">
        <v>1045</v>
      </c>
      <c r="AZ142" s="1131"/>
      <c r="BA142" s="949" t="s">
        <v>1045</v>
      </c>
      <c r="BB142" s="949" t="s">
        <v>1045</v>
      </c>
      <c r="BC142" s="949" t="s">
        <v>1045</v>
      </c>
      <c r="BD142" s="949" t="s">
        <v>1045</v>
      </c>
      <c r="BE142" s="1131"/>
      <c r="BF142" s="949" t="s">
        <v>1045</v>
      </c>
      <c r="BG142" s="949" t="s">
        <v>1045</v>
      </c>
      <c r="BH142" s="949" t="s">
        <v>1045</v>
      </c>
      <c r="BI142" s="949" t="s">
        <v>1045</v>
      </c>
      <c r="BJ142" s="1131"/>
      <c r="BK142" s="949" t="s">
        <v>1045</v>
      </c>
      <c r="BL142" s="949" t="s">
        <v>1045</v>
      </c>
      <c r="BM142" s="949" t="s">
        <v>1045</v>
      </c>
      <c r="BN142" s="949" t="s">
        <v>1045</v>
      </c>
      <c r="BO142" s="1131"/>
      <c r="BP142" s="949" t="s">
        <v>1045</v>
      </c>
      <c r="BQ142" s="949" t="s">
        <v>1045</v>
      </c>
      <c r="BR142" s="949" t="s">
        <v>1045</v>
      </c>
      <c r="BS142" s="947">
        <f>(BS12/BN12-1)*100</f>
        <v>-32.371794871794876</v>
      </c>
      <c r="BT142" s="42"/>
      <c r="BU142" s="947">
        <f t="shared" si="438"/>
        <v>-30.941704035874441</v>
      </c>
      <c r="BV142" s="947">
        <f t="shared" si="438"/>
        <v>-20.924574209245741</v>
      </c>
      <c r="BW142" s="947">
        <f t="shared" si="438"/>
        <v>21.153846153846146</v>
      </c>
      <c r="BX142" s="947">
        <f t="shared" si="438"/>
        <v>7.1090047393364886</v>
      </c>
      <c r="BY142" s="1130"/>
      <c r="BZ142" s="947">
        <f t="shared" si="439"/>
        <v>17.532467532467532</v>
      </c>
      <c r="CA142" s="947">
        <f t="shared" si="439"/>
        <v>-39.692307692307693</v>
      </c>
      <c r="CB142" s="947">
        <f t="shared" si="439"/>
        <v>-32.804232804232804</v>
      </c>
      <c r="CC142" s="947">
        <f t="shared" si="439"/>
        <v>-4.4247787610619538</v>
      </c>
      <c r="CD142" s="1130"/>
      <c r="CE142" s="947">
        <f t="shared" si="440"/>
        <v>-27.071823204419886</v>
      </c>
      <c r="CF142" s="947">
        <f t="shared" si="440"/>
        <v>21.938775510204067</v>
      </c>
      <c r="CG142" s="947">
        <f t="shared" si="440"/>
        <v>16.14173228346456</v>
      </c>
      <c r="CH142" s="947">
        <f t="shared" si="440"/>
        <v>35.648148148148138</v>
      </c>
      <c r="CI142" s="1130"/>
      <c r="CJ142" s="947">
        <f t="shared" si="447"/>
        <v>30.681818181818166</v>
      </c>
      <c r="CK142" s="947">
        <f t="shared" si="447"/>
        <v>128.80994297710137</v>
      </c>
      <c r="CL142" s="947">
        <f t="shared" si="447"/>
        <v>160.37715317832451</v>
      </c>
      <c r="CM142" s="947">
        <f t="shared" si="447"/>
        <v>155.65743285001705</v>
      </c>
      <c r="CN142" s="1130"/>
      <c r="CO142" s="947">
        <f t="shared" si="448"/>
        <v>74.49448193996551</v>
      </c>
      <c r="CP142" s="947">
        <f t="shared" si="448"/>
        <v>18.453924162907409</v>
      </c>
      <c r="CQ142" s="947">
        <f t="shared" si="448"/>
        <v>3.1902008121412972</v>
      </c>
      <c r="CR142" s="947">
        <f t="shared" si="448"/>
        <v>-8.4853666970456594</v>
      </c>
      <c r="CS142" s="947">
        <f t="shared" si="448"/>
        <v>13.236150556095016</v>
      </c>
      <c r="CT142" s="947">
        <f t="shared" si="448"/>
        <v>30.065156912649172</v>
      </c>
      <c r="CU142" s="947">
        <f t="shared" si="448"/>
        <v>20.567092342492831</v>
      </c>
      <c r="CV142" s="947">
        <f t="shared" si="448"/>
        <v>-1.2133145152919744</v>
      </c>
      <c r="CW142" s="947">
        <f t="shared" si="448"/>
        <v>18.888821162873114</v>
      </c>
      <c r="CX142" s="947">
        <f t="shared" si="448"/>
        <v>-78.738296961896737</v>
      </c>
      <c r="CY142" s="947">
        <f t="shared" si="449"/>
        <v>-25.542784163473819</v>
      </c>
      <c r="CZ142" s="947">
        <f t="shared" si="449"/>
        <v>19.590268886043518</v>
      </c>
      <c r="DA142" s="947">
        <f t="shared" si="449"/>
        <v>209.45083014048532</v>
      </c>
      <c r="DB142" s="947">
        <f t="shared" si="449"/>
        <v>227.60736196319021</v>
      </c>
      <c r="DC142" s="947">
        <f t="shared" si="449"/>
        <v>360.86206896551721</v>
      </c>
      <c r="DD142" s="947">
        <f t="shared" si="449"/>
        <v>340.13722126929673</v>
      </c>
      <c r="DE142" s="947">
        <f t="shared" si="449"/>
        <v>159.85010706638118</v>
      </c>
      <c r="DF142" s="947">
        <f t="shared" si="449"/>
        <v>7.2637226578621705</v>
      </c>
      <c r="DG142" s="947">
        <f t="shared" si="449"/>
        <v>-26.81647940074906</v>
      </c>
      <c r="DH142" s="947">
        <f t="shared" si="449"/>
        <v>-18.668163112607562</v>
      </c>
      <c r="DI142" s="947">
        <f t="shared" si="450"/>
        <v>54.091971940763827</v>
      </c>
      <c r="DJ142" s="947">
        <f t="shared" si="450"/>
        <v>116.72847136382364</v>
      </c>
      <c r="DK142" s="947">
        <f t="shared" si="450"/>
        <v>213.12043093497496</v>
      </c>
      <c r="DL142" s="947">
        <f t="shared" si="450"/>
        <v>176.35619242579327</v>
      </c>
      <c r="DM142" s="947">
        <f t="shared" si="450"/>
        <v>85.924563017479301</v>
      </c>
      <c r="DN142" s="947">
        <f t="shared" si="450"/>
        <v>7.4607991906929794</v>
      </c>
      <c r="DO142" s="947">
        <f t="shared" si="450"/>
        <v>-25.095057034220524</v>
      </c>
      <c r="DP142" s="947">
        <f t="shared" si="450"/>
        <v>-56.61096092405996</v>
      </c>
      <c r="DQ142" s="947">
        <f t="shared" si="450"/>
        <v>-27.537037037037038</v>
      </c>
      <c r="DR142" s="947">
        <f t="shared" si="450"/>
        <v>-1.9544779811974222</v>
      </c>
      <c r="DS142" s="947">
        <f t="shared" si="451"/>
        <v>-5.5542480583666842</v>
      </c>
      <c r="DT142" s="947">
        <f t="shared" si="451"/>
        <v>3.1218274111675326</v>
      </c>
      <c r="DU142" s="947">
        <f t="shared" si="451"/>
        <v>16.482582837723037</v>
      </c>
      <c r="DV142" s="947"/>
      <c r="DW142" s="947"/>
      <c r="DX142" s="947"/>
      <c r="DY142" s="947"/>
    </row>
    <row r="143" spans="1:135" hidden="1" outlineLevel="1">
      <c r="B143" s="15" t="s">
        <v>1219</v>
      </c>
      <c r="C143" s="773"/>
      <c r="D143" s="773"/>
      <c r="E143" s="947"/>
      <c r="F143" s="947" t="e">
        <f t="shared" ref="F143:M145" si="453">(F13/E13-1)*100</f>
        <v>#DIV/0!</v>
      </c>
      <c r="G143" s="947" t="e">
        <f t="shared" si="453"/>
        <v>#DIV/0!</v>
      </c>
      <c r="H143" s="947" t="e">
        <f t="shared" si="453"/>
        <v>#DIV/0!</v>
      </c>
      <c r="I143" s="947">
        <f t="shared" si="453"/>
        <v>40.447629527906351</v>
      </c>
      <c r="J143" s="947">
        <f t="shared" si="453"/>
        <v>34.689054082055563</v>
      </c>
      <c r="K143" s="947">
        <f t="shared" si="453"/>
        <v>31.325028965928368</v>
      </c>
      <c r="L143" s="947">
        <f t="shared" si="453"/>
        <v>46.308390686776988</v>
      </c>
      <c r="M143" s="947">
        <f t="shared" si="453"/>
        <v>67.665942710731201</v>
      </c>
      <c r="N143" s="947">
        <f t="shared" ref="N143:AD143" si="454">(N13/M13-1)*100</f>
        <v>26.311807272786993</v>
      </c>
      <c r="O143" s="947">
        <f t="shared" si="454"/>
        <v>34.308523521412468</v>
      </c>
      <c r="P143" s="947">
        <f t="shared" si="454"/>
        <v>31.283636497986421</v>
      </c>
      <c r="Q143" s="947">
        <f t="shared" si="454"/>
        <v>20.413504563747065</v>
      </c>
      <c r="R143" s="947">
        <f t="shared" si="454"/>
        <v>14.072589351098564</v>
      </c>
      <c r="S143" s="947">
        <f t="shared" si="454"/>
        <v>13.064973887320818</v>
      </c>
      <c r="T143" s="947">
        <f t="shared" si="454"/>
        <v>10.844472900682511</v>
      </c>
      <c r="U143" s="947">
        <f t="shared" si="454"/>
        <v>33.05275965780001</v>
      </c>
      <c r="V143" s="947">
        <f t="shared" si="454"/>
        <v>20.53079984191033</v>
      </c>
      <c r="W143" s="947">
        <f t="shared" ca="1" si="454"/>
        <v>14.673130772676291</v>
      </c>
      <c r="X143" s="947">
        <f t="shared" ca="1" si="454"/>
        <v>9.6891236570148429</v>
      </c>
      <c r="Y143" s="947">
        <f t="shared" ca="1" si="454"/>
        <v>8.3569581913291557</v>
      </c>
      <c r="Z143" s="947">
        <f t="shared" ca="1" si="454"/>
        <v>7.2704440363960288</v>
      </c>
      <c r="AA143" s="947">
        <f t="shared" ca="1" si="454"/>
        <v>6.7522673919557574</v>
      </c>
      <c r="AB143" s="947">
        <f t="shared" ca="1" si="454"/>
        <v>6.2969131336669593</v>
      </c>
      <c r="AC143" s="947">
        <f t="shared" ca="1" si="454"/>
        <v>5.8939630509531105</v>
      </c>
      <c r="AD143" s="947">
        <f t="shared" ca="1" si="454"/>
        <v>5.5350435418566102</v>
      </c>
      <c r="AE143" s="54"/>
      <c r="AG143" s="56"/>
      <c r="AH143" s="56"/>
      <c r="AI143" s="56"/>
      <c r="AJ143" s="948"/>
      <c r="AK143" s="1117"/>
      <c r="AL143" s="947">
        <f t="shared" ref="AL143:AO144" si="455">(AL13/Q13-1)*100</f>
        <v>-100</v>
      </c>
      <c r="AM143" s="947">
        <f t="shared" si="455"/>
        <v>-100</v>
      </c>
      <c r="AN143" s="947">
        <f t="shared" si="455"/>
        <v>-100</v>
      </c>
      <c r="AO143" s="947">
        <f t="shared" si="455"/>
        <v>-100</v>
      </c>
      <c r="AP143" s="1130"/>
      <c r="AQ143" s="949" t="s">
        <v>1045</v>
      </c>
      <c r="AR143" s="949" t="s">
        <v>1045</v>
      </c>
      <c r="AS143" s="949" t="s">
        <v>1045</v>
      </c>
      <c r="AT143" s="949" t="s">
        <v>1045</v>
      </c>
      <c r="AU143" s="1130"/>
      <c r="AV143" s="949" t="s">
        <v>1045</v>
      </c>
      <c r="AW143" s="949" t="s">
        <v>1045</v>
      </c>
      <c r="AX143" s="949" t="s">
        <v>1045</v>
      </c>
      <c r="AY143" s="949" t="s">
        <v>1045</v>
      </c>
      <c r="AZ143" s="1130"/>
      <c r="BA143" s="949" t="s">
        <v>1045</v>
      </c>
      <c r="BB143" s="949" t="s">
        <v>1045</v>
      </c>
      <c r="BC143" s="949" t="s">
        <v>1045</v>
      </c>
      <c r="BD143" s="949" t="s">
        <v>1045</v>
      </c>
      <c r="BE143" s="1130"/>
      <c r="BF143" s="947">
        <f t="shared" ref="BF143:BI145" si="456">(BF13/BA13-1)*100</f>
        <v>43.065178608471946</v>
      </c>
      <c r="BG143" s="947">
        <f t="shared" si="456"/>
        <v>43.355513673602843</v>
      </c>
      <c r="BH143" s="947">
        <f t="shared" si="456"/>
        <v>41.249691455975167</v>
      </c>
      <c r="BI143" s="947">
        <f t="shared" si="456"/>
        <v>35.321945643891304</v>
      </c>
      <c r="BJ143" s="1130"/>
      <c r="BK143" s="947">
        <f t="shared" ref="BK143:BN145" si="457">(BK13/BF13-1)*100</f>
        <v>33.111968216222486</v>
      </c>
      <c r="BL143" s="947">
        <f t="shared" si="457"/>
        <v>32.625902175954494</v>
      </c>
      <c r="BM143" s="947">
        <f t="shared" si="457"/>
        <v>35.534363531966932</v>
      </c>
      <c r="BN143" s="947">
        <f t="shared" si="457"/>
        <v>36.974730766523535</v>
      </c>
      <c r="BO143" s="1130"/>
      <c r="BP143" s="947">
        <f t="shared" ref="BP143:BR145" si="458">(BP13/BK13-1)*100</f>
        <v>34.533016709875611</v>
      </c>
      <c r="BQ143" s="947">
        <f t="shared" si="458"/>
        <v>31.676478323319369</v>
      </c>
      <c r="BR143" s="947">
        <f t="shared" si="458"/>
        <v>28.783776316516541</v>
      </c>
      <c r="BS143" s="947">
        <f>(BS13/BN13-1)*100</f>
        <v>30.868448098663936</v>
      </c>
      <c r="BT143" s="42"/>
      <c r="BU143" s="947">
        <f t="shared" si="438"/>
        <v>30.985231247570933</v>
      </c>
      <c r="BV143" s="947">
        <f t="shared" si="438"/>
        <v>35.052005715251447</v>
      </c>
      <c r="BW143" s="947">
        <f t="shared" si="438"/>
        <v>42.0063502960611</v>
      </c>
      <c r="BX143" s="947">
        <f t="shared" si="438"/>
        <v>72.220258897134855</v>
      </c>
      <c r="BY143" s="1130"/>
      <c r="BZ143" s="947"/>
      <c r="CA143" s="947"/>
      <c r="CB143" s="947"/>
      <c r="CC143" s="947"/>
      <c r="CD143" s="1130"/>
      <c r="CE143" s="947">
        <f t="shared" si="440"/>
        <v>27.220186353992794</v>
      </c>
      <c r="CF143" s="947">
        <f t="shared" si="440"/>
        <v>25.654395789344854</v>
      </c>
      <c r="CG143" s="947">
        <f t="shared" si="440"/>
        <v>25.828593163782255</v>
      </c>
      <c r="CH143" s="947">
        <f t="shared" si="440"/>
        <v>26.610909329599153</v>
      </c>
      <c r="CI143" s="1130"/>
      <c r="CJ143" s="947">
        <f t="shared" si="447"/>
        <v>24.020973720116888</v>
      </c>
      <c r="CK143" s="947">
        <f t="shared" si="447"/>
        <v>34.501468489574428</v>
      </c>
      <c r="CL143" s="947">
        <f t="shared" si="447"/>
        <v>40.137587366145453</v>
      </c>
      <c r="CM143" s="947">
        <f t="shared" si="447"/>
        <v>37.140820426414358</v>
      </c>
      <c r="CN143" s="1130"/>
      <c r="CO143" s="947">
        <f>(CO13/CJ13-1)*100</f>
        <v>41.22940869008076</v>
      </c>
      <c r="CP143" s="947">
        <f>(CP13/CK13-1)*100</f>
        <v>33.039772007141096</v>
      </c>
      <c r="CQ143" s="947">
        <f>(CQ13/CL13-1)*100</f>
        <v>26.880588819745842</v>
      </c>
      <c r="CR143" s="947">
        <f>(CR13/CM13-1)*100</f>
        <v>26.566866078826081</v>
      </c>
      <c r="CS143" s="1130">
        <f>(CS13/CM13-1)*100</f>
        <v>370.15086648206068</v>
      </c>
      <c r="CT143" s="947">
        <f t="shared" ref="CT143:DU143" si="459">(CT13/CO13-1)*100</f>
        <v>25.398824642512817</v>
      </c>
      <c r="CU143" s="947">
        <f t="shared" si="459"/>
        <v>18.026446155018672</v>
      </c>
      <c r="CV143" s="947">
        <f t="shared" si="459"/>
        <v>18.615505880777093</v>
      </c>
      <c r="CW143" s="947">
        <f t="shared" si="459"/>
        <v>20.176222418578014</v>
      </c>
      <c r="CX143" s="947">
        <f t="shared" si="459"/>
        <v>-66.864288327501626</v>
      </c>
      <c r="CY143" s="947">
        <f t="shared" si="459"/>
        <v>19.438289162075016</v>
      </c>
      <c r="CZ143" s="947">
        <f t="shared" si="459"/>
        <v>18.899484565801462</v>
      </c>
      <c r="DA143" s="947">
        <f t="shared" si="459"/>
        <v>16.847129746656787</v>
      </c>
      <c r="DB143" s="947">
        <f t="shared" si="459"/>
        <v>13.851159631005782</v>
      </c>
      <c r="DC143" s="947">
        <f t="shared" si="459"/>
        <v>16.103631385459117</v>
      </c>
      <c r="DD143" s="947">
        <f t="shared" si="459"/>
        <v>17.261774282901609</v>
      </c>
      <c r="DE143" s="947">
        <f t="shared" si="459"/>
        <v>17.442189748742145</v>
      </c>
      <c r="DF143" s="947">
        <f t="shared" si="459"/>
        <v>13.306508567817721</v>
      </c>
      <c r="DG143" s="947">
        <f t="shared" si="459"/>
        <v>14.005381087605473</v>
      </c>
      <c r="DH143" s="947">
        <f t="shared" si="459"/>
        <v>12.638158834327839</v>
      </c>
      <c r="DI143" s="947">
        <f t="shared" si="459"/>
        <v>16.592458653107567</v>
      </c>
      <c r="DJ143" s="947">
        <f t="shared" si="459"/>
        <v>31.644018418079867</v>
      </c>
      <c r="DK143" s="947">
        <f t="shared" si="459"/>
        <v>39.713150181167435</v>
      </c>
      <c r="DL143" s="947">
        <f t="shared" si="459"/>
        <v>39.942332026469195</v>
      </c>
      <c r="DM143" s="947">
        <f t="shared" si="459"/>
        <v>37.994900428469158</v>
      </c>
      <c r="DN143" s="947">
        <f t="shared" si="459"/>
        <v>30.954185566529514</v>
      </c>
      <c r="DO143" s="947">
        <f t="shared" si="459"/>
        <v>26.71629694866602</v>
      </c>
      <c r="DP143" s="947">
        <f t="shared" si="459"/>
        <v>27.855139468237343</v>
      </c>
      <c r="DQ143" s="947">
        <f t="shared" si="459"/>
        <v>28.003571241245773</v>
      </c>
      <c r="DR143" s="947">
        <f t="shared" ca="1" si="459"/>
        <v>27.464474003084739</v>
      </c>
      <c r="DS143" s="947">
        <f t="shared" ca="1" si="459"/>
        <v>29.300567056015513</v>
      </c>
      <c r="DT143" s="947">
        <f t="shared" ca="1" si="459"/>
        <v>18.322484694686558</v>
      </c>
      <c r="DU143" s="947">
        <f t="shared" ca="1" si="459"/>
        <v>12.973820778757572</v>
      </c>
      <c r="DV143" s="947"/>
      <c r="DW143" s="947"/>
      <c r="DX143" s="947"/>
      <c r="DY143" s="947"/>
    </row>
    <row r="144" spans="1:135" hidden="1" outlineLevel="1">
      <c r="B144" s="15" t="s">
        <v>1220</v>
      </c>
      <c r="C144" s="773"/>
      <c r="D144" s="773"/>
      <c r="E144" s="947"/>
      <c r="F144" s="947" t="e">
        <f t="shared" si="453"/>
        <v>#DIV/0!</v>
      </c>
      <c r="G144" s="947" t="e">
        <f t="shared" si="453"/>
        <v>#DIV/0!</v>
      </c>
      <c r="H144" s="947" t="e">
        <f t="shared" si="453"/>
        <v>#DIV/0!</v>
      </c>
      <c r="I144" s="947">
        <f t="shared" si="453"/>
        <v>15.704445835942415</v>
      </c>
      <c r="J144" s="947">
        <f t="shared" si="453"/>
        <v>41.292347656672781</v>
      </c>
      <c r="K144" s="947">
        <f t="shared" si="453"/>
        <v>14.401715949134397</v>
      </c>
      <c r="L144" s="947">
        <f t="shared" si="453"/>
        <v>32.489620999062517</v>
      </c>
      <c r="M144" s="947">
        <f t="shared" si="453"/>
        <v>74.83574244415243</v>
      </c>
      <c r="N144" s="947">
        <f t="shared" ref="N144:AD144" si="460">(N14/M14-1)*100</f>
        <v>4.3852802590119477</v>
      </c>
      <c r="O144" s="947">
        <f t="shared" si="460"/>
        <v>64.574909997230677</v>
      </c>
      <c r="P144" s="947">
        <f t="shared" si="460"/>
        <v>30.191155684189287</v>
      </c>
      <c r="Q144" s="947">
        <f t="shared" si="460"/>
        <v>16.722243763732703</v>
      </c>
      <c r="R144" s="947">
        <f t="shared" si="460"/>
        <v>13.837090844664935</v>
      </c>
      <c r="S144" s="947">
        <f t="shared" si="460"/>
        <v>22.549706237111387</v>
      </c>
      <c r="T144" s="947">
        <f t="shared" si="460"/>
        <v>24.399536456431669</v>
      </c>
      <c r="U144" s="947">
        <f t="shared" si="460"/>
        <v>23.576177532764198</v>
      </c>
      <c r="V144" s="947">
        <f t="shared" si="460"/>
        <v>28.207934901588217</v>
      </c>
      <c r="W144" s="947">
        <f t="shared" si="460"/>
        <v>26.652383330380026</v>
      </c>
      <c r="X144" s="947">
        <f t="shared" si="460"/>
        <v>1.1606166213019353</v>
      </c>
      <c r="Y144" s="947">
        <f t="shared" si="460"/>
        <v>1.1473008568608778</v>
      </c>
      <c r="Z144" s="947">
        <f t="shared" si="460"/>
        <v>1.1342871704351776</v>
      </c>
      <c r="AA144" s="947">
        <f t="shared" si="460"/>
        <v>1.1215653980174434</v>
      </c>
      <c r="AB144" s="947">
        <f t="shared" si="460"/>
        <v>1.1091258265266468</v>
      </c>
      <c r="AC144" s="947">
        <f t="shared" si="460"/>
        <v>1.0969591690759728</v>
      </c>
      <c r="AD144" s="947">
        <f t="shared" si="460"/>
        <v>1.085056541850471</v>
      </c>
      <c r="AE144" s="54"/>
      <c r="AG144" s="56"/>
      <c r="AH144" s="56"/>
      <c r="AI144" s="56"/>
      <c r="AJ144" s="948"/>
      <c r="AK144" s="1117"/>
      <c r="AL144" s="947">
        <f t="shared" si="455"/>
        <v>-100</v>
      </c>
      <c r="AM144" s="947">
        <f t="shared" si="455"/>
        <v>-100</v>
      </c>
      <c r="AN144" s="947">
        <f t="shared" si="455"/>
        <v>-100</v>
      </c>
      <c r="AO144" s="947">
        <f t="shared" si="455"/>
        <v>-100</v>
      </c>
      <c r="AP144" s="1130"/>
      <c r="AQ144" s="949" t="s">
        <v>1045</v>
      </c>
      <c r="AR144" s="949" t="s">
        <v>1045</v>
      </c>
      <c r="AS144" s="949" t="s">
        <v>1045</v>
      </c>
      <c r="AT144" s="949" t="s">
        <v>1045</v>
      </c>
      <c r="AU144" s="1130"/>
      <c r="AV144" s="949" t="s">
        <v>1045</v>
      </c>
      <c r="AW144" s="949" t="s">
        <v>1045</v>
      </c>
      <c r="AX144" s="949" t="s">
        <v>1045</v>
      </c>
      <c r="AY144" s="949" t="s">
        <v>1045</v>
      </c>
      <c r="AZ144" s="1130"/>
      <c r="BA144" s="949" t="s">
        <v>1045</v>
      </c>
      <c r="BB144" s="949" t="s">
        <v>1045</v>
      </c>
      <c r="BC144" s="949" t="s">
        <v>1045</v>
      </c>
      <c r="BD144" s="949" t="s">
        <v>1045</v>
      </c>
      <c r="BE144" s="1130"/>
      <c r="BF144" s="947">
        <f t="shared" si="456"/>
        <v>75.450450450450447</v>
      </c>
      <c r="BG144" s="947">
        <f t="shared" si="456"/>
        <v>-11.622176591375766</v>
      </c>
      <c r="BH144" s="947">
        <f t="shared" si="456"/>
        <v>-6.9531249999999929</v>
      </c>
      <c r="BI144" s="947">
        <f t="shared" si="456"/>
        <v>42.822677925211103</v>
      </c>
      <c r="BJ144" s="1130"/>
      <c r="BK144" s="947">
        <f t="shared" si="457"/>
        <v>19.084296106118948</v>
      </c>
      <c r="BL144" s="947">
        <f t="shared" si="457"/>
        <v>41.635687732342006</v>
      </c>
      <c r="BM144" s="947">
        <f t="shared" si="457"/>
        <v>59.739714525608733</v>
      </c>
      <c r="BN144" s="947">
        <f t="shared" si="457"/>
        <v>44.341216216216225</v>
      </c>
      <c r="BO144" s="1130"/>
      <c r="BP144" s="947">
        <f t="shared" si="458"/>
        <v>12.001437297879992</v>
      </c>
      <c r="BQ144" s="947">
        <f t="shared" si="458"/>
        <v>13.484251968503935</v>
      </c>
      <c r="BR144" s="947">
        <f t="shared" si="458"/>
        <v>7.8843626806834877E-2</v>
      </c>
      <c r="BS144" s="947">
        <f>(BS14/BN14-1)*100</f>
        <v>33.118782913984781</v>
      </c>
      <c r="BT144" s="42"/>
      <c r="BU144" s="947">
        <f t="shared" si="438"/>
        <v>35.482836060314391</v>
      </c>
      <c r="BV144" s="947">
        <f t="shared" si="438"/>
        <v>13.703382480485683</v>
      </c>
      <c r="BW144" s="947">
        <f t="shared" si="438"/>
        <v>18.014705882352942</v>
      </c>
      <c r="BX144" s="947">
        <f t="shared" si="438"/>
        <v>56.835164835164839</v>
      </c>
      <c r="BY144" s="1130"/>
      <c r="BZ144" s="947">
        <f t="shared" ref="BZ144:CC145" si="461">(BZ14/BU14-1)*100</f>
        <v>86.099928960454662</v>
      </c>
      <c r="CA144" s="947">
        <f t="shared" si="461"/>
        <v>119.90846681922194</v>
      </c>
      <c r="CB144" s="947">
        <f t="shared" si="461"/>
        <v>127.36982643524701</v>
      </c>
      <c r="CC144" s="947">
        <f t="shared" si="461"/>
        <v>10.243834080717495</v>
      </c>
      <c r="CD144" s="1130"/>
      <c r="CE144" s="947">
        <f t="shared" si="440"/>
        <v>1.0815625397633255</v>
      </c>
      <c r="CF144" s="947">
        <f t="shared" si="440"/>
        <v>-9.1802520522603626</v>
      </c>
      <c r="CG144" s="947">
        <f t="shared" si="440"/>
        <v>-9.727931101976905</v>
      </c>
      <c r="CH144" s="947">
        <f t="shared" si="440"/>
        <v>40.930469047921704</v>
      </c>
      <c r="CI144" s="1130"/>
      <c r="CJ144" s="947">
        <f t="shared" si="447"/>
        <v>43.668177240684791</v>
      </c>
      <c r="CK144" s="947">
        <f t="shared" si="447"/>
        <v>76.549968173138126</v>
      </c>
      <c r="CL144" s="947">
        <f t="shared" si="447"/>
        <v>67.237640936686887</v>
      </c>
      <c r="CM144" s="947">
        <f t="shared" si="447"/>
        <v>68.85541625326961</v>
      </c>
      <c r="CN144" s="1130">
        <f>(CN14/CI14-1)*100</f>
        <v>64.574909997230677</v>
      </c>
      <c r="CO144" s="947"/>
      <c r="CP144" s="947"/>
      <c r="CQ144" s="947"/>
      <c r="CR144" s="947"/>
      <c r="CS144" s="1130">
        <f>(CS14/CM14-1)*100</f>
        <v>313.279205170664</v>
      </c>
      <c r="CT144" s="947"/>
      <c r="CU144" s="947"/>
      <c r="CV144" s="947"/>
      <c r="CW144" s="947"/>
      <c r="CX144" s="947"/>
      <c r="CY144" s="947"/>
      <c r="CZ144" s="947"/>
      <c r="DA144" s="947"/>
      <c r="DB144" s="947"/>
      <c r="DC144" s="947"/>
      <c r="DD144" s="947"/>
      <c r="DE144" s="947"/>
      <c r="DF144" s="947"/>
      <c r="DG144" s="947"/>
      <c r="DH144" s="947"/>
      <c r="DI144" s="947"/>
      <c r="DJ144" s="947"/>
      <c r="DK144" s="947"/>
      <c r="DL144" s="947"/>
      <c r="DM144" s="947"/>
      <c r="DN144" s="947"/>
      <c r="DO144" s="947"/>
      <c r="DP144" s="947"/>
      <c r="DQ144" s="947"/>
      <c r="DR144" s="947"/>
      <c r="DS144" s="947"/>
      <c r="DT144" s="947"/>
      <c r="DU144" s="947"/>
      <c r="DV144" s="947"/>
      <c r="DW144" s="947"/>
      <c r="DX144" s="947"/>
      <c r="DY144" s="947"/>
    </row>
    <row r="145" spans="2:129" collapsed="1">
      <c r="B145" s="14" t="s">
        <v>988</v>
      </c>
      <c r="C145" s="14"/>
      <c r="D145" s="14"/>
      <c r="E145" s="950"/>
      <c r="F145" s="950">
        <f t="shared" si="453"/>
        <v>387.20036877689</v>
      </c>
      <c r="G145" s="950">
        <f t="shared" si="453"/>
        <v>21.720755669095148</v>
      </c>
      <c r="H145" s="950">
        <f t="shared" si="453"/>
        <v>52.798362439757483</v>
      </c>
      <c r="I145" s="950">
        <f t="shared" si="453"/>
        <v>38.772447474182201</v>
      </c>
      <c r="J145" s="950">
        <f t="shared" si="453"/>
        <v>35.061800807717944</v>
      </c>
      <c r="K145" s="950">
        <f t="shared" si="453"/>
        <v>30.325662611905546</v>
      </c>
      <c r="L145" s="950">
        <f t="shared" si="453"/>
        <v>45.592063701430789</v>
      </c>
      <c r="M145" s="950">
        <f t="shared" si="453"/>
        <v>68.004157905026162</v>
      </c>
      <c r="N145" s="950">
        <f t="shared" ref="N145:AD145" si="462">(N15/M15-1)*100</f>
        <v>25.235426008968641</v>
      </c>
      <c r="O145" s="950">
        <f t="shared" si="462"/>
        <v>35.546946263437505</v>
      </c>
      <c r="P145" s="950">
        <f t="shared" si="462"/>
        <v>31.2293619703498</v>
      </c>
      <c r="Q145" s="950">
        <f t="shared" si="462"/>
        <v>20.231573261034619</v>
      </c>
      <c r="R145" s="950">
        <f t="shared" si="462"/>
        <v>14.061321114605674</v>
      </c>
      <c r="S145" s="950">
        <f t="shared" si="462"/>
        <v>13.517911375411895</v>
      </c>
      <c r="T145" s="950">
        <f t="shared" si="462"/>
        <v>11.543288559707854</v>
      </c>
      <c r="U145" s="950">
        <f t="shared" si="462"/>
        <v>32.507895653016064</v>
      </c>
      <c r="V145" s="950">
        <f t="shared" si="462"/>
        <v>20.942450267705691</v>
      </c>
      <c r="W145" s="950">
        <f t="shared" ca="1" si="462"/>
        <v>15.35404945649077</v>
      </c>
      <c r="X145" s="950">
        <f t="shared" ca="1" si="462"/>
        <v>9.1568694979586205</v>
      </c>
      <c r="Y145" s="950">
        <f t="shared" ca="1" si="462"/>
        <v>7.9399725781270636</v>
      </c>
      <c r="Z145" s="950">
        <f t="shared" ca="1" si="462"/>
        <v>6.9378802964205288</v>
      </c>
      <c r="AA145" s="950">
        <f t="shared" ca="1" si="462"/>
        <v>6.463659746777517</v>
      </c>
      <c r="AB145" s="950">
        <f t="shared" ca="1" si="462"/>
        <v>6.0443500662150207</v>
      </c>
      <c r="AC145" s="950">
        <f t="shared" ca="1" si="462"/>
        <v>5.6712936339346154</v>
      </c>
      <c r="AD145" s="950">
        <f t="shared" ca="1" si="462"/>
        <v>5.3374238065655444</v>
      </c>
      <c r="AE145" s="54"/>
      <c r="AG145" s="951"/>
      <c r="AH145" s="951"/>
      <c r="AI145" s="951"/>
      <c r="AJ145" s="952"/>
      <c r="AK145" s="1118"/>
      <c r="AL145" s="953">
        <f t="shared" ref="AL145:AO146" si="463">IF(OR(AL18&lt;=0, Q18&lt;=0), "NM",(AL18/Q18-1)*100)</f>
        <v>-99.624910893219806</v>
      </c>
      <c r="AM145" s="953">
        <f t="shared" si="463"/>
        <v>-99.429161522982326</v>
      </c>
      <c r="AN145" s="953">
        <f t="shared" si="463"/>
        <v>-98.716438755940956</v>
      </c>
      <c r="AO145" s="953">
        <f t="shared" si="463"/>
        <v>-98.181935562545505</v>
      </c>
      <c r="AP145" s="1132"/>
      <c r="AQ145" s="953">
        <f t="shared" ref="AQ145:AT146" si="464">IF(OR(AQ18&lt;=0, AL18&lt;=0), "NM",(AQ18/AL18-1)*100)</f>
        <v>542.626624831914</v>
      </c>
      <c r="AR145" s="953">
        <f t="shared" si="464"/>
        <v>283.6387096774194</v>
      </c>
      <c r="AS145" s="953">
        <f t="shared" si="464"/>
        <v>52.030044660982576</v>
      </c>
      <c r="AT145" s="953">
        <f t="shared" si="464"/>
        <v>-32.386400999539674</v>
      </c>
      <c r="AU145" s="1132"/>
      <c r="AV145" s="950">
        <f>(AV15/AQ15-1)*100</f>
        <v>59.819234123523366</v>
      </c>
      <c r="AW145" s="950">
        <f>(AW15/AR15-1)*100</f>
        <v>11.654391285510911</v>
      </c>
      <c r="AX145" s="950">
        <f>(AX15/AS15-1)*100</f>
        <v>17.516590988473624</v>
      </c>
      <c r="AY145" s="950">
        <f>(AY15/AT15-1)*100</f>
        <v>7.6548723233711202</v>
      </c>
      <c r="AZ145" s="1135"/>
      <c r="BA145" s="950">
        <f>(BA15/AV15-1)*100</f>
        <v>26.178192280980262</v>
      </c>
      <c r="BB145" s="950">
        <f>(BB15/AW15-1)*100</f>
        <v>57.616407982261642</v>
      </c>
      <c r="BC145" s="950">
        <f>(BC15/AX15-1)*100</f>
        <v>53.162926635953831</v>
      </c>
      <c r="BD145" s="950">
        <f>(BD15/AY15-1)*100</f>
        <v>76.322927192469265</v>
      </c>
      <c r="BE145" s="1135"/>
      <c r="BF145" s="950">
        <f t="shared" si="456"/>
        <v>44.761155887556512</v>
      </c>
      <c r="BG145" s="950">
        <f t="shared" si="456"/>
        <v>38.647393964971521</v>
      </c>
      <c r="BH145" s="950">
        <f t="shared" si="456"/>
        <v>37.258643552508161</v>
      </c>
      <c r="BI145" s="950">
        <f t="shared" si="456"/>
        <v>35.697050129697793</v>
      </c>
      <c r="BJ145" s="1135"/>
      <c r="BK145" s="950">
        <f t="shared" si="457"/>
        <v>32.221618685496999</v>
      </c>
      <c r="BL145" s="950">
        <f t="shared" si="457"/>
        <v>33.117723156532989</v>
      </c>
      <c r="BM145" s="950">
        <f t="shared" si="457"/>
        <v>36.892952237328871</v>
      </c>
      <c r="BN145" s="950">
        <f t="shared" si="457"/>
        <v>37.362466380670803</v>
      </c>
      <c r="BO145" s="1135"/>
      <c r="BP145" s="950">
        <f t="shared" si="458"/>
        <v>33.245008627064344</v>
      </c>
      <c r="BQ145" s="950">
        <f t="shared" si="458"/>
        <v>30.61986699441681</v>
      </c>
      <c r="BR145" s="950">
        <f t="shared" si="458"/>
        <v>26.903745524648869</v>
      </c>
      <c r="BS145" s="950">
        <f>(BS15/BN15-1)*100</f>
        <v>30.992912391986806</v>
      </c>
      <c r="BT145" s="42"/>
      <c r="BU145" s="950">
        <f t="shared" si="438"/>
        <v>31.201344247637564</v>
      </c>
      <c r="BV145" s="950">
        <f t="shared" si="438"/>
        <v>33.974733033786578</v>
      </c>
      <c r="BW145" s="950">
        <f t="shared" si="438"/>
        <v>40.76716490790222</v>
      </c>
      <c r="BX145" s="950">
        <f t="shared" si="438"/>
        <v>71.355511358723206</v>
      </c>
      <c r="BY145" s="1135"/>
      <c r="BZ145" s="950">
        <f t="shared" si="461"/>
        <v>85.900433561667995</v>
      </c>
      <c r="CA145" s="950">
        <f t="shared" si="461"/>
        <v>87.336258806363404</v>
      </c>
      <c r="CB145" s="950">
        <f t="shared" si="461"/>
        <v>77.039370989188853</v>
      </c>
      <c r="CC145" s="950">
        <f t="shared" si="461"/>
        <v>37.464855746355809</v>
      </c>
      <c r="CD145" s="1135">
        <f>(CD15/BY15-1)*100</f>
        <v>68.00415790502619</v>
      </c>
      <c r="CE145" s="950">
        <f t="shared" si="440"/>
        <v>25.921829374660277</v>
      </c>
      <c r="CF145" s="950">
        <f t="shared" si="440"/>
        <v>23.903187556671558</v>
      </c>
      <c r="CG145" s="950">
        <f t="shared" si="440"/>
        <v>23.851198737311918</v>
      </c>
      <c r="CH145" s="950">
        <f t="shared" si="440"/>
        <v>27.201690764252717</v>
      </c>
      <c r="CI145" s="1135">
        <f>(CI15/CD15-1)*100</f>
        <v>25.23542600896862</v>
      </c>
      <c r="CJ145" s="950">
        <f t="shared" si="447"/>
        <v>24.80437281346779</v>
      </c>
      <c r="CK145" s="950">
        <f t="shared" si="447"/>
        <v>36.050908203857965</v>
      </c>
      <c r="CL145" s="950">
        <f t="shared" si="447"/>
        <v>41.236080471791816</v>
      </c>
      <c r="CM145" s="950">
        <f t="shared" si="447"/>
        <v>38.590487812922603</v>
      </c>
      <c r="CN145" s="1135">
        <f>(CN15/CI15-1)*100</f>
        <v>35.546946263437526</v>
      </c>
      <c r="CO145" s="950">
        <f>(CO15/CM15-1)*100</f>
        <v>5.2937046710733737</v>
      </c>
      <c r="CP145" s="950">
        <f>(CP15/CJ15-1)*100</f>
        <v>55.04224830986648</v>
      </c>
      <c r="CQ145" s="950">
        <f>(CQ15/CK15-1)*100</f>
        <v>40.753128264894833</v>
      </c>
      <c r="CR145" s="950">
        <f>(CR15/CL15-1)*100</f>
        <v>31.339104028077671</v>
      </c>
      <c r="CS145" s="1135">
        <f>(CS15/CM15-1)*100</f>
        <v>366.98358490453779</v>
      </c>
      <c r="CT145" s="950">
        <f t="shared" ref="CT145:DQ145" si="465">(CT15/CO15-1)*100</f>
        <v>24.580659925582495</v>
      </c>
      <c r="CU145" s="950">
        <f t="shared" si="465"/>
        <v>18.162646461449896</v>
      </c>
      <c r="CV145" s="950">
        <f t="shared" si="465"/>
        <v>18.771557637282953</v>
      </c>
      <c r="CW145" s="950">
        <f t="shared" si="465"/>
        <v>19.886239801381599</v>
      </c>
      <c r="CX145" s="950">
        <f t="shared" si="465"/>
        <v>-67.12069940832626</v>
      </c>
      <c r="CY145" s="950">
        <f t="shared" si="465"/>
        <v>19.938451350713905</v>
      </c>
      <c r="CZ145" s="950">
        <f t="shared" si="465"/>
        <v>19.220248940794239</v>
      </c>
      <c r="DA145" s="950">
        <f t="shared" si="465"/>
        <v>16.467870512648641</v>
      </c>
      <c r="DB145" s="950">
        <f t="shared" si="465"/>
        <v>14.621615266204135</v>
      </c>
      <c r="DC145" s="950">
        <f t="shared" si="465"/>
        <v>17.248815230153447</v>
      </c>
      <c r="DD145" s="950">
        <f t="shared" si="465"/>
        <v>17.314052008901971</v>
      </c>
      <c r="DE145" s="950">
        <f t="shared" si="465"/>
        <v>17.499502839339765</v>
      </c>
      <c r="DF145" s="950">
        <f t="shared" si="465"/>
        <v>13.901221406219832</v>
      </c>
      <c r="DG145" s="950">
        <f t="shared" si="465"/>
        <v>14.745031919496988</v>
      </c>
      <c r="DH145" s="950">
        <f t="shared" si="465"/>
        <v>13.465507526096342</v>
      </c>
      <c r="DI145" s="950">
        <f t="shared" si="465"/>
        <v>17.732899232802524</v>
      </c>
      <c r="DJ145" s="950">
        <f t="shared" si="465"/>
        <v>32.287763605961885</v>
      </c>
      <c r="DK145" s="950">
        <f t="shared" si="465"/>
        <v>40.010323800402389</v>
      </c>
      <c r="DL145" s="950">
        <f t="shared" si="465"/>
        <v>38.927434936641923</v>
      </c>
      <c r="DM145" s="950">
        <f t="shared" si="465"/>
        <v>37.28222133870436</v>
      </c>
      <c r="DN145" s="950">
        <f t="shared" si="465"/>
        <v>29.989650385646407</v>
      </c>
      <c r="DO145" s="950">
        <f t="shared" si="465"/>
        <v>26.329848985258653</v>
      </c>
      <c r="DP145" s="950">
        <f t="shared" si="465"/>
        <v>27.956491321584444</v>
      </c>
      <c r="DQ145" s="950">
        <f t="shared" si="465"/>
        <v>29.799086382689733</v>
      </c>
      <c r="DR145" s="950">
        <f ca="1">(DR15/DN15-1)*100</f>
        <v>28.018588355505038</v>
      </c>
      <c r="DS145" s="950">
        <f ca="1">(DS15/DO15-1)*100</f>
        <v>16.287096246047874</v>
      </c>
      <c r="DT145" s="950">
        <f ca="1">(DT15/DP15-1)*100</f>
        <v>10.559664017873359</v>
      </c>
      <c r="DU145" s="950">
        <f ca="1">(DU15/DQ15-1)*100</f>
        <v>9.1085883051143846</v>
      </c>
      <c r="DV145" s="950"/>
      <c r="DW145" s="950"/>
      <c r="DX145" s="950"/>
      <c r="DY145" s="950"/>
    </row>
    <row r="146" spans="2:129">
      <c r="B146" s="23" t="s">
        <v>989</v>
      </c>
      <c r="C146" s="23"/>
      <c r="E146" s="947"/>
      <c r="F146" s="947">
        <f t="shared" ref="F146:Z146" si="466">((F19-E19)/F19)*100</f>
        <v>302.75946821584199</v>
      </c>
      <c r="G146" s="947">
        <f t="shared" si="466"/>
        <v>57.740427741844158</v>
      </c>
      <c r="H146" s="947">
        <f t="shared" si="466"/>
        <v>52.685073493276121</v>
      </c>
      <c r="I146" s="947">
        <f t="shared" si="466"/>
        <v>44.891854295668004</v>
      </c>
      <c r="J146" s="947">
        <f t="shared" si="466"/>
        <v>35.27250996015939</v>
      </c>
      <c r="K146" s="947">
        <f t="shared" si="466"/>
        <v>28.673729198872426</v>
      </c>
      <c r="L146" s="947">
        <f t="shared" si="466"/>
        <v>30.736012533903338</v>
      </c>
      <c r="M146" s="947">
        <f t="shared" si="466"/>
        <v>42.265681818181797</v>
      </c>
      <c r="N146" s="947">
        <f t="shared" si="466"/>
        <v>22.525526958475464</v>
      </c>
      <c r="O146" s="947">
        <f t="shared" si="466"/>
        <v>26.953154140396084</v>
      </c>
      <c r="P146" s="947">
        <f t="shared" si="466"/>
        <v>25.243959074296839</v>
      </c>
      <c r="Q146" s="947">
        <f t="shared" si="466"/>
        <v>19.538614124884703</v>
      </c>
      <c r="R146" s="947">
        <f t="shared" si="466"/>
        <v>12.304164348616647</v>
      </c>
      <c r="S146" s="947">
        <f t="shared" si="466"/>
        <v>12.067785730180274</v>
      </c>
      <c r="T146" s="947">
        <f t="shared" si="466"/>
        <v>11.284102913686077</v>
      </c>
      <c r="U146" s="947">
        <f t="shared" si="466"/>
        <v>22.643526394117458</v>
      </c>
      <c r="V146" s="947">
        <f t="shared" si="466"/>
        <v>16.787865346307999</v>
      </c>
      <c r="W146" s="947">
        <f t="shared" ca="1" si="466"/>
        <v>13.06109007817741</v>
      </c>
      <c r="X146" s="947">
        <f t="shared" ca="1" si="466"/>
        <v>8.5252543768717324</v>
      </c>
      <c r="Y146" s="947">
        <f t="shared" ca="1" si="466"/>
        <v>7.4937781701601969</v>
      </c>
      <c r="Z146" s="947">
        <f t="shared" ca="1" si="466"/>
        <v>6.6267151423626132</v>
      </c>
      <c r="AA146" s="947">
        <f t="shared" ref="AA146" ca="1" si="467">((AA19-Z19)/AA19)*100</f>
        <v>6.2105959113432672</v>
      </c>
      <c r="AB146" s="947">
        <f t="shared" ref="AB146" ca="1" si="468">((AB19-AA19)/AB19)*100</f>
        <v>5.8395362039528838</v>
      </c>
      <c r="AC146" s="947">
        <f t="shared" ref="AC146" ca="1" si="469">((AC19-AB19)/AC19)*100</f>
        <v>5.5069096136708264</v>
      </c>
      <c r="AD146" s="947">
        <f t="shared" ref="AD146" ca="1" si="470">((AD19-AC19)/AD19)*100</f>
        <v>5.2072037608235551</v>
      </c>
      <c r="AE146" s="54"/>
      <c r="AG146" s="853"/>
      <c r="AH146" s="853"/>
      <c r="AI146" s="853"/>
      <c r="AJ146" s="954"/>
      <c r="AK146" s="1119"/>
      <c r="AL146" s="949" t="str">
        <f t="shared" si="463"/>
        <v>NM</v>
      </c>
      <c r="AM146" s="949" t="str">
        <f t="shared" si="463"/>
        <v>NM</v>
      </c>
      <c r="AN146" s="949" t="str">
        <f t="shared" si="463"/>
        <v>NM</v>
      </c>
      <c r="AO146" s="949" t="str">
        <f t="shared" si="463"/>
        <v>NM</v>
      </c>
      <c r="AP146" s="1131"/>
      <c r="AQ146" s="949" t="str">
        <f t="shared" si="464"/>
        <v>NM</v>
      </c>
      <c r="AR146" s="949" t="str">
        <f t="shared" si="464"/>
        <v>NM</v>
      </c>
      <c r="AS146" s="949" t="str">
        <f t="shared" si="464"/>
        <v>NM</v>
      </c>
      <c r="AT146" s="949" t="str">
        <f t="shared" si="464"/>
        <v>NM</v>
      </c>
      <c r="AU146" s="1131"/>
      <c r="AV146" s="949" t="str">
        <f>IF(OR(AV19&lt;=0, AQ19&lt;=0), "NM",(AV19/AQ19-1)*100)</f>
        <v>NM</v>
      </c>
      <c r="AW146" s="949">
        <f>IF(OR(AW19&lt;=0, AR19&lt;=0), "NM",(AW19/AR19-1)*100)</f>
        <v>137.02556158017072</v>
      </c>
      <c r="AX146" s="949">
        <f>IF(OR(AX19&lt;=0, AS19&lt;=0), "NM",(AX19/AS19-1)*100)</f>
        <v>182.68181818181836</v>
      </c>
      <c r="AY146" s="949">
        <f>IF(OR(AY19&lt;=0, AT19&lt;=0), "NM",(AY19/AT19-1)*100)</f>
        <v>-13.989420935412012</v>
      </c>
      <c r="AZ146" s="1131"/>
      <c r="BA146" s="949">
        <f>IF(OR(BA19&lt;=0, AV19&lt;=0), "NM",(BA19/AV19-1)*100)</f>
        <v>46.863533112004106</v>
      </c>
      <c r="BB146" s="949">
        <f>IF(OR(BB19&lt;=0, AW19&lt;=0), "NM",(BB19/AW19-1)*100)</f>
        <v>258.79084967320239</v>
      </c>
      <c r="BC146" s="949">
        <f>IF(OR(BC19&lt;=0, AX19&lt;=0), "NM",(BC19/AX19-1)*100)</f>
        <v>80.559575494452503</v>
      </c>
      <c r="BD146" s="949">
        <f>IF(OR(BD19&lt;=0, AY19&lt;=0), "NM",(BD19/AY19-1)*100)</f>
        <v>129.0500080919241</v>
      </c>
      <c r="BE146" s="1131"/>
      <c r="BF146" s="949">
        <f>IF(OR(BF19&lt;=0, BA19&lt;=0), "NM",(BF19/BA19-1)*100)</f>
        <v>97.501487209994082</v>
      </c>
      <c r="BG146" s="949">
        <f>IF(OR(BG19&lt;=0, BB19&lt;=0), "NM",(BG19/BB19-1)*100)</f>
        <v>71.163129611075789</v>
      </c>
      <c r="BH146" s="949">
        <f>IF(OR(BH19&lt;=0, BC19&lt;=0), "NM",(BH19/BC19-1)*100)</f>
        <v>93.962062516697813</v>
      </c>
      <c r="BI146" s="949">
        <f>IF(OR(BI19&lt;=0, BD19&lt;=0), "NM",(BI19/BD19-1)*100)</f>
        <v>70.006359075814402</v>
      </c>
      <c r="BJ146" s="1131"/>
      <c r="BK146" s="949">
        <f>IF(OR(BK19&lt;=0, BF19&lt;=0), "NM",(BK19/BF19-1)*100)</f>
        <v>61.174698795180674</v>
      </c>
      <c r="BL146" s="949">
        <f>IF(OR(BL19&lt;=0, BG19&lt;=0), "NM",(BL19/BG19-1)*100)</f>
        <v>55.183056619838197</v>
      </c>
      <c r="BM146" s="949">
        <f>IF(OR(BM19&lt;=0, BH19&lt;=0), "NM",(BM19/BH19-1)*100)</f>
        <v>51.409550045913655</v>
      </c>
      <c r="BN146" s="949">
        <f>IF(OR(BN19&lt;=0, BI19&lt;=0), "NM",(BN19/BI19-1)*100)</f>
        <v>52.138315115747424</v>
      </c>
      <c r="BO146" s="1131"/>
      <c r="BP146" s="949">
        <f>IF(OR(BP19&lt;=0, BK19&lt;=0), "NM",(BP19/BK19-1)*100)</f>
        <v>47.998504952345364</v>
      </c>
      <c r="BQ146" s="949">
        <f>IF(OR(BQ19&lt;=0, BL19&lt;=0), "NM",(BQ19/BL19-1)*100)</f>
        <v>43.004595020917648</v>
      </c>
      <c r="BR146" s="949">
        <f>IF(OR(BR19&lt;=0, BM19&lt;=0), "NM",(BR19/BM19-1)*100)</f>
        <v>33.389938441944402</v>
      </c>
      <c r="BS146" s="949">
        <f>IF(OR(BS19&lt;=0, BN19&lt;=0), "NM",(BS19/BN19-1)*100)</f>
        <v>38.403540403212567</v>
      </c>
      <c r="BT146" s="42"/>
      <c r="BU146" s="949">
        <f>IF(OR(BU19&lt;=0, BP19&lt;=0), "NM",(BU19/BP19-1)*100)</f>
        <v>34.298052882794174</v>
      </c>
      <c r="BV146" s="949">
        <f>IF(OR(BV19&lt;=0, BQ19&lt;=0), "NM",(BV19/BQ19-1)*100)</f>
        <v>39.313718437522496</v>
      </c>
      <c r="BW146" s="949">
        <f>IF(OR(BW19&lt;=0, BR19&lt;=0), "NM",(BW19/BR19-1)*100)</f>
        <v>44.453032645266873</v>
      </c>
      <c r="BX146" s="949">
        <f>IF(OR(BX19&lt;=0, BS19&lt;=0), "NM",(BX19/BS19-1)*100)</f>
        <v>56.349676298752584</v>
      </c>
      <c r="BY146" s="1131"/>
      <c r="BZ146" s="949">
        <f t="shared" ref="BZ146:CN146" si="471">IF(OR(BZ19&lt;=0, BU19&lt;=0), "NM",(BZ19/BU19-1)*100)</f>
        <v>81.385159276392471</v>
      </c>
      <c r="CA146" s="949">
        <f t="shared" si="471"/>
        <v>82.37460842025537</v>
      </c>
      <c r="CB146" s="949">
        <f t="shared" si="471"/>
        <v>78.046016807780632</v>
      </c>
      <c r="CC146" s="949">
        <f t="shared" si="471"/>
        <v>57.111837703407261</v>
      </c>
      <c r="CD146" s="1131">
        <f t="shared" si="471"/>
        <v>73.207206994421909</v>
      </c>
      <c r="CE146" s="949">
        <f t="shared" si="471"/>
        <v>31.967612511274467</v>
      </c>
      <c r="CF146" s="949">
        <f t="shared" si="471"/>
        <v>30.234248178489189</v>
      </c>
      <c r="CG146" s="949">
        <f t="shared" si="471"/>
        <v>28.720808952216004</v>
      </c>
      <c r="CH146" s="947">
        <f t="shared" si="471"/>
        <v>26.167308140422495</v>
      </c>
      <c r="CI146" s="1130">
        <f t="shared" si="471"/>
        <v>29.074772727272769</v>
      </c>
      <c r="CJ146" s="947">
        <f t="shared" si="471"/>
        <v>28.495899192408004</v>
      </c>
      <c r="CK146" s="947">
        <f t="shared" si="471"/>
        <v>37.205324984962786</v>
      </c>
      <c r="CL146" s="947">
        <f t="shared" si="471"/>
        <v>43.771416014887343</v>
      </c>
      <c r="CM146" s="947">
        <f t="shared" si="471"/>
        <v>37.066214916666127</v>
      </c>
      <c r="CN146" s="1130">
        <f t="shared" si="471"/>
        <v>36.898450334460797</v>
      </c>
      <c r="CO146" s="947">
        <f>IF(OR(CO19&lt;=0, CM19&lt;=0), "NM",(CO19/CM19-1)*100)</f>
        <v>9.3992194034011831</v>
      </c>
      <c r="CP146" s="947">
        <f>IF(OR(CP19&lt;=0, CJ19&lt;=0), "NM",(CP19/CJ19-1)*100)</f>
        <v>54.935346804022835</v>
      </c>
      <c r="CQ146" s="947">
        <f>IF(OR(CQ19&lt;=0, CK19&lt;=0), "NM",(CQ19/CK19-1)*100)</f>
        <v>41.678330542806009</v>
      </c>
      <c r="CR146" s="947">
        <f>IF(OR(CR19&lt;=0, CL19&lt;=0), "NM",(CR19/CL19-1)*100)</f>
        <v>35.129674738501215</v>
      </c>
      <c r="CS146" s="1130">
        <f>IF(OR(CS19&lt;=0, CM19&lt;=0), "NM",(CS19/CM19-1)*100)</f>
        <v>383.24086980763877</v>
      </c>
      <c r="CT146" s="947">
        <f t="shared" ref="CT146:DQ146" si="472">IF(OR(CT19&lt;=0, CO19&lt;=0), "NM",(CT19/CO19-1)*100)</f>
        <v>28.700058186698605</v>
      </c>
      <c r="CU146" s="947">
        <f t="shared" si="472"/>
        <v>23.97521900402495</v>
      </c>
      <c r="CV146" s="947">
        <f t="shared" si="472"/>
        <v>22.058149201650746</v>
      </c>
      <c r="CW146" s="947">
        <f t="shared" si="472"/>
        <v>22.992990976279582</v>
      </c>
      <c r="CX146" s="947">
        <f t="shared" si="472"/>
        <v>-65.950630317750154</v>
      </c>
      <c r="CY146" s="947">
        <f t="shared" si="472"/>
        <v>18.951366727938137</v>
      </c>
      <c r="CZ146" s="947">
        <f t="shared" si="472"/>
        <v>17.4407501480053</v>
      </c>
      <c r="DA146" s="947">
        <f t="shared" si="472"/>
        <v>19.23673681317004</v>
      </c>
      <c r="DB146" s="947">
        <f t="shared" si="472"/>
        <v>13.745894077988829</v>
      </c>
      <c r="DC146" s="947">
        <f t="shared" si="472"/>
        <v>16.981622256610727</v>
      </c>
      <c r="DD146" s="947">
        <f t="shared" si="472"/>
        <v>17.625745595783048</v>
      </c>
      <c r="DE146" s="947">
        <f t="shared" si="472"/>
        <v>19.839663064777071</v>
      </c>
      <c r="DF146" s="947">
        <f t="shared" si="472"/>
        <v>15.535883071673906</v>
      </c>
      <c r="DG146" s="947">
        <f t="shared" si="472"/>
        <v>16.432586753578128</v>
      </c>
      <c r="DH146" s="947">
        <f t="shared" si="472"/>
        <v>14.670014000869024</v>
      </c>
      <c r="DI146" s="947">
        <f t="shared" si="472"/>
        <v>18.520597572538435</v>
      </c>
      <c r="DJ146" s="947">
        <f t="shared" si="472"/>
        <v>29.599073672022016</v>
      </c>
      <c r="DK146" s="947">
        <f t="shared" si="472"/>
        <v>34.904133521341606</v>
      </c>
      <c r="DL146" s="947">
        <f t="shared" si="472"/>
        <v>34.503717076854315</v>
      </c>
      <c r="DM146" s="947">
        <f t="shared" si="472"/>
        <v>34.960802640664191</v>
      </c>
      <c r="DN146" s="947">
        <f t="shared" si="472"/>
        <v>28.55269389818238</v>
      </c>
      <c r="DO146" s="947">
        <f t="shared" si="472"/>
        <v>25.982800982800967</v>
      </c>
      <c r="DP146" s="947">
        <f t="shared" si="472"/>
        <v>27.284022239131467</v>
      </c>
      <c r="DQ146" s="947">
        <f t="shared" si="472"/>
        <v>27.906042542207476</v>
      </c>
      <c r="DR146" s="947">
        <f t="shared" ref="DR146:DU146" ca="1" si="473">IF(OR(DR19&lt;=0, DL19&lt;=0), "NM",(DR19/DL19-1)*100)</f>
        <v>31.390550326342215</v>
      </c>
      <c r="DS146" s="947">
        <f t="shared" ca="1" si="473"/>
        <v>29.599849919109356</v>
      </c>
      <c r="DT146" s="947">
        <f t="shared" ca="1" si="473"/>
        <v>32.129545800602457</v>
      </c>
      <c r="DU146" s="947">
        <f t="shared" ca="1" si="473"/>
        <v>21.530878376931305</v>
      </c>
      <c r="DV146" s="947"/>
      <c r="DW146" s="947"/>
      <c r="DX146" s="947"/>
      <c r="DY146" s="947"/>
    </row>
    <row r="147" spans="2:129">
      <c r="B147" s="23" t="s">
        <v>1039</v>
      </c>
      <c r="C147" s="23"/>
      <c r="E147" s="947"/>
      <c r="F147" s="947">
        <f t="shared" ref="F147:Z147" si="474">(F24/E24-1)*100</f>
        <v>6.117375878511222</v>
      </c>
      <c r="G147" s="947">
        <f t="shared" si="474"/>
        <v>-29.698879850078786</v>
      </c>
      <c r="H147" s="947">
        <f t="shared" si="474"/>
        <v>30.461650308978538</v>
      </c>
      <c r="I147" s="947">
        <f t="shared" si="474"/>
        <v>5.9231912324695823</v>
      </c>
      <c r="J147" s="947">
        <f t="shared" si="474"/>
        <v>21.355137113921852</v>
      </c>
      <c r="K147" s="947">
        <f t="shared" si="474"/>
        <v>33.451346615848678</v>
      </c>
      <c r="L147" s="947">
        <f t="shared" si="474"/>
        <v>33.515159718462371</v>
      </c>
      <c r="M147" s="947">
        <f t="shared" si="474"/>
        <v>49.556472460741489</v>
      </c>
      <c r="N147" s="947">
        <f t="shared" si="474"/>
        <v>7.9966649494319642</v>
      </c>
      <c r="O147" s="947">
        <f t="shared" si="474"/>
        <v>53.441793611639412</v>
      </c>
      <c r="P147" s="947">
        <f t="shared" si="474"/>
        <v>30.990530341766707</v>
      </c>
      <c r="Q147" s="947">
        <f t="shared" si="474"/>
        <v>26.387926027243246</v>
      </c>
      <c r="R147" s="947">
        <f t="shared" si="474"/>
        <v>16.879279119011102</v>
      </c>
      <c r="S147" s="947">
        <f t="shared" si="474"/>
        <v>18.875702368922841</v>
      </c>
      <c r="T147" s="947">
        <f t="shared" si="474"/>
        <v>9.8641016339102272</v>
      </c>
      <c r="U147" s="947">
        <f t="shared" si="474"/>
        <v>27.066968166124681</v>
      </c>
      <c r="V147" s="947">
        <f t="shared" si="474"/>
        <v>12.509346883713945</v>
      </c>
      <c r="W147" s="947">
        <f t="shared" ca="1" si="474"/>
        <v>10.961337824116146</v>
      </c>
      <c r="X147" s="947">
        <f t="shared" ca="1" si="474"/>
        <v>8.5956050463243283</v>
      </c>
      <c r="Y147" s="947">
        <f t="shared" ca="1" si="474"/>
        <v>7.3820966908603403</v>
      </c>
      <c r="Z147" s="947">
        <f t="shared" ca="1" si="474"/>
        <v>6.3823122204447635</v>
      </c>
      <c r="AA147" s="947">
        <f t="shared" ref="AA147" ca="1" si="475">(AA24/Z24-1)*100</f>
        <v>5.9076668437064273</v>
      </c>
      <c r="AB147" s="947">
        <f t="shared" ref="AB147" ca="1" si="476">(AB24/AA24-1)*100</f>
        <v>5.4876396050676846</v>
      </c>
      <c r="AC147" s="947">
        <f t="shared" ref="AC147" ca="1" si="477">(AC24/AB24-1)*100</f>
        <v>5.1136139396194213</v>
      </c>
      <c r="AD147" s="947">
        <f t="shared" ref="AD147" ca="1" si="478">(AD24/AC24-1)*100</f>
        <v>4.7785566902456944</v>
      </c>
      <c r="AE147" s="54"/>
      <c r="AG147" s="23"/>
      <c r="AH147" s="23"/>
      <c r="AI147" s="23"/>
      <c r="AJ147" s="123"/>
      <c r="AK147" s="1102"/>
      <c r="AL147" s="949">
        <f>IF(OR(AL24&lt;=0, Q24&lt;=0), "NM",(AL24/Q24-1)*100)</f>
        <v>-98.33418575978375</v>
      </c>
      <c r="AM147" s="949">
        <f>IF(OR(AM24&lt;=0, R24&lt;=0), "NM",(AM24/R24-1)*100)</f>
        <v>-97.249292874628466</v>
      </c>
      <c r="AN147" s="949">
        <f>IF(OR(AN24&lt;=0, S24&lt;=0), "NM",(AN24/S24-1)*100)</f>
        <v>-98.092585874536752</v>
      </c>
      <c r="AO147" s="949">
        <f>IF(OR(AO24&lt;=0, T24&lt;=0), "NM",(AO24/T24-1)*100)</f>
        <v>-97.770965084226148</v>
      </c>
      <c r="AP147" s="1131"/>
      <c r="AQ147" s="949">
        <f>IF(OR(AQ24&lt;=0, AL24&lt;=0), "NM",(AQ24/AL24-1)*100)</f>
        <v>116.07831504004747</v>
      </c>
      <c r="AR147" s="949">
        <f>IF(OR(AR24&lt;=0, AM24&lt;=0), "NM",(AR24/AM24-1)*100)</f>
        <v>-1.9520442668306326</v>
      </c>
      <c r="AS147" s="949">
        <f>IF(OR(AS24&lt;=0, AN24&lt;=0), "NM",(AS24/AN24-1)*100)</f>
        <v>1.5103486854372683</v>
      </c>
      <c r="AT147" s="949">
        <f>IF(OR(AT24&lt;=0, AO24&lt;=0), "NM",(AT24/AO24-1)*100)</f>
        <v>-36.504248057512157</v>
      </c>
      <c r="AU147" s="1131"/>
      <c r="AV147" s="949">
        <f>IF(OR(AV24&lt;=0, AQ24&lt;=0), "NM",(AV24/AQ24-1)*100)</f>
        <v>-50.151015925315754</v>
      </c>
      <c r="AW147" s="949">
        <f>IF(OR(AW24&lt;=0, AR24&lt;=0), "NM",(AW24/AR24-1)*100)</f>
        <v>-21.664837748863452</v>
      </c>
      <c r="AX147" s="949">
        <f>IF(OR(AX24&lt;=0, AS24&lt;=0), "NM",(AX24/AS24-1)*100)</f>
        <v>-29.059515062454089</v>
      </c>
      <c r="AY147" s="949">
        <f>IF(OR(AY24&lt;=0, AT24&lt;=0), "NM",(AY24/AT24-1)*100)</f>
        <v>-8.1427264409881026</v>
      </c>
      <c r="AZ147" s="1131"/>
      <c r="BA147" s="949">
        <f>IF(OR(BA24&lt;=0, AV24&lt;=0), "NM",(BA24/AV24-1)*100)</f>
        <v>58.069402368493513</v>
      </c>
      <c r="BB147" s="949">
        <f>IF(OR(BB24&lt;=0, AW24&lt;=0), "NM",(BB24/AW24-1)*100)</f>
        <v>6.9641785071042683</v>
      </c>
      <c r="BC147" s="949">
        <f>IF(OR(BC24&lt;=0, AX24&lt;=0), "NM",(BC24/AX24-1)*100)</f>
        <v>27.511651993785602</v>
      </c>
      <c r="BD147" s="949">
        <f>IF(OR(BD24&lt;=0, AY24&lt;=0), "NM",(BD24/AY24-1)*100)</f>
        <v>37.574701195219127</v>
      </c>
      <c r="BE147" s="1131"/>
      <c r="BF147" s="949">
        <f>IF(OR(BF24&lt;=0, BA24&lt;=0), "NM",(BF24/BA24-1)*100)</f>
        <v>-4.6693962888753386</v>
      </c>
      <c r="BG147" s="949">
        <f>IF(OR(BG24&lt;=0, BB24&lt;=0), "NM",(BG24/BB24-1)*100)</f>
        <v>5.369504209541609</v>
      </c>
      <c r="BH147" s="949">
        <f>IF(OR(BH24&lt;=0, BC24&lt;=0), "NM",(BH24/BC24-1)*100)</f>
        <v>18.935932581988023</v>
      </c>
      <c r="BI147" s="949">
        <f>IF(OR(BI24&lt;=0, BD24&lt;=0), "NM",(BI24/BD24-1)*100)</f>
        <v>5.8642533936651642</v>
      </c>
      <c r="BJ147" s="1131"/>
      <c r="BK147" s="949">
        <f>IF(OR(BK24&lt;=0, BF24&lt;=0), "NM",(BK24/BF24-1)*100)</f>
        <v>13.478936306314537</v>
      </c>
      <c r="BL147" s="949">
        <f>IF(OR(BL24&lt;=0, BG24&lt;=0), "NM",(BL24/BG24-1)*100)</f>
        <v>16.36186079545454</v>
      </c>
      <c r="BM147" s="949">
        <f>IF(OR(BM24&lt;=0, BH24&lt;=0), "NM",(BM24/BH24-1)*100)</f>
        <v>28.547037732627611</v>
      </c>
      <c r="BN147" s="949">
        <f>IF(OR(BN24&lt;=0, BI24&lt;=0), "NM",(BN24/BI24-1)*100)</f>
        <v>26.329287057616678</v>
      </c>
      <c r="BO147" s="1131"/>
      <c r="BP147" s="949">
        <f>IF(OR(BP24&lt;=0, BK24&lt;=0), "NM",(BP24/BK24-1)*100)</f>
        <v>34.981478498953145</v>
      </c>
      <c r="BQ147" s="949">
        <f>IF(OR(BQ24&lt;=0, BL24&lt;=0), "NM",(BQ24/BL24-1)*100)</f>
        <v>34.775310902571157</v>
      </c>
      <c r="BR147" s="949">
        <f>IF(OR(BR24&lt;=0, BM24&lt;=0), "NM",(BR24/BM24-1)*100)</f>
        <v>26.583875680701308</v>
      </c>
      <c r="BS147" s="949">
        <f>IF(OR(BS24&lt;=0, BN24&lt;=0), "NM",(BS24/BN24-1)*100)</f>
        <v>37.988902422519978</v>
      </c>
      <c r="BT147" s="42"/>
      <c r="BU147" s="949">
        <f>IF(OR(BU24&lt;=0, BP24&lt;=0), "NM",(BU24/BP24-1)*100)</f>
        <v>24.090204032931627</v>
      </c>
      <c r="BV147" s="949">
        <f>IF(OR(BV24&lt;=0, BQ24&lt;=0), "NM",(BV24/BQ24-1)*100)</f>
        <v>28.995188225304268</v>
      </c>
      <c r="BW147" s="949">
        <f>IF(OR(BW24&lt;=0, BR24&lt;=0), "NM",(BW24/BR24-1)*100)</f>
        <v>20.156340171029829</v>
      </c>
      <c r="BX147" s="949">
        <f>IF(OR(BX24&lt;=0, BS24&lt;=0), "NM",(BX24/BS24-1)*100)</f>
        <v>57.664770498234596</v>
      </c>
      <c r="BY147" s="1131"/>
      <c r="BZ147" s="949">
        <f t="shared" ref="BZ147:CN147" si="479">IF(OR(BZ24&lt;=0, BU24&lt;=0), "NM",(BZ24/BU24-1)*100)</f>
        <v>64.365384615384613</v>
      </c>
      <c r="CA147" s="949">
        <f t="shared" si="479"/>
        <v>61.592135866941653</v>
      </c>
      <c r="CB147" s="949">
        <f t="shared" si="479"/>
        <v>57.887612976465988</v>
      </c>
      <c r="CC147" s="949">
        <f t="shared" si="479"/>
        <v>25.510870579453204</v>
      </c>
      <c r="CD147" s="1131">
        <f t="shared" si="479"/>
        <v>49.556472460741489</v>
      </c>
      <c r="CE147" s="949">
        <f t="shared" si="479"/>
        <v>5.0485550485550368</v>
      </c>
      <c r="CF147" s="949">
        <f t="shared" si="479"/>
        <v>4.4402802672315556</v>
      </c>
      <c r="CG147" s="949">
        <f t="shared" si="479"/>
        <v>9.4853571527335987</v>
      </c>
      <c r="CH147" s="947">
        <f t="shared" si="479"/>
        <v>12.405521274750342</v>
      </c>
      <c r="CI147" s="1130">
        <f t="shared" si="479"/>
        <v>7.9966649494319642</v>
      </c>
      <c r="CJ147" s="947">
        <f t="shared" si="479"/>
        <v>28.899593473297315</v>
      </c>
      <c r="CK147" s="947">
        <f t="shared" si="479"/>
        <v>56.140624593702057</v>
      </c>
      <c r="CL147" s="947">
        <f t="shared" si="479"/>
        <v>69.947715389861315</v>
      </c>
      <c r="CM147" s="947">
        <f t="shared" si="479"/>
        <v>56.17848718005245</v>
      </c>
      <c r="CN147" s="1130">
        <f t="shared" si="479"/>
        <v>53.441793611639412</v>
      </c>
      <c r="CO147" s="947">
        <f>IF(OR(CO24&lt;=0, CM24&lt;=0), "NM",(CO24/CM24-1)*100)</f>
        <v>3.2198867887240468</v>
      </c>
      <c r="CP147" s="947">
        <f>IF(OR(CP24&lt;=0, CJ24&lt;=0), "NM",(CP24/CJ24-1)*100)</f>
        <v>64.201931177499844</v>
      </c>
      <c r="CQ147" s="947">
        <f>IF(OR(CQ24&lt;=0, CK24&lt;=0), "NM",(CQ24/CK24-1)*100)</f>
        <v>35.582127333588673</v>
      </c>
      <c r="CR147" s="947">
        <f>IF(OR(CR24&lt;=0, CL24&lt;=0), "NM",(CR24/CL24-1)*100)</f>
        <v>33.281315022888066</v>
      </c>
      <c r="CS147" s="1130">
        <f>IF(OR(CS24&lt;=0, CM24&lt;=0), "NM",(CS24/CM24-1)*100)</f>
        <v>352.03483858217703</v>
      </c>
      <c r="CT147" s="947">
        <f t="shared" ref="CT147:DQ147" si="480">IF(OR(CT24&lt;=0, CO24&lt;=0), "NM",(CT24/CO24-1)*100)</f>
        <v>31.681299745630586</v>
      </c>
      <c r="CU147" s="947">
        <f t="shared" si="480"/>
        <v>28.605256926355693</v>
      </c>
      <c r="CV147" s="947">
        <f t="shared" si="480"/>
        <v>25.771068502573314</v>
      </c>
      <c r="CW147" s="947">
        <f t="shared" si="480"/>
        <v>20.752255316301849</v>
      </c>
      <c r="CX147" s="947">
        <f t="shared" si="480"/>
        <v>-64.638723901244745</v>
      </c>
      <c r="CY147" s="947">
        <f t="shared" si="480"/>
        <v>16.748712196743099</v>
      </c>
      <c r="CZ147" s="947">
        <f t="shared" si="480"/>
        <v>23.292211379119856</v>
      </c>
      <c r="DA147" s="947">
        <f t="shared" si="480"/>
        <v>23.89690802195441</v>
      </c>
      <c r="DB147" s="947">
        <f t="shared" si="480"/>
        <v>25.053792237295337</v>
      </c>
      <c r="DC147" s="947">
        <f t="shared" si="480"/>
        <v>22.737468649546088</v>
      </c>
      <c r="DD147" s="947">
        <f t="shared" si="480"/>
        <v>24.646177111595424</v>
      </c>
      <c r="DE147" s="947">
        <f t="shared" si="480"/>
        <v>22.636233904155056</v>
      </c>
      <c r="DF147" s="947">
        <f t="shared" si="480"/>
        <v>14.529847157957798</v>
      </c>
      <c r="DG147" s="947">
        <f t="shared" si="480"/>
        <v>10.461758863362803</v>
      </c>
      <c r="DH147" s="947">
        <f t="shared" si="480"/>
        <v>10.488333105487712</v>
      </c>
      <c r="DI147" s="947">
        <f t="shared" si="480"/>
        <v>20.867678649167519</v>
      </c>
      <c r="DJ147" s="947">
        <f t="shared" si="480"/>
        <v>30.170285026148246</v>
      </c>
      <c r="DK147" s="947">
        <f t="shared" si="480"/>
        <v>29.51905076533421</v>
      </c>
      <c r="DL147" s="947">
        <f t="shared" si="480"/>
        <v>33.579126109744337</v>
      </c>
      <c r="DM147" s="947">
        <f t="shared" si="480"/>
        <v>33.248241729617064</v>
      </c>
      <c r="DN147" s="947">
        <f t="shared" si="480"/>
        <v>28.961803484863701</v>
      </c>
      <c r="DO147" s="947">
        <f t="shared" si="480"/>
        <v>10.518383002609056</v>
      </c>
      <c r="DP147" s="947">
        <f t="shared" si="480"/>
        <v>19.124164390549801</v>
      </c>
      <c r="DQ147" s="947">
        <f t="shared" si="480"/>
        <v>14.102686011420683</v>
      </c>
      <c r="DR147" s="949">
        <f t="shared" ref="DR147:DU147" ca="1" si="481">IF(OR(DR24&lt;=0, DN24&lt;=0), "NM",(DR24/DN24-1)*100)</f>
        <v>16.875700045944541</v>
      </c>
      <c r="DS147" s="949">
        <f t="shared" ca="1" si="481"/>
        <v>13.371166300556636</v>
      </c>
      <c r="DT147" s="949">
        <f t="shared" ca="1" si="481"/>
        <v>7.7182769537293083</v>
      </c>
      <c r="DU147" s="949">
        <f t="shared" ca="1" si="481"/>
        <v>6.2366801029811292</v>
      </c>
      <c r="DV147" s="947"/>
      <c r="DW147" s="947"/>
      <c r="DX147" s="947"/>
      <c r="DY147" s="947"/>
    </row>
    <row r="148" spans="2:129">
      <c r="B148" s="14" t="s">
        <v>994</v>
      </c>
      <c r="C148" s="14"/>
      <c r="D148" s="14"/>
      <c r="E148" s="950"/>
      <c r="F148" s="953" t="str">
        <f t="shared" ref="F148:Z148" si="482">IF(OR(F36&lt;=0,E36&lt;= 0), "NM",(F36/E36-1)*100)</f>
        <v>NM</v>
      </c>
      <c r="G148" s="953" t="str">
        <f t="shared" si="482"/>
        <v>NM</v>
      </c>
      <c r="H148" s="953" t="str">
        <f t="shared" si="482"/>
        <v>NM</v>
      </c>
      <c r="I148" s="953" t="str">
        <f t="shared" si="482"/>
        <v>NM</v>
      </c>
      <c r="J148" s="953">
        <f t="shared" si="482"/>
        <v>70.380269712064376</v>
      </c>
      <c r="K148" s="953">
        <f t="shared" si="482"/>
        <v>178.97176269252708</v>
      </c>
      <c r="L148" s="953">
        <f t="shared" si="482"/>
        <v>45.170360146205525</v>
      </c>
      <c r="M148" s="953">
        <f t="shared" si="482"/>
        <v>106.22325908970839</v>
      </c>
      <c r="N148" s="953">
        <f t="shared" si="482"/>
        <v>52.167138386930212</v>
      </c>
      <c r="O148" s="953">
        <f t="shared" si="482"/>
        <v>25.321082900827598</v>
      </c>
      <c r="P148" s="953">
        <f t="shared" si="482"/>
        <v>43.640686176845264</v>
      </c>
      <c r="Q148" s="953">
        <f t="shared" si="482"/>
        <v>24.10134449616843</v>
      </c>
      <c r="R148" s="953">
        <f t="shared" si="482"/>
        <v>12.010548788145204</v>
      </c>
      <c r="S148" s="953">
        <f t="shared" si="482"/>
        <v>11.374644034352045</v>
      </c>
      <c r="T148" s="953">
        <f t="shared" si="482"/>
        <v>10.356001389175585</v>
      </c>
      <c r="U148" s="953">
        <f t="shared" si="482"/>
        <v>34.086097324475361</v>
      </c>
      <c r="V148" s="953">
        <f t="shared" si="482"/>
        <v>25.032127008660865</v>
      </c>
      <c r="W148" s="953">
        <f t="shared" ca="1" si="482"/>
        <v>19.891734606969045</v>
      </c>
      <c r="X148" s="953">
        <f t="shared" ca="1" si="482"/>
        <v>8.4879856219834515</v>
      </c>
      <c r="Y148" s="953">
        <f t="shared" ca="1" si="482"/>
        <v>8.5549864270210598</v>
      </c>
      <c r="Z148" s="953">
        <f t="shared" ca="1" si="482"/>
        <v>7.5224222858153</v>
      </c>
      <c r="AA148" s="953">
        <f t="shared" ref="AA148" ca="1" si="483">IF(OR(AA36&lt;=0,Z36&lt;= 0), "NM",(AA36/Z36-1)*100)</f>
        <v>7.0306705258571967</v>
      </c>
      <c r="AB148" s="953">
        <f t="shared" ref="AB148" ca="1" si="484">IF(OR(AB36&lt;=0,AA36&lt;= 0), "NM",(AB36/AA36-1)*100)</f>
        <v>6.5964773035072088</v>
      </c>
      <c r="AC148" s="953">
        <f t="shared" ref="AC148" ca="1" si="485">IF(OR(AC36&lt;=0,AB36&lt;= 0), "NM",(AC36/AB36-1)*100)</f>
        <v>6.210621242471559</v>
      </c>
      <c r="AD148" s="953">
        <f t="shared" ref="AD148" ca="1" si="486">IF(OR(AD36&lt;=0,AC36&lt;= 0), "NM",(AD36/AC36-1)*100)</f>
        <v>5.8656130507257709</v>
      </c>
      <c r="AE148" s="54"/>
      <c r="AG148" s="14"/>
      <c r="AH148" s="14"/>
      <c r="AI148" s="14"/>
      <c r="AJ148" s="122"/>
      <c r="AK148" s="43"/>
      <c r="AL148" s="953" t="str">
        <f>IF(OR(AL36&lt;=0, Q36 &lt;=0), "NM",(AL36/Q36-1)*100)</f>
        <v>NM</v>
      </c>
      <c r="AM148" s="953" t="str">
        <f>IF(OR(AM36&lt;=0, R36 &lt;=0), "NM",(AM36/R36-1)*100)</f>
        <v>NM</v>
      </c>
      <c r="AN148" s="953" t="str">
        <f>IF(OR(AN36&lt;=0, S36 &lt;=0), "NM",(AN36/S36-1)*100)</f>
        <v>NM</v>
      </c>
      <c r="AO148" s="953" t="str">
        <f>IF(OR(AO36&lt;=0, T36 &lt;=0), "NM",(AO36/T36-1)*100)</f>
        <v>NM</v>
      </c>
      <c r="AP148" s="1132"/>
      <c r="AQ148" s="953" t="str">
        <f>IF(OR(AQ36&lt;=0, AL36 &lt;=0), "NM",(AQ36/AL36-1)*100)</f>
        <v>NM</v>
      </c>
      <c r="AR148" s="953" t="str">
        <f>IF(OR(AR36&lt;=0, AM36 &lt;=0), "NM",(AR36/AM36-1)*100)</f>
        <v>NM</v>
      </c>
      <c r="AS148" s="953" t="str">
        <f>IF(OR(AS36&lt;=0, AN36 &lt;=0), "NM",(AS36/AN36-1)*100)</f>
        <v>NM</v>
      </c>
      <c r="AT148" s="953" t="str">
        <f>IF(OR(AT36&lt;=0, AO36 &lt;=0), "NM",(AT36/AO36-1)*100)</f>
        <v>NM</v>
      </c>
      <c r="AU148" s="1132"/>
      <c r="AV148" s="953" t="str">
        <f>IF(OR(AV36&lt;=0, AQ36 &lt;=0), "NM",(AV36/AQ36-1)*100)</f>
        <v>NM</v>
      </c>
      <c r="AW148" s="953" t="str">
        <f>IF(OR(AW36&lt;=0, AR36 &lt;=0), "NM",(AW36/AR36-1)*100)</f>
        <v>NM</v>
      </c>
      <c r="AX148" s="953" t="str">
        <f>IF(OR(AX36&lt;=0, AS36 &lt;=0), "NM",(AX36/AS36-1)*100)</f>
        <v>NM</v>
      </c>
      <c r="AY148" s="953" t="str">
        <f>IF(OR(AY36&lt;=0, AT36 &lt;=0), "NM",(AY36/AT36-1)*100)</f>
        <v>NM</v>
      </c>
      <c r="AZ148" s="1132"/>
      <c r="BA148" s="953" t="str">
        <f>IF(OR(BA36&lt;=0, AV36 &lt;=0), "NM",(BA36/AV36-1)*100)</f>
        <v>NM</v>
      </c>
      <c r="BB148" s="953" t="str">
        <f>IF(OR(BB36&lt;=0, AW36 &lt;=0), "NM",(BB36/AW36-1)*100)</f>
        <v>NM</v>
      </c>
      <c r="BC148" s="953" t="str">
        <f>IF(OR(BC36&lt;=0, AX36 &lt;=0), "NM",(BC36/AX36-1)*100)</f>
        <v>NM</v>
      </c>
      <c r="BD148" s="953" t="str">
        <f>IF(OR(BD36&lt;=0, AY36 &lt;=0), "NM",(BD36/AY36-1)*100)</f>
        <v>NM</v>
      </c>
      <c r="BE148" s="1132"/>
      <c r="BF148" s="953" t="str">
        <f>IF(OR(BF36&lt;=0, BA36 &lt;=0), "NM",(BF36/BA36-1)*100)</f>
        <v>NM</v>
      </c>
      <c r="BG148" s="953" t="str">
        <f>IF(OR(BG36&lt;=0, BB36 &lt;=0), "NM",(BG36/BB36-1)*100)</f>
        <v>NM</v>
      </c>
      <c r="BH148" s="953">
        <f>IF(OR(BH36&lt;=0, BC36 &lt;=0), "NM",(BH36/BC36-1)*100)</f>
        <v>1015.6531531531499</v>
      </c>
      <c r="BI148" s="953" t="str">
        <f>IF(OR(BI36&lt;=0, BD36 &lt;=0), "NM",(BI36/BD36-1)*100)</f>
        <v>NM</v>
      </c>
      <c r="BJ148" s="1132"/>
      <c r="BK148" s="953">
        <f>IF(OR(BK36&lt;=0, BF36 &lt;=0), "NM",(BK36/BF36-1)*100)</f>
        <v>138.81526104417645</v>
      </c>
      <c r="BL148" s="953">
        <f>IF(OR(BL36&lt;=0, BG36 &lt;=0), "NM",(BL36/BG36-1)*100)</f>
        <v>84.697072838665676</v>
      </c>
      <c r="BM148" s="953">
        <f>IF(OR(BM36&lt;=0, BH36 &lt;=0), "NM",(BM36/BH36-1)*100)</f>
        <v>67.164631068941105</v>
      </c>
      <c r="BN148" s="953" t="str">
        <f>IF(OR(BN36&lt;=0, BI36 &lt;=0), "NM",(BN36/BI36-1)*100)</f>
        <v>NM</v>
      </c>
      <c r="BO148" s="1132"/>
      <c r="BP148" s="953">
        <f>IF(OR(BP36&lt;=0, BK36 &lt;=0), "NM",(BP36/BK36-1)*100)</f>
        <v>26.772050786176749</v>
      </c>
      <c r="BQ148" s="953">
        <f>IF(OR(BQ36&lt;=0, BL36 &lt;=0), "NM",(BQ36/BL36-1)*100)</f>
        <v>11.609907120743079</v>
      </c>
      <c r="BR148" s="953">
        <f>IF(OR(BR36&lt;=0, BM36 &lt;=0), "NM",(BR36/BM36-1)*100)</f>
        <v>-0.27776100477023835</v>
      </c>
      <c r="BS148" s="953" t="str">
        <f>IF(OR(BS36&lt;=0, BN36 &lt;=0), "NM",(BS36/BN36-1)*100)</f>
        <v>NM</v>
      </c>
      <c r="BT148" s="42"/>
      <c r="BU148" s="953">
        <f>IF(OR(BU36&lt;=0, BP36 &lt;=0), "NM",(BU36/BP36-1)*100)</f>
        <v>45.12170856271149</v>
      </c>
      <c r="BV148" s="953">
        <f>IF(OR(BV36&lt;=0, BQ36 &lt;=0), "NM",(BV36/BQ36-1)*100)</f>
        <v>64.183343240208785</v>
      </c>
      <c r="BW148" s="953">
        <f>IF(OR(BW36&lt;=0, BR36 &lt;=0), "NM",(BW36/BR36-1)*100)</f>
        <v>82.561307901907369</v>
      </c>
      <c r="BX148" s="953">
        <f>IF(OR(BX36&lt;=0, BS36 &lt;=0), "NM",(BX36/BS36-1)*100)</f>
        <v>16.463046996477672</v>
      </c>
      <c r="BY148" s="1132"/>
      <c r="BZ148" s="953">
        <f t="shared" ref="BZ148:CN148" si="487">IF(OR(BZ36&lt;=0, BU36 &lt;=0), "NM",(BZ36/BU36-1)*100)</f>
        <v>128.19012797074944</v>
      </c>
      <c r="CA148" s="953">
        <f t="shared" si="487"/>
        <v>109.52572508950462</v>
      </c>
      <c r="CB148" s="953">
        <f t="shared" si="487"/>
        <v>110.98507462686555</v>
      </c>
      <c r="CC148" s="953">
        <f t="shared" si="487"/>
        <v>86.978556442603747</v>
      </c>
      <c r="CD148" s="1132">
        <f t="shared" si="487"/>
        <v>106.22325908970853</v>
      </c>
      <c r="CE148" s="953">
        <f t="shared" si="487"/>
        <v>71.593094055439877</v>
      </c>
      <c r="CF148" s="953">
        <f t="shared" si="487"/>
        <v>65.677917290634753</v>
      </c>
      <c r="CG148" s="953">
        <f t="shared" si="487"/>
        <v>42.463686096962917</v>
      </c>
      <c r="CH148" s="953">
        <f t="shared" si="487"/>
        <v>36.773385016685388</v>
      </c>
      <c r="CI148" s="1132">
        <f t="shared" si="487"/>
        <v>52.167138386930212</v>
      </c>
      <c r="CJ148" s="953">
        <f t="shared" si="487"/>
        <v>13.576039125512107</v>
      </c>
      <c r="CK148" s="953">
        <f t="shared" si="487"/>
        <v>17.055449330783912</v>
      </c>
      <c r="CL148" s="953">
        <f t="shared" si="487"/>
        <v>34.826315324858783</v>
      </c>
      <c r="CM148" s="953">
        <f t="shared" si="487"/>
        <v>34.46376441006629</v>
      </c>
      <c r="CN148" s="1132">
        <f t="shared" si="487"/>
        <v>25.321082900827598</v>
      </c>
      <c r="CO148" s="953">
        <f>IF(OR(CO36&lt;=0, CM36 &lt;=0), "NM",(CO36/CM36-1)*100)</f>
        <v>15.661820054672937</v>
      </c>
      <c r="CP148" s="953">
        <f>IF(OR(CP36&lt;=0, CJ36 &lt;=0), "NM",(CP36/CJ36-1)*100)</f>
        <v>61.836101290799952</v>
      </c>
      <c r="CQ148" s="953">
        <f>IF(OR(CQ36&lt;=0, CK36 &lt;=0), "NM",(CQ36/CK36-1)*100)</f>
        <v>63.78089948818473</v>
      </c>
      <c r="CR148" s="953">
        <f>IF(OR(CR36&lt;=0, CL36 &lt;=0), "NM",(CR36/CL36-1)*100)</f>
        <v>41.399517125670073</v>
      </c>
      <c r="CS148" s="1132">
        <f>IF(OR(CS36&lt;=0, CM36 &lt;=0), "NM",(CS36/CM36-1)*100)</f>
        <v>408.42121944455459</v>
      </c>
      <c r="CT148" s="953">
        <f t="shared" ref="CT148:DQ148" si="488">IF(OR(CT36&lt;=0, CO36 &lt;=0), "NM",(CT36/CO36-1)*100)</f>
        <v>28.230264915633917</v>
      </c>
      <c r="CU148" s="953">
        <f t="shared" si="488"/>
        <v>23.600236230972914</v>
      </c>
      <c r="CV148" s="953">
        <f t="shared" si="488"/>
        <v>19.903288201160542</v>
      </c>
      <c r="CW148" s="953">
        <f t="shared" si="488"/>
        <v>25.089570466924037</v>
      </c>
      <c r="CX148" s="953">
        <f t="shared" si="488"/>
        <v>-66.743707268570418</v>
      </c>
      <c r="CY148" s="953">
        <f t="shared" si="488"/>
        <v>20.821245973105952</v>
      </c>
      <c r="CZ148" s="953">
        <f t="shared" si="488"/>
        <v>13.404440060214707</v>
      </c>
      <c r="DA148" s="953">
        <f t="shared" si="488"/>
        <v>16.788494111953579</v>
      </c>
      <c r="DB148" s="953">
        <f t="shared" si="488"/>
        <v>8.8406226285883793</v>
      </c>
      <c r="DC148" s="953">
        <f t="shared" si="488"/>
        <v>12.831435399971935</v>
      </c>
      <c r="DD148" s="953">
        <f t="shared" si="488"/>
        <v>13.410449609112462</v>
      </c>
      <c r="DE148" s="953">
        <f t="shared" si="488"/>
        <v>18.210277854544255</v>
      </c>
      <c r="DF148" s="953">
        <f t="shared" si="488"/>
        <v>18.262104449844795</v>
      </c>
      <c r="DG148" s="953">
        <f t="shared" si="488"/>
        <v>13.681118262747471</v>
      </c>
      <c r="DH148" s="953">
        <f t="shared" si="488"/>
        <v>13.86379588903981</v>
      </c>
      <c r="DI148" s="953">
        <f t="shared" si="488"/>
        <v>9.4580474111041202</v>
      </c>
      <c r="DJ148" s="953">
        <f t="shared" si="488"/>
        <v>20.664796375928439</v>
      </c>
      <c r="DK148" s="953">
        <f t="shared" si="488"/>
        <v>33.358396081451524</v>
      </c>
      <c r="DL148" s="953">
        <f t="shared" si="488"/>
        <v>46.972547054445933</v>
      </c>
      <c r="DM148" s="953">
        <f t="shared" si="488"/>
        <v>44.709667300137454</v>
      </c>
      <c r="DN148" s="953">
        <f t="shared" si="488"/>
        <v>37.575248096089695</v>
      </c>
      <c r="DO148" s="953">
        <f t="shared" si="488"/>
        <v>38.889471193396034</v>
      </c>
      <c r="DP148" s="953">
        <f t="shared" si="488"/>
        <v>37.552754164226208</v>
      </c>
      <c r="DQ148" s="953">
        <f t="shared" si="488"/>
        <v>30.230350958883932</v>
      </c>
      <c r="DR148" s="953">
        <f t="shared" ref="DR148:DU148" ca="1" si="489">IF(OR(DR36&lt;=0, DN36 &lt;=0), "NM",(DR36/DN36-1)*100)</f>
        <v>32.740054333394106</v>
      </c>
      <c r="DS148" s="953">
        <f t="shared" ca="1" si="489"/>
        <v>24.033131911280137</v>
      </c>
      <c r="DT148" s="953">
        <f t="shared" ca="1" si="489"/>
        <v>12.089698107721269</v>
      </c>
      <c r="DU148" s="953">
        <f t="shared" ca="1" si="489"/>
        <v>14.319144440132515</v>
      </c>
      <c r="DV148" s="953"/>
      <c r="DW148" s="953"/>
      <c r="DX148" s="953"/>
      <c r="DY148" s="953"/>
    </row>
    <row r="149" spans="2:129">
      <c r="B149" s="23" t="s">
        <v>1040</v>
      </c>
      <c r="C149" s="23"/>
      <c r="E149" s="947"/>
      <c r="F149" s="947">
        <f t="shared" ref="F149:Z149" si="490">IF(OR(F45&lt;=0,E45&lt;= 0), "N.M.",(F45/E45-1)*100)</f>
        <v>235.07694384449249</v>
      </c>
      <c r="G149" s="947">
        <f t="shared" si="490"/>
        <v>8.9374559371537821</v>
      </c>
      <c r="H149" s="947">
        <f t="shared" si="490"/>
        <v>16.023815687289698</v>
      </c>
      <c r="I149" s="947">
        <f t="shared" si="490"/>
        <v>-6.731688659399504</v>
      </c>
      <c r="J149" s="947">
        <f t="shared" si="490"/>
        <v>10.75968833299159</v>
      </c>
      <c r="K149" s="947">
        <f t="shared" si="490"/>
        <v>17.758133938075638</v>
      </c>
      <c r="L149" s="947">
        <f t="shared" si="490"/>
        <v>35.559136404129312</v>
      </c>
      <c r="M149" s="947">
        <f t="shared" si="490"/>
        <v>55.580575018120328</v>
      </c>
      <c r="N149" s="947">
        <f t="shared" si="490"/>
        <v>8.9348829408585786</v>
      </c>
      <c r="O149" s="947">
        <f t="shared" si="490"/>
        <v>44.610568452024559</v>
      </c>
      <c r="P149" s="947">
        <f t="shared" si="490"/>
        <v>33.182705388300704</v>
      </c>
      <c r="Q149" s="947">
        <f t="shared" si="490"/>
        <v>16.516263123301279</v>
      </c>
      <c r="R149" s="947">
        <f t="shared" si="490"/>
        <v>9.5199253957001027</v>
      </c>
      <c r="S149" s="947">
        <f t="shared" si="490"/>
        <v>12.32482923750835</v>
      </c>
      <c r="T149" s="947">
        <f t="shared" si="490"/>
        <v>9.2537319598701817</v>
      </c>
      <c r="U149" s="947">
        <f t="shared" si="490"/>
        <v>59.475090229501504</v>
      </c>
      <c r="V149" s="947">
        <f t="shared" si="490"/>
        <v>21.977451363943512</v>
      </c>
      <c r="W149" s="947">
        <f t="shared" ca="1" si="490"/>
        <v>11.309399079815474</v>
      </c>
      <c r="X149" s="947">
        <f t="shared" ca="1" si="490"/>
        <v>-6.6925221329849567</v>
      </c>
      <c r="Y149" s="947">
        <f t="shared" ca="1" si="490"/>
        <v>4.7328838583264643</v>
      </c>
      <c r="Z149" s="947">
        <f t="shared" ca="1" si="490"/>
        <v>4.9427754345608976</v>
      </c>
      <c r="AA149" s="947">
        <f t="shared" ref="AA149" ca="1" si="491">IF(OR(AA45&lt;=0,Z45&lt;= 0), "N.M.",(AA45/Z45-1)*100)</f>
        <v>-5.6447289651639032</v>
      </c>
      <c r="AB149" s="947">
        <f t="shared" ref="AB149" ca="1" si="492">IF(OR(AB45&lt;=0,AA45&lt;= 0), "N.M.",(AB45/AA45-1)*100)</f>
        <v>-42.033230060976869</v>
      </c>
      <c r="AC149" s="947">
        <f t="shared" ref="AC149" ca="1" si="493">IF(OR(AC45&lt;=0,AB45&lt;= 0), "N.M.",(AC45/AB45-1)*100)</f>
        <v>-46.172323128332629</v>
      </c>
      <c r="AD149" s="947">
        <f t="shared" ref="AD149" ca="1" si="494">IF(OR(AD45&lt;=0,AC45&lt;= 0), "N.M.",(AD45/AC45-1)*100)</f>
        <v>0</v>
      </c>
      <c r="AE149" s="54"/>
      <c r="AG149" s="23"/>
      <c r="AH149" s="23"/>
      <c r="AI149" s="23"/>
      <c r="AJ149" s="123"/>
      <c r="AK149" s="1102"/>
      <c r="AL149" s="949">
        <f>IF(OR(AL45&lt;=0, Q45 &lt;=0), "NM",(AL45/Q45-1)*100)</f>
        <v>-99.584289391502324</v>
      </c>
      <c r="AM149" s="949">
        <f>IF(OR(AM45&lt;=0, R45 &lt;=0), "NM",(AM45/R45-1)*100)</f>
        <v>-99.542003860717202</v>
      </c>
      <c r="AN149" s="949">
        <f>IF(OR(AN45&lt;=0, S45 &lt;=0), "NM",(AN45/S45-1)*100)</f>
        <v>-99.335094571901294</v>
      </c>
      <c r="AO149" s="949">
        <f>IF(OR(AO45&lt;=0, T45 &lt;=0), "NM",(AO45/T45-1)*100)</f>
        <v>-98.489967462551689</v>
      </c>
      <c r="AP149" s="1131"/>
      <c r="AQ149" s="949">
        <f>IF(OR(AQ45&lt;=0, AL45 &lt;=0), "NM",(AQ45/AL45-1)*100)</f>
        <v>543.33740831295847</v>
      </c>
      <c r="AR149" s="949">
        <f>IF(OR(AR45&lt;=0, AM45 &lt;=0), "NM",(AR45/AM45-1)*100)</f>
        <v>583.08004052684907</v>
      </c>
      <c r="AS149" s="949">
        <f>IF(OR(AS45&lt;=0, AN45 &lt;=0), "NM",(AS45/AN45-1)*100)</f>
        <v>286.30009319664492</v>
      </c>
      <c r="AT149" s="949">
        <f>IF(OR(AT45&lt;=0, AO45 &lt;=0), "NM",(AT45/AO45-1)*100)</f>
        <v>65.281081757856512</v>
      </c>
      <c r="AU149" s="1131"/>
      <c r="AV149" s="949">
        <f>IF(OR(AV45&lt;=0, AQ45 &lt;=0), "NM",(AV45/AQ45-1)*100)</f>
        <v>14.574821852731578</v>
      </c>
      <c r="AW149" s="949">
        <f>IF(OR(AW45&lt;=0, AR45 &lt;=0), "NM",(AW45/AR45-1)*100)</f>
        <v>-0.91960842479976712</v>
      </c>
      <c r="AX149" s="949">
        <f>IF(OR(AX45&lt;=0, AS45 &lt;=0), "NM",(AX45/AS45-1)*100)</f>
        <v>13.228789706473654</v>
      </c>
      <c r="AY149" s="949">
        <f>IF(OR(AY45&lt;=0, AT45 &lt;=0), "NM",(AY45/AT45-1)*100)</f>
        <v>10.468903870918878</v>
      </c>
      <c r="AZ149" s="1131"/>
      <c r="BA149" s="949">
        <f>IF(OR(BA45&lt;=0, AV45 &lt;=0), "NM",(BA45/AV45-1)*100)</f>
        <v>39.140890621112881</v>
      </c>
      <c r="BB149" s="949">
        <f>IF(OR(BB45&lt;=0, AW45 &lt;=0), "NM",(BB45/AW45-1)*100)</f>
        <v>18.420658682634738</v>
      </c>
      <c r="BC149" s="949">
        <f>IF(OR(BC45&lt;=0, AX45 &lt;=0), "NM",(BC45/AX45-1)*100)</f>
        <v>7.769886363636358</v>
      </c>
      <c r="BD149" s="949">
        <f>IF(OR(BD45&lt;=0, AY45 &lt;=0), "NM",(BD45/AY45-1)*100)</f>
        <v>2.6812041418089461</v>
      </c>
      <c r="BE149" s="1131"/>
      <c r="BF149" s="949">
        <f>IF(OR(BF45&lt;=0, BA45 &lt;=0), "NM",(BF45/BA45-1)*100)</f>
        <v>-11.621669944573565</v>
      </c>
      <c r="BG149" s="949">
        <f>IF(OR(BG45&lt;=0, BB45 &lt;=0), "NM",(BG45/BB45-1)*100)</f>
        <v>-8.3306997029264913</v>
      </c>
      <c r="BH149" s="949">
        <f>IF(OR(BH45&lt;=0, BC45 &lt;=0), "NM",(BH45/BC45-1)*100)</f>
        <v>-4.4088572558323325</v>
      </c>
      <c r="BI149" s="949">
        <f>IF(OR(BI45&lt;=0, BD45 &lt;=0), "NM",(BI45/BD45-1)*100)</f>
        <v>-1.9166555362628568</v>
      </c>
      <c r="BJ149" s="1131"/>
      <c r="BK149" s="949">
        <f>IF(OR(BK45&lt;=0, BF45 &lt;=0), "NM",(BK45/BF45-1)*100)</f>
        <v>3.7831276552700688</v>
      </c>
      <c r="BL149" s="949">
        <f>IF(OR(BL45&lt;=0, BG45 &lt;=0), "NM",(BL45/BG45-1)*100)</f>
        <v>10.804661104599056</v>
      </c>
      <c r="BM149" s="949">
        <f>IF(OR(BM45&lt;=0, BH45 &lt;=0), "NM",(BM45/BH45-1)*100)</f>
        <v>12.561185798000697</v>
      </c>
      <c r="BN149" s="949">
        <f>IF(OR(BN45&lt;=0, BI45 &lt;=0), "NM",(BN45/BI45-1)*100)</f>
        <v>15.9801184721182</v>
      </c>
      <c r="BO149" s="1131"/>
      <c r="BP149" s="949">
        <f>IF(OR(BP45&lt;=0, BK45 &lt;=0), "NM",(BP45/BK45-1)*100)</f>
        <v>16.185834957764776</v>
      </c>
      <c r="BQ149" s="949">
        <f>IF(OR(BQ45&lt;=0, BL45 &lt;=0), "NM",(BQ45/BL45-1)*100)</f>
        <v>14.25637834474176</v>
      </c>
      <c r="BR149" s="949">
        <f>IF(OR(BR45&lt;=0, BM45 &lt;=0), "NM",(BR45/BM45-1)*100)</f>
        <v>19.960801126967588</v>
      </c>
      <c r="BS149" s="949">
        <f>IF(OR(BS45&lt;=0, BN45 &lt;=0), "NM",(BS45/BN45-1)*100)</f>
        <v>20.371022660561255</v>
      </c>
      <c r="BT149" s="42"/>
      <c r="BU149" s="949">
        <f>IF(OR(BU45&lt;=0, BP45 &lt;=0), "NM",(BU45/BP45-1)*100)</f>
        <v>17.856943123986358</v>
      </c>
      <c r="BV149" s="949">
        <f>IF(OR(BV45&lt;=0, BQ45 &lt;=0), "NM",(BV45/BQ45-1)*100)</f>
        <v>22.06306846032351</v>
      </c>
      <c r="BW149" s="949">
        <f>IF(OR(BW45&lt;=0, BR45 &lt;=0), "NM",(BW45/BR45-1)*100)</f>
        <v>22.899009496579215</v>
      </c>
      <c r="BX149" s="949">
        <f>IF(OR(BX45&lt;=0, BS45 &lt;=0), "NM",(BX45/BS45-1)*100)</f>
        <v>75.175575497463896</v>
      </c>
      <c r="BY149" s="1131"/>
      <c r="BZ149" s="949">
        <f t="shared" ref="BZ149:CN149" si="495">IF(OR(BZ45&lt;=0, BU45 &lt;=0), "NM",(BZ45/BU45-1)*100)</f>
        <v>70.570371073360533</v>
      </c>
      <c r="CA149" s="949">
        <f t="shared" si="495"/>
        <v>73.192932357665555</v>
      </c>
      <c r="CB149" s="949">
        <f t="shared" si="495"/>
        <v>74.978189522662106</v>
      </c>
      <c r="CC149" s="949">
        <f t="shared" si="495"/>
        <v>22.796369508324531</v>
      </c>
      <c r="CD149" s="1131">
        <f t="shared" si="495"/>
        <v>55.580575018120328</v>
      </c>
      <c r="CE149" s="949">
        <f t="shared" si="495"/>
        <v>16.750125187781673</v>
      </c>
      <c r="CF149" s="949">
        <f t="shared" si="495"/>
        <v>16.616859027205265</v>
      </c>
      <c r="CG149" s="949">
        <f t="shared" si="495"/>
        <v>6.9968422802060948</v>
      </c>
      <c r="CH149" s="947">
        <f t="shared" si="495"/>
        <v>-2.3443522423253094</v>
      </c>
      <c r="CI149" s="1130">
        <f t="shared" si="495"/>
        <v>8.9348829408585786</v>
      </c>
      <c r="CJ149" s="947">
        <f t="shared" si="495"/>
        <v>17.525674935068047</v>
      </c>
      <c r="CK149" s="947">
        <f t="shared" si="495"/>
        <v>35.476958423540836</v>
      </c>
      <c r="CL149" s="947">
        <f t="shared" si="495"/>
        <v>57.060755336617405</v>
      </c>
      <c r="CM149" s="947">
        <f t="shared" si="495"/>
        <v>67.572901188707291</v>
      </c>
      <c r="CN149" s="1130">
        <f t="shared" si="495"/>
        <v>44.610568452024559</v>
      </c>
      <c r="CO149" s="947">
        <f>IF(OR(CO45&lt;=0, CM45 &lt;=0), "NM",(CO45/CM45-1)*100)</f>
        <v>4.9905094420660268</v>
      </c>
      <c r="CP149" s="947">
        <f>IF(OR(CP45&lt;=0, CJ45 &lt;=0), "NM",(CP45/CJ45-1)*100)</f>
        <v>67.614857467256002</v>
      </c>
      <c r="CQ149" s="947">
        <f>IF(OR(CQ45&lt;=0, CK45 &lt;=0), "NM",(CQ45/CK45-1)*100)</f>
        <v>43.967386873216505</v>
      </c>
      <c r="CR149" s="947">
        <f>IF(OR(CR45&lt;=0, CL45 &lt;=0), "NM",(CR45/CL45-1)*100)</f>
        <v>28.593831677992675</v>
      </c>
      <c r="CS149" s="1130">
        <f>IF(OR(CS45&lt;=0, CM45 &lt;=0), "NM",(CS45/CM45-1)*100)</f>
        <v>367.95793673885032</v>
      </c>
      <c r="CT149" s="947">
        <f t="shared" ref="CT149:DQ149" si="496">IF(OR(CT45&lt;=0, CO45 &lt;=0), "NM",(CT45/CO45-1)*100)</f>
        <v>19.059370010161114</v>
      </c>
      <c r="CU149" s="947">
        <f t="shared" si="496"/>
        <v>14.003701418877235</v>
      </c>
      <c r="CV149" s="947">
        <f t="shared" si="496"/>
        <v>19.520206596592971</v>
      </c>
      <c r="CW149" s="947">
        <f t="shared" si="496"/>
        <v>13.767303889255089</v>
      </c>
      <c r="CX149" s="947">
        <f t="shared" si="496"/>
        <v>-67.845913346241986</v>
      </c>
      <c r="CY149" s="947">
        <f t="shared" si="496"/>
        <v>22.130965839817328</v>
      </c>
      <c r="CZ149" s="947">
        <f t="shared" si="496"/>
        <v>11.974789915966365</v>
      </c>
      <c r="DA149" s="947">
        <f t="shared" si="496"/>
        <v>1.0992968290972405</v>
      </c>
      <c r="DB149" s="947">
        <f t="shared" si="496"/>
        <v>9.7140539444331644</v>
      </c>
      <c r="DC149" s="947">
        <f t="shared" si="496"/>
        <v>6.8791838162849839</v>
      </c>
      <c r="DD149" s="947">
        <f t="shared" si="496"/>
        <v>10.128052709435597</v>
      </c>
      <c r="DE149" s="947">
        <f t="shared" si="496"/>
        <v>26.116701726457837</v>
      </c>
      <c r="DF149" s="947">
        <f t="shared" si="496"/>
        <v>14.855364541347171</v>
      </c>
      <c r="DG149" s="947">
        <f t="shared" si="496"/>
        <v>12.903793680133791</v>
      </c>
      <c r="DH149" s="947">
        <f t="shared" si="496"/>
        <v>14.81296414356359</v>
      </c>
      <c r="DI149" s="947">
        <f t="shared" si="496"/>
        <v>19.375520193821117</v>
      </c>
      <c r="DJ149" s="947">
        <f t="shared" si="496"/>
        <v>51.885105487768236</v>
      </c>
      <c r="DK149" s="947">
        <f t="shared" si="496"/>
        <v>74.421774259365066</v>
      </c>
      <c r="DL149" s="947">
        <f t="shared" si="496"/>
        <v>67.903640757776529</v>
      </c>
      <c r="DM149" s="947">
        <f t="shared" si="496"/>
        <v>59.279046732899147</v>
      </c>
      <c r="DN149" s="947">
        <f t="shared" si="496"/>
        <v>51.188380585526836</v>
      </c>
      <c r="DO149" s="947">
        <f t="shared" si="496"/>
        <v>24.849000509515061</v>
      </c>
      <c r="DP149" s="947">
        <f t="shared" si="496"/>
        <v>29.94586349365289</v>
      </c>
      <c r="DQ149" s="947">
        <f t="shared" si="496"/>
        <v>29.903886335144179</v>
      </c>
      <c r="DR149" s="947">
        <f t="shared" ref="DR149:DU149" ca="1" si="497">IF(OR(DR45&lt;=0, DN45 &lt;=0), "NM",(DR45/DN45-1)*100)</f>
        <v>28.746009323845168</v>
      </c>
      <c r="DS149" s="947">
        <f t="shared" ca="1" si="497"/>
        <v>11.960627137293379</v>
      </c>
      <c r="DT149" s="947">
        <f t="shared" ca="1" si="497"/>
        <v>3.109048274218229</v>
      </c>
      <c r="DU149" s="947">
        <f t="shared" ca="1" si="497"/>
        <v>5.2122923489875017</v>
      </c>
      <c r="DV149" s="947"/>
      <c r="DW149" s="947"/>
      <c r="DX149" s="947"/>
      <c r="DY149" s="947"/>
    </row>
    <row r="150" spans="2:129">
      <c r="B150" s="23" t="s">
        <v>1113</v>
      </c>
      <c r="C150" s="23"/>
      <c r="E150" s="949"/>
      <c r="F150" s="949" t="str">
        <f t="shared" ref="F150:Z150" si="498">IF(OR(F47&lt;=0,E47&lt;= 0), "NM",(F47/E47-1)*100)</f>
        <v>NM</v>
      </c>
      <c r="G150" s="949" t="str">
        <f t="shared" si="498"/>
        <v>NM</v>
      </c>
      <c r="H150" s="949" t="str">
        <f t="shared" si="498"/>
        <v>NM</v>
      </c>
      <c r="I150" s="949" t="str">
        <f t="shared" si="498"/>
        <v>NM</v>
      </c>
      <c r="J150" s="949" t="str">
        <f t="shared" si="498"/>
        <v>NM</v>
      </c>
      <c r="K150" s="949" t="str">
        <f t="shared" si="498"/>
        <v>NM</v>
      </c>
      <c r="L150" s="949">
        <f t="shared" si="498"/>
        <v>428.47439916404244</v>
      </c>
      <c r="M150" s="949">
        <f t="shared" si="498"/>
        <v>624.29065743944011</v>
      </c>
      <c r="N150" s="949">
        <f t="shared" si="498"/>
        <v>147.16633452540222</v>
      </c>
      <c r="O150" s="949">
        <f t="shared" si="498"/>
        <v>6.6396434705294105</v>
      </c>
      <c r="P150" s="949">
        <f t="shared" si="498"/>
        <v>57.375376743897078</v>
      </c>
      <c r="Q150" s="949">
        <f t="shared" si="498"/>
        <v>29.286760229684504</v>
      </c>
      <c r="R150" s="949">
        <f t="shared" si="498"/>
        <v>17.316541782049242</v>
      </c>
      <c r="S150" s="949">
        <f t="shared" si="498"/>
        <v>10.486145461803398</v>
      </c>
      <c r="T150" s="949">
        <f t="shared" si="498"/>
        <v>11.403863599769259</v>
      </c>
      <c r="U150" s="949">
        <f t="shared" si="498"/>
        <v>9.0592623144416287</v>
      </c>
      <c r="V150" s="949">
        <f t="shared" si="498"/>
        <v>30.752061854837098</v>
      </c>
      <c r="W150" s="949">
        <f t="shared" ca="1" si="498"/>
        <v>27.522626463890852</v>
      </c>
      <c r="X150" s="949">
        <f t="shared" ca="1" si="498"/>
        <v>28.133531576846593</v>
      </c>
      <c r="Y150" s="949">
        <f t="shared" ca="1" si="498"/>
        <v>11.644672350691376</v>
      </c>
      <c r="Z150" s="949">
        <f t="shared" ca="1" si="498"/>
        <v>9.478640559148733</v>
      </c>
      <c r="AA150" s="949">
        <f t="shared" ref="AA150" ca="1" si="499">IF(OR(AA47&lt;=0,Z47&lt;= 0), "NM",(AA47/Z47-1)*100)</f>
        <v>16.244535875750543</v>
      </c>
      <c r="AB150" s="949">
        <f t="shared" ref="AB150" ca="1" si="500">IF(OR(AB47&lt;=0,AA47&lt;= 0), "NM",(AB47/AA47-1)*100)</f>
        <v>35.289445710132043</v>
      </c>
      <c r="AC150" s="949">
        <f t="shared" ref="AC150" ca="1" si="501">IF(OR(AC47&lt;=0,AB47&lt;= 0), "NM",(AC47/AB47-1)*100)</f>
        <v>19.453393593234814</v>
      </c>
      <c r="AD150" s="949">
        <f t="shared" ref="AD150" ca="1" si="502">IF(OR(AD47&lt;=0,AC47&lt;= 0), "NM",(AD47/AC47-1)*100)</f>
        <v>6.5338178052808837</v>
      </c>
      <c r="AE150" s="54"/>
      <c r="AG150" s="23"/>
      <c r="AH150" s="23"/>
      <c r="AI150" s="23"/>
      <c r="AJ150" s="123"/>
      <c r="AK150" s="1102"/>
      <c r="AL150" s="949" t="str">
        <f>IF(OR(AL47&lt;=0, Q47 &lt;=0), "NM",(AL47/Q47-1)*100)</f>
        <v>NM</v>
      </c>
      <c r="AM150" s="949" t="str">
        <f>IF(OR(AM47&lt;=0, R47 &lt;=0), "NM",(AM47/R47-1)*100)</f>
        <v>NM</v>
      </c>
      <c r="AN150" s="949" t="str">
        <f>IF(OR(AN47&lt;=0, S47 &lt;=0), "NM",(AN47/S47-1)*100)</f>
        <v>NM</v>
      </c>
      <c r="AO150" s="949" t="str">
        <f>IF(OR(AO47&lt;=0, T47 &lt;=0), "NM",(AO47/T47-1)*100)</f>
        <v>NM</v>
      </c>
      <c r="AP150" s="1131"/>
      <c r="AQ150" s="949" t="str">
        <f>IF(OR(AQ47&lt;=0, AL47 &lt;=0), "NM",(AQ47/AL47-1)*100)</f>
        <v>NM</v>
      </c>
      <c r="AR150" s="949" t="str">
        <f>IF(OR(AR47&lt;=0, AM47 &lt;=0), "NM",(AR47/AM47-1)*100)</f>
        <v>NM</v>
      </c>
      <c r="AS150" s="949" t="str">
        <f>IF(OR(AS47&lt;=0, AN47 &lt;=0), "NM",(AS47/AN47-1)*100)</f>
        <v>NM</v>
      </c>
      <c r="AT150" s="949" t="str">
        <f>IF(OR(AT47&lt;=0, AO47 &lt;=0), "NM",(AT47/AO47-1)*100)</f>
        <v>NM</v>
      </c>
      <c r="AU150" s="1131"/>
      <c r="AV150" s="949" t="str">
        <f>IF(OR(AV47&lt;=0, AQ47 &lt;=0), "NM",(AV47/AQ47-1)*100)</f>
        <v>NM</v>
      </c>
      <c r="AW150" s="949" t="str">
        <f>IF(OR(AW47&lt;=0, AR47 &lt;=0), "NM",(AW47/AR47-1)*100)</f>
        <v>NM</v>
      </c>
      <c r="AX150" s="949" t="str">
        <f>IF(OR(AX47&lt;=0, AS47 &lt;=0), "NM",(AX47/AS47-1)*100)</f>
        <v>NM</v>
      </c>
      <c r="AY150" s="949" t="str">
        <f>IF(OR(AY47&lt;=0, AT47 &lt;=0), "NM",(AY47/AT47-1)*100)</f>
        <v>NM</v>
      </c>
      <c r="AZ150" s="1131"/>
      <c r="BA150" s="949" t="str">
        <f>IF(OR(BA47&lt;=0, AV47 &lt;=0), "NM",(BA47/AV47-1)*100)</f>
        <v>NM</v>
      </c>
      <c r="BB150" s="949" t="str">
        <f>IF(OR(BB47&lt;=0, AW47 &lt;=0), "NM",(BB47/AW47-1)*100)</f>
        <v>NM</v>
      </c>
      <c r="BC150" s="949" t="str">
        <f>IF(OR(BC47&lt;=0, AX47 &lt;=0), "NM",(BC47/AX47-1)*100)</f>
        <v>NM</v>
      </c>
      <c r="BD150" s="949" t="str">
        <f>IF(OR(BD47&lt;=0, AY47 &lt;=0), "NM",(BD47/AY47-1)*100)</f>
        <v>NM</v>
      </c>
      <c r="BE150" s="1131"/>
      <c r="BF150" s="949" t="str">
        <f>IF(OR(BF47&lt;=0, BA47 &lt;=0), "NM",(BF47/BA47-1)*100)</f>
        <v>NM</v>
      </c>
      <c r="BG150" s="949" t="str">
        <f>IF(OR(BG47&lt;=0, BB47 &lt;=0), "NM",(BG47/BB47-1)*100)</f>
        <v>NM</v>
      </c>
      <c r="BH150" s="949" t="str">
        <f>IF(OR(BH47&lt;=0, BC47 &lt;=0), "NM",(BH47/BC47-1)*100)</f>
        <v>NM</v>
      </c>
      <c r="BI150" s="949" t="str">
        <f>IF(OR(BI47&lt;=0, BD47 &lt;=0), "NM",(BI47/BD47-1)*100)</f>
        <v>NM</v>
      </c>
      <c r="BJ150" s="1131"/>
      <c r="BK150" s="949" t="str">
        <f>IF(OR(BK47&lt;=0, BF47 &lt;=0), "NM",(BK47/BF47-1)*100)</f>
        <v>NM</v>
      </c>
      <c r="BL150" s="949" t="str">
        <f>IF(OR(BL47&lt;=0, BG47 &lt;=0), "NM",(BL47/BG47-1)*100)</f>
        <v>NM</v>
      </c>
      <c r="BM150" s="949" t="str">
        <f>IF(OR(BM47&lt;=0, BH47 &lt;=0), "NM",(BM47/BH47-1)*100)</f>
        <v>NM</v>
      </c>
      <c r="BN150" s="949" t="str">
        <f>IF(OR(BN47&lt;=0, BI47 &lt;=0), "NM",(BN47/BI47-1)*100)</f>
        <v>NM</v>
      </c>
      <c r="BO150" s="1131"/>
      <c r="BP150" s="949" t="str">
        <f>IF(OR(BP47&lt;=0, BK47 &lt;=0), "NM",(BP47/BK47-1)*100)</f>
        <v>NM</v>
      </c>
      <c r="BQ150" s="949" t="str">
        <f>IF(OR(BQ47&lt;=0, BL47 &lt;=0), "NM",(BQ47/BL47-1)*100)</f>
        <v>NM</v>
      </c>
      <c r="BR150" s="949" t="str">
        <f>IF(OR(BR47&lt;=0, BM47 &lt;=0), "NM",(BR47/BM47-1)*100)</f>
        <v>NM</v>
      </c>
      <c r="BS150" s="949" t="str">
        <f>IF(OR(BS47&lt;=0, BN47 &lt;=0), "NM",(BS47/BN47-1)*100)</f>
        <v>NM</v>
      </c>
      <c r="BT150" s="42"/>
      <c r="BU150" s="949" t="str">
        <f>IF(OR(BU47&lt;=0, BP47 &lt;=0), "NM",(BU47/BP47-1)*100)</f>
        <v>NM</v>
      </c>
      <c r="BV150" s="949" t="str">
        <f>IF(OR(BV47&lt;=0, BQ47 &lt;=0), "NM",(BV47/BQ47-1)*100)</f>
        <v>NM</v>
      </c>
      <c r="BW150" s="949" t="str">
        <f>IF(OR(BW47&lt;=0, BR47 &lt;=0), "NM",(BW47/BR47-1)*100)</f>
        <v>NM</v>
      </c>
      <c r="BX150" s="949">
        <f>IF(OR(BX47&lt;=0, BS47 &lt;=0), "NM",(BX47/BS47-1)*100)</f>
        <v>-92.88763738759198</v>
      </c>
      <c r="BY150" s="1131"/>
      <c r="BZ150" s="949">
        <f t="shared" ref="BZ150:CN150" si="503">IF(OR(BZ47&lt;=0, BU47 &lt;=0), "NM",(BZ47/BU47-1)*100)</f>
        <v>1634.7394540942687</v>
      </c>
      <c r="CA150" s="949">
        <f t="shared" si="503"/>
        <v>442.29668982427046</v>
      </c>
      <c r="CB150" s="949">
        <f t="shared" si="503"/>
        <v>253.56144102648432</v>
      </c>
      <c r="CC150" s="949">
        <f t="shared" si="503"/>
        <v>3031.1621966794464</v>
      </c>
      <c r="CD150" s="1131">
        <f t="shared" si="503"/>
        <v>624.29065743944409</v>
      </c>
      <c r="CE150" s="949">
        <f t="shared" si="503"/>
        <v>212.58761264482914</v>
      </c>
      <c r="CF150" s="949">
        <f t="shared" si="503"/>
        <v>209.18613413715187</v>
      </c>
      <c r="CG150" s="949">
        <f t="shared" si="503"/>
        <v>111.96668682827008</v>
      </c>
      <c r="CH150" s="947">
        <f t="shared" si="503"/>
        <v>107.14606191622144</v>
      </c>
      <c r="CI150" s="1130">
        <f t="shared" si="503"/>
        <v>147.16633452540228</v>
      </c>
      <c r="CJ150" s="947">
        <f t="shared" si="503"/>
        <v>9.7835537454811217</v>
      </c>
      <c r="CK150" s="947">
        <f t="shared" si="503"/>
        <v>-3.2684198981209001</v>
      </c>
      <c r="CL150" s="947">
        <f t="shared" si="503"/>
        <v>12.831994380789347</v>
      </c>
      <c r="CM150" s="947">
        <f t="shared" si="503"/>
        <v>6.3836490371362631</v>
      </c>
      <c r="CN150" s="1130">
        <f t="shared" si="503"/>
        <v>6.6396434705293661</v>
      </c>
      <c r="CO150" s="947">
        <f>IF(OR(CO47&lt;=0, CM47 &lt;=0), "NM",(CO47/CM47-1)*100)</f>
        <v>29.917820389427629</v>
      </c>
      <c r="CP150" s="947">
        <f>IF(OR(CP47&lt;=0, CJ47 &lt;=0), "NM",(CP47/CJ47-1)*100)</f>
        <v>55.895960985369463</v>
      </c>
      <c r="CQ150" s="947">
        <f>IF(OR(CQ47&lt;=0, CK47 &lt;=0), "NM",(CQ47/CK47-1)*100)</f>
        <v>94.396291070348752</v>
      </c>
      <c r="CR150" s="947">
        <f>IF(OR(CR47&lt;=0, CL47 &lt;=0), "NM",(CR47/CL47-1)*100)</f>
        <v>59.032371021710325</v>
      </c>
      <c r="CS150" s="1130">
        <f>IF(OR(CS47&lt;=0, CM47 &lt;=0), "NM",(CS47/CM47-1)*100)</f>
        <v>462.47686384837505</v>
      </c>
      <c r="CT150" s="947">
        <f t="shared" ref="CT150:DQ150" si="504">IF(OR(CT47&lt;=0, CO47 &lt;=0), "NM",(CT47/CO47-1)*100)</f>
        <v>38.13112605425124</v>
      </c>
      <c r="CU150" s="947">
        <f t="shared" si="504"/>
        <v>34.20630464426084</v>
      </c>
      <c r="CV150" s="947">
        <f t="shared" si="504"/>
        <v>20.341663210286185</v>
      </c>
      <c r="CW150" s="947">
        <f t="shared" si="504"/>
        <v>25.633341080624849</v>
      </c>
      <c r="CX150" s="947">
        <f t="shared" si="504"/>
        <v>-65.518682439658477</v>
      </c>
      <c r="CY150" s="947">
        <f t="shared" si="504"/>
        <v>19.602504202894067</v>
      </c>
      <c r="CZ150" s="947">
        <f t="shared" si="504"/>
        <v>14.746635587564484</v>
      </c>
      <c r="DA150" s="947">
        <f t="shared" si="504"/>
        <v>34.619692824677543</v>
      </c>
      <c r="DB150" s="947">
        <f t="shared" si="504"/>
        <v>18.410188502882097</v>
      </c>
      <c r="DC150" s="947">
        <f t="shared" si="504"/>
        <v>19.00044852892071</v>
      </c>
      <c r="DD150" s="947">
        <f t="shared" si="504"/>
        <v>16.529410242922292</v>
      </c>
      <c r="DE150" s="947">
        <f t="shared" si="504"/>
        <v>10.966812219492429</v>
      </c>
      <c r="DF150" s="947">
        <f t="shared" si="504"/>
        <v>21.169862947939389</v>
      </c>
      <c r="DG150" s="947">
        <f t="shared" si="504"/>
        <v>14.40729533269729</v>
      </c>
      <c r="DH150" s="947">
        <f t="shared" si="504"/>
        <v>12.980264160324628</v>
      </c>
      <c r="DI150" s="947">
        <f t="shared" si="504"/>
        <v>0.55205689294084426</v>
      </c>
      <c r="DJ150" s="947">
        <f t="shared" si="504"/>
        <v>-11.842661117456533</v>
      </c>
      <c r="DK150" s="947">
        <f t="shared" si="504"/>
        <v>0.13601938606395692</v>
      </c>
      <c r="DL150" s="947">
        <f t="shared" si="504"/>
        <v>22.142841741355479</v>
      </c>
      <c r="DM150" s="947">
        <f t="shared" si="504"/>
        <v>30.927791145844363</v>
      </c>
      <c r="DN150" s="947">
        <f t="shared" si="504"/>
        <v>23.062034045497228</v>
      </c>
      <c r="DO150" s="947">
        <f t="shared" si="504"/>
        <v>64.076920346443274</v>
      </c>
      <c r="DP150" s="947">
        <f t="shared" si="504"/>
        <v>48.272724275493694</v>
      </c>
      <c r="DQ150" s="947">
        <f t="shared" si="504"/>
        <v>36.543270899900612</v>
      </c>
      <c r="DR150" s="947">
        <f t="shared" ref="DR150:DU150" ca="1" si="505">IF(OR(DR47&lt;=0, DN47 &lt;=0), "NM",(DR47/DN47-1)*100)</f>
        <v>37.971392684337715</v>
      </c>
      <c r="DS150" s="947">
        <f t="shared" ca="1" si="505"/>
        <v>40.512383323635362</v>
      </c>
      <c r="DT150" s="947">
        <f t="shared" ca="1" si="505"/>
        <v>23.181327638193693</v>
      </c>
      <c r="DU150" s="947">
        <f t="shared" ca="1" si="505"/>
        <v>25.299266387133692</v>
      </c>
      <c r="DV150" s="947"/>
      <c r="DW150" s="947"/>
      <c r="DX150" s="947"/>
      <c r="DY150" s="947"/>
    </row>
    <row r="151" spans="2:129">
      <c r="B151" s="23" t="s">
        <v>1114</v>
      </c>
      <c r="C151" s="23"/>
      <c r="E151" s="949"/>
      <c r="F151" s="949" t="str">
        <f t="shared" ref="F151:Z151" si="506">IF(OR(F61&lt;=0,E61&lt;= 0), "NM",(F61/E61-1)*100)</f>
        <v>NM</v>
      </c>
      <c r="G151" s="949" t="str">
        <f t="shared" si="506"/>
        <v>NM</v>
      </c>
      <c r="H151" s="949" t="str">
        <f t="shared" si="506"/>
        <v>NM</v>
      </c>
      <c r="I151" s="949" t="str">
        <f t="shared" si="506"/>
        <v>NM</v>
      </c>
      <c r="J151" s="949" t="str">
        <f t="shared" si="506"/>
        <v>NM</v>
      </c>
      <c r="K151" s="949" t="str">
        <f t="shared" si="506"/>
        <v>NM</v>
      </c>
      <c r="L151" s="949" t="str">
        <f t="shared" si="506"/>
        <v>NM</v>
      </c>
      <c r="M151" s="949" t="str">
        <f t="shared" si="506"/>
        <v>NM</v>
      </c>
      <c r="N151" s="949">
        <f t="shared" si="506"/>
        <v>-35.66676550164923</v>
      </c>
      <c r="O151" s="949">
        <f t="shared" si="506"/>
        <v>-49.198484826662536</v>
      </c>
      <c r="P151" s="949">
        <f t="shared" si="506"/>
        <v>153.29439782263611</v>
      </c>
      <c r="Q151" s="949">
        <f t="shared" si="506"/>
        <v>45.573190660607253</v>
      </c>
      <c r="R151" s="949">
        <f t="shared" si="506"/>
        <v>-26.092205016223446</v>
      </c>
      <c r="S151" s="949" t="str">
        <f t="shared" si="506"/>
        <v>NM</v>
      </c>
      <c r="T151" s="949" t="str">
        <f t="shared" si="506"/>
        <v>NM</v>
      </c>
      <c r="U151" s="949">
        <f t="shared" si="506"/>
        <v>-39.071436940151649</v>
      </c>
      <c r="V151" s="949">
        <f t="shared" si="506"/>
        <v>103.64135375148633</v>
      </c>
      <c r="W151" s="949">
        <f t="shared" ca="1" si="506"/>
        <v>103.43418809447154</v>
      </c>
      <c r="X151" s="949">
        <f t="shared" ca="1" si="506"/>
        <v>49.029533289904158</v>
      </c>
      <c r="Y151" s="949">
        <f t="shared" ca="1" si="506"/>
        <v>14.272120485011586</v>
      </c>
      <c r="Z151" s="949">
        <f t="shared" ca="1" si="506"/>
        <v>11.088874214555977</v>
      </c>
      <c r="AA151" s="949">
        <f t="shared" ref="AA151" ca="1" si="507">IF(OR(AA61&lt;=0,Z61&lt;= 0), "NM",(AA61/Z61-1)*100)</f>
        <v>23.293031158586007</v>
      </c>
      <c r="AB151" s="949">
        <f t="shared" ref="AB151" ca="1" si="508">IF(OR(AB61&lt;=0,AA61&lt;= 0), "NM",(AB61/AA61-1)*100)</f>
        <v>50.938932785170586</v>
      </c>
      <c r="AC151" s="949">
        <f t="shared" ref="AC151" ca="1" si="509">IF(OR(AC61&lt;=0,AB61&lt;= 0), "NM",(AC61/AB61-1)*100)</f>
        <v>25.172499108422251</v>
      </c>
      <c r="AD151" s="949">
        <f t="shared" ref="AD151" ca="1" si="510">IF(OR(AD61&lt;=0,AC61&lt;= 0), "NM",(AD61/AC61-1)*100)</f>
        <v>8.0722675758641671</v>
      </c>
      <c r="AE151" s="54"/>
      <c r="AG151" s="23"/>
      <c r="AH151" s="23"/>
      <c r="AI151" s="23"/>
      <c r="AJ151" s="123"/>
      <c r="AK151" s="1102"/>
      <c r="AL151" s="949" t="str">
        <f>IF(OR(AL61&lt;=0, Q61 &lt;=0), "NM",(AL61/Q61-1)*100)</f>
        <v>NM</v>
      </c>
      <c r="AM151" s="949" t="str">
        <f>IF(OR(AM61&lt;=0, R61 &lt;=0), "NM",(AM61/R61-1)*100)</f>
        <v>NM</v>
      </c>
      <c r="AN151" s="949" t="str">
        <f>IF(OR(AN61&lt;=0, S61 &lt;=0), "NM",(AN61/S61-1)*100)</f>
        <v>NM</v>
      </c>
      <c r="AO151" s="949" t="str">
        <f>IF(OR(AO61&lt;=0, T61 &lt;=0), "NM",(AO61/T61-1)*100)</f>
        <v>NM</v>
      </c>
      <c r="AP151" s="1131"/>
      <c r="AQ151" s="949" t="str">
        <f>IF(OR(AQ61&lt;=0, AL61 &lt;=0), "NM",(AQ61/AL61-1)*100)</f>
        <v>NM</v>
      </c>
      <c r="AR151" s="949" t="str">
        <f>IF(OR(AR61&lt;=0, AM61 &lt;=0), "NM",(AR61/AM61-1)*100)</f>
        <v>NM</v>
      </c>
      <c r="AS151" s="949" t="str">
        <f>IF(OR(AS61&lt;=0, AN61 &lt;=0), "NM",(AS61/AN61-1)*100)</f>
        <v>NM</v>
      </c>
      <c r="AT151" s="949" t="str">
        <f>IF(OR(AT61&lt;=0, AO61 &lt;=0), "NM",(AT61/AO61-1)*100)</f>
        <v>NM</v>
      </c>
      <c r="AU151" s="1131"/>
      <c r="AV151" s="949" t="str">
        <f>IF(OR(AV61&lt;=0, AQ61 &lt;=0), "NM",(AV61/AQ61-1)*100)</f>
        <v>NM</v>
      </c>
      <c r="AW151" s="949" t="str">
        <f>IF(OR(AW61&lt;=0, AR61 &lt;=0), "NM",(AW61/AR61-1)*100)</f>
        <v>NM</v>
      </c>
      <c r="AX151" s="949" t="str">
        <f>IF(OR(AX61&lt;=0, AS61 &lt;=0), "NM",(AX61/AS61-1)*100)</f>
        <v>NM</v>
      </c>
      <c r="AY151" s="949" t="str">
        <f>IF(OR(AY61&lt;=0, AT61 &lt;=0), "NM",(AY61/AT61-1)*100)</f>
        <v>NM</v>
      </c>
      <c r="AZ151" s="1131"/>
      <c r="BA151" s="949" t="str">
        <f>IF(OR(BA61&lt;=0, AV61 &lt;=0), "NM",(BA61/AV61-1)*100)</f>
        <v>NM</v>
      </c>
      <c r="BB151" s="949" t="str">
        <f>IF(OR(BB61&lt;=0, AW61 &lt;=0), "NM",(BB61/AW61-1)*100)</f>
        <v>NM</v>
      </c>
      <c r="BC151" s="949" t="str">
        <f>IF(OR(BC61&lt;=0, AX61 &lt;=0), "NM",(BC61/AX61-1)*100)</f>
        <v>NM</v>
      </c>
      <c r="BD151" s="949" t="str">
        <f>IF(OR(BD61&lt;=0, AY61 &lt;=0), "NM",(BD61/AY61-1)*100)</f>
        <v>NM</v>
      </c>
      <c r="BE151" s="1131"/>
      <c r="BF151" s="949" t="str">
        <f>IF(OR(BF61&lt;=0, BA61 &lt;=0), "NM",(BF61/BA61-1)*100)</f>
        <v>NM</v>
      </c>
      <c r="BG151" s="949" t="str">
        <f>IF(OR(BG61&lt;=0, BB61 &lt;=0), "NM",(BG61/BB61-1)*100)</f>
        <v>NM</v>
      </c>
      <c r="BH151" s="949" t="str">
        <f>IF(OR(BH61&lt;=0, BC61 &lt;=0), "NM",(BH61/BC61-1)*100)</f>
        <v>NM</v>
      </c>
      <c r="BI151" s="949" t="str">
        <f>IF(OR(BI61&lt;=0, BD61 &lt;=0), "NM",(BI61/BD61-1)*100)</f>
        <v>NM</v>
      </c>
      <c r="BJ151" s="1131"/>
      <c r="BK151" s="949" t="str">
        <f>IF(OR(BK61&lt;=0, BF61 &lt;=0), "NM",(BK61/BF61-1)*100)</f>
        <v>NM</v>
      </c>
      <c r="BL151" s="949" t="str">
        <f>IF(OR(BL61&lt;=0, BG61 &lt;=0), "NM",(BL61/BG61-1)*100)</f>
        <v>NM</v>
      </c>
      <c r="BM151" s="949" t="str">
        <f>IF(OR(BM61&lt;=0, BH61 &lt;=0), "NM",(BM61/BH61-1)*100)</f>
        <v>NM</v>
      </c>
      <c r="BN151" s="949" t="str">
        <f>IF(OR(BN61&lt;=0, BI61 &lt;=0), "NM",(BN61/BI61-1)*100)</f>
        <v>NM</v>
      </c>
      <c r="BO151" s="1131"/>
      <c r="BP151" s="949" t="str">
        <f>IF(OR(BP61&lt;=0, BK61 &lt;=0), "NM",(BP61/BK61-1)*100)</f>
        <v>NM</v>
      </c>
      <c r="BQ151" s="949" t="str">
        <f>IF(OR(BQ61&lt;=0, BL61 &lt;=0), "NM",(BQ61/BL61-1)*100)</f>
        <v>NM</v>
      </c>
      <c r="BR151" s="949" t="str">
        <f>IF(OR(BR61&lt;=0, BM61 &lt;=0), "NM",(BR61/BM61-1)*100)</f>
        <v>NM</v>
      </c>
      <c r="BS151" s="949" t="str">
        <f>IF(OR(BS61&lt;=0, BN61 &lt;=0), "NM",(BS61/BN61-1)*100)</f>
        <v>NM</v>
      </c>
      <c r="BT151" s="42"/>
      <c r="BU151" s="949" t="str">
        <f>IF(OR(BU61&lt;=0, BP61 &lt;=0), "NM",(BU61/BP61-1)*100)</f>
        <v>NM</v>
      </c>
      <c r="BV151" s="949" t="str">
        <f>IF(OR(BV61&lt;=0, BQ61 &lt;=0), "NM",(BV61/BQ61-1)*100)</f>
        <v>NM</v>
      </c>
      <c r="BW151" s="949" t="str">
        <f>IF(OR(BW61&lt;=0, BR61 &lt;=0), "NM",(BW61/BR61-1)*100)</f>
        <v>NM</v>
      </c>
      <c r="BX151" s="949" t="str">
        <f>IF(OR(BX61&lt;=0, BS61 &lt;=0), "NM",(BX61/BS61-1)*100)</f>
        <v>NM</v>
      </c>
      <c r="BY151" s="1131"/>
      <c r="BZ151" s="949" t="str">
        <f t="shared" ref="BZ151:CN151" si="511">IF(OR(BZ61&lt;=0, BU61 &lt;=0), "NM",(BZ61/BU61-1)*100)</f>
        <v>NM</v>
      </c>
      <c r="CA151" s="949">
        <f t="shared" si="511"/>
        <v>-41.824157764998148</v>
      </c>
      <c r="CB151" s="949">
        <f t="shared" si="511"/>
        <v>34.723569350144736</v>
      </c>
      <c r="CC151" s="949" t="str">
        <f t="shared" si="511"/>
        <v>NM</v>
      </c>
      <c r="CD151" s="1131" t="str">
        <f t="shared" si="511"/>
        <v>NM</v>
      </c>
      <c r="CE151" s="949">
        <f t="shared" si="511"/>
        <v>307.08454042665272</v>
      </c>
      <c r="CF151" s="949">
        <f t="shared" si="511"/>
        <v>2363.2768361582575</v>
      </c>
      <c r="CG151" s="949">
        <f t="shared" si="511"/>
        <v>238.58891288697154</v>
      </c>
      <c r="CH151" s="949">
        <f t="shared" si="511"/>
        <v>-81.891010902997053</v>
      </c>
      <c r="CI151" s="1131">
        <f t="shared" si="511"/>
        <v>-35.666765501649209</v>
      </c>
      <c r="CJ151" s="949">
        <f t="shared" si="511"/>
        <v>-8.1387073817688496</v>
      </c>
      <c r="CK151" s="949" t="str">
        <f t="shared" si="511"/>
        <v>NM</v>
      </c>
      <c r="CL151" s="949">
        <f t="shared" si="511"/>
        <v>-43.791197108228744</v>
      </c>
      <c r="CM151" s="949">
        <f t="shared" si="511"/>
        <v>-24.88432456833306</v>
      </c>
      <c r="CN151" s="1131">
        <f t="shared" si="511"/>
        <v>-49.198484826662593</v>
      </c>
      <c r="CO151" s="949">
        <f>IF(OR(CO61&lt;=0, CM61 &lt;=0), "NM",(CO61/CM61-1)*100)</f>
        <v>80.528846153845876</v>
      </c>
      <c r="CP151" s="949">
        <f>IF(OR(CP61&lt;=0, CJ61 &lt;=0), "NM",(CP61/CJ61-1)*100)</f>
        <v>115.9940840904286</v>
      </c>
      <c r="CQ151" s="949" t="str">
        <f>IF(OR(CQ61&lt;=0, CK61 &lt;=0), "NM",(CQ61/CK61-1)*100)</f>
        <v>NM</v>
      </c>
      <c r="CR151" s="949">
        <f>IF(OR(CR61&lt;=0, CL61 &lt;=0), "NM",(CR61/CL61-1)*100)</f>
        <v>41.535842632872843</v>
      </c>
      <c r="CS151" s="1131">
        <f>IF(OR(CS61&lt;=0, CM61 &lt;=0), "NM",(CS61/CM61-1)*100)</f>
        <v>571.13882211538532</v>
      </c>
      <c r="CT151" s="949">
        <f t="shared" ref="CT151:DQ151" si="512">IF(OR(CT61&lt;=0, CO61 &lt;=0), "NM",(CT61/CO61-1)*100)</f>
        <v>34.017143808255803</v>
      </c>
      <c r="CU151" s="949">
        <f t="shared" si="512"/>
        <v>18.849652743812939</v>
      </c>
      <c r="CV151" s="949">
        <f t="shared" si="512"/>
        <v>35.440914866581942</v>
      </c>
      <c r="CW151" s="949">
        <f t="shared" si="512"/>
        <v>132.21301616998545</v>
      </c>
      <c r="CX151" s="949">
        <f t="shared" si="512"/>
        <v>-62.745405296501254</v>
      </c>
      <c r="CY151" s="949" t="str">
        <f t="shared" si="512"/>
        <v>NM</v>
      </c>
      <c r="CZ151" s="949">
        <f t="shared" si="512"/>
        <v>17.292181069959135</v>
      </c>
      <c r="DA151" s="949">
        <f t="shared" si="512"/>
        <v>70.267937556289866</v>
      </c>
      <c r="DB151" s="949">
        <f t="shared" si="512"/>
        <v>18.94512703939235</v>
      </c>
      <c r="DC151" s="949">
        <f t="shared" si="512"/>
        <v>-69.718182910707654</v>
      </c>
      <c r="DD151" s="949" t="str">
        <f t="shared" si="512"/>
        <v>NM</v>
      </c>
      <c r="DE151" s="949" t="str">
        <f t="shared" si="512"/>
        <v>NM</v>
      </c>
      <c r="DF151" s="949">
        <f t="shared" si="512"/>
        <v>68.496683049390512</v>
      </c>
      <c r="DG151" s="949">
        <f t="shared" si="512"/>
        <v>43.839659385054162</v>
      </c>
      <c r="DH151" s="949">
        <f t="shared" si="512"/>
        <v>308.09604127393493</v>
      </c>
      <c r="DI151" s="949">
        <f t="shared" si="512"/>
        <v>-75.021531156165125</v>
      </c>
      <c r="DJ151" s="949" t="str">
        <f t="shared" si="512"/>
        <v>NM</v>
      </c>
      <c r="DK151" s="949">
        <f t="shared" si="512"/>
        <v>-48.592580965834763</v>
      </c>
      <c r="DL151" s="949">
        <f t="shared" si="512"/>
        <v>-17.978775290536262</v>
      </c>
      <c r="DM151" s="949">
        <f t="shared" si="512"/>
        <v>54.779733540795263</v>
      </c>
      <c r="DN151" s="949">
        <f t="shared" si="512"/>
        <v>291.96719783804423</v>
      </c>
      <c r="DO151" s="949" t="str">
        <f t="shared" si="512"/>
        <v>NM</v>
      </c>
      <c r="DP151" s="949">
        <f t="shared" si="512"/>
        <v>103.29754210981612</v>
      </c>
      <c r="DQ151" s="949">
        <f t="shared" si="512"/>
        <v>33.72224158789416</v>
      </c>
      <c r="DR151" s="949">
        <f t="shared" ref="DR151:DU151" ca="1" si="513">IF(OR(DR61&lt;=0, DN61 &lt;=0), "NM",(DR61/DN61-1)*100)</f>
        <v>129.32338535006625</v>
      </c>
      <c r="DS151" s="949">
        <f t="shared" ca="1" si="513"/>
        <v>164.40962540708298</v>
      </c>
      <c r="DT151" s="949">
        <f t="shared" ca="1" si="513"/>
        <v>69.881355022990903</v>
      </c>
      <c r="DU151" s="949">
        <f t="shared" ca="1" si="513"/>
        <v>125.75632352053425</v>
      </c>
      <c r="DV151" s="949"/>
      <c r="DW151" s="949"/>
      <c r="DX151" s="949"/>
      <c r="DY151" s="949"/>
    </row>
    <row r="152" spans="2:129">
      <c r="B152" s="23" t="s">
        <v>1115</v>
      </c>
      <c r="C152" s="23"/>
      <c r="E152" s="949"/>
      <c r="F152" s="949" t="str">
        <f t="shared" ref="F152:Z152" si="514">IF(OR(F63&lt;=0,E63&lt;= 0), "NM",(F63/E63-1)*100)</f>
        <v>NM</v>
      </c>
      <c r="G152" s="949" t="str">
        <f t="shared" si="514"/>
        <v>NM</v>
      </c>
      <c r="H152" s="949" t="str">
        <f t="shared" si="514"/>
        <v>NM</v>
      </c>
      <c r="I152" s="949" t="str">
        <f t="shared" si="514"/>
        <v>NM</v>
      </c>
      <c r="J152" s="949" t="str">
        <f t="shared" si="514"/>
        <v>NM</v>
      </c>
      <c r="K152" s="949" t="str">
        <f t="shared" si="514"/>
        <v>NM</v>
      </c>
      <c r="L152" s="949" t="str">
        <f t="shared" si="514"/>
        <v>NM</v>
      </c>
      <c r="M152" s="949" t="str">
        <f t="shared" si="514"/>
        <v>NM</v>
      </c>
      <c r="N152" s="949">
        <f t="shared" si="514"/>
        <v>-35.66676550164923</v>
      </c>
      <c r="O152" s="949">
        <f t="shared" si="514"/>
        <v>-46.881076176347833</v>
      </c>
      <c r="P152" s="949">
        <f t="shared" si="514"/>
        <v>151.10490496461648</v>
      </c>
      <c r="Q152" s="949">
        <f t="shared" si="514"/>
        <v>54.566461505236738</v>
      </c>
      <c r="R152" s="949">
        <f t="shared" si="514"/>
        <v>-32.848739730620849</v>
      </c>
      <c r="S152" s="949" t="str">
        <f t="shared" si="514"/>
        <v>NM</v>
      </c>
      <c r="T152" s="949" t="str">
        <f t="shared" si="514"/>
        <v>NM</v>
      </c>
      <c r="U152" s="949">
        <f t="shared" si="514"/>
        <v>-32.472014229872293</v>
      </c>
      <c r="V152" s="949">
        <f t="shared" si="514"/>
        <v>83.739747634069772</v>
      </c>
      <c r="W152" s="949">
        <f t="shared" ca="1" si="514"/>
        <v>103.43418809447154</v>
      </c>
      <c r="X152" s="949">
        <f t="shared" ca="1" si="514"/>
        <v>49.029533289904158</v>
      </c>
      <c r="Y152" s="949">
        <f t="shared" ca="1" si="514"/>
        <v>14.272120485011586</v>
      </c>
      <c r="Z152" s="949">
        <f t="shared" ca="1" si="514"/>
        <v>11.088874214555977</v>
      </c>
      <c r="AA152" s="949">
        <f t="shared" ref="AA152" ca="1" si="515">IF(OR(AA63&lt;=0,Z63&lt;= 0), "NM",(AA63/Z63-1)*100)</f>
        <v>23.293031158586007</v>
      </c>
      <c r="AB152" s="949">
        <f t="shared" ref="AB152" ca="1" si="516">IF(OR(AB63&lt;=0,AA63&lt;= 0), "NM",(AB63/AA63-1)*100)</f>
        <v>50.938932785170586</v>
      </c>
      <c r="AC152" s="949">
        <f t="shared" ref="AC152" ca="1" si="517">IF(OR(AC63&lt;=0,AB63&lt;= 0), "NM",(AC63/AB63-1)*100)</f>
        <v>25.172499108422251</v>
      </c>
      <c r="AD152" s="949">
        <f t="shared" ref="AD152" ca="1" si="518">IF(OR(AD63&lt;=0,AC63&lt;= 0), "NM",(AD63/AC63-1)*100)</f>
        <v>8.0722675758641671</v>
      </c>
      <c r="AE152" s="54"/>
      <c r="AG152" s="23"/>
      <c r="AH152" s="23"/>
      <c r="AI152" s="23"/>
      <c r="AJ152" s="123"/>
      <c r="AK152" s="1102"/>
      <c r="AL152" s="949" t="str">
        <f>IF(OR(AL63&lt;=0, Q63 &lt;=0), "NM",(AL63/Q63-1)*100)</f>
        <v>NM</v>
      </c>
      <c r="AM152" s="949" t="str">
        <f>IF(OR(AM63&lt;=0, R63 &lt;=0), "NM",(AM63/R63-1)*100)</f>
        <v>NM</v>
      </c>
      <c r="AN152" s="949" t="str">
        <f>IF(OR(AN63&lt;=0, S63 &lt;=0), "NM",(AN63/S63-1)*100)</f>
        <v>NM</v>
      </c>
      <c r="AO152" s="949" t="str">
        <f>IF(OR(AO63&lt;=0, T63 &lt;=0), "NM",(AO63/T63-1)*100)</f>
        <v>NM</v>
      </c>
      <c r="AP152" s="1131"/>
      <c r="AQ152" s="949" t="str">
        <f>IF(OR(AQ63&lt;=0, AL63 &lt;=0), "NM",(AQ63/AL63-1)*100)</f>
        <v>NM</v>
      </c>
      <c r="AR152" s="949" t="str">
        <f>IF(OR(AR63&lt;=0, AM63 &lt;=0), "NM",(AR63/AM63-1)*100)</f>
        <v>NM</v>
      </c>
      <c r="AS152" s="949" t="str">
        <f>IF(OR(AS63&lt;=0, AN63 &lt;=0), "NM",(AS63/AN63-1)*100)</f>
        <v>NM</v>
      </c>
      <c r="AT152" s="949" t="str">
        <f>IF(OR(AT63&lt;=0, AO63 &lt;=0), "NM",(AT63/AO63-1)*100)</f>
        <v>NM</v>
      </c>
      <c r="AU152" s="1131"/>
      <c r="AV152" s="949" t="str">
        <f>IF(OR(AV63&lt;=0, AQ63 &lt;=0), "NM",(AV63/AQ63-1)*100)</f>
        <v>NM</v>
      </c>
      <c r="AW152" s="949" t="str">
        <f>IF(OR(AW63&lt;=0, AR63 &lt;=0), "NM",(AW63/AR63-1)*100)</f>
        <v>NM</v>
      </c>
      <c r="AX152" s="949" t="str">
        <f>IF(OR(AX63&lt;=0, AS63 &lt;=0), "NM",(AX63/AS63-1)*100)</f>
        <v>NM</v>
      </c>
      <c r="AY152" s="949" t="str">
        <f>IF(OR(AY63&lt;=0, AT63 &lt;=0), "NM",(AY63/AT63-1)*100)</f>
        <v>NM</v>
      </c>
      <c r="AZ152" s="1131"/>
      <c r="BA152" s="949" t="str">
        <f>IF(OR(BA63&lt;=0, AV63 &lt;=0), "NM",(BA63/AV63-1)*100)</f>
        <v>NM</v>
      </c>
      <c r="BB152" s="949" t="str">
        <f>IF(OR(BB63&lt;=0, AW63 &lt;=0), "NM",(BB63/AW63-1)*100)</f>
        <v>NM</v>
      </c>
      <c r="BC152" s="949" t="str">
        <f>IF(OR(BC63&lt;=0, AX63 &lt;=0), "NM",(BC63/AX63-1)*100)</f>
        <v>NM</v>
      </c>
      <c r="BD152" s="949" t="str">
        <f>IF(OR(BD63&lt;=0, AY63 &lt;=0), "NM",(BD63/AY63-1)*100)</f>
        <v>NM</v>
      </c>
      <c r="BE152" s="1131"/>
      <c r="BF152" s="949" t="str">
        <f>IF(OR(BF63&lt;=0, BA63 &lt;=0), "NM",(BF63/BA63-1)*100)</f>
        <v>NM</v>
      </c>
      <c r="BG152" s="949" t="str">
        <f>IF(OR(BG63&lt;=0, BB63 &lt;=0), "NM",(BG63/BB63-1)*100)</f>
        <v>NM</v>
      </c>
      <c r="BH152" s="949" t="str">
        <f>IF(OR(BH63&lt;=0, BC63 &lt;=0), "NM",(BH63/BC63-1)*100)</f>
        <v>NM</v>
      </c>
      <c r="BI152" s="949" t="str">
        <f>IF(OR(BI63&lt;=0, BD63 &lt;=0), "NM",(BI63/BD63-1)*100)</f>
        <v>NM</v>
      </c>
      <c r="BJ152" s="1131"/>
      <c r="BK152" s="949" t="str">
        <f>IF(OR(BK63&lt;=0, BF63 &lt;=0), "NM",(BK63/BF63-1)*100)</f>
        <v>NM</v>
      </c>
      <c r="BL152" s="949" t="str">
        <f>IF(OR(BL63&lt;=0, BG63 &lt;=0), "NM",(BL63/BG63-1)*100)</f>
        <v>NM</v>
      </c>
      <c r="BM152" s="949" t="str">
        <f>IF(OR(BM63&lt;=0, BH63 &lt;=0), "NM",(BM63/BH63-1)*100)</f>
        <v>NM</v>
      </c>
      <c r="BN152" s="949" t="str">
        <f>IF(OR(BN63&lt;=0, BI63 &lt;=0), "NM",(BN63/BI63-1)*100)</f>
        <v>NM</v>
      </c>
      <c r="BO152" s="1131"/>
      <c r="BP152" s="949" t="str">
        <f>IF(OR(BP63&lt;=0, BK63 &lt;=0), "NM",(BP63/BK63-1)*100)</f>
        <v>NM</v>
      </c>
      <c r="BQ152" s="949" t="str">
        <f>IF(OR(BQ63&lt;=0, BL63 &lt;=0), "NM",(BQ63/BL63-1)*100)</f>
        <v>NM</v>
      </c>
      <c r="BR152" s="949" t="str">
        <f>IF(OR(BR63&lt;=0, BM63 &lt;=0), "NM",(BR63/BM63-1)*100)</f>
        <v>NM</v>
      </c>
      <c r="BS152" s="949" t="str">
        <f>IF(OR(BS63&lt;=0, BN63 &lt;=0), "NM",(BS63/BN63-1)*100)</f>
        <v>NM</v>
      </c>
      <c r="BT152" s="42"/>
      <c r="BU152" s="949" t="str">
        <f>IF(OR(BU63&lt;=0, BP63 &lt;=0), "NM",(BU63/BP63-1)*100)</f>
        <v>NM</v>
      </c>
      <c r="BV152" s="949" t="str">
        <f>IF(OR(BV63&lt;=0, BQ63 &lt;=0), "NM",(BV63/BQ63-1)*100)</f>
        <v>NM</v>
      </c>
      <c r="BW152" s="949" t="str">
        <f>IF(OR(BW63&lt;=0, BR63 &lt;=0), "NM",(BW63/BR63-1)*100)</f>
        <v>NM</v>
      </c>
      <c r="BX152" s="949" t="str">
        <f>IF(OR(BX63&lt;=0, BS63 &lt;=0), "NM",(BX63/BS63-1)*100)</f>
        <v>NM</v>
      </c>
      <c r="BY152" s="1131"/>
      <c r="BZ152" s="949" t="str">
        <f t="shared" ref="BZ152:CN152" si="519">IF(OR(BZ63&lt;=0, BU63 &lt;=0), "NM",(BZ63/BU63-1)*100)</f>
        <v>NM</v>
      </c>
      <c r="CA152" s="949">
        <f t="shared" si="519"/>
        <v>-41.824157764998148</v>
      </c>
      <c r="CB152" s="949">
        <f t="shared" si="519"/>
        <v>34.723569350144736</v>
      </c>
      <c r="CC152" s="949" t="str">
        <f t="shared" si="519"/>
        <v>NM</v>
      </c>
      <c r="CD152" s="1131" t="str">
        <f t="shared" si="519"/>
        <v>NM</v>
      </c>
      <c r="CE152" s="949">
        <f t="shared" si="519"/>
        <v>307.08454042665272</v>
      </c>
      <c r="CF152" s="949">
        <f t="shared" si="519"/>
        <v>2363.2768361582575</v>
      </c>
      <c r="CG152" s="949">
        <f t="shared" si="519"/>
        <v>238.58891288697154</v>
      </c>
      <c r="CH152" s="949">
        <f t="shared" si="519"/>
        <v>-81.891010902997053</v>
      </c>
      <c r="CI152" s="1131">
        <f t="shared" si="519"/>
        <v>-35.666765501649209</v>
      </c>
      <c r="CJ152" s="949">
        <f t="shared" si="519"/>
        <v>-8.1387073817688496</v>
      </c>
      <c r="CK152" s="949" t="str">
        <f t="shared" si="519"/>
        <v>NM</v>
      </c>
      <c r="CL152" s="949">
        <f t="shared" si="519"/>
        <v>-40.484796938124546</v>
      </c>
      <c r="CM152" s="949">
        <f t="shared" si="519"/>
        <v>-22.356393183613498</v>
      </c>
      <c r="CN152" s="1131">
        <f t="shared" si="519"/>
        <v>-46.881076176347889</v>
      </c>
      <c r="CO152" s="949">
        <f>IF(OR(CO63&lt;=0, CM63 &lt;=0), "NM",(CO63/CM63-1)*100)</f>
        <v>82.739825581395081</v>
      </c>
      <c r="CP152" s="949">
        <f>IF(OR(CP63&lt;=0, CJ63 &lt;=0), "NM",(CP63/CJ63-1)*100)</f>
        <v>116.44482005775023</v>
      </c>
      <c r="CQ152" s="949" t="str">
        <f>IF(OR(CQ63&lt;=0, CK63 &lt;=0), "NM",(CQ63/CK63-1)*100)</f>
        <v>NM</v>
      </c>
      <c r="CR152" s="949">
        <f>IF(OR(CR63&lt;=0, CL63 &lt;=0), "NM",(CR63/CL63-1)*100)</f>
        <v>43.738835298320545</v>
      </c>
      <c r="CS152" s="1131">
        <f>IF(OR(CS63&lt;=0, CM63 &lt;=0), "NM",(CS63/CM63-1)*100)</f>
        <v>573.03779069767506</v>
      </c>
      <c r="CT152" s="949">
        <f t="shared" ref="CT152:DQ152" si="520">IF(OR(CT63&lt;=0, CO63 &lt;=0), "NM",(CT63/CO63-1)*100)</f>
        <v>28.876516206005288</v>
      </c>
      <c r="CU152" s="949">
        <f t="shared" si="520"/>
        <v>19.740995021637953</v>
      </c>
      <c r="CV152" s="949">
        <f t="shared" si="520"/>
        <v>32.40467076893259</v>
      </c>
      <c r="CW152" s="949">
        <f t="shared" si="520"/>
        <v>189.6352451376377</v>
      </c>
      <c r="CX152" s="949">
        <f t="shared" si="520"/>
        <v>-64.0600367130981</v>
      </c>
      <c r="CY152" s="949" t="str">
        <f t="shared" si="520"/>
        <v>NM</v>
      </c>
      <c r="CZ152" s="949">
        <f t="shared" si="520"/>
        <v>16.176630434782901</v>
      </c>
      <c r="DA152" s="949">
        <f t="shared" si="520"/>
        <v>66.037252534124221</v>
      </c>
      <c r="DB152" s="949">
        <f t="shared" si="520"/>
        <v>-11.314925661324537</v>
      </c>
      <c r="DC152" s="949">
        <f t="shared" si="520"/>
        <v>-69.718182910707654</v>
      </c>
      <c r="DD152" s="949" t="str">
        <f t="shared" si="520"/>
        <v>NM</v>
      </c>
      <c r="DE152" s="949" t="str">
        <f t="shared" si="520"/>
        <v>NM</v>
      </c>
      <c r="DF152" s="949">
        <f t="shared" si="520"/>
        <v>68.496683049390512</v>
      </c>
      <c r="DG152" s="949">
        <f t="shared" si="520"/>
        <v>43.839659385054162</v>
      </c>
      <c r="DH152" s="949">
        <f t="shared" si="520"/>
        <v>308.09604127393493</v>
      </c>
      <c r="DI152" s="949">
        <f t="shared" si="520"/>
        <v>-75.021531156165125</v>
      </c>
      <c r="DJ152" s="949" t="str">
        <f t="shared" si="520"/>
        <v>NM</v>
      </c>
      <c r="DK152" s="949">
        <f t="shared" si="520"/>
        <v>-41.517553497619417</v>
      </c>
      <c r="DL152" s="949">
        <f t="shared" si="520"/>
        <v>-13.469785902890985</v>
      </c>
      <c r="DM152" s="949">
        <f t="shared" si="520"/>
        <v>50.126422250315827</v>
      </c>
      <c r="DN152" s="949">
        <f t="shared" si="520"/>
        <v>291.96719783804423</v>
      </c>
      <c r="DO152" s="949" t="str">
        <f t="shared" si="520"/>
        <v>NM</v>
      </c>
      <c r="DP152" s="949">
        <f t="shared" si="520"/>
        <v>78.703227393706115</v>
      </c>
      <c r="DQ152" s="949">
        <f t="shared" si="520"/>
        <v>26.754130223518182</v>
      </c>
      <c r="DR152" s="949">
        <f t="shared" ref="DR152:DU152" ca="1" si="521">IF(OR(DR63&lt;=0, DN63 &lt;=0), "NM",(DR63/DN63-1)*100)</f>
        <v>129.32338535006625</v>
      </c>
      <c r="DS152" s="949">
        <f t="shared" ca="1" si="521"/>
        <v>164.40962540708298</v>
      </c>
      <c r="DT152" s="949">
        <f t="shared" ca="1" si="521"/>
        <v>69.881355022990903</v>
      </c>
      <c r="DU152" s="949">
        <f t="shared" ca="1" si="521"/>
        <v>125.75632352053425</v>
      </c>
      <c r="DV152" s="949"/>
      <c r="DW152" s="949"/>
      <c r="DX152" s="949"/>
      <c r="DY152" s="949"/>
    </row>
    <row r="153" spans="2:129">
      <c r="B153" s="23"/>
      <c r="C153" s="23"/>
      <c r="L153" s="23"/>
      <c r="M153" s="23"/>
      <c r="N153" s="23"/>
      <c r="O153" s="23"/>
      <c r="P153" s="23"/>
      <c r="Q153" s="23"/>
      <c r="R153" s="23"/>
      <c r="S153" s="23"/>
      <c r="T153" s="23"/>
      <c r="U153" s="23"/>
      <c r="V153" s="23"/>
      <c r="W153" s="23"/>
      <c r="AE153" s="54"/>
      <c r="AG153" s="23"/>
      <c r="AH153" s="23"/>
      <c r="AI153" s="23"/>
      <c r="AJ153" s="123"/>
      <c r="AK153" s="1102"/>
      <c r="AP153" s="42"/>
      <c r="AU153" s="42"/>
      <c r="AZ153" s="42"/>
      <c r="BE153" s="42"/>
      <c r="BJ153" s="42"/>
      <c r="BO153" s="42"/>
      <c r="BT153" s="42"/>
      <c r="BY153" s="42"/>
      <c r="BZ153" s="23"/>
      <c r="CA153" s="23"/>
      <c r="CB153" s="23"/>
      <c r="CC153" s="23"/>
      <c r="CD153" s="1102"/>
      <c r="CE153" s="23"/>
      <c r="CF153" s="23"/>
      <c r="CG153" s="23"/>
      <c r="CH153" s="23"/>
      <c r="CI153" s="1102"/>
      <c r="CJ153" s="23"/>
      <c r="CK153" s="23"/>
      <c r="CL153" s="23"/>
      <c r="CM153" s="23"/>
      <c r="CN153" s="1102"/>
      <c r="CO153" s="23"/>
      <c r="CP153" s="23"/>
      <c r="CQ153" s="23"/>
      <c r="CR153" s="23"/>
      <c r="CS153" s="1102"/>
      <c r="CT153" s="23"/>
      <c r="CU153" s="23"/>
      <c r="CV153" s="23"/>
      <c r="CW153" s="23"/>
      <c r="CX153" s="23"/>
      <c r="CY153" s="23"/>
      <c r="CZ153" s="23"/>
      <c r="DA153" s="23"/>
      <c r="DB153" s="23"/>
      <c r="DC153" s="23"/>
      <c r="DD153" s="23"/>
      <c r="DE153" s="23"/>
      <c r="DF153" s="23"/>
      <c r="DG153" s="23"/>
      <c r="DH153" s="23"/>
      <c r="DI153" s="23"/>
      <c r="DJ153" s="23"/>
      <c r="DK153" s="23"/>
      <c r="DL153" s="23"/>
      <c r="DM153" s="23"/>
      <c r="DN153" s="23"/>
      <c r="DO153" s="23"/>
      <c r="DP153" s="23"/>
      <c r="DQ153" s="23"/>
      <c r="DR153" s="23"/>
      <c r="DS153" s="23"/>
      <c r="DT153" s="23"/>
      <c r="DU153" s="23"/>
      <c r="DV153" s="23"/>
      <c r="DW153" s="23"/>
      <c r="DX153" s="23"/>
      <c r="DY153" s="23"/>
    </row>
    <row r="154" spans="2:129">
      <c r="B154" s="14" t="s">
        <v>143</v>
      </c>
      <c r="C154" s="23"/>
      <c r="L154" s="23"/>
      <c r="M154" s="23"/>
      <c r="N154" s="23"/>
      <c r="O154" s="23"/>
      <c r="P154" s="23"/>
      <c r="Q154" s="23"/>
      <c r="R154" s="23"/>
      <c r="S154" s="23"/>
      <c r="T154" s="23"/>
      <c r="U154" s="23"/>
      <c r="V154" s="23"/>
      <c r="W154" s="23"/>
      <c r="AE154" s="54"/>
      <c r="AG154" s="23"/>
      <c r="AH154" s="23"/>
      <c r="AI154" s="23"/>
      <c r="AJ154" s="123"/>
      <c r="AK154" s="1102"/>
      <c r="AP154" s="42"/>
      <c r="AU154" s="42"/>
      <c r="AZ154" s="42"/>
      <c r="BE154" s="42"/>
      <c r="BJ154" s="42"/>
      <c r="BO154" s="42"/>
      <c r="BT154" s="42"/>
      <c r="BY154" s="42"/>
      <c r="BZ154" s="23"/>
      <c r="CA154" s="23"/>
      <c r="CB154" s="23"/>
      <c r="CC154" s="23"/>
      <c r="CD154" s="1102"/>
      <c r="CE154" s="23"/>
      <c r="CF154" s="23"/>
      <c r="CG154" s="23"/>
      <c r="CH154" s="23"/>
      <c r="CI154" s="1102"/>
      <c r="CJ154" s="23"/>
      <c r="CK154" s="23"/>
      <c r="CL154" s="23"/>
      <c r="CM154" s="23"/>
      <c r="CN154" s="1102"/>
      <c r="CO154" s="23"/>
      <c r="CP154" s="23"/>
      <c r="CQ154" s="23"/>
      <c r="CR154" s="23"/>
      <c r="CS154" s="1102"/>
      <c r="CT154" s="23"/>
      <c r="CU154" s="23"/>
      <c r="CV154" s="23"/>
      <c r="CW154" s="23"/>
      <c r="CX154" s="23"/>
      <c r="CY154" s="23"/>
      <c r="CZ154" s="23"/>
      <c r="DA154" s="23"/>
      <c r="DB154" s="23"/>
      <c r="DC154" s="23"/>
      <c r="DD154" s="23"/>
      <c r="DE154" s="23"/>
      <c r="DF154" s="23"/>
      <c r="DG154" s="23"/>
      <c r="DH154" s="23"/>
      <c r="DI154" s="23"/>
      <c r="DJ154" s="23"/>
      <c r="DK154" s="23"/>
      <c r="DL154" s="23"/>
      <c r="DM154" s="23"/>
      <c r="DN154" s="23"/>
      <c r="DO154" s="23"/>
      <c r="DP154" s="23"/>
      <c r="DQ154" s="23"/>
      <c r="DR154" s="23"/>
      <c r="DS154" s="23"/>
      <c r="DT154" s="23"/>
      <c r="DU154" s="23"/>
      <c r="DV154" s="23"/>
      <c r="DW154" s="23"/>
      <c r="DX154" s="23"/>
      <c r="DY154" s="23"/>
    </row>
    <row r="155" spans="2:129" hidden="1" outlineLevel="1">
      <c r="B155" s="876" t="s">
        <v>1050</v>
      </c>
      <c r="AE155" s="54"/>
      <c r="AJ155" s="124"/>
      <c r="AK155" s="42"/>
      <c r="AL155" s="953" t="str">
        <f t="shared" ref="AL155:AL161" si="522">IF(OR(AJ9&lt;=0,AL9 &lt;= 0), "NM",(AL9/AJ9-1)*100)</f>
        <v>NM</v>
      </c>
      <c r="AM155" s="953" t="str">
        <f t="shared" ref="AM155:AO161" si="523">IF(OR(AL9&lt;=0,AM9 &lt;= 0), "NM",(AM9/AL9-1)*100)</f>
        <v>NM</v>
      </c>
      <c r="AN155" s="953" t="str">
        <f t="shared" si="523"/>
        <v>NM</v>
      </c>
      <c r="AO155" s="953" t="str">
        <f t="shared" si="523"/>
        <v>NM</v>
      </c>
      <c r="AP155" s="1133"/>
      <c r="AQ155" s="953" t="str">
        <f t="shared" ref="AQ155:AQ161" si="524">IF(OR(AO9&lt;=0,AQ9 &lt;= 0), "NM",(AQ9/AO9-1)*100)</f>
        <v>NM</v>
      </c>
      <c r="AR155" s="953" t="str">
        <f t="shared" ref="AR155:AT161" si="525">IF(OR(AQ9&lt;=0,AR9 &lt;= 0), "NM",(AR9/AQ9-1)*100)</f>
        <v>NM</v>
      </c>
      <c r="AS155" s="953" t="str">
        <f t="shared" si="525"/>
        <v>NM</v>
      </c>
      <c r="AT155" s="953" t="str">
        <f t="shared" si="525"/>
        <v>NM</v>
      </c>
      <c r="AU155" s="1133"/>
      <c r="AV155" s="953" t="str">
        <f t="shared" ref="AV155:AV161" si="526">IF(OR(AT9&lt;=0,AV9 &lt;= 0), "NM",(AV9/AT9-1)*100)</f>
        <v>NM</v>
      </c>
      <c r="AW155" s="953" t="str">
        <f t="shared" ref="AW155:AY161" si="527">IF(OR(AV9&lt;=0,AW9 &lt;= 0), "NM",(AW9/AV9-1)*100)</f>
        <v>NM</v>
      </c>
      <c r="AX155" s="953" t="str">
        <f t="shared" si="527"/>
        <v>NM</v>
      </c>
      <c r="AY155" s="953" t="str">
        <f t="shared" si="527"/>
        <v>NM</v>
      </c>
      <c r="AZ155" s="1133"/>
      <c r="BA155" s="953" t="str">
        <f t="shared" ref="BA155:BA161" si="528">IF(OR(AY9&lt;=0,BA9 &lt;= 0), "NM",(BA9/AY9-1)*100)</f>
        <v>NM</v>
      </c>
      <c r="BB155" s="953" t="str">
        <f t="shared" ref="BB155:BD161" si="529">IF(OR(BA9&lt;=0,BB9 &lt;= 0), "NM",(BB9/BA9-1)*100)</f>
        <v>NM</v>
      </c>
      <c r="BC155" s="953" t="str">
        <f t="shared" si="529"/>
        <v>NM</v>
      </c>
      <c r="BD155" s="953" t="str">
        <f t="shared" si="529"/>
        <v>NM</v>
      </c>
      <c r="BE155" s="1133"/>
      <c r="BF155" s="953" t="str">
        <f t="shared" ref="BF155:BF161" si="530">IF(OR(BD9&lt;=0,BF9 &lt;= 0), "NM",(BF9/BD9-1)*100)</f>
        <v>NM</v>
      </c>
      <c r="BG155" s="953" t="str">
        <f t="shared" ref="BG155:BI161" si="531">IF(OR(BF9&lt;=0,BG9 &lt;= 0), "NM",(BG9/BF9-1)*100)</f>
        <v>NM</v>
      </c>
      <c r="BH155" s="953" t="str">
        <f t="shared" si="531"/>
        <v>NM</v>
      </c>
      <c r="BI155" s="953" t="str">
        <f t="shared" si="531"/>
        <v>NM</v>
      </c>
      <c r="BJ155" s="1133"/>
      <c r="BK155" s="953" t="str">
        <f t="shared" ref="BK155:BK161" si="532">IF(OR(BI9&lt;=0,BK9 &lt;= 0), "NM",(BK9/BI9-1)*100)</f>
        <v>NM</v>
      </c>
      <c r="BL155" s="953">
        <f t="shared" ref="BL155:BN161" si="533">IF(OR(BK9&lt;=0,BL9 &lt;= 0), "NM",(BL9/BK9-1)*100)</f>
        <v>8.632206041641588</v>
      </c>
      <c r="BM155" s="953">
        <f t="shared" si="533"/>
        <v>11.17019803351338</v>
      </c>
      <c r="BN155" s="953">
        <f t="shared" si="533"/>
        <v>7.4468085106383031</v>
      </c>
      <c r="BO155" s="1133"/>
      <c r="BP155" s="953">
        <f t="shared" ref="BP155:BP161" si="534">IF(OR(BN9&lt;=0,BP9 &lt;= 0), "NM",(BP9/BN9-1)*100)</f>
        <v>5.662346094094195</v>
      </c>
      <c r="BQ155" s="953">
        <f t="shared" ref="BQ155:BS161" si="535">IF(OR(BP9&lt;=0,BQ9 &lt;= 0), "NM",(BQ9/BP9-1)*100)</f>
        <v>5.3084333647874571</v>
      </c>
      <c r="BR155" s="953">
        <f t="shared" si="535"/>
        <v>7.689422355588893</v>
      </c>
      <c r="BS155" s="953">
        <f t="shared" si="535"/>
        <v>9.4024536553272142</v>
      </c>
      <c r="BT155" s="42"/>
      <c r="BU155" s="953">
        <f t="shared" ref="BU155:BU161" si="536">IF(OR(BS9&lt;=0,BU9 &lt;= 0), "NM",(BU9/BS9-1)*100)</f>
        <v>5.6989228292976257</v>
      </c>
      <c r="BV155" s="953">
        <f t="shared" ref="BV155:BX161" si="537">IF(OR(BU9&lt;=0,BV9 &lt;= 0), "NM",(BV9/BU9-1)*100)</f>
        <v>9.8428688565739044</v>
      </c>
      <c r="BW155" s="953">
        <f t="shared" si="537"/>
        <v>14.687466674791661</v>
      </c>
      <c r="BX155" s="953">
        <f t="shared" si="537"/>
        <v>38.855237639807669</v>
      </c>
      <c r="BY155" s="1133"/>
      <c r="BZ155" s="953">
        <f t="shared" ref="BZ155:BZ161" si="538">IF(OR(BX9&lt;=0,BZ9 &lt;= 0), "NM",(BZ9/BX9-1)*100)</f>
        <v>16.086785991026751</v>
      </c>
      <c r="CA155" s="953">
        <f t="shared" ref="CA155:CC161" si="539">IF(OR(BZ9&lt;=0,CA9 &lt;= 0), "NM",(CA9/BZ9-1)*100)</f>
        <v>9.5798070029419193</v>
      </c>
      <c r="CB155" s="953">
        <f t="shared" si="539"/>
        <v>6.7411674462676929</v>
      </c>
      <c r="CC155" s="953">
        <f t="shared" si="539"/>
        <v>5.4023587763671443</v>
      </c>
      <c r="CD155" s="1133">
        <f>IF(OR(CD9&lt;=0, CC9 &lt;=0), "N.M.",(CD9/CC9-1)*100)</f>
        <v>264.86972447629103</v>
      </c>
      <c r="CE155" s="953">
        <f t="shared" ref="CE155:CE161" si="540">IF(OR(CC9&lt;=0,CE9 &lt;= 0), "NM",(CE9/CC9-1)*100)</f>
        <v>5.9108591901394503</v>
      </c>
      <c r="CF155" s="953">
        <f t="shared" ref="CF155:CH161" si="541">IF(OR(CE9&lt;=0,CF9 &lt;= 0), "NM",(CF9/CE9-1)*100)</f>
        <v>8.4317351324400889</v>
      </c>
      <c r="CG155" s="953">
        <f t="shared" si="541"/>
        <v>6.9699491877608155</v>
      </c>
      <c r="CH155" s="953">
        <f t="shared" si="541"/>
        <v>6.3030514081748201</v>
      </c>
      <c r="CI155" s="1133">
        <f>IF(OR(CI9&lt;=0, CH9 &lt;=0), "N.M.",(CI9/CH9-1)*100)</f>
        <v>263.11473731624426</v>
      </c>
      <c r="CJ155" s="953">
        <f t="shared" ref="CJ155:CJ161" si="542">IF(OR(CH9&lt;=0,CJ9 &lt;= 0), "NM",(CJ9/CH9-1)*100)</f>
        <v>2.5546660660906717</v>
      </c>
      <c r="CK155" s="953">
        <f t="shared" ref="CK155:CM161" si="543">IF(OR(CJ9&lt;=0,CK9 &lt;= 0), "NM",(CK9/CJ9-1)*100)</f>
        <v>14.056219895379019</v>
      </c>
      <c r="CL155" s="953">
        <f t="shared" si="543"/>
        <v>9.5582366787434268</v>
      </c>
      <c r="CM155" s="953">
        <f t="shared" si="543"/>
        <v>3.2416107626362267</v>
      </c>
      <c r="CN155" s="1133">
        <f>IF(OR(CN9&lt;=0, CM9 &lt;=0), "N.M.",(CN9/CM9-1)*100)</f>
        <v>262.78411815026675</v>
      </c>
      <c r="CO155" s="953">
        <f t="shared" ref="CO155:CO161" si="544">IF(OR(CM9&lt;=0,CO9 &lt;= 0), "NM",(CO9/CM9-1)*100)</f>
        <v>5.905580690871215</v>
      </c>
      <c r="CP155" s="953">
        <f t="shared" ref="CP155:CR161" si="545">IF(OR(CO9&lt;=0,CP9 &lt;= 0), "NM",(CP9/CO9-1)*100)</f>
        <v>7.6125268993212147</v>
      </c>
      <c r="CQ155" s="953">
        <f t="shared" si="545"/>
        <v>3.9048372409383525</v>
      </c>
      <c r="CR155" s="953">
        <f t="shared" si="545"/>
        <v>4.5178761411133639</v>
      </c>
      <c r="CS155" s="1133">
        <f>IF(OR(CS9&lt;=0, CR9 &lt;=0), "N.M.",(CS9/CR9-1)*100)</f>
        <v>273.32707376259225</v>
      </c>
      <c r="CT155" s="953">
        <f t="shared" ref="CT155:DU155" si="546">IF(OR(CS9&lt;=0,CT9 &lt;= 0), "NM",(CT9/CS9-1)*100)</f>
        <v>-71.97488252985174</v>
      </c>
      <c r="CU155" s="953">
        <f t="shared" si="546"/>
        <v>3.8187940115860464</v>
      </c>
      <c r="CV155" s="953">
        <f t="shared" si="546"/>
        <v>5.263960632527076</v>
      </c>
      <c r="CW155" s="953">
        <f t="shared" si="546"/>
        <v>5.4436051581931544</v>
      </c>
      <c r="CX155" s="953">
        <f t="shared" si="546"/>
        <v>2.3676493846237712</v>
      </c>
      <c r="CY155" s="953">
        <f t="shared" si="546"/>
        <v>0.82465662523967254</v>
      </c>
      <c r="CZ155" s="953">
        <f t="shared" si="546"/>
        <v>2.6330927661541326</v>
      </c>
      <c r="DA155" s="953">
        <f t="shared" si="546"/>
        <v>4.4357256669008249</v>
      </c>
      <c r="DB155" s="953">
        <f t="shared" si="546"/>
        <v>1.8587177636327779</v>
      </c>
      <c r="DC155" s="953">
        <f t="shared" si="546"/>
        <v>4.1500334772895275</v>
      </c>
      <c r="DD155" s="953">
        <f t="shared" si="546"/>
        <v>2.1660849202491894</v>
      </c>
      <c r="DE155" s="953">
        <f t="shared" si="546"/>
        <v>3.8054771712453972</v>
      </c>
      <c r="DF155" s="953">
        <f t="shared" si="546"/>
        <v>0.30850053326223481</v>
      </c>
      <c r="DG155" s="953">
        <f t="shared" si="546"/>
        <v>3.1284718977457882</v>
      </c>
      <c r="DH155" s="953">
        <f t="shared" si="546"/>
        <v>3.0289361873502507</v>
      </c>
      <c r="DI155" s="953">
        <f t="shared" si="546"/>
        <v>4.5937473126265393</v>
      </c>
      <c r="DJ155" s="953">
        <f t="shared" si="546"/>
        <v>15.834074550224631</v>
      </c>
      <c r="DK155" s="953">
        <f t="shared" si="546"/>
        <v>6.9005457393453096</v>
      </c>
      <c r="DL155" s="953">
        <f t="shared" si="546"/>
        <v>2.7420929604372812</v>
      </c>
      <c r="DM155" s="953">
        <f t="shared" si="546"/>
        <v>1.1268433112037846</v>
      </c>
      <c r="DN155" s="953">
        <f t="shared" si="546"/>
        <v>0.43717466071762079</v>
      </c>
      <c r="DO155" s="953">
        <f t="shared" si="546"/>
        <v>13.117297786621386</v>
      </c>
      <c r="DP155" s="953">
        <f t="shared" si="546"/>
        <v>7.7277683957807985</v>
      </c>
      <c r="DQ155" s="953">
        <f t="shared" si="546"/>
        <v>2.2585085679023953</v>
      </c>
      <c r="DR155" s="953">
        <f t="shared" ca="1" si="546"/>
        <v>-0.14363985123270195</v>
      </c>
      <c r="DS155" s="953">
        <f t="shared" ca="1" si="546"/>
        <v>2.2451596635947091</v>
      </c>
      <c r="DT155" s="953">
        <f t="shared" ca="1" si="546"/>
        <v>3.1012563058655296</v>
      </c>
      <c r="DU155" s="953">
        <f t="shared" ca="1" si="546"/>
        <v>3.1549883077886642</v>
      </c>
      <c r="DV155" s="809"/>
      <c r="DW155" s="809"/>
      <c r="DX155" s="809"/>
      <c r="DY155" s="809"/>
    </row>
    <row r="156" spans="2:129" hidden="1" outlineLevel="1">
      <c r="B156" s="17" t="s">
        <v>1124</v>
      </c>
      <c r="AE156" s="54"/>
      <c r="AJ156" s="124"/>
      <c r="AK156" s="42"/>
      <c r="AL156" s="953" t="str">
        <f t="shared" si="522"/>
        <v>NM</v>
      </c>
      <c r="AM156" s="953" t="str">
        <f t="shared" si="523"/>
        <v>NM</v>
      </c>
      <c r="AN156" s="953" t="str">
        <f t="shared" si="523"/>
        <v>NM</v>
      </c>
      <c r="AO156" s="953" t="str">
        <f t="shared" si="523"/>
        <v>NM</v>
      </c>
      <c r="AP156" s="1133"/>
      <c r="AQ156" s="953" t="str">
        <f t="shared" si="524"/>
        <v>NM</v>
      </c>
      <c r="AR156" s="953" t="str">
        <f t="shared" si="525"/>
        <v>NM</v>
      </c>
      <c r="AS156" s="953" t="str">
        <f t="shared" si="525"/>
        <v>NM</v>
      </c>
      <c r="AT156" s="953" t="str">
        <f t="shared" si="525"/>
        <v>NM</v>
      </c>
      <c r="AU156" s="1133"/>
      <c r="AV156" s="953" t="str">
        <f t="shared" si="526"/>
        <v>NM</v>
      </c>
      <c r="AW156" s="953" t="str">
        <f t="shared" si="527"/>
        <v>NM</v>
      </c>
      <c r="AX156" s="953" t="str">
        <f t="shared" si="527"/>
        <v>NM</v>
      </c>
      <c r="AY156" s="953" t="str">
        <f t="shared" si="527"/>
        <v>NM</v>
      </c>
      <c r="AZ156" s="1133"/>
      <c r="BA156" s="953" t="str">
        <f t="shared" si="528"/>
        <v>NM</v>
      </c>
      <c r="BB156" s="953" t="str">
        <f t="shared" si="529"/>
        <v>NM</v>
      </c>
      <c r="BC156" s="953" t="str">
        <f t="shared" si="529"/>
        <v>NM</v>
      </c>
      <c r="BD156" s="953" t="str">
        <f t="shared" si="529"/>
        <v>NM</v>
      </c>
      <c r="BE156" s="1133"/>
      <c r="BF156" s="953" t="str">
        <f t="shared" si="530"/>
        <v>NM</v>
      </c>
      <c r="BG156" s="953" t="str">
        <f t="shared" si="531"/>
        <v>NM</v>
      </c>
      <c r="BH156" s="953" t="str">
        <f t="shared" si="531"/>
        <v>NM</v>
      </c>
      <c r="BI156" s="953" t="str">
        <f t="shared" si="531"/>
        <v>NM</v>
      </c>
      <c r="BJ156" s="1133"/>
      <c r="BK156" s="953" t="str">
        <f t="shared" si="532"/>
        <v>NM</v>
      </c>
      <c r="BL156" s="953">
        <f t="shared" si="533"/>
        <v>5.5877305877305883</v>
      </c>
      <c r="BM156" s="953">
        <f t="shared" si="533"/>
        <v>6.9273743016759592</v>
      </c>
      <c r="BN156" s="953">
        <f t="shared" si="533"/>
        <v>6.2125961812482089</v>
      </c>
      <c r="BO156" s="1133"/>
      <c r="BP156" s="953">
        <f t="shared" si="534"/>
        <v>5.5719524192827219</v>
      </c>
      <c r="BQ156" s="953">
        <f t="shared" si="535"/>
        <v>7.1162317858353141</v>
      </c>
      <c r="BR156" s="953">
        <f t="shared" si="535"/>
        <v>9.6330275229357767</v>
      </c>
      <c r="BS156" s="953">
        <f t="shared" si="535"/>
        <v>11.823690665127673</v>
      </c>
      <c r="BT156" s="42"/>
      <c r="BU156" s="953">
        <f t="shared" si="536"/>
        <v>7.8640087736274955</v>
      </c>
      <c r="BV156" s="953">
        <f t="shared" si="537"/>
        <v>5.5801435406698463</v>
      </c>
      <c r="BW156" s="953">
        <f t="shared" si="537"/>
        <v>6.4861496629468052</v>
      </c>
      <c r="BX156" s="953">
        <f t="shared" si="537"/>
        <v>9.1286307053942028</v>
      </c>
      <c r="BY156" s="1133"/>
      <c r="BZ156" s="953">
        <f t="shared" si="538"/>
        <v>7.9652919957102553</v>
      </c>
      <c r="CA156" s="953">
        <f t="shared" si="539"/>
        <v>5.6167599783276234</v>
      </c>
      <c r="CB156" s="953">
        <f t="shared" si="539"/>
        <v>4.1253419972640204</v>
      </c>
      <c r="CC156" s="953">
        <f t="shared" si="539"/>
        <v>4.9185039208441195</v>
      </c>
      <c r="CD156" s="1133">
        <f>IF(OR(CD10&lt;=0, CC10 &lt;=0), "N.M.",(CD10/CC10-1)*100)</f>
        <v>273.51594599882606</v>
      </c>
      <c r="CE156" s="953">
        <f t="shared" si="540"/>
        <v>-1.4009000195656429</v>
      </c>
      <c r="CF156" s="953">
        <f t="shared" si="541"/>
        <v>2.7781085049807475</v>
      </c>
      <c r="CG156" s="953">
        <f t="shared" si="541"/>
        <v>5.166621616403444</v>
      </c>
      <c r="CH156" s="953">
        <f t="shared" si="541"/>
        <v>4.0132182852946618</v>
      </c>
      <c r="CI156" s="1133">
        <f>IF(OR(CI10&lt;=0, CH10 &lt;=0), "N.M.",(CI10/CH10-1)*100)</f>
        <v>276.5073425585993</v>
      </c>
      <c r="CJ156" s="953">
        <f t="shared" si="542"/>
        <v>3.1911889296808882</v>
      </c>
      <c r="CK156" s="953">
        <f t="shared" si="543"/>
        <v>36.18409619613476</v>
      </c>
      <c r="CL156" s="953">
        <f t="shared" si="543"/>
        <v>18.225733719493075</v>
      </c>
      <c r="CM156" s="953">
        <f t="shared" si="543"/>
        <v>6.5214317099223873</v>
      </c>
      <c r="CN156" s="1133">
        <f>IF(OR(CN10&lt;=0, CM10 &lt;=0), "N.M.",(CN10/CM10-1)*100)</f>
        <v>231.59091875934502</v>
      </c>
      <c r="CO156" s="953">
        <f t="shared" si="544"/>
        <v>4.2267756458152839</v>
      </c>
      <c r="CP156" s="953">
        <f t="shared" si="545"/>
        <v>9.1749627762982335</v>
      </c>
      <c r="CQ156" s="953">
        <f t="shared" si="545"/>
        <v>0.81767630920590584</v>
      </c>
      <c r="CR156" s="953">
        <f t="shared" si="545"/>
        <v>6.0960319115121786</v>
      </c>
      <c r="CS156" s="1133">
        <f>IF(OR(CS10&lt;=0, CR10 &lt;=0), "N.M.",(CS10/CR10-1)*100)</f>
        <v>273.37701291051428</v>
      </c>
      <c r="CT156" s="953">
        <f t="shared" ref="CT156:DU156" si="547">IF(OR(CS10&lt;=0,CT10 &lt;= 0), "NM",(CT10/CS10-1)*100)</f>
        <v>-72.399715412689275</v>
      </c>
      <c r="CU156" s="953">
        <f t="shared" si="547"/>
        <v>3.4206383283240216</v>
      </c>
      <c r="CV156" s="953">
        <f t="shared" si="547"/>
        <v>8.6831503521235263</v>
      </c>
      <c r="CW156" s="953">
        <f t="shared" si="547"/>
        <v>3.9954160241083336</v>
      </c>
      <c r="CX156" s="953">
        <f t="shared" si="547"/>
        <v>3.3820828515066959</v>
      </c>
      <c r="CY156" s="953">
        <f t="shared" si="547"/>
        <v>3.1082628205971741</v>
      </c>
      <c r="CZ156" s="953">
        <f t="shared" si="547"/>
        <v>4.2078797238140453</v>
      </c>
      <c r="DA156" s="953">
        <f t="shared" si="547"/>
        <v>2.7176974892835215</v>
      </c>
      <c r="DB156" s="953">
        <f t="shared" si="547"/>
        <v>3.7642036986252458</v>
      </c>
      <c r="DC156" s="953">
        <f t="shared" si="547"/>
        <v>4.5308298669362923</v>
      </c>
      <c r="DD156" s="953">
        <f t="shared" si="547"/>
        <v>5.1435104266288612</v>
      </c>
      <c r="DE156" s="953">
        <f t="shared" si="547"/>
        <v>3.1981850117096089</v>
      </c>
      <c r="DF156" s="953">
        <f t="shared" si="547"/>
        <v>2.9896562553821004</v>
      </c>
      <c r="DG156" s="953">
        <f t="shared" si="547"/>
        <v>2.9540223100985585</v>
      </c>
      <c r="DH156" s="953">
        <f t="shared" si="547"/>
        <v>5.6439361366698249</v>
      </c>
      <c r="DI156" s="953">
        <f t="shared" si="547"/>
        <v>7.5555314376672955</v>
      </c>
      <c r="DJ156" s="953">
        <f t="shared" si="547"/>
        <v>6.9650695413800756</v>
      </c>
      <c r="DK156" s="953">
        <f t="shared" si="547"/>
        <v>6.6947053968004377</v>
      </c>
      <c r="DL156" s="953">
        <f t="shared" si="547"/>
        <v>-0.20777919408198064</v>
      </c>
      <c r="DM156" s="953">
        <f t="shared" si="547"/>
        <v>7.7222956460103909</v>
      </c>
      <c r="DN156" s="953">
        <f t="shared" si="547"/>
        <v>1.4818571878983944</v>
      </c>
      <c r="DO156" s="953">
        <f t="shared" si="547"/>
        <v>11.90328245305956</v>
      </c>
      <c r="DP156" s="953">
        <f t="shared" si="547"/>
        <v>8.3653219381473178</v>
      </c>
      <c r="DQ156" s="953">
        <f t="shared" si="547"/>
        <v>4.645657888874033</v>
      </c>
      <c r="DR156" s="953">
        <f t="shared" si="547"/>
        <v>8.587839858138647</v>
      </c>
      <c r="DS156" s="953">
        <f t="shared" si="547"/>
        <v>2.3392250339761</v>
      </c>
      <c r="DT156" s="953">
        <f t="shared" si="547"/>
        <v>2.9173577450049226</v>
      </c>
      <c r="DU156" s="953">
        <f t="shared" si="547"/>
        <v>3.0435481655745056</v>
      </c>
      <c r="DV156" s="809"/>
      <c r="DW156" s="809"/>
      <c r="DX156" s="809"/>
      <c r="DY156" s="809"/>
    </row>
    <row r="157" spans="2:129" hidden="1" outlineLevel="1">
      <c r="B157" s="876" t="s">
        <v>1221</v>
      </c>
      <c r="AE157" s="54"/>
      <c r="AJ157" s="124"/>
      <c r="AK157" s="42"/>
      <c r="AL157" s="953" t="str">
        <f t="shared" si="522"/>
        <v>NM</v>
      </c>
      <c r="AM157" s="953" t="str">
        <f t="shared" si="523"/>
        <v>NM</v>
      </c>
      <c r="AN157" s="953" t="str">
        <f t="shared" si="523"/>
        <v>NM</v>
      </c>
      <c r="AO157" s="953" t="str">
        <f t="shared" si="523"/>
        <v>NM</v>
      </c>
      <c r="AP157" s="1133"/>
      <c r="AQ157" s="953" t="str">
        <f t="shared" si="524"/>
        <v>NM</v>
      </c>
      <c r="AR157" s="953" t="str">
        <f t="shared" si="525"/>
        <v>NM</v>
      </c>
      <c r="AS157" s="953" t="str">
        <f t="shared" si="525"/>
        <v>NM</v>
      </c>
      <c r="AT157" s="953" t="str">
        <f t="shared" si="525"/>
        <v>NM</v>
      </c>
      <c r="AU157" s="1133"/>
      <c r="AV157" s="953" t="str">
        <f t="shared" si="526"/>
        <v>NM</v>
      </c>
      <c r="AW157" s="953" t="str">
        <f t="shared" si="527"/>
        <v>NM</v>
      </c>
      <c r="AX157" s="953" t="str">
        <f t="shared" si="527"/>
        <v>NM</v>
      </c>
      <c r="AY157" s="953" t="str">
        <f t="shared" si="527"/>
        <v>NM</v>
      </c>
      <c r="AZ157" s="1133"/>
      <c r="BA157" s="953" t="str">
        <f t="shared" si="528"/>
        <v>NM</v>
      </c>
      <c r="BB157" s="953" t="str">
        <f t="shared" si="529"/>
        <v>NM</v>
      </c>
      <c r="BC157" s="953" t="str">
        <f t="shared" si="529"/>
        <v>NM</v>
      </c>
      <c r="BD157" s="953" t="str">
        <f t="shared" si="529"/>
        <v>NM</v>
      </c>
      <c r="BE157" s="1133"/>
      <c r="BF157" s="953" t="str">
        <f t="shared" si="530"/>
        <v>NM</v>
      </c>
      <c r="BG157" s="953" t="str">
        <f t="shared" si="531"/>
        <v>NM</v>
      </c>
      <c r="BH157" s="953" t="str">
        <f t="shared" si="531"/>
        <v>NM</v>
      </c>
      <c r="BI157" s="953" t="str">
        <f t="shared" si="531"/>
        <v>NM</v>
      </c>
      <c r="BJ157" s="1133"/>
      <c r="BK157" s="953" t="str">
        <f t="shared" si="532"/>
        <v>NM</v>
      </c>
      <c r="BL157" s="953">
        <f t="shared" si="533"/>
        <v>4.1903621670158486</v>
      </c>
      <c r="BM157" s="953">
        <f t="shared" si="533"/>
        <v>4.1654696926170631</v>
      </c>
      <c r="BN157" s="953">
        <f t="shared" si="533"/>
        <v>3.6955322669608437</v>
      </c>
      <c r="BO157" s="1133"/>
      <c r="BP157" s="953">
        <f t="shared" si="534"/>
        <v>4.6010638297872442</v>
      </c>
      <c r="BQ157" s="953">
        <f t="shared" si="535"/>
        <v>2.8731248410882371</v>
      </c>
      <c r="BR157" s="953">
        <f t="shared" si="535"/>
        <v>0.49431537320809849</v>
      </c>
      <c r="BS157" s="953">
        <f t="shared" si="535"/>
        <v>2.1151008362026547</v>
      </c>
      <c r="BT157" s="42"/>
      <c r="BU157" s="953">
        <f t="shared" si="536"/>
        <v>-1.2764932562620457</v>
      </c>
      <c r="BV157" s="953">
        <f t="shared" si="537"/>
        <v>4.5376921200292797</v>
      </c>
      <c r="BW157" s="953">
        <f t="shared" si="537"/>
        <v>12.718786464410737</v>
      </c>
      <c r="BX157" s="953">
        <f t="shared" si="537"/>
        <v>30.538302277432706</v>
      </c>
      <c r="BY157" s="1133"/>
      <c r="BZ157" s="953">
        <f t="shared" si="538"/>
        <v>3.0927835051546504</v>
      </c>
      <c r="CA157" s="953">
        <f t="shared" si="539"/>
        <v>5.1230769230769191</v>
      </c>
      <c r="CB157" s="953">
        <f t="shared" si="539"/>
        <v>1.9757061320064384</v>
      </c>
      <c r="CC157" s="953">
        <f t="shared" si="539"/>
        <v>6.7594718714121704</v>
      </c>
      <c r="CD157" s="1133"/>
      <c r="CE157" s="953">
        <f t="shared" si="540"/>
        <v>-0.8334453555585486</v>
      </c>
      <c r="CF157" s="953">
        <f t="shared" si="541"/>
        <v>-0.12200081333875179</v>
      </c>
      <c r="CG157" s="953">
        <f t="shared" si="541"/>
        <v>-4.7231270358306325</v>
      </c>
      <c r="CH157" s="953">
        <f t="shared" si="541"/>
        <v>6.4957264957264949</v>
      </c>
      <c r="CI157" s="1133"/>
      <c r="CJ157" s="953">
        <f t="shared" si="542"/>
        <v>-2.3542001070090968</v>
      </c>
      <c r="CK157" s="953">
        <f t="shared" si="543"/>
        <v>-0.39852580755972422</v>
      </c>
      <c r="CL157" s="953">
        <f t="shared" si="543"/>
        <v>6.8703327835387684</v>
      </c>
      <c r="CM157" s="953">
        <f t="shared" si="543"/>
        <v>3.8464692608567219</v>
      </c>
      <c r="CN157" s="1133"/>
      <c r="CO157" s="953">
        <f t="shared" si="544"/>
        <v>4.675005879712435</v>
      </c>
      <c r="CP157" s="953">
        <f t="shared" si="545"/>
        <v>78.873328532980835</v>
      </c>
      <c r="CQ157" s="953">
        <f t="shared" si="545"/>
        <v>57.660034825078377</v>
      </c>
      <c r="CR157" s="953">
        <f t="shared" si="545"/>
        <v>-15.434725290756358</v>
      </c>
      <c r="CS157" s="1133"/>
      <c r="CT157" s="953">
        <f t="shared" ref="CT157:DU157" si="548">IF(OR(CS11&lt;=0,CT11 &lt;= 0), "NM",(CT11/CS11-1)*100)</f>
        <v>-67.763286872385862</v>
      </c>
      <c r="CU157" s="953">
        <f t="shared" si="548"/>
        <v>-6.7123035927593611</v>
      </c>
      <c r="CV157" s="953">
        <f t="shared" si="548"/>
        <v>14.410243782319633</v>
      </c>
      <c r="CW157" s="953">
        <f t="shared" si="548"/>
        <v>-1.8251474323102923</v>
      </c>
      <c r="CX157" s="953">
        <f t="shared" si="548"/>
        <v>1.372385671065901</v>
      </c>
      <c r="CY157" s="953">
        <f t="shared" si="548"/>
        <v>7.2275086505190433</v>
      </c>
      <c r="CZ157" s="953">
        <f t="shared" si="548"/>
        <v>-1.5247468839498346</v>
      </c>
      <c r="DA157" s="953">
        <f t="shared" si="548"/>
        <v>2.7157661901445973</v>
      </c>
      <c r="DB157" s="953">
        <f t="shared" si="548"/>
        <v>1.2282660711437243</v>
      </c>
      <c r="DC157" s="953">
        <f t="shared" si="548"/>
        <v>9.7384179010400196</v>
      </c>
      <c r="DD157" s="953">
        <f t="shared" si="548"/>
        <v>-0.35539919586445867</v>
      </c>
      <c r="DE157" s="953">
        <f t="shared" si="548"/>
        <v>-12.476132146845842</v>
      </c>
      <c r="DF157" s="953">
        <f t="shared" si="548"/>
        <v>-1.8070305425207711</v>
      </c>
      <c r="DG157" s="953">
        <f t="shared" si="548"/>
        <v>-1.6306853909033747</v>
      </c>
      <c r="DH157" s="953">
        <f t="shared" si="548"/>
        <v>-4.8538310747464504</v>
      </c>
      <c r="DI157" s="953">
        <f t="shared" si="548"/>
        <v>25.587853271823356</v>
      </c>
      <c r="DJ157" s="953">
        <f t="shared" si="548"/>
        <v>59.543509272467922</v>
      </c>
      <c r="DK157" s="953">
        <f t="shared" si="548"/>
        <v>1.1333154506437682</v>
      </c>
      <c r="DL157" s="953">
        <f t="shared" si="548"/>
        <v>22.288530822447683</v>
      </c>
      <c r="DM157" s="953">
        <f t="shared" si="548"/>
        <v>-2.4165416523578176</v>
      </c>
      <c r="DN157" s="953">
        <f t="shared" si="548"/>
        <v>1.1465086127060653</v>
      </c>
      <c r="DO157" s="953">
        <f t="shared" si="548"/>
        <v>6.5630207474958402</v>
      </c>
      <c r="DP157" s="953">
        <f t="shared" si="548"/>
        <v>8.738164384032455</v>
      </c>
      <c r="DQ157" s="953">
        <f t="shared" si="548"/>
        <v>9.1832864502670688</v>
      </c>
      <c r="DR157" s="953">
        <f t="shared" si="548"/>
        <v>0</v>
      </c>
      <c r="DS157" s="953">
        <f t="shared" si="548"/>
        <v>0</v>
      </c>
      <c r="DT157" s="953">
        <f t="shared" si="548"/>
        <v>0</v>
      </c>
      <c r="DU157" s="953">
        <f t="shared" si="548"/>
        <v>0</v>
      </c>
      <c r="DV157" s="809"/>
      <c r="DW157" s="809"/>
      <c r="DX157" s="809"/>
      <c r="DY157" s="809"/>
    </row>
    <row r="158" spans="2:129" hidden="1" outlineLevel="1">
      <c r="B158" s="876" t="s">
        <v>1222</v>
      </c>
      <c r="AE158" s="54"/>
      <c r="AJ158" s="124"/>
      <c r="AK158" s="42"/>
      <c r="AL158" s="953" t="str">
        <f t="shared" si="522"/>
        <v>NM</v>
      </c>
      <c r="AM158" s="953" t="str">
        <f t="shared" si="523"/>
        <v>NM</v>
      </c>
      <c r="AN158" s="953" t="str">
        <f t="shared" si="523"/>
        <v>NM</v>
      </c>
      <c r="AO158" s="953" t="str">
        <f t="shared" si="523"/>
        <v>NM</v>
      </c>
      <c r="AP158" s="1133"/>
      <c r="AQ158" s="953" t="str">
        <f t="shared" si="524"/>
        <v>NM</v>
      </c>
      <c r="AR158" s="953" t="str">
        <f t="shared" si="525"/>
        <v>NM</v>
      </c>
      <c r="AS158" s="953" t="str">
        <f t="shared" si="525"/>
        <v>NM</v>
      </c>
      <c r="AT158" s="953" t="str">
        <f t="shared" si="525"/>
        <v>NM</v>
      </c>
      <c r="AU158" s="1133"/>
      <c r="AV158" s="953" t="str">
        <f t="shared" si="526"/>
        <v>NM</v>
      </c>
      <c r="AW158" s="953" t="str">
        <f t="shared" si="527"/>
        <v>NM</v>
      </c>
      <c r="AX158" s="953" t="str">
        <f t="shared" si="527"/>
        <v>NM</v>
      </c>
      <c r="AY158" s="953" t="str">
        <f t="shared" si="527"/>
        <v>NM</v>
      </c>
      <c r="AZ158" s="1133"/>
      <c r="BA158" s="953" t="str">
        <f t="shared" si="528"/>
        <v>NM</v>
      </c>
      <c r="BB158" s="953" t="str">
        <f t="shared" si="529"/>
        <v>NM</v>
      </c>
      <c r="BC158" s="953" t="str">
        <f t="shared" si="529"/>
        <v>NM</v>
      </c>
      <c r="BD158" s="953" t="str">
        <f t="shared" si="529"/>
        <v>NM</v>
      </c>
      <c r="BE158" s="1133"/>
      <c r="BF158" s="953" t="str">
        <f t="shared" si="530"/>
        <v>NM</v>
      </c>
      <c r="BG158" s="953" t="str">
        <f t="shared" si="531"/>
        <v>NM</v>
      </c>
      <c r="BH158" s="953" t="str">
        <f t="shared" si="531"/>
        <v>NM</v>
      </c>
      <c r="BI158" s="953" t="str">
        <f t="shared" si="531"/>
        <v>NM</v>
      </c>
      <c r="BJ158" s="1133"/>
      <c r="BK158" s="953" t="str">
        <f t="shared" si="532"/>
        <v>NM</v>
      </c>
      <c r="BL158" s="953" t="str">
        <f t="shared" si="533"/>
        <v>NM</v>
      </c>
      <c r="BM158" s="953" t="str">
        <f t="shared" si="533"/>
        <v>NM</v>
      </c>
      <c r="BN158" s="953" t="str">
        <f t="shared" si="533"/>
        <v>NM</v>
      </c>
      <c r="BO158" s="1133"/>
      <c r="BP158" s="953">
        <f t="shared" si="534"/>
        <v>42.948717948717949</v>
      </c>
      <c r="BQ158" s="953">
        <f t="shared" si="535"/>
        <v>-7.8475336322870071</v>
      </c>
      <c r="BR158" s="953">
        <f t="shared" si="535"/>
        <v>-24.087591240875906</v>
      </c>
      <c r="BS158" s="953">
        <f t="shared" si="535"/>
        <v>-32.371794871794876</v>
      </c>
      <c r="BT158" s="42"/>
      <c r="BU158" s="953">
        <f t="shared" si="536"/>
        <v>45.97156398104265</v>
      </c>
      <c r="BV158" s="953">
        <f t="shared" si="537"/>
        <v>5.5194805194805241</v>
      </c>
      <c r="BW158" s="953">
        <f t="shared" si="537"/>
        <v>16.307692307692314</v>
      </c>
      <c r="BX158" s="953">
        <f t="shared" si="537"/>
        <v>-40.211640211640209</v>
      </c>
      <c r="BY158" s="1133"/>
      <c r="BZ158" s="953">
        <f t="shared" si="538"/>
        <v>60.176991150442461</v>
      </c>
      <c r="CA158" s="953">
        <f t="shared" si="539"/>
        <v>-45.856353591160214</v>
      </c>
      <c r="CB158" s="953">
        <f t="shared" si="539"/>
        <v>29.591836734693878</v>
      </c>
      <c r="CC158" s="953">
        <f t="shared" si="539"/>
        <v>-14.96062992125985</v>
      </c>
      <c r="CD158" s="1134"/>
      <c r="CE158" s="953">
        <f t="shared" si="540"/>
        <v>22.222222222222232</v>
      </c>
      <c r="CF158" s="953">
        <f t="shared" si="541"/>
        <v>-9.4696969696969724</v>
      </c>
      <c r="CG158" s="953">
        <f t="shared" si="541"/>
        <v>23.43096234309623</v>
      </c>
      <c r="CH158" s="953">
        <f t="shared" si="541"/>
        <v>-0.67796610169491567</v>
      </c>
      <c r="CI158" s="1133"/>
      <c r="CJ158" s="953">
        <f t="shared" si="542"/>
        <v>17.74744027303754</v>
      </c>
      <c r="CK158" s="953">
        <f t="shared" si="543"/>
        <v>58.50891701891949</v>
      </c>
      <c r="CL158" s="953">
        <f t="shared" si="543"/>
        <v>40.459816434518793</v>
      </c>
      <c r="CM158" s="953">
        <f t="shared" si="543"/>
        <v>-2.4783246074875698</v>
      </c>
      <c r="CN158" s="1133"/>
      <c r="CO158" s="953">
        <f t="shared" si="544"/>
        <v>-19.633556665437091</v>
      </c>
      <c r="CP158" s="953">
        <f t="shared" si="545"/>
        <v>7.6022750230206215</v>
      </c>
      <c r="CQ158" s="953">
        <f t="shared" si="545"/>
        <v>22.360460122714642</v>
      </c>
      <c r="CR158" s="953">
        <f t="shared" si="545"/>
        <v>-13.512520642508029</v>
      </c>
      <c r="CS158" s="1133"/>
      <c r="CT158" s="953">
        <f t="shared" ref="CT158:DU158" si="549">IF(OR(CS12&lt;=0,CT12 &lt;= 0), "NM",(CT12/CS12-1)*100)</f>
        <v>-71.296700898560601</v>
      </c>
      <c r="CU158" s="953">
        <f t="shared" si="549"/>
        <v>-0.25542784163472554</v>
      </c>
      <c r="CV158" s="953">
        <f t="shared" si="549"/>
        <v>0.2560819462227748</v>
      </c>
      <c r="CW158" s="953">
        <f t="shared" si="549"/>
        <v>4.0868454661558085</v>
      </c>
      <c r="CX158" s="953">
        <f t="shared" si="549"/>
        <v>-28.834355828220847</v>
      </c>
      <c r="CY158" s="953">
        <f t="shared" si="549"/>
        <v>0.51724137931032921</v>
      </c>
      <c r="CZ158" s="953">
        <f t="shared" si="549"/>
        <v>60.205831903945104</v>
      </c>
      <c r="DA158" s="953">
        <f t="shared" si="549"/>
        <v>159.42184154175592</v>
      </c>
      <c r="DB158" s="953">
        <f t="shared" si="549"/>
        <v>10.193974411886098</v>
      </c>
      <c r="DC158" s="953">
        <f t="shared" si="549"/>
        <v>0.11235955056179137</v>
      </c>
      <c r="DD158" s="953">
        <f t="shared" si="549"/>
        <v>-4.0029928918817852</v>
      </c>
      <c r="DE158" s="953">
        <f t="shared" si="549"/>
        <v>-5.4169914263444969</v>
      </c>
      <c r="DF158" s="953">
        <f t="shared" si="549"/>
        <v>7.0869386073341589</v>
      </c>
      <c r="DG158" s="953">
        <f t="shared" si="549"/>
        <v>-24.817237398999627</v>
      </c>
      <c r="DH158" s="953">
        <f t="shared" si="549"/>
        <v>11.258955987717512</v>
      </c>
      <c r="DI158" s="953">
        <f t="shared" si="549"/>
        <v>81.876724931002755</v>
      </c>
      <c r="DJ158" s="953">
        <f t="shared" si="549"/>
        <v>33.029843196762762</v>
      </c>
      <c r="DK158" s="953">
        <f t="shared" si="549"/>
        <v>54.714828897338407</v>
      </c>
      <c r="DL158" s="953">
        <f t="shared" si="549"/>
        <v>-33.644630130253127</v>
      </c>
      <c r="DM158" s="953">
        <f t="shared" si="549"/>
        <v>-25.148148148148152</v>
      </c>
      <c r="DN158" s="953">
        <f t="shared" si="549"/>
        <v>5.1212271152894839</v>
      </c>
      <c r="DO158" s="953">
        <f t="shared" si="549"/>
        <v>-7.2722993645563783</v>
      </c>
      <c r="DP158" s="953">
        <f t="shared" si="549"/>
        <v>-10.380710659898472</v>
      </c>
      <c r="DQ158" s="953">
        <f t="shared" si="549"/>
        <v>10.818465024072509</v>
      </c>
      <c r="DR158" s="953">
        <f t="shared" si="549"/>
        <v>1.2777919754663802</v>
      </c>
      <c r="DS158" s="953">
        <f t="shared" si="549"/>
        <v>1.2616704516780208</v>
      </c>
      <c r="DT158" s="953">
        <f t="shared" si="549"/>
        <v>1.2459506603538673</v>
      </c>
      <c r="DU158" s="953">
        <f t="shared" si="549"/>
        <v>1.23061777012059</v>
      </c>
      <c r="DV158" s="809"/>
      <c r="DW158" s="809"/>
      <c r="DX158" s="809"/>
      <c r="DY158" s="809"/>
    </row>
    <row r="159" spans="2:129" hidden="1" outlineLevel="1">
      <c r="B159" s="15" t="s">
        <v>1219</v>
      </c>
      <c r="AE159" s="54"/>
      <c r="AJ159" s="124"/>
      <c r="AK159" s="42"/>
      <c r="AL159" s="953" t="str">
        <f t="shared" si="522"/>
        <v>NM</v>
      </c>
      <c r="AM159" s="953" t="str">
        <f t="shared" si="523"/>
        <v>NM</v>
      </c>
      <c r="AN159" s="953" t="str">
        <f t="shared" si="523"/>
        <v>NM</v>
      </c>
      <c r="AO159" s="953" t="str">
        <f t="shared" si="523"/>
        <v>NM</v>
      </c>
      <c r="AP159" s="1107"/>
      <c r="AQ159" s="953" t="str">
        <f t="shared" si="524"/>
        <v>NM</v>
      </c>
      <c r="AR159" s="953" t="str">
        <f t="shared" si="525"/>
        <v>NM</v>
      </c>
      <c r="AS159" s="953" t="str">
        <f t="shared" si="525"/>
        <v>NM</v>
      </c>
      <c r="AT159" s="953" t="str">
        <f t="shared" si="525"/>
        <v>NM</v>
      </c>
      <c r="AU159" s="1107"/>
      <c r="AV159" s="953" t="str">
        <f t="shared" si="526"/>
        <v>NM</v>
      </c>
      <c r="AW159" s="953" t="str">
        <f t="shared" si="527"/>
        <v>NM</v>
      </c>
      <c r="AX159" s="953" t="str">
        <f t="shared" si="527"/>
        <v>NM</v>
      </c>
      <c r="AY159" s="953" t="str">
        <f t="shared" si="527"/>
        <v>NM</v>
      </c>
      <c r="AZ159" s="1107"/>
      <c r="BA159" s="953" t="str">
        <f t="shared" si="528"/>
        <v>NM</v>
      </c>
      <c r="BB159" s="953">
        <f t="shared" si="529"/>
        <v>7.8662407169231896</v>
      </c>
      <c r="BC159" s="953">
        <f t="shared" si="529"/>
        <v>9.0772722027770314</v>
      </c>
      <c r="BD159" s="953">
        <f t="shared" si="529"/>
        <v>11.061744067139179</v>
      </c>
      <c r="BE159" s="1107"/>
      <c r="BF159" s="953">
        <f t="shared" si="530"/>
        <v>9.4837439674879231</v>
      </c>
      <c r="BG159" s="953">
        <f t="shared" si="531"/>
        <v>8.0851434039961756</v>
      </c>
      <c r="BH159" s="953">
        <f t="shared" si="531"/>
        <v>7.474980547879051</v>
      </c>
      <c r="BI159" s="953">
        <f t="shared" si="531"/>
        <v>6.4008787477844109</v>
      </c>
      <c r="BJ159" s="1107"/>
      <c r="BK159" s="953">
        <f t="shared" si="532"/>
        <v>7.6957368433401285</v>
      </c>
      <c r="BL159" s="953">
        <f t="shared" si="533"/>
        <v>7.6904642600379214</v>
      </c>
      <c r="BM159" s="953">
        <f t="shared" si="533"/>
        <v>9.8318868726102959</v>
      </c>
      <c r="BN159" s="953">
        <f t="shared" si="533"/>
        <v>7.5316350776371666</v>
      </c>
      <c r="BO159" s="1107"/>
      <c r="BP159" s="953">
        <f t="shared" si="534"/>
        <v>5.7759506680370221</v>
      </c>
      <c r="BQ159" s="953">
        <f t="shared" si="535"/>
        <v>5.4038735587511377</v>
      </c>
      <c r="BR159" s="953">
        <f t="shared" si="535"/>
        <v>7.4190723470939801</v>
      </c>
      <c r="BS159" s="953">
        <f t="shared" si="535"/>
        <v>9.2722903973225801</v>
      </c>
      <c r="BT159" s="42"/>
      <c r="BU159" s="953">
        <f t="shared" si="536"/>
        <v>5.8703420112302451</v>
      </c>
      <c r="BV159" s="953">
        <f t="shared" si="537"/>
        <v>8.6764087728407944</v>
      </c>
      <c r="BW159" s="953">
        <f t="shared" si="537"/>
        <v>12.950491445212942</v>
      </c>
      <c r="BX159" s="953">
        <f t="shared" si="537"/>
        <v>32.521553460639765</v>
      </c>
      <c r="BY159" s="1107"/>
      <c r="BZ159" s="953">
        <f t="shared" si="538"/>
        <v>14.273662770371942</v>
      </c>
      <c r="CA159" s="953">
        <f t="shared" si="539"/>
        <v>8.6699166661124103</v>
      </c>
      <c r="CB159" s="953">
        <f t="shared" si="539"/>
        <v>6.1948040025704421</v>
      </c>
      <c r="CC159" s="953">
        <f t="shared" si="539"/>
        <v>5.3591290766899169</v>
      </c>
      <c r="CD159" s="1143"/>
      <c r="CE159" s="953">
        <f t="shared" si="540"/>
        <v>4.6336206896551824</v>
      </c>
      <c r="CF159" s="953">
        <f t="shared" si="541"/>
        <v>7.3324376460501606</v>
      </c>
      <c r="CG159" s="953">
        <f t="shared" si="541"/>
        <v>6.342024129012791</v>
      </c>
      <c r="CH159" s="953">
        <f t="shared" si="541"/>
        <v>6.0141801093737124</v>
      </c>
      <c r="CI159" s="1107">
        <f>IF(OR(CI13&lt;=0, CH13 &lt;=0), "N.M.",(CI13/CH13-1)*100)</f>
        <v>265.67040373274574</v>
      </c>
      <c r="CJ159" s="953">
        <f t="shared" si="542"/>
        <v>2.4932495193657811</v>
      </c>
      <c r="CK159" s="953">
        <f t="shared" si="543"/>
        <v>16.402653897384845</v>
      </c>
      <c r="CL159" s="953">
        <f t="shared" si="543"/>
        <v>10.798156067919873</v>
      </c>
      <c r="CM159" s="953">
        <f t="shared" si="543"/>
        <v>3.7471238822360364</v>
      </c>
      <c r="CN159" s="1107">
        <f>IF(OR(CN13&lt;=0, CM13 &lt;=0), "N.M.",(CN13/CM13-1)*100)</f>
        <v>258.11840608884393</v>
      </c>
      <c r="CO159" s="953">
        <f t="shared" si="544"/>
        <v>5.5488874817678058</v>
      </c>
      <c r="CP159" s="953">
        <f t="shared" si="545"/>
        <v>9.6526755947672793</v>
      </c>
      <c r="CQ159" s="953">
        <f t="shared" si="545"/>
        <v>5.6686663690703076</v>
      </c>
      <c r="CR159" s="953">
        <f t="shared" si="545"/>
        <v>3.4906005450601851</v>
      </c>
      <c r="CS159" s="1107">
        <f>IF(OR(CS13&lt;=0, CR13 &lt;=0), "N.M.",(CS13/CR13-1)*100)</f>
        <v>271.46441327641776</v>
      </c>
      <c r="CT159" s="953">
        <f t="shared" ref="CT159:DU159" si="550">IF(OR(CS13&lt;=0,CT13 &lt;= 0), "NM",(CT13/CS13-1)*100)</f>
        <v>-71.847959078379048</v>
      </c>
      <c r="CU159" s="953">
        <f t="shared" si="550"/>
        <v>3.2060360113770336</v>
      </c>
      <c r="CV159" s="953">
        <f t="shared" si="550"/>
        <v>6.1960494909078179</v>
      </c>
      <c r="CW159" s="953">
        <f t="shared" si="550"/>
        <v>4.8523069305640654</v>
      </c>
      <c r="CX159" s="953">
        <f t="shared" si="550"/>
        <v>2.4224047586500985</v>
      </c>
      <c r="CY159" s="953">
        <f t="shared" si="550"/>
        <v>1.4745552270677642</v>
      </c>
      <c r="CZ159" s="953">
        <f t="shared" si="550"/>
        <v>2.7404576197555208</v>
      </c>
      <c r="DA159" s="953">
        <f t="shared" si="550"/>
        <v>4.3629719570336345</v>
      </c>
      <c r="DB159" s="953">
        <f t="shared" si="550"/>
        <v>2.1638850685796962</v>
      </c>
      <c r="DC159" s="953">
        <f t="shared" si="550"/>
        <v>4.4487659699874449</v>
      </c>
      <c r="DD159" s="953">
        <f t="shared" si="550"/>
        <v>2.486771933857912</v>
      </c>
      <c r="DE159" s="953">
        <f t="shared" si="550"/>
        <v>2.8985310212155779</v>
      </c>
      <c r="DF159" s="953">
        <f t="shared" si="550"/>
        <v>0.68787035997173174</v>
      </c>
      <c r="DG159" s="953">
        <f t="shared" si="550"/>
        <v>2.7940300857695277</v>
      </c>
      <c r="DH159" s="953">
        <f t="shared" si="550"/>
        <v>3.1961524898235449</v>
      </c>
      <c r="DI159" s="953">
        <f t="shared" si="550"/>
        <v>6.084694945733915</v>
      </c>
      <c r="DJ159" s="953">
        <f t="shared" si="550"/>
        <v>16.182266584265225</v>
      </c>
      <c r="DK159" s="953">
        <f t="shared" si="550"/>
        <v>6.8595422873588108</v>
      </c>
      <c r="DL159" s="953">
        <f t="shared" si="550"/>
        <v>2.9626507594177287</v>
      </c>
      <c r="DM159" s="953">
        <f t="shared" si="550"/>
        <v>1.7600791784776915</v>
      </c>
      <c r="DN159" s="953">
        <f t="shared" si="550"/>
        <v>0.67208849426632078</v>
      </c>
      <c r="DO159" s="953">
        <f t="shared" si="550"/>
        <v>12.422421085436962</v>
      </c>
      <c r="DP159" s="953">
        <f t="shared" si="550"/>
        <v>7.8199253896844345</v>
      </c>
      <c r="DQ159" s="953">
        <f t="shared" si="550"/>
        <v>3.0821839191282674</v>
      </c>
      <c r="DR159" s="953">
        <f t="shared" ca="1" si="550"/>
        <v>1.3315084979239611</v>
      </c>
      <c r="DS159" s="953">
        <f t="shared" ca="1" si="550"/>
        <v>2.1222441062832109</v>
      </c>
      <c r="DT159" s="953">
        <f t="shared" ca="1" si="550"/>
        <v>2.8773539133706283</v>
      </c>
      <c r="DU159" s="953">
        <f t="shared" ca="1" si="550"/>
        <v>2.9460204354567754</v>
      </c>
      <c r="DV159" s="26"/>
      <c r="DW159" s="26"/>
      <c r="DX159" s="26"/>
      <c r="DY159" s="26"/>
    </row>
    <row r="160" spans="2:129" hidden="1" outlineLevel="1">
      <c r="B160" s="15" t="s">
        <v>1220</v>
      </c>
      <c r="AE160" s="54"/>
      <c r="AJ160" s="124"/>
      <c r="AK160" s="42"/>
      <c r="AL160" s="953" t="str">
        <f t="shared" si="522"/>
        <v>NM</v>
      </c>
      <c r="AM160" s="953" t="str">
        <f t="shared" si="523"/>
        <v>NM</v>
      </c>
      <c r="AN160" s="953" t="str">
        <f t="shared" si="523"/>
        <v>NM</v>
      </c>
      <c r="AO160" s="953" t="str">
        <f t="shared" si="523"/>
        <v>NM</v>
      </c>
      <c r="AP160" s="1107"/>
      <c r="AQ160" s="953" t="str">
        <f t="shared" si="524"/>
        <v>NM</v>
      </c>
      <c r="AR160" s="953" t="str">
        <f t="shared" si="525"/>
        <v>NM</v>
      </c>
      <c r="AS160" s="953" t="str">
        <f t="shared" si="525"/>
        <v>NM</v>
      </c>
      <c r="AT160" s="953" t="str">
        <f t="shared" si="525"/>
        <v>NM</v>
      </c>
      <c r="AU160" s="1107"/>
      <c r="AV160" s="953" t="str">
        <f t="shared" si="526"/>
        <v>NM</v>
      </c>
      <c r="AW160" s="953" t="str">
        <f t="shared" si="527"/>
        <v>NM</v>
      </c>
      <c r="AX160" s="953" t="str">
        <f t="shared" si="527"/>
        <v>NM</v>
      </c>
      <c r="AY160" s="953" t="str">
        <f t="shared" si="527"/>
        <v>NM</v>
      </c>
      <c r="AZ160" s="1107"/>
      <c r="BA160" s="953" t="str">
        <f t="shared" si="528"/>
        <v>NM</v>
      </c>
      <c r="BB160" s="953">
        <f t="shared" si="529"/>
        <v>82.807807807807805</v>
      </c>
      <c r="BC160" s="953">
        <f t="shared" si="529"/>
        <v>5.1334702258726939</v>
      </c>
      <c r="BD160" s="953">
        <f t="shared" si="529"/>
        <v>-35.234375000000007</v>
      </c>
      <c r="BE160" s="1107"/>
      <c r="BF160" s="953">
        <f t="shared" si="530"/>
        <v>40.952955367913169</v>
      </c>
      <c r="BG160" s="953">
        <f t="shared" si="531"/>
        <v>-7.9161317928968744</v>
      </c>
      <c r="BH160" s="953">
        <f t="shared" si="531"/>
        <v>10.68773234200744</v>
      </c>
      <c r="BI160" s="953">
        <f t="shared" si="531"/>
        <v>-0.58774139378674484</v>
      </c>
      <c r="BJ160" s="1107"/>
      <c r="BK160" s="953">
        <f t="shared" si="532"/>
        <v>17.525337837837853</v>
      </c>
      <c r="BL160" s="953">
        <f t="shared" si="533"/>
        <v>9.5220984549047927</v>
      </c>
      <c r="BM160" s="953">
        <f t="shared" si="533"/>
        <v>24.835958005249338</v>
      </c>
      <c r="BN160" s="953">
        <f t="shared" si="533"/>
        <v>-10.170827858081477</v>
      </c>
      <c r="BO160" s="1107"/>
      <c r="BP160" s="953">
        <f t="shared" si="534"/>
        <v>-8.8063194850789941</v>
      </c>
      <c r="BQ160" s="953">
        <f t="shared" si="535"/>
        <v>10.972088546679505</v>
      </c>
      <c r="BR160" s="953">
        <f t="shared" si="535"/>
        <v>10.089621277825955</v>
      </c>
      <c r="BS160" s="953">
        <f t="shared" si="535"/>
        <v>19.485294117647058</v>
      </c>
      <c r="BT160" s="42"/>
      <c r="BU160" s="953">
        <f t="shared" si="536"/>
        <v>-7.1868131868131897</v>
      </c>
      <c r="BV160" s="953">
        <f t="shared" si="537"/>
        <v>-6.8671560502012845</v>
      </c>
      <c r="BW160" s="953">
        <f t="shared" si="537"/>
        <v>14.263920671243335</v>
      </c>
      <c r="BX160" s="953">
        <f t="shared" si="537"/>
        <v>58.789497107254121</v>
      </c>
      <c r="BY160" s="1107"/>
      <c r="BZ160" s="953">
        <f t="shared" si="538"/>
        <v>10.131726457399104</v>
      </c>
      <c r="CA160" s="953">
        <f t="shared" si="539"/>
        <v>10.052169487212105</v>
      </c>
      <c r="CB160" s="953">
        <f t="shared" si="539"/>
        <v>18.1408255289629</v>
      </c>
      <c r="CC160" s="953">
        <f t="shared" si="539"/>
        <v>-23.008416519866902</v>
      </c>
      <c r="CD160" s="1107">
        <f>IF(OR(CD14&lt;=0, CC14 &lt;=0), "N.M.",(CD14/CC14-1)*100)</f>
        <v>339.72289309775005</v>
      </c>
      <c r="CE160" s="953">
        <f t="shared" si="540"/>
        <v>0.97877208592855869</v>
      </c>
      <c r="CF160" s="953">
        <f t="shared" si="541"/>
        <v>-1.1203423967774406</v>
      </c>
      <c r="CG160" s="953">
        <f t="shared" si="541"/>
        <v>17.428389560789292</v>
      </c>
      <c r="CH160" s="953">
        <f t="shared" si="541"/>
        <v>20.197311361665228</v>
      </c>
      <c r="CI160" s="1107">
        <f>IF(OR(CI14&lt;=0, CH14 &lt;=0), "N.M.",(CI14/CH14-1)*100)</f>
        <v>225.69676197348247</v>
      </c>
      <c r="CJ160" s="953">
        <f t="shared" si="542"/>
        <v>2.9403806259583387</v>
      </c>
      <c r="CK160" s="953">
        <f t="shared" si="543"/>
        <v>21.510558135459569</v>
      </c>
      <c r="CL160" s="953">
        <f t="shared" si="543"/>
        <v>11.23449668301124</v>
      </c>
      <c r="CM160" s="953">
        <f t="shared" si="543"/>
        <v>21.360041488396231</v>
      </c>
      <c r="CN160" s="1107">
        <f>IF(OR(CN14&lt;=0, CM14 &lt;=0), "N.M.",(CN14/CM14-1)*100)</f>
        <v>217.44030767587202</v>
      </c>
      <c r="CO160" s="953">
        <f t="shared" si="544"/>
        <v>0.96682869504833846</v>
      </c>
      <c r="CP160" s="953">
        <f t="shared" si="545"/>
        <v>-4.121257009840229</v>
      </c>
      <c r="CQ160" s="953">
        <f t="shared" si="545"/>
        <v>10.323897809413452</v>
      </c>
      <c r="CR160" s="953">
        <f t="shared" si="545"/>
        <v>1.785535660698212</v>
      </c>
      <c r="CS160" s="1107">
        <f>IF(OR(CS14&lt;=0, CR14 &lt;=0), "N.M.",(CS14/CR14-1)*100)</f>
        <v>280.17787823694169</v>
      </c>
      <c r="CT160" s="953">
        <f t="shared" ref="CT160:DU160" si="551">IF(OR(CS14&lt;=0,CT14 &lt;= 0), "NM",(CT14/CS14-1)*100)</f>
        <v>-73.107147473180817</v>
      </c>
      <c r="CU160" s="953">
        <f t="shared" si="551"/>
        <v>5.3251309655404366</v>
      </c>
      <c r="CV160" s="953">
        <f t="shared" si="551"/>
        <v>11.124800365046772</v>
      </c>
      <c r="CW160" s="953">
        <f t="shared" si="551"/>
        <v>-4.5990227076746271</v>
      </c>
      <c r="CX160" s="953">
        <f t="shared" si="551"/>
        <v>-6.9771445788318287</v>
      </c>
      <c r="CY160" s="953">
        <f t="shared" si="551"/>
        <v>25.194336479733458</v>
      </c>
      <c r="CZ160" s="953">
        <f t="shared" si="551"/>
        <v>1.7038104741841309</v>
      </c>
      <c r="DA160" s="953">
        <f t="shared" si="551"/>
        <v>-3.2742205102115118</v>
      </c>
      <c r="DB160" s="953">
        <f t="shared" si="551"/>
        <v>14.024871322838806</v>
      </c>
      <c r="DC160" s="953">
        <f t="shared" si="551"/>
        <v>2.1515650741350756</v>
      </c>
      <c r="DD160" s="953">
        <f t="shared" si="551"/>
        <v>3.2287198013095431</v>
      </c>
      <c r="DE160" s="953">
        <f t="shared" si="551"/>
        <v>1.952880889888764</v>
      </c>
      <c r="DF160" s="953">
        <f t="shared" si="551"/>
        <v>2.7215054092984747</v>
      </c>
      <c r="DG160" s="953">
        <f t="shared" si="551"/>
        <v>16.033654563355924</v>
      </c>
      <c r="DH160" s="953">
        <f t="shared" si="551"/>
        <v>2.6664266796945224</v>
      </c>
      <c r="DI160" s="953">
        <f t="shared" si="551"/>
        <v>11.175115207373288</v>
      </c>
      <c r="DJ160" s="953">
        <f t="shared" si="551"/>
        <v>6.0193737328227082</v>
      </c>
      <c r="DK160" s="953">
        <f t="shared" si="551"/>
        <v>3.5633844715481588</v>
      </c>
      <c r="DL160" s="953">
        <f t="shared" si="551"/>
        <v>-2.1933154147602552</v>
      </c>
      <c r="DM160" s="953">
        <f t="shared" si="551"/>
        <v>5.3178099433606185</v>
      </c>
      <c r="DN160" s="953">
        <f t="shared" si="551"/>
        <v>1.7528134647943228</v>
      </c>
      <c r="DO160" s="953">
        <f t="shared" si="551"/>
        <v>10.351375159048647</v>
      </c>
      <c r="DP160" s="953">
        <f t="shared" si="551"/>
        <v>12.160076632430417</v>
      </c>
      <c r="DQ160" s="953">
        <f t="shared" si="551"/>
        <v>22.765230594040631</v>
      </c>
      <c r="DR160" s="953">
        <f t="shared" si="551"/>
        <v>0.51531782226688083</v>
      </c>
      <c r="DS160" s="953">
        <f t="shared" si="551"/>
        <v>0.51267591192230011</v>
      </c>
      <c r="DT160" s="953">
        <f t="shared" si="551"/>
        <v>0.51006095228378623</v>
      </c>
      <c r="DU160" s="953">
        <f t="shared" si="551"/>
        <v>0.50747253304916917</v>
      </c>
      <c r="DV160" s="26"/>
      <c r="DW160" s="26"/>
      <c r="DX160" s="26"/>
      <c r="DY160" s="26"/>
    </row>
    <row r="161" spans="1:129" collapsed="1">
      <c r="B161" s="14" t="s">
        <v>988</v>
      </c>
      <c r="C161" s="14"/>
      <c r="D161" s="14"/>
      <c r="E161" s="195"/>
      <c r="F161" s="195">
        <f t="shared" ref="F161:AD161" si="552">100*(F15/E15-1)</f>
        <v>387.20036877689</v>
      </c>
      <c r="G161" s="195">
        <f t="shared" si="552"/>
        <v>21.720755669095148</v>
      </c>
      <c r="H161" s="195">
        <f t="shared" si="552"/>
        <v>52.798362439757483</v>
      </c>
      <c r="I161" s="195">
        <f t="shared" si="552"/>
        <v>38.772447474182201</v>
      </c>
      <c r="J161" s="195">
        <f t="shared" si="552"/>
        <v>35.061800807717944</v>
      </c>
      <c r="K161" s="195">
        <f t="shared" si="552"/>
        <v>30.325662611905546</v>
      </c>
      <c r="L161" s="195">
        <f t="shared" si="552"/>
        <v>45.592063701430789</v>
      </c>
      <c r="M161" s="195">
        <f t="shared" si="552"/>
        <v>68.004157905026162</v>
      </c>
      <c r="N161" s="195">
        <f t="shared" si="552"/>
        <v>25.235426008968641</v>
      </c>
      <c r="O161" s="195">
        <f t="shared" si="552"/>
        <v>35.546946263437505</v>
      </c>
      <c r="P161" s="195">
        <f t="shared" si="552"/>
        <v>31.2293619703498</v>
      </c>
      <c r="Q161" s="195">
        <f t="shared" si="552"/>
        <v>20.231573261034619</v>
      </c>
      <c r="R161" s="195">
        <f t="shared" si="552"/>
        <v>14.061321114605674</v>
      </c>
      <c r="S161" s="195">
        <f t="shared" si="552"/>
        <v>13.517911375411895</v>
      </c>
      <c r="T161" s="195">
        <f t="shared" si="552"/>
        <v>11.543288559707854</v>
      </c>
      <c r="U161" s="195">
        <f t="shared" si="552"/>
        <v>32.507895653016064</v>
      </c>
      <c r="V161" s="195">
        <f t="shared" si="552"/>
        <v>20.942450267705691</v>
      </c>
      <c r="W161" s="195">
        <f t="shared" ca="1" si="552"/>
        <v>15.35404945649077</v>
      </c>
      <c r="X161" s="195">
        <f t="shared" ca="1" si="552"/>
        <v>9.1568694979586205</v>
      </c>
      <c r="Y161" s="195">
        <f t="shared" ca="1" si="552"/>
        <v>7.9399725781270636</v>
      </c>
      <c r="Z161" s="195">
        <f t="shared" ca="1" si="552"/>
        <v>6.9378802964205288</v>
      </c>
      <c r="AA161" s="195">
        <f t="shared" ca="1" si="552"/>
        <v>6.463659746777517</v>
      </c>
      <c r="AB161" s="195">
        <f t="shared" ca="1" si="552"/>
        <v>6.0443500662150207</v>
      </c>
      <c r="AC161" s="195">
        <f t="shared" ca="1" si="552"/>
        <v>5.6712936339346154</v>
      </c>
      <c r="AD161" s="195">
        <f t="shared" ca="1" si="552"/>
        <v>5.3374238065655444</v>
      </c>
      <c r="AE161" s="54"/>
      <c r="AG161" s="14"/>
      <c r="AH161" s="14"/>
      <c r="AI161" s="14"/>
      <c r="AJ161" s="122"/>
      <c r="AK161" s="43"/>
      <c r="AL161" s="953">
        <f t="shared" si="522"/>
        <v>267.56756756756761</v>
      </c>
      <c r="AM161" s="953">
        <f t="shared" si="523"/>
        <v>555.88235294117646</v>
      </c>
      <c r="AN161" s="953">
        <f t="shared" si="523"/>
        <v>340.91928251121078</v>
      </c>
      <c r="AO161" s="953">
        <f t="shared" si="523"/>
        <v>104.80549199084668</v>
      </c>
      <c r="AP161" s="1132"/>
      <c r="AQ161" s="953">
        <f t="shared" si="524"/>
        <v>56.585971446306637</v>
      </c>
      <c r="AR161" s="953">
        <f t="shared" si="525"/>
        <v>28.097994133037353</v>
      </c>
      <c r="AS161" s="953">
        <f t="shared" si="525"/>
        <v>6.3192424336200981</v>
      </c>
      <c r="AT161" s="953">
        <f t="shared" si="525"/>
        <v>1.6765630457562075</v>
      </c>
      <c r="AU161" s="1111"/>
      <c r="AV161" s="953">
        <f t="shared" si="526"/>
        <v>15.412802015344095</v>
      </c>
      <c r="AW161" s="953">
        <f t="shared" si="527"/>
        <v>-10.506994741541831</v>
      </c>
      <c r="AX161" s="953">
        <f t="shared" si="527"/>
        <v>11.901330376940145</v>
      </c>
      <c r="AY161" s="953">
        <f t="shared" si="527"/>
        <v>-6.8558973596869244</v>
      </c>
      <c r="AZ161" s="1111"/>
      <c r="BA161" s="953">
        <f t="shared" si="528"/>
        <v>35.270967398819344</v>
      </c>
      <c r="BB161" s="953">
        <f t="shared" si="529"/>
        <v>11.79083939453507</v>
      </c>
      <c r="BC161" s="953">
        <f t="shared" si="529"/>
        <v>8.7395371738060224</v>
      </c>
      <c r="BD161" s="953">
        <f t="shared" si="529"/>
        <v>7.2285649600569046</v>
      </c>
      <c r="BE161" s="1111"/>
      <c r="BF161" s="953">
        <f t="shared" si="530"/>
        <v>11.057489292393097</v>
      </c>
      <c r="BG161" s="953">
        <f t="shared" si="531"/>
        <v>7.0695274307441602</v>
      </c>
      <c r="BH161" s="953">
        <f t="shared" si="531"/>
        <v>7.6503563909392946</v>
      </c>
      <c r="BI161" s="953">
        <f t="shared" si="531"/>
        <v>6.0086241428874532</v>
      </c>
      <c r="BJ161" s="1111"/>
      <c r="BK161" s="953">
        <f t="shared" si="532"/>
        <v>8.2131187623641253</v>
      </c>
      <c r="BL161" s="953">
        <f t="shared" si="533"/>
        <v>7.7951688439733768</v>
      </c>
      <c r="BM161" s="953">
        <f t="shared" si="533"/>
        <v>10.703328950627867</v>
      </c>
      <c r="BN161" s="953">
        <f t="shared" si="533"/>
        <v>6.3722115119801748</v>
      </c>
      <c r="BO161" s="1111"/>
      <c r="BP161" s="953">
        <f t="shared" si="534"/>
        <v>4.9694164859704237</v>
      </c>
      <c r="BQ161" s="953">
        <f t="shared" si="535"/>
        <v>5.6714301129969558</v>
      </c>
      <c r="BR161" s="953">
        <f t="shared" si="535"/>
        <v>7.5538308922215025</v>
      </c>
      <c r="BS161" s="953">
        <f t="shared" si="535"/>
        <v>9.7997992567072636</v>
      </c>
      <c r="BT161" s="42"/>
      <c r="BU161" s="953">
        <f t="shared" si="536"/>
        <v>5.1364405628096188</v>
      </c>
      <c r="BV161" s="953">
        <f t="shared" si="537"/>
        <v>7.9051569164248381</v>
      </c>
      <c r="BW161" s="953">
        <f t="shared" si="537"/>
        <v>13.0067402027505</v>
      </c>
      <c r="BX161" s="953">
        <f t="shared" si="537"/>
        <v>33.659016014337737</v>
      </c>
      <c r="BY161" s="1111"/>
      <c r="BZ161" s="953">
        <f t="shared" si="538"/>
        <v>14.060585088743771</v>
      </c>
      <c r="CA161" s="953">
        <f t="shared" si="539"/>
        <v>8.7385758889632967</v>
      </c>
      <c r="CB161" s="953">
        <f t="shared" si="539"/>
        <v>6.7953546767105966</v>
      </c>
      <c r="CC161" s="953">
        <f t="shared" si="539"/>
        <v>3.7815331863825907</v>
      </c>
      <c r="CD161" s="1111">
        <f>100*(CD15/CC15-1)</f>
        <v>269.55575483918335</v>
      </c>
      <c r="CE161" s="953">
        <f t="shared" si="540"/>
        <v>4.4828327643261501</v>
      </c>
      <c r="CF161" s="953">
        <f t="shared" si="541"/>
        <v>6.9953973026285921</v>
      </c>
      <c r="CG161" s="953">
        <f t="shared" si="541"/>
        <v>6.7505441717331083</v>
      </c>
      <c r="CH161" s="953">
        <f t="shared" si="541"/>
        <v>6.589089375016477</v>
      </c>
      <c r="CI161" s="1111">
        <f>100*(CI15/CH15-1)</f>
        <v>263.84321712457535</v>
      </c>
      <c r="CJ161" s="953">
        <f t="shared" si="542"/>
        <v>2.5136877865365115</v>
      </c>
      <c r="CK161" s="953">
        <f t="shared" si="543"/>
        <v>16.63710692582714</v>
      </c>
      <c r="CL161" s="953">
        <f t="shared" si="543"/>
        <v>10.819020953944115</v>
      </c>
      <c r="CM161" s="953">
        <f t="shared" si="543"/>
        <v>4.5924939482379745</v>
      </c>
      <c r="CN161" s="1111">
        <f>100*(CN15/CM15-1)</f>
        <v>255.85297214966948</v>
      </c>
      <c r="CO161" s="953">
        <f t="shared" si="544"/>
        <v>5.2937046710733737</v>
      </c>
      <c r="CP161" s="953">
        <f t="shared" si="545"/>
        <v>8.9171038765471842</v>
      </c>
      <c r="CQ161" s="953">
        <f t="shared" si="545"/>
        <v>5.8875103434143261</v>
      </c>
      <c r="CR161" s="953">
        <f t="shared" si="545"/>
        <v>3.4070865833104813</v>
      </c>
      <c r="CS161" s="1111">
        <f>100*(CS15/CR15-1)</f>
        <v>271.88450568090292</v>
      </c>
      <c r="CT161" s="953">
        <f>IF(OR(CR15&lt;=0,CT15 &lt;= 0), "NM",(CT15/CR15-1)*100)</f>
        <v>4.4622805105705599</v>
      </c>
      <c r="CU161" s="953">
        <f t="shared" ref="CU161:DU161" si="553">IF(OR(CT15&lt;=0,CU15 &lt;= 0), "NM",(CU15/CT15-1)*100)</f>
        <v>3.3060287741069505</v>
      </c>
      <c r="CV161" s="953">
        <f t="shared" si="553"/>
        <v>6.4331657629574268</v>
      </c>
      <c r="CW161" s="953">
        <f t="shared" si="553"/>
        <v>4.3775717512143375</v>
      </c>
      <c r="CX161" s="953">
        <f t="shared" si="553"/>
        <v>1.9908745818175255</v>
      </c>
      <c r="CY161" s="953">
        <f t="shared" si="553"/>
        <v>2.4677699977137868</v>
      </c>
      <c r="CZ161" s="953">
        <f t="shared" si="553"/>
        <v>2.6874228308982895</v>
      </c>
      <c r="DA161" s="953">
        <f t="shared" si="553"/>
        <v>3.9759963467898007</v>
      </c>
      <c r="DB161" s="953">
        <f t="shared" si="553"/>
        <v>2.7229726020362</v>
      </c>
      <c r="DC161" s="953">
        <f t="shared" si="553"/>
        <v>4.3285699755022389</v>
      </c>
      <c r="DD161" s="953">
        <f t="shared" si="553"/>
        <v>2.5247826611430435</v>
      </c>
      <c r="DE161" s="953">
        <f t="shared" si="553"/>
        <v>2.8497517890529345</v>
      </c>
      <c r="DF161" s="953">
        <f t="shared" si="553"/>
        <v>0.79185608998919577</v>
      </c>
      <c r="DG161" s="953">
        <f t="shared" si="553"/>
        <v>3.4839716779595964</v>
      </c>
      <c r="DH161" s="953">
        <f t="shared" si="553"/>
        <v>3.1651997800421494</v>
      </c>
      <c r="DI161" s="953">
        <f t="shared" si="553"/>
        <v>6.380698144175545</v>
      </c>
      <c r="DJ161" s="953">
        <f t="shared" si="553"/>
        <v>15.564670030747685</v>
      </c>
      <c r="DK161" s="953">
        <f t="shared" si="553"/>
        <v>6.6757803060097709</v>
      </c>
      <c r="DL161" s="953">
        <f t="shared" si="553"/>
        <v>2.6835904098788443</v>
      </c>
      <c r="DM161" s="953">
        <f t="shared" si="553"/>
        <v>1.9434915581241663</v>
      </c>
      <c r="DN161" s="953">
        <f t="shared" si="553"/>
        <v>0.72964747142887365</v>
      </c>
      <c r="DO161" s="953">
        <f t="shared" si="553"/>
        <v>12.310997604065177</v>
      </c>
      <c r="DP161" s="953">
        <f t="shared" si="553"/>
        <v>8.0493538668124476</v>
      </c>
      <c r="DQ161" s="953">
        <f t="shared" si="553"/>
        <v>4.1622514343538475</v>
      </c>
      <c r="DR161" s="953">
        <f t="shared" ca="1" si="553"/>
        <v>1.2787229254120236</v>
      </c>
      <c r="DS161" s="953">
        <f t="shared" ca="1" si="553"/>
        <v>2.0189329974904302</v>
      </c>
      <c r="DT161" s="953">
        <f t="shared" ca="1" si="553"/>
        <v>2.7276511882898147</v>
      </c>
      <c r="DU161" s="953">
        <f t="shared" ca="1" si="553"/>
        <v>2.7951406115654276</v>
      </c>
      <c r="DV161" s="195"/>
      <c r="DW161" s="195"/>
      <c r="DX161" s="195"/>
      <c r="DY161" s="195"/>
    </row>
    <row r="162" spans="1:129">
      <c r="B162" s="23" t="s">
        <v>989</v>
      </c>
      <c r="C162" s="23"/>
      <c r="E162" s="949"/>
      <c r="F162" s="949" t="str">
        <f t="shared" ref="F162:Z162" si="554">IF(OR(F19&lt;=0, E19 &lt;=0), "NM",(F19/E19-1)*100)</f>
        <v>NM</v>
      </c>
      <c r="G162" s="949">
        <f t="shared" si="554"/>
        <v>136.63277846050752</v>
      </c>
      <c r="H162" s="949">
        <f t="shared" si="554"/>
        <v>111.34979462726018</v>
      </c>
      <c r="I162" s="949">
        <f t="shared" si="554"/>
        <v>81.461376937854581</v>
      </c>
      <c r="J162" s="949">
        <f t="shared" si="554"/>
        <v>54.493863331404782</v>
      </c>
      <c r="K162" s="949">
        <f t="shared" si="554"/>
        <v>40.200796812749019</v>
      </c>
      <c r="L162" s="949">
        <f t="shared" si="554"/>
        <v>44.375170501045737</v>
      </c>
      <c r="M162" s="949">
        <f t="shared" si="554"/>
        <v>73.207206994421867</v>
      </c>
      <c r="N162" s="949">
        <f t="shared" si="554"/>
        <v>29.074772727272769</v>
      </c>
      <c r="O162" s="949">
        <f t="shared" si="554"/>
        <v>36.898450334460797</v>
      </c>
      <c r="P162" s="949">
        <f t="shared" si="554"/>
        <v>33.768453708491244</v>
      </c>
      <c r="Q162" s="949">
        <f t="shared" si="554"/>
        <v>24.283218480987557</v>
      </c>
      <c r="R162" s="949">
        <f t="shared" si="554"/>
        <v>14.030500145445114</v>
      </c>
      <c r="S162" s="949">
        <f t="shared" si="554"/>
        <v>13.72396434047516</v>
      </c>
      <c r="T162" s="949">
        <f t="shared" si="554"/>
        <v>12.719369678139515</v>
      </c>
      <c r="U162" s="949">
        <f t="shared" si="554"/>
        <v>29.271663170017547</v>
      </c>
      <c r="V162" s="949">
        <f t="shared" si="554"/>
        <v>20.174780296377293</v>
      </c>
      <c r="W162" s="949">
        <f t="shared" ca="1" si="554"/>
        <v>15.02329634673616</v>
      </c>
      <c r="X162" s="949">
        <f t="shared" ca="1" si="554"/>
        <v>9.319790198701817</v>
      </c>
      <c r="Y162" s="949">
        <f t="shared" ca="1" si="554"/>
        <v>8.1008369187800078</v>
      </c>
      <c r="Z162" s="949">
        <f t="shared" ca="1" si="554"/>
        <v>7.0970140468615828</v>
      </c>
      <c r="AA162" s="949">
        <f t="shared" ref="AA162" ca="1" si="555">IF(OR(AA19&lt;=0, Z19 &lt;=0), "NM",(AA19/Z19-1)*100)</f>
        <v>6.6218524061337991</v>
      </c>
      <c r="AB162" s="949">
        <f t="shared" ref="AB162" ca="1" si="556">IF(OR(AB19&lt;=0, AA19 &lt;=0), "NM",(AB19/AA19-1)*100)</f>
        <v>6.2016858971737809</v>
      </c>
      <c r="AC162" s="949">
        <f t="shared" ref="AC162" ca="1" si="557">IF(OR(AC19&lt;=0, AB19 &lt;=0), "NM",(AC19/AB19-1)*100)</f>
        <v>5.8278436985774951</v>
      </c>
      <c r="AD162" s="949">
        <f t="shared" ref="AD162" ca="1" si="558">IF(OR(AD19&lt;=0, AC19 &lt;=0), "NM",(AD19/AC19-1)*100)</f>
        <v>5.4932483979953428</v>
      </c>
      <c r="AE162" s="54"/>
      <c r="AG162" s="23"/>
      <c r="AH162" s="23"/>
      <c r="AI162" s="23"/>
      <c r="AJ162" s="123"/>
      <c r="AK162" s="1102"/>
      <c r="AL162" s="953" t="s">
        <v>1045</v>
      </c>
      <c r="AM162" s="953" t="s">
        <v>1045</v>
      </c>
      <c r="AN162" s="953" t="s">
        <v>1045</v>
      </c>
      <c r="AO162" s="953" t="s">
        <v>1045</v>
      </c>
      <c r="AP162" s="1131"/>
      <c r="AQ162" s="953" t="s">
        <v>1045</v>
      </c>
      <c r="AR162" s="953" t="s">
        <v>1045</v>
      </c>
      <c r="AS162" s="953">
        <f>IF(OR(AR20&lt;=0,AS20 &lt;= 0), "NM",(AS20/AR20-1)*100)</f>
        <v>60.281930691707728</v>
      </c>
      <c r="AT162" s="953">
        <f>IF(OR(AS20&lt;=0,AT20 &lt;= 0), "NM",(AT20/AS20-1)*100)</f>
        <v>221.1609881015585</v>
      </c>
      <c r="AU162" s="1133"/>
      <c r="AV162" s="953">
        <f>IF(OR(AT20&lt;=0,AV20 &lt;= 0), "NM",(AV20/AT20-1)*100)</f>
        <v>-30.975473326422776</v>
      </c>
      <c r="AW162" s="953">
        <f>IF(OR(AV20&lt;=0,AW20 &lt;= 0), "NM",(AW20/AV20-1)*100)</f>
        <v>-40.254033884357433</v>
      </c>
      <c r="AX162" s="953">
        <f>IF(OR(AW20&lt;=0,AX20 &lt;= 0), "NM",(AX20/AW20-1)*100)</f>
        <v>81.620087476215033</v>
      </c>
      <c r="AY162" s="953">
        <f>IF(OR(AX20&lt;=0,AY20 &lt;= 0), "NM",(AY20/AX20-1)*100)</f>
        <v>6.6699951581147943</v>
      </c>
      <c r="AZ162" s="1133"/>
      <c r="BA162" s="953">
        <f>IF(OR(AY20&lt;=0,BA20 &lt;= 0), "NM",(BA20/AY20-1)*100)</f>
        <v>0.55760627677534647</v>
      </c>
      <c r="BB162" s="953">
        <f>IF(OR(BA20&lt;=0,BB20 &lt;= 0), "NM",(BB20/BA20-1)*100)</f>
        <v>16.847345368342449</v>
      </c>
      <c r="BC162" s="953">
        <f>IF(OR(BB20&lt;=0,BC20 &lt;= 0), "NM",(BC20/BB20-1)*100)</f>
        <v>-5.9430662728356731</v>
      </c>
      <c r="BD162" s="953">
        <f>IF(OR(BC20&lt;=0,BD20 &lt;= 0), "NM",(BD20/BC20-1)*100)</f>
        <v>17.543043341813668</v>
      </c>
      <c r="BE162" s="1133"/>
      <c r="BF162" s="953">
        <f>IF(OR(BD20&lt;=0,BF20 &lt;= 0), "NM",(BF20/BD20-1)*100)</f>
        <v>5.6116263049510007</v>
      </c>
      <c r="BG162" s="953">
        <f>IF(OR(BF20&lt;=0,BG20 &lt;= 0), "NM",(BG20/BF20-1)*100)</f>
        <v>5.7301941958534774</v>
      </c>
      <c r="BH162" s="953">
        <f>IF(OR(BG20&lt;=0,BH20 &lt;= 0), "NM",(BH20/BG20-1)*100)</f>
        <v>7.6637245127759934</v>
      </c>
      <c r="BI162" s="953">
        <f>IF(OR(BH20&lt;=0,BI20 &lt;= 0), "NM",(BI20/BH20-1)*100)</f>
        <v>4.2112486796844095</v>
      </c>
      <c r="BJ162" s="1133"/>
      <c r="BK162" s="953">
        <f>IF(OR(BI20&lt;=0,BK20 &lt;= 0), "NM",(BK20/BI20-1)*100)</f>
        <v>2.7569886108668396</v>
      </c>
      <c r="BL162" s="953">
        <f>IF(OR(BK20&lt;=0,BL20 &lt;= 0), "NM",(BL20/BK20-1)*100)</f>
        <v>1.1144102567208991</v>
      </c>
      <c r="BM162" s="953">
        <f>IF(OR(BL20&lt;=0,BM20 &lt;= 0), "NM",(BM20/BL20-1)*100)</f>
        <v>2.1487738506351661</v>
      </c>
      <c r="BN162" s="953">
        <f>IF(OR(BM20&lt;=0,BN20 &lt;= 0), "NM",(BN20/BM20-1)*100)</f>
        <v>4.3549231697539437</v>
      </c>
      <c r="BO162" s="1133"/>
      <c r="BP162" s="953">
        <f>IF(OR(BN20&lt;=0,BP20 &lt;= 0), "NM",(BP20/BN20-1)*100)</f>
        <v>3.049817075008332</v>
      </c>
      <c r="BQ162" s="953">
        <f>IF(OR(BP20&lt;=0,BQ20 &lt;= 0), "NM",(BQ20/BP20-1)*100)</f>
        <v>-0.33390801217640931</v>
      </c>
      <c r="BR162" s="953">
        <f>IF(OR(BQ20&lt;=0,BR20 &lt;= 0), "NM",(BR20/BQ20-1)*100)</f>
        <v>-1.9289027240578904</v>
      </c>
      <c r="BS162" s="953">
        <f>IF(OR(BR20&lt;=0,BS20 &lt;= 0), "NM",(BS20/BR20-1)*100)</f>
        <v>4.897155730526781</v>
      </c>
      <c r="BT162" s="42"/>
      <c r="BU162" s="953">
        <f>IF(OR(BS20&lt;=0,BU20 &lt;= 0), "NM",(BU20/BS20-1)*100)</f>
        <v>-0.1658200461069903</v>
      </c>
      <c r="BV162" s="953">
        <f>IF(OR(BU20&lt;=0,BV20 &lt;= 0), "NM",(BV20/BU20-1)*100)</f>
        <v>1.2481232738471792</v>
      </c>
      <c r="BW162" s="953">
        <f>IF(OR(BV20&lt;=0,BW20 &lt;= 0), "NM",(BW20/BV20-1)*100)</f>
        <v>-3.2178310788376074</v>
      </c>
      <c r="BX162" s="953">
        <f>IF(OR(BW20&lt;=0,BX20 &lt;= 0), "NM",(BX20/BW20-1)*100)</f>
        <v>-6.7309997351731043</v>
      </c>
      <c r="BY162" s="1133"/>
      <c r="BZ162" s="953">
        <f>IF(OR(BX20&lt;=0,BZ20 &lt;= 0), "NM",(BZ20/BX20-1)*100)</f>
        <v>6.7583109084133008</v>
      </c>
      <c r="CA162" s="953">
        <f>IF(OR(BZ20&lt;=0,CA20 &lt;= 0), "NM",(CA20/BZ20-1)*100)</f>
        <v>1.020185896840986</v>
      </c>
      <c r="CB162" s="953">
        <f>IF(OR(CA20&lt;=0,CB20 &lt;= 0), "NM",(CB20/CA20-1)*100)</f>
        <v>-1.9518173556520857E-2</v>
      </c>
      <c r="CC162" s="953">
        <f>IF(OR(CB20&lt;=0,CC20 &lt;= 0), "NM",(CC20/CB20-1)*100)</f>
        <v>5.9966513357256224</v>
      </c>
      <c r="CD162" s="1133">
        <f>IF(OR(CD19&lt;=0, CC19 &lt;=0), "N.M.",(CD19/CC19-1)*100)</f>
        <v>253.54712220677683</v>
      </c>
      <c r="CE162" s="953">
        <f>IF(OR(CC20&lt;=0,CE20 &lt;= 0), "NM",(CE20/CC20-1)*100)</f>
        <v>-2.1071885702713122</v>
      </c>
      <c r="CF162" s="953">
        <f>IF(OR(CE20&lt;=0,CF20 &lt;= 0), "NM",(CF20/CE20-1)*100)</f>
        <v>1.3175212260037483</v>
      </c>
      <c r="CG162" s="953">
        <f>IF(OR(CF20&lt;=0,CG20 &lt;= 0), "NM",(CG20/CF20-1)*100)</f>
        <v>-1.1399004611540198</v>
      </c>
      <c r="CH162" s="953">
        <f>IF(OR(CG20&lt;=0,CH20 &lt;= 0), "NM",(CH20/CG20-1)*100)</f>
        <v>1.1573753126831843</v>
      </c>
      <c r="CI162" s="1133">
        <f>IF(OR(CI19&lt;=0, CH19 &lt;=0), "N.M.",(CI19/CH19-1)*100)</f>
        <v>261.69444462135164</v>
      </c>
      <c r="CJ162" s="953">
        <f>IF(OR(CH20&lt;=0,CJ20 &lt;= 0), "NM",(CJ20/CH20-1)*100)</f>
        <v>1.6146472549611879</v>
      </c>
      <c r="CK162" s="953">
        <f>IF(OR(CJ20&lt;=0,CK20 &lt;= 0), "NM",(CK20/CJ20-1)*100)</f>
        <v>-0.75820474897322354</v>
      </c>
      <c r="CL162" s="953">
        <f>IF(OR(CK20&lt;=0,CL20 &lt;= 0), "NM",(CL20/CK20-1)*100)</f>
        <v>-0.21197772793482006</v>
      </c>
      <c r="CM162" s="953">
        <f>IF(OR(CL20&lt;=0,CM20 &lt;= 0), "NM",(CM20/CL20-1)*100)</f>
        <v>-1.7194325375656461</v>
      </c>
      <c r="CN162" s="1133">
        <f>IF(OR(CN19&lt;=0, CM19 &lt;=0), "N.M.",(CN19/CM19-1)*100)</f>
        <v>261.25174240312236</v>
      </c>
      <c r="CO162" s="953">
        <f>IF(OR(CM20&lt;=0,CO20 &lt;= 0), "NM",(CO20/CM20-1)*100)</f>
        <v>3.8991074966475914</v>
      </c>
      <c r="CP162" s="953">
        <f>IF(OR(CO20&lt;=0,CP20 &lt;= 0), "NM",(CP20/CO20-1)*100)</f>
        <v>-1.1792941817450164</v>
      </c>
      <c r="CQ162" s="953">
        <f>IF(OR(CP20&lt;=0,CQ20 &lt;= 0), "NM",(CQ20/CP20-1)*100)</f>
        <v>-3.6941441727822433E-2</v>
      </c>
      <c r="CR162" s="953">
        <f>IF(OR(CQ20&lt;=0,CR20 &lt;= 0), "NM",(CR20/CQ20-1)*100)</f>
        <v>1.9975459011494001</v>
      </c>
      <c r="CS162" s="1133">
        <f>IF(OR(CS19&lt;=0, CR19 &lt;=0), "N.M.",(CS19/CR19-1)*100)</f>
        <v>267.60473771830306</v>
      </c>
      <c r="CT162" s="953">
        <f>IF(OR(CR20&lt;=0,CT20 &lt;= 0), "NM",(CT20/CR20-1)*100)</f>
        <v>2.5299879619349541</v>
      </c>
      <c r="CU162" s="953">
        <f t="shared" ref="CU162:DQ162" si="559">IF(OR(CT20&lt;=0,CU20 &lt;= 0), "NM",(CU20/CT20-1)*100)</f>
        <v>0.36320236892137814</v>
      </c>
      <c r="CV162" s="953">
        <f t="shared" si="559"/>
        <v>-2.0872633920193895</v>
      </c>
      <c r="CW162" s="953">
        <f t="shared" si="559"/>
        <v>1.8231242430717165</v>
      </c>
      <c r="CX162" s="953">
        <f t="shared" si="559"/>
        <v>-0.21885163806044661</v>
      </c>
      <c r="CY162" s="953">
        <f t="shared" si="559"/>
        <v>-0.66497991086151842</v>
      </c>
      <c r="CZ162" s="953">
        <f t="shared" si="559"/>
        <v>-0.31442848831593206</v>
      </c>
      <c r="DA162" s="953">
        <f t="shared" si="559"/>
        <v>1.7593546054082143</v>
      </c>
      <c r="DB162" s="953">
        <f t="shared" si="559"/>
        <v>-1.3012447163900709</v>
      </c>
      <c r="DC162" s="953">
        <f t="shared" si="559"/>
        <v>0.32021867221576628</v>
      </c>
      <c r="DD162" s="953">
        <f t="shared" si="559"/>
        <v>-0.17356519634689205</v>
      </c>
      <c r="DE162" s="953">
        <f t="shared" si="559"/>
        <v>1.4015280505321526</v>
      </c>
      <c r="DF162" s="953">
        <f t="shared" si="559"/>
        <v>1.2041450709898704</v>
      </c>
      <c r="DG162" s="953">
        <f t="shared" si="559"/>
        <v>-1.2666611197004518</v>
      </c>
      <c r="DH162" s="953">
        <f t="shared" si="559"/>
        <v>-8.4280399984415499E-2</v>
      </c>
      <c r="DI162" s="953">
        <f t="shared" si="559"/>
        <v>-0.56127454255356923</v>
      </c>
      <c r="DJ162" s="953">
        <f t="shared" si="559"/>
        <v>-1.3196391879371494</v>
      </c>
      <c r="DK162" s="953">
        <f t="shared" si="559"/>
        <v>-0.46375006180264799</v>
      </c>
      <c r="DL162" s="953">
        <f t="shared" si="559"/>
        <v>-0.79241079267493575</v>
      </c>
      <c r="DM162" s="953">
        <f t="shared" si="559"/>
        <v>1.4567405839371217</v>
      </c>
      <c r="DN162" s="953">
        <f t="shared" si="559"/>
        <v>3.0997784220465618E-2</v>
      </c>
      <c r="DO162" s="953">
        <f t="shared" si="559"/>
        <v>-0.4907150952196182</v>
      </c>
      <c r="DP162" s="953">
        <f t="shared" si="559"/>
        <v>-0.71410395345359312</v>
      </c>
      <c r="DQ162" s="953">
        <f t="shared" si="559"/>
        <v>-1.7228045251795332</v>
      </c>
      <c r="DR162" s="953">
        <f t="shared" ref="DR162" ca="1" si="560">IF(OR(DQ20&lt;=0,DR20 &lt;= 0), "NM",(DR20/DQ20-1)*100)</f>
        <v>1.4272973341136641</v>
      </c>
      <c r="DS162" s="953">
        <f t="shared" ref="DS162" ca="1" si="561">IF(OR(DR20&lt;=0,DS20 &lt;= 0), "NM",(DS20/DR20-1)*100)</f>
        <v>2.2204460492503131E-14</v>
      </c>
      <c r="DT162" s="953">
        <f t="shared" ref="DT162" ca="1" si="562">IF(OR(DS20&lt;=0,DT20 &lt;= 0), "NM",(DT20/DS20-1)*100)</f>
        <v>-1.1102230246251565E-14</v>
      </c>
      <c r="DU162" s="953">
        <f t="shared" ref="DU162" ca="1" si="563">IF(OR(DT20&lt;=0,DU20 &lt;= 0), "NM",(DU20/DT20-1)*100)</f>
        <v>2.2204460492503131E-14</v>
      </c>
      <c r="DV162" s="809"/>
      <c r="DW162" s="809"/>
      <c r="DX162" s="809"/>
      <c r="DY162" s="809"/>
    </row>
    <row r="163" spans="1:129">
      <c r="B163" s="23" t="s">
        <v>1039</v>
      </c>
      <c r="C163" s="23"/>
      <c r="E163" s="949"/>
      <c r="F163" s="949">
        <f t="shared" ref="F163:Z163" si="564">IF(OR(F24&lt;=0, E24 &lt;=0), "NM",(F24/E24-1)*100)</f>
        <v>6.117375878511222</v>
      </c>
      <c r="G163" s="949">
        <f t="shared" si="564"/>
        <v>-29.698879850078786</v>
      </c>
      <c r="H163" s="949">
        <f t="shared" si="564"/>
        <v>30.461650308978538</v>
      </c>
      <c r="I163" s="949">
        <f t="shared" si="564"/>
        <v>5.9231912324695823</v>
      </c>
      <c r="J163" s="949">
        <f t="shared" si="564"/>
        <v>21.355137113921852</v>
      </c>
      <c r="K163" s="949">
        <f t="shared" si="564"/>
        <v>33.451346615848678</v>
      </c>
      <c r="L163" s="949">
        <f t="shared" si="564"/>
        <v>33.515159718462371</v>
      </c>
      <c r="M163" s="949">
        <f t="shared" si="564"/>
        <v>49.556472460741489</v>
      </c>
      <c r="N163" s="949">
        <f t="shared" si="564"/>
        <v>7.9966649494319642</v>
      </c>
      <c r="O163" s="949">
        <f t="shared" si="564"/>
        <v>53.441793611639412</v>
      </c>
      <c r="P163" s="949">
        <f t="shared" si="564"/>
        <v>30.990530341766707</v>
      </c>
      <c r="Q163" s="949">
        <f t="shared" si="564"/>
        <v>26.387926027243246</v>
      </c>
      <c r="R163" s="949">
        <f t="shared" si="564"/>
        <v>16.879279119011102</v>
      </c>
      <c r="S163" s="949">
        <f t="shared" si="564"/>
        <v>18.875702368922841</v>
      </c>
      <c r="T163" s="949">
        <f t="shared" si="564"/>
        <v>9.8641016339102272</v>
      </c>
      <c r="U163" s="949">
        <f t="shared" si="564"/>
        <v>27.066968166124681</v>
      </c>
      <c r="V163" s="949">
        <f t="shared" si="564"/>
        <v>12.509346883713945</v>
      </c>
      <c r="W163" s="949">
        <f t="shared" ca="1" si="564"/>
        <v>10.961337824116146</v>
      </c>
      <c r="X163" s="949">
        <f t="shared" ca="1" si="564"/>
        <v>8.5956050463243283</v>
      </c>
      <c r="Y163" s="949">
        <f t="shared" ca="1" si="564"/>
        <v>7.3820966908603403</v>
      </c>
      <c r="Z163" s="949">
        <f t="shared" ca="1" si="564"/>
        <v>6.3823122204447635</v>
      </c>
      <c r="AA163" s="949">
        <f t="shared" ref="AA163" ca="1" si="565">IF(OR(AA24&lt;=0, Z24 &lt;=0), "NM",(AA24/Z24-1)*100)</f>
        <v>5.9076668437064273</v>
      </c>
      <c r="AB163" s="949">
        <f t="shared" ref="AB163" ca="1" si="566">IF(OR(AB24&lt;=0, AA24 &lt;=0), "NM",(AB24/AA24-1)*100)</f>
        <v>5.4876396050676846</v>
      </c>
      <c r="AC163" s="949">
        <f t="shared" ref="AC163" ca="1" si="567">IF(OR(AC24&lt;=0, AB24 &lt;=0), "NM",(AC24/AB24-1)*100)</f>
        <v>5.1136139396194213</v>
      </c>
      <c r="AD163" s="949">
        <f t="shared" ref="AD163" ca="1" si="568">IF(OR(AD24&lt;=0, AC24 &lt;=0), "NM",(AD24/AC24-1)*100)</f>
        <v>4.7785566902456944</v>
      </c>
      <c r="AE163" s="54"/>
      <c r="AG163" s="23"/>
      <c r="AH163" s="23"/>
      <c r="AI163" s="23"/>
      <c r="AJ163" s="123"/>
      <c r="AK163" s="1102"/>
      <c r="AL163" s="953">
        <f>IF(OR(AJ24&lt;=0,AL24 &lt;= 0), "NM",(AL24/AJ24-1)*100)</f>
        <v>59.046945034206132</v>
      </c>
      <c r="AM163" s="953">
        <f>IF(OR(AL24&lt;=0,AM24 &lt;= 0), "NM",(AM24/AL24-1)*100)</f>
        <v>92.999110056363122</v>
      </c>
      <c r="AN163" s="953">
        <f>IF(OR(AM24&lt;=0,AN24 &lt;= 0), "NM",(AN24/AM24-1)*100)</f>
        <v>-17.568398401475559</v>
      </c>
      <c r="AO163" s="953">
        <f>IF(OR(AN24&lt;=0,AO24 &lt;= 0), "NM",(AO24/AN24-1)*100)</f>
        <v>28.388961402200241</v>
      </c>
      <c r="AP163" s="1131"/>
      <c r="AQ163" s="953">
        <f>IF(OR(AO24&lt;=0,AQ24 &lt;= 0), "NM",(AQ24/AO24-1)*100)</f>
        <v>5.7875245080241111</v>
      </c>
      <c r="AR163" s="953">
        <f>IF(OR(AQ24&lt;=0,AR24 &lt;= 0), "NM",(AR24/AQ24-1)*100)</f>
        <v>-12.424492037342116</v>
      </c>
      <c r="AS163" s="953">
        <f>IF(OR(AR24&lt;=0,AS24 &lt;= 0), "NM",(AS24/AR24-1)*100)</f>
        <v>-14.657469822856228</v>
      </c>
      <c r="AT163" s="953">
        <f>IF(OR(AS24&lt;=0,AT24 &lt;= 0), "NM",(AT24/AS24-1)*100)</f>
        <v>-19.691403379867754</v>
      </c>
      <c r="AU163" s="1133"/>
      <c r="AV163" s="953">
        <f>IF(OR(AT24&lt;=0,AV24 &lt;= 0), "NM",(AV24/AT24-1)*100)</f>
        <v>-16.948764867337609</v>
      </c>
      <c r="AW163" s="953">
        <f>IF(OR(AV24&lt;=0,AW24 &lt;= 0), "NM",(AW24/AV24-1)*100)</f>
        <v>37.620490223079052</v>
      </c>
      <c r="AX163" s="953">
        <f>IF(OR(AW24&lt;=0,AX24 &lt;= 0), "NM",(AX24/AW24-1)*100)</f>
        <v>-22.713628176906141</v>
      </c>
      <c r="AY163" s="953">
        <f>IF(OR(AX24&lt;=0,AY24 &lt;= 0), "NM",(AY24/AX24-1)*100)</f>
        <v>3.9875712066286928</v>
      </c>
      <c r="AZ163" s="1133"/>
      <c r="BA163" s="953">
        <f>IF(OR(AY24&lt;=0,BA24 &lt;= 0), "NM",(BA24/AY24-1)*100)</f>
        <v>42.915836653386449</v>
      </c>
      <c r="BB163" s="953">
        <f>IF(OR(BA24&lt;=0,BB24 &lt;= 0), "NM",(BB24/BA24-1)*100)</f>
        <v>-6.8734210297064058</v>
      </c>
      <c r="BC163" s="953">
        <f>IF(OR(BB24&lt;=0,BC24 &lt;= 0), "NM",(BC24/BB24-1)*100)</f>
        <v>-7.8671655753040355</v>
      </c>
      <c r="BD163" s="953">
        <f>IF(OR(BC24&lt;=0,BD24 &lt;= 0), "NM",(BD24/BC24-1)*100)</f>
        <v>12.194131383896845</v>
      </c>
      <c r="BE163" s="1133"/>
      <c r="BF163" s="953">
        <f>IF(OR(BD24&lt;=0,BF24 &lt;= 0), "NM",(BF24/BD24-1)*100)</f>
        <v>-0.96832579185521794</v>
      </c>
      <c r="BG163" s="953">
        <f>IF(OR(BF24&lt;=0,BG24 &lt;= 0), "NM",(BG24/BF24-1)*100)</f>
        <v>2.9333820707301506</v>
      </c>
      <c r="BH163" s="953">
        <f>IF(OR(BG24&lt;=0,BH24 &lt;= 0), "NM",(BH24/BG24-1)*100)</f>
        <v>3.9950284090909172</v>
      </c>
      <c r="BI163" s="953">
        <f>IF(OR(BH24&lt;=0,BI24 &lt;= 0), "NM",(BI24/BH24-1)*100)</f>
        <v>-0.13658869728530032</v>
      </c>
      <c r="BJ163" s="1133"/>
      <c r="BK163" s="953">
        <f>IF(OR(BI24&lt;=0,BK24 &lt;= 0), "NM",(BK24/BI24-1)*100)</f>
        <v>6.1548982732090751</v>
      </c>
      <c r="BL163" s="953">
        <f>IF(OR(BK24&lt;=0,BL24 &lt;= 0), "NM",(BL24/BK24-1)*100)</f>
        <v>5.5483974875181197</v>
      </c>
      <c r="BM163" s="953">
        <f>IF(OR(BL24&lt;=0,BM24 &lt;= 0), "NM",(BM24/BL24-1)*100)</f>
        <v>14.885175860227374</v>
      </c>
      <c r="BN163" s="953">
        <f>IF(OR(BM24&lt;=0,BN24 &lt;= 0), "NM",(BN24/BM24-1)*100)</f>
        <v>-1.8594766901315007</v>
      </c>
      <c r="BO163" s="1133"/>
      <c r="BP163" s="953">
        <f>IF(OR(BN24&lt;=0,BP24 &lt;= 0), "NM",(BP24/BN24-1)*100)</f>
        <v>13.425362024631227</v>
      </c>
      <c r="BQ163" s="953">
        <f>IF(OR(BP24&lt;=0,BQ24 &lt;= 0), "NM",(BQ24/BP24-1)*100)</f>
        <v>5.3871853000835079</v>
      </c>
      <c r="BR163" s="953">
        <f>IF(OR(BQ24&lt;=0,BR24 &lt;= 0), "NM",(BR24/BQ24-1)*100)</f>
        <v>7.9026323238041485</v>
      </c>
      <c r="BS163" s="953">
        <f>IF(OR(BR24&lt;=0,BS24 &lt;= 0), "NM",(BS24/BR24-1)*100)</f>
        <v>6.9828445517024162</v>
      </c>
      <c r="BT163" s="42"/>
      <c r="BU163" s="953">
        <f>IF(OR(BS24&lt;=0,BU24 &lt;= 0), "NM",(BU24/BS24-1)*100)</f>
        <v>2.0007846214201708</v>
      </c>
      <c r="BV163" s="953">
        <f>IF(OR(BU24&lt;=0,BV24 &lt;= 0), "NM",(BV24/BU24-1)*100)</f>
        <v>9.5528846153846168</v>
      </c>
      <c r="BW163" s="953">
        <f>IF(OR(BV24&lt;=0,BW24 &lt;= 0), "NM",(BW24/BV24-1)*100)</f>
        <v>0.50906218457893448</v>
      </c>
      <c r="BX163" s="953">
        <f>IF(OR(BW24&lt;=0,BX24 &lt;= 0), "NM",(BX24/BW24-1)*100)</f>
        <v>40.378989652010652</v>
      </c>
      <c r="BY163" s="1133"/>
      <c r="BZ163" s="953">
        <f>IF(OR(BX24&lt;=0,BZ24 &lt;= 0), "NM",(BZ24/BX24-1)*100)</f>
        <v>6.335728282168529</v>
      </c>
      <c r="CA163" s="953">
        <f>IF(OR(BZ24&lt;=0,CA24 &lt;= 0), "NM",(CA24/BZ24-1)*100)</f>
        <v>7.7044577044576901</v>
      </c>
      <c r="CB163" s="953">
        <f>IF(OR(CA24&lt;=0,CB24 &lt;= 0), "NM",(CB24/CA24-1)*100)</f>
        <v>-1.7951224811253996</v>
      </c>
      <c r="CC163" s="953">
        <f>IF(OR(CB24&lt;=0,CC24 &lt;= 0), "NM",(CC24/CB24-1)*100)</f>
        <v>11.592599762174704</v>
      </c>
      <c r="CD163" s="1133">
        <f>IF(OR(CD24&lt;=0, CC24 &lt;=0), "N.M.",(CD24/CC24-1)*100)</f>
        <v>265.58372363888691</v>
      </c>
      <c r="CE163" s="953">
        <f>IF(OR(CC24&lt;=0,CE24 &lt;= 0), "NM",(CE24/CC24-1)*100)</f>
        <v>-11.000421282184703</v>
      </c>
      <c r="CF163" s="953">
        <f>IF(OR(CE24&lt;=0,CF24 &lt;= 0), "NM",(CF24/CE24-1)*100)</f>
        <v>7.0808041432310453</v>
      </c>
      <c r="CG163" s="953">
        <f>IF(OR(CF24&lt;=0,CG24 &lt;= 0), "NM",(CG24/CF24-1)*100)</f>
        <v>2.9487479522583682</v>
      </c>
      <c r="CH163" s="953">
        <f>IF(OR(CG24&lt;=0,CH24 &lt;= 0), "NM",(CH24/CG24-1)*100)</f>
        <v>14.568967694678081</v>
      </c>
      <c r="CI163" s="1133">
        <f>IF(OR(CI24&lt;=0, CH24 &lt;=0), "N.M.",(CI24/CH24-1)*100)</f>
        <v>251.24451597257433</v>
      </c>
      <c r="CJ163" s="953">
        <f>IF(OR(CH24&lt;=0,CJ24 &lt;= 0), "NM",(CJ24/CH24-1)*100)</f>
        <v>2.0591282876606609</v>
      </c>
      <c r="CK163" s="953">
        <f>IF(OR(CJ24&lt;=0,CK24 &lt;= 0), "NM",(CK24/CJ24-1)*100)</f>
        <v>29.710755405784894</v>
      </c>
      <c r="CL163" s="953">
        <f>IF(OR(CK24&lt;=0,CL24 &lt;= 0), "NM",(CL24/CK24-1)*100)</f>
        <v>12.052225756490721</v>
      </c>
      <c r="CM163" s="953">
        <f>IF(OR(CL24&lt;=0,CM24 &lt;= 0), "NM",(CM24/CL24-1)*100)</f>
        <v>5.286546578681417</v>
      </c>
      <c r="CN163" s="1133">
        <f>IF(OR(CN24&lt;=0, CM24 &lt;=0), "N.M.",(CN24/CM24-1)*100)</f>
        <v>245.08970793749384</v>
      </c>
      <c r="CO163" s="953">
        <f>IF(OR(CM24&lt;=0,CO24 &lt;= 0), "NM",(CO24/CM24-1)*100)</f>
        <v>3.2198867887240468</v>
      </c>
      <c r="CP163" s="953">
        <f>IF(OR(CO24&lt;=0,CP24 &lt;= 0), "NM",(CP24/CO24-1)*100)</f>
        <v>3.9550340526790739</v>
      </c>
      <c r="CQ163" s="953">
        <f>IF(OR(CP24&lt;=0,CQ24 &lt;= 0), "NM",(CQ24/CP24-1)*100)</f>
        <v>7.1026389875549212</v>
      </c>
      <c r="CR163" s="953">
        <f>IF(OR(CQ24&lt;=0,CR24 &lt;= 0), "NM",(CR24/CQ24-1)*100)</f>
        <v>10.150713031088387</v>
      </c>
      <c r="CS163" s="1133">
        <f>IF(OR(CS24&lt;=0, CR24 &lt;=0), "N.M.",(CS24/CR24-1)*100)</f>
        <v>257.08821659957403</v>
      </c>
      <c r="CT163" s="953">
        <f>IF(OR(CR24&lt;=0,CT24 &lt;= 0), "NM",(CT24/CR24-1)*100)</f>
        <v>7.3720128907077687</v>
      </c>
      <c r="CU163" s="953">
        <f t="shared" ref="CU163:DQ163" si="569">IF(OR(CT24&lt;=0,CU24 &lt;= 0), "NM",(CU24/CT24-1)*100)</f>
        <v>1.5266699900299274</v>
      </c>
      <c r="CV163" s="953">
        <f t="shared" si="569"/>
        <v>4.7423228789459593</v>
      </c>
      <c r="CW163" s="953">
        <f t="shared" si="569"/>
        <v>5.755220032423769</v>
      </c>
      <c r="CX163" s="953">
        <f t="shared" si="569"/>
        <v>4.570262358362509</v>
      </c>
      <c r="CY163" s="953">
        <f t="shared" si="569"/>
        <v>-0.72503444134375261</v>
      </c>
      <c r="CZ163" s="953">
        <f t="shared" si="569"/>
        <v>7.2170084063514661</v>
      </c>
      <c r="DA163" s="953">
        <f t="shared" si="569"/>
        <v>5.2560400902694981</v>
      </c>
      <c r="DB163" s="953">
        <f t="shared" si="569"/>
        <v>6.7427066993528406</v>
      </c>
      <c r="DC163" s="953">
        <f t="shared" si="569"/>
        <v>2.6333473640680394</v>
      </c>
      <c r="DD163" s="953">
        <f t="shared" si="569"/>
        <v>0.81880517761163674</v>
      </c>
      <c r="DE163" s="953">
        <f t="shared" si="569"/>
        <v>5.4881138444630162</v>
      </c>
      <c r="DF163" s="953">
        <f t="shared" si="569"/>
        <v>-1.7014971822124303</v>
      </c>
      <c r="DG163" s="953">
        <f t="shared" si="569"/>
        <v>2.951216826340719</v>
      </c>
      <c r="DH163" s="953">
        <f t="shared" si="569"/>
        <v>2.6580382928655499</v>
      </c>
      <c r="DI163" s="953">
        <f t="shared" si="569"/>
        <v>10.28978900755404</v>
      </c>
      <c r="DJ163" s="953">
        <f t="shared" si="569"/>
        <v>13.607028772857998</v>
      </c>
      <c r="DK163" s="953">
        <f t="shared" si="569"/>
        <v>-2.1932787958795608</v>
      </c>
      <c r="DL163" s="953">
        <f t="shared" si="569"/>
        <v>6.1784617346667625</v>
      </c>
      <c r="DM163" s="953">
        <f t="shared" si="569"/>
        <v>2.4037475039161649</v>
      </c>
      <c r="DN163" s="953">
        <f t="shared" si="569"/>
        <v>6.7418970168510839</v>
      </c>
      <c r="DO163" s="953">
        <f t="shared" si="569"/>
        <v>-2.640434776636702</v>
      </c>
      <c r="DP163" s="953">
        <f t="shared" si="569"/>
        <v>5.42267827918963</v>
      </c>
      <c r="DQ163" s="953">
        <f t="shared" si="569"/>
        <v>1.7026876324300222</v>
      </c>
      <c r="DR163" s="953">
        <f t="shared" ref="DR163" ca="1" si="570">IF(OR(DQ24&lt;=0,DR24 &lt;= 0), "NM",(DR24/DQ24-1)*100)</f>
        <v>11.964185246564774</v>
      </c>
      <c r="DS163" s="953">
        <f t="shared" ref="DS163" ca="1" si="571">IF(OR(DR24&lt;=0,DS24 &lt;= 0), "NM",(DS24/DR24-1)*100)</f>
        <v>-5.5597745677775752</v>
      </c>
      <c r="DT163" s="953">
        <f t="shared" ref="DT163" ca="1" si="572">IF(OR(DS24&lt;=0,DT24 &lt;= 0), "NM",(DT24/DS24-1)*100)</f>
        <v>0.1661147771564897</v>
      </c>
      <c r="DU163" s="953">
        <f t="shared" ref="DU163" ca="1" si="573">IF(OR(DT24&lt;=0,DU24 &lt;= 0), "NM",(DU24/DT24-1)*100)</f>
        <v>0.30383141257457336</v>
      </c>
      <c r="DV163" s="809"/>
      <c r="DW163" s="809"/>
      <c r="DX163" s="809"/>
      <c r="DY163" s="809"/>
    </row>
    <row r="164" spans="1:129">
      <c r="B164" s="14" t="s">
        <v>994</v>
      </c>
      <c r="C164" s="14"/>
      <c r="D164" s="14"/>
      <c r="E164" s="953"/>
      <c r="F164" s="953" t="str">
        <f t="shared" ref="F164:Z164" si="574">IF(OR(F36&lt;=0, E36 &lt;=0), "NM",(F36/E36-1)*100)</f>
        <v>NM</v>
      </c>
      <c r="G164" s="953" t="str">
        <f t="shared" si="574"/>
        <v>NM</v>
      </c>
      <c r="H164" s="953" t="str">
        <f t="shared" si="574"/>
        <v>NM</v>
      </c>
      <c r="I164" s="953" t="str">
        <f t="shared" si="574"/>
        <v>NM</v>
      </c>
      <c r="J164" s="953">
        <f t="shared" si="574"/>
        <v>70.380269712064376</v>
      </c>
      <c r="K164" s="953">
        <f t="shared" si="574"/>
        <v>178.97176269252708</v>
      </c>
      <c r="L164" s="953">
        <f t="shared" si="574"/>
        <v>45.170360146205525</v>
      </c>
      <c r="M164" s="953">
        <f t="shared" si="574"/>
        <v>106.22325908970839</v>
      </c>
      <c r="N164" s="953">
        <f t="shared" si="574"/>
        <v>52.167138386930212</v>
      </c>
      <c r="O164" s="953">
        <f t="shared" si="574"/>
        <v>25.321082900827598</v>
      </c>
      <c r="P164" s="953">
        <f t="shared" si="574"/>
        <v>43.640686176845264</v>
      </c>
      <c r="Q164" s="953">
        <f t="shared" si="574"/>
        <v>24.10134449616843</v>
      </c>
      <c r="R164" s="953">
        <f t="shared" si="574"/>
        <v>12.010548788145204</v>
      </c>
      <c r="S164" s="953">
        <f t="shared" si="574"/>
        <v>11.374644034352045</v>
      </c>
      <c r="T164" s="953">
        <f t="shared" si="574"/>
        <v>10.356001389175585</v>
      </c>
      <c r="U164" s="953">
        <f t="shared" si="574"/>
        <v>34.086097324475361</v>
      </c>
      <c r="V164" s="953">
        <f t="shared" si="574"/>
        <v>25.032127008660865</v>
      </c>
      <c r="W164" s="953">
        <f t="shared" ca="1" si="574"/>
        <v>19.891734606969045</v>
      </c>
      <c r="X164" s="953">
        <f t="shared" ca="1" si="574"/>
        <v>8.4879856219834515</v>
      </c>
      <c r="Y164" s="953">
        <f t="shared" ca="1" si="574"/>
        <v>8.5549864270210598</v>
      </c>
      <c r="Z164" s="953">
        <f t="shared" ca="1" si="574"/>
        <v>7.5224222858153</v>
      </c>
      <c r="AA164" s="953">
        <f t="shared" ref="AA164" ca="1" si="575">IF(OR(AA36&lt;=0, Z36 &lt;=0), "NM",(AA36/Z36-1)*100)</f>
        <v>7.0306705258571967</v>
      </c>
      <c r="AB164" s="953">
        <f t="shared" ref="AB164" ca="1" si="576">IF(OR(AB36&lt;=0, AA36 &lt;=0), "NM",(AB36/AA36-1)*100)</f>
        <v>6.5964773035072088</v>
      </c>
      <c r="AC164" s="953">
        <f t="shared" ref="AC164" ca="1" si="577">IF(OR(AC36&lt;=0, AB36 &lt;=0), "NM",(AC36/AB36-1)*100)</f>
        <v>6.210621242471559</v>
      </c>
      <c r="AD164" s="953">
        <f t="shared" ref="AD164" ca="1" si="578">IF(OR(AD36&lt;=0, AC36 &lt;=0), "NM",(AD36/AC36-1)*100)</f>
        <v>5.8656130507257709</v>
      </c>
      <c r="AE164" s="54"/>
      <c r="AG164" s="14"/>
      <c r="AH164" s="14"/>
      <c r="AI164" s="14"/>
      <c r="AJ164" s="122"/>
      <c r="AK164" s="43"/>
      <c r="AL164" s="953" t="str">
        <f>IF(OR(AJ37&lt;=0,AL37 &lt;= 0), "NM",(AL37/AJ37-1)*100)</f>
        <v>NM</v>
      </c>
      <c r="AM164" s="953" t="str">
        <f>IF(OR(AL37&lt;=0,AM37 &lt;= 0), "NM",(AM37/AL37-1)*100)</f>
        <v>NM</v>
      </c>
      <c r="AN164" s="953" t="str">
        <f>IF(OR(AM37&lt;=0,AN37 &lt;= 0), "NM",(AN37/AM37-1)*100)</f>
        <v>NM</v>
      </c>
      <c r="AO164" s="953" t="str">
        <f>IF(OR(AN37&lt;=0,AO37 &lt;= 0), "NM",(AO37/AN37-1)*100)</f>
        <v>NM</v>
      </c>
      <c r="AP164" s="1132"/>
      <c r="AQ164" s="953" t="str">
        <f>IF(OR(AO37&lt;=0,AQ37 &lt;= 0), "NM",(AQ37/AO37-1)*100)</f>
        <v>NM</v>
      </c>
      <c r="AR164" s="953" t="str">
        <f>IF(OR(AQ37&lt;=0,AR37 &lt;= 0), "NM",(AR37/AQ37-1)*100)</f>
        <v>NM</v>
      </c>
      <c r="AS164" s="953" t="str">
        <f>IF(OR(AR37&lt;=0,AS37 &lt;= 0), "NM",(AS37/AR37-1)*100)</f>
        <v>NM</v>
      </c>
      <c r="AT164" s="953" t="str">
        <f>IF(OR(AS37&lt;=0,AT37 &lt;= 0), "NM",(AT37/AS37-1)*100)</f>
        <v>NM</v>
      </c>
      <c r="AU164" s="1132"/>
      <c r="AV164" s="953" t="str">
        <f>IF(OR(AT37&lt;=0,AV37 &lt;= 0), "NM",(AV37/AT37-1)*100)</f>
        <v>NM</v>
      </c>
      <c r="AW164" s="953" t="str">
        <f>IF(OR(AV37&lt;=0,AW37 &lt;= 0), "NM",(AW37/AV37-1)*100)</f>
        <v>NM</v>
      </c>
      <c r="AX164" s="953" t="str">
        <f>IF(OR(AW37&lt;=0,AX37 &lt;= 0), "NM",(AX37/AW37-1)*100)</f>
        <v>NM</v>
      </c>
      <c r="AY164" s="953" t="str">
        <f>IF(OR(AX37&lt;=0,AY37 &lt;= 0), "NM",(AY37/AX37-1)*100)</f>
        <v>NM</v>
      </c>
      <c r="AZ164" s="1132"/>
      <c r="BA164" s="953" t="str">
        <f>IF(OR(AY37&lt;=0,BA37 &lt;= 0), "NM",(BA37/AY37-1)*100)</f>
        <v>NM</v>
      </c>
      <c r="BB164" s="953" t="str">
        <f>IF(OR(BA37&lt;=0,BB37 &lt;= 0), "NM",(BB37/BA37-1)*100)</f>
        <v>NM</v>
      </c>
      <c r="BC164" s="953">
        <f>IF(OR(BB37&lt;=0,BC37 &lt;= 0), "NM",(BC37/BB37-1)*100)</f>
        <v>377.50865051904128</v>
      </c>
      <c r="BD164" s="953">
        <f>IF(OR(BC37&lt;=0,BD37 &lt;= 0), "NM",(BD37/BC37-1)*100)</f>
        <v>124.85507246376729</v>
      </c>
      <c r="BE164" s="1111"/>
      <c r="BF164" s="953">
        <f>IF(OR(BD37&lt;=0,BF37 &lt;= 0), "NM",(BF37/BD37-1)*100)</f>
        <v>82.307444408637309</v>
      </c>
      <c r="BG164" s="953">
        <f>IF(OR(BF37&lt;=0,BG37 &lt;= 0), "NM",(BG37/BF37-1)*100)</f>
        <v>33.074067526957677</v>
      </c>
      <c r="BH164" s="953">
        <f>IF(OR(BG37&lt;=0,BH37 &lt;= 0), "NM",(BH37/BG37-1)*100)</f>
        <v>33.714133900106248</v>
      </c>
      <c r="BI164" s="953">
        <f>IF(OR(BH37&lt;=0,BI37 &lt;= 0), "NM",(BI37/BH37-1)*100)</f>
        <v>22.819392012716101</v>
      </c>
      <c r="BJ164" s="1111"/>
      <c r="BK164" s="953">
        <f>IF(OR(BI37&lt;=0,BK37 &lt;= 0), "NM",(BK37/BI37-1)*100)</f>
        <v>15.966998301383128</v>
      </c>
      <c r="BL164" s="953">
        <f>IF(OR(BK37&lt;=0,BL37 &lt;= 0), "NM",(BL37/BK37-1)*100)</f>
        <v>11.982981097858691</v>
      </c>
      <c r="BM164" s="953">
        <f>IF(OR(BL37&lt;=0,BM37 &lt;= 0), "NM",(BM37/BL37-1)*100)</f>
        <v>11.610090314543742</v>
      </c>
      <c r="BN164" s="953">
        <f>IF(OR(BM37&lt;=0,BN37 &lt;= 0), "NM",(BN37/BM37-1)*100)</f>
        <v>21.814833417043356</v>
      </c>
      <c r="BO164" s="1111"/>
      <c r="BP164" s="953">
        <f>IF(OR(BN37&lt;=0,BP37 &lt;= 0), "NM",(BP37/BN37-1)*100)</f>
        <v>4.6133406633681817</v>
      </c>
      <c r="BQ164" s="953">
        <f>IF(OR(BP37&lt;=0,BQ37 &lt;= 0), "NM",(BQ37/BP37-1)*100)</f>
        <v>5.2682285964528175</v>
      </c>
      <c r="BR164" s="953">
        <f>IF(OR(BQ37&lt;=0,BR37 &lt;= 0), "NM",(BR37/BQ37-1)*100)</f>
        <v>3.6983110075713199</v>
      </c>
      <c r="BS164" s="953">
        <f>IF(OR(BR37&lt;=0,BS37 &lt;= 0), "NM",(BS37/BR37-1)*100)</f>
        <v>21.442612428290573</v>
      </c>
      <c r="BT164" s="42"/>
      <c r="BU164" s="953">
        <f>IF(OR(BS37&lt;=0,BU37 &lt;= 0), "NM",(BU37/BS37-1)*100)</f>
        <v>6.9569238900635044</v>
      </c>
      <c r="BV164" s="953">
        <f>IF(OR(BU37&lt;=0,BV37 &lt;= 0), "NM",(BV37/BU37-1)*100)</f>
        <v>9.0586200506516779</v>
      </c>
      <c r="BW164" s="953">
        <f>IF(OR(BV37&lt;=0,BW37 &lt;= 0), "NM",(BW37/BV37-1)*100)</f>
        <v>15.088782532355305</v>
      </c>
      <c r="BX164" s="953">
        <f>IF(OR(BW37&lt;=0,BX37 &lt;= 0), "NM",(BX37/BW37-1)*100)</f>
        <v>15.805014887177338</v>
      </c>
      <c r="BY164" s="1111"/>
      <c r="BZ164" s="953">
        <f>IF(OR(BX37&lt;=0,BZ37 &lt;= 0), "NM",(BZ37/BX37-1)*100)</f>
        <v>32.312693893162226</v>
      </c>
      <c r="CA164" s="953">
        <f>IF(OR(BZ37&lt;=0,CA37 &lt;= 0), "NM",(CA37/BZ37-1)*100)</f>
        <v>11.024747466636665</v>
      </c>
      <c r="CB164" s="953">
        <f>IF(OR(CA37&lt;=0,CB37 &lt;= 0), "NM",(CB37/CA37-1)*100)</f>
        <v>11.338849191425314</v>
      </c>
      <c r="CC164" s="953">
        <f>IF(OR(CB37&lt;=0,CC37 &lt;= 0), "NM",(CC37/CB37-1)*100)</f>
        <v>9.2590908500383762</v>
      </c>
      <c r="CD164" s="1111">
        <f>IF(OR(CD36&lt;=0, CC36 &lt;=0), "N.M.",(CD36/CC36-1)*100)</f>
        <v>241.35639654343294</v>
      </c>
      <c r="CE164" s="953">
        <f>IF(OR(CC37&lt;=0,CE37 &lt;= 0), "NM",(CE37/CC37-1)*100)</f>
        <v>8.6539833531510624</v>
      </c>
      <c r="CF164" s="953">
        <f>IF(OR(CE37&lt;=0,CF37 &lt;= 0), "NM",(CF37/CE37-1)*100)</f>
        <v>8.9255619514543518</v>
      </c>
      <c r="CG164" s="953">
        <f>IF(OR(CF37&lt;=0,CG37 &lt;= 0), "NM",(CG37/CF37-1)*100)</f>
        <v>6.5324411758796108</v>
      </c>
      <c r="CH164" s="953">
        <f>IF(OR(CG37&lt;=0,CH37 &lt;= 0), "NM",(CH37/CG37-1)*100)</f>
        <v>5.3038590667320529</v>
      </c>
      <c r="CI164" s="1111">
        <f>IF(OR(CI36&lt;=0, CH36 &lt;=0), "N.M.",(CI36/CH36-1)*100)</f>
        <v>279.77583157535855</v>
      </c>
      <c r="CJ164" s="953">
        <f>IF(OR(CH37&lt;=0,CJ37 &lt;= 0), "NM",(CJ37/CH37-1)*100)</f>
        <v>5.0259716998029891</v>
      </c>
      <c r="CK164" s="953">
        <f>IF(OR(CJ37&lt;=0,CK37 &lt;= 0), "NM",(CK37/CJ37-1)*100)</f>
        <v>10.24285421925093</v>
      </c>
      <c r="CL164" s="953">
        <f>IF(OR(CK37&lt;=0,CL37 &lt;= 0), "NM",(CL37/CK37-1)*100)</f>
        <v>9.9022307478110694</v>
      </c>
      <c r="CM164" s="953">
        <f>IF(OR(CL37&lt;=0,CM37 &lt;= 0), "NM",(CM37/CL37-1)*100)</f>
        <v>1.6138113536872112</v>
      </c>
      <c r="CN164" s="1111">
        <f>IF(OR(CN36&lt;=0, CM36 &lt;=0), "N.M.",(CN36/CM36-1)*100)</f>
        <v>253.95348837209301</v>
      </c>
      <c r="CO164" s="953">
        <f>IF(OR(CM37&lt;=0,CO37 &lt;= 0), "NM",(CO37/CM37-1)*100)</f>
        <v>12.431170738126717</v>
      </c>
      <c r="CP164" s="953">
        <f>IF(OR(CO37&lt;=0,CP37 &lt;= 0), "NM",(CP37/CO37-1)*100)</f>
        <v>9.2892741195241832</v>
      </c>
      <c r="CQ164" s="953">
        <f>IF(OR(CP37&lt;=0,CQ37 &lt;= 0), "NM",(CQ37/CP37-1)*100)</f>
        <v>5.3109815902505852</v>
      </c>
      <c r="CR164" s="953">
        <f>IF(OR(CQ37&lt;=0,CR37 &lt;= 0), "NM",(CR37/CQ37-1)*100)</f>
        <v>3.4341747489669672</v>
      </c>
      <c r="CS164" s="1111">
        <f>IF(OR(CS36&lt;=0, CR36 &lt;=0), "N.M.",(CS36/CR36-1)*100)</f>
        <v>271.39359491575459</v>
      </c>
      <c r="CT164" s="953">
        <f>IF(OR(CR37&lt;=0,CT37 &lt;= 0), "NM",(CT37/CR37-1)*100)</f>
        <v>6.981329303885242</v>
      </c>
      <c r="CU164" s="953">
        <f t="shared" ref="CU164:DQ164" si="579">IF(OR(CT37&lt;=0,CU37 &lt;= 0), "NM",(CU37/CT37-1)*100)</f>
        <v>4.6847413355261436</v>
      </c>
      <c r="CV164" s="953">
        <f t="shared" si="579"/>
        <v>3.9719064781443381</v>
      </c>
      <c r="CW164" s="953">
        <f t="shared" si="579"/>
        <v>6.5195363885234947</v>
      </c>
      <c r="CX164" s="953">
        <f t="shared" si="579"/>
        <v>0.50148944869534695</v>
      </c>
      <c r="CY164" s="953">
        <f t="shared" si="579"/>
        <v>2.9669389923948408</v>
      </c>
      <c r="CZ164" s="953">
        <f t="shared" si="579"/>
        <v>0.16529925212172003</v>
      </c>
      <c r="DA164" s="953">
        <f t="shared" si="579"/>
        <v>6.071766386926658</v>
      </c>
      <c r="DB164" s="953">
        <f t="shared" si="579"/>
        <v>-1.1922741243881152</v>
      </c>
      <c r="DC164" s="953">
        <f t="shared" si="579"/>
        <v>5.7180054380386203</v>
      </c>
      <c r="DD164" s="953">
        <f t="shared" si="579"/>
        <v>3.1183135532572459</v>
      </c>
      <c r="DE164" s="953">
        <f t="shared" si="579"/>
        <v>3.7004026618661978</v>
      </c>
      <c r="DF164" s="953">
        <f t="shared" si="579"/>
        <v>3.8669678800129059</v>
      </c>
      <c r="DG164" s="953">
        <f t="shared" si="579"/>
        <v>1.8034459751167242</v>
      </c>
      <c r="DH164" s="953">
        <f t="shared" si="579"/>
        <v>3.2801948197981545</v>
      </c>
      <c r="DI164" s="953">
        <f t="shared" si="579"/>
        <v>3.6311093967747787</v>
      </c>
      <c r="DJ164" s="953">
        <f t="shared" si="579"/>
        <v>14.259556649507022</v>
      </c>
      <c r="DK164" s="953">
        <f t="shared" si="579"/>
        <v>10.414028635229201</v>
      </c>
      <c r="DL164" s="953">
        <f t="shared" si="579"/>
        <v>-5.9244666195579221E-2</v>
      </c>
      <c r="DM164" s="953">
        <f t="shared" si="579"/>
        <v>3.9160369677318174</v>
      </c>
      <c r="DN164" s="953">
        <f t="shared" si="579"/>
        <v>-2.0428829002201332</v>
      </c>
      <c r="DO164" s="953">
        <f t="shared" si="579"/>
        <v>19.115755401404154</v>
      </c>
      <c r="DP164" s="953">
        <f t="shared" si="579"/>
        <v>8.0522984127482822</v>
      </c>
      <c r="DQ164" s="953">
        <f t="shared" si="579"/>
        <v>2.6386514003696071</v>
      </c>
      <c r="DR164" s="953">
        <f t="shared" ref="DR164" ca="1" si="580">IF(OR(DQ37&lt;=0,DR37 &lt;= 0), "NM",(DR37/DQ37-1)*100)</f>
        <v>-1.0053270841299478</v>
      </c>
      <c r="DS164" s="953">
        <f t="shared" ref="DS164" ca="1" si="581">IF(OR(DR37&lt;=0,DS37 &lt;= 0), "NM",(DS37/DR37-1)*100)</f>
        <v>5.4787777555475703</v>
      </c>
      <c r="DT164" s="953">
        <f t="shared" ref="DT164" ca="1" si="582">IF(OR(DS37&lt;=0,DT37 &lt;= 0), "NM",(DT37/DS37-1)*100)</f>
        <v>3.7746686458017598</v>
      </c>
      <c r="DU164" s="953">
        <f t="shared" ref="DU164" ca="1" si="583">IF(OR(DT37&lt;=0,DU37 &lt;= 0), "NM",(DU37/DT37-1)*100)</f>
        <v>3.7780432355331239</v>
      </c>
      <c r="DV164" s="195"/>
      <c r="DW164" s="195"/>
      <c r="DX164" s="195"/>
      <c r="DY164" s="195"/>
    </row>
    <row r="165" spans="1:129">
      <c r="B165" s="23" t="s">
        <v>1040</v>
      </c>
      <c r="C165" s="23"/>
      <c r="E165" s="949"/>
      <c r="F165" s="949">
        <f t="shared" ref="F165:Z165" si="584">IF(OR(F23&lt;=0, E23 &lt;=0), "NM",(F23/E23-1)*100)</f>
        <v>7.9625369700952797</v>
      </c>
      <c r="G165" s="949">
        <f t="shared" si="584"/>
        <v>-43.028033969500498</v>
      </c>
      <c r="H165" s="949">
        <f t="shared" si="584"/>
        <v>38.761553667788661</v>
      </c>
      <c r="I165" s="949">
        <f t="shared" si="584"/>
        <v>11.570152471892815</v>
      </c>
      <c r="J165" s="949">
        <f t="shared" si="584"/>
        <v>25.720398937088042</v>
      </c>
      <c r="K165" s="949">
        <f t="shared" si="584"/>
        <v>33.873181443864929</v>
      </c>
      <c r="L165" s="949">
        <f t="shared" si="584"/>
        <v>41.443510354726286</v>
      </c>
      <c r="M165" s="949">
        <f t="shared" si="584"/>
        <v>41.061436316720275</v>
      </c>
      <c r="N165" s="949">
        <f t="shared" si="584"/>
        <v>14.87354455486245</v>
      </c>
      <c r="O165" s="949">
        <f t="shared" si="584"/>
        <v>40.837359098228653</v>
      </c>
      <c r="P165" s="949">
        <f t="shared" si="584"/>
        <v>22.133292679828244</v>
      </c>
      <c r="Q165" s="949">
        <f t="shared" si="584"/>
        <v>25.760901223267041</v>
      </c>
      <c r="R165" s="949">
        <f t="shared" si="584"/>
        <v>14.938607047886098</v>
      </c>
      <c r="S165" s="949">
        <f t="shared" si="584"/>
        <v>15.958621930376893</v>
      </c>
      <c r="T165" s="949">
        <f t="shared" si="584"/>
        <v>8.1460726453558721</v>
      </c>
      <c r="U165" s="949">
        <f t="shared" si="584"/>
        <v>32.713302403516487</v>
      </c>
      <c r="V165" s="949">
        <f t="shared" si="584"/>
        <v>8.6590119490559836</v>
      </c>
      <c r="W165" s="949">
        <f t="shared" ca="1" si="584"/>
        <v>12.121212858606189</v>
      </c>
      <c r="X165" s="949">
        <f t="shared" ca="1" si="584"/>
        <v>8.5956050463243283</v>
      </c>
      <c r="Y165" s="949">
        <f t="shared" ca="1" si="584"/>
        <v>7.3820966908603403</v>
      </c>
      <c r="Z165" s="949">
        <f t="shared" ca="1" si="584"/>
        <v>6.3823122204447635</v>
      </c>
      <c r="AA165" s="949">
        <f t="shared" ref="AA165" ca="1" si="585">IF(OR(AA23&lt;=0, Z23 &lt;=0), "NM",(AA23/Z23-1)*100)</f>
        <v>5.9076668437064273</v>
      </c>
      <c r="AB165" s="949">
        <f t="shared" ref="AB165" ca="1" si="586">IF(OR(AB23&lt;=0, AA23 &lt;=0), "NM",(AB23/AA23-1)*100)</f>
        <v>5.4876396050676846</v>
      </c>
      <c r="AC165" s="949">
        <f t="shared" ref="AC165" ca="1" si="587">IF(OR(AC23&lt;=0, AB23 &lt;=0), "NM",(AC23/AB23-1)*100)</f>
        <v>5.1136139396194213</v>
      </c>
      <c r="AD165" s="949">
        <f t="shared" ref="AD165" ca="1" si="588">IF(OR(AD23&lt;=0, AC23 &lt;=0), "NM",(AD23/AC23-1)*100)</f>
        <v>4.7785566902456944</v>
      </c>
      <c r="AE165" s="54"/>
      <c r="AG165" s="23"/>
      <c r="AH165" s="23"/>
      <c r="AI165" s="23"/>
      <c r="AJ165" s="123"/>
      <c r="AK165" s="1102"/>
      <c r="AL165" s="953">
        <f>IF(OR(AJ45&lt;=0,AL45 &lt;= 0), "NM",(AL45/AJ45-1)*100)</f>
        <v>353.18559556786704</v>
      </c>
      <c r="AM165" s="953">
        <f>IF(OR(AL45&lt;=0,AM45 &lt;= 0), "NM",(AM45/AL45-1)*100)</f>
        <v>20.660146699266502</v>
      </c>
      <c r="AN165" s="953">
        <f>IF(OR(AM45&lt;=0,AN45 &lt;= 0), "NM",(AN45/AM45-1)*100)</f>
        <v>63.069908814589667</v>
      </c>
      <c r="AO165" s="953">
        <f>IF(OR(AN45&lt;=0,AO45 &lt;= 0), "NM",(AO45/AN45-1)*100)</f>
        <v>148.1205343274309</v>
      </c>
      <c r="AP165" s="1131"/>
      <c r="AQ165" s="953">
        <f>IF(OR(AO45&lt;=0,AQ45 &lt;= 0), "NM",(AQ45/AO45-1)*100)</f>
        <v>31.776637035182166</v>
      </c>
      <c r="AR165" s="953">
        <f>IF(OR(AQ45&lt;=0,AR45 &lt;= 0), "NM",(AR45/AQ45-1)*100)</f>
        <v>28.114014251781462</v>
      </c>
      <c r="AS165" s="953">
        <f>IF(OR(AR45&lt;=0,AS45 &lt;= 0), "NM",(AS45/AR45-1)*100)</f>
        <v>-7.7795906259270247</v>
      </c>
      <c r="AT165" s="953">
        <f>IF(OR(AS45&lt;=0,AT45 &lt;= 0), "NM",(AT45/AS45-1)*100)</f>
        <v>6.1600321672698133</v>
      </c>
      <c r="AU165" s="1134"/>
      <c r="AV165" s="953">
        <f>IF(OR(AT45&lt;=0,AV45 &lt;= 0), "NM",(AV45/AT45-1)*100)</f>
        <v>-8.6508597833497518</v>
      </c>
      <c r="AW165" s="953">
        <f>IF(OR(AV45&lt;=0,AW45 &lt;= 0), "NM",(AW45/AV45-1)*100)</f>
        <v>10.788622605522846</v>
      </c>
      <c r="AX165" s="953">
        <f>IF(OR(AW45&lt;=0,AX45 &lt;= 0), "NM",(AX45/AW45-1)*100)</f>
        <v>5.3892215568862367</v>
      </c>
      <c r="AY165" s="953">
        <f>IF(OR(AX45&lt;=0,AY45 &lt;= 0), "NM",(AY45/AX45-1)*100)</f>
        <v>3.5724431818181746</v>
      </c>
      <c r="AZ165" s="1134"/>
      <c r="BA165" s="953">
        <f>IF(OR(AY45&lt;=0,BA45 &lt;= 0), "NM",(BA45/AY45-1)*100)</f>
        <v>15.058629911540834</v>
      </c>
      <c r="BB165" s="953">
        <f>IF(OR(BA45&lt;=0,BB45 &lt;= 0), "NM",(BB45/BA45-1)*100)</f>
        <v>-5.7095178496930687</v>
      </c>
      <c r="BC165" s="953">
        <f>IF(OR(BB45&lt;=0,BC45 &lt;= 0), "NM",(BC45/BB45-1)*100)</f>
        <v>-4.0895012957461567</v>
      </c>
      <c r="BD165" s="953">
        <f>IF(OR(BC45&lt;=0,BD45 &lt;= 0), "NM",(BD45/BC45-1)*100)</f>
        <v>-1.3180440226703505</v>
      </c>
      <c r="BE165" s="1134"/>
      <c r="BF165" s="953">
        <f>IF(OR(BD45&lt;=0,BF45 &lt;= 0), "NM",(BF45/BD45-1)*100)</f>
        <v>-0.96834513156136559</v>
      </c>
      <c r="BG165" s="953">
        <f>IF(OR(BF45&lt;=0,BG45 &lt;= 0), "NM",(BG45/BF45-1)*100)</f>
        <v>-2.1983950367523097</v>
      </c>
      <c r="BH165" s="953">
        <f>IF(OR(BG45&lt;=0,BH45 &lt;= 0), "NM",(BH45/BG45-1)*100)</f>
        <v>1.3790250293044259E-2</v>
      </c>
      <c r="BI165" s="953">
        <f>IF(OR(BH45&lt;=0,BI45 &lt;= 0), "NM",(BI45/BH45-1)*100)</f>
        <v>1.2547397449155451</v>
      </c>
      <c r="BJ165" s="1134"/>
      <c r="BK165" s="953">
        <f>IF(OR(BI45&lt;=0,BK45 &lt;= 0), "NM",(BK45/BI45-1)*100)</f>
        <v>4.7865459249676556</v>
      </c>
      <c r="BL165" s="953">
        <f>IF(OR(BK45&lt;=0,BL45 &lt;= 0), "NM",(BL45/BK45-1)*100)</f>
        <v>4.4184535412605586</v>
      </c>
      <c r="BM165" s="953">
        <f>IF(OR(BL45&lt;=0,BM45 &lt;= 0), "NM",(BM45/BL45-1)*100)</f>
        <v>1.599253266957068</v>
      </c>
      <c r="BN165" s="953">
        <f>IF(OR(BM45&lt;=0,BN45 &lt;= 0), "NM",(BN45/BM45-1)*100)</f>
        <v>4.3302505052979612</v>
      </c>
      <c r="BO165" s="1134"/>
      <c r="BP165" s="953">
        <f>IF(OR(BN45&lt;=0,BP45 &lt;= 0), "NM",(BP45/BN45-1)*100)</f>
        <v>4.9724081249266305</v>
      </c>
      <c r="BQ165" s="953">
        <f>IF(OR(BP45&lt;=0,BQ45 &lt;= 0), "NM",(BQ45/BP45-1)*100)</f>
        <v>2.6844136233991511</v>
      </c>
      <c r="BR165" s="953">
        <f>IF(OR(BQ45&lt;=0,BR45 &lt;= 0), "NM",(BR45/BQ45-1)*100)</f>
        <v>6.6717499046892836</v>
      </c>
      <c r="BS165" s="953">
        <f>IF(OR(BR45&lt;=0,BS45 &lt;= 0), "NM",(BS45/BR45-1)*100)</f>
        <v>4.6870213417747442</v>
      </c>
      <c r="BT165" s="42"/>
      <c r="BU165" s="953">
        <f>IF(OR(BS45&lt;=0,BU45 &lt;= 0), "NM",(BU45/BS45-1)*100)</f>
        <v>2.7799453765118942</v>
      </c>
      <c r="BV165" s="953">
        <f>IF(OR(BU45&lt;=0,BV45 &lt;= 0), "NM",(BV45/BU45-1)*100)</f>
        <v>6.3490557084558974</v>
      </c>
      <c r="BW165" s="953">
        <f>IF(OR(BV45&lt;=0,BW45 &lt;= 0), "NM",(BW45/BV45-1)*100)</f>
        <v>7.4022844904515495</v>
      </c>
      <c r="BX165" s="953">
        <f>IF(OR(BW45&lt;=0,BX45 &lt;= 0), "NM",(BX45/BW45-1)*100)</f>
        <v>49.216900004154375</v>
      </c>
      <c r="BY165" s="1134"/>
      <c r="BZ165" s="953">
        <f>IF(OR(BX45&lt;=0,BZ45 &lt;= 0), "NM",(BZ45/BX45-1)*100)</f>
        <v>7.7955342725100074E-2</v>
      </c>
      <c r="CA165" s="953">
        <f>IF(OR(BZ45&lt;=0,CA45 &lt;= 0), "NM",(CA45/BZ45-1)*100)</f>
        <v>7.9841985200022281</v>
      </c>
      <c r="CB165" s="953">
        <f>IF(OR(CA45&lt;=0,CB45 &lt;= 0), "NM",(CB45/CA45-1)*100)</f>
        <v>8.5093775762572044</v>
      </c>
      <c r="CC165" s="953">
        <f>IF(OR(CB45&lt;=0,CC45 &lt;= 0), "NM",(CC45/CB45-1)*100)</f>
        <v>4.717585887604181</v>
      </c>
      <c r="CD165" s="1134">
        <f>IF(OR(CD45&lt;=0, CC45 &lt;=0), "N.M.",(CD45/CC45-1)*100)</f>
        <v>265.00022672652244</v>
      </c>
      <c r="CE165" s="953">
        <f>IF(OR(CC45&lt;=0,CE45 &lt;= 0), "NM",(CE45/CC45-1)*100)</f>
        <v>-4.8496803156033224</v>
      </c>
      <c r="CF165" s="953">
        <f>IF(OR(CE45&lt;=0,CF45 &lt;= 0), "NM",(CF45/CE45-1)*100)</f>
        <v>7.8609383563275959</v>
      </c>
      <c r="CG165" s="953">
        <f>IF(OR(CF45&lt;=0,CG45 &lt;= 0), "NM",(CG45/CF45-1)*100)</f>
        <v>-0.44183272213139668</v>
      </c>
      <c r="CH165" s="953">
        <f>IF(OR(CG45&lt;=0,CH45 &lt;= 0), "NM",(CH45/CG45-1)*100)</f>
        <v>-4.4246216660009718</v>
      </c>
      <c r="CI165" s="1134">
        <f>IF(OR(CI45&lt;=0, CH45 &lt;=0), "N.M.",(CI45/CH45-1)*100)</f>
        <v>307.15778231797924</v>
      </c>
      <c r="CJ165" s="953">
        <f>IF(OR(CH45&lt;=0,CJ45 &lt;= 0), "NM",(CJ45/CH45-1)*100)</f>
        <v>14.510586924219915</v>
      </c>
      <c r="CK165" s="953">
        <f>IF(OR(CJ45&lt;=0,CK45 &lt;= 0), "NM",(CK45/CJ45-1)*100)</f>
        <v>24.335996107213798</v>
      </c>
      <c r="CL165" s="953">
        <f>IF(OR(CK45&lt;=0,CL45 &lt;= 0), "NM",(CL45/CK45-1)*100)</f>
        <v>15.419486343253187</v>
      </c>
      <c r="CM165" s="953">
        <f>IF(OR(CL45&lt;=0,CM45 &lt;= 0), "NM",(CM45/CL45-1)*100)</f>
        <v>1.9722806967971573</v>
      </c>
      <c r="CN165" s="1134">
        <f>IF(OR(CN45&lt;=0, CM45 &lt;=0), "N.M.",(CN45/CM45-1)*100)</f>
        <v>251.36539340787229</v>
      </c>
      <c r="CO165" s="953">
        <f>IF(OR(CM45&lt;=0,CO45 &lt;= 0), "NM",(CO45/CM45-1)*100)</f>
        <v>4.9905094420660268</v>
      </c>
      <c r="CP165" s="953">
        <f>IF(OR(CO45&lt;=0,CP45 &lt;= 0), "NM",(CP45/CO45-1)*100)</f>
        <v>9.0948679713376954</v>
      </c>
      <c r="CQ165" s="953">
        <f>IF(OR(CP45&lt;=0,CQ45 &lt;= 0), "NM",(CQ45/CP45-1)*100)</f>
        <v>6.794401906351677</v>
      </c>
      <c r="CR165" s="953">
        <f>IF(OR(CQ45&lt;=0,CR45 &lt;= 0), "NM",(CR45/CQ45-1)*100)</f>
        <v>3.0944182674882192</v>
      </c>
      <c r="CS165" s="1134">
        <f>IF(OR(CS45&lt;=0, CR45 &lt;=0), "N.M.",(CS45/CR45-1)*100)</f>
        <v>271.08108108108109</v>
      </c>
      <c r="CT165" s="953">
        <f>IF(OR(CR45&lt;=0,CT45 &lt;= 0), "NM",(CT45/CR45-1)*100)</f>
        <v>-0.87673038892551736</v>
      </c>
      <c r="CU165" s="953">
        <f t="shared" ref="CU165:DQ165" si="589">IF(OR(CT45&lt;=0,CU45 &lt;= 0), "NM",(CU45/CT45-1)*100)</f>
        <v>4.4623262618873394</v>
      </c>
      <c r="CV165" s="953">
        <f t="shared" si="589"/>
        <v>11.962057550292847</v>
      </c>
      <c r="CW165" s="953">
        <f t="shared" si="589"/>
        <v>-1.8678569397850731</v>
      </c>
      <c r="CX165" s="953">
        <f t="shared" si="589"/>
        <v>4.8787553958918872</v>
      </c>
      <c r="CY165" s="953">
        <f t="shared" si="589"/>
        <v>1.4603648149682735</v>
      </c>
      <c r="CZ165" s="953">
        <f t="shared" si="589"/>
        <v>-4.2245596202887921</v>
      </c>
      <c r="DA165" s="953">
        <f t="shared" si="589"/>
        <v>1.087801087801088</v>
      </c>
      <c r="DB165" s="953">
        <f t="shared" si="589"/>
        <v>6.4940664779438162</v>
      </c>
      <c r="DC165" s="953">
        <f t="shared" si="589"/>
        <v>2.1688231669747315</v>
      </c>
      <c r="DD165" s="953">
        <f t="shared" si="589"/>
        <v>4.5445147061357494</v>
      </c>
      <c r="DE165" s="953">
        <f t="shared" si="589"/>
        <v>9.6803434721340906</v>
      </c>
      <c r="DF165" s="953">
        <f t="shared" si="589"/>
        <v>-7.9386307627577253</v>
      </c>
      <c r="DG165" s="953">
        <f t="shared" si="589"/>
        <v>4.6845670448053767</v>
      </c>
      <c r="DH165" s="953">
        <f t="shared" si="589"/>
        <v>3.8964683869961769</v>
      </c>
      <c r="DI165" s="953">
        <f t="shared" si="589"/>
        <v>8.6990125161328979</v>
      </c>
      <c r="DJ165" s="953">
        <f t="shared" si="589"/>
        <v>39.549637238456192</v>
      </c>
      <c r="DK165" s="953">
        <f t="shared" si="589"/>
        <v>5.7214090317729616</v>
      </c>
      <c r="DL165" s="953">
        <f t="shared" si="589"/>
        <v>0.7725096973128176</v>
      </c>
      <c r="DM165" s="953">
        <f t="shared" si="589"/>
        <v>-1.4403120211728404</v>
      </c>
      <c r="DN165" s="953">
        <f t="shared" si="589"/>
        <v>3.1775868242033489</v>
      </c>
      <c r="DO165" s="953">
        <f t="shared" si="589"/>
        <v>15.237908252021558</v>
      </c>
      <c r="DP165" s="953">
        <f t="shared" si="589"/>
        <v>10.037403025524405</v>
      </c>
      <c r="DQ165" s="953">
        <f t="shared" si="589"/>
        <v>0.73995657481122912</v>
      </c>
      <c r="DR165" s="953">
        <f t="shared" ref="DR165:DU165" ca="1" si="590">IF(OR(DQ45&lt;=0,DR45 &lt;= 0), "NM",(DR45/DQ45-1)*100)</f>
        <v>0.78509704276774617</v>
      </c>
      <c r="DS165" s="953">
        <f t="shared" ca="1" si="590"/>
        <v>0.21365746127712804</v>
      </c>
      <c r="DT165" s="953">
        <f t="shared" ca="1" si="590"/>
        <v>1.3378737742812286</v>
      </c>
      <c r="DU165" s="953">
        <f t="shared" ca="1" si="590"/>
        <v>2.794875326412849</v>
      </c>
      <c r="DV165" s="955"/>
      <c r="DW165" s="955"/>
      <c r="DX165" s="955"/>
      <c r="DY165" s="955"/>
    </row>
    <row r="166" spans="1:129">
      <c r="B166" s="23" t="s">
        <v>1113</v>
      </c>
      <c r="C166" s="23"/>
      <c r="E166" s="949"/>
      <c r="F166" s="949"/>
      <c r="G166" s="949"/>
      <c r="H166" s="949"/>
      <c r="I166" s="949">
        <f t="shared" ref="I166:Z166" si="591">IF(OR(I42&lt;=0, H42 &lt;=0), "NM",(I42/H42-1)*100)</f>
        <v>1411.4014015835758</v>
      </c>
      <c r="J166" s="949">
        <f t="shared" si="591"/>
        <v>45.816368920291552</v>
      </c>
      <c r="K166" s="949">
        <f t="shared" si="591"/>
        <v>11.665011006544113</v>
      </c>
      <c r="L166" s="949">
        <f t="shared" si="591"/>
        <v>4.5631697956904471</v>
      </c>
      <c r="M166" s="949">
        <f t="shared" si="591"/>
        <v>12.033302368039301</v>
      </c>
      <c r="N166" s="949">
        <f t="shared" si="591"/>
        <v>11.555100888906878</v>
      </c>
      <c r="O166" s="949">
        <f t="shared" si="591"/>
        <v>-3.7617501201171799</v>
      </c>
      <c r="P166" s="949">
        <f t="shared" si="591"/>
        <v>2.9057215162924699</v>
      </c>
      <c r="Q166" s="949">
        <f t="shared" si="591"/>
        <v>2.5910876178339315</v>
      </c>
      <c r="R166" s="949">
        <f t="shared" si="591"/>
        <v>-1.1655383838718003</v>
      </c>
      <c r="S166" s="949">
        <f t="shared" si="591"/>
        <v>-1.9633457101017715</v>
      </c>
      <c r="T166" s="949">
        <f t="shared" si="591"/>
        <v>2.3466427616423591</v>
      </c>
      <c r="U166" s="949">
        <f t="shared" si="591"/>
        <v>-1.6339511754243086</v>
      </c>
      <c r="V166" s="949">
        <f t="shared" si="591"/>
        <v>2.3671344117839554</v>
      </c>
      <c r="W166" s="949">
        <f t="shared" ca="1" si="591"/>
        <v>1.2288779360249524</v>
      </c>
      <c r="X166" s="949">
        <f t="shared" ca="1" si="591"/>
        <v>0.42059559608687014</v>
      </c>
      <c r="Y166" s="949">
        <f t="shared" ca="1" si="591"/>
        <v>0.41883399873332561</v>
      </c>
      <c r="Z166" s="949">
        <f t="shared" ca="1" si="591"/>
        <v>0.41708709617016559</v>
      </c>
      <c r="AA166" s="949">
        <f t="shared" ref="AA166" ca="1" si="592">IF(OR(AA42&lt;=0, Z42 &lt;=0), "NM",(AA42/Z42-1)*100)</f>
        <v>0.41535470529112661</v>
      </c>
      <c r="AB166" s="949">
        <f t="shared" ref="AB166" ca="1" si="593">IF(OR(AB42&lt;=0, AA42 &lt;=0), "NM",(AB42/AA42-1)*100)</f>
        <v>0.41363664601905548</v>
      </c>
      <c r="AC166" s="949">
        <f t="shared" ref="AC166" ca="1" si="594">IF(OR(AC42&lt;=0, AB42 &lt;=0), "NM",(AC42/AB42-1)*100)</f>
        <v>0.41193274124435852</v>
      </c>
      <c r="AD166" s="949">
        <f t="shared" ref="AD166" ca="1" si="595">IF(OR(AD42&lt;=0, AC42 &lt;=0), "NM",(AD42/AC42-1)*100)</f>
        <v>0.41024281676345087</v>
      </c>
      <c r="AE166" s="54"/>
      <c r="AG166" s="23"/>
      <c r="AH166" s="23"/>
      <c r="AI166" s="23"/>
      <c r="AJ166" s="123"/>
      <c r="AK166" s="1102"/>
      <c r="AL166" s="953" t="str">
        <f>IF(OR(AJ47&lt;=0,AL47 &lt;= 0), "NM",(AL47/AJ47-1)*100)</f>
        <v>NM</v>
      </c>
      <c r="AM166" s="953" t="str">
        <f>IF(OR(AL47&lt;=0,AM47 &lt;= 0), "NM",(AM47/AL47-1)*100)</f>
        <v>NM</v>
      </c>
      <c r="AN166" s="953" t="str">
        <f>IF(OR(AM47&lt;=0,AN47 &lt;= 0), "NM",(AN47/AM47-1)*100)</f>
        <v>NM</v>
      </c>
      <c r="AO166" s="953" t="str">
        <f>IF(OR(AN47&lt;=0,AO47 &lt;= 0), "NM",(AO47/AN47-1)*100)</f>
        <v>NM</v>
      </c>
      <c r="AP166" s="1131"/>
      <c r="AQ166" s="953" t="str">
        <f>IF(OR(AO47&lt;=0,AQ47 &lt;= 0), "NM",(AQ47/AO47-1)*100)</f>
        <v>NM</v>
      </c>
      <c r="AR166" s="953" t="str">
        <f>IF(OR(AQ47&lt;=0,AR47 &lt;= 0), "NM",(AR47/AQ47-1)*100)</f>
        <v>NM</v>
      </c>
      <c r="AS166" s="953" t="str">
        <f>IF(OR(AR47&lt;=0,AS47 &lt;= 0), "NM",(AS47/AR47-1)*100)</f>
        <v>NM</v>
      </c>
      <c r="AT166" s="953" t="str">
        <f>IF(OR(AS47&lt;=0,AT47 &lt;= 0), "NM",(AT47/AS47-1)*100)</f>
        <v>NM</v>
      </c>
      <c r="AU166" s="1134"/>
      <c r="AV166" s="953" t="str">
        <f>IF(OR(AT47&lt;=0,AV47 &lt;= 0), "NM",(AV47/AT47-1)*100)</f>
        <v>NM</v>
      </c>
      <c r="AW166" s="953" t="str">
        <f>IF(OR(AV47&lt;=0,AW47 &lt;= 0), "NM",(AW47/AV47-1)*100)</f>
        <v>NM</v>
      </c>
      <c r="AX166" s="953" t="str">
        <f>IF(OR(AW47&lt;=0,AX47 &lt;= 0), "NM",(AX47/AW47-1)*100)</f>
        <v>NM</v>
      </c>
      <c r="AY166" s="953" t="str">
        <f>IF(OR(AX47&lt;=0,AY47 &lt;= 0), "NM",(AY47/AX47-1)*100)</f>
        <v>NM</v>
      </c>
      <c r="AZ166" s="1134"/>
      <c r="BA166" s="953" t="str">
        <f>IF(OR(AY47&lt;=0,BA47 &lt;= 0), "NM",(BA47/AY47-1)*100)</f>
        <v>NM</v>
      </c>
      <c r="BB166" s="953" t="str">
        <f>IF(OR(BA47&lt;=0,BB47 &lt;= 0), "NM",(BB47/BA47-1)*100)</f>
        <v>NM</v>
      </c>
      <c r="BC166" s="953" t="str">
        <f>IF(OR(BB47&lt;=0,BC47 &lt;= 0), "NM",(BC47/BB47-1)*100)</f>
        <v>NM</v>
      </c>
      <c r="BD166" s="953" t="str">
        <f>IF(OR(BC47&lt;=0,BD47 &lt;= 0), "NM",(BD47/BC47-1)*100)</f>
        <v>NM</v>
      </c>
      <c r="BE166" s="1134"/>
      <c r="BF166" s="953" t="str">
        <f>IF(OR(BD47&lt;=0,BF47 &lt;= 0), "NM",(BF47/BD47-1)*100)</f>
        <v>NM</v>
      </c>
      <c r="BG166" s="953" t="str">
        <f>IF(OR(BF47&lt;=0,BG47 &lt;= 0), "NM",(BG47/BF47-1)*100)</f>
        <v>NM</v>
      </c>
      <c r="BH166" s="953" t="str">
        <f>IF(OR(BG47&lt;=0,BH47 &lt;= 0), "NM",(BH47/BG47-1)*100)</f>
        <v>NM</v>
      </c>
      <c r="BI166" s="953" t="str">
        <f>IF(OR(BH47&lt;=0,BI47 &lt;= 0), "NM",(BI47/BH47-1)*100)</f>
        <v>NM</v>
      </c>
      <c r="BJ166" s="1134"/>
      <c r="BK166" s="953" t="str">
        <f>IF(OR(BI47&lt;=0,BK47 &lt;= 0), "NM",(BK47/BI47-1)*100)</f>
        <v>NM</v>
      </c>
      <c r="BL166" s="953" t="str">
        <f>IF(OR(BK47&lt;=0,BL47 &lt;= 0), "NM",(BL47/BK47-1)*100)</f>
        <v>NM</v>
      </c>
      <c r="BM166" s="953" t="str">
        <f>IF(OR(BL47&lt;=0,BM47 &lt;= 0), "NM",(BM47/BL47-1)*100)</f>
        <v>NM</v>
      </c>
      <c r="BN166" s="953" t="str">
        <f>IF(OR(BM47&lt;=0,BN47 &lt;= 0), "NM",(BN47/BM47-1)*100)</f>
        <v>NM</v>
      </c>
      <c r="BO166" s="1134"/>
      <c r="BP166" s="953" t="str">
        <f>IF(OR(BN47&lt;=0,BP47 &lt;= 0), "NM",(BP47/BN47-1)*100)</f>
        <v>NM</v>
      </c>
      <c r="BQ166" s="953" t="str">
        <f>IF(OR(BP47&lt;=0,BQ47 &lt;= 0), "NM",(BQ47/BP47-1)*100)</f>
        <v>NM</v>
      </c>
      <c r="BR166" s="953" t="str">
        <f>IF(OR(BQ47&lt;=0,BR47 &lt;= 0), "NM",(BR47/BQ47-1)*100)</f>
        <v>NM</v>
      </c>
      <c r="BS166" s="953" t="str">
        <f>IF(OR(BR47&lt;=0,BS47 &lt;= 0), "NM",(BS47/BR47-1)*100)</f>
        <v>NM</v>
      </c>
      <c r="BT166" s="42"/>
      <c r="BU166" s="953">
        <f>IF(OR(BS47&lt;=0,BU47 &lt;= 0), "NM",(BU47/BS47-1)*100)</f>
        <v>-92.678717413025595</v>
      </c>
      <c r="BV166" s="953">
        <f>IF(OR(BU47&lt;=0,BV47 &lt;= 0), "NM",(BV47/BU47-1)*100)</f>
        <v>203.598014888335</v>
      </c>
      <c r="BW166" s="953">
        <f>IF(OR(BV47&lt;=0,BW47 &lt;= 0), "NM",(BW47/BV47-1)*100)</f>
        <v>148.42664487126913</v>
      </c>
      <c r="BX166" s="953">
        <f>IF(OR(BW47&lt;=0,BX47 &lt;= 0), "NM",(BX47/BW47-1)*100)</f>
        <v>-87.1195920381642</v>
      </c>
      <c r="BY166" s="1134"/>
      <c r="BZ166" s="953">
        <f>IF(OR(BX47&lt;=0,BZ47 &lt;= 0), "NM",(BZ47/BX47-1)*100)</f>
        <v>1685.6960408684606</v>
      </c>
      <c r="CA166" s="953">
        <f>IF(OR(BZ47&lt;=0,CA47 &lt;= 0), "NM",(CA47/BZ47-1)*100)</f>
        <v>-5.092261479044657</v>
      </c>
      <c r="CB166" s="953">
        <f>IF(OR(CA47&lt;=0,CB47 &lt;= 0), "NM",(CB47/CA47-1)*100)</f>
        <v>61.966842501883868</v>
      </c>
      <c r="CC166" s="953">
        <f>IF(OR(CB47&lt;=0,CC47 &lt;= 0), "NM",(CC47/CB47-1)*100)</f>
        <v>14.069697110687374</v>
      </c>
      <c r="CD166" s="1134">
        <f>IF(OR(CD47&lt;=0, CC47 &lt;=0), "N.M.",(CD47/CC47-1)*100)</f>
        <v>198.82122608802044</v>
      </c>
      <c r="CE166" s="953">
        <f>IF(OR(CC47&lt;=0,CE47 &lt;= 0), "NM",(CE47/CC47-1)*100)</f>
        <v>78.268140473957033</v>
      </c>
      <c r="CF166" s="953">
        <f>IF(OR(CE47&lt;=0,CF47 &lt;= 0), "NM",(CF47/CE47-1)*100)</f>
        <v>-6.1250171601153873</v>
      </c>
      <c r="CG166" s="953">
        <f>IF(OR(CF47&lt;=0,CG47 &lt;= 0), "NM",(CG47/CF47-1)*100)</f>
        <v>11.03853372005168</v>
      </c>
      <c r="CH166" s="953">
        <f>IF(OR(CG47&lt;=0,CH47 &lt;= 0), "NM",(CH47/CG47-1)*100)</f>
        <v>11.475481803415422</v>
      </c>
      <c r="CI166" s="1134">
        <f>IF(OR(CI47&lt;=0, CH47 &lt;=0), "N.M.",(CI47/CH47-1)*100)</f>
        <v>256.55298704367362</v>
      </c>
      <c r="CJ166" s="953">
        <f>IF(OR(CH47&lt;=0,CJ47 &lt;= 0), "NM",(CJ47/CH47-1)*100)</f>
        <v>-5.5212066317488651</v>
      </c>
      <c r="CK166" s="953">
        <f>IF(OR(CJ47&lt;=0,CK47 &lt;= 0), "NM",(CK47/CJ47-1)*100)</f>
        <v>-17.285648784961104</v>
      </c>
      <c r="CL166" s="953">
        <f>IF(OR(CK47&lt;=0,CL47 &lt;= 0), "NM",(CL47/CK47-1)*100)</f>
        <v>29.520258012497603</v>
      </c>
      <c r="CM166" s="953">
        <f>IF(OR(CL47&lt;=0,CM47 &lt;= 0), "NM",(CM47/CL47-1)*100)</f>
        <v>5.1046611158664712</v>
      </c>
      <c r="CN166" s="1134">
        <f>IF(OR(CN47&lt;=0, CM47 &lt;=0), "N.M.",(CN47/CM47-1)*100)</f>
        <v>257.41097208854649</v>
      </c>
      <c r="CO166" s="953">
        <f>IF(OR(CM47&lt;=0,CO47 &lt;= 0), "NM",(CO47/CM47-1)*100)</f>
        <v>29.917820389427629</v>
      </c>
      <c r="CP166" s="953">
        <f>IF(OR(CO47&lt;=0,CP47 &lt;= 0), "NM",(CP47/CO47-1)*100)</f>
        <v>6.5677000227946314</v>
      </c>
      <c r="CQ166" s="953">
        <f>IF(OR(CP47&lt;=0,CQ47 &lt;= 0), "NM",(CQ47/CP47-1)*100)</f>
        <v>3.1416272292184244</v>
      </c>
      <c r="CR166" s="953">
        <f>IF(OR(CQ47&lt;=0,CR47 &lt;= 0), "NM",(CR47/CQ47-1)*100)</f>
        <v>5.9583678971381726</v>
      </c>
      <c r="CS166" s="1134">
        <f>IF(OR(CS47&lt;=0, CR47 &lt;=0), "N.M.",(CS47/CR47-1)*100)</f>
        <v>271.74155035535625</v>
      </c>
      <c r="CT166" s="953">
        <f>IF(OR(CR47&lt;=0,CT47 &lt;= 0), "NM",(CT47/CR47-1)*100)</f>
        <v>18.603285667102988</v>
      </c>
      <c r="CU166" s="953">
        <f t="shared" ref="CU166:DQ166" si="596">IF(OR(CT47&lt;=0,CU47 &lt;= 0), "NM",(CU47/CT47-1)*100)</f>
        <v>3.5397134812339193</v>
      </c>
      <c r="CV166" s="953">
        <f t="shared" si="596"/>
        <v>-7.5137714291406805</v>
      </c>
      <c r="CW166" s="953">
        <f t="shared" si="596"/>
        <v>10.617581802123999</v>
      </c>
      <c r="CX166" s="953">
        <f t="shared" si="596"/>
        <v>2.028158591680862</v>
      </c>
      <c r="CY166" s="953">
        <f t="shared" si="596"/>
        <v>10.665445141095864</v>
      </c>
      <c r="CZ166" s="953">
        <f t="shared" si="596"/>
        <v>-0.66400489811399011</v>
      </c>
      <c r="DA166" s="953">
        <f t="shared" si="596"/>
        <v>8.5039889576623118</v>
      </c>
      <c r="DB166" s="953">
        <f t="shared" si="596"/>
        <v>-2.701837761723036</v>
      </c>
      <c r="DC166" s="953">
        <f t="shared" si="596"/>
        <v>2.5367562411604094</v>
      </c>
      <c r="DD166" s="953">
        <f t="shared" si="596"/>
        <v>8.3674827782544536</v>
      </c>
      <c r="DE166" s="953">
        <f t="shared" si="596"/>
        <v>-5.4058654194818256</v>
      </c>
      <c r="DF166" s="953">
        <f t="shared" si="596"/>
        <v>18.480590803122986</v>
      </c>
      <c r="DG166" s="953">
        <f t="shared" si="596"/>
        <v>-8.1321104794354167</v>
      </c>
      <c r="DH166" s="953">
        <f t="shared" si="596"/>
        <v>1.257789309509727</v>
      </c>
      <c r="DI166" s="953">
        <f t="shared" si="596"/>
        <v>-3.5533030954764899</v>
      </c>
      <c r="DJ166" s="953">
        <f t="shared" si="596"/>
        <v>-17.066170139169913</v>
      </c>
      <c r="DK166" s="953">
        <f t="shared" si="596"/>
        <v>34.579547068010761</v>
      </c>
      <c r="DL166" s="953">
        <f t="shared" si="596"/>
        <v>12.057630806765317</v>
      </c>
      <c r="DM166" s="953">
        <f t="shared" si="596"/>
        <v>8.5406111532826188</v>
      </c>
      <c r="DN166" s="953">
        <f t="shared" si="596"/>
        <v>-9.3475373397304615</v>
      </c>
      <c r="DO166" s="953">
        <f t="shared" si="596"/>
        <v>10.574536668799617</v>
      </c>
      <c r="DP166" s="953">
        <f t="shared" si="596"/>
        <v>21.616593201546785</v>
      </c>
      <c r="DQ166" s="953">
        <f t="shared" si="596"/>
        <v>3.1930553270213657</v>
      </c>
      <c r="DR166" s="953">
        <f t="shared" ref="DR166:DU166" ca="1" si="597">IF(OR(DQ47&lt;=0,DR47 &lt;= 0), "NM",(DR47/DQ47-1)*100)</f>
        <v>-0.57614112502347714</v>
      </c>
      <c r="DS166" s="953">
        <f t="shared" ca="1" si="597"/>
        <v>12.610965070032876</v>
      </c>
      <c r="DT166" s="953">
        <f t="shared" ca="1" si="597"/>
        <v>6.6161790089054762</v>
      </c>
      <c r="DU166" s="953">
        <f t="shared" ca="1" si="597"/>
        <v>4.9673223745446027</v>
      </c>
      <c r="DV166" s="955"/>
      <c r="DW166" s="955"/>
      <c r="DX166" s="955"/>
      <c r="DY166" s="955"/>
    </row>
    <row r="167" spans="1:129">
      <c r="B167" s="23" t="s">
        <v>1114</v>
      </c>
      <c r="C167" s="23"/>
      <c r="E167" s="949"/>
      <c r="F167" s="949">
        <f t="shared" ref="F167:Z167" si="598">(F78/E78-1)*100</f>
        <v>13.756302243609642</v>
      </c>
      <c r="G167" s="949">
        <f t="shared" si="598"/>
        <v>201.92475355715624</v>
      </c>
      <c r="H167" s="949">
        <f t="shared" si="598"/>
        <v>21.217692161062928</v>
      </c>
      <c r="I167" s="949">
        <f t="shared" si="598"/>
        <v>-55.805239647201546</v>
      </c>
      <c r="J167" s="949">
        <f t="shared" si="598"/>
        <v>-54.07633976390094</v>
      </c>
      <c r="K167" s="949">
        <f t="shared" si="598"/>
        <v>-87.403861920477226</v>
      </c>
      <c r="L167" s="949">
        <f t="shared" si="598"/>
        <v>-27.946825102273152</v>
      </c>
      <c r="M167" s="949">
        <f t="shared" si="598"/>
        <v>-1827.7496560752656</v>
      </c>
      <c r="N167" s="949">
        <f t="shared" si="598"/>
        <v>-37.240363827928356</v>
      </c>
      <c r="O167" s="949">
        <f t="shared" si="598"/>
        <v>-52.982626684074262</v>
      </c>
      <c r="P167" s="949">
        <f t="shared" si="598"/>
        <v>132.10909842172285</v>
      </c>
      <c r="Q167" s="949">
        <f t="shared" si="598"/>
        <v>43.416854802372207</v>
      </c>
      <c r="R167" s="949">
        <f t="shared" si="598"/>
        <v>-33.154206811807555</v>
      </c>
      <c r="S167" s="949">
        <f t="shared" si="598"/>
        <v>-364.15559453452835</v>
      </c>
      <c r="T167" s="949">
        <f t="shared" si="598"/>
        <v>-166.52477272547728</v>
      </c>
      <c r="U167" s="949">
        <f t="shared" si="598"/>
        <v>-44.187167812089065</v>
      </c>
      <c r="V167" s="949">
        <f t="shared" si="598"/>
        <v>67.509270769266806</v>
      </c>
      <c r="W167" s="949">
        <f t="shared" ca="1" si="598"/>
        <v>96.791675788840138</v>
      </c>
      <c r="X167" s="949">
        <f t="shared" ca="1" si="598"/>
        <v>43.816431218779982</v>
      </c>
      <c r="Y167" s="949">
        <f t="shared" ca="1" si="598"/>
        <v>10.286487451204106</v>
      </c>
      <c r="Z167" s="949">
        <f t="shared" ca="1" si="598"/>
        <v>7.2244842241800278</v>
      </c>
      <c r="AA167" s="949">
        <f t="shared" ref="AA167" ca="1" si="599">(AA78/Z78-1)*100</f>
        <v>19.014342177374964</v>
      </c>
      <c r="AB167" s="949">
        <f t="shared" ref="AB167" ca="1" si="600">(AB78/AA78-1)*100</f>
        <v>45.712166352734961</v>
      </c>
      <c r="AC167" s="949">
        <f t="shared" ref="AC167" ca="1" si="601">(AC78/AB78-1)*100</f>
        <v>20.846478190628126</v>
      </c>
      <c r="AD167" s="949">
        <f t="shared" ref="AD167" ca="1" si="602">(AD78/AC78-1)*100</f>
        <v>4.3438766962078823</v>
      </c>
      <c r="AE167" s="54"/>
      <c r="AG167" s="23"/>
      <c r="AH167" s="23"/>
      <c r="AI167" s="23"/>
      <c r="AJ167" s="123"/>
      <c r="AK167" s="1102"/>
      <c r="AL167" s="953" t="str">
        <f>IF(OR(AJ61&lt;=0,AL61 &lt;= 0), "NM",(AL61/AJ61-1)*100)</f>
        <v>NM</v>
      </c>
      <c r="AM167" s="953" t="str">
        <f>IF(OR(AL61&lt;=0,AM61 &lt;= 0), "NM",(AM61/AL61-1)*100)</f>
        <v>NM</v>
      </c>
      <c r="AN167" s="953" t="str">
        <f>IF(OR(AM61&lt;=0,AN61 &lt;= 0), "NM",(AN61/AM61-1)*100)</f>
        <v>NM</v>
      </c>
      <c r="AO167" s="953" t="str">
        <f>IF(OR(AN61&lt;=0,AO61 &lt;= 0), "NM",(AO61/AN61-1)*100)</f>
        <v>NM</v>
      </c>
      <c r="AP167" s="1131"/>
      <c r="AQ167" s="953" t="str">
        <f>IF(OR(AO61&lt;=0,AQ61 &lt;= 0), "NM",(AQ61/AO61-1)*100)</f>
        <v>NM</v>
      </c>
      <c r="AR167" s="953" t="str">
        <f>IF(OR(AQ61&lt;=0,AR61 &lt;= 0), "NM",(AR61/AQ61-1)*100)</f>
        <v>NM</v>
      </c>
      <c r="AS167" s="953" t="str">
        <f>IF(OR(AR61&lt;=0,AS61 &lt;= 0), "NM",(AS61/AR61-1)*100)</f>
        <v>NM</v>
      </c>
      <c r="AT167" s="953" t="str">
        <f>IF(OR(AS61&lt;=0,AT61 &lt;= 0), "NM",(AT61/AS61-1)*100)</f>
        <v>NM</v>
      </c>
      <c r="AU167" s="1134"/>
      <c r="AV167" s="953" t="str">
        <f>IF(OR(AT61&lt;=0,AV61 &lt;= 0), "NM",(AV61/AT61-1)*100)</f>
        <v>NM</v>
      </c>
      <c r="AW167" s="953" t="str">
        <f>IF(OR(AV61&lt;=0,AW61 &lt;= 0), "NM",(AW61/AV61-1)*100)</f>
        <v>NM</v>
      </c>
      <c r="AX167" s="953" t="str">
        <f>IF(OR(AW61&lt;=0,AX61 &lt;= 0), "NM",(AX61/AW61-1)*100)</f>
        <v>NM</v>
      </c>
      <c r="AY167" s="953" t="str">
        <f>IF(OR(AX61&lt;=0,AY61 &lt;= 0), "NM",(AY61/AX61-1)*100)</f>
        <v>NM</v>
      </c>
      <c r="AZ167" s="1134"/>
      <c r="BA167" s="953" t="str">
        <f>IF(OR(AY61&lt;=0,BA61 &lt;= 0), "NM",(BA61/AY61-1)*100)</f>
        <v>NM</v>
      </c>
      <c r="BB167" s="953" t="str">
        <f>IF(OR(BA61&lt;=0,BB61 &lt;= 0), "NM",(BB61/BA61-1)*100)</f>
        <v>NM</v>
      </c>
      <c r="BC167" s="953" t="str">
        <f>IF(OR(BB61&lt;=0,BC61 &lt;= 0), "NM",(BC61/BB61-1)*100)</f>
        <v>NM</v>
      </c>
      <c r="BD167" s="953" t="str">
        <f>IF(OR(BC61&lt;=0,BD61 &lt;= 0), "NM",(BD61/BC61-1)*100)</f>
        <v>NM</v>
      </c>
      <c r="BE167" s="1134"/>
      <c r="BF167" s="953" t="str">
        <f>IF(OR(BD61&lt;=0,BF61 &lt;= 0), "NM",(BF61/BD61-1)*100)</f>
        <v>NM</v>
      </c>
      <c r="BG167" s="953" t="str">
        <f>IF(OR(BF61&lt;=0,BG61 &lt;= 0), "NM",(BG61/BF61-1)*100)</f>
        <v>NM</v>
      </c>
      <c r="BH167" s="953" t="str">
        <f>IF(OR(BG61&lt;=0,BH61 &lt;= 0), "NM",(BH61/BG61-1)*100)</f>
        <v>NM</v>
      </c>
      <c r="BI167" s="953" t="str">
        <f>IF(OR(BH61&lt;=0,BI61 &lt;= 0), "NM",(BI61/BH61-1)*100)</f>
        <v>NM</v>
      </c>
      <c r="BJ167" s="1134"/>
      <c r="BK167" s="953" t="str">
        <f>IF(OR(BI61&lt;=0,BK61 &lt;= 0), "NM",(BK61/BI61-1)*100)</f>
        <v>NM</v>
      </c>
      <c r="BL167" s="953" t="str">
        <f>IF(OR(BK61&lt;=0,BL61 &lt;= 0), "NM",(BL61/BK61-1)*100)</f>
        <v>NM</v>
      </c>
      <c r="BM167" s="953" t="str">
        <f>IF(OR(BL61&lt;=0,BM61 &lt;= 0), "NM",(BM61/BL61-1)*100)</f>
        <v>NM</v>
      </c>
      <c r="BN167" s="953" t="str">
        <f>IF(OR(BM61&lt;=0,BN61 &lt;= 0), "NM",(BN61/BM61-1)*100)</f>
        <v>NM</v>
      </c>
      <c r="BO167" s="1134"/>
      <c r="BP167" s="953" t="str">
        <f>IF(OR(BN61&lt;=0,BP61 &lt;= 0), "NM",(BP61/BN61-1)*100)</f>
        <v>NM</v>
      </c>
      <c r="BQ167" s="953" t="str">
        <f>IF(OR(BP61&lt;=0,BQ61 &lt;= 0), "NM",(BQ61/BP61-1)*100)</f>
        <v>NM</v>
      </c>
      <c r="BR167" s="953" t="str">
        <f>IF(OR(BQ61&lt;=0,BR61 &lt;= 0), "NM",(BR61/BQ61-1)*100)</f>
        <v>NM</v>
      </c>
      <c r="BS167" s="953" t="str">
        <f>IF(OR(BR61&lt;=0,BS61 &lt;= 0), "NM",(BS61/BR61-1)*100)</f>
        <v>NM</v>
      </c>
      <c r="BT167" s="42"/>
      <c r="BU167" s="953" t="str">
        <f>IF(OR(BS61&lt;=0,BU61 &lt;= 0), "NM",(BU61/BS61-1)*100)</f>
        <v>NM</v>
      </c>
      <c r="BV167" s="953" t="str">
        <f>IF(OR(BU61&lt;=0,BV61 &lt;= 0), "NM",(BV61/BU61-1)*100)</f>
        <v>NM</v>
      </c>
      <c r="BW167" s="953">
        <f>IF(OR(BV61&lt;=0,BW61 &lt;= 0), "NM",(BW61/BV61-1)*100)</f>
        <v>238.86606409202494</v>
      </c>
      <c r="BX167" s="953" t="str">
        <f>IF(OR(BW61&lt;=0,BX61 &lt;= 0), "NM",(BX61/BW61-1)*100)</f>
        <v>NM</v>
      </c>
      <c r="BY167" s="1134"/>
      <c r="BZ167" s="953" t="str">
        <f>IF(OR(BX61&lt;=0,BZ61 &lt;= 0), "NM",(BZ61/BX61-1)*100)</f>
        <v>NM</v>
      </c>
      <c r="CA167" s="953">
        <f>IF(OR(BZ61&lt;=0,CA61 &lt;= 0), "NM",(CA61/BZ61-1)*100)</f>
        <v>-81.353700289702928</v>
      </c>
      <c r="CB167" s="953">
        <f>IF(OR(CA61&lt;=0,CB61 &lt;= 0), "NM",(CB61/CA61-1)*100)</f>
        <v>684.74576271187971</v>
      </c>
      <c r="CC167" s="953">
        <f>IF(OR(CB61&lt;=0,CC61 &lt;= 0), "NM",(CC61/CB61-1)*100)</f>
        <v>1661.3930885529285</v>
      </c>
      <c r="CD167" s="1134">
        <f>IF(OR(CD61&lt;=0, CC61 &lt;=0), "N.M.",(CD61/CC61-1)*100)</f>
        <v>10.280698527533328</v>
      </c>
      <c r="CE167" s="953">
        <f>IF(OR(CC61&lt;=0,CE61 &lt;= 0), "NM",(CE61/CC61-1)*100)</f>
        <v>-84.205470913419745</v>
      </c>
      <c r="CF167" s="953">
        <f>IF(OR(CE61&lt;=0,CF61 &lt;= 0), "NM",(CF61/CE61-1)*100)</f>
        <v>12.829138901468372</v>
      </c>
      <c r="CG167" s="953">
        <f>IF(OR(CF61&lt;=0,CG61 &lt;= 0), "NM",(CG61/CF61-1)*100)</f>
        <v>7.8669724770642713</v>
      </c>
      <c r="CH167" s="953">
        <f>IF(OR(CG61&lt;=0,CH61 &lt;= 0), "NM",(CH61/CG61-1)*100)</f>
        <v>-5.7941739315331198</v>
      </c>
      <c r="CI167" s="1134">
        <f>IF(OR(CI61&lt;=0, CH61 &lt;=0), "N.M.",(CI61/CH61-1)*100)</f>
        <v>291.77858029567824</v>
      </c>
      <c r="CJ167" s="953">
        <f>IF(OR(CH61&lt;=0,CJ61 &lt;= 0), "NM",(CJ61/CH61-1)*100)</f>
        <v>-19.879246134747653</v>
      </c>
      <c r="CK167" s="953" t="str">
        <f>IF(OR(CJ61&lt;=0,CK61 &lt;= 0), "NM",(CK61/CJ61-1)*100)</f>
        <v>NM</v>
      </c>
      <c r="CL167" s="953" t="str">
        <f>IF(OR(CK61&lt;=0,CL61 &lt;= 0), "NM",(CL61/CK61-1)*100)</f>
        <v>NM</v>
      </c>
      <c r="CM167" s="953">
        <f>IF(OR(CL61&lt;=0,CM61 &lt;= 0), "NM",(CM61/CL61-1)*100)</f>
        <v>25.893701532059723</v>
      </c>
      <c r="CN167" s="1134">
        <f>IF(OR(CN61&lt;=0, CM61 &lt;=0), "N.M.",(CN61/CM61-1)*100)</f>
        <v>164.96394230769158</v>
      </c>
      <c r="CO167" s="953">
        <f>IF(OR(CM61&lt;=0,CO61 &lt;= 0), "NM",(CO61/CM61-1)*100)</f>
        <v>80.528846153845876</v>
      </c>
      <c r="CP167" s="953">
        <f>IF(OR(CO61&lt;=0,CP61 &lt;= 0), "NM",(CP61/CO61-1)*100)</f>
        <v>27.617343541944116</v>
      </c>
      <c r="CQ167" s="953">
        <f>IF(OR(CP61&lt;=0,CQ61 &lt;= 0), "NM",(CQ61/CP61-1)*100)</f>
        <v>-35.847272490136731</v>
      </c>
      <c r="CR167" s="953">
        <f>IF(OR(CQ61&lt;=0,CR61 &lt;= 0), "NM",(CR61/CQ61-1)*100)</f>
        <v>-23.933926302414122</v>
      </c>
      <c r="CS167" s="1134">
        <f>IF(OR(CS61&lt;=0, CR61 &lt;=0), "N.M.",(CS61/CR61-1)*100)</f>
        <v>496.966457303222</v>
      </c>
      <c r="CT167" s="953">
        <f>IF(OR(CR61&lt;=0,CT61 &lt;= 0), "NM",(CT61/CR61-1)*100)</f>
        <v>115.20112254443421</v>
      </c>
      <c r="CU167" s="953">
        <f t="shared" ref="CU167:DQ167" si="603">IF(OR(CT61&lt;=0,CU61 &lt;= 0), "NM",(CU61/CT61-1)*100)</f>
        <v>13.174154686869223</v>
      </c>
      <c r="CV167" s="953">
        <f t="shared" si="603"/>
        <v>-26.891632373113961</v>
      </c>
      <c r="CW167" s="953">
        <f t="shared" si="603"/>
        <v>30.41504052837012</v>
      </c>
      <c r="CX167" s="953">
        <f t="shared" si="603"/>
        <v>-4.226973210946106</v>
      </c>
      <c r="CY167" s="953" t="str">
        <f t="shared" si="603"/>
        <v>NM</v>
      </c>
      <c r="CZ167" s="953" t="str">
        <f t="shared" si="603"/>
        <v>NM</v>
      </c>
      <c r="DA167" s="953">
        <f t="shared" si="603"/>
        <v>6.1282249198885363</v>
      </c>
      <c r="DB167" s="953">
        <f t="shared" si="603"/>
        <v>-8.8951579132964689</v>
      </c>
      <c r="DC167" s="953">
        <f t="shared" si="603"/>
        <v>-75.617485545637024</v>
      </c>
      <c r="DD167" s="953">
        <f t="shared" si="603"/>
        <v>326.24268280583254</v>
      </c>
      <c r="DE167" s="953" t="str">
        <f t="shared" si="603"/>
        <v>NM</v>
      </c>
      <c r="DF167" s="953" t="str">
        <f t="shared" si="603"/>
        <v>NM</v>
      </c>
      <c r="DG167" s="953">
        <f t="shared" si="603"/>
        <v>-22.227018259823328</v>
      </c>
      <c r="DH167" s="953">
        <f t="shared" si="603"/>
        <v>-30.822919995290675</v>
      </c>
      <c r="DI167" s="953">
        <f t="shared" si="603"/>
        <v>-73.910823689585015</v>
      </c>
      <c r="DJ167" s="953" t="str">
        <f t="shared" si="603"/>
        <v>NM</v>
      </c>
      <c r="DK167" s="953" t="str">
        <f t="shared" si="603"/>
        <v>NM</v>
      </c>
      <c r="DL167" s="953">
        <f t="shared" si="603"/>
        <v>24.087832680270527</v>
      </c>
      <c r="DM167" s="953">
        <f t="shared" si="603"/>
        <v>30.541942627488837</v>
      </c>
      <c r="DN167" s="953">
        <f t="shared" si="603"/>
        <v>-33.931264136717509</v>
      </c>
      <c r="DO167" s="953">
        <f t="shared" si="603"/>
        <v>8.8987684846176585</v>
      </c>
      <c r="DP167" s="953">
        <f t="shared" si="603"/>
        <v>74.435105337845016</v>
      </c>
      <c r="DQ167" s="953">
        <f t="shared" si="603"/>
        <v>-18.379224030037467</v>
      </c>
      <c r="DR167" s="953">
        <f t="shared" ref="DR167:DU167" ca="1" si="604">IF(OR(DQ61&lt;=0,DR61 &lt;= 0), "NM",(DR61/DQ61-1)*100)</f>
        <v>47.907693545879226</v>
      </c>
      <c r="DS167" s="953">
        <f t="shared" ca="1" si="604"/>
        <v>25.560167090486786</v>
      </c>
      <c r="DT167" s="953">
        <f t="shared" ca="1" si="604"/>
        <v>12.073348361460411</v>
      </c>
      <c r="DU167" s="953">
        <f t="shared" ca="1" si="604"/>
        <v>8.4663252384475474</v>
      </c>
      <c r="DV167" s="955"/>
      <c r="DW167" s="955"/>
      <c r="DX167" s="955"/>
      <c r="DY167" s="955"/>
    </row>
    <row r="168" spans="1:129">
      <c r="B168" s="23" t="s">
        <v>1115</v>
      </c>
      <c r="C168" s="23"/>
      <c r="E168" s="949"/>
      <c r="F168" s="949">
        <f t="shared" ref="F168:Z168" si="605">IF(OR(F45&lt;=0, E45 &lt;=0), "N.M.",(F45/E45-1)*100)</f>
        <v>235.07694384449249</v>
      </c>
      <c r="G168" s="949">
        <f t="shared" si="605"/>
        <v>8.9374559371537821</v>
      </c>
      <c r="H168" s="949">
        <f t="shared" si="605"/>
        <v>16.023815687289698</v>
      </c>
      <c r="I168" s="949">
        <f t="shared" si="605"/>
        <v>-6.731688659399504</v>
      </c>
      <c r="J168" s="949">
        <f t="shared" si="605"/>
        <v>10.75968833299159</v>
      </c>
      <c r="K168" s="949">
        <f t="shared" si="605"/>
        <v>17.758133938075638</v>
      </c>
      <c r="L168" s="949">
        <f t="shared" si="605"/>
        <v>35.559136404129312</v>
      </c>
      <c r="M168" s="949">
        <f t="shared" si="605"/>
        <v>55.580575018120328</v>
      </c>
      <c r="N168" s="949">
        <f t="shared" si="605"/>
        <v>8.9348829408585786</v>
      </c>
      <c r="O168" s="949">
        <f t="shared" si="605"/>
        <v>44.610568452024559</v>
      </c>
      <c r="P168" s="949">
        <f t="shared" si="605"/>
        <v>33.182705388300704</v>
      </c>
      <c r="Q168" s="949">
        <f t="shared" si="605"/>
        <v>16.516263123301279</v>
      </c>
      <c r="R168" s="949">
        <f t="shared" si="605"/>
        <v>9.5199253957001027</v>
      </c>
      <c r="S168" s="949">
        <f t="shared" si="605"/>
        <v>12.32482923750835</v>
      </c>
      <c r="T168" s="949">
        <f t="shared" si="605"/>
        <v>9.2537319598701817</v>
      </c>
      <c r="U168" s="949">
        <f t="shared" si="605"/>
        <v>59.475090229501504</v>
      </c>
      <c r="V168" s="949">
        <f t="shared" si="605"/>
        <v>21.977451363943512</v>
      </c>
      <c r="W168" s="949">
        <f t="shared" ca="1" si="605"/>
        <v>11.309399079815474</v>
      </c>
      <c r="X168" s="949">
        <f t="shared" ca="1" si="605"/>
        <v>-6.6925221329849567</v>
      </c>
      <c r="Y168" s="949">
        <f t="shared" ca="1" si="605"/>
        <v>4.7328838583264643</v>
      </c>
      <c r="Z168" s="949">
        <f t="shared" ca="1" si="605"/>
        <v>4.9427754345608976</v>
      </c>
      <c r="AA168" s="949">
        <f t="shared" ref="AA168" ca="1" si="606">IF(OR(AA45&lt;=0, Z45 &lt;=0), "N.M.",(AA45/Z45-1)*100)</f>
        <v>-5.6447289651639032</v>
      </c>
      <c r="AB168" s="949">
        <f t="shared" ref="AB168" ca="1" si="607">IF(OR(AB45&lt;=0, AA45 &lt;=0), "N.M.",(AB45/AA45-1)*100)</f>
        <v>-42.033230060976869</v>
      </c>
      <c r="AC168" s="949">
        <f t="shared" ref="AC168" ca="1" si="608">IF(OR(AC45&lt;=0, AB45 &lt;=0), "N.M.",(AC45/AB45-1)*100)</f>
        <v>-46.172323128332629</v>
      </c>
      <c r="AD168" s="949">
        <f t="shared" ref="AD168" ca="1" si="609">IF(OR(AD45&lt;=0, AC45 &lt;=0), "N.M.",(AD45/AC45-1)*100)</f>
        <v>0</v>
      </c>
      <c r="AE168" s="54"/>
      <c r="AG168" s="23"/>
      <c r="AH168" s="23"/>
      <c r="AI168" s="23"/>
      <c r="AJ168" s="123"/>
      <c r="AK168" s="1102"/>
      <c r="AL168" s="953" t="str">
        <f>IF(OR(AJ63&lt;=0,AL63 &lt;= 0), "NM",(AL63/AJ63-1)*100)</f>
        <v>NM</v>
      </c>
      <c r="AM168" s="953" t="str">
        <f>IF(OR(AL63&lt;=0,AM63 &lt;= 0), "NM",(AM63/AL63-1)*100)</f>
        <v>NM</v>
      </c>
      <c r="AN168" s="953" t="str">
        <f>IF(OR(AM63&lt;=0,AN63 &lt;= 0), "NM",(AN63/AM63-1)*100)</f>
        <v>NM</v>
      </c>
      <c r="AO168" s="953" t="str">
        <f>IF(OR(AN63&lt;=0,AO63 &lt;= 0), "NM",(AO63/AN63-1)*100)</f>
        <v>NM</v>
      </c>
      <c r="AP168" s="1131"/>
      <c r="AQ168" s="953" t="str">
        <f>IF(OR(AO63&lt;=0,AQ63 &lt;= 0), "NM",(AQ63/AO63-1)*100)</f>
        <v>NM</v>
      </c>
      <c r="AR168" s="953" t="str">
        <f>IF(OR(AQ63&lt;=0,AR63 &lt;= 0), "NM",(AR63/AQ63-1)*100)</f>
        <v>NM</v>
      </c>
      <c r="AS168" s="953" t="str">
        <f>IF(OR(AR63&lt;=0,AS63 &lt;= 0), "NM",(AS63/AR63-1)*100)</f>
        <v>NM</v>
      </c>
      <c r="AT168" s="953" t="str">
        <f>IF(OR(AS63&lt;=0,AT63 &lt;= 0), "NM",(AT63/AS63-1)*100)</f>
        <v>NM</v>
      </c>
      <c r="AU168" s="1134"/>
      <c r="AV168" s="953" t="str">
        <f>IF(OR(AT63&lt;=0,AV63 &lt;= 0), "NM",(AV63/AT63-1)*100)</f>
        <v>NM</v>
      </c>
      <c r="AW168" s="953" t="str">
        <f>IF(OR(AV63&lt;=0,AW63 &lt;= 0), "NM",(AW63/AV63-1)*100)</f>
        <v>NM</v>
      </c>
      <c r="AX168" s="953" t="str">
        <f>IF(OR(AW63&lt;=0,AX63 &lt;= 0), "NM",(AX63/AW63-1)*100)</f>
        <v>NM</v>
      </c>
      <c r="AY168" s="953" t="str">
        <f>IF(OR(AX63&lt;=0,AY63 &lt;= 0), "NM",(AY63/AX63-1)*100)</f>
        <v>NM</v>
      </c>
      <c r="AZ168" s="1134"/>
      <c r="BA168" s="953" t="str">
        <f>IF(OR(AY63&lt;=0,BA63 &lt;= 0), "NM",(BA63/AY63-1)*100)</f>
        <v>NM</v>
      </c>
      <c r="BB168" s="953" t="str">
        <f>IF(OR(BA63&lt;=0,BB63 &lt;= 0), "NM",(BB63/BA63-1)*100)</f>
        <v>NM</v>
      </c>
      <c r="BC168" s="953" t="str">
        <f>IF(OR(BB63&lt;=0,BC63 &lt;= 0), "NM",(BC63/BB63-1)*100)</f>
        <v>NM</v>
      </c>
      <c r="BD168" s="953" t="str">
        <f>IF(OR(BC63&lt;=0,BD63 &lt;= 0), "NM",(BD63/BC63-1)*100)</f>
        <v>NM</v>
      </c>
      <c r="BE168" s="1134"/>
      <c r="BF168" s="953" t="str">
        <f>IF(OR(BD63&lt;=0,BF63 &lt;= 0), "NM",(BF63/BD63-1)*100)</f>
        <v>NM</v>
      </c>
      <c r="BG168" s="953" t="str">
        <f>IF(OR(BF63&lt;=0,BG63 &lt;= 0), "NM",(BG63/BF63-1)*100)</f>
        <v>NM</v>
      </c>
      <c r="BH168" s="953" t="str">
        <f>IF(OR(BG63&lt;=0,BH63 &lt;= 0), "NM",(BH63/BG63-1)*100)</f>
        <v>NM</v>
      </c>
      <c r="BI168" s="953" t="str">
        <f>IF(OR(BH63&lt;=0,BI63 &lt;= 0), "NM",(BI63/BH63-1)*100)</f>
        <v>NM</v>
      </c>
      <c r="BJ168" s="1134"/>
      <c r="BK168" s="953" t="str">
        <f>IF(OR(BI63&lt;=0,BK63 &lt;= 0), "NM",(BK63/BI63-1)*100)</f>
        <v>NM</v>
      </c>
      <c r="BL168" s="953" t="str">
        <f>IF(OR(BK63&lt;=0,BL63 &lt;= 0), "NM",(BL63/BK63-1)*100)</f>
        <v>NM</v>
      </c>
      <c r="BM168" s="953" t="str">
        <f>IF(OR(BL63&lt;=0,BM63 &lt;= 0), "NM",(BM63/BL63-1)*100)</f>
        <v>NM</v>
      </c>
      <c r="BN168" s="953" t="str">
        <f>IF(OR(BM63&lt;=0,BN63 &lt;= 0), "NM",(BN63/BM63-1)*100)</f>
        <v>NM</v>
      </c>
      <c r="BO168" s="1134"/>
      <c r="BP168" s="953" t="str">
        <f>IF(OR(BN63&lt;=0,BP63 &lt;= 0), "NM",(BP63/BN63-1)*100)</f>
        <v>NM</v>
      </c>
      <c r="BQ168" s="953" t="str">
        <f>IF(OR(BP63&lt;=0,BQ63 &lt;= 0), "NM",(BQ63/BP63-1)*100)</f>
        <v>NM</v>
      </c>
      <c r="BR168" s="953" t="str">
        <f>IF(OR(BQ63&lt;=0,BR63 &lt;= 0), "NM",(BR63/BQ63-1)*100)</f>
        <v>NM</v>
      </c>
      <c r="BS168" s="953" t="str">
        <f>IF(OR(BR63&lt;=0,BS63 &lt;= 0), "NM",(BS63/BR63-1)*100)</f>
        <v>NM</v>
      </c>
      <c r="BT168" s="42"/>
      <c r="BU168" s="953" t="str">
        <f>IF(OR(BS63&lt;=0,BU63 &lt;= 0), "NM",(BU63/BS63-1)*100)</f>
        <v>NM</v>
      </c>
      <c r="BV168" s="953" t="str">
        <f>IF(OR(BU63&lt;=0,BV63 &lt;= 0), "NM",(BV63/BU63-1)*100)</f>
        <v>NM</v>
      </c>
      <c r="BW168" s="953">
        <f>IF(OR(BV63&lt;=0,BW63 &lt;= 0), "NM",(BW63/BV63-1)*100)</f>
        <v>238.86606409202494</v>
      </c>
      <c r="BX168" s="953" t="str">
        <f>IF(OR(BW63&lt;=0,BX63 &lt;= 0), "NM",(BX63/BW63-1)*100)</f>
        <v>NM</v>
      </c>
      <c r="BY168" s="1134"/>
      <c r="BZ168" s="953" t="str">
        <f>IF(OR(BX63&lt;=0,BZ63 &lt;= 0), "NM",(BZ63/BX63-1)*100)</f>
        <v>NM</v>
      </c>
      <c r="CA168" s="953">
        <f>IF(OR(BZ63&lt;=0,CA63 &lt;= 0), "NM",(CA63/BZ63-1)*100)</f>
        <v>-81.353700289702928</v>
      </c>
      <c r="CB168" s="953">
        <f>IF(OR(CA63&lt;=0,CB63 &lt;= 0), "NM",(CB63/CA63-1)*100)</f>
        <v>684.74576271187971</v>
      </c>
      <c r="CC168" s="953">
        <f>IF(OR(CB63&lt;=0,CC63 &lt;= 0), "NM",(CC63/CB63-1)*100)</f>
        <v>1661.3930885529285</v>
      </c>
      <c r="CD168" s="1134">
        <f>IF(OR(CD63&lt;=0, CC63 &lt;=0), "N.M.",(CD63/CC63-1)*100)</f>
        <v>10.280698527533328</v>
      </c>
      <c r="CE168" s="953">
        <f>IF(OR(CC63&lt;=0,CE63 &lt;= 0), "NM",(CE63/CC63-1)*100)</f>
        <v>-84.205470913419745</v>
      </c>
      <c r="CF168" s="953">
        <f>IF(OR(CE63&lt;=0,CF63 &lt;= 0), "NM",(CF63/CE63-1)*100)</f>
        <v>12.829138901468372</v>
      </c>
      <c r="CG168" s="953">
        <f>IF(OR(CF63&lt;=0,CG63 &lt;= 0), "NM",(CG63/CF63-1)*100)</f>
        <v>7.8669724770642713</v>
      </c>
      <c r="CH168" s="953">
        <f>IF(OR(CG63&lt;=0,CH63 &lt;= 0), "NM",(CH63/CG63-1)*100)</f>
        <v>-5.7941739315331198</v>
      </c>
      <c r="CI168" s="1134">
        <f>IF(OR(CI63&lt;=0, CH63 &lt;=0), "N.M.",(CI63/CH63-1)*100)</f>
        <v>291.77858029567824</v>
      </c>
      <c r="CJ168" s="953">
        <f>IF(OR(CH63&lt;=0,CJ63 &lt;= 0), "NM",(CJ63/CH63-1)*100)</f>
        <v>-19.879246134747653</v>
      </c>
      <c r="CK168" s="953" t="str">
        <f>IF(OR(CJ63&lt;=0,CK63 &lt;= 0), "NM",(CK63/CJ63-1)*100)</f>
        <v>NM</v>
      </c>
      <c r="CL168" s="953" t="str">
        <f>IF(OR(CK63&lt;=0,CL63 &lt;= 0), "NM",(CL63/CK63-1)*100)</f>
        <v>NM</v>
      </c>
      <c r="CM168" s="953">
        <f>IF(OR(CL63&lt;=0,CM63 &lt;= 0), "NM",(CM63/CL63-1)*100)</f>
        <v>22.901036084315773</v>
      </c>
      <c r="CN168" s="1134">
        <f>IF(OR(CN63&lt;=0, CM63 &lt;=0), "N.M.",(CN63/CM63-1)*100)</f>
        <v>168.03052325581325</v>
      </c>
      <c r="CO168" s="953">
        <f>IF(OR(CM63&lt;=0,CO63 &lt;= 0), "NM",(CO63/CM63-1)*100)</f>
        <v>82.739825581395081</v>
      </c>
      <c r="CP168" s="953">
        <f>IF(OR(CO63&lt;=0,CP63 &lt;= 0), "NM",(CP63/CO63-1)*100)</f>
        <v>22.223105985285386</v>
      </c>
      <c r="CQ168" s="953">
        <f>IF(OR(CP63&lt;=0,CQ63 &lt;= 0), "NM",(CQ63/CP63-1)*100)</f>
        <v>-32.844174014902649</v>
      </c>
      <c r="CR168" s="953">
        <f>IF(OR(CQ63&lt;=0,CR63 &lt;= 0), "NM",(CR63/CQ63-1)*100)</f>
        <v>-22.026260962255829</v>
      </c>
      <c r="CS168" s="1134">
        <f>IF(OR(CS63&lt;=0, CR63 &lt;=0), "N.M.",(CS63/CR63-1)*100)</f>
        <v>475.46759460635195</v>
      </c>
      <c r="CT168" s="953">
        <f>IF(OR(CR63&lt;=0,CT63 &lt;= 0), "NM",(CT63/CR63-1)*100)</f>
        <v>101.36705399863311</v>
      </c>
      <c r="CU168" s="953">
        <f t="shared" ref="CU168:DQ168" si="610">IF(OR(CT63&lt;=0,CU63 &lt;= 0), "NM",(CU63/CT63-1)*100)</f>
        <v>13.559217428871118</v>
      </c>
      <c r="CV168" s="953">
        <f t="shared" si="610"/>
        <v>-25.741847826087071</v>
      </c>
      <c r="CW168" s="953">
        <f t="shared" si="610"/>
        <v>70.567570534636431</v>
      </c>
      <c r="CX168" s="953">
        <f t="shared" si="610"/>
        <v>-28.591963270472853</v>
      </c>
      <c r="CY168" s="953" t="str">
        <f t="shared" si="610"/>
        <v>NM</v>
      </c>
      <c r="CZ168" s="953" t="str">
        <f t="shared" si="610"/>
        <v>NM</v>
      </c>
      <c r="DA168" s="953">
        <f t="shared" si="610"/>
        <v>6.1282249198885363</v>
      </c>
      <c r="DB168" s="953">
        <f t="shared" si="610"/>
        <v>-8.8951579132964689</v>
      </c>
      <c r="DC168" s="953">
        <f t="shared" si="610"/>
        <v>-75.617485545637024</v>
      </c>
      <c r="DD168" s="953">
        <f t="shared" si="610"/>
        <v>326.24268280583254</v>
      </c>
      <c r="DE168" s="953" t="str">
        <f t="shared" si="610"/>
        <v>NM</v>
      </c>
      <c r="DF168" s="953" t="str">
        <f t="shared" si="610"/>
        <v>NM</v>
      </c>
      <c r="DG168" s="953">
        <f t="shared" si="610"/>
        <v>-22.227018259823328</v>
      </c>
      <c r="DH168" s="953">
        <f t="shared" si="610"/>
        <v>-30.822919995290675</v>
      </c>
      <c r="DI168" s="953">
        <f t="shared" si="610"/>
        <v>-73.910823689585015</v>
      </c>
      <c r="DJ168" s="953" t="str">
        <f t="shared" si="610"/>
        <v>NM</v>
      </c>
      <c r="DK168" s="953" t="str">
        <f t="shared" si="610"/>
        <v>NM</v>
      </c>
      <c r="DL168" s="953">
        <f t="shared" si="610"/>
        <v>15.072353559526563</v>
      </c>
      <c r="DM168" s="953">
        <f t="shared" si="610"/>
        <v>20.019436345967012</v>
      </c>
      <c r="DN168" s="953">
        <f t="shared" si="610"/>
        <v>-31.883400809716321</v>
      </c>
      <c r="DO168" s="953">
        <f t="shared" si="610"/>
        <v>8.8987684846176585</v>
      </c>
      <c r="DP168" s="953">
        <f t="shared" si="610"/>
        <v>74.435105337845016</v>
      </c>
      <c r="DQ168" s="953">
        <f t="shared" si="610"/>
        <v>-18.379224030037467</v>
      </c>
      <c r="DR168" s="953">
        <f t="shared" ref="DR168:DU168" ca="1" si="611">IF(OR(DQ63&lt;=0,DR63 &lt;= 0), "NM",(DR63/DQ63-1)*100)</f>
        <v>47.907693545879226</v>
      </c>
      <c r="DS168" s="953">
        <f t="shared" ca="1" si="611"/>
        <v>25.560167090486786</v>
      </c>
      <c r="DT168" s="953">
        <f t="shared" ca="1" si="611"/>
        <v>12.073348361460411</v>
      </c>
      <c r="DU168" s="953">
        <f t="shared" ca="1" si="611"/>
        <v>8.4663252384475474</v>
      </c>
      <c r="DV168" s="955"/>
      <c r="DW168" s="955"/>
      <c r="DX168" s="955"/>
      <c r="DY168" s="955"/>
    </row>
    <row r="169" spans="1:129">
      <c r="AE169" s="54"/>
      <c r="AJ169" s="124"/>
      <c r="AK169" s="42"/>
      <c r="AP169" s="42"/>
      <c r="AU169" s="42"/>
      <c r="AZ169" s="42"/>
      <c r="BE169" s="42"/>
      <c r="BJ169" s="42"/>
      <c r="BO169" s="42"/>
      <c r="BT169" s="42"/>
      <c r="BY169" s="42"/>
      <c r="CD169" s="42"/>
      <c r="CI169" s="42"/>
      <c r="CN169" s="42"/>
      <c r="CS169" s="42"/>
    </row>
    <row r="170" spans="1:129">
      <c r="A170" s="1163" t="s">
        <v>604</v>
      </c>
      <c r="B170" s="28" t="s">
        <v>1556</v>
      </c>
      <c r="C170" s="29"/>
      <c r="D170" s="29"/>
      <c r="E170" s="29"/>
      <c r="F170" s="29"/>
      <c r="G170" s="29"/>
      <c r="H170" s="29"/>
      <c r="I170" s="29"/>
      <c r="J170" s="29"/>
      <c r="K170" s="29"/>
      <c r="L170" s="29"/>
      <c r="M170" s="29"/>
      <c r="N170" s="29"/>
      <c r="O170" s="29"/>
      <c r="P170" s="29"/>
      <c r="Q170" s="29"/>
      <c r="R170" s="29"/>
      <c r="S170" s="29"/>
      <c r="T170" s="29"/>
      <c r="U170" s="29"/>
      <c r="V170" s="29"/>
      <c r="W170" s="29"/>
      <c r="X170" s="29"/>
      <c r="Y170" s="29"/>
      <c r="Z170" s="29"/>
      <c r="AA170" s="29"/>
      <c r="AB170" s="29"/>
      <c r="AC170" s="29"/>
      <c r="AD170" s="29"/>
      <c r="AE170" s="54"/>
      <c r="AJ170" s="124"/>
      <c r="AK170" s="42"/>
      <c r="AP170" s="42"/>
      <c r="AU170" s="42"/>
      <c r="AZ170" s="42"/>
      <c r="BE170" s="42"/>
      <c r="BJ170" s="42"/>
      <c r="BO170" s="42"/>
      <c r="BT170" s="42"/>
      <c r="BY170" s="42"/>
      <c r="CD170" s="42"/>
      <c r="CI170" s="42"/>
      <c r="CJ170" s="29"/>
      <c r="CK170" s="29"/>
      <c r="CL170" s="29"/>
      <c r="CM170" s="29"/>
      <c r="CN170" s="42"/>
      <c r="CO170" s="29"/>
      <c r="CP170" s="29"/>
      <c r="CQ170" s="29"/>
      <c r="CR170" s="29"/>
      <c r="CS170" s="42"/>
      <c r="CT170" s="29"/>
      <c r="CU170" s="29"/>
      <c r="CV170" s="29"/>
      <c r="CW170" s="29"/>
      <c r="CX170" s="29"/>
      <c r="CY170" s="29"/>
      <c r="CZ170" s="29"/>
      <c r="DA170" s="29"/>
      <c r="DB170" s="29"/>
      <c r="DC170" s="29"/>
      <c r="DD170" s="29"/>
      <c r="DE170" s="29"/>
      <c r="DF170" s="29"/>
      <c r="DG170" s="29"/>
      <c r="DH170" s="29"/>
      <c r="DI170" s="29"/>
      <c r="DJ170" s="29"/>
      <c r="DK170" s="29"/>
      <c r="DL170" s="29"/>
      <c r="DM170" s="29"/>
      <c r="DN170" s="29"/>
      <c r="DO170" s="29"/>
      <c r="DP170" s="29"/>
      <c r="DQ170" s="29"/>
      <c r="DR170" s="29"/>
      <c r="DS170" s="29"/>
      <c r="DT170" s="29"/>
      <c r="DU170" s="29"/>
    </row>
    <row r="171" spans="1:129">
      <c r="B171" s="957" t="s">
        <v>1556</v>
      </c>
      <c r="AE171" s="54"/>
      <c r="AJ171" s="124"/>
      <c r="AK171" s="42"/>
      <c r="AP171" s="42"/>
      <c r="AU171" s="42"/>
      <c r="AZ171" s="42"/>
      <c r="BE171" s="42"/>
      <c r="BJ171" s="42"/>
      <c r="BO171" s="42"/>
      <c r="BT171" s="42"/>
      <c r="BY171" s="42"/>
      <c r="CD171" s="42"/>
      <c r="CI171" s="42"/>
      <c r="CN171" s="42"/>
      <c r="CS171" s="42"/>
    </row>
    <row r="172" spans="1:129">
      <c r="B172" s="958" t="s">
        <v>1555</v>
      </c>
      <c r="I172" s="789"/>
      <c r="J172" s="789"/>
      <c r="K172" s="789"/>
      <c r="L172" s="54"/>
      <c r="N172" s="1498"/>
      <c r="O172" s="1498"/>
      <c r="P172" s="1498"/>
      <c r="Q172" s="1498"/>
      <c r="R172" s="1498"/>
      <c r="S172" s="1498">
        <f>+SUM(DB172:DE172)</f>
        <v>83.266000000000005</v>
      </c>
      <c r="T172" s="1498">
        <f>+SUM(DF172:DI172)</f>
        <v>521.46100000000001</v>
      </c>
      <c r="U172" s="1498">
        <f>+SUM(DJ172:DM172)</f>
        <v>499.46300000000002</v>
      </c>
      <c r="V172" s="1498">
        <f>+SUM(DN172:DQ172)</f>
        <v>621.49699999999996</v>
      </c>
      <c r="W172" s="1498">
        <f ca="1">+SUM(DR172:DU172)</f>
        <v>730.00211438586359</v>
      </c>
      <c r="X172" s="1498">
        <f ca="1">+X175*CF!X222</f>
        <v>818.36580838089628</v>
      </c>
      <c r="Y172" s="1498">
        <f ca="1">+Y175*CF!Y222</f>
        <v>887.94438701812555</v>
      </c>
      <c r="Z172" s="1498">
        <f ca="1">+Z175*CF!Z222</f>
        <v>954.46644802725484</v>
      </c>
      <c r="AA172" s="1498">
        <f ca="1">+AA175*CF!AA222</f>
        <v>1019.9833316867505</v>
      </c>
      <c r="AB172" s="1498">
        <f ca="1">+AB175*CF!AB222</f>
        <v>1065.5845444457138</v>
      </c>
      <c r="AC172" s="1498">
        <f ca="1">+AC175*CF!AC222</f>
        <v>1122.6604562898026</v>
      </c>
      <c r="AD172" s="1498">
        <f ca="1">+AD175*CF!AD222</f>
        <v>1199.5950923126036</v>
      </c>
      <c r="AE172" s="54"/>
      <c r="AJ172" s="124"/>
      <c r="AK172" s="42"/>
      <c r="AP172" s="42"/>
      <c r="AU172" s="42"/>
      <c r="AZ172" s="42"/>
      <c r="BE172" s="42"/>
      <c r="BJ172" s="42"/>
      <c r="BO172" s="42"/>
      <c r="BT172" s="42"/>
      <c r="BU172" s="789"/>
      <c r="BV172" s="789"/>
      <c r="BW172" s="789"/>
      <c r="BX172" s="789"/>
      <c r="BY172" s="1126"/>
      <c r="CD172" s="42"/>
      <c r="CE172" s="783">
        <v>0</v>
      </c>
      <c r="CF172" s="783">
        <v>0</v>
      </c>
      <c r="CG172" s="783">
        <v>0</v>
      </c>
      <c r="CH172" s="783">
        <f>CG172</f>
        <v>0</v>
      </c>
      <c r="CI172" s="1107"/>
      <c r="CJ172" s="26"/>
      <c r="CK172" s="26"/>
      <c r="CL172" s="26"/>
      <c r="CM172" s="26"/>
      <c r="CN172" s="1107"/>
      <c r="CO172" s="26"/>
      <c r="CP172" s="26"/>
      <c r="CQ172" s="26"/>
      <c r="CR172" s="398">
        <v>0.87</v>
      </c>
      <c r="CS172" s="1107"/>
      <c r="CT172" s="398"/>
      <c r="CU172" s="398"/>
      <c r="CV172" s="398"/>
      <c r="CW172" s="398"/>
      <c r="CX172" s="398"/>
      <c r="CY172" s="398"/>
      <c r="CZ172" s="398"/>
      <c r="DA172" s="398"/>
      <c r="DB172" s="398"/>
      <c r="DC172" s="398"/>
      <c r="DD172" s="398"/>
      <c r="DE172" s="1002">
        <v>83.266000000000005</v>
      </c>
      <c r="DF172" s="1485">
        <v>96.619</v>
      </c>
      <c r="DG172" s="1485">
        <f>192.968-DF172</f>
        <v>96.34899999999999</v>
      </c>
      <c r="DH172" s="1485">
        <v>98.040999999999997</v>
      </c>
      <c r="DI172" s="1485">
        <v>230.452</v>
      </c>
      <c r="DJ172" s="1485">
        <v>124.836</v>
      </c>
      <c r="DK172" s="1485">
        <v>121.858</v>
      </c>
      <c r="DL172" s="1485">
        <v>127.45699999999999</v>
      </c>
      <c r="DM172" s="1485">
        <v>125.312</v>
      </c>
      <c r="DN172" s="1485">
        <v>148.083</v>
      </c>
      <c r="DO172" s="1485">
        <v>156.29</v>
      </c>
      <c r="DP172" s="1485">
        <v>159.541</v>
      </c>
      <c r="DQ172" s="1485">
        <v>157.583</v>
      </c>
      <c r="DR172" s="1498">
        <f t="shared" ref="DR172:DU172" ca="1" si="612">+DR174*DR173</f>
        <v>181.06888571361594</v>
      </c>
      <c r="DS172" s="1498">
        <f t="shared" ca="1" si="612"/>
        <v>182.02106728439151</v>
      </c>
      <c r="DT172" s="1498">
        <f t="shared" ca="1" si="612"/>
        <v>182.97660464875472</v>
      </c>
      <c r="DU172" s="1498">
        <f t="shared" ca="1" si="612"/>
        <v>183.93555673910149</v>
      </c>
      <c r="DV172" s="26"/>
      <c r="DW172" s="26"/>
      <c r="DX172" s="26"/>
      <c r="DY172" s="26"/>
    </row>
    <row r="173" spans="1:129">
      <c r="B173" s="958" t="s">
        <v>419</v>
      </c>
      <c r="I173" s="789"/>
      <c r="J173" s="789"/>
      <c r="K173" s="789"/>
      <c r="L173" s="54"/>
      <c r="N173" s="1498"/>
      <c r="O173" s="1498"/>
      <c r="P173" s="1498"/>
      <c r="Q173" s="1498"/>
      <c r="R173" s="26"/>
      <c r="S173" s="26">
        <f t="shared" ref="S173:Z173" si="613">+S82</f>
        <v>53.892750000000007</v>
      </c>
      <c r="T173" s="26">
        <f t="shared" si="613"/>
        <v>58.344250000000002</v>
      </c>
      <c r="U173" s="26">
        <f t="shared" si="613"/>
        <v>70.59075</v>
      </c>
      <c r="V173" s="26">
        <f>+V82</f>
        <v>77.430499999999995</v>
      </c>
      <c r="W173" s="26">
        <f ca="1">+W82</f>
        <v>80.044091489678038</v>
      </c>
      <c r="X173" s="26">
        <f t="shared" ca="1" si="613"/>
        <v>82.945554247374417</v>
      </c>
      <c r="Y173" s="26">
        <f t="shared" ca="1" si="613"/>
        <v>85.943115858556155</v>
      </c>
      <c r="Z173" s="26">
        <f t="shared" ca="1" si="613"/>
        <v>89.040521447107622</v>
      </c>
      <c r="AA173" s="26">
        <f t="shared" ref="AA173:AD173" ca="1" si="614">+AA82</f>
        <v>92.241620499768274</v>
      </c>
      <c r="AB173" s="26">
        <f t="shared" ca="1" si="614"/>
        <v>95.550372388986247</v>
      </c>
      <c r="AC173" s="26">
        <f t="shared" ca="1" si="614"/>
        <v>98.970851958161049</v>
      </c>
      <c r="AD173" s="26">
        <f t="shared" ca="1" si="614"/>
        <v>102.50725518062278</v>
      </c>
      <c r="AE173" s="54"/>
      <c r="AJ173" s="124"/>
      <c r="AK173" s="42"/>
      <c r="AP173" s="42"/>
      <c r="AU173" s="42"/>
      <c r="AZ173" s="42"/>
      <c r="BE173" s="42"/>
      <c r="BJ173" s="42"/>
      <c r="BO173" s="42"/>
      <c r="BT173" s="42"/>
      <c r="BU173" s="789"/>
      <c r="BV173" s="789"/>
      <c r="BW173" s="789"/>
      <c r="BX173" s="789"/>
      <c r="BY173" s="1126"/>
      <c r="CD173" s="42"/>
      <c r="CE173" s="783"/>
      <c r="CF173" s="783"/>
      <c r="CG173" s="783"/>
      <c r="CH173" s="783"/>
      <c r="CI173" s="1107"/>
      <c r="CJ173" s="26"/>
      <c r="CK173" s="26"/>
      <c r="CL173" s="26"/>
      <c r="CM173" s="26"/>
      <c r="CN173" s="1107"/>
      <c r="CO173" s="26"/>
      <c r="CP173" s="26"/>
      <c r="CQ173" s="26"/>
      <c r="CR173" s="398"/>
      <c r="CS173" s="1107"/>
      <c r="CT173" s="398"/>
      <c r="CU173" s="398"/>
      <c r="CV173" s="398"/>
      <c r="CW173" s="398"/>
      <c r="CX173" s="398"/>
      <c r="CY173" s="398"/>
      <c r="CZ173" s="398"/>
      <c r="DA173" s="398"/>
      <c r="DB173" s="398"/>
      <c r="DC173" s="398"/>
      <c r="DD173" s="398"/>
      <c r="DE173" s="26">
        <f>+DE82</f>
        <v>55.295000000000002</v>
      </c>
      <c r="DF173" s="54">
        <f t="shared" ref="DF173:DK173" si="615">+DF172/DF174</f>
        <v>57.171005917159768</v>
      </c>
      <c r="DG173" s="54">
        <f t="shared" si="615"/>
        <v>57.011242603550293</v>
      </c>
      <c r="DH173" s="54">
        <f t="shared" si="615"/>
        <v>58.012426035502962</v>
      </c>
      <c r="DI173" s="54">
        <f t="shared" si="615"/>
        <v>136.36213017751479</v>
      </c>
      <c r="DJ173" s="54">
        <f t="shared" si="615"/>
        <v>71.334857142857146</v>
      </c>
      <c r="DK173" s="54">
        <f t="shared" si="615"/>
        <v>69.633142857142857</v>
      </c>
      <c r="DL173" s="54">
        <f t="shared" ref="DL173:DQ173" si="616">+DL172/DL174</f>
        <v>72.832571428571427</v>
      </c>
      <c r="DM173" s="54">
        <f t="shared" si="616"/>
        <v>71.606857142857137</v>
      </c>
      <c r="DN173" s="54">
        <f t="shared" si="616"/>
        <v>74.041499999999999</v>
      </c>
      <c r="DO173" s="54">
        <f t="shared" si="616"/>
        <v>78.144999999999996</v>
      </c>
      <c r="DP173" s="54">
        <f t="shared" si="616"/>
        <v>79.770499999999998</v>
      </c>
      <c r="DQ173" s="54">
        <f t="shared" si="616"/>
        <v>78.791499999999999</v>
      </c>
      <c r="DR173" s="26">
        <f t="shared" ref="DR173:DU173" ca="1" si="617">+DR82</f>
        <v>79.416177944568403</v>
      </c>
      <c r="DS173" s="26">
        <f t="shared" ca="1" si="617"/>
        <v>79.833801440522592</v>
      </c>
      <c r="DT173" s="26">
        <f t="shared" ca="1" si="617"/>
        <v>80.252896775769614</v>
      </c>
      <c r="DU173" s="26">
        <f t="shared" ca="1" si="617"/>
        <v>80.673489797851531</v>
      </c>
      <c r="DV173" s="26"/>
      <c r="DW173" s="26"/>
      <c r="DX173" s="26"/>
      <c r="DY173" s="26"/>
    </row>
    <row r="174" spans="1:129">
      <c r="B174" s="958" t="s">
        <v>1557</v>
      </c>
      <c r="L174" s="54"/>
      <c r="Q174" s="1238"/>
      <c r="R174" s="1238"/>
      <c r="S174" s="1238">
        <f t="shared" ref="S174:Z174" si="618">+S172/S173</f>
        <v>1.5450315673258461</v>
      </c>
      <c r="T174" s="1238">
        <f t="shared" si="618"/>
        <v>8.9376588095656384</v>
      </c>
      <c r="U174" s="1238">
        <f>+U172/U173</f>
        <v>7.0754737695802925</v>
      </c>
      <c r="V174" s="1238">
        <f>+V172/V173</f>
        <v>8.0265140997410587</v>
      </c>
      <c r="W174" s="1238">
        <f ca="1">+W172/W173</f>
        <v>9.1199999999999992</v>
      </c>
      <c r="X174" s="1965">
        <f t="shared" ca="1" si="618"/>
        <v>9.8663010429736335</v>
      </c>
      <c r="Y174" s="1965">
        <f t="shared" ca="1" si="618"/>
        <v>10.331768614015468</v>
      </c>
      <c r="Z174" s="1965">
        <f t="shared" ca="1" si="618"/>
        <v>10.719461572271145</v>
      </c>
      <c r="AA174" s="1965">
        <f t="shared" ref="AA174:AD174" ca="1" si="619">+AA172/AA173</f>
        <v>11.057734308660729</v>
      </c>
      <c r="AB174" s="1965">
        <f t="shared" ca="1" si="619"/>
        <v>11.152071078359711</v>
      </c>
      <c r="AC174" s="1965">
        <f t="shared" ca="1" si="619"/>
        <v>11.343344369354284</v>
      </c>
      <c r="AD174" s="1965">
        <f t="shared" ca="1" si="619"/>
        <v>11.702538422269317</v>
      </c>
      <c r="AE174" s="54"/>
      <c r="AJ174" s="124"/>
      <c r="AK174" s="42"/>
      <c r="AP174" s="42"/>
      <c r="AU174" s="42"/>
      <c r="AZ174" s="42"/>
      <c r="BE174" s="42"/>
      <c r="BJ174" s="42"/>
      <c r="BO174" s="42"/>
      <c r="BT174" s="42"/>
      <c r="BU174" s="789"/>
      <c r="BV174" s="789"/>
      <c r="BW174" s="789"/>
      <c r="BX174" s="789"/>
      <c r="BY174" s="1126"/>
      <c r="CD174" s="42"/>
      <c r="CE174" s="783">
        <v>0</v>
      </c>
      <c r="CF174" s="783">
        <v>0</v>
      </c>
      <c r="CG174" s="783">
        <v>0</v>
      </c>
      <c r="CH174" s="783">
        <f>CG174</f>
        <v>0</v>
      </c>
      <c r="CI174" s="1107"/>
      <c r="CJ174" s="26"/>
      <c r="CK174" s="26"/>
      <c r="CL174" s="26"/>
      <c r="CM174" s="26"/>
      <c r="CN174" s="1107"/>
      <c r="CO174" s="26"/>
      <c r="CP174" s="26"/>
      <c r="CQ174" s="26"/>
      <c r="CR174" s="1078">
        <v>86.665999999999997</v>
      </c>
      <c r="CS174" s="1107"/>
      <c r="CT174" s="1619"/>
      <c r="CU174" s="1619"/>
      <c r="CV174" s="1619"/>
      <c r="CW174" s="1619"/>
      <c r="CX174" s="1619"/>
      <c r="CY174" s="1619"/>
      <c r="CZ174" s="1619"/>
      <c r="DA174" s="1619"/>
      <c r="DB174" s="1619"/>
      <c r="DC174" s="1619"/>
      <c r="DD174" s="1619"/>
      <c r="DE174" s="1964">
        <v>0</v>
      </c>
      <c r="DF174" s="2127">
        <v>1.69</v>
      </c>
      <c r="DG174" s="2127">
        <v>1.69</v>
      </c>
      <c r="DH174" s="2127">
        <v>1.69</v>
      </c>
      <c r="DI174" s="2127">
        <v>1.69</v>
      </c>
      <c r="DJ174" s="2127">
        <v>1.75</v>
      </c>
      <c r="DK174" s="2127">
        <v>1.75</v>
      </c>
      <c r="DL174" s="2127">
        <v>1.75</v>
      </c>
      <c r="DM174" s="2127">
        <v>1.75</v>
      </c>
      <c r="DN174" s="2127">
        <v>2</v>
      </c>
      <c r="DO174" s="2127">
        <v>2</v>
      </c>
      <c r="DP174" s="2127">
        <v>2</v>
      </c>
      <c r="DQ174" s="2127">
        <v>2</v>
      </c>
      <c r="DR174" s="2192">
        <v>2.2799999999999998</v>
      </c>
      <c r="DS174" s="2192">
        <f t="shared" ref="DS174:DU174" si="620">+DR174</f>
        <v>2.2799999999999998</v>
      </c>
      <c r="DT174" s="2192">
        <f t="shared" si="620"/>
        <v>2.2799999999999998</v>
      </c>
      <c r="DU174" s="2192">
        <f t="shared" si="620"/>
        <v>2.2799999999999998</v>
      </c>
      <c r="DV174" s="26"/>
      <c r="DW174" s="26"/>
      <c r="DX174" s="26"/>
      <c r="DY174" s="26"/>
    </row>
    <row r="175" spans="1:129">
      <c r="B175" s="2141" t="s">
        <v>2042</v>
      </c>
      <c r="L175" s="54"/>
      <c r="Q175" s="1238"/>
      <c r="R175" s="1238"/>
      <c r="S175" s="1238"/>
      <c r="T175" s="2145">
        <f>+(T172-((627)*0.2))/CF!T222</f>
        <v>0.47270772065844269</v>
      </c>
      <c r="U175" s="24">
        <f>+U172/CF!U222</f>
        <v>0.46272238028313861</v>
      </c>
      <c r="V175" s="24">
        <f>+V172/CF!V222</f>
        <v>0.43248413405333175</v>
      </c>
      <c r="W175" s="24">
        <f ca="1">+W172/CF!W222</f>
        <v>0.43721114822152485</v>
      </c>
      <c r="X175" s="2144">
        <v>0.44</v>
      </c>
      <c r="Y175" s="2144">
        <v>0.44</v>
      </c>
      <c r="Z175" s="2144">
        <v>0.44</v>
      </c>
      <c r="AA175" s="2144">
        <v>0.44</v>
      </c>
      <c r="AB175" s="2144">
        <v>0.44</v>
      </c>
      <c r="AC175" s="2144">
        <v>0.44</v>
      </c>
      <c r="AD175" s="2144">
        <v>0.44</v>
      </c>
      <c r="AE175" s="54"/>
      <c r="AJ175" s="124"/>
      <c r="AK175" s="42"/>
      <c r="AP175" s="42"/>
      <c r="AU175" s="42"/>
      <c r="AZ175" s="42"/>
      <c r="BE175" s="42"/>
      <c r="BJ175" s="42"/>
      <c r="BO175" s="42"/>
      <c r="BT175" s="42"/>
      <c r="BU175" s="789"/>
      <c r="BV175" s="789"/>
      <c r="BW175" s="789"/>
      <c r="BX175" s="789"/>
      <c r="BY175" s="1126"/>
      <c r="CD175" s="42"/>
      <c r="CE175" s="783"/>
      <c r="CF175" s="783"/>
      <c r="CG175" s="783"/>
      <c r="CH175" s="783"/>
      <c r="CI175" s="1107"/>
      <c r="CJ175" s="26"/>
      <c r="CK175" s="26"/>
      <c r="CL175" s="26"/>
      <c r="CM175" s="26"/>
      <c r="CN175" s="1107"/>
      <c r="CO175" s="26"/>
      <c r="CP175" s="26"/>
      <c r="CQ175" s="26"/>
      <c r="CR175" s="1078"/>
      <c r="CS175" s="1107"/>
      <c r="CT175" s="1619"/>
      <c r="CU175" s="1619"/>
      <c r="CV175" s="1619"/>
      <c r="CW175" s="1619"/>
      <c r="CX175" s="1619"/>
      <c r="CY175" s="1619"/>
      <c r="CZ175" s="1619"/>
      <c r="DA175" s="1619"/>
      <c r="DB175" s="1619"/>
      <c r="DC175" s="1619"/>
      <c r="DD175" s="1619"/>
      <c r="DE175" s="1964"/>
      <c r="DF175" s="24">
        <f>+DF172/CF!CN222</f>
        <v>0.43266759213649181</v>
      </c>
      <c r="DG175" s="24">
        <f>+DG172/CF!CO222</f>
        <v>0.43216488371571488</v>
      </c>
      <c r="DH175" s="24">
        <f>+DH172/CF!CP222</f>
        <v>0.46300135536550008</v>
      </c>
      <c r="DI175" s="24">
        <f>+DI172/CF!CQ222</f>
        <v>1.2813566861273289</v>
      </c>
      <c r="DJ175" s="24">
        <f>+DJ172/CF!CR222</f>
        <v>0.59189788912701258</v>
      </c>
      <c r="DK175" s="24">
        <f>+DK172/CF!CS222</f>
        <v>0.41943489290225761</v>
      </c>
      <c r="DL175" s="24">
        <f>+DL172/CF!CT222</f>
        <v>0.44850956615372717</v>
      </c>
      <c r="DM175" s="24">
        <f>+DM172/CF!CU222</f>
        <v>0.42654322038225234</v>
      </c>
      <c r="DN175" s="24">
        <f>+DN172/CF!CV222</f>
        <v>0.48693893656900444</v>
      </c>
      <c r="DO175" s="24">
        <f>+DO172/CF!CW222</f>
        <v>0.4340014550947755</v>
      </c>
      <c r="DP175" s="24">
        <f>+DP172/CF!CX222</f>
        <v>0.40773188103933411</v>
      </c>
      <c r="DQ175" s="24">
        <f>+DQ172/CF!CY222</f>
        <v>0.41303236730296938</v>
      </c>
      <c r="DR175" s="24">
        <f ca="1">+DR172/CF!CZ222</f>
        <v>0.47129807539778551</v>
      </c>
      <c r="DS175" s="24">
        <f ca="1">+DS172/CF!DA222</f>
        <v>0.44442480537346113</v>
      </c>
      <c r="DT175" s="24">
        <f ca="1">+DT172/CF!DB222</f>
        <v>0.42738689515981193</v>
      </c>
      <c r="DU175" s="24">
        <f ca="1">+DU172/CF!DC222</f>
        <v>0.41076064086728109</v>
      </c>
      <c r="DV175" s="26"/>
      <c r="DW175" s="26"/>
      <c r="DX175" s="26"/>
      <c r="DY175" s="26"/>
    </row>
    <row r="176" spans="1:129">
      <c r="B176" s="2141"/>
      <c r="L176" s="54"/>
      <c r="Q176" s="1238"/>
      <c r="R176" s="1238"/>
      <c r="S176" s="1238"/>
      <c r="T176" s="2145"/>
      <c r="U176" s="2145"/>
      <c r="V176" s="2145"/>
      <c r="W176" s="2145"/>
      <c r="X176" s="24">
        <f ca="1">+X174/W174-1</f>
        <v>8.183125471202124E-2</v>
      </c>
      <c r="Y176" s="24">
        <f ca="1">+Y174/X174-1</f>
        <v>4.7177515566821482E-2</v>
      </c>
      <c r="Z176" s="24">
        <f ca="1">+Z174/Y174-1</f>
        <v>3.7524355484476857E-2</v>
      </c>
      <c r="AA176" s="24">
        <f t="shared" ref="AA176:AD176" ca="1" si="621">+AA174/Z174-1</f>
        <v>3.1556877564132613E-2</v>
      </c>
      <c r="AB176" s="24">
        <f t="shared" ca="1" si="621"/>
        <v>8.5312928549110545E-3</v>
      </c>
      <c r="AC176" s="24">
        <f t="shared" ca="1" si="621"/>
        <v>1.7151369431793961E-2</v>
      </c>
      <c r="AD176" s="24">
        <f t="shared" ca="1" si="621"/>
        <v>3.1665621814801703E-2</v>
      </c>
      <c r="AE176" s="54"/>
      <c r="AJ176" s="124"/>
      <c r="AK176" s="42"/>
      <c r="AP176" s="42"/>
      <c r="AU176" s="42"/>
      <c r="AZ176" s="42"/>
      <c r="BE176" s="42"/>
      <c r="BJ176" s="42"/>
      <c r="BO176" s="42"/>
      <c r="BT176" s="42"/>
      <c r="BU176" s="789"/>
      <c r="BV176" s="789"/>
      <c r="BW176" s="789"/>
      <c r="BX176" s="789"/>
      <c r="BY176" s="1126"/>
      <c r="CD176" s="42"/>
      <c r="CE176" s="783"/>
      <c r="CF176" s="783"/>
      <c r="CG176" s="783"/>
      <c r="CH176" s="783"/>
      <c r="CI176" s="1107"/>
      <c r="CJ176" s="26"/>
      <c r="CK176" s="26"/>
      <c r="CL176" s="26"/>
      <c r="CM176" s="26"/>
      <c r="CN176" s="1107"/>
      <c r="CO176" s="26"/>
      <c r="CP176" s="26"/>
      <c r="CQ176" s="26"/>
      <c r="CR176" s="1078"/>
      <c r="CS176" s="1107"/>
      <c r="CT176" s="1619"/>
      <c r="CU176" s="1619"/>
      <c r="CV176" s="1619"/>
      <c r="CW176" s="1619"/>
      <c r="CX176" s="1619"/>
      <c r="CY176" s="1619"/>
      <c r="CZ176" s="1619"/>
      <c r="DA176" s="1619"/>
      <c r="DB176" s="1619"/>
      <c r="DC176" s="1619"/>
      <c r="DD176" s="1619"/>
      <c r="DE176" s="1964"/>
      <c r="DF176" s="1964"/>
      <c r="DG176" s="1964"/>
      <c r="DH176" s="1964"/>
      <c r="DI176" s="1964"/>
      <c r="DJ176" s="1964"/>
      <c r="DK176" s="1964"/>
      <c r="DL176" s="1964"/>
      <c r="DM176" s="1964"/>
      <c r="DN176" s="1964"/>
      <c r="DO176" s="1964"/>
      <c r="DP176" s="1964"/>
      <c r="DQ176" s="1964"/>
      <c r="DR176" s="2128"/>
      <c r="DS176" s="2128"/>
      <c r="DT176" s="2128"/>
      <c r="DU176" s="2128"/>
      <c r="DV176" s="26"/>
      <c r="DW176" s="26"/>
      <c r="DX176" s="26"/>
      <c r="DY176" s="26"/>
    </row>
    <row r="177" spans="1:135">
      <c r="AE177" s="54"/>
      <c r="AJ177" s="124"/>
      <c r="AK177" s="42"/>
      <c r="AP177" s="42"/>
      <c r="AU177" s="42"/>
      <c r="AZ177" s="42"/>
      <c r="BE177" s="42"/>
      <c r="BJ177" s="42"/>
      <c r="BO177" s="42"/>
      <c r="BT177" s="42"/>
      <c r="BY177" s="42"/>
      <c r="CD177" s="42"/>
      <c r="CI177" s="42"/>
      <c r="CN177" s="42"/>
      <c r="CS177" s="42"/>
    </row>
    <row r="178" spans="1:135">
      <c r="A178" s="1163" t="s">
        <v>604</v>
      </c>
      <c r="B178" s="28" t="s">
        <v>1116</v>
      </c>
      <c r="C178" s="29"/>
      <c r="D178" s="29"/>
      <c r="E178" s="29"/>
      <c r="F178" s="29"/>
      <c r="G178" s="29"/>
      <c r="H178" s="29"/>
      <c r="I178" s="29"/>
      <c r="J178" s="29"/>
      <c r="K178" s="29"/>
      <c r="L178" s="29"/>
      <c r="M178" s="29"/>
      <c r="N178" s="29"/>
      <c r="O178" s="29"/>
      <c r="P178" s="29"/>
      <c r="Q178" s="29"/>
      <c r="R178" s="29"/>
      <c r="S178" s="29"/>
      <c r="T178" s="29"/>
      <c r="U178" s="29"/>
      <c r="V178" s="29"/>
      <c r="W178" s="29"/>
      <c r="X178" s="2000"/>
      <c r="Y178" s="2000"/>
      <c r="Z178" s="2000"/>
      <c r="AA178" s="2000"/>
      <c r="AB178" s="2000"/>
      <c r="AC178" s="2000"/>
      <c r="AD178" s="2000"/>
      <c r="AE178" s="54"/>
      <c r="AJ178" s="124"/>
      <c r="AK178" s="42"/>
      <c r="AP178" s="42"/>
      <c r="AU178" s="42"/>
      <c r="AZ178" s="42"/>
      <c r="BE178" s="42"/>
      <c r="BJ178" s="42"/>
      <c r="BO178" s="42"/>
      <c r="BT178" s="42"/>
      <c r="BY178" s="42"/>
      <c r="CD178" s="42"/>
      <c r="CI178" s="42"/>
      <c r="CJ178" s="29"/>
      <c r="CK178" s="29"/>
      <c r="CL178" s="29"/>
      <c r="CM178" s="29"/>
      <c r="CN178" s="42"/>
      <c r="CO178" s="29"/>
      <c r="CP178" s="29"/>
      <c r="CQ178" s="29"/>
      <c r="CR178" s="29"/>
      <c r="CS178" s="42"/>
      <c r="CT178" s="29"/>
      <c r="CU178" s="29"/>
      <c r="CV178" s="29"/>
      <c r="CW178" s="29"/>
      <c r="CX178" s="29"/>
      <c r="CY178" s="29"/>
      <c r="CZ178" s="29"/>
      <c r="DA178" s="29"/>
      <c r="DB178" s="29"/>
      <c r="DC178" s="29"/>
      <c r="DD178" s="29"/>
      <c r="DE178" s="29"/>
      <c r="DF178" s="29"/>
      <c r="DG178" s="29"/>
      <c r="DH178" s="29"/>
      <c r="DI178" s="29"/>
      <c r="DJ178" s="29"/>
      <c r="DK178" s="29"/>
      <c r="DL178" s="29"/>
      <c r="DM178" s="29"/>
      <c r="DN178" s="29"/>
      <c r="DO178" s="29"/>
      <c r="DP178" s="29"/>
      <c r="DQ178" s="29"/>
      <c r="DR178" s="29"/>
      <c r="DS178" s="29"/>
      <c r="DT178" s="29"/>
      <c r="DU178" s="29"/>
    </row>
    <row r="179" spans="1:135" hidden="1" outlineLevel="1">
      <c r="B179" s="957" t="s">
        <v>957</v>
      </c>
      <c r="X179" s="1677"/>
      <c r="Y179" s="1677"/>
      <c r="Z179" s="1677"/>
      <c r="AA179" s="1677"/>
      <c r="AB179" s="1677"/>
      <c r="AC179" s="1677"/>
      <c r="AD179" s="1677"/>
      <c r="AE179" s="54"/>
      <c r="AJ179" s="124"/>
      <c r="AK179" s="42"/>
      <c r="AP179" s="42"/>
      <c r="AU179" s="42"/>
      <c r="AZ179" s="42"/>
      <c r="BE179" s="42"/>
      <c r="BJ179" s="42"/>
      <c r="BO179" s="42"/>
      <c r="BT179" s="42"/>
      <c r="BY179" s="42"/>
      <c r="CD179" s="42"/>
      <c r="CI179" s="42"/>
      <c r="CN179" s="42"/>
      <c r="CS179" s="42"/>
    </row>
    <row r="180" spans="1:135" hidden="1" outlineLevel="1">
      <c r="B180" s="958" t="s">
        <v>384</v>
      </c>
      <c r="I180" s="789"/>
      <c r="J180" s="789"/>
      <c r="K180" s="789"/>
      <c r="L180" s="54"/>
      <c r="N180" s="1498"/>
      <c r="O180" s="1498"/>
      <c r="P180" s="1498">
        <f>+SUM(CO180:CR180)</f>
        <v>0.87</v>
      </c>
      <c r="Q180" s="1498">
        <f>+SUM(CT180:CW180)</f>
        <v>0.13150000000000001</v>
      </c>
      <c r="R180" s="1498">
        <f>+SUM(CX180:DA180)</f>
        <v>0.28294196092073981</v>
      </c>
      <c r="S180" s="1498">
        <f>+SUM(DB180:DE180)</f>
        <v>1.6940901118395448</v>
      </c>
      <c r="T180" s="1498">
        <f>+SUM(DF180:DI180)</f>
        <v>0</v>
      </c>
      <c r="U180" s="1498">
        <f>+SUM(DJ180:DM180)</f>
        <v>0</v>
      </c>
      <c r="V180" s="1498">
        <f>+SUM(DN180:DQ180)</f>
        <v>0</v>
      </c>
      <c r="W180" s="1498">
        <f ca="1">+SUM(DO180:DR180)</f>
        <v>0</v>
      </c>
      <c r="X180" s="1498">
        <f ca="1">+X181/X187</f>
        <v>0</v>
      </c>
      <c r="Y180" s="1498">
        <f ca="1">+Y181/Y187</f>
        <v>0</v>
      </c>
      <c r="Z180" s="1498">
        <f ca="1">+Z181/Z187</f>
        <v>0</v>
      </c>
      <c r="AA180" s="1498">
        <f t="shared" ref="AA180:AD180" ca="1" si="622">+AA181/AA187</f>
        <v>0</v>
      </c>
      <c r="AB180" s="1498">
        <f t="shared" ca="1" si="622"/>
        <v>0</v>
      </c>
      <c r="AC180" s="1498">
        <f t="shared" ca="1" si="622"/>
        <v>0</v>
      </c>
      <c r="AD180" s="1498">
        <f t="shared" ca="1" si="622"/>
        <v>0</v>
      </c>
      <c r="AE180" s="54"/>
      <c r="AJ180" s="124"/>
      <c r="AK180" s="42"/>
      <c r="AP180" s="42"/>
      <c r="AU180" s="42"/>
      <c r="AZ180" s="42"/>
      <c r="BE180" s="42"/>
      <c r="BJ180" s="42"/>
      <c r="BO180" s="42"/>
      <c r="BT180" s="42"/>
      <c r="BU180" s="789"/>
      <c r="BV180" s="789"/>
      <c r="BW180" s="789"/>
      <c r="BX180" s="789"/>
      <c r="BY180" s="1126"/>
      <c r="CD180" s="42"/>
      <c r="CE180" s="783">
        <v>0</v>
      </c>
      <c r="CF180" s="783">
        <v>0</v>
      </c>
      <c r="CG180" s="783">
        <v>0</v>
      </c>
      <c r="CH180" s="783">
        <f>CG180</f>
        <v>0</v>
      </c>
      <c r="CI180" s="1107"/>
      <c r="CJ180" s="26"/>
      <c r="CK180" s="26"/>
      <c r="CL180" s="26"/>
      <c r="CM180" s="26"/>
      <c r="CN180" s="1107"/>
      <c r="CO180" s="26"/>
      <c r="CP180" s="26"/>
      <c r="CQ180" s="26"/>
      <c r="CR180" s="398">
        <v>0.87</v>
      </c>
      <c r="CS180" s="1107"/>
      <c r="CT180" s="398">
        <v>0.13150000000000001</v>
      </c>
      <c r="CU180" s="398">
        <v>0</v>
      </c>
      <c r="CV180" s="398">
        <v>0</v>
      </c>
      <c r="CW180" s="398">
        <v>0</v>
      </c>
      <c r="CX180" s="398">
        <v>0</v>
      </c>
      <c r="CY180" s="398">
        <v>0</v>
      </c>
      <c r="CZ180" s="398">
        <v>0</v>
      </c>
      <c r="DA180" s="54">
        <f>+DA181/DA185</f>
        <v>0.28294196092073981</v>
      </c>
      <c r="DB180" s="54">
        <f>+DB181/DB185</f>
        <v>0.27164764210769049</v>
      </c>
      <c r="DC180" s="54">
        <f>+DC181/DC185</f>
        <v>1.2006399169837427</v>
      </c>
      <c r="DD180" s="54">
        <f>+DD181/DD185</f>
        <v>0.2218025527481115</v>
      </c>
      <c r="DE180" s="2122">
        <v>0</v>
      </c>
      <c r="DF180" s="2122">
        <v>0</v>
      </c>
      <c r="DG180" s="2122">
        <v>0</v>
      </c>
      <c r="DH180" s="2122">
        <v>0</v>
      </c>
      <c r="DI180" s="2122">
        <v>0</v>
      </c>
      <c r="DJ180" s="2122">
        <v>0</v>
      </c>
      <c r="DK180" s="2122">
        <v>0</v>
      </c>
      <c r="DL180" s="2122">
        <v>0</v>
      </c>
      <c r="DM180" s="2122">
        <v>0</v>
      </c>
      <c r="DN180" s="2122">
        <v>0</v>
      </c>
      <c r="DO180" s="2122">
        <v>0</v>
      </c>
      <c r="DP180" s="2122">
        <v>0</v>
      </c>
      <c r="DQ180" s="2122">
        <v>0</v>
      </c>
      <c r="DR180" s="26">
        <f t="shared" ref="DR180:DU180" ca="1" si="623">+DR181/DR187</f>
        <v>0</v>
      </c>
      <c r="DS180" s="26">
        <f t="shared" ca="1" si="623"/>
        <v>0</v>
      </c>
      <c r="DT180" s="26">
        <f t="shared" ca="1" si="623"/>
        <v>0</v>
      </c>
      <c r="DU180" s="26">
        <f t="shared" ca="1" si="623"/>
        <v>0</v>
      </c>
      <c r="DV180" s="26"/>
      <c r="DW180" s="26"/>
      <c r="DX180" s="26"/>
      <c r="DY180" s="26"/>
    </row>
    <row r="181" spans="1:135" hidden="1" outlineLevel="1">
      <c r="B181" s="958" t="s">
        <v>385</v>
      </c>
      <c r="L181" s="54"/>
      <c r="Q181" s="1238">
        <f t="shared" ref="Q181:AD181" ca="1" si="624">+OFFSET(Q181,mode,0)</f>
        <v>0</v>
      </c>
      <c r="R181" s="1238">
        <f t="shared" ca="1" si="624"/>
        <v>0</v>
      </c>
      <c r="S181" s="1238">
        <f t="shared" ca="1" si="624"/>
        <v>297.95800000000003</v>
      </c>
      <c r="T181" s="1238">
        <f t="shared" ca="1" si="624"/>
        <v>0</v>
      </c>
      <c r="U181" s="1238">
        <f t="shared" ca="1" si="624"/>
        <v>0</v>
      </c>
      <c r="V181" s="1238">
        <f t="shared" ca="1" si="624"/>
        <v>0</v>
      </c>
      <c r="W181" s="1238">
        <f t="shared" ca="1" si="624"/>
        <v>0</v>
      </c>
      <c r="X181" s="1238">
        <f t="shared" ca="1" si="624"/>
        <v>0</v>
      </c>
      <c r="Y181" s="1238">
        <f t="shared" ca="1" si="624"/>
        <v>0</v>
      </c>
      <c r="Z181" s="1238">
        <f t="shared" ca="1" si="624"/>
        <v>0</v>
      </c>
      <c r="AA181" s="1238">
        <f t="shared" ca="1" si="624"/>
        <v>0</v>
      </c>
      <c r="AB181" s="1238">
        <f t="shared" ca="1" si="624"/>
        <v>0</v>
      </c>
      <c r="AC181" s="1238">
        <f t="shared" ca="1" si="624"/>
        <v>0</v>
      </c>
      <c r="AD181" s="1238">
        <f t="shared" ca="1" si="624"/>
        <v>0</v>
      </c>
      <c r="AE181" s="54"/>
      <c r="AJ181" s="124"/>
      <c r="AK181" s="42"/>
      <c r="AP181" s="42"/>
      <c r="AU181" s="42"/>
      <c r="AZ181" s="42"/>
      <c r="BE181" s="42"/>
      <c r="BJ181" s="42"/>
      <c r="BO181" s="42"/>
      <c r="BT181" s="42"/>
      <c r="BU181" s="789"/>
      <c r="BV181" s="789"/>
      <c r="BW181" s="789"/>
      <c r="BX181" s="789"/>
      <c r="BY181" s="1126"/>
      <c r="CD181" s="42"/>
      <c r="CE181" s="783">
        <v>0</v>
      </c>
      <c r="CF181" s="783">
        <v>0</v>
      </c>
      <c r="CG181" s="783">
        <v>0</v>
      </c>
      <c r="CH181" s="783">
        <f>CG181</f>
        <v>0</v>
      </c>
      <c r="CI181" s="1107"/>
      <c r="CJ181" s="26"/>
      <c r="CK181" s="26"/>
      <c r="CL181" s="26"/>
      <c r="CM181" s="26"/>
      <c r="CN181" s="1107"/>
      <c r="CO181" s="26"/>
      <c r="CP181" s="26"/>
      <c r="CQ181" s="26"/>
      <c r="CR181" s="1078">
        <v>86.665999999999997</v>
      </c>
      <c r="CS181" s="1107"/>
      <c r="CT181" s="1619">
        <f t="shared" ref="CT181:CZ181" si="625">+CT180*CT185</f>
        <v>13.36566</v>
      </c>
      <c r="CU181" s="1619">
        <f t="shared" si="625"/>
        <v>0</v>
      </c>
      <c r="CV181" s="1619">
        <f t="shared" si="625"/>
        <v>0</v>
      </c>
      <c r="CW181" s="1619">
        <f t="shared" si="625"/>
        <v>0</v>
      </c>
      <c r="CX181" s="1619">
        <f t="shared" si="625"/>
        <v>0</v>
      </c>
      <c r="CY181" s="1619">
        <f t="shared" si="625"/>
        <v>0</v>
      </c>
      <c r="CZ181" s="1619">
        <f t="shared" si="625"/>
        <v>0</v>
      </c>
      <c r="DA181" s="2040">
        <v>48.798999999999999</v>
      </c>
      <c r="DB181" s="2040">
        <v>47.12</v>
      </c>
      <c r="DC181" s="2040">
        <v>208.26300000000001</v>
      </c>
      <c r="DD181" s="2040">
        <v>42.575000000000003</v>
      </c>
      <c r="DE181" s="2040"/>
      <c r="DF181" s="2040"/>
      <c r="DG181" s="2040"/>
      <c r="DH181" s="2040"/>
      <c r="DI181" s="2040"/>
      <c r="DJ181" s="2040"/>
      <c r="DK181" s="2040"/>
      <c r="DL181" s="2040"/>
      <c r="DM181" s="2040"/>
      <c r="DN181" s="2040"/>
      <c r="DO181" s="2040"/>
      <c r="DP181" s="2040"/>
      <c r="DQ181" s="2040"/>
      <c r="DR181" s="1568">
        <f ca="1">+OFFSET(DR181,mode,0)</f>
        <v>0</v>
      </c>
      <c r="DS181" s="1568">
        <f ca="1">+OFFSET(DS181,mode,0)</f>
        <v>0</v>
      </c>
      <c r="DT181" s="1568">
        <f ca="1">+OFFSET(DT181,mode,0)</f>
        <v>0</v>
      </c>
      <c r="DU181" s="1568">
        <f ca="1">+OFFSET(DU181,mode,0)</f>
        <v>0</v>
      </c>
      <c r="DV181" s="26"/>
      <c r="DW181" s="26"/>
      <c r="DX181" s="26"/>
      <c r="DY181" s="26"/>
    </row>
    <row r="182" spans="1:135" s="1498" customFormat="1" hidden="1" outlineLevel="1">
      <c r="B182" s="1571"/>
      <c r="C182" s="1500"/>
      <c r="D182" s="1500"/>
      <c r="E182" s="1500"/>
      <c r="F182" s="1500"/>
      <c r="G182" s="1500"/>
      <c r="H182" s="1500"/>
      <c r="I182" s="1500"/>
      <c r="J182" s="1500"/>
      <c r="K182" s="1500"/>
      <c r="L182" s="1572"/>
      <c r="M182" s="1500"/>
      <c r="N182" s="1500"/>
      <c r="O182" s="1500"/>
      <c r="P182" s="1500"/>
      <c r="Q182" s="1572">
        <f>+SUM(CT182:CW182)</f>
        <v>0</v>
      </c>
      <c r="R182" s="1572">
        <f>+SUM(CX182:DA182)</f>
        <v>0</v>
      </c>
      <c r="S182" s="1572">
        <f>+SUM(DB182:DE182)</f>
        <v>297.95800000000003</v>
      </c>
      <c r="T182" s="1572">
        <f>+SUM(DF182:DI182)</f>
        <v>0</v>
      </c>
      <c r="U182" s="1572">
        <f>+SUM(DJ182:DM182)</f>
        <v>0</v>
      </c>
      <c r="V182" s="1572">
        <f t="shared" ref="V182:W184" si="626">+SUM(DN182:DQ182)</f>
        <v>0</v>
      </c>
      <c r="W182" s="1572">
        <f t="shared" si="626"/>
        <v>0</v>
      </c>
      <c r="X182" s="1576">
        <v>0</v>
      </c>
      <c r="Y182" s="1576">
        <v>0</v>
      </c>
      <c r="Z182" s="1576">
        <v>0</v>
      </c>
      <c r="AA182" s="1576">
        <v>0</v>
      </c>
      <c r="AB182" s="1576">
        <v>0</v>
      </c>
      <c r="AC182" s="1576">
        <v>0</v>
      </c>
      <c r="AD182" s="1576">
        <v>0</v>
      </c>
      <c r="AE182" s="1572"/>
      <c r="AF182" s="1500"/>
      <c r="AG182" s="1500"/>
      <c r="AH182" s="1500"/>
      <c r="AI182" s="1500"/>
      <c r="AJ182" s="1573"/>
      <c r="AK182" s="1500"/>
      <c r="AL182" s="1500"/>
      <c r="AM182" s="1500"/>
      <c r="AN182" s="1500"/>
      <c r="AO182" s="1500"/>
      <c r="AP182" s="1500"/>
      <c r="AQ182" s="1500"/>
      <c r="AR182" s="1500"/>
      <c r="AS182" s="1500"/>
      <c r="AT182" s="1500"/>
      <c r="AU182" s="1500"/>
      <c r="AV182" s="1500"/>
      <c r="AW182" s="1500"/>
      <c r="AX182" s="1500"/>
      <c r="AY182" s="1500"/>
      <c r="AZ182" s="1500"/>
      <c r="BA182" s="1500"/>
      <c r="BB182" s="1500"/>
      <c r="BC182" s="1500"/>
      <c r="BD182" s="1500"/>
      <c r="BE182" s="1500"/>
      <c r="BF182" s="1500"/>
      <c r="BG182" s="1500"/>
      <c r="BH182" s="1500"/>
      <c r="BI182" s="1500"/>
      <c r="BJ182" s="1500"/>
      <c r="BK182" s="1500"/>
      <c r="BL182" s="1500"/>
      <c r="BM182" s="1500"/>
      <c r="BN182" s="1500"/>
      <c r="BO182" s="1481"/>
      <c r="BP182" s="1500"/>
      <c r="BQ182" s="1500"/>
      <c r="BR182" s="1500"/>
      <c r="BS182" s="1500"/>
      <c r="BT182" s="1481"/>
      <c r="BU182" s="1574"/>
      <c r="BV182" s="1574"/>
      <c r="BW182" s="1574"/>
      <c r="BX182" s="1574"/>
      <c r="BY182" s="1548"/>
      <c r="BZ182" s="1500"/>
      <c r="CA182" s="1500"/>
      <c r="CB182" s="1500"/>
      <c r="CC182" s="1500"/>
      <c r="CD182" s="1481"/>
      <c r="CE182" s="1575"/>
      <c r="CF182" s="1575"/>
      <c r="CG182" s="1575"/>
      <c r="CH182" s="1575"/>
      <c r="CI182" s="1481"/>
      <c r="CJ182" s="1500"/>
      <c r="CK182" s="1500"/>
      <c r="CL182" s="1500"/>
      <c r="CM182" s="1500"/>
      <c r="CN182" s="1481"/>
      <c r="CO182" s="1500"/>
      <c r="CP182" s="1500"/>
      <c r="CQ182" s="1500"/>
      <c r="CR182" s="1500"/>
      <c r="CS182" s="1481"/>
      <c r="CT182" s="1500"/>
      <c r="CU182" s="1500"/>
      <c r="CV182" s="1500"/>
      <c r="CW182" s="1500"/>
      <c r="CX182" s="1500"/>
      <c r="CY182" s="1500"/>
      <c r="CZ182" s="1500"/>
      <c r="DA182" s="1500"/>
      <c r="DB182" s="1500">
        <f t="shared" ref="DB182:DG182" si="627">+DB181</f>
        <v>47.12</v>
      </c>
      <c r="DC182" s="1500">
        <f t="shared" si="627"/>
        <v>208.26300000000001</v>
      </c>
      <c r="DD182" s="1500">
        <f t="shared" si="627"/>
        <v>42.575000000000003</v>
      </c>
      <c r="DE182" s="1500">
        <f t="shared" si="627"/>
        <v>0</v>
      </c>
      <c r="DF182" s="1500">
        <f t="shared" si="627"/>
        <v>0</v>
      </c>
      <c r="DG182" s="1500">
        <f t="shared" si="627"/>
        <v>0</v>
      </c>
      <c r="DH182" s="1500">
        <f t="shared" ref="DH182:DM182" si="628">+DH181</f>
        <v>0</v>
      </c>
      <c r="DI182" s="1500">
        <f t="shared" si="628"/>
        <v>0</v>
      </c>
      <c r="DJ182" s="1500">
        <f t="shared" si="628"/>
        <v>0</v>
      </c>
      <c r="DK182" s="1500">
        <f t="shared" si="628"/>
        <v>0</v>
      </c>
      <c r="DL182" s="1500">
        <f t="shared" si="628"/>
        <v>0</v>
      </c>
      <c r="DM182" s="1500">
        <f t="shared" si="628"/>
        <v>0</v>
      </c>
      <c r="DN182" s="1500">
        <f>+DN181</f>
        <v>0</v>
      </c>
      <c r="DO182" s="1500">
        <f>+DO181</f>
        <v>0</v>
      </c>
      <c r="DP182" s="1500">
        <f>+DP181</f>
        <v>0</v>
      </c>
      <c r="DQ182" s="1500">
        <f>+DQ181</f>
        <v>0</v>
      </c>
      <c r="DR182" s="1576">
        <v>0</v>
      </c>
      <c r="DS182" s="1576">
        <v>0</v>
      </c>
      <c r="DT182" s="1576">
        <v>0</v>
      </c>
      <c r="DU182" s="1576">
        <v>0</v>
      </c>
      <c r="DZ182"/>
      <c r="EA182"/>
      <c r="EB182"/>
      <c r="EC182"/>
      <c r="ED182"/>
      <c r="EE182"/>
    </row>
    <row r="183" spans="1:135" s="1498" customFormat="1" hidden="1" outlineLevel="1">
      <c r="B183" s="1571"/>
      <c r="C183" s="1500"/>
      <c r="D183" s="1500"/>
      <c r="E183" s="1500"/>
      <c r="F183" s="1500"/>
      <c r="G183" s="1500"/>
      <c r="H183" s="1500"/>
      <c r="I183" s="1500"/>
      <c r="J183" s="1500"/>
      <c r="K183" s="1500"/>
      <c r="L183" s="1572"/>
      <c r="M183" s="1500"/>
      <c r="N183" s="1500"/>
      <c r="O183" s="1500"/>
      <c r="P183" s="1500"/>
      <c r="Q183" s="1572">
        <f>+SUM(CT183:CW183)</f>
        <v>0</v>
      </c>
      <c r="R183" s="1572">
        <f>+SUM(CX183:DA183)</f>
        <v>0</v>
      </c>
      <c r="S183" s="1572">
        <f>+SUM(DB183:DE183)</f>
        <v>297.95800000000003</v>
      </c>
      <c r="T183" s="1572">
        <f>+SUM(DF183:DI183)</f>
        <v>0</v>
      </c>
      <c r="U183" s="1572">
        <f>+SUM(DJ183:DM183)</f>
        <v>0</v>
      </c>
      <c r="V183" s="1572">
        <f t="shared" si="626"/>
        <v>0</v>
      </c>
      <c r="W183" s="1572">
        <f t="shared" si="626"/>
        <v>0</v>
      </c>
      <c r="X183" s="1576">
        <v>0</v>
      </c>
      <c r="Y183" s="1576">
        <v>0</v>
      </c>
      <c r="Z183" s="1576">
        <v>0</v>
      </c>
      <c r="AA183" s="1576">
        <v>0</v>
      </c>
      <c r="AB183" s="1576">
        <v>0</v>
      </c>
      <c r="AC183" s="1576">
        <v>0</v>
      </c>
      <c r="AD183" s="1576">
        <v>0</v>
      </c>
      <c r="AE183" s="1572"/>
      <c r="AF183" s="1500"/>
      <c r="AG183" s="1500"/>
      <c r="AH183" s="1500"/>
      <c r="AI183" s="1500"/>
      <c r="AJ183" s="1573"/>
      <c r="AK183" s="1500"/>
      <c r="AL183" s="1500"/>
      <c r="AM183" s="1500"/>
      <c r="AN183" s="1500"/>
      <c r="AO183" s="1500"/>
      <c r="AP183" s="1500"/>
      <c r="AQ183" s="1500"/>
      <c r="AR183" s="1500"/>
      <c r="AS183" s="1500"/>
      <c r="AT183" s="1500"/>
      <c r="AU183" s="1500"/>
      <c r="AV183" s="1500"/>
      <c r="AW183" s="1500"/>
      <c r="AX183" s="1500"/>
      <c r="AY183" s="1500"/>
      <c r="AZ183" s="1500"/>
      <c r="BA183" s="1500"/>
      <c r="BB183" s="1500"/>
      <c r="BC183" s="1500"/>
      <c r="BD183" s="1500"/>
      <c r="BE183" s="1500"/>
      <c r="BF183" s="1500"/>
      <c r="BG183" s="1500"/>
      <c r="BH183" s="1500"/>
      <c r="BI183" s="1500"/>
      <c r="BJ183" s="1500"/>
      <c r="BK183" s="1500"/>
      <c r="BL183" s="1500"/>
      <c r="BM183" s="1500"/>
      <c r="BN183" s="1500"/>
      <c r="BO183" s="1481"/>
      <c r="BP183" s="1500"/>
      <c r="BQ183" s="1500"/>
      <c r="BR183" s="1500"/>
      <c r="BS183" s="1500"/>
      <c r="BT183" s="1481"/>
      <c r="BU183" s="1574"/>
      <c r="BV183" s="1574"/>
      <c r="BW183" s="1574"/>
      <c r="BX183" s="1574"/>
      <c r="BY183" s="1548"/>
      <c r="BZ183" s="1500"/>
      <c r="CA183" s="1500"/>
      <c r="CB183" s="1500"/>
      <c r="CC183" s="1500"/>
      <c r="CD183" s="1481"/>
      <c r="CE183" s="1575"/>
      <c r="CF183" s="1575"/>
      <c r="CG183" s="1575"/>
      <c r="CH183" s="1575"/>
      <c r="CI183" s="1481"/>
      <c r="CJ183" s="1500"/>
      <c r="CK183" s="1500"/>
      <c r="CL183" s="1500"/>
      <c r="CM183" s="1500"/>
      <c r="CN183" s="1481"/>
      <c r="CO183" s="1500"/>
      <c r="CP183" s="1500"/>
      <c r="CQ183" s="1500"/>
      <c r="CR183" s="1500"/>
      <c r="CS183" s="1481"/>
      <c r="CT183" s="1500"/>
      <c r="CU183" s="1500"/>
      <c r="CV183" s="1500"/>
      <c r="CW183" s="1500"/>
      <c r="CX183" s="1500"/>
      <c r="CY183" s="1500"/>
      <c r="CZ183" s="1500"/>
      <c r="DA183" s="1500"/>
      <c r="DB183" s="1500">
        <f t="shared" ref="DB183:DG183" si="629">+DB181</f>
        <v>47.12</v>
      </c>
      <c r="DC183" s="1500">
        <f t="shared" si="629"/>
        <v>208.26300000000001</v>
      </c>
      <c r="DD183" s="1500">
        <f t="shared" si="629"/>
        <v>42.575000000000003</v>
      </c>
      <c r="DE183" s="1500">
        <f t="shared" si="629"/>
        <v>0</v>
      </c>
      <c r="DF183" s="1500">
        <f t="shared" si="629"/>
        <v>0</v>
      </c>
      <c r="DG183" s="1500">
        <f t="shared" si="629"/>
        <v>0</v>
      </c>
      <c r="DH183" s="1500">
        <f t="shared" ref="DH183:DM183" si="630">+DH181</f>
        <v>0</v>
      </c>
      <c r="DI183" s="1500">
        <f t="shared" si="630"/>
        <v>0</v>
      </c>
      <c r="DJ183" s="1500">
        <f t="shared" si="630"/>
        <v>0</v>
      </c>
      <c r="DK183" s="1500">
        <f t="shared" si="630"/>
        <v>0</v>
      </c>
      <c r="DL183" s="1500">
        <f t="shared" si="630"/>
        <v>0</v>
      </c>
      <c r="DM183" s="1500">
        <f t="shared" si="630"/>
        <v>0</v>
      </c>
      <c r="DN183" s="1500">
        <f>+DN181</f>
        <v>0</v>
      </c>
      <c r="DO183" s="1500">
        <f>+DO181</f>
        <v>0</v>
      </c>
      <c r="DP183" s="1500">
        <f>+DP181</f>
        <v>0</v>
      </c>
      <c r="DQ183" s="1500">
        <f>+DQ181</f>
        <v>0</v>
      </c>
      <c r="DR183" s="1576">
        <v>0</v>
      </c>
      <c r="DS183" s="1576">
        <v>0</v>
      </c>
      <c r="DT183" s="1576">
        <v>0</v>
      </c>
      <c r="DU183" s="1576">
        <v>0</v>
      </c>
      <c r="DZ183"/>
      <c r="EA183"/>
      <c r="EB183"/>
      <c r="EC183"/>
      <c r="ED183"/>
      <c r="EE183"/>
    </row>
    <row r="184" spans="1:135" s="1498" customFormat="1" hidden="1" outlineLevel="1">
      <c r="B184" s="1571"/>
      <c r="C184" s="1500"/>
      <c r="D184" s="1500"/>
      <c r="E184" s="1500"/>
      <c r="F184" s="1500"/>
      <c r="G184" s="1500"/>
      <c r="H184" s="1500"/>
      <c r="I184" s="1500"/>
      <c r="J184" s="1500"/>
      <c r="K184" s="1500"/>
      <c r="L184" s="1572"/>
      <c r="M184" s="1500"/>
      <c r="N184" s="1500"/>
      <c r="O184" s="1500"/>
      <c r="P184" s="1500"/>
      <c r="Q184" s="1572">
        <f>+SUM(CT184:CW184)</f>
        <v>0</v>
      </c>
      <c r="R184" s="1572">
        <f>+SUM(CX184:DA184)</f>
        <v>0</v>
      </c>
      <c r="S184" s="1572">
        <f>+SUM(DB184:DE184)</f>
        <v>297.95800000000003</v>
      </c>
      <c r="T184" s="1572">
        <f>+SUM(DF184:DI184)</f>
        <v>0</v>
      </c>
      <c r="U184" s="1572">
        <f>+SUM(DJ184:DM184)</f>
        <v>0</v>
      </c>
      <c r="V184" s="1572">
        <f t="shared" si="626"/>
        <v>0</v>
      </c>
      <c r="W184" s="1572">
        <f t="shared" si="626"/>
        <v>0</v>
      </c>
      <c r="X184" s="1576">
        <v>0</v>
      </c>
      <c r="Y184" s="1576">
        <v>0</v>
      </c>
      <c r="Z184" s="1576">
        <v>0</v>
      </c>
      <c r="AA184" s="1576">
        <v>0</v>
      </c>
      <c r="AB184" s="1576">
        <v>0</v>
      </c>
      <c r="AC184" s="1576">
        <v>0</v>
      </c>
      <c r="AD184" s="1576">
        <v>0</v>
      </c>
      <c r="AE184" s="1572"/>
      <c r="AF184" s="1500"/>
      <c r="AG184" s="1500"/>
      <c r="AH184" s="1500"/>
      <c r="AI184" s="1500"/>
      <c r="AJ184" s="1573"/>
      <c r="AK184" s="1500"/>
      <c r="AL184" s="1500"/>
      <c r="AM184" s="1500"/>
      <c r="AN184" s="1500"/>
      <c r="AO184" s="1500"/>
      <c r="AP184" s="1500"/>
      <c r="AQ184" s="1500"/>
      <c r="AR184" s="1500"/>
      <c r="AS184" s="1500"/>
      <c r="AT184" s="1500"/>
      <c r="AU184" s="1500"/>
      <c r="AV184" s="1500"/>
      <c r="AW184" s="1500"/>
      <c r="AX184" s="1500"/>
      <c r="AY184" s="1500"/>
      <c r="AZ184" s="1500"/>
      <c r="BA184" s="1500"/>
      <c r="BB184" s="1500"/>
      <c r="BC184" s="1500"/>
      <c r="BD184" s="1500"/>
      <c r="BE184" s="1500"/>
      <c r="BF184" s="1500"/>
      <c r="BG184" s="1500"/>
      <c r="BH184" s="1500"/>
      <c r="BI184" s="1500"/>
      <c r="BJ184" s="1500"/>
      <c r="BK184" s="1500"/>
      <c r="BL184" s="1500"/>
      <c r="BM184" s="1500"/>
      <c r="BN184" s="1500"/>
      <c r="BO184" s="1481"/>
      <c r="BP184" s="1500"/>
      <c r="BQ184" s="1500"/>
      <c r="BR184" s="1500"/>
      <c r="BS184" s="1500"/>
      <c r="BT184" s="1481"/>
      <c r="BU184" s="1574"/>
      <c r="BV184" s="1574"/>
      <c r="BW184" s="1574"/>
      <c r="BX184" s="1574"/>
      <c r="BY184" s="1548"/>
      <c r="BZ184" s="1500"/>
      <c r="CA184" s="1500"/>
      <c r="CB184" s="1500"/>
      <c r="CC184" s="1500"/>
      <c r="CD184" s="1481"/>
      <c r="CE184" s="1575"/>
      <c r="CF184" s="1575"/>
      <c r="CG184" s="1575"/>
      <c r="CH184" s="1575"/>
      <c r="CI184" s="1481"/>
      <c r="CJ184" s="1500"/>
      <c r="CK184" s="1500"/>
      <c r="CL184" s="1500"/>
      <c r="CM184" s="1500"/>
      <c r="CN184" s="1481"/>
      <c r="CO184" s="1500"/>
      <c r="CP184" s="1500"/>
      <c r="CQ184" s="1500"/>
      <c r="CR184" s="1500"/>
      <c r="CS184" s="1481"/>
      <c r="CT184" s="1500"/>
      <c r="CU184" s="1500"/>
      <c r="CV184" s="1500"/>
      <c r="CW184" s="1500"/>
      <c r="CX184" s="1500"/>
      <c r="CY184" s="1500"/>
      <c r="CZ184" s="1500"/>
      <c r="DA184" s="1500"/>
      <c r="DB184" s="1500">
        <f t="shared" ref="DB184:DG184" si="631">+DB181</f>
        <v>47.12</v>
      </c>
      <c r="DC184" s="1500">
        <f t="shared" si="631"/>
        <v>208.26300000000001</v>
      </c>
      <c r="DD184" s="1500">
        <f t="shared" si="631"/>
        <v>42.575000000000003</v>
      </c>
      <c r="DE184" s="1500">
        <f t="shared" si="631"/>
        <v>0</v>
      </c>
      <c r="DF184" s="1500">
        <f t="shared" si="631"/>
        <v>0</v>
      </c>
      <c r="DG184" s="1500">
        <f t="shared" si="631"/>
        <v>0</v>
      </c>
      <c r="DH184" s="1500">
        <f t="shared" ref="DH184:DM184" si="632">+DH181</f>
        <v>0</v>
      </c>
      <c r="DI184" s="1500">
        <f t="shared" si="632"/>
        <v>0</v>
      </c>
      <c r="DJ184" s="1500">
        <f t="shared" si="632"/>
        <v>0</v>
      </c>
      <c r="DK184" s="1500">
        <f t="shared" si="632"/>
        <v>0</v>
      </c>
      <c r="DL184" s="1500">
        <f t="shared" si="632"/>
        <v>0</v>
      </c>
      <c r="DM184" s="1500">
        <f t="shared" si="632"/>
        <v>0</v>
      </c>
      <c r="DN184" s="1500">
        <f>+DN181</f>
        <v>0</v>
      </c>
      <c r="DO184" s="1500">
        <f>+DO181</f>
        <v>0</v>
      </c>
      <c r="DP184" s="1500">
        <f>+DP181</f>
        <v>0</v>
      </c>
      <c r="DQ184" s="1500">
        <f>+DQ181</f>
        <v>0</v>
      </c>
      <c r="DR184" s="1576">
        <v>0</v>
      </c>
      <c r="DS184" s="1576">
        <v>0</v>
      </c>
      <c r="DT184" s="1576">
        <v>0</v>
      </c>
      <c r="DU184" s="1576">
        <v>0</v>
      </c>
      <c r="DZ184"/>
      <c r="EA184"/>
      <c r="EB184"/>
      <c r="EC184"/>
      <c r="ED184"/>
      <c r="EE184"/>
    </row>
    <row r="185" spans="1:135" hidden="1" outlineLevel="1">
      <c r="B185" s="958" t="s">
        <v>386</v>
      </c>
      <c r="C185" s="1238"/>
      <c r="D185" s="1238"/>
      <c r="E185" s="1238"/>
      <c r="F185" s="1238"/>
      <c r="G185" s="1238"/>
      <c r="H185" s="1238"/>
      <c r="I185" s="1238"/>
      <c r="J185" s="1238"/>
      <c r="K185" s="1238"/>
      <c r="L185" s="1569"/>
      <c r="M185" s="1238"/>
      <c r="N185" s="1238"/>
      <c r="O185" s="1238"/>
      <c r="P185" s="1238"/>
      <c r="Q185" s="1570">
        <f t="shared" ref="Q185:Z185" ca="1" si="633">+IF(ISERROR(Q181/Q180),"NA",Q181/Q180)</f>
        <v>0</v>
      </c>
      <c r="R185" s="1570">
        <f t="shared" ref="R185:W185" ca="1" si="634">+IF(ISERROR(R181/R180),"NA",R181/R180)</f>
        <v>0</v>
      </c>
      <c r="S185" s="1570">
        <f t="shared" ca="1" si="634"/>
        <v>175.88084477776647</v>
      </c>
      <c r="T185" s="1570" t="str">
        <f t="shared" ca="1" si="634"/>
        <v>NA</v>
      </c>
      <c r="U185" s="1570" t="str">
        <f t="shared" ca="1" si="634"/>
        <v>NA</v>
      </c>
      <c r="V185" s="1570" t="str">
        <f t="shared" ca="1" si="634"/>
        <v>NA</v>
      </c>
      <c r="W185" s="1570" t="str">
        <f t="shared" ca="1" si="634"/>
        <v>NA</v>
      </c>
      <c r="X185" s="1570" t="str">
        <f t="shared" ca="1" si="633"/>
        <v>NA</v>
      </c>
      <c r="Y185" s="1570" t="str">
        <f t="shared" ca="1" si="633"/>
        <v>NA</v>
      </c>
      <c r="Z185" s="1570" t="str">
        <f t="shared" ca="1" si="633"/>
        <v>NA</v>
      </c>
      <c r="AA185" s="1570" t="str">
        <f t="shared" ref="AA185:AD185" ca="1" si="635">+IF(ISERROR(AA181/AA180),"NA",AA181/AA180)</f>
        <v>NA</v>
      </c>
      <c r="AB185" s="1570" t="str">
        <f t="shared" ca="1" si="635"/>
        <v>NA</v>
      </c>
      <c r="AC185" s="1570" t="str">
        <f t="shared" ca="1" si="635"/>
        <v>NA</v>
      </c>
      <c r="AD185" s="1570" t="str">
        <f t="shared" ca="1" si="635"/>
        <v>NA</v>
      </c>
      <c r="AE185" s="54"/>
      <c r="AJ185" s="124"/>
      <c r="AK185" s="42"/>
      <c r="AP185" s="42"/>
      <c r="AU185" s="42"/>
      <c r="AZ185" s="42"/>
      <c r="BE185" s="42"/>
      <c r="BJ185" s="42"/>
      <c r="BO185" s="42"/>
      <c r="BT185" s="42"/>
      <c r="BU185" s="26"/>
      <c r="BV185" s="26"/>
      <c r="BW185" s="26"/>
      <c r="BX185" s="26"/>
      <c r="BY185" s="1126"/>
      <c r="CD185" s="42"/>
      <c r="CE185" s="959"/>
      <c r="CF185" s="959"/>
      <c r="CG185" s="959"/>
      <c r="CH185" s="959"/>
      <c r="CI185" s="1107"/>
      <c r="CJ185" s="959"/>
      <c r="CK185" s="959"/>
      <c r="CL185" s="959"/>
      <c r="CM185" s="959"/>
      <c r="CN185" s="1151"/>
      <c r="CO185" s="959"/>
      <c r="CP185" s="959"/>
      <c r="CQ185" s="959"/>
      <c r="CR185" s="1583">
        <f>+IF(ISERROR(CR181/CR180),"NA",CR181/CR180)</f>
        <v>99.616091954022991</v>
      </c>
      <c r="CS185" s="1584"/>
      <c r="CT185" s="1618">
        <v>101.64</v>
      </c>
      <c r="CU185" s="1618">
        <v>0</v>
      </c>
      <c r="CV185" s="1618">
        <v>0</v>
      </c>
      <c r="CW185" s="1618">
        <v>0</v>
      </c>
      <c r="CX185" s="1618">
        <v>0</v>
      </c>
      <c r="CY185" s="1618">
        <v>0</v>
      </c>
      <c r="CZ185" s="1618">
        <v>0</v>
      </c>
      <c r="DA185" s="2041">
        <v>172.47</v>
      </c>
      <c r="DB185" s="2041">
        <v>173.46</v>
      </c>
      <c r="DC185" s="2041">
        <v>173.46</v>
      </c>
      <c r="DD185" s="2041">
        <v>191.95</v>
      </c>
      <c r="DE185" s="2041"/>
      <c r="DF185" s="2041"/>
      <c r="DG185" s="2041"/>
      <c r="DH185" s="2041"/>
      <c r="DI185" s="2041"/>
      <c r="DJ185" s="2041"/>
      <c r="DK185" s="2041"/>
      <c r="DL185" s="2041"/>
      <c r="DM185" s="2041"/>
      <c r="DN185" s="2041"/>
      <c r="DO185" s="2041"/>
      <c r="DP185" s="2041"/>
      <c r="DQ185" s="2041"/>
      <c r="DR185" s="1583" t="str">
        <f t="shared" ref="DR185:DU185" ca="1" si="636">+IF(ISERROR(DR181/DR180),"NA",DR181/DR180)</f>
        <v>NA</v>
      </c>
      <c r="DS185" s="1583" t="str">
        <f t="shared" ca="1" si="636"/>
        <v>NA</v>
      </c>
      <c r="DT185" s="1583" t="str">
        <f t="shared" ca="1" si="636"/>
        <v>NA</v>
      </c>
      <c r="DU185" s="1583" t="str">
        <f t="shared" ca="1" si="636"/>
        <v>NA</v>
      </c>
      <c r="DV185" s="959"/>
      <c r="DW185" s="959"/>
      <c r="DX185" s="959"/>
      <c r="DY185" s="959"/>
    </row>
    <row r="186" spans="1:135" hidden="1" outlineLevel="1">
      <c r="B186" s="960" t="s">
        <v>387</v>
      </c>
      <c r="L186" s="961"/>
      <c r="AE186" s="54"/>
      <c r="AJ186" s="124"/>
      <c r="AK186" s="42"/>
      <c r="AP186" s="42"/>
      <c r="AU186" s="42"/>
      <c r="AZ186" s="42"/>
      <c r="BE186" s="42"/>
      <c r="BJ186" s="42"/>
      <c r="BO186" s="42"/>
      <c r="BT186" s="42"/>
      <c r="BU186" s="961"/>
      <c r="BV186" s="961"/>
      <c r="BW186" s="961"/>
      <c r="BX186" s="961"/>
      <c r="BY186" s="1138"/>
      <c r="CD186" s="42"/>
      <c r="CF186" s="961" t="str">
        <f>IF(ISERROR(CF185/CE185-1), "NM", CF185/CE185-1)</f>
        <v>NM</v>
      </c>
      <c r="CG186" s="961" t="str">
        <f>IF(ISERROR(CG185/CF185-1), "NM", CG185/CF185-1)</f>
        <v>NM</v>
      </c>
      <c r="CH186" s="961" t="str">
        <f>IF(ISERROR(CH185/CG185-1), "NM", CH185/CG185-1)</f>
        <v>NM</v>
      </c>
      <c r="CI186" s="1107"/>
      <c r="CJ186" s="961" t="str">
        <f>IF(ISERROR(CJ185/CH185-1), "NM", CJ185/CH185-1)</f>
        <v>NM</v>
      </c>
      <c r="CK186" s="961" t="str">
        <f>IF(ISERROR(CK185/CJ185-1), "NM", CK185/CJ185-1)</f>
        <v>NM</v>
      </c>
      <c r="CL186" s="961" t="str">
        <f>IF(ISERROR(CL185/CK185-1), "NM", CL185/CK185-1)</f>
        <v>NM</v>
      </c>
      <c r="CM186" s="961" t="str">
        <f>IF(ISERROR(CM185/CL185-1), "NM", CM185/CL185-1)</f>
        <v>NM</v>
      </c>
      <c r="CN186" s="42"/>
      <c r="CO186" s="961" t="str">
        <f>IF(ISERROR(CO185/CL185-1), "NM", CO185/CL185-1)</f>
        <v>NM</v>
      </c>
      <c r="CP186" s="961" t="str">
        <f>IF(ISERROR(CP185/CO185-1), "NM", CP185/CO185-1)</f>
        <v>NM</v>
      </c>
      <c r="CQ186" s="961" t="str">
        <f>IF(ISERROR(CQ185/CP185-1), "NM", CQ185/CP185-1)</f>
        <v>NM</v>
      </c>
      <c r="CR186" s="961" t="str">
        <f>IF(ISERROR(CR185/CQ185-1), "NM", CR185/CQ185-1)</f>
        <v>NM</v>
      </c>
      <c r="CS186" s="42"/>
      <c r="CT186" s="1954">
        <f>IF(ISERROR(CT185/CR185-1), "NM", CT185/CR185-1)</f>
        <v>2.0317079362148993E-2</v>
      </c>
      <c r="CU186" s="1954">
        <f>IF(ISERROR(CU185/CT185-1), "NM", CU185/CT185-1)</f>
        <v>-1</v>
      </c>
      <c r="CV186" s="1954" t="str">
        <f t="shared" ref="CV186:DD186" si="637">IF(ISERROR(CV185/CU185-1), "NM", CV185/CU185-1)</f>
        <v>NM</v>
      </c>
      <c r="CW186" s="1954" t="str">
        <f t="shared" si="637"/>
        <v>NM</v>
      </c>
      <c r="CX186" s="1954" t="str">
        <f t="shared" si="637"/>
        <v>NM</v>
      </c>
      <c r="CY186" s="1954" t="str">
        <f t="shared" si="637"/>
        <v>NM</v>
      </c>
      <c r="CZ186" s="1954" t="str">
        <f t="shared" si="637"/>
        <v>NM</v>
      </c>
      <c r="DA186" s="1954" t="str">
        <f t="shared" si="637"/>
        <v>NM</v>
      </c>
      <c r="DB186" s="1954">
        <f t="shared" si="637"/>
        <v>5.7401287180378624E-3</v>
      </c>
      <c r="DC186" s="1954">
        <f t="shared" si="637"/>
        <v>0</v>
      </c>
      <c r="DD186" s="1954">
        <f t="shared" si="637"/>
        <v>0.10659518044505933</v>
      </c>
      <c r="DE186" s="1954"/>
      <c r="DF186" s="1954"/>
      <c r="DG186" s="1954"/>
      <c r="DH186" s="1954"/>
      <c r="DI186" s="1954"/>
      <c r="DJ186" s="1954"/>
      <c r="DK186" s="1954"/>
      <c r="DL186" s="1954"/>
      <c r="DM186" s="1954"/>
      <c r="DN186" s="1954"/>
      <c r="DO186" s="1954"/>
      <c r="DP186" s="1954"/>
      <c r="DQ186" s="1954"/>
      <c r="DR186" s="1954" t="str">
        <f t="shared" ref="DR186:DU186" ca="1" si="638">IF(ISERROR(DR185/DQ185-1), "NM", DR185/DQ185-1)</f>
        <v>NM</v>
      </c>
      <c r="DS186" s="1954" t="str">
        <f t="shared" ca="1" si="638"/>
        <v>NM</v>
      </c>
      <c r="DT186" s="1954" t="str">
        <f t="shared" ca="1" si="638"/>
        <v>NM</v>
      </c>
      <c r="DU186" s="1954" t="str">
        <f t="shared" ca="1" si="638"/>
        <v>NM</v>
      </c>
    </row>
    <row r="187" spans="1:135" hidden="1" outlineLevel="1">
      <c r="B187" s="962" t="s">
        <v>388</v>
      </c>
      <c r="L187" s="961"/>
      <c r="M187" s="26">
        <f>CD187</f>
        <v>0</v>
      </c>
      <c r="N187" s="26">
        <f>CI187</f>
        <v>74.969786326779627</v>
      </c>
      <c r="O187" s="26">
        <f>CN187</f>
        <v>91.583284775841378</v>
      </c>
      <c r="P187" s="26">
        <f>+CS187</f>
        <v>94.034627635258346</v>
      </c>
      <c r="Q187" s="26">
        <f>+AVERAGE(CT187:CW187)</f>
        <v>166.45762337685611</v>
      </c>
      <c r="R187" s="26">
        <f>+AVERAGE(CX187:DA187)</f>
        <v>194.3125013855944</v>
      </c>
      <c r="S187" s="26">
        <f>+AVERAGE(DB187:DE187)</f>
        <v>189.40807870712067</v>
      </c>
      <c r="T187" s="26">
        <f>+AVERAGE(DF187:DI187)</f>
        <v>243.71802794354841</v>
      </c>
      <c r="U187" s="26">
        <f>+AVERAGE(DJ187:DM187)</f>
        <v>295.60000000000002</v>
      </c>
      <c r="V187" s="26">
        <f>+AVERAGE(DN187:DQ187)</f>
        <v>295.60000000000002</v>
      </c>
      <c r="W187" s="26">
        <f>+AVERAGE(DO187:DR187)</f>
        <v>297.81700000000001</v>
      </c>
      <c r="X187" s="26">
        <f>W187*(1+Valuation!$L$17)</f>
        <v>333.55504000000002</v>
      </c>
      <c r="Y187" s="26">
        <f>X187*(1+Valuation!$L$17)</f>
        <v>373.58164480000005</v>
      </c>
      <c r="Z187" s="26">
        <f>Y187*(1+Valuation!$L$17)</f>
        <v>418.41144217600009</v>
      </c>
      <c r="AA187" s="26">
        <f>Z187*(1+Valuation!$L$17)</f>
        <v>468.62081523712015</v>
      </c>
      <c r="AB187" s="26">
        <f>AA187*(1+Valuation!$L$17)</f>
        <v>524.85531306557459</v>
      </c>
      <c r="AC187" s="26">
        <f>AB187*(1+Valuation!$L$17)</f>
        <v>587.8379506334436</v>
      </c>
      <c r="AD187" s="26">
        <f>AC187*(1+Valuation!$L$17)</f>
        <v>658.37850470945693</v>
      </c>
      <c r="AE187" s="54"/>
      <c r="AJ187" s="124"/>
      <c r="AK187" s="42"/>
      <c r="AP187" s="42"/>
      <c r="AU187" s="42"/>
      <c r="AZ187" s="42"/>
      <c r="BE187" s="42"/>
      <c r="BJ187" s="42"/>
      <c r="BO187" s="42"/>
      <c r="BT187" s="42"/>
      <c r="BU187" s="961"/>
      <c r="BV187" s="961"/>
      <c r="BW187" s="961"/>
      <c r="BX187" s="961"/>
      <c r="BY187" s="1138"/>
      <c r="BZ187" s="963"/>
      <c r="CA187" s="963">
        <v>86.843840676923122</v>
      </c>
      <c r="CB187" s="963">
        <v>80.550763876923114</v>
      </c>
      <c r="CC187" s="963">
        <v>53.602608538461546</v>
      </c>
      <c r="CD187" s="1143"/>
      <c r="CE187" s="963">
        <v>52.193863435483856</v>
      </c>
      <c r="CF187" s="963">
        <v>68.324523656250008</v>
      </c>
      <c r="CG187" s="963">
        <v>81.830455430769234</v>
      </c>
      <c r="CH187" s="963">
        <v>97.530302784615415</v>
      </c>
      <c r="CI187" s="1143">
        <f>AVERAGE(CE187:CH187)</f>
        <v>74.969786326779627</v>
      </c>
      <c r="CJ187" s="956">
        <v>99.649072123076948</v>
      </c>
      <c r="CK187" s="956">
        <v>93.510463718750017</v>
      </c>
      <c r="CL187" s="956">
        <v>91.321455584615435</v>
      </c>
      <c r="CM187" s="956">
        <v>81.852147676923124</v>
      </c>
      <c r="CN187" s="1107">
        <f>AVERAGE(CJ187:CM187)</f>
        <v>91.583284775841378</v>
      </c>
      <c r="CO187" s="956">
        <v>86.989040349206363</v>
      </c>
      <c r="CP187" s="956">
        <v>97.194055921875048</v>
      </c>
      <c r="CQ187" s="956">
        <v>94.502763723076967</v>
      </c>
      <c r="CR187" s="956">
        <v>97.45265054687502</v>
      </c>
      <c r="CS187" s="1107">
        <f>AVERAGE(CO187:CR187)</f>
        <v>94.034627635258346</v>
      </c>
      <c r="CT187" s="956">
        <v>129.76096483870967</v>
      </c>
      <c r="CU187" s="956">
        <v>161.13507682539679</v>
      </c>
      <c r="CV187" s="956">
        <v>185.0863457142857</v>
      </c>
      <c r="CW187" s="956">
        <v>189.84810612903229</v>
      </c>
      <c r="CX187" s="956">
        <v>215.76389868852453</v>
      </c>
      <c r="CY187" s="956">
        <v>199.17373654135315</v>
      </c>
      <c r="CZ187" s="956">
        <v>181.15618515624999</v>
      </c>
      <c r="DA187" s="956">
        <v>181.15618515624999</v>
      </c>
      <c r="DB187" s="956">
        <v>181.15618515624999</v>
      </c>
      <c r="DC187" s="956">
        <v>181.15618515624999</v>
      </c>
      <c r="DD187" s="956">
        <v>181.15618515624999</v>
      </c>
      <c r="DE187" s="956">
        <v>214.16375935973272</v>
      </c>
      <c r="DF187" s="804">
        <v>226.42403725806454</v>
      </c>
      <c r="DG187" s="804">
        <v>226.42403725806454</v>
      </c>
      <c r="DH187" s="804">
        <v>226.42403725806454</v>
      </c>
      <c r="DI187" s="804">
        <v>295.60000000000002</v>
      </c>
      <c r="DJ187" s="804">
        <v>295.60000000000002</v>
      </c>
      <c r="DK187" s="804">
        <v>295.60000000000002</v>
      </c>
      <c r="DL187" s="804">
        <v>295.60000000000002</v>
      </c>
      <c r="DM187" s="804">
        <v>295.60000000000002</v>
      </c>
      <c r="DN187" s="804">
        <v>295.60000000000002</v>
      </c>
      <c r="DO187" s="804">
        <v>295.60000000000002</v>
      </c>
      <c r="DP187" s="804">
        <v>295.60000000000002</v>
      </c>
      <c r="DQ187" s="804">
        <v>295.60000000000002</v>
      </c>
      <c r="DR187" s="956">
        <f>+DQ187*(1+Valuation!$L$17/4)</f>
        <v>304.46800000000002</v>
      </c>
      <c r="DS187" s="956">
        <f>+DR187*(1+Valuation!$L$17/4)</f>
        <v>313.60204000000004</v>
      </c>
      <c r="DT187" s="956">
        <f>+DS187*(1+Valuation!$L$17/4)</f>
        <v>323.01010120000007</v>
      </c>
      <c r="DU187" s="956">
        <f>+DT187*(1+Valuation!$L$17/4)</f>
        <v>332.70040423600005</v>
      </c>
      <c r="DV187" s="26"/>
      <c r="DW187" s="26"/>
      <c r="DX187" s="26"/>
      <c r="DY187" s="26"/>
    </row>
    <row r="188" spans="1:135" hidden="1" outlineLevel="1">
      <c r="B188" s="964"/>
      <c r="AE188" s="54"/>
      <c r="AJ188" s="124"/>
      <c r="AK188" s="42"/>
      <c r="AP188" s="42"/>
      <c r="AU188" s="42"/>
      <c r="AZ188" s="42"/>
      <c r="BE188" s="42"/>
      <c r="BJ188" s="42"/>
      <c r="BO188" s="42"/>
      <c r="BT188" s="42"/>
      <c r="BY188" s="42"/>
      <c r="CD188" s="42"/>
      <c r="CI188" s="42"/>
      <c r="CN188" s="42"/>
      <c r="CS188" s="42"/>
    </row>
    <row r="189" spans="1:135" hidden="1" outlineLevel="1">
      <c r="B189" s="958" t="s">
        <v>972</v>
      </c>
      <c r="L189" s="783">
        <v>0</v>
      </c>
      <c r="M189" s="26">
        <f>CD189</f>
        <v>0</v>
      </c>
      <c r="N189" s="26">
        <f t="shared" ref="N189:W189" si="639">M192</f>
        <v>0</v>
      </c>
      <c r="O189" s="26">
        <f t="shared" si="639"/>
        <v>0</v>
      </c>
      <c r="P189" s="26">
        <f t="shared" si="639"/>
        <v>0</v>
      </c>
      <c r="Q189" s="26">
        <f t="shared" si="639"/>
        <v>0</v>
      </c>
      <c r="R189" s="26">
        <f t="shared" si="639"/>
        <v>0</v>
      </c>
      <c r="S189" s="26">
        <f t="shared" si="639"/>
        <v>0</v>
      </c>
      <c r="T189" s="26">
        <f t="shared" si="639"/>
        <v>0</v>
      </c>
      <c r="U189" s="26">
        <f t="shared" si="639"/>
        <v>0</v>
      </c>
      <c r="V189" s="26">
        <f t="shared" si="639"/>
        <v>0</v>
      </c>
      <c r="W189" s="26">
        <f t="shared" si="639"/>
        <v>0</v>
      </c>
      <c r="X189" s="26">
        <f>W192</f>
        <v>0</v>
      </c>
      <c r="Y189" s="26">
        <f>X192</f>
        <v>0</v>
      </c>
      <c r="Z189" s="26">
        <f>Y192</f>
        <v>0</v>
      </c>
      <c r="AA189" s="26">
        <f t="shared" ref="AA189:AD189" si="640">Z192</f>
        <v>0</v>
      </c>
      <c r="AB189" s="26">
        <f t="shared" si="640"/>
        <v>0</v>
      </c>
      <c r="AC189" s="26">
        <f t="shared" si="640"/>
        <v>0</v>
      </c>
      <c r="AD189" s="26">
        <f t="shared" si="640"/>
        <v>0</v>
      </c>
      <c r="AE189" s="54"/>
      <c r="AJ189" s="124"/>
      <c r="AK189" s="42"/>
      <c r="AP189" s="42"/>
      <c r="AU189" s="42"/>
      <c r="AZ189" s="42"/>
      <c r="BE189" s="42"/>
      <c r="BJ189" s="42"/>
      <c r="BO189" s="42"/>
      <c r="BT189" s="42"/>
      <c r="BU189" s="789"/>
      <c r="BV189" s="26"/>
      <c r="BW189" s="26"/>
      <c r="BX189" s="26"/>
      <c r="BY189" s="1107"/>
      <c r="BZ189" s="26"/>
      <c r="CA189" s="26"/>
      <c r="CB189" s="26"/>
      <c r="CC189" s="26"/>
      <c r="CD189" s="1107"/>
      <c r="CE189" s="783">
        <v>0</v>
      </c>
      <c r="CF189" s="783">
        <v>0</v>
      </c>
      <c r="CG189" s="783">
        <v>0</v>
      </c>
      <c r="CH189" s="783">
        <f>CG189</f>
        <v>0</v>
      </c>
      <c r="CI189" s="1107">
        <f>CH189</f>
        <v>0</v>
      </c>
      <c r="CJ189" s="783">
        <v>0</v>
      </c>
      <c r="CK189" s="783">
        <v>0</v>
      </c>
      <c r="CL189" s="783">
        <v>0</v>
      </c>
      <c r="CM189" s="783">
        <f>CL189</f>
        <v>0</v>
      </c>
      <c r="CN189" s="1107">
        <f>CM189</f>
        <v>0</v>
      </c>
      <c r="CO189" s="783">
        <v>0</v>
      </c>
      <c r="CP189" s="783">
        <v>0</v>
      </c>
      <c r="CQ189" s="783">
        <v>0</v>
      </c>
      <c r="CR189" s="783">
        <v>0</v>
      </c>
      <c r="CS189" s="1107">
        <f>CR189</f>
        <v>0</v>
      </c>
      <c r="CT189" s="783">
        <v>0</v>
      </c>
      <c r="CU189" s="783">
        <v>0</v>
      </c>
      <c r="CV189" s="783">
        <v>0</v>
      </c>
      <c r="CW189" s="783">
        <v>0</v>
      </c>
      <c r="CX189" s="783">
        <v>0</v>
      </c>
      <c r="CY189" s="783">
        <v>0</v>
      </c>
      <c r="CZ189" s="783">
        <v>0</v>
      </c>
      <c r="DA189" s="783">
        <v>0</v>
      </c>
      <c r="DB189" s="783">
        <v>0</v>
      </c>
      <c r="DC189" s="783">
        <v>0</v>
      </c>
      <c r="DD189" s="783">
        <v>0</v>
      </c>
      <c r="DE189" s="783">
        <v>0</v>
      </c>
      <c r="DF189" s="783">
        <v>0</v>
      </c>
      <c r="DG189" s="783">
        <v>0</v>
      </c>
      <c r="DH189" s="783">
        <v>0</v>
      </c>
      <c r="DI189" s="783">
        <v>0</v>
      </c>
      <c r="DJ189" s="783">
        <v>0</v>
      </c>
      <c r="DK189" s="783">
        <v>0</v>
      </c>
      <c r="DL189" s="783">
        <v>0</v>
      </c>
      <c r="DM189" s="783">
        <v>0</v>
      </c>
      <c r="DN189" s="783">
        <v>0</v>
      </c>
      <c r="DO189" s="783">
        <v>0</v>
      </c>
      <c r="DP189" s="783">
        <v>0</v>
      </c>
      <c r="DQ189" s="783">
        <v>0</v>
      </c>
      <c r="DR189" s="783">
        <f t="shared" ref="DR189:DR190" si="641">DQ189</f>
        <v>0</v>
      </c>
      <c r="DS189" s="783">
        <f t="shared" ref="DS189:DS190" si="642">DR189</f>
        <v>0</v>
      </c>
      <c r="DT189" s="783">
        <f t="shared" ref="DT189:DT190" si="643">DS189</f>
        <v>0</v>
      </c>
      <c r="DU189" s="783">
        <f t="shared" ref="DU189:DU190" si="644">DT189</f>
        <v>0</v>
      </c>
      <c r="DV189" s="26"/>
      <c r="DW189" s="26"/>
      <c r="DX189" s="26"/>
      <c r="DY189" s="26"/>
    </row>
    <row r="190" spans="1:135" hidden="1" outlineLevel="1">
      <c r="B190" s="958" t="s">
        <v>973</v>
      </c>
      <c r="L190" s="26"/>
      <c r="M190" s="26">
        <f>CD190</f>
        <v>0</v>
      </c>
      <c r="N190" s="26">
        <f>CI190</f>
        <v>0</v>
      </c>
      <c r="O190" s="26">
        <f>CN190</f>
        <v>0</v>
      </c>
      <c r="P190" s="783">
        <v>0</v>
      </c>
      <c r="Q190" s="783">
        <v>0</v>
      </c>
      <c r="R190" s="783">
        <v>0</v>
      </c>
      <c r="S190" s="783">
        <v>0</v>
      </c>
      <c r="T190" s="783">
        <v>0</v>
      </c>
      <c r="U190" s="783">
        <v>0</v>
      </c>
      <c r="V190" s="783">
        <v>0</v>
      </c>
      <c r="W190" s="783">
        <v>0</v>
      </c>
      <c r="X190" s="783">
        <v>0</v>
      </c>
      <c r="Y190" s="783">
        <v>0</v>
      </c>
      <c r="Z190" s="783">
        <v>0</v>
      </c>
      <c r="AA190" s="783">
        <v>0</v>
      </c>
      <c r="AB190" s="783">
        <v>0</v>
      </c>
      <c r="AC190" s="783">
        <v>0</v>
      </c>
      <c r="AD190" s="783">
        <v>0</v>
      </c>
      <c r="AE190" s="54"/>
      <c r="AJ190" s="124"/>
      <c r="AK190" s="42"/>
      <c r="AP190" s="42"/>
      <c r="AU190" s="42"/>
      <c r="AZ190" s="42"/>
      <c r="BE190" s="42"/>
      <c r="BJ190" s="42"/>
      <c r="BO190" s="42"/>
      <c r="BT190" s="42"/>
      <c r="BU190" s="789"/>
      <c r="BV190" s="789"/>
      <c r="BW190" s="789"/>
      <c r="BX190" s="789"/>
      <c r="BY190" s="1126"/>
      <c r="CD190" s="42"/>
      <c r="CE190" s="783">
        <v>0</v>
      </c>
      <c r="CF190" s="783">
        <v>0</v>
      </c>
      <c r="CG190" s="783">
        <v>0</v>
      </c>
      <c r="CH190" s="783">
        <f>CG190</f>
        <v>0</v>
      </c>
      <c r="CI190" s="1107">
        <f>CH190</f>
        <v>0</v>
      </c>
      <c r="CJ190" s="783">
        <v>0</v>
      </c>
      <c r="CK190" s="783">
        <v>0</v>
      </c>
      <c r="CL190" s="783">
        <v>0</v>
      </c>
      <c r="CM190" s="783">
        <f>CL190</f>
        <v>0</v>
      </c>
      <c r="CN190" s="1107">
        <f>CM190</f>
        <v>0</v>
      </c>
      <c r="CO190" s="783">
        <v>0</v>
      </c>
      <c r="CP190" s="783">
        <v>0</v>
      </c>
      <c r="CQ190" s="783">
        <v>0</v>
      </c>
      <c r="CR190" s="783">
        <v>0</v>
      </c>
      <c r="CS190" s="1107">
        <f>CR190</f>
        <v>0</v>
      </c>
      <c r="CT190" s="783">
        <v>0</v>
      </c>
      <c r="CU190" s="783">
        <v>0</v>
      </c>
      <c r="CV190" s="783">
        <v>0</v>
      </c>
      <c r="CW190" s="783">
        <v>0</v>
      </c>
      <c r="CX190" s="783">
        <v>0</v>
      </c>
      <c r="CY190" s="783">
        <v>0</v>
      </c>
      <c r="CZ190" s="783">
        <v>0</v>
      </c>
      <c r="DA190" s="783">
        <v>0</v>
      </c>
      <c r="DB190" s="783">
        <v>0</v>
      </c>
      <c r="DC190" s="783">
        <v>0</v>
      </c>
      <c r="DD190" s="783">
        <v>0</v>
      </c>
      <c r="DE190" s="783">
        <v>0</v>
      </c>
      <c r="DF190" s="783">
        <v>0</v>
      </c>
      <c r="DG190" s="783">
        <v>0</v>
      </c>
      <c r="DH190" s="783">
        <v>0</v>
      </c>
      <c r="DI190" s="783">
        <v>0</v>
      </c>
      <c r="DJ190" s="783">
        <v>0</v>
      </c>
      <c r="DK190" s="783">
        <v>0</v>
      </c>
      <c r="DL190" s="783">
        <v>0</v>
      </c>
      <c r="DM190" s="783">
        <v>0</v>
      </c>
      <c r="DN190" s="783">
        <v>0</v>
      </c>
      <c r="DO190" s="783">
        <v>0</v>
      </c>
      <c r="DP190" s="783">
        <v>0</v>
      </c>
      <c r="DQ190" s="783">
        <v>0</v>
      </c>
      <c r="DR190" s="783">
        <f t="shared" si="641"/>
        <v>0</v>
      </c>
      <c r="DS190" s="783">
        <f t="shared" si="642"/>
        <v>0</v>
      </c>
      <c r="DT190" s="783">
        <f t="shared" si="643"/>
        <v>0</v>
      </c>
      <c r="DU190" s="783">
        <f t="shared" si="644"/>
        <v>0</v>
      </c>
      <c r="DV190" s="26"/>
      <c r="DW190" s="26"/>
      <c r="DX190" s="26"/>
      <c r="DY190" s="26"/>
    </row>
    <row r="191" spans="1:135" hidden="1" outlineLevel="1">
      <c r="B191" s="958" t="s">
        <v>974</v>
      </c>
      <c r="L191" s="26"/>
      <c r="M191" s="26"/>
      <c r="AE191" s="54"/>
      <c r="AJ191" s="124"/>
      <c r="AK191" s="42"/>
      <c r="AP191" s="42"/>
      <c r="AU191" s="42"/>
      <c r="AZ191" s="42"/>
      <c r="BE191" s="42"/>
      <c r="BJ191" s="42"/>
      <c r="BO191" s="42"/>
      <c r="BT191" s="42"/>
      <c r="BU191" s="789"/>
      <c r="BV191" s="789"/>
      <c r="BW191" s="789"/>
      <c r="BX191" s="789"/>
      <c r="BY191" s="1126"/>
      <c r="CD191" s="42"/>
      <c r="CI191" s="42"/>
      <c r="CN191" s="42"/>
      <c r="CS191" s="42"/>
    </row>
    <row r="192" spans="1:135" hidden="1" outlineLevel="1">
      <c r="B192" s="958" t="s">
        <v>976</v>
      </c>
      <c r="L192" s="26"/>
      <c r="M192" s="26">
        <f>L189</f>
        <v>0</v>
      </c>
      <c r="N192" s="26">
        <f t="shared" ref="N192:T192" si="645">SUM(N189:N190)</f>
        <v>0</v>
      </c>
      <c r="O192" s="26">
        <f t="shared" si="645"/>
        <v>0</v>
      </c>
      <c r="P192" s="26">
        <f t="shared" si="645"/>
        <v>0</v>
      </c>
      <c r="Q192" s="26">
        <f t="shared" si="645"/>
        <v>0</v>
      </c>
      <c r="R192" s="26">
        <f t="shared" si="645"/>
        <v>0</v>
      </c>
      <c r="S192" s="26">
        <f t="shared" si="645"/>
        <v>0</v>
      </c>
      <c r="T192" s="26">
        <f t="shared" si="645"/>
        <v>0</v>
      </c>
      <c r="U192" s="26">
        <f t="shared" ref="U192:Z192" si="646">SUM(U189:U190)</f>
        <v>0</v>
      </c>
      <c r="V192" s="26">
        <f>SUM(V189:V190)</f>
        <v>0</v>
      </c>
      <c r="W192" s="26">
        <f>SUM(W189:W190)</f>
        <v>0</v>
      </c>
      <c r="X192" s="26">
        <f t="shared" si="646"/>
        <v>0</v>
      </c>
      <c r="Y192" s="26">
        <f t="shared" si="646"/>
        <v>0</v>
      </c>
      <c r="Z192" s="26">
        <f t="shared" si="646"/>
        <v>0</v>
      </c>
      <c r="AA192" s="26">
        <f t="shared" ref="AA192:AD192" si="647">SUM(AA189:AA190)</f>
        <v>0</v>
      </c>
      <c r="AB192" s="26">
        <f t="shared" si="647"/>
        <v>0</v>
      </c>
      <c r="AC192" s="26">
        <f t="shared" si="647"/>
        <v>0</v>
      </c>
      <c r="AD192" s="26">
        <f t="shared" si="647"/>
        <v>0</v>
      </c>
      <c r="AE192" s="54"/>
      <c r="AJ192" s="124"/>
      <c r="AK192" s="42"/>
      <c r="AP192" s="42"/>
      <c r="AU192" s="42"/>
      <c r="AZ192" s="42"/>
      <c r="BE192" s="42"/>
      <c r="BJ192" s="42"/>
      <c r="BO192" s="42"/>
      <c r="BT192" s="42"/>
      <c r="BU192" s="26"/>
      <c r="BV192" s="26"/>
      <c r="BW192" s="26"/>
      <c r="BX192" s="26"/>
      <c r="BY192" s="1107"/>
      <c r="BZ192" s="26"/>
      <c r="CA192" s="26"/>
      <c r="CB192" s="26"/>
      <c r="CC192" s="26"/>
      <c r="CD192" s="1107"/>
      <c r="CE192" s="26"/>
      <c r="CF192" s="26">
        <f>CE189</f>
        <v>0</v>
      </c>
      <c r="CG192" s="26">
        <f>CF189</f>
        <v>0</v>
      </c>
      <c r="CH192" s="26">
        <f>CG189</f>
        <v>0</v>
      </c>
      <c r="CI192" s="1107">
        <f>CH192</f>
        <v>0</v>
      </c>
      <c r="CJ192" s="26"/>
      <c r="CK192" s="26">
        <f>CJ189</f>
        <v>0</v>
      </c>
      <c r="CL192" s="26">
        <f>CK189</f>
        <v>0</v>
      </c>
      <c r="CM192" s="26">
        <f>CL189</f>
        <v>0</v>
      </c>
      <c r="CN192" s="1107">
        <f>CM192</f>
        <v>0</v>
      </c>
      <c r="CO192" s="26"/>
      <c r="CP192" s="26">
        <f>CO189</f>
        <v>0</v>
      </c>
      <c r="CQ192" s="26">
        <f>CP189</f>
        <v>0</v>
      </c>
      <c r="CR192" s="26">
        <f>CQ189</f>
        <v>0</v>
      </c>
      <c r="CS192" s="1107">
        <f>CR192</f>
        <v>0</v>
      </c>
      <c r="CT192" s="26">
        <f t="shared" ref="CT192:DQ192" si="648">CS189</f>
        <v>0</v>
      </c>
      <c r="CU192" s="26">
        <f t="shared" si="648"/>
        <v>0</v>
      </c>
      <c r="CV192" s="26">
        <f t="shared" si="648"/>
        <v>0</v>
      </c>
      <c r="CW192" s="26">
        <f t="shared" si="648"/>
        <v>0</v>
      </c>
      <c r="CX192" s="26">
        <f t="shared" si="648"/>
        <v>0</v>
      </c>
      <c r="CY192" s="26">
        <f t="shared" si="648"/>
        <v>0</v>
      </c>
      <c r="CZ192" s="26">
        <f t="shared" si="648"/>
        <v>0</v>
      </c>
      <c r="DA192" s="26">
        <f t="shared" si="648"/>
        <v>0</v>
      </c>
      <c r="DB192" s="26">
        <f t="shared" si="648"/>
        <v>0</v>
      </c>
      <c r="DC192" s="26">
        <f t="shared" si="648"/>
        <v>0</v>
      </c>
      <c r="DD192" s="26">
        <f t="shared" si="648"/>
        <v>0</v>
      </c>
      <c r="DE192" s="26">
        <f t="shared" si="648"/>
        <v>0</v>
      </c>
      <c r="DF192" s="26">
        <f t="shared" si="648"/>
        <v>0</v>
      </c>
      <c r="DG192" s="26">
        <f t="shared" si="648"/>
        <v>0</v>
      </c>
      <c r="DH192" s="26">
        <f t="shared" si="648"/>
        <v>0</v>
      </c>
      <c r="DI192" s="26">
        <f t="shared" si="648"/>
        <v>0</v>
      </c>
      <c r="DJ192" s="26">
        <f t="shared" si="648"/>
        <v>0</v>
      </c>
      <c r="DK192" s="26">
        <f t="shared" si="648"/>
        <v>0</v>
      </c>
      <c r="DL192" s="26">
        <f t="shared" si="648"/>
        <v>0</v>
      </c>
      <c r="DM192" s="26">
        <f t="shared" si="648"/>
        <v>0</v>
      </c>
      <c r="DN192" s="26">
        <f t="shared" si="648"/>
        <v>0</v>
      </c>
      <c r="DO192" s="26">
        <f t="shared" si="648"/>
        <v>0</v>
      </c>
      <c r="DP192" s="26">
        <f t="shared" si="648"/>
        <v>0</v>
      </c>
      <c r="DQ192" s="26">
        <f t="shared" si="648"/>
        <v>0</v>
      </c>
      <c r="DR192" s="26">
        <f t="shared" ref="DR192:DU192" si="649">DQ189</f>
        <v>0</v>
      </c>
      <c r="DS192" s="26">
        <f t="shared" si="649"/>
        <v>0</v>
      </c>
      <c r="DT192" s="26">
        <f t="shared" si="649"/>
        <v>0</v>
      </c>
      <c r="DU192" s="26">
        <f t="shared" si="649"/>
        <v>0</v>
      </c>
      <c r="DV192" s="26"/>
      <c r="DW192" s="26"/>
      <c r="DX192" s="26"/>
      <c r="DY192" s="26"/>
    </row>
    <row r="193" spans="2:129" ht="15.75" hidden="1" outlineLevel="1">
      <c r="B193" s="965"/>
      <c r="AE193" s="54"/>
      <c r="AJ193" s="124"/>
      <c r="AK193" s="42"/>
      <c r="AP193" s="42"/>
      <c r="AU193" s="42"/>
      <c r="AZ193" s="42"/>
      <c r="BE193" s="42"/>
      <c r="BJ193" s="42"/>
      <c r="BO193" s="42"/>
      <c r="BT193" s="42"/>
      <c r="BY193" s="42"/>
      <c r="CD193" s="42"/>
      <c r="CI193" s="42"/>
      <c r="CN193" s="42"/>
      <c r="CS193" s="42"/>
    </row>
    <row r="194" spans="2:129" hidden="1" outlineLevel="1">
      <c r="B194" s="957" t="s">
        <v>958</v>
      </c>
      <c r="AE194" s="54"/>
      <c r="AJ194" s="124"/>
      <c r="AK194" s="42"/>
      <c r="AP194" s="42"/>
      <c r="AU194" s="42"/>
      <c r="AZ194" s="42"/>
      <c r="BE194" s="42"/>
      <c r="BJ194" s="42"/>
      <c r="BO194" s="42"/>
      <c r="BT194" s="42"/>
      <c r="BY194" s="42"/>
      <c r="CD194" s="42"/>
      <c r="CI194" s="42"/>
      <c r="CN194" s="42"/>
      <c r="CS194" s="42"/>
    </row>
    <row r="195" spans="2:129" hidden="1" outlineLevel="1">
      <c r="B195" s="958" t="s">
        <v>968</v>
      </c>
      <c r="M195" s="26"/>
      <c r="N195" s="26">
        <f>CI195</f>
        <v>0.48634616558452359</v>
      </c>
      <c r="O195" s="26">
        <f>CN195</f>
        <v>0.21461382598148998</v>
      </c>
      <c r="P195" s="26">
        <f>P214</f>
        <v>0.16563571740185101</v>
      </c>
      <c r="Q195" s="26">
        <f t="shared" ref="Q195:V195" si="650">Q214</f>
        <v>0.15072850283568442</v>
      </c>
      <c r="R195" s="26">
        <f t="shared" si="650"/>
        <v>0.13716293758047285</v>
      </c>
      <c r="S195" s="26">
        <f t="shared" si="650"/>
        <v>0.1248182731982303</v>
      </c>
      <c r="T195" s="26">
        <f t="shared" si="650"/>
        <v>0.11358462861038957</v>
      </c>
      <c r="U195" s="26">
        <f t="shared" si="650"/>
        <v>0.10336201203545448</v>
      </c>
      <c r="V195" s="26">
        <f t="shared" si="650"/>
        <v>9.4059430952263587E-2</v>
      </c>
      <c r="W195" s="26">
        <f t="shared" ref="W195" si="651">W214</f>
        <v>8.5594082166559865E-2</v>
      </c>
      <c r="X195" s="26">
        <f>X214</f>
        <v>7.7890614771569486E-2</v>
      </c>
      <c r="Y195" s="26">
        <f>Y214</f>
        <v>7.2438271737559623E-2</v>
      </c>
      <c r="Z195" s="26">
        <f>Z214</f>
        <v>6.7367592715930458E-2</v>
      </c>
      <c r="AA195" s="26">
        <f t="shared" ref="AA195:AD195" si="652">AA214</f>
        <v>6.2651861225815328E-2</v>
      </c>
      <c r="AB195" s="26">
        <f t="shared" si="652"/>
        <v>5.8266230940008261E-2</v>
      </c>
      <c r="AC195" s="26">
        <f t="shared" si="652"/>
        <v>5.4187594774207676E-2</v>
      </c>
      <c r="AD195" s="26">
        <f t="shared" si="652"/>
        <v>5.039446314001314E-2</v>
      </c>
      <c r="AE195" s="54"/>
      <c r="AJ195" s="124"/>
      <c r="AK195" s="42"/>
      <c r="AP195" s="42"/>
      <c r="AU195" s="42"/>
      <c r="AZ195" s="42"/>
      <c r="BE195" s="42"/>
      <c r="BJ195" s="42"/>
      <c r="BO195" s="42"/>
      <c r="BT195" s="42"/>
      <c r="BY195" s="42"/>
      <c r="CD195" s="42"/>
      <c r="CE195" s="26">
        <f>(CE199)/CE196</f>
        <v>6.8085819644653045E-2</v>
      </c>
      <c r="CF195" s="26">
        <f>(CF199)/CF196</f>
        <v>8.0646224859874716E-2</v>
      </c>
      <c r="CG195" s="26">
        <f>(CG199)/CG196</f>
        <v>0.22860849821602336</v>
      </c>
      <c r="CH195" s="26">
        <f>CH214</f>
        <v>0.10900562286397245</v>
      </c>
      <c r="CI195" s="1107">
        <f>SUM(CE195:CH195)</f>
        <v>0.48634616558452359</v>
      </c>
      <c r="CJ195" s="26">
        <f>CJ214</f>
        <v>5.6129129999999999E-2</v>
      </c>
      <c r="CK195" s="26">
        <f>CK214</f>
        <v>5.4445256099999999E-2</v>
      </c>
      <c r="CL195" s="26">
        <f>CL214</f>
        <v>5.2811898417E-2</v>
      </c>
      <c r="CM195" s="26">
        <f>CM214</f>
        <v>5.1227541464489997E-2</v>
      </c>
      <c r="CN195" s="1107">
        <f>SUM(CJ195:CM195)</f>
        <v>0.21461382598148998</v>
      </c>
      <c r="CO195" s="26">
        <f>CO214</f>
        <v>4.9690715220555293E-2</v>
      </c>
      <c r="CP195" s="26">
        <f>CP214</f>
        <v>4.8199993763938638E-2</v>
      </c>
      <c r="CQ195" s="26">
        <f>CQ214</f>
        <v>4.6753993951020478E-2</v>
      </c>
      <c r="CR195" s="26">
        <f>CR214</f>
        <v>4.5351374132489866E-2</v>
      </c>
      <c r="CS195" s="1107">
        <f>SUM(CO195:CR195)</f>
        <v>0.18999607706800425</v>
      </c>
      <c r="CT195" s="26">
        <f t="shared" ref="CT195:CZ195" si="653">CT214</f>
        <v>4.3990832908515166E-2</v>
      </c>
      <c r="CU195" s="26">
        <f t="shared" si="653"/>
        <v>4.2671107921259707E-2</v>
      </c>
      <c r="CV195" s="26">
        <f t="shared" si="653"/>
        <v>4.139097468362192E-2</v>
      </c>
      <c r="CW195" s="26">
        <f t="shared" si="653"/>
        <v>4.0149245443113268E-2</v>
      </c>
      <c r="CX195" s="26">
        <f t="shared" si="653"/>
        <v>3.8944768079819864E-2</v>
      </c>
      <c r="CY195" s="26">
        <f t="shared" si="653"/>
        <v>3.7776425037425274E-2</v>
      </c>
      <c r="CZ195" s="26">
        <f t="shared" si="653"/>
        <v>3.6643132286302511E-2</v>
      </c>
      <c r="DA195" s="26">
        <f t="shared" ref="DA195:DM195" si="654">DA214</f>
        <v>3.5543838317713433E-2</v>
      </c>
      <c r="DB195" s="26">
        <f t="shared" si="654"/>
        <v>3.4477523168182034E-2</v>
      </c>
      <c r="DC195" s="26">
        <f t="shared" si="654"/>
        <v>3.3443197473136572E-2</v>
      </c>
      <c r="DD195" s="26">
        <f t="shared" si="654"/>
        <v>3.2439901548942475E-2</v>
      </c>
      <c r="DE195" s="26">
        <f t="shared" si="654"/>
        <v>3.1466704502474199E-2</v>
      </c>
      <c r="DF195" s="26">
        <f t="shared" si="654"/>
        <v>3.0522703367399977E-2</v>
      </c>
      <c r="DG195" s="26">
        <f t="shared" si="654"/>
        <v>2.9607022266377979E-2</v>
      </c>
      <c r="DH195" s="26">
        <f t="shared" si="654"/>
        <v>2.8718811598386639E-2</v>
      </c>
      <c r="DI195" s="26">
        <f t="shared" si="654"/>
        <v>2.7857247250435042E-2</v>
      </c>
      <c r="DJ195" s="26">
        <f t="shared" si="654"/>
        <v>2.7021529832921991E-2</v>
      </c>
      <c r="DK195" s="26">
        <f t="shared" si="654"/>
        <v>2.6210883937934332E-2</v>
      </c>
      <c r="DL195" s="26">
        <f t="shared" si="654"/>
        <v>2.5424557419796302E-2</v>
      </c>
      <c r="DM195" s="26">
        <f t="shared" si="654"/>
        <v>2.4661820697202411E-2</v>
      </c>
      <c r="DN195" s="26">
        <f>DN214</f>
        <v>2.3921966076286338E-2</v>
      </c>
      <c r="DO195" s="26">
        <f>DO214</f>
        <v>2.3204307093997747E-2</v>
      </c>
      <c r="DP195" s="26">
        <f>DP214</f>
        <v>2.2508177881177812E-2</v>
      </c>
      <c r="DQ195" s="26">
        <f>DQ214</f>
        <v>2.183293254474248E-2</v>
      </c>
      <c r="DR195" s="26">
        <f t="shared" ref="DR195:DU195" si="655">DR214</f>
        <v>2.1177944568400206E-2</v>
      </c>
      <c r="DS195" s="26">
        <f t="shared" si="655"/>
        <v>2.0542606231348199E-2</v>
      </c>
      <c r="DT195" s="26">
        <f t="shared" si="655"/>
        <v>1.9926328044407755E-2</v>
      </c>
      <c r="DU195" s="26">
        <f t="shared" si="655"/>
        <v>1.9328538203075521E-2</v>
      </c>
      <c r="DV195" s="26"/>
      <c r="DW195" s="26"/>
      <c r="DX195" s="26"/>
      <c r="DY195" s="26"/>
    </row>
    <row r="196" spans="2:129" hidden="1" outlineLevel="1">
      <c r="B196" s="958" t="s">
        <v>965</v>
      </c>
      <c r="N196" s="26">
        <f>CI196</f>
        <v>61.16</v>
      </c>
      <c r="O196" s="26">
        <f>CN196</f>
        <v>65.16</v>
      </c>
      <c r="P196" s="26">
        <f>O196+5</f>
        <v>70.16</v>
      </c>
      <c r="Q196" s="26">
        <f t="shared" ref="Q196:W196" si="656">P196+5</f>
        <v>75.16</v>
      </c>
      <c r="R196" s="26">
        <f t="shared" si="656"/>
        <v>80.16</v>
      </c>
      <c r="S196" s="26">
        <f t="shared" si="656"/>
        <v>85.16</v>
      </c>
      <c r="T196" s="26">
        <f t="shared" si="656"/>
        <v>90.16</v>
      </c>
      <c r="U196" s="26">
        <f t="shared" si="656"/>
        <v>95.16</v>
      </c>
      <c r="V196" s="26">
        <f t="shared" si="656"/>
        <v>100.16</v>
      </c>
      <c r="W196" s="26">
        <f t="shared" si="656"/>
        <v>105.16</v>
      </c>
      <c r="X196" s="26">
        <f>W196+5</f>
        <v>110.16</v>
      </c>
      <c r="Y196" s="26">
        <f>X196+5</f>
        <v>115.16</v>
      </c>
      <c r="Z196" s="26">
        <f>Y196+5</f>
        <v>120.16</v>
      </c>
      <c r="AA196" s="26">
        <f t="shared" ref="AA196:AD196" si="657">Z196+5</f>
        <v>125.16</v>
      </c>
      <c r="AB196" s="26">
        <f t="shared" si="657"/>
        <v>130.16</v>
      </c>
      <c r="AC196" s="26">
        <f t="shared" si="657"/>
        <v>135.16</v>
      </c>
      <c r="AD196" s="26">
        <f t="shared" si="657"/>
        <v>140.16</v>
      </c>
      <c r="AE196" s="54"/>
      <c r="AJ196" s="124"/>
      <c r="AK196" s="42"/>
      <c r="AP196" s="42"/>
      <c r="AU196" s="42"/>
      <c r="AZ196" s="42"/>
      <c r="BE196" s="42"/>
      <c r="BJ196" s="42"/>
      <c r="BO196" s="42"/>
      <c r="BT196" s="42"/>
      <c r="BY196" s="42"/>
      <c r="CD196" s="42"/>
      <c r="CE196" s="26">
        <f>CD221+1</f>
        <v>59.66</v>
      </c>
      <c r="CF196" s="26">
        <f>$CE$196+1</f>
        <v>60.66</v>
      </c>
      <c r="CG196" s="26">
        <f>CF196+1</f>
        <v>61.66</v>
      </c>
      <c r="CH196" s="26">
        <f>CG196+1</f>
        <v>62.66</v>
      </c>
      <c r="CI196" s="1107">
        <f>AVERAGE(CE196:CH196)</f>
        <v>61.16</v>
      </c>
      <c r="CJ196" s="26">
        <f>CH196+1</f>
        <v>63.66</v>
      </c>
      <c r="CK196" s="26">
        <f>CJ196+1</f>
        <v>64.66</v>
      </c>
      <c r="CL196" s="26">
        <f>CK196+1</f>
        <v>65.66</v>
      </c>
      <c r="CM196" s="26">
        <f>CL196+1</f>
        <v>66.66</v>
      </c>
      <c r="CN196" s="1107">
        <f>AVERAGE(CJ196:CM196)</f>
        <v>65.16</v>
      </c>
      <c r="CO196" s="26">
        <f>CL196+1</f>
        <v>66.66</v>
      </c>
      <c r="CP196" s="26">
        <f>CO196+1</f>
        <v>67.66</v>
      </c>
      <c r="CQ196" s="26">
        <f>CP196+1</f>
        <v>68.66</v>
      </c>
      <c r="CR196" s="26">
        <f>CQ196+1</f>
        <v>69.66</v>
      </c>
      <c r="CS196" s="1107">
        <f>AVERAGE(CO196:CR196)</f>
        <v>68.16</v>
      </c>
      <c r="CT196" s="26">
        <f>CR196+1</f>
        <v>70.66</v>
      </c>
      <c r="CU196" s="26">
        <f t="shared" ref="CU196:CZ196" si="658">CT196+1</f>
        <v>71.66</v>
      </c>
      <c r="CV196" s="26">
        <f t="shared" si="658"/>
        <v>72.66</v>
      </c>
      <c r="CW196" s="26">
        <f t="shared" si="658"/>
        <v>73.66</v>
      </c>
      <c r="CX196" s="26">
        <f t="shared" si="658"/>
        <v>74.66</v>
      </c>
      <c r="CY196" s="26">
        <f t="shared" si="658"/>
        <v>75.66</v>
      </c>
      <c r="CZ196" s="26">
        <f t="shared" si="658"/>
        <v>76.66</v>
      </c>
      <c r="DA196" s="26">
        <f t="shared" ref="DA196:DQ196" si="659">CZ196+1</f>
        <v>77.66</v>
      </c>
      <c r="DB196" s="26">
        <f t="shared" si="659"/>
        <v>78.66</v>
      </c>
      <c r="DC196" s="26">
        <f t="shared" si="659"/>
        <v>79.66</v>
      </c>
      <c r="DD196" s="26">
        <f t="shared" si="659"/>
        <v>80.66</v>
      </c>
      <c r="DE196" s="26">
        <f t="shared" si="659"/>
        <v>81.66</v>
      </c>
      <c r="DF196" s="26">
        <f t="shared" si="659"/>
        <v>82.66</v>
      </c>
      <c r="DG196" s="26">
        <f t="shared" si="659"/>
        <v>83.66</v>
      </c>
      <c r="DH196" s="26">
        <f t="shared" si="659"/>
        <v>84.66</v>
      </c>
      <c r="DI196" s="26">
        <f t="shared" si="659"/>
        <v>85.66</v>
      </c>
      <c r="DJ196" s="26">
        <f t="shared" si="659"/>
        <v>86.66</v>
      </c>
      <c r="DK196" s="26">
        <f t="shared" si="659"/>
        <v>87.66</v>
      </c>
      <c r="DL196" s="26">
        <f t="shared" si="659"/>
        <v>88.66</v>
      </c>
      <c r="DM196" s="26">
        <f t="shared" si="659"/>
        <v>89.66</v>
      </c>
      <c r="DN196" s="26">
        <f t="shared" si="659"/>
        <v>90.66</v>
      </c>
      <c r="DO196" s="26">
        <f t="shared" si="659"/>
        <v>91.66</v>
      </c>
      <c r="DP196" s="26">
        <f t="shared" si="659"/>
        <v>92.66</v>
      </c>
      <c r="DQ196" s="26">
        <f t="shared" si="659"/>
        <v>93.66</v>
      </c>
      <c r="DR196" s="26">
        <f t="shared" ref="DR196:DU196" si="660">DQ196+1</f>
        <v>94.66</v>
      </c>
      <c r="DS196" s="26">
        <f t="shared" si="660"/>
        <v>95.66</v>
      </c>
      <c r="DT196" s="26">
        <f t="shared" si="660"/>
        <v>96.66</v>
      </c>
      <c r="DU196" s="26">
        <f t="shared" si="660"/>
        <v>97.66</v>
      </c>
      <c r="DV196" s="26"/>
      <c r="DW196" s="26"/>
      <c r="DX196" s="26"/>
      <c r="DY196" s="26"/>
    </row>
    <row r="197" spans="2:129" hidden="1" outlineLevel="1">
      <c r="B197" s="958" t="s">
        <v>969</v>
      </c>
      <c r="N197" s="26">
        <f t="shared" ref="N197:S197" si="661">N196*N195</f>
        <v>29.744931487149461</v>
      </c>
      <c r="O197" s="26">
        <f t="shared" si="661"/>
        <v>13.984236900953887</v>
      </c>
      <c r="P197" s="26">
        <f t="shared" si="661"/>
        <v>11.621001932913867</v>
      </c>
      <c r="Q197" s="26">
        <f t="shared" si="661"/>
        <v>11.328754273130041</v>
      </c>
      <c r="R197" s="26">
        <f t="shared" si="661"/>
        <v>10.994981076450703</v>
      </c>
      <c r="S197" s="26">
        <f t="shared" si="661"/>
        <v>10.629524145561293</v>
      </c>
      <c r="T197" s="26">
        <f t="shared" ref="T197:Z197" si="662">T196*T195</f>
        <v>10.240790115512723</v>
      </c>
      <c r="U197" s="26">
        <f t="shared" si="662"/>
        <v>9.8359290652938469</v>
      </c>
      <c r="V197" s="26">
        <f>V196*V195</f>
        <v>9.4209926041787213</v>
      </c>
      <c r="W197" s="26">
        <f>W196*W195</f>
        <v>9.0010736806354359</v>
      </c>
      <c r="X197" s="26">
        <f t="shared" si="662"/>
        <v>8.5804301232360949</v>
      </c>
      <c r="Y197" s="26">
        <f t="shared" si="662"/>
        <v>8.3419913732973665</v>
      </c>
      <c r="Z197" s="26">
        <f t="shared" si="662"/>
        <v>8.0948899407462029</v>
      </c>
      <c r="AA197" s="26">
        <f t="shared" ref="AA197:AD197" si="663">AA196*AA195</f>
        <v>7.841506951023046</v>
      </c>
      <c r="AB197" s="26">
        <f t="shared" si="663"/>
        <v>7.5839326191514749</v>
      </c>
      <c r="AC197" s="26">
        <f t="shared" si="663"/>
        <v>7.3239953096819095</v>
      </c>
      <c r="AD197" s="26">
        <f t="shared" si="663"/>
        <v>7.0632879537042417</v>
      </c>
      <c r="AE197" s="54"/>
      <c r="AJ197" s="124"/>
      <c r="AK197" s="42"/>
      <c r="AP197" s="42"/>
      <c r="AU197" s="42"/>
      <c r="AZ197" s="42"/>
      <c r="BE197" s="42"/>
      <c r="BJ197" s="42"/>
      <c r="BO197" s="42"/>
      <c r="BT197" s="42"/>
      <c r="BY197" s="42"/>
      <c r="CD197" s="42"/>
      <c r="CE197" s="26">
        <f>IF(ISERROR(CE199-CE198), CE199, CE199-CE198)</f>
        <v>4.0620000000000003</v>
      </c>
      <c r="CF197" s="26">
        <f>IF(ISERROR(CF199-CF198), CF199, CF199-CF198)</f>
        <v>4.6756597856209821</v>
      </c>
      <c r="CG197" s="26">
        <f>IF(ISERROR(CG199-CG198), CG199, CG199-CG198)</f>
        <v>12.482101866473513</v>
      </c>
      <c r="CH197" s="26">
        <f>CH196*CH195</f>
        <v>6.8302923286565127</v>
      </c>
      <c r="CI197" s="1107">
        <f>SUM(CE197:CH197)</f>
        <v>28.050053980751009</v>
      </c>
      <c r="CJ197" s="26">
        <f>CJ196*CJ195</f>
        <v>3.5731804157999996</v>
      </c>
      <c r="CK197" s="26">
        <f>CK196*CK195</f>
        <v>3.5204302594259995</v>
      </c>
      <c r="CL197" s="26">
        <f>CL196*CL195</f>
        <v>3.4676292500602197</v>
      </c>
      <c r="CM197" s="26">
        <f>CM196*CM195</f>
        <v>3.414827914022903</v>
      </c>
      <c r="CN197" s="1107">
        <f>SUM(CJ197:CM197)</f>
        <v>13.976067839309122</v>
      </c>
      <c r="CO197" s="26">
        <f>CO196*CO195</f>
        <v>3.3123830766022158</v>
      </c>
      <c r="CP197" s="26">
        <f>CP196*CP195</f>
        <v>3.2612115780680879</v>
      </c>
      <c r="CQ197" s="26">
        <f>CQ196*CQ195</f>
        <v>3.2101292246770661</v>
      </c>
      <c r="CR197" s="26">
        <f>CR196*CR195</f>
        <v>3.1591767220692439</v>
      </c>
      <c r="CS197" s="1107">
        <f>SUM(CO197:CR197)</f>
        <v>12.942900601416614</v>
      </c>
      <c r="CT197" s="26">
        <f t="shared" ref="CT197:DB197" si="664">CT196*CT195</f>
        <v>3.1083922533156816</v>
      </c>
      <c r="CU197" s="26">
        <f t="shared" si="664"/>
        <v>3.0578115936374703</v>
      </c>
      <c r="CV197" s="26">
        <f t="shared" si="664"/>
        <v>3.0074682205119685</v>
      </c>
      <c r="CW197" s="26">
        <f t="shared" si="664"/>
        <v>2.9573934193397231</v>
      </c>
      <c r="CX197" s="26">
        <f t="shared" si="664"/>
        <v>2.907616384839351</v>
      </c>
      <c r="CY197" s="26">
        <f t="shared" si="664"/>
        <v>2.8581643183315961</v>
      </c>
      <c r="CZ197" s="26">
        <f t="shared" si="664"/>
        <v>2.8090625210679505</v>
      </c>
      <c r="DA197" s="26">
        <f t="shared" si="664"/>
        <v>2.760334483753625</v>
      </c>
      <c r="DB197" s="26">
        <f t="shared" si="664"/>
        <v>2.7120019724091988</v>
      </c>
      <c r="DC197" s="26">
        <f t="shared" ref="DC197:DI197" si="665">DC196*DC195</f>
        <v>2.6640851107100594</v>
      </c>
      <c r="DD197" s="26">
        <f t="shared" si="665"/>
        <v>2.6166024589376997</v>
      </c>
      <c r="DE197" s="26">
        <f t="shared" si="665"/>
        <v>2.569571089672043</v>
      </c>
      <c r="DF197" s="26">
        <f t="shared" si="665"/>
        <v>2.523006660349282</v>
      </c>
      <c r="DG197" s="26">
        <f t="shared" si="665"/>
        <v>2.4769234828051818</v>
      </c>
      <c r="DH197" s="26">
        <f t="shared" si="665"/>
        <v>2.431334589919413</v>
      </c>
      <c r="DI197" s="26">
        <f t="shared" si="665"/>
        <v>2.3862517994722658</v>
      </c>
      <c r="DJ197" s="26">
        <f t="shared" ref="DJ197:DM197" si="666">DJ196*DJ195</f>
        <v>2.3416857753210198</v>
      </c>
      <c r="DK197" s="26">
        <f t="shared" si="666"/>
        <v>2.2976460859993235</v>
      </c>
      <c r="DL197" s="26">
        <f t="shared" si="666"/>
        <v>2.2541412608391402</v>
      </c>
      <c r="DM197" s="26">
        <f t="shared" si="666"/>
        <v>2.2111788437111679</v>
      </c>
      <c r="DN197" s="26">
        <f>DN196*DN195</f>
        <v>2.1687654444761191</v>
      </c>
      <c r="DO197" s="26">
        <f>DO196*DO195</f>
        <v>2.1269067882358335</v>
      </c>
      <c r="DP197" s="26">
        <f>DP196*DP195</f>
        <v>2.0856077624699361</v>
      </c>
      <c r="DQ197" s="26">
        <f>DQ196*DQ195</f>
        <v>2.0448724621405807</v>
      </c>
      <c r="DR197" s="26">
        <f t="shared" ref="DR197:DU197" si="667">DR196*DR195</f>
        <v>2.0047042328447633</v>
      </c>
      <c r="DS197" s="26">
        <f t="shared" si="667"/>
        <v>1.9651057120907687</v>
      </c>
      <c r="DT197" s="26">
        <f t="shared" si="667"/>
        <v>1.9260788687724535</v>
      </c>
      <c r="DU197" s="26">
        <f t="shared" si="667"/>
        <v>1.8876250409123554</v>
      </c>
      <c r="DV197" s="26"/>
      <c r="DW197" s="26"/>
      <c r="DX197" s="26"/>
      <c r="DY197" s="26"/>
    </row>
    <row r="198" spans="2:129" hidden="1" outlineLevel="1">
      <c r="B198" s="966" t="s">
        <v>970</v>
      </c>
      <c r="N198" s="955">
        <f t="shared" ref="N198:Z198" si="668">IF(N196&gt;=N187, "NM", ((N187-N196)*N195*N59))</f>
        <v>2.3507178196497995</v>
      </c>
      <c r="O198" s="955">
        <f t="shared" si="668"/>
        <v>1.9847807842596215</v>
      </c>
      <c r="P198" s="955">
        <f t="shared" si="668"/>
        <v>1.384071876623826</v>
      </c>
      <c r="Q198" s="955">
        <f t="shared" si="668"/>
        <v>4.8164039294173966</v>
      </c>
      <c r="R198" s="955">
        <f t="shared" si="668"/>
        <v>5.4801223477724941</v>
      </c>
      <c r="S198" s="955">
        <f t="shared" si="668"/>
        <v>4.5542228089596009</v>
      </c>
      <c r="T198" s="955">
        <f t="shared" si="668"/>
        <v>6.1046410509391196</v>
      </c>
      <c r="U198" s="955">
        <f t="shared" si="668"/>
        <v>7.2512585923352741</v>
      </c>
      <c r="V198" s="955">
        <f>IF(V196&gt;=V187, "NM", ((V187-V196)*V195*V59))</f>
        <v>6.4340413148586384</v>
      </c>
      <c r="W198" s="955">
        <f>IF(W196&gt;=W187, "NM", ((W187-W196)*W195*W59))</f>
        <v>3.7927687902314728</v>
      </c>
      <c r="X198" s="955">
        <f t="shared" si="668"/>
        <v>4.0020867105794533</v>
      </c>
      <c r="Y198" s="955">
        <f t="shared" si="668"/>
        <v>4.3055119856445891</v>
      </c>
      <c r="Z198" s="955">
        <f t="shared" si="668"/>
        <v>4.6212707871938807</v>
      </c>
      <c r="AA198" s="955">
        <f t="shared" ref="AA198:AD198" si="669">IF(AA196&gt;=AA187, "NM", ((AA187-AA196)*AA195*AA59))</f>
        <v>4.9492456465305343</v>
      </c>
      <c r="AB198" s="955">
        <f t="shared" si="669"/>
        <v>5.2894039002640554</v>
      </c>
      <c r="AC198" s="955">
        <f t="shared" si="669"/>
        <v>5.6417917509930806</v>
      </c>
      <c r="AD198" s="955">
        <f t="shared" si="669"/>
        <v>6.0065289668322954</v>
      </c>
      <c r="AE198" s="54"/>
      <c r="AJ198" s="124"/>
      <c r="AK198" s="42"/>
      <c r="AP198" s="42"/>
      <c r="AU198" s="42"/>
      <c r="AZ198" s="42"/>
      <c r="BE198" s="42"/>
      <c r="BJ198" s="42"/>
      <c r="BO198" s="42"/>
      <c r="BT198" s="42"/>
      <c r="BY198" s="42"/>
      <c r="CD198" s="42"/>
      <c r="CE198" s="961" t="str">
        <f>IF(CE196&gt;=CE187, "NM", ((CE187-CE196)*CE195*CE59))</f>
        <v>NM</v>
      </c>
      <c r="CF198" s="956">
        <f>IF(CF196&gt;=CF187, "NM", ((CF187-CF196)*CF195*CF59))</f>
        <v>0.2163402143790186</v>
      </c>
      <c r="CG198" s="956">
        <f>IF(CG196&gt;=CG187, "NM", ((CG187-CG196)*CG195*CG59))</f>
        <v>1.6138981335264859</v>
      </c>
      <c r="CH198" s="956">
        <f>IF(CH196&gt;=CH187, "NM", ((CH187-CH196)*CH195*CH59))</f>
        <v>1.3303706760723109</v>
      </c>
      <c r="CI198" s="1107">
        <f>SUM(CE198:CH198)</f>
        <v>3.1606090239778153</v>
      </c>
      <c r="CJ198" s="956">
        <f>IF(CJ196&gt;=CJ187, "NM", ((CJ187-CJ196)*CJ195*CJ59))</f>
        <v>0.70701235772144677</v>
      </c>
      <c r="CK198" s="956">
        <f>IF(CK196&gt;=CK187, "NM", ((CK187-CK196)*CK195*CK59))</f>
        <v>0.54976981001988601</v>
      </c>
      <c r="CL198" s="956">
        <f>IF(CL196&gt;=CL187, "NM", ((CL187-CL196)*CL195*CL59))</f>
        <v>0.4743305649484737</v>
      </c>
      <c r="CM198" s="956">
        <f>IF(CM196&gt;=CM187, "NM", ((CM187-CM196)*CM195*CM59))</f>
        <v>0.27238973126898219</v>
      </c>
      <c r="CN198" s="1107">
        <f>SUM(CJ198:CM198)</f>
        <v>2.0035024639587884</v>
      </c>
      <c r="CO198" s="956">
        <f>IF(CO196&gt;=CO187, "NM", ((CO187-CO196)*CO195*CO59))</f>
        <v>0.35355759414485699</v>
      </c>
      <c r="CP198" s="956">
        <f>IF(CP196&gt;=CP187, "NM", ((CP187-CP196)*CP195*CP59))</f>
        <v>0.49823945894036736</v>
      </c>
      <c r="CQ198" s="956">
        <f>IF(CQ196&gt;=CQ187, "NM", ((CQ187-CQ196)*CQ195*CQ59))</f>
        <v>0.42288834657523722</v>
      </c>
      <c r="CR198" s="956">
        <f>IF(CR196&gt;=CR187, "NM", ((CR187-CR196)*CR195*CR59))</f>
        <v>0.44115221257970738</v>
      </c>
      <c r="CS198" s="1107">
        <f>SUM(CO198:CR198)</f>
        <v>1.7158376122401688</v>
      </c>
      <c r="CT198" s="956">
        <f t="shared" ref="CT198:DI198" si="670">IF(CT196&gt;=CT187, "NM", ((CT187-CT196)*CT195*CT59))</f>
        <v>0.90996523413309749</v>
      </c>
      <c r="CU198" s="956">
        <f t="shared" si="670"/>
        <v>1.3363002308178284</v>
      </c>
      <c r="CV198" s="956">
        <f t="shared" si="670"/>
        <v>1.6287026102312439</v>
      </c>
      <c r="CW198" s="956">
        <f t="shared" si="670"/>
        <v>1.6327026766907535</v>
      </c>
      <c r="CX198" s="956">
        <f t="shared" si="670"/>
        <v>1.9233405133540451</v>
      </c>
      <c r="CY198" s="956">
        <f t="shared" si="670"/>
        <v>1.6330675933413528</v>
      </c>
      <c r="CZ198" s="956">
        <f t="shared" si="670"/>
        <v>1.3401736376330502</v>
      </c>
      <c r="DA198" s="956">
        <f t="shared" si="670"/>
        <v>1.2875280850928588</v>
      </c>
      <c r="DB198" s="956">
        <f t="shared" si="670"/>
        <v>1.2368351094312096</v>
      </c>
      <c r="DC198" s="956">
        <f t="shared" si="670"/>
        <v>1.1880249370326754</v>
      </c>
      <c r="DD198" s="956">
        <f t="shared" si="670"/>
        <v>1.1410302233795653</v>
      </c>
      <c r="DE198" s="956">
        <f t="shared" si="670"/>
        <v>1.4593098244338809</v>
      </c>
      <c r="DF198" s="956">
        <f t="shared" si="670"/>
        <v>1.5358234724447097</v>
      </c>
      <c r="DG198" s="956">
        <f t="shared" si="670"/>
        <v>1.4793863104781362</v>
      </c>
      <c r="DH198" s="956">
        <f t="shared" si="670"/>
        <v>1.4249531371043569</v>
      </c>
      <c r="DI198" s="956">
        <f t="shared" si="670"/>
        <v>2.0469226707147166</v>
      </c>
      <c r="DJ198" s="956">
        <f t="shared" ref="DJ198:DM198" si="671">IF(DJ196&gt;=DJ187, "NM", ((DJ187-DJ196)*DJ195*DJ59))</f>
        <v>1.9760574551517522</v>
      </c>
      <c r="DK198" s="956">
        <f t="shared" si="671"/>
        <v>1.9076019221189227</v>
      </c>
      <c r="DL198" s="956">
        <f t="shared" si="671"/>
        <v>1.8414752693584264</v>
      </c>
      <c r="DM198" s="956">
        <f t="shared" si="671"/>
        <v>1.7775993740336526</v>
      </c>
      <c r="DN198" s="956">
        <f>IF(DN196&gt;=DN187, "NM", ((DN187-DN196)*DN195*DN59))</f>
        <v>1.7158987046859431</v>
      </c>
      <c r="DO198" s="956">
        <f>IF(DO196&gt;=DO187, "NM", ((DO187-DO196)*DO195*DO59))</f>
        <v>1.6563002360624652</v>
      </c>
      <c r="DP198" s="956">
        <f>IF(DP196&gt;=DP187, "NM", ((DP187-DP196)*DP195*DP59))</f>
        <v>1.5987333667221788</v>
      </c>
      <c r="DQ198" s="956">
        <f>IF(DQ196&gt;=DQ187, "NM", ((DQ187-DQ196)*DQ195*DQ59))</f>
        <v>1.5431298393298538</v>
      </c>
      <c r="DR198" s="956">
        <f t="shared" ref="DR198:DU198" si="672">IF(DR196&gt;=DR187, "NM", ((DR187-DR196)*DR195*DR59))</f>
        <v>1.0219595046215897</v>
      </c>
      <c r="DS198" s="956">
        <f t="shared" si="672"/>
        <v>1.0297324270646502</v>
      </c>
      <c r="DT198" s="956">
        <f t="shared" si="672"/>
        <v>1.037375064961102</v>
      </c>
      <c r="DU198" s="956">
        <f t="shared" si="672"/>
        <v>1.0448871094846235</v>
      </c>
      <c r="DV198" s="26"/>
      <c r="DW198" s="26"/>
      <c r="DX198" s="26"/>
      <c r="DY198" s="26"/>
    </row>
    <row r="199" spans="2:129" hidden="1" outlineLevel="1">
      <c r="B199" s="964" t="s">
        <v>971</v>
      </c>
      <c r="N199" s="195">
        <f t="shared" ref="N199:S199" si="673">SUM(N197:N198)</f>
        <v>32.09564930679926</v>
      </c>
      <c r="O199" s="195">
        <f t="shared" si="673"/>
        <v>15.969017685213508</v>
      </c>
      <c r="P199" s="195">
        <f t="shared" si="673"/>
        <v>13.005073809537693</v>
      </c>
      <c r="Q199" s="195">
        <f t="shared" si="673"/>
        <v>16.145158202547439</v>
      </c>
      <c r="R199" s="195">
        <f t="shared" si="673"/>
        <v>16.475103424223196</v>
      </c>
      <c r="S199" s="195">
        <f t="shared" si="673"/>
        <v>15.183746954520894</v>
      </c>
      <c r="T199" s="195">
        <f t="shared" ref="T199:Z199" si="674">SUM(T197:T198)</f>
        <v>16.345431166451842</v>
      </c>
      <c r="U199" s="195">
        <f t="shared" si="674"/>
        <v>17.087187657629123</v>
      </c>
      <c r="V199" s="195">
        <f>SUM(V197:V198)</f>
        <v>15.855033919037361</v>
      </c>
      <c r="W199" s="195">
        <f>SUM(W197:W198)</f>
        <v>12.79384247086691</v>
      </c>
      <c r="X199" s="195">
        <f t="shared" si="674"/>
        <v>12.582516833815548</v>
      </c>
      <c r="Y199" s="195">
        <f t="shared" si="674"/>
        <v>12.647503358941956</v>
      </c>
      <c r="Z199" s="195">
        <f t="shared" si="674"/>
        <v>12.716160727940084</v>
      </c>
      <c r="AA199" s="195">
        <f t="shared" ref="AA199:AD199" si="675">SUM(AA197:AA198)</f>
        <v>12.790752597553581</v>
      </c>
      <c r="AB199" s="195">
        <f t="shared" si="675"/>
        <v>12.873336519415531</v>
      </c>
      <c r="AC199" s="195">
        <f t="shared" si="675"/>
        <v>12.965787060674991</v>
      </c>
      <c r="AD199" s="195">
        <f t="shared" si="675"/>
        <v>13.069816920536537</v>
      </c>
      <c r="AE199" s="54"/>
      <c r="AJ199" s="124"/>
      <c r="AK199" s="42"/>
      <c r="AP199" s="42"/>
      <c r="AU199" s="42"/>
      <c r="AZ199" s="42"/>
      <c r="BE199" s="42"/>
      <c r="BJ199" s="42"/>
      <c r="BO199" s="42"/>
      <c r="BT199" s="42"/>
      <c r="BY199" s="42"/>
      <c r="CD199" s="42"/>
      <c r="CE199" s="195">
        <v>4.0620000000000003</v>
      </c>
      <c r="CF199" s="195">
        <v>4.8920000000000003</v>
      </c>
      <c r="CG199" s="195">
        <v>14.096</v>
      </c>
      <c r="CH199" s="195">
        <f>SUM(CH197:CH198)</f>
        <v>8.1606630047288231</v>
      </c>
      <c r="CI199" s="1111">
        <f>SUM(CE199:CH199)</f>
        <v>31.210663004728822</v>
      </c>
      <c r="CJ199" s="195">
        <f t="shared" ref="CJ199:DB199" si="676">SUM(CJ197:CJ198)</f>
        <v>4.2801927735214464</v>
      </c>
      <c r="CK199" s="195">
        <f t="shared" si="676"/>
        <v>4.0702000694458853</v>
      </c>
      <c r="CL199" s="195">
        <f t="shared" si="676"/>
        <v>3.9419598150086932</v>
      </c>
      <c r="CM199" s="195">
        <f t="shared" si="676"/>
        <v>3.6872176452918852</v>
      </c>
      <c r="CN199" s="1111">
        <f t="shared" si="676"/>
        <v>15.979570303267911</v>
      </c>
      <c r="CO199" s="195">
        <f t="shared" si="676"/>
        <v>3.665940670747073</v>
      </c>
      <c r="CP199" s="195">
        <f t="shared" si="676"/>
        <v>3.7594510370084553</v>
      </c>
      <c r="CQ199" s="195">
        <f t="shared" si="676"/>
        <v>3.6330175712523034</v>
      </c>
      <c r="CR199" s="195">
        <f t="shared" si="676"/>
        <v>3.6003289346489513</v>
      </c>
      <c r="CS199" s="1111">
        <f t="shared" si="676"/>
        <v>14.658738213656783</v>
      </c>
      <c r="CT199" s="195">
        <f t="shared" si="676"/>
        <v>4.0183574874487791</v>
      </c>
      <c r="CU199" s="195">
        <f t="shared" si="676"/>
        <v>4.3941118244552992</v>
      </c>
      <c r="CV199" s="195">
        <f t="shared" si="676"/>
        <v>4.6361708307432128</v>
      </c>
      <c r="CW199" s="195">
        <f t="shared" si="676"/>
        <v>4.5900960960304769</v>
      </c>
      <c r="CX199" s="195">
        <f t="shared" si="676"/>
        <v>4.8309568981933957</v>
      </c>
      <c r="CY199" s="195">
        <f t="shared" si="676"/>
        <v>4.4912319116729487</v>
      </c>
      <c r="CZ199" s="195">
        <f t="shared" si="676"/>
        <v>4.1492361587010009</v>
      </c>
      <c r="DA199" s="195">
        <f t="shared" si="676"/>
        <v>4.047862568846484</v>
      </c>
      <c r="DB199" s="195">
        <f t="shared" si="676"/>
        <v>3.9488370818404084</v>
      </c>
      <c r="DC199" s="195">
        <f t="shared" ref="DC199:DI199" si="677">SUM(DC197:DC198)</f>
        <v>3.8521100477427348</v>
      </c>
      <c r="DD199" s="195">
        <f t="shared" si="677"/>
        <v>3.757632682317265</v>
      </c>
      <c r="DE199" s="195">
        <f t="shared" si="677"/>
        <v>4.0288809141059243</v>
      </c>
      <c r="DF199" s="195">
        <f t="shared" si="677"/>
        <v>4.0588301327939913</v>
      </c>
      <c r="DG199" s="195">
        <f t="shared" si="677"/>
        <v>3.9563097932833182</v>
      </c>
      <c r="DH199" s="195">
        <f t="shared" si="677"/>
        <v>3.8562877270237701</v>
      </c>
      <c r="DI199" s="195">
        <f t="shared" si="677"/>
        <v>4.433174470186982</v>
      </c>
      <c r="DJ199" s="195">
        <f t="shared" ref="DJ199:DM199" si="678">SUM(DJ197:DJ198)</f>
        <v>4.3177432304727716</v>
      </c>
      <c r="DK199" s="195">
        <f t="shared" si="678"/>
        <v>4.2052480081182466</v>
      </c>
      <c r="DL199" s="195">
        <f t="shared" si="678"/>
        <v>4.0956165301975664</v>
      </c>
      <c r="DM199" s="195">
        <f t="shared" si="678"/>
        <v>3.9887782177448203</v>
      </c>
      <c r="DN199" s="195">
        <f>SUM(DN197:DN198)</f>
        <v>3.8846641491620622</v>
      </c>
      <c r="DO199" s="195">
        <f>SUM(DO197:DO198)</f>
        <v>3.7832070242982985</v>
      </c>
      <c r="DP199" s="195">
        <f>SUM(DP197:DP198)</f>
        <v>3.6843411291921146</v>
      </c>
      <c r="DQ199" s="195">
        <f>SUM(DQ197:DQ198)</f>
        <v>3.5880023014704348</v>
      </c>
      <c r="DR199" s="195">
        <f t="shared" ref="DR199:DU199" si="679">SUM(DR197:DR198)</f>
        <v>3.026663737466353</v>
      </c>
      <c r="DS199" s="195">
        <f t="shared" si="679"/>
        <v>2.9948381391554189</v>
      </c>
      <c r="DT199" s="195">
        <f t="shared" si="679"/>
        <v>2.9634539337335557</v>
      </c>
      <c r="DU199" s="195">
        <f t="shared" si="679"/>
        <v>2.9325121503969789</v>
      </c>
      <c r="DV199" s="195"/>
      <c r="DW199" s="195"/>
      <c r="DX199" s="195"/>
      <c r="DY199" s="195"/>
    </row>
    <row r="200" spans="2:129" ht="12.75" hidden="1" customHeight="1" outlineLevel="1">
      <c r="B200" s="965"/>
      <c r="AE200" s="54"/>
      <c r="AJ200" s="124"/>
      <c r="AK200" s="42"/>
      <c r="AP200" s="42"/>
      <c r="AU200" s="42"/>
      <c r="AZ200" s="42"/>
      <c r="BE200" s="42"/>
      <c r="BJ200" s="42"/>
      <c r="BO200" s="42"/>
      <c r="BT200" s="42"/>
      <c r="BY200" s="42"/>
      <c r="CD200" s="42"/>
      <c r="CI200" s="42"/>
      <c r="CN200" s="42"/>
      <c r="CS200" s="42"/>
    </row>
    <row r="201" spans="2:129" ht="12.75" hidden="1" customHeight="1" outlineLevel="1">
      <c r="B201" s="957" t="s">
        <v>1433</v>
      </c>
      <c r="AE201" s="54"/>
      <c r="AJ201" s="124"/>
      <c r="AK201" s="42"/>
      <c r="AP201" s="42"/>
      <c r="AU201" s="42"/>
      <c r="AZ201" s="42"/>
      <c r="BE201" s="42"/>
      <c r="BJ201" s="42"/>
      <c r="BO201" s="42"/>
      <c r="BT201" s="42"/>
      <c r="BY201" s="42"/>
      <c r="CD201" s="42"/>
      <c r="CI201" s="42"/>
      <c r="CN201" s="42"/>
      <c r="CS201" s="42"/>
    </row>
    <row r="202" spans="2:129" ht="12.75" hidden="1" customHeight="1" outlineLevel="1">
      <c r="B202" s="958" t="s">
        <v>1434</v>
      </c>
      <c r="R202" s="54">
        <f>+SUM(CX202:DA202)</f>
        <v>0</v>
      </c>
      <c r="S202" s="54">
        <f>+SUM(DB202:DE202)</f>
        <v>332.8</v>
      </c>
      <c r="T202" s="54">
        <f>+SUM(DF202:DI202)</f>
        <v>0</v>
      </c>
      <c r="U202" s="54">
        <f>+SUM(DJ202:DM202)</f>
        <v>0</v>
      </c>
      <c r="V202" s="54">
        <f>+SUM(DN202:DQ202)</f>
        <v>0</v>
      </c>
      <c r="W202" s="54">
        <f>+SUM(DO202:DR202)</f>
        <v>0</v>
      </c>
      <c r="X202" s="398">
        <v>0</v>
      </c>
      <c r="Y202" s="398">
        <v>0</v>
      </c>
      <c r="Z202" s="398">
        <v>0</v>
      </c>
      <c r="AA202" s="398">
        <v>0</v>
      </c>
      <c r="AB202" s="398">
        <v>0</v>
      </c>
      <c r="AC202" s="398">
        <v>0</v>
      </c>
      <c r="AD202" s="398">
        <v>0</v>
      </c>
      <c r="AE202" s="195"/>
      <c r="AJ202" s="124"/>
      <c r="AK202" s="42"/>
      <c r="AP202" s="42"/>
      <c r="AU202" s="42"/>
      <c r="AZ202" s="42"/>
      <c r="BE202" s="42"/>
      <c r="BJ202" s="42"/>
      <c r="BO202" s="42"/>
      <c r="BT202" s="42"/>
      <c r="BY202" s="42"/>
      <c r="CD202" s="42"/>
      <c r="CI202" s="42"/>
      <c r="CN202" s="42"/>
      <c r="CS202" s="42"/>
      <c r="DE202" s="1002">
        <f>416*0.8</f>
        <v>332.8</v>
      </c>
      <c r="DF202" s="1002"/>
      <c r="DG202" s="1002"/>
      <c r="DH202" s="1002"/>
      <c r="DI202" s="1002"/>
      <c r="DJ202" s="1002"/>
      <c r="DK202" s="1002"/>
      <c r="DL202" s="1002"/>
      <c r="DM202" s="1002"/>
      <c r="DN202" s="1002"/>
      <c r="DO202" s="1002"/>
      <c r="DP202" s="1002"/>
      <c r="DQ202" s="1002"/>
      <c r="DR202" s="2101"/>
      <c r="DS202" s="2101"/>
      <c r="DT202" s="2101"/>
      <c r="DU202" s="2101"/>
    </row>
    <row r="203" spans="2:129" ht="12.75" hidden="1" customHeight="1" outlineLevel="1">
      <c r="B203" s="962" t="s">
        <v>388</v>
      </c>
      <c r="R203" s="1568">
        <f t="shared" ref="R203:Z203" si="680">+R187</f>
        <v>194.3125013855944</v>
      </c>
      <c r="S203" s="1568">
        <f t="shared" si="680"/>
        <v>189.40807870712067</v>
      </c>
      <c r="T203" s="1568">
        <f t="shared" si="680"/>
        <v>243.71802794354841</v>
      </c>
      <c r="U203" s="1568">
        <f t="shared" si="680"/>
        <v>295.60000000000002</v>
      </c>
      <c r="V203" s="1568">
        <f>+V187</f>
        <v>295.60000000000002</v>
      </c>
      <c r="W203" s="1568">
        <f>+W187</f>
        <v>297.81700000000001</v>
      </c>
      <c r="X203" s="1568">
        <f t="shared" si="680"/>
        <v>333.55504000000002</v>
      </c>
      <c r="Y203" s="1568">
        <f t="shared" si="680"/>
        <v>373.58164480000005</v>
      </c>
      <c r="Z203" s="1568">
        <f t="shared" si="680"/>
        <v>418.41144217600009</v>
      </c>
      <c r="AA203" s="1568">
        <f t="shared" ref="AA203:AD203" si="681">+AA187</f>
        <v>468.62081523712015</v>
      </c>
      <c r="AB203" s="1568">
        <f t="shared" si="681"/>
        <v>524.85531306557459</v>
      </c>
      <c r="AC203" s="1568">
        <f t="shared" si="681"/>
        <v>587.8379506334436</v>
      </c>
      <c r="AD203" s="1568">
        <f t="shared" si="681"/>
        <v>658.37850470945693</v>
      </c>
      <c r="AE203" s="1568"/>
      <c r="AJ203" s="124"/>
      <c r="AK203" s="42"/>
      <c r="AP203" s="42"/>
      <c r="AU203" s="42"/>
      <c r="AZ203" s="42"/>
      <c r="BE203" s="42"/>
      <c r="BJ203" s="42"/>
      <c r="BO203" s="42"/>
      <c r="BT203" s="42"/>
      <c r="BY203" s="42"/>
      <c r="CD203" s="42"/>
      <c r="CI203" s="42"/>
      <c r="CN203" s="42"/>
      <c r="CS203" s="42"/>
      <c r="DE203" s="1568">
        <f>+DE187</f>
        <v>214.16375935973272</v>
      </c>
      <c r="DF203" s="1568"/>
      <c r="DG203" s="1568"/>
      <c r="DH203" s="1568"/>
      <c r="DI203" s="1568"/>
      <c r="DJ203" s="1568"/>
      <c r="DK203" s="1568"/>
      <c r="DL203" s="1568"/>
      <c r="DM203" s="1568"/>
      <c r="DN203" s="1568"/>
      <c r="DO203" s="1568"/>
      <c r="DP203" s="1568"/>
      <c r="DQ203" s="1568"/>
      <c r="DR203" s="956">
        <f t="shared" ref="DR203:DU203" si="682">+DR187</f>
        <v>304.46800000000002</v>
      </c>
      <c r="DS203" s="956">
        <f t="shared" si="682"/>
        <v>313.60204000000004</v>
      </c>
      <c r="DT203" s="956">
        <f t="shared" si="682"/>
        <v>323.01010120000007</v>
      </c>
      <c r="DU203" s="956">
        <f t="shared" si="682"/>
        <v>332.70040423600005</v>
      </c>
    </row>
    <row r="204" spans="2:129" ht="12.75" hidden="1" customHeight="1" outlineLevel="1">
      <c r="B204" s="958" t="s">
        <v>1435</v>
      </c>
      <c r="R204" s="885">
        <f>+SUM(CX204:DA204)</f>
        <v>0</v>
      </c>
      <c r="S204" s="885">
        <f>+SUM(DB204:DE204)</f>
        <v>1.5539510559346923</v>
      </c>
      <c r="T204" s="885">
        <f>+SUM(DF204:DI204)</f>
        <v>0</v>
      </c>
      <c r="U204" s="885">
        <f>+SUM(DJ204:DM204)</f>
        <v>0</v>
      </c>
      <c r="V204" s="885">
        <f>+SUM(DN204:DQ204)</f>
        <v>0</v>
      </c>
      <c r="W204" s="885">
        <f>+SUM(DO204:DR204)</f>
        <v>0</v>
      </c>
      <c r="X204" s="885">
        <f>+X202/X203</f>
        <v>0</v>
      </c>
      <c r="Y204" s="885">
        <f>+Y202/Y203</f>
        <v>0</v>
      </c>
      <c r="Z204" s="885">
        <f>+Z202/Z203</f>
        <v>0</v>
      </c>
      <c r="AA204" s="885">
        <f t="shared" ref="AA204:AD204" si="683">+AA202/AA203</f>
        <v>0</v>
      </c>
      <c r="AB204" s="885">
        <f t="shared" si="683"/>
        <v>0</v>
      </c>
      <c r="AC204" s="885">
        <f t="shared" si="683"/>
        <v>0</v>
      </c>
      <c r="AD204" s="885">
        <f t="shared" si="683"/>
        <v>0</v>
      </c>
      <c r="AE204" s="885"/>
      <c r="AF204" s="885"/>
      <c r="AG204" s="885"/>
      <c r="AH204" s="885"/>
      <c r="AI204" s="885"/>
      <c r="AJ204" s="1737"/>
      <c r="AK204" s="1738"/>
      <c r="AL204" s="885"/>
      <c r="AM204" s="885"/>
      <c r="AN204" s="885"/>
      <c r="AO204" s="885"/>
      <c r="AP204" s="1738"/>
      <c r="AQ204" s="885"/>
      <c r="AR204" s="885"/>
      <c r="AS204" s="885"/>
      <c r="AT204" s="885"/>
      <c r="AU204" s="1738"/>
      <c r="AV204" s="885"/>
      <c r="AW204" s="885"/>
      <c r="AX204" s="885"/>
      <c r="AY204" s="885"/>
      <c r="AZ204" s="1738"/>
      <c r="BA204" s="885"/>
      <c r="BB204" s="885"/>
      <c r="BC204" s="885"/>
      <c r="BD204" s="885"/>
      <c r="BE204" s="1738"/>
      <c r="BF204" s="885"/>
      <c r="BG204" s="885"/>
      <c r="BH204" s="885"/>
      <c r="BI204" s="885"/>
      <c r="BJ204" s="1738"/>
      <c r="BK204" s="885"/>
      <c r="BL204" s="885"/>
      <c r="BM204" s="885"/>
      <c r="BN204" s="885"/>
      <c r="BO204" s="1738"/>
      <c r="BP204" s="885"/>
      <c r="BQ204" s="885"/>
      <c r="BR204" s="885"/>
      <c r="BS204" s="885"/>
      <c r="BT204" s="1738"/>
      <c r="BU204" s="885"/>
      <c r="BV204" s="885"/>
      <c r="BW204" s="885"/>
      <c r="BX204" s="885"/>
      <c r="BY204" s="1738"/>
      <c r="BZ204" s="885"/>
      <c r="CA204" s="885"/>
      <c r="CB204" s="885"/>
      <c r="CC204" s="885"/>
      <c r="CD204" s="1738"/>
      <c r="CE204" s="885"/>
      <c r="CF204" s="885"/>
      <c r="CG204" s="885"/>
      <c r="CH204" s="885"/>
      <c r="CI204" s="1738"/>
      <c r="CJ204" s="885"/>
      <c r="CK204" s="885"/>
      <c r="CL204" s="885"/>
      <c r="CM204" s="885"/>
      <c r="CN204" s="1738"/>
      <c r="CO204" s="885"/>
      <c r="CP204" s="885"/>
      <c r="CQ204" s="885"/>
      <c r="CR204" s="885"/>
      <c r="CS204" s="1738"/>
      <c r="CT204" s="885"/>
      <c r="CU204" s="885"/>
      <c r="CV204" s="885"/>
      <c r="CW204" s="885"/>
      <c r="CX204" s="885"/>
      <c r="CY204" s="885"/>
      <c r="CZ204" s="885"/>
      <c r="DA204" s="885"/>
      <c r="DB204" s="885"/>
      <c r="DC204" s="885"/>
      <c r="DD204" s="885"/>
      <c r="DE204" s="885">
        <f>+DE202/DE203</f>
        <v>1.5539510559346923</v>
      </c>
      <c r="DF204" s="885"/>
      <c r="DG204" s="885"/>
      <c r="DH204" s="885"/>
      <c r="DI204" s="885"/>
      <c r="DJ204" s="885"/>
      <c r="DK204" s="885"/>
      <c r="DL204" s="885"/>
      <c r="DM204" s="885"/>
      <c r="DN204" s="885"/>
      <c r="DO204" s="885"/>
      <c r="DP204" s="885"/>
      <c r="DQ204" s="885"/>
      <c r="DR204" s="885">
        <f t="shared" ref="DR204:DU204" si="684">+DR202/DR203</f>
        <v>0</v>
      </c>
      <c r="DS204" s="885">
        <f t="shared" si="684"/>
        <v>0</v>
      </c>
      <c r="DT204" s="885">
        <f t="shared" si="684"/>
        <v>0</v>
      </c>
      <c r="DU204" s="885">
        <f t="shared" si="684"/>
        <v>0</v>
      </c>
    </row>
    <row r="205" spans="2:129" ht="12.75" hidden="1" customHeight="1" outlineLevel="1">
      <c r="B205" s="958"/>
      <c r="R205" s="885"/>
      <c r="S205" s="885"/>
      <c r="T205" s="885"/>
      <c r="U205" s="885"/>
      <c r="V205" s="885"/>
      <c r="W205" s="885"/>
      <c r="X205" s="885"/>
      <c r="Y205" s="885"/>
      <c r="Z205" s="885"/>
      <c r="AA205" s="885"/>
      <c r="AB205" s="885"/>
      <c r="AC205" s="885"/>
      <c r="AD205" s="885"/>
      <c r="AE205" s="885"/>
      <c r="AF205" s="885"/>
      <c r="AG205" s="885"/>
      <c r="AH205" s="885"/>
      <c r="AI205" s="885"/>
      <c r="AJ205" s="1737"/>
      <c r="AK205" s="1738"/>
      <c r="AL205" s="885"/>
      <c r="AM205" s="885"/>
      <c r="AN205" s="885"/>
      <c r="AO205" s="885"/>
      <c r="AP205" s="1738"/>
      <c r="AQ205" s="885"/>
      <c r="AR205" s="885"/>
      <c r="AS205" s="885"/>
      <c r="AT205" s="885"/>
      <c r="AU205" s="1738"/>
      <c r="AV205" s="885"/>
      <c r="AW205" s="885"/>
      <c r="AX205" s="885"/>
      <c r="AY205" s="885"/>
      <c r="AZ205" s="1738"/>
      <c r="BA205" s="885"/>
      <c r="BB205" s="885"/>
      <c r="BC205" s="885"/>
      <c r="BD205" s="885"/>
      <c r="BE205" s="1738"/>
      <c r="BF205" s="885"/>
      <c r="BG205" s="885"/>
      <c r="BH205" s="885"/>
      <c r="BI205" s="885"/>
      <c r="BJ205" s="1738"/>
      <c r="BK205" s="885"/>
      <c r="BL205" s="885"/>
      <c r="BM205" s="885"/>
      <c r="BN205" s="885"/>
      <c r="BO205" s="1738"/>
      <c r="BP205" s="885"/>
      <c r="BQ205" s="885"/>
      <c r="BR205" s="885"/>
      <c r="BS205" s="885"/>
      <c r="BT205" s="1738"/>
      <c r="BU205" s="885"/>
      <c r="BV205" s="885"/>
      <c r="BW205" s="885"/>
      <c r="BX205" s="885"/>
      <c r="BY205" s="1738"/>
      <c r="BZ205" s="885"/>
      <c r="CA205" s="885"/>
      <c r="CB205" s="885"/>
      <c r="CC205" s="885"/>
      <c r="CD205" s="1738"/>
      <c r="CE205" s="885"/>
      <c r="CF205" s="885"/>
      <c r="CG205" s="885"/>
      <c r="CH205" s="885"/>
      <c r="CI205" s="1738"/>
      <c r="CJ205" s="885"/>
      <c r="CK205" s="885"/>
      <c r="CL205" s="885"/>
      <c r="CM205" s="885"/>
      <c r="CN205" s="1738"/>
      <c r="CO205" s="885"/>
      <c r="CP205" s="885"/>
      <c r="CQ205" s="885"/>
      <c r="CR205" s="885"/>
      <c r="CS205" s="1738"/>
      <c r="CT205" s="885"/>
      <c r="CU205" s="885"/>
      <c r="CV205" s="885"/>
      <c r="CW205" s="885"/>
      <c r="CX205" s="885"/>
      <c r="CY205" s="885"/>
      <c r="CZ205" s="885"/>
      <c r="DA205" s="885"/>
      <c r="DB205" s="885"/>
      <c r="DC205" s="885"/>
      <c r="DD205" s="885"/>
      <c r="DE205" s="885"/>
      <c r="DF205" s="885"/>
      <c r="DG205" s="885"/>
      <c r="DH205" s="885"/>
      <c r="DI205" s="885"/>
      <c r="DJ205" s="885"/>
      <c r="DK205" s="885"/>
      <c r="DL205" s="885"/>
      <c r="DM205" s="885"/>
      <c r="DN205" s="885"/>
      <c r="DO205" s="885"/>
      <c r="DP205" s="885"/>
      <c r="DQ205" s="885"/>
      <c r="DR205" s="885"/>
      <c r="DS205" s="885"/>
      <c r="DT205" s="885"/>
      <c r="DU205" s="885"/>
    </row>
    <row r="206" spans="2:129" ht="12.75" hidden="1" customHeight="1" outlineLevel="1">
      <c r="B206" s="1980" t="s">
        <v>352</v>
      </c>
      <c r="R206" s="885"/>
      <c r="S206" s="885"/>
      <c r="T206" s="885"/>
      <c r="U206" s="885"/>
      <c r="V206" s="885"/>
      <c r="W206" s="885"/>
      <c r="X206" s="885"/>
      <c r="Y206" s="885"/>
      <c r="Z206" s="885"/>
      <c r="AA206" s="885"/>
      <c r="AB206" s="885"/>
      <c r="AC206" s="885"/>
      <c r="AD206" s="885"/>
      <c r="AE206" s="885"/>
      <c r="AF206" s="885"/>
      <c r="AG206" s="885"/>
      <c r="AH206" s="885"/>
      <c r="AI206" s="885"/>
      <c r="AJ206" s="1737"/>
      <c r="AK206" s="1738"/>
      <c r="AL206" s="885"/>
      <c r="AM206" s="885"/>
      <c r="AN206" s="885"/>
      <c r="AO206" s="885"/>
      <c r="AP206" s="1738"/>
      <c r="AQ206" s="885"/>
      <c r="AR206" s="885"/>
      <c r="AS206" s="885"/>
      <c r="AT206" s="885"/>
      <c r="AU206" s="1738"/>
      <c r="AV206" s="885"/>
      <c r="AW206" s="885"/>
      <c r="AX206" s="885"/>
      <c r="AY206" s="885"/>
      <c r="AZ206" s="1738"/>
      <c r="BA206" s="885"/>
      <c r="BB206" s="885"/>
      <c r="BC206" s="885"/>
      <c r="BD206" s="885"/>
      <c r="BE206" s="1738"/>
      <c r="BF206" s="885"/>
      <c r="BG206" s="885"/>
      <c r="BH206" s="885"/>
      <c r="BI206" s="885"/>
      <c r="BJ206" s="1738"/>
      <c r="BK206" s="885"/>
      <c r="BL206" s="885"/>
      <c r="BM206" s="885"/>
      <c r="BN206" s="885"/>
      <c r="BO206" s="1738"/>
      <c r="BP206" s="885"/>
      <c r="BQ206" s="885"/>
      <c r="BR206" s="885"/>
      <c r="BS206" s="885"/>
      <c r="BT206" s="1738"/>
      <c r="BU206" s="885"/>
      <c r="BV206" s="885"/>
      <c r="BW206" s="885"/>
      <c r="BX206" s="885"/>
      <c r="BY206" s="1738"/>
      <c r="BZ206" s="885"/>
      <c r="CA206" s="885"/>
      <c r="CB206" s="885"/>
      <c r="CC206" s="885"/>
      <c r="CD206" s="1738"/>
      <c r="CE206" s="885"/>
      <c r="CF206" s="885"/>
      <c r="CG206" s="885"/>
      <c r="CH206" s="885"/>
      <c r="CI206" s="1738"/>
      <c r="CJ206" s="885"/>
      <c r="CK206" s="885"/>
      <c r="CL206" s="885"/>
      <c r="CM206" s="885"/>
      <c r="CN206" s="1738"/>
      <c r="CO206" s="885"/>
      <c r="CP206" s="885"/>
      <c r="CQ206" s="885"/>
      <c r="CR206" s="885"/>
      <c r="CS206" s="1738"/>
      <c r="CT206" s="885"/>
      <c r="CU206" s="885"/>
      <c r="CV206" s="885"/>
      <c r="CW206" s="885"/>
      <c r="CX206" s="885"/>
      <c r="CY206" s="885"/>
      <c r="CZ206" s="885"/>
      <c r="DA206" s="885"/>
      <c r="DB206" s="885"/>
      <c r="DC206" s="885"/>
      <c r="DD206" s="885"/>
      <c r="DE206" s="885"/>
      <c r="DF206" s="885"/>
      <c r="DG206" s="885"/>
      <c r="DH206" s="885"/>
      <c r="DI206" s="885"/>
      <c r="DJ206" s="885"/>
      <c r="DK206" s="885"/>
      <c r="DL206" s="885"/>
      <c r="DM206" s="885"/>
      <c r="DN206" s="885"/>
      <c r="DO206" s="885"/>
      <c r="DP206" s="885"/>
      <c r="DQ206" s="885"/>
      <c r="DR206" s="885"/>
      <c r="DS206" s="885"/>
      <c r="DT206" s="885"/>
      <c r="DU206" s="885"/>
    </row>
    <row r="207" spans="2:129" ht="12.75" hidden="1" customHeight="1" outlineLevel="1">
      <c r="B207" s="958" t="s">
        <v>1435</v>
      </c>
      <c r="R207" s="885"/>
      <c r="S207" s="885">
        <f>+SUM(DB207:DE207)</f>
        <v>3.5440740000000002</v>
      </c>
      <c r="T207" s="885">
        <f>+SUM(DF207:DI207)</f>
        <v>0</v>
      </c>
      <c r="U207" s="885">
        <f>+SUM(DJ207:DM207)</f>
        <v>1.960896</v>
      </c>
      <c r="V207" s="885">
        <f>+SUM(DN207:DQ207)</f>
        <v>0</v>
      </c>
      <c r="W207" s="885">
        <f>+SUM(DO207:DR207)</f>
        <v>0</v>
      </c>
      <c r="X207" s="885"/>
      <c r="Y207" s="885"/>
      <c r="Z207" s="885"/>
      <c r="AA207" s="885"/>
      <c r="AB207" s="885"/>
      <c r="AC207" s="885"/>
      <c r="AD207" s="885"/>
      <c r="AE207" s="885"/>
      <c r="AF207" s="885"/>
      <c r="AG207" s="885"/>
      <c r="AH207" s="885"/>
      <c r="AI207" s="885"/>
      <c r="AJ207" s="1737"/>
      <c r="AK207" s="1738"/>
      <c r="AL207" s="885"/>
      <c r="AM207" s="885"/>
      <c r="AN207" s="885"/>
      <c r="AO207" s="885"/>
      <c r="AP207" s="1738"/>
      <c r="AQ207" s="885"/>
      <c r="AR207" s="885"/>
      <c r="AS207" s="885"/>
      <c r="AT207" s="885"/>
      <c r="AU207" s="1738"/>
      <c r="AV207" s="885"/>
      <c r="AW207" s="885"/>
      <c r="AX207" s="885"/>
      <c r="AY207" s="885"/>
      <c r="AZ207" s="1738"/>
      <c r="BA207" s="885"/>
      <c r="BB207" s="885"/>
      <c r="BC207" s="885"/>
      <c r="BD207" s="885"/>
      <c r="BE207" s="1738"/>
      <c r="BF207" s="885"/>
      <c r="BG207" s="885"/>
      <c r="BH207" s="885"/>
      <c r="BI207" s="885"/>
      <c r="BJ207" s="1738"/>
      <c r="BK207" s="885"/>
      <c r="BL207" s="885"/>
      <c r="BM207" s="885"/>
      <c r="BN207" s="885"/>
      <c r="BO207" s="1738"/>
      <c r="BP207" s="885"/>
      <c r="BQ207" s="885"/>
      <c r="BR207" s="885"/>
      <c r="BS207" s="885"/>
      <c r="BT207" s="1738"/>
      <c r="BU207" s="885"/>
      <c r="BV207" s="885"/>
      <c r="BW207" s="885"/>
      <c r="BX207" s="885"/>
      <c r="BY207" s="1738"/>
      <c r="BZ207" s="885"/>
      <c r="CA207" s="885"/>
      <c r="CB207" s="885"/>
      <c r="CC207" s="885"/>
      <c r="CD207" s="1738"/>
      <c r="CE207" s="885"/>
      <c r="CF207" s="885"/>
      <c r="CG207" s="885"/>
      <c r="CH207" s="885"/>
      <c r="CI207" s="1738"/>
      <c r="CJ207" s="885"/>
      <c r="CK207" s="885"/>
      <c r="CL207" s="885"/>
      <c r="CM207" s="885"/>
      <c r="CN207" s="1738"/>
      <c r="CO207" s="885"/>
      <c r="CP207" s="885"/>
      <c r="CQ207" s="885"/>
      <c r="CR207" s="885"/>
      <c r="CS207" s="1738"/>
      <c r="CT207" s="885"/>
      <c r="CU207" s="885"/>
      <c r="CV207" s="885"/>
      <c r="CW207" s="885"/>
      <c r="CX207" s="885"/>
      <c r="CY207" s="885"/>
      <c r="CZ207" s="885"/>
      <c r="DA207" s="885"/>
      <c r="DB207" s="885"/>
      <c r="DC207" s="1981">
        <v>1.9485779999999999</v>
      </c>
      <c r="DD207" s="1981"/>
      <c r="DE207" s="1981">
        <v>1.595496</v>
      </c>
      <c r="DF207" s="1981"/>
      <c r="DG207" s="1981"/>
      <c r="DH207" s="1981"/>
      <c r="DI207" s="1981"/>
      <c r="DJ207" s="2320">
        <v>1.960896</v>
      </c>
      <c r="DK207" s="1981"/>
      <c r="DL207" s="1981"/>
      <c r="DM207" s="1981"/>
      <c r="DN207" s="1981"/>
      <c r="DO207" s="1981"/>
      <c r="DP207" s="1981"/>
      <c r="DQ207" s="1981"/>
      <c r="DR207" s="1981"/>
      <c r="DS207" s="1981"/>
      <c r="DT207" s="1981"/>
      <c r="DU207" s="1981"/>
      <c r="DV207" s="885"/>
    </row>
    <row r="208" spans="2:129" ht="12.75" hidden="1" customHeight="1" outlineLevel="1">
      <c r="B208" s="958" t="s">
        <v>353</v>
      </c>
      <c r="R208" s="885"/>
      <c r="S208" s="885">
        <f>+SUM(DB208:DE208)</f>
        <v>390.59899999999999</v>
      </c>
      <c r="T208" s="885">
        <f>+SUM(DF208:DI208)</f>
        <v>0</v>
      </c>
      <c r="U208" s="885">
        <f>+SUM(DJ208:DM208)</f>
        <v>1.8</v>
      </c>
      <c r="V208" s="885">
        <f>+SUM(DN208:DQ208)</f>
        <v>0</v>
      </c>
      <c r="W208" s="885">
        <f>+SUM(DO208:DR208)</f>
        <v>0</v>
      </c>
      <c r="X208" s="885"/>
      <c r="Y208" s="885"/>
      <c r="Z208" s="885"/>
      <c r="AA208" s="885"/>
      <c r="AB208" s="885"/>
      <c r="AC208" s="885"/>
      <c r="AD208" s="885"/>
      <c r="AE208" s="885"/>
      <c r="AF208" s="885"/>
      <c r="AG208" s="885"/>
      <c r="AH208" s="885"/>
      <c r="AI208" s="885"/>
      <c r="AJ208" s="1737"/>
      <c r="AK208" s="1738"/>
      <c r="AL208" s="885"/>
      <c r="AM208" s="885"/>
      <c r="AN208" s="885"/>
      <c r="AO208" s="885"/>
      <c r="AP208" s="1738"/>
      <c r="AQ208" s="885"/>
      <c r="AR208" s="885"/>
      <c r="AS208" s="885"/>
      <c r="AT208" s="885"/>
      <c r="AU208" s="1738"/>
      <c r="AV208" s="885"/>
      <c r="AW208" s="885"/>
      <c r="AX208" s="885"/>
      <c r="AY208" s="885"/>
      <c r="AZ208" s="1738"/>
      <c r="BA208" s="885"/>
      <c r="BB208" s="885"/>
      <c r="BC208" s="885"/>
      <c r="BD208" s="885"/>
      <c r="BE208" s="1738"/>
      <c r="BF208" s="885"/>
      <c r="BG208" s="885"/>
      <c r="BH208" s="885"/>
      <c r="BI208" s="885"/>
      <c r="BJ208" s="1738"/>
      <c r="BK208" s="885"/>
      <c r="BL208" s="885"/>
      <c r="BM208" s="885"/>
      <c r="BN208" s="885"/>
      <c r="BO208" s="1738"/>
      <c r="BP208" s="885"/>
      <c r="BQ208" s="885"/>
      <c r="BR208" s="885"/>
      <c r="BS208" s="885"/>
      <c r="BT208" s="1738"/>
      <c r="BU208" s="885"/>
      <c r="BV208" s="885"/>
      <c r="BW208" s="885"/>
      <c r="BX208" s="885"/>
      <c r="BY208" s="1738"/>
      <c r="BZ208" s="885"/>
      <c r="CA208" s="885"/>
      <c r="CB208" s="885"/>
      <c r="CC208" s="885"/>
      <c r="CD208" s="1738"/>
      <c r="CE208" s="885"/>
      <c r="CF208" s="885"/>
      <c r="CG208" s="885"/>
      <c r="CH208" s="885"/>
      <c r="CI208" s="1738"/>
      <c r="CJ208" s="885"/>
      <c r="CK208" s="885"/>
      <c r="CL208" s="885"/>
      <c r="CM208" s="885"/>
      <c r="CN208" s="1738"/>
      <c r="CO208" s="885"/>
      <c r="CP208" s="885"/>
      <c r="CQ208" s="885"/>
      <c r="CR208" s="885"/>
      <c r="CS208" s="1738"/>
      <c r="CT208" s="885"/>
      <c r="CU208" s="885"/>
      <c r="CV208" s="885"/>
      <c r="CW208" s="885"/>
      <c r="CX208" s="885"/>
      <c r="CY208" s="885"/>
      <c r="CZ208" s="885"/>
      <c r="DA208" s="885"/>
      <c r="DB208" s="885"/>
      <c r="DC208" s="2104">
        <f>-Capital!CK34-5.387</f>
        <v>211.81200000000001</v>
      </c>
      <c r="DD208" s="2104"/>
      <c r="DE208" s="2123">
        <f>-Capital!CM34</f>
        <v>178.78699999999998</v>
      </c>
      <c r="DF208" s="2123"/>
      <c r="DG208" s="2123"/>
      <c r="DH208" s="2123"/>
      <c r="DI208" s="2123"/>
      <c r="DJ208" s="2321">
        <f>-Capital!CR229</f>
        <v>1.8</v>
      </c>
      <c r="DK208" s="2085"/>
      <c r="DL208" s="2085"/>
      <c r="DM208" s="2085"/>
      <c r="DN208" s="2085"/>
      <c r="DO208" s="2085"/>
      <c r="DP208" s="2085"/>
      <c r="DQ208" s="2085"/>
      <c r="DR208" s="2085"/>
      <c r="DS208" s="2085"/>
      <c r="DT208" s="2085"/>
      <c r="DU208" s="2085"/>
    </row>
    <row r="209" spans="2:129" ht="12.75" hidden="1" customHeight="1" outlineLevel="1">
      <c r="B209" s="965"/>
      <c r="AE209" s="54"/>
      <c r="AJ209" s="124"/>
      <c r="AK209" s="42"/>
      <c r="AP209" s="42"/>
      <c r="AU209" s="42"/>
      <c r="AZ209" s="42"/>
      <c r="BE209" s="42"/>
      <c r="BJ209" s="42"/>
      <c r="BO209" s="42"/>
      <c r="BT209" s="42"/>
      <c r="BY209" s="42"/>
      <c r="CD209" s="42"/>
      <c r="CI209" s="42"/>
      <c r="CN209" s="42"/>
      <c r="CS209" s="42"/>
    </row>
    <row r="210" spans="2:129" ht="12.75" hidden="1" customHeight="1" outlineLevel="1">
      <c r="B210" s="957" t="s">
        <v>959</v>
      </c>
      <c r="AE210" s="54"/>
      <c r="AJ210" s="124"/>
      <c r="AK210" s="42"/>
      <c r="AP210" s="42"/>
      <c r="AU210" s="42"/>
      <c r="AZ210" s="42"/>
      <c r="BE210" s="42"/>
      <c r="BJ210" s="42"/>
      <c r="BO210" s="42"/>
      <c r="BT210" s="42"/>
      <c r="BY210" s="42"/>
      <c r="CD210" s="42"/>
      <c r="CI210" s="42"/>
      <c r="CN210" s="42"/>
      <c r="CS210" s="42"/>
    </row>
    <row r="211" spans="2:129" ht="12.75" hidden="1" customHeight="1" outlineLevel="1">
      <c r="B211" s="958" t="s">
        <v>960</v>
      </c>
      <c r="K211" s="15">
        <f>J218</f>
        <v>0</v>
      </c>
      <c r="M211" s="26">
        <f>CD211</f>
        <v>3.1309179999999999</v>
      </c>
      <c r="N211" s="26">
        <f t="shared" ref="N211:W211" si="685">M218</f>
        <v>2.5574529999999998</v>
      </c>
      <c r="O211" s="26">
        <f t="shared" si="685"/>
        <v>1.8709709999999999</v>
      </c>
      <c r="P211" s="26">
        <f t="shared" si="685"/>
        <v>1.6563571740185099</v>
      </c>
      <c r="Q211" s="26">
        <f t="shared" si="685"/>
        <v>1.5072850283568442</v>
      </c>
      <c r="R211" s="26">
        <f t="shared" si="685"/>
        <v>1.3716293758047284</v>
      </c>
      <c r="S211" s="26">
        <f t="shared" si="685"/>
        <v>1.2481827319823029</v>
      </c>
      <c r="T211" s="26">
        <f t="shared" si="685"/>
        <v>1.1358462861038956</v>
      </c>
      <c r="U211" s="26">
        <f t="shared" si="685"/>
        <v>1.0336201203545448</v>
      </c>
      <c r="V211" s="26">
        <f t="shared" si="685"/>
        <v>0.94059430952263579</v>
      </c>
      <c r="W211" s="26">
        <f t="shared" si="685"/>
        <v>0.85594082166559859</v>
      </c>
      <c r="X211" s="26">
        <f>W218</f>
        <v>0.77890614771569477</v>
      </c>
      <c r="Y211" s="26">
        <f>X218</f>
        <v>0.72438271737559623</v>
      </c>
      <c r="Z211" s="26">
        <f>Y218</f>
        <v>0.67367592715930458</v>
      </c>
      <c r="AA211" s="26">
        <f t="shared" ref="AA211:AD211" si="686">Z218</f>
        <v>0.62651861225815331</v>
      </c>
      <c r="AB211" s="26">
        <f t="shared" si="686"/>
        <v>0.58266230940008257</v>
      </c>
      <c r="AC211" s="26">
        <f t="shared" si="686"/>
        <v>0.5418759477420767</v>
      </c>
      <c r="AD211" s="26">
        <f t="shared" si="686"/>
        <v>0.50394463140013135</v>
      </c>
      <c r="AE211" s="54"/>
      <c r="AJ211" s="124"/>
      <c r="AK211" s="42"/>
      <c r="AP211" s="42"/>
      <c r="AU211" s="42"/>
      <c r="AZ211" s="42"/>
      <c r="BE211" s="42"/>
      <c r="BJ211" s="42"/>
      <c r="BO211" s="42"/>
      <c r="BT211" s="42"/>
      <c r="BY211" s="42"/>
      <c r="CD211" s="1120">
        <v>3.1309179999999999</v>
      </c>
      <c r="CE211" s="26">
        <f>CD218</f>
        <v>2.5574529999999998</v>
      </c>
      <c r="CF211" s="26">
        <f>CE218</f>
        <v>2.4893671803553468</v>
      </c>
      <c r="CG211" s="26">
        <f>CF218</f>
        <v>2.4087209554954723</v>
      </c>
      <c r="CH211" s="26">
        <f>CG218</f>
        <v>2.1801124572794488</v>
      </c>
      <c r="CI211" s="1120">
        <f>CD218</f>
        <v>2.5574529999999998</v>
      </c>
      <c r="CJ211" s="26">
        <f>CI218</f>
        <v>1.8709709999999999</v>
      </c>
      <c r="CK211" s="26">
        <f>CJ218</f>
        <v>1.81484187</v>
      </c>
      <c r="CL211" s="26">
        <f>CK218</f>
        <v>1.7603966139</v>
      </c>
      <c r="CM211" s="26">
        <f>CL218</f>
        <v>1.7075847154829999</v>
      </c>
      <c r="CN211" s="1107">
        <f>CI218</f>
        <v>1.8709709999999999</v>
      </c>
      <c r="CO211" s="26">
        <f>CM218</f>
        <v>1.6563571740185099</v>
      </c>
      <c r="CP211" s="26">
        <f>CO218</f>
        <v>1.6066664587979547</v>
      </c>
      <c r="CQ211" s="26">
        <f>CP218</f>
        <v>1.5584664650340161</v>
      </c>
      <c r="CR211" s="26">
        <f>CQ218</f>
        <v>1.5117124710829957</v>
      </c>
      <c r="CS211" s="1107">
        <f>CM218</f>
        <v>1.6563571740185099</v>
      </c>
      <c r="CT211" s="26">
        <f t="shared" ref="CT211:DI211" si="687">CS218</f>
        <v>1.4663610969505056</v>
      </c>
      <c r="CU211" s="26">
        <f t="shared" si="687"/>
        <v>1.4223702640419904</v>
      </c>
      <c r="CV211" s="26">
        <f t="shared" si="687"/>
        <v>1.3796991561207308</v>
      </c>
      <c r="CW211" s="26">
        <f t="shared" si="687"/>
        <v>1.3383081814371089</v>
      </c>
      <c r="CX211" s="26">
        <f t="shared" si="687"/>
        <v>1.2981589359939956</v>
      </c>
      <c r="CY211" s="26">
        <f t="shared" si="687"/>
        <v>1.2592141679141757</v>
      </c>
      <c r="CZ211" s="26">
        <f t="shared" si="687"/>
        <v>1.2214377428767504</v>
      </c>
      <c r="DA211" s="26">
        <f t="shared" si="687"/>
        <v>1.1847946105904479</v>
      </c>
      <c r="DB211" s="26">
        <f t="shared" si="687"/>
        <v>1.1492507722727345</v>
      </c>
      <c r="DC211" s="26">
        <f t="shared" si="687"/>
        <v>1.1147732491045526</v>
      </c>
      <c r="DD211" s="26">
        <f t="shared" si="687"/>
        <v>1.0813300516314159</v>
      </c>
      <c r="DE211" s="26">
        <f t="shared" si="687"/>
        <v>1.0488901500824734</v>
      </c>
      <c r="DF211" s="26">
        <f t="shared" si="687"/>
        <v>1.0174234455799993</v>
      </c>
      <c r="DG211" s="26">
        <f t="shared" si="687"/>
        <v>0.98690074221259938</v>
      </c>
      <c r="DH211" s="26">
        <f t="shared" si="687"/>
        <v>0.95729371994622137</v>
      </c>
      <c r="DI211" s="26">
        <f t="shared" si="687"/>
        <v>0.92857490834783474</v>
      </c>
      <c r="DJ211" s="26">
        <f t="shared" ref="DJ211:DQ211" si="688">DI218</f>
        <v>0.9007176610973997</v>
      </c>
      <c r="DK211" s="26">
        <f t="shared" si="688"/>
        <v>0.87369613126447776</v>
      </c>
      <c r="DL211" s="26">
        <f t="shared" si="688"/>
        <v>0.8474852473265434</v>
      </c>
      <c r="DM211" s="26">
        <f t="shared" si="688"/>
        <v>0.82206068990674708</v>
      </c>
      <c r="DN211" s="26">
        <f t="shared" si="688"/>
        <v>0.79739886920954461</v>
      </c>
      <c r="DO211" s="26">
        <f t="shared" si="688"/>
        <v>0.77347690313325823</v>
      </c>
      <c r="DP211" s="26">
        <f t="shared" si="688"/>
        <v>0.75027259603926044</v>
      </c>
      <c r="DQ211" s="26">
        <f t="shared" si="688"/>
        <v>0.72776441815808268</v>
      </c>
      <c r="DR211" s="26">
        <f t="shared" ref="DR211" si="689">DQ218</f>
        <v>0.70593148561334018</v>
      </c>
      <c r="DS211" s="26">
        <f t="shared" ref="DS211" si="690">DR218</f>
        <v>0.68475354104494002</v>
      </c>
      <c r="DT211" s="26">
        <f t="shared" ref="DT211" si="691">DS218</f>
        <v>0.66421093481359184</v>
      </c>
      <c r="DU211" s="26">
        <f t="shared" ref="DU211" si="692">DT218</f>
        <v>0.64428460676918409</v>
      </c>
      <c r="DV211" s="26"/>
      <c r="DW211" s="26"/>
      <c r="DX211" s="26"/>
      <c r="DY211" s="26"/>
    </row>
    <row r="212" spans="2:129" hidden="1" outlineLevel="1">
      <c r="B212" s="962" t="s">
        <v>966</v>
      </c>
      <c r="K212" s="15">
        <v>1209870</v>
      </c>
      <c r="M212" s="26">
        <f>CD212</f>
        <v>8.8599999999999998E-2</v>
      </c>
      <c r="N212" s="26">
        <f>CI212</f>
        <v>0</v>
      </c>
      <c r="O212" s="26">
        <f>CN212</f>
        <v>7.1537941993829998E-2</v>
      </c>
      <c r="P212" s="26">
        <f t="shared" ref="P212:AD212" si="693">P213*P$211</f>
        <v>8.2817858700925506E-2</v>
      </c>
      <c r="Q212" s="26">
        <f t="shared" si="693"/>
        <v>7.5364251417842212E-2</v>
      </c>
      <c r="R212" s="26">
        <f t="shared" si="693"/>
        <v>6.8581468790236425E-2</v>
      </c>
      <c r="S212" s="26">
        <f t="shared" si="693"/>
        <v>6.240913659911515E-2</v>
      </c>
      <c r="T212" s="26">
        <f t="shared" si="693"/>
        <v>5.6792314305194783E-2</v>
      </c>
      <c r="U212" s="26">
        <f t="shared" si="693"/>
        <v>5.1681006017727238E-2</v>
      </c>
      <c r="V212" s="26">
        <f t="shared" si="693"/>
        <v>4.7029715476131793E-2</v>
      </c>
      <c r="W212" s="26">
        <f t="shared" si="693"/>
        <v>4.2797041083279933E-2</v>
      </c>
      <c r="X212" s="26">
        <f t="shared" si="693"/>
        <v>5.4523430340098641E-2</v>
      </c>
      <c r="Y212" s="26">
        <f t="shared" si="693"/>
        <v>5.0706790216291743E-2</v>
      </c>
      <c r="Z212" s="26">
        <f t="shared" si="693"/>
        <v>4.7157314901151326E-2</v>
      </c>
      <c r="AA212" s="26">
        <f t="shared" si="693"/>
        <v>4.3856302858070732E-2</v>
      </c>
      <c r="AB212" s="26">
        <f t="shared" si="693"/>
        <v>4.0786361658005782E-2</v>
      </c>
      <c r="AC212" s="26">
        <f t="shared" si="693"/>
        <v>3.7931316341945374E-2</v>
      </c>
      <c r="AD212" s="26">
        <f t="shared" si="693"/>
        <v>3.5276124198009198E-2</v>
      </c>
      <c r="AE212" s="54"/>
      <c r="AJ212" s="124"/>
      <c r="AK212" s="42"/>
      <c r="AP212" s="42"/>
      <c r="AU212" s="42"/>
      <c r="AZ212" s="42"/>
      <c r="BE212" s="42"/>
      <c r="BJ212" s="42"/>
      <c r="BO212" s="42"/>
      <c r="BT212" s="42"/>
      <c r="BY212" s="42"/>
      <c r="CD212" s="1120">
        <v>8.8599999999999998E-2</v>
      </c>
      <c r="CE212" s="26">
        <f>CE213*CE$211</f>
        <v>2.5574529999999998E-2</v>
      </c>
      <c r="CF212" s="26">
        <f>CF213*CF211</f>
        <v>2.4893671803553469E-2</v>
      </c>
      <c r="CG212" s="26">
        <f>CG213*CG211</f>
        <v>2.4087209554954723E-2</v>
      </c>
      <c r="CH212" s="26">
        <f>CH213*CH211</f>
        <v>2.1801124572794487E-2</v>
      </c>
      <c r="CI212" s="1120">
        <v>0</v>
      </c>
      <c r="CJ212" s="26">
        <f>CJ213*CJ$211</f>
        <v>1.8709710000000001E-2</v>
      </c>
      <c r="CK212" s="26">
        <f>CK213*CK211</f>
        <v>1.8148418699999998E-2</v>
      </c>
      <c r="CL212" s="26">
        <f>CL213*CL211</f>
        <v>1.7603966139000001E-2</v>
      </c>
      <c r="CM212" s="26">
        <f>CM213*CM211</f>
        <v>1.7075847154830001E-2</v>
      </c>
      <c r="CN212" s="1107">
        <f>SUM(CJ212:CM212)</f>
        <v>7.1537941993829998E-2</v>
      </c>
      <c r="CO212" s="26">
        <f>CO213*CO$211</f>
        <v>1.65635717401851E-2</v>
      </c>
      <c r="CP212" s="26">
        <f>CP213*CP211</f>
        <v>1.6066664587979548E-2</v>
      </c>
      <c r="CQ212" s="26">
        <f>CQ213*CQ211</f>
        <v>1.5584664650340162E-2</v>
      </c>
      <c r="CR212" s="26">
        <f>CR213*CR211</f>
        <v>1.5117124710829957E-2</v>
      </c>
      <c r="CS212" s="1107">
        <f>SUM(CO212:CR212)</f>
        <v>6.333202568933477E-2</v>
      </c>
      <c r="CT212" s="26">
        <f t="shared" ref="CT212:DB212" si="694">CT213*CT211</f>
        <v>1.4663610969505057E-2</v>
      </c>
      <c r="CU212" s="26">
        <f t="shared" si="694"/>
        <v>1.4223702640419904E-2</v>
      </c>
      <c r="CV212" s="26">
        <f t="shared" si="694"/>
        <v>1.3796991561207308E-2</v>
      </c>
      <c r="CW212" s="26">
        <f t="shared" si="694"/>
        <v>1.3383081814371089E-2</v>
      </c>
      <c r="CX212" s="26">
        <f t="shared" si="694"/>
        <v>1.2981589359939956E-2</v>
      </c>
      <c r="CY212" s="26">
        <f t="shared" si="694"/>
        <v>1.2592141679141758E-2</v>
      </c>
      <c r="CZ212" s="26">
        <f t="shared" si="694"/>
        <v>1.2214377428767504E-2</v>
      </c>
      <c r="DA212" s="26">
        <f t="shared" si="694"/>
        <v>1.1847946105904479E-2</v>
      </c>
      <c r="DB212" s="26">
        <f t="shared" si="694"/>
        <v>1.1492507722727346E-2</v>
      </c>
      <c r="DC212" s="26">
        <f t="shared" ref="DC212:DJ212" si="695">DC213*DC211</f>
        <v>1.1147732491045526E-2</v>
      </c>
      <c r="DD212" s="26">
        <f t="shared" si="695"/>
        <v>1.0813300516314159E-2</v>
      </c>
      <c r="DE212" s="26">
        <f t="shared" si="695"/>
        <v>1.0488901500824734E-2</v>
      </c>
      <c r="DF212" s="26">
        <f t="shared" si="695"/>
        <v>1.0174234455799994E-2</v>
      </c>
      <c r="DG212" s="26">
        <f t="shared" si="695"/>
        <v>9.8690074221259947E-3</v>
      </c>
      <c r="DH212" s="26">
        <f t="shared" si="695"/>
        <v>9.5729371994622142E-3</v>
      </c>
      <c r="DI212" s="26">
        <f t="shared" si="695"/>
        <v>9.2857490834783469E-3</v>
      </c>
      <c r="DJ212" s="26">
        <f t="shared" si="695"/>
        <v>9.0071766109739975E-3</v>
      </c>
      <c r="DK212" s="26">
        <f t="shared" ref="DK212:DM212" si="696">DK213*DK211</f>
        <v>8.7369613126447778E-3</v>
      </c>
      <c r="DL212" s="26">
        <f t="shared" si="696"/>
        <v>8.4748524732654335E-3</v>
      </c>
      <c r="DM212" s="26">
        <f t="shared" si="696"/>
        <v>8.2206068990674716E-3</v>
      </c>
      <c r="DN212" s="26">
        <f>DN213*DN211</f>
        <v>7.9739886920954465E-3</v>
      </c>
      <c r="DO212" s="26">
        <f>DO213*DO211</f>
        <v>7.7347690313325822E-3</v>
      </c>
      <c r="DP212" s="26">
        <f>DP213*DP211</f>
        <v>7.5027259603926049E-3</v>
      </c>
      <c r="DQ212" s="26">
        <f>DQ213*DQ211</f>
        <v>7.2776441815808265E-3</v>
      </c>
      <c r="DR212" s="26">
        <f t="shared" ref="DR212:DU212" si="697">DR213*DR211</f>
        <v>7.0593148561334017E-3</v>
      </c>
      <c r="DS212" s="26">
        <f t="shared" si="697"/>
        <v>6.8475354104494002E-3</v>
      </c>
      <c r="DT212" s="26">
        <f t="shared" si="697"/>
        <v>6.6421093481359187E-3</v>
      </c>
      <c r="DU212" s="26">
        <f t="shared" si="697"/>
        <v>6.4428460676918412E-3</v>
      </c>
      <c r="DV212" s="26"/>
      <c r="DW212" s="26"/>
      <c r="DX212" s="26"/>
      <c r="DY212" s="26"/>
    </row>
    <row r="213" spans="2:129" hidden="1" outlineLevel="1">
      <c r="B213" s="960" t="s">
        <v>961</v>
      </c>
      <c r="K213" s="38" t="e">
        <f>K212/J218</f>
        <v>#DIV/0!</v>
      </c>
      <c r="L213" s="38"/>
      <c r="M213" s="827">
        <f>M212/M$211</f>
        <v>2.8298409603828654E-2</v>
      </c>
      <c r="N213" s="827">
        <f>N212/N$211</f>
        <v>0</v>
      </c>
      <c r="O213" s="827">
        <f>O212/O$211</f>
        <v>3.8235730000000002E-2</v>
      </c>
      <c r="P213" s="967">
        <v>0.05</v>
      </c>
      <c r="Q213" s="967">
        <v>0.05</v>
      </c>
      <c r="R213" s="967">
        <v>0.05</v>
      </c>
      <c r="S213" s="967">
        <v>0.05</v>
      </c>
      <c r="T213" s="967">
        <v>0.05</v>
      </c>
      <c r="U213" s="967">
        <v>0.05</v>
      </c>
      <c r="V213" s="967">
        <v>0.05</v>
      </c>
      <c r="W213" s="967">
        <v>0.05</v>
      </c>
      <c r="X213" s="967">
        <v>7.0000000000000007E-2</v>
      </c>
      <c r="Y213" s="967">
        <v>7.0000000000000007E-2</v>
      </c>
      <c r="Z213" s="967">
        <v>7.0000000000000007E-2</v>
      </c>
      <c r="AA213" s="967">
        <v>7.0000000000000007E-2</v>
      </c>
      <c r="AB213" s="967">
        <v>7.0000000000000007E-2</v>
      </c>
      <c r="AC213" s="967">
        <v>7.0000000000000007E-2</v>
      </c>
      <c r="AD213" s="967">
        <v>7.0000000000000007E-2</v>
      </c>
      <c r="AE213" s="54"/>
      <c r="AJ213" s="124"/>
      <c r="AK213" s="42"/>
      <c r="AP213" s="42"/>
      <c r="AU213" s="42"/>
      <c r="AZ213" s="42"/>
      <c r="BE213" s="42"/>
      <c r="BJ213" s="42"/>
      <c r="BO213" s="42"/>
      <c r="BT213" s="42"/>
      <c r="BY213" s="42"/>
      <c r="CD213" s="1144">
        <f>CD212/CD$211</f>
        <v>2.8298409603828654E-2</v>
      </c>
      <c r="CE213" s="968">
        <v>0.01</v>
      </c>
      <c r="CF213" s="968">
        <v>0.01</v>
      </c>
      <c r="CG213" s="968">
        <v>0.01</v>
      </c>
      <c r="CH213" s="968">
        <v>0.01</v>
      </c>
      <c r="CI213" s="1144">
        <f>CI212/CI$211</f>
        <v>0</v>
      </c>
      <c r="CJ213" s="968">
        <v>0.01</v>
      </c>
      <c r="CK213" s="968">
        <v>0.01</v>
      </c>
      <c r="CL213" s="968">
        <v>0.01</v>
      </c>
      <c r="CM213" s="968">
        <v>0.01</v>
      </c>
      <c r="CN213" s="1144">
        <f>CN212/CN$211</f>
        <v>3.8235730000000002E-2</v>
      </c>
      <c r="CO213" s="968">
        <v>0.01</v>
      </c>
      <c r="CP213" s="968">
        <v>0.01</v>
      </c>
      <c r="CQ213" s="968">
        <v>0.01</v>
      </c>
      <c r="CR213" s="968">
        <v>0.01</v>
      </c>
      <c r="CS213" s="1144">
        <f>CS212/CS$211</f>
        <v>3.8235730000000009E-2</v>
      </c>
      <c r="CT213" s="968">
        <v>0.01</v>
      </c>
      <c r="CU213" s="968">
        <v>0.01</v>
      </c>
      <c r="CV213" s="968">
        <v>0.01</v>
      </c>
      <c r="CW213" s="968">
        <v>0.01</v>
      </c>
      <c r="CX213" s="968">
        <v>0.01</v>
      </c>
      <c r="CY213" s="968">
        <v>0.01</v>
      </c>
      <c r="CZ213" s="968">
        <v>0.01</v>
      </c>
      <c r="DA213" s="968">
        <v>0.01</v>
      </c>
      <c r="DB213" s="968">
        <v>0.01</v>
      </c>
      <c r="DC213" s="968">
        <v>0.01</v>
      </c>
      <c r="DD213" s="968">
        <v>0.01</v>
      </c>
      <c r="DE213" s="968">
        <v>0.01</v>
      </c>
      <c r="DF213" s="968">
        <v>0.01</v>
      </c>
      <c r="DG213" s="968">
        <v>0.01</v>
      </c>
      <c r="DH213" s="968">
        <v>0.01</v>
      </c>
      <c r="DI213" s="968">
        <v>0.01</v>
      </c>
      <c r="DJ213" s="968">
        <v>0.01</v>
      </c>
      <c r="DK213" s="968">
        <v>0.01</v>
      </c>
      <c r="DL213" s="968">
        <v>0.01</v>
      </c>
      <c r="DM213" s="968">
        <v>0.01</v>
      </c>
      <c r="DN213" s="968">
        <v>0.01</v>
      </c>
      <c r="DO213" s="968">
        <v>0.01</v>
      </c>
      <c r="DP213" s="968">
        <v>0.01</v>
      </c>
      <c r="DQ213" s="968">
        <v>0.01</v>
      </c>
      <c r="DR213" s="968">
        <v>0.01</v>
      </c>
      <c r="DS213" s="968">
        <v>0.01</v>
      </c>
      <c r="DT213" s="968">
        <v>0.01</v>
      </c>
      <c r="DU213" s="968">
        <v>0.01</v>
      </c>
      <c r="DV213" s="827"/>
      <c r="DW213" s="827"/>
      <c r="DX213" s="827"/>
      <c r="DY213" s="827"/>
    </row>
    <row r="214" spans="2:129" hidden="1" outlineLevel="1">
      <c r="B214" s="958" t="s">
        <v>962</v>
      </c>
      <c r="K214" s="15">
        <v>-1593697</v>
      </c>
      <c r="M214" s="26">
        <f>CD214</f>
        <v>0.51998699999999998</v>
      </c>
      <c r="N214" s="26">
        <f>CI214</f>
        <v>0.62162799999999996</v>
      </c>
      <c r="O214" s="26">
        <f>CN214</f>
        <v>0.21461382598148998</v>
      </c>
      <c r="P214" s="26">
        <f t="shared" ref="P214:AD214" si="698">P215*P$211</f>
        <v>0.16563571740185101</v>
      </c>
      <c r="Q214" s="26">
        <f t="shared" si="698"/>
        <v>0.15072850283568442</v>
      </c>
      <c r="R214" s="26">
        <f t="shared" si="698"/>
        <v>0.13716293758047285</v>
      </c>
      <c r="S214" s="26">
        <f t="shared" si="698"/>
        <v>0.1248182731982303</v>
      </c>
      <c r="T214" s="26">
        <f t="shared" si="698"/>
        <v>0.11358462861038957</v>
      </c>
      <c r="U214" s="26">
        <f t="shared" si="698"/>
        <v>0.10336201203545448</v>
      </c>
      <c r="V214" s="26">
        <f t="shared" si="698"/>
        <v>9.4059430952263587E-2</v>
      </c>
      <c r="W214" s="26">
        <f t="shared" si="698"/>
        <v>8.5594082166559865E-2</v>
      </c>
      <c r="X214" s="26">
        <f t="shared" si="698"/>
        <v>7.7890614771569486E-2</v>
      </c>
      <c r="Y214" s="26">
        <f t="shared" si="698"/>
        <v>7.2438271737559623E-2</v>
      </c>
      <c r="Z214" s="26">
        <f t="shared" si="698"/>
        <v>6.7367592715930458E-2</v>
      </c>
      <c r="AA214" s="26">
        <f t="shared" si="698"/>
        <v>6.2651861225815328E-2</v>
      </c>
      <c r="AB214" s="26">
        <f t="shared" si="698"/>
        <v>5.8266230940008261E-2</v>
      </c>
      <c r="AC214" s="26">
        <f t="shared" si="698"/>
        <v>5.4187594774207676E-2</v>
      </c>
      <c r="AD214" s="26">
        <f t="shared" si="698"/>
        <v>5.039446314001314E-2</v>
      </c>
      <c r="AE214" s="54"/>
      <c r="AJ214" s="124"/>
      <c r="AK214" s="42"/>
      <c r="AP214" s="42"/>
      <c r="AU214" s="42"/>
      <c r="AZ214" s="42"/>
      <c r="BE214" s="42"/>
      <c r="BJ214" s="42"/>
      <c r="BO214" s="42"/>
      <c r="BT214" s="42"/>
      <c r="BY214" s="42"/>
      <c r="CD214" s="1120">
        <v>0.51998699999999998</v>
      </c>
      <c r="CE214" s="26">
        <f>CE195</f>
        <v>6.8085819644653045E-2</v>
      </c>
      <c r="CF214" s="26">
        <f>CF195</f>
        <v>8.0646224859874716E-2</v>
      </c>
      <c r="CG214" s="26">
        <f>CG195</f>
        <v>0.22860849821602336</v>
      </c>
      <c r="CH214" s="26">
        <f>CH215*CH$211</f>
        <v>0.10900562286397245</v>
      </c>
      <c r="CI214" s="1120">
        <v>0.62162799999999996</v>
      </c>
      <c r="CJ214" s="26">
        <f>CJ215*CJ$211</f>
        <v>5.6129129999999999E-2</v>
      </c>
      <c r="CK214" s="26">
        <f>CK215*CK$211</f>
        <v>5.4445256099999999E-2</v>
      </c>
      <c r="CL214" s="26">
        <f>CL215*CL$211</f>
        <v>5.2811898417E-2</v>
      </c>
      <c r="CM214" s="26">
        <f>CM215*CM$211</f>
        <v>5.1227541464489997E-2</v>
      </c>
      <c r="CN214" s="1107">
        <f>SUM(CJ214:CM214)</f>
        <v>0.21461382598148998</v>
      </c>
      <c r="CO214" s="26">
        <f>CO215*CO$211</f>
        <v>4.9690715220555293E-2</v>
      </c>
      <c r="CP214" s="26">
        <f>CP215*CP$211</f>
        <v>4.8199993763938638E-2</v>
      </c>
      <c r="CQ214" s="26">
        <f>CQ215*CQ$211</f>
        <v>4.6753993951020478E-2</v>
      </c>
      <c r="CR214" s="26">
        <f>CR215*CR$211</f>
        <v>4.5351374132489866E-2</v>
      </c>
      <c r="CS214" s="1107">
        <f>SUM(CO214:CR214)</f>
        <v>0.18999607706800425</v>
      </c>
      <c r="CT214" s="26">
        <f t="shared" ref="CT214:DU214" si="699">CT215*CT$211</f>
        <v>4.3990832908515166E-2</v>
      </c>
      <c r="CU214" s="26">
        <f t="shared" si="699"/>
        <v>4.2671107921259707E-2</v>
      </c>
      <c r="CV214" s="26">
        <f t="shared" si="699"/>
        <v>4.139097468362192E-2</v>
      </c>
      <c r="CW214" s="26">
        <f t="shared" si="699"/>
        <v>4.0149245443113268E-2</v>
      </c>
      <c r="CX214" s="26">
        <f t="shared" si="699"/>
        <v>3.8944768079819864E-2</v>
      </c>
      <c r="CY214" s="26">
        <f t="shared" si="699"/>
        <v>3.7776425037425274E-2</v>
      </c>
      <c r="CZ214" s="26">
        <f t="shared" si="699"/>
        <v>3.6643132286302511E-2</v>
      </c>
      <c r="DA214" s="26">
        <f t="shared" si="699"/>
        <v>3.5543838317713433E-2</v>
      </c>
      <c r="DB214" s="26">
        <f t="shared" si="699"/>
        <v>3.4477523168182034E-2</v>
      </c>
      <c r="DC214" s="26">
        <f t="shared" si="699"/>
        <v>3.3443197473136572E-2</v>
      </c>
      <c r="DD214" s="26">
        <f t="shared" si="699"/>
        <v>3.2439901548942475E-2</v>
      </c>
      <c r="DE214" s="26">
        <f t="shared" si="699"/>
        <v>3.1466704502474199E-2</v>
      </c>
      <c r="DF214" s="26">
        <f t="shared" si="699"/>
        <v>3.0522703367399977E-2</v>
      </c>
      <c r="DG214" s="26">
        <f t="shared" si="699"/>
        <v>2.9607022266377979E-2</v>
      </c>
      <c r="DH214" s="26">
        <f t="shared" si="699"/>
        <v>2.8718811598386639E-2</v>
      </c>
      <c r="DI214" s="26">
        <f t="shared" si="699"/>
        <v>2.7857247250435042E-2</v>
      </c>
      <c r="DJ214" s="26">
        <f t="shared" si="699"/>
        <v>2.7021529832921991E-2</v>
      </c>
      <c r="DK214" s="26">
        <f t="shared" si="699"/>
        <v>2.6210883937934332E-2</v>
      </c>
      <c r="DL214" s="26">
        <f t="shared" si="699"/>
        <v>2.5424557419796302E-2</v>
      </c>
      <c r="DM214" s="26">
        <f t="shared" si="699"/>
        <v>2.4661820697202411E-2</v>
      </c>
      <c r="DN214" s="26">
        <f t="shared" si="699"/>
        <v>2.3921966076286338E-2</v>
      </c>
      <c r="DO214" s="26">
        <f t="shared" si="699"/>
        <v>2.3204307093997747E-2</v>
      </c>
      <c r="DP214" s="26">
        <f t="shared" si="699"/>
        <v>2.2508177881177812E-2</v>
      </c>
      <c r="DQ214" s="26">
        <f t="shared" si="699"/>
        <v>2.183293254474248E-2</v>
      </c>
      <c r="DR214" s="26">
        <f t="shared" si="699"/>
        <v>2.1177944568400206E-2</v>
      </c>
      <c r="DS214" s="26">
        <f t="shared" si="699"/>
        <v>2.0542606231348199E-2</v>
      </c>
      <c r="DT214" s="26">
        <f t="shared" si="699"/>
        <v>1.9926328044407755E-2</v>
      </c>
      <c r="DU214" s="26">
        <f t="shared" si="699"/>
        <v>1.9328538203075521E-2</v>
      </c>
      <c r="DV214" s="26"/>
      <c r="DW214" s="26"/>
      <c r="DX214" s="26"/>
      <c r="DY214" s="26"/>
    </row>
    <row r="215" spans="2:129" hidden="1" outlineLevel="1">
      <c r="B215" s="960" t="s">
        <v>961</v>
      </c>
      <c r="K215" s="38" t="e">
        <f>-K214/J218</f>
        <v>#DIV/0!</v>
      </c>
      <c r="L215" s="38"/>
      <c r="M215" s="827">
        <f>M214/M$211</f>
        <v>0.16608132183595994</v>
      </c>
      <c r="N215" s="827">
        <f>N214/N$211</f>
        <v>0.24306526845263629</v>
      </c>
      <c r="O215" s="827">
        <f>O214/O$211</f>
        <v>0.11470718999999999</v>
      </c>
      <c r="P215" s="967">
        <v>0.1</v>
      </c>
      <c r="Q215" s="967">
        <v>0.1</v>
      </c>
      <c r="R215" s="967">
        <v>0.1</v>
      </c>
      <c r="S215" s="967">
        <v>0.1</v>
      </c>
      <c r="T215" s="967">
        <v>0.1</v>
      </c>
      <c r="U215" s="967">
        <v>0.1</v>
      </c>
      <c r="V215" s="967">
        <v>0.1</v>
      </c>
      <c r="W215" s="967">
        <v>0.1</v>
      </c>
      <c r="X215" s="967">
        <v>0.1</v>
      </c>
      <c r="Y215" s="967">
        <v>0.1</v>
      </c>
      <c r="Z215" s="967">
        <v>0.1</v>
      </c>
      <c r="AA215" s="967">
        <v>0.1</v>
      </c>
      <c r="AB215" s="967">
        <v>0.1</v>
      </c>
      <c r="AC215" s="967">
        <v>0.1</v>
      </c>
      <c r="AD215" s="967">
        <v>0.1</v>
      </c>
      <c r="AE215" s="54"/>
      <c r="AJ215" s="124"/>
      <c r="AK215" s="42"/>
      <c r="AP215" s="42"/>
      <c r="AU215" s="42"/>
      <c r="AZ215" s="42"/>
      <c r="BE215" s="42"/>
      <c r="BJ215" s="42"/>
      <c r="BO215" s="42"/>
      <c r="BT215" s="42"/>
      <c r="BY215" s="42"/>
      <c r="CD215" s="1144">
        <f>CD214/CD$211</f>
        <v>0.16608132183595994</v>
      </c>
      <c r="CE215" s="827">
        <f>CE214/CE$211</f>
        <v>2.6622510616872746E-2</v>
      </c>
      <c r="CF215" s="827">
        <f>CF214/CF$211</f>
        <v>3.2396275445538254E-2</v>
      </c>
      <c r="CG215" s="827">
        <f>CG214/CG$211</f>
        <v>9.4908668309816216E-2</v>
      </c>
      <c r="CH215" s="968">
        <v>0.05</v>
      </c>
      <c r="CI215" s="1144">
        <f>CI214/CI$211</f>
        <v>0.24306526845263629</v>
      </c>
      <c r="CJ215" s="968">
        <v>0.03</v>
      </c>
      <c r="CK215" s="968">
        <v>0.03</v>
      </c>
      <c r="CL215" s="968">
        <v>0.03</v>
      </c>
      <c r="CM215" s="968">
        <v>0.03</v>
      </c>
      <c r="CN215" s="1144">
        <f>CN214/CN$211</f>
        <v>0.11470718999999999</v>
      </c>
      <c r="CO215" s="968">
        <v>0.03</v>
      </c>
      <c r="CP215" s="968">
        <v>0.03</v>
      </c>
      <c r="CQ215" s="968">
        <v>0.03</v>
      </c>
      <c r="CR215" s="968">
        <v>0.03</v>
      </c>
      <c r="CS215" s="1144">
        <f>CS214/CS$211</f>
        <v>0.11470718999999999</v>
      </c>
      <c r="CT215" s="968">
        <v>0.03</v>
      </c>
      <c r="CU215" s="968">
        <v>0.03</v>
      </c>
      <c r="CV215" s="968">
        <v>0.03</v>
      </c>
      <c r="CW215" s="968">
        <v>0.03</v>
      </c>
      <c r="CX215" s="968">
        <v>0.03</v>
      </c>
      <c r="CY215" s="968">
        <v>0.03</v>
      </c>
      <c r="CZ215" s="968">
        <v>0.03</v>
      </c>
      <c r="DA215" s="968">
        <v>0.03</v>
      </c>
      <c r="DB215" s="968">
        <v>0.03</v>
      </c>
      <c r="DC215" s="968">
        <v>0.03</v>
      </c>
      <c r="DD215" s="968">
        <v>0.03</v>
      </c>
      <c r="DE215" s="968">
        <v>0.03</v>
      </c>
      <c r="DF215" s="968">
        <v>0.03</v>
      </c>
      <c r="DG215" s="968">
        <v>0.03</v>
      </c>
      <c r="DH215" s="968">
        <v>0.03</v>
      </c>
      <c r="DI215" s="968">
        <v>0.03</v>
      </c>
      <c r="DJ215" s="968">
        <v>0.03</v>
      </c>
      <c r="DK215" s="968">
        <v>0.03</v>
      </c>
      <c r="DL215" s="968">
        <v>0.03</v>
      </c>
      <c r="DM215" s="968">
        <v>0.03</v>
      </c>
      <c r="DN215" s="968">
        <v>0.03</v>
      </c>
      <c r="DO215" s="968">
        <v>0.03</v>
      </c>
      <c r="DP215" s="968">
        <v>0.03</v>
      </c>
      <c r="DQ215" s="968">
        <v>0.03</v>
      </c>
      <c r="DR215" s="968">
        <v>0.03</v>
      </c>
      <c r="DS215" s="968">
        <v>0.03</v>
      </c>
      <c r="DT215" s="968">
        <v>0.03</v>
      </c>
      <c r="DU215" s="968">
        <v>0.03</v>
      </c>
      <c r="DV215" s="827"/>
      <c r="DW215" s="827"/>
      <c r="DX215" s="827"/>
      <c r="DY215" s="827"/>
    </row>
    <row r="216" spans="2:129" hidden="1" outlineLevel="1">
      <c r="B216" s="958" t="s">
        <v>963</v>
      </c>
      <c r="K216" s="15">
        <v>-466397</v>
      </c>
      <c r="M216" s="26">
        <f>CD216</f>
        <v>0.14207800000000001</v>
      </c>
      <c r="N216" s="26">
        <f>CI216</f>
        <v>6.4853999999999995E-2</v>
      </c>
      <c r="O216" s="26">
        <f>CN216</f>
        <v>7.1537941993829998E-2</v>
      </c>
      <c r="P216" s="26">
        <f t="shared" ref="P216:AD216" si="700">P217*P$211</f>
        <v>6.6254286960740399E-2</v>
      </c>
      <c r="Q216" s="26">
        <f t="shared" si="700"/>
        <v>6.0291401134273767E-2</v>
      </c>
      <c r="R216" s="26">
        <f t="shared" si="700"/>
        <v>5.4865175032189135E-2</v>
      </c>
      <c r="S216" s="26">
        <f t="shared" si="700"/>
        <v>4.992730927929212E-2</v>
      </c>
      <c r="T216" s="26">
        <f t="shared" si="700"/>
        <v>4.5433851444155827E-2</v>
      </c>
      <c r="U216" s="26">
        <f t="shared" si="700"/>
        <v>4.134480481418179E-2</v>
      </c>
      <c r="V216" s="26">
        <f t="shared" si="700"/>
        <v>3.7623772380905432E-2</v>
      </c>
      <c r="W216" s="26">
        <f t="shared" si="700"/>
        <v>3.4237632866623943E-2</v>
      </c>
      <c r="X216" s="26">
        <f t="shared" si="700"/>
        <v>3.115624590862779E-2</v>
      </c>
      <c r="Y216" s="26">
        <f t="shared" si="700"/>
        <v>2.8975308695023849E-2</v>
      </c>
      <c r="Z216" s="26">
        <f t="shared" si="700"/>
        <v>2.6947037086372184E-2</v>
      </c>
      <c r="AA216" s="26">
        <f t="shared" si="700"/>
        <v>2.5060744490326133E-2</v>
      </c>
      <c r="AB216" s="26">
        <f t="shared" si="700"/>
        <v>2.3306492376003303E-2</v>
      </c>
      <c r="AC216" s="26">
        <f t="shared" si="700"/>
        <v>2.167503790968307E-2</v>
      </c>
      <c r="AD216" s="26">
        <f t="shared" si="700"/>
        <v>2.0157785256005253E-2</v>
      </c>
      <c r="AE216" s="54"/>
      <c r="AJ216" s="124"/>
      <c r="AK216" s="42"/>
      <c r="AP216" s="42"/>
      <c r="AU216" s="42"/>
      <c r="AZ216" s="42"/>
      <c r="BE216" s="42"/>
      <c r="BJ216" s="42"/>
      <c r="BO216" s="42"/>
      <c r="BT216" s="42"/>
      <c r="BY216" s="42"/>
      <c r="CD216" s="1120">
        <v>0.14207800000000001</v>
      </c>
      <c r="CE216" s="26">
        <f>CE217*CE$211</f>
        <v>2.5574529999999998E-2</v>
      </c>
      <c r="CF216" s="26">
        <f>CF217*CF$211</f>
        <v>2.4893671803553469E-2</v>
      </c>
      <c r="CG216" s="26">
        <f>CG217*CG$211</f>
        <v>2.4087209554954723E-2</v>
      </c>
      <c r="CH216" s="26">
        <f>CH217*CH$211</f>
        <v>2.1801124572794487E-2</v>
      </c>
      <c r="CI216" s="1120">
        <v>6.4853999999999995E-2</v>
      </c>
      <c r="CJ216" s="26">
        <f>CJ217*CJ$211</f>
        <v>1.8709710000000001E-2</v>
      </c>
      <c r="CK216" s="26">
        <f>CK217*CK$211</f>
        <v>1.8148418699999998E-2</v>
      </c>
      <c r="CL216" s="26">
        <f>CL217*CL$211</f>
        <v>1.7603966139000001E-2</v>
      </c>
      <c r="CM216" s="26">
        <f>CM217*CM$211</f>
        <v>1.7075847154830001E-2</v>
      </c>
      <c r="CN216" s="1107">
        <f>SUM(CJ216:CM216)</f>
        <v>7.1537941993829998E-2</v>
      </c>
      <c r="CO216" s="26">
        <f>CO217*CO$211</f>
        <v>1.65635717401851E-2</v>
      </c>
      <c r="CP216" s="26">
        <f>CP217*CP$211</f>
        <v>1.6066664587979548E-2</v>
      </c>
      <c r="CQ216" s="26">
        <f>CQ217*CQ$211</f>
        <v>1.5584664650340162E-2</v>
      </c>
      <c r="CR216" s="26">
        <f>CR217*CR$211</f>
        <v>1.5117124710829957E-2</v>
      </c>
      <c r="CS216" s="1107">
        <f>SUM(CO216:CR216)</f>
        <v>6.333202568933477E-2</v>
      </c>
      <c r="CT216" s="26">
        <f t="shared" ref="CT216:DU216" si="701">CT217*CT$211</f>
        <v>1.4663610969505057E-2</v>
      </c>
      <c r="CU216" s="26">
        <f t="shared" si="701"/>
        <v>1.4223702640419904E-2</v>
      </c>
      <c r="CV216" s="26">
        <f t="shared" si="701"/>
        <v>1.3796991561207308E-2</v>
      </c>
      <c r="CW216" s="26">
        <f t="shared" si="701"/>
        <v>1.3383081814371089E-2</v>
      </c>
      <c r="CX216" s="26">
        <f t="shared" si="701"/>
        <v>1.2981589359939956E-2</v>
      </c>
      <c r="CY216" s="26">
        <f t="shared" si="701"/>
        <v>1.2592141679141758E-2</v>
      </c>
      <c r="CZ216" s="26">
        <f t="shared" si="701"/>
        <v>1.2214377428767504E-2</v>
      </c>
      <c r="DA216" s="26">
        <f t="shared" si="701"/>
        <v>1.1847946105904479E-2</v>
      </c>
      <c r="DB216" s="26">
        <f t="shared" si="701"/>
        <v>1.1492507722727346E-2</v>
      </c>
      <c r="DC216" s="26">
        <f t="shared" si="701"/>
        <v>1.1147732491045526E-2</v>
      </c>
      <c r="DD216" s="26">
        <f t="shared" si="701"/>
        <v>1.0813300516314159E-2</v>
      </c>
      <c r="DE216" s="26">
        <f t="shared" si="701"/>
        <v>1.0488901500824734E-2</v>
      </c>
      <c r="DF216" s="26">
        <f t="shared" si="701"/>
        <v>1.0174234455799994E-2</v>
      </c>
      <c r="DG216" s="26">
        <f t="shared" si="701"/>
        <v>9.8690074221259947E-3</v>
      </c>
      <c r="DH216" s="26">
        <f t="shared" si="701"/>
        <v>9.5729371994622142E-3</v>
      </c>
      <c r="DI216" s="26">
        <f t="shared" si="701"/>
        <v>9.2857490834783469E-3</v>
      </c>
      <c r="DJ216" s="26">
        <f t="shared" si="701"/>
        <v>9.0071766109739975E-3</v>
      </c>
      <c r="DK216" s="26">
        <f t="shared" si="701"/>
        <v>8.7369613126447778E-3</v>
      </c>
      <c r="DL216" s="26">
        <f t="shared" si="701"/>
        <v>8.4748524732654335E-3</v>
      </c>
      <c r="DM216" s="26">
        <f t="shared" si="701"/>
        <v>8.2206068990674716E-3</v>
      </c>
      <c r="DN216" s="26">
        <f t="shared" si="701"/>
        <v>7.9739886920954465E-3</v>
      </c>
      <c r="DO216" s="26">
        <f t="shared" si="701"/>
        <v>7.7347690313325822E-3</v>
      </c>
      <c r="DP216" s="26">
        <f t="shared" si="701"/>
        <v>7.5027259603926049E-3</v>
      </c>
      <c r="DQ216" s="26">
        <f t="shared" si="701"/>
        <v>7.2776441815808265E-3</v>
      </c>
      <c r="DR216" s="26">
        <f t="shared" si="701"/>
        <v>7.0593148561334017E-3</v>
      </c>
      <c r="DS216" s="26">
        <f t="shared" si="701"/>
        <v>6.8475354104494002E-3</v>
      </c>
      <c r="DT216" s="26">
        <f t="shared" si="701"/>
        <v>6.6421093481359187E-3</v>
      </c>
      <c r="DU216" s="26">
        <f t="shared" si="701"/>
        <v>6.4428460676918412E-3</v>
      </c>
      <c r="DV216" s="26"/>
      <c r="DW216" s="26"/>
      <c r="DX216" s="26"/>
      <c r="DY216" s="26"/>
    </row>
    <row r="217" spans="2:129" hidden="1" outlineLevel="1">
      <c r="B217" s="960" t="s">
        <v>961</v>
      </c>
      <c r="K217" s="38" t="e">
        <f>-K216/J218</f>
        <v>#DIV/0!</v>
      </c>
      <c r="L217" s="38"/>
      <c r="M217" s="827">
        <f>M216/M$211</f>
        <v>4.5379023021363069E-2</v>
      </c>
      <c r="N217" s="827">
        <f>N216/N$211</f>
        <v>2.5358823798521422E-2</v>
      </c>
      <c r="O217" s="827">
        <f>O216/O$211</f>
        <v>3.8235730000000002E-2</v>
      </c>
      <c r="P217" s="967">
        <v>0.04</v>
      </c>
      <c r="Q217" s="967">
        <v>0.04</v>
      </c>
      <c r="R217" s="967">
        <v>0.04</v>
      </c>
      <c r="S217" s="967">
        <v>0.04</v>
      </c>
      <c r="T217" s="967">
        <v>0.04</v>
      </c>
      <c r="U217" s="967">
        <v>0.04</v>
      </c>
      <c r="V217" s="967">
        <v>0.04</v>
      </c>
      <c r="W217" s="967">
        <v>0.04</v>
      </c>
      <c r="X217" s="967">
        <v>0.04</v>
      </c>
      <c r="Y217" s="967">
        <v>0.04</v>
      </c>
      <c r="Z217" s="967">
        <v>0.04</v>
      </c>
      <c r="AA217" s="967">
        <v>0.04</v>
      </c>
      <c r="AB217" s="967">
        <v>0.04</v>
      </c>
      <c r="AC217" s="967">
        <v>0.04</v>
      </c>
      <c r="AD217" s="967">
        <v>0.04</v>
      </c>
      <c r="AE217" s="54"/>
      <c r="AJ217" s="124"/>
      <c r="AK217" s="42"/>
      <c r="AP217" s="42"/>
      <c r="AU217" s="42"/>
      <c r="AZ217" s="42"/>
      <c r="BE217" s="42"/>
      <c r="BJ217" s="42"/>
      <c r="BO217" s="42"/>
      <c r="BT217" s="42"/>
      <c r="BY217" s="42"/>
      <c r="CD217" s="1144">
        <f>CD216/CD$211</f>
        <v>4.5379023021363069E-2</v>
      </c>
      <c r="CE217" s="968">
        <v>0.01</v>
      </c>
      <c r="CF217" s="968">
        <v>0.01</v>
      </c>
      <c r="CG217" s="968">
        <v>0.01</v>
      </c>
      <c r="CH217" s="968">
        <v>0.01</v>
      </c>
      <c r="CI217" s="1144">
        <f>CI216/CI$211</f>
        <v>2.5358823798521422E-2</v>
      </c>
      <c r="CJ217" s="968">
        <v>0.01</v>
      </c>
      <c r="CK217" s="968">
        <v>0.01</v>
      </c>
      <c r="CL217" s="968">
        <v>0.01</v>
      </c>
      <c r="CM217" s="968">
        <v>0.01</v>
      </c>
      <c r="CN217" s="1144">
        <f>CN216/CN$211</f>
        <v>3.8235730000000002E-2</v>
      </c>
      <c r="CO217" s="968">
        <v>0.01</v>
      </c>
      <c r="CP217" s="968">
        <v>0.01</v>
      </c>
      <c r="CQ217" s="968">
        <v>0.01</v>
      </c>
      <c r="CR217" s="968">
        <v>0.01</v>
      </c>
      <c r="CS217" s="1144">
        <f>CS216/CS$211</f>
        <v>3.8235730000000009E-2</v>
      </c>
      <c r="CT217" s="968">
        <v>0.01</v>
      </c>
      <c r="CU217" s="968">
        <v>0.01</v>
      </c>
      <c r="CV217" s="968">
        <v>0.01</v>
      </c>
      <c r="CW217" s="968">
        <v>0.01</v>
      </c>
      <c r="CX217" s="968">
        <v>0.01</v>
      </c>
      <c r="CY217" s="968">
        <v>0.01</v>
      </c>
      <c r="CZ217" s="968">
        <v>0.01</v>
      </c>
      <c r="DA217" s="968">
        <v>0.01</v>
      </c>
      <c r="DB217" s="968">
        <v>0.01</v>
      </c>
      <c r="DC217" s="968">
        <v>0.01</v>
      </c>
      <c r="DD217" s="968">
        <v>0.01</v>
      </c>
      <c r="DE217" s="968">
        <v>0.01</v>
      </c>
      <c r="DF217" s="968">
        <v>0.01</v>
      </c>
      <c r="DG217" s="968">
        <v>0.01</v>
      </c>
      <c r="DH217" s="968">
        <v>0.01</v>
      </c>
      <c r="DI217" s="968">
        <v>0.01</v>
      </c>
      <c r="DJ217" s="968">
        <v>0.01</v>
      </c>
      <c r="DK217" s="968">
        <v>0.01</v>
      </c>
      <c r="DL217" s="968">
        <v>0.01</v>
      </c>
      <c r="DM217" s="968">
        <v>0.01</v>
      </c>
      <c r="DN217" s="968">
        <v>0.01</v>
      </c>
      <c r="DO217" s="968">
        <v>0.01</v>
      </c>
      <c r="DP217" s="968">
        <v>0.01</v>
      </c>
      <c r="DQ217" s="968">
        <v>0.01</v>
      </c>
      <c r="DR217" s="968">
        <v>0.01</v>
      </c>
      <c r="DS217" s="968">
        <v>0.01</v>
      </c>
      <c r="DT217" s="968">
        <v>0.01</v>
      </c>
      <c r="DU217" s="968">
        <v>0.01</v>
      </c>
      <c r="DV217" s="827"/>
      <c r="DW217" s="827"/>
      <c r="DX217" s="827"/>
      <c r="DY217" s="827"/>
    </row>
    <row r="218" spans="2:129" hidden="1" outlineLevel="1">
      <c r="B218" s="964" t="s">
        <v>964</v>
      </c>
      <c r="K218" s="15">
        <v>3312315</v>
      </c>
      <c r="M218" s="195">
        <f t="shared" ref="M218:T218" si="702">M211+M212-M214-M216</f>
        <v>2.5574529999999998</v>
      </c>
      <c r="N218" s="195">
        <f t="shared" si="702"/>
        <v>1.8709709999999999</v>
      </c>
      <c r="O218" s="195">
        <f t="shared" si="702"/>
        <v>1.6563571740185099</v>
      </c>
      <c r="P218" s="195">
        <f t="shared" si="702"/>
        <v>1.5072850283568442</v>
      </c>
      <c r="Q218" s="195">
        <f t="shared" si="702"/>
        <v>1.3716293758047284</v>
      </c>
      <c r="R218" s="195">
        <f t="shared" si="702"/>
        <v>1.2481827319823029</v>
      </c>
      <c r="S218" s="195">
        <f t="shared" si="702"/>
        <v>1.1358462861038956</v>
      </c>
      <c r="T218" s="195">
        <f t="shared" si="702"/>
        <v>1.0336201203545448</v>
      </c>
      <c r="U218" s="195">
        <f t="shared" ref="U218:Z218" si="703">U211+U212-U214-U216</f>
        <v>0.94059430952263579</v>
      </c>
      <c r="V218" s="195">
        <f>V211+V212-V214-V216</f>
        <v>0.85594082166559859</v>
      </c>
      <c r="W218" s="195">
        <f>W211+W212-W214-W216</f>
        <v>0.77890614771569477</v>
      </c>
      <c r="X218" s="195">
        <f t="shared" si="703"/>
        <v>0.72438271737559623</v>
      </c>
      <c r="Y218" s="195">
        <f t="shared" si="703"/>
        <v>0.67367592715930458</v>
      </c>
      <c r="Z218" s="195">
        <f t="shared" si="703"/>
        <v>0.62651861225815331</v>
      </c>
      <c r="AA218" s="195">
        <f t="shared" ref="AA218:AD218" si="704">AA211+AA212-AA214-AA216</f>
        <v>0.58266230940008257</v>
      </c>
      <c r="AB218" s="195">
        <f t="shared" si="704"/>
        <v>0.5418759477420767</v>
      </c>
      <c r="AC218" s="195">
        <f t="shared" si="704"/>
        <v>0.50394463140013135</v>
      </c>
      <c r="AD218" s="195">
        <f t="shared" si="704"/>
        <v>0.46866850720212211</v>
      </c>
      <c r="AE218" s="54"/>
      <c r="AJ218" s="124"/>
      <c r="AK218" s="42"/>
      <c r="AP218" s="42"/>
      <c r="AU218" s="42"/>
      <c r="AZ218" s="42"/>
      <c r="BE218" s="42"/>
      <c r="BJ218" s="42"/>
      <c r="BO218" s="42"/>
      <c r="BT218" s="42"/>
      <c r="BY218" s="42"/>
      <c r="CD218" s="1111">
        <f t="shared" ref="CD218:CS218" si="705">CD211+CD212-CD214-CD216</f>
        <v>2.5574529999999998</v>
      </c>
      <c r="CE218" s="195">
        <f t="shared" si="705"/>
        <v>2.4893671803553468</v>
      </c>
      <c r="CF218" s="195">
        <f t="shared" si="705"/>
        <v>2.4087209554954723</v>
      </c>
      <c r="CG218" s="195">
        <f t="shared" si="705"/>
        <v>2.1801124572794488</v>
      </c>
      <c r="CH218" s="195">
        <f t="shared" si="705"/>
        <v>2.0711068344154762</v>
      </c>
      <c r="CI218" s="1111">
        <f t="shared" si="705"/>
        <v>1.8709709999999999</v>
      </c>
      <c r="CJ218" s="195">
        <f t="shared" si="705"/>
        <v>1.81484187</v>
      </c>
      <c r="CK218" s="195">
        <f t="shared" si="705"/>
        <v>1.7603966139</v>
      </c>
      <c r="CL218" s="195">
        <f t="shared" si="705"/>
        <v>1.7075847154829999</v>
      </c>
      <c r="CM218" s="195">
        <f t="shared" si="705"/>
        <v>1.6563571740185099</v>
      </c>
      <c r="CN218" s="1111">
        <f t="shared" si="705"/>
        <v>1.6563571740185099</v>
      </c>
      <c r="CO218" s="195">
        <f t="shared" si="705"/>
        <v>1.6066664587979547</v>
      </c>
      <c r="CP218" s="195">
        <f t="shared" si="705"/>
        <v>1.5584664650340161</v>
      </c>
      <c r="CQ218" s="195">
        <f>CQ211+CQ212-CQ214-CQ216</f>
        <v>1.5117124710829957</v>
      </c>
      <c r="CR218" s="195">
        <f>CR211+CR212-CR214-CR216</f>
        <v>1.4663610969505059</v>
      </c>
      <c r="CS218" s="1111">
        <f t="shared" si="705"/>
        <v>1.4663610969505056</v>
      </c>
      <c r="CT218" s="195">
        <f t="shared" ref="CT218:DE218" si="706">CT211+CT212-CT214-CT216</f>
        <v>1.4223702640419904</v>
      </c>
      <c r="CU218" s="195">
        <f t="shared" si="706"/>
        <v>1.3796991561207308</v>
      </c>
      <c r="CV218" s="195">
        <f t="shared" si="706"/>
        <v>1.3383081814371089</v>
      </c>
      <c r="CW218" s="195">
        <f t="shared" si="706"/>
        <v>1.2981589359939956</v>
      </c>
      <c r="CX218" s="195">
        <f t="shared" si="706"/>
        <v>1.2592141679141757</v>
      </c>
      <c r="CY218" s="195">
        <f t="shared" si="706"/>
        <v>1.2214377428767504</v>
      </c>
      <c r="CZ218" s="195">
        <f t="shared" si="706"/>
        <v>1.1847946105904479</v>
      </c>
      <c r="DA218" s="195">
        <f t="shared" si="706"/>
        <v>1.1492507722727345</v>
      </c>
      <c r="DB218" s="195">
        <f t="shared" si="706"/>
        <v>1.1147732491045526</v>
      </c>
      <c r="DC218" s="195">
        <f t="shared" si="706"/>
        <v>1.0813300516314159</v>
      </c>
      <c r="DD218" s="195">
        <f t="shared" si="706"/>
        <v>1.0488901500824734</v>
      </c>
      <c r="DE218" s="195">
        <f t="shared" si="706"/>
        <v>1.0174234455799993</v>
      </c>
      <c r="DF218" s="195">
        <f>DF211+DF212-DF214-DF216</f>
        <v>0.98690074221259938</v>
      </c>
      <c r="DG218" s="195">
        <f>DG211+DG212-DG214-DG216</f>
        <v>0.95729371994622137</v>
      </c>
      <c r="DH218" s="195">
        <f>DH211+DH212-DH214-DH216</f>
        <v>0.92857490834783474</v>
      </c>
      <c r="DI218" s="195">
        <f>DI211+DI212-DI214-DI216</f>
        <v>0.9007176610973997</v>
      </c>
      <c r="DJ218" s="195">
        <f>DJ211+DJ212-DJ214-DJ216</f>
        <v>0.87369613126447776</v>
      </c>
      <c r="DK218" s="195">
        <f t="shared" ref="DK218:DM218" si="707">DK211+DK212-DK214-DK216</f>
        <v>0.8474852473265434</v>
      </c>
      <c r="DL218" s="195">
        <f t="shared" si="707"/>
        <v>0.82206068990674708</v>
      </c>
      <c r="DM218" s="195">
        <f t="shared" si="707"/>
        <v>0.79739886920954461</v>
      </c>
      <c r="DN218" s="195">
        <f>DN211+DN212-DN214-DN216</f>
        <v>0.77347690313325823</v>
      </c>
      <c r="DO218" s="195">
        <f>DO211+DO212-DO214-DO216</f>
        <v>0.75027259603926044</v>
      </c>
      <c r="DP218" s="195">
        <f>DP211+DP212-DP214-DP216</f>
        <v>0.72776441815808268</v>
      </c>
      <c r="DQ218" s="195">
        <f>DQ211+DQ212-DQ214-DQ216</f>
        <v>0.70593148561334018</v>
      </c>
      <c r="DR218" s="195">
        <f t="shared" ref="DR218:DU218" si="708">DR211+DR212-DR214-DR216</f>
        <v>0.68475354104494002</v>
      </c>
      <c r="DS218" s="195">
        <f t="shared" si="708"/>
        <v>0.66421093481359184</v>
      </c>
      <c r="DT218" s="195">
        <f t="shared" si="708"/>
        <v>0.64428460676918409</v>
      </c>
      <c r="DU218" s="195">
        <f t="shared" si="708"/>
        <v>0.62495606856610852</v>
      </c>
      <c r="DV218" s="195"/>
      <c r="DW218" s="195"/>
      <c r="DX218" s="195"/>
      <c r="DY218" s="195"/>
    </row>
    <row r="219" spans="2:129" hidden="1" outlineLevel="1">
      <c r="B219" s="969" t="s">
        <v>965</v>
      </c>
      <c r="M219" s="26">
        <f>CD219</f>
        <v>63.18</v>
      </c>
      <c r="AE219" s="54"/>
      <c r="AJ219" s="124"/>
      <c r="AK219" s="42"/>
      <c r="AP219" s="42"/>
      <c r="AU219" s="42"/>
      <c r="AZ219" s="42"/>
      <c r="BE219" s="42"/>
      <c r="BJ219" s="42"/>
      <c r="BO219" s="42"/>
      <c r="BT219" s="42"/>
      <c r="BY219" s="42"/>
      <c r="CD219" s="1145">
        <v>63.18</v>
      </c>
      <c r="CI219" s="1145">
        <v>66.739999999999995</v>
      </c>
      <c r="CN219" s="42"/>
      <c r="CS219" s="42"/>
    </row>
    <row r="220" spans="2:129" hidden="1" outlineLevel="1">
      <c r="B220" s="958" t="s">
        <v>389</v>
      </c>
      <c r="M220" s="26">
        <f>CD220</f>
        <v>1.6781489999999999</v>
      </c>
      <c r="AE220" s="54"/>
      <c r="AJ220" s="124"/>
      <c r="AK220" s="42"/>
      <c r="AP220" s="42"/>
      <c r="AU220" s="42"/>
      <c r="AZ220" s="42"/>
      <c r="BE220" s="42"/>
      <c r="BJ220" s="42"/>
      <c r="BO220" s="42"/>
      <c r="BT220" s="42"/>
      <c r="BY220" s="42"/>
      <c r="CD220" s="1146">
        <v>1.6781489999999999</v>
      </c>
      <c r="CI220" s="1146">
        <v>1.5488930000000001</v>
      </c>
      <c r="CN220" s="42"/>
      <c r="CS220" s="42"/>
    </row>
    <row r="221" spans="2:129" hidden="1" outlineLevel="1">
      <c r="B221" s="969" t="s">
        <v>965</v>
      </c>
      <c r="H221" s="970"/>
      <c r="I221" s="970"/>
      <c r="J221" s="970"/>
      <c r="K221" s="970">
        <v>45.11</v>
      </c>
      <c r="L221" s="970"/>
      <c r="M221" s="26">
        <f>CD221</f>
        <v>58.66</v>
      </c>
      <c r="AE221" s="54"/>
      <c r="AJ221" s="124"/>
      <c r="AK221" s="42"/>
      <c r="AP221" s="42"/>
      <c r="AU221" s="42"/>
      <c r="AZ221" s="42"/>
      <c r="BE221" s="42"/>
      <c r="BJ221" s="42"/>
      <c r="BO221" s="42"/>
      <c r="BT221" s="42"/>
      <c r="BY221" s="42"/>
      <c r="CD221" s="1145">
        <v>58.66</v>
      </c>
      <c r="CI221" s="1145">
        <v>63.87</v>
      </c>
      <c r="CN221" s="42"/>
      <c r="CS221" s="42"/>
    </row>
    <row r="222" spans="2:129" hidden="1" outlineLevel="1">
      <c r="B222" s="971" t="s">
        <v>390</v>
      </c>
      <c r="H222" s="970"/>
      <c r="I222" s="970"/>
      <c r="J222" s="970"/>
      <c r="K222" s="970"/>
      <c r="L222" s="970"/>
      <c r="M222" s="26">
        <f>CD222</f>
        <v>1.0049999999999999</v>
      </c>
      <c r="AE222" s="54"/>
      <c r="AJ222" s="124"/>
      <c r="AK222" s="42"/>
      <c r="AP222" s="42"/>
      <c r="AU222" s="42"/>
      <c r="AZ222" s="42"/>
      <c r="BE222" s="42"/>
      <c r="BJ222" s="42"/>
      <c r="BO222" s="42"/>
      <c r="BT222" s="42"/>
      <c r="BY222" s="42"/>
      <c r="CD222" s="1120">
        <v>1.0049999999999999</v>
      </c>
      <c r="CE222" s="783">
        <v>0.39300000000000002</v>
      </c>
      <c r="CF222" s="783">
        <v>0.79900000000000004</v>
      </c>
      <c r="CG222" s="31">
        <v>1.1000000000000001</v>
      </c>
      <c r="CH222" s="54">
        <f>CH218/2</f>
        <v>1.0355534172077381</v>
      </c>
      <c r="CI222" s="1120">
        <f>CH222</f>
        <v>1.0355534172077381</v>
      </c>
      <c r="CJ222" s="54">
        <f>CJ218/2</f>
        <v>0.90742093499999998</v>
      </c>
      <c r="CK222" s="54">
        <f>CK218/2</f>
        <v>0.88019830695000001</v>
      </c>
      <c r="CL222" s="54">
        <f>CL218/2</f>
        <v>0.85379235774149997</v>
      </c>
      <c r="CM222" s="54">
        <f>CM218/2</f>
        <v>0.82817858700925495</v>
      </c>
      <c r="CN222" s="1107">
        <f>CM222</f>
        <v>0.82817858700925495</v>
      </c>
      <c r="CO222" s="54">
        <f>CO218/2</f>
        <v>0.80333322939897733</v>
      </c>
      <c r="CP222" s="54">
        <f>CP218/2</f>
        <v>0.77923323251700805</v>
      </c>
      <c r="CQ222" s="54">
        <f>CQ218/2</f>
        <v>0.75585623554149783</v>
      </c>
      <c r="CR222" s="54">
        <f>CR218/2</f>
        <v>0.73318054847525294</v>
      </c>
      <c r="CS222" s="1107">
        <f>CR222</f>
        <v>0.73318054847525294</v>
      </c>
      <c r="CT222" s="54">
        <f t="shared" ref="CT222:CZ222" si="709">CT218/2</f>
        <v>0.7111851320209952</v>
      </c>
      <c r="CU222" s="54">
        <f t="shared" si="709"/>
        <v>0.6898495780603654</v>
      </c>
      <c r="CV222" s="54">
        <f t="shared" si="709"/>
        <v>0.66915409071855447</v>
      </c>
      <c r="CW222" s="54">
        <f t="shared" si="709"/>
        <v>0.64907946799699778</v>
      </c>
      <c r="CX222" s="54">
        <f t="shared" si="709"/>
        <v>0.62960708395708787</v>
      </c>
      <c r="CY222" s="54">
        <f t="shared" si="709"/>
        <v>0.61071887143837522</v>
      </c>
      <c r="CZ222" s="54">
        <f t="shared" si="709"/>
        <v>0.59239730529522394</v>
      </c>
      <c r="DA222" s="54">
        <f t="shared" ref="DA222:DJ222" si="710">DA218/2</f>
        <v>0.57462538613636727</v>
      </c>
      <c r="DB222" s="54">
        <f t="shared" si="710"/>
        <v>0.55738662455227628</v>
      </c>
      <c r="DC222" s="54">
        <f t="shared" si="710"/>
        <v>0.54066502581570797</v>
      </c>
      <c r="DD222" s="54">
        <f t="shared" si="710"/>
        <v>0.52444507504123672</v>
      </c>
      <c r="DE222" s="54">
        <f t="shared" si="710"/>
        <v>0.50871172278999965</v>
      </c>
      <c r="DF222" s="54">
        <f t="shared" si="710"/>
        <v>0.49345037110629969</v>
      </c>
      <c r="DG222" s="54">
        <f t="shared" si="710"/>
        <v>0.47864685997311068</v>
      </c>
      <c r="DH222" s="54">
        <f t="shared" si="710"/>
        <v>0.46428745417391737</v>
      </c>
      <c r="DI222" s="54">
        <f t="shared" si="710"/>
        <v>0.45035883054869985</v>
      </c>
      <c r="DJ222" s="54">
        <f t="shared" si="710"/>
        <v>0.43684806563223888</v>
      </c>
      <c r="DK222" s="54">
        <f t="shared" ref="DK222:DM222" si="711">DK218/2</f>
        <v>0.4237426236632717</v>
      </c>
      <c r="DL222" s="54">
        <f t="shared" si="711"/>
        <v>0.41103034495337354</v>
      </c>
      <c r="DM222" s="54">
        <f t="shared" si="711"/>
        <v>0.39869943460477231</v>
      </c>
      <c r="DN222" s="54">
        <f>DN218/2</f>
        <v>0.38673845156662912</v>
      </c>
      <c r="DO222" s="54">
        <f>DO218/2</f>
        <v>0.37513629801963022</v>
      </c>
      <c r="DP222" s="54">
        <f>DP218/2</f>
        <v>0.36388220907904134</v>
      </c>
      <c r="DQ222" s="54">
        <f>DQ218/2</f>
        <v>0.35296574280667009</v>
      </c>
      <c r="DR222" s="54">
        <f t="shared" ref="DR222:DU222" si="712">DR218/2</f>
        <v>0.34237677052247001</v>
      </c>
      <c r="DS222" s="54">
        <f t="shared" si="712"/>
        <v>0.33210546740679592</v>
      </c>
      <c r="DT222" s="54">
        <f t="shared" si="712"/>
        <v>0.32214230338459204</v>
      </c>
      <c r="DU222" s="54">
        <f t="shared" si="712"/>
        <v>0.31247803428305426</v>
      </c>
      <c r="DV222" s="26"/>
      <c r="DW222" s="26"/>
      <c r="DX222" s="26"/>
      <c r="DY222" s="26"/>
    </row>
    <row r="223" spans="2:129" hidden="1" outlineLevel="1">
      <c r="B223" s="972" t="s">
        <v>416</v>
      </c>
      <c r="H223" s="970"/>
      <c r="I223" s="970"/>
      <c r="J223" s="970"/>
      <c r="K223" s="970"/>
      <c r="L223" s="970"/>
      <c r="M223" s="768">
        <f>CD223</f>
        <v>0.39296909855234874</v>
      </c>
      <c r="AE223" s="54"/>
      <c r="AJ223" s="124"/>
      <c r="AK223" s="42"/>
      <c r="AP223" s="42"/>
      <c r="AU223" s="42"/>
      <c r="AZ223" s="42"/>
      <c r="BE223" s="42"/>
      <c r="BJ223" s="42"/>
      <c r="BO223" s="42"/>
      <c r="BT223" s="42"/>
      <c r="BY223" s="42"/>
      <c r="CD223" s="1112">
        <f t="shared" ref="CD223:DB223" si="713">CD222/CD218</f>
        <v>0.39296909855234874</v>
      </c>
      <c r="CE223" s="38">
        <f t="shared" si="713"/>
        <v>0.15787144745111523</v>
      </c>
      <c r="CF223" s="38">
        <f t="shared" si="713"/>
        <v>0.33171131682027744</v>
      </c>
      <c r="CG223" s="38">
        <f t="shared" si="713"/>
        <v>0.50456112771938588</v>
      </c>
      <c r="CH223" s="38">
        <f t="shared" si="713"/>
        <v>0.5</v>
      </c>
      <c r="CI223" s="1112">
        <f t="shared" si="713"/>
        <v>0.55348448330184596</v>
      </c>
      <c r="CJ223" s="38">
        <f t="shared" si="713"/>
        <v>0.5</v>
      </c>
      <c r="CK223" s="38">
        <f t="shared" si="713"/>
        <v>0.5</v>
      </c>
      <c r="CL223" s="38">
        <f t="shared" si="713"/>
        <v>0.5</v>
      </c>
      <c r="CM223" s="38">
        <f t="shared" si="713"/>
        <v>0.5</v>
      </c>
      <c r="CN223" s="1112">
        <f t="shared" si="713"/>
        <v>0.5</v>
      </c>
      <c r="CO223" s="38">
        <f t="shared" si="713"/>
        <v>0.5</v>
      </c>
      <c r="CP223" s="38">
        <f t="shared" si="713"/>
        <v>0.5</v>
      </c>
      <c r="CQ223" s="38">
        <f t="shared" si="713"/>
        <v>0.5</v>
      </c>
      <c r="CR223" s="38">
        <f t="shared" si="713"/>
        <v>0.5</v>
      </c>
      <c r="CS223" s="1112">
        <f t="shared" si="713"/>
        <v>0.50000000000000011</v>
      </c>
      <c r="CT223" s="38">
        <f t="shared" si="713"/>
        <v>0.5</v>
      </c>
      <c r="CU223" s="38">
        <f t="shared" si="713"/>
        <v>0.5</v>
      </c>
      <c r="CV223" s="38">
        <f t="shared" si="713"/>
        <v>0.5</v>
      </c>
      <c r="CW223" s="38">
        <f t="shared" si="713"/>
        <v>0.5</v>
      </c>
      <c r="CX223" s="38">
        <f t="shared" si="713"/>
        <v>0.5</v>
      </c>
      <c r="CY223" s="38">
        <f t="shared" si="713"/>
        <v>0.5</v>
      </c>
      <c r="CZ223" s="38">
        <f t="shared" si="713"/>
        <v>0.5</v>
      </c>
      <c r="DA223" s="38">
        <f t="shared" si="713"/>
        <v>0.5</v>
      </c>
      <c r="DB223" s="38">
        <f t="shared" si="713"/>
        <v>0.5</v>
      </c>
      <c r="DC223" s="38">
        <f t="shared" ref="DC223:DJ223" si="714">DC222/DC218</f>
        <v>0.5</v>
      </c>
      <c r="DD223" s="38">
        <f t="shared" si="714"/>
        <v>0.5</v>
      </c>
      <c r="DE223" s="38">
        <f t="shared" si="714"/>
        <v>0.5</v>
      </c>
      <c r="DF223" s="38">
        <f t="shared" si="714"/>
        <v>0.5</v>
      </c>
      <c r="DG223" s="38">
        <f t="shared" si="714"/>
        <v>0.5</v>
      </c>
      <c r="DH223" s="38">
        <f t="shared" si="714"/>
        <v>0.5</v>
      </c>
      <c r="DI223" s="38">
        <f t="shared" si="714"/>
        <v>0.5</v>
      </c>
      <c r="DJ223" s="38">
        <f t="shared" si="714"/>
        <v>0.5</v>
      </c>
      <c r="DK223" s="38">
        <f t="shared" ref="DK223:DM223" si="715">DK222/DK218</f>
        <v>0.5</v>
      </c>
      <c r="DL223" s="38">
        <f t="shared" si="715"/>
        <v>0.5</v>
      </c>
      <c r="DM223" s="38">
        <f t="shared" si="715"/>
        <v>0.5</v>
      </c>
      <c r="DN223" s="38">
        <f>DN222/DN218</f>
        <v>0.5</v>
      </c>
      <c r="DO223" s="38">
        <f>DO222/DO218</f>
        <v>0.5</v>
      </c>
      <c r="DP223" s="38">
        <f>DP222/DP218</f>
        <v>0.5</v>
      </c>
      <c r="DQ223" s="38">
        <f>DQ222/DQ218</f>
        <v>0.5</v>
      </c>
      <c r="DR223" s="38">
        <f t="shared" ref="DR223:DU223" si="716">DR222/DR218</f>
        <v>0.5</v>
      </c>
      <c r="DS223" s="38">
        <f t="shared" si="716"/>
        <v>0.5</v>
      </c>
      <c r="DT223" s="38">
        <f t="shared" si="716"/>
        <v>0.5</v>
      </c>
      <c r="DU223" s="38">
        <f t="shared" si="716"/>
        <v>0.5</v>
      </c>
      <c r="DV223" s="38"/>
      <c r="DW223" s="38"/>
      <c r="DX223" s="38"/>
      <c r="DY223" s="38"/>
    </row>
    <row r="224" spans="2:129" hidden="1" outlineLevel="1">
      <c r="B224" s="972"/>
      <c r="H224" s="970"/>
      <c r="I224" s="970"/>
      <c r="J224" s="970"/>
      <c r="K224" s="970"/>
      <c r="L224" s="970"/>
      <c r="M224" s="768"/>
      <c r="AE224" s="54"/>
      <c r="AJ224" s="124"/>
      <c r="AK224" s="42"/>
      <c r="AP224" s="42"/>
      <c r="AU224" s="42"/>
      <c r="AZ224" s="42"/>
      <c r="BE224" s="42"/>
      <c r="BJ224" s="42"/>
      <c r="BO224" s="42"/>
      <c r="BT224" s="42"/>
      <c r="BY224" s="42"/>
      <c r="CD224" s="1112"/>
      <c r="CE224" s="38"/>
      <c r="CF224" s="38"/>
      <c r="CG224" s="38"/>
      <c r="CH224" s="38"/>
      <c r="CI224" s="1112"/>
      <c r="CJ224" s="38"/>
      <c r="CK224" s="38"/>
      <c r="CL224" s="38"/>
      <c r="CM224" s="38"/>
      <c r="CN224" s="1112"/>
      <c r="CO224" s="38"/>
      <c r="CP224" s="38"/>
      <c r="CQ224" s="38"/>
      <c r="CR224" s="38"/>
      <c r="CS224" s="1112"/>
      <c r="CT224" s="38"/>
      <c r="CU224" s="38"/>
      <c r="CV224" s="38"/>
      <c r="CW224" s="38"/>
      <c r="CX224" s="38"/>
      <c r="CY224" s="38"/>
      <c r="CZ224" s="38"/>
      <c r="DA224" s="38"/>
      <c r="DB224" s="38"/>
      <c r="DC224" s="38"/>
      <c r="DD224" s="38"/>
      <c r="DE224" s="38"/>
      <c r="DF224" s="38"/>
      <c r="DG224" s="38"/>
      <c r="DH224" s="38"/>
      <c r="DI224" s="38"/>
      <c r="DJ224" s="38"/>
      <c r="DK224" s="38"/>
      <c r="DL224" s="38"/>
      <c r="DM224" s="38"/>
      <c r="DN224" s="38"/>
      <c r="DO224" s="38"/>
      <c r="DP224" s="38"/>
      <c r="DQ224" s="38"/>
      <c r="DR224" s="38"/>
      <c r="DS224" s="38"/>
      <c r="DT224" s="38"/>
      <c r="DU224" s="38"/>
      <c r="DV224" s="38"/>
      <c r="DW224" s="38"/>
      <c r="DX224" s="38"/>
      <c r="DY224" s="38"/>
    </row>
    <row r="225" spans="1:129" ht="15.75" hidden="1" outlineLevel="1">
      <c r="B225" s="965"/>
      <c r="AE225" s="54"/>
      <c r="AJ225" s="124"/>
      <c r="AK225" s="42"/>
      <c r="AP225" s="42"/>
      <c r="AU225" s="42"/>
      <c r="AZ225" s="42"/>
      <c r="BE225" s="42"/>
      <c r="BJ225" s="42"/>
      <c r="BO225" s="42"/>
      <c r="BT225" s="42"/>
      <c r="BY225" s="42"/>
      <c r="CD225" s="42"/>
      <c r="CI225" s="42"/>
      <c r="CN225" s="42"/>
      <c r="CS225" s="42"/>
    </row>
    <row r="226" spans="1:129" hidden="1" outlineLevel="1">
      <c r="B226" s="958" t="s">
        <v>967</v>
      </c>
      <c r="M226" s="26">
        <f>CD226</f>
        <v>3.4585389999999947</v>
      </c>
      <c r="N226" s="26">
        <f>CI226</f>
        <v>1.7311947086038733</v>
      </c>
      <c r="O226" s="26">
        <f>CN226</f>
        <v>1.715003799</v>
      </c>
      <c r="P226" s="26">
        <f>P227*O85</f>
        <v>1.6158341150000002</v>
      </c>
      <c r="Q226" s="26">
        <f>Q227*P85-Q180</f>
        <v>1.5258007195640002</v>
      </c>
      <c r="R226" s="26">
        <f>+SUM(CX226:DA226)</f>
        <v>1.7122831894324975</v>
      </c>
      <c r="S226" s="26">
        <f>+SUM(DB226:DE226)</f>
        <v>1.9313700086185253</v>
      </c>
      <c r="T226" s="26">
        <f>+SUM(DF226:DI226)</f>
        <v>2.3928691044825996</v>
      </c>
      <c r="U226" s="26">
        <f>+SUM(DJ226:DM226)</f>
        <v>5.8994367278878554</v>
      </c>
      <c r="V226" s="26">
        <f>+SUM(DN226:DQ226)</f>
        <v>4.3677113835962045</v>
      </c>
      <c r="W226" s="26">
        <f ca="1">+SUM(DO226:DR226)</f>
        <v>3.760367362088318</v>
      </c>
      <c r="X226" s="26">
        <f ca="1">X227*W85-X180+X204+X195+X207</f>
        <v>2.9014627576963736</v>
      </c>
      <c r="Y226" s="26">
        <f ca="1">Y227*X85-Y180+Y204+Y195+Y207</f>
        <v>2.9975616111817365</v>
      </c>
      <c r="Z226" s="26">
        <f ca="1">Z227*Y85-Z180+Z204+Z195+Z207</f>
        <v>3.0974055885514686</v>
      </c>
      <c r="AA226" s="26">
        <f t="shared" ref="AA226:AD226" ca="1" si="717">AA227*Z85-AA180+AA204+AA195+AA207</f>
        <v>3.2010990526606546</v>
      </c>
      <c r="AB226" s="26">
        <f t="shared" ca="1" si="717"/>
        <v>3.3087518892179704</v>
      </c>
      <c r="AC226" s="26">
        <f t="shared" ca="1" si="717"/>
        <v>3.4204795691747991</v>
      </c>
      <c r="AD226" s="26">
        <f t="shared" ca="1" si="717"/>
        <v>3.5364032224617223</v>
      </c>
      <c r="AE226" s="54"/>
      <c r="AJ226" s="124"/>
      <c r="AK226" s="42"/>
      <c r="AP226" s="42"/>
      <c r="AU226" s="42"/>
      <c r="AZ226" s="42"/>
      <c r="BE226" s="42"/>
      <c r="BJ226" s="42"/>
      <c r="BK226" s="26"/>
      <c r="BL226" s="26"/>
      <c r="BM226" s="26"/>
      <c r="BN226" s="26"/>
      <c r="BO226" s="1107"/>
      <c r="BP226" s="26"/>
      <c r="BQ226" s="26"/>
      <c r="BR226" s="26">
        <f>BQ85-BP85</f>
        <v>0.275110999999999</v>
      </c>
      <c r="BS226" s="26">
        <f>BR85-BQ85</f>
        <v>0.34112800000000121</v>
      </c>
      <c r="BT226" s="42"/>
      <c r="BU226" s="26">
        <f>BU85-BR85</f>
        <v>4.6460929999999969</v>
      </c>
      <c r="BV226" s="26">
        <f>BV85-BU85</f>
        <v>5.9960000000003788E-2</v>
      </c>
      <c r="BW226" s="26">
        <f>BW85-BV85</f>
        <v>2.5113999999994974E-2</v>
      </c>
      <c r="BX226" s="26">
        <f>BX85-BW85</f>
        <v>0.40397900000000675</v>
      </c>
      <c r="BY226" s="1107"/>
      <c r="BZ226" s="26">
        <f>BZ85-BX85</f>
        <v>2.4554130000000001</v>
      </c>
      <c r="CA226" s="26">
        <f>CA85-BZ85</f>
        <v>0.41341999999999501</v>
      </c>
      <c r="CB226" s="26">
        <f>CB85-CA85</f>
        <v>0.16953200000000379</v>
      </c>
      <c r="CC226" s="26">
        <f>CC85-CB85</f>
        <v>0.42017399999999583</v>
      </c>
      <c r="CD226" s="1110">
        <f>SUM(BZ226:CC226)</f>
        <v>3.4585389999999947</v>
      </c>
      <c r="CE226" s="26">
        <f>CE85-CC85</f>
        <v>0.17803900000000539</v>
      </c>
      <c r="CF226" s="26">
        <f>CF85-CE85</f>
        <v>0.66267499999999302</v>
      </c>
      <c r="CG226" s="26">
        <f>CG85-CF85</f>
        <v>0.37270400000000592</v>
      </c>
      <c r="CH226" s="54">
        <f>CH222/2</f>
        <v>0.51777670860386904</v>
      </c>
      <c r="CI226" s="1110">
        <f>SUM(CE226:CH226)</f>
        <v>1.7311947086038733</v>
      </c>
      <c r="CJ226" s="26">
        <f>CI85*CJ227</f>
        <v>0.39374788000000005</v>
      </c>
      <c r="CK226" s="26">
        <f>CK227*CJ85</f>
        <v>0.49740262499999999</v>
      </c>
      <c r="CL226" s="26">
        <f>CL227*CK85</f>
        <v>0.45589838999999999</v>
      </c>
      <c r="CM226" s="26">
        <f>CM227*CL85</f>
        <v>0.36795490400000003</v>
      </c>
      <c r="CN226" s="1110">
        <f>SUM(CJ226:CM226)</f>
        <v>1.715003799</v>
      </c>
      <c r="CO226" s="26">
        <f>CM85*CO227</f>
        <v>0.46166689</v>
      </c>
      <c r="CP226" s="26">
        <f>CP227*CO85</f>
        <v>0.46807852</v>
      </c>
      <c r="CQ226" s="26">
        <f>CQ227*CP85</f>
        <v>0.47275930519999998</v>
      </c>
      <c r="CR226" s="26">
        <f>CR227*CP85-CR180</f>
        <v>-0.39724069480000002</v>
      </c>
      <c r="CS226" s="1110">
        <f>SUM(CO226:CR226)</f>
        <v>1.0052640204000001</v>
      </c>
      <c r="CT226" s="26">
        <f t="shared" ref="CT226:DE226" si="718">CT227*CS85-CT180+CT204</f>
        <v>0.34201449130399997</v>
      </c>
      <c r="CU226" s="26">
        <f t="shared" si="718"/>
        <v>0.47693463621703996</v>
      </c>
      <c r="CV226" s="26">
        <f t="shared" si="718"/>
        <v>0.48170398257921038</v>
      </c>
      <c r="CW226" s="26">
        <f t="shared" si="718"/>
        <v>0.4865210224050025</v>
      </c>
      <c r="CX226" s="26">
        <f t="shared" si="718"/>
        <v>0.49138623262905251</v>
      </c>
      <c r="CY226" s="26">
        <f t="shared" si="718"/>
        <v>0.49630009495534305</v>
      </c>
      <c r="CZ226" s="26">
        <f t="shared" si="718"/>
        <v>0.50126309590489648</v>
      </c>
      <c r="DA226" s="26">
        <f t="shared" si="718"/>
        <v>0.22333376594320559</v>
      </c>
      <c r="DB226" s="26">
        <f t="shared" si="718"/>
        <v>0.23686142241568703</v>
      </c>
      <c r="DC226" s="26">
        <f t="shared" si="718"/>
        <v>-0.70263991698374273</v>
      </c>
      <c r="DD226" s="26">
        <f t="shared" si="718"/>
        <v>0.31019744725188853</v>
      </c>
      <c r="DE226" s="26">
        <f t="shared" si="718"/>
        <v>2.0869510559346924</v>
      </c>
      <c r="DF226" s="26">
        <f>DF227*DE85-DF180+DF204+DF195</f>
        <v>0.5950327033674</v>
      </c>
      <c r="DG226" s="26">
        <f>DG227*DF85-DG180+DG204+DG195</f>
        <v>0.59881922226637796</v>
      </c>
      <c r="DH226" s="26">
        <f>DH227*DG85-DH180+DH204+DH195</f>
        <v>0.5983032715983867</v>
      </c>
      <c r="DI226" s="26">
        <f>DI227*DH85-DI180+DI204+DI195</f>
        <v>0.60071390725043505</v>
      </c>
      <c r="DJ226" s="26">
        <f t="shared" ref="DJ226:DQ226" si="719">DJ227*DI85-DJ180+DJ204+DJ195+DJ207</f>
        <v>2.856833465832922</v>
      </c>
      <c r="DK226" s="26">
        <f t="shared" si="719"/>
        <v>0.99781088393793449</v>
      </c>
      <c r="DL226" s="26">
        <f t="shared" si="719"/>
        <v>1.0208245574197963</v>
      </c>
      <c r="DM226" s="26">
        <f t="shared" si="719"/>
        <v>1.0239678206972025</v>
      </c>
      <c r="DN226" s="26">
        <f t="shared" si="719"/>
        <v>1.0235219660762864</v>
      </c>
      <c r="DO226" s="26">
        <f t="shared" si="719"/>
        <v>1.113972307093998</v>
      </c>
      <c r="DP226" s="26">
        <f t="shared" si="719"/>
        <v>1.1131081778811778</v>
      </c>
      <c r="DQ226" s="26">
        <f t="shared" si="719"/>
        <v>1.1171089325447423</v>
      </c>
      <c r="DR226" s="26">
        <f t="shared" ref="DR226" ca="1" si="720">DR227*DQ85-DR180+DR204+DR195+DR207</f>
        <v>0.41617794456840024</v>
      </c>
      <c r="DS226" s="26">
        <f t="shared" ref="DS226" ca="1" si="721">DS227*DR85-DS180+DS204+DS195+DS207</f>
        <v>0.41762349595419018</v>
      </c>
      <c r="DT226" s="26">
        <f t="shared" ref="DT226" ca="1" si="722">DT227*DS85-DT180+DT204+DT195+DT207</f>
        <v>0.41909533524702069</v>
      </c>
      <c r="DU226" s="26">
        <f t="shared" ref="DU226" ca="1" si="723">DU227*DT85-DU180+DU204+DU195+DU207</f>
        <v>0.42059302208192356</v>
      </c>
      <c r="DV226" s="54"/>
      <c r="DW226" s="54"/>
      <c r="DX226" s="54"/>
      <c r="DY226" s="54"/>
    </row>
    <row r="227" spans="1:129" hidden="1" outlineLevel="1">
      <c r="B227" s="972" t="s">
        <v>417</v>
      </c>
      <c r="M227" s="38">
        <f>M226/L85</f>
        <v>0.10079857745185278</v>
      </c>
      <c r="N227" s="38">
        <f>N226/M85</f>
        <v>4.5835268742752455E-2</v>
      </c>
      <c r="O227" s="38">
        <f>O226/N85</f>
        <v>4.3555886548519322E-2</v>
      </c>
      <c r="P227" s="967">
        <v>3.5000000000000003E-2</v>
      </c>
      <c r="Q227" s="967">
        <v>3.5000000000000003E-2</v>
      </c>
      <c r="R227" s="967">
        <v>3.5000000000000003E-2</v>
      </c>
      <c r="S227" s="967">
        <v>3.5000000000000003E-2</v>
      </c>
      <c r="T227" s="967">
        <v>3.5000000000000003E-2</v>
      </c>
      <c r="U227" s="967">
        <v>3.5000000000000003E-2</v>
      </c>
      <c r="V227" s="967">
        <v>3.5000000000000003E-2</v>
      </c>
      <c r="W227" s="967">
        <v>3.5000000000000003E-2</v>
      </c>
      <c r="X227" s="967">
        <f>+W227</f>
        <v>3.5000000000000003E-2</v>
      </c>
      <c r="Y227" s="967">
        <f>+X227</f>
        <v>3.5000000000000003E-2</v>
      </c>
      <c r="Z227" s="967">
        <f>+Y227</f>
        <v>3.5000000000000003E-2</v>
      </c>
      <c r="AA227" s="967">
        <f t="shared" ref="AA227:AD227" si="724">+Z227</f>
        <v>3.5000000000000003E-2</v>
      </c>
      <c r="AB227" s="967">
        <f t="shared" si="724"/>
        <v>3.5000000000000003E-2</v>
      </c>
      <c r="AC227" s="967">
        <f t="shared" si="724"/>
        <v>3.5000000000000003E-2</v>
      </c>
      <c r="AD227" s="967">
        <f t="shared" si="724"/>
        <v>3.5000000000000003E-2</v>
      </c>
      <c r="AE227" s="54"/>
      <c r="AJ227" s="124"/>
      <c r="AK227" s="42"/>
      <c r="AP227" s="42"/>
      <c r="AU227" s="42"/>
      <c r="AZ227" s="42"/>
      <c r="BE227" s="42"/>
      <c r="BJ227" s="42"/>
      <c r="BK227" s="26"/>
      <c r="BL227" s="26"/>
      <c r="BM227" s="26"/>
      <c r="BN227" s="26"/>
      <c r="BO227" s="1107"/>
      <c r="BP227" s="26"/>
      <c r="BQ227" s="26"/>
      <c r="BR227" s="26"/>
      <c r="BS227" s="26"/>
      <c r="BT227" s="42"/>
      <c r="BU227" s="26"/>
      <c r="BV227" s="26"/>
      <c r="BW227" s="26"/>
      <c r="BX227" s="26"/>
      <c r="BY227" s="1107"/>
      <c r="BZ227" s="38">
        <f>BZ226/BY85</f>
        <v>7.1562627299211187E-2</v>
      </c>
      <c r="CA227" s="38">
        <f>CA226/BZ85</f>
        <v>1.1244383519914568E-2</v>
      </c>
      <c r="CB227" s="38">
        <f>CB226/CA85</f>
        <v>4.5597363329212088E-3</v>
      </c>
      <c r="CC227" s="38">
        <f>CC226/CB85</f>
        <v>1.1249713251107954E-2</v>
      </c>
      <c r="CD227" s="1112">
        <f>CD226/BY85</f>
        <v>0.10079857745185278</v>
      </c>
      <c r="CE227" s="38">
        <f>CE226/CD85</f>
        <v>4.7137767757343607E-3</v>
      </c>
      <c r="CF227" s="38">
        <f>CF226/CE85</f>
        <v>1.7462728238523278E-2</v>
      </c>
      <c r="CG227" s="38">
        <f>CG226/CF85</f>
        <v>9.6528832466907036E-3</v>
      </c>
      <c r="CH227" s="38">
        <f>CH226/CG85</f>
        <v>1.3281998296602492E-2</v>
      </c>
      <c r="CI227" s="1112">
        <f>CI226/CD85</f>
        <v>4.5835268742752455E-2</v>
      </c>
      <c r="CJ227" s="967">
        <v>0.01</v>
      </c>
      <c r="CK227" s="967">
        <v>1.2500000000000001E-2</v>
      </c>
      <c r="CL227" s="967">
        <v>0.01</v>
      </c>
      <c r="CM227" s="967">
        <v>8.0000000000000002E-3</v>
      </c>
      <c r="CN227" s="1112">
        <f>CN226/CI85</f>
        <v>4.3555886548519322E-2</v>
      </c>
      <c r="CO227" s="967">
        <v>0.01</v>
      </c>
      <c r="CP227" s="967">
        <v>0.01</v>
      </c>
      <c r="CQ227" s="967">
        <v>0.01</v>
      </c>
      <c r="CR227" s="967">
        <v>0.01</v>
      </c>
      <c r="CS227" s="967">
        <v>0.01</v>
      </c>
      <c r="CT227" s="967">
        <v>0.01</v>
      </c>
      <c r="CU227" s="967">
        <v>0.01</v>
      </c>
      <c r="CV227" s="967">
        <v>0.01</v>
      </c>
      <c r="CW227" s="967">
        <v>0.01</v>
      </c>
      <c r="CX227" s="967">
        <v>0.01</v>
      </c>
      <c r="CY227" s="967">
        <v>0.01</v>
      </c>
      <c r="CZ227" s="967">
        <v>0.01</v>
      </c>
      <c r="DA227" s="967">
        <v>0.01</v>
      </c>
      <c r="DB227" s="967">
        <v>0.01</v>
      </c>
      <c r="DC227" s="967">
        <v>0.01</v>
      </c>
      <c r="DD227" s="967">
        <v>0.01</v>
      </c>
      <c r="DE227" s="967">
        <v>0.01</v>
      </c>
      <c r="DF227" s="967">
        <v>0.01</v>
      </c>
      <c r="DG227" s="967">
        <v>0.01</v>
      </c>
      <c r="DH227" s="967">
        <v>0.01</v>
      </c>
      <c r="DI227" s="967">
        <v>0.01</v>
      </c>
      <c r="DJ227" s="967">
        <v>1.4E-2</v>
      </c>
      <c r="DK227" s="967">
        <v>1.4E-2</v>
      </c>
      <c r="DL227" s="967">
        <v>1.4E-2</v>
      </c>
      <c r="DM227" s="967">
        <v>1.4E-2</v>
      </c>
      <c r="DN227" s="967">
        <v>1.4E-2</v>
      </c>
      <c r="DO227" s="967">
        <v>1.4E-2</v>
      </c>
      <c r="DP227" s="967">
        <v>1.4E-2</v>
      </c>
      <c r="DQ227" s="967">
        <v>1.4E-2</v>
      </c>
      <c r="DR227" s="967">
        <v>5.0000000000000001E-3</v>
      </c>
      <c r="DS227" s="967">
        <v>5.0000000000000001E-3</v>
      </c>
      <c r="DT227" s="967">
        <v>5.0000000000000001E-3</v>
      </c>
      <c r="DU227" s="967">
        <v>5.0000000000000001E-3</v>
      </c>
      <c r="DV227" s="38"/>
      <c r="DW227" s="38"/>
      <c r="DX227" s="38"/>
      <c r="DY227" s="38"/>
    </row>
    <row r="228" spans="1:129" ht="6" hidden="1" customHeight="1" outlineLevel="1">
      <c r="B228" s="972"/>
      <c r="M228" s="26"/>
      <c r="N228" s="26"/>
      <c r="O228" s="783"/>
      <c r="P228" s="783"/>
      <c r="Q228" s="783"/>
      <c r="R228" s="783"/>
      <c r="S228" s="783"/>
      <c r="T228" s="783"/>
      <c r="U228" s="783"/>
      <c r="V228" s="783"/>
      <c r="W228" s="783"/>
      <c r="X228" s="783"/>
      <c r="Y228" s="783"/>
      <c r="Z228" s="783"/>
      <c r="AA228" s="783"/>
      <c r="AB228" s="783"/>
      <c r="AC228" s="783"/>
      <c r="AD228" s="783"/>
      <c r="AE228" s="54"/>
      <c r="AJ228" s="124"/>
      <c r="AK228" s="42"/>
      <c r="AP228" s="42"/>
      <c r="AU228" s="42"/>
      <c r="AZ228" s="42"/>
      <c r="BE228" s="42"/>
      <c r="BJ228" s="42"/>
      <c r="BK228" s="26"/>
      <c r="BL228" s="26"/>
      <c r="BM228" s="26"/>
      <c r="BN228" s="26"/>
      <c r="BO228" s="1107"/>
      <c r="BP228" s="26"/>
      <c r="BQ228" s="26"/>
      <c r="BR228" s="26"/>
      <c r="BS228" s="26"/>
      <c r="BT228" s="42"/>
      <c r="BU228" s="26"/>
      <c r="BV228" s="26"/>
      <c r="BW228" s="26"/>
      <c r="BX228" s="26"/>
      <c r="BY228" s="1107"/>
      <c r="BZ228" s="38"/>
      <c r="CA228" s="38"/>
      <c r="CB228" s="38"/>
      <c r="CC228" s="38"/>
      <c r="CD228" s="1112"/>
      <c r="CE228" s="38"/>
      <c r="CF228" s="38"/>
      <c r="CG228" s="38"/>
      <c r="CH228" s="38"/>
      <c r="CI228" s="1112"/>
      <c r="CJ228" s="783"/>
      <c r="CK228" s="783"/>
      <c r="CL228" s="783"/>
      <c r="CM228" s="783"/>
      <c r="CN228" s="42"/>
      <c r="CO228" s="783"/>
      <c r="CP228" s="783"/>
      <c r="CQ228" s="783"/>
      <c r="CR228" s="783"/>
      <c r="CS228" s="42"/>
      <c r="CT228" s="783"/>
      <c r="CU228" s="783"/>
      <c r="CV228" s="783"/>
      <c r="CW228" s="783"/>
      <c r="CX228" s="783"/>
      <c r="CY228" s="783"/>
      <c r="CZ228" s="783"/>
      <c r="DA228" s="783"/>
      <c r="DB228" s="783"/>
      <c r="DC228" s="783"/>
      <c r="DD228" s="783"/>
      <c r="DE228" s="783"/>
      <c r="DF228" s="783"/>
      <c r="DG228" s="783"/>
      <c r="DH228" s="783"/>
      <c r="DI228" s="783"/>
      <c r="DJ228" s="783"/>
      <c r="DK228" s="783"/>
      <c r="DL228" s="783"/>
      <c r="DM228" s="783"/>
      <c r="DN228" s="783"/>
      <c r="DO228" s="783"/>
      <c r="DP228" s="783"/>
      <c r="DQ228" s="783"/>
      <c r="DR228" s="783"/>
      <c r="DS228" s="783"/>
      <c r="DT228" s="783"/>
      <c r="DU228" s="783"/>
    </row>
    <row r="229" spans="1:129" hidden="1" outlineLevel="1">
      <c r="B229" s="958" t="s">
        <v>977</v>
      </c>
      <c r="AE229" s="54"/>
      <c r="AJ229" s="124"/>
      <c r="AK229" s="42"/>
      <c r="AP229" s="42"/>
      <c r="AU229" s="42"/>
      <c r="AZ229" s="42"/>
      <c r="BE229" s="42"/>
      <c r="BJ229" s="42"/>
      <c r="BO229" s="42"/>
      <c r="BT229" s="42"/>
      <c r="BY229" s="42"/>
      <c r="CD229" s="42"/>
      <c r="CI229" s="42"/>
      <c r="CN229" s="42"/>
      <c r="CS229" s="42"/>
    </row>
    <row r="230" spans="1:129" hidden="1" outlineLevel="1">
      <c r="B230" s="960" t="s">
        <v>1097</v>
      </c>
      <c r="AE230" s="54"/>
      <c r="AJ230" s="124"/>
      <c r="AK230" s="42"/>
      <c r="AP230" s="42"/>
      <c r="AU230" s="42"/>
      <c r="AZ230" s="42"/>
      <c r="BE230" s="42"/>
      <c r="BJ230" s="42"/>
      <c r="BO230" s="42"/>
      <c r="BT230" s="42"/>
      <c r="BY230" s="42"/>
      <c r="CD230" s="42"/>
      <c r="CI230" s="42"/>
      <c r="CN230" s="42"/>
      <c r="CS230" s="42"/>
    </row>
    <row r="231" spans="1:129" collapsed="1">
      <c r="AE231" s="54"/>
      <c r="AJ231" s="124"/>
      <c r="AK231" s="42"/>
      <c r="AP231" s="42"/>
      <c r="AU231" s="42"/>
      <c r="AZ231" s="42"/>
      <c r="BE231" s="42"/>
      <c r="BJ231" s="42"/>
      <c r="BO231" s="42"/>
      <c r="BT231" s="42"/>
      <c r="BY231" s="42"/>
      <c r="CD231" s="42"/>
      <c r="CI231" s="42"/>
      <c r="CN231" s="42"/>
      <c r="CS231" s="42"/>
    </row>
    <row r="232" spans="1:129">
      <c r="A232" s="1163" t="s">
        <v>604</v>
      </c>
      <c r="B232" s="28" t="s">
        <v>1789</v>
      </c>
      <c r="C232" s="29"/>
      <c r="D232" s="29"/>
      <c r="E232" s="29"/>
      <c r="F232" s="29"/>
      <c r="G232" s="29"/>
      <c r="H232" s="29"/>
      <c r="I232" s="29"/>
      <c r="J232" s="29"/>
      <c r="K232" s="29"/>
      <c r="L232" s="29"/>
      <c r="M232" s="29"/>
      <c r="N232" s="29"/>
      <c r="O232" s="29"/>
      <c r="P232" s="29"/>
      <c r="Q232" s="29"/>
      <c r="R232" s="29"/>
      <c r="S232" s="29"/>
      <c r="T232" s="29"/>
      <c r="U232" s="29"/>
      <c r="V232" s="29"/>
      <c r="W232" s="29"/>
      <c r="X232" s="29"/>
      <c r="Y232" s="29"/>
      <c r="Z232" s="29"/>
      <c r="AA232" s="29"/>
      <c r="AB232" s="29"/>
      <c r="AC232" s="29"/>
      <c r="AD232" s="29"/>
      <c r="AE232" s="54"/>
      <c r="AJ232" s="124"/>
      <c r="AK232" s="42"/>
      <c r="AP232" s="42"/>
      <c r="AU232" s="42"/>
      <c r="AZ232" s="42"/>
      <c r="BE232" s="42"/>
      <c r="BJ232" s="42"/>
      <c r="BO232" s="42"/>
      <c r="BT232" s="42"/>
      <c r="BY232" s="42"/>
      <c r="CD232" s="42"/>
      <c r="CI232" s="42"/>
      <c r="CJ232" s="29"/>
      <c r="CK232" s="29"/>
      <c r="CL232" s="29"/>
      <c r="CM232" s="29"/>
      <c r="CN232" s="42"/>
      <c r="CO232" s="29"/>
      <c r="CP232" s="29"/>
      <c r="CQ232" s="29"/>
      <c r="CR232" s="29"/>
      <c r="CS232" s="42"/>
      <c r="CT232" s="29"/>
      <c r="CU232" s="29"/>
      <c r="CV232" s="29"/>
      <c r="CW232" s="29"/>
      <c r="CX232" s="29"/>
      <c r="CY232" s="29"/>
      <c r="CZ232" s="29"/>
      <c r="DA232" s="29"/>
      <c r="DB232" s="29"/>
      <c r="DC232" s="29"/>
      <c r="DD232" s="29"/>
      <c r="DE232" s="29"/>
      <c r="DF232" s="29"/>
      <c r="DG232" s="29"/>
      <c r="DH232" s="29"/>
      <c r="DI232" s="29"/>
      <c r="DJ232" s="29"/>
      <c r="DK232" s="29"/>
      <c r="DL232" s="29"/>
      <c r="DM232" s="29"/>
      <c r="DN232" s="29"/>
      <c r="DO232" s="29"/>
      <c r="DP232" s="29"/>
      <c r="DQ232" s="29"/>
      <c r="DR232" s="29"/>
      <c r="DS232" s="29"/>
      <c r="DT232" s="29"/>
      <c r="DU232" s="29"/>
    </row>
    <row r="233" spans="1:129" outlineLevel="1">
      <c r="B233" s="15" t="s">
        <v>59</v>
      </c>
      <c r="N233" s="1498"/>
      <c r="O233" s="1498"/>
      <c r="P233" s="1498">
        <f>+O235</f>
        <v>517.98800000000006</v>
      </c>
      <c r="Q233" s="1498">
        <f t="shared" ref="Q233:Z233" si="725">+P235</f>
        <v>450</v>
      </c>
      <c r="R233" s="1498">
        <f t="shared" si="725"/>
        <v>0</v>
      </c>
      <c r="S233" s="1498">
        <f t="shared" si="725"/>
        <v>0</v>
      </c>
      <c r="T233" s="1498">
        <f t="shared" si="725"/>
        <v>0</v>
      </c>
      <c r="U233" s="1498">
        <f t="shared" si="725"/>
        <v>0</v>
      </c>
      <c r="V233" s="1498">
        <f t="shared" si="725"/>
        <v>0</v>
      </c>
      <c r="W233" s="1498">
        <f t="shared" si="725"/>
        <v>0</v>
      </c>
      <c r="X233" s="1498">
        <f t="shared" ca="1" si="725"/>
        <v>0</v>
      </c>
      <c r="Y233" s="1498">
        <f t="shared" ca="1" si="725"/>
        <v>0</v>
      </c>
      <c r="Z233" s="1498">
        <f t="shared" ca="1" si="725"/>
        <v>0</v>
      </c>
      <c r="AA233" s="1498">
        <f t="shared" ref="AA233" ca="1" si="726">+Z235</f>
        <v>0</v>
      </c>
      <c r="AB233" s="1498">
        <f t="shared" ref="AB233" ca="1" si="727">+AA235</f>
        <v>0</v>
      </c>
      <c r="AC233" s="1498">
        <f t="shared" ref="AC233" ca="1" si="728">+AB235</f>
        <v>0</v>
      </c>
      <c r="AD233" s="1498">
        <f t="shared" ref="AD233" ca="1" si="729">+AC235</f>
        <v>0</v>
      </c>
      <c r="AE233" s="54"/>
      <c r="AJ233" s="124"/>
      <c r="AK233" s="42"/>
      <c r="AP233" s="42"/>
      <c r="AU233" s="42"/>
      <c r="AZ233" s="42"/>
      <c r="BE233" s="42"/>
      <c r="BJ233" s="42"/>
      <c r="BO233" s="42"/>
      <c r="BT233" s="42"/>
      <c r="BY233" s="1120">
        <v>-21.765000000000001</v>
      </c>
      <c r="CD233" s="1120">
        <v>-16.614000000000001</v>
      </c>
      <c r="CI233" s="1120">
        <v>-15.576000000000001</v>
      </c>
      <c r="CN233" s="42"/>
      <c r="CO233" s="1498">
        <f>+CM235</f>
        <v>517.98800000000006</v>
      </c>
      <c r="CP233" s="1498">
        <f>+CO235</f>
        <v>492.84300000000007</v>
      </c>
      <c r="CQ233" s="1498">
        <f>+CP235</f>
        <v>462.11000000000007</v>
      </c>
      <c r="CR233" s="1498">
        <f>+CQ235</f>
        <v>441.47100000000012</v>
      </c>
      <c r="CS233" s="42"/>
      <c r="CT233" s="1498">
        <f t="shared" ref="CT233:DI233" si="730">+CR235</f>
        <v>450</v>
      </c>
      <c r="CU233" s="1498">
        <f t="shared" si="730"/>
        <v>0</v>
      </c>
      <c r="CV233" s="1498">
        <f t="shared" si="730"/>
        <v>450</v>
      </c>
      <c r="CW233" s="1498">
        <f t="shared" si="730"/>
        <v>450</v>
      </c>
      <c r="CX233" s="1498">
        <f t="shared" si="730"/>
        <v>0</v>
      </c>
      <c r="CY233" s="1498">
        <f t="shared" si="730"/>
        <v>0</v>
      </c>
      <c r="CZ233" s="1498">
        <f t="shared" si="730"/>
        <v>0</v>
      </c>
      <c r="DA233" s="1498">
        <f t="shared" si="730"/>
        <v>0</v>
      </c>
      <c r="DB233" s="1498">
        <f t="shared" si="730"/>
        <v>0</v>
      </c>
      <c r="DC233" s="1498">
        <f t="shared" si="730"/>
        <v>0</v>
      </c>
      <c r="DD233" s="1498">
        <f t="shared" si="730"/>
        <v>0</v>
      </c>
      <c r="DE233" s="1498">
        <f t="shared" si="730"/>
        <v>0</v>
      </c>
      <c r="DF233" s="1498">
        <f t="shared" si="730"/>
        <v>0</v>
      </c>
      <c r="DG233" s="1498">
        <f t="shared" si="730"/>
        <v>0</v>
      </c>
      <c r="DH233" s="1498">
        <f t="shared" si="730"/>
        <v>0</v>
      </c>
      <c r="DI233" s="1498">
        <f t="shared" si="730"/>
        <v>0</v>
      </c>
      <c r="DJ233" s="1498">
        <f t="shared" ref="DJ233:DQ233" si="731">+DI235</f>
        <v>0</v>
      </c>
      <c r="DK233" s="1498">
        <f t="shared" si="731"/>
        <v>31.110999999999983</v>
      </c>
      <c r="DL233" s="1498">
        <f t="shared" si="731"/>
        <v>0</v>
      </c>
      <c r="DM233" s="1498">
        <f t="shared" si="731"/>
        <v>0</v>
      </c>
      <c r="DN233" s="1498">
        <f t="shared" si="731"/>
        <v>0</v>
      </c>
      <c r="DO233" s="1498">
        <f t="shared" si="731"/>
        <v>0</v>
      </c>
      <c r="DP233" s="1498">
        <f t="shared" si="731"/>
        <v>0</v>
      </c>
      <c r="DQ233" s="1498">
        <f t="shared" si="731"/>
        <v>0</v>
      </c>
      <c r="DR233" s="1498">
        <f t="shared" ref="DR233" si="732">+DQ235</f>
        <v>0</v>
      </c>
      <c r="DS233" s="1498">
        <f t="shared" ref="DS233" ca="1" si="733">+DR235</f>
        <v>0</v>
      </c>
      <c r="DT233" s="1498">
        <f t="shared" ref="DT233" ca="1" si="734">+DS235</f>
        <v>0</v>
      </c>
      <c r="DU233" s="1498">
        <f t="shared" ref="DU233" ca="1" si="735">+DT235</f>
        <v>0</v>
      </c>
    </row>
    <row r="234" spans="1:129" outlineLevel="1">
      <c r="B234" s="876" t="s">
        <v>69</v>
      </c>
      <c r="N234" s="1498"/>
      <c r="O234" s="1498"/>
      <c r="P234" s="1498">
        <f t="shared" ref="P234:Z234" si="736">+IF(P55&lt;0,-P55,-MINA(P55,P233))</f>
        <v>-127.6930000000001</v>
      </c>
      <c r="Q234" s="1498">
        <f t="shared" si="736"/>
        <v>-188.62199999999987</v>
      </c>
      <c r="R234" s="1498">
        <f t="shared" si="736"/>
        <v>0</v>
      </c>
      <c r="S234" s="1498">
        <f t="shared" si="736"/>
        <v>0</v>
      </c>
      <c r="T234" s="1498">
        <f t="shared" si="736"/>
        <v>0</v>
      </c>
      <c r="U234" s="1498">
        <f t="shared" si="736"/>
        <v>0</v>
      </c>
      <c r="V234" s="1498">
        <f>+IF(V55&lt;0,-V55,-MINA(V55,V233))</f>
        <v>0</v>
      </c>
      <c r="W234" s="1498">
        <f ca="1">+IF(W55&lt;0,-W55,-MINA(W55,W233))</f>
        <v>0</v>
      </c>
      <c r="X234" s="1498">
        <f t="shared" ca="1" si="736"/>
        <v>0</v>
      </c>
      <c r="Y234" s="1498">
        <f t="shared" ca="1" si="736"/>
        <v>0</v>
      </c>
      <c r="Z234" s="1498">
        <f t="shared" ca="1" si="736"/>
        <v>0</v>
      </c>
      <c r="AA234" s="1498">
        <f t="shared" ref="AA234:AD234" ca="1" si="737">+IF(AA55&lt;0,-AA55,-MINA(AA55,AA233))</f>
        <v>0</v>
      </c>
      <c r="AB234" s="1498">
        <f t="shared" ca="1" si="737"/>
        <v>0</v>
      </c>
      <c r="AC234" s="1498">
        <f t="shared" ca="1" si="737"/>
        <v>0</v>
      </c>
      <c r="AD234" s="1498">
        <f t="shared" ca="1" si="737"/>
        <v>0</v>
      </c>
      <c r="AE234" s="54"/>
      <c r="AJ234" s="124"/>
      <c r="AK234" s="42"/>
      <c r="AP234" s="42"/>
      <c r="AU234" s="42"/>
      <c r="AZ234" s="42"/>
      <c r="BE234" s="42"/>
      <c r="BJ234" s="42"/>
      <c r="BO234" s="42"/>
      <c r="BT234" s="42"/>
      <c r="BY234" s="1120"/>
      <c r="CD234" s="1120"/>
      <c r="CI234" s="1120"/>
      <c r="CN234" s="42"/>
      <c r="CO234" s="1498">
        <f>+IF(CO63&lt;0,-CO63,-MINA(CO63,CO233))</f>
        <v>-25.144999999999982</v>
      </c>
      <c r="CP234" s="1498">
        <f>+IF(CP63&lt;0,-CP63,-MINA(CP63,CP233))</f>
        <v>-30.73299999999999</v>
      </c>
      <c r="CQ234" s="1498">
        <f>+IF(CQ63&lt;0,-CQ63,-MINA(CQ63,CQ233))</f>
        <v>-20.63899999999996</v>
      </c>
      <c r="CR234" s="1498">
        <f>+IF(CR63&lt;0,-CR63,-MINA(CR63,CR233))</f>
        <v>-16.092999999999989</v>
      </c>
      <c r="CS234" s="42"/>
      <c r="CT234" s="1498">
        <f t="shared" ref="CT234:DJ234" si="738">+IF(CT63&lt;0,-CT63,-MINA(CT63,CT233))</f>
        <v>-32.406000000000006</v>
      </c>
      <c r="CU234" s="1498">
        <f t="shared" si="738"/>
        <v>0</v>
      </c>
      <c r="CV234" s="1498">
        <f t="shared" si="738"/>
        <v>-27.326999999999945</v>
      </c>
      <c r="CW234" s="1498">
        <f t="shared" si="738"/>
        <v>-46.611000000000004</v>
      </c>
      <c r="CX234" s="1498">
        <f t="shared" si="738"/>
        <v>0</v>
      </c>
      <c r="CY234" s="1498">
        <f t="shared" si="738"/>
        <v>25.286999999999992</v>
      </c>
      <c r="CZ234" s="1498">
        <f t="shared" si="738"/>
        <v>0</v>
      </c>
      <c r="DA234" s="1498">
        <f t="shared" si="738"/>
        <v>0</v>
      </c>
      <c r="DB234" s="1498">
        <f t="shared" si="738"/>
        <v>0</v>
      </c>
      <c r="DC234" s="1498">
        <f t="shared" si="738"/>
        <v>0</v>
      </c>
      <c r="DD234" s="1498">
        <f t="shared" si="738"/>
        <v>0</v>
      </c>
      <c r="DE234" s="1498">
        <f t="shared" si="738"/>
        <v>355.10299999999995</v>
      </c>
      <c r="DF234" s="1498">
        <f t="shared" si="738"/>
        <v>0</v>
      </c>
      <c r="DG234" s="1498">
        <f t="shared" si="738"/>
        <v>0</v>
      </c>
      <c r="DH234" s="1498">
        <f t="shared" si="738"/>
        <v>0</v>
      </c>
      <c r="DI234" s="1498">
        <f t="shared" si="738"/>
        <v>0</v>
      </c>
      <c r="DJ234" s="1498">
        <f t="shared" si="738"/>
        <v>31.110999999999983</v>
      </c>
      <c r="DK234" s="1498">
        <f t="shared" ref="DK234:DM234" si="739">+IF(DK63&lt;0,-DK63,-MINA(DK63,DK233))</f>
        <v>-31.110999999999983</v>
      </c>
      <c r="DL234" s="1498">
        <f t="shared" si="739"/>
        <v>0</v>
      </c>
      <c r="DM234" s="1498">
        <f t="shared" si="739"/>
        <v>0</v>
      </c>
      <c r="DN234" s="1498">
        <f>+IF(DN63&lt;0,-DN63,-MINA(DN63,DN233))</f>
        <v>0</v>
      </c>
      <c r="DO234" s="1498">
        <f>+IF(DO63&lt;0,-DO63,-MINA(DO63,DO233))</f>
        <v>0</v>
      </c>
      <c r="DP234" s="1498">
        <f>+IF(DP63&lt;0,-DP63,-MINA(DP63,DP233))</f>
        <v>0</v>
      </c>
      <c r="DQ234" s="1498">
        <f>+IF(DQ63&lt;0,-DQ63,-MINA(DQ63,DQ233))</f>
        <v>0</v>
      </c>
      <c r="DR234" s="1498">
        <f t="shared" ref="DR234:DU234" ca="1" si="740">+IF(DR63&lt;0,-DR63,-MINA(DR63,DR233))</f>
        <v>0</v>
      </c>
      <c r="DS234" s="1498">
        <f t="shared" ca="1" si="740"/>
        <v>0</v>
      </c>
      <c r="DT234" s="1498">
        <f t="shared" ca="1" si="740"/>
        <v>0</v>
      </c>
      <c r="DU234" s="1498">
        <f t="shared" ca="1" si="740"/>
        <v>0</v>
      </c>
    </row>
    <row r="235" spans="1:129" outlineLevel="1">
      <c r="B235" s="15" t="s">
        <v>1044</v>
      </c>
      <c r="N235" s="1498"/>
      <c r="O235" s="1485">
        <v>517.98800000000006</v>
      </c>
      <c r="P235" s="1585">
        <v>450</v>
      </c>
      <c r="Q235" s="1585">
        <v>0</v>
      </c>
      <c r="R235" s="1498">
        <f t="shared" ref="R235:Z235" si="741">SUM(R233:R234)</f>
        <v>0</v>
      </c>
      <c r="S235" s="1498">
        <f t="shared" si="741"/>
        <v>0</v>
      </c>
      <c r="T235" s="1498">
        <f>SUM(T233:T234)</f>
        <v>0</v>
      </c>
      <c r="U235" s="1498">
        <f>SUM(U233:U234)</f>
        <v>0</v>
      </c>
      <c r="V235" s="1498">
        <f>SUM(V233:V234)</f>
        <v>0</v>
      </c>
      <c r="W235" s="1498">
        <f ca="1">SUM(W233:W234)</f>
        <v>0</v>
      </c>
      <c r="X235" s="1498">
        <f t="shared" ca="1" si="741"/>
        <v>0</v>
      </c>
      <c r="Y235" s="1498">
        <f t="shared" ca="1" si="741"/>
        <v>0</v>
      </c>
      <c r="Z235" s="1498">
        <f t="shared" ca="1" si="741"/>
        <v>0</v>
      </c>
      <c r="AA235" s="1498">
        <f t="shared" ref="AA235:AD235" ca="1" si="742">SUM(AA233:AA234)</f>
        <v>0</v>
      </c>
      <c r="AB235" s="1498">
        <f t="shared" ca="1" si="742"/>
        <v>0</v>
      </c>
      <c r="AC235" s="1498">
        <f t="shared" ca="1" si="742"/>
        <v>0</v>
      </c>
      <c r="AD235" s="1498">
        <f t="shared" ca="1" si="742"/>
        <v>0</v>
      </c>
      <c r="AE235" s="54"/>
      <c r="AJ235" s="124"/>
      <c r="AK235" s="42"/>
      <c r="AP235" s="42"/>
      <c r="AU235" s="42"/>
      <c r="AZ235" s="42"/>
      <c r="BE235" s="42"/>
      <c r="BJ235" s="42"/>
      <c r="BO235" s="42"/>
      <c r="BT235" s="42"/>
      <c r="BY235" s="1107">
        <f>SUM(BY233:BY233)</f>
        <v>-21.765000000000001</v>
      </c>
      <c r="CD235" s="1107">
        <f>SUM(CD233:CD233)</f>
        <v>-16.614000000000001</v>
      </c>
      <c r="CI235" s="1107">
        <f>SUM(CI233:CI233)</f>
        <v>-15.576000000000001</v>
      </c>
      <c r="CM235" s="117">
        <v>517.98800000000006</v>
      </c>
      <c r="CN235" s="42"/>
      <c r="CO235" s="1498">
        <f>SUM(CO233:CO234)</f>
        <v>492.84300000000007</v>
      </c>
      <c r="CP235" s="1498">
        <f>SUM(CP233:CP234)</f>
        <v>462.11000000000007</v>
      </c>
      <c r="CQ235" s="1498">
        <f>SUM(CQ233:CQ234)</f>
        <v>441.47100000000012</v>
      </c>
      <c r="CR235" s="1485">
        <v>450</v>
      </c>
      <c r="CS235" s="42"/>
      <c r="CT235" s="1485">
        <v>450</v>
      </c>
      <c r="CU235" s="1485">
        <v>450</v>
      </c>
      <c r="CV235" s="1485">
        <v>0</v>
      </c>
      <c r="CW235" s="1485">
        <v>0</v>
      </c>
      <c r="CX235" s="1485">
        <v>0</v>
      </c>
      <c r="CY235" s="1485">
        <v>0</v>
      </c>
      <c r="CZ235" s="1485">
        <v>0</v>
      </c>
      <c r="DA235" s="1485">
        <v>0</v>
      </c>
      <c r="DB235" s="1485">
        <v>0</v>
      </c>
      <c r="DC235" s="1485">
        <v>0</v>
      </c>
      <c r="DD235" s="1485">
        <v>0</v>
      </c>
      <c r="DE235" s="1485">
        <v>0</v>
      </c>
      <c r="DF235" s="1485">
        <v>0</v>
      </c>
      <c r="DG235" s="1485">
        <v>0</v>
      </c>
      <c r="DH235" s="1485">
        <v>0</v>
      </c>
      <c r="DI235" s="1485">
        <v>0</v>
      </c>
      <c r="DJ235" s="1498">
        <f t="shared" ref="DJ235:DL235" si="743">SUM(DJ233:DJ234)</f>
        <v>31.110999999999983</v>
      </c>
      <c r="DK235" s="1498">
        <f t="shared" si="743"/>
        <v>0</v>
      </c>
      <c r="DL235" s="1498">
        <f t="shared" si="743"/>
        <v>0</v>
      </c>
      <c r="DM235" s="1498">
        <f>SUM(DM233:DM234)</f>
        <v>0</v>
      </c>
      <c r="DN235" s="1498">
        <f>SUM(DN233:DN234)</f>
        <v>0</v>
      </c>
      <c r="DO235" s="1498">
        <f>SUM(DO233:DO234)</f>
        <v>0</v>
      </c>
      <c r="DP235" s="1498">
        <f>SUM(DP233:DP234)</f>
        <v>0</v>
      </c>
      <c r="DQ235" s="1498">
        <f>SUM(DQ233:DQ234)</f>
        <v>0</v>
      </c>
      <c r="DR235" s="1498">
        <f t="shared" ref="DR235:DU235" ca="1" si="744">SUM(DR233:DR234)</f>
        <v>0</v>
      </c>
      <c r="DS235" s="1498">
        <f t="shared" ca="1" si="744"/>
        <v>0</v>
      </c>
      <c r="DT235" s="1498">
        <f t="shared" ca="1" si="744"/>
        <v>0</v>
      </c>
      <c r="DU235" s="1498">
        <f t="shared" ca="1" si="744"/>
        <v>0</v>
      </c>
    </row>
    <row r="236" spans="1:129">
      <c r="AE236" s="54"/>
      <c r="AJ236" s="124"/>
      <c r="AK236" s="42"/>
      <c r="AP236" s="42"/>
      <c r="AU236" s="42"/>
      <c r="AZ236" s="42"/>
      <c r="BE236" s="42"/>
      <c r="BJ236" s="42"/>
      <c r="BO236" s="42"/>
      <c r="BT236" s="42"/>
      <c r="BY236" s="42"/>
      <c r="CD236" s="42"/>
      <c r="CI236" s="42"/>
      <c r="CN236" s="42"/>
      <c r="CO236" s="1498"/>
      <c r="CS236" s="42"/>
    </row>
    <row r="237" spans="1:129">
      <c r="A237" s="1163" t="s">
        <v>604</v>
      </c>
      <c r="B237" s="28" t="s">
        <v>426</v>
      </c>
      <c r="C237" s="29"/>
      <c r="D237" s="29"/>
      <c r="E237" s="29"/>
      <c r="F237" s="29"/>
      <c r="G237" s="29"/>
      <c r="H237" s="29"/>
      <c r="I237" s="29"/>
      <c r="J237" s="29"/>
      <c r="K237" s="29"/>
      <c r="L237" s="29"/>
      <c r="M237" s="29"/>
      <c r="N237" s="29"/>
      <c r="O237" s="29"/>
      <c r="P237" s="29"/>
      <c r="Q237" s="29"/>
      <c r="R237" s="29"/>
      <c r="S237" s="29"/>
      <c r="T237" s="29"/>
      <c r="U237" s="29"/>
      <c r="V237" s="29"/>
      <c r="W237" s="29"/>
      <c r="X237" s="29"/>
      <c r="Y237" s="29"/>
      <c r="Z237" s="29"/>
      <c r="AA237" s="29"/>
      <c r="AB237" s="29"/>
      <c r="AC237" s="29"/>
      <c r="AD237" s="29"/>
      <c r="AE237" s="54"/>
      <c r="AJ237" s="124"/>
      <c r="AK237" s="42"/>
      <c r="AP237" s="42"/>
      <c r="AU237" s="42"/>
      <c r="AZ237" s="42"/>
      <c r="BE237" s="42"/>
      <c r="BJ237" s="42"/>
      <c r="BO237" s="42"/>
      <c r="BT237" s="42"/>
      <c r="BY237" s="42"/>
      <c r="CD237" s="42"/>
      <c r="CI237" s="42"/>
      <c r="CJ237" s="29"/>
      <c r="CK237" s="29"/>
      <c r="CL237" s="29"/>
      <c r="CM237" s="29"/>
      <c r="CN237" s="42"/>
      <c r="CO237" s="29"/>
      <c r="CP237" s="29"/>
      <c r="CQ237" s="29"/>
      <c r="CR237" s="29"/>
      <c r="CS237" s="42"/>
      <c r="CT237" s="29"/>
      <c r="CU237" s="29"/>
      <c r="CV237" s="29"/>
      <c r="CW237" s="29"/>
      <c r="CX237" s="29"/>
      <c r="CY237" s="29"/>
      <c r="CZ237" s="29"/>
      <c r="DA237" s="29"/>
      <c r="DB237" s="29"/>
      <c r="DC237" s="29"/>
      <c r="DD237" s="29"/>
      <c r="DE237" s="29"/>
      <c r="DF237" s="29"/>
      <c r="DG237" s="29"/>
      <c r="DH237" s="29"/>
      <c r="DI237" s="29"/>
      <c r="DJ237" s="29"/>
      <c r="DK237" s="29"/>
      <c r="DL237" s="29"/>
      <c r="DM237" s="29"/>
      <c r="DN237" s="29"/>
      <c r="DO237" s="29"/>
      <c r="DP237" s="29"/>
      <c r="DQ237" s="29"/>
      <c r="DR237" s="29"/>
      <c r="DS237" s="29"/>
      <c r="DT237" s="29"/>
      <c r="DU237" s="29"/>
    </row>
    <row r="238" spans="1:129" outlineLevel="1">
      <c r="B238" s="15" t="s">
        <v>427</v>
      </c>
      <c r="N238" s="1498"/>
      <c r="O238" s="1498"/>
      <c r="P238" s="1498">
        <f>+SUM(CO238:CR238)</f>
        <v>849.97900000000004</v>
      </c>
      <c r="Q238" s="1498">
        <f>+SUM(CT238:CW238)</f>
        <v>999.51900000000001</v>
      </c>
      <c r="R238" s="1498">
        <f>+SUM(CX238:DA238)</f>
        <v>1151.8679999999999</v>
      </c>
      <c r="S238" s="1498">
        <f>+SUM(DB238:DE238)</f>
        <v>1329.884</v>
      </c>
      <c r="T238" s="1498">
        <f>+SUM(DF238:DI238)</f>
        <v>1454.24</v>
      </c>
      <c r="U238" s="1498">
        <f>+SUM(DJ238:DM238)</f>
        <v>1954.5150000000001</v>
      </c>
      <c r="V238" s="1498">
        <f>+SUM(DN238:DQ238)</f>
        <v>2316.3869999999997</v>
      </c>
      <c r="W238" s="1498">
        <f ca="1">+SUM(DR238:DU238)</f>
        <v>2642.9572837020078</v>
      </c>
      <c r="X238" s="1498">
        <f ca="1">+X18+X22+X23</f>
        <v>2873.9682575134239</v>
      </c>
      <c r="Y238" s="1498">
        <f ca="1">+Y18+Y22+Y23</f>
        <v>3090.2858831986332</v>
      </c>
      <c r="Z238" s="1498">
        <f ca="1">+Z18+Z22+Z23</f>
        <v>3291.9877026233617</v>
      </c>
      <c r="AA238" s="1498">
        <f t="shared" ref="AA238:AD238" ca="1" si="745">+AA18+AA22+AA23</f>
        <v>3491.2512817928055</v>
      </c>
      <c r="AB238" s="1498">
        <f t="shared" ca="1" si="745"/>
        <v>3687.9382720110161</v>
      </c>
      <c r="AC238" s="1498">
        <f t="shared" ca="1" si="745"/>
        <v>3881.9425588269937</v>
      </c>
      <c r="AD238" s="1498">
        <f t="shared" ca="1" si="745"/>
        <v>4073.1801693170505</v>
      </c>
      <c r="AE238" s="54"/>
      <c r="AJ238" s="124"/>
      <c r="AK238" s="42"/>
      <c r="AP238" s="42"/>
      <c r="AU238" s="42"/>
      <c r="AZ238" s="42"/>
      <c r="BE238" s="42"/>
      <c r="BJ238" s="42"/>
      <c r="BO238" s="42"/>
      <c r="BT238" s="42"/>
      <c r="BY238" s="1120"/>
      <c r="CD238" s="1120"/>
      <c r="CI238" s="1120"/>
      <c r="CN238" s="42"/>
      <c r="CO238" s="1498">
        <f>+CO18+CO22+CO23</f>
        <v>191.62199999999999</v>
      </c>
      <c r="CP238" s="1498">
        <f>+CP18+CP22+CP23</f>
        <v>208.10499999999996</v>
      </c>
      <c r="CQ238" s="1498">
        <f>+CQ18+CQ22+CQ23</f>
        <v>221.38</v>
      </c>
      <c r="CR238" s="1498">
        <f>+CR18+CR22+CR23</f>
        <v>228.87200000000001</v>
      </c>
      <c r="CS238" s="42"/>
      <c r="CT238" s="1498">
        <f t="shared" ref="CT238:DN238" si="746">+CT18+CT22+CT23</f>
        <v>234.21699999999998</v>
      </c>
      <c r="CU238" s="1498">
        <f t="shared" si="746"/>
        <v>239.11</v>
      </c>
      <c r="CV238" s="1498">
        <f t="shared" si="746"/>
        <v>259.81900000000002</v>
      </c>
      <c r="CW238" s="1498">
        <f t="shared" si="746"/>
        <v>266.37299999999999</v>
      </c>
      <c r="CX238" s="1498">
        <f t="shared" si="746"/>
        <v>275.24599999999998</v>
      </c>
      <c r="CY238" s="1498">
        <f t="shared" si="746"/>
        <v>280.83600000000001</v>
      </c>
      <c r="CZ238" s="1498">
        <f t="shared" si="746"/>
        <v>294.63900000000001</v>
      </c>
      <c r="DA238" s="1498">
        <f t="shared" si="746"/>
        <v>301.14699999999999</v>
      </c>
      <c r="DB238" s="1498">
        <f t="shared" si="746"/>
        <v>319.66499999999996</v>
      </c>
      <c r="DC238" s="1498">
        <f t="shared" si="746"/>
        <v>329.88400000000001</v>
      </c>
      <c r="DD238" s="1498">
        <f t="shared" si="746"/>
        <v>336.57900000000001</v>
      </c>
      <c r="DE238" s="1498">
        <f t="shared" si="746"/>
        <v>343.75599999999997</v>
      </c>
      <c r="DF238" s="1498">
        <f t="shared" si="746"/>
        <v>337.42599999999999</v>
      </c>
      <c r="DG238" s="1498">
        <f t="shared" si="746"/>
        <v>354.32</v>
      </c>
      <c r="DH238" s="1498">
        <f t="shared" si="746"/>
        <v>365.17700000000002</v>
      </c>
      <c r="DI238" s="1498">
        <f t="shared" si="746"/>
        <v>397.31700000000001</v>
      </c>
      <c r="DJ238" s="1498">
        <f t="shared" si="746"/>
        <v>463.50600000000003</v>
      </c>
      <c r="DK238" s="1498">
        <f t="shared" si="746"/>
        <v>480.21900000000005</v>
      </c>
      <c r="DL238" s="1498">
        <f t="shared" si="746"/>
        <v>504.63400000000001</v>
      </c>
      <c r="DM238" s="1498">
        <f t="shared" si="746"/>
        <v>506.15600000000001</v>
      </c>
      <c r="DN238" s="1498">
        <f t="shared" si="746"/>
        <v>521.95100000000002</v>
      </c>
      <c r="DO238" s="1498">
        <f t="shared" ref="DO238:DP238" si="747">+DO18+DO22+DO23</f>
        <v>557.11299999999994</v>
      </c>
      <c r="DP238" s="1498">
        <f t="shared" si="747"/>
        <v>601.94200000000001</v>
      </c>
      <c r="DQ238" s="1498">
        <f t="shared" ref="DQ238" si="748">+DQ18+DQ22+DQ23</f>
        <v>635.38100000000009</v>
      </c>
      <c r="DR238" s="1498">
        <f t="shared" ref="DR238:DU238" ca="1" si="749">+DR18+DR22+DR23</f>
        <v>656.40699058460905</v>
      </c>
      <c r="DS238" s="1498">
        <f t="shared" ca="1" si="749"/>
        <v>650.31328770531741</v>
      </c>
      <c r="DT238" s="1498">
        <f t="shared" ca="1" si="749"/>
        <v>661.87629112998866</v>
      </c>
      <c r="DU238" s="1498">
        <f t="shared" ca="1" si="749"/>
        <v>674.36071428209254</v>
      </c>
    </row>
    <row r="239" spans="1:129">
      <c r="B239" s="15" t="s">
        <v>428</v>
      </c>
      <c r="C239" s="1647">
        <v>0.16</v>
      </c>
      <c r="P239" s="1498">
        <f>+P238*$C$239</f>
        <v>135.99664000000001</v>
      </c>
      <c r="Q239" s="1498">
        <f t="shared" ref="Q239:Z239" si="750">+Q238*$C$239</f>
        <v>159.92304000000001</v>
      </c>
      <c r="R239" s="1498">
        <f t="shared" si="750"/>
        <v>184.29888</v>
      </c>
      <c r="S239" s="1498">
        <f t="shared" si="750"/>
        <v>212.78144</v>
      </c>
      <c r="T239" s="1498">
        <f>+T238*$C$239</f>
        <v>232.67840000000001</v>
      </c>
      <c r="U239" s="1498">
        <f>+U238*$C$239</f>
        <v>312.72240000000005</v>
      </c>
      <c r="V239" s="1498">
        <f>+V238*$C$239</f>
        <v>370.62191999999999</v>
      </c>
      <c r="W239" s="1498">
        <f ca="1">+W238*$C$239</f>
        <v>422.87316539232125</v>
      </c>
      <c r="X239" s="1498">
        <f t="shared" ca="1" si="750"/>
        <v>459.83492120214783</v>
      </c>
      <c r="Y239" s="1498">
        <f t="shared" ca="1" si="750"/>
        <v>494.44574131178132</v>
      </c>
      <c r="Z239" s="1498">
        <f t="shared" ca="1" si="750"/>
        <v>526.71803241973782</v>
      </c>
      <c r="AA239" s="1498">
        <f t="shared" ref="AA239:AD239" ca="1" si="751">+AA238*$C$239</f>
        <v>558.60020508684886</v>
      </c>
      <c r="AB239" s="1498">
        <f t="shared" ca="1" si="751"/>
        <v>590.07012352176264</v>
      </c>
      <c r="AC239" s="1498">
        <f t="shared" ca="1" si="751"/>
        <v>621.11080941231899</v>
      </c>
      <c r="AD239" s="1498">
        <f t="shared" ca="1" si="751"/>
        <v>651.70882709072805</v>
      </c>
      <c r="AE239" s="54"/>
      <c r="AJ239" s="124"/>
      <c r="AK239" s="42"/>
      <c r="AP239" s="42"/>
      <c r="AU239" s="42"/>
      <c r="AZ239" s="42"/>
      <c r="BE239" s="42"/>
      <c r="BJ239" s="42"/>
      <c r="BO239" s="42"/>
      <c r="BT239" s="42"/>
      <c r="BY239" s="42"/>
      <c r="CD239" s="42"/>
      <c r="CI239" s="42"/>
      <c r="CN239" s="42"/>
      <c r="CO239" s="1498">
        <f>+CO238*$C$239</f>
        <v>30.659519999999997</v>
      </c>
      <c r="CP239" s="1498">
        <f>+CP238*$C$239</f>
        <v>33.296799999999998</v>
      </c>
      <c r="CQ239" s="1498">
        <f>+CQ238*$C$239</f>
        <v>35.4208</v>
      </c>
      <c r="CR239" s="1498">
        <f>+CR238*$C$239</f>
        <v>36.619520000000001</v>
      </c>
      <c r="CS239" s="42"/>
      <c r="CT239" s="1498">
        <f t="shared" ref="CT239:DB239" si="752">+CT238*$C$239</f>
        <v>37.474719999999998</v>
      </c>
      <c r="CU239" s="1498">
        <f t="shared" si="752"/>
        <v>38.257600000000004</v>
      </c>
      <c r="CV239" s="1498">
        <f t="shared" si="752"/>
        <v>41.571040000000004</v>
      </c>
      <c r="CW239" s="1498">
        <f t="shared" si="752"/>
        <v>42.619680000000002</v>
      </c>
      <c r="CX239" s="1498">
        <f t="shared" si="752"/>
        <v>44.039359999999995</v>
      </c>
      <c r="CY239" s="1498">
        <f t="shared" si="752"/>
        <v>44.933759999999999</v>
      </c>
      <c r="CZ239" s="1498">
        <f t="shared" si="752"/>
        <v>47.142240000000001</v>
      </c>
      <c r="DA239" s="1498">
        <f t="shared" si="752"/>
        <v>48.183520000000001</v>
      </c>
      <c r="DB239" s="1498">
        <f t="shared" si="752"/>
        <v>51.146399999999993</v>
      </c>
      <c r="DC239" s="1498">
        <f t="shared" ref="DC239:DJ239" si="753">+DC238*$C$239</f>
        <v>52.781440000000003</v>
      </c>
      <c r="DD239" s="1498">
        <f t="shared" si="753"/>
        <v>53.852640000000001</v>
      </c>
      <c r="DE239" s="1498">
        <f t="shared" si="753"/>
        <v>55.000959999999999</v>
      </c>
      <c r="DF239" s="1498">
        <f t="shared" si="753"/>
        <v>53.988160000000001</v>
      </c>
      <c r="DG239" s="1498">
        <f t="shared" si="753"/>
        <v>56.691200000000002</v>
      </c>
      <c r="DH239" s="1498">
        <f t="shared" si="753"/>
        <v>58.428320000000006</v>
      </c>
      <c r="DI239" s="1498">
        <f t="shared" si="753"/>
        <v>63.570720000000001</v>
      </c>
      <c r="DJ239" s="1498">
        <f t="shared" si="753"/>
        <v>74.160960000000003</v>
      </c>
      <c r="DK239" s="1498">
        <f t="shared" ref="DK239:DN239" si="754">+DK238*$C$239</f>
        <v>76.835040000000006</v>
      </c>
      <c r="DL239" s="1498">
        <f t="shared" si="754"/>
        <v>80.741439999999997</v>
      </c>
      <c r="DM239" s="1498">
        <f t="shared" si="754"/>
        <v>80.984960000000001</v>
      </c>
      <c r="DN239" s="1498">
        <f t="shared" si="754"/>
        <v>83.512160000000009</v>
      </c>
      <c r="DO239" s="1498">
        <f t="shared" ref="DO239:DP239" si="755">+DO238*$C$239</f>
        <v>89.138079999999988</v>
      </c>
      <c r="DP239" s="1498">
        <f t="shared" si="755"/>
        <v>96.310720000000003</v>
      </c>
      <c r="DQ239" s="1498">
        <f t="shared" ref="DQ239" si="756">+DQ238*$C$239</f>
        <v>101.66096000000002</v>
      </c>
      <c r="DR239" s="1498">
        <f t="shared" ref="DR239:DU239" ca="1" si="757">+DR238*$C$239</f>
        <v>105.02511849353745</v>
      </c>
      <c r="DS239" s="1498">
        <f t="shared" ca="1" si="757"/>
        <v>104.05012603285078</v>
      </c>
      <c r="DT239" s="1498">
        <f t="shared" ca="1" si="757"/>
        <v>105.90020658079818</v>
      </c>
      <c r="DU239" s="1498">
        <f t="shared" ca="1" si="757"/>
        <v>107.89771428513481</v>
      </c>
    </row>
    <row r="240" spans="1:129">
      <c r="AE240" s="54"/>
      <c r="AJ240" s="124"/>
      <c r="AK240" s="42"/>
      <c r="AP240" s="42"/>
      <c r="AU240" s="42"/>
      <c r="AZ240" s="42"/>
      <c r="BE240" s="42"/>
      <c r="BJ240" s="42"/>
      <c r="BO240" s="42"/>
      <c r="BT240" s="42"/>
      <c r="BY240" s="42"/>
      <c r="CD240" s="42"/>
      <c r="CI240" s="42"/>
      <c r="CN240" s="42"/>
      <c r="CS240" s="42"/>
    </row>
    <row r="241" spans="31:97">
      <c r="AE241" s="54"/>
      <c r="AJ241" s="124"/>
      <c r="AK241" s="42"/>
      <c r="AP241" s="42"/>
      <c r="AU241" s="42"/>
      <c r="AZ241" s="42"/>
      <c r="BE241" s="42"/>
      <c r="BJ241" s="42"/>
      <c r="BO241" s="42"/>
      <c r="BT241" s="42"/>
      <c r="BY241" s="42"/>
      <c r="CD241" s="42"/>
      <c r="CI241" s="42"/>
      <c r="CN241" s="42"/>
      <c r="CS241" s="42"/>
    </row>
    <row r="242" spans="31:97">
      <c r="AE242" s="54"/>
      <c r="AJ242" s="124"/>
      <c r="AK242" s="42"/>
      <c r="AP242" s="42"/>
      <c r="AU242" s="42"/>
      <c r="AZ242" s="42"/>
      <c r="BE242" s="42"/>
      <c r="BJ242" s="42"/>
      <c r="BO242" s="42"/>
      <c r="BT242" s="42"/>
      <c r="BY242" s="42"/>
      <c r="CD242" s="42"/>
      <c r="CI242" s="42"/>
      <c r="CN242" s="42"/>
      <c r="CS242" s="42"/>
    </row>
    <row r="243" spans="31:97">
      <c r="AE243" s="54"/>
      <c r="AJ243" s="124"/>
      <c r="AK243" s="42"/>
      <c r="AP243" s="42"/>
      <c r="AU243" s="42"/>
      <c r="AZ243" s="42"/>
      <c r="BE243" s="42"/>
      <c r="BJ243" s="42"/>
      <c r="BO243" s="42"/>
      <c r="BT243" s="42"/>
      <c r="BY243" s="42"/>
      <c r="CD243" s="42"/>
      <c r="CI243" s="42"/>
      <c r="CN243" s="42"/>
      <c r="CS243" s="42"/>
    </row>
    <row r="244" spans="31:97">
      <c r="AE244" s="54"/>
      <c r="AJ244" s="124"/>
      <c r="AK244" s="42"/>
      <c r="AP244" s="42"/>
      <c r="AU244" s="42"/>
      <c r="AZ244" s="42"/>
      <c r="BE244" s="42"/>
      <c r="BJ244" s="42"/>
      <c r="BO244" s="42"/>
      <c r="BT244" s="42"/>
      <c r="BY244" s="42"/>
      <c r="CD244" s="42"/>
      <c r="CI244" s="42"/>
      <c r="CN244" s="42"/>
      <c r="CS244" s="42"/>
    </row>
    <row r="245" spans="31:97">
      <c r="AE245" s="54"/>
      <c r="AJ245" s="124"/>
      <c r="AK245" s="42"/>
      <c r="AP245" s="42"/>
      <c r="AU245" s="42"/>
      <c r="AZ245" s="42"/>
      <c r="BE245" s="42"/>
      <c r="BJ245" s="42"/>
      <c r="BO245" s="42"/>
      <c r="BT245" s="42"/>
      <c r="BY245" s="42"/>
      <c r="CD245" s="42"/>
      <c r="CI245" s="42"/>
      <c r="CN245" s="42"/>
      <c r="CS245" s="42"/>
    </row>
    <row r="246" spans="31:97">
      <c r="AE246" s="54"/>
      <c r="AJ246" s="124"/>
      <c r="AK246" s="42"/>
      <c r="AP246" s="42"/>
      <c r="AU246" s="42"/>
      <c r="AZ246" s="42"/>
      <c r="BE246" s="42"/>
      <c r="BJ246" s="42"/>
      <c r="BO246" s="42"/>
      <c r="BT246" s="42"/>
      <c r="BY246" s="42"/>
      <c r="CD246" s="42"/>
      <c r="CI246" s="42"/>
      <c r="CN246" s="42"/>
      <c r="CS246" s="42"/>
    </row>
    <row r="247" spans="31:97">
      <c r="AE247" s="54"/>
      <c r="AJ247" s="124"/>
      <c r="AK247" s="42"/>
      <c r="AP247" s="42"/>
      <c r="AU247" s="42"/>
      <c r="AZ247" s="42"/>
      <c r="BE247" s="42"/>
      <c r="BJ247" s="42"/>
      <c r="BO247" s="42"/>
      <c r="BT247" s="42"/>
      <c r="BY247" s="42"/>
      <c r="CD247" s="42"/>
      <c r="CI247" s="42"/>
      <c r="CN247" s="42"/>
      <c r="CS247" s="42"/>
    </row>
    <row r="248" spans="31:97">
      <c r="AE248" s="54"/>
      <c r="AJ248" s="124"/>
      <c r="AK248" s="42"/>
      <c r="AP248" s="42"/>
      <c r="AU248" s="42"/>
      <c r="AZ248" s="42"/>
      <c r="BE248" s="42"/>
      <c r="BJ248" s="42"/>
      <c r="BO248" s="42"/>
      <c r="BT248" s="42"/>
      <c r="BY248" s="42"/>
      <c r="CD248" s="42"/>
      <c r="CI248" s="42"/>
      <c r="CN248" s="42"/>
      <c r="CS248" s="42"/>
    </row>
    <row r="249" spans="31:97">
      <c r="AE249" s="54"/>
      <c r="AJ249" s="124"/>
      <c r="AK249" s="42"/>
      <c r="AP249" s="42"/>
      <c r="AU249" s="42"/>
      <c r="AZ249" s="42"/>
      <c r="BE249" s="42"/>
      <c r="BJ249" s="42"/>
      <c r="BO249" s="42"/>
      <c r="BT249" s="42"/>
      <c r="BY249" s="42"/>
      <c r="CD249" s="42"/>
      <c r="CI249" s="42"/>
      <c r="CN249" s="42"/>
      <c r="CS249" s="42"/>
    </row>
    <row r="250" spans="31:97">
      <c r="AE250" s="54"/>
      <c r="AJ250" s="124"/>
      <c r="AK250" s="42"/>
      <c r="AP250" s="42"/>
      <c r="AU250" s="42"/>
      <c r="AZ250" s="42"/>
      <c r="BE250" s="42"/>
      <c r="BJ250" s="42"/>
      <c r="BO250" s="42"/>
      <c r="BT250" s="42"/>
      <c r="BY250" s="42"/>
      <c r="CD250" s="42"/>
      <c r="CI250" s="42"/>
      <c r="CN250" s="42"/>
      <c r="CS250" s="42"/>
    </row>
    <row r="251" spans="31:97">
      <c r="AE251" s="54"/>
      <c r="AJ251" s="124"/>
      <c r="AK251" s="42"/>
      <c r="AP251" s="42"/>
      <c r="AU251" s="42"/>
      <c r="AZ251" s="42"/>
      <c r="BE251" s="42"/>
      <c r="BJ251" s="42"/>
      <c r="BO251" s="42"/>
      <c r="BT251" s="42"/>
      <c r="BY251" s="42"/>
      <c r="CD251" s="42"/>
      <c r="CI251" s="42"/>
      <c r="CN251" s="42"/>
      <c r="CS251" s="42"/>
    </row>
    <row r="252" spans="31:97">
      <c r="AE252" s="54"/>
      <c r="AJ252" s="124"/>
      <c r="AK252" s="42"/>
      <c r="AP252" s="42"/>
      <c r="AU252" s="42"/>
      <c r="AZ252" s="42"/>
      <c r="BE252" s="42"/>
      <c r="BJ252" s="42"/>
      <c r="BO252" s="42"/>
      <c r="BT252" s="42"/>
      <c r="BY252" s="42"/>
      <c r="CD252" s="42"/>
      <c r="CI252" s="42"/>
      <c r="CN252" s="42"/>
      <c r="CS252" s="42"/>
    </row>
    <row r="253" spans="31:97">
      <c r="AE253" s="54"/>
      <c r="AJ253" s="124"/>
      <c r="AK253" s="42"/>
      <c r="AP253" s="42"/>
      <c r="AU253" s="42"/>
      <c r="AZ253" s="42"/>
      <c r="BE253" s="42"/>
      <c r="BJ253" s="42"/>
      <c r="BO253" s="42"/>
      <c r="BT253" s="42"/>
      <c r="BY253" s="42"/>
      <c r="CD253" s="42"/>
      <c r="CI253" s="42"/>
      <c r="CN253" s="42"/>
      <c r="CS253" s="42"/>
    </row>
    <row r="254" spans="31:97" customFormat="1"/>
    <row r="255" spans="31:97">
      <c r="AE255" s="54"/>
    </row>
    <row r="256" spans="31:97">
      <c r="AE256" s="54"/>
    </row>
    <row r="257" spans="31:31">
      <c r="AE257" s="54"/>
    </row>
    <row r="258" spans="31:31">
      <c r="AE258" s="54"/>
    </row>
    <row r="259" spans="31:31">
      <c r="AE259" s="54"/>
    </row>
    <row r="260" spans="31:31">
      <c r="AE260" s="54"/>
    </row>
    <row r="261" spans="31:31">
      <c r="AE261" s="54"/>
    </row>
    <row r="262" spans="31:31">
      <c r="AE262" s="54"/>
    </row>
    <row r="263" spans="31:31">
      <c r="AE263" s="54"/>
    </row>
    <row r="264" spans="31:31">
      <c r="AE264" s="54"/>
    </row>
    <row r="265" spans="31:31">
      <c r="AE265" s="54"/>
    </row>
    <row r="266" spans="31:31">
      <c r="AE266" s="54"/>
    </row>
    <row r="267" spans="31:31">
      <c r="AE267" s="54"/>
    </row>
    <row r="268" spans="31:31">
      <c r="AE268" s="54"/>
    </row>
    <row r="269" spans="31:31">
      <c r="AE269" s="54"/>
    </row>
    <row r="270" spans="31:31">
      <c r="AE270" s="54"/>
    </row>
    <row r="271" spans="31:31">
      <c r="AE271" s="54"/>
    </row>
    <row r="272" spans="31:31">
      <c r="AE272" s="54"/>
    </row>
    <row r="273" spans="31:31">
      <c r="AE273" s="54"/>
    </row>
    <row r="274" spans="31:31">
      <c r="AE274" s="54"/>
    </row>
    <row r="275" spans="31:31">
      <c r="AE275" s="54"/>
    </row>
    <row r="276" spans="31:31">
      <c r="AE276" s="54"/>
    </row>
    <row r="277" spans="31:31">
      <c r="AE277" s="54"/>
    </row>
    <row r="278" spans="31:31">
      <c r="AE278" s="54"/>
    </row>
    <row r="279" spans="31:31">
      <c r="AE279" s="54"/>
    </row>
    <row r="280" spans="31:31">
      <c r="AE280" s="54"/>
    </row>
    <row r="281" spans="31:31">
      <c r="AE281" s="54"/>
    </row>
    <row r="282" spans="31:31">
      <c r="AE282" s="54"/>
    </row>
    <row r="283" spans="31:31">
      <c r="AE283" s="54"/>
    </row>
    <row r="284" spans="31:31">
      <c r="AE284" s="54"/>
    </row>
    <row r="285" spans="31:31">
      <c r="AE285" s="54"/>
    </row>
    <row r="286" spans="31:31">
      <c r="AE286" s="54"/>
    </row>
    <row r="287" spans="31:31">
      <c r="AE287" s="54"/>
    </row>
    <row r="288" spans="31:31">
      <c r="AE288" s="54"/>
    </row>
    <row r="289" spans="31:31">
      <c r="AE289" s="54"/>
    </row>
    <row r="290" spans="31:31">
      <c r="AE290" s="54"/>
    </row>
    <row r="291" spans="31:31">
      <c r="AE291" s="54"/>
    </row>
    <row r="292" spans="31:31">
      <c r="AE292" s="54"/>
    </row>
    <row r="293" spans="31:31">
      <c r="AE293" s="54"/>
    </row>
    <row r="294" spans="31:31">
      <c r="AE294" s="54"/>
    </row>
    <row r="295" spans="31:31">
      <c r="AE295" s="54"/>
    </row>
    <row r="296" spans="31:31">
      <c r="AE296" s="54"/>
    </row>
    <row r="297" spans="31:31">
      <c r="AE297" s="54"/>
    </row>
    <row r="298" spans="31:31">
      <c r="AE298" s="54"/>
    </row>
    <row r="299" spans="31:31">
      <c r="AE299" s="54"/>
    </row>
    <row r="300" spans="31:31">
      <c r="AE300" s="54"/>
    </row>
    <row r="301" spans="31:31">
      <c r="AE301" s="54"/>
    </row>
    <row r="302" spans="31:31">
      <c r="AE302" s="54"/>
    </row>
    <row r="303" spans="31:31">
      <c r="AE303" s="54"/>
    </row>
    <row r="304" spans="31:31">
      <c r="AE304" s="54"/>
    </row>
    <row r="305" spans="31:31">
      <c r="AE305" s="54"/>
    </row>
    <row r="306" spans="31:31">
      <c r="AE306" s="54"/>
    </row>
    <row r="307" spans="31:31">
      <c r="AE307" s="54"/>
    </row>
    <row r="308" spans="31:31">
      <c r="AE308" s="54"/>
    </row>
    <row r="309" spans="31:31">
      <c r="AE309" s="54"/>
    </row>
    <row r="310" spans="31:31">
      <c r="AE310" s="54"/>
    </row>
    <row r="311" spans="31:31">
      <c r="AE311" s="54"/>
    </row>
    <row r="312" spans="31:31">
      <c r="AE312" s="54"/>
    </row>
    <row r="313" spans="31:31">
      <c r="AE313" s="54"/>
    </row>
    <row r="314" spans="31:31">
      <c r="AE314" s="54"/>
    </row>
    <row r="315" spans="31:31">
      <c r="AE315" s="54"/>
    </row>
    <row r="316" spans="31:31">
      <c r="AE316" s="54"/>
    </row>
    <row r="317" spans="31:31">
      <c r="AE317" s="54"/>
    </row>
    <row r="318" spans="31:31">
      <c r="AE318" s="54"/>
    </row>
    <row r="319" spans="31:31">
      <c r="AE319" s="54"/>
    </row>
    <row r="320" spans="31:31">
      <c r="AE320" s="54"/>
    </row>
    <row r="321" spans="31:31">
      <c r="AE321" s="54"/>
    </row>
    <row r="322" spans="31:31">
      <c r="AE322" s="54"/>
    </row>
    <row r="323" spans="31:31">
      <c r="AE323" s="54"/>
    </row>
    <row r="324" spans="31:31">
      <c r="AE324" s="54"/>
    </row>
    <row r="325" spans="31:31">
      <c r="AE325" s="54"/>
    </row>
    <row r="326" spans="31:31">
      <c r="AE326" s="54"/>
    </row>
    <row r="327" spans="31:31">
      <c r="AE327" s="54"/>
    </row>
    <row r="328" spans="31:31">
      <c r="AE328" s="54"/>
    </row>
    <row r="329" spans="31:31">
      <c r="AE329" s="54"/>
    </row>
    <row r="330" spans="31:31">
      <c r="AE330" s="54"/>
    </row>
    <row r="331" spans="31:31">
      <c r="AE331" s="54"/>
    </row>
    <row r="332" spans="31:31">
      <c r="AE332" s="54"/>
    </row>
    <row r="333" spans="31:31">
      <c r="AE333" s="54"/>
    </row>
    <row r="334" spans="31:31">
      <c r="AE334" s="54"/>
    </row>
    <row r="335" spans="31:31">
      <c r="AE335" s="54"/>
    </row>
    <row r="336" spans="31:31">
      <c r="AE336" s="54"/>
    </row>
    <row r="337" spans="31:31">
      <c r="AE337" s="54"/>
    </row>
    <row r="338" spans="31:31">
      <c r="AE338" s="54"/>
    </row>
    <row r="339" spans="31:31">
      <c r="AE339" s="54"/>
    </row>
    <row r="340" spans="31:31">
      <c r="AE340" s="54"/>
    </row>
    <row r="341" spans="31:31">
      <c r="AE341" s="54"/>
    </row>
    <row r="342" spans="31:31">
      <c r="AE342" s="54"/>
    </row>
    <row r="343" spans="31:31">
      <c r="AE343" s="54"/>
    </row>
    <row r="344" spans="31:31">
      <c r="AE344" s="54"/>
    </row>
    <row r="345" spans="31:31">
      <c r="AE345" s="54"/>
    </row>
    <row r="346" spans="31:31">
      <c r="AE346" s="54"/>
    </row>
    <row r="347" spans="31:31">
      <c r="AE347" s="54"/>
    </row>
    <row r="348" spans="31:31">
      <c r="AE348" s="54"/>
    </row>
    <row r="349" spans="31:31">
      <c r="AE349" s="54"/>
    </row>
    <row r="350" spans="31:31">
      <c r="AE350" s="54"/>
    </row>
    <row r="351" spans="31:31">
      <c r="AE351" s="54"/>
    </row>
    <row r="352" spans="31:31">
      <c r="AE352" s="54"/>
    </row>
    <row r="353" spans="31:31">
      <c r="AE353" s="54"/>
    </row>
    <row r="354" spans="31:31">
      <c r="AE354" s="54"/>
    </row>
    <row r="355" spans="31:31">
      <c r="AE355" s="54"/>
    </row>
    <row r="356" spans="31:31">
      <c r="AE356" s="54"/>
    </row>
    <row r="357" spans="31:31">
      <c r="AE357" s="54"/>
    </row>
    <row r="358" spans="31:31">
      <c r="AE358" s="54"/>
    </row>
    <row r="359" spans="31:31">
      <c r="AE359" s="54"/>
    </row>
    <row r="360" spans="31:31">
      <c r="AE360" s="54"/>
    </row>
    <row r="361" spans="31:31">
      <c r="AE361" s="54"/>
    </row>
    <row r="362" spans="31:31">
      <c r="AE362" s="54"/>
    </row>
    <row r="363" spans="31:31">
      <c r="AE363" s="54"/>
    </row>
    <row r="364" spans="31:31">
      <c r="AE364" s="54"/>
    </row>
    <row r="365" spans="31:31">
      <c r="AE365" s="54"/>
    </row>
    <row r="366" spans="31:31">
      <c r="AE366" s="54"/>
    </row>
    <row r="367" spans="31:31">
      <c r="AE367" s="54"/>
    </row>
    <row r="368" spans="31:31">
      <c r="AE368" s="54"/>
    </row>
    <row r="369" spans="31:31">
      <c r="AE369" s="54"/>
    </row>
    <row r="370" spans="31:31">
      <c r="AE370" s="54"/>
    </row>
    <row r="371" spans="31:31">
      <c r="AE371" s="54"/>
    </row>
    <row r="372" spans="31:31">
      <c r="AE372" s="54"/>
    </row>
    <row r="373" spans="31:31">
      <c r="AE373" s="54"/>
    </row>
    <row r="374" spans="31:31">
      <c r="AE374" s="54"/>
    </row>
    <row r="375" spans="31:31">
      <c r="AE375" s="54"/>
    </row>
    <row r="376" spans="31:31">
      <c r="AE376" s="54"/>
    </row>
    <row r="377" spans="31:31">
      <c r="AE377" s="54"/>
    </row>
    <row r="378" spans="31:31">
      <c r="AE378" s="54"/>
    </row>
    <row r="379" spans="31:31">
      <c r="AE379" s="54"/>
    </row>
    <row r="380" spans="31:31">
      <c r="AE380" s="54"/>
    </row>
    <row r="381" spans="31:31">
      <c r="AE381" s="54"/>
    </row>
    <row r="382" spans="31:31">
      <c r="AE382" s="54"/>
    </row>
    <row r="383" spans="31:31">
      <c r="AE383" s="54"/>
    </row>
    <row r="384" spans="31:31">
      <c r="AE384" s="54"/>
    </row>
    <row r="385" spans="31:31">
      <c r="AE385" s="54"/>
    </row>
    <row r="386" spans="31:31">
      <c r="AE386" s="54"/>
    </row>
    <row r="387" spans="31:31">
      <c r="AE387" s="54"/>
    </row>
    <row r="388" spans="31:31">
      <c r="AE388" s="54"/>
    </row>
    <row r="389" spans="31:31">
      <c r="AE389" s="54"/>
    </row>
    <row r="390" spans="31:31">
      <c r="AE390" s="54"/>
    </row>
    <row r="391" spans="31:31">
      <c r="AE391" s="54"/>
    </row>
    <row r="392" spans="31:31">
      <c r="AE392" s="54"/>
    </row>
    <row r="393" spans="31:31">
      <c r="AE393" s="54"/>
    </row>
    <row r="394" spans="31:31">
      <c r="AE394" s="54"/>
    </row>
    <row r="395" spans="31:31">
      <c r="AE395" s="54"/>
    </row>
    <row r="396" spans="31:31">
      <c r="AE396" s="54"/>
    </row>
    <row r="397" spans="31:31">
      <c r="AE397" s="54"/>
    </row>
    <row r="398" spans="31:31">
      <c r="AE398" s="54"/>
    </row>
    <row r="399" spans="31:31">
      <c r="AE399" s="54"/>
    </row>
    <row r="400" spans="31:31">
      <c r="AE400" s="54"/>
    </row>
    <row r="401" spans="31:31">
      <c r="AE401" s="54"/>
    </row>
    <row r="402" spans="31:31">
      <c r="AE402" s="54"/>
    </row>
    <row r="403" spans="31:31">
      <c r="AE403" s="54"/>
    </row>
    <row r="404" spans="31:31">
      <c r="AE404" s="54"/>
    </row>
    <row r="405" spans="31:31">
      <c r="AE405" s="54"/>
    </row>
    <row r="406" spans="31:31">
      <c r="AE406" s="54"/>
    </row>
    <row r="407" spans="31:31">
      <c r="AE407" s="54"/>
    </row>
    <row r="408" spans="31:31">
      <c r="AE408" s="54"/>
    </row>
    <row r="409" spans="31:31">
      <c r="AE409" s="54"/>
    </row>
    <row r="410" spans="31:31">
      <c r="AE410" s="54"/>
    </row>
    <row r="411" spans="31:31">
      <c r="AE411" s="54"/>
    </row>
    <row r="412" spans="31:31">
      <c r="AE412" s="54"/>
    </row>
    <row r="413" spans="31:31">
      <c r="AE413" s="54"/>
    </row>
    <row r="414" spans="31:31">
      <c r="AE414" s="54"/>
    </row>
    <row r="415" spans="31:31">
      <c r="AE415" s="54"/>
    </row>
    <row r="416" spans="31:31">
      <c r="AE416" s="54"/>
    </row>
    <row r="417" spans="31:31">
      <c r="AE417" s="54"/>
    </row>
    <row r="418" spans="31:31">
      <c r="AE418" s="54"/>
    </row>
    <row r="419" spans="31:31">
      <c r="AE419" s="54"/>
    </row>
    <row r="420" spans="31:31">
      <c r="AE420" s="54"/>
    </row>
    <row r="421" spans="31:31">
      <c r="AE421" s="54"/>
    </row>
    <row r="422" spans="31:31">
      <c r="AE422" s="54"/>
    </row>
    <row r="423" spans="31:31">
      <c r="AE423" s="54"/>
    </row>
    <row r="424" spans="31:31">
      <c r="AE424" s="54"/>
    </row>
    <row r="425" spans="31:31">
      <c r="AE425" s="54"/>
    </row>
    <row r="426" spans="31:31">
      <c r="AE426" s="54"/>
    </row>
    <row r="427" spans="31:31">
      <c r="AE427" s="54"/>
    </row>
    <row r="428" spans="31:31">
      <c r="AE428" s="54"/>
    </row>
    <row r="429" spans="31:31">
      <c r="AE429" s="54"/>
    </row>
    <row r="430" spans="31:31">
      <c r="AE430" s="54"/>
    </row>
    <row r="431" spans="31:31">
      <c r="AE431" s="54"/>
    </row>
    <row r="432" spans="31:31">
      <c r="AE432" s="54"/>
    </row>
    <row r="433" spans="31:31">
      <c r="AE433" s="54"/>
    </row>
    <row r="434" spans="31:31">
      <c r="AE434" s="54"/>
    </row>
    <row r="435" spans="31:31">
      <c r="AE435" s="54"/>
    </row>
    <row r="436" spans="31:31">
      <c r="AE436" s="54"/>
    </row>
    <row r="437" spans="31:31">
      <c r="AE437" s="54"/>
    </row>
    <row r="438" spans="31:31">
      <c r="AE438" s="54"/>
    </row>
    <row r="439" spans="31:31">
      <c r="AE439" s="54"/>
    </row>
    <row r="440" spans="31:31">
      <c r="AE440" s="54"/>
    </row>
    <row r="441" spans="31:31">
      <c r="AE441" s="54"/>
    </row>
    <row r="442" spans="31:31">
      <c r="AE442" s="54"/>
    </row>
    <row r="443" spans="31:31">
      <c r="AE443" s="54"/>
    </row>
    <row r="444" spans="31:31">
      <c r="AE444" s="54"/>
    </row>
    <row r="445" spans="31:31">
      <c r="AE445" s="54"/>
    </row>
    <row r="446" spans="31:31">
      <c r="AE446" s="54"/>
    </row>
    <row r="447" spans="31:31">
      <c r="AE447" s="54"/>
    </row>
    <row r="448" spans="31:31">
      <c r="AE448" s="54"/>
    </row>
    <row r="449" spans="31:31">
      <c r="AE449" s="54"/>
    </row>
    <row r="450" spans="31:31">
      <c r="AE450" s="54"/>
    </row>
    <row r="451" spans="31:31">
      <c r="AE451" s="54"/>
    </row>
    <row r="452" spans="31:31">
      <c r="AE452" s="54"/>
    </row>
    <row r="453" spans="31:31">
      <c r="AE453" s="54"/>
    </row>
    <row r="454" spans="31:31">
      <c r="AE454" s="54"/>
    </row>
    <row r="455" spans="31:31">
      <c r="AE455" s="54"/>
    </row>
    <row r="456" spans="31:31">
      <c r="AE456" s="54"/>
    </row>
    <row r="457" spans="31:31">
      <c r="AE457" s="54"/>
    </row>
    <row r="458" spans="31:31">
      <c r="AE458" s="54"/>
    </row>
    <row r="459" spans="31:31">
      <c r="AE459" s="54"/>
    </row>
    <row r="460" spans="31:31">
      <c r="AE460" s="54"/>
    </row>
    <row r="461" spans="31:31">
      <c r="AE461" s="54"/>
    </row>
    <row r="462" spans="31:31">
      <c r="AE462" s="54"/>
    </row>
    <row r="463" spans="31:31">
      <c r="AE463" s="54"/>
    </row>
    <row r="464" spans="31:31">
      <c r="AE464" s="54"/>
    </row>
    <row r="465" spans="31:31">
      <c r="AE465" s="54"/>
    </row>
    <row r="466" spans="31:31">
      <c r="AE466" s="54"/>
    </row>
    <row r="467" spans="31:31">
      <c r="AE467" s="54"/>
    </row>
    <row r="468" spans="31:31">
      <c r="AE468" s="54"/>
    </row>
    <row r="469" spans="31:31">
      <c r="AE469" s="54"/>
    </row>
    <row r="470" spans="31:31">
      <c r="AE470" s="54"/>
    </row>
    <row r="471" spans="31:31">
      <c r="AE471" s="54"/>
    </row>
    <row r="472" spans="31:31">
      <c r="AE472" s="54"/>
    </row>
    <row r="473" spans="31:31">
      <c r="AE473" s="54"/>
    </row>
    <row r="474" spans="31:31">
      <c r="AE474" s="54"/>
    </row>
    <row r="475" spans="31:31">
      <c r="AE475" s="54"/>
    </row>
    <row r="476" spans="31:31">
      <c r="AE476" s="54"/>
    </row>
    <row r="477" spans="31:31">
      <c r="AE477" s="54"/>
    </row>
    <row r="478" spans="31:31">
      <c r="AE478" s="54"/>
    </row>
    <row r="479" spans="31:31">
      <c r="AE479" s="54"/>
    </row>
    <row r="480" spans="31:31">
      <c r="AE480" s="54"/>
    </row>
    <row r="481" spans="31:31">
      <c r="AE481" s="54"/>
    </row>
    <row r="482" spans="31:31">
      <c r="AE482" s="54"/>
    </row>
    <row r="483" spans="31:31">
      <c r="AE483" s="54"/>
    </row>
    <row r="484" spans="31:31">
      <c r="AE484" s="54"/>
    </row>
    <row r="485" spans="31:31">
      <c r="AE485" s="54"/>
    </row>
    <row r="486" spans="31:31">
      <c r="AE486" s="54"/>
    </row>
    <row r="487" spans="31:31">
      <c r="AE487" s="54"/>
    </row>
    <row r="488" spans="31:31">
      <c r="AE488" s="54"/>
    </row>
    <row r="489" spans="31:31">
      <c r="AE489" s="54"/>
    </row>
    <row r="490" spans="31:31">
      <c r="AE490" s="54"/>
    </row>
    <row r="491" spans="31:31">
      <c r="AE491" s="54"/>
    </row>
    <row r="492" spans="31:31">
      <c r="AE492" s="54"/>
    </row>
    <row r="493" spans="31:31">
      <c r="AE493" s="54"/>
    </row>
    <row r="494" spans="31:31">
      <c r="AE494" s="54"/>
    </row>
    <row r="495" spans="31:31">
      <c r="AE495" s="54"/>
    </row>
    <row r="496" spans="31:31">
      <c r="AE496" s="54"/>
    </row>
    <row r="497" spans="31:31">
      <c r="AE497" s="54"/>
    </row>
    <row r="498" spans="31:31">
      <c r="AE498" s="54"/>
    </row>
    <row r="499" spans="31:31">
      <c r="AE499" s="54"/>
    </row>
    <row r="500" spans="31:31">
      <c r="AE500" s="54"/>
    </row>
    <row r="501" spans="31:31">
      <c r="AE501" s="54"/>
    </row>
    <row r="502" spans="31:31">
      <c r="AE502" s="54"/>
    </row>
    <row r="503" spans="31:31">
      <c r="AE503" s="54"/>
    </row>
    <row r="504" spans="31:31">
      <c r="AE504" s="54"/>
    </row>
    <row r="505" spans="31:31">
      <c r="AE505" s="54"/>
    </row>
    <row r="506" spans="31:31">
      <c r="AE506" s="54"/>
    </row>
    <row r="507" spans="31:31">
      <c r="AE507" s="54"/>
    </row>
    <row r="508" spans="31:31">
      <c r="AE508" s="54"/>
    </row>
    <row r="509" spans="31:31">
      <c r="AE509" s="54"/>
    </row>
    <row r="510" spans="31:31">
      <c r="AE510" s="54"/>
    </row>
    <row r="511" spans="31:31">
      <c r="AE511" s="54"/>
    </row>
    <row r="512" spans="31:31">
      <c r="AE512" s="54"/>
    </row>
    <row r="513" spans="31:31">
      <c r="AE513" s="54"/>
    </row>
    <row r="514" spans="31:31">
      <c r="AE514" s="54"/>
    </row>
    <row r="515" spans="31:31">
      <c r="AE515" s="54"/>
    </row>
    <row r="516" spans="31:31">
      <c r="AE516" s="54"/>
    </row>
    <row r="517" spans="31:31">
      <c r="AE517" s="54"/>
    </row>
    <row r="518" spans="31:31">
      <c r="AE518" s="54"/>
    </row>
    <row r="519" spans="31:31">
      <c r="AE519" s="54"/>
    </row>
    <row r="520" spans="31:31">
      <c r="AE520" s="54"/>
    </row>
    <row r="521" spans="31:31">
      <c r="AE521" s="54"/>
    </row>
    <row r="522" spans="31:31">
      <c r="AE522" s="54"/>
    </row>
    <row r="523" spans="31:31">
      <c r="AE523" s="54"/>
    </row>
    <row r="524" spans="31:31">
      <c r="AE524" s="54"/>
    </row>
    <row r="525" spans="31:31">
      <c r="AE525" s="54"/>
    </row>
    <row r="526" spans="31:31">
      <c r="AE526" s="54"/>
    </row>
    <row r="527" spans="31:31">
      <c r="AE527" s="54"/>
    </row>
    <row r="528" spans="31:31">
      <c r="AE528" s="54"/>
    </row>
    <row r="529" spans="31:31">
      <c r="AE529" s="54"/>
    </row>
    <row r="530" spans="31:31">
      <c r="AE530" s="54"/>
    </row>
    <row r="531" spans="31:31">
      <c r="AE531" s="54"/>
    </row>
    <row r="532" spans="31:31">
      <c r="AE532" s="54"/>
    </row>
    <row r="533" spans="31:31">
      <c r="AE533" s="54"/>
    </row>
    <row r="534" spans="31:31">
      <c r="AE534" s="54"/>
    </row>
    <row r="535" spans="31:31">
      <c r="AE535" s="54"/>
    </row>
    <row r="536" spans="31:31">
      <c r="AE536" s="54"/>
    </row>
    <row r="537" spans="31:31">
      <c r="AE537" s="54"/>
    </row>
    <row r="538" spans="31:31">
      <c r="AE538" s="54"/>
    </row>
    <row r="539" spans="31:31">
      <c r="AE539" s="54"/>
    </row>
    <row r="540" spans="31:31">
      <c r="AE540" s="54"/>
    </row>
    <row r="541" spans="31:31">
      <c r="AE541" s="54"/>
    </row>
    <row r="542" spans="31:31">
      <c r="AE542" s="54"/>
    </row>
    <row r="543" spans="31:31">
      <c r="AE543" s="54"/>
    </row>
    <row r="544" spans="31:31">
      <c r="AE544" s="54"/>
    </row>
    <row r="545" spans="31:31">
      <c r="AE545" s="54"/>
    </row>
    <row r="546" spans="31:31">
      <c r="AE546" s="54"/>
    </row>
    <row r="547" spans="31:31">
      <c r="AE547" s="54"/>
    </row>
    <row r="548" spans="31:31">
      <c r="AE548" s="54"/>
    </row>
    <row r="549" spans="31:31">
      <c r="AE549" s="54"/>
    </row>
    <row r="550" spans="31:31">
      <c r="AE550" s="54"/>
    </row>
    <row r="551" spans="31:31">
      <c r="AE551" s="54"/>
    </row>
    <row r="552" spans="31:31">
      <c r="AE552" s="54"/>
    </row>
    <row r="553" spans="31:31">
      <c r="AE553" s="54"/>
    </row>
    <row r="554" spans="31:31">
      <c r="AE554" s="54"/>
    </row>
    <row r="555" spans="31:31">
      <c r="AE555" s="54"/>
    </row>
    <row r="556" spans="31:31">
      <c r="AE556" s="54"/>
    </row>
    <row r="557" spans="31:31">
      <c r="AE557" s="54"/>
    </row>
    <row r="558" spans="31:31">
      <c r="AE558" s="54"/>
    </row>
    <row r="559" spans="31:31">
      <c r="AE559" s="54"/>
    </row>
    <row r="560" spans="31:31">
      <c r="AE560" s="54"/>
    </row>
    <row r="561" spans="31:31">
      <c r="AE561" s="54"/>
    </row>
    <row r="562" spans="31:31">
      <c r="AE562" s="54"/>
    </row>
    <row r="563" spans="31:31">
      <c r="AE563" s="54"/>
    </row>
    <row r="564" spans="31:31">
      <c r="AE564" s="54"/>
    </row>
    <row r="565" spans="31:31">
      <c r="AE565" s="54"/>
    </row>
    <row r="566" spans="31:31">
      <c r="AE566" s="54"/>
    </row>
    <row r="567" spans="31:31">
      <c r="AE567" s="54"/>
    </row>
    <row r="568" spans="31:31">
      <c r="AE568" s="54"/>
    </row>
    <row r="569" spans="31:31">
      <c r="AE569" s="54"/>
    </row>
    <row r="570" spans="31:31">
      <c r="AE570" s="54"/>
    </row>
    <row r="571" spans="31:31">
      <c r="AE571" s="54"/>
    </row>
    <row r="572" spans="31:31">
      <c r="AE572" s="54"/>
    </row>
    <row r="573" spans="31:31">
      <c r="AE573" s="54"/>
    </row>
    <row r="574" spans="31:31">
      <c r="AE574" s="54"/>
    </row>
    <row r="575" spans="31:31">
      <c r="AE575" s="54"/>
    </row>
    <row r="576" spans="31:31">
      <c r="AE576" s="54"/>
    </row>
    <row r="577" spans="31:31">
      <c r="AE577" s="54"/>
    </row>
    <row r="578" spans="31:31">
      <c r="AE578" s="54"/>
    </row>
    <row r="579" spans="31:31">
      <c r="AE579" s="54"/>
    </row>
    <row r="580" spans="31:31">
      <c r="AE580" s="54"/>
    </row>
    <row r="581" spans="31:31">
      <c r="AE581" s="54"/>
    </row>
    <row r="582" spans="31:31">
      <c r="AE582" s="54"/>
    </row>
    <row r="583" spans="31:31">
      <c r="AE583" s="54"/>
    </row>
    <row r="584" spans="31:31">
      <c r="AE584" s="54"/>
    </row>
    <row r="585" spans="31:31">
      <c r="AE585" s="54"/>
    </row>
    <row r="586" spans="31:31">
      <c r="AE586" s="54"/>
    </row>
    <row r="587" spans="31:31">
      <c r="AE587" s="54"/>
    </row>
    <row r="588" spans="31:31">
      <c r="AE588" s="54"/>
    </row>
    <row r="589" spans="31:31">
      <c r="AE589" s="54"/>
    </row>
    <row r="590" spans="31:31">
      <c r="AE590" s="54"/>
    </row>
    <row r="591" spans="31:31">
      <c r="AE591" s="54"/>
    </row>
    <row r="592" spans="31:31">
      <c r="AE592" s="54"/>
    </row>
    <row r="593" spans="31:31">
      <c r="AE593" s="54"/>
    </row>
    <row r="594" spans="31:31">
      <c r="AE594" s="54"/>
    </row>
    <row r="595" spans="31:31">
      <c r="AE595" s="54"/>
    </row>
    <row r="596" spans="31:31">
      <c r="AE596" s="54"/>
    </row>
    <row r="597" spans="31:31">
      <c r="AE597" s="54"/>
    </row>
    <row r="598" spans="31:31">
      <c r="AE598" s="54"/>
    </row>
    <row r="599" spans="31:31">
      <c r="AE599" s="54"/>
    </row>
    <row r="600" spans="31:31">
      <c r="AE600" s="54"/>
    </row>
    <row r="601" spans="31:31">
      <c r="AE601" s="54"/>
    </row>
    <row r="602" spans="31:31">
      <c r="AE602" s="54"/>
    </row>
    <row r="603" spans="31:31">
      <c r="AE603" s="54"/>
    </row>
    <row r="604" spans="31:31">
      <c r="AE604" s="54"/>
    </row>
    <row r="605" spans="31:31">
      <c r="AE605" s="54"/>
    </row>
    <row r="606" spans="31:31">
      <c r="AE606" s="54"/>
    </row>
    <row r="607" spans="31:31">
      <c r="AE607" s="54"/>
    </row>
    <row r="608" spans="31:31">
      <c r="AE608" s="54"/>
    </row>
    <row r="609" spans="31:31">
      <c r="AE609" s="54"/>
    </row>
    <row r="610" spans="31:31">
      <c r="AE610" s="54"/>
    </row>
    <row r="611" spans="31:31">
      <c r="AE611" s="54"/>
    </row>
    <row r="612" spans="31:31">
      <c r="AE612" s="54"/>
    </row>
    <row r="613" spans="31:31">
      <c r="AE613" s="54"/>
    </row>
    <row r="614" spans="31:31">
      <c r="AE614" s="54"/>
    </row>
    <row r="615" spans="31:31">
      <c r="AE615" s="54"/>
    </row>
    <row r="616" spans="31:31">
      <c r="AE616" s="54"/>
    </row>
    <row r="617" spans="31:31">
      <c r="AE617" s="54"/>
    </row>
    <row r="618" spans="31:31">
      <c r="AE618" s="54"/>
    </row>
    <row r="619" spans="31:31">
      <c r="AE619" s="54"/>
    </row>
    <row r="620" spans="31:31">
      <c r="AE620" s="54"/>
    </row>
    <row r="621" spans="31:31">
      <c r="AE621" s="54"/>
    </row>
    <row r="622" spans="31:31">
      <c r="AE622" s="54"/>
    </row>
    <row r="623" spans="31:31">
      <c r="AE623" s="54"/>
    </row>
    <row r="624" spans="31:31">
      <c r="AE624" s="54"/>
    </row>
    <row r="625" spans="31:31">
      <c r="AE625" s="54"/>
    </row>
    <row r="626" spans="31:31">
      <c r="AE626" s="54"/>
    </row>
    <row r="627" spans="31:31">
      <c r="AE627" s="54"/>
    </row>
    <row r="628" spans="31:31">
      <c r="AE628" s="54"/>
    </row>
    <row r="629" spans="31:31">
      <c r="AE629" s="54"/>
    </row>
    <row r="630" spans="31:31">
      <c r="AE630" s="54"/>
    </row>
    <row r="631" spans="31:31">
      <c r="AE631" s="54"/>
    </row>
    <row r="632" spans="31:31">
      <c r="AE632" s="54"/>
    </row>
    <row r="633" spans="31:31">
      <c r="AE633" s="54"/>
    </row>
    <row r="634" spans="31:31">
      <c r="AE634" s="54"/>
    </row>
    <row r="635" spans="31:31">
      <c r="AE635" s="54"/>
    </row>
    <row r="636" spans="31:31">
      <c r="AE636" s="54"/>
    </row>
    <row r="637" spans="31:31">
      <c r="AE637" s="54"/>
    </row>
    <row r="638" spans="31:31">
      <c r="AE638" s="54"/>
    </row>
    <row r="639" spans="31:31">
      <c r="AE639" s="54"/>
    </row>
    <row r="640" spans="31:31">
      <c r="AE640" s="54"/>
    </row>
    <row r="641" spans="31:31">
      <c r="AE641" s="54"/>
    </row>
    <row r="642" spans="31:31">
      <c r="AE642" s="54"/>
    </row>
    <row r="643" spans="31:31">
      <c r="AE643" s="54"/>
    </row>
    <row r="644" spans="31:31">
      <c r="AE644" s="54"/>
    </row>
    <row r="645" spans="31:31">
      <c r="AE645" s="54"/>
    </row>
    <row r="646" spans="31:31">
      <c r="AE646" s="54"/>
    </row>
    <row r="647" spans="31:31">
      <c r="AE647" s="54"/>
    </row>
    <row r="648" spans="31:31">
      <c r="AE648" s="54"/>
    </row>
    <row r="649" spans="31:31">
      <c r="AE649" s="54"/>
    </row>
    <row r="650" spans="31:31">
      <c r="AE650" s="54"/>
    </row>
    <row r="651" spans="31:31">
      <c r="AE651" s="54"/>
    </row>
    <row r="652" spans="31:31">
      <c r="AE652" s="54"/>
    </row>
    <row r="653" spans="31:31">
      <c r="AE653" s="54"/>
    </row>
    <row r="654" spans="31:31">
      <c r="AE654" s="54"/>
    </row>
    <row r="655" spans="31:31">
      <c r="AE655" s="54"/>
    </row>
    <row r="656" spans="31:31">
      <c r="AE656" s="54"/>
    </row>
    <row r="657" spans="31:31">
      <c r="AE657" s="54"/>
    </row>
    <row r="658" spans="31:31">
      <c r="AE658" s="54"/>
    </row>
    <row r="659" spans="31:31">
      <c r="AE659" s="54"/>
    </row>
    <row r="660" spans="31:31">
      <c r="AE660" s="54"/>
    </row>
    <row r="661" spans="31:31">
      <c r="AE661" s="54"/>
    </row>
    <row r="662" spans="31:31">
      <c r="AE662" s="54"/>
    </row>
    <row r="663" spans="31:31">
      <c r="AE663" s="54"/>
    </row>
    <row r="664" spans="31:31">
      <c r="AE664" s="54"/>
    </row>
    <row r="665" spans="31:31">
      <c r="AE665" s="54"/>
    </row>
    <row r="666" spans="31:31">
      <c r="AE666" s="54"/>
    </row>
    <row r="667" spans="31:31">
      <c r="AE667" s="54"/>
    </row>
    <row r="668" spans="31:31">
      <c r="AE668" s="54"/>
    </row>
    <row r="669" spans="31:31">
      <c r="AE669" s="54"/>
    </row>
    <row r="670" spans="31:31">
      <c r="AE670" s="54"/>
    </row>
    <row r="671" spans="31:31">
      <c r="AE671" s="54"/>
    </row>
    <row r="672" spans="31:31">
      <c r="AE672" s="54"/>
    </row>
    <row r="673" spans="31:31">
      <c r="AE673" s="54"/>
    </row>
    <row r="674" spans="31:31">
      <c r="AE674" s="54"/>
    </row>
    <row r="675" spans="31:31">
      <c r="AE675" s="54"/>
    </row>
    <row r="676" spans="31:31">
      <c r="AE676" s="54"/>
    </row>
    <row r="677" spans="31:31">
      <c r="AE677" s="54"/>
    </row>
    <row r="678" spans="31:31">
      <c r="AE678" s="54"/>
    </row>
    <row r="679" spans="31:31">
      <c r="AE679" s="54"/>
    </row>
    <row r="680" spans="31:31">
      <c r="AE680" s="54"/>
    </row>
    <row r="681" spans="31:31">
      <c r="AE681" s="54"/>
    </row>
    <row r="682" spans="31:31">
      <c r="AE682" s="54"/>
    </row>
    <row r="683" spans="31:31">
      <c r="AE683" s="54"/>
    </row>
    <row r="684" spans="31:31">
      <c r="AE684" s="54"/>
    </row>
    <row r="685" spans="31:31">
      <c r="AE685" s="54"/>
    </row>
    <row r="686" spans="31:31">
      <c r="AE686" s="54"/>
    </row>
    <row r="687" spans="31:31">
      <c r="AE687" s="54"/>
    </row>
    <row r="688" spans="31:31">
      <c r="AE688" s="54"/>
    </row>
    <row r="689" spans="31:31">
      <c r="AE689" s="54"/>
    </row>
    <row r="690" spans="31:31">
      <c r="AE690" s="54"/>
    </row>
    <row r="691" spans="31:31">
      <c r="AE691" s="54"/>
    </row>
    <row r="692" spans="31:31">
      <c r="AE692" s="54"/>
    </row>
    <row r="693" spans="31:31">
      <c r="AE693" s="54"/>
    </row>
    <row r="694" spans="31:31">
      <c r="AE694" s="54"/>
    </row>
    <row r="695" spans="31:31">
      <c r="AE695" s="54"/>
    </row>
    <row r="696" spans="31:31">
      <c r="AE696" s="54"/>
    </row>
    <row r="697" spans="31:31">
      <c r="AE697" s="54"/>
    </row>
    <row r="698" spans="31:31">
      <c r="AE698" s="54"/>
    </row>
    <row r="699" spans="31:31">
      <c r="AE699" s="54"/>
    </row>
    <row r="700" spans="31:31">
      <c r="AE700" s="54"/>
    </row>
    <row r="701" spans="31:31">
      <c r="AE701" s="54"/>
    </row>
    <row r="702" spans="31:31">
      <c r="AE702" s="54"/>
    </row>
    <row r="703" spans="31:31">
      <c r="AE703" s="54"/>
    </row>
    <row r="704" spans="31:31">
      <c r="AE704" s="54"/>
    </row>
    <row r="705" spans="31:31">
      <c r="AE705" s="54"/>
    </row>
    <row r="706" spans="31:31">
      <c r="AE706" s="54"/>
    </row>
    <row r="707" spans="31:31">
      <c r="AE707" s="54"/>
    </row>
    <row r="708" spans="31:31">
      <c r="AE708" s="54"/>
    </row>
    <row r="709" spans="31:31">
      <c r="AE709" s="54"/>
    </row>
    <row r="710" spans="31:31">
      <c r="AE710" s="54"/>
    </row>
    <row r="711" spans="31:31">
      <c r="AE711" s="54"/>
    </row>
    <row r="712" spans="31:31">
      <c r="AE712" s="54"/>
    </row>
    <row r="713" spans="31:31">
      <c r="AE713" s="54"/>
    </row>
    <row r="714" spans="31:31">
      <c r="AE714" s="54"/>
    </row>
    <row r="715" spans="31:31">
      <c r="AE715" s="54"/>
    </row>
    <row r="716" spans="31:31">
      <c r="AE716" s="54"/>
    </row>
    <row r="717" spans="31:31">
      <c r="AE717" s="54"/>
    </row>
    <row r="718" spans="31:31">
      <c r="AE718" s="54"/>
    </row>
    <row r="719" spans="31:31">
      <c r="AE719" s="54"/>
    </row>
    <row r="720" spans="31:31">
      <c r="AE720" s="54"/>
    </row>
    <row r="721" spans="31:31">
      <c r="AE721" s="54"/>
    </row>
    <row r="722" spans="31:31">
      <c r="AE722" s="54"/>
    </row>
    <row r="723" spans="31:31">
      <c r="AE723" s="54"/>
    </row>
    <row r="724" spans="31:31">
      <c r="AE724" s="54"/>
    </row>
    <row r="725" spans="31:31">
      <c r="AE725" s="54"/>
    </row>
    <row r="726" spans="31:31">
      <c r="AE726" s="54"/>
    </row>
    <row r="727" spans="31:31">
      <c r="AE727" s="54"/>
    </row>
    <row r="728" spans="31:31">
      <c r="AE728" s="54"/>
    </row>
    <row r="729" spans="31:31">
      <c r="AE729" s="54"/>
    </row>
    <row r="730" spans="31:31">
      <c r="AE730" s="54"/>
    </row>
    <row r="731" spans="31:31">
      <c r="AE731" s="54"/>
    </row>
    <row r="732" spans="31:31">
      <c r="AE732" s="54"/>
    </row>
    <row r="733" spans="31:31">
      <c r="AE733" s="54"/>
    </row>
    <row r="734" spans="31:31">
      <c r="AE734" s="54"/>
    </row>
    <row r="735" spans="31:31">
      <c r="AE735" s="54"/>
    </row>
    <row r="736" spans="31:31">
      <c r="AE736" s="54"/>
    </row>
    <row r="737" spans="31:31">
      <c r="AE737" s="54"/>
    </row>
    <row r="738" spans="31:31">
      <c r="AE738" s="54"/>
    </row>
    <row r="739" spans="31:31">
      <c r="AE739" s="54"/>
    </row>
    <row r="740" spans="31:31">
      <c r="AE740" s="54"/>
    </row>
    <row r="741" spans="31:31">
      <c r="AE741" s="54"/>
    </row>
    <row r="742" spans="31:31">
      <c r="AE742" s="54"/>
    </row>
    <row r="743" spans="31:31">
      <c r="AE743" s="54"/>
    </row>
    <row r="744" spans="31:31">
      <c r="AE744" s="54"/>
    </row>
    <row r="745" spans="31:31">
      <c r="AE745" s="54"/>
    </row>
    <row r="746" spans="31:31">
      <c r="AE746" s="54"/>
    </row>
    <row r="747" spans="31:31">
      <c r="AE747" s="54"/>
    </row>
    <row r="748" spans="31:31">
      <c r="AE748" s="54"/>
    </row>
    <row r="749" spans="31:31">
      <c r="AE749" s="54"/>
    </row>
    <row r="750" spans="31:31">
      <c r="AE750" s="54"/>
    </row>
    <row r="751" spans="31:31">
      <c r="AE751" s="54"/>
    </row>
    <row r="752" spans="31:31">
      <c r="AE752" s="54"/>
    </row>
    <row r="753" spans="31:31">
      <c r="AE753" s="54"/>
    </row>
    <row r="754" spans="31:31">
      <c r="AE754" s="54"/>
    </row>
    <row r="755" spans="31:31">
      <c r="AE755" s="54"/>
    </row>
    <row r="756" spans="31:31">
      <c r="AE756" s="54"/>
    </row>
    <row r="757" spans="31:31">
      <c r="AE757" s="54"/>
    </row>
    <row r="758" spans="31:31">
      <c r="AE758" s="54"/>
    </row>
    <row r="759" spans="31:31">
      <c r="AE759" s="54"/>
    </row>
    <row r="760" spans="31:31">
      <c r="AE760" s="54"/>
    </row>
    <row r="761" spans="31:31">
      <c r="AE761" s="54"/>
    </row>
    <row r="762" spans="31:31">
      <c r="AE762" s="54"/>
    </row>
    <row r="763" spans="31:31">
      <c r="AE763" s="54"/>
    </row>
    <row r="764" spans="31:31">
      <c r="AE764" s="54"/>
    </row>
    <row r="765" spans="31:31">
      <c r="AE765" s="54"/>
    </row>
    <row r="766" spans="31:31">
      <c r="AE766" s="54"/>
    </row>
    <row r="767" spans="31:31">
      <c r="AE767" s="54"/>
    </row>
    <row r="768" spans="31:31">
      <c r="AE768" s="54"/>
    </row>
    <row r="769" spans="31:31">
      <c r="AE769" s="54"/>
    </row>
    <row r="770" spans="31:31">
      <c r="AE770" s="54"/>
    </row>
    <row r="771" spans="31:31">
      <c r="AE771" s="54"/>
    </row>
    <row r="772" spans="31:31">
      <c r="AE772" s="54"/>
    </row>
    <row r="773" spans="31:31">
      <c r="AE773" s="54"/>
    </row>
    <row r="774" spans="31:31">
      <c r="AE774" s="54"/>
    </row>
    <row r="775" spans="31:31">
      <c r="AE775" s="54"/>
    </row>
    <row r="776" spans="31:31">
      <c r="AE776" s="54"/>
    </row>
    <row r="777" spans="31:31">
      <c r="AE777" s="54"/>
    </row>
    <row r="778" spans="31:31">
      <c r="AE778" s="54"/>
    </row>
    <row r="779" spans="31:31">
      <c r="AE779" s="54"/>
    </row>
    <row r="780" spans="31:31">
      <c r="AE780" s="54"/>
    </row>
    <row r="781" spans="31:31">
      <c r="AE781" s="54"/>
    </row>
    <row r="782" spans="31:31">
      <c r="AE782" s="54"/>
    </row>
    <row r="783" spans="31:31">
      <c r="AE783" s="54"/>
    </row>
    <row r="784" spans="31:31">
      <c r="AE784" s="54"/>
    </row>
    <row r="785" spans="31:31">
      <c r="AE785" s="54"/>
    </row>
    <row r="786" spans="31:31">
      <c r="AE786" s="54"/>
    </row>
    <row r="787" spans="31:31">
      <c r="AE787" s="54"/>
    </row>
    <row r="788" spans="31:31">
      <c r="AE788" s="54"/>
    </row>
    <row r="789" spans="31:31">
      <c r="AE789" s="54"/>
    </row>
    <row r="790" spans="31:31">
      <c r="AE790" s="54"/>
    </row>
    <row r="791" spans="31:31">
      <c r="AE791" s="54"/>
    </row>
    <row r="792" spans="31:31">
      <c r="AE792" s="54"/>
    </row>
    <row r="793" spans="31:31">
      <c r="AE793" s="54"/>
    </row>
    <row r="794" spans="31:31">
      <c r="AE794" s="54"/>
    </row>
    <row r="795" spans="31:31">
      <c r="AE795" s="54"/>
    </row>
    <row r="796" spans="31:31">
      <c r="AE796" s="54"/>
    </row>
    <row r="797" spans="31:31">
      <c r="AE797" s="54"/>
    </row>
    <row r="798" spans="31:31">
      <c r="AE798" s="54"/>
    </row>
    <row r="799" spans="31:31">
      <c r="AE799" s="54"/>
    </row>
    <row r="800" spans="31:31">
      <c r="AE800" s="54"/>
    </row>
    <row r="801" spans="31:31">
      <c r="AE801" s="54"/>
    </row>
    <row r="802" spans="31:31">
      <c r="AE802" s="54"/>
    </row>
    <row r="803" spans="31:31">
      <c r="AE803" s="54"/>
    </row>
    <row r="804" spans="31:31">
      <c r="AE804" s="54"/>
    </row>
    <row r="805" spans="31:31">
      <c r="AE805" s="54"/>
    </row>
    <row r="806" spans="31:31">
      <c r="AE806" s="54"/>
    </row>
    <row r="807" spans="31:31">
      <c r="AE807" s="54"/>
    </row>
    <row r="808" spans="31:31">
      <c r="AE808" s="54"/>
    </row>
    <row r="809" spans="31:31">
      <c r="AE809" s="54"/>
    </row>
    <row r="810" spans="31:31">
      <c r="AE810" s="54"/>
    </row>
    <row r="811" spans="31:31">
      <c r="AE811" s="54"/>
    </row>
    <row r="812" spans="31:31">
      <c r="AE812" s="54"/>
    </row>
    <row r="813" spans="31:31">
      <c r="AE813" s="54"/>
    </row>
    <row r="814" spans="31:31">
      <c r="AE814" s="54"/>
    </row>
    <row r="815" spans="31:31">
      <c r="AE815" s="54"/>
    </row>
    <row r="816" spans="31:31">
      <c r="AE816" s="54"/>
    </row>
    <row r="817" spans="31:31">
      <c r="AE817" s="54"/>
    </row>
    <row r="818" spans="31:31">
      <c r="AE818" s="54"/>
    </row>
    <row r="819" spans="31:31">
      <c r="AE819" s="54"/>
    </row>
    <row r="820" spans="31:31">
      <c r="AE820" s="54"/>
    </row>
    <row r="821" spans="31:31">
      <c r="AE821" s="54"/>
    </row>
    <row r="822" spans="31:31">
      <c r="AE822" s="54"/>
    </row>
    <row r="823" spans="31:31">
      <c r="AE823" s="54"/>
    </row>
    <row r="824" spans="31:31">
      <c r="AE824" s="54"/>
    </row>
    <row r="825" spans="31:31">
      <c r="AE825" s="54"/>
    </row>
    <row r="826" spans="31:31">
      <c r="AE826" s="54"/>
    </row>
    <row r="827" spans="31:31">
      <c r="AE827" s="54"/>
    </row>
    <row r="828" spans="31:31">
      <c r="AE828" s="54"/>
    </row>
    <row r="829" spans="31:31">
      <c r="AE829" s="54"/>
    </row>
    <row r="830" spans="31:31">
      <c r="AE830" s="54"/>
    </row>
    <row r="831" spans="31:31">
      <c r="AE831" s="54"/>
    </row>
    <row r="832" spans="31:31">
      <c r="AE832" s="54"/>
    </row>
    <row r="833" spans="31:31">
      <c r="AE833" s="54"/>
    </row>
    <row r="834" spans="31:31">
      <c r="AE834" s="54"/>
    </row>
    <row r="835" spans="31:31">
      <c r="AE835" s="54"/>
    </row>
    <row r="836" spans="31:31">
      <c r="AE836" s="54"/>
    </row>
    <row r="837" spans="31:31">
      <c r="AE837" s="54"/>
    </row>
    <row r="838" spans="31:31">
      <c r="AE838" s="54"/>
    </row>
    <row r="839" spans="31:31">
      <c r="AE839" s="54"/>
    </row>
    <row r="840" spans="31:31">
      <c r="AE840" s="54"/>
    </row>
    <row r="841" spans="31:31">
      <c r="AE841" s="54"/>
    </row>
    <row r="842" spans="31:31">
      <c r="AE842" s="54"/>
    </row>
    <row r="843" spans="31:31">
      <c r="AE843" s="54"/>
    </row>
    <row r="844" spans="31:31">
      <c r="AE844" s="54"/>
    </row>
    <row r="845" spans="31:31">
      <c r="AE845" s="54"/>
    </row>
    <row r="846" spans="31:31">
      <c r="AE846" s="54"/>
    </row>
    <row r="847" spans="31:31">
      <c r="AE847" s="54"/>
    </row>
    <row r="848" spans="31:31">
      <c r="AE848" s="54"/>
    </row>
    <row r="849" spans="31:31">
      <c r="AE849" s="54"/>
    </row>
    <row r="850" spans="31:31">
      <c r="AE850" s="54"/>
    </row>
    <row r="851" spans="31:31">
      <c r="AE851" s="54"/>
    </row>
    <row r="852" spans="31:31">
      <c r="AE852" s="54"/>
    </row>
    <row r="853" spans="31:31">
      <c r="AE853" s="54"/>
    </row>
    <row r="854" spans="31:31">
      <c r="AE854" s="54"/>
    </row>
    <row r="855" spans="31:31">
      <c r="AE855" s="54"/>
    </row>
    <row r="856" spans="31:31">
      <c r="AE856" s="54"/>
    </row>
    <row r="857" spans="31:31">
      <c r="AE857" s="54"/>
    </row>
    <row r="858" spans="31:31">
      <c r="AE858" s="54"/>
    </row>
    <row r="859" spans="31:31">
      <c r="AE859" s="54"/>
    </row>
    <row r="860" spans="31:31">
      <c r="AE860" s="54"/>
    </row>
    <row r="861" spans="31:31">
      <c r="AE861" s="54"/>
    </row>
    <row r="862" spans="31:31">
      <c r="AE862" s="54"/>
    </row>
    <row r="863" spans="31:31">
      <c r="AE863" s="54"/>
    </row>
    <row r="864" spans="31:31">
      <c r="AE864" s="54"/>
    </row>
    <row r="865" spans="31:31">
      <c r="AE865" s="54"/>
    </row>
    <row r="866" spans="31:31">
      <c r="AE866" s="54"/>
    </row>
    <row r="867" spans="31:31">
      <c r="AE867" s="54"/>
    </row>
    <row r="868" spans="31:31">
      <c r="AE868" s="54"/>
    </row>
    <row r="869" spans="31:31">
      <c r="AE869" s="54"/>
    </row>
    <row r="870" spans="31:31">
      <c r="AE870" s="54"/>
    </row>
    <row r="871" spans="31:31">
      <c r="AE871" s="54"/>
    </row>
    <row r="872" spans="31:31">
      <c r="AE872" s="54"/>
    </row>
    <row r="873" spans="31:31">
      <c r="AE873" s="54"/>
    </row>
    <row r="874" spans="31:31">
      <c r="AE874" s="54"/>
    </row>
    <row r="875" spans="31:31">
      <c r="AE875" s="54"/>
    </row>
    <row r="876" spans="31:31">
      <c r="AE876" s="54"/>
    </row>
    <row r="877" spans="31:31">
      <c r="AE877" s="54"/>
    </row>
    <row r="878" spans="31:31">
      <c r="AE878" s="54"/>
    </row>
    <row r="879" spans="31:31">
      <c r="AE879" s="54"/>
    </row>
    <row r="880" spans="31:31">
      <c r="AE880" s="54"/>
    </row>
    <row r="881" spans="31:31">
      <c r="AE881" s="54"/>
    </row>
    <row r="882" spans="31:31">
      <c r="AE882" s="54"/>
    </row>
    <row r="883" spans="31:31">
      <c r="AE883" s="54"/>
    </row>
    <row r="884" spans="31:31">
      <c r="AE884" s="54"/>
    </row>
    <row r="885" spans="31:31">
      <c r="AE885" s="54"/>
    </row>
    <row r="886" spans="31:31">
      <c r="AE886" s="54"/>
    </row>
    <row r="887" spans="31:31">
      <c r="AE887" s="54"/>
    </row>
    <row r="888" spans="31:31">
      <c r="AE888" s="54"/>
    </row>
    <row r="889" spans="31:31">
      <c r="AE889" s="54"/>
    </row>
    <row r="890" spans="31:31">
      <c r="AE890" s="54"/>
    </row>
    <row r="891" spans="31:31">
      <c r="AE891" s="54"/>
    </row>
    <row r="892" spans="31:31">
      <c r="AE892" s="54"/>
    </row>
    <row r="893" spans="31:31">
      <c r="AE893" s="54"/>
    </row>
    <row r="894" spans="31:31">
      <c r="AE894" s="54"/>
    </row>
    <row r="895" spans="31:31">
      <c r="AE895" s="54"/>
    </row>
    <row r="896" spans="31:31">
      <c r="AE896" s="54"/>
    </row>
    <row r="897" spans="31:31">
      <c r="AE897" s="54"/>
    </row>
    <row r="898" spans="31:31">
      <c r="AE898" s="54"/>
    </row>
    <row r="899" spans="31:31">
      <c r="AE899" s="54"/>
    </row>
    <row r="900" spans="31:31">
      <c r="AE900" s="54"/>
    </row>
    <row r="901" spans="31:31">
      <c r="AE901" s="54"/>
    </row>
    <row r="902" spans="31:31">
      <c r="AE902" s="54"/>
    </row>
    <row r="903" spans="31:31">
      <c r="AE903" s="54"/>
    </row>
    <row r="904" spans="31:31">
      <c r="AE904" s="54"/>
    </row>
    <row r="905" spans="31:31">
      <c r="AE905" s="54"/>
    </row>
    <row r="906" spans="31:31">
      <c r="AE906" s="54"/>
    </row>
    <row r="907" spans="31:31">
      <c r="AE907" s="54"/>
    </row>
    <row r="908" spans="31:31">
      <c r="AE908" s="54"/>
    </row>
    <row r="909" spans="31:31">
      <c r="AE909" s="54"/>
    </row>
    <row r="910" spans="31:31">
      <c r="AE910" s="54"/>
    </row>
    <row r="911" spans="31:31">
      <c r="AE911" s="54"/>
    </row>
    <row r="912" spans="31:31">
      <c r="AE912" s="54"/>
    </row>
    <row r="913" spans="31:31">
      <c r="AE913" s="54"/>
    </row>
    <row r="914" spans="31:31">
      <c r="AE914" s="54"/>
    </row>
    <row r="915" spans="31:31">
      <c r="AE915" s="54"/>
    </row>
    <row r="916" spans="31:31">
      <c r="AE916" s="54"/>
    </row>
    <row r="917" spans="31:31">
      <c r="AE917" s="54"/>
    </row>
    <row r="918" spans="31:31">
      <c r="AE918" s="54"/>
    </row>
    <row r="919" spans="31:31">
      <c r="AE919" s="54"/>
    </row>
    <row r="920" spans="31:31">
      <c r="AE920" s="54"/>
    </row>
    <row r="921" spans="31:31">
      <c r="AE921" s="54"/>
    </row>
    <row r="922" spans="31:31">
      <c r="AE922" s="54"/>
    </row>
    <row r="923" spans="31:31">
      <c r="AE923" s="54"/>
    </row>
    <row r="924" spans="31:31">
      <c r="AE924" s="54"/>
    </row>
    <row r="925" spans="31:31">
      <c r="AE925" s="54"/>
    </row>
    <row r="926" spans="31:31">
      <c r="AE926" s="54"/>
    </row>
    <row r="927" spans="31:31">
      <c r="AE927" s="54"/>
    </row>
    <row r="928" spans="31:31">
      <c r="AE928" s="54"/>
    </row>
    <row r="929" spans="31:31">
      <c r="AE929" s="54"/>
    </row>
    <row r="930" spans="31:31">
      <c r="AE930" s="54"/>
    </row>
    <row r="931" spans="31:31">
      <c r="AE931" s="54"/>
    </row>
    <row r="932" spans="31:31">
      <c r="AE932" s="54"/>
    </row>
    <row r="933" spans="31:31">
      <c r="AE933" s="54"/>
    </row>
    <row r="934" spans="31:31">
      <c r="AE934" s="54"/>
    </row>
    <row r="935" spans="31:31">
      <c r="AE935" s="54"/>
    </row>
    <row r="936" spans="31:31">
      <c r="AE936" s="54"/>
    </row>
    <row r="937" spans="31:31">
      <c r="AE937" s="54"/>
    </row>
    <row r="938" spans="31:31">
      <c r="AE938" s="54"/>
    </row>
    <row r="939" spans="31:31">
      <c r="AE939" s="54"/>
    </row>
    <row r="940" spans="31:31">
      <c r="AE940" s="54"/>
    </row>
    <row r="941" spans="31:31">
      <c r="AE941" s="54"/>
    </row>
    <row r="942" spans="31:31">
      <c r="AE942" s="54"/>
    </row>
    <row r="943" spans="31:31">
      <c r="AE943" s="54"/>
    </row>
    <row r="944" spans="31:31">
      <c r="AE944" s="54"/>
    </row>
    <row r="945" spans="31:31">
      <c r="AE945" s="54"/>
    </row>
    <row r="946" spans="31:31">
      <c r="AE946" s="54"/>
    </row>
    <row r="947" spans="31:31">
      <c r="AE947" s="54"/>
    </row>
    <row r="948" spans="31:31">
      <c r="AE948" s="54"/>
    </row>
    <row r="949" spans="31:31">
      <c r="AE949" s="54"/>
    </row>
    <row r="950" spans="31:31">
      <c r="AE950" s="54"/>
    </row>
    <row r="951" spans="31:31">
      <c r="AE951" s="54"/>
    </row>
    <row r="952" spans="31:31">
      <c r="AE952" s="54"/>
    </row>
    <row r="953" spans="31:31">
      <c r="AE953" s="54"/>
    </row>
    <row r="954" spans="31:31">
      <c r="AE954" s="54"/>
    </row>
    <row r="955" spans="31:31">
      <c r="AE955" s="54"/>
    </row>
    <row r="956" spans="31:31">
      <c r="AE956" s="54"/>
    </row>
    <row r="957" spans="31:31">
      <c r="AE957" s="54"/>
    </row>
    <row r="958" spans="31:31">
      <c r="AE958" s="54"/>
    </row>
    <row r="959" spans="31:31">
      <c r="AE959" s="54"/>
    </row>
    <row r="960" spans="31:31">
      <c r="AE960" s="54"/>
    </row>
    <row r="961" spans="31:31">
      <c r="AE961" s="54"/>
    </row>
    <row r="962" spans="31:31">
      <c r="AE962" s="54"/>
    </row>
    <row r="963" spans="31:31">
      <c r="AE963" s="54"/>
    </row>
    <row r="964" spans="31:31">
      <c r="AE964" s="54"/>
    </row>
    <row r="965" spans="31:31">
      <c r="AE965" s="54"/>
    </row>
    <row r="966" spans="31:31">
      <c r="AE966" s="54"/>
    </row>
    <row r="967" spans="31:31">
      <c r="AE967" s="54"/>
    </row>
    <row r="968" spans="31:31">
      <c r="AE968" s="54"/>
    </row>
    <row r="969" spans="31:31">
      <c r="AE969" s="54"/>
    </row>
    <row r="970" spans="31:31">
      <c r="AE970" s="54"/>
    </row>
    <row r="971" spans="31:31">
      <c r="AE971" s="54"/>
    </row>
    <row r="972" spans="31:31">
      <c r="AE972" s="54"/>
    </row>
    <row r="973" spans="31:31">
      <c r="AE973" s="54"/>
    </row>
    <row r="974" spans="31:31">
      <c r="AE974" s="54"/>
    </row>
    <row r="975" spans="31:31">
      <c r="AE975" s="54"/>
    </row>
    <row r="976" spans="31:31">
      <c r="AE976" s="54"/>
    </row>
    <row r="977" spans="31:31">
      <c r="AE977" s="54"/>
    </row>
    <row r="978" spans="31:31">
      <c r="AE978" s="54"/>
    </row>
    <row r="979" spans="31:31">
      <c r="AE979" s="54"/>
    </row>
    <row r="980" spans="31:31">
      <c r="AE980" s="54"/>
    </row>
    <row r="981" spans="31:31">
      <c r="AE981" s="54"/>
    </row>
    <row r="982" spans="31:31">
      <c r="AE982" s="54"/>
    </row>
    <row r="983" spans="31:31">
      <c r="AE983" s="54"/>
    </row>
    <row r="984" spans="31:31">
      <c r="AE984" s="54"/>
    </row>
    <row r="985" spans="31:31">
      <c r="AE985" s="54"/>
    </row>
    <row r="986" spans="31:31">
      <c r="AE986" s="54"/>
    </row>
    <row r="987" spans="31:31">
      <c r="AE987" s="54"/>
    </row>
    <row r="988" spans="31:31">
      <c r="AE988" s="54"/>
    </row>
    <row r="989" spans="31:31">
      <c r="AE989" s="54"/>
    </row>
    <row r="990" spans="31:31">
      <c r="AE990" s="54"/>
    </row>
    <row r="991" spans="31:31">
      <c r="AE991" s="54"/>
    </row>
    <row r="992" spans="31:31">
      <c r="AE992" s="54"/>
    </row>
    <row r="993" spans="31:31">
      <c r="AE993" s="54"/>
    </row>
    <row r="994" spans="31:31">
      <c r="AE994" s="54"/>
    </row>
    <row r="995" spans="31:31">
      <c r="AE995" s="54"/>
    </row>
    <row r="996" spans="31:31">
      <c r="AE996" s="54"/>
    </row>
    <row r="997" spans="31:31">
      <c r="AE997" s="54"/>
    </row>
    <row r="998" spans="31:31">
      <c r="AE998" s="54"/>
    </row>
    <row r="999" spans="31:31">
      <c r="AE999" s="54"/>
    </row>
    <row r="1000" spans="31:31">
      <c r="AE1000" s="54"/>
    </row>
    <row r="1001" spans="31:31">
      <c r="AE1001" s="54"/>
    </row>
    <row r="1002" spans="31:31">
      <c r="AE1002" s="54"/>
    </row>
    <row r="1003" spans="31:31">
      <c r="AE1003" s="54"/>
    </row>
    <row r="1004" spans="31:31">
      <c r="AE1004" s="54"/>
    </row>
    <row r="1005" spans="31:31">
      <c r="AE1005" s="54"/>
    </row>
    <row r="1006" spans="31:31">
      <c r="AE1006" s="54"/>
    </row>
    <row r="1007" spans="31:31">
      <c r="AE1007" s="54"/>
    </row>
    <row r="1008" spans="31:31">
      <c r="AE1008" s="54"/>
    </row>
    <row r="1009" spans="31:31">
      <c r="AE1009" s="54"/>
    </row>
    <row r="1010" spans="31:31">
      <c r="AE1010" s="54"/>
    </row>
    <row r="1011" spans="31:31">
      <c r="AE1011" s="54"/>
    </row>
    <row r="1012" spans="31:31">
      <c r="AE1012" s="54"/>
    </row>
    <row r="1013" spans="31:31">
      <c r="AE1013" s="54"/>
    </row>
    <row r="1014" spans="31:31">
      <c r="AE1014" s="54"/>
    </row>
    <row r="1015" spans="31:31">
      <c r="AE1015" s="54"/>
    </row>
    <row r="1016" spans="31:31">
      <c r="AE1016" s="54"/>
    </row>
    <row r="1017" spans="31:31">
      <c r="AE1017" s="54"/>
    </row>
    <row r="1018" spans="31:31">
      <c r="AE1018" s="54"/>
    </row>
    <row r="1019" spans="31:31">
      <c r="AE1019" s="54"/>
    </row>
    <row r="1020" spans="31:31">
      <c r="AE1020" s="54"/>
    </row>
    <row r="1021" spans="31:31">
      <c r="AE1021" s="54"/>
    </row>
    <row r="1022" spans="31:31">
      <c r="AE1022" s="54"/>
    </row>
    <row r="1023" spans="31:31">
      <c r="AE1023" s="54"/>
    </row>
    <row r="1024" spans="31:31">
      <c r="AE1024" s="54"/>
    </row>
    <row r="1025" spans="31:31">
      <c r="AE1025" s="54"/>
    </row>
    <row r="1026" spans="31:31">
      <c r="AE1026" s="54"/>
    </row>
    <row r="1027" spans="31:31">
      <c r="AE1027" s="54"/>
    </row>
    <row r="1028" spans="31:31">
      <c r="AE1028" s="54"/>
    </row>
    <row r="1029" spans="31:31">
      <c r="AE1029" s="54"/>
    </row>
    <row r="1030" spans="31:31">
      <c r="AE1030" s="54"/>
    </row>
    <row r="1031" spans="31:31">
      <c r="AE1031" s="54"/>
    </row>
    <row r="1032" spans="31:31">
      <c r="AE1032" s="54"/>
    </row>
    <row r="1033" spans="31:31">
      <c r="AE1033" s="54"/>
    </row>
    <row r="1034" spans="31:31">
      <c r="AE1034" s="54"/>
    </row>
    <row r="1035" spans="31:31">
      <c r="AE1035" s="54"/>
    </row>
    <row r="1036" spans="31:31">
      <c r="AE1036" s="54"/>
    </row>
    <row r="1037" spans="31:31">
      <c r="AE1037" s="54"/>
    </row>
    <row r="1038" spans="31:31">
      <c r="AE1038" s="54"/>
    </row>
    <row r="1039" spans="31:31">
      <c r="AE1039" s="54"/>
    </row>
    <row r="1040" spans="31:31">
      <c r="AE1040" s="54"/>
    </row>
    <row r="1041" spans="31:31">
      <c r="AE1041" s="54"/>
    </row>
    <row r="1042" spans="31:31">
      <c r="AE1042" s="54"/>
    </row>
    <row r="1043" spans="31:31">
      <c r="AE1043" s="54"/>
    </row>
    <row r="1044" spans="31:31">
      <c r="AE1044" s="54"/>
    </row>
    <row r="1045" spans="31:31">
      <c r="AE1045" s="54"/>
    </row>
    <row r="1046" spans="31:31">
      <c r="AE1046" s="54"/>
    </row>
    <row r="1047" spans="31:31">
      <c r="AE1047" s="54"/>
    </row>
    <row r="1048" spans="31:31">
      <c r="AE1048" s="54"/>
    </row>
    <row r="1049" spans="31:31">
      <c r="AE1049" s="54"/>
    </row>
    <row r="1050" spans="31:31">
      <c r="AE1050" s="54"/>
    </row>
    <row r="1051" spans="31:31">
      <c r="AE1051" s="54"/>
    </row>
    <row r="1052" spans="31:31">
      <c r="AE1052" s="54"/>
    </row>
    <row r="1053" spans="31:31">
      <c r="AE1053" s="54"/>
    </row>
    <row r="1054" spans="31:31">
      <c r="AE1054" s="54"/>
    </row>
    <row r="1055" spans="31:31">
      <c r="AE1055" s="54"/>
    </row>
    <row r="1056" spans="31:31">
      <c r="AE1056" s="54"/>
    </row>
    <row r="1057" spans="31:31">
      <c r="AE1057" s="54"/>
    </row>
    <row r="1058" spans="31:31">
      <c r="AE1058" s="54"/>
    </row>
    <row r="1059" spans="31:31">
      <c r="AE1059" s="54"/>
    </row>
    <row r="1060" spans="31:31">
      <c r="AE1060" s="54"/>
    </row>
    <row r="1061" spans="31:31">
      <c r="AE1061" s="54"/>
    </row>
    <row r="1062" spans="31:31">
      <c r="AE1062" s="54"/>
    </row>
    <row r="1063" spans="31:31">
      <c r="AE1063" s="54"/>
    </row>
    <row r="1064" spans="31:31">
      <c r="AE1064" s="54"/>
    </row>
    <row r="1065" spans="31:31">
      <c r="AE1065" s="54"/>
    </row>
    <row r="1066" spans="31:31">
      <c r="AE1066" s="54"/>
    </row>
    <row r="1067" spans="31:31">
      <c r="AE1067" s="54"/>
    </row>
    <row r="1068" spans="31:31">
      <c r="AE1068" s="54"/>
    </row>
    <row r="1069" spans="31:31">
      <c r="AE1069" s="54"/>
    </row>
    <row r="1070" spans="31:31">
      <c r="AE1070" s="54"/>
    </row>
    <row r="1071" spans="31:31">
      <c r="AE1071" s="54"/>
    </row>
    <row r="1072" spans="31:31">
      <c r="AE1072" s="54"/>
    </row>
    <row r="1073" spans="31:31">
      <c r="AE1073" s="54"/>
    </row>
    <row r="1074" spans="31:31">
      <c r="AE1074" s="54"/>
    </row>
    <row r="1075" spans="31:31">
      <c r="AE1075" s="54"/>
    </row>
    <row r="1076" spans="31:31">
      <c r="AE1076" s="54"/>
    </row>
    <row r="1077" spans="31:31">
      <c r="AE1077" s="54"/>
    </row>
    <row r="1078" spans="31:31">
      <c r="AE1078" s="54"/>
    </row>
    <row r="1079" spans="31:31">
      <c r="AE1079" s="54"/>
    </row>
    <row r="1080" spans="31:31">
      <c r="AE1080" s="54"/>
    </row>
    <row r="1081" spans="31:31">
      <c r="AE1081" s="54"/>
    </row>
    <row r="1082" spans="31:31">
      <c r="AE1082" s="54"/>
    </row>
    <row r="1083" spans="31:31">
      <c r="AE1083" s="54"/>
    </row>
    <row r="1084" spans="31:31">
      <c r="AE1084" s="54"/>
    </row>
    <row r="1085" spans="31:31">
      <c r="AE1085" s="54"/>
    </row>
    <row r="1086" spans="31:31">
      <c r="AE1086" s="54"/>
    </row>
    <row r="1087" spans="31:31">
      <c r="AE1087" s="54"/>
    </row>
    <row r="1088" spans="31:31">
      <c r="AE1088" s="54"/>
    </row>
    <row r="1089" spans="31:31">
      <c r="AE1089" s="54"/>
    </row>
    <row r="1090" spans="31:31">
      <c r="AE1090" s="54"/>
    </row>
    <row r="1091" spans="31:31">
      <c r="AE1091" s="54"/>
    </row>
    <row r="1092" spans="31:31">
      <c r="AE1092" s="54"/>
    </row>
    <row r="1093" spans="31:31">
      <c r="AE1093" s="54"/>
    </row>
    <row r="1094" spans="31:31">
      <c r="AE1094" s="54"/>
    </row>
    <row r="1095" spans="31:31">
      <c r="AE1095" s="54"/>
    </row>
    <row r="1096" spans="31:31">
      <c r="AE1096" s="54"/>
    </row>
    <row r="1097" spans="31:31">
      <c r="AE1097" s="54"/>
    </row>
    <row r="1098" spans="31:31">
      <c r="AE1098" s="54"/>
    </row>
    <row r="1099" spans="31:31">
      <c r="AE1099" s="54"/>
    </row>
    <row r="1100" spans="31:31">
      <c r="AE1100" s="54"/>
    </row>
    <row r="1101" spans="31:31">
      <c r="AE1101" s="54"/>
    </row>
    <row r="1102" spans="31:31">
      <c r="AE1102" s="54"/>
    </row>
    <row r="1103" spans="31:31">
      <c r="AE1103" s="54"/>
    </row>
    <row r="1104" spans="31:31">
      <c r="AE1104" s="54"/>
    </row>
    <row r="1105" spans="31:31">
      <c r="AE1105" s="54"/>
    </row>
    <row r="1106" spans="31:31">
      <c r="AE1106" s="54"/>
    </row>
    <row r="1107" spans="31:31">
      <c r="AE1107" s="54"/>
    </row>
    <row r="1108" spans="31:31">
      <c r="AE1108" s="54"/>
    </row>
    <row r="1109" spans="31:31">
      <c r="AE1109" s="54"/>
    </row>
    <row r="1110" spans="31:31">
      <c r="AE1110" s="54"/>
    </row>
    <row r="1111" spans="31:31">
      <c r="AE1111" s="54"/>
    </row>
    <row r="1112" spans="31:31">
      <c r="AE1112" s="54"/>
    </row>
    <row r="1113" spans="31:31">
      <c r="AE1113" s="54"/>
    </row>
    <row r="1114" spans="31:31">
      <c r="AE1114" s="54"/>
    </row>
    <row r="1115" spans="31:31">
      <c r="AE1115" s="54"/>
    </row>
    <row r="1116" spans="31:31">
      <c r="AE1116" s="54"/>
    </row>
    <row r="1117" spans="31:31">
      <c r="AE1117" s="54"/>
    </row>
    <row r="1118" spans="31:31">
      <c r="AE1118" s="54"/>
    </row>
    <row r="1119" spans="31:31">
      <c r="AE1119" s="54"/>
    </row>
    <row r="1120" spans="31:31">
      <c r="AE1120" s="54"/>
    </row>
    <row r="1121" spans="31:31">
      <c r="AE1121" s="54"/>
    </row>
    <row r="1122" spans="31:31">
      <c r="AE1122" s="54"/>
    </row>
    <row r="1123" spans="31:31">
      <c r="AE1123" s="54"/>
    </row>
    <row r="1124" spans="31:31">
      <c r="AE1124" s="54"/>
    </row>
    <row r="1125" spans="31:31">
      <c r="AE1125" s="54"/>
    </row>
    <row r="1126" spans="31:31">
      <c r="AE1126" s="54"/>
    </row>
    <row r="1127" spans="31:31">
      <c r="AE1127" s="54"/>
    </row>
    <row r="1128" spans="31:31">
      <c r="AE1128" s="54"/>
    </row>
    <row r="1129" spans="31:31">
      <c r="AE1129" s="54"/>
    </row>
    <row r="1130" spans="31:31">
      <c r="AE1130" s="54"/>
    </row>
    <row r="1131" spans="31:31">
      <c r="AE1131" s="54"/>
    </row>
    <row r="1132" spans="31:31">
      <c r="AE1132" s="54"/>
    </row>
    <row r="1133" spans="31:31">
      <c r="AE1133" s="54"/>
    </row>
    <row r="1134" spans="31:31">
      <c r="AE1134" s="54"/>
    </row>
    <row r="1135" spans="31:31">
      <c r="AE1135" s="54"/>
    </row>
    <row r="1136" spans="31:31">
      <c r="AE1136" s="54"/>
    </row>
    <row r="1137" spans="31:31">
      <c r="AE1137" s="54"/>
    </row>
    <row r="1138" spans="31:31">
      <c r="AE1138" s="54"/>
    </row>
    <row r="1139" spans="31:31">
      <c r="AE1139" s="54"/>
    </row>
    <row r="1140" spans="31:31">
      <c r="AE1140" s="54"/>
    </row>
    <row r="1141" spans="31:31">
      <c r="AE1141" s="54"/>
    </row>
    <row r="1142" spans="31:31">
      <c r="AE1142" s="54"/>
    </row>
    <row r="1143" spans="31:31">
      <c r="AE1143" s="54"/>
    </row>
    <row r="1144" spans="31:31">
      <c r="AE1144" s="54"/>
    </row>
    <row r="1145" spans="31:31">
      <c r="AE1145" s="54"/>
    </row>
    <row r="1146" spans="31:31">
      <c r="AE1146" s="54"/>
    </row>
    <row r="1147" spans="31:31">
      <c r="AE1147" s="54"/>
    </row>
    <row r="1148" spans="31:31">
      <c r="AE1148" s="54"/>
    </row>
    <row r="1149" spans="31:31">
      <c r="AE1149" s="54"/>
    </row>
    <row r="1150" spans="31:31">
      <c r="AE1150" s="54"/>
    </row>
    <row r="1151" spans="31:31">
      <c r="AE1151" s="54"/>
    </row>
    <row r="1152" spans="31:31">
      <c r="AE1152" s="54"/>
    </row>
    <row r="1153" spans="31:31">
      <c r="AE1153" s="54"/>
    </row>
    <row r="1154" spans="31:31">
      <c r="AE1154" s="54"/>
    </row>
    <row r="1155" spans="31:31">
      <c r="AE1155" s="54"/>
    </row>
    <row r="1156" spans="31:31">
      <c r="AE1156" s="54"/>
    </row>
    <row r="1157" spans="31:31">
      <c r="AE1157" s="54"/>
    </row>
    <row r="1158" spans="31:31">
      <c r="AE1158" s="54"/>
    </row>
    <row r="1159" spans="31:31">
      <c r="AE1159" s="54"/>
    </row>
    <row r="1160" spans="31:31">
      <c r="AE1160" s="54"/>
    </row>
    <row r="1161" spans="31:31">
      <c r="AE1161" s="54"/>
    </row>
    <row r="1162" spans="31:31">
      <c r="AE1162" s="54"/>
    </row>
    <row r="1163" spans="31:31">
      <c r="AE1163" s="54"/>
    </row>
    <row r="1164" spans="31:31">
      <c r="AE1164" s="54"/>
    </row>
    <row r="1165" spans="31:31">
      <c r="AE1165" s="54"/>
    </row>
    <row r="1166" spans="31:31">
      <c r="AE1166" s="54"/>
    </row>
    <row r="1167" spans="31:31">
      <c r="AE1167" s="54"/>
    </row>
    <row r="1168" spans="31:31">
      <c r="AE1168" s="54"/>
    </row>
    <row r="1169" spans="31:31">
      <c r="AE1169" s="54"/>
    </row>
    <row r="1170" spans="31:31">
      <c r="AE1170" s="54"/>
    </row>
    <row r="1171" spans="31:31">
      <c r="AE1171" s="54"/>
    </row>
    <row r="1172" spans="31:31">
      <c r="AE1172" s="54"/>
    </row>
    <row r="1173" spans="31:31">
      <c r="AE1173" s="54"/>
    </row>
    <row r="1174" spans="31:31">
      <c r="AE1174" s="54"/>
    </row>
    <row r="1175" spans="31:31">
      <c r="AE1175" s="54"/>
    </row>
    <row r="1176" spans="31:31">
      <c r="AE1176" s="54"/>
    </row>
    <row r="1177" spans="31:31">
      <c r="AE1177" s="54"/>
    </row>
    <row r="1178" spans="31:31">
      <c r="AE1178" s="54"/>
    </row>
    <row r="1179" spans="31:31">
      <c r="AE1179" s="54"/>
    </row>
    <row r="1180" spans="31:31">
      <c r="AE1180" s="54"/>
    </row>
    <row r="1181" spans="31:31">
      <c r="AE1181" s="54"/>
    </row>
    <row r="1182" spans="31:31">
      <c r="AE1182" s="54"/>
    </row>
    <row r="1183" spans="31:31">
      <c r="AE1183" s="54"/>
    </row>
    <row r="1184" spans="31:31">
      <c r="AE1184" s="54"/>
    </row>
    <row r="1185" spans="31:31">
      <c r="AE1185" s="54"/>
    </row>
    <row r="1186" spans="31:31">
      <c r="AE1186" s="54"/>
    </row>
    <row r="1187" spans="31:31">
      <c r="AE1187" s="54"/>
    </row>
    <row r="1188" spans="31:31">
      <c r="AE1188" s="54"/>
    </row>
    <row r="1189" spans="31:31">
      <c r="AE1189" s="54"/>
    </row>
    <row r="1190" spans="31:31">
      <c r="AE1190" s="54"/>
    </row>
    <row r="1191" spans="31:31">
      <c r="AE1191" s="54"/>
    </row>
    <row r="1192" spans="31:31">
      <c r="AE1192" s="54"/>
    </row>
    <row r="1193" spans="31:31">
      <c r="AE1193" s="54"/>
    </row>
    <row r="1194" spans="31:31">
      <c r="AE1194" s="54"/>
    </row>
    <row r="1195" spans="31:31">
      <c r="AE1195" s="54"/>
    </row>
    <row r="1196" spans="31:31">
      <c r="AE1196" s="54"/>
    </row>
    <row r="1197" spans="31:31">
      <c r="AE1197" s="54"/>
    </row>
    <row r="1198" spans="31:31">
      <c r="AE1198" s="54"/>
    </row>
    <row r="1199" spans="31:31">
      <c r="AE1199" s="54"/>
    </row>
    <row r="1200" spans="31:31">
      <c r="AE1200" s="54"/>
    </row>
    <row r="1201" spans="31:31">
      <c r="AE1201" s="54"/>
    </row>
    <row r="1202" spans="31:31">
      <c r="AE1202" s="54"/>
    </row>
    <row r="1203" spans="31:31">
      <c r="AE1203" s="54"/>
    </row>
    <row r="1204" spans="31:31">
      <c r="AE1204" s="54"/>
    </row>
    <row r="1205" spans="31:31">
      <c r="AE1205" s="54"/>
    </row>
    <row r="1206" spans="31:31">
      <c r="AE1206" s="54"/>
    </row>
    <row r="1207" spans="31:31">
      <c r="AE1207" s="54"/>
    </row>
    <row r="1208" spans="31:31">
      <c r="AE1208" s="54"/>
    </row>
    <row r="1209" spans="31:31">
      <c r="AE1209" s="54"/>
    </row>
    <row r="1210" spans="31:31">
      <c r="AE1210" s="54"/>
    </row>
    <row r="1211" spans="31:31">
      <c r="AE1211" s="54"/>
    </row>
    <row r="1212" spans="31:31">
      <c r="AE1212" s="54"/>
    </row>
    <row r="1213" spans="31:31">
      <c r="AE1213" s="54"/>
    </row>
    <row r="1214" spans="31:31">
      <c r="AE1214" s="54"/>
    </row>
    <row r="1215" spans="31:31">
      <c r="AE1215" s="54"/>
    </row>
    <row r="1216" spans="31:31">
      <c r="AE1216" s="54"/>
    </row>
    <row r="1217" spans="31:31">
      <c r="AE1217" s="54"/>
    </row>
    <row r="1218" spans="31:31">
      <c r="AE1218" s="54"/>
    </row>
    <row r="1219" spans="31:31">
      <c r="AE1219" s="54"/>
    </row>
    <row r="1220" spans="31:31">
      <c r="AE1220" s="54"/>
    </row>
    <row r="1221" spans="31:31">
      <c r="AE1221" s="54"/>
    </row>
    <row r="1222" spans="31:31">
      <c r="AE1222" s="54"/>
    </row>
    <row r="1223" spans="31:31">
      <c r="AE1223" s="54"/>
    </row>
    <row r="1224" spans="31:31">
      <c r="AE1224" s="54"/>
    </row>
    <row r="1225" spans="31:31">
      <c r="AE1225" s="54"/>
    </row>
    <row r="1226" spans="31:31">
      <c r="AE1226" s="54"/>
    </row>
    <row r="1227" spans="31:31">
      <c r="AE1227" s="54"/>
    </row>
    <row r="1228" spans="31:31">
      <c r="AE1228" s="54"/>
    </row>
    <row r="1229" spans="31:31">
      <c r="AE1229" s="54"/>
    </row>
    <row r="1230" spans="31:31">
      <c r="AE1230" s="54"/>
    </row>
    <row r="1231" spans="31:31">
      <c r="AE1231" s="54"/>
    </row>
    <row r="1232" spans="31:31">
      <c r="AE1232" s="54"/>
    </row>
    <row r="1233" spans="31:31">
      <c r="AE1233" s="54"/>
    </row>
    <row r="1234" spans="31:31">
      <c r="AE1234" s="54"/>
    </row>
    <row r="1235" spans="31:31">
      <c r="AE1235" s="54"/>
    </row>
    <row r="1236" spans="31:31">
      <c r="AE1236" s="54"/>
    </row>
    <row r="1237" spans="31:31">
      <c r="AE1237" s="54"/>
    </row>
    <row r="1238" spans="31:31">
      <c r="AE1238" s="54"/>
    </row>
    <row r="1239" spans="31:31">
      <c r="AE1239" s="54"/>
    </row>
    <row r="1240" spans="31:31">
      <c r="AE1240" s="54"/>
    </row>
    <row r="1241" spans="31:31">
      <c r="AE1241" s="54"/>
    </row>
    <row r="1242" spans="31:31">
      <c r="AE1242" s="54"/>
    </row>
    <row r="1243" spans="31:31">
      <c r="AE1243" s="54"/>
    </row>
    <row r="1244" spans="31:31">
      <c r="AE1244" s="54"/>
    </row>
    <row r="1245" spans="31:31">
      <c r="AE1245" s="54"/>
    </row>
    <row r="1246" spans="31:31">
      <c r="AE1246" s="54"/>
    </row>
    <row r="1247" spans="31:31">
      <c r="AE1247" s="54"/>
    </row>
    <row r="1248" spans="31:31">
      <c r="AE1248" s="54"/>
    </row>
    <row r="1249" spans="31:31">
      <c r="AE1249" s="54"/>
    </row>
    <row r="1250" spans="31:31">
      <c r="AE1250" s="54"/>
    </row>
    <row r="1251" spans="31:31">
      <c r="AE1251" s="54"/>
    </row>
    <row r="1252" spans="31:31">
      <c r="AE1252" s="54"/>
    </row>
    <row r="1253" spans="31:31">
      <c r="AE1253" s="54"/>
    </row>
    <row r="1254" spans="31:31">
      <c r="AE1254" s="54"/>
    </row>
    <row r="1255" spans="31:31">
      <c r="AE1255" s="54"/>
    </row>
    <row r="1256" spans="31:31">
      <c r="AE1256" s="54"/>
    </row>
    <row r="1257" spans="31:31">
      <c r="AE1257" s="54"/>
    </row>
    <row r="1258" spans="31:31">
      <c r="AE1258" s="54"/>
    </row>
    <row r="1259" spans="31:31">
      <c r="AE1259" s="54"/>
    </row>
    <row r="1260" spans="31:31">
      <c r="AE1260" s="54"/>
    </row>
    <row r="1261" spans="31:31">
      <c r="AE1261" s="54"/>
    </row>
    <row r="1262" spans="31:31">
      <c r="AE1262" s="54"/>
    </row>
    <row r="1263" spans="31:31">
      <c r="AE1263" s="54"/>
    </row>
    <row r="1264" spans="31:31">
      <c r="AE1264" s="54"/>
    </row>
    <row r="1265" spans="31:31">
      <c r="AE1265" s="54"/>
    </row>
    <row r="1266" spans="31:31">
      <c r="AE1266" s="54"/>
    </row>
    <row r="1267" spans="31:31">
      <c r="AE1267" s="54"/>
    </row>
    <row r="1268" spans="31:31">
      <c r="AE1268" s="54"/>
    </row>
    <row r="1269" spans="31:31">
      <c r="AE1269" s="54"/>
    </row>
    <row r="1270" spans="31:31">
      <c r="AE1270" s="54"/>
    </row>
    <row r="1271" spans="31:31">
      <c r="AE1271" s="54"/>
    </row>
    <row r="1272" spans="31:31">
      <c r="AE1272" s="54"/>
    </row>
    <row r="1273" spans="31:31">
      <c r="AE1273" s="54"/>
    </row>
    <row r="1274" spans="31:31">
      <c r="AE1274" s="54"/>
    </row>
    <row r="1275" spans="31:31">
      <c r="AE1275" s="54"/>
    </row>
    <row r="1276" spans="31:31">
      <c r="AE1276" s="54"/>
    </row>
    <row r="1277" spans="31:31">
      <c r="AE1277" s="54"/>
    </row>
    <row r="1278" spans="31:31">
      <c r="AE1278" s="54"/>
    </row>
    <row r="1279" spans="31:31">
      <c r="AE1279" s="54"/>
    </row>
    <row r="1280" spans="31:31">
      <c r="AE1280" s="54"/>
    </row>
    <row r="1281" spans="31:31">
      <c r="AE1281" s="54"/>
    </row>
    <row r="1282" spans="31:31">
      <c r="AE1282" s="54"/>
    </row>
    <row r="1283" spans="31:31">
      <c r="AE1283" s="54"/>
    </row>
    <row r="1284" spans="31:31">
      <c r="AE1284" s="54"/>
    </row>
    <row r="1285" spans="31:31">
      <c r="AE1285" s="54"/>
    </row>
    <row r="1286" spans="31:31">
      <c r="AE1286" s="54"/>
    </row>
    <row r="1287" spans="31:31">
      <c r="AE1287" s="54"/>
    </row>
    <row r="1288" spans="31:31">
      <c r="AE1288" s="54"/>
    </row>
    <row r="1289" spans="31:31">
      <c r="AE1289" s="54"/>
    </row>
    <row r="1290" spans="31:31">
      <c r="AE1290" s="54"/>
    </row>
    <row r="1291" spans="31:31">
      <c r="AE1291" s="54"/>
    </row>
    <row r="1292" spans="31:31">
      <c r="AE1292" s="54"/>
    </row>
    <row r="1293" spans="31:31">
      <c r="AE1293" s="54"/>
    </row>
    <row r="1294" spans="31:31">
      <c r="AE1294" s="54"/>
    </row>
    <row r="1295" spans="31:31">
      <c r="AE1295" s="54"/>
    </row>
    <row r="1296" spans="31:31">
      <c r="AE1296" s="54"/>
    </row>
    <row r="1297" spans="31:31">
      <c r="AE1297" s="54"/>
    </row>
    <row r="1298" spans="31:31">
      <c r="AE1298" s="54"/>
    </row>
    <row r="1299" spans="31:31">
      <c r="AE1299" s="54"/>
    </row>
    <row r="1300" spans="31:31">
      <c r="AE1300" s="54"/>
    </row>
    <row r="1301" spans="31:31">
      <c r="AE1301" s="54"/>
    </row>
    <row r="1302" spans="31:31">
      <c r="AE1302" s="54"/>
    </row>
    <row r="1303" spans="31:31">
      <c r="AE1303" s="54"/>
    </row>
    <row r="1304" spans="31:31">
      <c r="AE1304" s="54"/>
    </row>
    <row r="1305" spans="31:31">
      <c r="AE1305" s="54"/>
    </row>
    <row r="1306" spans="31:31">
      <c r="AE1306" s="54"/>
    </row>
    <row r="1307" spans="31:31">
      <c r="AE1307" s="54"/>
    </row>
    <row r="1308" spans="31:31">
      <c r="AE1308" s="54"/>
    </row>
    <row r="1309" spans="31:31">
      <c r="AE1309" s="54"/>
    </row>
    <row r="1310" spans="31:31">
      <c r="AE1310" s="54"/>
    </row>
    <row r="1311" spans="31:31">
      <c r="AE1311" s="54"/>
    </row>
    <row r="1312" spans="31:31">
      <c r="AE1312" s="54"/>
    </row>
    <row r="1313" spans="31:31">
      <c r="AE1313" s="54"/>
    </row>
    <row r="1314" spans="31:31">
      <c r="AE1314" s="54"/>
    </row>
    <row r="1315" spans="31:31">
      <c r="AE1315" s="54"/>
    </row>
    <row r="1316" spans="31:31">
      <c r="AE1316" s="54"/>
    </row>
    <row r="1317" spans="31:31">
      <c r="AE1317" s="54"/>
    </row>
    <row r="1318" spans="31:31">
      <c r="AE1318" s="54"/>
    </row>
    <row r="1319" spans="31:31">
      <c r="AE1319" s="54"/>
    </row>
    <row r="1320" spans="31:31">
      <c r="AE1320" s="54"/>
    </row>
    <row r="1321" spans="31:31">
      <c r="AE1321" s="54"/>
    </row>
    <row r="1322" spans="31:31">
      <c r="AE1322" s="54"/>
    </row>
    <row r="1323" spans="31:31">
      <c r="AE1323" s="54"/>
    </row>
    <row r="1324" spans="31:31">
      <c r="AE1324" s="54"/>
    </row>
    <row r="1325" spans="31:31">
      <c r="AE1325" s="54"/>
    </row>
    <row r="1326" spans="31:31">
      <c r="AE1326" s="54"/>
    </row>
    <row r="1327" spans="31:31">
      <c r="AE1327" s="54"/>
    </row>
    <row r="1328" spans="31:31">
      <c r="AE1328" s="54"/>
    </row>
    <row r="1329" spans="31:31">
      <c r="AE1329" s="54"/>
    </row>
    <row r="1330" spans="31:31">
      <c r="AE1330" s="54"/>
    </row>
    <row r="1331" spans="31:31">
      <c r="AE1331" s="54"/>
    </row>
    <row r="1332" spans="31:31">
      <c r="AE1332" s="54"/>
    </row>
    <row r="1333" spans="31:31">
      <c r="AE1333" s="54"/>
    </row>
    <row r="1334" spans="31:31">
      <c r="AE1334" s="54"/>
    </row>
    <row r="1335" spans="31:31">
      <c r="AE1335" s="54"/>
    </row>
    <row r="1336" spans="31:31">
      <c r="AE1336" s="54"/>
    </row>
    <row r="1337" spans="31:31">
      <c r="AE1337" s="54"/>
    </row>
    <row r="1338" spans="31:31">
      <c r="AE1338" s="54"/>
    </row>
    <row r="1339" spans="31:31">
      <c r="AE1339" s="54"/>
    </row>
    <row r="1340" spans="31:31">
      <c r="AE1340" s="54"/>
    </row>
    <row r="1341" spans="31:31">
      <c r="AE1341" s="54"/>
    </row>
    <row r="1342" spans="31:31">
      <c r="AE1342" s="54"/>
    </row>
    <row r="1343" spans="31:31">
      <c r="AE1343" s="54"/>
    </row>
    <row r="1344" spans="31:31">
      <c r="AE1344" s="54"/>
    </row>
    <row r="1345" spans="31:31">
      <c r="AE1345" s="54"/>
    </row>
    <row r="1346" spans="31:31">
      <c r="AE1346" s="54"/>
    </row>
    <row r="1347" spans="31:31">
      <c r="AE1347" s="54"/>
    </row>
    <row r="1348" spans="31:31">
      <c r="AE1348" s="54"/>
    </row>
    <row r="1349" spans="31:31">
      <c r="AE1349" s="54"/>
    </row>
    <row r="1350" spans="31:31">
      <c r="AE1350" s="54"/>
    </row>
    <row r="1351" spans="31:31">
      <c r="AE1351" s="54"/>
    </row>
    <row r="1352" spans="31:31">
      <c r="AE1352" s="54"/>
    </row>
    <row r="1353" spans="31:31">
      <c r="AE1353" s="54"/>
    </row>
    <row r="1354" spans="31:31">
      <c r="AE1354" s="54"/>
    </row>
    <row r="1355" spans="31:31">
      <c r="AE1355" s="54"/>
    </row>
    <row r="1356" spans="31:31">
      <c r="AE1356" s="54"/>
    </row>
    <row r="1357" spans="31:31">
      <c r="AE1357" s="54"/>
    </row>
    <row r="1358" spans="31:31">
      <c r="AE1358" s="54"/>
    </row>
    <row r="1359" spans="31:31">
      <c r="AE1359" s="54"/>
    </row>
    <row r="1360" spans="31:31">
      <c r="AE1360" s="54"/>
    </row>
    <row r="1361" spans="31:31">
      <c r="AE1361" s="54"/>
    </row>
    <row r="1362" spans="31:31">
      <c r="AE1362" s="54"/>
    </row>
    <row r="1363" spans="31:31">
      <c r="AE1363" s="54"/>
    </row>
    <row r="1364" spans="31:31">
      <c r="AE1364" s="54"/>
    </row>
    <row r="1365" spans="31:31">
      <c r="AE1365" s="54"/>
    </row>
    <row r="1366" spans="31:31">
      <c r="AE1366" s="54"/>
    </row>
    <row r="1367" spans="31:31">
      <c r="AE1367" s="54"/>
    </row>
    <row r="1368" spans="31:31">
      <c r="AE1368" s="54"/>
    </row>
    <row r="1369" spans="31:31">
      <c r="AE1369" s="54"/>
    </row>
    <row r="1370" spans="31:31">
      <c r="AE1370" s="54"/>
    </row>
    <row r="1371" spans="31:31">
      <c r="AE1371" s="54"/>
    </row>
    <row r="1372" spans="31:31">
      <c r="AE1372" s="54"/>
    </row>
    <row r="1373" spans="31:31">
      <c r="AE1373" s="54"/>
    </row>
    <row r="1374" spans="31:31">
      <c r="AE1374" s="54"/>
    </row>
    <row r="1375" spans="31:31">
      <c r="AE1375" s="54"/>
    </row>
    <row r="1376" spans="31:31">
      <c r="AE1376" s="54"/>
    </row>
    <row r="1377" spans="31:31">
      <c r="AE1377" s="54"/>
    </row>
    <row r="1378" spans="31:31">
      <c r="AE1378" s="54"/>
    </row>
    <row r="1379" spans="31:31">
      <c r="AE1379" s="54"/>
    </row>
    <row r="1380" spans="31:31">
      <c r="AE1380" s="54"/>
    </row>
    <row r="1381" spans="31:31">
      <c r="AE1381" s="54"/>
    </row>
    <row r="1382" spans="31:31">
      <c r="AE1382" s="54"/>
    </row>
    <row r="1383" spans="31:31">
      <c r="AE1383" s="54"/>
    </row>
    <row r="1384" spans="31:31">
      <c r="AE1384" s="54"/>
    </row>
    <row r="1385" spans="31:31">
      <c r="AE1385" s="54"/>
    </row>
    <row r="1386" spans="31:31">
      <c r="AE1386" s="54"/>
    </row>
    <row r="1387" spans="31:31">
      <c r="AE1387" s="54"/>
    </row>
    <row r="1388" spans="31:31">
      <c r="AE1388" s="54"/>
    </row>
    <row r="1389" spans="31:31">
      <c r="AE1389" s="54"/>
    </row>
    <row r="1390" spans="31:31">
      <c r="AE1390" s="54"/>
    </row>
    <row r="1391" spans="31:31">
      <c r="AE1391" s="54"/>
    </row>
    <row r="1392" spans="31:31">
      <c r="AE1392" s="54"/>
    </row>
    <row r="1393" spans="31:31">
      <c r="AE1393" s="54"/>
    </row>
    <row r="1394" spans="31:31">
      <c r="AE1394" s="54"/>
    </row>
    <row r="1395" spans="31:31">
      <c r="AE1395" s="54"/>
    </row>
    <row r="1396" spans="31:31">
      <c r="AE1396" s="54"/>
    </row>
    <row r="1397" spans="31:31">
      <c r="AE1397" s="54"/>
    </row>
    <row r="1398" spans="31:31">
      <c r="AE1398" s="54"/>
    </row>
    <row r="1399" spans="31:31">
      <c r="AE1399" s="54"/>
    </row>
    <row r="1400" spans="31:31">
      <c r="AE1400" s="54"/>
    </row>
    <row r="1401" spans="31:31">
      <c r="AE1401" s="54"/>
    </row>
    <row r="1402" spans="31:31">
      <c r="AE1402" s="54"/>
    </row>
    <row r="1403" spans="31:31">
      <c r="AE1403" s="54"/>
    </row>
    <row r="1404" spans="31:31">
      <c r="AE1404" s="54"/>
    </row>
    <row r="1405" spans="31:31">
      <c r="AE1405" s="54"/>
    </row>
    <row r="1406" spans="31:31">
      <c r="AE1406" s="54"/>
    </row>
    <row r="1407" spans="31:31">
      <c r="AE1407" s="54"/>
    </row>
    <row r="1408" spans="31:31">
      <c r="AE1408" s="54"/>
    </row>
    <row r="1409" spans="31:31">
      <c r="AE1409" s="54"/>
    </row>
    <row r="1410" spans="31:31">
      <c r="AE1410" s="54"/>
    </row>
    <row r="1411" spans="31:31">
      <c r="AE1411" s="54"/>
    </row>
    <row r="1412" spans="31:31">
      <c r="AE1412" s="54"/>
    </row>
    <row r="1413" spans="31:31">
      <c r="AE1413" s="54"/>
    </row>
    <row r="1414" spans="31:31">
      <c r="AE1414" s="54"/>
    </row>
    <row r="1415" spans="31:31">
      <c r="AE1415" s="54"/>
    </row>
    <row r="1416" spans="31:31">
      <c r="AE1416" s="54"/>
    </row>
    <row r="1417" spans="31:31">
      <c r="AE1417" s="54"/>
    </row>
    <row r="1418" spans="31:31">
      <c r="AE1418" s="54"/>
    </row>
    <row r="1419" spans="31:31">
      <c r="AE1419" s="54"/>
    </row>
    <row r="1420" spans="31:31">
      <c r="AE1420" s="54"/>
    </row>
    <row r="1421" spans="31:31">
      <c r="AE1421" s="54"/>
    </row>
    <row r="1422" spans="31:31">
      <c r="AE1422" s="54"/>
    </row>
    <row r="1423" spans="31:31">
      <c r="AE1423" s="54"/>
    </row>
    <row r="1424" spans="31:31">
      <c r="AE1424" s="54"/>
    </row>
    <row r="1425" spans="31:31">
      <c r="AE1425" s="54"/>
    </row>
    <row r="1426" spans="31:31">
      <c r="AE1426" s="54"/>
    </row>
    <row r="1427" spans="31:31">
      <c r="AE1427" s="54"/>
    </row>
    <row r="1428" spans="31:31">
      <c r="AE1428" s="54"/>
    </row>
    <row r="1429" spans="31:31">
      <c r="AE1429" s="54"/>
    </row>
    <row r="1430" spans="31:31">
      <c r="AE1430" s="54"/>
    </row>
    <row r="1431" spans="31:31">
      <c r="AE1431" s="54"/>
    </row>
    <row r="1432" spans="31:31">
      <c r="AE1432" s="54"/>
    </row>
    <row r="1433" spans="31:31">
      <c r="AE1433" s="54"/>
    </row>
    <row r="1434" spans="31:31">
      <c r="AE1434" s="54"/>
    </row>
    <row r="1435" spans="31:31">
      <c r="AE1435" s="54"/>
    </row>
    <row r="1436" spans="31:31">
      <c r="AE1436" s="54"/>
    </row>
    <row r="1437" spans="31:31">
      <c r="AE1437" s="54"/>
    </row>
    <row r="1438" spans="31:31">
      <c r="AE1438" s="54"/>
    </row>
    <row r="1439" spans="31:31">
      <c r="AE1439" s="54"/>
    </row>
    <row r="1440" spans="31:31">
      <c r="AE1440" s="54"/>
    </row>
    <row r="1441" spans="31:31">
      <c r="AE1441" s="54"/>
    </row>
    <row r="1442" spans="31:31">
      <c r="AE1442" s="54"/>
    </row>
    <row r="1443" spans="31:31">
      <c r="AE1443" s="54"/>
    </row>
    <row r="1444" spans="31:31">
      <c r="AE1444" s="54"/>
    </row>
    <row r="1445" spans="31:31">
      <c r="AE1445" s="54"/>
    </row>
    <row r="1446" spans="31:31">
      <c r="AE1446" s="54"/>
    </row>
    <row r="1447" spans="31:31">
      <c r="AE1447" s="54"/>
    </row>
    <row r="1448" spans="31:31">
      <c r="AE1448" s="54"/>
    </row>
    <row r="1449" spans="31:31">
      <c r="AE1449" s="54"/>
    </row>
    <row r="1450" spans="31:31">
      <c r="AE1450" s="54"/>
    </row>
    <row r="1451" spans="31:31">
      <c r="AE1451" s="54"/>
    </row>
    <row r="1452" spans="31:31">
      <c r="AE1452" s="54"/>
    </row>
    <row r="1453" spans="31:31">
      <c r="AE1453" s="54"/>
    </row>
    <row r="1454" spans="31:31">
      <c r="AE1454" s="54"/>
    </row>
    <row r="1455" spans="31:31">
      <c r="AE1455" s="54"/>
    </row>
    <row r="1456" spans="31:31">
      <c r="AE1456" s="54"/>
    </row>
    <row r="1457" spans="31:31">
      <c r="AE1457" s="54"/>
    </row>
    <row r="1458" spans="31:31">
      <c r="AE1458" s="54"/>
    </row>
    <row r="1459" spans="31:31">
      <c r="AE1459" s="54"/>
    </row>
    <row r="1460" spans="31:31">
      <c r="AE1460" s="54"/>
    </row>
    <row r="1461" spans="31:31">
      <c r="AE1461" s="54"/>
    </row>
    <row r="1462" spans="31:31">
      <c r="AE1462" s="54"/>
    </row>
    <row r="1463" spans="31:31">
      <c r="AE1463" s="54"/>
    </row>
    <row r="1464" spans="31:31">
      <c r="AE1464" s="54"/>
    </row>
    <row r="1465" spans="31:31">
      <c r="AE1465" s="54"/>
    </row>
    <row r="1466" spans="31:31">
      <c r="AE1466" s="54"/>
    </row>
    <row r="1467" spans="31:31">
      <c r="AE1467" s="54"/>
    </row>
    <row r="1468" spans="31:31">
      <c r="AE1468" s="54"/>
    </row>
    <row r="1469" spans="31:31">
      <c r="AE1469" s="54"/>
    </row>
    <row r="1470" spans="31:31">
      <c r="AE1470" s="54"/>
    </row>
    <row r="1471" spans="31:31">
      <c r="AE1471" s="54"/>
    </row>
    <row r="1472" spans="31:31">
      <c r="AE1472" s="54"/>
    </row>
    <row r="1473" spans="31:31">
      <c r="AE1473" s="54"/>
    </row>
    <row r="1474" spans="31:31">
      <c r="AE1474" s="54"/>
    </row>
    <row r="1475" spans="31:31">
      <c r="AE1475" s="54"/>
    </row>
    <row r="1476" spans="31:31">
      <c r="AE1476" s="54"/>
    </row>
    <row r="1477" spans="31:31">
      <c r="AE1477" s="54"/>
    </row>
    <row r="1478" spans="31:31">
      <c r="AE1478" s="54"/>
    </row>
    <row r="1479" spans="31:31">
      <c r="AE1479" s="54"/>
    </row>
    <row r="1480" spans="31:31">
      <c r="AE1480" s="54"/>
    </row>
    <row r="1481" spans="31:31">
      <c r="AE1481" s="54"/>
    </row>
    <row r="1482" spans="31:31">
      <c r="AE1482" s="54"/>
    </row>
    <row r="1483" spans="31:31">
      <c r="AE1483" s="54"/>
    </row>
    <row r="1484" spans="31:31">
      <c r="AE1484" s="54"/>
    </row>
    <row r="1485" spans="31:31">
      <c r="AE1485" s="54"/>
    </row>
    <row r="1486" spans="31:31">
      <c r="AE1486" s="54"/>
    </row>
    <row r="1487" spans="31:31">
      <c r="AE1487" s="54"/>
    </row>
    <row r="1488" spans="31:31">
      <c r="AE1488" s="54"/>
    </row>
    <row r="1489" spans="31:31">
      <c r="AE1489" s="54"/>
    </row>
    <row r="1490" spans="31:31">
      <c r="AE1490" s="54"/>
    </row>
    <row r="1491" spans="31:31">
      <c r="AE1491" s="54"/>
    </row>
    <row r="1492" spans="31:31">
      <c r="AE1492" s="54"/>
    </row>
    <row r="1493" spans="31:31">
      <c r="AE1493" s="54"/>
    </row>
    <row r="1494" spans="31:31">
      <c r="AE1494" s="54"/>
    </row>
    <row r="1495" spans="31:31">
      <c r="AE1495" s="54"/>
    </row>
    <row r="1496" spans="31:31">
      <c r="AE1496" s="54"/>
    </row>
    <row r="1497" spans="31:31">
      <c r="AE1497" s="54"/>
    </row>
    <row r="1498" spans="31:31">
      <c r="AE1498" s="54"/>
    </row>
    <row r="1499" spans="31:31">
      <c r="AE1499" s="54"/>
    </row>
    <row r="1500" spans="31:31">
      <c r="AE1500" s="54"/>
    </row>
    <row r="1501" spans="31:31">
      <c r="AE1501" s="54"/>
    </row>
    <row r="1502" spans="31:31">
      <c r="AE1502" s="54"/>
    </row>
    <row r="1503" spans="31:31">
      <c r="AE1503" s="54"/>
    </row>
    <row r="1504" spans="31:31">
      <c r="AE1504" s="54"/>
    </row>
    <row r="1505" spans="31:31">
      <c r="AE1505" s="54"/>
    </row>
    <row r="1506" spans="31:31">
      <c r="AE1506" s="54"/>
    </row>
    <row r="1507" spans="31:31">
      <c r="AE1507" s="54"/>
    </row>
    <row r="1508" spans="31:31">
      <c r="AE1508" s="54"/>
    </row>
    <row r="1509" spans="31:31">
      <c r="AE1509" s="54"/>
    </row>
    <row r="1510" spans="31:31">
      <c r="AE1510" s="54"/>
    </row>
    <row r="1511" spans="31:31">
      <c r="AE1511" s="54"/>
    </row>
    <row r="1512" spans="31:31">
      <c r="AE1512" s="54"/>
    </row>
    <row r="1513" spans="31:31">
      <c r="AE1513" s="54"/>
    </row>
    <row r="1514" spans="31:31">
      <c r="AE1514" s="54"/>
    </row>
    <row r="1515" spans="31:31">
      <c r="AE1515" s="54"/>
    </row>
    <row r="1516" spans="31:31">
      <c r="AE1516" s="54"/>
    </row>
    <row r="1517" spans="31:31">
      <c r="AE1517" s="54"/>
    </row>
    <row r="1518" spans="31:31">
      <c r="AE1518" s="54"/>
    </row>
    <row r="1519" spans="31:31">
      <c r="AE1519" s="54"/>
    </row>
    <row r="1520" spans="31:31">
      <c r="AE1520" s="54"/>
    </row>
    <row r="1521" spans="31:31">
      <c r="AE1521" s="54"/>
    </row>
    <row r="1522" spans="31:31">
      <c r="AE1522" s="54"/>
    </row>
    <row r="1523" spans="31:31">
      <c r="AE1523" s="54"/>
    </row>
    <row r="1524" spans="31:31">
      <c r="AE1524" s="54"/>
    </row>
    <row r="1525" spans="31:31">
      <c r="AE1525" s="54"/>
    </row>
    <row r="1526" spans="31:31">
      <c r="AE1526" s="54"/>
    </row>
    <row r="1527" spans="31:31">
      <c r="AE1527" s="54"/>
    </row>
    <row r="1528" spans="31:31">
      <c r="AE1528" s="54"/>
    </row>
    <row r="1529" spans="31:31">
      <c r="AE1529" s="54"/>
    </row>
    <row r="1530" spans="31:31">
      <c r="AE1530" s="54"/>
    </row>
    <row r="1531" spans="31:31">
      <c r="AE1531" s="54"/>
    </row>
    <row r="1532" spans="31:31">
      <c r="AE1532" s="54"/>
    </row>
    <row r="1533" spans="31:31">
      <c r="AE1533" s="54"/>
    </row>
    <row r="1534" spans="31:31">
      <c r="AE1534" s="54"/>
    </row>
    <row r="1535" spans="31:31">
      <c r="AE1535" s="54"/>
    </row>
    <row r="1536" spans="31:31">
      <c r="AE1536" s="54"/>
    </row>
    <row r="1537" spans="31:31">
      <c r="AE1537" s="54"/>
    </row>
    <row r="1538" spans="31:31">
      <c r="AE1538" s="54"/>
    </row>
    <row r="1539" spans="31:31">
      <c r="AE1539" s="54"/>
    </row>
    <row r="1540" spans="31:31">
      <c r="AE1540" s="54"/>
    </row>
    <row r="1541" spans="31:31">
      <c r="AE1541" s="54"/>
    </row>
    <row r="1542" spans="31:31">
      <c r="AE1542" s="54"/>
    </row>
    <row r="1543" spans="31:31">
      <c r="AE1543" s="54"/>
    </row>
    <row r="1544" spans="31:31">
      <c r="AE1544" s="54"/>
    </row>
    <row r="1545" spans="31:31">
      <c r="AE1545" s="54"/>
    </row>
    <row r="1546" spans="31:31">
      <c r="AE1546" s="54"/>
    </row>
    <row r="1547" spans="31:31">
      <c r="AE1547" s="54"/>
    </row>
    <row r="1548" spans="31:31">
      <c r="AE1548" s="54"/>
    </row>
    <row r="1549" spans="31:31">
      <c r="AE1549" s="54"/>
    </row>
    <row r="1550" spans="31:31">
      <c r="AE1550" s="54"/>
    </row>
    <row r="1551" spans="31:31">
      <c r="AE1551" s="54"/>
    </row>
    <row r="1552" spans="31:31">
      <c r="AE1552" s="54"/>
    </row>
    <row r="1553" spans="31:31">
      <c r="AE1553" s="54"/>
    </row>
    <row r="1554" spans="31:31">
      <c r="AE1554" s="54"/>
    </row>
    <row r="1555" spans="31:31">
      <c r="AE1555" s="54"/>
    </row>
    <row r="1556" spans="31:31">
      <c r="AE1556" s="54"/>
    </row>
    <row r="1557" spans="31:31">
      <c r="AE1557" s="54"/>
    </row>
    <row r="1558" spans="31:31">
      <c r="AE1558" s="54"/>
    </row>
    <row r="1559" spans="31:31">
      <c r="AE1559" s="54"/>
    </row>
    <row r="1560" spans="31:31">
      <c r="AE1560" s="54"/>
    </row>
    <row r="1561" spans="31:31">
      <c r="AE1561" s="54"/>
    </row>
    <row r="1562" spans="31:31">
      <c r="AE1562" s="54"/>
    </row>
    <row r="1563" spans="31:31">
      <c r="AE1563" s="54"/>
    </row>
    <row r="1564" spans="31:31">
      <c r="AE1564" s="54"/>
    </row>
    <row r="1565" spans="31:31">
      <c r="AE1565" s="54"/>
    </row>
    <row r="1566" spans="31:31">
      <c r="AE1566" s="54"/>
    </row>
    <row r="1567" spans="31:31">
      <c r="AE1567" s="54"/>
    </row>
    <row r="1568" spans="31:31">
      <c r="AE1568" s="54"/>
    </row>
    <row r="1569" spans="31:31">
      <c r="AE1569" s="54"/>
    </row>
    <row r="1570" spans="31:31">
      <c r="AE1570" s="54"/>
    </row>
    <row r="1571" spans="31:31">
      <c r="AE1571" s="54"/>
    </row>
    <row r="1572" spans="31:31">
      <c r="AE1572" s="54"/>
    </row>
    <row r="1573" spans="31:31">
      <c r="AE1573" s="54"/>
    </row>
    <row r="1574" spans="31:31">
      <c r="AE1574" s="54"/>
    </row>
    <row r="1575" spans="31:31">
      <c r="AE1575" s="54"/>
    </row>
    <row r="1576" spans="31:31">
      <c r="AE1576" s="54"/>
    </row>
    <row r="1577" spans="31:31">
      <c r="AE1577" s="54"/>
    </row>
    <row r="1578" spans="31:31">
      <c r="AE1578" s="54"/>
    </row>
    <row r="1579" spans="31:31">
      <c r="AE1579" s="54"/>
    </row>
    <row r="1580" spans="31:31">
      <c r="AE1580" s="54"/>
    </row>
    <row r="1581" spans="31:31">
      <c r="AE1581" s="54"/>
    </row>
    <row r="1582" spans="31:31">
      <c r="AE1582" s="54"/>
    </row>
    <row r="1583" spans="31:31">
      <c r="AE1583" s="54"/>
    </row>
    <row r="1584" spans="31:31">
      <c r="AE1584" s="54"/>
    </row>
    <row r="1585" spans="31:31">
      <c r="AE1585" s="54"/>
    </row>
    <row r="1586" spans="31:31">
      <c r="AE1586" s="54"/>
    </row>
    <row r="1587" spans="31:31">
      <c r="AE1587" s="54"/>
    </row>
    <row r="1588" spans="31:31">
      <c r="AE1588" s="54"/>
    </row>
    <row r="1589" spans="31:31">
      <c r="AE1589" s="54"/>
    </row>
    <row r="1590" spans="31:31">
      <c r="AE1590" s="54"/>
    </row>
    <row r="1591" spans="31:31">
      <c r="AE1591" s="54"/>
    </row>
    <row r="1592" spans="31:31">
      <c r="AE1592" s="54"/>
    </row>
    <row r="1593" spans="31:31">
      <c r="AE1593" s="54"/>
    </row>
    <row r="1594" spans="31:31">
      <c r="AE1594" s="54"/>
    </row>
    <row r="1595" spans="31:31">
      <c r="AE1595" s="54"/>
    </row>
    <row r="1596" spans="31:31">
      <c r="AE1596" s="54"/>
    </row>
    <row r="1597" spans="31:31">
      <c r="AE1597" s="54"/>
    </row>
    <row r="1598" spans="31:31">
      <c r="AE1598" s="54"/>
    </row>
    <row r="1599" spans="31:31">
      <c r="AE1599" s="54"/>
    </row>
    <row r="1600" spans="31:31">
      <c r="AE1600" s="54"/>
    </row>
    <row r="1601" spans="31:31">
      <c r="AE1601" s="54"/>
    </row>
    <row r="1602" spans="31:31">
      <c r="AE1602" s="54"/>
    </row>
    <row r="1603" spans="31:31">
      <c r="AE1603" s="54"/>
    </row>
    <row r="1604" spans="31:31">
      <c r="AE1604" s="54"/>
    </row>
    <row r="1605" spans="31:31">
      <c r="AE1605" s="54"/>
    </row>
    <row r="1606" spans="31:31">
      <c r="AE1606" s="54"/>
    </row>
    <row r="1607" spans="31:31">
      <c r="AE1607" s="54"/>
    </row>
    <row r="1608" spans="31:31">
      <c r="AE1608" s="54"/>
    </row>
    <row r="1609" spans="31:31">
      <c r="AE1609" s="54"/>
    </row>
    <row r="1610" spans="31:31">
      <c r="AE1610" s="54"/>
    </row>
    <row r="1611" spans="31:31">
      <c r="AE1611" s="54"/>
    </row>
    <row r="1612" spans="31:31">
      <c r="AE1612" s="54"/>
    </row>
    <row r="1613" spans="31:31">
      <c r="AE1613" s="54"/>
    </row>
    <row r="1614" spans="31:31">
      <c r="AE1614" s="54"/>
    </row>
    <row r="1615" spans="31:31">
      <c r="AE1615" s="54"/>
    </row>
    <row r="1616" spans="31:31">
      <c r="AE1616" s="54"/>
    </row>
    <row r="1617" spans="31:31">
      <c r="AE1617" s="54"/>
    </row>
    <row r="1618" spans="31:31">
      <c r="AE1618" s="54"/>
    </row>
    <row r="1619" spans="31:31">
      <c r="AE1619" s="54"/>
    </row>
    <row r="1620" spans="31:31">
      <c r="AE1620" s="54"/>
    </row>
    <row r="1621" spans="31:31">
      <c r="AE1621" s="54"/>
    </row>
    <row r="1622" spans="31:31">
      <c r="AE1622" s="54"/>
    </row>
    <row r="1623" spans="31:31">
      <c r="AE1623" s="54"/>
    </row>
    <row r="1624" spans="31:31">
      <c r="AE1624" s="54"/>
    </row>
    <row r="1625" spans="31:31">
      <c r="AE1625" s="54"/>
    </row>
    <row r="1626" spans="31:31">
      <c r="AE1626" s="54"/>
    </row>
    <row r="1627" spans="31:31">
      <c r="AE1627" s="54"/>
    </row>
    <row r="1628" spans="31:31">
      <c r="AE1628" s="54"/>
    </row>
    <row r="1629" spans="31:31">
      <c r="AE1629" s="54"/>
    </row>
    <row r="1630" spans="31:31">
      <c r="AE1630" s="54"/>
    </row>
    <row r="1631" spans="31:31">
      <c r="AE1631" s="54"/>
    </row>
    <row r="1632" spans="31:31">
      <c r="AE1632" s="54"/>
    </row>
    <row r="1633" spans="31:31">
      <c r="AE1633" s="54"/>
    </row>
    <row r="1634" spans="31:31">
      <c r="AE1634" s="54"/>
    </row>
    <row r="1635" spans="31:31">
      <c r="AE1635" s="54"/>
    </row>
    <row r="1636" spans="31:31">
      <c r="AE1636" s="54"/>
    </row>
    <row r="1637" spans="31:31">
      <c r="AE1637" s="54"/>
    </row>
    <row r="1638" spans="31:31">
      <c r="AE1638" s="54"/>
    </row>
    <row r="1639" spans="31:31">
      <c r="AE1639" s="54"/>
    </row>
    <row r="1640" spans="31:31">
      <c r="AE1640" s="54"/>
    </row>
    <row r="1641" spans="31:31">
      <c r="AE1641" s="54"/>
    </row>
    <row r="1642" spans="31:31">
      <c r="AE1642" s="54"/>
    </row>
    <row r="1643" spans="31:31">
      <c r="AE1643" s="54"/>
    </row>
    <row r="1644" spans="31:31">
      <c r="AE1644" s="54"/>
    </row>
    <row r="1645" spans="31:31">
      <c r="AE1645" s="54"/>
    </row>
    <row r="1646" spans="31:31">
      <c r="AE1646" s="54"/>
    </row>
    <row r="1647" spans="31:31">
      <c r="AE1647" s="54"/>
    </row>
    <row r="1648" spans="31:31">
      <c r="AE1648" s="54"/>
    </row>
    <row r="1649" spans="31:31">
      <c r="AE1649" s="54"/>
    </row>
    <row r="1650" spans="31:31">
      <c r="AE1650" s="54"/>
    </row>
    <row r="1651" spans="31:31">
      <c r="AE1651" s="54"/>
    </row>
    <row r="1652" spans="31:31">
      <c r="AE1652" s="54"/>
    </row>
    <row r="1653" spans="31:31">
      <c r="AE1653" s="54"/>
    </row>
    <row r="1654" spans="31:31">
      <c r="AE1654" s="54"/>
    </row>
    <row r="1655" spans="31:31">
      <c r="AE1655" s="54"/>
    </row>
    <row r="1656" spans="31:31">
      <c r="AE1656" s="54"/>
    </row>
    <row r="1657" spans="31:31">
      <c r="AE1657" s="54"/>
    </row>
    <row r="1658" spans="31:31">
      <c r="AE1658" s="54"/>
    </row>
    <row r="1659" spans="31:31">
      <c r="AE1659" s="54"/>
    </row>
    <row r="1660" spans="31:31">
      <c r="AE1660" s="54"/>
    </row>
    <row r="1661" spans="31:31">
      <c r="AE1661" s="54"/>
    </row>
    <row r="1662" spans="31:31">
      <c r="AE1662" s="54"/>
    </row>
    <row r="1663" spans="31:31">
      <c r="AE1663" s="54"/>
    </row>
    <row r="1664" spans="31:31">
      <c r="AE1664" s="54"/>
    </row>
    <row r="1665" spans="31:31">
      <c r="AE1665" s="54"/>
    </row>
    <row r="1666" spans="31:31">
      <c r="AE1666" s="54"/>
    </row>
    <row r="1667" spans="31:31">
      <c r="AE1667" s="54"/>
    </row>
    <row r="1668" spans="31:31">
      <c r="AE1668" s="54"/>
    </row>
    <row r="1669" spans="31:31">
      <c r="AE1669" s="54"/>
    </row>
    <row r="1670" spans="31:31">
      <c r="AE1670" s="54"/>
    </row>
    <row r="1671" spans="31:31">
      <c r="AE1671" s="54"/>
    </row>
    <row r="1672" spans="31:31">
      <c r="AE1672" s="54"/>
    </row>
    <row r="1673" spans="31:31">
      <c r="AE1673" s="54"/>
    </row>
    <row r="1674" spans="31:31">
      <c r="AE1674" s="54"/>
    </row>
    <row r="1675" spans="31:31">
      <c r="AE1675" s="54"/>
    </row>
    <row r="1676" spans="31:31">
      <c r="AE1676" s="54"/>
    </row>
    <row r="1677" spans="31:31">
      <c r="AE1677" s="54"/>
    </row>
    <row r="1678" spans="31:31">
      <c r="AE1678" s="54"/>
    </row>
    <row r="1679" spans="31:31">
      <c r="AE1679" s="54"/>
    </row>
    <row r="1680" spans="31:31">
      <c r="AE1680" s="54"/>
    </row>
    <row r="1681" spans="31:31">
      <c r="AE1681" s="54"/>
    </row>
    <row r="1682" spans="31:31">
      <c r="AE1682" s="54"/>
    </row>
    <row r="1683" spans="31:31">
      <c r="AE1683" s="54"/>
    </row>
    <row r="1684" spans="31:31">
      <c r="AE1684" s="54"/>
    </row>
    <row r="1685" spans="31:31">
      <c r="AE1685" s="54"/>
    </row>
    <row r="1686" spans="31:31">
      <c r="AE1686" s="54"/>
    </row>
    <row r="1687" spans="31:31">
      <c r="AE1687" s="54"/>
    </row>
    <row r="1688" spans="31:31">
      <c r="AE1688" s="54"/>
    </row>
    <row r="1689" spans="31:31">
      <c r="AE1689" s="54"/>
    </row>
    <row r="1690" spans="31:31">
      <c r="AE1690" s="54"/>
    </row>
    <row r="1691" spans="31:31">
      <c r="AE1691" s="54"/>
    </row>
    <row r="1692" spans="31:31">
      <c r="AE1692" s="54"/>
    </row>
    <row r="1693" spans="31:31">
      <c r="AE1693" s="54"/>
    </row>
    <row r="1694" spans="31:31">
      <c r="AE1694" s="54"/>
    </row>
    <row r="1695" spans="31:31">
      <c r="AE1695" s="54"/>
    </row>
    <row r="1696" spans="31:31">
      <c r="AE1696" s="54"/>
    </row>
    <row r="1697" spans="31:31">
      <c r="AE1697" s="54"/>
    </row>
    <row r="1698" spans="31:31">
      <c r="AE1698" s="54"/>
    </row>
    <row r="1699" spans="31:31">
      <c r="AE1699" s="54"/>
    </row>
    <row r="1700" spans="31:31">
      <c r="AE1700" s="54"/>
    </row>
    <row r="1701" spans="31:31">
      <c r="AE1701" s="54"/>
    </row>
    <row r="1702" spans="31:31">
      <c r="AE1702" s="54"/>
    </row>
    <row r="1703" spans="31:31">
      <c r="AE1703" s="54"/>
    </row>
    <row r="1704" spans="31:31">
      <c r="AE1704" s="54"/>
    </row>
    <row r="1705" spans="31:31">
      <c r="AE1705" s="54"/>
    </row>
    <row r="1706" spans="31:31">
      <c r="AE1706" s="54"/>
    </row>
    <row r="1707" spans="31:31">
      <c r="AE1707" s="54"/>
    </row>
    <row r="1708" spans="31:31">
      <c r="AE1708" s="54"/>
    </row>
    <row r="1709" spans="31:31">
      <c r="AE1709" s="54"/>
    </row>
    <row r="1710" spans="31:31">
      <c r="AE1710" s="54"/>
    </row>
    <row r="1711" spans="31:31">
      <c r="AE1711" s="54"/>
    </row>
    <row r="1712" spans="31:31">
      <c r="AE1712" s="54"/>
    </row>
    <row r="1713" spans="31:31">
      <c r="AE1713" s="54"/>
    </row>
    <row r="1714" spans="31:31">
      <c r="AE1714" s="54"/>
    </row>
    <row r="1715" spans="31:31">
      <c r="AE1715" s="54"/>
    </row>
    <row r="1716" spans="31:31">
      <c r="AE1716" s="54"/>
    </row>
    <row r="1717" spans="31:31">
      <c r="AE1717" s="54"/>
    </row>
    <row r="1718" spans="31:31">
      <c r="AE1718" s="54"/>
    </row>
    <row r="1719" spans="31:31">
      <c r="AE1719" s="54"/>
    </row>
    <row r="1720" spans="31:31">
      <c r="AE1720" s="54"/>
    </row>
    <row r="1721" spans="31:31">
      <c r="AE1721" s="54"/>
    </row>
    <row r="1722" spans="31:31">
      <c r="AE1722" s="54"/>
    </row>
    <row r="1723" spans="31:31">
      <c r="AE1723" s="54"/>
    </row>
    <row r="1724" spans="31:31">
      <c r="AE1724" s="54"/>
    </row>
    <row r="1725" spans="31:31">
      <c r="AE1725" s="54"/>
    </row>
    <row r="1726" spans="31:31">
      <c r="AE1726" s="54"/>
    </row>
    <row r="1727" spans="31:31">
      <c r="AE1727" s="54"/>
    </row>
    <row r="1728" spans="31:31">
      <c r="AE1728" s="54"/>
    </row>
    <row r="1729" spans="31:31">
      <c r="AE1729" s="54"/>
    </row>
    <row r="1730" spans="31:31">
      <c r="AE1730" s="54"/>
    </row>
    <row r="1731" spans="31:31">
      <c r="AE1731" s="54"/>
    </row>
    <row r="1732" spans="31:31">
      <c r="AE1732" s="54"/>
    </row>
    <row r="1733" spans="31:31">
      <c r="AE1733" s="54"/>
    </row>
    <row r="1734" spans="31:31">
      <c r="AE1734" s="54"/>
    </row>
    <row r="1735" spans="31:31">
      <c r="AE1735" s="54"/>
    </row>
    <row r="1736" spans="31:31">
      <c r="AE1736" s="54"/>
    </row>
    <row r="1737" spans="31:31">
      <c r="AE1737" s="54"/>
    </row>
    <row r="1738" spans="31:31">
      <c r="AE1738" s="54"/>
    </row>
    <row r="1739" spans="31:31">
      <c r="AE1739" s="54"/>
    </row>
    <row r="1740" spans="31:31">
      <c r="AE1740" s="54"/>
    </row>
    <row r="1741" spans="31:31">
      <c r="AE1741" s="54"/>
    </row>
    <row r="1742" spans="31:31">
      <c r="AE1742" s="54"/>
    </row>
    <row r="1743" spans="31:31">
      <c r="AE1743" s="54"/>
    </row>
    <row r="1744" spans="31:31">
      <c r="AE1744" s="54"/>
    </row>
    <row r="1745" spans="31:31">
      <c r="AE1745" s="54"/>
    </row>
    <row r="1746" spans="31:31">
      <c r="AE1746" s="54"/>
    </row>
    <row r="1747" spans="31:31">
      <c r="AE1747" s="54"/>
    </row>
    <row r="1748" spans="31:31">
      <c r="AE1748" s="54"/>
    </row>
    <row r="1749" spans="31:31">
      <c r="AE1749" s="54"/>
    </row>
    <row r="1750" spans="31:31">
      <c r="AE1750" s="54"/>
    </row>
    <row r="1751" spans="31:31">
      <c r="AE1751" s="54"/>
    </row>
    <row r="1752" spans="31:31">
      <c r="AE1752" s="54"/>
    </row>
    <row r="1753" spans="31:31">
      <c r="AE1753" s="54"/>
    </row>
    <row r="1754" spans="31:31">
      <c r="AE1754" s="54"/>
    </row>
    <row r="1755" spans="31:31">
      <c r="AE1755" s="54"/>
    </row>
    <row r="1756" spans="31:31">
      <c r="AE1756" s="54"/>
    </row>
    <row r="1757" spans="31:31">
      <c r="AE1757" s="54"/>
    </row>
    <row r="1758" spans="31:31">
      <c r="AE1758" s="54"/>
    </row>
    <row r="1759" spans="31:31">
      <c r="AE1759" s="54"/>
    </row>
    <row r="1760" spans="31:31">
      <c r="AE1760" s="54"/>
    </row>
    <row r="1761" spans="31:31">
      <c r="AE1761" s="54"/>
    </row>
    <row r="1762" spans="31:31">
      <c r="AE1762" s="54"/>
    </row>
    <row r="1763" spans="31:31">
      <c r="AE1763" s="54"/>
    </row>
    <row r="1764" spans="31:31">
      <c r="AE1764" s="54"/>
    </row>
    <row r="1765" spans="31:31">
      <c r="AE1765" s="54"/>
    </row>
    <row r="1766" spans="31:31">
      <c r="AE1766" s="54"/>
    </row>
    <row r="1767" spans="31:31">
      <c r="AE1767" s="54"/>
    </row>
    <row r="1768" spans="31:31">
      <c r="AE1768" s="54"/>
    </row>
    <row r="1769" spans="31:31">
      <c r="AE1769" s="54"/>
    </row>
    <row r="1770" spans="31:31">
      <c r="AE1770" s="54"/>
    </row>
    <row r="1771" spans="31:31">
      <c r="AE1771" s="54"/>
    </row>
    <row r="1772" spans="31:31">
      <c r="AE1772" s="54"/>
    </row>
    <row r="1773" spans="31:31">
      <c r="AE1773" s="54"/>
    </row>
    <row r="1774" spans="31:31">
      <c r="AE1774" s="54"/>
    </row>
    <row r="1775" spans="31:31">
      <c r="AE1775" s="54"/>
    </row>
    <row r="1776" spans="31:31">
      <c r="AE1776" s="54"/>
    </row>
    <row r="1777" spans="31:31">
      <c r="AE1777" s="54"/>
    </row>
    <row r="1778" spans="31:31">
      <c r="AE1778" s="54"/>
    </row>
    <row r="1779" spans="31:31">
      <c r="AE1779" s="54"/>
    </row>
    <row r="1780" spans="31:31">
      <c r="AE1780" s="54"/>
    </row>
    <row r="1781" spans="31:31">
      <c r="AE1781" s="54"/>
    </row>
    <row r="1782" spans="31:31">
      <c r="AE1782" s="54"/>
    </row>
    <row r="1783" spans="31:31">
      <c r="AE1783" s="54"/>
    </row>
    <row r="1784" spans="31:31">
      <c r="AE1784" s="54"/>
    </row>
    <row r="1785" spans="31:31">
      <c r="AE1785" s="54"/>
    </row>
    <row r="1786" spans="31:31">
      <c r="AE1786" s="54"/>
    </row>
    <row r="1787" spans="31:31">
      <c r="AE1787" s="54"/>
    </row>
    <row r="1788" spans="31:31">
      <c r="AE1788" s="54"/>
    </row>
    <row r="1789" spans="31:31">
      <c r="AE1789" s="54"/>
    </row>
    <row r="1790" spans="31:31">
      <c r="AE1790" s="54"/>
    </row>
    <row r="1791" spans="31:31">
      <c r="AE1791" s="54"/>
    </row>
    <row r="1792" spans="31:31">
      <c r="AE1792" s="54"/>
    </row>
    <row r="1793" spans="31:31">
      <c r="AE1793" s="54"/>
    </row>
    <row r="1794" spans="31:31">
      <c r="AE1794" s="54"/>
    </row>
    <row r="1795" spans="31:31">
      <c r="AE1795" s="54"/>
    </row>
    <row r="1796" spans="31:31">
      <c r="AE1796" s="54"/>
    </row>
    <row r="1797" spans="31:31">
      <c r="AE1797" s="54"/>
    </row>
    <row r="1798" spans="31:31">
      <c r="AE1798" s="54"/>
    </row>
    <row r="1799" spans="31:31">
      <c r="AE1799" s="54"/>
    </row>
    <row r="1800" spans="31:31">
      <c r="AE1800" s="54"/>
    </row>
    <row r="1801" spans="31:31">
      <c r="AE1801" s="54"/>
    </row>
    <row r="1802" spans="31:31">
      <c r="AE1802" s="54"/>
    </row>
    <row r="1803" spans="31:31">
      <c r="AE1803" s="54"/>
    </row>
    <row r="1804" spans="31:31">
      <c r="AE1804" s="54"/>
    </row>
    <row r="1805" spans="31:31">
      <c r="AE1805" s="54"/>
    </row>
    <row r="1806" spans="31:31">
      <c r="AE1806" s="54"/>
    </row>
    <row r="1807" spans="31:31">
      <c r="AE1807" s="54"/>
    </row>
    <row r="1808" spans="31:31">
      <c r="AE1808" s="54"/>
    </row>
    <row r="1809" spans="31:31">
      <c r="AE1809" s="54"/>
    </row>
    <row r="1810" spans="31:31">
      <c r="AE1810" s="54"/>
    </row>
    <row r="1811" spans="31:31">
      <c r="AE1811" s="54"/>
    </row>
    <row r="1812" spans="31:31">
      <c r="AE1812" s="54"/>
    </row>
    <row r="1813" spans="31:31">
      <c r="AE1813" s="54"/>
    </row>
    <row r="1814" spans="31:31">
      <c r="AE1814" s="54"/>
    </row>
    <row r="1815" spans="31:31">
      <c r="AE1815" s="54"/>
    </row>
    <row r="1816" spans="31:31">
      <c r="AE1816" s="54"/>
    </row>
    <row r="1817" spans="31:31">
      <c r="AE1817" s="54"/>
    </row>
    <row r="1818" spans="31:31">
      <c r="AE1818" s="54"/>
    </row>
    <row r="1819" spans="31:31">
      <c r="AE1819" s="54"/>
    </row>
    <row r="1820" spans="31:31">
      <c r="AE1820" s="54"/>
    </row>
    <row r="1821" spans="31:31">
      <c r="AE1821" s="54"/>
    </row>
    <row r="1822" spans="31:31">
      <c r="AE1822" s="54"/>
    </row>
    <row r="1823" spans="31:31">
      <c r="AE1823" s="54"/>
    </row>
    <row r="1824" spans="31:31">
      <c r="AE1824" s="54"/>
    </row>
    <row r="1825" spans="31:31">
      <c r="AE1825" s="54"/>
    </row>
    <row r="1826" spans="31:31">
      <c r="AE1826" s="54"/>
    </row>
    <row r="1827" spans="31:31">
      <c r="AE1827" s="54"/>
    </row>
    <row r="1828" spans="31:31">
      <c r="AE1828" s="54"/>
    </row>
    <row r="1829" spans="31:31">
      <c r="AE1829" s="54"/>
    </row>
    <row r="1830" spans="31:31">
      <c r="AE1830" s="54"/>
    </row>
    <row r="1831" spans="31:31">
      <c r="AE1831" s="54"/>
    </row>
    <row r="1832" spans="31:31">
      <c r="AE1832" s="54"/>
    </row>
    <row r="1833" spans="31:31">
      <c r="AE1833" s="54"/>
    </row>
    <row r="1834" spans="31:31">
      <c r="AE1834" s="54"/>
    </row>
    <row r="1835" spans="31:31">
      <c r="AE1835" s="54"/>
    </row>
    <row r="1836" spans="31:31">
      <c r="AE1836" s="54"/>
    </row>
    <row r="1837" spans="31:31">
      <c r="AE1837" s="54"/>
    </row>
    <row r="1838" spans="31:31">
      <c r="AE1838" s="54"/>
    </row>
    <row r="1839" spans="31:31">
      <c r="AE1839" s="54"/>
    </row>
    <row r="1840" spans="31:31">
      <c r="AE1840" s="54"/>
    </row>
    <row r="1841" spans="31:31">
      <c r="AE1841" s="54"/>
    </row>
    <row r="1842" spans="31:31">
      <c r="AE1842" s="54"/>
    </row>
    <row r="1843" spans="31:31">
      <c r="AE1843" s="54"/>
    </row>
    <row r="1844" spans="31:31">
      <c r="AE1844" s="54"/>
    </row>
    <row r="1845" spans="31:31">
      <c r="AE1845" s="54"/>
    </row>
    <row r="1846" spans="31:31">
      <c r="AE1846" s="54"/>
    </row>
    <row r="1847" spans="31:31">
      <c r="AE1847" s="54"/>
    </row>
    <row r="1848" spans="31:31">
      <c r="AE1848" s="54"/>
    </row>
    <row r="1849" spans="31:31">
      <c r="AE1849" s="54"/>
    </row>
    <row r="1850" spans="31:31">
      <c r="AE1850" s="54"/>
    </row>
    <row r="1851" spans="31:31">
      <c r="AE1851" s="54"/>
    </row>
    <row r="1852" spans="31:31">
      <c r="AE1852" s="54"/>
    </row>
    <row r="1853" spans="31:31">
      <c r="AE1853" s="54"/>
    </row>
    <row r="1854" spans="31:31">
      <c r="AE1854" s="54"/>
    </row>
    <row r="1855" spans="31:31">
      <c r="AE1855" s="54"/>
    </row>
    <row r="1856" spans="31:31">
      <c r="AE1856" s="54"/>
    </row>
    <row r="1857" spans="31:31">
      <c r="AE1857" s="54"/>
    </row>
    <row r="1858" spans="31:31">
      <c r="AE1858" s="54"/>
    </row>
    <row r="1859" spans="31:31">
      <c r="AE1859" s="54"/>
    </row>
    <row r="1860" spans="31:31">
      <c r="AE1860" s="54"/>
    </row>
    <row r="1861" spans="31:31">
      <c r="AE1861" s="54"/>
    </row>
    <row r="1862" spans="31:31">
      <c r="AE1862" s="54"/>
    </row>
    <row r="1863" spans="31:31">
      <c r="AE1863" s="54"/>
    </row>
    <row r="1864" spans="31:31">
      <c r="AE1864" s="54"/>
    </row>
    <row r="1865" spans="31:31">
      <c r="AE1865" s="54"/>
    </row>
    <row r="1866" spans="31:31">
      <c r="AE1866" s="54"/>
    </row>
    <row r="1867" spans="31:31">
      <c r="AE1867" s="54"/>
    </row>
    <row r="1868" spans="31:31">
      <c r="AE1868" s="54"/>
    </row>
    <row r="1869" spans="31:31">
      <c r="AE1869" s="54"/>
    </row>
    <row r="1870" spans="31:31">
      <c r="AE1870" s="54"/>
    </row>
    <row r="1871" spans="31:31">
      <c r="AE1871" s="54"/>
    </row>
    <row r="1872" spans="31:31">
      <c r="AE1872" s="54"/>
    </row>
    <row r="1873" spans="31:31">
      <c r="AE1873" s="54"/>
    </row>
    <row r="1874" spans="31:31">
      <c r="AE1874" s="54"/>
    </row>
    <row r="1875" spans="31:31">
      <c r="AE1875" s="54"/>
    </row>
    <row r="1876" spans="31:31">
      <c r="AE1876" s="54"/>
    </row>
    <row r="1877" spans="31:31">
      <c r="AE1877" s="54"/>
    </row>
    <row r="1878" spans="31:31">
      <c r="AE1878" s="54"/>
    </row>
    <row r="1879" spans="31:31">
      <c r="AE1879" s="54"/>
    </row>
    <row r="1880" spans="31:31">
      <c r="AE1880" s="54"/>
    </row>
    <row r="1881" spans="31:31">
      <c r="AE1881" s="54"/>
    </row>
    <row r="1882" spans="31:31">
      <c r="AE1882" s="54"/>
    </row>
    <row r="1883" spans="31:31">
      <c r="AE1883" s="54"/>
    </row>
    <row r="1884" spans="31:31">
      <c r="AE1884" s="54"/>
    </row>
    <row r="1885" spans="31:31">
      <c r="AE1885" s="54"/>
    </row>
    <row r="1886" spans="31:31">
      <c r="AE1886" s="54"/>
    </row>
    <row r="1887" spans="31:31">
      <c r="AE1887" s="54"/>
    </row>
    <row r="1888" spans="31:31">
      <c r="AE1888" s="54"/>
    </row>
    <row r="1889" spans="31:31">
      <c r="AE1889" s="54"/>
    </row>
    <row r="1890" spans="31:31">
      <c r="AE1890" s="54"/>
    </row>
    <row r="1891" spans="31:31">
      <c r="AE1891" s="54"/>
    </row>
    <row r="1892" spans="31:31">
      <c r="AE1892" s="54"/>
    </row>
    <row r="1893" spans="31:31">
      <c r="AE1893" s="54"/>
    </row>
    <row r="1894" spans="31:31">
      <c r="AE1894" s="54"/>
    </row>
    <row r="1895" spans="31:31">
      <c r="AE1895" s="54"/>
    </row>
    <row r="1896" spans="31:31">
      <c r="AE1896" s="54"/>
    </row>
    <row r="1897" spans="31:31">
      <c r="AE1897" s="54"/>
    </row>
    <row r="1898" spans="31:31">
      <c r="AE1898" s="54"/>
    </row>
    <row r="1899" spans="31:31">
      <c r="AE1899" s="54"/>
    </row>
    <row r="1900" spans="31:31">
      <c r="AE1900" s="54"/>
    </row>
    <row r="1901" spans="31:31">
      <c r="AE1901" s="54"/>
    </row>
    <row r="1902" spans="31:31">
      <c r="AE1902" s="54"/>
    </row>
    <row r="1903" spans="31:31">
      <c r="AE1903" s="54"/>
    </row>
    <row r="1904" spans="31:31">
      <c r="AE1904" s="54"/>
    </row>
    <row r="1905" spans="31:31">
      <c r="AE1905" s="54"/>
    </row>
    <row r="1906" spans="31:31">
      <c r="AE1906" s="54"/>
    </row>
    <row r="1907" spans="31:31">
      <c r="AE1907" s="54"/>
    </row>
    <row r="1908" spans="31:31">
      <c r="AE1908" s="54"/>
    </row>
    <row r="1909" spans="31:31">
      <c r="AE1909" s="54"/>
    </row>
    <row r="1910" spans="31:31">
      <c r="AE1910" s="54"/>
    </row>
    <row r="1911" spans="31:31">
      <c r="AE1911" s="54"/>
    </row>
    <row r="1912" spans="31:31">
      <c r="AE1912" s="54"/>
    </row>
    <row r="1913" spans="31:31">
      <c r="AE1913" s="54"/>
    </row>
    <row r="1914" spans="31:31">
      <c r="AE1914" s="54"/>
    </row>
    <row r="1915" spans="31:31">
      <c r="AE1915" s="54"/>
    </row>
    <row r="1916" spans="31:31">
      <c r="AE1916" s="54"/>
    </row>
    <row r="1917" spans="31:31">
      <c r="AE1917" s="54"/>
    </row>
    <row r="1918" spans="31:31">
      <c r="AE1918" s="54"/>
    </row>
    <row r="1919" spans="31:31">
      <c r="AE1919" s="54"/>
    </row>
    <row r="1920" spans="31:31">
      <c r="AE1920" s="54"/>
    </row>
    <row r="1921" spans="31:31">
      <c r="AE1921" s="54"/>
    </row>
    <row r="1922" spans="31:31">
      <c r="AE1922" s="54"/>
    </row>
    <row r="1923" spans="31:31">
      <c r="AE1923" s="54"/>
    </row>
    <row r="1924" spans="31:31">
      <c r="AE1924" s="54"/>
    </row>
    <row r="1925" spans="31:31">
      <c r="AE1925" s="54"/>
    </row>
    <row r="1926" spans="31:31">
      <c r="AE1926" s="54"/>
    </row>
    <row r="1927" spans="31:31">
      <c r="AE1927" s="54"/>
    </row>
    <row r="1928" spans="31:31">
      <c r="AE1928" s="54"/>
    </row>
    <row r="1929" spans="31:31">
      <c r="AE1929" s="54"/>
    </row>
    <row r="1930" spans="31:31">
      <c r="AE1930" s="54"/>
    </row>
    <row r="1931" spans="31:31">
      <c r="AE1931" s="54"/>
    </row>
    <row r="1932" spans="31:31">
      <c r="AE1932" s="54"/>
    </row>
    <row r="1933" spans="31:31">
      <c r="AE1933" s="54"/>
    </row>
    <row r="1934" spans="31:31">
      <c r="AE1934" s="54"/>
    </row>
    <row r="1935" spans="31:31">
      <c r="AE1935" s="54"/>
    </row>
    <row r="1936" spans="31:31">
      <c r="AE1936" s="54"/>
    </row>
    <row r="1937" spans="31:31">
      <c r="AE1937" s="54"/>
    </row>
    <row r="1938" spans="31:31">
      <c r="AE1938" s="54"/>
    </row>
    <row r="1939" spans="31:31">
      <c r="AE1939" s="54"/>
    </row>
    <row r="1940" spans="31:31">
      <c r="AE1940" s="54"/>
    </row>
    <row r="1941" spans="31:31">
      <c r="AE1941" s="54"/>
    </row>
    <row r="1942" spans="31:31">
      <c r="AE1942" s="54"/>
    </row>
    <row r="1943" spans="31:31">
      <c r="AE1943" s="54"/>
    </row>
    <row r="1944" spans="31:31">
      <c r="AE1944" s="54"/>
    </row>
    <row r="1945" spans="31:31">
      <c r="AE1945" s="54"/>
    </row>
    <row r="1946" spans="31:31">
      <c r="AE1946" s="54"/>
    </row>
    <row r="1947" spans="31:31">
      <c r="AE1947" s="54"/>
    </row>
    <row r="1948" spans="31:31">
      <c r="AE1948" s="54"/>
    </row>
    <row r="1949" spans="31:31">
      <c r="AE1949" s="54"/>
    </row>
    <row r="1950" spans="31:31">
      <c r="AE1950" s="54"/>
    </row>
    <row r="1951" spans="31:31">
      <c r="AE1951" s="54"/>
    </row>
    <row r="1952" spans="31:31">
      <c r="AE1952" s="54"/>
    </row>
    <row r="1953" spans="31:31">
      <c r="AE1953" s="54"/>
    </row>
    <row r="1954" spans="31:31">
      <c r="AE1954" s="54"/>
    </row>
    <row r="1955" spans="31:31">
      <c r="AE1955" s="54"/>
    </row>
    <row r="1956" spans="31:31">
      <c r="AE1956" s="54"/>
    </row>
    <row r="1957" spans="31:31">
      <c r="AE1957" s="54"/>
    </row>
    <row r="1958" spans="31:31">
      <c r="AE1958" s="54"/>
    </row>
    <row r="1959" spans="31:31">
      <c r="AE1959" s="54"/>
    </row>
    <row r="1960" spans="31:31">
      <c r="AE1960" s="54"/>
    </row>
    <row r="1961" spans="31:31">
      <c r="AE1961" s="54"/>
    </row>
    <row r="1962" spans="31:31">
      <c r="AE1962" s="54"/>
    </row>
    <row r="1963" spans="31:31">
      <c r="AE1963" s="54"/>
    </row>
    <row r="1964" spans="31:31">
      <c r="AE1964" s="54"/>
    </row>
    <row r="1965" spans="31:31">
      <c r="AE1965" s="54"/>
    </row>
    <row r="1966" spans="31:31">
      <c r="AE1966" s="54"/>
    </row>
    <row r="1967" spans="31:31">
      <c r="AE1967" s="54"/>
    </row>
    <row r="1968" spans="31:31">
      <c r="AE1968" s="54"/>
    </row>
    <row r="1969" spans="31:31">
      <c r="AE1969" s="54"/>
    </row>
    <row r="1970" spans="31:31">
      <c r="AE1970" s="54"/>
    </row>
    <row r="1971" spans="31:31">
      <c r="AE1971" s="54"/>
    </row>
    <row r="1972" spans="31:31">
      <c r="AE1972" s="54"/>
    </row>
    <row r="1973" spans="31:31">
      <c r="AE1973" s="54"/>
    </row>
    <row r="1974" spans="31:31">
      <c r="AE1974" s="54"/>
    </row>
    <row r="1975" spans="31:31">
      <c r="AE1975" s="54"/>
    </row>
    <row r="1976" spans="31:31">
      <c r="AE1976" s="54"/>
    </row>
    <row r="1977" spans="31:31">
      <c r="AE1977" s="54"/>
    </row>
    <row r="1978" spans="31:31">
      <c r="AE1978" s="54"/>
    </row>
    <row r="1979" spans="31:31">
      <c r="AE1979" s="54"/>
    </row>
    <row r="1980" spans="31:31">
      <c r="AE1980" s="54"/>
    </row>
    <row r="1981" spans="31:31">
      <c r="AE1981" s="54"/>
    </row>
    <row r="1982" spans="31:31">
      <c r="AE1982" s="54"/>
    </row>
    <row r="1983" spans="31:31">
      <c r="AE1983" s="54"/>
    </row>
    <row r="1984" spans="31:31">
      <c r="AE1984" s="54"/>
    </row>
    <row r="1985" spans="31:31">
      <c r="AE1985" s="54"/>
    </row>
    <row r="1986" spans="31:31">
      <c r="AE1986" s="54"/>
    </row>
    <row r="1987" spans="31:31">
      <c r="AE1987" s="54"/>
    </row>
    <row r="1988" spans="31:31">
      <c r="AE1988" s="54"/>
    </row>
    <row r="1989" spans="31:31">
      <c r="AE1989" s="54"/>
    </row>
    <row r="1990" spans="31:31">
      <c r="AE1990" s="54"/>
    </row>
    <row r="1991" spans="31:31">
      <c r="AE1991" s="54"/>
    </row>
    <row r="1992" spans="31:31">
      <c r="AE1992" s="54"/>
    </row>
    <row r="1993" spans="31:31">
      <c r="AE1993" s="54"/>
    </row>
    <row r="1994" spans="31:31">
      <c r="AE1994" s="54"/>
    </row>
    <row r="1995" spans="31:31">
      <c r="AE1995" s="54"/>
    </row>
    <row r="1996" spans="31:31">
      <c r="AE1996" s="54"/>
    </row>
    <row r="1997" spans="31:31">
      <c r="AE1997" s="54"/>
    </row>
    <row r="1998" spans="31:31">
      <c r="AE1998" s="54"/>
    </row>
    <row r="1999" spans="31:31">
      <c r="AE1999" s="54"/>
    </row>
    <row r="2000" spans="31:31">
      <c r="AE2000" s="54"/>
    </row>
    <row r="2001" spans="31:31">
      <c r="AE2001" s="54"/>
    </row>
    <row r="2002" spans="31:31">
      <c r="AE2002" s="54"/>
    </row>
    <row r="2003" spans="31:31">
      <c r="AE2003" s="54"/>
    </row>
    <row r="2004" spans="31:31">
      <c r="AE2004" s="54"/>
    </row>
    <row r="2005" spans="31:31">
      <c r="AE2005" s="54"/>
    </row>
    <row r="2006" spans="31:31">
      <c r="AE2006" s="54"/>
    </row>
    <row r="2007" spans="31:31">
      <c r="AE2007" s="54"/>
    </row>
    <row r="2008" spans="31:31">
      <c r="AE2008" s="54"/>
    </row>
    <row r="2009" spans="31:31">
      <c r="AE2009" s="54"/>
    </row>
    <row r="2010" spans="31:31">
      <c r="AE2010" s="54"/>
    </row>
    <row r="2011" spans="31:31">
      <c r="AE2011" s="54"/>
    </row>
    <row r="2012" spans="31:31">
      <c r="AE2012" s="54"/>
    </row>
    <row r="2013" spans="31:31">
      <c r="AE2013" s="54"/>
    </row>
    <row r="2014" spans="31:31">
      <c r="AE2014" s="54"/>
    </row>
    <row r="2015" spans="31:31">
      <c r="AE2015" s="54"/>
    </row>
    <row r="2016" spans="31:31">
      <c r="AE2016" s="54"/>
    </row>
    <row r="2017" spans="31:31">
      <c r="AE2017" s="54"/>
    </row>
    <row r="2018" spans="31:31">
      <c r="AE2018" s="54"/>
    </row>
    <row r="2019" spans="31:31">
      <c r="AE2019" s="54"/>
    </row>
    <row r="2020" spans="31:31">
      <c r="AE2020" s="54"/>
    </row>
    <row r="2021" spans="31:31">
      <c r="AE2021" s="54"/>
    </row>
    <row r="2022" spans="31:31">
      <c r="AE2022" s="54"/>
    </row>
    <row r="2023" spans="31:31">
      <c r="AE2023" s="54"/>
    </row>
    <row r="2024" spans="31:31">
      <c r="AE2024" s="54"/>
    </row>
    <row r="2025" spans="31:31">
      <c r="AE2025" s="54"/>
    </row>
    <row r="2026" spans="31:31">
      <c r="AE2026" s="54"/>
    </row>
    <row r="2027" spans="31:31">
      <c r="AE2027" s="54"/>
    </row>
    <row r="2028" spans="31:31">
      <c r="AE2028" s="54"/>
    </row>
    <row r="2029" spans="31:31">
      <c r="AE2029" s="54"/>
    </row>
    <row r="2030" spans="31:31">
      <c r="AE2030" s="54"/>
    </row>
    <row r="2031" spans="31:31">
      <c r="AE2031" s="54"/>
    </row>
    <row r="2032" spans="31:31">
      <c r="AE2032" s="54"/>
    </row>
    <row r="2033" spans="31:31">
      <c r="AE2033" s="54"/>
    </row>
    <row r="2034" spans="31:31">
      <c r="AE2034" s="54"/>
    </row>
    <row r="2035" spans="31:31">
      <c r="AE2035" s="54"/>
    </row>
    <row r="2036" spans="31:31">
      <c r="AE2036" s="54"/>
    </row>
    <row r="2037" spans="31:31">
      <c r="AE2037" s="54"/>
    </row>
    <row r="2038" spans="31:31">
      <c r="AE2038" s="54"/>
    </row>
    <row r="2039" spans="31:31">
      <c r="AE2039" s="54"/>
    </row>
    <row r="2040" spans="31:31">
      <c r="AE2040" s="54"/>
    </row>
    <row r="2041" spans="31:31">
      <c r="AE2041" s="54"/>
    </row>
    <row r="2042" spans="31:31">
      <c r="AE2042" s="54"/>
    </row>
    <row r="2043" spans="31:31">
      <c r="AE2043" s="54"/>
    </row>
    <row r="2044" spans="31:31">
      <c r="AE2044" s="54"/>
    </row>
    <row r="2045" spans="31:31">
      <c r="AE2045" s="54"/>
    </row>
    <row r="2046" spans="31:31">
      <c r="AE2046" s="54"/>
    </row>
    <row r="2047" spans="31:31">
      <c r="AE2047" s="54"/>
    </row>
    <row r="2048" spans="31:31">
      <c r="AE2048" s="54"/>
    </row>
    <row r="2049" spans="31:31">
      <c r="AE2049" s="54"/>
    </row>
    <row r="2050" spans="31:31">
      <c r="AE2050" s="54"/>
    </row>
    <row r="2051" spans="31:31">
      <c r="AE2051" s="54"/>
    </row>
    <row r="2052" spans="31:31">
      <c r="AE2052" s="54"/>
    </row>
    <row r="2053" spans="31:31">
      <c r="AE2053" s="54"/>
    </row>
    <row r="2054" spans="31:31">
      <c r="AE2054" s="54"/>
    </row>
    <row r="2055" spans="31:31">
      <c r="AE2055" s="54"/>
    </row>
    <row r="2056" spans="31:31">
      <c r="AE2056" s="54"/>
    </row>
    <row r="2057" spans="31:31">
      <c r="AE2057" s="54"/>
    </row>
    <row r="2058" spans="31:31">
      <c r="AE2058" s="54"/>
    </row>
    <row r="2059" spans="31:31">
      <c r="AE2059" s="54"/>
    </row>
    <row r="2060" spans="31:31">
      <c r="AE2060" s="54"/>
    </row>
    <row r="2061" spans="31:31">
      <c r="AE2061" s="54"/>
    </row>
    <row r="2062" spans="31:31">
      <c r="AE2062" s="54"/>
    </row>
    <row r="2063" spans="31:31">
      <c r="AE2063" s="54"/>
    </row>
    <row r="2064" spans="31:31">
      <c r="AE2064" s="54"/>
    </row>
    <row r="2065" spans="31:31">
      <c r="AE2065" s="54"/>
    </row>
    <row r="2066" spans="31:31">
      <c r="AE2066" s="54"/>
    </row>
    <row r="2067" spans="31:31">
      <c r="AE2067" s="54"/>
    </row>
    <row r="2068" spans="31:31">
      <c r="AE2068" s="54"/>
    </row>
    <row r="2069" spans="31:31">
      <c r="AE2069" s="54"/>
    </row>
    <row r="2070" spans="31:31">
      <c r="AE2070" s="54"/>
    </row>
    <row r="2071" spans="31:31">
      <c r="AE2071" s="54"/>
    </row>
    <row r="2072" spans="31:31">
      <c r="AE2072" s="54"/>
    </row>
    <row r="2073" spans="31:31">
      <c r="AE2073" s="54"/>
    </row>
    <row r="2074" spans="31:31">
      <c r="AE2074" s="54"/>
    </row>
    <row r="2075" spans="31:31">
      <c r="AE2075" s="54"/>
    </row>
    <row r="2076" spans="31:31">
      <c r="AE2076" s="54"/>
    </row>
    <row r="2077" spans="31:31">
      <c r="AE2077" s="54"/>
    </row>
    <row r="2078" spans="31:31">
      <c r="AE2078" s="54"/>
    </row>
    <row r="2079" spans="31:31">
      <c r="AE2079" s="54"/>
    </row>
    <row r="2080" spans="31:31">
      <c r="AE2080" s="54"/>
    </row>
    <row r="2081" spans="31:31">
      <c r="AE2081" s="54"/>
    </row>
    <row r="2082" spans="31:31">
      <c r="AE2082" s="54"/>
    </row>
    <row r="2083" spans="31:31">
      <c r="AE2083" s="54"/>
    </row>
    <row r="2084" spans="31:31">
      <c r="AE2084" s="54"/>
    </row>
    <row r="2085" spans="31:31">
      <c r="AE2085" s="54"/>
    </row>
    <row r="2086" spans="31:31">
      <c r="AE2086" s="54"/>
    </row>
    <row r="2087" spans="31:31">
      <c r="AE2087" s="54"/>
    </row>
    <row r="2088" spans="31:31">
      <c r="AE2088" s="54"/>
    </row>
    <row r="2089" spans="31:31">
      <c r="AE2089" s="54"/>
    </row>
    <row r="2090" spans="31:31">
      <c r="AE2090" s="54"/>
    </row>
    <row r="2091" spans="31:31">
      <c r="AE2091" s="54"/>
    </row>
    <row r="2092" spans="31:31">
      <c r="AE2092" s="54"/>
    </row>
    <row r="2093" spans="31:31">
      <c r="AE2093" s="54"/>
    </row>
    <row r="2094" spans="31:31">
      <c r="AE2094" s="54"/>
    </row>
    <row r="2095" spans="31:31">
      <c r="AE2095" s="54"/>
    </row>
    <row r="2096" spans="31:31">
      <c r="AE2096" s="54"/>
    </row>
    <row r="2097" spans="31:31">
      <c r="AE2097" s="54"/>
    </row>
    <row r="2098" spans="31:31">
      <c r="AE2098" s="54"/>
    </row>
    <row r="2099" spans="31:31">
      <c r="AE2099" s="54"/>
    </row>
    <row r="2100" spans="31:31">
      <c r="AE2100" s="54"/>
    </row>
    <row r="2101" spans="31:31">
      <c r="AE2101" s="54"/>
    </row>
    <row r="2102" spans="31:31">
      <c r="AE2102" s="54"/>
    </row>
    <row r="2103" spans="31:31">
      <c r="AE2103" s="54"/>
    </row>
    <row r="2104" spans="31:31">
      <c r="AE2104" s="54"/>
    </row>
    <row r="2105" spans="31:31">
      <c r="AE2105" s="54"/>
    </row>
    <row r="2106" spans="31:31">
      <c r="AE2106" s="54"/>
    </row>
    <row r="2107" spans="31:31">
      <c r="AE2107" s="54"/>
    </row>
    <row r="2108" spans="31:31">
      <c r="AE2108" s="54"/>
    </row>
    <row r="2109" spans="31:31">
      <c r="AE2109" s="54"/>
    </row>
    <row r="2110" spans="31:31">
      <c r="AE2110" s="54"/>
    </row>
    <row r="2111" spans="31:31">
      <c r="AE2111" s="54"/>
    </row>
    <row r="2112" spans="31:31">
      <c r="AE2112" s="54"/>
    </row>
    <row r="2113" spans="31:31">
      <c r="AE2113" s="54"/>
    </row>
    <row r="2114" spans="31:31">
      <c r="AE2114" s="54"/>
    </row>
    <row r="2115" spans="31:31">
      <c r="AE2115" s="54"/>
    </row>
    <row r="2116" spans="31:31">
      <c r="AE2116" s="54"/>
    </row>
    <row r="2117" spans="31:31">
      <c r="AE2117" s="54"/>
    </row>
    <row r="2118" spans="31:31">
      <c r="AE2118" s="54"/>
    </row>
    <row r="2119" spans="31:31">
      <c r="AE2119" s="54"/>
    </row>
    <row r="2120" spans="31:31">
      <c r="AE2120" s="54"/>
    </row>
    <row r="2121" spans="31:31">
      <c r="AE2121" s="54"/>
    </row>
    <row r="2122" spans="31:31">
      <c r="AE2122" s="54"/>
    </row>
    <row r="2123" spans="31:31">
      <c r="AE2123" s="54"/>
    </row>
    <row r="2124" spans="31:31">
      <c r="AE2124" s="54"/>
    </row>
    <row r="2125" spans="31:31">
      <c r="AE2125" s="54"/>
    </row>
    <row r="2126" spans="31:31">
      <c r="AE2126" s="54"/>
    </row>
    <row r="2127" spans="31:31">
      <c r="AE2127" s="54"/>
    </row>
    <row r="2128" spans="31:31">
      <c r="AE2128" s="54"/>
    </row>
    <row r="2129" spans="31:31">
      <c r="AE2129" s="54"/>
    </row>
    <row r="2130" spans="31:31">
      <c r="AE2130" s="54"/>
    </row>
    <row r="2131" spans="31:31">
      <c r="AE2131" s="54"/>
    </row>
    <row r="2132" spans="31:31">
      <c r="AE2132" s="54"/>
    </row>
    <row r="2133" spans="31:31">
      <c r="AE2133" s="54"/>
    </row>
    <row r="2134" spans="31:31">
      <c r="AE2134" s="54"/>
    </row>
    <row r="2135" spans="31:31">
      <c r="AE2135" s="54"/>
    </row>
    <row r="2136" spans="31:31">
      <c r="AE2136" s="54"/>
    </row>
    <row r="2137" spans="31:31">
      <c r="AE2137" s="54"/>
    </row>
    <row r="2138" spans="31:31">
      <c r="AE2138" s="54"/>
    </row>
    <row r="2139" spans="31:31">
      <c r="AE2139" s="54"/>
    </row>
    <row r="2140" spans="31:31">
      <c r="AE2140" s="54"/>
    </row>
    <row r="2141" spans="31:31">
      <c r="AE2141" s="54"/>
    </row>
    <row r="2142" spans="31:31">
      <c r="AE2142" s="54"/>
    </row>
    <row r="2143" spans="31:31">
      <c r="AE2143" s="54"/>
    </row>
    <row r="2144" spans="31:31">
      <c r="AE2144" s="54"/>
    </row>
    <row r="2145" spans="31:31">
      <c r="AE2145" s="54"/>
    </row>
    <row r="2146" spans="31:31">
      <c r="AE2146" s="54"/>
    </row>
    <row r="2147" spans="31:31">
      <c r="AE2147" s="54"/>
    </row>
    <row r="2148" spans="31:31">
      <c r="AE2148" s="54"/>
    </row>
    <row r="2149" spans="31:31">
      <c r="AE2149" s="54"/>
    </row>
    <row r="2150" spans="31:31">
      <c r="AE2150" s="54"/>
    </row>
    <row r="2151" spans="31:31">
      <c r="AE2151" s="54"/>
    </row>
    <row r="2152" spans="31:31">
      <c r="AE2152" s="54"/>
    </row>
    <row r="2153" spans="31:31">
      <c r="AE2153" s="54"/>
    </row>
    <row r="2154" spans="31:31">
      <c r="AE2154" s="54"/>
    </row>
    <row r="2155" spans="31:31">
      <c r="AE2155" s="54"/>
    </row>
    <row r="2156" spans="31:31">
      <c r="AE2156" s="54"/>
    </row>
    <row r="2157" spans="31:31">
      <c r="AE2157" s="54"/>
    </row>
    <row r="2158" spans="31:31">
      <c r="AE2158" s="54"/>
    </row>
    <row r="2159" spans="31:31">
      <c r="AE2159" s="54"/>
    </row>
    <row r="2160" spans="31:31">
      <c r="AE2160" s="54"/>
    </row>
    <row r="2161" spans="31:31">
      <c r="AE2161" s="54"/>
    </row>
    <row r="2162" spans="31:31">
      <c r="AE2162" s="54"/>
    </row>
    <row r="2163" spans="31:31">
      <c r="AE2163" s="54"/>
    </row>
    <row r="2164" spans="31:31">
      <c r="AE2164" s="54"/>
    </row>
    <row r="2165" spans="31:31">
      <c r="AE2165" s="54"/>
    </row>
    <row r="2166" spans="31:31">
      <c r="AE2166" s="54"/>
    </row>
    <row r="2167" spans="31:31">
      <c r="AE2167" s="54"/>
    </row>
    <row r="2168" spans="31:31">
      <c r="AE2168" s="54"/>
    </row>
    <row r="2169" spans="31:31">
      <c r="AE2169" s="54"/>
    </row>
    <row r="2170" spans="31:31">
      <c r="AE2170" s="54"/>
    </row>
    <row r="2171" spans="31:31">
      <c r="AE2171" s="54"/>
    </row>
    <row r="2172" spans="31:31">
      <c r="AE2172" s="54"/>
    </row>
    <row r="2173" spans="31:31">
      <c r="AE2173" s="54"/>
    </row>
    <row r="2174" spans="31:31">
      <c r="AE2174" s="54"/>
    </row>
    <row r="2175" spans="31:31">
      <c r="AE2175" s="54"/>
    </row>
    <row r="2176" spans="31:31">
      <c r="AE2176" s="54"/>
    </row>
    <row r="2177" spans="31:31">
      <c r="AE2177" s="54"/>
    </row>
    <row r="2178" spans="31:31">
      <c r="AE2178" s="54"/>
    </row>
    <row r="2179" spans="31:31">
      <c r="AE2179" s="54"/>
    </row>
    <row r="2180" spans="31:31">
      <c r="AE2180" s="54"/>
    </row>
    <row r="2181" spans="31:31">
      <c r="AE2181" s="54"/>
    </row>
    <row r="2182" spans="31:31">
      <c r="AE2182" s="54"/>
    </row>
    <row r="2183" spans="31:31">
      <c r="AE2183" s="54"/>
    </row>
    <row r="2184" spans="31:31">
      <c r="AE2184" s="54"/>
    </row>
    <row r="2185" spans="31:31">
      <c r="AE2185" s="54"/>
    </row>
    <row r="2186" spans="31:31">
      <c r="AE2186" s="54"/>
    </row>
    <row r="2187" spans="31:31">
      <c r="AE2187" s="54"/>
    </row>
    <row r="2188" spans="31:31">
      <c r="AE2188" s="54"/>
    </row>
    <row r="2189" spans="31:31">
      <c r="AE2189" s="54"/>
    </row>
    <row r="2190" spans="31:31">
      <c r="AE2190" s="54"/>
    </row>
    <row r="2191" spans="31:31">
      <c r="AE2191" s="54"/>
    </row>
    <row r="2192" spans="31:31">
      <c r="AE2192" s="54"/>
    </row>
    <row r="2193" spans="31:31">
      <c r="AE2193" s="54"/>
    </row>
    <row r="2194" spans="31:31">
      <c r="AE2194" s="54"/>
    </row>
    <row r="2195" spans="31:31">
      <c r="AE2195" s="54"/>
    </row>
    <row r="2196" spans="31:31">
      <c r="AE2196" s="54"/>
    </row>
    <row r="2197" spans="31:31">
      <c r="AE2197" s="54"/>
    </row>
    <row r="2198" spans="31:31">
      <c r="AE2198" s="54"/>
    </row>
    <row r="2199" spans="31:31">
      <c r="AE2199" s="54"/>
    </row>
    <row r="2200" spans="31:31">
      <c r="AE2200" s="54"/>
    </row>
    <row r="2201" spans="31:31">
      <c r="AE2201" s="54"/>
    </row>
    <row r="2202" spans="31:31">
      <c r="AE2202" s="54"/>
    </row>
    <row r="2203" spans="31:31">
      <c r="AE2203" s="54"/>
    </row>
    <row r="2204" spans="31:31">
      <c r="AE2204" s="54"/>
    </row>
    <row r="2205" spans="31:31">
      <c r="AE2205" s="54"/>
    </row>
    <row r="2206" spans="31:31">
      <c r="AE2206" s="54"/>
    </row>
    <row r="2207" spans="31:31">
      <c r="AE2207" s="54"/>
    </row>
    <row r="2208" spans="31:31">
      <c r="AE2208" s="54"/>
    </row>
    <row r="2209" spans="31:31">
      <c r="AE2209" s="54"/>
    </row>
    <row r="2210" spans="31:31">
      <c r="AE2210" s="54"/>
    </row>
    <row r="2211" spans="31:31">
      <c r="AE2211" s="54"/>
    </row>
    <row r="2212" spans="31:31">
      <c r="AE2212" s="54"/>
    </row>
    <row r="2213" spans="31:31">
      <c r="AE2213" s="54"/>
    </row>
    <row r="2214" spans="31:31">
      <c r="AE2214" s="54"/>
    </row>
    <row r="2215" spans="31:31">
      <c r="AE2215" s="54"/>
    </row>
    <row r="2216" spans="31:31">
      <c r="AE2216" s="54"/>
    </row>
    <row r="2217" spans="31:31">
      <c r="AE2217" s="54"/>
    </row>
    <row r="2218" spans="31:31">
      <c r="AE2218" s="54"/>
    </row>
    <row r="2219" spans="31:31">
      <c r="AE2219" s="54"/>
    </row>
    <row r="2220" spans="31:31">
      <c r="AE2220" s="54"/>
    </row>
    <row r="2221" spans="31:31">
      <c r="AE2221" s="54"/>
    </row>
    <row r="2222" spans="31:31">
      <c r="AE2222" s="54"/>
    </row>
    <row r="2223" spans="31:31">
      <c r="AE2223" s="54"/>
    </row>
    <row r="2224" spans="31:31">
      <c r="AE2224" s="54"/>
    </row>
    <row r="2225" spans="31:31">
      <c r="AE2225" s="54"/>
    </row>
    <row r="2226" spans="31:31">
      <c r="AE2226" s="54"/>
    </row>
    <row r="2227" spans="31:31">
      <c r="AE2227" s="54"/>
    </row>
    <row r="2228" spans="31:31">
      <c r="AE2228" s="54"/>
    </row>
    <row r="2229" spans="31:31">
      <c r="AE2229" s="54"/>
    </row>
    <row r="2230" spans="31:31">
      <c r="AE2230" s="54"/>
    </row>
    <row r="2231" spans="31:31">
      <c r="AE2231" s="54"/>
    </row>
    <row r="2232" spans="31:31">
      <c r="AE2232" s="54"/>
    </row>
    <row r="2233" spans="31:31">
      <c r="AE2233" s="54"/>
    </row>
    <row r="2234" spans="31:31">
      <c r="AE2234" s="54"/>
    </row>
    <row r="2235" spans="31:31">
      <c r="AE2235" s="54"/>
    </row>
    <row r="2236" spans="31:31">
      <c r="AE2236" s="54"/>
    </row>
    <row r="2237" spans="31:31">
      <c r="AE2237" s="54"/>
    </row>
    <row r="2238" spans="31:31">
      <c r="AE2238" s="54"/>
    </row>
    <row r="2239" spans="31:31">
      <c r="AE2239" s="54"/>
    </row>
    <row r="2240" spans="31:31">
      <c r="AE2240" s="54"/>
    </row>
    <row r="2241" spans="31:31">
      <c r="AE2241" s="54"/>
    </row>
    <row r="2242" spans="31:31">
      <c r="AE2242" s="54"/>
    </row>
    <row r="2243" spans="31:31">
      <c r="AE2243" s="54"/>
    </row>
    <row r="2244" spans="31:31">
      <c r="AE2244" s="54"/>
    </row>
    <row r="2245" spans="31:31">
      <c r="AE2245" s="54"/>
    </row>
    <row r="2246" spans="31:31">
      <c r="AE2246" s="54"/>
    </row>
    <row r="2247" spans="31:31">
      <c r="AE2247" s="54"/>
    </row>
    <row r="2248" spans="31:31">
      <c r="AE2248" s="54"/>
    </row>
    <row r="2249" spans="31:31">
      <c r="AE2249" s="54"/>
    </row>
    <row r="2250" spans="31:31">
      <c r="AE2250" s="54"/>
    </row>
    <row r="2251" spans="31:31">
      <c r="AE2251" s="54"/>
    </row>
    <row r="2252" spans="31:31">
      <c r="AE2252" s="54"/>
    </row>
    <row r="2253" spans="31:31">
      <c r="AE2253" s="54"/>
    </row>
    <row r="2254" spans="31:31">
      <c r="AE2254" s="54"/>
    </row>
    <row r="2255" spans="31:31">
      <c r="AE2255" s="54"/>
    </row>
    <row r="2256" spans="31:31">
      <c r="AE2256" s="54"/>
    </row>
    <row r="2257" spans="31:31">
      <c r="AE2257" s="54"/>
    </row>
    <row r="2258" spans="31:31">
      <c r="AE2258" s="54"/>
    </row>
    <row r="2259" spans="31:31">
      <c r="AE2259" s="54"/>
    </row>
    <row r="2260" spans="31:31">
      <c r="AE2260" s="54"/>
    </row>
    <row r="2261" spans="31:31">
      <c r="AE2261" s="54"/>
    </row>
    <row r="2262" spans="31:31">
      <c r="AE2262" s="54"/>
    </row>
    <row r="2263" spans="31:31">
      <c r="AE2263" s="54"/>
    </row>
    <row r="2264" spans="31:31">
      <c r="AE2264" s="54"/>
    </row>
    <row r="2265" spans="31:31">
      <c r="AE2265" s="54"/>
    </row>
    <row r="2266" spans="31:31">
      <c r="AE2266" s="54"/>
    </row>
    <row r="2267" spans="31:31">
      <c r="AE2267" s="54"/>
    </row>
    <row r="2268" spans="31:31">
      <c r="AE2268" s="54"/>
    </row>
    <row r="2269" spans="31:31">
      <c r="AE2269" s="54"/>
    </row>
    <row r="2270" spans="31:31">
      <c r="AE2270" s="54"/>
    </row>
    <row r="2271" spans="31:31">
      <c r="AE2271" s="54"/>
    </row>
    <row r="2272" spans="31:31">
      <c r="AE2272" s="54"/>
    </row>
    <row r="2273" spans="31:31">
      <c r="AE2273" s="54"/>
    </row>
    <row r="2274" spans="31:31">
      <c r="AE2274" s="54"/>
    </row>
    <row r="2275" spans="31:31">
      <c r="AE2275" s="54"/>
    </row>
    <row r="2276" spans="31:31">
      <c r="AE2276" s="54"/>
    </row>
    <row r="2277" spans="31:31">
      <c r="AE2277" s="54"/>
    </row>
    <row r="2278" spans="31:31">
      <c r="AE2278" s="54"/>
    </row>
    <row r="2279" spans="31:31">
      <c r="AE2279" s="54"/>
    </row>
    <row r="2280" spans="31:31">
      <c r="AE2280" s="54"/>
    </row>
    <row r="2281" spans="31:31">
      <c r="AE2281" s="54"/>
    </row>
    <row r="2282" spans="31:31">
      <c r="AE2282" s="54"/>
    </row>
    <row r="2283" spans="31:31">
      <c r="AE2283" s="54"/>
    </row>
    <row r="2284" spans="31:31">
      <c r="AE2284" s="54"/>
    </row>
    <row r="2285" spans="31:31">
      <c r="AE2285" s="54"/>
    </row>
    <row r="2286" spans="31:31">
      <c r="AE2286" s="54"/>
    </row>
    <row r="2287" spans="31:31">
      <c r="AE2287" s="54"/>
    </row>
    <row r="2288" spans="31:31">
      <c r="AE2288" s="54"/>
    </row>
    <row r="2289" spans="31:31">
      <c r="AE2289" s="54"/>
    </row>
    <row r="2290" spans="31:31">
      <c r="AE2290" s="54"/>
    </row>
    <row r="2291" spans="31:31">
      <c r="AE2291" s="54"/>
    </row>
    <row r="2292" spans="31:31">
      <c r="AE2292" s="54"/>
    </row>
    <row r="2293" spans="31:31">
      <c r="AE2293" s="54"/>
    </row>
    <row r="2294" spans="31:31">
      <c r="AE2294" s="54"/>
    </row>
    <row r="2295" spans="31:31">
      <c r="AE2295" s="54"/>
    </row>
    <row r="2296" spans="31:31">
      <c r="AE2296" s="54"/>
    </row>
    <row r="2297" spans="31:31">
      <c r="AE2297" s="54"/>
    </row>
    <row r="2298" spans="31:31">
      <c r="AE2298" s="54"/>
    </row>
    <row r="2299" spans="31:31">
      <c r="AE2299" s="54"/>
    </row>
    <row r="2300" spans="31:31">
      <c r="AE2300" s="54"/>
    </row>
    <row r="2301" spans="31:31">
      <c r="AE2301" s="54"/>
    </row>
    <row r="2302" spans="31:31">
      <c r="AE2302" s="54"/>
    </row>
    <row r="2303" spans="31:31">
      <c r="AE2303" s="54"/>
    </row>
    <row r="2304" spans="31:31">
      <c r="AE2304" s="54"/>
    </row>
    <row r="2305" spans="31:31">
      <c r="AE2305" s="54"/>
    </row>
    <row r="2306" spans="31:31">
      <c r="AE2306" s="54"/>
    </row>
    <row r="2307" spans="31:31">
      <c r="AE2307" s="54"/>
    </row>
    <row r="2308" spans="31:31">
      <c r="AE2308" s="54"/>
    </row>
    <row r="2309" spans="31:31">
      <c r="AE2309" s="54"/>
    </row>
    <row r="2310" spans="31:31">
      <c r="AE2310" s="54"/>
    </row>
    <row r="2311" spans="31:31">
      <c r="AE2311" s="54"/>
    </row>
    <row r="2312" spans="31:31">
      <c r="AE2312" s="54"/>
    </row>
    <row r="2313" spans="31:31">
      <c r="AE2313" s="54"/>
    </row>
    <row r="2314" spans="31:31">
      <c r="AE2314" s="54"/>
    </row>
    <row r="2315" spans="31:31">
      <c r="AE2315" s="54"/>
    </row>
    <row r="2316" spans="31:31">
      <c r="AE2316" s="54"/>
    </row>
    <row r="2317" spans="31:31">
      <c r="AE2317" s="54"/>
    </row>
    <row r="2318" spans="31:31">
      <c r="AE2318" s="54"/>
    </row>
    <row r="2319" spans="31:31">
      <c r="AE2319" s="54"/>
    </row>
    <row r="2320" spans="31:31">
      <c r="AE2320" s="54"/>
    </row>
    <row r="2321" spans="31:31">
      <c r="AE2321" s="54"/>
    </row>
    <row r="2322" spans="31:31">
      <c r="AE2322" s="54"/>
    </row>
    <row r="2323" spans="31:31">
      <c r="AE2323" s="54"/>
    </row>
    <row r="2324" spans="31:31">
      <c r="AE2324" s="54"/>
    </row>
    <row r="2325" spans="31:31">
      <c r="AE2325" s="54"/>
    </row>
    <row r="2326" spans="31:31">
      <c r="AE2326" s="54"/>
    </row>
    <row r="2327" spans="31:31">
      <c r="AE2327" s="54"/>
    </row>
    <row r="2328" spans="31:31">
      <c r="AE2328" s="54"/>
    </row>
    <row r="2329" spans="31:31">
      <c r="AE2329" s="54"/>
    </row>
    <row r="2330" spans="31:31">
      <c r="AE2330" s="54"/>
    </row>
    <row r="2331" spans="31:31">
      <c r="AE2331" s="54"/>
    </row>
    <row r="2332" spans="31:31">
      <c r="AE2332" s="54"/>
    </row>
    <row r="2333" spans="31:31">
      <c r="AE2333" s="54"/>
    </row>
    <row r="2334" spans="31:31">
      <c r="AE2334" s="54"/>
    </row>
    <row r="2335" spans="31:31">
      <c r="AE2335" s="54"/>
    </row>
    <row r="2336" spans="31:31">
      <c r="AE2336" s="54"/>
    </row>
    <row r="2337" spans="31:31">
      <c r="AE2337" s="54"/>
    </row>
    <row r="2338" spans="31:31">
      <c r="AE2338" s="54"/>
    </row>
    <row r="2339" spans="31:31">
      <c r="AE2339" s="54"/>
    </row>
    <row r="2340" spans="31:31">
      <c r="AE2340" s="54"/>
    </row>
    <row r="2341" spans="31:31">
      <c r="AE2341" s="54"/>
    </row>
    <row r="2342" spans="31:31">
      <c r="AE2342" s="54"/>
    </row>
    <row r="2343" spans="31:31">
      <c r="AE2343" s="54"/>
    </row>
    <row r="2344" spans="31:31">
      <c r="AE2344" s="54"/>
    </row>
    <row r="2345" spans="31:31">
      <c r="AE2345" s="54"/>
    </row>
    <row r="2346" spans="31:31">
      <c r="AE2346" s="54"/>
    </row>
    <row r="2347" spans="31:31">
      <c r="AE2347" s="54"/>
    </row>
    <row r="2348" spans="31:31">
      <c r="AE2348" s="54"/>
    </row>
    <row r="2349" spans="31:31">
      <c r="AE2349" s="54"/>
    </row>
    <row r="2350" spans="31:31">
      <c r="AE2350" s="54"/>
    </row>
    <row r="2351" spans="31:31">
      <c r="AE2351" s="54"/>
    </row>
    <row r="2352" spans="31:31">
      <c r="AE2352" s="54"/>
    </row>
    <row r="2353" spans="31:31">
      <c r="AE2353" s="54"/>
    </row>
    <row r="2354" spans="31:31">
      <c r="AE2354" s="54"/>
    </row>
    <row r="2355" spans="31:31">
      <c r="AE2355" s="54"/>
    </row>
    <row r="2356" spans="31:31">
      <c r="AE2356" s="54"/>
    </row>
    <row r="2357" spans="31:31">
      <c r="AE2357" s="54"/>
    </row>
    <row r="2358" spans="31:31">
      <c r="AE2358" s="54"/>
    </row>
    <row r="2359" spans="31:31">
      <c r="AE2359" s="54"/>
    </row>
    <row r="2360" spans="31:31">
      <c r="AE2360" s="54"/>
    </row>
    <row r="2361" spans="31:31">
      <c r="AE2361" s="54"/>
    </row>
    <row r="2362" spans="31:31">
      <c r="AE2362" s="54"/>
    </row>
    <row r="2363" spans="31:31">
      <c r="AE2363" s="54"/>
    </row>
    <row r="2364" spans="31:31">
      <c r="AE2364" s="54"/>
    </row>
    <row r="2365" spans="31:31">
      <c r="AE2365" s="54"/>
    </row>
    <row r="2366" spans="31:31">
      <c r="AE2366" s="54"/>
    </row>
    <row r="2367" spans="31:31">
      <c r="AE2367" s="54"/>
    </row>
    <row r="2368" spans="31:31">
      <c r="AE2368" s="54"/>
    </row>
    <row r="2369" spans="31:31">
      <c r="AE2369" s="54"/>
    </row>
    <row r="2370" spans="31:31">
      <c r="AE2370" s="54"/>
    </row>
    <row r="2371" spans="31:31">
      <c r="AE2371" s="54"/>
    </row>
    <row r="2372" spans="31:31">
      <c r="AE2372" s="54"/>
    </row>
    <row r="2373" spans="31:31">
      <c r="AE2373" s="54"/>
    </row>
    <row r="2374" spans="31:31">
      <c r="AE2374" s="54"/>
    </row>
    <row r="2375" spans="31:31">
      <c r="AE2375" s="54"/>
    </row>
    <row r="2376" spans="31:31">
      <c r="AE2376" s="54"/>
    </row>
    <row r="2377" spans="31:31">
      <c r="AE2377" s="54"/>
    </row>
    <row r="2378" spans="31:31">
      <c r="AE2378" s="54"/>
    </row>
    <row r="2379" spans="31:31">
      <c r="AE2379" s="54"/>
    </row>
    <row r="2380" spans="31:31">
      <c r="AE2380" s="54"/>
    </row>
    <row r="2381" spans="31:31">
      <c r="AE2381" s="54"/>
    </row>
    <row r="2382" spans="31:31">
      <c r="AE2382" s="54"/>
    </row>
    <row r="2383" spans="31:31">
      <c r="AE2383" s="54"/>
    </row>
    <row r="2384" spans="31:31">
      <c r="AE2384" s="54"/>
    </row>
    <row r="2385" spans="31:31">
      <c r="AE2385" s="54"/>
    </row>
    <row r="2386" spans="31:31">
      <c r="AE2386" s="54"/>
    </row>
    <row r="2387" spans="31:31">
      <c r="AE2387" s="54"/>
    </row>
    <row r="2388" spans="31:31">
      <c r="AE2388" s="54"/>
    </row>
    <row r="2389" spans="31:31">
      <c r="AE2389" s="54"/>
    </row>
    <row r="2390" spans="31:31">
      <c r="AE2390" s="54"/>
    </row>
    <row r="2391" spans="31:31">
      <c r="AE2391" s="54"/>
    </row>
    <row r="2392" spans="31:31">
      <c r="AE2392" s="54"/>
    </row>
    <row r="2393" spans="31:31">
      <c r="AE2393" s="54"/>
    </row>
    <row r="2394" spans="31:31">
      <c r="AE2394" s="54"/>
    </row>
    <row r="2395" spans="31:31">
      <c r="AE2395" s="54"/>
    </row>
    <row r="2396" spans="31:31">
      <c r="AE2396" s="54"/>
    </row>
    <row r="2397" spans="31:31">
      <c r="AE2397" s="54"/>
    </row>
    <row r="2398" spans="31:31">
      <c r="AE2398" s="54"/>
    </row>
    <row r="2399" spans="31:31">
      <c r="AE2399" s="54"/>
    </row>
    <row r="2400" spans="31:31">
      <c r="AE2400" s="54"/>
    </row>
    <row r="2401" spans="31:31">
      <c r="AE2401" s="54"/>
    </row>
    <row r="2402" spans="31:31">
      <c r="AE2402" s="54"/>
    </row>
    <row r="2403" spans="31:31">
      <c r="AE2403" s="54"/>
    </row>
    <row r="2404" spans="31:31">
      <c r="AE2404" s="54"/>
    </row>
    <row r="2405" spans="31:31">
      <c r="AE2405" s="54"/>
    </row>
    <row r="2406" spans="31:31">
      <c r="AE2406" s="54"/>
    </row>
    <row r="2407" spans="31:31">
      <c r="AE2407" s="54"/>
    </row>
    <row r="2408" spans="31:31">
      <c r="AE2408" s="54"/>
    </row>
    <row r="2409" spans="31:31">
      <c r="AE2409" s="54"/>
    </row>
    <row r="2410" spans="31:31">
      <c r="AE2410" s="54"/>
    </row>
    <row r="2411" spans="31:31">
      <c r="AE2411" s="54"/>
    </row>
    <row r="2412" spans="31:31">
      <c r="AE2412" s="54"/>
    </row>
    <row r="2413" spans="31:31">
      <c r="AE2413" s="54"/>
    </row>
    <row r="2414" spans="31:31">
      <c r="AE2414" s="54"/>
    </row>
    <row r="2415" spans="31:31">
      <c r="AE2415" s="54"/>
    </row>
    <row r="2416" spans="31:31">
      <c r="AE2416" s="54"/>
    </row>
    <row r="2417" spans="31:31">
      <c r="AE2417" s="54"/>
    </row>
    <row r="2418" spans="31:31">
      <c r="AE2418" s="54"/>
    </row>
    <row r="2419" spans="31:31">
      <c r="AE2419" s="54"/>
    </row>
    <row r="2420" spans="31:31">
      <c r="AE2420" s="54"/>
    </row>
    <row r="2421" spans="31:31">
      <c r="AE2421" s="54"/>
    </row>
    <row r="2422" spans="31:31">
      <c r="AE2422" s="54"/>
    </row>
    <row r="2423" spans="31:31">
      <c r="AE2423" s="54"/>
    </row>
    <row r="2424" spans="31:31">
      <c r="AE2424" s="54"/>
    </row>
    <row r="2425" spans="31:31">
      <c r="AE2425" s="54"/>
    </row>
    <row r="2426" spans="31:31">
      <c r="AE2426" s="54"/>
    </row>
    <row r="2427" spans="31:31">
      <c r="AE2427" s="54"/>
    </row>
    <row r="2428" spans="31:31">
      <c r="AE2428" s="54"/>
    </row>
    <row r="2429" spans="31:31">
      <c r="AE2429" s="54"/>
    </row>
    <row r="2430" spans="31:31">
      <c r="AE2430" s="54"/>
    </row>
    <row r="2431" spans="31:31">
      <c r="AE2431" s="54"/>
    </row>
    <row r="2432" spans="31:31">
      <c r="AE2432" s="54"/>
    </row>
    <row r="2433" spans="31:31">
      <c r="AE2433" s="54"/>
    </row>
    <row r="2434" spans="31:31">
      <c r="AE2434" s="54"/>
    </row>
    <row r="2435" spans="31:31">
      <c r="AE2435" s="54"/>
    </row>
    <row r="2436" spans="31:31">
      <c r="AE2436" s="54"/>
    </row>
    <row r="2437" spans="31:31">
      <c r="AE2437" s="54"/>
    </row>
    <row r="2438" spans="31:31">
      <c r="AE2438" s="54"/>
    </row>
    <row r="2439" spans="31:31">
      <c r="AE2439" s="54"/>
    </row>
    <row r="2440" spans="31:31">
      <c r="AE2440" s="54"/>
    </row>
    <row r="2441" spans="31:31">
      <c r="AE2441" s="54"/>
    </row>
    <row r="2442" spans="31:31">
      <c r="AE2442" s="54"/>
    </row>
    <row r="2443" spans="31:31">
      <c r="AE2443" s="54"/>
    </row>
    <row r="2444" spans="31:31">
      <c r="AE2444" s="54"/>
    </row>
    <row r="2445" spans="31:31">
      <c r="AE2445" s="54"/>
    </row>
    <row r="2446" spans="31:31">
      <c r="AE2446" s="54"/>
    </row>
    <row r="2447" spans="31:31">
      <c r="AE2447" s="54"/>
    </row>
    <row r="2448" spans="31:31">
      <c r="AE2448" s="54"/>
    </row>
    <row r="2449" spans="31:31">
      <c r="AE2449" s="54"/>
    </row>
    <row r="2450" spans="31:31">
      <c r="AE2450" s="54"/>
    </row>
    <row r="2451" spans="31:31">
      <c r="AE2451" s="54"/>
    </row>
    <row r="2452" spans="31:31">
      <c r="AE2452" s="54"/>
    </row>
    <row r="2453" spans="31:31">
      <c r="AE2453" s="54"/>
    </row>
    <row r="2454" spans="31:31">
      <c r="AE2454" s="54"/>
    </row>
    <row r="2455" spans="31:31">
      <c r="AE2455" s="54"/>
    </row>
    <row r="2456" spans="31:31">
      <c r="AE2456" s="54"/>
    </row>
    <row r="2457" spans="31:31">
      <c r="AE2457" s="54"/>
    </row>
    <row r="2458" spans="31:31">
      <c r="AE2458" s="54"/>
    </row>
    <row r="2459" spans="31:31">
      <c r="AE2459" s="54"/>
    </row>
    <row r="2460" spans="31:31">
      <c r="AE2460" s="54"/>
    </row>
    <row r="2461" spans="31:31">
      <c r="AE2461" s="54"/>
    </row>
    <row r="2462" spans="31:31">
      <c r="AE2462" s="54"/>
    </row>
    <row r="2463" spans="31:31">
      <c r="AE2463" s="54"/>
    </row>
    <row r="2464" spans="31:31">
      <c r="AE2464" s="54"/>
    </row>
    <row r="2465" spans="31:31">
      <c r="AE2465" s="54"/>
    </row>
    <row r="2466" spans="31:31">
      <c r="AE2466" s="54"/>
    </row>
    <row r="2467" spans="31:31">
      <c r="AE2467" s="54"/>
    </row>
    <row r="2468" spans="31:31">
      <c r="AE2468" s="54"/>
    </row>
    <row r="2469" spans="31:31">
      <c r="AE2469" s="54"/>
    </row>
    <row r="2470" spans="31:31">
      <c r="AE2470" s="54"/>
    </row>
    <row r="2471" spans="31:31">
      <c r="AE2471" s="54"/>
    </row>
    <row r="2472" spans="31:31">
      <c r="AE2472" s="54"/>
    </row>
    <row r="2473" spans="31:31">
      <c r="AE2473" s="54"/>
    </row>
    <row r="2474" spans="31:31">
      <c r="AE2474" s="54"/>
    </row>
    <row r="2475" spans="31:31">
      <c r="AE2475" s="54"/>
    </row>
    <row r="2476" spans="31:31">
      <c r="AE2476" s="54"/>
    </row>
    <row r="2477" spans="31:31">
      <c r="AE2477" s="54"/>
    </row>
    <row r="2478" spans="31:31">
      <c r="AE2478" s="54"/>
    </row>
    <row r="2479" spans="31:31">
      <c r="AE2479" s="54"/>
    </row>
    <row r="2480" spans="31:31">
      <c r="AE2480" s="54"/>
    </row>
    <row r="2481" spans="31:31">
      <c r="AE2481" s="54"/>
    </row>
    <row r="2482" spans="31:31">
      <c r="AE2482" s="54"/>
    </row>
    <row r="2483" spans="31:31">
      <c r="AE2483" s="54"/>
    </row>
    <row r="2484" spans="31:31">
      <c r="AE2484" s="54"/>
    </row>
    <row r="2485" spans="31:31">
      <c r="AE2485" s="54"/>
    </row>
    <row r="2486" spans="31:31">
      <c r="AE2486" s="54"/>
    </row>
    <row r="2487" spans="31:31">
      <c r="AE2487" s="54"/>
    </row>
    <row r="2488" spans="31:31">
      <c r="AE2488" s="54"/>
    </row>
    <row r="2489" spans="31:31">
      <c r="AE2489" s="54"/>
    </row>
    <row r="2490" spans="31:31">
      <c r="AE2490" s="54"/>
    </row>
    <row r="2491" spans="31:31">
      <c r="AE2491" s="54"/>
    </row>
    <row r="2492" spans="31:31">
      <c r="AE2492" s="54"/>
    </row>
    <row r="2493" spans="31:31">
      <c r="AE2493" s="54"/>
    </row>
    <row r="2494" spans="31:31">
      <c r="AE2494" s="54"/>
    </row>
    <row r="2495" spans="31:31">
      <c r="AE2495" s="54"/>
    </row>
    <row r="2496" spans="31:31">
      <c r="AE2496" s="54"/>
    </row>
    <row r="2497" spans="31:31">
      <c r="AE2497" s="54"/>
    </row>
    <row r="2498" spans="31:31">
      <c r="AE2498" s="54"/>
    </row>
    <row r="2499" spans="31:31">
      <c r="AE2499" s="54"/>
    </row>
    <row r="2500" spans="31:31">
      <c r="AE2500" s="54"/>
    </row>
    <row r="2501" spans="31:31">
      <c r="AE2501" s="54"/>
    </row>
    <row r="2502" spans="31:31">
      <c r="AE2502" s="54"/>
    </row>
    <row r="2503" spans="31:31">
      <c r="AE2503" s="54"/>
    </row>
    <row r="2504" spans="31:31">
      <c r="AE2504" s="54"/>
    </row>
    <row r="2505" spans="31:31">
      <c r="AE2505" s="54"/>
    </row>
    <row r="2506" spans="31:31">
      <c r="AE2506" s="54"/>
    </row>
    <row r="2507" spans="31:31">
      <c r="AE2507" s="54"/>
    </row>
    <row r="2508" spans="31:31">
      <c r="AE2508" s="54"/>
    </row>
    <row r="2509" spans="31:31">
      <c r="AE2509" s="54"/>
    </row>
    <row r="2510" spans="31:31">
      <c r="AE2510" s="54"/>
    </row>
    <row r="2511" spans="31:31">
      <c r="AE2511" s="54"/>
    </row>
    <row r="2512" spans="31:31">
      <c r="AE2512" s="54"/>
    </row>
    <row r="2513" spans="31:31">
      <c r="AE2513" s="54"/>
    </row>
    <row r="2514" spans="31:31">
      <c r="AE2514" s="54"/>
    </row>
    <row r="2515" spans="31:31">
      <c r="AE2515" s="54"/>
    </row>
    <row r="2516" spans="31:31">
      <c r="AE2516" s="54"/>
    </row>
    <row r="2517" spans="31:31">
      <c r="AE2517" s="54"/>
    </row>
    <row r="2518" spans="31:31">
      <c r="AE2518" s="54"/>
    </row>
    <row r="2519" spans="31:31">
      <c r="AE2519" s="54"/>
    </row>
    <row r="2520" spans="31:31">
      <c r="AE2520" s="54"/>
    </row>
    <row r="2521" spans="31:31">
      <c r="AE2521" s="54"/>
    </row>
    <row r="2522" spans="31:31">
      <c r="AE2522" s="54"/>
    </row>
    <row r="2523" spans="31:31">
      <c r="AE2523" s="54"/>
    </row>
    <row r="2524" spans="31:31">
      <c r="AE2524" s="54"/>
    </row>
    <row r="2525" spans="31:31">
      <c r="AE2525" s="54"/>
    </row>
    <row r="2526" spans="31:31">
      <c r="AE2526" s="54"/>
    </row>
    <row r="2527" spans="31:31">
      <c r="AE2527" s="54"/>
    </row>
    <row r="2528" spans="31:31">
      <c r="AE2528" s="54"/>
    </row>
    <row r="2529" spans="31:31">
      <c r="AE2529" s="54"/>
    </row>
    <row r="2530" spans="31:31">
      <c r="AE2530" s="54"/>
    </row>
    <row r="2531" spans="31:31">
      <c r="AE2531" s="54"/>
    </row>
    <row r="2532" spans="31:31">
      <c r="AE2532" s="54"/>
    </row>
    <row r="2533" spans="31:31">
      <c r="AE2533" s="54"/>
    </row>
    <row r="2534" spans="31:31">
      <c r="AE2534" s="54"/>
    </row>
    <row r="2535" spans="31:31">
      <c r="AE2535" s="54"/>
    </row>
    <row r="2536" spans="31:31">
      <c r="AE2536" s="54"/>
    </row>
    <row r="2537" spans="31:31">
      <c r="AE2537" s="54"/>
    </row>
    <row r="2538" spans="31:31">
      <c r="AE2538" s="54"/>
    </row>
    <row r="2539" spans="31:31">
      <c r="AE2539" s="54"/>
    </row>
    <row r="2540" spans="31:31">
      <c r="AE2540" s="54"/>
    </row>
    <row r="2541" spans="31:31">
      <c r="AE2541" s="54"/>
    </row>
    <row r="2542" spans="31:31">
      <c r="AE2542" s="54"/>
    </row>
    <row r="2543" spans="31:31">
      <c r="AE2543" s="54"/>
    </row>
    <row r="2544" spans="31:31">
      <c r="AE2544" s="54"/>
    </row>
    <row r="2545" spans="31:31">
      <c r="AE2545" s="54"/>
    </row>
    <row r="2546" spans="31:31">
      <c r="AE2546" s="54"/>
    </row>
    <row r="2547" spans="31:31">
      <c r="AE2547" s="54"/>
    </row>
    <row r="2548" spans="31:31">
      <c r="AE2548" s="54"/>
    </row>
    <row r="2549" spans="31:31">
      <c r="AE2549" s="54"/>
    </row>
    <row r="2550" spans="31:31">
      <c r="AE2550" s="54"/>
    </row>
    <row r="2551" spans="31:31">
      <c r="AE2551" s="54"/>
    </row>
    <row r="2552" spans="31:31">
      <c r="AE2552" s="54"/>
    </row>
    <row r="2553" spans="31:31">
      <c r="AE2553" s="54"/>
    </row>
    <row r="2554" spans="31:31">
      <c r="AE2554" s="54"/>
    </row>
    <row r="2555" spans="31:31">
      <c r="AE2555" s="54"/>
    </row>
    <row r="2556" spans="31:31">
      <c r="AE2556" s="54"/>
    </row>
    <row r="2557" spans="31:31">
      <c r="AE2557" s="54"/>
    </row>
    <row r="2558" spans="31:31">
      <c r="AE2558" s="54"/>
    </row>
    <row r="2559" spans="31:31">
      <c r="AE2559" s="54"/>
    </row>
    <row r="2560" spans="31:31">
      <c r="AE2560" s="54"/>
    </row>
    <row r="2561" spans="31:31">
      <c r="AE2561" s="54"/>
    </row>
    <row r="2562" spans="31:31">
      <c r="AE2562" s="54"/>
    </row>
    <row r="2563" spans="31:31">
      <c r="AE2563" s="54"/>
    </row>
    <row r="2564" spans="31:31">
      <c r="AE2564" s="54"/>
    </row>
    <row r="2565" spans="31:31">
      <c r="AE2565" s="54"/>
    </row>
    <row r="2566" spans="31:31">
      <c r="AE2566" s="54"/>
    </row>
    <row r="2567" spans="31:31">
      <c r="AE2567" s="54"/>
    </row>
    <row r="2568" spans="31:31">
      <c r="AE2568" s="54"/>
    </row>
    <row r="2569" spans="31:31">
      <c r="AE2569" s="54"/>
    </row>
    <row r="2570" spans="31:31">
      <c r="AE2570" s="54"/>
    </row>
    <row r="2571" spans="31:31">
      <c r="AE2571" s="54"/>
    </row>
    <row r="2572" spans="31:31">
      <c r="AE2572" s="54"/>
    </row>
    <row r="2573" spans="31:31">
      <c r="AE2573" s="54"/>
    </row>
    <row r="2574" spans="31:31">
      <c r="AE2574" s="54"/>
    </row>
    <row r="2575" spans="31:31">
      <c r="AE2575" s="54"/>
    </row>
    <row r="2576" spans="31:31">
      <c r="AE2576" s="54"/>
    </row>
    <row r="2577" spans="31:31">
      <c r="AE2577" s="54"/>
    </row>
    <row r="2578" spans="31:31">
      <c r="AE2578" s="54"/>
    </row>
    <row r="2579" spans="31:31">
      <c r="AE2579" s="54"/>
    </row>
    <row r="2580" spans="31:31">
      <c r="AE2580" s="54"/>
    </row>
    <row r="2581" spans="31:31">
      <c r="AE2581" s="54"/>
    </row>
    <row r="2582" spans="31:31">
      <c r="AE2582" s="54"/>
    </row>
    <row r="2583" spans="31:31">
      <c r="AE2583" s="54"/>
    </row>
    <row r="2584" spans="31:31">
      <c r="AE2584" s="54"/>
    </row>
    <row r="2585" spans="31:31">
      <c r="AE2585" s="54"/>
    </row>
    <row r="2586" spans="31:31">
      <c r="AE2586" s="54"/>
    </row>
    <row r="2587" spans="31:31">
      <c r="AE2587" s="54"/>
    </row>
    <row r="2588" spans="31:31">
      <c r="AE2588" s="54"/>
    </row>
    <row r="2589" spans="31:31">
      <c r="AE2589" s="54"/>
    </row>
    <row r="2590" spans="31:31">
      <c r="AE2590" s="54"/>
    </row>
    <row r="2591" spans="31:31">
      <c r="AE2591" s="54"/>
    </row>
    <row r="2592" spans="31:31">
      <c r="AE2592" s="54"/>
    </row>
    <row r="2593" spans="31:31">
      <c r="AE2593" s="54"/>
    </row>
    <row r="2594" spans="31:31">
      <c r="AE2594" s="54"/>
    </row>
    <row r="2595" spans="31:31">
      <c r="AE2595" s="54"/>
    </row>
    <row r="2596" spans="31:31">
      <c r="AE2596" s="54"/>
    </row>
    <row r="2597" spans="31:31">
      <c r="AE2597" s="54"/>
    </row>
    <row r="2598" spans="31:31">
      <c r="AE2598" s="54"/>
    </row>
    <row r="2599" spans="31:31">
      <c r="AE2599" s="54"/>
    </row>
    <row r="2600" spans="31:31">
      <c r="AE2600" s="54"/>
    </row>
    <row r="2601" spans="31:31">
      <c r="AE2601" s="54"/>
    </row>
    <row r="2602" spans="31:31">
      <c r="AE2602" s="54"/>
    </row>
    <row r="2603" spans="31:31">
      <c r="AE2603" s="54"/>
    </row>
    <row r="2604" spans="31:31">
      <c r="AE2604" s="54"/>
    </row>
    <row r="2605" spans="31:31">
      <c r="AE2605" s="54"/>
    </row>
    <row r="2606" spans="31:31">
      <c r="AE2606" s="54"/>
    </row>
    <row r="2607" spans="31:31">
      <c r="AE2607" s="54"/>
    </row>
    <row r="2608" spans="31:31">
      <c r="AE2608" s="54"/>
    </row>
    <row r="2609" spans="31:31">
      <c r="AE2609" s="54"/>
    </row>
    <row r="2610" spans="31:31">
      <c r="AE2610" s="54"/>
    </row>
    <row r="2611" spans="31:31">
      <c r="AE2611" s="54"/>
    </row>
    <row r="2612" spans="31:31">
      <c r="AE2612" s="54"/>
    </row>
    <row r="2613" spans="31:31">
      <c r="AE2613" s="54"/>
    </row>
    <row r="2614" spans="31:31">
      <c r="AE2614" s="54"/>
    </row>
    <row r="2615" spans="31:31">
      <c r="AE2615" s="54"/>
    </row>
    <row r="2616" spans="31:31">
      <c r="AE2616" s="54"/>
    </row>
    <row r="2617" spans="31:31">
      <c r="AE2617" s="54"/>
    </row>
    <row r="2618" spans="31:31">
      <c r="AE2618" s="54"/>
    </row>
    <row r="2619" spans="31:31">
      <c r="AE2619" s="54"/>
    </row>
    <row r="2620" spans="31:31">
      <c r="AE2620" s="54"/>
    </row>
    <row r="2621" spans="31:31">
      <c r="AE2621" s="54"/>
    </row>
    <row r="2622" spans="31:31">
      <c r="AE2622" s="54"/>
    </row>
    <row r="2623" spans="31:31">
      <c r="AE2623" s="54"/>
    </row>
    <row r="2624" spans="31:31">
      <c r="AE2624" s="54"/>
    </row>
    <row r="2625" spans="31:31">
      <c r="AE2625" s="54"/>
    </row>
    <row r="2626" spans="31:31">
      <c r="AE2626" s="54"/>
    </row>
    <row r="2627" spans="31:31">
      <c r="AE2627" s="54"/>
    </row>
    <row r="2628" spans="31:31">
      <c r="AE2628" s="54"/>
    </row>
    <row r="2629" spans="31:31">
      <c r="AE2629" s="54"/>
    </row>
    <row r="2630" spans="31:31">
      <c r="AE2630" s="54"/>
    </row>
    <row r="2631" spans="31:31">
      <c r="AE2631" s="54"/>
    </row>
    <row r="2632" spans="31:31">
      <c r="AE2632" s="54"/>
    </row>
    <row r="2633" spans="31:31">
      <c r="AE2633" s="54"/>
    </row>
    <row r="2634" spans="31:31">
      <c r="AE2634" s="54"/>
    </row>
    <row r="2635" spans="31:31">
      <c r="AE2635" s="54"/>
    </row>
    <row r="2636" spans="31:31">
      <c r="AE2636" s="54"/>
    </row>
    <row r="2637" spans="31:31">
      <c r="AE2637" s="54"/>
    </row>
    <row r="2638" spans="31:31">
      <c r="AE2638" s="54"/>
    </row>
    <row r="2639" spans="31:31">
      <c r="AE2639" s="54"/>
    </row>
    <row r="2640" spans="31:31">
      <c r="AE2640" s="54"/>
    </row>
    <row r="2641" spans="31:31">
      <c r="AE2641" s="54"/>
    </row>
    <row r="2642" spans="31:31">
      <c r="AE2642" s="54"/>
    </row>
    <row r="2643" spans="31:31">
      <c r="AE2643" s="54"/>
    </row>
    <row r="2644" spans="31:31">
      <c r="AE2644" s="54"/>
    </row>
    <row r="2645" spans="31:31">
      <c r="AE2645" s="54"/>
    </row>
    <row r="2646" spans="31:31">
      <c r="AE2646" s="54"/>
    </row>
    <row r="2647" spans="31:31">
      <c r="AE2647" s="54"/>
    </row>
    <row r="2648" spans="31:31">
      <c r="AE2648" s="54"/>
    </row>
    <row r="2649" spans="31:31">
      <c r="AE2649" s="54"/>
    </row>
    <row r="2650" spans="31:31">
      <c r="AE2650" s="54"/>
    </row>
    <row r="2651" spans="31:31">
      <c r="AE2651" s="54"/>
    </row>
    <row r="2652" spans="31:31">
      <c r="AE2652" s="54"/>
    </row>
    <row r="2653" spans="31:31">
      <c r="AE2653" s="54"/>
    </row>
    <row r="2654" spans="31:31">
      <c r="AE2654" s="54"/>
    </row>
    <row r="2655" spans="31:31">
      <c r="AE2655" s="54"/>
    </row>
    <row r="2656" spans="31:31">
      <c r="AE2656" s="54"/>
    </row>
    <row r="2657" spans="31:31">
      <c r="AE2657" s="54"/>
    </row>
    <row r="2658" spans="31:31">
      <c r="AE2658" s="54"/>
    </row>
    <row r="2659" spans="31:31">
      <c r="AE2659" s="54"/>
    </row>
    <row r="2660" spans="31:31">
      <c r="AE2660" s="54"/>
    </row>
    <row r="2661" spans="31:31">
      <c r="AE2661" s="54"/>
    </row>
    <row r="2662" spans="31:31">
      <c r="AE2662" s="54"/>
    </row>
    <row r="2663" spans="31:31">
      <c r="AE2663" s="54"/>
    </row>
    <row r="2664" spans="31:31">
      <c r="AE2664" s="54"/>
    </row>
    <row r="2665" spans="31:31">
      <c r="AE2665" s="54"/>
    </row>
    <row r="2666" spans="31:31">
      <c r="AE2666" s="54"/>
    </row>
    <row r="2667" spans="31:31">
      <c r="AE2667" s="54"/>
    </row>
    <row r="2668" spans="31:31">
      <c r="AE2668" s="54"/>
    </row>
    <row r="2669" spans="31:31">
      <c r="AE2669" s="54"/>
    </row>
    <row r="2670" spans="31:31">
      <c r="AE2670" s="54"/>
    </row>
    <row r="2671" spans="31:31">
      <c r="AE2671" s="54"/>
    </row>
    <row r="2672" spans="31:31">
      <c r="AE2672" s="54"/>
    </row>
    <row r="2673" spans="31:31">
      <c r="AE2673" s="54"/>
    </row>
    <row r="2674" spans="31:31">
      <c r="AE2674" s="54"/>
    </row>
    <row r="2675" spans="31:31">
      <c r="AE2675" s="54"/>
    </row>
    <row r="2676" spans="31:31">
      <c r="AE2676" s="54"/>
    </row>
    <row r="2677" spans="31:31">
      <c r="AE2677" s="54"/>
    </row>
    <row r="2678" spans="31:31">
      <c r="AE2678" s="54"/>
    </row>
    <row r="2679" spans="31:31">
      <c r="AE2679" s="54"/>
    </row>
    <row r="2680" spans="31:31">
      <c r="AE2680" s="54"/>
    </row>
    <row r="2681" spans="31:31">
      <c r="AE2681" s="54"/>
    </row>
    <row r="2682" spans="31:31">
      <c r="AE2682" s="54"/>
    </row>
    <row r="2683" spans="31:31">
      <c r="AE2683" s="54"/>
    </row>
    <row r="2684" spans="31:31">
      <c r="AE2684" s="54"/>
    </row>
    <row r="2685" spans="31:31">
      <c r="AE2685" s="54"/>
    </row>
    <row r="2686" spans="31:31">
      <c r="AE2686" s="54"/>
    </row>
    <row r="2687" spans="31:31">
      <c r="AE2687" s="54"/>
    </row>
    <row r="2688" spans="31:31">
      <c r="AE2688" s="54"/>
    </row>
    <row r="2689" spans="31:31">
      <c r="AE2689" s="54"/>
    </row>
    <row r="2690" spans="31:31">
      <c r="AE2690" s="54"/>
    </row>
    <row r="2691" spans="31:31">
      <c r="AE2691" s="54"/>
    </row>
    <row r="2692" spans="31:31">
      <c r="AE2692" s="54"/>
    </row>
    <row r="2693" spans="31:31">
      <c r="AE2693" s="54"/>
    </row>
    <row r="2694" spans="31:31">
      <c r="AE2694" s="54"/>
    </row>
    <row r="2695" spans="31:31">
      <c r="AE2695" s="54"/>
    </row>
    <row r="2696" spans="31:31">
      <c r="AE2696" s="54"/>
    </row>
    <row r="2697" spans="31:31">
      <c r="AE2697" s="54"/>
    </row>
    <row r="2698" spans="31:31">
      <c r="AE2698" s="54"/>
    </row>
    <row r="2699" spans="31:31">
      <c r="AE2699" s="54"/>
    </row>
    <row r="2700" spans="31:31">
      <c r="AE2700" s="54"/>
    </row>
    <row r="2701" spans="31:31">
      <c r="AE2701" s="54"/>
    </row>
    <row r="2702" spans="31:31">
      <c r="AE2702" s="54"/>
    </row>
    <row r="2703" spans="31:31">
      <c r="AE2703" s="54"/>
    </row>
    <row r="2704" spans="31:31">
      <c r="AE2704" s="54"/>
    </row>
    <row r="2705" spans="31:31">
      <c r="AE2705" s="54"/>
    </row>
    <row r="2706" spans="31:31">
      <c r="AE2706" s="54"/>
    </row>
    <row r="2707" spans="31:31">
      <c r="AE2707" s="54"/>
    </row>
    <row r="2708" spans="31:31">
      <c r="AE2708" s="54"/>
    </row>
    <row r="2709" spans="31:31">
      <c r="AE2709" s="54"/>
    </row>
    <row r="2710" spans="31:31">
      <c r="AE2710" s="54"/>
    </row>
    <row r="2711" spans="31:31">
      <c r="AE2711" s="54"/>
    </row>
    <row r="2712" spans="31:31">
      <c r="AE2712" s="54"/>
    </row>
    <row r="2713" spans="31:31">
      <c r="AE2713" s="54"/>
    </row>
    <row r="2714" spans="31:31">
      <c r="AE2714" s="54"/>
    </row>
    <row r="2715" spans="31:31">
      <c r="AE2715" s="54"/>
    </row>
    <row r="2716" spans="31:31">
      <c r="AE2716" s="54"/>
    </row>
    <row r="2717" spans="31:31">
      <c r="AE2717" s="54"/>
    </row>
    <row r="2718" spans="31:31">
      <c r="AE2718" s="54"/>
    </row>
    <row r="2719" spans="31:31">
      <c r="AE2719" s="54"/>
    </row>
    <row r="2720" spans="31:31">
      <c r="AE2720" s="54"/>
    </row>
    <row r="2721" spans="31:31">
      <c r="AE2721" s="54"/>
    </row>
    <row r="2722" spans="31:31">
      <c r="AE2722" s="54"/>
    </row>
    <row r="2723" spans="31:31">
      <c r="AE2723" s="54"/>
    </row>
    <row r="2724" spans="31:31">
      <c r="AE2724" s="54"/>
    </row>
    <row r="2725" spans="31:31">
      <c r="AE2725" s="54"/>
    </row>
    <row r="2726" spans="31:31">
      <c r="AE2726" s="54"/>
    </row>
    <row r="2727" spans="31:31">
      <c r="AE2727" s="54"/>
    </row>
    <row r="2728" spans="31:31">
      <c r="AE2728" s="54"/>
    </row>
    <row r="2729" spans="31:31">
      <c r="AE2729" s="54"/>
    </row>
    <row r="2730" spans="31:31">
      <c r="AE2730" s="54"/>
    </row>
    <row r="2731" spans="31:31">
      <c r="AE2731" s="54"/>
    </row>
    <row r="2732" spans="31:31">
      <c r="AE2732" s="54"/>
    </row>
    <row r="2733" spans="31:31">
      <c r="AE2733" s="54"/>
    </row>
    <row r="2734" spans="31:31">
      <c r="AE2734" s="54"/>
    </row>
    <row r="2735" spans="31:31">
      <c r="AE2735" s="54"/>
    </row>
    <row r="2736" spans="31:31">
      <c r="AE2736" s="54"/>
    </row>
    <row r="2737" spans="31:31">
      <c r="AE2737" s="54"/>
    </row>
    <row r="2738" spans="31:31">
      <c r="AE2738" s="54"/>
    </row>
    <row r="2739" spans="31:31">
      <c r="AE2739" s="54"/>
    </row>
    <row r="2740" spans="31:31">
      <c r="AE2740" s="54"/>
    </row>
    <row r="2741" spans="31:31">
      <c r="AE2741" s="54"/>
    </row>
    <row r="2742" spans="31:31">
      <c r="AE2742" s="54"/>
    </row>
    <row r="2743" spans="31:31">
      <c r="AE2743" s="54"/>
    </row>
    <row r="2744" spans="31:31">
      <c r="AE2744" s="54"/>
    </row>
    <row r="2745" spans="31:31">
      <c r="AE2745" s="54"/>
    </row>
    <row r="2746" spans="31:31">
      <c r="AE2746" s="54"/>
    </row>
    <row r="2747" spans="31:31">
      <c r="AE2747" s="54"/>
    </row>
    <row r="2748" spans="31:31">
      <c r="AE2748" s="54"/>
    </row>
    <row r="2749" spans="31:31">
      <c r="AE2749" s="54"/>
    </row>
    <row r="2750" spans="31:31">
      <c r="AE2750" s="54"/>
    </row>
    <row r="2751" spans="31:31">
      <c r="AE2751" s="54"/>
    </row>
    <row r="2752" spans="31:31">
      <c r="AE2752" s="54"/>
    </row>
    <row r="2753" spans="31:31">
      <c r="AE2753" s="54"/>
    </row>
    <row r="2754" spans="31:31">
      <c r="AE2754" s="54"/>
    </row>
    <row r="2755" spans="31:31">
      <c r="AE2755" s="54"/>
    </row>
    <row r="2756" spans="31:31">
      <c r="AE2756" s="54"/>
    </row>
    <row r="2757" spans="31:31">
      <c r="AE2757" s="54"/>
    </row>
    <row r="2758" spans="31:31">
      <c r="AE2758" s="54"/>
    </row>
    <row r="2759" spans="31:31">
      <c r="AE2759" s="54"/>
    </row>
    <row r="2760" spans="31:31">
      <c r="AE2760" s="54"/>
    </row>
    <row r="2761" spans="31:31">
      <c r="AE2761" s="54"/>
    </row>
    <row r="2762" spans="31:31">
      <c r="AE2762" s="54"/>
    </row>
    <row r="2763" spans="31:31">
      <c r="AE2763" s="54"/>
    </row>
    <row r="2764" spans="31:31">
      <c r="AE2764" s="54"/>
    </row>
    <row r="2765" spans="31:31">
      <c r="AE2765" s="54"/>
    </row>
    <row r="2766" spans="31:31">
      <c r="AE2766" s="54"/>
    </row>
    <row r="2767" spans="31:31">
      <c r="AE2767" s="54"/>
    </row>
    <row r="2768" spans="31:31">
      <c r="AE2768" s="54"/>
    </row>
    <row r="2769" spans="31:31">
      <c r="AE2769" s="54"/>
    </row>
    <row r="2770" spans="31:31">
      <c r="AE2770" s="54"/>
    </row>
    <row r="2771" spans="31:31">
      <c r="AE2771" s="54"/>
    </row>
    <row r="2772" spans="31:31">
      <c r="AE2772" s="54"/>
    </row>
    <row r="2773" spans="31:31">
      <c r="AE2773" s="54"/>
    </row>
    <row r="2774" spans="31:31">
      <c r="AE2774" s="54"/>
    </row>
    <row r="2775" spans="31:31">
      <c r="AE2775" s="54"/>
    </row>
    <row r="2776" spans="31:31">
      <c r="AE2776" s="54"/>
    </row>
    <row r="2777" spans="31:31">
      <c r="AE2777" s="54"/>
    </row>
    <row r="2778" spans="31:31">
      <c r="AE2778" s="54"/>
    </row>
    <row r="2779" spans="31:31">
      <c r="AE2779" s="54"/>
    </row>
    <row r="2780" spans="31:31">
      <c r="AE2780" s="54"/>
    </row>
    <row r="2781" spans="31:31">
      <c r="AE2781" s="54"/>
    </row>
    <row r="2782" spans="31:31">
      <c r="AE2782" s="54"/>
    </row>
    <row r="2783" spans="31:31">
      <c r="AE2783" s="54"/>
    </row>
    <row r="2784" spans="31:31">
      <c r="AE2784" s="54"/>
    </row>
    <row r="2785" spans="31:31">
      <c r="AE2785" s="54"/>
    </row>
    <row r="2786" spans="31:31">
      <c r="AE2786" s="54"/>
    </row>
    <row r="2787" spans="31:31">
      <c r="AE2787" s="54"/>
    </row>
    <row r="2788" spans="31:31">
      <c r="AE2788" s="54"/>
    </row>
    <row r="2789" spans="31:31">
      <c r="AE2789" s="54"/>
    </row>
    <row r="2790" spans="31:31">
      <c r="AE2790" s="54"/>
    </row>
    <row r="2791" spans="31:31">
      <c r="AE2791" s="54"/>
    </row>
    <row r="2792" spans="31:31">
      <c r="AE2792" s="54"/>
    </row>
    <row r="2793" spans="31:31">
      <c r="AE2793" s="54"/>
    </row>
    <row r="2794" spans="31:31">
      <c r="AE2794" s="54"/>
    </row>
    <row r="2795" spans="31:31">
      <c r="AE2795" s="54"/>
    </row>
    <row r="2796" spans="31:31">
      <c r="AE2796" s="54"/>
    </row>
    <row r="2797" spans="31:31">
      <c r="AE2797" s="54"/>
    </row>
    <row r="2798" spans="31:31">
      <c r="AE2798" s="54"/>
    </row>
    <row r="2799" spans="31:31">
      <c r="AE2799" s="54"/>
    </row>
    <row r="2800" spans="31:31">
      <c r="AE2800" s="54"/>
    </row>
    <row r="2801" spans="31:31">
      <c r="AE2801" s="54"/>
    </row>
    <row r="2802" spans="31:31">
      <c r="AE2802" s="54"/>
    </row>
    <row r="2803" spans="31:31">
      <c r="AE2803" s="54"/>
    </row>
    <row r="2804" spans="31:31">
      <c r="AE2804" s="54"/>
    </row>
    <row r="2805" spans="31:31">
      <c r="AE2805" s="54"/>
    </row>
    <row r="2806" spans="31:31">
      <c r="AE2806" s="54"/>
    </row>
    <row r="2807" spans="31:31">
      <c r="AE2807" s="54"/>
    </row>
    <row r="2808" spans="31:31">
      <c r="AE2808" s="54"/>
    </row>
    <row r="2809" spans="31:31">
      <c r="AE2809" s="54"/>
    </row>
    <row r="2810" spans="31:31">
      <c r="AE2810" s="54"/>
    </row>
    <row r="2811" spans="31:31">
      <c r="AE2811" s="54"/>
    </row>
    <row r="2812" spans="31:31">
      <c r="AE2812" s="54"/>
    </row>
    <row r="2813" spans="31:31">
      <c r="AE2813" s="54"/>
    </row>
    <row r="2814" spans="31:31">
      <c r="AE2814" s="54"/>
    </row>
    <row r="2815" spans="31:31">
      <c r="AE2815" s="54"/>
    </row>
    <row r="2816" spans="31:31">
      <c r="AE2816" s="54"/>
    </row>
    <row r="2817" spans="31:31">
      <c r="AE2817" s="54"/>
    </row>
    <row r="2818" spans="31:31">
      <c r="AE2818" s="54"/>
    </row>
    <row r="2819" spans="31:31">
      <c r="AE2819" s="54"/>
    </row>
    <row r="2820" spans="31:31">
      <c r="AE2820" s="54"/>
    </row>
    <row r="2821" spans="31:31">
      <c r="AE2821" s="54"/>
    </row>
    <row r="2822" spans="31:31">
      <c r="AE2822" s="54"/>
    </row>
    <row r="2823" spans="31:31">
      <c r="AE2823" s="54"/>
    </row>
    <row r="2824" spans="31:31">
      <c r="AE2824" s="54"/>
    </row>
    <row r="2825" spans="31:31">
      <c r="AE2825" s="54"/>
    </row>
    <row r="2826" spans="31:31">
      <c r="AE2826" s="54"/>
    </row>
    <row r="2827" spans="31:31">
      <c r="AE2827" s="54"/>
    </row>
    <row r="2828" spans="31:31">
      <c r="AE2828" s="54"/>
    </row>
    <row r="2829" spans="31:31">
      <c r="AE2829" s="54"/>
    </row>
    <row r="2830" spans="31:31">
      <c r="AE2830" s="54"/>
    </row>
    <row r="2831" spans="31:31">
      <c r="AE2831" s="54"/>
    </row>
    <row r="2832" spans="31:31">
      <c r="AE2832" s="54"/>
    </row>
    <row r="2833" spans="31:31">
      <c r="AE2833" s="54"/>
    </row>
    <row r="2834" spans="31:31">
      <c r="AE2834" s="54"/>
    </row>
    <row r="2835" spans="31:31">
      <c r="AE2835" s="54"/>
    </row>
    <row r="2836" spans="31:31">
      <c r="AE2836" s="54"/>
    </row>
    <row r="2837" spans="31:31">
      <c r="AE2837" s="54"/>
    </row>
    <row r="2838" spans="31:31">
      <c r="AE2838" s="54"/>
    </row>
    <row r="2839" spans="31:31">
      <c r="AE2839" s="54"/>
    </row>
    <row r="2840" spans="31:31">
      <c r="AE2840" s="54"/>
    </row>
    <row r="2841" spans="31:31">
      <c r="AE2841" s="54"/>
    </row>
    <row r="2842" spans="31:31">
      <c r="AE2842" s="54"/>
    </row>
    <row r="2843" spans="31:31">
      <c r="AE2843" s="54"/>
    </row>
    <row r="2844" spans="31:31">
      <c r="AE2844" s="54"/>
    </row>
    <row r="2845" spans="31:31">
      <c r="AE2845" s="54"/>
    </row>
    <row r="2846" spans="31:31">
      <c r="AE2846" s="54"/>
    </row>
    <row r="2847" spans="31:31">
      <c r="AE2847" s="54"/>
    </row>
    <row r="2848" spans="31:31">
      <c r="AE2848" s="54"/>
    </row>
    <row r="2849" spans="31:31">
      <c r="AE2849" s="54"/>
    </row>
    <row r="2850" spans="31:31">
      <c r="AE2850" s="54"/>
    </row>
    <row r="2851" spans="31:31">
      <c r="AE2851" s="54"/>
    </row>
    <row r="2852" spans="31:31">
      <c r="AE2852" s="54"/>
    </row>
    <row r="2853" spans="31:31">
      <c r="AE2853" s="54"/>
    </row>
    <row r="2854" spans="31:31">
      <c r="AE2854" s="54"/>
    </row>
    <row r="2855" spans="31:31">
      <c r="AE2855" s="54"/>
    </row>
    <row r="2856" spans="31:31">
      <c r="AE2856" s="54"/>
    </row>
    <row r="2857" spans="31:31">
      <c r="AE2857" s="54"/>
    </row>
    <row r="2858" spans="31:31">
      <c r="AE2858" s="54"/>
    </row>
    <row r="2859" spans="31:31">
      <c r="AE2859" s="54"/>
    </row>
    <row r="2860" spans="31:31">
      <c r="AE2860" s="54"/>
    </row>
    <row r="2861" spans="31:31">
      <c r="AE2861" s="54"/>
    </row>
    <row r="2862" spans="31:31">
      <c r="AE2862" s="54"/>
    </row>
    <row r="2863" spans="31:31">
      <c r="AE2863" s="54"/>
    </row>
    <row r="2864" spans="31:31">
      <c r="AE2864" s="54"/>
    </row>
    <row r="2865" spans="31:31">
      <c r="AE2865" s="54"/>
    </row>
    <row r="2866" spans="31:31">
      <c r="AE2866" s="54"/>
    </row>
    <row r="2867" spans="31:31">
      <c r="AE2867" s="54"/>
    </row>
    <row r="2868" spans="31:31">
      <c r="AE2868" s="54"/>
    </row>
    <row r="2869" spans="31:31">
      <c r="AE2869" s="54"/>
    </row>
    <row r="2870" spans="31:31">
      <c r="AE2870" s="54"/>
    </row>
    <row r="2871" spans="31:31">
      <c r="AE2871" s="54"/>
    </row>
    <row r="2872" spans="31:31">
      <c r="AE2872" s="54"/>
    </row>
    <row r="2873" spans="31:31">
      <c r="AE2873" s="54"/>
    </row>
    <row r="2874" spans="31:31">
      <c r="AE2874" s="54"/>
    </row>
    <row r="2875" spans="31:31">
      <c r="AE2875" s="54"/>
    </row>
    <row r="2876" spans="31:31">
      <c r="AE2876" s="54"/>
    </row>
    <row r="2877" spans="31:31">
      <c r="AE2877" s="54"/>
    </row>
    <row r="2878" spans="31:31">
      <c r="AE2878" s="54"/>
    </row>
    <row r="2879" spans="31:31">
      <c r="AE2879" s="54"/>
    </row>
    <row r="2880" spans="31:31">
      <c r="AE2880" s="54"/>
    </row>
    <row r="2881" spans="31:31">
      <c r="AE2881" s="54"/>
    </row>
    <row r="2882" spans="31:31">
      <c r="AE2882" s="54"/>
    </row>
    <row r="2883" spans="31:31">
      <c r="AE2883" s="54"/>
    </row>
    <row r="2884" spans="31:31">
      <c r="AE2884" s="54"/>
    </row>
    <row r="2885" spans="31:31">
      <c r="AE2885" s="54"/>
    </row>
    <row r="2886" spans="31:31">
      <c r="AE2886" s="54"/>
    </row>
    <row r="2887" spans="31:31">
      <c r="AE2887" s="54"/>
    </row>
    <row r="2888" spans="31:31">
      <c r="AE2888" s="54"/>
    </row>
    <row r="2889" spans="31:31">
      <c r="AE2889" s="54"/>
    </row>
    <row r="2890" spans="31:31">
      <c r="AE2890" s="54"/>
    </row>
    <row r="2891" spans="31:31">
      <c r="AE2891" s="54"/>
    </row>
    <row r="2892" spans="31:31">
      <c r="AE2892" s="54"/>
    </row>
    <row r="2893" spans="31:31">
      <c r="AE2893" s="54"/>
    </row>
    <row r="2894" spans="31:31">
      <c r="AE2894" s="54"/>
    </row>
    <row r="2895" spans="31:31">
      <c r="AE2895" s="54"/>
    </row>
    <row r="2896" spans="31:31">
      <c r="AE2896" s="54"/>
    </row>
    <row r="2897" spans="31:31">
      <c r="AE2897" s="54"/>
    </row>
    <row r="2898" spans="31:31">
      <c r="AE2898" s="54"/>
    </row>
    <row r="2899" spans="31:31">
      <c r="AE2899" s="54"/>
    </row>
    <row r="2900" spans="31:31">
      <c r="AE2900" s="54"/>
    </row>
    <row r="2901" spans="31:31">
      <c r="AE2901" s="54"/>
    </row>
    <row r="2902" spans="31:31">
      <c r="AE2902" s="54"/>
    </row>
    <row r="2903" spans="31:31">
      <c r="AE2903" s="54"/>
    </row>
    <row r="2904" spans="31:31">
      <c r="AE2904" s="54"/>
    </row>
    <row r="2905" spans="31:31">
      <c r="AE2905" s="54"/>
    </row>
    <row r="2906" spans="31:31">
      <c r="AE2906" s="54"/>
    </row>
    <row r="2907" spans="31:31">
      <c r="AE2907" s="54"/>
    </row>
    <row r="2908" spans="31:31">
      <c r="AE2908" s="54"/>
    </row>
    <row r="2909" spans="31:31">
      <c r="AE2909" s="54"/>
    </row>
    <row r="2910" spans="31:31">
      <c r="AE2910" s="54"/>
    </row>
    <row r="2911" spans="31:31">
      <c r="AE2911" s="54"/>
    </row>
    <row r="2912" spans="31:31">
      <c r="AE2912" s="54"/>
    </row>
    <row r="2913" spans="31:31">
      <c r="AE2913" s="54"/>
    </row>
    <row r="2914" spans="31:31">
      <c r="AE2914" s="54"/>
    </row>
    <row r="2915" spans="31:31">
      <c r="AE2915" s="54"/>
    </row>
    <row r="2916" spans="31:31">
      <c r="AE2916" s="54"/>
    </row>
    <row r="2917" spans="31:31">
      <c r="AE2917" s="54"/>
    </row>
    <row r="2918" spans="31:31">
      <c r="AE2918" s="54"/>
    </row>
    <row r="2919" spans="31:31">
      <c r="AE2919" s="54"/>
    </row>
    <row r="2920" spans="31:31">
      <c r="AE2920" s="54"/>
    </row>
    <row r="2921" spans="31:31">
      <c r="AE2921" s="54"/>
    </row>
    <row r="2922" spans="31:31">
      <c r="AE2922" s="54"/>
    </row>
    <row r="2923" spans="31:31">
      <c r="AE2923" s="54"/>
    </row>
    <row r="2924" spans="31:31">
      <c r="AE2924" s="54"/>
    </row>
    <row r="2925" spans="31:31">
      <c r="AE2925" s="54"/>
    </row>
    <row r="2926" spans="31:31">
      <c r="AE2926" s="54"/>
    </row>
    <row r="2927" spans="31:31">
      <c r="AE2927" s="54"/>
    </row>
    <row r="2928" spans="31:31">
      <c r="AE2928" s="54"/>
    </row>
    <row r="2929" spans="31:31">
      <c r="AE2929" s="54"/>
    </row>
    <row r="2930" spans="31:31">
      <c r="AE2930" s="54"/>
    </row>
    <row r="2931" spans="31:31">
      <c r="AE2931" s="54"/>
    </row>
    <row r="2932" spans="31:31">
      <c r="AE2932" s="54"/>
    </row>
    <row r="2933" spans="31:31">
      <c r="AE2933" s="54"/>
    </row>
    <row r="2934" spans="31:31">
      <c r="AE2934" s="54"/>
    </row>
    <row r="2935" spans="31:31">
      <c r="AE2935" s="54"/>
    </row>
    <row r="2936" spans="31:31">
      <c r="AE2936" s="54"/>
    </row>
    <row r="2937" spans="31:31">
      <c r="AE2937" s="54"/>
    </row>
    <row r="2938" spans="31:31">
      <c r="AE2938" s="54"/>
    </row>
    <row r="2939" spans="31:31">
      <c r="AE2939" s="54"/>
    </row>
    <row r="2940" spans="31:31">
      <c r="AE2940" s="54"/>
    </row>
    <row r="2941" spans="31:31">
      <c r="AE2941" s="54"/>
    </row>
    <row r="2942" spans="31:31">
      <c r="AE2942" s="54"/>
    </row>
    <row r="2943" spans="31:31">
      <c r="AE2943" s="54"/>
    </row>
    <row r="2944" spans="31:31">
      <c r="AE2944" s="54"/>
    </row>
    <row r="2945" spans="31:31">
      <c r="AE2945" s="54"/>
    </row>
    <row r="2946" spans="31:31">
      <c r="AE2946" s="54"/>
    </row>
    <row r="2947" spans="31:31">
      <c r="AE2947" s="54"/>
    </row>
    <row r="2948" spans="31:31">
      <c r="AE2948" s="54"/>
    </row>
    <row r="2949" spans="31:31">
      <c r="AE2949" s="54"/>
    </row>
    <row r="2950" spans="31:31">
      <c r="AE2950" s="54"/>
    </row>
    <row r="2951" spans="31:31">
      <c r="AE2951" s="54"/>
    </row>
    <row r="2952" spans="31:31">
      <c r="AE2952" s="54"/>
    </row>
    <row r="2953" spans="31:31">
      <c r="AE2953" s="54"/>
    </row>
    <row r="2954" spans="31:31">
      <c r="AE2954" s="54"/>
    </row>
    <row r="2955" spans="31:31">
      <c r="AE2955" s="54"/>
    </row>
    <row r="2956" spans="31:31">
      <c r="AE2956" s="54"/>
    </row>
    <row r="2957" spans="31:31">
      <c r="AE2957" s="54"/>
    </row>
    <row r="2958" spans="31:31">
      <c r="AE2958" s="54"/>
    </row>
    <row r="2959" spans="31:31">
      <c r="AE2959" s="54"/>
    </row>
    <row r="2960" spans="31:31">
      <c r="AE2960" s="54"/>
    </row>
    <row r="2961" spans="31:31">
      <c r="AE2961" s="54"/>
    </row>
    <row r="2962" spans="31:31">
      <c r="AE2962" s="54"/>
    </row>
    <row r="2963" spans="31:31">
      <c r="AE2963" s="54"/>
    </row>
    <row r="2964" spans="31:31">
      <c r="AE2964" s="54"/>
    </row>
    <row r="2965" spans="31:31">
      <c r="AE2965" s="54"/>
    </row>
    <row r="2966" spans="31:31">
      <c r="AE2966" s="54"/>
    </row>
    <row r="2967" spans="31:31">
      <c r="AE2967" s="54"/>
    </row>
    <row r="2968" spans="31:31">
      <c r="AE2968" s="54"/>
    </row>
    <row r="2969" spans="31:31">
      <c r="AE2969" s="54"/>
    </row>
    <row r="2970" spans="31:31">
      <c r="AE2970" s="54"/>
    </row>
    <row r="2971" spans="31:31">
      <c r="AE2971" s="54"/>
    </row>
    <row r="2972" spans="31:31">
      <c r="AE2972" s="54"/>
    </row>
    <row r="2973" spans="31:31">
      <c r="AE2973" s="54"/>
    </row>
    <row r="2974" spans="31:31">
      <c r="AE2974" s="54"/>
    </row>
    <row r="2975" spans="31:31">
      <c r="AE2975" s="54"/>
    </row>
    <row r="2976" spans="31:31">
      <c r="AE2976" s="54"/>
    </row>
    <row r="2977" spans="31:31">
      <c r="AE2977" s="54"/>
    </row>
    <row r="2978" spans="31:31">
      <c r="AE2978" s="54"/>
    </row>
    <row r="2979" spans="31:31">
      <c r="AE2979" s="54"/>
    </row>
    <row r="2980" spans="31:31">
      <c r="AE2980" s="54"/>
    </row>
    <row r="2981" spans="31:31">
      <c r="AE2981" s="54"/>
    </row>
    <row r="2982" spans="31:31">
      <c r="AE2982" s="54"/>
    </row>
    <row r="2983" spans="31:31">
      <c r="AE2983" s="54"/>
    </row>
    <row r="2984" spans="31:31">
      <c r="AE2984" s="54"/>
    </row>
    <row r="2985" spans="31:31">
      <c r="AE2985" s="54"/>
    </row>
    <row r="2986" spans="31:31">
      <c r="AE2986" s="54"/>
    </row>
    <row r="2987" spans="31:31">
      <c r="AE2987" s="54"/>
    </row>
    <row r="2988" spans="31:31">
      <c r="AE2988" s="54"/>
    </row>
    <row r="2989" spans="31:31">
      <c r="AE2989" s="54"/>
    </row>
    <row r="2990" spans="31:31">
      <c r="AE2990" s="54"/>
    </row>
    <row r="2991" spans="31:31">
      <c r="AE2991" s="54"/>
    </row>
    <row r="2992" spans="31:31">
      <c r="AE2992" s="54"/>
    </row>
    <row r="2993" spans="31:31">
      <c r="AE2993" s="54"/>
    </row>
    <row r="2994" spans="31:31">
      <c r="AE2994" s="54"/>
    </row>
    <row r="2995" spans="31:31">
      <c r="AE2995" s="54"/>
    </row>
    <row r="2996" spans="31:31">
      <c r="AE2996" s="54"/>
    </row>
    <row r="2997" spans="31:31">
      <c r="AE2997" s="54"/>
    </row>
    <row r="2998" spans="31:31">
      <c r="AE2998" s="54"/>
    </row>
    <row r="2999" spans="31:31">
      <c r="AE2999" s="54"/>
    </row>
    <row r="3000" spans="31:31">
      <c r="AE3000" s="54"/>
    </row>
    <row r="3001" spans="31:31">
      <c r="AE3001" s="54"/>
    </row>
    <row r="3002" spans="31:31">
      <c r="AE3002" s="54"/>
    </row>
    <row r="3003" spans="31:31">
      <c r="AE3003" s="54"/>
    </row>
    <row r="3004" spans="31:31">
      <c r="AE3004" s="54"/>
    </row>
    <row r="3005" spans="31:31">
      <c r="AE3005" s="54"/>
    </row>
    <row r="3006" spans="31:31">
      <c r="AE3006" s="54"/>
    </row>
    <row r="3007" spans="31:31">
      <c r="AE3007" s="54"/>
    </row>
    <row r="3008" spans="31:31">
      <c r="AE3008" s="54"/>
    </row>
    <row r="3009" spans="31:31">
      <c r="AE3009" s="54"/>
    </row>
    <row r="3010" spans="31:31">
      <c r="AE3010" s="54"/>
    </row>
    <row r="3011" spans="31:31">
      <c r="AE3011" s="54"/>
    </row>
    <row r="3012" spans="31:31">
      <c r="AE3012" s="54"/>
    </row>
    <row r="3013" spans="31:31">
      <c r="AE3013" s="54"/>
    </row>
    <row r="3014" spans="31:31">
      <c r="AE3014" s="54"/>
    </row>
    <row r="3015" spans="31:31">
      <c r="AE3015" s="54"/>
    </row>
    <row r="3016" spans="31:31">
      <c r="AE3016" s="54"/>
    </row>
    <row r="3017" spans="31:31">
      <c r="AE3017" s="54"/>
    </row>
    <row r="3018" spans="31:31">
      <c r="AE3018" s="54"/>
    </row>
    <row r="3019" spans="31:31">
      <c r="AE3019" s="54"/>
    </row>
    <row r="3020" spans="31:31">
      <c r="AE3020" s="54"/>
    </row>
    <row r="3021" spans="31:31">
      <c r="AE3021" s="54"/>
    </row>
    <row r="3022" spans="31:31">
      <c r="AE3022" s="54"/>
    </row>
    <row r="3023" spans="31:31">
      <c r="AE3023" s="54"/>
    </row>
    <row r="3024" spans="31:31">
      <c r="AE3024" s="54"/>
    </row>
    <row r="3025" spans="31:31">
      <c r="AE3025" s="54"/>
    </row>
    <row r="3026" spans="31:31">
      <c r="AE3026" s="54"/>
    </row>
    <row r="3027" spans="31:31">
      <c r="AE3027" s="54"/>
    </row>
    <row r="3028" spans="31:31">
      <c r="AE3028" s="54"/>
    </row>
    <row r="3029" spans="31:31">
      <c r="AE3029" s="54"/>
    </row>
    <row r="3030" spans="31:31">
      <c r="AE3030" s="54"/>
    </row>
    <row r="3031" spans="31:31">
      <c r="AE3031" s="54"/>
    </row>
    <row r="3032" spans="31:31">
      <c r="AE3032" s="54"/>
    </row>
    <row r="3033" spans="31:31">
      <c r="AE3033" s="54"/>
    </row>
    <row r="3034" spans="31:31">
      <c r="AE3034" s="54"/>
    </row>
    <row r="3035" spans="31:31">
      <c r="AE3035" s="54"/>
    </row>
    <row r="3036" spans="31:31">
      <c r="AE3036" s="54"/>
    </row>
    <row r="3037" spans="31:31">
      <c r="AE3037" s="54"/>
    </row>
    <row r="3038" spans="31:31">
      <c r="AE3038" s="54"/>
    </row>
    <row r="3039" spans="31:31">
      <c r="AE3039" s="54"/>
    </row>
    <row r="3040" spans="31:31">
      <c r="AE3040" s="54"/>
    </row>
    <row r="3041" spans="31:31">
      <c r="AE3041" s="54"/>
    </row>
    <row r="3042" spans="31:31">
      <c r="AE3042" s="54"/>
    </row>
    <row r="3043" spans="31:31">
      <c r="AE3043" s="54"/>
    </row>
    <row r="3044" spans="31:31">
      <c r="AE3044" s="54"/>
    </row>
    <row r="3045" spans="31:31">
      <c r="AE3045" s="54"/>
    </row>
    <row r="3046" spans="31:31">
      <c r="AE3046" s="54"/>
    </row>
    <row r="3047" spans="31:31">
      <c r="AE3047" s="54"/>
    </row>
    <row r="3048" spans="31:31">
      <c r="AE3048" s="54"/>
    </row>
    <row r="3049" spans="31:31">
      <c r="AE3049" s="54"/>
    </row>
    <row r="3050" spans="31:31">
      <c r="AE3050" s="54"/>
    </row>
    <row r="3051" spans="31:31">
      <c r="AE3051" s="54"/>
    </row>
    <row r="3052" spans="31:31">
      <c r="AE3052" s="54"/>
    </row>
    <row r="3053" spans="31:31">
      <c r="AE3053" s="54"/>
    </row>
    <row r="3054" spans="31:31">
      <c r="AE3054" s="54"/>
    </row>
    <row r="3055" spans="31:31">
      <c r="AE3055" s="54"/>
    </row>
    <row r="3056" spans="31:31">
      <c r="AE3056" s="54"/>
    </row>
    <row r="3057" spans="31:31">
      <c r="AE3057" s="54"/>
    </row>
    <row r="3058" spans="31:31">
      <c r="AE3058" s="54"/>
    </row>
    <row r="3059" spans="31:31">
      <c r="AE3059" s="54"/>
    </row>
    <row r="3060" spans="31:31">
      <c r="AE3060" s="54"/>
    </row>
    <row r="3061" spans="31:31">
      <c r="AE3061" s="54"/>
    </row>
    <row r="3062" spans="31:31">
      <c r="AE3062" s="54"/>
    </row>
    <row r="3063" spans="31:31">
      <c r="AE3063" s="54"/>
    </row>
    <row r="3064" spans="31:31">
      <c r="AE3064" s="54"/>
    </row>
    <row r="3065" spans="31:31">
      <c r="AE3065" s="54"/>
    </row>
    <row r="3066" spans="31:31">
      <c r="AE3066" s="54"/>
    </row>
    <row r="3067" spans="31:31">
      <c r="AE3067" s="54"/>
    </row>
    <row r="3068" spans="31:31">
      <c r="AE3068" s="54"/>
    </row>
    <row r="3069" spans="31:31">
      <c r="AE3069" s="54"/>
    </row>
    <row r="3070" spans="31:31">
      <c r="AE3070" s="54"/>
    </row>
    <row r="3071" spans="31:31">
      <c r="AE3071" s="54"/>
    </row>
    <row r="3072" spans="31:31">
      <c r="AE3072" s="54"/>
    </row>
    <row r="3073" spans="31:31">
      <c r="AE3073" s="54"/>
    </row>
    <row r="3074" spans="31:31">
      <c r="AE3074" s="54"/>
    </row>
    <row r="3075" spans="31:31">
      <c r="AE3075" s="54"/>
    </row>
    <row r="3076" spans="31:31">
      <c r="AE3076" s="54"/>
    </row>
    <row r="3077" spans="31:31">
      <c r="AE3077" s="54"/>
    </row>
    <row r="3078" spans="31:31">
      <c r="AE3078" s="54"/>
    </row>
    <row r="3079" spans="31:31">
      <c r="AE3079" s="54"/>
    </row>
    <row r="3080" spans="31:31">
      <c r="AE3080" s="54"/>
    </row>
    <row r="3081" spans="31:31">
      <c r="AE3081" s="54"/>
    </row>
    <row r="3082" spans="31:31">
      <c r="AE3082" s="54"/>
    </row>
    <row r="3083" spans="31:31">
      <c r="AE3083" s="54"/>
    </row>
    <row r="3084" spans="31:31">
      <c r="AE3084" s="54"/>
    </row>
    <row r="3085" spans="31:31">
      <c r="AE3085" s="54"/>
    </row>
    <row r="3086" spans="31:31">
      <c r="AE3086" s="54"/>
    </row>
    <row r="3087" spans="31:31">
      <c r="AE3087" s="54"/>
    </row>
    <row r="3088" spans="31:31">
      <c r="AE3088" s="54"/>
    </row>
    <row r="3089" spans="31:31">
      <c r="AE3089" s="54"/>
    </row>
    <row r="3090" spans="31:31">
      <c r="AE3090" s="54"/>
    </row>
    <row r="3091" spans="31:31">
      <c r="AE3091" s="54"/>
    </row>
    <row r="3092" spans="31:31">
      <c r="AE3092" s="54"/>
    </row>
    <row r="3093" spans="31:31">
      <c r="AE3093" s="54"/>
    </row>
    <row r="3094" spans="31:31">
      <c r="AE3094" s="54"/>
    </row>
    <row r="3095" spans="31:31">
      <c r="AE3095" s="54"/>
    </row>
    <row r="3096" spans="31:31">
      <c r="AE3096" s="54"/>
    </row>
    <row r="3097" spans="31:31">
      <c r="AE3097" s="54"/>
    </row>
    <row r="3098" spans="31:31">
      <c r="AE3098" s="54"/>
    </row>
    <row r="3099" spans="31:31">
      <c r="AE3099" s="54"/>
    </row>
    <row r="3100" spans="31:31">
      <c r="AE3100" s="54"/>
    </row>
    <row r="3101" spans="31:31">
      <c r="AE3101" s="54"/>
    </row>
    <row r="3102" spans="31:31">
      <c r="AE3102" s="54"/>
    </row>
    <row r="3103" spans="31:31">
      <c r="AE3103" s="54"/>
    </row>
    <row r="3104" spans="31:31">
      <c r="AE3104" s="54"/>
    </row>
    <row r="3105" spans="31:31">
      <c r="AE3105" s="54"/>
    </row>
    <row r="3106" spans="31:31">
      <c r="AE3106" s="54"/>
    </row>
    <row r="3107" spans="31:31">
      <c r="AE3107" s="54"/>
    </row>
    <row r="3108" spans="31:31">
      <c r="AE3108" s="54"/>
    </row>
    <row r="3109" spans="31:31">
      <c r="AE3109" s="54"/>
    </row>
    <row r="3110" spans="31:31">
      <c r="AE3110" s="54"/>
    </row>
    <row r="3111" spans="31:31">
      <c r="AE3111" s="54"/>
    </row>
    <row r="3112" spans="31:31">
      <c r="AE3112" s="54"/>
    </row>
    <row r="3113" spans="31:31">
      <c r="AE3113" s="54"/>
    </row>
    <row r="3114" spans="31:31">
      <c r="AE3114" s="54"/>
    </row>
    <row r="3115" spans="31:31">
      <c r="AE3115" s="54"/>
    </row>
    <row r="3116" spans="31:31">
      <c r="AE3116" s="54"/>
    </row>
    <row r="3117" spans="31:31">
      <c r="AE3117" s="54"/>
    </row>
    <row r="3118" spans="31:31">
      <c r="AE3118" s="54"/>
    </row>
    <row r="3119" spans="31:31">
      <c r="AE3119" s="54"/>
    </row>
    <row r="3120" spans="31:31">
      <c r="AE3120" s="54"/>
    </row>
    <row r="3121" spans="31:31">
      <c r="AE3121" s="54"/>
    </row>
    <row r="3122" spans="31:31">
      <c r="AE3122" s="54"/>
    </row>
    <row r="3123" spans="31:31">
      <c r="AE3123" s="54"/>
    </row>
    <row r="3124" spans="31:31">
      <c r="AE3124" s="54"/>
    </row>
    <row r="3125" spans="31:31">
      <c r="AE3125" s="54"/>
    </row>
    <row r="3126" spans="31:31">
      <c r="AE3126" s="54"/>
    </row>
    <row r="3127" spans="31:31">
      <c r="AE3127" s="54"/>
    </row>
    <row r="3128" spans="31:31">
      <c r="AE3128" s="54"/>
    </row>
    <row r="3129" spans="31:31">
      <c r="AE3129" s="54"/>
    </row>
    <row r="3130" spans="31:31">
      <c r="AE3130" s="54"/>
    </row>
    <row r="3131" spans="31:31">
      <c r="AE3131" s="54"/>
    </row>
    <row r="3132" spans="31:31">
      <c r="AE3132" s="54"/>
    </row>
    <row r="3133" spans="31:31">
      <c r="AE3133" s="54"/>
    </row>
    <row r="3134" spans="31:31">
      <c r="AE3134" s="54"/>
    </row>
    <row r="3135" spans="31:31">
      <c r="AE3135" s="54"/>
    </row>
    <row r="3136" spans="31:31">
      <c r="AE3136" s="54"/>
    </row>
    <row r="3137" spans="31:31">
      <c r="AE3137" s="54"/>
    </row>
    <row r="3138" spans="31:31">
      <c r="AE3138" s="54"/>
    </row>
    <row r="3139" spans="31:31">
      <c r="AE3139" s="54"/>
    </row>
    <row r="3140" spans="31:31">
      <c r="AE3140" s="54"/>
    </row>
    <row r="3141" spans="31:31">
      <c r="AE3141" s="54"/>
    </row>
    <row r="3142" spans="31:31">
      <c r="AE3142" s="54"/>
    </row>
    <row r="3143" spans="31:31">
      <c r="AE3143" s="54"/>
    </row>
    <row r="3144" spans="31:31">
      <c r="AE3144" s="54"/>
    </row>
    <row r="3145" spans="31:31">
      <c r="AE3145" s="54"/>
    </row>
    <row r="3146" spans="31:31">
      <c r="AE3146" s="54"/>
    </row>
    <row r="3147" spans="31:31">
      <c r="AE3147" s="54"/>
    </row>
    <row r="3148" spans="31:31">
      <c r="AE3148" s="54"/>
    </row>
    <row r="3149" spans="31:31">
      <c r="AE3149" s="54"/>
    </row>
    <row r="3150" spans="31:31">
      <c r="AE3150" s="54"/>
    </row>
    <row r="3151" spans="31:31">
      <c r="AE3151" s="54"/>
    </row>
    <row r="3152" spans="31:31">
      <c r="AE3152" s="54"/>
    </row>
    <row r="3153" spans="31:31">
      <c r="AE3153" s="54"/>
    </row>
    <row r="3154" spans="31:31">
      <c r="AE3154" s="54"/>
    </row>
    <row r="3155" spans="31:31">
      <c r="AE3155" s="54"/>
    </row>
    <row r="3156" spans="31:31">
      <c r="AE3156" s="54"/>
    </row>
    <row r="3157" spans="31:31">
      <c r="AE3157" s="54"/>
    </row>
    <row r="3158" spans="31:31">
      <c r="AE3158" s="54"/>
    </row>
    <row r="3159" spans="31:31">
      <c r="AE3159" s="54"/>
    </row>
    <row r="3160" spans="31:31">
      <c r="AE3160" s="54"/>
    </row>
    <row r="3161" spans="31:31">
      <c r="AE3161" s="54"/>
    </row>
    <row r="3162" spans="31:31">
      <c r="AE3162" s="54"/>
    </row>
    <row r="3163" spans="31:31">
      <c r="AE3163" s="54"/>
    </row>
    <row r="3164" spans="31:31">
      <c r="AE3164" s="54"/>
    </row>
    <row r="3165" spans="31:31">
      <c r="AE3165" s="54"/>
    </row>
    <row r="3166" spans="31:31">
      <c r="AE3166" s="54"/>
    </row>
    <row r="3167" spans="31:31">
      <c r="AE3167" s="54"/>
    </row>
    <row r="3168" spans="31:31">
      <c r="AE3168" s="54"/>
    </row>
    <row r="3169" spans="31:31">
      <c r="AE3169" s="54"/>
    </row>
    <row r="3170" spans="31:31">
      <c r="AE3170" s="54"/>
    </row>
    <row r="3171" spans="31:31">
      <c r="AE3171" s="54"/>
    </row>
    <row r="3172" spans="31:31">
      <c r="AE3172" s="54"/>
    </row>
    <row r="3173" spans="31:31">
      <c r="AE3173" s="54"/>
    </row>
    <row r="3174" spans="31:31">
      <c r="AE3174" s="54"/>
    </row>
    <row r="3175" spans="31:31">
      <c r="AE3175" s="54"/>
    </row>
    <row r="3176" spans="31:31">
      <c r="AE3176" s="54"/>
    </row>
    <row r="3177" spans="31:31">
      <c r="AE3177" s="54"/>
    </row>
    <row r="3178" spans="31:31">
      <c r="AE3178" s="54"/>
    </row>
    <row r="3179" spans="31:31">
      <c r="AE3179" s="54"/>
    </row>
    <row r="3180" spans="31:31">
      <c r="AE3180" s="54"/>
    </row>
    <row r="3181" spans="31:31">
      <c r="AE3181" s="54"/>
    </row>
    <row r="3182" spans="31:31">
      <c r="AE3182" s="54"/>
    </row>
    <row r="3183" spans="31:31">
      <c r="AE3183" s="54"/>
    </row>
    <row r="3184" spans="31:31">
      <c r="AE3184" s="54"/>
    </row>
    <row r="3185" spans="31:31">
      <c r="AE3185" s="54"/>
    </row>
    <row r="3186" spans="31:31">
      <c r="AE3186" s="54"/>
    </row>
    <row r="3187" spans="31:31">
      <c r="AE3187" s="54"/>
    </row>
    <row r="3188" spans="31:31">
      <c r="AE3188" s="54"/>
    </row>
    <row r="3189" spans="31:31">
      <c r="AE3189" s="54"/>
    </row>
    <row r="3190" spans="31:31">
      <c r="AE3190" s="54"/>
    </row>
    <row r="3191" spans="31:31">
      <c r="AE3191" s="54"/>
    </row>
    <row r="3192" spans="31:31">
      <c r="AE3192" s="54"/>
    </row>
    <row r="3193" spans="31:31">
      <c r="AE3193" s="54"/>
    </row>
    <row r="3194" spans="31:31">
      <c r="AE3194" s="54"/>
    </row>
    <row r="3195" spans="31:31">
      <c r="AE3195" s="54"/>
    </row>
    <row r="3196" spans="31:31">
      <c r="AE3196" s="54"/>
    </row>
    <row r="3197" spans="31:31">
      <c r="AE3197" s="54"/>
    </row>
    <row r="3198" spans="31:31">
      <c r="AE3198" s="54"/>
    </row>
    <row r="3199" spans="31:31">
      <c r="AE3199" s="54"/>
    </row>
    <row r="3200" spans="31:31">
      <c r="AE3200" s="54"/>
    </row>
    <row r="3201" spans="31:31">
      <c r="AE3201" s="54"/>
    </row>
    <row r="3202" spans="31:31">
      <c r="AE3202" s="54"/>
    </row>
    <row r="3203" spans="31:31">
      <c r="AE3203" s="54"/>
    </row>
    <row r="3204" spans="31:31">
      <c r="AE3204" s="54"/>
    </row>
    <row r="3205" spans="31:31">
      <c r="AE3205" s="54"/>
    </row>
    <row r="3206" spans="31:31">
      <c r="AE3206" s="54"/>
    </row>
    <row r="3207" spans="31:31">
      <c r="AE3207" s="54"/>
    </row>
    <row r="3208" spans="31:31">
      <c r="AE3208" s="54"/>
    </row>
    <row r="3209" spans="31:31">
      <c r="AE3209" s="54"/>
    </row>
    <row r="3210" spans="31:31">
      <c r="AE3210" s="54"/>
    </row>
    <row r="3211" spans="31:31">
      <c r="AE3211" s="54"/>
    </row>
    <row r="3212" spans="31:31">
      <c r="AE3212" s="54"/>
    </row>
    <row r="3213" spans="31:31">
      <c r="AE3213" s="54"/>
    </row>
    <row r="3214" spans="31:31">
      <c r="AE3214" s="54"/>
    </row>
    <row r="3215" spans="31:31">
      <c r="AE3215" s="54"/>
    </row>
    <row r="3216" spans="31:31">
      <c r="AE3216" s="54"/>
    </row>
    <row r="3217" spans="31:31">
      <c r="AE3217" s="54"/>
    </row>
    <row r="3218" spans="31:31">
      <c r="AE3218" s="54"/>
    </row>
    <row r="3219" spans="31:31">
      <c r="AE3219" s="54"/>
    </row>
    <row r="3220" spans="31:31">
      <c r="AE3220" s="54"/>
    </row>
    <row r="3221" spans="31:31">
      <c r="AE3221" s="54"/>
    </row>
    <row r="3222" spans="31:31">
      <c r="AE3222" s="54"/>
    </row>
    <row r="3223" spans="31:31">
      <c r="AE3223" s="54"/>
    </row>
    <row r="3224" spans="31:31">
      <c r="AE3224" s="54"/>
    </row>
    <row r="3225" spans="31:31">
      <c r="AE3225" s="54"/>
    </row>
    <row r="3226" spans="31:31">
      <c r="AE3226" s="54"/>
    </row>
    <row r="3227" spans="31:31">
      <c r="AE3227" s="54"/>
    </row>
    <row r="3228" spans="31:31">
      <c r="AE3228" s="54"/>
    </row>
    <row r="3229" spans="31:31">
      <c r="AE3229" s="54"/>
    </row>
    <row r="3230" spans="31:31">
      <c r="AE3230" s="54"/>
    </row>
    <row r="3231" spans="31:31">
      <c r="AE3231" s="54"/>
    </row>
    <row r="3232" spans="31:31">
      <c r="AE3232" s="54"/>
    </row>
    <row r="3233" spans="31:31">
      <c r="AE3233" s="54"/>
    </row>
    <row r="3234" spans="31:31">
      <c r="AE3234" s="54"/>
    </row>
    <row r="3235" spans="31:31">
      <c r="AE3235" s="54"/>
    </row>
    <row r="3236" spans="31:31">
      <c r="AE3236" s="54"/>
    </row>
    <row r="3237" spans="31:31">
      <c r="AE3237" s="54"/>
    </row>
    <row r="3238" spans="31:31">
      <c r="AE3238" s="54"/>
    </row>
    <row r="3239" spans="31:31">
      <c r="AE3239" s="54"/>
    </row>
    <row r="3240" spans="31:31">
      <c r="AE3240" s="54"/>
    </row>
    <row r="3241" spans="31:31">
      <c r="AE3241" s="54"/>
    </row>
    <row r="3242" spans="31:31">
      <c r="AE3242" s="54"/>
    </row>
    <row r="3243" spans="31:31">
      <c r="AE3243" s="54"/>
    </row>
    <row r="3244" spans="31:31">
      <c r="AE3244" s="54"/>
    </row>
    <row r="3245" spans="31:31">
      <c r="AE3245" s="54"/>
    </row>
    <row r="3246" spans="31:31">
      <c r="AE3246" s="54"/>
    </row>
    <row r="3247" spans="31:31">
      <c r="AE3247" s="54"/>
    </row>
    <row r="3248" spans="31:31">
      <c r="AE3248" s="54"/>
    </row>
    <row r="3249" spans="31:31">
      <c r="AE3249" s="54"/>
    </row>
    <row r="3250" spans="31:31">
      <c r="AE3250" s="54"/>
    </row>
    <row r="3251" spans="31:31">
      <c r="AE3251" s="54"/>
    </row>
    <row r="3252" spans="31:31">
      <c r="AE3252" s="54"/>
    </row>
    <row r="3253" spans="31:31">
      <c r="AE3253" s="54"/>
    </row>
    <row r="3254" spans="31:31">
      <c r="AE3254" s="54"/>
    </row>
    <row r="3255" spans="31:31">
      <c r="AE3255" s="54"/>
    </row>
    <row r="3256" spans="31:31">
      <c r="AE3256" s="54"/>
    </row>
    <row r="3257" spans="31:31">
      <c r="AE3257" s="54"/>
    </row>
    <row r="3258" spans="31:31">
      <c r="AE3258" s="54"/>
    </row>
    <row r="3259" spans="31:31">
      <c r="AE3259" s="54"/>
    </row>
    <row r="3260" spans="31:31">
      <c r="AE3260" s="54"/>
    </row>
    <row r="3261" spans="31:31">
      <c r="AE3261" s="54"/>
    </row>
    <row r="3262" spans="31:31">
      <c r="AE3262" s="54"/>
    </row>
    <row r="3263" spans="31:31">
      <c r="AE3263" s="54"/>
    </row>
    <row r="3264" spans="31:31">
      <c r="AE3264" s="54"/>
    </row>
    <row r="3265" spans="31:31">
      <c r="AE3265" s="54"/>
    </row>
    <row r="3266" spans="31:31">
      <c r="AE3266" s="54"/>
    </row>
    <row r="3267" spans="31:31">
      <c r="AE3267" s="54"/>
    </row>
    <row r="3268" spans="31:31">
      <c r="AE3268" s="54"/>
    </row>
    <row r="3269" spans="31:31">
      <c r="AE3269" s="54"/>
    </row>
    <row r="3270" spans="31:31">
      <c r="AE3270" s="54"/>
    </row>
    <row r="3271" spans="31:31">
      <c r="AE3271" s="54"/>
    </row>
    <row r="3272" spans="31:31">
      <c r="AE3272" s="54"/>
    </row>
    <row r="3273" spans="31:31">
      <c r="AE3273" s="54"/>
    </row>
    <row r="3274" spans="31:31">
      <c r="AE3274" s="54"/>
    </row>
    <row r="3275" spans="31:31">
      <c r="AE3275" s="54"/>
    </row>
    <row r="3276" spans="31:31">
      <c r="AE3276" s="54"/>
    </row>
    <row r="3277" spans="31:31">
      <c r="AE3277" s="54"/>
    </row>
    <row r="3278" spans="31:31">
      <c r="AE3278" s="54"/>
    </row>
    <row r="3279" spans="31:31">
      <c r="AE3279" s="54"/>
    </row>
    <row r="3280" spans="31:31">
      <c r="AE3280" s="54"/>
    </row>
    <row r="3281" spans="31:31">
      <c r="AE3281" s="54"/>
    </row>
    <row r="3282" spans="31:31">
      <c r="AE3282" s="54"/>
    </row>
    <row r="3283" spans="31:31">
      <c r="AE3283" s="54"/>
    </row>
    <row r="3284" spans="31:31">
      <c r="AE3284" s="54"/>
    </row>
    <row r="3285" spans="31:31">
      <c r="AE3285" s="54"/>
    </row>
    <row r="3286" spans="31:31">
      <c r="AE3286" s="54"/>
    </row>
    <row r="3287" spans="31:31">
      <c r="AE3287" s="54"/>
    </row>
    <row r="3288" spans="31:31">
      <c r="AE3288" s="54"/>
    </row>
    <row r="3289" spans="31:31">
      <c r="AE3289" s="54"/>
    </row>
    <row r="3290" spans="31:31">
      <c r="AE3290" s="54"/>
    </row>
    <row r="3291" spans="31:31">
      <c r="AE3291" s="54"/>
    </row>
    <row r="3292" spans="31:31">
      <c r="AE3292" s="54"/>
    </row>
    <row r="3293" spans="31:31">
      <c r="AE3293" s="54"/>
    </row>
    <row r="3294" spans="31:31">
      <c r="AE3294" s="54"/>
    </row>
    <row r="3295" spans="31:31">
      <c r="AE3295" s="54"/>
    </row>
    <row r="3296" spans="31:31">
      <c r="AE3296" s="54"/>
    </row>
    <row r="3297" spans="31:31">
      <c r="AE3297" s="54"/>
    </row>
    <row r="3298" spans="31:31">
      <c r="AE3298" s="54"/>
    </row>
    <row r="3299" spans="31:31">
      <c r="AE3299" s="54"/>
    </row>
    <row r="3300" spans="31:31">
      <c r="AE3300" s="54"/>
    </row>
    <row r="3301" spans="31:31">
      <c r="AE3301" s="54"/>
    </row>
    <row r="3302" spans="31:31">
      <c r="AE3302" s="54"/>
    </row>
    <row r="3303" spans="31:31">
      <c r="AE3303" s="54"/>
    </row>
    <row r="3304" spans="31:31">
      <c r="AE3304" s="54"/>
    </row>
    <row r="3305" spans="31:31">
      <c r="AE3305" s="54"/>
    </row>
    <row r="3306" spans="31:31">
      <c r="AE3306" s="54"/>
    </row>
    <row r="3307" spans="31:31">
      <c r="AE3307" s="54"/>
    </row>
    <row r="3308" spans="31:31">
      <c r="AE3308" s="54"/>
    </row>
    <row r="3309" spans="31:31">
      <c r="AE3309" s="54"/>
    </row>
    <row r="3310" spans="31:31">
      <c r="AE3310" s="54"/>
    </row>
    <row r="3311" spans="31:31">
      <c r="AE3311" s="54"/>
    </row>
    <row r="3312" spans="31:31">
      <c r="AE3312" s="54"/>
    </row>
    <row r="3313" spans="31:31">
      <c r="AE3313" s="54"/>
    </row>
    <row r="3314" spans="31:31">
      <c r="AE3314" s="54"/>
    </row>
    <row r="3315" spans="31:31">
      <c r="AE3315" s="54"/>
    </row>
    <row r="3316" spans="31:31">
      <c r="AE3316" s="54"/>
    </row>
    <row r="3317" spans="31:31">
      <c r="AE3317" s="54"/>
    </row>
    <row r="3318" spans="31:31">
      <c r="AE3318" s="54"/>
    </row>
    <row r="3319" spans="31:31">
      <c r="AE3319" s="54"/>
    </row>
    <row r="3320" spans="31:31">
      <c r="AE3320" s="54"/>
    </row>
    <row r="3321" spans="31:31">
      <c r="AE3321" s="54"/>
    </row>
    <row r="3322" spans="31:31">
      <c r="AE3322" s="54"/>
    </row>
    <row r="3323" spans="31:31">
      <c r="AE3323" s="54"/>
    </row>
    <row r="3324" spans="31:31">
      <c r="AE3324" s="54"/>
    </row>
    <row r="3325" spans="31:31">
      <c r="AE3325" s="54"/>
    </row>
    <row r="3326" spans="31:31">
      <c r="AE3326" s="54"/>
    </row>
    <row r="3327" spans="31:31">
      <c r="AE3327" s="54"/>
    </row>
    <row r="3328" spans="31:31">
      <c r="AE3328" s="54"/>
    </row>
    <row r="3329" spans="31:31">
      <c r="AE3329" s="54"/>
    </row>
    <row r="3330" spans="31:31">
      <c r="AE3330" s="54"/>
    </row>
    <row r="3331" spans="31:31">
      <c r="AE3331" s="54"/>
    </row>
    <row r="3332" spans="31:31">
      <c r="AE3332" s="54"/>
    </row>
    <row r="3333" spans="31:31">
      <c r="AE3333" s="54"/>
    </row>
    <row r="3334" spans="31:31">
      <c r="AE3334" s="54"/>
    </row>
    <row r="3335" spans="31:31">
      <c r="AE3335" s="54"/>
    </row>
    <row r="3336" spans="31:31">
      <c r="AE3336" s="54"/>
    </row>
    <row r="3337" spans="31:31">
      <c r="AE3337" s="54"/>
    </row>
    <row r="3338" spans="31:31">
      <c r="AE3338" s="54"/>
    </row>
    <row r="3339" spans="31:31">
      <c r="AE3339" s="54"/>
    </row>
    <row r="3340" spans="31:31">
      <c r="AE3340" s="54"/>
    </row>
    <row r="3341" spans="31:31">
      <c r="AE3341" s="54"/>
    </row>
    <row r="3342" spans="31:31">
      <c r="AE3342" s="54"/>
    </row>
    <row r="3343" spans="31:31">
      <c r="AE3343" s="54"/>
    </row>
    <row r="3344" spans="31:31">
      <c r="AE3344" s="54"/>
    </row>
    <row r="3345" spans="31:31">
      <c r="AE3345" s="54"/>
    </row>
    <row r="3346" spans="31:31">
      <c r="AE3346" s="54"/>
    </row>
    <row r="3347" spans="31:31">
      <c r="AE3347" s="54"/>
    </row>
    <row r="3348" spans="31:31">
      <c r="AE3348" s="54"/>
    </row>
    <row r="3349" spans="31:31">
      <c r="AE3349" s="54"/>
    </row>
    <row r="3350" spans="31:31">
      <c r="AE3350" s="54"/>
    </row>
    <row r="3351" spans="31:31">
      <c r="AE3351" s="54"/>
    </row>
    <row r="3352" spans="31:31">
      <c r="AE3352" s="54"/>
    </row>
    <row r="3353" spans="31:31">
      <c r="AE3353" s="54"/>
    </row>
    <row r="3354" spans="31:31">
      <c r="AE3354" s="54"/>
    </row>
    <row r="3355" spans="31:31">
      <c r="AE3355" s="54"/>
    </row>
    <row r="3356" spans="31:31">
      <c r="AE3356" s="54"/>
    </row>
    <row r="3357" spans="31:31">
      <c r="AE3357" s="54"/>
    </row>
    <row r="3358" spans="31:31">
      <c r="AE3358" s="54"/>
    </row>
    <row r="3359" spans="31:31">
      <c r="AE3359" s="54"/>
    </row>
    <row r="3360" spans="31:31">
      <c r="AE3360" s="54"/>
    </row>
    <row r="3361" spans="31:31">
      <c r="AE3361" s="54"/>
    </row>
    <row r="3362" spans="31:31">
      <c r="AE3362" s="54"/>
    </row>
    <row r="3363" spans="31:31">
      <c r="AE3363" s="54"/>
    </row>
    <row r="3364" spans="31:31">
      <c r="AE3364" s="54"/>
    </row>
    <row r="3365" spans="31:31">
      <c r="AE3365" s="54"/>
    </row>
    <row r="3366" spans="31:31">
      <c r="AE3366" s="54"/>
    </row>
    <row r="3367" spans="31:31">
      <c r="AE3367" s="54"/>
    </row>
    <row r="3368" spans="31:31">
      <c r="AE3368" s="54"/>
    </row>
    <row r="3369" spans="31:31">
      <c r="AE3369" s="54"/>
    </row>
    <row r="3370" spans="31:31">
      <c r="AE3370" s="54"/>
    </row>
    <row r="3371" spans="31:31">
      <c r="AE3371" s="54"/>
    </row>
    <row r="3372" spans="31:31">
      <c r="AE3372" s="54"/>
    </row>
    <row r="3373" spans="31:31">
      <c r="AE3373" s="54"/>
    </row>
    <row r="3374" spans="31:31">
      <c r="AE3374" s="54"/>
    </row>
    <row r="3375" spans="31:31">
      <c r="AE3375" s="54"/>
    </row>
    <row r="3376" spans="31:31">
      <c r="AE3376" s="54"/>
    </row>
    <row r="3377" spans="31:31">
      <c r="AE3377" s="54"/>
    </row>
    <row r="3378" spans="31:31">
      <c r="AE3378" s="54"/>
    </row>
    <row r="3379" spans="31:31">
      <c r="AE3379" s="54"/>
    </row>
    <row r="3380" spans="31:31">
      <c r="AE3380" s="54"/>
    </row>
    <row r="3381" spans="31:31">
      <c r="AE3381" s="54"/>
    </row>
    <row r="3382" spans="31:31">
      <c r="AE3382" s="54"/>
    </row>
    <row r="3383" spans="31:31">
      <c r="AE3383" s="54"/>
    </row>
    <row r="3384" spans="31:31">
      <c r="AE3384" s="54"/>
    </row>
    <row r="3385" spans="31:31">
      <c r="AE3385" s="54"/>
    </row>
    <row r="3386" spans="31:31">
      <c r="AE3386" s="54"/>
    </row>
    <row r="3387" spans="31:31">
      <c r="AE3387" s="54"/>
    </row>
    <row r="3388" spans="31:31">
      <c r="AE3388" s="54"/>
    </row>
    <row r="3389" spans="31:31">
      <c r="AE3389" s="54"/>
    </row>
    <row r="3390" spans="31:31">
      <c r="AE3390" s="54"/>
    </row>
    <row r="3391" spans="31:31">
      <c r="AE3391" s="54"/>
    </row>
    <row r="3392" spans="31:31">
      <c r="AE3392" s="54"/>
    </row>
    <row r="3393" spans="31:31">
      <c r="AE3393" s="54"/>
    </row>
    <row r="3394" spans="31:31">
      <c r="AE3394" s="54"/>
    </row>
    <row r="3395" spans="31:31">
      <c r="AE3395" s="54"/>
    </row>
    <row r="3396" spans="31:31">
      <c r="AE3396" s="54"/>
    </row>
    <row r="3397" spans="31:31">
      <c r="AE3397" s="54"/>
    </row>
    <row r="3398" spans="31:31">
      <c r="AE3398" s="54"/>
    </row>
    <row r="3399" spans="31:31">
      <c r="AE3399" s="54"/>
    </row>
    <row r="3400" spans="31:31">
      <c r="AE3400" s="54"/>
    </row>
    <row r="3401" spans="31:31">
      <c r="AE3401" s="54"/>
    </row>
    <row r="3402" spans="31:31">
      <c r="AE3402" s="54"/>
    </row>
    <row r="3403" spans="31:31">
      <c r="AE3403" s="54"/>
    </row>
    <row r="3404" spans="31:31">
      <c r="AE3404" s="54"/>
    </row>
    <row r="3405" spans="31:31">
      <c r="AE3405" s="54"/>
    </row>
    <row r="3406" spans="31:31">
      <c r="AE3406" s="54"/>
    </row>
    <row r="3407" spans="31:31">
      <c r="AE3407" s="54"/>
    </row>
    <row r="3408" spans="31:31">
      <c r="AE3408" s="54"/>
    </row>
    <row r="3409" spans="31:31">
      <c r="AE3409" s="54"/>
    </row>
    <row r="3410" spans="31:31">
      <c r="AE3410" s="54"/>
    </row>
    <row r="3411" spans="31:31">
      <c r="AE3411" s="54"/>
    </row>
    <row r="3412" spans="31:31">
      <c r="AE3412" s="54"/>
    </row>
    <row r="3413" spans="31:31">
      <c r="AE3413" s="54"/>
    </row>
    <row r="3414" spans="31:31">
      <c r="AE3414" s="54"/>
    </row>
    <row r="3415" spans="31:31">
      <c r="AE3415" s="54"/>
    </row>
    <row r="3416" spans="31:31">
      <c r="AE3416" s="54"/>
    </row>
    <row r="3417" spans="31:31">
      <c r="AE3417" s="54"/>
    </row>
    <row r="3418" spans="31:31">
      <c r="AE3418" s="54"/>
    </row>
    <row r="3419" spans="31:31">
      <c r="AE3419" s="54"/>
    </row>
    <row r="3420" spans="31:31">
      <c r="AE3420" s="54"/>
    </row>
    <row r="3421" spans="31:31">
      <c r="AE3421" s="54"/>
    </row>
    <row r="3422" spans="31:31">
      <c r="AE3422" s="54"/>
    </row>
    <row r="3423" spans="31:31">
      <c r="AE3423" s="54"/>
    </row>
    <row r="3424" spans="31:31">
      <c r="AE3424" s="54"/>
    </row>
    <row r="3425" spans="31:31">
      <c r="AE3425" s="54"/>
    </row>
    <row r="3426" spans="31:31">
      <c r="AE3426" s="54"/>
    </row>
    <row r="3427" spans="31:31">
      <c r="AE3427" s="54"/>
    </row>
    <row r="3428" spans="31:31">
      <c r="AE3428" s="54"/>
    </row>
    <row r="3429" spans="31:31">
      <c r="AE3429" s="54"/>
    </row>
    <row r="3430" spans="31:31">
      <c r="AE3430" s="54"/>
    </row>
    <row r="3431" spans="31:31">
      <c r="AE3431" s="54"/>
    </row>
    <row r="3432" spans="31:31">
      <c r="AE3432" s="54"/>
    </row>
    <row r="3433" spans="31:31">
      <c r="AE3433" s="54"/>
    </row>
    <row r="3434" spans="31:31">
      <c r="AE3434" s="54"/>
    </row>
    <row r="3435" spans="31:31">
      <c r="AE3435" s="54"/>
    </row>
    <row r="3436" spans="31:31">
      <c r="AE3436" s="54"/>
    </row>
    <row r="3437" spans="31:31">
      <c r="AE3437" s="54"/>
    </row>
    <row r="3438" spans="31:31">
      <c r="AE3438" s="54"/>
    </row>
    <row r="3439" spans="31:31">
      <c r="AE3439" s="54"/>
    </row>
    <row r="3440" spans="31:31">
      <c r="AE3440" s="54"/>
    </row>
    <row r="3441" spans="31:31">
      <c r="AE3441" s="54"/>
    </row>
    <row r="3442" spans="31:31">
      <c r="AE3442" s="54"/>
    </row>
    <row r="3443" spans="31:31">
      <c r="AE3443" s="54"/>
    </row>
    <row r="3444" spans="31:31">
      <c r="AE3444" s="54"/>
    </row>
    <row r="3445" spans="31:31">
      <c r="AE3445" s="54"/>
    </row>
    <row r="3446" spans="31:31">
      <c r="AE3446" s="54"/>
    </row>
    <row r="3447" spans="31:31">
      <c r="AE3447" s="54"/>
    </row>
    <row r="3448" spans="31:31">
      <c r="AE3448" s="54"/>
    </row>
    <row r="3449" spans="31:31">
      <c r="AE3449" s="54"/>
    </row>
    <row r="3450" spans="31:31">
      <c r="AE3450" s="54"/>
    </row>
    <row r="3451" spans="31:31">
      <c r="AE3451" s="54"/>
    </row>
    <row r="3452" spans="31:31">
      <c r="AE3452" s="54"/>
    </row>
    <row r="3453" spans="31:31">
      <c r="AE3453" s="54"/>
    </row>
    <row r="3454" spans="31:31">
      <c r="AE3454" s="54"/>
    </row>
    <row r="3455" spans="31:31">
      <c r="AE3455" s="54"/>
    </row>
    <row r="3456" spans="31:31">
      <c r="AE3456" s="54"/>
    </row>
    <row r="3457" spans="31:31">
      <c r="AE3457" s="54"/>
    </row>
    <row r="3458" spans="31:31">
      <c r="AE3458" s="54"/>
    </row>
    <row r="3459" spans="31:31">
      <c r="AE3459" s="54"/>
    </row>
    <row r="3460" spans="31:31">
      <c r="AE3460" s="54"/>
    </row>
    <row r="3461" spans="31:31">
      <c r="AE3461" s="54"/>
    </row>
    <row r="3462" spans="31:31">
      <c r="AE3462" s="54"/>
    </row>
    <row r="3463" spans="31:31">
      <c r="AE3463" s="54"/>
    </row>
    <row r="3464" spans="31:31">
      <c r="AE3464" s="54"/>
    </row>
    <row r="3465" spans="31:31">
      <c r="AE3465" s="54"/>
    </row>
    <row r="3466" spans="31:31">
      <c r="AE3466" s="54"/>
    </row>
    <row r="3467" spans="31:31">
      <c r="AE3467" s="54"/>
    </row>
    <row r="3468" spans="31:31">
      <c r="AE3468" s="54"/>
    </row>
    <row r="3469" spans="31:31">
      <c r="AE3469" s="54"/>
    </row>
    <row r="3470" spans="31:31">
      <c r="AE3470" s="54"/>
    </row>
    <row r="3471" spans="31:31">
      <c r="AE3471" s="54"/>
    </row>
    <row r="3472" spans="31:31">
      <c r="AE3472" s="54"/>
    </row>
    <row r="3473" spans="31:31">
      <c r="AE3473" s="54"/>
    </row>
    <row r="3474" spans="31:31">
      <c r="AE3474" s="54"/>
    </row>
    <row r="3475" spans="31:31">
      <c r="AE3475" s="54"/>
    </row>
    <row r="3476" spans="31:31">
      <c r="AE3476" s="54"/>
    </row>
    <row r="3477" spans="31:31">
      <c r="AE3477" s="54"/>
    </row>
    <row r="3478" spans="31:31">
      <c r="AE3478" s="54"/>
    </row>
    <row r="3479" spans="31:31">
      <c r="AE3479" s="54"/>
    </row>
    <row r="3480" spans="31:31">
      <c r="AE3480" s="54"/>
    </row>
    <row r="3481" spans="31:31">
      <c r="AE3481" s="54"/>
    </row>
    <row r="3482" spans="31:31">
      <c r="AE3482" s="54"/>
    </row>
    <row r="3483" spans="31:31">
      <c r="AE3483" s="54"/>
    </row>
    <row r="3484" spans="31:31">
      <c r="AE3484" s="54"/>
    </row>
    <row r="3485" spans="31:31">
      <c r="AE3485" s="54"/>
    </row>
    <row r="3486" spans="31:31">
      <c r="AE3486" s="54"/>
    </row>
    <row r="3487" spans="31:31">
      <c r="AE3487" s="54"/>
    </row>
    <row r="3488" spans="31:31">
      <c r="AE3488" s="54"/>
    </row>
    <row r="3489" spans="31:31">
      <c r="AE3489" s="54"/>
    </row>
    <row r="3490" spans="31:31">
      <c r="AE3490" s="54"/>
    </row>
    <row r="3491" spans="31:31">
      <c r="AE3491" s="54"/>
    </row>
    <row r="3492" spans="31:31">
      <c r="AE3492" s="54"/>
    </row>
    <row r="3493" spans="31:31">
      <c r="AE3493" s="54"/>
    </row>
    <row r="3494" spans="31:31">
      <c r="AE3494" s="54"/>
    </row>
    <row r="3495" spans="31:31">
      <c r="AE3495" s="54"/>
    </row>
    <row r="3496" spans="31:31">
      <c r="AE3496" s="54"/>
    </row>
    <row r="3497" spans="31:31">
      <c r="AE3497" s="54"/>
    </row>
    <row r="3498" spans="31:31">
      <c r="AE3498" s="54"/>
    </row>
    <row r="3499" spans="31:31">
      <c r="AE3499" s="54"/>
    </row>
    <row r="3500" spans="31:31">
      <c r="AE3500" s="54"/>
    </row>
    <row r="3501" spans="31:31">
      <c r="AE3501" s="54"/>
    </row>
    <row r="3502" spans="31:31">
      <c r="AE3502" s="54"/>
    </row>
    <row r="3503" spans="31:31">
      <c r="AE3503" s="54"/>
    </row>
    <row r="3504" spans="31:31">
      <c r="AE3504" s="54"/>
    </row>
    <row r="3505" spans="31:31">
      <c r="AE3505" s="54"/>
    </row>
    <row r="3506" spans="31:31">
      <c r="AE3506" s="54"/>
    </row>
    <row r="3507" spans="31:31">
      <c r="AE3507" s="54"/>
    </row>
    <row r="3508" spans="31:31">
      <c r="AE3508" s="54"/>
    </row>
    <row r="3509" spans="31:31">
      <c r="AE3509" s="54"/>
    </row>
    <row r="3510" spans="31:31">
      <c r="AE3510" s="54"/>
    </row>
    <row r="3511" spans="31:31">
      <c r="AE3511" s="54"/>
    </row>
    <row r="3512" spans="31:31">
      <c r="AE3512" s="54"/>
    </row>
    <row r="3513" spans="31:31">
      <c r="AE3513" s="54"/>
    </row>
    <row r="3514" spans="31:31">
      <c r="AE3514" s="54"/>
    </row>
    <row r="3515" spans="31:31">
      <c r="AE3515" s="54"/>
    </row>
    <row r="3516" spans="31:31">
      <c r="AE3516" s="54"/>
    </row>
    <row r="3517" spans="31:31">
      <c r="AE3517" s="54"/>
    </row>
    <row r="3518" spans="31:31">
      <c r="AE3518" s="54"/>
    </row>
    <row r="3519" spans="31:31">
      <c r="AE3519" s="54"/>
    </row>
    <row r="3520" spans="31:31">
      <c r="AE3520" s="54"/>
    </row>
    <row r="3521" spans="31:31">
      <c r="AE3521" s="54"/>
    </row>
    <row r="3522" spans="31:31">
      <c r="AE3522" s="54"/>
    </row>
    <row r="3523" spans="31:31">
      <c r="AE3523" s="54"/>
    </row>
    <row r="3524" spans="31:31">
      <c r="AE3524" s="54"/>
    </row>
    <row r="3525" spans="31:31">
      <c r="AE3525" s="54"/>
    </row>
    <row r="3526" spans="31:31">
      <c r="AE3526" s="54"/>
    </row>
    <row r="3527" spans="31:31">
      <c r="AE3527" s="54"/>
    </row>
    <row r="3528" spans="31:31">
      <c r="AE3528" s="54"/>
    </row>
    <row r="3529" spans="31:31">
      <c r="AE3529" s="54"/>
    </row>
    <row r="3530" spans="31:31">
      <c r="AE3530" s="54"/>
    </row>
    <row r="3531" spans="31:31">
      <c r="AE3531" s="54"/>
    </row>
    <row r="3532" spans="31:31">
      <c r="AE3532" s="54"/>
    </row>
    <row r="3533" spans="31:31">
      <c r="AE3533" s="54"/>
    </row>
    <row r="3534" spans="31:31">
      <c r="AE3534" s="54"/>
    </row>
    <row r="3535" spans="31:31">
      <c r="AE3535" s="54"/>
    </row>
    <row r="3536" spans="31:31">
      <c r="AE3536" s="54"/>
    </row>
    <row r="3537" spans="31:31">
      <c r="AE3537" s="54"/>
    </row>
    <row r="3538" spans="31:31">
      <c r="AE3538" s="54"/>
    </row>
    <row r="3539" spans="31:31">
      <c r="AE3539" s="54"/>
    </row>
    <row r="3540" spans="31:31">
      <c r="AE3540" s="54"/>
    </row>
    <row r="3541" spans="31:31">
      <c r="AE3541" s="54"/>
    </row>
    <row r="3542" spans="31:31">
      <c r="AE3542" s="54"/>
    </row>
    <row r="3543" spans="31:31">
      <c r="AE3543" s="54"/>
    </row>
    <row r="3544" spans="31:31">
      <c r="AE3544" s="54"/>
    </row>
    <row r="3545" spans="31:31">
      <c r="AE3545" s="54"/>
    </row>
    <row r="3546" spans="31:31">
      <c r="AE3546" s="54"/>
    </row>
    <row r="3547" spans="31:31">
      <c r="AE3547" s="54"/>
    </row>
    <row r="3548" spans="31:31">
      <c r="AE3548" s="54"/>
    </row>
    <row r="3549" spans="31:31">
      <c r="AE3549" s="54"/>
    </row>
    <row r="3550" spans="31:31">
      <c r="AE3550" s="54"/>
    </row>
    <row r="3551" spans="31:31">
      <c r="AE3551" s="54"/>
    </row>
    <row r="3552" spans="31:31">
      <c r="AE3552" s="54"/>
    </row>
    <row r="3553" spans="31:31">
      <c r="AE3553" s="54"/>
    </row>
    <row r="3554" spans="31:31">
      <c r="AE3554" s="54"/>
    </row>
    <row r="3555" spans="31:31">
      <c r="AE3555" s="54"/>
    </row>
    <row r="3556" spans="31:31">
      <c r="AE3556" s="54"/>
    </row>
    <row r="3557" spans="31:31">
      <c r="AE3557" s="54"/>
    </row>
    <row r="3558" spans="31:31">
      <c r="AE3558" s="54"/>
    </row>
    <row r="3559" spans="31:31">
      <c r="AE3559" s="54"/>
    </row>
    <row r="3560" spans="31:31">
      <c r="AE3560" s="54"/>
    </row>
    <row r="3561" spans="31:31">
      <c r="AE3561" s="54"/>
    </row>
    <row r="3562" spans="31:31">
      <c r="AE3562" s="54"/>
    </row>
    <row r="3563" spans="31:31">
      <c r="AE3563" s="54"/>
    </row>
    <row r="3564" spans="31:31">
      <c r="AE3564" s="54"/>
    </row>
    <row r="3565" spans="31:31">
      <c r="AE3565" s="54"/>
    </row>
    <row r="3566" spans="31:31">
      <c r="AE3566" s="54"/>
    </row>
    <row r="3567" spans="31:31">
      <c r="AE3567" s="54"/>
    </row>
    <row r="3568" spans="31:31">
      <c r="AE3568" s="54"/>
    </row>
    <row r="3569" spans="31:31">
      <c r="AE3569" s="54"/>
    </row>
    <row r="3570" spans="31:31">
      <c r="AE3570" s="54"/>
    </row>
    <row r="3571" spans="31:31">
      <c r="AE3571" s="54"/>
    </row>
    <row r="3572" spans="31:31">
      <c r="AE3572" s="54"/>
    </row>
    <row r="3573" spans="31:31">
      <c r="AE3573" s="54"/>
    </row>
    <row r="3574" spans="31:31">
      <c r="AE3574" s="54"/>
    </row>
    <row r="3575" spans="31:31">
      <c r="AE3575" s="54"/>
    </row>
    <row r="3576" spans="31:31">
      <c r="AE3576" s="54"/>
    </row>
    <row r="3577" spans="31:31">
      <c r="AE3577" s="54"/>
    </row>
    <row r="3578" spans="31:31">
      <c r="AE3578" s="54"/>
    </row>
    <row r="3579" spans="31:31">
      <c r="AE3579" s="54"/>
    </row>
    <row r="3580" spans="31:31">
      <c r="AE3580" s="54"/>
    </row>
    <row r="3581" spans="31:31">
      <c r="AE3581" s="54"/>
    </row>
    <row r="3582" spans="31:31">
      <c r="AE3582" s="54"/>
    </row>
    <row r="3583" spans="31:31">
      <c r="AE3583" s="54"/>
    </row>
    <row r="3584" spans="31:31">
      <c r="AE3584" s="54"/>
    </row>
    <row r="3585" spans="31:31">
      <c r="AE3585" s="54"/>
    </row>
    <row r="3586" spans="31:31">
      <c r="AE3586" s="54"/>
    </row>
    <row r="3587" spans="31:31">
      <c r="AE3587" s="54"/>
    </row>
    <row r="3588" spans="31:31">
      <c r="AE3588" s="54"/>
    </row>
    <row r="3589" spans="31:31">
      <c r="AE3589" s="54"/>
    </row>
    <row r="3590" spans="31:31">
      <c r="AE3590" s="54"/>
    </row>
    <row r="3591" spans="31:31">
      <c r="AE3591" s="54"/>
    </row>
    <row r="3592" spans="31:31">
      <c r="AE3592" s="54"/>
    </row>
    <row r="3593" spans="31:31">
      <c r="AE3593" s="54"/>
    </row>
    <row r="3594" spans="31:31">
      <c r="AE3594" s="54"/>
    </row>
    <row r="3595" spans="31:31">
      <c r="AE3595" s="54"/>
    </row>
    <row r="3596" spans="31:31">
      <c r="AE3596" s="54"/>
    </row>
    <row r="3597" spans="31:31">
      <c r="AE3597" s="54"/>
    </row>
    <row r="3598" spans="31:31">
      <c r="AE3598" s="54"/>
    </row>
    <row r="3599" spans="31:31">
      <c r="AE3599" s="54"/>
    </row>
    <row r="3600" spans="31:31">
      <c r="AE3600" s="54"/>
    </row>
    <row r="3601" spans="31:31">
      <c r="AE3601" s="54"/>
    </row>
    <row r="3602" spans="31:31">
      <c r="AE3602" s="54"/>
    </row>
    <row r="3603" spans="31:31">
      <c r="AE3603" s="54"/>
    </row>
    <row r="3604" spans="31:31">
      <c r="AE3604" s="54"/>
    </row>
    <row r="3605" spans="31:31">
      <c r="AE3605" s="54"/>
    </row>
    <row r="3606" spans="31:31">
      <c r="AE3606" s="54"/>
    </row>
    <row r="3607" spans="31:31">
      <c r="AE3607" s="54"/>
    </row>
    <row r="3608" spans="31:31">
      <c r="AE3608" s="54"/>
    </row>
    <row r="3609" spans="31:31">
      <c r="AE3609" s="54"/>
    </row>
    <row r="3610" spans="31:31">
      <c r="AE3610" s="54"/>
    </row>
    <row r="3611" spans="31:31">
      <c r="AE3611" s="54"/>
    </row>
    <row r="3612" spans="31:31">
      <c r="AE3612" s="54"/>
    </row>
    <row r="3613" spans="31:31">
      <c r="AE3613" s="54"/>
    </row>
    <row r="3614" spans="31:31">
      <c r="AE3614" s="54"/>
    </row>
    <row r="3615" spans="31:31">
      <c r="AE3615" s="54"/>
    </row>
    <row r="3616" spans="31:31">
      <c r="AE3616" s="54"/>
    </row>
    <row r="3617" spans="31:31">
      <c r="AE3617" s="54"/>
    </row>
    <row r="3618" spans="31:31">
      <c r="AE3618" s="54"/>
    </row>
    <row r="3619" spans="31:31">
      <c r="AE3619" s="54"/>
    </row>
    <row r="3620" spans="31:31">
      <c r="AE3620" s="54"/>
    </row>
    <row r="3621" spans="31:31">
      <c r="AE3621" s="54"/>
    </row>
    <row r="3622" spans="31:31">
      <c r="AE3622" s="54"/>
    </row>
    <row r="3623" spans="31:31">
      <c r="AE3623" s="54"/>
    </row>
    <row r="3624" spans="31:31">
      <c r="AE3624" s="54"/>
    </row>
    <row r="3625" spans="31:31">
      <c r="AE3625" s="54"/>
    </row>
    <row r="3626" spans="31:31">
      <c r="AE3626" s="54"/>
    </row>
    <row r="3627" spans="31:31">
      <c r="AE3627" s="54"/>
    </row>
    <row r="3628" spans="31:31">
      <c r="AE3628" s="54"/>
    </row>
    <row r="3629" spans="31:31">
      <c r="AE3629" s="54"/>
    </row>
    <row r="3630" spans="31:31">
      <c r="AE3630" s="54"/>
    </row>
    <row r="3631" spans="31:31">
      <c r="AE3631" s="54"/>
    </row>
    <row r="3632" spans="31:31">
      <c r="AE3632" s="54"/>
    </row>
    <row r="3633" spans="31:31">
      <c r="AE3633" s="54"/>
    </row>
    <row r="3634" spans="31:31">
      <c r="AE3634" s="54"/>
    </row>
    <row r="3635" spans="31:31">
      <c r="AE3635" s="54"/>
    </row>
    <row r="3636" spans="31:31">
      <c r="AE3636" s="54"/>
    </row>
    <row r="3637" spans="31:31">
      <c r="AE3637" s="54"/>
    </row>
    <row r="3638" spans="31:31">
      <c r="AE3638" s="54"/>
    </row>
    <row r="3639" spans="31:31">
      <c r="AE3639" s="54"/>
    </row>
    <row r="3640" spans="31:31">
      <c r="AE3640" s="54"/>
    </row>
    <row r="3641" spans="31:31">
      <c r="AE3641" s="54"/>
    </row>
    <row r="3642" spans="31:31">
      <c r="AE3642" s="54"/>
    </row>
    <row r="3643" spans="31:31">
      <c r="AE3643" s="54"/>
    </row>
    <row r="3644" spans="31:31">
      <c r="AE3644" s="54"/>
    </row>
    <row r="3645" spans="31:31">
      <c r="AE3645" s="54"/>
    </row>
    <row r="3646" spans="31:31">
      <c r="AE3646" s="54"/>
    </row>
    <row r="3647" spans="31:31">
      <c r="AE3647" s="54"/>
    </row>
    <row r="3648" spans="31:31">
      <c r="AE3648" s="54"/>
    </row>
    <row r="3649" spans="31:31">
      <c r="AE3649" s="54"/>
    </row>
    <row r="3650" spans="31:31">
      <c r="AE3650" s="54"/>
    </row>
    <row r="3651" spans="31:31">
      <c r="AE3651" s="54"/>
    </row>
    <row r="3652" spans="31:31">
      <c r="AE3652" s="54"/>
    </row>
    <row r="3653" spans="31:31">
      <c r="AE3653" s="54"/>
    </row>
    <row r="3654" spans="31:31">
      <c r="AE3654" s="54"/>
    </row>
    <row r="3655" spans="31:31">
      <c r="AE3655" s="54"/>
    </row>
    <row r="3656" spans="31:31">
      <c r="AE3656" s="54"/>
    </row>
    <row r="3657" spans="31:31">
      <c r="AE3657" s="54"/>
    </row>
    <row r="3658" spans="31:31">
      <c r="AE3658" s="54"/>
    </row>
    <row r="3659" spans="31:31">
      <c r="AE3659" s="54"/>
    </row>
    <row r="3660" spans="31:31">
      <c r="AE3660" s="54"/>
    </row>
    <row r="3661" spans="31:31">
      <c r="AE3661" s="54"/>
    </row>
    <row r="3662" spans="31:31">
      <c r="AE3662" s="54"/>
    </row>
    <row r="3663" spans="31:31">
      <c r="AE3663" s="54"/>
    </row>
    <row r="3664" spans="31:31">
      <c r="AE3664" s="54"/>
    </row>
    <row r="3665" spans="31:31">
      <c r="AE3665" s="54"/>
    </row>
    <row r="3666" spans="31:31">
      <c r="AE3666" s="54"/>
    </row>
    <row r="3667" spans="31:31">
      <c r="AE3667" s="54"/>
    </row>
    <row r="3668" spans="31:31">
      <c r="AE3668" s="54"/>
    </row>
    <row r="3669" spans="31:31">
      <c r="AE3669" s="54"/>
    </row>
    <row r="3670" spans="31:31">
      <c r="AE3670" s="54"/>
    </row>
    <row r="3671" spans="31:31">
      <c r="AE3671" s="54"/>
    </row>
    <row r="3672" spans="31:31">
      <c r="AE3672" s="54"/>
    </row>
    <row r="3673" spans="31:31">
      <c r="AE3673" s="54"/>
    </row>
    <row r="3674" spans="31:31">
      <c r="AE3674" s="54"/>
    </row>
    <row r="3675" spans="31:31">
      <c r="AE3675" s="54"/>
    </row>
    <row r="3676" spans="31:31">
      <c r="AE3676" s="54"/>
    </row>
    <row r="3677" spans="31:31">
      <c r="AE3677" s="54"/>
    </row>
    <row r="3678" spans="31:31">
      <c r="AE3678" s="54"/>
    </row>
    <row r="3679" spans="31:31">
      <c r="AE3679" s="54"/>
    </row>
    <row r="3680" spans="31:31">
      <c r="AE3680" s="54"/>
    </row>
    <row r="3681" spans="31:31">
      <c r="AE3681" s="54"/>
    </row>
    <row r="3682" spans="31:31">
      <c r="AE3682" s="54"/>
    </row>
    <row r="3683" spans="31:31">
      <c r="AE3683" s="54"/>
    </row>
    <row r="3684" spans="31:31">
      <c r="AE3684" s="54"/>
    </row>
    <row r="3685" spans="31:31">
      <c r="AE3685" s="54"/>
    </row>
    <row r="3686" spans="31:31">
      <c r="AE3686" s="54"/>
    </row>
    <row r="3687" spans="31:31">
      <c r="AE3687" s="54"/>
    </row>
    <row r="3688" spans="31:31">
      <c r="AE3688" s="54"/>
    </row>
    <row r="3689" spans="31:31">
      <c r="AE3689" s="54"/>
    </row>
    <row r="3690" spans="31:31">
      <c r="AE3690" s="54"/>
    </row>
    <row r="3691" spans="31:31">
      <c r="AE3691" s="54"/>
    </row>
    <row r="3692" spans="31:31">
      <c r="AE3692" s="54"/>
    </row>
    <row r="3693" spans="31:31">
      <c r="AE3693" s="54"/>
    </row>
    <row r="3694" spans="31:31">
      <c r="AE3694" s="54"/>
    </row>
    <row r="3695" spans="31:31">
      <c r="AE3695" s="54"/>
    </row>
    <row r="3696" spans="31:31">
      <c r="AE3696" s="54"/>
    </row>
    <row r="3697" spans="31:31">
      <c r="AE3697" s="54"/>
    </row>
    <row r="3698" spans="31:31">
      <c r="AE3698" s="54"/>
    </row>
    <row r="3699" spans="31:31">
      <c r="AE3699" s="54"/>
    </row>
    <row r="3700" spans="31:31">
      <c r="AE3700" s="54"/>
    </row>
    <row r="3701" spans="31:31">
      <c r="AE3701" s="54"/>
    </row>
    <row r="3702" spans="31:31">
      <c r="AE3702" s="54"/>
    </row>
    <row r="3703" spans="31:31">
      <c r="AE3703" s="54"/>
    </row>
    <row r="3704" spans="31:31">
      <c r="AE3704" s="54"/>
    </row>
    <row r="3705" spans="31:31">
      <c r="AE3705" s="54"/>
    </row>
    <row r="3706" spans="31:31">
      <c r="AE3706" s="54"/>
    </row>
    <row r="3707" spans="31:31">
      <c r="AE3707" s="54"/>
    </row>
    <row r="3708" spans="31:31">
      <c r="AE3708" s="54"/>
    </row>
    <row r="3709" spans="31:31">
      <c r="AE3709" s="54"/>
    </row>
    <row r="3710" spans="31:31">
      <c r="AE3710" s="54"/>
    </row>
    <row r="3711" spans="31:31">
      <c r="AE3711" s="54"/>
    </row>
    <row r="3712" spans="31:31">
      <c r="AE3712" s="54"/>
    </row>
    <row r="3713" spans="31:31">
      <c r="AE3713" s="54"/>
    </row>
    <row r="3714" spans="31:31">
      <c r="AE3714" s="54"/>
    </row>
    <row r="3715" spans="31:31">
      <c r="AE3715" s="54"/>
    </row>
    <row r="3716" spans="31:31">
      <c r="AE3716" s="54"/>
    </row>
    <row r="3717" spans="31:31">
      <c r="AE3717" s="54"/>
    </row>
    <row r="3718" spans="31:31">
      <c r="AE3718" s="54"/>
    </row>
    <row r="3719" spans="31:31">
      <c r="AE3719" s="54"/>
    </row>
    <row r="3720" spans="31:31">
      <c r="AE3720" s="54"/>
    </row>
    <row r="3721" spans="31:31">
      <c r="AE3721" s="54"/>
    </row>
    <row r="3722" spans="31:31">
      <c r="AE3722" s="54"/>
    </row>
    <row r="3723" spans="31:31">
      <c r="AE3723" s="54"/>
    </row>
    <row r="3724" spans="31:31">
      <c r="AE3724" s="54"/>
    </row>
    <row r="3725" spans="31:31">
      <c r="AE3725" s="54"/>
    </row>
    <row r="3726" spans="31:31">
      <c r="AE3726" s="54"/>
    </row>
    <row r="3727" spans="31:31">
      <c r="AE3727" s="54"/>
    </row>
    <row r="3728" spans="31:31">
      <c r="AE3728" s="54"/>
    </row>
    <row r="3729" spans="31:31">
      <c r="AE3729" s="54"/>
    </row>
    <row r="3730" spans="31:31">
      <c r="AE3730" s="54"/>
    </row>
    <row r="3731" spans="31:31">
      <c r="AE3731" s="54"/>
    </row>
    <row r="3732" spans="31:31">
      <c r="AE3732" s="54"/>
    </row>
    <row r="3733" spans="31:31">
      <c r="AE3733" s="54"/>
    </row>
    <row r="3734" spans="31:31">
      <c r="AE3734" s="54"/>
    </row>
    <row r="3735" spans="31:31">
      <c r="AE3735" s="54"/>
    </row>
    <row r="3736" spans="31:31">
      <c r="AE3736" s="54"/>
    </row>
    <row r="3737" spans="31:31">
      <c r="AE3737" s="54"/>
    </row>
    <row r="3738" spans="31:31">
      <c r="AE3738" s="54"/>
    </row>
    <row r="3739" spans="31:31">
      <c r="AE3739" s="54"/>
    </row>
    <row r="3740" spans="31:31">
      <c r="AE3740" s="54"/>
    </row>
    <row r="3741" spans="31:31">
      <c r="AE3741" s="54"/>
    </row>
    <row r="3742" spans="31:31">
      <c r="AE3742" s="54"/>
    </row>
    <row r="3743" spans="31:31">
      <c r="AE3743" s="54"/>
    </row>
    <row r="3744" spans="31:31">
      <c r="AE3744" s="54"/>
    </row>
    <row r="3745" spans="31:31">
      <c r="AE3745" s="54"/>
    </row>
    <row r="3746" spans="31:31">
      <c r="AE3746" s="54"/>
    </row>
    <row r="3747" spans="31:31">
      <c r="AE3747" s="54"/>
    </row>
    <row r="3748" spans="31:31">
      <c r="AE3748" s="54"/>
    </row>
    <row r="3749" spans="31:31">
      <c r="AE3749" s="54"/>
    </row>
    <row r="3750" spans="31:31">
      <c r="AE3750" s="54"/>
    </row>
    <row r="3751" spans="31:31">
      <c r="AE3751" s="54"/>
    </row>
    <row r="3752" spans="31:31">
      <c r="AE3752" s="54"/>
    </row>
    <row r="3753" spans="31:31">
      <c r="AE3753" s="54"/>
    </row>
    <row r="3754" spans="31:31">
      <c r="AE3754" s="54"/>
    </row>
    <row r="3755" spans="31:31">
      <c r="AE3755" s="54"/>
    </row>
    <row r="3756" spans="31:31">
      <c r="AE3756" s="54"/>
    </row>
    <row r="3757" spans="31:31">
      <c r="AE3757" s="54"/>
    </row>
    <row r="3758" spans="31:31">
      <c r="AE3758" s="54"/>
    </row>
    <row r="3759" spans="31:31">
      <c r="AE3759" s="54"/>
    </row>
    <row r="3760" spans="31:31">
      <c r="AE3760" s="54"/>
    </row>
    <row r="3761" spans="31:31">
      <c r="AE3761" s="54"/>
    </row>
    <row r="3762" spans="31:31">
      <c r="AE3762" s="54"/>
    </row>
    <row r="3763" spans="31:31">
      <c r="AE3763" s="54"/>
    </row>
    <row r="3764" spans="31:31">
      <c r="AE3764" s="54"/>
    </row>
    <row r="3765" spans="31:31">
      <c r="AE3765" s="54"/>
    </row>
    <row r="3766" spans="31:31">
      <c r="AE3766" s="54"/>
    </row>
    <row r="3767" spans="31:31">
      <c r="AE3767" s="54"/>
    </row>
    <row r="3768" spans="31:31">
      <c r="AE3768" s="54"/>
    </row>
    <row r="3769" spans="31:31">
      <c r="AE3769" s="54"/>
    </row>
    <row r="3770" spans="31:31">
      <c r="AE3770" s="54"/>
    </row>
    <row r="3771" spans="31:31">
      <c r="AE3771" s="54"/>
    </row>
    <row r="3772" spans="31:31">
      <c r="AE3772" s="54"/>
    </row>
    <row r="3773" spans="31:31">
      <c r="AE3773" s="54"/>
    </row>
    <row r="3774" spans="31:31">
      <c r="AE3774" s="54"/>
    </row>
    <row r="3775" spans="31:31">
      <c r="AE3775" s="54"/>
    </row>
    <row r="3776" spans="31:31">
      <c r="AE3776" s="54"/>
    </row>
    <row r="3777" spans="31:31">
      <c r="AE3777" s="54"/>
    </row>
    <row r="3778" spans="31:31">
      <c r="AE3778" s="54"/>
    </row>
    <row r="3779" spans="31:31">
      <c r="AE3779" s="54"/>
    </row>
    <row r="3780" spans="31:31">
      <c r="AE3780" s="54"/>
    </row>
    <row r="3781" spans="31:31">
      <c r="AE3781" s="54"/>
    </row>
    <row r="3782" spans="31:31">
      <c r="AE3782" s="54"/>
    </row>
    <row r="3783" spans="31:31">
      <c r="AE3783" s="54"/>
    </row>
    <row r="3784" spans="31:31">
      <c r="AE3784" s="54"/>
    </row>
    <row r="3785" spans="31:31">
      <c r="AE3785" s="54"/>
    </row>
    <row r="3786" spans="31:31">
      <c r="AE3786" s="54"/>
    </row>
    <row r="3787" spans="31:31">
      <c r="AE3787" s="54"/>
    </row>
    <row r="3788" spans="31:31">
      <c r="AE3788" s="54"/>
    </row>
    <row r="3789" spans="31:31">
      <c r="AE3789" s="54"/>
    </row>
    <row r="3790" spans="31:31">
      <c r="AE3790" s="54"/>
    </row>
    <row r="3791" spans="31:31">
      <c r="AE3791" s="54"/>
    </row>
    <row r="3792" spans="31:31">
      <c r="AE3792" s="54"/>
    </row>
    <row r="3793" spans="31:31">
      <c r="AE3793" s="54"/>
    </row>
    <row r="3794" spans="31:31">
      <c r="AE3794" s="54"/>
    </row>
    <row r="3795" spans="31:31">
      <c r="AE3795" s="54"/>
    </row>
    <row r="3796" spans="31:31">
      <c r="AE3796" s="54"/>
    </row>
    <row r="3797" spans="31:31">
      <c r="AE3797" s="54"/>
    </row>
    <row r="3798" spans="31:31">
      <c r="AE3798" s="54"/>
    </row>
    <row r="3799" spans="31:31">
      <c r="AE3799" s="54"/>
    </row>
    <row r="3800" spans="31:31">
      <c r="AE3800" s="54"/>
    </row>
    <row r="3801" spans="31:31">
      <c r="AE3801" s="54"/>
    </row>
    <row r="3802" spans="31:31">
      <c r="AE3802" s="54"/>
    </row>
    <row r="3803" spans="31:31">
      <c r="AE3803" s="54"/>
    </row>
    <row r="3804" spans="31:31">
      <c r="AE3804" s="54"/>
    </row>
    <row r="3805" spans="31:31">
      <c r="AE3805" s="54"/>
    </row>
    <row r="3806" spans="31:31">
      <c r="AE3806" s="54"/>
    </row>
    <row r="3807" spans="31:31">
      <c r="AE3807" s="54"/>
    </row>
    <row r="3808" spans="31:31">
      <c r="AE3808" s="54"/>
    </row>
    <row r="3809" spans="31:31">
      <c r="AE3809" s="54"/>
    </row>
    <row r="3810" spans="31:31">
      <c r="AE3810" s="54"/>
    </row>
    <row r="3811" spans="31:31">
      <c r="AE3811" s="54"/>
    </row>
    <row r="3812" spans="31:31">
      <c r="AE3812" s="54"/>
    </row>
    <row r="3813" spans="31:31">
      <c r="AE3813" s="54"/>
    </row>
    <row r="3814" spans="31:31">
      <c r="AE3814" s="54"/>
    </row>
    <row r="3815" spans="31:31">
      <c r="AE3815" s="54"/>
    </row>
    <row r="3816" spans="31:31">
      <c r="AE3816" s="54"/>
    </row>
    <row r="3817" spans="31:31">
      <c r="AE3817" s="54"/>
    </row>
    <row r="3818" spans="31:31">
      <c r="AE3818" s="54"/>
    </row>
    <row r="3819" spans="31:31">
      <c r="AE3819" s="54"/>
    </row>
    <row r="3820" spans="31:31">
      <c r="AE3820" s="54"/>
    </row>
    <row r="3821" spans="31:31">
      <c r="AE3821" s="54"/>
    </row>
    <row r="3822" spans="31:31">
      <c r="AE3822" s="54"/>
    </row>
    <row r="3823" spans="31:31">
      <c r="AE3823" s="54"/>
    </row>
    <row r="3824" spans="31:31">
      <c r="AE3824" s="54"/>
    </row>
    <row r="3825" spans="31:31">
      <c r="AE3825" s="54"/>
    </row>
    <row r="3826" spans="31:31">
      <c r="AE3826" s="54"/>
    </row>
    <row r="3827" spans="31:31">
      <c r="AE3827" s="54"/>
    </row>
    <row r="3828" spans="31:31">
      <c r="AE3828" s="54"/>
    </row>
    <row r="3829" spans="31:31">
      <c r="AE3829" s="54"/>
    </row>
    <row r="3830" spans="31:31">
      <c r="AE3830" s="54"/>
    </row>
    <row r="3831" spans="31:31">
      <c r="AE3831" s="54"/>
    </row>
    <row r="3832" spans="31:31">
      <c r="AE3832" s="54"/>
    </row>
    <row r="3833" spans="31:31">
      <c r="AE3833" s="54"/>
    </row>
    <row r="3834" spans="31:31">
      <c r="AE3834" s="54"/>
    </row>
    <row r="3835" spans="31:31">
      <c r="AE3835" s="54"/>
    </row>
    <row r="3836" spans="31:31">
      <c r="AE3836" s="54"/>
    </row>
    <row r="3837" spans="31:31">
      <c r="AE3837" s="54"/>
    </row>
    <row r="3838" spans="31:31">
      <c r="AE3838" s="54"/>
    </row>
    <row r="3839" spans="31:31">
      <c r="AE3839" s="54"/>
    </row>
    <row r="3840" spans="31:31">
      <c r="AE3840" s="54"/>
    </row>
    <row r="3841" spans="31:31">
      <c r="AE3841" s="54"/>
    </row>
    <row r="3842" spans="31:31">
      <c r="AE3842" s="54"/>
    </row>
    <row r="3843" spans="31:31">
      <c r="AE3843" s="54"/>
    </row>
    <row r="3844" spans="31:31">
      <c r="AE3844" s="54"/>
    </row>
    <row r="3845" spans="31:31">
      <c r="AE3845" s="54"/>
    </row>
    <row r="3846" spans="31:31">
      <c r="AE3846" s="54"/>
    </row>
    <row r="3847" spans="31:31">
      <c r="AE3847" s="54"/>
    </row>
    <row r="3848" spans="31:31">
      <c r="AE3848" s="54"/>
    </row>
    <row r="3849" spans="31:31">
      <c r="AE3849" s="54"/>
    </row>
    <row r="3850" spans="31:31">
      <c r="AE3850" s="54"/>
    </row>
    <row r="3851" spans="31:31">
      <c r="AE3851" s="54"/>
    </row>
    <row r="3852" spans="31:31">
      <c r="AE3852" s="54"/>
    </row>
    <row r="3853" spans="31:31">
      <c r="AE3853" s="54"/>
    </row>
    <row r="3854" spans="31:31">
      <c r="AE3854" s="54"/>
    </row>
    <row r="3855" spans="31:31">
      <c r="AE3855" s="54"/>
    </row>
    <row r="3856" spans="31:31">
      <c r="AE3856" s="54"/>
    </row>
    <row r="3857" spans="31:31">
      <c r="AE3857" s="54"/>
    </row>
    <row r="3858" spans="31:31">
      <c r="AE3858" s="54"/>
    </row>
    <row r="3859" spans="31:31">
      <c r="AE3859" s="54"/>
    </row>
    <row r="3860" spans="31:31">
      <c r="AE3860" s="54"/>
    </row>
    <row r="3861" spans="31:31">
      <c r="AE3861" s="54"/>
    </row>
    <row r="3862" spans="31:31">
      <c r="AE3862" s="54"/>
    </row>
    <row r="3863" spans="31:31">
      <c r="AE3863" s="54"/>
    </row>
    <row r="3864" spans="31:31">
      <c r="AE3864" s="54"/>
    </row>
    <row r="3865" spans="31:31">
      <c r="AE3865" s="54"/>
    </row>
    <row r="3866" spans="31:31">
      <c r="AE3866" s="54"/>
    </row>
    <row r="3867" spans="31:31">
      <c r="AE3867" s="54"/>
    </row>
    <row r="3868" spans="31:31">
      <c r="AE3868" s="54"/>
    </row>
    <row r="3869" spans="31:31">
      <c r="AE3869" s="54"/>
    </row>
    <row r="3870" spans="31:31">
      <c r="AE3870" s="54"/>
    </row>
    <row r="3871" spans="31:31">
      <c r="AE3871" s="54"/>
    </row>
    <row r="3872" spans="31:31">
      <c r="AE3872" s="54"/>
    </row>
    <row r="3873" spans="31:31">
      <c r="AE3873" s="54"/>
    </row>
    <row r="3874" spans="31:31">
      <c r="AE3874" s="54"/>
    </row>
    <row r="3875" spans="31:31">
      <c r="AE3875" s="54"/>
    </row>
    <row r="3876" spans="31:31">
      <c r="AE3876" s="54"/>
    </row>
    <row r="3877" spans="31:31">
      <c r="AE3877" s="54"/>
    </row>
    <row r="3878" spans="31:31">
      <c r="AE3878" s="54"/>
    </row>
    <row r="3879" spans="31:31">
      <c r="AE3879" s="54"/>
    </row>
    <row r="3880" spans="31:31">
      <c r="AE3880" s="54"/>
    </row>
    <row r="3881" spans="31:31">
      <c r="AE3881" s="54"/>
    </row>
    <row r="3882" spans="31:31">
      <c r="AE3882" s="54"/>
    </row>
    <row r="3883" spans="31:31">
      <c r="AE3883" s="54"/>
    </row>
    <row r="3884" spans="31:31">
      <c r="AE3884" s="54"/>
    </row>
    <row r="3885" spans="31:31">
      <c r="AE3885" s="54"/>
    </row>
    <row r="3886" spans="31:31">
      <c r="AE3886" s="54"/>
    </row>
    <row r="3887" spans="31:31">
      <c r="AE3887" s="54"/>
    </row>
    <row r="3888" spans="31:31">
      <c r="AE3888" s="54"/>
    </row>
    <row r="3889" spans="31:31">
      <c r="AE3889" s="54"/>
    </row>
    <row r="3890" spans="31:31">
      <c r="AE3890" s="54"/>
    </row>
    <row r="3891" spans="31:31">
      <c r="AE3891" s="54"/>
    </row>
    <row r="3892" spans="31:31">
      <c r="AE3892" s="54"/>
    </row>
    <row r="3893" spans="31:31">
      <c r="AE3893" s="54"/>
    </row>
    <row r="3894" spans="31:31">
      <c r="AE3894" s="54"/>
    </row>
    <row r="3895" spans="31:31">
      <c r="AE3895" s="54"/>
    </row>
    <row r="3896" spans="31:31">
      <c r="AE3896" s="54"/>
    </row>
    <row r="3897" spans="31:31">
      <c r="AE3897" s="54"/>
    </row>
    <row r="3898" spans="31:31">
      <c r="AE3898" s="54"/>
    </row>
    <row r="3899" spans="31:31">
      <c r="AE3899" s="54"/>
    </row>
    <row r="3900" spans="31:31">
      <c r="AE3900" s="54"/>
    </row>
    <row r="3901" spans="31:31">
      <c r="AE3901" s="54"/>
    </row>
    <row r="3902" spans="31:31">
      <c r="AE3902" s="54"/>
    </row>
    <row r="3903" spans="31:31">
      <c r="AE3903" s="54"/>
    </row>
    <row r="3904" spans="31:31">
      <c r="AE3904" s="54"/>
    </row>
    <row r="3905" spans="31:31">
      <c r="AE3905" s="54"/>
    </row>
    <row r="3906" spans="31:31">
      <c r="AE3906" s="54"/>
    </row>
    <row r="3907" spans="31:31">
      <c r="AE3907" s="54"/>
    </row>
    <row r="3908" spans="31:31">
      <c r="AE3908" s="54"/>
    </row>
    <row r="3909" spans="31:31">
      <c r="AE3909" s="54"/>
    </row>
    <row r="3910" spans="31:31">
      <c r="AE3910" s="54"/>
    </row>
    <row r="3911" spans="31:31">
      <c r="AE3911" s="54"/>
    </row>
    <row r="3912" spans="31:31">
      <c r="AE3912" s="54"/>
    </row>
    <row r="3913" spans="31:31">
      <c r="AE3913" s="54"/>
    </row>
    <row r="3914" spans="31:31">
      <c r="AE3914" s="54"/>
    </row>
    <row r="3915" spans="31:31">
      <c r="AE3915" s="54"/>
    </row>
    <row r="3916" spans="31:31">
      <c r="AE3916" s="54"/>
    </row>
    <row r="3917" spans="31:31">
      <c r="AE3917" s="54"/>
    </row>
    <row r="3918" spans="31:31">
      <c r="AE3918" s="54"/>
    </row>
    <row r="3919" spans="31:31">
      <c r="AE3919" s="54"/>
    </row>
    <row r="3920" spans="31:31">
      <c r="AE3920" s="54"/>
    </row>
    <row r="3921" spans="31:31">
      <c r="AE3921" s="54"/>
    </row>
    <row r="3922" spans="31:31">
      <c r="AE3922" s="54"/>
    </row>
    <row r="3923" spans="31:31">
      <c r="AE3923" s="54"/>
    </row>
    <row r="3924" spans="31:31">
      <c r="AE3924" s="54"/>
    </row>
    <row r="3925" spans="31:31">
      <c r="AE3925" s="54"/>
    </row>
    <row r="3926" spans="31:31">
      <c r="AE3926" s="54"/>
    </row>
    <row r="3927" spans="31:31">
      <c r="AE3927" s="54"/>
    </row>
    <row r="3928" spans="31:31">
      <c r="AE3928" s="54"/>
    </row>
    <row r="3929" spans="31:31">
      <c r="AE3929" s="54"/>
    </row>
    <row r="3930" spans="31:31">
      <c r="AE3930" s="54"/>
    </row>
    <row r="3931" spans="31:31">
      <c r="AE3931" s="54"/>
    </row>
    <row r="3932" spans="31:31">
      <c r="AE3932" s="54"/>
    </row>
    <row r="3933" spans="31:31">
      <c r="AE3933" s="54"/>
    </row>
    <row r="3934" spans="31:31">
      <c r="AE3934" s="54"/>
    </row>
    <row r="3935" spans="31:31">
      <c r="AE3935" s="54"/>
    </row>
    <row r="3936" spans="31:31">
      <c r="AE3936" s="54"/>
    </row>
    <row r="3937" spans="31:31">
      <c r="AE3937" s="54"/>
    </row>
    <row r="3938" spans="31:31">
      <c r="AE3938" s="54"/>
    </row>
    <row r="3939" spans="31:31">
      <c r="AE3939" s="54"/>
    </row>
    <row r="3940" spans="31:31">
      <c r="AE3940" s="54"/>
    </row>
    <row r="3941" spans="31:31">
      <c r="AE3941" s="54"/>
    </row>
    <row r="3942" spans="31:31">
      <c r="AE3942" s="54"/>
    </row>
    <row r="3943" spans="31:31">
      <c r="AE3943" s="54"/>
    </row>
    <row r="3944" spans="31:31">
      <c r="AE3944" s="54"/>
    </row>
    <row r="3945" spans="31:31">
      <c r="AE3945" s="54"/>
    </row>
    <row r="3946" spans="31:31">
      <c r="AE3946" s="54"/>
    </row>
    <row r="3947" spans="31:31">
      <c r="AE3947" s="54"/>
    </row>
    <row r="3948" spans="31:31">
      <c r="AE3948" s="54"/>
    </row>
    <row r="3949" spans="31:31">
      <c r="AE3949" s="54"/>
    </row>
    <row r="3950" spans="31:31">
      <c r="AE3950" s="54"/>
    </row>
    <row r="3951" spans="31:31">
      <c r="AE3951" s="54"/>
    </row>
    <row r="3952" spans="31:31">
      <c r="AE3952" s="54"/>
    </row>
    <row r="3953" spans="31:31">
      <c r="AE3953" s="54"/>
    </row>
    <row r="3954" spans="31:31">
      <c r="AE3954" s="54"/>
    </row>
    <row r="3955" spans="31:31">
      <c r="AE3955" s="54"/>
    </row>
    <row r="3956" spans="31:31">
      <c r="AE3956" s="54"/>
    </row>
    <row r="3957" spans="31:31">
      <c r="AE3957" s="54"/>
    </row>
    <row r="3958" spans="31:31">
      <c r="AE3958" s="54"/>
    </row>
    <row r="3959" spans="31:31">
      <c r="AE3959" s="54"/>
    </row>
    <row r="3960" spans="31:31">
      <c r="AE3960" s="54"/>
    </row>
    <row r="3961" spans="31:31">
      <c r="AE3961" s="54"/>
    </row>
    <row r="3962" spans="31:31">
      <c r="AE3962" s="54"/>
    </row>
    <row r="3963" spans="31:31">
      <c r="AE3963" s="54"/>
    </row>
    <row r="3964" spans="31:31">
      <c r="AE3964" s="54"/>
    </row>
    <row r="3965" spans="31:31">
      <c r="AE3965" s="54"/>
    </row>
    <row r="3966" spans="31:31">
      <c r="AE3966" s="54"/>
    </row>
    <row r="3967" spans="31:31">
      <c r="AE3967" s="54"/>
    </row>
    <row r="3968" spans="31:31">
      <c r="AE3968" s="54"/>
    </row>
    <row r="3969" spans="31:31">
      <c r="AE3969" s="54"/>
    </row>
    <row r="3970" spans="31:31">
      <c r="AE3970" s="54"/>
    </row>
    <row r="3971" spans="31:31">
      <c r="AE3971" s="54"/>
    </row>
    <row r="3972" spans="31:31">
      <c r="AE3972" s="54"/>
    </row>
    <row r="3973" spans="31:31">
      <c r="AE3973" s="54"/>
    </row>
    <row r="3974" spans="31:31">
      <c r="AE3974" s="54"/>
    </row>
    <row r="3975" spans="31:31">
      <c r="AE3975" s="54"/>
    </row>
    <row r="3976" spans="31:31">
      <c r="AE3976" s="54"/>
    </row>
    <row r="3977" spans="31:31">
      <c r="AE3977" s="54"/>
    </row>
    <row r="3978" spans="31:31">
      <c r="AE3978" s="54"/>
    </row>
    <row r="3979" spans="31:31">
      <c r="AE3979" s="54"/>
    </row>
    <row r="3980" spans="31:31">
      <c r="AE3980" s="54"/>
    </row>
    <row r="3981" spans="31:31">
      <c r="AE3981" s="54"/>
    </row>
    <row r="3982" spans="31:31">
      <c r="AE3982" s="54"/>
    </row>
    <row r="3983" spans="31:31">
      <c r="AE3983" s="54"/>
    </row>
    <row r="3984" spans="31:31">
      <c r="AE3984" s="54"/>
    </row>
    <row r="3985" spans="31:31">
      <c r="AE3985" s="54"/>
    </row>
    <row r="3986" spans="31:31">
      <c r="AE3986" s="54"/>
    </row>
    <row r="3987" spans="31:31">
      <c r="AE3987" s="54"/>
    </row>
    <row r="3988" spans="31:31">
      <c r="AE3988" s="54"/>
    </row>
    <row r="3989" spans="31:31">
      <c r="AE3989" s="54"/>
    </row>
    <row r="3990" spans="31:31">
      <c r="AE3990" s="54"/>
    </row>
    <row r="3991" spans="31:31">
      <c r="AE3991" s="54"/>
    </row>
    <row r="3992" spans="31:31">
      <c r="AE3992" s="54"/>
    </row>
    <row r="3993" spans="31:31">
      <c r="AE3993" s="54"/>
    </row>
    <row r="3994" spans="31:31">
      <c r="AE3994" s="54"/>
    </row>
    <row r="3995" spans="31:31">
      <c r="AE3995" s="54"/>
    </row>
    <row r="3996" spans="31:31">
      <c r="AE3996" s="54"/>
    </row>
    <row r="3997" spans="31:31">
      <c r="AE3997" s="54"/>
    </row>
    <row r="3998" spans="31:31">
      <c r="AE3998" s="54"/>
    </row>
    <row r="3999" spans="31:31">
      <c r="AE3999" s="54"/>
    </row>
    <row r="4000" spans="31:31">
      <c r="AE4000" s="54"/>
    </row>
    <row r="4001" spans="31:31">
      <c r="AE4001" s="54"/>
    </row>
    <row r="4002" spans="31:31">
      <c r="AE4002" s="54"/>
    </row>
    <row r="4003" spans="31:31">
      <c r="AE4003" s="54"/>
    </row>
    <row r="4004" spans="31:31">
      <c r="AE4004" s="54"/>
    </row>
    <row r="4005" spans="31:31">
      <c r="AE4005" s="54"/>
    </row>
    <row r="4006" spans="31:31">
      <c r="AE4006" s="54"/>
    </row>
    <row r="4007" spans="31:31">
      <c r="AE4007" s="54"/>
    </row>
    <row r="4008" spans="31:31">
      <c r="AE4008" s="54"/>
    </row>
    <row r="4009" spans="31:31">
      <c r="AE4009" s="54"/>
    </row>
    <row r="4010" spans="31:31">
      <c r="AE4010" s="54"/>
    </row>
    <row r="4011" spans="31:31">
      <c r="AE4011" s="54"/>
    </row>
    <row r="4012" spans="31:31">
      <c r="AE4012" s="54"/>
    </row>
    <row r="4013" spans="31:31">
      <c r="AE4013" s="54"/>
    </row>
    <row r="4014" spans="31:31">
      <c r="AE4014" s="54"/>
    </row>
    <row r="4015" spans="31:31">
      <c r="AE4015" s="54"/>
    </row>
    <row r="4016" spans="31:31">
      <c r="AE4016" s="54"/>
    </row>
    <row r="4017" spans="31:31">
      <c r="AE4017" s="54"/>
    </row>
    <row r="4018" spans="31:31">
      <c r="AE4018" s="54"/>
    </row>
    <row r="4019" spans="31:31">
      <c r="AE4019" s="54"/>
    </row>
    <row r="4020" spans="31:31">
      <c r="AE4020" s="54"/>
    </row>
    <row r="4021" spans="31:31">
      <c r="AE4021" s="54"/>
    </row>
    <row r="4022" spans="31:31">
      <c r="AE4022" s="54"/>
    </row>
    <row r="4023" spans="31:31">
      <c r="AE4023" s="54"/>
    </row>
    <row r="4024" spans="31:31">
      <c r="AE4024" s="54"/>
    </row>
    <row r="4025" spans="31:31">
      <c r="AE4025" s="54"/>
    </row>
    <row r="4026" spans="31:31">
      <c r="AE4026" s="54"/>
    </row>
    <row r="4027" spans="31:31">
      <c r="AE4027" s="54"/>
    </row>
    <row r="4028" spans="31:31">
      <c r="AE4028" s="54"/>
    </row>
    <row r="4029" spans="31:31">
      <c r="AE4029" s="54"/>
    </row>
    <row r="4030" spans="31:31">
      <c r="AE4030" s="54"/>
    </row>
    <row r="4031" spans="31:31">
      <c r="AE4031" s="54"/>
    </row>
    <row r="4032" spans="31:31">
      <c r="AE4032" s="54"/>
    </row>
    <row r="4033" spans="31:31">
      <c r="AE4033" s="54"/>
    </row>
    <row r="4034" spans="31:31">
      <c r="AE4034" s="54"/>
    </row>
    <row r="4035" spans="31:31">
      <c r="AE4035" s="54"/>
    </row>
    <row r="4036" spans="31:31">
      <c r="AE4036" s="54"/>
    </row>
    <row r="4037" spans="31:31">
      <c r="AE4037" s="54"/>
    </row>
    <row r="4038" spans="31:31">
      <c r="AE4038" s="54"/>
    </row>
    <row r="4039" spans="31:31">
      <c r="AE4039" s="54"/>
    </row>
    <row r="4040" spans="31:31">
      <c r="AE4040" s="54"/>
    </row>
    <row r="4041" spans="31:31">
      <c r="AE4041" s="54"/>
    </row>
    <row r="4042" spans="31:31">
      <c r="AE4042" s="54"/>
    </row>
    <row r="4043" spans="31:31">
      <c r="AE4043" s="54"/>
    </row>
    <row r="4044" spans="31:31">
      <c r="AE4044" s="54"/>
    </row>
    <row r="4045" spans="31:31">
      <c r="AE4045" s="54"/>
    </row>
    <row r="4046" spans="31:31">
      <c r="AE4046" s="54"/>
    </row>
    <row r="4047" spans="31:31">
      <c r="AE4047" s="54"/>
    </row>
    <row r="4048" spans="31:31">
      <c r="AE4048" s="54"/>
    </row>
    <row r="4049" spans="31:31">
      <c r="AE4049" s="54"/>
    </row>
    <row r="4050" spans="31:31">
      <c r="AE4050" s="54"/>
    </row>
    <row r="4051" spans="31:31">
      <c r="AE4051" s="54"/>
    </row>
    <row r="4052" spans="31:31">
      <c r="AE4052" s="54"/>
    </row>
    <row r="4053" spans="31:31">
      <c r="AE4053" s="54"/>
    </row>
    <row r="4054" spans="31:31">
      <c r="AE4054" s="54"/>
    </row>
    <row r="4055" spans="31:31">
      <c r="AE4055" s="54"/>
    </row>
    <row r="4056" spans="31:31">
      <c r="AE4056" s="54"/>
    </row>
    <row r="4057" spans="31:31">
      <c r="AE4057" s="54"/>
    </row>
    <row r="4058" spans="31:31">
      <c r="AE4058" s="54"/>
    </row>
    <row r="4059" spans="31:31">
      <c r="AE4059" s="54"/>
    </row>
    <row r="4060" spans="31:31">
      <c r="AE4060" s="54"/>
    </row>
    <row r="4061" spans="31:31">
      <c r="AE4061" s="54"/>
    </row>
    <row r="4062" spans="31:31">
      <c r="AE4062" s="54"/>
    </row>
    <row r="4063" spans="31:31">
      <c r="AE4063" s="54"/>
    </row>
    <row r="4064" spans="31:31">
      <c r="AE4064" s="54"/>
    </row>
    <row r="4065" spans="31:31">
      <c r="AE4065" s="54"/>
    </row>
    <row r="4066" spans="31:31">
      <c r="AE4066" s="54"/>
    </row>
    <row r="4067" spans="31:31">
      <c r="AE4067" s="54"/>
    </row>
    <row r="4068" spans="31:31">
      <c r="AE4068" s="54"/>
    </row>
    <row r="4069" spans="31:31">
      <c r="AE4069" s="54"/>
    </row>
    <row r="4070" spans="31:31">
      <c r="AE4070" s="54"/>
    </row>
    <row r="4071" spans="31:31">
      <c r="AE4071" s="54"/>
    </row>
    <row r="4072" spans="31:31">
      <c r="AE4072" s="54"/>
    </row>
    <row r="4073" spans="31:31">
      <c r="AE4073" s="54"/>
    </row>
    <row r="4074" spans="31:31">
      <c r="AE4074" s="54"/>
    </row>
    <row r="4075" spans="31:31">
      <c r="AE4075" s="54"/>
    </row>
    <row r="4076" spans="31:31">
      <c r="AE4076" s="54"/>
    </row>
    <row r="4077" spans="31:31">
      <c r="AE4077" s="54"/>
    </row>
    <row r="4078" spans="31:31">
      <c r="AE4078" s="54"/>
    </row>
    <row r="4079" spans="31:31">
      <c r="AE4079" s="54"/>
    </row>
    <row r="4080" spans="31:31">
      <c r="AE4080" s="54"/>
    </row>
    <row r="4081" spans="31:31">
      <c r="AE4081" s="54"/>
    </row>
    <row r="4082" spans="31:31">
      <c r="AE4082" s="54"/>
    </row>
    <row r="4083" spans="31:31">
      <c r="AE4083" s="54"/>
    </row>
    <row r="4084" spans="31:31">
      <c r="AE4084" s="54"/>
    </row>
    <row r="4085" spans="31:31">
      <c r="AE4085" s="54"/>
    </row>
    <row r="4086" spans="31:31">
      <c r="AE4086" s="54"/>
    </row>
    <row r="4087" spans="31:31">
      <c r="AE4087" s="54"/>
    </row>
    <row r="4088" spans="31:31">
      <c r="AE4088" s="54"/>
    </row>
    <row r="4089" spans="31:31">
      <c r="AE4089" s="54"/>
    </row>
    <row r="4090" spans="31:31">
      <c r="AE4090" s="54"/>
    </row>
    <row r="4091" spans="31:31">
      <c r="AE4091" s="54"/>
    </row>
    <row r="4092" spans="31:31">
      <c r="AE4092" s="54"/>
    </row>
    <row r="4093" spans="31:31">
      <c r="AE4093" s="54"/>
    </row>
    <row r="4094" spans="31:31">
      <c r="AE4094" s="54"/>
    </row>
    <row r="4095" spans="31:31">
      <c r="AE4095" s="54"/>
    </row>
    <row r="4096" spans="31:31">
      <c r="AE4096" s="54"/>
    </row>
    <row r="4097" spans="31:31">
      <c r="AE4097" s="54"/>
    </row>
    <row r="4098" spans="31:31">
      <c r="AE4098" s="54"/>
    </row>
    <row r="4099" spans="31:31">
      <c r="AE4099" s="54"/>
    </row>
    <row r="4100" spans="31:31">
      <c r="AE4100" s="54"/>
    </row>
    <row r="4101" spans="31:31">
      <c r="AE4101" s="54"/>
    </row>
    <row r="4102" spans="31:31">
      <c r="AE4102" s="54"/>
    </row>
    <row r="4103" spans="31:31">
      <c r="AE4103" s="54"/>
    </row>
    <row r="4104" spans="31:31">
      <c r="AE4104" s="54"/>
    </row>
    <row r="4105" spans="31:31">
      <c r="AE4105" s="54"/>
    </row>
    <row r="4106" spans="31:31">
      <c r="AE4106" s="54"/>
    </row>
    <row r="4107" spans="31:31">
      <c r="AE4107" s="54"/>
    </row>
    <row r="4108" spans="31:31">
      <c r="AE4108" s="54"/>
    </row>
    <row r="4109" spans="31:31">
      <c r="AE4109" s="54"/>
    </row>
    <row r="4110" spans="31:31">
      <c r="AE4110" s="54"/>
    </row>
    <row r="4111" spans="31:31">
      <c r="AE4111" s="54"/>
    </row>
    <row r="4112" spans="31:31">
      <c r="AE4112" s="54"/>
    </row>
    <row r="4113" spans="31:31">
      <c r="AE4113" s="54"/>
    </row>
    <row r="4114" spans="31:31">
      <c r="AE4114" s="54"/>
    </row>
    <row r="4115" spans="31:31">
      <c r="AE4115" s="54"/>
    </row>
    <row r="4116" spans="31:31">
      <c r="AE4116" s="54"/>
    </row>
    <row r="4117" spans="31:31">
      <c r="AE4117" s="54"/>
    </row>
    <row r="4118" spans="31:31">
      <c r="AE4118" s="54"/>
    </row>
    <row r="4119" spans="31:31">
      <c r="AE4119" s="54"/>
    </row>
    <row r="4120" spans="31:31">
      <c r="AE4120" s="54"/>
    </row>
    <row r="4121" spans="31:31">
      <c r="AE4121" s="54"/>
    </row>
    <row r="4122" spans="31:31">
      <c r="AE4122" s="54"/>
    </row>
    <row r="4123" spans="31:31">
      <c r="AE4123" s="54"/>
    </row>
    <row r="4124" spans="31:31">
      <c r="AE4124" s="54"/>
    </row>
    <row r="4125" spans="31:31">
      <c r="AE4125" s="54"/>
    </row>
    <row r="4126" spans="31:31">
      <c r="AE4126" s="54"/>
    </row>
    <row r="4127" spans="31:31">
      <c r="AE4127" s="54"/>
    </row>
    <row r="4128" spans="31:31">
      <c r="AE4128" s="54"/>
    </row>
    <row r="4129" spans="31:31">
      <c r="AE4129" s="54"/>
    </row>
    <row r="4130" spans="31:31">
      <c r="AE4130" s="54"/>
    </row>
    <row r="4131" spans="31:31">
      <c r="AE4131" s="54"/>
    </row>
    <row r="4132" spans="31:31">
      <c r="AE4132" s="54"/>
    </row>
    <row r="4133" spans="31:31">
      <c r="AE4133" s="54"/>
    </row>
    <row r="4134" spans="31:31">
      <c r="AE4134" s="54"/>
    </row>
    <row r="4135" spans="31:31">
      <c r="AE4135" s="54"/>
    </row>
    <row r="4136" spans="31:31">
      <c r="AE4136" s="54"/>
    </row>
    <row r="4137" spans="31:31">
      <c r="AE4137" s="54"/>
    </row>
    <row r="4138" spans="31:31">
      <c r="AE4138" s="54"/>
    </row>
    <row r="4139" spans="31:31">
      <c r="AE4139" s="54"/>
    </row>
    <row r="4140" spans="31:31">
      <c r="AE4140" s="54"/>
    </row>
    <row r="4141" spans="31:31">
      <c r="AE4141" s="54"/>
    </row>
    <row r="4142" spans="31:31">
      <c r="AE4142" s="54"/>
    </row>
    <row r="4143" spans="31:31">
      <c r="AE4143" s="54"/>
    </row>
    <row r="4144" spans="31:31">
      <c r="AE4144" s="54"/>
    </row>
    <row r="4145" spans="31:31">
      <c r="AE4145" s="54"/>
    </row>
    <row r="4146" spans="31:31">
      <c r="AE4146" s="54"/>
    </row>
    <row r="4147" spans="31:31">
      <c r="AE4147" s="54"/>
    </row>
    <row r="4148" spans="31:31">
      <c r="AE4148" s="54"/>
    </row>
    <row r="4149" spans="31:31">
      <c r="AE4149" s="54"/>
    </row>
    <row r="4150" spans="31:31">
      <c r="AE4150" s="54"/>
    </row>
    <row r="4151" spans="31:31">
      <c r="AE4151" s="54"/>
    </row>
    <row r="4152" spans="31:31">
      <c r="AE4152" s="54"/>
    </row>
    <row r="4153" spans="31:31">
      <c r="AE4153" s="54"/>
    </row>
    <row r="4154" spans="31:31">
      <c r="AE4154" s="54"/>
    </row>
    <row r="4155" spans="31:31">
      <c r="AE4155" s="54"/>
    </row>
    <row r="4156" spans="31:31">
      <c r="AE4156" s="54"/>
    </row>
    <row r="4157" spans="31:31">
      <c r="AE4157" s="54"/>
    </row>
    <row r="4158" spans="31:31">
      <c r="AE4158" s="54"/>
    </row>
    <row r="4159" spans="31:31">
      <c r="AE4159" s="54"/>
    </row>
    <row r="4160" spans="31:31">
      <c r="AE4160" s="54"/>
    </row>
    <row r="4161" spans="31:31">
      <c r="AE4161" s="54"/>
    </row>
    <row r="4162" spans="31:31">
      <c r="AE4162" s="54"/>
    </row>
    <row r="4163" spans="31:31">
      <c r="AE4163" s="54"/>
    </row>
    <row r="4164" spans="31:31">
      <c r="AE4164" s="54"/>
    </row>
    <row r="4165" spans="31:31">
      <c r="AE4165" s="54"/>
    </row>
    <row r="4166" spans="31:31">
      <c r="AE4166" s="54"/>
    </row>
    <row r="4167" spans="31:31">
      <c r="AE4167" s="54"/>
    </row>
    <row r="4168" spans="31:31">
      <c r="AE4168" s="54"/>
    </row>
    <row r="4169" spans="31:31">
      <c r="AE4169" s="54"/>
    </row>
    <row r="4170" spans="31:31">
      <c r="AE4170" s="54"/>
    </row>
    <row r="4171" spans="31:31">
      <c r="AE4171" s="54"/>
    </row>
    <row r="4172" spans="31:31">
      <c r="AE4172" s="54"/>
    </row>
    <row r="4173" spans="31:31">
      <c r="AE4173" s="54"/>
    </row>
    <row r="4174" spans="31:31">
      <c r="AE4174" s="54"/>
    </row>
    <row r="4175" spans="31:31">
      <c r="AE4175" s="54"/>
    </row>
    <row r="4176" spans="31:31">
      <c r="AE4176" s="54"/>
    </row>
    <row r="4177" spans="31:31">
      <c r="AE4177" s="54"/>
    </row>
    <row r="4178" spans="31:31">
      <c r="AE4178" s="54"/>
    </row>
    <row r="4179" spans="31:31">
      <c r="AE4179" s="54"/>
    </row>
    <row r="4180" spans="31:31">
      <c r="AE4180" s="54"/>
    </row>
    <row r="4181" spans="31:31">
      <c r="AE4181" s="54"/>
    </row>
    <row r="4182" spans="31:31">
      <c r="AE4182" s="54"/>
    </row>
    <row r="4183" spans="31:31">
      <c r="AE4183" s="54"/>
    </row>
    <row r="4184" spans="31:31">
      <c r="AE4184" s="54"/>
    </row>
    <row r="4185" spans="31:31">
      <c r="AE4185" s="54"/>
    </row>
    <row r="4186" spans="31:31">
      <c r="AE4186" s="54"/>
    </row>
    <row r="4187" spans="31:31">
      <c r="AE4187" s="54"/>
    </row>
    <row r="4188" spans="31:31">
      <c r="AE4188" s="54"/>
    </row>
    <row r="4189" spans="31:31">
      <c r="AE4189" s="54"/>
    </row>
    <row r="4190" spans="31:31">
      <c r="AE4190" s="54"/>
    </row>
    <row r="4191" spans="31:31">
      <c r="AE4191" s="54"/>
    </row>
    <row r="4192" spans="31:31">
      <c r="AE4192" s="54"/>
    </row>
    <row r="4193" spans="31:31">
      <c r="AE4193" s="54"/>
    </row>
    <row r="4194" spans="31:31">
      <c r="AE4194" s="54"/>
    </row>
    <row r="4195" spans="31:31">
      <c r="AE4195" s="54"/>
    </row>
    <row r="4196" spans="31:31">
      <c r="AE4196" s="54"/>
    </row>
    <row r="4197" spans="31:31">
      <c r="AE4197" s="54"/>
    </row>
    <row r="4198" spans="31:31">
      <c r="AE4198" s="54"/>
    </row>
    <row r="4199" spans="31:31">
      <c r="AE4199" s="54"/>
    </row>
    <row r="4200" spans="31:31">
      <c r="AE4200" s="54"/>
    </row>
    <row r="4201" spans="31:31">
      <c r="AE4201" s="54"/>
    </row>
    <row r="4202" spans="31:31">
      <c r="AE4202" s="54"/>
    </row>
    <row r="4203" spans="31:31">
      <c r="AE4203" s="54"/>
    </row>
    <row r="4204" spans="31:31">
      <c r="AE4204" s="54"/>
    </row>
    <row r="4205" spans="31:31">
      <c r="AE4205" s="54"/>
    </row>
    <row r="4206" spans="31:31">
      <c r="AE4206" s="54"/>
    </row>
    <row r="4207" spans="31:31">
      <c r="AE4207" s="54"/>
    </row>
    <row r="4208" spans="31:31">
      <c r="AE4208" s="54"/>
    </row>
    <row r="4209" spans="31:31">
      <c r="AE4209" s="54"/>
    </row>
    <row r="4210" spans="31:31">
      <c r="AE4210" s="54"/>
    </row>
    <row r="4211" spans="31:31">
      <c r="AE4211" s="54"/>
    </row>
    <row r="4212" spans="31:31">
      <c r="AE4212" s="54"/>
    </row>
    <row r="4213" spans="31:31">
      <c r="AE4213" s="54"/>
    </row>
    <row r="4214" spans="31:31">
      <c r="AE4214" s="54"/>
    </row>
    <row r="4215" spans="31:31">
      <c r="AE4215" s="54"/>
    </row>
    <row r="4216" spans="31:31">
      <c r="AE4216" s="54"/>
    </row>
    <row r="4217" spans="31:31">
      <c r="AE4217" s="54"/>
    </row>
    <row r="4218" spans="31:31">
      <c r="AE4218" s="54"/>
    </row>
    <row r="4219" spans="31:31">
      <c r="AE4219" s="54"/>
    </row>
    <row r="4220" spans="31:31">
      <c r="AE4220" s="54"/>
    </row>
    <row r="4221" spans="31:31">
      <c r="AE4221" s="54"/>
    </row>
    <row r="4222" spans="31:31">
      <c r="AE4222" s="54"/>
    </row>
    <row r="4223" spans="31:31">
      <c r="AE4223" s="54"/>
    </row>
    <row r="4224" spans="31:31">
      <c r="AE4224" s="54"/>
    </row>
    <row r="4225" spans="31:31">
      <c r="AE4225" s="54"/>
    </row>
    <row r="4226" spans="31:31">
      <c r="AE4226" s="54"/>
    </row>
    <row r="4227" spans="31:31">
      <c r="AE4227" s="54"/>
    </row>
    <row r="4228" spans="31:31">
      <c r="AE4228" s="54"/>
    </row>
    <row r="4229" spans="31:31">
      <c r="AE4229" s="54"/>
    </row>
    <row r="4230" spans="31:31">
      <c r="AE4230" s="54"/>
    </row>
    <row r="4231" spans="31:31">
      <c r="AE4231" s="54"/>
    </row>
    <row r="4232" spans="31:31">
      <c r="AE4232" s="54"/>
    </row>
    <row r="4233" spans="31:31">
      <c r="AE4233" s="54"/>
    </row>
    <row r="4234" spans="31:31">
      <c r="AE4234" s="54"/>
    </row>
    <row r="4235" spans="31:31">
      <c r="AE4235" s="54"/>
    </row>
    <row r="4236" spans="31:31">
      <c r="AE4236" s="54"/>
    </row>
    <row r="4237" spans="31:31">
      <c r="AE4237" s="54"/>
    </row>
    <row r="4238" spans="31:31">
      <c r="AE4238" s="54"/>
    </row>
    <row r="4239" spans="31:31">
      <c r="AE4239" s="54"/>
    </row>
    <row r="4240" spans="31:31">
      <c r="AE4240" s="54"/>
    </row>
    <row r="4241" spans="31:31">
      <c r="AE4241" s="54"/>
    </row>
    <row r="4242" spans="31:31">
      <c r="AE4242" s="54"/>
    </row>
    <row r="4243" spans="31:31">
      <c r="AE4243" s="54"/>
    </row>
    <row r="4244" spans="31:31">
      <c r="AE4244" s="54"/>
    </row>
    <row r="4245" spans="31:31">
      <c r="AE4245" s="54"/>
    </row>
    <row r="4246" spans="31:31">
      <c r="AE4246" s="54"/>
    </row>
    <row r="4247" spans="31:31">
      <c r="AE4247" s="54"/>
    </row>
    <row r="4248" spans="31:31">
      <c r="AE4248" s="54"/>
    </row>
    <row r="4249" spans="31:31">
      <c r="AE4249" s="54"/>
    </row>
    <row r="4250" spans="31:31">
      <c r="AE4250" s="54"/>
    </row>
    <row r="4251" spans="31:31">
      <c r="AE4251" s="54"/>
    </row>
    <row r="4252" spans="31:31">
      <c r="AE4252" s="54"/>
    </row>
    <row r="4253" spans="31:31">
      <c r="AE4253" s="54"/>
    </row>
    <row r="4254" spans="31:31">
      <c r="AE4254" s="54"/>
    </row>
    <row r="4255" spans="31:31">
      <c r="AE4255" s="54"/>
    </row>
    <row r="4256" spans="31:31">
      <c r="AE4256" s="54"/>
    </row>
    <row r="4257" spans="31:31">
      <c r="AE4257" s="54"/>
    </row>
    <row r="4258" spans="31:31">
      <c r="AE4258" s="54"/>
    </row>
    <row r="4259" spans="31:31">
      <c r="AE4259" s="54"/>
    </row>
    <row r="4260" spans="31:31">
      <c r="AE4260" s="54"/>
    </row>
    <row r="4261" spans="31:31">
      <c r="AE4261" s="54"/>
    </row>
    <row r="4262" spans="31:31">
      <c r="AE4262" s="54"/>
    </row>
    <row r="4263" spans="31:31">
      <c r="AE4263" s="54"/>
    </row>
    <row r="4264" spans="31:31">
      <c r="AE4264" s="54"/>
    </row>
    <row r="4265" spans="31:31">
      <c r="AE4265" s="54"/>
    </row>
    <row r="4266" spans="31:31">
      <c r="AE4266" s="54"/>
    </row>
    <row r="4267" spans="31:31">
      <c r="AE4267" s="54"/>
    </row>
    <row r="4268" spans="31:31">
      <c r="AE4268" s="54"/>
    </row>
    <row r="4269" spans="31:31">
      <c r="AE4269" s="54"/>
    </row>
    <row r="4270" spans="31:31">
      <c r="AE4270" s="54"/>
    </row>
    <row r="4271" spans="31:31">
      <c r="AE4271" s="54"/>
    </row>
    <row r="4272" spans="31:31">
      <c r="AE4272" s="54"/>
    </row>
    <row r="4273" spans="31:31">
      <c r="AE4273" s="54"/>
    </row>
    <row r="4274" spans="31:31">
      <c r="AE4274" s="54"/>
    </row>
    <row r="4275" spans="31:31">
      <c r="AE4275" s="54"/>
    </row>
    <row r="4276" spans="31:31">
      <c r="AE4276" s="54"/>
    </row>
    <row r="4277" spans="31:31">
      <c r="AE4277" s="54"/>
    </row>
    <row r="4278" spans="31:31">
      <c r="AE4278" s="54"/>
    </row>
    <row r="4279" spans="31:31">
      <c r="AE4279" s="54"/>
    </row>
    <row r="4280" spans="31:31">
      <c r="AE4280" s="54"/>
    </row>
    <row r="4281" spans="31:31">
      <c r="AE4281" s="54"/>
    </row>
    <row r="4282" spans="31:31">
      <c r="AE4282" s="54"/>
    </row>
    <row r="4283" spans="31:31">
      <c r="AE4283" s="54"/>
    </row>
    <row r="4284" spans="31:31">
      <c r="AE4284" s="54"/>
    </row>
    <row r="4285" spans="31:31">
      <c r="AE4285" s="54"/>
    </row>
    <row r="4286" spans="31:31">
      <c r="AE4286" s="54"/>
    </row>
    <row r="4287" spans="31:31">
      <c r="AE4287" s="54"/>
    </row>
    <row r="4288" spans="31:31">
      <c r="AE4288" s="54"/>
    </row>
    <row r="4289" spans="31:31">
      <c r="AE4289" s="54"/>
    </row>
    <row r="4290" spans="31:31">
      <c r="AE4290" s="54"/>
    </row>
    <row r="4291" spans="31:31">
      <c r="AE4291" s="54"/>
    </row>
    <row r="4292" spans="31:31">
      <c r="AE4292" s="54"/>
    </row>
    <row r="4293" spans="31:31">
      <c r="AE4293" s="54"/>
    </row>
    <row r="4294" spans="31:31">
      <c r="AE4294" s="54"/>
    </row>
    <row r="4295" spans="31:31">
      <c r="AE4295" s="54"/>
    </row>
    <row r="4296" spans="31:31">
      <c r="AE4296" s="54"/>
    </row>
    <row r="4297" spans="31:31">
      <c r="AE4297" s="54"/>
    </row>
    <row r="4298" spans="31:31">
      <c r="AE4298" s="54"/>
    </row>
    <row r="4299" spans="31:31">
      <c r="AE4299" s="54"/>
    </row>
    <row r="4300" spans="31:31">
      <c r="AE4300" s="54"/>
    </row>
    <row r="4301" spans="31:31">
      <c r="AE4301" s="54"/>
    </row>
    <row r="4302" spans="31:31">
      <c r="AE4302" s="54"/>
    </row>
    <row r="4303" spans="31:31">
      <c r="AE4303" s="54"/>
    </row>
    <row r="4304" spans="31:31">
      <c r="AE4304" s="54"/>
    </row>
    <row r="4305" spans="31:31">
      <c r="AE4305" s="54"/>
    </row>
    <row r="4306" spans="31:31">
      <c r="AE4306" s="54"/>
    </row>
    <row r="4307" spans="31:31">
      <c r="AE4307" s="54"/>
    </row>
    <row r="4308" spans="31:31">
      <c r="AE4308" s="54"/>
    </row>
    <row r="4309" spans="31:31">
      <c r="AE4309" s="54"/>
    </row>
    <row r="4310" spans="31:31">
      <c r="AE4310" s="54"/>
    </row>
    <row r="4311" spans="31:31">
      <c r="AE4311" s="54"/>
    </row>
    <row r="4312" spans="31:31">
      <c r="AE4312" s="54"/>
    </row>
    <row r="4313" spans="31:31">
      <c r="AE4313" s="54"/>
    </row>
    <row r="4314" spans="31:31">
      <c r="AE4314" s="54"/>
    </row>
    <row r="4315" spans="31:31">
      <c r="AE4315" s="54"/>
    </row>
    <row r="4316" spans="31:31">
      <c r="AE4316" s="54"/>
    </row>
    <row r="4317" spans="31:31">
      <c r="AE4317" s="54"/>
    </row>
    <row r="4318" spans="31:31">
      <c r="AE4318" s="54"/>
    </row>
    <row r="4319" spans="31:31">
      <c r="AE4319" s="54"/>
    </row>
    <row r="4320" spans="31:31">
      <c r="AE4320" s="54"/>
    </row>
    <row r="4321" spans="31:31">
      <c r="AE4321" s="54"/>
    </row>
    <row r="4322" spans="31:31">
      <c r="AE4322" s="54"/>
    </row>
    <row r="4323" spans="31:31">
      <c r="AE4323" s="54"/>
    </row>
    <row r="4324" spans="31:31">
      <c r="AE4324" s="54"/>
    </row>
    <row r="4325" spans="31:31">
      <c r="AE4325" s="54"/>
    </row>
    <row r="4326" spans="31:31">
      <c r="AE4326" s="54"/>
    </row>
    <row r="4327" spans="31:31">
      <c r="AE4327" s="54"/>
    </row>
    <row r="4328" spans="31:31">
      <c r="AE4328" s="54"/>
    </row>
    <row r="4329" spans="31:31">
      <c r="AE4329" s="54"/>
    </row>
    <row r="4330" spans="31:31">
      <c r="AE4330" s="54"/>
    </row>
    <row r="4331" spans="31:31">
      <c r="AE4331" s="54"/>
    </row>
    <row r="4332" spans="31:31">
      <c r="AE4332" s="54"/>
    </row>
    <row r="4333" spans="31:31">
      <c r="AE4333" s="54"/>
    </row>
    <row r="4334" spans="31:31">
      <c r="AE4334" s="54"/>
    </row>
    <row r="4335" spans="31:31">
      <c r="AE4335" s="54"/>
    </row>
    <row r="4336" spans="31:31">
      <c r="AE4336" s="54"/>
    </row>
    <row r="4337" spans="31:31">
      <c r="AE4337" s="54"/>
    </row>
    <row r="4338" spans="31:31">
      <c r="AE4338" s="54"/>
    </row>
    <row r="4339" spans="31:31">
      <c r="AE4339" s="54"/>
    </row>
    <row r="4340" spans="31:31">
      <c r="AE4340" s="54"/>
    </row>
    <row r="4341" spans="31:31">
      <c r="AE4341" s="54"/>
    </row>
    <row r="4342" spans="31:31">
      <c r="AE4342" s="54"/>
    </row>
    <row r="4343" spans="31:31">
      <c r="AE4343" s="54"/>
    </row>
    <row r="4344" spans="31:31">
      <c r="AE4344" s="54"/>
    </row>
    <row r="4345" spans="31:31">
      <c r="AE4345" s="54"/>
    </row>
    <row r="4346" spans="31:31">
      <c r="AE4346" s="54"/>
    </row>
    <row r="4347" spans="31:31">
      <c r="AE4347" s="54"/>
    </row>
    <row r="4348" spans="31:31">
      <c r="AE4348" s="54"/>
    </row>
    <row r="4349" spans="31:31">
      <c r="AE4349" s="54"/>
    </row>
    <row r="4350" spans="31:31">
      <c r="AE4350" s="54"/>
    </row>
    <row r="4351" spans="31:31">
      <c r="AE4351" s="54"/>
    </row>
    <row r="4352" spans="31:31">
      <c r="AE4352" s="54"/>
    </row>
    <row r="4353" spans="31:31">
      <c r="AE4353" s="54"/>
    </row>
    <row r="4354" spans="31:31">
      <c r="AE4354" s="54"/>
    </row>
    <row r="4355" spans="31:31">
      <c r="AE4355" s="54"/>
    </row>
    <row r="4356" spans="31:31">
      <c r="AE4356" s="54"/>
    </row>
    <row r="4357" spans="31:31">
      <c r="AE4357" s="54"/>
    </row>
    <row r="4358" spans="31:31">
      <c r="AE4358" s="54"/>
    </row>
    <row r="4359" spans="31:31">
      <c r="AE4359" s="54"/>
    </row>
    <row r="4360" spans="31:31">
      <c r="AE4360" s="54"/>
    </row>
    <row r="4361" spans="31:31">
      <c r="AE4361" s="54"/>
    </row>
    <row r="4362" spans="31:31">
      <c r="AE4362" s="54"/>
    </row>
    <row r="4363" spans="31:31">
      <c r="AE4363" s="54"/>
    </row>
    <row r="4364" spans="31:31">
      <c r="AE4364" s="54"/>
    </row>
    <row r="4365" spans="31:31">
      <c r="AE4365" s="54"/>
    </row>
    <row r="4366" spans="31:31">
      <c r="AE4366" s="54"/>
    </row>
    <row r="4367" spans="31:31">
      <c r="AE4367" s="54"/>
    </row>
    <row r="4368" spans="31:31">
      <c r="AE4368" s="54"/>
    </row>
    <row r="4369" spans="31:31">
      <c r="AE4369" s="54"/>
    </row>
    <row r="4370" spans="31:31">
      <c r="AE4370" s="54"/>
    </row>
    <row r="4371" spans="31:31">
      <c r="AE4371" s="54"/>
    </row>
    <row r="4372" spans="31:31">
      <c r="AE4372" s="54"/>
    </row>
    <row r="4373" spans="31:31">
      <c r="AE4373" s="54"/>
    </row>
    <row r="4374" spans="31:31">
      <c r="AE4374" s="54"/>
    </row>
    <row r="4375" spans="31:31">
      <c r="AE4375" s="54"/>
    </row>
    <row r="4376" spans="31:31">
      <c r="AE4376" s="54"/>
    </row>
    <row r="4377" spans="31:31">
      <c r="AE4377" s="54"/>
    </row>
    <row r="4378" spans="31:31">
      <c r="AE4378" s="54"/>
    </row>
    <row r="4379" spans="31:31">
      <c r="AE4379" s="54"/>
    </row>
    <row r="4380" spans="31:31">
      <c r="AE4380" s="54"/>
    </row>
    <row r="4381" spans="31:31">
      <c r="AE4381" s="54"/>
    </row>
    <row r="4382" spans="31:31">
      <c r="AE4382" s="54"/>
    </row>
    <row r="4383" spans="31:31">
      <c r="AE4383" s="54"/>
    </row>
    <row r="4384" spans="31:31">
      <c r="AE4384" s="54"/>
    </row>
    <row r="4385" spans="31:31">
      <c r="AE4385" s="54"/>
    </row>
    <row r="4386" spans="31:31">
      <c r="AE4386" s="54"/>
    </row>
    <row r="4387" spans="31:31">
      <c r="AE4387" s="54"/>
    </row>
    <row r="4388" spans="31:31">
      <c r="AE4388" s="54"/>
    </row>
    <row r="4389" spans="31:31">
      <c r="AE4389" s="54"/>
    </row>
    <row r="4390" spans="31:31">
      <c r="AE4390" s="54"/>
    </row>
    <row r="4391" spans="31:31">
      <c r="AE4391" s="54"/>
    </row>
    <row r="4392" spans="31:31">
      <c r="AE4392" s="54"/>
    </row>
    <row r="4393" spans="31:31">
      <c r="AE4393" s="54"/>
    </row>
    <row r="4394" spans="31:31">
      <c r="AE4394" s="54"/>
    </row>
    <row r="4395" spans="31:31">
      <c r="AE4395" s="54"/>
    </row>
    <row r="4396" spans="31:31">
      <c r="AE4396" s="54"/>
    </row>
    <row r="4397" spans="31:31">
      <c r="AE4397" s="54"/>
    </row>
    <row r="4398" spans="31:31">
      <c r="AE4398" s="54"/>
    </row>
    <row r="4399" spans="31:31">
      <c r="AE4399" s="54"/>
    </row>
    <row r="4400" spans="31:31">
      <c r="AE4400" s="54"/>
    </row>
    <row r="4401" spans="31:31">
      <c r="AE4401" s="54"/>
    </row>
    <row r="4402" spans="31:31">
      <c r="AE4402" s="54"/>
    </row>
    <row r="4403" spans="31:31">
      <c r="AE4403" s="54"/>
    </row>
    <row r="4404" spans="31:31">
      <c r="AE4404" s="54"/>
    </row>
    <row r="4405" spans="31:31">
      <c r="AE4405" s="54"/>
    </row>
    <row r="4406" spans="31:31">
      <c r="AE4406" s="54"/>
    </row>
    <row r="4407" spans="31:31">
      <c r="AE4407" s="54"/>
    </row>
    <row r="4408" spans="31:31">
      <c r="AE4408" s="54"/>
    </row>
    <row r="4409" spans="31:31">
      <c r="AE4409" s="54"/>
    </row>
    <row r="4410" spans="31:31">
      <c r="AE4410" s="54"/>
    </row>
    <row r="4411" spans="31:31">
      <c r="AE4411" s="54"/>
    </row>
    <row r="4412" spans="31:31">
      <c r="AE4412" s="54"/>
    </row>
    <row r="4413" spans="31:31">
      <c r="AE4413" s="54"/>
    </row>
    <row r="4414" spans="31:31">
      <c r="AE4414" s="54"/>
    </row>
    <row r="4415" spans="31:31">
      <c r="AE4415" s="54"/>
    </row>
    <row r="4416" spans="31:31">
      <c r="AE4416" s="54"/>
    </row>
    <row r="4417" spans="31:31">
      <c r="AE4417" s="54"/>
    </row>
    <row r="4418" spans="31:31">
      <c r="AE4418" s="54"/>
    </row>
    <row r="4419" spans="31:31">
      <c r="AE4419" s="54"/>
    </row>
    <row r="4420" spans="31:31">
      <c r="AE4420" s="54"/>
    </row>
    <row r="4421" spans="31:31">
      <c r="AE4421" s="54"/>
    </row>
    <row r="4422" spans="31:31">
      <c r="AE4422" s="54"/>
    </row>
    <row r="4423" spans="31:31">
      <c r="AE4423" s="54"/>
    </row>
    <row r="4424" spans="31:31">
      <c r="AE4424" s="54"/>
    </row>
    <row r="4425" spans="31:31">
      <c r="AE4425" s="54"/>
    </row>
    <row r="4426" spans="31:31">
      <c r="AE4426" s="54"/>
    </row>
    <row r="4427" spans="31:31">
      <c r="AE4427" s="54"/>
    </row>
    <row r="4428" spans="31:31">
      <c r="AE4428" s="54"/>
    </row>
    <row r="4429" spans="31:31">
      <c r="AE4429" s="54"/>
    </row>
    <row r="4430" spans="31:31">
      <c r="AE4430" s="54"/>
    </row>
    <row r="4431" spans="31:31">
      <c r="AE4431" s="54"/>
    </row>
    <row r="4432" spans="31:31">
      <c r="AE4432" s="54"/>
    </row>
    <row r="4433" spans="31:31">
      <c r="AE4433" s="54"/>
    </row>
    <row r="4434" spans="31:31">
      <c r="AE4434" s="54"/>
    </row>
    <row r="4435" spans="31:31">
      <c r="AE4435" s="54"/>
    </row>
    <row r="4436" spans="31:31">
      <c r="AE4436" s="54"/>
    </row>
    <row r="4437" spans="31:31">
      <c r="AE4437" s="54"/>
    </row>
    <row r="4438" spans="31:31">
      <c r="AE4438" s="54"/>
    </row>
    <row r="4439" spans="31:31">
      <c r="AE4439" s="54"/>
    </row>
    <row r="4440" spans="31:31">
      <c r="AE4440" s="54"/>
    </row>
    <row r="4441" spans="31:31">
      <c r="AE4441" s="54"/>
    </row>
    <row r="4442" spans="31:31">
      <c r="AE4442" s="54"/>
    </row>
    <row r="4443" spans="31:31">
      <c r="AE4443" s="54"/>
    </row>
    <row r="4444" spans="31:31">
      <c r="AE4444" s="54"/>
    </row>
    <row r="4445" spans="31:31">
      <c r="AE4445" s="54"/>
    </row>
    <row r="4446" spans="31:31">
      <c r="AE4446" s="54"/>
    </row>
    <row r="4447" spans="31:31">
      <c r="AE4447" s="54"/>
    </row>
    <row r="4448" spans="31:31">
      <c r="AE4448" s="54"/>
    </row>
    <row r="4449" spans="31:31">
      <c r="AE4449" s="54"/>
    </row>
    <row r="4450" spans="31:31">
      <c r="AE4450" s="54"/>
    </row>
    <row r="4451" spans="31:31">
      <c r="AE4451" s="54"/>
    </row>
    <row r="4452" spans="31:31">
      <c r="AE4452" s="54"/>
    </row>
    <row r="4453" spans="31:31">
      <c r="AE4453" s="54"/>
    </row>
    <row r="4454" spans="31:31">
      <c r="AE4454" s="54"/>
    </row>
    <row r="4455" spans="31:31">
      <c r="AE4455" s="54"/>
    </row>
    <row r="4456" spans="31:31">
      <c r="AE4456" s="54"/>
    </row>
    <row r="4457" spans="31:31">
      <c r="AE4457" s="54"/>
    </row>
    <row r="4458" spans="31:31">
      <c r="AE4458" s="54"/>
    </row>
    <row r="4459" spans="31:31">
      <c r="AE4459" s="54"/>
    </row>
    <row r="4460" spans="31:31">
      <c r="AE4460" s="54"/>
    </row>
    <row r="4461" spans="31:31">
      <c r="AE4461" s="54"/>
    </row>
    <row r="4462" spans="31:31">
      <c r="AE4462" s="54"/>
    </row>
    <row r="4463" spans="31:31">
      <c r="AE4463" s="54"/>
    </row>
    <row r="4464" spans="31:31">
      <c r="AE4464" s="54"/>
    </row>
    <row r="4465" spans="31:31">
      <c r="AE4465" s="54"/>
    </row>
    <row r="4466" spans="31:31">
      <c r="AE4466" s="54"/>
    </row>
    <row r="4467" spans="31:31">
      <c r="AE4467" s="54"/>
    </row>
    <row r="4468" spans="31:31">
      <c r="AE4468" s="54"/>
    </row>
    <row r="4469" spans="31:31">
      <c r="AE4469" s="54"/>
    </row>
    <row r="4470" spans="31:31">
      <c r="AE4470" s="54"/>
    </row>
    <row r="4471" spans="31:31">
      <c r="AE4471" s="54"/>
    </row>
    <row r="4472" spans="31:31">
      <c r="AE4472" s="54"/>
    </row>
    <row r="4473" spans="31:31">
      <c r="AE4473" s="54"/>
    </row>
    <row r="4474" spans="31:31">
      <c r="AE4474" s="54"/>
    </row>
    <row r="4475" spans="31:31">
      <c r="AE4475" s="54"/>
    </row>
    <row r="4476" spans="31:31">
      <c r="AE4476" s="54"/>
    </row>
    <row r="4477" spans="31:31">
      <c r="AE4477" s="54"/>
    </row>
    <row r="4478" spans="31:31">
      <c r="AE4478" s="54"/>
    </row>
    <row r="4479" spans="31:31">
      <c r="AE4479" s="54"/>
    </row>
    <row r="4480" spans="31:31">
      <c r="AE4480" s="54"/>
    </row>
    <row r="4481" spans="31:31">
      <c r="AE4481" s="54"/>
    </row>
    <row r="4482" spans="31:31">
      <c r="AE4482" s="54"/>
    </row>
    <row r="4483" spans="31:31">
      <c r="AE4483" s="54"/>
    </row>
    <row r="4484" spans="31:31">
      <c r="AE4484" s="54"/>
    </row>
    <row r="4485" spans="31:31">
      <c r="AE4485" s="54"/>
    </row>
    <row r="4486" spans="31:31">
      <c r="AE4486" s="54"/>
    </row>
    <row r="4487" spans="31:31">
      <c r="AE4487" s="54"/>
    </row>
    <row r="4488" spans="31:31">
      <c r="AE4488" s="54"/>
    </row>
    <row r="4489" spans="31:31">
      <c r="AE4489" s="54"/>
    </row>
    <row r="4490" spans="31:31">
      <c r="AE4490" s="54"/>
    </row>
    <row r="4491" spans="31:31">
      <c r="AE4491" s="54"/>
    </row>
    <row r="4492" spans="31:31">
      <c r="AE4492" s="54"/>
    </row>
    <row r="4493" spans="31:31">
      <c r="AE4493" s="54"/>
    </row>
    <row r="4494" spans="31:31">
      <c r="AE4494" s="54"/>
    </row>
    <row r="4495" spans="31:31">
      <c r="AE4495" s="54"/>
    </row>
    <row r="4496" spans="31:31">
      <c r="AE4496" s="54"/>
    </row>
    <row r="4497" spans="31:31">
      <c r="AE4497" s="54"/>
    </row>
    <row r="4498" spans="31:31">
      <c r="AE4498" s="54"/>
    </row>
    <row r="4499" spans="31:31">
      <c r="AE4499" s="54"/>
    </row>
    <row r="4500" spans="31:31">
      <c r="AE4500" s="54"/>
    </row>
    <row r="4501" spans="31:31">
      <c r="AE4501" s="54"/>
    </row>
    <row r="4502" spans="31:31">
      <c r="AE4502" s="54"/>
    </row>
    <row r="4503" spans="31:31">
      <c r="AE4503" s="54"/>
    </row>
    <row r="4504" spans="31:31">
      <c r="AE4504" s="54"/>
    </row>
    <row r="4505" spans="31:31">
      <c r="AE4505" s="54"/>
    </row>
    <row r="4506" spans="31:31">
      <c r="AE4506" s="54"/>
    </row>
    <row r="4507" spans="31:31">
      <c r="AE4507" s="54"/>
    </row>
    <row r="4508" spans="31:31">
      <c r="AE4508" s="54"/>
    </row>
    <row r="4509" spans="31:31">
      <c r="AE4509" s="54"/>
    </row>
    <row r="4510" spans="31:31">
      <c r="AE4510" s="54"/>
    </row>
    <row r="4511" spans="31:31">
      <c r="AE4511" s="54"/>
    </row>
    <row r="4512" spans="31:31">
      <c r="AE4512" s="54"/>
    </row>
    <row r="4513" spans="31:31">
      <c r="AE4513" s="54"/>
    </row>
    <row r="4514" spans="31:31">
      <c r="AE4514" s="54"/>
    </row>
    <row r="4515" spans="31:31">
      <c r="AE4515" s="54"/>
    </row>
    <row r="4516" spans="31:31">
      <c r="AE4516" s="54"/>
    </row>
    <row r="4517" spans="31:31">
      <c r="AE4517" s="54"/>
    </row>
    <row r="4518" spans="31:31">
      <c r="AE4518" s="54"/>
    </row>
    <row r="4519" spans="31:31">
      <c r="AE4519" s="54"/>
    </row>
    <row r="4520" spans="31:31">
      <c r="AE4520" s="54"/>
    </row>
    <row r="4521" spans="31:31">
      <c r="AE4521" s="54"/>
    </row>
    <row r="4522" spans="31:31">
      <c r="AE4522" s="54"/>
    </row>
    <row r="4523" spans="31:31">
      <c r="AE4523" s="54"/>
    </row>
    <row r="4524" spans="31:31">
      <c r="AE4524" s="54"/>
    </row>
    <row r="4525" spans="31:31">
      <c r="AE4525" s="54"/>
    </row>
    <row r="4526" spans="31:31">
      <c r="AE4526" s="54"/>
    </row>
    <row r="4527" spans="31:31">
      <c r="AE4527" s="54"/>
    </row>
    <row r="4528" spans="31:31">
      <c r="AE4528" s="54"/>
    </row>
    <row r="4529" spans="31:31">
      <c r="AE4529" s="54"/>
    </row>
    <row r="4530" spans="31:31">
      <c r="AE4530" s="54"/>
    </row>
    <row r="4531" spans="31:31">
      <c r="AE4531" s="54"/>
    </row>
    <row r="4532" spans="31:31">
      <c r="AE4532" s="54"/>
    </row>
    <row r="4533" spans="31:31">
      <c r="AE4533" s="54"/>
    </row>
    <row r="4534" spans="31:31">
      <c r="AE4534" s="54"/>
    </row>
    <row r="4535" spans="31:31">
      <c r="AE4535" s="54"/>
    </row>
    <row r="4536" spans="31:31">
      <c r="AE4536" s="54"/>
    </row>
    <row r="4537" spans="31:31">
      <c r="AE4537" s="54"/>
    </row>
    <row r="4538" spans="31:31">
      <c r="AE4538" s="54"/>
    </row>
    <row r="4539" spans="31:31">
      <c r="AE4539" s="54"/>
    </row>
    <row r="4540" spans="31:31">
      <c r="AE4540" s="54"/>
    </row>
    <row r="4541" spans="31:31">
      <c r="AE4541" s="54"/>
    </row>
    <row r="4542" spans="31:31">
      <c r="AE4542" s="54"/>
    </row>
    <row r="4543" spans="31:31">
      <c r="AE4543" s="54"/>
    </row>
    <row r="4544" spans="31:31">
      <c r="AE4544" s="54"/>
    </row>
    <row r="4545" spans="31:31">
      <c r="AE4545" s="54"/>
    </row>
    <row r="4546" spans="31:31">
      <c r="AE4546" s="54"/>
    </row>
    <row r="4547" spans="31:31">
      <c r="AE4547" s="54"/>
    </row>
    <row r="4548" spans="31:31">
      <c r="AE4548" s="54"/>
    </row>
    <row r="4549" spans="31:31">
      <c r="AE4549" s="54"/>
    </row>
    <row r="4550" spans="31:31">
      <c r="AE4550" s="54"/>
    </row>
    <row r="4551" spans="31:31">
      <c r="AE4551" s="54"/>
    </row>
    <row r="4552" spans="31:31">
      <c r="AE4552" s="54"/>
    </row>
    <row r="4553" spans="31:31">
      <c r="AE4553" s="54"/>
    </row>
    <row r="4554" spans="31:31">
      <c r="AE4554" s="54"/>
    </row>
    <row r="4555" spans="31:31">
      <c r="AE4555" s="54"/>
    </row>
    <row r="4556" spans="31:31">
      <c r="AE4556" s="54"/>
    </row>
    <row r="4557" spans="31:31">
      <c r="AE4557" s="54"/>
    </row>
    <row r="4558" spans="31:31">
      <c r="AE4558" s="54"/>
    </row>
    <row r="4559" spans="31:31">
      <c r="AE4559" s="54"/>
    </row>
    <row r="4560" spans="31:31">
      <c r="AE4560" s="54"/>
    </row>
    <row r="4561" spans="31:31">
      <c r="AE4561" s="54"/>
    </row>
    <row r="4562" spans="31:31">
      <c r="AE4562" s="54"/>
    </row>
    <row r="4563" spans="31:31">
      <c r="AE4563" s="54"/>
    </row>
    <row r="4564" spans="31:31">
      <c r="AE4564" s="54"/>
    </row>
    <row r="4565" spans="31:31">
      <c r="AE4565" s="54"/>
    </row>
    <row r="4566" spans="31:31">
      <c r="AE4566" s="54"/>
    </row>
    <row r="4567" spans="31:31">
      <c r="AE4567" s="54"/>
    </row>
    <row r="4568" spans="31:31">
      <c r="AE4568" s="54"/>
    </row>
    <row r="4569" spans="31:31">
      <c r="AE4569" s="54"/>
    </row>
    <row r="4570" spans="31:31">
      <c r="AE4570" s="54"/>
    </row>
    <row r="4571" spans="31:31">
      <c r="AE4571" s="54"/>
    </row>
    <row r="4572" spans="31:31">
      <c r="AE4572" s="54"/>
    </row>
    <row r="4573" spans="31:31">
      <c r="AE4573" s="54"/>
    </row>
    <row r="4574" spans="31:31">
      <c r="AE4574" s="54"/>
    </row>
    <row r="4575" spans="31:31">
      <c r="AE4575" s="54"/>
    </row>
    <row r="4576" spans="31:31">
      <c r="AE4576" s="54"/>
    </row>
    <row r="4577" spans="31:31">
      <c r="AE4577" s="54"/>
    </row>
    <row r="4578" spans="31:31">
      <c r="AE4578" s="54"/>
    </row>
    <row r="4579" spans="31:31">
      <c r="AE4579" s="54"/>
    </row>
    <row r="4580" spans="31:31">
      <c r="AE4580" s="54"/>
    </row>
    <row r="4581" spans="31:31">
      <c r="AE4581" s="54"/>
    </row>
    <row r="4582" spans="31:31">
      <c r="AE4582" s="54"/>
    </row>
    <row r="4583" spans="31:31">
      <c r="AE4583" s="54"/>
    </row>
    <row r="4584" spans="31:31">
      <c r="AE4584" s="54"/>
    </row>
    <row r="4585" spans="31:31">
      <c r="AE4585" s="54"/>
    </row>
    <row r="4586" spans="31:31">
      <c r="AE4586" s="54"/>
    </row>
    <row r="4587" spans="31:31">
      <c r="AE4587" s="54"/>
    </row>
    <row r="4588" spans="31:31">
      <c r="AE4588" s="54"/>
    </row>
    <row r="4589" spans="31:31">
      <c r="AE4589" s="54"/>
    </row>
    <row r="4590" spans="31:31">
      <c r="AE4590" s="54"/>
    </row>
    <row r="4591" spans="31:31">
      <c r="AE4591" s="54"/>
    </row>
    <row r="4592" spans="31:31">
      <c r="AE4592" s="54"/>
    </row>
    <row r="4593" spans="31:31">
      <c r="AE4593" s="54"/>
    </row>
    <row r="4594" spans="31:31">
      <c r="AE4594" s="54"/>
    </row>
    <row r="4595" spans="31:31">
      <c r="AE4595" s="54"/>
    </row>
    <row r="4596" spans="31:31">
      <c r="AE4596" s="54"/>
    </row>
    <row r="4597" spans="31:31">
      <c r="AE4597" s="54"/>
    </row>
    <row r="4598" spans="31:31">
      <c r="AE4598" s="54"/>
    </row>
    <row r="4599" spans="31:31">
      <c r="AE4599" s="54"/>
    </row>
    <row r="4600" spans="31:31">
      <c r="AE4600" s="54"/>
    </row>
    <row r="4601" spans="31:31">
      <c r="AE4601" s="54"/>
    </row>
    <row r="4602" spans="31:31">
      <c r="AE4602" s="54"/>
    </row>
    <row r="4603" spans="31:31">
      <c r="AE4603" s="54"/>
    </row>
    <row r="4604" spans="31:31">
      <c r="AE4604" s="54"/>
    </row>
    <row r="4605" spans="31:31">
      <c r="AE4605" s="54"/>
    </row>
    <row r="4606" spans="31:31">
      <c r="AE4606" s="54"/>
    </row>
    <row r="4607" spans="31:31">
      <c r="AE4607" s="54"/>
    </row>
    <row r="4608" spans="31:31">
      <c r="AE4608" s="54"/>
    </row>
    <row r="4609" spans="31:31">
      <c r="AE4609" s="54"/>
    </row>
    <row r="4610" spans="31:31">
      <c r="AE4610" s="54"/>
    </row>
    <row r="4611" spans="31:31">
      <c r="AE4611" s="54"/>
    </row>
    <row r="4612" spans="31:31">
      <c r="AE4612" s="54"/>
    </row>
    <row r="4613" spans="31:31">
      <c r="AE4613" s="54"/>
    </row>
    <row r="4614" spans="31:31">
      <c r="AE4614" s="54"/>
    </row>
    <row r="4615" spans="31:31">
      <c r="AE4615" s="54"/>
    </row>
    <row r="4616" spans="31:31">
      <c r="AE4616" s="54"/>
    </row>
    <row r="4617" spans="31:31">
      <c r="AE4617" s="54"/>
    </row>
    <row r="4618" spans="31:31">
      <c r="AE4618" s="54"/>
    </row>
    <row r="4619" spans="31:31">
      <c r="AE4619" s="54"/>
    </row>
    <row r="4620" spans="31:31">
      <c r="AE4620" s="54"/>
    </row>
    <row r="4621" spans="31:31">
      <c r="AE4621" s="54"/>
    </row>
    <row r="4622" spans="31:31">
      <c r="AE4622" s="54"/>
    </row>
    <row r="4623" spans="31:31">
      <c r="AE4623" s="54"/>
    </row>
    <row r="4624" spans="31:31">
      <c r="AE4624" s="54"/>
    </row>
    <row r="4625" spans="31:31">
      <c r="AE4625" s="54"/>
    </row>
    <row r="4626" spans="31:31">
      <c r="AE4626" s="54"/>
    </row>
    <row r="4627" spans="31:31">
      <c r="AE4627" s="54"/>
    </row>
    <row r="4628" spans="31:31">
      <c r="AE4628" s="54"/>
    </row>
    <row r="4629" spans="31:31">
      <c r="AE4629" s="54"/>
    </row>
    <row r="4630" spans="31:31">
      <c r="AE4630" s="54"/>
    </row>
    <row r="4631" spans="31:31">
      <c r="AE4631" s="54"/>
    </row>
    <row r="4632" spans="31:31">
      <c r="AE4632" s="54"/>
    </row>
    <row r="4633" spans="31:31">
      <c r="AE4633" s="54"/>
    </row>
    <row r="4634" spans="31:31">
      <c r="AE4634" s="54"/>
    </row>
    <row r="4635" spans="31:31">
      <c r="AE4635" s="54"/>
    </row>
    <row r="4636" spans="31:31">
      <c r="AE4636" s="54"/>
    </row>
    <row r="4637" spans="31:31">
      <c r="AE4637" s="54"/>
    </row>
    <row r="4638" spans="31:31">
      <c r="AE4638" s="54"/>
    </row>
    <row r="4639" spans="31:31">
      <c r="AE4639" s="54"/>
    </row>
    <row r="4640" spans="31:31">
      <c r="AE4640" s="54"/>
    </row>
    <row r="4641" spans="31:31">
      <c r="AE4641" s="54"/>
    </row>
    <row r="4642" spans="31:31">
      <c r="AE4642" s="54"/>
    </row>
    <row r="4643" spans="31:31">
      <c r="AE4643" s="54"/>
    </row>
    <row r="4644" spans="31:31">
      <c r="AE4644" s="54"/>
    </row>
    <row r="4645" spans="31:31">
      <c r="AE4645" s="54"/>
    </row>
    <row r="4646" spans="31:31">
      <c r="AE4646" s="54"/>
    </row>
    <row r="4647" spans="31:31">
      <c r="AE4647" s="54"/>
    </row>
    <row r="4648" spans="31:31">
      <c r="AE4648" s="54"/>
    </row>
    <row r="4649" spans="31:31">
      <c r="AE4649" s="54"/>
    </row>
    <row r="4650" spans="31:31">
      <c r="AE4650" s="54"/>
    </row>
    <row r="4651" spans="31:31">
      <c r="AE4651" s="54"/>
    </row>
    <row r="4652" spans="31:31">
      <c r="AE4652" s="54"/>
    </row>
    <row r="4653" spans="31:31">
      <c r="AE4653" s="54"/>
    </row>
    <row r="4654" spans="31:31">
      <c r="AE4654" s="54"/>
    </row>
    <row r="4655" spans="31:31">
      <c r="AE4655" s="54"/>
    </row>
    <row r="4656" spans="31:31">
      <c r="AE4656" s="54"/>
    </row>
    <row r="4657" spans="31:31">
      <c r="AE4657" s="54"/>
    </row>
    <row r="4658" spans="31:31">
      <c r="AE4658" s="54"/>
    </row>
    <row r="4659" spans="31:31">
      <c r="AE4659" s="54"/>
    </row>
    <row r="4660" spans="31:31">
      <c r="AE4660" s="54"/>
    </row>
    <row r="4661" spans="31:31">
      <c r="AE4661" s="54"/>
    </row>
    <row r="4662" spans="31:31">
      <c r="AE4662" s="54"/>
    </row>
    <row r="4663" spans="31:31">
      <c r="AE4663" s="54"/>
    </row>
    <row r="4664" spans="31:31">
      <c r="AE4664" s="54"/>
    </row>
    <row r="4665" spans="31:31">
      <c r="AE4665" s="54"/>
    </row>
    <row r="4666" spans="31:31">
      <c r="AE4666" s="54"/>
    </row>
    <row r="4667" spans="31:31">
      <c r="AE4667" s="54"/>
    </row>
    <row r="4668" spans="31:31">
      <c r="AE4668" s="54"/>
    </row>
    <row r="4669" spans="31:31">
      <c r="AE4669" s="54"/>
    </row>
    <row r="4670" spans="31:31">
      <c r="AE4670" s="54"/>
    </row>
    <row r="4671" spans="31:31">
      <c r="AE4671" s="54"/>
    </row>
    <row r="4672" spans="31:31">
      <c r="AE4672" s="54"/>
    </row>
    <row r="4673" spans="31:31">
      <c r="AE4673" s="54"/>
    </row>
    <row r="4674" spans="31:31">
      <c r="AE4674" s="54"/>
    </row>
    <row r="4675" spans="31:31">
      <c r="AE4675" s="54"/>
    </row>
    <row r="4676" spans="31:31">
      <c r="AE4676" s="54"/>
    </row>
    <row r="4677" spans="31:31">
      <c r="AE4677" s="54"/>
    </row>
    <row r="4678" spans="31:31">
      <c r="AE4678" s="54"/>
    </row>
    <row r="4679" spans="31:31">
      <c r="AE4679" s="54"/>
    </row>
    <row r="4680" spans="31:31">
      <c r="AE4680" s="54"/>
    </row>
    <row r="4681" spans="31:31">
      <c r="AE4681" s="54"/>
    </row>
    <row r="4682" spans="31:31">
      <c r="AE4682" s="54"/>
    </row>
    <row r="4683" spans="31:31">
      <c r="AE4683" s="54"/>
    </row>
    <row r="4684" spans="31:31">
      <c r="AE4684" s="54"/>
    </row>
    <row r="4685" spans="31:31">
      <c r="AE4685" s="54"/>
    </row>
    <row r="4686" spans="31:31">
      <c r="AE4686" s="54"/>
    </row>
    <row r="4687" spans="31:31">
      <c r="AE4687" s="54"/>
    </row>
    <row r="4688" spans="31:31">
      <c r="AE4688" s="54"/>
    </row>
    <row r="4689" spans="31:31">
      <c r="AE4689" s="54"/>
    </row>
    <row r="4690" spans="31:31">
      <c r="AE4690" s="54"/>
    </row>
    <row r="4691" spans="31:31">
      <c r="AE4691" s="54"/>
    </row>
    <row r="4692" spans="31:31">
      <c r="AE4692" s="54"/>
    </row>
    <row r="4693" spans="31:31">
      <c r="AE4693" s="54"/>
    </row>
    <row r="4694" spans="31:31">
      <c r="AE4694" s="54"/>
    </row>
    <row r="4695" spans="31:31">
      <c r="AE4695" s="54"/>
    </row>
    <row r="4696" spans="31:31">
      <c r="AE4696" s="54"/>
    </row>
    <row r="4697" spans="31:31">
      <c r="AE4697" s="54"/>
    </row>
    <row r="4698" spans="31:31">
      <c r="AE4698" s="54"/>
    </row>
    <row r="4699" spans="31:31">
      <c r="AE4699" s="54"/>
    </row>
    <row r="4700" spans="31:31">
      <c r="AE4700" s="54"/>
    </row>
    <row r="4701" spans="31:31">
      <c r="AE4701" s="54"/>
    </row>
    <row r="4702" spans="31:31">
      <c r="AE4702" s="54"/>
    </row>
    <row r="4703" spans="31:31">
      <c r="AE4703" s="54"/>
    </row>
    <row r="4704" spans="31:31">
      <c r="AE4704" s="54"/>
    </row>
    <row r="4705" spans="31:31">
      <c r="AE4705" s="54"/>
    </row>
    <row r="4706" spans="31:31">
      <c r="AE4706" s="54"/>
    </row>
    <row r="4707" spans="31:31">
      <c r="AE4707" s="54"/>
    </row>
    <row r="4708" spans="31:31">
      <c r="AE4708" s="54"/>
    </row>
    <row r="4709" spans="31:31">
      <c r="AE4709" s="54"/>
    </row>
    <row r="4710" spans="31:31">
      <c r="AE4710" s="54"/>
    </row>
    <row r="4711" spans="31:31">
      <c r="AE4711" s="54"/>
    </row>
    <row r="4712" spans="31:31">
      <c r="AE4712" s="54"/>
    </row>
    <row r="4713" spans="31:31">
      <c r="AE4713" s="54"/>
    </row>
    <row r="4714" spans="31:31">
      <c r="AE4714" s="54"/>
    </row>
    <row r="4715" spans="31:31">
      <c r="AE4715" s="54"/>
    </row>
    <row r="4716" spans="31:31">
      <c r="AE4716" s="54"/>
    </row>
    <row r="4717" spans="31:31">
      <c r="AE4717" s="54"/>
    </row>
    <row r="4718" spans="31:31">
      <c r="AE4718" s="54"/>
    </row>
    <row r="4719" spans="31:31">
      <c r="AE4719" s="54"/>
    </row>
    <row r="4720" spans="31:31">
      <c r="AE4720" s="54"/>
    </row>
    <row r="4721" spans="31:31">
      <c r="AE4721" s="54"/>
    </row>
    <row r="4722" spans="31:31">
      <c r="AE4722" s="54"/>
    </row>
    <row r="4723" spans="31:31">
      <c r="AE4723" s="54"/>
    </row>
    <row r="4724" spans="31:31">
      <c r="AE4724" s="54"/>
    </row>
    <row r="4725" spans="31:31">
      <c r="AE4725" s="54"/>
    </row>
    <row r="4726" spans="31:31">
      <c r="AE4726" s="54"/>
    </row>
    <row r="4727" spans="31:31">
      <c r="AE4727" s="54"/>
    </row>
    <row r="4728" spans="31:31">
      <c r="AE4728" s="54"/>
    </row>
    <row r="4729" spans="31:31">
      <c r="AE4729" s="54"/>
    </row>
    <row r="4730" spans="31:31">
      <c r="AE4730" s="54"/>
    </row>
    <row r="4731" spans="31:31">
      <c r="AE4731" s="54"/>
    </row>
    <row r="4732" spans="31:31">
      <c r="AE4732" s="54"/>
    </row>
    <row r="4733" spans="31:31">
      <c r="AE4733" s="54"/>
    </row>
    <row r="4734" spans="31:31">
      <c r="AE4734" s="54"/>
    </row>
    <row r="4735" spans="31:31">
      <c r="AE4735" s="54"/>
    </row>
    <row r="4736" spans="31:31">
      <c r="AE4736" s="54"/>
    </row>
    <row r="4737" spans="31:31">
      <c r="AE4737" s="54"/>
    </row>
    <row r="4738" spans="31:31">
      <c r="AE4738" s="54"/>
    </row>
    <row r="4739" spans="31:31">
      <c r="AE4739" s="54"/>
    </row>
    <row r="4740" spans="31:31">
      <c r="AE4740" s="54"/>
    </row>
    <row r="4741" spans="31:31">
      <c r="AE4741" s="54"/>
    </row>
    <row r="4742" spans="31:31">
      <c r="AE4742" s="54"/>
    </row>
    <row r="4743" spans="31:31">
      <c r="AE4743" s="54"/>
    </row>
    <row r="4744" spans="31:31">
      <c r="AE4744" s="54"/>
    </row>
    <row r="4745" spans="31:31">
      <c r="AE4745" s="54"/>
    </row>
    <row r="4746" spans="31:31">
      <c r="AE4746" s="54"/>
    </row>
    <row r="4747" spans="31:31">
      <c r="AE4747" s="54"/>
    </row>
    <row r="4748" spans="31:31">
      <c r="AE4748" s="54"/>
    </row>
    <row r="4749" spans="31:31">
      <c r="AE4749" s="54"/>
    </row>
    <row r="4750" spans="31:31">
      <c r="AE4750" s="54"/>
    </row>
    <row r="4751" spans="31:31">
      <c r="AE4751" s="54"/>
    </row>
    <row r="4752" spans="31:31">
      <c r="AE4752" s="54"/>
    </row>
    <row r="4753" spans="31:31">
      <c r="AE4753" s="54"/>
    </row>
    <row r="4754" spans="31:31">
      <c r="AE4754" s="54"/>
    </row>
    <row r="4755" spans="31:31">
      <c r="AE4755" s="54"/>
    </row>
    <row r="4756" spans="31:31">
      <c r="AE4756" s="54"/>
    </row>
    <row r="4757" spans="31:31">
      <c r="AE4757" s="54"/>
    </row>
    <row r="4758" spans="31:31">
      <c r="AE4758" s="54"/>
    </row>
    <row r="4759" spans="31:31">
      <c r="AE4759" s="54"/>
    </row>
    <row r="4760" spans="31:31">
      <c r="AE4760" s="54"/>
    </row>
    <row r="4761" spans="31:31">
      <c r="AE4761" s="54"/>
    </row>
    <row r="4762" spans="31:31">
      <c r="AE4762" s="54"/>
    </row>
    <row r="4763" spans="31:31">
      <c r="AE4763" s="54"/>
    </row>
    <row r="4764" spans="31:31">
      <c r="AE4764" s="54"/>
    </row>
    <row r="4765" spans="31:31">
      <c r="AE4765" s="54"/>
    </row>
    <row r="4766" spans="31:31">
      <c r="AE4766" s="54"/>
    </row>
    <row r="4767" spans="31:31">
      <c r="AE4767" s="54"/>
    </row>
    <row r="4768" spans="31:31">
      <c r="AE4768" s="54"/>
    </row>
    <row r="4769" spans="31:31">
      <c r="AE4769" s="54"/>
    </row>
    <row r="4770" spans="31:31">
      <c r="AE4770" s="54"/>
    </row>
    <row r="4771" spans="31:31">
      <c r="AE4771" s="54"/>
    </row>
    <row r="4772" spans="31:31">
      <c r="AE4772" s="54"/>
    </row>
    <row r="4773" spans="31:31">
      <c r="AE4773" s="54"/>
    </row>
    <row r="4774" spans="31:31">
      <c r="AE4774" s="54"/>
    </row>
    <row r="4775" spans="31:31">
      <c r="AE4775" s="54"/>
    </row>
    <row r="4776" spans="31:31">
      <c r="AE4776" s="54"/>
    </row>
    <row r="4777" spans="31:31">
      <c r="AE4777" s="54"/>
    </row>
    <row r="4778" spans="31:31">
      <c r="AE4778" s="54"/>
    </row>
    <row r="4779" spans="31:31">
      <c r="AE4779" s="54"/>
    </row>
    <row r="4780" spans="31:31">
      <c r="AE4780" s="54"/>
    </row>
    <row r="4781" spans="31:31">
      <c r="AE4781" s="54"/>
    </row>
    <row r="4782" spans="31:31">
      <c r="AE4782" s="54"/>
    </row>
    <row r="4783" spans="31:31">
      <c r="AE4783" s="54"/>
    </row>
    <row r="4784" spans="31:31">
      <c r="AE4784" s="54"/>
    </row>
    <row r="4785" spans="31:31">
      <c r="AE4785" s="54"/>
    </row>
    <row r="4786" spans="31:31">
      <c r="AE4786" s="54"/>
    </row>
    <row r="4787" spans="31:31">
      <c r="AE4787" s="54"/>
    </row>
    <row r="4788" spans="31:31">
      <c r="AE4788" s="54"/>
    </row>
    <row r="4789" spans="31:31">
      <c r="AE4789" s="54"/>
    </row>
    <row r="4790" spans="31:31">
      <c r="AE4790" s="54"/>
    </row>
    <row r="4791" spans="31:31">
      <c r="AE4791" s="54"/>
    </row>
    <row r="4792" spans="31:31">
      <c r="AE4792" s="54"/>
    </row>
    <row r="4793" spans="31:31">
      <c r="AE4793" s="54"/>
    </row>
    <row r="4794" spans="31:31">
      <c r="AE4794" s="54"/>
    </row>
    <row r="4795" spans="31:31">
      <c r="AE4795" s="54"/>
    </row>
    <row r="4796" spans="31:31">
      <c r="AE4796" s="54"/>
    </row>
    <row r="4797" spans="31:31">
      <c r="AE4797" s="54"/>
    </row>
    <row r="4798" spans="31:31">
      <c r="AE4798" s="54"/>
    </row>
    <row r="4799" spans="31:31">
      <c r="AE4799" s="54"/>
    </row>
    <row r="4800" spans="31:31">
      <c r="AE4800" s="54"/>
    </row>
    <row r="4801" spans="31:31">
      <c r="AE4801" s="54"/>
    </row>
    <row r="4802" spans="31:31">
      <c r="AE4802" s="54"/>
    </row>
    <row r="4803" spans="31:31">
      <c r="AE4803" s="54"/>
    </row>
    <row r="4804" spans="31:31">
      <c r="AE4804" s="54"/>
    </row>
    <row r="4805" spans="31:31">
      <c r="AE4805" s="54"/>
    </row>
    <row r="4806" spans="31:31">
      <c r="AE4806" s="54"/>
    </row>
    <row r="4807" spans="31:31">
      <c r="AE4807" s="54"/>
    </row>
    <row r="4808" spans="31:31">
      <c r="AE4808" s="54"/>
    </row>
    <row r="4809" spans="31:31">
      <c r="AE4809" s="54"/>
    </row>
    <row r="4810" spans="31:31">
      <c r="AE4810" s="54"/>
    </row>
    <row r="4811" spans="31:31">
      <c r="AE4811" s="54"/>
    </row>
    <row r="4812" spans="31:31">
      <c r="AE4812" s="54"/>
    </row>
    <row r="4813" spans="31:31">
      <c r="AE4813" s="54"/>
    </row>
    <row r="4814" spans="31:31">
      <c r="AE4814" s="54"/>
    </row>
    <row r="4815" spans="31:31">
      <c r="AE4815" s="54"/>
    </row>
    <row r="4816" spans="31:31">
      <c r="AE4816" s="54"/>
    </row>
    <row r="4817" spans="31:31">
      <c r="AE4817" s="54"/>
    </row>
    <row r="4818" spans="31:31">
      <c r="AE4818" s="54"/>
    </row>
    <row r="4819" spans="31:31">
      <c r="AE4819" s="54"/>
    </row>
    <row r="4820" spans="31:31">
      <c r="AE4820" s="54"/>
    </row>
    <row r="4821" spans="31:31">
      <c r="AE4821" s="54"/>
    </row>
    <row r="4822" spans="31:31">
      <c r="AE4822" s="54"/>
    </row>
    <row r="4823" spans="31:31">
      <c r="AE4823" s="54"/>
    </row>
    <row r="4824" spans="31:31">
      <c r="AE4824" s="54"/>
    </row>
    <row r="4825" spans="31:31">
      <c r="AE4825" s="54"/>
    </row>
    <row r="4826" spans="31:31">
      <c r="AE4826" s="54"/>
    </row>
    <row r="4827" spans="31:31">
      <c r="AE4827" s="54"/>
    </row>
    <row r="4828" spans="31:31">
      <c r="AE4828" s="54"/>
    </row>
    <row r="4829" spans="31:31">
      <c r="AE4829" s="54"/>
    </row>
    <row r="4830" spans="31:31">
      <c r="AE4830" s="54"/>
    </row>
    <row r="4831" spans="31:31">
      <c r="AE4831" s="54"/>
    </row>
    <row r="4832" spans="31:31">
      <c r="AE4832" s="54"/>
    </row>
    <row r="4833" spans="31:31">
      <c r="AE4833" s="54"/>
    </row>
    <row r="4834" spans="31:31">
      <c r="AE4834" s="54"/>
    </row>
    <row r="4835" spans="31:31">
      <c r="AE4835" s="54"/>
    </row>
    <row r="4836" spans="31:31">
      <c r="AE4836" s="54"/>
    </row>
    <row r="4837" spans="31:31">
      <c r="AE4837" s="54"/>
    </row>
    <row r="4838" spans="31:31">
      <c r="AE4838" s="54"/>
    </row>
    <row r="4839" spans="31:31">
      <c r="AE4839" s="54"/>
    </row>
    <row r="4840" spans="31:31">
      <c r="AE4840" s="54"/>
    </row>
    <row r="4841" spans="31:31">
      <c r="AE4841" s="54"/>
    </row>
    <row r="4842" spans="31:31">
      <c r="AE4842" s="54"/>
    </row>
    <row r="4843" spans="31:31">
      <c r="AE4843" s="54"/>
    </row>
    <row r="4844" spans="31:31">
      <c r="AE4844" s="54"/>
    </row>
    <row r="4845" spans="31:31">
      <c r="AE4845" s="54"/>
    </row>
    <row r="4846" spans="31:31">
      <c r="AE4846" s="54"/>
    </row>
    <row r="4847" spans="31:31">
      <c r="AE4847" s="54"/>
    </row>
    <row r="4848" spans="31:31">
      <c r="AE4848" s="54"/>
    </row>
    <row r="4849" spans="31:31">
      <c r="AE4849" s="54"/>
    </row>
    <row r="4850" spans="31:31">
      <c r="AE4850" s="54"/>
    </row>
    <row r="4851" spans="31:31">
      <c r="AE4851" s="54"/>
    </row>
    <row r="4852" spans="31:31">
      <c r="AE4852" s="54"/>
    </row>
    <row r="4853" spans="31:31">
      <c r="AE4853" s="54"/>
    </row>
    <row r="4854" spans="31:31">
      <c r="AE4854" s="54"/>
    </row>
    <row r="4855" spans="31:31">
      <c r="AE4855" s="54"/>
    </row>
    <row r="4856" spans="31:31">
      <c r="AE4856" s="54"/>
    </row>
    <row r="4857" spans="31:31">
      <c r="AE4857" s="54"/>
    </row>
    <row r="4858" spans="31:31">
      <c r="AE4858" s="54"/>
    </row>
    <row r="4859" spans="31:31">
      <c r="AE4859" s="54"/>
    </row>
    <row r="4860" spans="31:31">
      <c r="AE4860" s="54"/>
    </row>
    <row r="4861" spans="31:31">
      <c r="AE4861" s="54"/>
    </row>
    <row r="4862" spans="31:31">
      <c r="AE4862" s="54"/>
    </row>
    <row r="4863" spans="31:31">
      <c r="AE4863" s="54"/>
    </row>
    <row r="4864" spans="31:31">
      <c r="AE4864" s="54"/>
    </row>
    <row r="4865" spans="31:31">
      <c r="AE4865" s="54"/>
    </row>
    <row r="4866" spans="31:31">
      <c r="AE4866" s="54"/>
    </row>
    <row r="4867" spans="31:31">
      <c r="AE4867" s="54"/>
    </row>
    <row r="4868" spans="31:31">
      <c r="AE4868" s="54"/>
    </row>
    <row r="4869" spans="31:31">
      <c r="AE4869" s="54"/>
    </row>
    <row r="4870" spans="31:31">
      <c r="AE4870" s="54"/>
    </row>
    <row r="4871" spans="31:31">
      <c r="AE4871" s="54"/>
    </row>
    <row r="4872" spans="31:31">
      <c r="AE4872" s="54"/>
    </row>
    <row r="4873" spans="31:31">
      <c r="AE4873" s="54"/>
    </row>
    <row r="4874" spans="31:31">
      <c r="AE4874" s="54"/>
    </row>
    <row r="4875" spans="31:31">
      <c r="AE4875" s="54"/>
    </row>
    <row r="4876" spans="31:31">
      <c r="AE4876" s="54"/>
    </row>
    <row r="4877" spans="31:31">
      <c r="AE4877" s="54"/>
    </row>
    <row r="4878" spans="31:31">
      <c r="AE4878" s="54"/>
    </row>
    <row r="4879" spans="31:31">
      <c r="AE4879" s="54"/>
    </row>
    <row r="4880" spans="31:31">
      <c r="AE4880" s="54"/>
    </row>
    <row r="4881" spans="31:31">
      <c r="AE4881" s="54"/>
    </row>
    <row r="4882" spans="31:31">
      <c r="AE4882" s="54"/>
    </row>
    <row r="4883" spans="31:31">
      <c r="AE4883" s="54"/>
    </row>
    <row r="4884" spans="31:31">
      <c r="AE4884" s="54"/>
    </row>
    <row r="4885" spans="31:31">
      <c r="AE4885" s="54"/>
    </row>
    <row r="4886" spans="31:31">
      <c r="AE4886" s="54"/>
    </row>
    <row r="4887" spans="31:31">
      <c r="AE4887" s="54"/>
    </row>
    <row r="4888" spans="31:31">
      <c r="AE4888" s="54"/>
    </row>
    <row r="4889" spans="31:31">
      <c r="AE4889" s="54"/>
    </row>
    <row r="4890" spans="31:31">
      <c r="AE4890" s="54"/>
    </row>
    <row r="4891" spans="31:31">
      <c r="AE4891" s="54"/>
    </row>
    <row r="4892" spans="31:31">
      <c r="AE4892" s="54"/>
    </row>
    <row r="4893" spans="31:31">
      <c r="AE4893" s="54"/>
    </row>
    <row r="4894" spans="31:31">
      <c r="AE4894" s="54"/>
    </row>
    <row r="4895" spans="31:31">
      <c r="AE4895" s="54"/>
    </row>
    <row r="4896" spans="31:31">
      <c r="AE4896" s="54"/>
    </row>
    <row r="4897" spans="31:31">
      <c r="AE4897" s="54"/>
    </row>
    <row r="4898" spans="31:31">
      <c r="AE4898" s="54"/>
    </row>
    <row r="4899" spans="31:31">
      <c r="AE4899" s="54"/>
    </row>
    <row r="4900" spans="31:31">
      <c r="AE4900" s="54"/>
    </row>
    <row r="4901" spans="31:31">
      <c r="AE4901" s="54"/>
    </row>
    <row r="4902" spans="31:31">
      <c r="AE4902" s="54"/>
    </row>
    <row r="4903" spans="31:31">
      <c r="AE4903" s="54"/>
    </row>
    <row r="4904" spans="31:31">
      <c r="AE4904" s="54"/>
    </row>
    <row r="4905" spans="31:31">
      <c r="AE4905" s="54"/>
    </row>
    <row r="4906" spans="31:31">
      <c r="AE4906" s="54"/>
    </row>
    <row r="4907" spans="31:31">
      <c r="AE4907" s="54"/>
    </row>
    <row r="4908" spans="31:31">
      <c r="AE4908" s="54"/>
    </row>
    <row r="4909" spans="31:31">
      <c r="AE4909" s="54"/>
    </row>
    <row r="4910" spans="31:31">
      <c r="AE4910" s="54"/>
    </row>
    <row r="4911" spans="31:31">
      <c r="AE4911" s="54"/>
    </row>
    <row r="4912" spans="31:31">
      <c r="AE4912" s="54"/>
    </row>
    <row r="4913" spans="31:31">
      <c r="AE4913" s="54"/>
    </row>
    <row r="4914" spans="31:31">
      <c r="AE4914" s="54"/>
    </row>
    <row r="4915" spans="31:31">
      <c r="AE4915" s="54"/>
    </row>
    <row r="4916" spans="31:31">
      <c r="AE4916" s="54"/>
    </row>
    <row r="4917" spans="31:31">
      <c r="AE4917" s="54"/>
    </row>
    <row r="4918" spans="31:31">
      <c r="AE4918" s="54"/>
    </row>
    <row r="4919" spans="31:31">
      <c r="AE4919" s="54"/>
    </row>
    <row r="4920" spans="31:31">
      <c r="AE4920" s="54"/>
    </row>
    <row r="4921" spans="31:31">
      <c r="AE4921" s="54"/>
    </row>
    <row r="4922" spans="31:31">
      <c r="AE4922" s="54"/>
    </row>
    <row r="4923" spans="31:31">
      <c r="AE4923" s="54"/>
    </row>
    <row r="4924" spans="31:31">
      <c r="AE4924" s="54"/>
    </row>
    <row r="4925" spans="31:31">
      <c r="AE4925" s="54"/>
    </row>
    <row r="4926" spans="31:31">
      <c r="AE4926" s="54"/>
    </row>
    <row r="4927" spans="31:31">
      <c r="AE4927" s="54"/>
    </row>
    <row r="4928" spans="31:31">
      <c r="AE4928" s="54"/>
    </row>
    <row r="4929" spans="31:31">
      <c r="AE4929" s="54"/>
    </row>
    <row r="4930" spans="31:31">
      <c r="AE4930" s="54"/>
    </row>
    <row r="4931" spans="31:31">
      <c r="AE4931" s="54"/>
    </row>
    <row r="4932" spans="31:31">
      <c r="AE4932" s="54"/>
    </row>
    <row r="4933" spans="31:31">
      <c r="AE4933" s="54"/>
    </row>
    <row r="4934" spans="31:31">
      <c r="AE4934" s="54"/>
    </row>
    <row r="4935" spans="31:31">
      <c r="AE4935" s="54"/>
    </row>
    <row r="4936" spans="31:31">
      <c r="AE4936" s="54"/>
    </row>
    <row r="4937" spans="31:31">
      <c r="AE4937" s="54"/>
    </row>
    <row r="4938" spans="31:31">
      <c r="AE4938" s="54"/>
    </row>
    <row r="4939" spans="31:31">
      <c r="AE4939" s="54"/>
    </row>
    <row r="4940" spans="31:31">
      <c r="AE4940" s="54"/>
    </row>
    <row r="4941" spans="31:31">
      <c r="AE4941" s="54"/>
    </row>
    <row r="4942" spans="31:31">
      <c r="AE4942" s="54"/>
    </row>
    <row r="4943" spans="31:31">
      <c r="AE4943" s="54"/>
    </row>
    <row r="4944" spans="31:31">
      <c r="AE4944" s="54"/>
    </row>
    <row r="4945" spans="31:31">
      <c r="AE4945" s="54"/>
    </row>
    <row r="4946" spans="31:31">
      <c r="AE4946" s="54"/>
    </row>
    <row r="4947" spans="31:31">
      <c r="AE4947" s="54"/>
    </row>
    <row r="4948" spans="31:31">
      <c r="AE4948" s="54"/>
    </row>
    <row r="4949" spans="31:31">
      <c r="AE4949" s="54"/>
    </row>
    <row r="4950" spans="31:31">
      <c r="AE4950" s="54"/>
    </row>
    <row r="4951" spans="31:31">
      <c r="AE4951" s="54"/>
    </row>
    <row r="4952" spans="31:31">
      <c r="AE4952" s="54"/>
    </row>
    <row r="4953" spans="31:31">
      <c r="AE4953" s="54"/>
    </row>
    <row r="4954" spans="31:31">
      <c r="AE4954" s="54"/>
    </row>
    <row r="4955" spans="31:31">
      <c r="AE4955" s="54"/>
    </row>
    <row r="4956" spans="31:31">
      <c r="AE4956" s="54"/>
    </row>
    <row r="4957" spans="31:31">
      <c r="AE4957" s="54"/>
    </row>
    <row r="4958" spans="31:31">
      <c r="AE4958" s="54"/>
    </row>
    <row r="4959" spans="31:31">
      <c r="AE4959" s="54"/>
    </row>
    <row r="4960" spans="31:31">
      <c r="AE4960" s="54"/>
    </row>
    <row r="4961" spans="31:31">
      <c r="AE4961" s="54"/>
    </row>
    <row r="4962" spans="31:31">
      <c r="AE4962" s="54"/>
    </row>
    <row r="4963" spans="31:31">
      <c r="AE4963" s="54"/>
    </row>
    <row r="4964" spans="31:31">
      <c r="AE4964" s="54"/>
    </row>
    <row r="4965" spans="31:31">
      <c r="AE4965" s="54"/>
    </row>
    <row r="4966" spans="31:31">
      <c r="AE4966" s="54"/>
    </row>
    <row r="4967" spans="31:31">
      <c r="AE4967" s="54"/>
    </row>
    <row r="4968" spans="31:31">
      <c r="AE4968" s="54"/>
    </row>
    <row r="4969" spans="31:31">
      <c r="AE4969" s="54"/>
    </row>
    <row r="4970" spans="31:31">
      <c r="AE4970" s="54"/>
    </row>
    <row r="4971" spans="31:31">
      <c r="AE4971" s="54"/>
    </row>
    <row r="4972" spans="31:31">
      <c r="AE4972" s="54"/>
    </row>
    <row r="4973" spans="31:31">
      <c r="AE4973" s="54"/>
    </row>
    <row r="4974" spans="31:31">
      <c r="AE4974" s="54"/>
    </row>
    <row r="4975" spans="31:31">
      <c r="AE4975" s="54"/>
    </row>
    <row r="4976" spans="31:31">
      <c r="AE4976" s="54"/>
    </row>
    <row r="4977" spans="31:31">
      <c r="AE4977" s="54"/>
    </row>
    <row r="4978" spans="31:31">
      <c r="AE4978" s="54"/>
    </row>
    <row r="4979" spans="31:31">
      <c r="AE4979" s="54"/>
    </row>
    <row r="4980" spans="31:31">
      <c r="AE4980" s="54"/>
    </row>
    <row r="4981" spans="31:31">
      <c r="AE4981" s="54"/>
    </row>
    <row r="4982" spans="31:31">
      <c r="AE4982" s="54"/>
    </row>
    <row r="4983" spans="31:31">
      <c r="AE4983" s="54"/>
    </row>
    <row r="4984" spans="31:31">
      <c r="AE4984" s="54"/>
    </row>
    <row r="4985" spans="31:31">
      <c r="AE4985" s="54"/>
    </row>
    <row r="4986" spans="31:31">
      <c r="AE4986" s="54"/>
    </row>
    <row r="4987" spans="31:31">
      <c r="AE4987" s="54"/>
    </row>
    <row r="4988" spans="31:31">
      <c r="AE4988" s="54"/>
    </row>
    <row r="4989" spans="31:31">
      <c r="AE4989" s="54"/>
    </row>
    <row r="4990" spans="31:31">
      <c r="AE4990" s="54"/>
    </row>
    <row r="4991" spans="31:31">
      <c r="AE4991" s="54"/>
    </row>
    <row r="4992" spans="31:31">
      <c r="AE4992" s="54"/>
    </row>
    <row r="4993" spans="31:31">
      <c r="AE4993" s="54"/>
    </row>
    <row r="4994" spans="31:31">
      <c r="AE4994" s="54"/>
    </row>
    <row r="4995" spans="31:31">
      <c r="AE4995" s="54"/>
    </row>
    <row r="4996" spans="31:31">
      <c r="AE4996" s="54"/>
    </row>
    <row r="4997" spans="31:31">
      <c r="AE4997" s="54"/>
    </row>
    <row r="4998" spans="31:31">
      <c r="AE4998" s="54"/>
    </row>
    <row r="4999" spans="31:31">
      <c r="AE4999" s="54"/>
    </row>
    <row r="5000" spans="31:31">
      <c r="AE5000" s="54"/>
    </row>
    <row r="5001" spans="31:31">
      <c r="AE5001" s="54"/>
    </row>
    <row r="5002" spans="31:31">
      <c r="AE5002" s="54"/>
    </row>
    <row r="5003" spans="31:31">
      <c r="AE5003" s="54"/>
    </row>
    <row r="5004" spans="31:31">
      <c r="AE5004" s="54"/>
    </row>
    <row r="5005" spans="31:31">
      <c r="AE5005" s="54"/>
    </row>
    <row r="5006" spans="31:31">
      <c r="AE5006" s="54"/>
    </row>
    <row r="5007" spans="31:31">
      <c r="AE5007" s="54"/>
    </row>
    <row r="5008" spans="31:31">
      <c r="AE5008" s="54"/>
    </row>
    <row r="5009" spans="31:31">
      <c r="AE5009" s="54"/>
    </row>
    <row r="5010" spans="31:31">
      <c r="AE5010" s="54"/>
    </row>
    <row r="5011" spans="31:31">
      <c r="AE5011" s="54"/>
    </row>
    <row r="5012" spans="31:31">
      <c r="AE5012" s="54"/>
    </row>
    <row r="5013" spans="31:31">
      <c r="AE5013" s="54"/>
    </row>
    <row r="5014" spans="31:31">
      <c r="AE5014" s="54"/>
    </row>
    <row r="5015" spans="31:31">
      <c r="AE5015" s="54"/>
    </row>
    <row r="5016" spans="31:31">
      <c r="AE5016" s="54"/>
    </row>
    <row r="5017" spans="31:31">
      <c r="AE5017" s="54"/>
    </row>
    <row r="5018" spans="31:31">
      <c r="AE5018" s="54"/>
    </row>
    <row r="5019" spans="31:31">
      <c r="AE5019" s="54"/>
    </row>
    <row r="5020" spans="31:31">
      <c r="AE5020" s="54"/>
    </row>
    <row r="5021" spans="31:31">
      <c r="AE5021" s="54"/>
    </row>
    <row r="5022" spans="31:31">
      <c r="AE5022" s="54"/>
    </row>
    <row r="5023" spans="31:31">
      <c r="AE5023" s="54"/>
    </row>
    <row r="5024" spans="31:31">
      <c r="AE5024" s="54"/>
    </row>
    <row r="5025" spans="31:31">
      <c r="AE5025" s="54"/>
    </row>
    <row r="5026" spans="31:31">
      <c r="AE5026" s="54"/>
    </row>
    <row r="5027" spans="31:31">
      <c r="AE5027" s="54"/>
    </row>
    <row r="5028" spans="31:31">
      <c r="AE5028" s="54"/>
    </row>
    <row r="5029" spans="31:31">
      <c r="AE5029" s="54"/>
    </row>
    <row r="5030" spans="31:31">
      <c r="AE5030" s="54"/>
    </row>
    <row r="5031" spans="31:31">
      <c r="AE5031" s="54"/>
    </row>
    <row r="5032" spans="31:31">
      <c r="AE5032" s="54"/>
    </row>
    <row r="5033" spans="31:31">
      <c r="AE5033" s="54"/>
    </row>
    <row r="5034" spans="31:31">
      <c r="AE5034" s="54"/>
    </row>
    <row r="5035" spans="31:31">
      <c r="AE5035" s="54"/>
    </row>
    <row r="5036" spans="31:31">
      <c r="AE5036" s="54"/>
    </row>
    <row r="5037" spans="31:31">
      <c r="AE5037" s="54"/>
    </row>
    <row r="5038" spans="31:31">
      <c r="AE5038" s="54"/>
    </row>
    <row r="5039" spans="31:31">
      <c r="AE5039" s="54"/>
    </row>
    <row r="5040" spans="31:31">
      <c r="AE5040" s="54"/>
    </row>
    <row r="5041" spans="31:31">
      <c r="AE5041" s="54"/>
    </row>
    <row r="5042" spans="31:31">
      <c r="AE5042" s="54"/>
    </row>
    <row r="5043" spans="31:31">
      <c r="AE5043" s="54"/>
    </row>
    <row r="5044" spans="31:31">
      <c r="AE5044" s="54"/>
    </row>
    <row r="5045" spans="31:31">
      <c r="AE5045" s="54"/>
    </row>
    <row r="5046" spans="31:31">
      <c r="AE5046" s="54"/>
    </row>
    <row r="5047" spans="31:31">
      <c r="AE5047" s="54"/>
    </row>
    <row r="5048" spans="31:31">
      <c r="AE5048" s="54"/>
    </row>
    <row r="5049" spans="31:31">
      <c r="AE5049" s="54"/>
    </row>
    <row r="5050" spans="31:31">
      <c r="AE5050" s="54"/>
    </row>
    <row r="5051" spans="31:31">
      <c r="AE5051" s="54"/>
    </row>
    <row r="5052" spans="31:31">
      <c r="AE5052" s="54"/>
    </row>
    <row r="5053" spans="31:31">
      <c r="AE5053" s="54"/>
    </row>
    <row r="5054" spans="31:31">
      <c r="AE5054" s="54"/>
    </row>
    <row r="5055" spans="31:31">
      <c r="AE5055" s="54"/>
    </row>
    <row r="5056" spans="31:31">
      <c r="AE5056" s="54"/>
    </row>
    <row r="5057" spans="31:31">
      <c r="AE5057" s="54"/>
    </row>
    <row r="5058" spans="31:31">
      <c r="AE5058" s="54"/>
    </row>
    <row r="5059" spans="31:31">
      <c r="AE5059" s="54"/>
    </row>
    <row r="5060" spans="31:31">
      <c r="AE5060" s="54"/>
    </row>
    <row r="5061" spans="31:31">
      <c r="AE5061" s="54"/>
    </row>
    <row r="5062" spans="31:31">
      <c r="AE5062" s="54"/>
    </row>
    <row r="5063" spans="31:31">
      <c r="AE5063" s="54"/>
    </row>
    <row r="5064" spans="31:31">
      <c r="AE5064" s="54"/>
    </row>
    <row r="5065" spans="31:31">
      <c r="AE5065" s="54"/>
    </row>
    <row r="5066" spans="31:31">
      <c r="AE5066" s="54"/>
    </row>
    <row r="5067" spans="31:31">
      <c r="AE5067" s="54"/>
    </row>
    <row r="5068" spans="31:31">
      <c r="AE5068" s="54"/>
    </row>
    <row r="5069" spans="31:31">
      <c r="AE5069" s="54"/>
    </row>
    <row r="5070" spans="31:31">
      <c r="AE5070" s="54"/>
    </row>
    <row r="5071" spans="31:31">
      <c r="AE5071" s="54"/>
    </row>
    <row r="5072" spans="31:31">
      <c r="AE5072" s="54"/>
    </row>
    <row r="5073" spans="31:31">
      <c r="AE5073" s="54"/>
    </row>
    <row r="5074" spans="31:31">
      <c r="AE5074" s="54"/>
    </row>
    <row r="5075" spans="31:31">
      <c r="AE5075" s="54"/>
    </row>
    <row r="5076" spans="31:31">
      <c r="AE5076" s="54"/>
    </row>
    <row r="5077" spans="31:31">
      <c r="AE5077" s="54"/>
    </row>
    <row r="5078" spans="31:31">
      <c r="AE5078" s="54"/>
    </row>
    <row r="5079" spans="31:31">
      <c r="AE5079" s="54"/>
    </row>
    <row r="5080" spans="31:31">
      <c r="AE5080" s="54"/>
    </row>
    <row r="5081" spans="31:31">
      <c r="AE5081" s="54"/>
    </row>
    <row r="5082" spans="31:31">
      <c r="AE5082" s="54"/>
    </row>
    <row r="5083" spans="31:31">
      <c r="AE5083" s="54"/>
    </row>
    <row r="5084" spans="31:31">
      <c r="AE5084" s="54"/>
    </row>
    <row r="5085" spans="31:31">
      <c r="AE5085" s="54"/>
    </row>
    <row r="5086" spans="31:31">
      <c r="AE5086" s="54"/>
    </row>
    <row r="5087" spans="31:31">
      <c r="AE5087" s="54"/>
    </row>
    <row r="5088" spans="31:31">
      <c r="AE5088" s="54"/>
    </row>
    <row r="5089" spans="31:31">
      <c r="AE5089" s="54"/>
    </row>
    <row r="5090" spans="31:31">
      <c r="AE5090" s="54"/>
    </row>
    <row r="5091" spans="31:31">
      <c r="AE5091" s="54"/>
    </row>
    <row r="5092" spans="31:31">
      <c r="AE5092" s="54"/>
    </row>
    <row r="5093" spans="31:31">
      <c r="AE5093" s="54"/>
    </row>
    <row r="5094" spans="31:31">
      <c r="AE5094" s="54"/>
    </row>
    <row r="5095" spans="31:31">
      <c r="AE5095" s="54"/>
    </row>
    <row r="5096" spans="31:31">
      <c r="AE5096" s="54"/>
    </row>
    <row r="5097" spans="31:31">
      <c r="AE5097" s="54"/>
    </row>
    <row r="5098" spans="31:31">
      <c r="AE5098" s="54"/>
    </row>
    <row r="5099" spans="31:31">
      <c r="AE5099" s="54"/>
    </row>
    <row r="5100" spans="31:31">
      <c r="AE5100" s="54"/>
    </row>
    <row r="5101" spans="31:31">
      <c r="AE5101" s="54"/>
    </row>
    <row r="5102" spans="31:31">
      <c r="AE5102" s="54"/>
    </row>
    <row r="5103" spans="31:31">
      <c r="AE5103" s="54"/>
    </row>
    <row r="5104" spans="31:31">
      <c r="AE5104" s="54"/>
    </row>
    <row r="5105" spans="31:31">
      <c r="AE5105" s="54"/>
    </row>
    <row r="5106" spans="31:31">
      <c r="AE5106" s="54"/>
    </row>
    <row r="5107" spans="31:31">
      <c r="AE5107" s="54"/>
    </row>
    <row r="5108" spans="31:31">
      <c r="AE5108" s="54"/>
    </row>
    <row r="5109" spans="31:31">
      <c r="AE5109" s="54"/>
    </row>
    <row r="5110" spans="31:31">
      <c r="AE5110" s="54"/>
    </row>
    <row r="5111" spans="31:31">
      <c r="AE5111" s="54"/>
    </row>
    <row r="5112" spans="31:31">
      <c r="AE5112" s="54"/>
    </row>
    <row r="5113" spans="31:31">
      <c r="AE5113" s="54"/>
    </row>
    <row r="5114" spans="31:31">
      <c r="AE5114" s="54"/>
    </row>
    <row r="5115" spans="31:31">
      <c r="AE5115" s="54"/>
    </row>
    <row r="5116" spans="31:31">
      <c r="AE5116" s="54"/>
    </row>
    <row r="5117" spans="31:31">
      <c r="AE5117" s="54"/>
    </row>
    <row r="5118" spans="31:31">
      <c r="AE5118" s="54"/>
    </row>
    <row r="5119" spans="31:31">
      <c r="AE5119" s="54"/>
    </row>
    <row r="5120" spans="31:31">
      <c r="AE5120" s="54"/>
    </row>
    <row r="5121" spans="31:31">
      <c r="AE5121" s="54"/>
    </row>
    <row r="5122" spans="31:31">
      <c r="AE5122" s="54"/>
    </row>
    <row r="5123" spans="31:31">
      <c r="AE5123" s="54"/>
    </row>
    <row r="5124" spans="31:31">
      <c r="AE5124" s="54"/>
    </row>
    <row r="5125" spans="31:31">
      <c r="AE5125" s="54"/>
    </row>
    <row r="5126" spans="31:31">
      <c r="AE5126" s="54"/>
    </row>
    <row r="5127" spans="31:31">
      <c r="AE5127" s="54"/>
    </row>
    <row r="5128" spans="31:31">
      <c r="AE5128" s="54"/>
    </row>
    <row r="5129" spans="31:31">
      <c r="AE5129" s="54"/>
    </row>
    <row r="5130" spans="31:31">
      <c r="AE5130" s="54"/>
    </row>
    <row r="5131" spans="31:31">
      <c r="AE5131" s="54"/>
    </row>
    <row r="5132" spans="31:31">
      <c r="AE5132" s="54"/>
    </row>
    <row r="5133" spans="31:31">
      <c r="AE5133" s="54"/>
    </row>
    <row r="5134" spans="31:31">
      <c r="AE5134" s="54"/>
    </row>
    <row r="5135" spans="31:31">
      <c r="AE5135" s="54"/>
    </row>
    <row r="5136" spans="31:31">
      <c r="AE5136" s="54"/>
    </row>
    <row r="5137" spans="31:31">
      <c r="AE5137" s="54"/>
    </row>
    <row r="5138" spans="31:31">
      <c r="AE5138" s="54"/>
    </row>
    <row r="5139" spans="31:31">
      <c r="AE5139" s="54"/>
    </row>
    <row r="5140" spans="31:31">
      <c r="AE5140" s="54"/>
    </row>
    <row r="5141" spans="31:31">
      <c r="AE5141" s="54"/>
    </row>
    <row r="5142" spans="31:31">
      <c r="AE5142" s="54"/>
    </row>
    <row r="5143" spans="31:31">
      <c r="AE5143" s="54"/>
    </row>
    <row r="5144" spans="31:31">
      <c r="AE5144" s="54"/>
    </row>
    <row r="5145" spans="31:31">
      <c r="AE5145" s="54"/>
    </row>
    <row r="5146" spans="31:31">
      <c r="AE5146" s="54"/>
    </row>
    <row r="5147" spans="31:31">
      <c r="AE5147" s="54"/>
    </row>
    <row r="5148" spans="31:31">
      <c r="AE5148" s="54"/>
    </row>
    <row r="5149" spans="31:31">
      <c r="AE5149" s="54"/>
    </row>
    <row r="5150" spans="31:31">
      <c r="AE5150" s="54"/>
    </row>
    <row r="5151" spans="31:31">
      <c r="AE5151" s="54"/>
    </row>
    <row r="5152" spans="31:31">
      <c r="AE5152" s="54"/>
    </row>
    <row r="5153" spans="31:31">
      <c r="AE5153" s="54"/>
    </row>
    <row r="5154" spans="31:31">
      <c r="AE5154" s="54"/>
    </row>
    <row r="5155" spans="31:31">
      <c r="AE5155" s="54"/>
    </row>
    <row r="5156" spans="31:31">
      <c r="AE5156" s="54"/>
    </row>
    <row r="5157" spans="31:31">
      <c r="AE5157" s="54"/>
    </row>
    <row r="5158" spans="31:31">
      <c r="AE5158" s="54"/>
    </row>
    <row r="5159" spans="31:31">
      <c r="AE5159" s="54"/>
    </row>
    <row r="5160" spans="31:31">
      <c r="AE5160" s="54"/>
    </row>
    <row r="5161" spans="31:31">
      <c r="AE5161" s="54"/>
    </row>
    <row r="5162" spans="31:31">
      <c r="AE5162" s="54"/>
    </row>
    <row r="5163" spans="31:31">
      <c r="AE5163" s="54"/>
    </row>
    <row r="5164" spans="31:31">
      <c r="AE5164" s="54"/>
    </row>
    <row r="5165" spans="31:31">
      <c r="AE5165" s="54"/>
    </row>
    <row r="5166" spans="31:31">
      <c r="AE5166" s="54"/>
    </row>
    <row r="5167" spans="31:31">
      <c r="AE5167" s="54"/>
    </row>
    <row r="5168" spans="31:31">
      <c r="AE5168" s="54"/>
    </row>
    <row r="5169" spans="31:31">
      <c r="AE5169" s="54"/>
    </row>
    <row r="5170" spans="31:31">
      <c r="AE5170" s="54"/>
    </row>
    <row r="5171" spans="31:31">
      <c r="AE5171" s="54"/>
    </row>
    <row r="5172" spans="31:31">
      <c r="AE5172" s="54"/>
    </row>
    <row r="5173" spans="31:31">
      <c r="AE5173" s="54"/>
    </row>
    <row r="5174" spans="31:31">
      <c r="AE5174" s="54"/>
    </row>
    <row r="5175" spans="31:31">
      <c r="AE5175" s="54"/>
    </row>
    <row r="5176" spans="31:31">
      <c r="AE5176" s="54"/>
    </row>
    <row r="5177" spans="31:31">
      <c r="AE5177" s="54"/>
    </row>
    <row r="5178" spans="31:31">
      <c r="AE5178" s="54"/>
    </row>
    <row r="5179" spans="31:31">
      <c r="AE5179" s="54"/>
    </row>
    <row r="5180" spans="31:31">
      <c r="AE5180" s="54"/>
    </row>
    <row r="5181" spans="31:31">
      <c r="AE5181" s="54"/>
    </row>
    <row r="5182" spans="31:31">
      <c r="AE5182" s="54"/>
    </row>
    <row r="5183" spans="31:31">
      <c r="AE5183" s="54"/>
    </row>
    <row r="5184" spans="31:31">
      <c r="AE5184" s="54"/>
    </row>
    <row r="5185" spans="31:31">
      <c r="AE5185" s="54"/>
    </row>
    <row r="5186" spans="31:31">
      <c r="AE5186" s="54"/>
    </row>
    <row r="5187" spans="31:31">
      <c r="AE5187" s="54"/>
    </row>
    <row r="5188" spans="31:31">
      <c r="AE5188" s="54"/>
    </row>
    <row r="5189" spans="31:31">
      <c r="AE5189" s="54"/>
    </row>
    <row r="5190" spans="31:31">
      <c r="AE5190" s="54"/>
    </row>
    <row r="5191" spans="31:31">
      <c r="AE5191" s="54"/>
    </row>
    <row r="5192" spans="31:31">
      <c r="AE5192" s="54"/>
    </row>
    <row r="5193" spans="31:31">
      <c r="AE5193" s="54"/>
    </row>
    <row r="5194" spans="31:31">
      <c r="AE5194" s="54"/>
    </row>
    <row r="5195" spans="31:31">
      <c r="AE5195" s="54"/>
    </row>
    <row r="5196" spans="31:31">
      <c r="AE5196" s="54"/>
    </row>
    <row r="5197" spans="31:31">
      <c r="AE5197" s="54"/>
    </row>
    <row r="5198" spans="31:31">
      <c r="AE5198" s="54"/>
    </row>
    <row r="5199" spans="31:31">
      <c r="AE5199" s="54"/>
    </row>
    <row r="5200" spans="31:31">
      <c r="AE5200" s="54"/>
    </row>
    <row r="5201" spans="31:31">
      <c r="AE5201" s="54"/>
    </row>
    <row r="5202" spans="31:31">
      <c r="AE5202" s="54"/>
    </row>
    <row r="5203" spans="31:31">
      <c r="AE5203" s="54"/>
    </row>
    <row r="5204" spans="31:31">
      <c r="AE5204" s="54"/>
    </row>
    <row r="5205" spans="31:31">
      <c r="AE5205" s="54"/>
    </row>
    <row r="5206" spans="31:31">
      <c r="AE5206" s="54"/>
    </row>
    <row r="5207" spans="31:31">
      <c r="AE5207" s="54"/>
    </row>
    <row r="5208" spans="31:31">
      <c r="AE5208" s="54"/>
    </row>
    <row r="5209" spans="31:31">
      <c r="AE5209" s="54"/>
    </row>
    <row r="5210" spans="31:31">
      <c r="AE5210" s="54"/>
    </row>
    <row r="5211" spans="31:31">
      <c r="AE5211" s="54"/>
    </row>
    <row r="5212" spans="31:31">
      <c r="AE5212" s="54"/>
    </row>
    <row r="5213" spans="31:31">
      <c r="AE5213" s="54"/>
    </row>
    <row r="5214" spans="31:31">
      <c r="AE5214" s="54"/>
    </row>
    <row r="5215" spans="31:31">
      <c r="AE5215" s="54"/>
    </row>
    <row r="5216" spans="31:31">
      <c r="AE5216" s="54"/>
    </row>
    <row r="5217" spans="31:31">
      <c r="AE5217" s="54"/>
    </row>
    <row r="5218" spans="31:31">
      <c r="AE5218" s="54"/>
    </row>
    <row r="5219" spans="31:31">
      <c r="AE5219" s="54"/>
    </row>
    <row r="5220" spans="31:31">
      <c r="AE5220" s="54"/>
    </row>
    <row r="5221" spans="31:31">
      <c r="AE5221" s="54"/>
    </row>
    <row r="5222" spans="31:31">
      <c r="AE5222" s="54"/>
    </row>
    <row r="5223" spans="31:31">
      <c r="AE5223" s="54"/>
    </row>
    <row r="5224" spans="31:31">
      <c r="AE5224" s="54"/>
    </row>
    <row r="5225" spans="31:31">
      <c r="AE5225" s="54"/>
    </row>
    <row r="5226" spans="31:31">
      <c r="AE5226" s="54"/>
    </row>
    <row r="5227" spans="31:31">
      <c r="AE5227" s="54"/>
    </row>
    <row r="5228" spans="31:31">
      <c r="AE5228" s="54"/>
    </row>
    <row r="5229" spans="31:31">
      <c r="AE5229" s="54"/>
    </row>
    <row r="5230" spans="31:31">
      <c r="AE5230" s="54"/>
    </row>
    <row r="5231" spans="31:31">
      <c r="AE5231" s="54"/>
    </row>
    <row r="5232" spans="31:31">
      <c r="AE5232" s="54"/>
    </row>
    <row r="5233" spans="31:31">
      <c r="AE5233" s="54"/>
    </row>
    <row r="5234" spans="31:31">
      <c r="AE5234" s="54"/>
    </row>
    <row r="5235" spans="31:31">
      <c r="AE5235" s="54"/>
    </row>
    <row r="5236" spans="31:31">
      <c r="AE5236" s="54"/>
    </row>
    <row r="5237" spans="31:31">
      <c r="AE5237" s="54"/>
    </row>
    <row r="5238" spans="31:31">
      <c r="AE5238" s="54"/>
    </row>
    <row r="5239" spans="31:31">
      <c r="AE5239" s="54"/>
    </row>
    <row r="5240" spans="31:31">
      <c r="AE5240" s="54"/>
    </row>
    <row r="5241" spans="31:31">
      <c r="AE5241" s="54"/>
    </row>
    <row r="5242" spans="31:31">
      <c r="AE5242" s="54"/>
    </row>
    <row r="5243" spans="31:31">
      <c r="AE5243" s="54"/>
    </row>
    <row r="5244" spans="31:31">
      <c r="AE5244" s="54"/>
    </row>
    <row r="5245" spans="31:31">
      <c r="AE5245" s="54"/>
    </row>
    <row r="5246" spans="31:31">
      <c r="AE5246" s="54"/>
    </row>
    <row r="5247" spans="31:31">
      <c r="AE5247" s="54"/>
    </row>
    <row r="5248" spans="31:31">
      <c r="AE5248" s="54"/>
    </row>
    <row r="5249" spans="31:31">
      <c r="AE5249" s="54"/>
    </row>
    <row r="5250" spans="31:31">
      <c r="AE5250" s="54"/>
    </row>
    <row r="5251" spans="31:31">
      <c r="AE5251" s="54"/>
    </row>
    <row r="5252" spans="31:31">
      <c r="AE5252" s="54"/>
    </row>
    <row r="5253" spans="31:31">
      <c r="AE5253" s="54"/>
    </row>
    <row r="5254" spans="31:31">
      <c r="AE5254" s="54"/>
    </row>
    <row r="5255" spans="31:31">
      <c r="AE5255" s="54"/>
    </row>
    <row r="5256" spans="31:31">
      <c r="AE5256" s="54"/>
    </row>
    <row r="5257" spans="31:31">
      <c r="AE5257" s="54"/>
    </row>
    <row r="5258" spans="31:31">
      <c r="AE5258" s="54"/>
    </row>
    <row r="5259" spans="31:31">
      <c r="AE5259" s="54"/>
    </row>
    <row r="5260" spans="31:31">
      <c r="AE5260" s="54"/>
    </row>
    <row r="5261" spans="31:31">
      <c r="AE5261" s="54"/>
    </row>
    <row r="5262" spans="31:31">
      <c r="AE5262" s="54"/>
    </row>
    <row r="5263" spans="31:31">
      <c r="AE5263" s="54"/>
    </row>
    <row r="5264" spans="31:31">
      <c r="AE5264" s="54"/>
    </row>
    <row r="5265" spans="31:31">
      <c r="AE5265" s="54"/>
    </row>
    <row r="5266" spans="31:31">
      <c r="AE5266" s="54"/>
    </row>
    <row r="5267" spans="31:31">
      <c r="AE5267" s="54"/>
    </row>
    <row r="5268" spans="31:31">
      <c r="AE5268" s="54"/>
    </row>
    <row r="5269" spans="31:31">
      <c r="AE5269" s="54"/>
    </row>
    <row r="5270" spans="31:31">
      <c r="AE5270" s="54"/>
    </row>
    <row r="5271" spans="31:31">
      <c r="AE5271" s="54"/>
    </row>
    <row r="5272" spans="31:31">
      <c r="AE5272" s="54"/>
    </row>
    <row r="5273" spans="31:31">
      <c r="AE5273" s="54"/>
    </row>
    <row r="5274" spans="31:31">
      <c r="AE5274" s="54"/>
    </row>
    <row r="5275" spans="31:31">
      <c r="AE5275" s="54"/>
    </row>
    <row r="5276" spans="31:31">
      <c r="AE5276" s="54"/>
    </row>
    <row r="5277" spans="31:31">
      <c r="AE5277" s="54"/>
    </row>
    <row r="5278" spans="31:31">
      <c r="AE5278" s="54"/>
    </row>
    <row r="5279" spans="31:31">
      <c r="AE5279" s="54"/>
    </row>
    <row r="5280" spans="31:31">
      <c r="AE5280" s="54"/>
    </row>
    <row r="5281" spans="31:31">
      <c r="AE5281" s="54"/>
    </row>
    <row r="5282" spans="31:31">
      <c r="AE5282" s="54"/>
    </row>
    <row r="5283" spans="31:31">
      <c r="AE5283" s="54"/>
    </row>
    <row r="5284" spans="31:31">
      <c r="AE5284" s="54"/>
    </row>
    <row r="5285" spans="31:31">
      <c r="AE5285" s="54"/>
    </row>
    <row r="5286" spans="31:31">
      <c r="AE5286" s="54"/>
    </row>
    <row r="5287" spans="31:31">
      <c r="AE5287" s="54"/>
    </row>
    <row r="5288" spans="31:31">
      <c r="AE5288" s="54"/>
    </row>
    <row r="5289" spans="31:31">
      <c r="AE5289" s="54"/>
    </row>
    <row r="5290" spans="31:31">
      <c r="AE5290" s="54"/>
    </row>
    <row r="5291" spans="31:31">
      <c r="AE5291" s="54"/>
    </row>
    <row r="5292" spans="31:31">
      <c r="AE5292" s="54"/>
    </row>
    <row r="5293" spans="31:31">
      <c r="AE5293" s="54"/>
    </row>
    <row r="5294" spans="31:31">
      <c r="AE5294" s="54"/>
    </row>
    <row r="5295" spans="31:31">
      <c r="AE5295" s="54"/>
    </row>
    <row r="5296" spans="31:31">
      <c r="AE5296" s="54"/>
    </row>
    <row r="5297" spans="31:31">
      <c r="AE5297" s="54"/>
    </row>
    <row r="5298" spans="31:31">
      <c r="AE5298" s="54"/>
    </row>
    <row r="5299" spans="31:31">
      <c r="AE5299" s="54"/>
    </row>
    <row r="5300" spans="31:31">
      <c r="AE5300" s="54"/>
    </row>
    <row r="5301" spans="31:31">
      <c r="AE5301" s="54"/>
    </row>
    <row r="5302" spans="31:31">
      <c r="AE5302" s="54"/>
    </row>
    <row r="5303" spans="31:31">
      <c r="AE5303" s="54"/>
    </row>
    <row r="5304" spans="31:31">
      <c r="AE5304" s="54"/>
    </row>
    <row r="5305" spans="31:31">
      <c r="AE5305" s="54"/>
    </row>
    <row r="5306" spans="31:31">
      <c r="AE5306" s="54"/>
    </row>
    <row r="5307" spans="31:31">
      <c r="AE5307" s="54"/>
    </row>
    <row r="5308" spans="31:31">
      <c r="AE5308" s="54"/>
    </row>
    <row r="5309" spans="31:31">
      <c r="AE5309" s="54"/>
    </row>
    <row r="5310" spans="31:31">
      <c r="AE5310" s="54"/>
    </row>
    <row r="5311" spans="31:31">
      <c r="AE5311" s="54"/>
    </row>
    <row r="5312" spans="31:31">
      <c r="AE5312" s="54"/>
    </row>
    <row r="5313" spans="31:31">
      <c r="AE5313" s="54"/>
    </row>
    <row r="5314" spans="31:31">
      <c r="AE5314" s="54"/>
    </row>
    <row r="5315" spans="31:31">
      <c r="AE5315" s="54"/>
    </row>
    <row r="5316" spans="31:31">
      <c r="AE5316" s="54"/>
    </row>
    <row r="5317" spans="31:31">
      <c r="AE5317" s="54"/>
    </row>
    <row r="5318" spans="31:31">
      <c r="AE5318" s="54"/>
    </row>
    <row r="5319" spans="31:31">
      <c r="AE5319" s="54"/>
    </row>
    <row r="5320" spans="31:31">
      <c r="AE5320" s="54"/>
    </row>
    <row r="5321" spans="31:31">
      <c r="AE5321" s="54"/>
    </row>
    <row r="5322" spans="31:31">
      <c r="AE5322" s="54"/>
    </row>
    <row r="5323" spans="31:31">
      <c r="AE5323" s="54"/>
    </row>
    <row r="5324" spans="31:31">
      <c r="AE5324" s="54"/>
    </row>
    <row r="5325" spans="31:31">
      <c r="AE5325" s="54"/>
    </row>
    <row r="5326" spans="31:31">
      <c r="AE5326" s="54"/>
    </row>
    <row r="5327" spans="31:31">
      <c r="AE5327" s="54"/>
    </row>
    <row r="5328" spans="31:31">
      <c r="AE5328" s="54"/>
    </row>
    <row r="5329" spans="31:31">
      <c r="AE5329" s="54"/>
    </row>
    <row r="5330" spans="31:31">
      <c r="AE5330" s="54"/>
    </row>
    <row r="5331" spans="31:31">
      <c r="AE5331" s="54"/>
    </row>
    <row r="5332" spans="31:31">
      <c r="AE5332" s="54"/>
    </row>
    <row r="5333" spans="31:31">
      <c r="AE5333" s="54"/>
    </row>
    <row r="5334" spans="31:31">
      <c r="AE5334" s="54"/>
    </row>
    <row r="5335" spans="31:31">
      <c r="AE5335" s="54"/>
    </row>
    <row r="5336" spans="31:31">
      <c r="AE5336" s="54"/>
    </row>
    <row r="5337" spans="31:31">
      <c r="AE5337" s="54"/>
    </row>
    <row r="5338" spans="31:31">
      <c r="AE5338" s="54"/>
    </row>
    <row r="5339" spans="31:31">
      <c r="AE5339" s="54"/>
    </row>
    <row r="5340" spans="31:31">
      <c r="AE5340" s="54"/>
    </row>
    <row r="5341" spans="31:31">
      <c r="AE5341" s="54"/>
    </row>
    <row r="5342" spans="31:31">
      <c r="AE5342" s="54"/>
    </row>
    <row r="5343" spans="31:31">
      <c r="AE5343" s="54"/>
    </row>
    <row r="5344" spans="31:31">
      <c r="AE5344" s="54"/>
    </row>
    <row r="5345" spans="31:31">
      <c r="AE5345" s="54"/>
    </row>
    <row r="5346" spans="31:31">
      <c r="AE5346" s="54"/>
    </row>
    <row r="5347" spans="31:31">
      <c r="AE5347" s="54"/>
    </row>
    <row r="5348" spans="31:31">
      <c r="AE5348" s="54"/>
    </row>
    <row r="5349" spans="31:31">
      <c r="AE5349" s="54"/>
    </row>
    <row r="5350" spans="31:31">
      <c r="AE5350" s="54"/>
    </row>
    <row r="5351" spans="31:31">
      <c r="AE5351" s="54"/>
    </row>
    <row r="5352" spans="31:31">
      <c r="AE5352" s="54"/>
    </row>
    <row r="5353" spans="31:31">
      <c r="AE5353" s="54"/>
    </row>
    <row r="5354" spans="31:31">
      <c r="AE5354" s="54"/>
    </row>
    <row r="5355" spans="31:31">
      <c r="AE5355" s="54"/>
    </row>
    <row r="5356" spans="31:31">
      <c r="AE5356" s="54"/>
    </row>
    <row r="5357" spans="31:31">
      <c r="AE5357" s="54"/>
    </row>
    <row r="5358" spans="31:31">
      <c r="AE5358" s="54"/>
    </row>
    <row r="5359" spans="31:31">
      <c r="AE5359" s="54"/>
    </row>
    <row r="5360" spans="31:31">
      <c r="AE5360" s="54"/>
    </row>
    <row r="5361" spans="31:31">
      <c r="AE5361" s="54"/>
    </row>
    <row r="5362" spans="31:31">
      <c r="AE5362" s="54"/>
    </row>
    <row r="5363" spans="31:31">
      <c r="AE5363" s="54"/>
    </row>
    <row r="5364" spans="31:31">
      <c r="AE5364" s="54"/>
    </row>
    <row r="5365" spans="31:31">
      <c r="AE5365" s="54"/>
    </row>
    <row r="5366" spans="31:31">
      <c r="AE5366" s="54"/>
    </row>
    <row r="5367" spans="31:31">
      <c r="AE5367" s="54"/>
    </row>
    <row r="5368" spans="31:31">
      <c r="AE5368" s="54"/>
    </row>
    <row r="5369" spans="31:31">
      <c r="AE5369" s="54"/>
    </row>
    <row r="5370" spans="31:31">
      <c r="AE5370" s="54"/>
    </row>
    <row r="5371" spans="31:31">
      <c r="AE5371" s="54"/>
    </row>
    <row r="5372" spans="31:31">
      <c r="AE5372" s="54"/>
    </row>
    <row r="5373" spans="31:31">
      <c r="AE5373" s="54"/>
    </row>
    <row r="5374" spans="31:31">
      <c r="AE5374" s="54"/>
    </row>
    <row r="5375" spans="31:31">
      <c r="AE5375" s="54"/>
    </row>
    <row r="5376" spans="31:31">
      <c r="AE5376" s="54"/>
    </row>
    <row r="5377" spans="31:31">
      <c r="AE5377" s="54"/>
    </row>
    <row r="5378" spans="31:31">
      <c r="AE5378" s="54"/>
    </row>
    <row r="5379" spans="31:31">
      <c r="AE5379" s="54"/>
    </row>
    <row r="5380" spans="31:31">
      <c r="AE5380" s="54"/>
    </row>
    <row r="5381" spans="31:31">
      <c r="AE5381" s="54"/>
    </row>
    <row r="5382" spans="31:31">
      <c r="AE5382" s="54"/>
    </row>
    <row r="5383" spans="31:31">
      <c r="AE5383" s="54"/>
    </row>
    <row r="5384" spans="31:31">
      <c r="AE5384" s="54"/>
    </row>
    <row r="5385" spans="31:31">
      <c r="AE5385" s="54"/>
    </row>
    <row r="5386" spans="31:31">
      <c r="AE5386" s="54"/>
    </row>
    <row r="5387" spans="31:31">
      <c r="AE5387" s="54"/>
    </row>
    <row r="5388" spans="31:31">
      <c r="AE5388" s="54"/>
    </row>
    <row r="5389" spans="31:31">
      <c r="AE5389" s="54"/>
    </row>
    <row r="5390" spans="31:31">
      <c r="AE5390" s="54"/>
    </row>
    <row r="5391" spans="31:31">
      <c r="AE5391" s="54"/>
    </row>
    <row r="5392" spans="31:31">
      <c r="AE5392" s="54"/>
    </row>
    <row r="5393" spans="31:31">
      <c r="AE5393" s="54"/>
    </row>
    <row r="5394" spans="31:31">
      <c r="AE5394" s="54"/>
    </row>
    <row r="5395" spans="31:31">
      <c r="AE5395" s="54"/>
    </row>
    <row r="5396" spans="31:31">
      <c r="AE5396" s="54"/>
    </row>
    <row r="5397" spans="31:31">
      <c r="AE5397" s="54"/>
    </row>
    <row r="5398" spans="31:31">
      <c r="AE5398" s="54"/>
    </row>
    <row r="5399" spans="31:31">
      <c r="AE5399" s="54"/>
    </row>
    <row r="5400" spans="31:31">
      <c r="AE5400" s="54"/>
    </row>
    <row r="5401" spans="31:31">
      <c r="AE5401" s="54"/>
    </row>
    <row r="5402" spans="31:31">
      <c r="AE5402" s="54"/>
    </row>
    <row r="5403" spans="31:31">
      <c r="AE5403" s="54"/>
    </row>
    <row r="5404" spans="31:31">
      <c r="AE5404" s="54"/>
    </row>
    <row r="5405" spans="31:31">
      <c r="AE5405" s="54"/>
    </row>
    <row r="5406" spans="31:31">
      <c r="AE5406" s="54"/>
    </row>
    <row r="5407" spans="31:31">
      <c r="AE5407" s="54"/>
    </row>
    <row r="5408" spans="31:31">
      <c r="AE5408" s="54"/>
    </row>
    <row r="5409" spans="31:31">
      <c r="AE5409" s="54"/>
    </row>
    <row r="5410" spans="31:31">
      <c r="AE5410" s="54"/>
    </row>
    <row r="5411" spans="31:31">
      <c r="AE5411" s="54"/>
    </row>
    <row r="5412" spans="31:31">
      <c r="AE5412" s="54"/>
    </row>
    <row r="5413" spans="31:31">
      <c r="AE5413" s="54"/>
    </row>
    <row r="5414" spans="31:31">
      <c r="AE5414" s="54"/>
    </row>
    <row r="5415" spans="31:31">
      <c r="AE5415" s="54"/>
    </row>
    <row r="5416" spans="31:31">
      <c r="AE5416" s="54"/>
    </row>
    <row r="5417" spans="31:31">
      <c r="AE5417" s="54"/>
    </row>
    <row r="5418" spans="31:31">
      <c r="AE5418" s="54"/>
    </row>
    <row r="5419" spans="31:31">
      <c r="AE5419" s="54"/>
    </row>
    <row r="5420" spans="31:31">
      <c r="AE5420" s="54"/>
    </row>
    <row r="5421" spans="31:31">
      <c r="AE5421" s="54"/>
    </row>
    <row r="5422" spans="31:31">
      <c r="AE5422" s="54"/>
    </row>
    <row r="5423" spans="31:31">
      <c r="AE5423" s="54"/>
    </row>
    <row r="5424" spans="31:31">
      <c r="AE5424" s="54"/>
    </row>
    <row r="5425" spans="31:31">
      <c r="AE5425" s="54"/>
    </row>
    <row r="5426" spans="31:31">
      <c r="AE5426" s="54"/>
    </row>
    <row r="5427" spans="31:31">
      <c r="AE5427" s="54"/>
    </row>
    <row r="5428" spans="31:31">
      <c r="AE5428" s="54"/>
    </row>
    <row r="5429" spans="31:31">
      <c r="AE5429" s="54"/>
    </row>
    <row r="5430" spans="31:31">
      <c r="AE5430" s="54"/>
    </row>
    <row r="5431" spans="31:31">
      <c r="AE5431" s="54"/>
    </row>
    <row r="5432" spans="31:31">
      <c r="AE5432" s="54"/>
    </row>
    <row r="5433" spans="31:31">
      <c r="AE5433" s="54"/>
    </row>
    <row r="5434" spans="31:31">
      <c r="AE5434" s="54"/>
    </row>
    <row r="5435" spans="31:31">
      <c r="AE5435" s="54"/>
    </row>
    <row r="5436" spans="31:31">
      <c r="AE5436" s="54"/>
    </row>
    <row r="5437" spans="31:31">
      <c r="AE5437" s="54"/>
    </row>
    <row r="5438" spans="31:31">
      <c r="AE5438" s="54"/>
    </row>
    <row r="5439" spans="31:31">
      <c r="AE5439" s="54"/>
    </row>
    <row r="5440" spans="31:31">
      <c r="AE5440" s="54"/>
    </row>
    <row r="5441" spans="31:31">
      <c r="AE5441" s="54"/>
    </row>
    <row r="5442" spans="31:31">
      <c r="AE5442" s="54"/>
    </row>
    <row r="5443" spans="31:31">
      <c r="AE5443" s="54"/>
    </row>
    <row r="5444" spans="31:31">
      <c r="AE5444" s="54"/>
    </row>
    <row r="5445" spans="31:31">
      <c r="AE5445" s="54"/>
    </row>
    <row r="5446" spans="31:31">
      <c r="AE5446" s="54"/>
    </row>
    <row r="5447" spans="31:31">
      <c r="AE5447" s="54"/>
    </row>
    <row r="5448" spans="31:31">
      <c r="AE5448" s="54"/>
    </row>
    <row r="5449" spans="31:31">
      <c r="AE5449" s="54"/>
    </row>
    <row r="5450" spans="31:31">
      <c r="AE5450" s="54"/>
    </row>
    <row r="5451" spans="31:31">
      <c r="AE5451" s="54"/>
    </row>
    <row r="5452" spans="31:31">
      <c r="AE5452" s="54"/>
    </row>
    <row r="5453" spans="31:31">
      <c r="AE5453" s="54"/>
    </row>
    <row r="5454" spans="31:31">
      <c r="AE5454" s="54"/>
    </row>
    <row r="5455" spans="31:31">
      <c r="AE5455" s="54"/>
    </row>
    <row r="5456" spans="31:31">
      <c r="AE5456" s="54"/>
    </row>
    <row r="5457" spans="31:31">
      <c r="AE5457" s="54"/>
    </row>
    <row r="5458" spans="31:31">
      <c r="AE5458" s="54"/>
    </row>
    <row r="5459" spans="31:31">
      <c r="AE5459" s="54"/>
    </row>
    <row r="5460" spans="31:31">
      <c r="AE5460" s="54"/>
    </row>
    <row r="5461" spans="31:31">
      <c r="AE5461" s="54"/>
    </row>
    <row r="5462" spans="31:31">
      <c r="AE5462" s="54"/>
    </row>
    <row r="5463" spans="31:31">
      <c r="AE5463" s="54"/>
    </row>
    <row r="5464" spans="31:31">
      <c r="AE5464" s="54"/>
    </row>
    <row r="5465" spans="31:31">
      <c r="AE5465" s="54"/>
    </row>
    <row r="5466" spans="31:31">
      <c r="AE5466" s="54"/>
    </row>
    <row r="5467" spans="31:31">
      <c r="AE5467" s="54"/>
    </row>
    <row r="5468" spans="31:31">
      <c r="AE5468" s="54"/>
    </row>
    <row r="5469" spans="31:31">
      <c r="AE5469" s="54"/>
    </row>
    <row r="5470" spans="31:31">
      <c r="AE5470" s="54"/>
    </row>
    <row r="5471" spans="31:31">
      <c r="AE5471" s="54"/>
    </row>
    <row r="5472" spans="31:31">
      <c r="AE5472" s="54"/>
    </row>
    <row r="5473" spans="31:31">
      <c r="AE5473" s="54"/>
    </row>
    <row r="5474" spans="31:31">
      <c r="AE5474" s="54"/>
    </row>
    <row r="5475" spans="31:31">
      <c r="AE5475" s="54"/>
    </row>
    <row r="5476" spans="31:31">
      <c r="AE5476" s="54"/>
    </row>
    <row r="5477" spans="31:31">
      <c r="AE5477" s="54"/>
    </row>
    <row r="5478" spans="31:31">
      <c r="AE5478" s="54"/>
    </row>
    <row r="5479" spans="31:31">
      <c r="AE5479" s="54"/>
    </row>
    <row r="5480" spans="31:31">
      <c r="AE5480" s="54"/>
    </row>
    <row r="5481" spans="31:31">
      <c r="AE5481" s="54"/>
    </row>
    <row r="5482" spans="31:31">
      <c r="AE5482" s="54"/>
    </row>
    <row r="5483" spans="31:31">
      <c r="AE5483" s="54"/>
    </row>
    <row r="5484" spans="31:31">
      <c r="AE5484" s="54"/>
    </row>
    <row r="5485" spans="31:31">
      <c r="AE5485" s="54"/>
    </row>
    <row r="5486" spans="31:31">
      <c r="AE5486" s="54"/>
    </row>
    <row r="5487" spans="31:31">
      <c r="AE5487" s="54"/>
    </row>
    <row r="5488" spans="31:31">
      <c r="AE5488" s="54"/>
    </row>
    <row r="5489" spans="31:31">
      <c r="AE5489" s="54"/>
    </row>
    <row r="5490" spans="31:31">
      <c r="AE5490" s="54"/>
    </row>
    <row r="5491" spans="31:31">
      <c r="AE5491" s="54"/>
    </row>
    <row r="5492" spans="31:31">
      <c r="AE5492" s="54"/>
    </row>
    <row r="5493" spans="31:31">
      <c r="AE5493" s="54"/>
    </row>
    <row r="5494" spans="31:31">
      <c r="AE5494" s="54"/>
    </row>
    <row r="5495" spans="31:31">
      <c r="AE5495" s="54"/>
    </row>
    <row r="5496" spans="31:31">
      <c r="AE5496" s="54"/>
    </row>
    <row r="5497" spans="31:31">
      <c r="AE5497" s="54"/>
    </row>
    <row r="5498" spans="31:31">
      <c r="AE5498" s="54"/>
    </row>
    <row r="5499" spans="31:31">
      <c r="AE5499" s="54"/>
    </row>
    <row r="5500" spans="31:31">
      <c r="AE5500" s="54"/>
    </row>
    <row r="5501" spans="31:31">
      <c r="AE5501" s="54"/>
    </row>
    <row r="5502" spans="31:31">
      <c r="AE5502" s="54"/>
    </row>
    <row r="5503" spans="31:31">
      <c r="AE5503" s="54"/>
    </row>
    <row r="5504" spans="31:31">
      <c r="AE5504" s="54"/>
    </row>
    <row r="5505" spans="31:31">
      <c r="AE5505" s="54"/>
    </row>
    <row r="5506" spans="31:31">
      <c r="AE5506" s="54"/>
    </row>
    <row r="5507" spans="31:31">
      <c r="AE5507" s="54"/>
    </row>
    <row r="5508" spans="31:31">
      <c r="AE5508" s="54"/>
    </row>
    <row r="5509" spans="31:31">
      <c r="AE5509" s="54"/>
    </row>
    <row r="5510" spans="31:31">
      <c r="AE5510" s="54"/>
    </row>
    <row r="5511" spans="31:31">
      <c r="AE5511" s="54"/>
    </row>
    <row r="5512" spans="31:31">
      <c r="AE5512" s="54"/>
    </row>
    <row r="5513" spans="31:31">
      <c r="AE5513" s="54"/>
    </row>
    <row r="5514" spans="31:31">
      <c r="AE5514" s="54"/>
    </row>
    <row r="5515" spans="31:31">
      <c r="AE5515" s="54"/>
    </row>
    <row r="5516" spans="31:31">
      <c r="AE5516" s="54"/>
    </row>
    <row r="5517" spans="31:31">
      <c r="AE5517" s="54"/>
    </row>
    <row r="5518" spans="31:31">
      <c r="AE5518" s="54"/>
    </row>
    <row r="5519" spans="31:31">
      <c r="AE5519" s="54"/>
    </row>
    <row r="5520" spans="31:31">
      <c r="AE5520" s="54"/>
    </row>
    <row r="5521" spans="31:31">
      <c r="AE5521" s="54"/>
    </row>
    <row r="5522" spans="31:31">
      <c r="AE5522" s="54"/>
    </row>
    <row r="5523" spans="31:31">
      <c r="AE5523" s="54"/>
    </row>
    <row r="5524" spans="31:31">
      <c r="AE5524" s="54"/>
    </row>
    <row r="5525" spans="31:31">
      <c r="AE5525" s="54"/>
    </row>
    <row r="5526" spans="31:31">
      <c r="AE5526" s="54"/>
    </row>
    <row r="5527" spans="31:31">
      <c r="AE5527" s="54"/>
    </row>
    <row r="5528" spans="31:31">
      <c r="AE5528" s="54"/>
    </row>
    <row r="5529" spans="31:31">
      <c r="AE5529" s="54"/>
    </row>
    <row r="5530" spans="31:31">
      <c r="AE5530" s="54"/>
    </row>
    <row r="5531" spans="31:31">
      <c r="AE5531" s="54"/>
    </row>
    <row r="5532" spans="31:31">
      <c r="AE5532" s="54"/>
    </row>
    <row r="5533" spans="31:31">
      <c r="AE5533" s="54"/>
    </row>
    <row r="5534" spans="31:31">
      <c r="AE5534" s="54"/>
    </row>
    <row r="5535" spans="31:31">
      <c r="AE5535" s="54"/>
    </row>
    <row r="5536" spans="31:31">
      <c r="AE5536" s="54"/>
    </row>
    <row r="5537" spans="31:31">
      <c r="AE5537" s="54"/>
    </row>
    <row r="5538" spans="31:31">
      <c r="AE5538" s="54"/>
    </row>
    <row r="5539" spans="31:31">
      <c r="AE5539" s="54"/>
    </row>
    <row r="5540" spans="31:31">
      <c r="AE5540" s="54"/>
    </row>
    <row r="5541" spans="31:31">
      <c r="AE5541" s="54"/>
    </row>
    <row r="5542" spans="31:31">
      <c r="AE5542" s="54"/>
    </row>
    <row r="5543" spans="31:31">
      <c r="AE5543" s="54"/>
    </row>
    <row r="5544" spans="31:31">
      <c r="AE5544" s="54"/>
    </row>
    <row r="5545" spans="31:31">
      <c r="AE5545" s="54"/>
    </row>
    <row r="5546" spans="31:31">
      <c r="AE5546" s="54"/>
    </row>
    <row r="5547" spans="31:31">
      <c r="AE5547" s="54"/>
    </row>
    <row r="5548" spans="31:31">
      <c r="AE5548" s="54"/>
    </row>
    <row r="5549" spans="31:31">
      <c r="AE5549" s="54"/>
    </row>
    <row r="5550" spans="31:31">
      <c r="AE5550" s="54"/>
    </row>
    <row r="5551" spans="31:31">
      <c r="AE5551" s="54"/>
    </row>
    <row r="5552" spans="31:31">
      <c r="AE5552" s="54"/>
    </row>
    <row r="5553" spans="31:31">
      <c r="AE5553" s="54"/>
    </row>
    <row r="5554" spans="31:31">
      <c r="AE5554" s="54"/>
    </row>
    <row r="5555" spans="31:31">
      <c r="AE5555" s="54"/>
    </row>
    <row r="5556" spans="31:31">
      <c r="AE5556" s="54"/>
    </row>
    <row r="5557" spans="31:31">
      <c r="AE5557" s="54"/>
    </row>
    <row r="5558" spans="31:31">
      <c r="AE5558" s="54"/>
    </row>
    <row r="5559" spans="31:31">
      <c r="AE5559" s="54"/>
    </row>
    <row r="5560" spans="31:31">
      <c r="AE5560" s="54"/>
    </row>
    <row r="5561" spans="31:31">
      <c r="AE5561" s="54"/>
    </row>
    <row r="5562" spans="31:31">
      <c r="AE5562" s="54"/>
    </row>
    <row r="5563" spans="31:31">
      <c r="AE5563" s="54"/>
    </row>
    <row r="5564" spans="31:31">
      <c r="AE5564" s="54"/>
    </row>
    <row r="5565" spans="31:31">
      <c r="AE5565" s="54"/>
    </row>
    <row r="5566" spans="31:31">
      <c r="AE5566" s="54"/>
    </row>
    <row r="5567" spans="31:31">
      <c r="AE5567" s="54"/>
    </row>
    <row r="5568" spans="31:31">
      <c r="AE5568" s="54"/>
    </row>
    <row r="5569" spans="31:31">
      <c r="AE5569" s="54"/>
    </row>
    <row r="5570" spans="31:31">
      <c r="AE5570" s="54"/>
    </row>
    <row r="5571" spans="31:31">
      <c r="AE5571" s="54"/>
    </row>
    <row r="5572" spans="31:31">
      <c r="AE5572" s="54"/>
    </row>
    <row r="5573" spans="31:31">
      <c r="AE5573" s="54"/>
    </row>
    <row r="5574" spans="31:31">
      <c r="AE5574" s="54"/>
    </row>
    <row r="5575" spans="31:31">
      <c r="AE5575" s="54"/>
    </row>
    <row r="5576" spans="31:31">
      <c r="AE5576" s="54"/>
    </row>
    <row r="5577" spans="31:31">
      <c r="AE5577" s="54"/>
    </row>
    <row r="5578" spans="31:31">
      <c r="AE5578" s="54"/>
    </row>
    <row r="5579" spans="31:31">
      <c r="AE5579" s="54"/>
    </row>
    <row r="5580" spans="31:31">
      <c r="AE5580" s="54"/>
    </row>
    <row r="5581" spans="31:31">
      <c r="AE5581" s="54"/>
    </row>
    <row r="5582" spans="31:31">
      <c r="AE5582" s="54"/>
    </row>
    <row r="5583" spans="31:31">
      <c r="AE5583" s="54"/>
    </row>
    <row r="5584" spans="31:31">
      <c r="AE5584" s="54"/>
    </row>
    <row r="5585" spans="31:31">
      <c r="AE5585" s="54"/>
    </row>
    <row r="5586" spans="31:31">
      <c r="AE5586" s="54"/>
    </row>
    <row r="5587" spans="31:31">
      <c r="AE5587" s="54"/>
    </row>
    <row r="5588" spans="31:31">
      <c r="AE5588" s="54"/>
    </row>
    <row r="5589" spans="31:31">
      <c r="AE5589" s="54"/>
    </row>
    <row r="5590" spans="31:31">
      <c r="AE5590" s="54"/>
    </row>
    <row r="5591" spans="31:31">
      <c r="AE5591" s="54"/>
    </row>
    <row r="5592" spans="31:31">
      <c r="AE5592" s="54"/>
    </row>
    <row r="5593" spans="31:31">
      <c r="AE5593" s="54"/>
    </row>
    <row r="5594" spans="31:31">
      <c r="AE5594" s="54"/>
    </row>
    <row r="5595" spans="31:31">
      <c r="AE5595" s="54"/>
    </row>
    <row r="5596" spans="31:31">
      <c r="AE5596" s="54"/>
    </row>
    <row r="5597" spans="31:31">
      <c r="AE5597" s="54"/>
    </row>
    <row r="5598" spans="31:31">
      <c r="AE5598" s="54"/>
    </row>
    <row r="5599" spans="31:31">
      <c r="AE5599" s="54"/>
    </row>
    <row r="5600" spans="31:31">
      <c r="AE5600" s="54"/>
    </row>
    <row r="5601" spans="31:31">
      <c r="AE5601" s="54"/>
    </row>
    <row r="5602" spans="31:31">
      <c r="AE5602" s="54"/>
    </row>
    <row r="5603" spans="31:31">
      <c r="AE5603" s="54"/>
    </row>
    <row r="5604" spans="31:31">
      <c r="AE5604" s="54"/>
    </row>
    <row r="5605" spans="31:31">
      <c r="AE5605" s="54"/>
    </row>
    <row r="5606" spans="31:31">
      <c r="AE5606" s="54"/>
    </row>
    <row r="5607" spans="31:31">
      <c r="AE5607" s="54"/>
    </row>
    <row r="5608" spans="31:31">
      <c r="AE5608" s="54"/>
    </row>
    <row r="5609" spans="31:31">
      <c r="AE5609" s="54"/>
    </row>
    <row r="5610" spans="31:31">
      <c r="AE5610" s="54"/>
    </row>
    <row r="5611" spans="31:31">
      <c r="AE5611" s="54"/>
    </row>
    <row r="5612" spans="31:31">
      <c r="AE5612" s="54"/>
    </row>
    <row r="5613" spans="31:31">
      <c r="AE5613" s="54"/>
    </row>
    <row r="5614" spans="31:31">
      <c r="AE5614" s="54"/>
    </row>
    <row r="5615" spans="31:31">
      <c r="AE5615" s="54"/>
    </row>
    <row r="5616" spans="31:31">
      <c r="AE5616" s="54"/>
    </row>
    <row r="5617" spans="31:31">
      <c r="AE5617" s="54"/>
    </row>
    <row r="5618" spans="31:31">
      <c r="AE5618" s="54"/>
    </row>
    <row r="5619" spans="31:31">
      <c r="AE5619" s="54"/>
    </row>
    <row r="5620" spans="31:31">
      <c r="AE5620" s="54"/>
    </row>
    <row r="5621" spans="31:31">
      <c r="AE5621" s="54"/>
    </row>
    <row r="5622" spans="31:31">
      <c r="AE5622" s="54"/>
    </row>
    <row r="5623" spans="31:31">
      <c r="AE5623" s="54"/>
    </row>
    <row r="5624" spans="31:31">
      <c r="AE5624" s="54"/>
    </row>
    <row r="5625" spans="31:31">
      <c r="AE5625" s="54"/>
    </row>
    <row r="5626" spans="31:31">
      <c r="AE5626" s="54"/>
    </row>
    <row r="5627" spans="31:31">
      <c r="AE5627" s="54"/>
    </row>
    <row r="5628" spans="31:31">
      <c r="AE5628" s="54"/>
    </row>
    <row r="5629" spans="31:31">
      <c r="AE5629" s="54"/>
    </row>
    <row r="5630" spans="31:31">
      <c r="AE5630" s="54"/>
    </row>
    <row r="5631" spans="31:31">
      <c r="AE5631" s="54"/>
    </row>
    <row r="5632" spans="31:31">
      <c r="AE5632" s="54"/>
    </row>
    <row r="5633" spans="31:31">
      <c r="AE5633" s="54"/>
    </row>
    <row r="5634" spans="31:31">
      <c r="AE5634" s="54"/>
    </row>
    <row r="5635" spans="31:31">
      <c r="AE5635" s="54"/>
    </row>
    <row r="5636" spans="31:31">
      <c r="AE5636" s="54"/>
    </row>
    <row r="5637" spans="31:31">
      <c r="AE5637" s="54"/>
    </row>
    <row r="5638" spans="31:31">
      <c r="AE5638" s="54"/>
    </row>
    <row r="5639" spans="31:31">
      <c r="AE5639" s="54"/>
    </row>
    <row r="5640" spans="31:31">
      <c r="AE5640" s="54"/>
    </row>
    <row r="5641" spans="31:31">
      <c r="AE5641" s="54"/>
    </row>
    <row r="5642" spans="31:31">
      <c r="AE5642" s="54"/>
    </row>
    <row r="5643" spans="31:31">
      <c r="AE5643" s="54"/>
    </row>
    <row r="5644" spans="31:31">
      <c r="AE5644" s="54"/>
    </row>
    <row r="5645" spans="31:31">
      <c r="AE5645" s="54"/>
    </row>
    <row r="5646" spans="31:31">
      <c r="AE5646" s="54"/>
    </row>
    <row r="5647" spans="31:31">
      <c r="AE5647" s="54"/>
    </row>
    <row r="5648" spans="31:31">
      <c r="AE5648" s="54"/>
    </row>
    <row r="5649" spans="31:31">
      <c r="AE5649" s="54"/>
    </row>
    <row r="5650" spans="31:31">
      <c r="AE5650" s="54"/>
    </row>
    <row r="5651" spans="31:31">
      <c r="AE5651" s="54"/>
    </row>
    <row r="5652" spans="31:31">
      <c r="AE5652" s="54"/>
    </row>
    <row r="5653" spans="31:31">
      <c r="AE5653" s="54"/>
    </row>
    <row r="5654" spans="31:31">
      <c r="AE5654" s="54"/>
    </row>
    <row r="5655" spans="31:31">
      <c r="AE5655" s="54"/>
    </row>
    <row r="5656" spans="31:31">
      <c r="AE5656" s="54"/>
    </row>
    <row r="5657" spans="31:31">
      <c r="AE5657" s="54"/>
    </row>
    <row r="5658" spans="31:31">
      <c r="AE5658" s="54"/>
    </row>
    <row r="5659" spans="31:31">
      <c r="AE5659" s="54"/>
    </row>
    <row r="5660" spans="31:31">
      <c r="AE5660" s="54"/>
    </row>
    <row r="5661" spans="31:31">
      <c r="AE5661" s="54"/>
    </row>
    <row r="5662" spans="31:31">
      <c r="AE5662" s="54"/>
    </row>
    <row r="5663" spans="31:31">
      <c r="AE5663" s="54"/>
    </row>
    <row r="5664" spans="31:31">
      <c r="AE5664" s="54"/>
    </row>
    <row r="5665" spans="31:31">
      <c r="AE5665" s="54"/>
    </row>
    <row r="5666" spans="31:31">
      <c r="AE5666" s="54"/>
    </row>
    <row r="5667" spans="31:31">
      <c r="AE5667" s="54"/>
    </row>
    <row r="5668" spans="31:31">
      <c r="AE5668" s="54"/>
    </row>
    <row r="5669" spans="31:31">
      <c r="AE5669" s="54"/>
    </row>
    <row r="5670" spans="31:31">
      <c r="AE5670" s="54"/>
    </row>
    <row r="5671" spans="31:31">
      <c r="AE5671" s="54"/>
    </row>
    <row r="5672" spans="31:31">
      <c r="AE5672" s="54"/>
    </row>
    <row r="5673" spans="31:31">
      <c r="AE5673" s="54"/>
    </row>
    <row r="5674" spans="31:31">
      <c r="AE5674" s="54"/>
    </row>
    <row r="5675" spans="31:31">
      <c r="AE5675" s="54"/>
    </row>
    <row r="5676" spans="31:31">
      <c r="AE5676" s="54"/>
    </row>
    <row r="5677" spans="31:31">
      <c r="AE5677" s="54"/>
    </row>
    <row r="5678" spans="31:31">
      <c r="AE5678" s="54"/>
    </row>
    <row r="5679" spans="31:31">
      <c r="AE5679" s="54"/>
    </row>
    <row r="5680" spans="31:31">
      <c r="AE5680" s="54"/>
    </row>
    <row r="5681" spans="31:31">
      <c r="AE5681" s="54"/>
    </row>
    <row r="5682" spans="31:31">
      <c r="AE5682" s="54"/>
    </row>
    <row r="5683" spans="31:31">
      <c r="AE5683" s="54"/>
    </row>
    <row r="5684" spans="31:31">
      <c r="AE5684" s="54"/>
    </row>
    <row r="5685" spans="31:31">
      <c r="AE5685" s="54"/>
    </row>
    <row r="5686" spans="31:31">
      <c r="AE5686" s="54"/>
    </row>
    <row r="5687" spans="31:31">
      <c r="AE5687" s="54"/>
    </row>
    <row r="5688" spans="31:31">
      <c r="AE5688" s="54"/>
    </row>
    <row r="5689" spans="31:31">
      <c r="AE5689" s="54"/>
    </row>
    <row r="5690" spans="31:31">
      <c r="AE5690" s="54"/>
    </row>
    <row r="5691" spans="31:31">
      <c r="AE5691" s="54"/>
    </row>
    <row r="5692" spans="31:31">
      <c r="AE5692" s="54"/>
    </row>
    <row r="5693" spans="31:31">
      <c r="AE5693" s="54"/>
    </row>
    <row r="5694" spans="31:31">
      <c r="AE5694" s="54"/>
    </row>
    <row r="5695" spans="31:31">
      <c r="AE5695" s="54"/>
    </row>
    <row r="5696" spans="31:31">
      <c r="AE5696" s="54"/>
    </row>
    <row r="5697" spans="31:31">
      <c r="AE5697" s="54"/>
    </row>
    <row r="5698" spans="31:31">
      <c r="AE5698" s="54"/>
    </row>
    <row r="5699" spans="31:31">
      <c r="AE5699" s="54"/>
    </row>
    <row r="5700" spans="31:31">
      <c r="AE5700" s="54"/>
    </row>
    <row r="5701" spans="31:31">
      <c r="AE5701" s="54"/>
    </row>
    <row r="5702" spans="31:31">
      <c r="AE5702" s="54"/>
    </row>
    <row r="5703" spans="31:31">
      <c r="AE5703" s="54"/>
    </row>
    <row r="5704" spans="31:31">
      <c r="AE5704" s="54"/>
    </row>
    <row r="5705" spans="31:31">
      <c r="AE5705" s="54"/>
    </row>
    <row r="5706" spans="31:31">
      <c r="AE5706" s="54"/>
    </row>
    <row r="5707" spans="31:31">
      <c r="AE5707" s="54"/>
    </row>
    <row r="5708" spans="31:31">
      <c r="AE5708" s="54"/>
    </row>
    <row r="5709" spans="31:31">
      <c r="AE5709" s="54"/>
    </row>
    <row r="5710" spans="31:31">
      <c r="AE5710" s="54"/>
    </row>
    <row r="5711" spans="31:31">
      <c r="AE5711" s="54"/>
    </row>
    <row r="5712" spans="31:31">
      <c r="AE5712" s="54"/>
    </row>
    <row r="5713" spans="31:31">
      <c r="AE5713" s="54"/>
    </row>
    <row r="5714" spans="31:31">
      <c r="AE5714" s="54"/>
    </row>
    <row r="5715" spans="31:31">
      <c r="AE5715" s="54"/>
    </row>
    <row r="5716" spans="31:31">
      <c r="AE5716" s="54"/>
    </row>
    <row r="5717" spans="31:31">
      <c r="AE5717" s="54"/>
    </row>
    <row r="5718" spans="31:31">
      <c r="AE5718" s="54"/>
    </row>
    <row r="5719" spans="31:31">
      <c r="AE5719" s="54"/>
    </row>
    <row r="5720" spans="31:31">
      <c r="AE5720" s="54"/>
    </row>
    <row r="5721" spans="31:31">
      <c r="AE5721" s="54"/>
    </row>
    <row r="5722" spans="31:31">
      <c r="AE5722" s="54"/>
    </row>
    <row r="5723" spans="31:31">
      <c r="AE5723" s="54"/>
    </row>
    <row r="5724" spans="31:31">
      <c r="AE5724" s="54"/>
    </row>
    <row r="5725" spans="31:31">
      <c r="AE5725" s="54"/>
    </row>
    <row r="5726" spans="31:31">
      <c r="AE5726" s="54"/>
    </row>
    <row r="5727" spans="31:31">
      <c r="AE5727" s="54"/>
    </row>
    <row r="5728" spans="31:31">
      <c r="AE5728" s="54"/>
    </row>
    <row r="5729" spans="31:31">
      <c r="AE5729" s="54"/>
    </row>
    <row r="5730" spans="31:31">
      <c r="AE5730" s="54"/>
    </row>
    <row r="5731" spans="31:31">
      <c r="AE5731" s="54"/>
    </row>
    <row r="5732" spans="31:31">
      <c r="AE5732" s="54"/>
    </row>
    <row r="5733" spans="31:31">
      <c r="AE5733" s="54"/>
    </row>
    <row r="5734" spans="31:31">
      <c r="AE5734" s="54"/>
    </row>
    <row r="5735" spans="31:31">
      <c r="AE5735" s="54"/>
    </row>
    <row r="5736" spans="31:31">
      <c r="AE5736" s="54"/>
    </row>
    <row r="5737" spans="31:31">
      <c r="AE5737" s="54"/>
    </row>
    <row r="5738" spans="31:31">
      <c r="AE5738" s="54"/>
    </row>
    <row r="5739" spans="31:31">
      <c r="AE5739" s="54"/>
    </row>
    <row r="5740" spans="31:31">
      <c r="AE5740" s="54"/>
    </row>
    <row r="5741" spans="31:31">
      <c r="AE5741" s="54"/>
    </row>
    <row r="5742" spans="31:31">
      <c r="AE5742" s="54"/>
    </row>
    <row r="5743" spans="31:31">
      <c r="AE5743" s="54"/>
    </row>
    <row r="5744" spans="31:31">
      <c r="AE5744" s="54"/>
    </row>
    <row r="5745" spans="31:31">
      <c r="AE5745" s="54"/>
    </row>
    <row r="5746" spans="31:31">
      <c r="AE5746" s="54"/>
    </row>
    <row r="5747" spans="31:31">
      <c r="AE5747" s="54"/>
    </row>
    <row r="5748" spans="31:31">
      <c r="AE5748" s="54"/>
    </row>
    <row r="5749" spans="31:31">
      <c r="AE5749" s="54"/>
    </row>
    <row r="5750" spans="31:31">
      <c r="AE5750" s="54"/>
    </row>
    <row r="5751" spans="31:31">
      <c r="AE5751" s="54"/>
    </row>
    <row r="5752" spans="31:31">
      <c r="AE5752" s="54"/>
    </row>
    <row r="5753" spans="31:31">
      <c r="AE5753" s="54"/>
    </row>
    <row r="5754" spans="31:31">
      <c r="AE5754" s="54"/>
    </row>
    <row r="5755" spans="31:31">
      <c r="AE5755" s="54"/>
    </row>
    <row r="5756" spans="31:31">
      <c r="AE5756" s="54"/>
    </row>
    <row r="5757" spans="31:31">
      <c r="AE5757" s="54"/>
    </row>
    <row r="5758" spans="31:31">
      <c r="AE5758" s="54"/>
    </row>
    <row r="5759" spans="31:31">
      <c r="AE5759" s="54"/>
    </row>
    <row r="5760" spans="31:31">
      <c r="AE5760" s="54"/>
    </row>
    <row r="5761" spans="31:31">
      <c r="AE5761" s="54"/>
    </row>
    <row r="5762" spans="31:31">
      <c r="AE5762" s="54"/>
    </row>
    <row r="5763" spans="31:31">
      <c r="AE5763" s="54"/>
    </row>
    <row r="5764" spans="31:31">
      <c r="AE5764" s="54"/>
    </row>
    <row r="5765" spans="31:31">
      <c r="AE5765" s="54"/>
    </row>
    <row r="5766" spans="31:31">
      <c r="AE5766" s="54"/>
    </row>
    <row r="5767" spans="31:31">
      <c r="AE5767" s="54"/>
    </row>
    <row r="5768" spans="31:31">
      <c r="AE5768" s="54"/>
    </row>
    <row r="5769" spans="31:31">
      <c r="AE5769" s="54"/>
    </row>
    <row r="5770" spans="31:31">
      <c r="AE5770" s="54"/>
    </row>
    <row r="5771" spans="31:31">
      <c r="AE5771" s="54"/>
    </row>
    <row r="5772" spans="31:31">
      <c r="AE5772" s="54"/>
    </row>
    <row r="5773" spans="31:31">
      <c r="AE5773" s="54"/>
    </row>
    <row r="5774" spans="31:31">
      <c r="AE5774" s="54"/>
    </row>
    <row r="5775" spans="31:31">
      <c r="AE5775" s="54"/>
    </row>
    <row r="5776" spans="31:31">
      <c r="AE5776" s="54"/>
    </row>
    <row r="5777" spans="31:31">
      <c r="AE5777" s="54"/>
    </row>
    <row r="5778" spans="31:31">
      <c r="AE5778" s="54"/>
    </row>
    <row r="5779" spans="31:31">
      <c r="AE5779" s="54"/>
    </row>
    <row r="5780" spans="31:31">
      <c r="AE5780" s="54"/>
    </row>
    <row r="5781" spans="31:31">
      <c r="AE5781" s="54"/>
    </row>
    <row r="5782" spans="31:31">
      <c r="AE5782" s="54"/>
    </row>
    <row r="5783" spans="31:31">
      <c r="AE5783" s="54"/>
    </row>
    <row r="5784" spans="31:31">
      <c r="AE5784" s="54"/>
    </row>
    <row r="5785" spans="31:31">
      <c r="AE5785" s="54"/>
    </row>
    <row r="5786" spans="31:31">
      <c r="AE5786" s="54"/>
    </row>
    <row r="5787" spans="31:31">
      <c r="AE5787" s="54"/>
    </row>
    <row r="5788" spans="31:31">
      <c r="AE5788" s="54"/>
    </row>
    <row r="5789" spans="31:31">
      <c r="AE5789" s="54"/>
    </row>
    <row r="5790" spans="31:31">
      <c r="AE5790" s="54"/>
    </row>
    <row r="5791" spans="31:31">
      <c r="AE5791" s="54"/>
    </row>
    <row r="5792" spans="31:31">
      <c r="AE5792" s="54"/>
    </row>
    <row r="5793" spans="31:31">
      <c r="AE5793" s="54"/>
    </row>
    <row r="5794" spans="31:31">
      <c r="AE5794" s="54"/>
    </row>
    <row r="5795" spans="31:31">
      <c r="AE5795" s="54"/>
    </row>
    <row r="5796" spans="31:31">
      <c r="AE5796" s="54"/>
    </row>
    <row r="5797" spans="31:31">
      <c r="AE5797" s="54"/>
    </row>
    <row r="5798" spans="31:31">
      <c r="AE5798" s="54"/>
    </row>
    <row r="5799" spans="31:31">
      <c r="AE5799" s="54"/>
    </row>
    <row r="5800" spans="31:31">
      <c r="AE5800" s="54"/>
    </row>
    <row r="5801" spans="31:31">
      <c r="AE5801" s="54"/>
    </row>
    <row r="5802" spans="31:31">
      <c r="AE5802" s="54"/>
    </row>
    <row r="5803" spans="31:31">
      <c r="AE5803" s="54"/>
    </row>
    <row r="5804" spans="31:31">
      <c r="AE5804" s="54"/>
    </row>
    <row r="5805" spans="31:31">
      <c r="AE5805" s="54"/>
    </row>
    <row r="5806" spans="31:31">
      <c r="AE5806" s="54"/>
    </row>
    <row r="5807" spans="31:31">
      <c r="AE5807" s="54"/>
    </row>
    <row r="5808" spans="31:31">
      <c r="AE5808" s="54"/>
    </row>
    <row r="5809" spans="31:31">
      <c r="AE5809" s="54"/>
    </row>
    <row r="5810" spans="31:31">
      <c r="AE5810" s="54"/>
    </row>
    <row r="5811" spans="31:31">
      <c r="AE5811" s="54"/>
    </row>
    <row r="5812" spans="31:31">
      <c r="AE5812" s="54"/>
    </row>
    <row r="5813" spans="31:31">
      <c r="AE5813" s="54"/>
    </row>
    <row r="5814" spans="31:31">
      <c r="AE5814" s="54"/>
    </row>
    <row r="5815" spans="31:31">
      <c r="AE5815" s="54"/>
    </row>
    <row r="5816" spans="31:31">
      <c r="AE5816" s="54"/>
    </row>
    <row r="5817" spans="31:31">
      <c r="AE5817" s="54"/>
    </row>
    <row r="5818" spans="31:31">
      <c r="AE5818" s="54"/>
    </row>
    <row r="5819" spans="31:31">
      <c r="AE5819" s="54"/>
    </row>
    <row r="5820" spans="31:31">
      <c r="AE5820" s="54"/>
    </row>
    <row r="5821" spans="31:31">
      <c r="AE5821" s="54"/>
    </row>
    <row r="5822" spans="31:31">
      <c r="AE5822" s="54"/>
    </row>
    <row r="5823" spans="31:31">
      <c r="AE5823" s="54"/>
    </row>
    <row r="5824" spans="31:31">
      <c r="AE5824" s="54"/>
    </row>
    <row r="5825" spans="31:31">
      <c r="AE5825" s="54"/>
    </row>
    <row r="5826" spans="31:31">
      <c r="AE5826" s="54"/>
    </row>
    <row r="5827" spans="31:31">
      <c r="AE5827" s="54"/>
    </row>
    <row r="5828" spans="31:31">
      <c r="AE5828" s="54"/>
    </row>
    <row r="5829" spans="31:31">
      <c r="AE5829" s="54"/>
    </row>
    <row r="5830" spans="31:31">
      <c r="AE5830" s="54"/>
    </row>
    <row r="5831" spans="31:31">
      <c r="AE5831" s="54"/>
    </row>
    <row r="5832" spans="31:31">
      <c r="AE5832" s="54"/>
    </row>
    <row r="5833" spans="31:31">
      <c r="AE5833" s="54"/>
    </row>
    <row r="5834" spans="31:31">
      <c r="AE5834" s="54"/>
    </row>
    <row r="5835" spans="31:31">
      <c r="AE5835" s="54"/>
    </row>
    <row r="5836" spans="31:31">
      <c r="AE5836" s="54"/>
    </row>
    <row r="5837" spans="31:31">
      <c r="AE5837" s="54"/>
    </row>
    <row r="5838" spans="31:31">
      <c r="AE5838" s="54"/>
    </row>
    <row r="5839" spans="31:31">
      <c r="AE5839" s="54"/>
    </row>
    <row r="5840" spans="31:31">
      <c r="AE5840" s="54"/>
    </row>
    <row r="5841" spans="31:31">
      <c r="AE5841" s="54"/>
    </row>
    <row r="5842" spans="31:31">
      <c r="AE5842" s="54"/>
    </row>
    <row r="5843" spans="31:31">
      <c r="AE5843" s="54"/>
    </row>
    <row r="5844" spans="31:31">
      <c r="AE5844" s="54"/>
    </row>
    <row r="5845" spans="31:31">
      <c r="AE5845" s="54"/>
    </row>
    <row r="5846" spans="31:31">
      <c r="AE5846" s="54"/>
    </row>
    <row r="5847" spans="31:31">
      <c r="AE5847" s="54"/>
    </row>
    <row r="5848" spans="31:31">
      <c r="AE5848" s="54"/>
    </row>
    <row r="5849" spans="31:31">
      <c r="AE5849" s="54"/>
    </row>
    <row r="5850" spans="31:31">
      <c r="AE5850" s="54"/>
    </row>
    <row r="5851" spans="31:31">
      <c r="AE5851" s="54"/>
    </row>
    <row r="5852" spans="31:31">
      <c r="AE5852" s="54"/>
    </row>
    <row r="5853" spans="31:31">
      <c r="AE5853" s="54"/>
    </row>
    <row r="5854" spans="31:31">
      <c r="AE5854" s="54"/>
    </row>
    <row r="5855" spans="31:31">
      <c r="AE5855" s="54"/>
    </row>
    <row r="5856" spans="31:31">
      <c r="AE5856" s="54"/>
    </row>
    <row r="5857" spans="31:31">
      <c r="AE5857" s="54"/>
    </row>
    <row r="5858" spans="31:31">
      <c r="AE5858" s="54"/>
    </row>
    <row r="5859" spans="31:31">
      <c r="AE5859" s="54"/>
    </row>
    <row r="5860" spans="31:31">
      <c r="AE5860" s="54"/>
    </row>
    <row r="5861" spans="31:31">
      <c r="AE5861" s="54"/>
    </row>
    <row r="5862" spans="31:31">
      <c r="AE5862" s="54"/>
    </row>
    <row r="5863" spans="31:31">
      <c r="AE5863" s="54"/>
    </row>
    <row r="5864" spans="31:31">
      <c r="AE5864" s="54"/>
    </row>
    <row r="5865" spans="31:31">
      <c r="AE5865" s="54"/>
    </row>
    <row r="5866" spans="31:31">
      <c r="AE5866" s="54"/>
    </row>
    <row r="5867" spans="31:31">
      <c r="AE5867" s="54"/>
    </row>
    <row r="5868" spans="31:31">
      <c r="AE5868" s="54"/>
    </row>
    <row r="5869" spans="31:31">
      <c r="AE5869" s="54"/>
    </row>
    <row r="5870" spans="31:31">
      <c r="AE5870" s="54"/>
    </row>
    <row r="5871" spans="31:31">
      <c r="AE5871" s="54"/>
    </row>
    <row r="5872" spans="31:31">
      <c r="AE5872" s="54"/>
    </row>
    <row r="5873" spans="31:31">
      <c r="AE5873" s="54"/>
    </row>
    <row r="5874" spans="31:31">
      <c r="AE5874" s="54"/>
    </row>
    <row r="5875" spans="31:31">
      <c r="AE5875" s="54"/>
    </row>
    <row r="5876" spans="31:31">
      <c r="AE5876" s="54"/>
    </row>
    <row r="5877" spans="31:31">
      <c r="AE5877" s="54"/>
    </row>
    <row r="5878" spans="31:31">
      <c r="AE5878" s="54"/>
    </row>
    <row r="5879" spans="31:31">
      <c r="AE5879" s="54"/>
    </row>
    <row r="5880" spans="31:31">
      <c r="AE5880" s="54"/>
    </row>
    <row r="5881" spans="31:31">
      <c r="AE5881" s="54"/>
    </row>
    <row r="5882" spans="31:31">
      <c r="AE5882" s="54"/>
    </row>
    <row r="5883" spans="31:31">
      <c r="AE5883" s="54"/>
    </row>
    <row r="5884" spans="31:31">
      <c r="AE5884" s="54"/>
    </row>
    <row r="5885" spans="31:31">
      <c r="AE5885" s="54"/>
    </row>
    <row r="5886" spans="31:31">
      <c r="AE5886" s="54"/>
    </row>
    <row r="5887" spans="31:31">
      <c r="AE5887" s="54"/>
    </row>
    <row r="5888" spans="31:31">
      <c r="AE5888" s="54"/>
    </row>
    <row r="5889" spans="31:31">
      <c r="AE5889" s="54"/>
    </row>
    <row r="5890" spans="31:31">
      <c r="AE5890" s="54"/>
    </row>
    <row r="5891" spans="31:31">
      <c r="AE5891" s="54"/>
    </row>
    <row r="5892" spans="31:31">
      <c r="AE5892" s="54"/>
    </row>
    <row r="5893" spans="31:31">
      <c r="AE5893" s="54"/>
    </row>
    <row r="5894" spans="31:31">
      <c r="AE5894" s="54"/>
    </row>
    <row r="5895" spans="31:31">
      <c r="AE5895" s="54"/>
    </row>
    <row r="5896" spans="31:31">
      <c r="AE5896" s="54"/>
    </row>
    <row r="5897" spans="31:31">
      <c r="AE5897" s="54"/>
    </row>
    <row r="5898" spans="31:31">
      <c r="AE5898" s="54"/>
    </row>
    <row r="5899" spans="31:31">
      <c r="AE5899" s="54"/>
    </row>
    <row r="5900" spans="31:31">
      <c r="AE5900" s="54"/>
    </row>
    <row r="5901" spans="31:31">
      <c r="AE5901" s="54"/>
    </row>
    <row r="5902" spans="31:31">
      <c r="AE5902" s="54"/>
    </row>
    <row r="5903" spans="31:31">
      <c r="AE5903" s="54"/>
    </row>
    <row r="5904" spans="31:31">
      <c r="AE5904" s="54"/>
    </row>
    <row r="5905" spans="31:31">
      <c r="AE5905" s="54"/>
    </row>
    <row r="5906" spans="31:31">
      <c r="AE5906" s="54"/>
    </row>
    <row r="5907" spans="31:31">
      <c r="AE5907" s="54"/>
    </row>
    <row r="5908" spans="31:31">
      <c r="AE5908" s="54"/>
    </row>
    <row r="5909" spans="31:31">
      <c r="AE5909" s="54"/>
    </row>
    <row r="5910" spans="31:31">
      <c r="AE5910" s="54"/>
    </row>
    <row r="5911" spans="31:31">
      <c r="AE5911" s="54"/>
    </row>
    <row r="5912" spans="31:31">
      <c r="AE5912" s="54"/>
    </row>
    <row r="5913" spans="31:31">
      <c r="AE5913" s="54"/>
    </row>
    <row r="5914" spans="31:31">
      <c r="AE5914" s="54"/>
    </row>
    <row r="5915" spans="31:31">
      <c r="AE5915" s="54"/>
    </row>
    <row r="5916" spans="31:31">
      <c r="AE5916" s="54"/>
    </row>
    <row r="5917" spans="31:31">
      <c r="AE5917" s="54"/>
    </row>
    <row r="5918" spans="31:31">
      <c r="AE5918" s="54"/>
    </row>
    <row r="5919" spans="31:31">
      <c r="AE5919" s="54"/>
    </row>
    <row r="5920" spans="31:31">
      <c r="AE5920" s="54"/>
    </row>
    <row r="5921" spans="31:31">
      <c r="AE5921" s="54"/>
    </row>
    <row r="5922" spans="31:31">
      <c r="AE5922" s="54"/>
    </row>
    <row r="5923" spans="31:31">
      <c r="AE5923" s="54"/>
    </row>
    <row r="5924" spans="31:31">
      <c r="AE5924" s="54"/>
    </row>
    <row r="5925" spans="31:31">
      <c r="AE5925" s="54"/>
    </row>
    <row r="5926" spans="31:31">
      <c r="AE5926" s="54"/>
    </row>
    <row r="5927" spans="31:31">
      <c r="AE5927" s="54"/>
    </row>
    <row r="5928" spans="31:31">
      <c r="AE5928" s="54"/>
    </row>
    <row r="5929" spans="31:31">
      <c r="AE5929" s="54"/>
    </row>
    <row r="5930" spans="31:31">
      <c r="AE5930" s="54"/>
    </row>
    <row r="5931" spans="31:31">
      <c r="AE5931" s="54"/>
    </row>
    <row r="5932" spans="31:31">
      <c r="AE5932" s="54"/>
    </row>
    <row r="5933" spans="31:31">
      <c r="AE5933" s="54"/>
    </row>
    <row r="5934" spans="31:31">
      <c r="AE5934" s="54"/>
    </row>
    <row r="5935" spans="31:31">
      <c r="AE5935" s="54"/>
    </row>
    <row r="5936" spans="31:31">
      <c r="AE5936" s="54"/>
    </row>
    <row r="5937" spans="31:31">
      <c r="AE5937" s="54"/>
    </row>
    <row r="5938" spans="31:31">
      <c r="AE5938" s="54"/>
    </row>
    <row r="5939" spans="31:31">
      <c r="AE5939" s="54"/>
    </row>
    <row r="5940" spans="31:31">
      <c r="AE5940" s="54"/>
    </row>
    <row r="5941" spans="31:31">
      <c r="AE5941" s="54"/>
    </row>
    <row r="5942" spans="31:31">
      <c r="AE5942" s="54"/>
    </row>
    <row r="5943" spans="31:31">
      <c r="AE5943" s="54"/>
    </row>
    <row r="5944" spans="31:31">
      <c r="AE5944" s="54"/>
    </row>
    <row r="5945" spans="31:31">
      <c r="AE5945" s="54"/>
    </row>
    <row r="5946" spans="31:31">
      <c r="AE5946" s="54"/>
    </row>
    <row r="5947" spans="31:31">
      <c r="AE5947" s="54"/>
    </row>
    <row r="5948" spans="31:31">
      <c r="AE5948" s="54"/>
    </row>
    <row r="5949" spans="31:31">
      <c r="AE5949" s="54"/>
    </row>
    <row r="5950" spans="31:31">
      <c r="AE5950" s="54"/>
    </row>
    <row r="5951" spans="31:31">
      <c r="AE5951" s="54"/>
    </row>
    <row r="5952" spans="31:31">
      <c r="AE5952" s="54"/>
    </row>
    <row r="5953" spans="31:31">
      <c r="AE5953" s="54"/>
    </row>
    <row r="5954" spans="31:31">
      <c r="AE5954" s="54"/>
    </row>
    <row r="5955" spans="31:31">
      <c r="AE5955" s="54"/>
    </row>
    <row r="5956" spans="31:31">
      <c r="AE5956" s="54"/>
    </row>
    <row r="5957" spans="31:31">
      <c r="AE5957" s="54"/>
    </row>
    <row r="5958" spans="31:31">
      <c r="AE5958" s="54"/>
    </row>
    <row r="5959" spans="31:31">
      <c r="AE5959" s="54"/>
    </row>
    <row r="5960" spans="31:31">
      <c r="AE5960" s="54"/>
    </row>
    <row r="5961" spans="31:31">
      <c r="AE5961" s="54"/>
    </row>
    <row r="5962" spans="31:31">
      <c r="AE5962" s="54"/>
    </row>
    <row r="5963" spans="31:31">
      <c r="AE5963" s="54"/>
    </row>
    <row r="5964" spans="31:31">
      <c r="AE5964" s="54"/>
    </row>
    <row r="5965" spans="31:31">
      <c r="AE5965" s="54"/>
    </row>
    <row r="5966" spans="31:31">
      <c r="AE5966" s="54"/>
    </row>
    <row r="5967" spans="31:31">
      <c r="AE5967" s="54"/>
    </row>
    <row r="5968" spans="31:31">
      <c r="AE5968" s="54"/>
    </row>
    <row r="5969" spans="31:31">
      <c r="AE5969" s="54"/>
    </row>
    <row r="5970" spans="31:31">
      <c r="AE5970" s="54"/>
    </row>
    <row r="5971" spans="31:31">
      <c r="AE5971" s="54"/>
    </row>
    <row r="5972" spans="31:31">
      <c r="AE5972" s="54"/>
    </row>
    <row r="5973" spans="31:31">
      <c r="AE5973" s="54"/>
    </row>
    <row r="5974" spans="31:31">
      <c r="AE5974" s="54"/>
    </row>
    <row r="5975" spans="31:31">
      <c r="AE5975" s="54"/>
    </row>
    <row r="5976" spans="31:31">
      <c r="AE5976" s="54"/>
    </row>
    <row r="5977" spans="31:31">
      <c r="AE5977" s="54"/>
    </row>
    <row r="5978" spans="31:31">
      <c r="AE5978" s="54"/>
    </row>
    <row r="5979" spans="31:31">
      <c r="AE5979" s="54"/>
    </row>
    <row r="5980" spans="31:31">
      <c r="AE5980" s="54"/>
    </row>
    <row r="5981" spans="31:31">
      <c r="AE5981" s="54"/>
    </row>
    <row r="5982" spans="31:31">
      <c r="AE5982" s="54"/>
    </row>
    <row r="5983" spans="31:31">
      <c r="AE5983" s="54"/>
    </row>
    <row r="5984" spans="31:31">
      <c r="AE5984" s="54"/>
    </row>
    <row r="5985" spans="31:31">
      <c r="AE5985" s="54"/>
    </row>
    <row r="5986" spans="31:31">
      <c r="AE5986" s="54"/>
    </row>
    <row r="5987" spans="31:31">
      <c r="AE5987" s="54"/>
    </row>
    <row r="5988" spans="31:31">
      <c r="AE5988" s="54"/>
    </row>
    <row r="5989" spans="31:31">
      <c r="AE5989" s="54"/>
    </row>
    <row r="5990" spans="31:31">
      <c r="AE5990" s="54"/>
    </row>
    <row r="5991" spans="31:31">
      <c r="AE5991" s="54"/>
    </row>
    <row r="5992" spans="31:31">
      <c r="AE5992" s="54"/>
    </row>
    <row r="5993" spans="31:31">
      <c r="AE5993" s="54"/>
    </row>
    <row r="5994" spans="31:31">
      <c r="AE5994" s="54"/>
    </row>
    <row r="5995" spans="31:31">
      <c r="AE5995" s="54"/>
    </row>
    <row r="5996" spans="31:31">
      <c r="AE5996" s="54"/>
    </row>
    <row r="5997" spans="31:31">
      <c r="AE5997" s="54"/>
    </row>
    <row r="5998" spans="31:31">
      <c r="AE5998" s="54"/>
    </row>
    <row r="5999" spans="31:31">
      <c r="AE5999" s="54"/>
    </row>
    <row r="6000" spans="31:31">
      <c r="AE6000" s="54"/>
    </row>
    <row r="6001" spans="31:31">
      <c r="AE6001" s="54"/>
    </row>
    <row r="6002" spans="31:31">
      <c r="AE6002" s="54"/>
    </row>
    <row r="6003" spans="31:31">
      <c r="AE6003" s="54"/>
    </row>
    <row r="6004" spans="31:31">
      <c r="AE6004" s="54"/>
    </row>
    <row r="6005" spans="31:31">
      <c r="AE6005" s="54"/>
    </row>
    <row r="6006" spans="31:31">
      <c r="AE6006" s="54"/>
    </row>
    <row r="6007" spans="31:31">
      <c r="AE6007" s="54"/>
    </row>
    <row r="6008" spans="31:31">
      <c r="AE6008" s="54"/>
    </row>
    <row r="6009" spans="31:31">
      <c r="AE6009" s="54"/>
    </row>
    <row r="6010" spans="31:31">
      <c r="AE6010" s="54"/>
    </row>
    <row r="6011" spans="31:31">
      <c r="AE6011" s="54"/>
    </row>
    <row r="6012" spans="31:31">
      <c r="AE6012" s="54"/>
    </row>
    <row r="6013" spans="31:31">
      <c r="AE6013" s="54"/>
    </row>
    <row r="6014" spans="31:31">
      <c r="AE6014" s="54"/>
    </row>
    <row r="6015" spans="31:31">
      <c r="AE6015" s="54"/>
    </row>
    <row r="6016" spans="31:31">
      <c r="AE6016" s="54"/>
    </row>
    <row r="6017" spans="31:31">
      <c r="AE6017" s="54"/>
    </row>
    <row r="6018" spans="31:31">
      <c r="AE6018" s="54"/>
    </row>
    <row r="6019" spans="31:31">
      <c r="AE6019" s="54"/>
    </row>
    <row r="6020" spans="31:31">
      <c r="AE6020" s="54"/>
    </row>
    <row r="6021" spans="31:31">
      <c r="AE6021" s="54"/>
    </row>
    <row r="6022" spans="31:31">
      <c r="AE6022" s="54"/>
    </row>
    <row r="6023" spans="31:31">
      <c r="AE6023" s="54"/>
    </row>
    <row r="6024" spans="31:31">
      <c r="AE6024" s="54"/>
    </row>
    <row r="6025" spans="31:31">
      <c r="AE6025" s="54"/>
    </row>
    <row r="6026" spans="31:31">
      <c r="AE6026" s="54"/>
    </row>
    <row r="6027" spans="31:31">
      <c r="AE6027" s="54"/>
    </row>
    <row r="6028" spans="31:31">
      <c r="AE6028" s="54"/>
    </row>
    <row r="6029" spans="31:31">
      <c r="AE6029" s="54"/>
    </row>
    <row r="6030" spans="31:31">
      <c r="AE6030" s="54"/>
    </row>
    <row r="6031" spans="31:31">
      <c r="AE6031" s="54"/>
    </row>
    <row r="6032" spans="31:31">
      <c r="AE6032" s="54"/>
    </row>
    <row r="6033" spans="31:31">
      <c r="AE6033" s="54"/>
    </row>
    <row r="6034" spans="31:31">
      <c r="AE6034" s="54"/>
    </row>
    <row r="6035" spans="31:31">
      <c r="AE6035" s="54"/>
    </row>
    <row r="6036" spans="31:31">
      <c r="AE6036" s="54"/>
    </row>
    <row r="6037" spans="31:31">
      <c r="AE6037" s="54"/>
    </row>
    <row r="6038" spans="31:31">
      <c r="AE6038" s="54"/>
    </row>
    <row r="6039" spans="31:31">
      <c r="AE6039" s="54"/>
    </row>
    <row r="6040" spans="31:31">
      <c r="AE6040" s="54"/>
    </row>
    <row r="6041" spans="31:31">
      <c r="AE6041" s="54"/>
    </row>
    <row r="6042" spans="31:31">
      <c r="AE6042" s="54"/>
    </row>
    <row r="6043" spans="31:31">
      <c r="AE6043" s="54"/>
    </row>
    <row r="6044" spans="31:31">
      <c r="AE6044" s="54"/>
    </row>
    <row r="6045" spans="31:31">
      <c r="AE6045" s="54"/>
    </row>
    <row r="6046" spans="31:31">
      <c r="AE6046" s="54"/>
    </row>
    <row r="6047" spans="31:31">
      <c r="AE6047" s="54"/>
    </row>
    <row r="6048" spans="31:31">
      <c r="AE6048" s="54"/>
    </row>
    <row r="6049" spans="31:31">
      <c r="AE6049" s="54"/>
    </row>
    <row r="6050" spans="31:31">
      <c r="AE6050" s="54"/>
    </row>
    <row r="6051" spans="31:31">
      <c r="AE6051" s="54"/>
    </row>
    <row r="6052" spans="31:31">
      <c r="AE6052" s="54"/>
    </row>
    <row r="6053" spans="31:31">
      <c r="AE6053" s="54"/>
    </row>
    <row r="6054" spans="31:31">
      <c r="AE6054" s="54"/>
    </row>
    <row r="6055" spans="31:31">
      <c r="AE6055" s="54"/>
    </row>
    <row r="6056" spans="31:31">
      <c r="AE6056" s="54"/>
    </row>
    <row r="6057" spans="31:31">
      <c r="AE6057" s="54"/>
    </row>
    <row r="6058" spans="31:31">
      <c r="AE6058" s="54"/>
    </row>
    <row r="6059" spans="31:31">
      <c r="AE6059" s="54"/>
    </row>
    <row r="6060" spans="31:31">
      <c r="AE6060" s="54"/>
    </row>
    <row r="6061" spans="31:31">
      <c r="AE6061" s="54"/>
    </row>
    <row r="6062" spans="31:31">
      <c r="AE6062" s="54"/>
    </row>
    <row r="6063" spans="31:31">
      <c r="AE6063" s="54"/>
    </row>
    <row r="6064" spans="31:31">
      <c r="AE6064" s="54"/>
    </row>
    <row r="6065" spans="31:31">
      <c r="AE6065" s="54"/>
    </row>
    <row r="6066" spans="31:31">
      <c r="AE6066" s="54"/>
    </row>
    <row r="6067" spans="31:31">
      <c r="AE6067" s="54"/>
    </row>
    <row r="6068" spans="31:31">
      <c r="AE6068" s="54"/>
    </row>
    <row r="6069" spans="31:31">
      <c r="AE6069" s="54"/>
    </row>
    <row r="6070" spans="31:31">
      <c r="AE6070" s="54"/>
    </row>
    <row r="6071" spans="31:31">
      <c r="AE6071" s="54"/>
    </row>
    <row r="6072" spans="31:31">
      <c r="AE6072" s="54"/>
    </row>
    <row r="6073" spans="31:31">
      <c r="AE6073" s="54"/>
    </row>
    <row r="6074" spans="31:31">
      <c r="AE6074" s="54"/>
    </row>
    <row r="6075" spans="31:31">
      <c r="AE6075" s="54"/>
    </row>
    <row r="6076" spans="31:31">
      <c r="AE6076" s="54"/>
    </row>
    <row r="6077" spans="31:31">
      <c r="AE6077" s="54"/>
    </row>
    <row r="6078" spans="31:31">
      <c r="AE6078" s="54"/>
    </row>
    <row r="6079" spans="31:31">
      <c r="AE6079" s="54"/>
    </row>
    <row r="6080" spans="31:31">
      <c r="AE6080" s="54"/>
    </row>
    <row r="6081" spans="31:31">
      <c r="AE6081" s="54"/>
    </row>
    <row r="6082" spans="31:31">
      <c r="AE6082" s="54"/>
    </row>
    <row r="6083" spans="31:31">
      <c r="AE6083" s="54"/>
    </row>
    <row r="6084" spans="31:31">
      <c r="AE6084" s="54"/>
    </row>
    <row r="6085" spans="31:31">
      <c r="AE6085" s="54"/>
    </row>
    <row r="6086" spans="31:31">
      <c r="AE6086" s="54"/>
    </row>
    <row r="6087" spans="31:31">
      <c r="AE6087" s="54"/>
    </row>
    <row r="6088" spans="31:31">
      <c r="AE6088" s="54"/>
    </row>
    <row r="6089" spans="31:31">
      <c r="AE6089" s="54"/>
    </row>
    <row r="6090" spans="31:31">
      <c r="AE6090" s="54"/>
    </row>
    <row r="6091" spans="31:31">
      <c r="AE6091" s="54"/>
    </row>
    <row r="6092" spans="31:31">
      <c r="AE6092" s="54"/>
    </row>
    <row r="6093" spans="31:31">
      <c r="AE6093" s="54"/>
    </row>
    <row r="6094" spans="31:31">
      <c r="AE6094" s="54"/>
    </row>
    <row r="6095" spans="31:31">
      <c r="AE6095" s="54"/>
    </row>
    <row r="6096" spans="31:31">
      <c r="AE6096" s="54"/>
    </row>
    <row r="6097" spans="31:31">
      <c r="AE6097" s="54"/>
    </row>
    <row r="6098" spans="31:31">
      <c r="AE6098" s="54"/>
    </row>
    <row r="6099" spans="31:31">
      <c r="AE6099" s="54"/>
    </row>
    <row r="6100" spans="31:31">
      <c r="AE6100" s="54"/>
    </row>
    <row r="6101" spans="31:31">
      <c r="AE6101" s="54"/>
    </row>
    <row r="6102" spans="31:31">
      <c r="AE6102" s="54"/>
    </row>
    <row r="6103" spans="31:31">
      <c r="AE6103" s="54"/>
    </row>
    <row r="6104" spans="31:31">
      <c r="AE6104" s="54"/>
    </row>
    <row r="6105" spans="31:31">
      <c r="AE6105" s="54"/>
    </row>
    <row r="6106" spans="31:31">
      <c r="AE6106" s="54"/>
    </row>
    <row r="6107" spans="31:31">
      <c r="AE6107" s="54"/>
    </row>
    <row r="6108" spans="31:31">
      <c r="AE6108" s="54"/>
    </row>
    <row r="6109" spans="31:31">
      <c r="AE6109" s="54"/>
    </row>
    <row r="6110" spans="31:31">
      <c r="AE6110" s="54"/>
    </row>
    <row r="6111" spans="31:31">
      <c r="AE6111" s="54"/>
    </row>
    <row r="6112" spans="31:31">
      <c r="AE6112" s="54"/>
    </row>
    <row r="6113" spans="31:31">
      <c r="AE6113" s="54"/>
    </row>
    <row r="6114" spans="31:31">
      <c r="AE6114" s="54"/>
    </row>
    <row r="6115" spans="31:31">
      <c r="AE6115" s="54"/>
    </row>
    <row r="6116" spans="31:31">
      <c r="AE6116" s="54"/>
    </row>
    <row r="6117" spans="31:31">
      <c r="AE6117" s="54"/>
    </row>
    <row r="6118" spans="31:31">
      <c r="AE6118" s="54"/>
    </row>
    <row r="6119" spans="31:31">
      <c r="AE6119" s="54"/>
    </row>
    <row r="6120" spans="31:31">
      <c r="AE6120" s="54"/>
    </row>
    <row r="6121" spans="31:31">
      <c r="AE6121" s="54"/>
    </row>
    <row r="6122" spans="31:31">
      <c r="AE6122" s="54"/>
    </row>
    <row r="6123" spans="31:31">
      <c r="AE6123" s="54"/>
    </row>
    <row r="6124" spans="31:31">
      <c r="AE6124" s="54"/>
    </row>
    <row r="6125" spans="31:31">
      <c r="AE6125" s="54"/>
    </row>
    <row r="6126" spans="31:31">
      <c r="AE6126" s="54"/>
    </row>
    <row r="6127" spans="31:31">
      <c r="AE6127" s="54"/>
    </row>
    <row r="6128" spans="31:31">
      <c r="AE6128" s="54"/>
    </row>
    <row r="6129" spans="31:31">
      <c r="AE6129" s="54"/>
    </row>
    <row r="6130" spans="31:31">
      <c r="AE6130" s="54"/>
    </row>
    <row r="6131" spans="31:31">
      <c r="AE6131" s="54"/>
    </row>
    <row r="6132" spans="31:31">
      <c r="AE6132" s="54"/>
    </row>
    <row r="6133" spans="31:31">
      <c r="AE6133" s="54"/>
    </row>
    <row r="6134" spans="31:31">
      <c r="AE6134" s="54"/>
    </row>
    <row r="6135" spans="31:31">
      <c r="AE6135" s="54"/>
    </row>
    <row r="6136" spans="31:31">
      <c r="AE6136" s="54"/>
    </row>
    <row r="6137" spans="31:31">
      <c r="AE6137" s="54"/>
    </row>
    <row r="6138" spans="31:31">
      <c r="AE6138" s="54"/>
    </row>
    <row r="6139" spans="31:31">
      <c r="AE6139" s="54"/>
    </row>
    <row r="6140" spans="31:31">
      <c r="AE6140" s="54"/>
    </row>
    <row r="6141" spans="31:31">
      <c r="AE6141" s="54"/>
    </row>
    <row r="6142" spans="31:31">
      <c r="AE6142" s="54"/>
    </row>
    <row r="6143" spans="31:31">
      <c r="AE6143" s="54"/>
    </row>
    <row r="6144" spans="31:31">
      <c r="AE6144" s="54"/>
    </row>
    <row r="6145" spans="31:31">
      <c r="AE6145" s="54"/>
    </row>
    <row r="6146" spans="31:31">
      <c r="AE6146" s="54"/>
    </row>
    <row r="6147" spans="31:31">
      <c r="AE6147" s="54"/>
    </row>
    <row r="6148" spans="31:31">
      <c r="AE6148" s="54"/>
    </row>
    <row r="6149" spans="31:31">
      <c r="AE6149" s="54"/>
    </row>
    <row r="6150" spans="31:31">
      <c r="AE6150" s="54"/>
    </row>
    <row r="6151" spans="31:31">
      <c r="AE6151" s="54"/>
    </row>
    <row r="6152" spans="31:31">
      <c r="AE6152" s="54"/>
    </row>
    <row r="6153" spans="31:31">
      <c r="AE6153" s="54"/>
    </row>
    <row r="6154" spans="31:31">
      <c r="AE6154" s="54"/>
    </row>
    <row r="6155" spans="31:31">
      <c r="AE6155" s="54"/>
    </row>
    <row r="6156" spans="31:31">
      <c r="AE6156" s="54"/>
    </row>
    <row r="6157" spans="31:31">
      <c r="AE6157" s="54"/>
    </row>
    <row r="6158" spans="31:31">
      <c r="AE6158" s="54"/>
    </row>
    <row r="6159" spans="31:31">
      <c r="AE6159" s="54"/>
    </row>
    <row r="6160" spans="31:31">
      <c r="AE6160" s="54"/>
    </row>
    <row r="6161" spans="31:31">
      <c r="AE6161" s="54"/>
    </row>
    <row r="6162" spans="31:31">
      <c r="AE6162" s="54"/>
    </row>
    <row r="6163" spans="31:31">
      <c r="AE6163" s="54"/>
    </row>
    <row r="6164" spans="31:31">
      <c r="AE6164" s="54"/>
    </row>
    <row r="6165" spans="31:31">
      <c r="AE6165" s="54"/>
    </row>
    <row r="6166" spans="31:31">
      <c r="AE6166" s="54"/>
    </row>
    <row r="6167" spans="31:31">
      <c r="AE6167" s="54"/>
    </row>
    <row r="6168" spans="31:31">
      <c r="AE6168" s="54"/>
    </row>
    <row r="6169" spans="31:31">
      <c r="AE6169" s="54"/>
    </row>
    <row r="6170" spans="31:31">
      <c r="AE6170" s="54"/>
    </row>
    <row r="6171" spans="31:31">
      <c r="AE6171" s="54"/>
    </row>
    <row r="6172" spans="31:31">
      <c r="AE6172" s="54"/>
    </row>
    <row r="6173" spans="31:31">
      <c r="AE6173" s="54"/>
    </row>
    <row r="6174" spans="31:31">
      <c r="AE6174" s="54"/>
    </row>
    <row r="6175" spans="31:31">
      <c r="AE6175" s="54"/>
    </row>
    <row r="6176" spans="31:31">
      <c r="AE6176" s="54"/>
    </row>
    <row r="6177" spans="31:31">
      <c r="AE6177" s="54"/>
    </row>
    <row r="6178" spans="31:31">
      <c r="AE6178" s="54"/>
    </row>
    <row r="6179" spans="31:31">
      <c r="AE6179" s="54"/>
    </row>
    <row r="6180" spans="31:31">
      <c r="AE6180" s="54"/>
    </row>
    <row r="6181" spans="31:31">
      <c r="AE6181" s="54"/>
    </row>
    <row r="6182" spans="31:31">
      <c r="AE6182" s="54"/>
    </row>
    <row r="6183" spans="31:31">
      <c r="AE6183" s="54"/>
    </row>
    <row r="6184" spans="31:31">
      <c r="AE6184" s="54"/>
    </row>
    <row r="6185" spans="31:31">
      <c r="AE6185" s="54"/>
    </row>
    <row r="6186" spans="31:31">
      <c r="AE6186" s="54"/>
    </row>
    <row r="6187" spans="31:31">
      <c r="AE6187" s="54"/>
    </row>
    <row r="6188" spans="31:31">
      <c r="AE6188" s="54"/>
    </row>
    <row r="6189" spans="31:31">
      <c r="AE6189" s="54"/>
    </row>
    <row r="6190" spans="31:31">
      <c r="AE6190" s="54"/>
    </row>
    <row r="6191" spans="31:31">
      <c r="AE6191" s="54"/>
    </row>
    <row r="6192" spans="31:31">
      <c r="AE6192" s="54"/>
    </row>
    <row r="6193" spans="31:31">
      <c r="AE6193" s="54"/>
    </row>
    <row r="6194" spans="31:31">
      <c r="AE6194" s="54"/>
    </row>
    <row r="6195" spans="31:31">
      <c r="AE6195" s="54"/>
    </row>
    <row r="6196" spans="31:31">
      <c r="AE6196" s="54"/>
    </row>
    <row r="6197" spans="31:31">
      <c r="AE6197" s="54"/>
    </row>
    <row r="6198" spans="31:31">
      <c r="AE6198" s="54"/>
    </row>
    <row r="6199" spans="31:31">
      <c r="AE6199" s="54"/>
    </row>
    <row r="6200" spans="31:31">
      <c r="AE6200" s="54"/>
    </row>
    <row r="6201" spans="31:31">
      <c r="AE6201" s="54"/>
    </row>
    <row r="6202" spans="31:31">
      <c r="AE6202" s="54"/>
    </row>
    <row r="6203" spans="31:31">
      <c r="AE6203" s="54"/>
    </row>
    <row r="6204" spans="31:31">
      <c r="AE6204" s="54"/>
    </row>
    <row r="6205" spans="31:31">
      <c r="AE6205" s="54"/>
    </row>
    <row r="6206" spans="31:31">
      <c r="AE6206" s="54"/>
    </row>
    <row r="6207" spans="31:31">
      <c r="AE6207" s="54"/>
    </row>
    <row r="6208" spans="31:31">
      <c r="AE6208" s="54"/>
    </row>
    <row r="6209" spans="31:31">
      <c r="AE6209" s="54"/>
    </row>
    <row r="6210" spans="31:31">
      <c r="AE6210" s="54"/>
    </row>
    <row r="6211" spans="31:31">
      <c r="AE6211" s="54"/>
    </row>
    <row r="6212" spans="31:31">
      <c r="AE6212" s="54"/>
    </row>
    <row r="6213" spans="31:31">
      <c r="AE6213" s="54"/>
    </row>
    <row r="6214" spans="31:31">
      <c r="AE6214" s="54"/>
    </row>
    <row r="6215" spans="31:31">
      <c r="AE6215" s="54"/>
    </row>
    <row r="6216" spans="31:31">
      <c r="AE6216" s="54"/>
    </row>
    <row r="6217" spans="31:31">
      <c r="AE6217" s="54"/>
    </row>
    <row r="6218" spans="31:31">
      <c r="AE6218" s="54"/>
    </row>
    <row r="6219" spans="31:31">
      <c r="AE6219" s="54"/>
    </row>
    <row r="6220" spans="31:31">
      <c r="AE6220" s="54"/>
    </row>
    <row r="6221" spans="31:31">
      <c r="AE6221" s="54"/>
    </row>
    <row r="6222" spans="31:31">
      <c r="AE6222" s="54"/>
    </row>
    <row r="6223" spans="31:31">
      <c r="AE6223" s="54"/>
    </row>
    <row r="6224" spans="31:31">
      <c r="AE6224" s="54"/>
    </row>
    <row r="6225" spans="31:31">
      <c r="AE6225" s="54"/>
    </row>
    <row r="6226" spans="31:31">
      <c r="AE6226" s="54"/>
    </row>
    <row r="6227" spans="31:31">
      <c r="AE6227" s="54"/>
    </row>
    <row r="6228" spans="31:31">
      <c r="AE6228" s="54"/>
    </row>
    <row r="6229" spans="31:31">
      <c r="AE6229" s="54"/>
    </row>
    <row r="6230" spans="31:31">
      <c r="AE6230" s="54"/>
    </row>
    <row r="6231" spans="31:31">
      <c r="AE6231" s="54"/>
    </row>
    <row r="6232" spans="31:31">
      <c r="AE6232" s="54"/>
    </row>
    <row r="6233" spans="31:31">
      <c r="AE6233" s="54"/>
    </row>
    <row r="6234" spans="31:31">
      <c r="AE6234" s="54"/>
    </row>
    <row r="6235" spans="31:31">
      <c r="AE6235" s="54"/>
    </row>
    <row r="6236" spans="31:31">
      <c r="AE6236" s="54"/>
    </row>
    <row r="6237" spans="31:31">
      <c r="AE6237" s="54"/>
    </row>
    <row r="6238" spans="31:31">
      <c r="AE6238" s="54"/>
    </row>
    <row r="6239" spans="31:31">
      <c r="AE6239" s="54"/>
    </row>
    <row r="6240" spans="31:31">
      <c r="AE6240" s="54"/>
    </row>
    <row r="6241" spans="31:31">
      <c r="AE6241" s="54"/>
    </row>
    <row r="6242" spans="31:31">
      <c r="AE6242" s="54"/>
    </row>
    <row r="6243" spans="31:31">
      <c r="AE6243" s="54"/>
    </row>
    <row r="6244" spans="31:31">
      <c r="AE6244" s="54"/>
    </row>
    <row r="6245" spans="31:31">
      <c r="AE6245" s="54"/>
    </row>
    <row r="6246" spans="31:31">
      <c r="AE6246" s="54"/>
    </row>
    <row r="6247" spans="31:31">
      <c r="AE6247" s="54"/>
    </row>
    <row r="6248" spans="31:31">
      <c r="AE6248" s="54"/>
    </row>
    <row r="6249" spans="31:31">
      <c r="AE6249" s="54"/>
    </row>
    <row r="6250" spans="31:31">
      <c r="AE6250" s="54"/>
    </row>
    <row r="6251" spans="31:31">
      <c r="AE6251" s="54"/>
    </row>
    <row r="6252" spans="31:31">
      <c r="AE6252" s="54"/>
    </row>
    <row r="6253" spans="31:31">
      <c r="AE6253" s="54"/>
    </row>
    <row r="6254" spans="31:31">
      <c r="AE6254" s="54"/>
    </row>
    <row r="6255" spans="31:31">
      <c r="AE6255" s="54"/>
    </row>
    <row r="6256" spans="31:31">
      <c r="AE6256" s="54"/>
    </row>
    <row r="6257" spans="31:31">
      <c r="AE6257" s="54"/>
    </row>
    <row r="6258" spans="31:31">
      <c r="AE6258" s="54"/>
    </row>
    <row r="6259" spans="31:31">
      <c r="AE6259" s="54"/>
    </row>
    <row r="6260" spans="31:31">
      <c r="AE6260" s="54"/>
    </row>
    <row r="6261" spans="31:31">
      <c r="AE6261" s="54"/>
    </row>
    <row r="6262" spans="31:31">
      <c r="AE6262" s="54"/>
    </row>
    <row r="6263" spans="31:31">
      <c r="AE6263" s="54"/>
    </row>
    <row r="6264" spans="31:31">
      <c r="AE6264" s="54"/>
    </row>
    <row r="6265" spans="31:31">
      <c r="AE6265" s="54"/>
    </row>
    <row r="6266" spans="31:31">
      <c r="AE6266" s="54"/>
    </row>
    <row r="6267" spans="31:31">
      <c r="AE6267" s="54"/>
    </row>
    <row r="6268" spans="31:31">
      <c r="AE6268" s="54"/>
    </row>
    <row r="6269" spans="31:31">
      <c r="AE6269" s="54"/>
    </row>
    <row r="6270" spans="31:31">
      <c r="AE6270" s="54"/>
    </row>
    <row r="6271" spans="31:31">
      <c r="AE6271" s="54"/>
    </row>
    <row r="6272" spans="31:31">
      <c r="AE6272" s="54"/>
    </row>
    <row r="6273" spans="31:31">
      <c r="AE6273" s="54"/>
    </row>
    <row r="6274" spans="31:31">
      <c r="AE6274" s="54"/>
    </row>
    <row r="6275" spans="31:31">
      <c r="AE6275" s="54"/>
    </row>
    <row r="6276" spans="31:31">
      <c r="AE6276" s="54"/>
    </row>
    <row r="6277" spans="31:31">
      <c r="AE6277" s="54"/>
    </row>
    <row r="6278" spans="31:31">
      <c r="AE6278" s="54"/>
    </row>
    <row r="6279" spans="31:31">
      <c r="AE6279" s="54"/>
    </row>
    <row r="6280" spans="31:31">
      <c r="AE6280" s="54"/>
    </row>
    <row r="6281" spans="31:31">
      <c r="AE6281" s="54"/>
    </row>
    <row r="6282" spans="31:31">
      <c r="AE6282" s="54"/>
    </row>
    <row r="6283" spans="31:31">
      <c r="AE6283" s="54"/>
    </row>
    <row r="6284" spans="31:31">
      <c r="AE6284" s="54"/>
    </row>
    <row r="6285" spans="31:31">
      <c r="AE6285" s="54"/>
    </row>
    <row r="6286" spans="31:31">
      <c r="AE6286" s="54"/>
    </row>
    <row r="6287" spans="31:31">
      <c r="AE6287" s="54"/>
    </row>
    <row r="6288" spans="31:31">
      <c r="AE6288" s="54"/>
    </row>
    <row r="6289" spans="31:31">
      <c r="AE6289" s="54"/>
    </row>
    <row r="6290" spans="31:31">
      <c r="AE6290" s="54"/>
    </row>
    <row r="6291" spans="31:31">
      <c r="AE6291" s="54"/>
    </row>
    <row r="6292" spans="31:31">
      <c r="AE6292" s="54"/>
    </row>
    <row r="6293" spans="31:31">
      <c r="AE6293" s="54"/>
    </row>
    <row r="6294" spans="31:31">
      <c r="AE6294" s="54"/>
    </row>
    <row r="6295" spans="31:31">
      <c r="AE6295" s="54"/>
    </row>
    <row r="6296" spans="31:31">
      <c r="AE6296" s="54"/>
    </row>
    <row r="6297" spans="31:31">
      <c r="AE6297" s="54"/>
    </row>
    <row r="6298" spans="31:31">
      <c r="AE6298" s="54"/>
    </row>
    <row r="6299" spans="31:31">
      <c r="AE6299" s="54"/>
    </row>
    <row r="6300" spans="31:31">
      <c r="AE6300" s="54"/>
    </row>
    <row r="6301" spans="31:31">
      <c r="AE6301" s="54"/>
    </row>
    <row r="6302" spans="31:31">
      <c r="AE6302" s="54"/>
    </row>
    <row r="6303" spans="31:31">
      <c r="AE6303" s="54"/>
    </row>
    <row r="6304" spans="31:31">
      <c r="AE6304" s="54"/>
    </row>
    <row r="6305" spans="31:31">
      <c r="AE6305" s="54"/>
    </row>
    <row r="6306" spans="31:31">
      <c r="AE6306" s="54"/>
    </row>
    <row r="6307" spans="31:31">
      <c r="AE6307" s="54"/>
    </row>
    <row r="6308" spans="31:31">
      <c r="AE6308" s="54"/>
    </row>
    <row r="6309" spans="31:31">
      <c r="AE6309" s="54"/>
    </row>
    <row r="6310" spans="31:31">
      <c r="AE6310" s="54"/>
    </row>
    <row r="6311" spans="31:31">
      <c r="AE6311" s="54"/>
    </row>
    <row r="6312" spans="31:31">
      <c r="AE6312" s="54"/>
    </row>
    <row r="6313" spans="31:31">
      <c r="AE6313" s="54"/>
    </row>
    <row r="6314" spans="31:31">
      <c r="AE6314" s="54"/>
    </row>
    <row r="6315" spans="31:31">
      <c r="AE6315" s="54"/>
    </row>
    <row r="6316" spans="31:31">
      <c r="AE6316" s="54"/>
    </row>
    <row r="6317" spans="31:31">
      <c r="AE6317" s="54"/>
    </row>
    <row r="6318" spans="31:31">
      <c r="AE6318" s="54"/>
    </row>
    <row r="6319" spans="31:31">
      <c r="AE6319" s="54"/>
    </row>
    <row r="6320" spans="31:31">
      <c r="AE6320" s="54"/>
    </row>
    <row r="6321" spans="31:31">
      <c r="AE6321" s="54"/>
    </row>
    <row r="6322" spans="31:31">
      <c r="AE6322" s="54"/>
    </row>
    <row r="6323" spans="31:31">
      <c r="AE6323" s="54"/>
    </row>
    <row r="6324" spans="31:31">
      <c r="AE6324" s="54"/>
    </row>
    <row r="6325" spans="31:31">
      <c r="AE6325" s="54"/>
    </row>
    <row r="6326" spans="31:31">
      <c r="AE6326" s="54"/>
    </row>
    <row r="6327" spans="31:31">
      <c r="AE6327" s="54"/>
    </row>
    <row r="6328" spans="31:31">
      <c r="AE6328" s="54"/>
    </row>
    <row r="6329" spans="31:31">
      <c r="AE6329" s="54"/>
    </row>
    <row r="6330" spans="31:31">
      <c r="AE6330" s="54"/>
    </row>
    <row r="6331" spans="31:31">
      <c r="AE6331" s="54"/>
    </row>
    <row r="6332" spans="31:31">
      <c r="AE6332" s="54"/>
    </row>
    <row r="6333" spans="31:31">
      <c r="AE6333" s="54"/>
    </row>
    <row r="6334" spans="31:31">
      <c r="AE6334" s="54"/>
    </row>
    <row r="6335" spans="31:31">
      <c r="AE6335" s="54"/>
    </row>
    <row r="6336" spans="31:31">
      <c r="AE6336" s="54"/>
    </row>
    <row r="6337" spans="31:31">
      <c r="AE6337" s="54"/>
    </row>
    <row r="6338" spans="31:31">
      <c r="AE6338" s="54"/>
    </row>
    <row r="6339" spans="31:31">
      <c r="AE6339" s="54"/>
    </row>
    <row r="6340" spans="31:31">
      <c r="AE6340" s="54"/>
    </row>
    <row r="6341" spans="31:31">
      <c r="AE6341" s="54"/>
    </row>
    <row r="6342" spans="31:31">
      <c r="AE6342" s="54"/>
    </row>
    <row r="6343" spans="31:31">
      <c r="AE6343" s="54"/>
    </row>
    <row r="6344" spans="31:31">
      <c r="AE6344" s="54"/>
    </row>
    <row r="6345" spans="31:31">
      <c r="AE6345" s="54"/>
    </row>
    <row r="6346" spans="31:31">
      <c r="AE6346" s="54"/>
    </row>
    <row r="6347" spans="31:31">
      <c r="AE6347" s="54"/>
    </row>
    <row r="6348" spans="31:31">
      <c r="AE6348" s="54"/>
    </row>
    <row r="6349" spans="31:31">
      <c r="AE6349" s="54"/>
    </row>
    <row r="6350" spans="31:31">
      <c r="AE6350" s="54"/>
    </row>
    <row r="6351" spans="31:31">
      <c r="AE6351" s="54"/>
    </row>
    <row r="6352" spans="31:31">
      <c r="AE6352" s="54"/>
    </row>
    <row r="6353" spans="31:31">
      <c r="AE6353" s="54"/>
    </row>
    <row r="6354" spans="31:31">
      <c r="AE6354" s="54"/>
    </row>
    <row r="6355" spans="31:31">
      <c r="AE6355" s="54"/>
    </row>
    <row r="6356" spans="31:31">
      <c r="AE6356" s="54"/>
    </row>
    <row r="6357" spans="31:31">
      <c r="AE6357" s="54"/>
    </row>
    <row r="6358" spans="31:31">
      <c r="AE6358" s="54"/>
    </row>
    <row r="6359" spans="31:31">
      <c r="AE6359" s="54"/>
    </row>
    <row r="6360" spans="31:31">
      <c r="AE6360" s="54"/>
    </row>
    <row r="6361" spans="31:31">
      <c r="AE6361" s="54"/>
    </row>
    <row r="6362" spans="31:31">
      <c r="AE6362" s="54"/>
    </row>
    <row r="6363" spans="31:31">
      <c r="AE6363" s="54"/>
    </row>
    <row r="6364" spans="31:31">
      <c r="AE6364" s="54"/>
    </row>
    <row r="6365" spans="31:31">
      <c r="AE6365" s="54"/>
    </row>
    <row r="6366" spans="31:31">
      <c r="AE6366" s="54"/>
    </row>
    <row r="6367" spans="31:31">
      <c r="AE6367" s="54"/>
    </row>
    <row r="6368" spans="31:31">
      <c r="AE6368" s="54"/>
    </row>
    <row r="6369" spans="31:31">
      <c r="AE6369" s="54"/>
    </row>
    <row r="6370" spans="31:31">
      <c r="AE6370" s="54"/>
    </row>
    <row r="6371" spans="31:31">
      <c r="AE6371" s="54"/>
    </row>
    <row r="6372" spans="31:31">
      <c r="AE6372" s="54"/>
    </row>
    <row r="6373" spans="31:31">
      <c r="AE6373" s="54"/>
    </row>
    <row r="6374" spans="31:31">
      <c r="AE6374" s="54"/>
    </row>
    <row r="6375" spans="31:31">
      <c r="AE6375" s="54"/>
    </row>
    <row r="6376" spans="31:31">
      <c r="AE6376" s="54"/>
    </row>
    <row r="6377" spans="31:31">
      <c r="AE6377" s="54"/>
    </row>
    <row r="6378" spans="31:31">
      <c r="AE6378" s="54"/>
    </row>
    <row r="6379" spans="31:31">
      <c r="AE6379" s="54"/>
    </row>
    <row r="6380" spans="31:31">
      <c r="AE6380" s="54"/>
    </row>
    <row r="6381" spans="31:31">
      <c r="AE6381" s="54"/>
    </row>
    <row r="6382" spans="31:31">
      <c r="AE6382" s="54"/>
    </row>
    <row r="6383" spans="31:31">
      <c r="AE6383" s="54"/>
    </row>
    <row r="6384" spans="31:31">
      <c r="AE6384" s="54"/>
    </row>
    <row r="6385" spans="31:31">
      <c r="AE6385" s="54"/>
    </row>
    <row r="6386" spans="31:31">
      <c r="AE6386" s="54"/>
    </row>
    <row r="6387" spans="31:31">
      <c r="AE6387" s="54"/>
    </row>
    <row r="6388" spans="31:31">
      <c r="AE6388" s="54"/>
    </row>
    <row r="6389" spans="31:31">
      <c r="AE6389" s="54"/>
    </row>
    <row r="6390" spans="31:31">
      <c r="AE6390" s="54"/>
    </row>
    <row r="6391" spans="31:31">
      <c r="AE6391" s="54"/>
    </row>
    <row r="6392" spans="31:31">
      <c r="AE6392" s="54"/>
    </row>
    <row r="6393" spans="31:31">
      <c r="AE6393" s="54"/>
    </row>
    <row r="6394" spans="31:31">
      <c r="AE6394" s="54"/>
    </row>
    <row r="6395" spans="31:31">
      <c r="AE6395" s="54"/>
    </row>
    <row r="6396" spans="31:31">
      <c r="AE6396" s="54"/>
    </row>
    <row r="6397" spans="31:31">
      <c r="AE6397" s="54"/>
    </row>
    <row r="6398" spans="31:31">
      <c r="AE6398" s="54"/>
    </row>
    <row r="6399" spans="31:31">
      <c r="AE6399" s="54"/>
    </row>
    <row r="6400" spans="31:31">
      <c r="AE6400" s="54"/>
    </row>
    <row r="6401" spans="31:31">
      <c r="AE6401" s="54"/>
    </row>
    <row r="6402" spans="31:31">
      <c r="AE6402" s="54"/>
    </row>
    <row r="6403" spans="31:31">
      <c r="AE6403" s="54"/>
    </row>
    <row r="6404" spans="31:31">
      <c r="AE6404" s="54"/>
    </row>
    <row r="6405" spans="31:31">
      <c r="AE6405" s="54"/>
    </row>
    <row r="6406" spans="31:31">
      <c r="AE6406" s="54"/>
    </row>
    <row r="6407" spans="31:31">
      <c r="AE6407" s="54"/>
    </row>
    <row r="6408" spans="31:31">
      <c r="AE6408" s="54"/>
    </row>
    <row r="6409" spans="31:31">
      <c r="AE6409" s="54"/>
    </row>
    <row r="6410" spans="31:31">
      <c r="AE6410" s="54"/>
    </row>
    <row r="6411" spans="31:31">
      <c r="AE6411" s="54"/>
    </row>
    <row r="6412" spans="31:31">
      <c r="AE6412" s="54"/>
    </row>
    <row r="6413" spans="31:31">
      <c r="AE6413" s="54"/>
    </row>
    <row r="6414" spans="31:31">
      <c r="AE6414" s="54"/>
    </row>
    <row r="6415" spans="31:31">
      <c r="AE6415" s="54"/>
    </row>
    <row r="6416" spans="31:31">
      <c r="AE6416" s="54"/>
    </row>
    <row r="6417" spans="31:31">
      <c r="AE6417" s="54"/>
    </row>
    <row r="6418" spans="31:31">
      <c r="AE6418" s="54"/>
    </row>
    <row r="6419" spans="31:31">
      <c r="AE6419" s="54"/>
    </row>
    <row r="6420" spans="31:31">
      <c r="AE6420" s="54"/>
    </row>
    <row r="6421" spans="31:31">
      <c r="AE6421" s="54"/>
    </row>
    <row r="6422" spans="31:31">
      <c r="AE6422" s="54"/>
    </row>
    <row r="6423" spans="31:31">
      <c r="AE6423" s="54"/>
    </row>
    <row r="6424" spans="31:31">
      <c r="AE6424" s="54"/>
    </row>
    <row r="6425" spans="31:31">
      <c r="AE6425" s="54"/>
    </row>
    <row r="6426" spans="31:31">
      <c r="AE6426" s="54"/>
    </row>
    <row r="6427" spans="31:31">
      <c r="AE6427" s="54"/>
    </row>
    <row r="6428" spans="31:31">
      <c r="AE6428" s="54"/>
    </row>
    <row r="6429" spans="31:31">
      <c r="AE6429" s="54"/>
    </row>
    <row r="6430" spans="31:31">
      <c r="AE6430" s="54"/>
    </row>
    <row r="6431" spans="31:31">
      <c r="AE6431" s="54"/>
    </row>
    <row r="6432" spans="31:31">
      <c r="AE6432" s="54"/>
    </row>
    <row r="6433" spans="31:31">
      <c r="AE6433" s="54"/>
    </row>
    <row r="6434" spans="31:31">
      <c r="AE6434" s="54"/>
    </row>
    <row r="6435" spans="31:31">
      <c r="AE6435" s="54"/>
    </row>
    <row r="6436" spans="31:31">
      <c r="AE6436" s="54"/>
    </row>
    <row r="6437" spans="31:31">
      <c r="AE6437" s="54"/>
    </row>
    <row r="6438" spans="31:31">
      <c r="AE6438" s="54"/>
    </row>
    <row r="6439" spans="31:31">
      <c r="AE6439" s="54"/>
    </row>
    <row r="6440" spans="31:31">
      <c r="AE6440" s="54"/>
    </row>
    <row r="6441" spans="31:31">
      <c r="AE6441" s="54"/>
    </row>
    <row r="6442" spans="31:31">
      <c r="AE6442" s="54"/>
    </row>
    <row r="6443" spans="31:31">
      <c r="AE6443" s="54"/>
    </row>
    <row r="6444" spans="31:31">
      <c r="AE6444" s="54"/>
    </row>
    <row r="6445" spans="31:31">
      <c r="AE6445" s="54"/>
    </row>
    <row r="6446" spans="31:31">
      <c r="AE6446" s="54"/>
    </row>
    <row r="6447" spans="31:31">
      <c r="AE6447" s="54"/>
    </row>
    <row r="6448" spans="31:31">
      <c r="AE6448" s="54"/>
    </row>
    <row r="6449" spans="31:31">
      <c r="AE6449" s="54"/>
    </row>
    <row r="6450" spans="31:31">
      <c r="AE6450" s="54"/>
    </row>
    <row r="6451" spans="31:31">
      <c r="AE6451" s="54"/>
    </row>
    <row r="6452" spans="31:31">
      <c r="AE6452" s="54"/>
    </row>
    <row r="6453" spans="31:31">
      <c r="AE6453" s="54"/>
    </row>
    <row r="6454" spans="31:31">
      <c r="AE6454" s="54"/>
    </row>
    <row r="6455" spans="31:31">
      <c r="AE6455" s="54"/>
    </row>
    <row r="6456" spans="31:31">
      <c r="AE6456" s="54"/>
    </row>
    <row r="6457" spans="31:31">
      <c r="AE6457" s="54"/>
    </row>
    <row r="6458" spans="31:31">
      <c r="AE6458" s="54"/>
    </row>
    <row r="6459" spans="31:31">
      <c r="AE6459" s="54"/>
    </row>
    <row r="6460" spans="31:31">
      <c r="AE6460" s="54"/>
    </row>
    <row r="6461" spans="31:31">
      <c r="AE6461" s="54"/>
    </row>
    <row r="6462" spans="31:31">
      <c r="AE6462" s="54"/>
    </row>
    <row r="6463" spans="31:31">
      <c r="AE6463" s="54"/>
    </row>
    <row r="6464" spans="31:31">
      <c r="AE6464" s="54"/>
    </row>
    <row r="6465" spans="31:31">
      <c r="AE6465" s="54"/>
    </row>
    <row r="6466" spans="31:31">
      <c r="AE6466" s="54"/>
    </row>
    <row r="6467" spans="31:31">
      <c r="AE6467" s="54"/>
    </row>
    <row r="6468" spans="31:31">
      <c r="AE6468" s="54"/>
    </row>
    <row r="6469" spans="31:31">
      <c r="AE6469" s="54"/>
    </row>
    <row r="6470" spans="31:31">
      <c r="AE6470" s="54"/>
    </row>
    <row r="6471" spans="31:31">
      <c r="AE6471" s="54"/>
    </row>
    <row r="6472" spans="31:31">
      <c r="AE6472" s="54"/>
    </row>
    <row r="6473" spans="31:31">
      <c r="AE6473" s="54"/>
    </row>
    <row r="6474" spans="31:31">
      <c r="AE6474" s="54"/>
    </row>
    <row r="6475" spans="31:31">
      <c r="AE6475" s="54"/>
    </row>
    <row r="6476" spans="31:31">
      <c r="AE6476" s="54"/>
    </row>
    <row r="6477" spans="31:31">
      <c r="AE6477" s="54"/>
    </row>
    <row r="6478" spans="31:31">
      <c r="AE6478" s="54"/>
    </row>
    <row r="6479" spans="31:31">
      <c r="AE6479" s="54"/>
    </row>
    <row r="6480" spans="31:31">
      <c r="AE6480" s="54"/>
    </row>
    <row r="6481" spans="31:31">
      <c r="AE6481" s="54"/>
    </row>
    <row r="6482" spans="31:31">
      <c r="AE6482" s="54"/>
    </row>
    <row r="6483" spans="31:31">
      <c r="AE6483" s="54"/>
    </row>
    <row r="6484" spans="31:31">
      <c r="AE6484" s="54"/>
    </row>
    <row r="6485" spans="31:31">
      <c r="AE6485" s="54"/>
    </row>
    <row r="6486" spans="31:31">
      <c r="AE6486" s="54"/>
    </row>
    <row r="6487" spans="31:31">
      <c r="AE6487" s="54"/>
    </row>
    <row r="6488" spans="31:31">
      <c r="AE6488" s="54"/>
    </row>
    <row r="6489" spans="31:31">
      <c r="AE6489" s="54"/>
    </row>
    <row r="6490" spans="31:31">
      <c r="AE6490" s="54"/>
    </row>
    <row r="6491" spans="31:31">
      <c r="AE6491" s="54"/>
    </row>
    <row r="6492" spans="31:31">
      <c r="AE6492" s="54"/>
    </row>
    <row r="6493" spans="31:31">
      <c r="AE6493" s="54"/>
    </row>
    <row r="6494" spans="31:31">
      <c r="AE6494" s="54"/>
    </row>
    <row r="6495" spans="31:31">
      <c r="AE6495" s="54"/>
    </row>
    <row r="6496" spans="31:31">
      <c r="AE6496" s="54"/>
    </row>
    <row r="6497" spans="31:31">
      <c r="AE6497" s="54"/>
    </row>
    <row r="6498" spans="31:31">
      <c r="AE6498" s="54"/>
    </row>
    <row r="6499" spans="31:31">
      <c r="AE6499" s="54"/>
    </row>
    <row r="6500" spans="31:31">
      <c r="AE6500" s="54"/>
    </row>
    <row r="6501" spans="31:31">
      <c r="AE6501" s="54"/>
    </row>
    <row r="6502" spans="31:31">
      <c r="AE6502" s="54"/>
    </row>
    <row r="6503" spans="31:31">
      <c r="AE6503" s="54"/>
    </row>
    <row r="6504" spans="31:31">
      <c r="AE6504" s="54"/>
    </row>
    <row r="6505" spans="31:31">
      <c r="AE6505" s="54"/>
    </row>
    <row r="6506" spans="31:31">
      <c r="AE6506" s="54"/>
    </row>
    <row r="6507" spans="31:31">
      <c r="AE6507" s="54"/>
    </row>
    <row r="6508" spans="31:31">
      <c r="AE6508" s="54"/>
    </row>
    <row r="6509" spans="31:31">
      <c r="AE6509" s="54"/>
    </row>
    <row r="6510" spans="31:31">
      <c r="AE6510" s="54"/>
    </row>
    <row r="6511" spans="31:31">
      <c r="AE6511" s="54"/>
    </row>
    <row r="6512" spans="31:31">
      <c r="AE6512" s="54"/>
    </row>
    <row r="6513" spans="31:31">
      <c r="AE6513" s="54"/>
    </row>
    <row r="6514" spans="31:31">
      <c r="AE6514" s="54"/>
    </row>
    <row r="6515" spans="31:31">
      <c r="AE6515" s="54"/>
    </row>
    <row r="6516" spans="31:31">
      <c r="AE6516" s="54"/>
    </row>
    <row r="6517" spans="31:31">
      <c r="AE6517" s="54"/>
    </row>
    <row r="6518" spans="31:31">
      <c r="AE6518" s="54"/>
    </row>
    <row r="6519" spans="31:31">
      <c r="AE6519" s="54"/>
    </row>
    <row r="6520" spans="31:31">
      <c r="AE6520" s="54"/>
    </row>
    <row r="6521" spans="31:31">
      <c r="AE6521" s="54"/>
    </row>
    <row r="6522" spans="31:31">
      <c r="AE6522" s="54"/>
    </row>
    <row r="6523" spans="31:31">
      <c r="AE6523" s="54"/>
    </row>
    <row r="6524" spans="31:31">
      <c r="AE6524" s="54"/>
    </row>
    <row r="6525" spans="31:31">
      <c r="AE6525" s="54"/>
    </row>
    <row r="6526" spans="31:31">
      <c r="AE6526" s="54"/>
    </row>
    <row r="6527" spans="31:31">
      <c r="AE6527" s="54"/>
    </row>
    <row r="6528" spans="31:31">
      <c r="AE6528" s="54"/>
    </row>
    <row r="6529" spans="31:31">
      <c r="AE6529" s="54"/>
    </row>
    <row r="6530" spans="31:31">
      <c r="AE6530" s="54"/>
    </row>
    <row r="6531" spans="31:31">
      <c r="AE6531" s="54"/>
    </row>
    <row r="6532" spans="31:31">
      <c r="AE6532" s="54"/>
    </row>
    <row r="6533" spans="31:31">
      <c r="AE6533" s="54"/>
    </row>
    <row r="6534" spans="31:31">
      <c r="AE6534" s="54"/>
    </row>
    <row r="6535" spans="31:31">
      <c r="AE6535" s="54"/>
    </row>
    <row r="6536" spans="31:31">
      <c r="AE6536" s="54"/>
    </row>
    <row r="6537" spans="31:31">
      <c r="AE6537" s="54"/>
    </row>
    <row r="6538" spans="31:31">
      <c r="AE6538" s="54"/>
    </row>
    <row r="6539" spans="31:31">
      <c r="AE6539" s="54"/>
    </row>
    <row r="6540" spans="31:31">
      <c r="AE6540" s="54"/>
    </row>
    <row r="6541" spans="31:31">
      <c r="AE6541" s="54"/>
    </row>
    <row r="6542" spans="31:31">
      <c r="AE6542" s="54"/>
    </row>
    <row r="6543" spans="31:31">
      <c r="AE6543" s="54"/>
    </row>
    <row r="6544" spans="31:31">
      <c r="AE6544" s="54"/>
    </row>
    <row r="6545" spans="31:31">
      <c r="AE6545" s="54"/>
    </row>
    <row r="6546" spans="31:31">
      <c r="AE6546" s="54"/>
    </row>
    <row r="6547" spans="31:31">
      <c r="AE6547" s="54"/>
    </row>
    <row r="6548" spans="31:31">
      <c r="AE6548" s="54"/>
    </row>
    <row r="6549" spans="31:31">
      <c r="AE6549" s="54"/>
    </row>
    <row r="6550" spans="31:31">
      <c r="AE6550" s="54"/>
    </row>
    <row r="6551" spans="31:31">
      <c r="AE6551" s="54"/>
    </row>
    <row r="6552" spans="31:31">
      <c r="AE6552" s="54"/>
    </row>
    <row r="6553" spans="31:31">
      <c r="AE6553" s="54"/>
    </row>
    <row r="6554" spans="31:31">
      <c r="AE6554" s="54"/>
    </row>
    <row r="6555" spans="31:31">
      <c r="AE6555" s="54"/>
    </row>
    <row r="6556" spans="31:31">
      <c r="AE6556" s="54"/>
    </row>
    <row r="6557" spans="31:31">
      <c r="AE6557" s="54"/>
    </row>
    <row r="6558" spans="31:31">
      <c r="AE6558" s="54"/>
    </row>
    <row r="6559" spans="31:31">
      <c r="AE6559" s="54"/>
    </row>
    <row r="6560" spans="31:31">
      <c r="AE6560" s="54"/>
    </row>
    <row r="6561" spans="31:31">
      <c r="AE6561" s="54"/>
    </row>
    <row r="6562" spans="31:31">
      <c r="AE6562" s="54"/>
    </row>
    <row r="6563" spans="31:31">
      <c r="AE6563" s="54"/>
    </row>
    <row r="6564" spans="31:31">
      <c r="AE6564" s="54"/>
    </row>
    <row r="6565" spans="31:31">
      <c r="AE6565" s="54"/>
    </row>
    <row r="6566" spans="31:31">
      <c r="AE6566" s="54"/>
    </row>
    <row r="6567" spans="31:31">
      <c r="AE6567" s="54"/>
    </row>
    <row r="6568" spans="31:31">
      <c r="AE6568" s="54"/>
    </row>
    <row r="6569" spans="31:31">
      <c r="AE6569" s="54"/>
    </row>
    <row r="6570" spans="31:31">
      <c r="AE6570" s="54"/>
    </row>
    <row r="6571" spans="31:31">
      <c r="AE6571" s="54"/>
    </row>
    <row r="6572" spans="31:31">
      <c r="AE6572" s="54"/>
    </row>
    <row r="6573" spans="31:31">
      <c r="AE6573" s="54"/>
    </row>
    <row r="6574" spans="31:31">
      <c r="AE6574" s="54"/>
    </row>
    <row r="6575" spans="31:31">
      <c r="AE6575" s="54"/>
    </row>
    <row r="6576" spans="31:31">
      <c r="AE6576" s="54"/>
    </row>
    <row r="6577" spans="31:31">
      <c r="AE6577" s="54"/>
    </row>
    <row r="6578" spans="31:31">
      <c r="AE6578" s="54"/>
    </row>
    <row r="6579" spans="31:31">
      <c r="AE6579" s="54"/>
    </row>
    <row r="6580" spans="31:31">
      <c r="AE6580" s="54"/>
    </row>
    <row r="6581" spans="31:31">
      <c r="AE6581" s="54"/>
    </row>
    <row r="6582" spans="31:31">
      <c r="AE6582" s="54"/>
    </row>
    <row r="6583" spans="31:31">
      <c r="AE6583" s="54"/>
    </row>
    <row r="6584" spans="31:31">
      <c r="AE6584" s="54"/>
    </row>
    <row r="6585" spans="31:31">
      <c r="AE6585" s="54"/>
    </row>
    <row r="6586" spans="31:31">
      <c r="AE6586" s="54"/>
    </row>
    <row r="6587" spans="31:31">
      <c r="AE6587" s="54"/>
    </row>
    <row r="6588" spans="31:31">
      <c r="AE6588" s="54"/>
    </row>
    <row r="6589" spans="31:31">
      <c r="AE6589" s="54"/>
    </row>
    <row r="6590" spans="31:31">
      <c r="AE6590" s="54"/>
    </row>
    <row r="6591" spans="31:31">
      <c r="AE6591" s="54"/>
    </row>
    <row r="6592" spans="31:31">
      <c r="AE6592" s="54"/>
    </row>
    <row r="6593" spans="31:31">
      <c r="AE6593" s="54"/>
    </row>
    <row r="6594" spans="31:31">
      <c r="AE6594" s="54"/>
    </row>
    <row r="6595" spans="31:31">
      <c r="AE6595" s="54"/>
    </row>
    <row r="6596" spans="31:31">
      <c r="AE6596" s="54"/>
    </row>
    <row r="6597" spans="31:31">
      <c r="AE6597" s="54"/>
    </row>
    <row r="6598" spans="31:31">
      <c r="AE6598" s="54"/>
    </row>
    <row r="6599" spans="31:31">
      <c r="AE6599" s="54"/>
    </row>
    <row r="6600" spans="31:31">
      <c r="AE6600" s="54"/>
    </row>
    <row r="6601" spans="31:31">
      <c r="AE6601" s="54"/>
    </row>
    <row r="6602" spans="31:31">
      <c r="AE6602" s="54"/>
    </row>
    <row r="6603" spans="31:31">
      <c r="AE6603" s="54"/>
    </row>
    <row r="6604" spans="31:31">
      <c r="AE6604" s="54"/>
    </row>
    <row r="6605" spans="31:31">
      <c r="AE6605" s="54"/>
    </row>
    <row r="6606" spans="31:31">
      <c r="AE6606" s="54"/>
    </row>
    <row r="6607" spans="31:31">
      <c r="AE6607" s="54"/>
    </row>
    <row r="6608" spans="31:31">
      <c r="AE6608" s="54"/>
    </row>
    <row r="6609" spans="31:31">
      <c r="AE6609" s="54"/>
    </row>
    <row r="6610" spans="31:31">
      <c r="AE6610" s="54"/>
    </row>
    <row r="6611" spans="31:31">
      <c r="AE6611" s="54"/>
    </row>
    <row r="6612" spans="31:31">
      <c r="AE6612" s="54"/>
    </row>
    <row r="6613" spans="31:31">
      <c r="AE6613" s="54"/>
    </row>
    <row r="6614" spans="31:31">
      <c r="AE6614" s="54"/>
    </row>
    <row r="6615" spans="31:31">
      <c r="AE6615" s="54"/>
    </row>
    <row r="6616" spans="31:31">
      <c r="AE6616" s="54"/>
    </row>
    <row r="6617" spans="31:31">
      <c r="AE6617" s="54"/>
    </row>
    <row r="6618" spans="31:31">
      <c r="AE6618" s="54"/>
    </row>
    <row r="6619" spans="31:31">
      <c r="AE6619" s="54"/>
    </row>
    <row r="6620" spans="31:31">
      <c r="AE6620" s="54"/>
    </row>
    <row r="6621" spans="31:31">
      <c r="AE6621" s="54"/>
    </row>
    <row r="6622" spans="31:31">
      <c r="AE6622" s="54"/>
    </row>
    <row r="6623" spans="31:31">
      <c r="AE6623" s="54"/>
    </row>
    <row r="6624" spans="31:31">
      <c r="AE6624" s="54"/>
    </row>
    <row r="6625" spans="31:31">
      <c r="AE6625" s="54"/>
    </row>
    <row r="6626" spans="31:31">
      <c r="AE6626" s="54"/>
    </row>
    <row r="6627" spans="31:31">
      <c r="AE6627" s="54"/>
    </row>
    <row r="6628" spans="31:31">
      <c r="AE6628" s="54"/>
    </row>
    <row r="6629" spans="31:31">
      <c r="AE6629" s="54"/>
    </row>
    <row r="6630" spans="31:31">
      <c r="AE6630" s="54"/>
    </row>
    <row r="6631" spans="31:31">
      <c r="AE6631" s="54"/>
    </row>
    <row r="6632" spans="31:31">
      <c r="AE6632" s="54"/>
    </row>
    <row r="6633" spans="31:31">
      <c r="AE6633" s="54"/>
    </row>
    <row r="6634" spans="31:31">
      <c r="AE6634" s="54"/>
    </row>
    <row r="6635" spans="31:31">
      <c r="AE6635" s="54"/>
    </row>
    <row r="6636" spans="31:31">
      <c r="AE6636" s="54"/>
    </row>
    <row r="6637" spans="31:31">
      <c r="AE6637" s="54"/>
    </row>
    <row r="6638" spans="31:31">
      <c r="AE6638" s="54"/>
    </row>
    <row r="6639" spans="31:31">
      <c r="AE6639" s="54"/>
    </row>
    <row r="6640" spans="31:31">
      <c r="AE6640" s="54"/>
    </row>
    <row r="6641" spans="31:31">
      <c r="AE6641" s="54"/>
    </row>
    <row r="6642" spans="31:31">
      <c r="AE6642" s="54"/>
    </row>
    <row r="6643" spans="31:31">
      <c r="AE6643" s="54"/>
    </row>
    <row r="6644" spans="31:31">
      <c r="AE6644" s="54"/>
    </row>
    <row r="6645" spans="31:31">
      <c r="AE6645" s="54"/>
    </row>
    <row r="6646" spans="31:31">
      <c r="AE6646" s="54"/>
    </row>
    <row r="6647" spans="31:31">
      <c r="AE6647" s="54"/>
    </row>
    <row r="6648" spans="31:31">
      <c r="AE6648" s="54"/>
    </row>
    <row r="6649" spans="31:31">
      <c r="AE6649" s="54"/>
    </row>
    <row r="6650" spans="31:31">
      <c r="AE6650" s="54"/>
    </row>
    <row r="6651" spans="31:31">
      <c r="AE6651" s="54"/>
    </row>
    <row r="6652" spans="31:31">
      <c r="AE6652" s="54"/>
    </row>
    <row r="6653" spans="31:31">
      <c r="AE6653" s="54"/>
    </row>
    <row r="6654" spans="31:31">
      <c r="AE6654" s="54"/>
    </row>
    <row r="6655" spans="31:31">
      <c r="AE6655" s="54"/>
    </row>
    <row r="6656" spans="31:31">
      <c r="AE6656" s="54"/>
    </row>
    <row r="6657" spans="31:31">
      <c r="AE6657" s="54"/>
    </row>
    <row r="6658" spans="31:31">
      <c r="AE6658" s="54"/>
    </row>
    <row r="6659" spans="31:31">
      <c r="AE6659" s="54"/>
    </row>
    <row r="6660" spans="31:31">
      <c r="AE6660" s="54"/>
    </row>
    <row r="6661" spans="31:31">
      <c r="AE6661" s="54"/>
    </row>
    <row r="6662" spans="31:31">
      <c r="AE6662" s="54"/>
    </row>
    <row r="6663" spans="31:31">
      <c r="AE6663" s="54"/>
    </row>
    <row r="6664" spans="31:31">
      <c r="AE6664" s="54"/>
    </row>
    <row r="6665" spans="31:31">
      <c r="AE6665" s="54"/>
    </row>
    <row r="6666" spans="31:31">
      <c r="AE6666" s="54"/>
    </row>
    <row r="6667" spans="31:31">
      <c r="AE6667" s="54"/>
    </row>
    <row r="6668" spans="31:31">
      <c r="AE6668" s="54"/>
    </row>
    <row r="6669" spans="31:31">
      <c r="AE6669" s="54"/>
    </row>
    <row r="6670" spans="31:31">
      <c r="AE6670" s="54"/>
    </row>
    <row r="6671" spans="31:31">
      <c r="AE6671" s="54"/>
    </row>
    <row r="6672" spans="31:31">
      <c r="AE6672" s="54"/>
    </row>
    <row r="6673" spans="31:31">
      <c r="AE6673" s="54"/>
    </row>
    <row r="6674" spans="31:31">
      <c r="AE6674" s="54"/>
    </row>
    <row r="6675" spans="31:31">
      <c r="AE6675" s="54"/>
    </row>
    <row r="6676" spans="31:31">
      <c r="AE6676" s="54"/>
    </row>
    <row r="6677" spans="31:31">
      <c r="AE6677" s="54"/>
    </row>
    <row r="6678" spans="31:31">
      <c r="AE6678" s="54"/>
    </row>
    <row r="6679" spans="31:31">
      <c r="AE6679" s="54"/>
    </row>
    <row r="6680" spans="31:31">
      <c r="AE6680" s="54"/>
    </row>
    <row r="6681" spans="31:31">
      <c r="AE6681" s="54"/>
    </row>
    <row r="6682" spans="31:31">
      <c r="AE6682" s="54"/>
    </row>
    <row r="6683" spans="31:31">
      <c r="AE6683" s="54"/>
    </row>
    <row r="6684" spans="31:31">
      <c r="AE6684" s="54"/>
    </row>
    <row r="6685" spans="31:31">
      <c r="AE6685" s="54"/>
    </row>
    <row r="6686" spans="31:31">
      <c r="AE6686" s="54"/>
    </row>
    <row r="6687" spans="31:31">
      <c r="AE6687" s="54"/>
    </row>
    <row r="6688" spans="31:31">
      <c r="AE6688" s="54"/>
    </row>
    <row r="6689" spans="31:31">
      <c r="AE6689" s="54"/>
    </row>
    <row r="6690" spans="31:31">
      <c r="AE6690" s="54"/>
    </row>
    <row r="6691" spans="31:31">
      <c r="AE6691" s="54"/>
    </row>
    <row r="6692" spans="31:31">
      <c r="AE6692" s="54"/>
    </row>
    <row r="6693" spans="31:31">
      <c r="AE6693" s="54"/>
    </row>
    <row r="6694" spans="31:31">
      <c r="AE6694" s="54"/>
    </row>
    <row r="6695" spans="31:31">
      <c r="AE6695" s="54"/>
    </row>
    <row r="6696" spans="31:31">
      <c r="AE6696" s="54"/>
    </row>
    <row r="6697" spans="31:31">
      <c r="AE6697" s="54"/>
    </row>
    <row r="6698" spans="31:31">
      <c r="AE6698" s="54"/>
    </row>
    <row r="6699" spans="31:31">
      <c r="AE6699" s="54"/>
    </row>
    <row r="6700" spans="31:31">
      <c r="AE6700" s="54"/>
    </row>
    <row r="6701" spans="31:31">
      <c r="AE6701" s="54"/>
    </row>
    <row r="6702" spans="31:31">
      <c r="AE6702" s="54"/>
    </row>
    <row r="6703" spans="31:31">
      <c r="AE6703" s="54"/>
    </row>
    <row r="6704" spans="31:31">
      <c r="AE6704" s="54"/>
    </row>
    <row r="6705" spans="31:31">
      <c r="AE6705" s="54"/>
    </row>
    <row r="6706" spans="31:31">
      <c r="AE6706" s="54"/>
    </row>
    <row r="6707" spans="31:31">
      <c r="AE6707" s="54"/>
    </row>
    <row r="6708" spans="31:31">
      <c r="AE6708" s="54"/>
    </row>
    <row r="6709" spans="31:31">
      <c r="AE6709" s="54"/>
    </row>
    <row r="6710" spans="31:31">
      <c r="AE6710" s="54"/>
    </row>
    <row r="6711" spans="31:31">
      <c r="AE6711" s="54"/>
    </row>
    <row r="6712" spans="31:31">
      <c r="AE6712" s="54"/>
    </row>
    <row r="6713" spans="31:31">
      <c r="AE6713" s="54"/>
    </row>
    <row r="6714" spans="31:31">
      <c r="AE6714" s="54"/>
    </row>
    <row r="6715" spans="31:31">
      <c r="AE6715" s="54"/>
    </row>
    <row r="6716" spans="31:31">
      <c r="AE6716" s="54"/>
    </row>
    <row r="6717" spans="31:31">
      <c r="AE6717" s="54"/>
    </row>
    <row r="6718" spans="31:31">
      <c r="AE6718" s="54"/>
    </row>
    <row r="6719" spans="31:31">
      <c r="AE6719" s="54"/>
    </row>
    <row r="6720" spans="31:31">
      <c r="AE6720" s="54"/>
    </row>
    <row r="6721" spans="31:31">
      <c r="AE6721" s="54"/>
    </row>
    <row r="6722" spans="31:31">
      <c r="AE6722" s="54"/>
    </row>
    <row r="6723" spans="31:31">
      <c r="AE6723" s="54"/>
    </row>
    <row r="6724" spans="31:31">
      <c r="AE6724" s="54"/>
    </row>
    <row r="6725" spans="31:31">
      <c r="AE6725" s="54"/>
    </row>
    <row r="6726" spans="31:31">
      <c r="AE6726" s="54"/>
    </row>
    <row r="6727" spans="31:31">
      <c r="AE6727" s="54"/>
    </row>
    <row r="6728" spans="31:31">
      <c r="AE6728" s="54"/>
    </row>
    <row r="6729" spans="31:31">
      <c r="AE6729" s="54"/>
    </row>
    <row r="6730" spans="31:31">
      <c r="AE6730" s="54"/>
    </row>
    <row r="6731" spans="31:31">
      <c r="AE6731" s="54"/>
    </row>
    <row r="6732" spans="31:31">
      <c r="AE6732" s="54"/>
    </row>
    <row r="6733" spans="31:31">
      <c r="AE6733" s="54"/>
    </row>
    <row r="6734" spans="31:31">
      <c r="AE6734" s="54"/>
    </row>
    <row r="6735" spans="31:31">
      <c r="AE6735" s="54"/>
    </row>
    <row r="6736" spans="31:31">
      <c r="AE6736" s="54"/>
    </row>
    <row r="6737" spans="31:31">
      <c r="AE6737" s="54"/>
    </row>
    <row r="6738" spans="31:31">
      <c r="AE6738" s="54"/>
    </row>
    <row r="6739" spans="31:31">
      <c r="AE6739" s="54"/>
    </row>
    <row r="6740" spans="31:31">
      <c r="AE6740" s="54"/>
    </row>
    <row r="6741" spans="31:31">
      <c r="AE6741" s="54"/>
    </row>
    <row r="6742" spans="31:31">
      <c r="AE6742" s="54"/>
    </row>
    <row r="6743" spans="31:31">
      <c r="AE6743" s="54"/>
    </row>
    <row r="6744" spans="31:31">
      <c r="AE6744" s="54"/>
    </row>
    <row r="6745" spans="31:31">
      <c r="AE6745" s="54"/>
    </row>
    <row r="6746" spans="31:31">
      <c r="AE6746" s="54"/>
    </row>
    <row r="6747" spans="31:31">
      <c r="AE6747" s="54"/>
    </row>
    <row r="6748" spans="31:31">
      <c r="AE6748" s="54"/>
    </row>
    <row r="6749" spans="31:31">
      <c r="AE6749" s="54"/>
    </row>
    <row r="6750" spans="31:31">
      <c r="AE6750" s="54"/>
    </row>
    <row r="6751" spans="31:31">
      <c r="AE6751" s="54"/>
    </row>
    <row r="6752" spans="31:31">
      <c r="AE6752" s="54"/>
    </row>
    <row r="6753" spans="31:31">
      <c r="AE6753" s="54"/>
    </row>
    <row r="6754" spans="31:31">
      <c r="AE6754" s="54"/>
    </row>
    <row r="6755" spans="31:31">
      <c r="AE6755" s="54"/>
    </row>
    <row r="6756" spans="31:31">
      <c r="AE6756" s="54"/>
    </row>
    <row r="6757" spans="31:31">
      <c r="AE6757" s="54"/>
    </row>
    <row r="6758" spans="31:31">
      <c r="AE6758" s="54"/>
    </row>
    <row r="6759" spans="31:31">
      <c r="AE6759" s="54"/>
    </row>
    <row r="6760" spans="31:31">
      <c r="AE6760" s="54"/>
    </row>
    <row r="6761" spans="31:31">
      <c r="AE6761" s="54"/>
    </row>
    <row r="6762" spans="31:31">
      <c r="AE6762" s="54"/>
    </row>
    <row r="6763" spans="31:31">
      <c r="AE6763" s="54"/>
    </row>
    <row r="6764" spans="31:31">
      <c r="AE6764" s="54"/>
    </row>
    <row r="6765" spans="31:31">
      <c r="AE6765" s="54"/>
    </row>
    <row r="6766" spans="31:31">
      <c r="AE6766" s="54"/>
    </row>
    <row r="6767" spans="31:31">
      <c r="AE6767" s="54"/>
    </row>
    <row r="6768" spans="31:31">
      <c r="AE6768" s="54"/>
    </row>
    <row r="6769" spans="31:31">
      <c r="AE6769" s="54"/>
    </row>
    <row r="6770" spans="31:31">
      <c r="AE6770" s="54"/>
    </row>
    <row r="6771" spans="31:31">
      <c r="AE6771" s="54"/>
    </row>
    <row r="6772" spans="31:31">
      <c r="AE6772" s="54"/>
    </row>
    <row r="6773" spans="31:31">
      <c r="AE6773" s="54"/>
    </row>
    <row r="6774" spans="31:31">
      <c r="AE6774" s="54"/>
    </row>
    <row r="6775" spans="31:31">
      <c r="AE6775" s="54"/>
    </row>
    <row r="6776" spans="31:31">
      <c r="AE6776" s="54"/>
    </row>
    <row r="6777" spans="31:31">
      <c r="AE6777" s="54"/>
    </row>
    <row r="6778" spans="31:31">
      <c r="AE6778" s="54"/>
    </row>
    <row r="6779" spans="31:31">
      <c r="AE6779" s="54"/>
    </row>
    <row r="6780" spans="31:31">
      <c r="AE6780" s="54"/>
    </row>
    <row r="6781" spans="31:31">
      <c r="AE6781" s="54"/>
    </row>
    <row r="6782" spans="31:31">
      <c r="AE6782" s="54"/>
    </row>
    <row r="6783" spans="31:31">
      <c r="AE6783" s="54"/>
    </row>
    <row r="6784" spans="31:31">
      <c r="AE6784" s="54"/>
    </row>
    <row r="6785" spans="31:31">
      <c r="AE6785" s="54"/>
    </row>
    <row r="6786" spans="31:31">
      <c r="AE6786" s="54"/>
    </row>
    <row r="6787" spans="31:31">
      <c r="AE6787" s="54"/>
    </row>
    <row r="6788" spans="31:31">
      <c r="AE6788" s="54"/>
    </row>
    <row r="6789" spans="31:31">
      <c r="AE6789" s="54"/>
    </row>
    <row r="6790" spans="31:31">
      <c r="AE6790" s="54"/>
    </row>
    <row r="6791" spans="31:31">
      <c r="AE6791" s="54"/>
    </row>
    <row r="6792" spans="31:31">
      <c r="AE6792" s="54"/>
    </row>
    <row r="6793" spans="31:31">
      <c r="AE6793" s="54"/>
    </row>
    <row r="6794" spans="31:31">
      <c r="AE6794" s="54"/>
    </row>
    <row r="6795" spans="31:31">
      <c r="AE6795" s="54"/>
    </row>
    <row r="6796" spans="31:31">
      <c r="AE6796" s="54"/>
    </row>
    <row r="6797" spans="31:31">
      <c r="AE6797" s="54"/>
    </row>
    <row r="6798" spans="31:31">
      <c r="AE6798" s="54"/>
    </row>
    <row r="6799" spans="31:31">
      <c r="AE6799" s="54"/>
    </row>
    <row r="6800" spans="31:31">
      <c r="AE6800" s="54"/>
    </row>
    <row r="6801" spans="31:31">
      <c r="AE6801" s="54"/>
    </row>
    <row r="6802" spans="31:31">
      <c r="AE6802" s="54"/>
    </row>
    <row r="6803" spans="31:31">
      <c r="AE6803" s="54"/>
    </row>
    <row r="6804" spans="31:31">
      <c r="AE6804" s="54"/>
    </row>
    <row r="6805" spans="31:31">
      <c r="AE6805" s="54"/>
    </row>
    <row r="6806" spans="31:31">
      <c r="AE6806" s="54"/>
    </row>
    <row r="6807" spans="31:31">
      <c r="AE6807" s="54"/>
    </row>
    <row r="6808" spans="31:31">
      <c r="AE6808" s="54"/>
    </row>
    <row r="6809" spans="31:31">
      <c r="AE6809" s="54"/>
    </row>
    <row r="6810" spans="31:31">
      <c r="AE6810" s="54"/>
    </row>
    <row r="6811" spans="31:31">
      <c r="AE6811" s="54"/>
    </row>
    <row r="6812" spans="31:31">
      <c r="AE6812" s="54"/>
    </row>
    <row r="6813" spans="31:31">
      <c r="AE6813" s="54"/>
    </row>
    <row r="6814" spans="31:31">
      <c r="AE6814" s="54"/>
    </row>
    <row r="6815" spans="31:31">
      <c r="AE6815" s="54"/>
    </row>
    <row r="6816" spans="31:31">
      <c r="AE6816" s="54"/>
    </row>
    <row r="6817" spans="31:31">
      <c r="AE6817" s="54"/>
    </row>
    <row r="6818" spans="31:31">
      <c r="AE6818" s="54"/>
    </row>
    <row r="6819" spans="31:31">
      <c r="AE6819" s="54"/>
    </row>
    <row r="6820" spans="31:31">
      <c r="AE6820" s="54"/>
    </row>
    <row r="6821" spans="31:31">
      <c r="AE6821" s="54"/>
    </row>
    <row r="6822" spans="31:31">
      <c r="AE6822" s="54"/>
    </row>
    <row r="6823" spans="31:31">
      <c r="AE6823" s="54"/>
    </row>
    <row r="6824" spans="31:31">
      <c r="AE6824" s="54"/>
    </row>
    <row r="6825" spans="31:31">
      <c r="AE6825" s="54"/>
    </row>
    <row r="6826" spans="31:31">
      <c r="AE6826" s="54"/>
    </row>
    <row r="6827" spans="31:31">
      <c r="AE6827" s="54"/>
    </row>
    <row r="6828" spans="31:31">
      <c r="AE6828" s="54"/>
    </row>
    <row r="6829" spans="31:31">
      <c r="AE6829" s="54"/>
    </row>
    <row r="6830" spans="31:31">
      <c r="AE6830" s="54"/>
    </row>
    <row r="6831" spans="31:31">
      <c r="AE6831" s="54"/>
    </row>
    <row r="6832" spans="31:31">
      <c r="AE6832" s="54"/>
    </row>
    <row r="6833" spans="31:31">
      <c r="AE6833" s="54"/>
    </row>
    <row r="6834" spans="31:31">
      <c r="AE6834" s="54"/>
    </row>
    <row r="6835" spans="31:31">
      <c r="AE6835" s="54"/>
    </row>
    <row r="6836" spans="31:31">
      <c r="AE6836" s="54"/>
    </row>
    <row r="6837" spans="31:31">
      <c r="AE6837" s="54"/>
    </row>
    <row r="6838" spans="31:31">
      <c r="AE6838" s="54"/>
    </row>
    <row r="6839" spans="31:31">
      <c r="AE6839" s="54"/>
    </row>
    <row r="6840" spans="31:31">
      <c r="AE6840" s="54"/>
    </row>
    <row r="6841" spans="31:31">
      <c r="AE6841" s="54"/>
    </row>
    <row r="6842" spans="31:31">
      <c r="AE6842" s="54"/>
    </row>
    <row r="6843" spans="31:31">
      <c r="AE6843" s="54"/>
    </row>
    <row r="6844" spans="31:31">
      <c r="AE6844" s="54"/>
    </row>
    <row r="6845" spans="31:31">
      <c r="AE6845" s="54"/>
    </row>
    <row r="6846" spans="31:31">
      <c r="AE6846" s="54"/>
    </row>
    <row r="6847" spans="31:31">
      <c r="AE6847" s="54"/>
    </row>
    <row r="6848" spans="31:31">
      <c r="AE6848" s="54"/>
    </row>
    <row r="6849" spans="31:31">
      <c r="AE6849" s="54"/>
    </row>
    <row r="6850" spans="31:31">
      <c r="AE6850" s="54"/>
    </row>
    <row r="6851" spans="31:31">
      <c r="AE6851" s="54"/>
    </row>
    <row r="6852" spans="31:31">
      <c r="AE6852" s="54"/>
    </row>
    <row r="6853" spans="31:31">
      <c r="AE6853" s="54"/>
    </row>
    <row r="6854" spans="31:31">
      <c r="AE6854" s="54"/>
    </row>
    <row r="6855" spans="31:31">
      <c r="AE6855" s="54"/>
    </row>
    <row r="6856" spans="31:31">
      <c r="AE6856" s="54"/>
    </row>
    <row r="6857" spans="31:31">
      <c r="AE6857" s="54"/>
    </row>
    <row r="6858" spans="31:31">
      <c r="AE6858" s="54"/>
    </row>
    <row r="6859" spans="31:31">
      <c r="AE6859" s="54"/>
    </row>
    <row r="6860" spans="31:31">
      <c r="AE6860" s="54"/>
    </row>
    <row r="6861" spans="31:31">
      <c r="AE6861" s="54"/>
    </row>
    <row r="6862" spans="31:31">
      <c r="AE6862" s="54"/>
    </row>
    <row r="6863" spans="31:31">
      <c r="AE6863" s="54"/>
    </row>
    <row r="6864" spans="31:31">
      <c r="AE6864" s="54"/>
    </row>
    <row r="6865" spans="31:31">
      <c r="AE6865" s="54"/>
    </row>
    <row r="6866" spans="31:31">
      <c r="AE6866" s="54"/>
    </row>
    <row r="6867" spans="31:31">
      <c r="AE6867" s="54"/>
    </row>
    <row r="6868" spans="31:31">
      <c r="AE6868" s="54"/>
    </row>
    <row r="6869" spans="31:31">
      <c r="AE6869" s="54"/>
    </row>
    <row r="6870" spans="31:31">
      <c r="AE6870" s="54"/>
    </row>
    <row r="6871" spans="31:31">
      <c r="AE6871" s="54"/>
    </row>
    <row r="6872" spans="31:31">
      <c r="AE6872" s="54"/>
    </row>
    <row r="6873" spans="31:31">
      <c r="AE6873" s="54"/>
    </row>
    <row r="6874" spans="31:31">
      <c r="AE6874" s="54"/>
    </row>
    <row r="6875" spans="31:31">
      <c r="AE6875" s="54"/>
    </row>
    <row r="6876" spans="31:31">
      <c r="AE6876" s="54"/>
    </row>
    <row r="6877" spans="31:31">
      <c r="AE6877" s="54"/>
    </row>
    <row r="6878" spans="31:31">
      <c r="AE6878" s="54"/>
    </row>
    <row r="6879" spans="31:31">
      <c r="AE6879" s="54"/>
    </row>
    <row r="6880" spans="31:31">
      <c r="AE6880" s="54"/>
    </row>
    <row r="6881" spans="31:31">
      <c r="AE6881" s="54"/>
    </row>
    <row r="6882" spans="31:31">
      <c r="AE6882" s="54"/>
    </row>
    <row r="6883" spans="31:31">
      <c r="AE6883" s="54"/>
    </row>
    <row r="6884" spans="31:31">
      <c r="AE6884" s="54"/>
    </row>
    <row r="6885" spans="31:31">
      <c r="AE6885" s="54"/>
    </row>
    <row r="6886" spans="31:31">
      <c r="AE6886" s="54"/>
    </row>
    <row r="6887" spans="31:31">
      <c r="AE6887" s="54"/>
    </row>
    <row r="6888" spans="31:31">
      <c r="AE6888" s="54"/>
    </row>
    <row r="6889" spans="31:31">
      <c r="AE6889" s="54"/>
    </row>
    <row r="6890" spans="31:31">
      <c r="AE6890" s="54"/>
    </row>
    <row r="6891" spans="31:31">
      <c r="AE6891" s="54"/>
    </row>
    <row r="6892" spans="31:31">
      <c r="AE6892" s="54"/>
    </row>
    <row r="6893" spans="31:31">
      <c r="AE6893" s="54"/>
    </row>
    <row r="6894" spans="31:31">
      <c r="AE6894" s="54"/>
    </row>
    <row r="6895" spans="31:31">
      <c r="AE6895" s="54"/>
    </row>
    <row r="6896" spans="31:31">
      <c r="AE6896" s="54"/>
    </row>
    <row r="6897" spans="31:31">
      <c r="AE6897" s="54"/>
    </row>
    <row r="6898" spans="31:31">
      <c r="AE6898" s="54"/>
    </row>
    <row r="6899" spans="31:31">
      <c r="AE6899" s="54"/>
    </row>
    <row r="6900" spans="31:31">
      <c r="AE6900" s="54"/>
    </row>
    <row r="6901" spans="31:31">
      <c r="AE6901" s="54"/>
    </row>
    <row r="6902" spans="31:31">
      <c r="AE6902" s="54"/>
    </row>
    <row r="6903" spans="31:31">
      <c r="AE6903" s="54"/>
    </row>
    <row r="6904" spans="31:31">
      <c r="AE6904" s="54"/>
    </row>
    <row r="6905" spans="31:31">
      <c r="AE6905" s="54"/>
    </row>
    <row r="6906" spans="31:31">
      <c r="AE6906" s="54"/>
    </row>
    <row r="6907" spans="31:31">
      <c r="AE6907" s="54"/>
    </row>
    <row r="6908" spans="31:31">
      <c r="AE6908" s="54"/>
    </row>
    <row r="6909" spans="31:31">
      <c r="AE6909" s="54"/>
    </row>
    <row r="6910" spans="31:31">
      <c r="AE6910" s="54"/>
    </row>
    <row r="6911" spans="31:31">
      <c r="AE6911" s="54"/>
    </row>
    <row r="6912" spans="31:31">
      <c r="AE6912" s="54"/>
    </row>
    <row r="6913" spans="31:31">
      <c r="AE6913" s="54"/>
    </row>
    <row r="6914" spans="31:31">
      <c r="AE6914" s="54"/>
    </row>
    <row r="6915" spans="31:31">
      <c r="AE6915" s="54"/>
    </row>
    <row r="6916" spans="31:31">
      <c r="AE6916" s="54"/>
    </row>
    <row r="6917" spans="31:31">
      <c r="AE6917" s="54"/>
    </row>
    <row r="6918" spans="31:31">
      <c r="AE6918" s="54"/>
    </row>
    <row r="6919" spans="31:31">
      <c r="AE6919" s="54"/>
    </row>
    <row r="6920" spans="31:31">
      <c r="AE6920" s="54"/>
    </row>
    <row r="6921" spans="31:31">
      <c r="AE6921" s="54"/>
    </row>
    <row r="6922" spans="31:31">
      <c r="AE6922" s="54"/>
    </row>
    <row r="6923" spans="31:31">
      <c r="AE6923" s="54"/>
    </row>
    <row r="6924" spans="31:31">
      <c r="AE6924" s="54"/>
    </row>
    <row r="6925" spans="31:31">
      <c r="AE6925" s="54"/>
    </row>
    <row r="6926" spans="31:31">
      <c r="AE6926" s="54"/>
    </row>
    <row r="6927" spans="31:31">
      <c r="AE6927" s="54"/>
    </row>
    <row r="6928" spans="31:31">
      <c r="AE6928" s="54"/>
    </row>
    <row r="6929" spans="31:31">
      <c r="AE6929" s="54"/>
    </row>
    <row r="6930" spans="31:31">
      <c r="AE6930" s="54"/>
    </row>
    <row r="6931" spans="31:31">
      <c r="AE6931" s="54"/>
    </row>
    <row r="6932" spans="31:31">
      <c r="AE6932" s="54"/>
    </row>
    <row r="6933" spans="31:31">
      <c r="AE6933" s="54"/>
    </row>
    <row r="6934" spans="31:31">
      <c r="AE6934" s="54"/>
    </row>
    <row r="6935" spans="31:31">
      <c r="AE6935" s="54"/>
    </row>
    <row r="6936" spans="31:31">
      <c r="AE6936" s="54"/>
    </row>
    <row r="6937" spans="31:31">
      <c r="AE6937" s="54"/>
    </row>
    <row r="6938" spans="31:31">
      <c r="AE6938" s="54"/>
    </row>
    <row r="6939" spans="31:31">
      <c r="AE6939" s="54"/>
    </row>
    <row r="6940" spans="31:31">
      <c r="AE6940" s="54"/>
    </row>
    <row r="6941" spans="31:31">
      <c r="AE6941" s="54"/>
    </row>
    <row r="6942" spans="31:31">
      <c r="AE6942" s="54"/>
    </row>
    <row r="6943" spans="31:31">
      <c r="AE6943" s="54"/>
    </row>
    <row r="6944" spans="31:31">
      <c r="AE6944" s="54"/>
    </row>
    <row r="6945" spans="31:31">
      <c r="AE6945" s="54"/>
    </row>
    <row r="6946" spans="31:31">
      <c r="AE6946" s="54"/>
    </row>
    <row r="6947" spans="31:31">
      <c r="AE6947" s="54"/>
    </row>
    <row r="6948" spans="31:31">
      <c r="AE6948" s="54"/>
    </row>
    <row r="6949" spans="31:31">
      <c r="AE6949" s="54"/>
    </row>
    <row r="6950" spans="31:31">
      <c r="AE6950" s="54"/>
    </row>
    <row r="6951" spans="31:31">
      <c r="AE6951" s="54"/>
    </row>
    <row r="6952" spans="31:31">
      <c r="AE6952" s="54"/>
    </row>
    <row r="6953" spans="31:31">
      <c r="AE6953" s="54"/>
    </row>
    <row r="6954" spans="31:31">
      <c r="AE6954" s="54"/>
    </row>
    <row r="6955" spans="31:31">
      <c r="AE6955" s="54"/>
    </row>
    <row r="6956" spans="31:31">
      <c r="AE6956" s="54"/>
    </row>
    <row r="6957" spans="31:31">
      <c r="AE6957" s="54"/>
    </row>
    <row r="6958" spans="31:31">
      <c r="AE6958" s="54"/>
    </row>
    <row r="6959" spans="31:31">
      <c r="AE6959" s="54"/>
    </row>
    <row r="6960" spans="31:31">
      <c r="AE6960" s="54"/>
    </row>
    <row r="6961" spans="31:31">
      <c r="AE6961" s="54"/>
    </row>
    <row r="6962" spans="31:31">
      <c r="AE6962" s="54"/>
    </row>
    <row r="6963" spans="31:31">
      <c r="AE6963" s="54"/>
    </row>
    <row r="6964" spans="31:31">
      <c r="AE6964" s="54"/>
    </row>
    <row r="6965" spans="31:31">
      <c r="AE6965" s="54"/>
    </row>
    <row r="6966" spans="31:31">
      <c r="AE6966" s="54"/>
    </row>
    <row r="6967" spans="31:31">
      <c r="AE6967" s="54"/>
    </row>
    <row r="6968" spans="31:31">
      <c r="AE6968" s="54"/>
    </row>
    <row r="6969" spans="31:31">
      <c r="AE6969" s="54"/>
    </row>
    <row r="6970" spans="31:31">
      <c r="AE6970" s="54"/>
    </row>
    <row r="6971" spans="31:31">
      <c r="AE6971" s="54"/>
    </row>
    <row r="6972" spans="31:31">
      <c r="AE6972" s="54"/>
    </row>
    <row r="6973" spans="31:31">
      <c r="AE6973" s="54"/>
    </row>
    <row r="6974" spans="31:31">
      <c r="AE6974" s="54"/>
    </row>
    <row r="6975" spans="31:31">
      <c r="AE6975" s="54"/>
    </row>
    <row r="6976" spans="31:31">
      <c r="AE6976" s="54"/>
    </row>
    <row r="6977" spans="31:31">
      <c r="AE6977" s="54"/>
    </row>
    <row r="6978" spans="31:31">
      <c r="AE6978" s="54"/>
    </row>
    <row r="6979" spans="31:31">
      <c r="AE6979" s="54"/>
    </row>
    <row r="6980" spans="31:31">
      <c r="AE6980" s="54"/>
    </row>
    <row r="6981" spans="31:31">
      <c r="AE6981" s="54"/>
    </row>
    <row r="6982" spans="31:31">
      <c r="AE6982" s="54"/>
    </row>
    <row r="6983" spans="31:31">
      <c r="AE6983" s="54"/>
    </row>
    <row r="6984" spans="31:31">
      <c r="AE6984" s="54"/>
    </row>
    <row r="6985" spans="31:31">
      <c r="AE6985" s="54"/>
    </row>
    <row r="6986" spans="31:31">
      <c r="AE6986" s="54"/>
    </row>
    <row r="6987" spans="31:31">
      <c r="AE6987" s="54"/>
    </row>
    <row r="6988" spans="31:31">
      <c r="AE6988" s="54"/>
    </row>
    <row r="6989" spans="31:31">
      <c r="AE6989" s="54"/>
    </row>
    <row r="6990" spans="31:31">
      <c r="AE6990" s="54"/>
    </row>
    <row r="6991" spans="31:31">
      <c r="AE6991" s="54"/>
    </row>
    <row r="6992" spans="31:31">
      <c r="AE6992" s="54"/>
    </row>
    <row r="6993" spans="31:31">
      <c r="AE6993" s="54"/>
    </row>
    <row r="6994" spans="31:31">
      <c r="AE6994" s="54"/>
    </row>
    <row r="6995" spans="31:31">
      <c r="AE6995" s="54"/>
    </row>
    <row r="6996" spans="31:31">
      <c r="AE6996" s="54"/>
    </row>
    <row r="6997" spans="31:31">
      <c r="AE6997" s="54"/>
    </row>
    <row r="6998" spans="31:31">
      <c r="AE6998" s="54"/>
    </row>
    <row r="6999" spans="31:31">
      <c r="AE6999" s="54"/>
    </row>
    <row r="7000" spans="31:31">
      <c r="AE7000" s="54"/>
    </row>
    <row r="7001" spans="31:31">
      <c r="AE7001" s="54"/>
    </row>
    <row r="7002" spans="31:31">
      <c r="AE7002" s="54"/>
    </row>
    <row r="7003" spans="31:31">
      <c r="AE7003" s="54"/>
    </row>
    <row r="7004" spans="31:31">
      <c r="AE7004" s="54"/>
    </row>
    <row r="7005" spans="31:31">
      <c r="AE7005" s="54"/>
    </row>
    <row r="7006" spans="31:31">
      <c r="AE7006" s="54"/>
    </row>
    <row r="7007" spans="31:31">
      <c r="AE7007" s="54"/>
    </row>
    <row r="7008" spans="31:31">
      <c r="AE7008" s="54"/>
    </row>
    <row r="7009" spans="31:31">
      <c r="AE7009" s="54"/>
    </row>
    <row r="7010" spans="31:31">
      <c r="AE7010" s="54"/>
    </row>
    <row r="7011" spans="31:31">
      <c r="AE7011" s="54"/>
    </row>
    <row r="7012" spans="31:31">
      <c r="AE7012" s="54"/>
    </row>
    <row r="7013" spans="31:31">
      <c r="AE7013" s="54"/>
    </row>
    <row r="7014" spans="31:31">
      <c r="AE7014" s="54"/>
    </row>
    <row r="7015" spans="31:31">
      <c r="AE7015" s="54"/>
    </row>
    <row r="7016" spans="31:31">
      <c r="AE7016" s="54"/>
    </row>
    <row r="7017" spans="31:31">
      <c r="AE7017" s="54"/>
    </row>
    <row r="7018" spans="31:31">
      <c r="AE7018" s="54"/>
    </row>
    <row r="7019" spans="31:31">
      <c r="AE7019" s="54"/>
    </row>
    <row r="7020" spans="31:31">
      <c r="AE7020" s="54"/>
    </row>
    <row r="7021" spans="31:31">
      <c r="AE7021" s="54"/>
    </row>
    <row r="7022" spans="31:31">
      <c r="AE7022" s="54"/>
    </row>
    <row r="7023" spans="31:31">
      <c r="AE7023" s="54"/>
    </row>
    <row r="7024" spans="31:31">
      <c r="AE7024" s="54"/>
    </row>
    <row r="7025" spans="31:31">
      <c r="AE7025" s="54"/>
    </row>
    <row r="7026" spans="31:31">
      <c r="AE7026" s="54"/>
    </row>
    <row r="7027" spans="31:31">
      <c r="AE7027" s="54"/>
    </row>
    <row r="7028" spans="31:31">
      <c r="AE7028" s="54"/>
    </row>
    <row r="7029" spans="31:31">
      <c r="AE7029" s="54"/>
    </row>
    <row r="7030" spans="31:31">
      <c r="AE7030" s="54"/>
    </row>
    <row r="7031" spans="31:31">
      <c r="AE7031" s="54"/>
    </row>
    <row r="7032" spans="31:31">
      <c r="AE7032" s="54"/>
    </row>
    <row r="7033" spans="31:31">
      <c r="AE7033" s="54"/>
    </row>
    <row r="7034" spans="31:31">
      <c r="AE7034" s="54"/>
    </row>
    <row r="7035" spans="31:31">
      <c r="AE7035" s="54"/>
    </row>
    <row r="7036" spans="31:31">
      <c r="AE7036" s="54"/>
    </row>
    <row r="7037" spans="31:31">
      <c r="AE7037" s="54"/>
    </row>
    <row r="7038" spans="31:31">
      <c r="AE7038" s="54"/>
    </row>
    <row r="7039" spans="31:31">
      <c r="AE7039" s="54"/>
    </row>
    <row r="7040" spans="31:31">
      <c r="AE7040" s="54"/>
    </row>
    <row r="7041" spans="31:31">
      <c r="AE7041" s="54"/>
    </row>
    <row r="7042" spans="31:31">
      <c r="AE7042" s="54"/>
    </row>
    <row r="7043" spans="31:31">
      <c r="AE7043" s="54"/>
    </row>
    <row r="7044" spans="31:31">
      <c r="AE7044" s="54"/>
    </row>
    <row r="7045" spans="31:31">
      <c r="AE7045" s="54"/>
    </row>
    <row r="7046" spans="31:31">
      <c r="AE7046" s="54"/>
    </row>
    <row r="7047" spans="31:31">
      <c r="AE7047" s="54"/>
    </row>
    <row r="7048" spans="31:31">
      <c r="AE7048" s="54"/>
    </row>
    <row r="7049" spans="31:31">
      <c r="AE7049" s="54"/>
    </row>
    <row r="7050" spans="31:31">
      <c r="AE7050" s="54"/>
    </row>
    <row r="7051" spans="31:31">
      <c r="AE7051" s="54"/>
    </row>
    <row r="7052" spans="31:31">
      <c r="AE7052" s="54"/>
    </row>
    <row r="7053" spans="31:31">
      <c r="AE7053" s="54"/>
    </row>
    <row r="7054" spans="31:31">
      <c r="AE7054" s="54"/>
    </row>
    <row r="7055" spans="31:31">
      <c r="AE7055" s="54"/>
    </row>
    <row r="7056" spans="31:31">
      <c r="AE7056" s="54"/>
    </row>
    <row r="7057" spans="31:31">
      <c r="AE7057" s="54"/>
    </row>
    <row r="7058" spans="31:31">
      <c r="AE7058" s="54"/>
    </row>
    <row r="7059" spans="31:31">
      <c r="AE7059" s="54"/>
    </row>
    <row r="7060" spans="31:31">
      <c r="AE7060" s="54"/>
    </row>
    <row r="7061" spans="31:31">
      <c r="AE7061" s="54"/>
    </row>
    <row r="7062" spans="31:31">
      <c r="AE7062" s="54"/>
    </row>
    <row r="7063" spans="31:31">
      <c r="AE7063" s="54"/>
    </row>
    <row r="7064" spans="31:31">
      <c r="AE7064" s="54"/>
    </row>
    <row r="7065" spans="31:31">
      <c r="AE7065" s="54"/>
    </row>
    <row r="7066" spans="31:31">
      <c r="AE7066" s="54"/>
    </row>
    <row r="7067" spans="31:31">
      <c r="AE7067" s="54"/>
    </row>
    <row r="7068" spans="31:31">
      <c r="AE7068" s="54"/>
    </row>
    <row r="7069" spans="31:31">
      <c r="AE7069" s="54"/>
    </row>
    <row r="7070" spans="31:31">
      <c r="AE7070" s="54"/>
    </row>
    <row r="7071" spans="31:31">
      <c r="AE7071" s="54"/>
    </row>
    <row r="7072" spans="31:31">
      <c r="AE7072" s="54"/>
    </row>
    <row r="7073" spans="31:31">
      <c r="AE7073" s="54"/>
    </row>
    <row r="7074" spans="31:31">
      <c r="AE7074" s="54"/>
    </row>
    <row r="7075" spans="31:31">
      <c r="AE7075" s="54"/>
    </row>
    <row r="7076" spans="31:31">
      <c r="AE7076" s="54"/>
    </row>
    <row r="7077" spans="31:31">
      <c r="AE7077" s="54"/>
    </row>
    <row r="7078" spans="31:31">
      <c r="AE7078" s="54"/>
    </row>
    <row r="7079" spans="31:31">
      <c r="AE7079" s="54"/>
    </row>
    <row r="7080" spans="31:31">
      <c r="AE7080" s="54"/>
    </row>
    <row r="7081" spans="31:31">
      <c r="AE7081" s="54"/>
    </row>
    <row r="7082" spans="31:31">
      <c r="AE7082" s="54"/>
    </row>
    <row r="7083" spans="31:31">
      <c r="AE7083" s="54"/>
    </row>
    <row r="7084" spans="31:31">
      <c r="AE7084" s="54"/>
    </row>
    <row r="7085" spans="31:31">
      <c r="AE7085" s="54"/>
    </row>
    <row r="7086" spans="31:31">
      <c r="AE7086" s="54"/>
    </row>
    <row r="7087" spans="31:31">
      <c r="AE7087" s="54"/>
    </row>
    <row r="7088" spans="31:31">
      <c r="AE7088" s="54"/>
    </row>
    <row r="7089" spans="31:31">
      <c r="AE7089" s="54"/>
    </row>
    <row r="7090" spans="31:31">
      <c r="AE7090" s="54"/>
    </row>
    <row r="7091" spans="31:31">
      <c r="AE7091" s="54"/>
    </row>
    <row r="7092" spans="31:31">
      <c r="AE7092" s="54"/>
    </row>
    <row r="7093" spans="31:31">
      <c r="AE7093" s="54"/>
    </row>
    <row r="7094" spans="31:31">
      <c r="AE7094" s="54"/>
    </row>
    <row r="7095" spans="31:31">
      <c r="AE7095" s="54"/>
    </row>
    <row r="7096" spans="31:31">
      <c r="AE7096" s="54"/>
    </row>
    <row r="7097" spans="31:31">
      <c r="AE7097" s="54"/>
    </row>
    <row r="7098" spans="31:31">
      <c r="AE7098" s="54"/>
    </row>
    <row r="7099" spans="31:31">
      <c r="AE7099" s="54"/>
    </row>
    <row r="7100" spans="31:31">
      <c r="AE7100" s="54"/>
    </row>
    <row r="7101" spans="31:31">
      <c r="AE7101" s="54"/>
    </row>
    <row r="7102" spans="31:31">
      <c r="AE7102" s="54"/>
    </row>
    <row r="7103" spans="31:31">
      <c r="AE7103" s="54"/>
    </row>
    <row r="7104" spans="31:31">
      <c r="AE7104" s="54"/>
    </row>
    <row r="7105" spans="31:31">
      <c r="AE7105" s="54"/>
    </row>
    <row r="7106" spans="31:31">
      <c r="AE7106" s="54"/>
    </row>
    <row r="7107" spans="31:31">
      <c r="AE7107" s="54"/>
    </row>
    <row r="7108" spans="31:31">
      <c r="AE7108" s="54"/>
    </row>
    <row r="7109" spans="31:31">
      <c r="AE7109" s="54"/>
    </row>
    <row r="7110" spans="31:31">
      <c r="AE7110" s="54"/>
    </row>
    <row r="7111" spans="31:31">
      <c r="AE7111" s="54"/>
    </row>
    <row r="7112" spans="31:31">
      <c r="AE7112" s="54"/>
    </row>
    <row r="7113" spans="31:31">
      <c r="AE7113" s="54"/>
    </row>
    <row r="7114" spans="31:31">
      <c r="AE7114" s="54"/>
    </row>
    <row r="7115" spans="31:31">
      <c r="AE7115" s="54"/>
    </row>
    <row r="7116" spans="31:31">
      <c r="AE7116" s="54"/>
    </row>
    <row r="7117" spans="31:31">
      <c r="AE7117" s="54"/>
    </row>
    <row r="7118" spans="31:31">
      <c r="AE7118" s="54"/>
    </row>
    <row r="7119" spans="31:31">
      <c r="AE7119" s="54"/>
    </row>
    <row r="7120" spans="31:31">
      <c r="AE7120" s="54"/>
    </row>
    <row r="7121" spans="31:31">
      <c r="AE7121" s="54"/>
    </row>
    <row r="7122" spans="31:31">
      <c r="AE7122" s="54"/>
    </row>
    <row r="7123" spans="31:31">
      <c r="AE7123" s="54"/>
    </row>
    <row r="7124" spans="31:31">
      <c r="AE7124" s="54"/>
    </row>
    <row r="7125" spans="31:31">
      <c r="AE7125" s="54"/>
    </row>
    <row r="7126" spans="31:31">
      <c r="AE7126" s="54"/>
    </row>
    <row r="7127" spans="31:31">
      <c r="AE7127" s="54"/>
    </row>
    <row r="7128" spans="31:31">
      <c r="AE7128" s="54"/>
    </row>
    <row r="7129" spans="31:31">
      <c r="AE7129" s="54"/>
    </row>
    <row r="7130" spans="31:31">
      <c r="AE7130" s="54"/>
    </row>
    <row r="7131" spans="31:31">
      <c r="AE7131" s="54"/>
    </row>
    <row r="7132" spans="31:31">
      <c r="AE7132" s="54"/>
    </row>
    <row r="7133" spans="31:31">
      <c r="AE7133" s="54"/>
    </row>
    <row r="7134" spans="31:31">
      <c r="AE7134" s="54"/>
    </row>
    <row r="7135" spans="31:31">
      <c r="AE7135" s="54"/>
    </row>
    <row r="7136" spans="31:31">
      <c r="AE7136" s="54"/>
    </row>
    <row r="7137" spans="31:31">
      <c r="AE7137" s="54"/>
    </row>
    <row r="7138" spans="31:31">
      <c r="AE7138" s="54"/>
    </row>
    <row r="7139" spans="31:31">
      <c r="AE7139" s="54"/>
    </row>
    <row r="7140" spans="31:31">
      <c r="AE7140" s="54"/>
    </row>
    <row r="7141" spans="31:31">
      <c r="AE7141" s="54"/>
    </row>
    <row r="7142" spans="31:31">
      <c r="AE7142" s="54"/>
    </row>
    <row r="7143" spans="31:31">
      <c r="AE7143" s="54"/>
    </row>
    <row r="7144" spans="31:31">
      <c r="AE7144" s="54"/>
    </row>
    <row r="7145" spans="31:31">
      <c r="AE7145" s="54"/>
    </row>
    <row r="7146" spans="31:31">
      <c r="AE7146" s="54"/>
    </row>
    <row r="7147" spans="31:31">
      <c r="AE7147" s="54"/>
    </row>
    <row r="7148" spans="31:31">
      <c r="AE7148" s="54"/>
    </row>
    <row r="7149" spans="31:31">
      <c r="AE7149" s="54"/>
    </row>
    <row r="7150" spans="31:31">
      <c r="AE7150" s="54"/>
    </row>
    <row r="7151" spans="31:31">
      <c r="AE7151" s="54"/>
    </row>
    <row r="7152" spans="31:31">
      <c r="AE7152" s="54"/>
    </row>
    <row r="7153" spans="31:31">
      <c r="AE7153" s="54"/>
    </row>
    <row r="7154" spans="31:31">
      <c r="AE7154" s="54"/>
    </row>
    <row r="7155" spans="31:31">
      <c r="AE7155" s="54"/>
    </row>
    <row r="7156" spans="31:31">
      <c r="AE7156" s="54"/>
    </row>
    <row r="7157" spans="31:31">
      <c r="AE7157" s="54"/>
    </row>
    <row r="7158" spans="31:31">
      <c r="AE7158" s="54"/>
    </row>
    <row r="7159" spans="31:31">
      <c r="AE7159" s="54"/>
    </row>
    <row r="7160" spans="31:31">
      <c r="AE7160" s="54"/>
    </row>
    <row r="7161" spans="31:31">
      <c r="AE7161" s="54"/>
    </row>
    <row r="7162" spans="31:31">
      <c r="AE7162" s="54"/>
    </row>
    <row r="7163" spans="31:31">
      <c r="AE7163" s="54"/>
    </row>
    <row r="7164" spans="31:31">
      <c r="AE7164" s="54"/>
    </row>
    <row r="7165" spans="31:31">
      <c r="AE7165" s="54"/>
    </row>
    <row r="7166" spans="31:31">
      <c r="AE7166" s="54"/>
    </row>
    <row r="7167" spans="31:31">
      <c r="AE7167" s="54"/>
    </row>
    <row r="7168" spans="31:31">
      <c r="AE7168" s="54"/>
    </row>
    <row r="7169" spans="31:31">
      <c r="AE7169" s="54"/>
    </row>
    <row r="7170" spans="31:31">
      <c r="AE7170" s="54"/>
    </row>
    <row r="7171" spans="31:31">
      <c r="AE7171" s="54"/>
    </row>
    <row r="7172" spans="31:31">
      <c r="AE7172" s="54"/>
    </row>
    <row r="7173" spans="31:31">
      <c r="AE7173" s="54"/>
    </row>
    <row r="7174" spans="31:31">
      <c r="AE7174" s="54"/>
    </row>
    <row r="7175" spans="31:31">
      <c r="AE7175" s="54"/>
    </row>
    <row r="7176" spans="31:31">
      <c r="AE7176" s="54"/>
    </row>
    <row r="7177" spans="31:31">
      <c r="AE7177" s="54"/>
    </row>
    <row r="7178" spans="31:31">
      <c r="AE7178" s="54"/>
    </row>
    <row r="7179" spans="31:31">
      <c r="AE7179" s="54"/>
    </row>
    <row r="7180" spans="31:31">
      <c r="AE7180" s="54"/>
    </row>
    <row r="7181" spans="31:31">
      <c r="AE7181" s="54"/>
    </row>
    <row r="7182" spans="31:31">
      <c r="AE7182" s="54"/>
    </row>
    <row r="7183" spans="31:31">
      <c r="AE7183" s="54"/>
    </row>
    <row r="7184" spans="31:31">
      <c r="AE7184" s="54"/>
    </row>
    <row r="7185" spans="31:31">
      <c r="AE7185" s="54"/>
    </row>
    <row r="7186" spans="31:31">
      <c r="AE7186" s="54"/>
    </row>
    <row r="7187" spans="31:31">
      <c r="AE7187" s="54"/>
    </row>
    <row r="7188" spans="31:31">
      <c r="AE7188" s="54"/>
    </row>
    <row r="7189" spans="31:31">
      <c r="AE7189" s="54"/>
    </row>
    <row r="7190" spans="31:31">
      <c r="AE7190" s="54"/>
    </row>
    <row r="7191" spans="31:31">
      <c r="AE7191" s="54"/>
    </row>
    <row r="7192" spans="31:31">
      <c r="AE7192" s="54"/>
    </row>
    <row r="7193" spans="31:31">
      <c r="AE7193" s="54"/>
    </row>
    <row r="7194" spans="31:31">
      <c r="AE7194" s="54"/>
    </row>
    <row r="7195" spans="31:31">
      <c r="AE7195" s="54"/>
    </row>
    <row r="7196" spans="31:31">
      <c r="AE7196" s="54"/>
    </row>
    <row r="7197" spans="31:31">
      <c r="AE7197" s="54"/>
    </row>
    <row r="7198" spans="31:31">
      <c r="AE7198" s="54"/>
    </row>
    <row r="7199" spans="31:31">
      <c r="AE7199" s="54"/>
    </row>
    <row r="7200" spans="31:31">
      <c r="AE7200" s="54"/>
    </row>
    <row r="7201" spans="31:31">
      <c r="AE7201" s="54"/>
    </row>
    <row r="7202" spans="31:31">
      <c r="AE7202" s="54"/>
    </row>
    <row r="7203" spans="31:31">
      <c r="AE7203" s="54"/>
    </row>
    <row r="7204" spans="31:31">
      <c r="AE7204" s="54"/>
    </row>
    <row r="7205" spans="31:31">
      <c r="AE7205" s="54"/>
    </row>
    <row r="7206" spans="31:31">
      <c r="AE7206" s="54"/>
    </row>
    <row r="7207" spans="31:31">
      <c r="AE7207" s="54"/>
    </row>
    <row r="7208" spans="31:31">
      <c r="AE7208" s="54"/>
    </row>
    <row r="7209" spans="31:31">
      <c r="AE7209" s="54"/>
    </row>
    <row r="7210" spans="31:31">
      <c r="AE7210" s="54"/>
    </row>
    <row r="7211" spans="31:31">
      <c r="AE7211" s="54"/>
    </row>
    <row r="7212" spans="31:31">
      <c r="AE7212" s="54"/>
    </row>
    <row r="7213" spans="31:31">
      <c r="AE7213" s="54"/>
    </row>
    <row r="7214" spans="31:31">
      <c r="AE7214" s="54"/>
    </row>
    <row r="7215" spans="31:31">
      <c r="AE7215" s="54"/>
    </row>
    <row r="7216" spans="31:31">
      <c r="AE7216" s="54"/>
    </row>
    <row r="7217" spans="31:31">
      <c r="AE7217" s="54"/>
    </row>
    <row r="7218" spans="31:31">
      <c r="AE7218" s="54"/>
    </row>
    <row r="7219" spans="31:31">
      <c r="AE7219" s="54"/>
    </row>
    <row r="7220" spans="31:31">
      <c r="AE7220" s="54"/>
    </row>
    <row r="7221" spans="31:31">
      <c r="AE7221" s="54"/>
    </row>
    <row r="7222" spans="31:31">
      <c r="AE7222" s="54"/>
    </row>
    <row r="7223" spans="31:31">
      <c r="AE7223" s="54"/>
    </row>
    <row r="7224" spans="31:31">
      <c r="AE7224" s="54"/>
    </row>
    <row r="7225" spans="31:31">
      <c r="AE7225" s="54"/>
    </row>
    <row r="7226" spans="31:31">
      <c r="AE7226" s="54"/>
    </row>
    <row r="7227" spans="31:31">
      <c r="AE7227" s="54"/>
    </row>
    <row r="7228" spans="31:31">
      <c r="AE7228" s="54"/>
    </row>
    <row r="7229" spans="31:31">
      <c r="AE7229" s="54"/>
    </row>
    <row r="7230" spans="31:31">
      <c r="AE7230" s="54"/>
    </row>
    <row r="7231" spans="31:31">
      <c r="AE7231" s="54"/>
    </row>
    <row r="7232" spans="31:31">
      <c r="AE7232" s="54"/>
    </row>
    <row r="7233" spans="31:31">
      <c r="AE7233" s="54"/>
    </row>
    <row r="7234" spans="31:31">
      <c r="AE7234" s="54"/>
    </row>
    <row r="7235" spans="31:31">
      <c r="AE7235" s="54"/>
    </row>
    <row r="7236" spans="31:31">
      <c r="AE7236" s="54"/>
    </row>
    <row r="7237" spans="31:31">
      <c r="AE7237" s="54"/>
    </row>
    <row r="7238" spans="31:31">
      <c r="AE7238" s="54"/>
    </row>
    <row r="7239" spans="31:31">
      <c r="AE7239" s="54"/>
    </row>
    <row r="7240" spans="31:31">
      <c r="AE7240" s="54"/>
    </row>
    <row r="7241" spans="31:31">
      <c r="AE7241" s="54"/>
    </row>
    <row r="7242" spans="31:31">
      <c r="AE7242" s="54"/>
    </row>
    <row r="7243" spans="31:31">
      <c r="AE7243" s="54"/>
    </row>
    <row r="7244" spans="31:31">
      <c r="AE7244" s="54"/>
    </row>
    <row r="7245" spans="31:31">
      <c r="AE7245" s="54"/>
    </row>
    <row r="7246" spans="31:31">
      <c r="AE7246" s="54"/>
    </row>
    <row r="7247" spans="31:31">
      <c r="AE7247" s="54"/>
    </row>
    <row r="7248" spans="31:31">
      <c r="AE7248" s="54"/>
    </row>
    <row r="7249" spans="31:31">
      <c r="AE7249" s="54"/>
    </row>
    <row r="7250" spans="31:31">
      <c r="AE7250" s="54"/>
    </row>
    <row r="7251" spans="31:31">
      <c r="AE7251" s="54"/>
    </row>
    <row r="7252" spans="31:31">
      <c r="AE7252" s="54"/>
    </row>
    <row r="7253" spans="31:31">
      <c r="AE7253" s="54"/>
    </row>
    <row r="7254" spans="31:31">
      <c r="AE7254" s="54"/>
    </row>
    <row r="7255" spans="31:31">
      <c r="AE7255" s="54"/>
    </row>
    <row r="7256" spans="31:31">
      <c r="AE7256" s="54"/>
    </row>
    <row r="7257" spans="31:31">
      <c r="AE7257" s="54"/>
    </row>
    <row r="7258" spans="31:31">
      <c r="AE7258" s="54"/>
    </row>
    <row r="7259" spans="31:31">
      <c r="AE7259" s="54"/>
    </row>
    <row r="7260" spans="31:31">
      <c r="AE7260" s="54"/>
    </row>
    <row r="7261" spans="31:31">
      <c r="AE7261" s="54"/>
    </row>
    <row r="7262" spans="31:31">
      <c r="AE7262" s="54"/>
    </row>
    <row r="7263" spans="31:31">
      <c r="AE7263" s="54"/>
    </row>
    <row r="7264" spans="31:31">
      <c r="AE7264" s="54"/>
    </row>
    <row r="7265" spans="31:31">
      <c r="AE7265" s="54"/>
    </row>
    <row r="7266" spans="31:31">
      <c r="AE7266" s="54"/>
    </row>
    <row r="7267" spans="31:31">
      <c r="AE7267" s="54"/>
    </row>
    <row r="7268" spans="31:31">
      <c r="AE7268" s="54"/>
    </row>
    <row r="7269" spans="31:31">
      <c r="AE7269" s="54"/>
    </row>
    <row r="7270" spans="31:31">
      <c r="AE7270" s="54"/>
    </row>
    <row r="7271" spans="31:31">
      <c r="AE7271" s="54"/>
    </row>
    <row r="7272" spans="31:31">
      <c r="AE7272" s="54"/>
    </row>
    <row r="7273" spans="31:31">
      <c r="AE7273" s="54"/>
    </row>
    <row r="7274" spans="31:31">
      <c r="AE7274" s="54"/>
    </row>
    <row r="7275" spans="31:31">
      <c r="AE7275" s="54"/>
    </row>
    <row r="7276" spans="31:31">
      <c r="AE7276" s="54"/>
    </row>
    <row r="7277" spans="31:31">
      <c r="AE7277" s="54"/>
    </row>
    <row r="7278" spans="31:31">
      <c r="AE7278" s="54"/>
    </row>
    <row r="7279" spans="31:31">
      <c r="AE7279" s="54"/>
    </row>
    <row r="7280" spans="31:31">
      <c r="AE7280" s="54"/>
    </row>
    <row r="7281" spans="31:31">
      <c r="AE7281" s="54"/>
    </row>
    <row r="7282" spans="31:31">
      <c r="AE7282" s="54"/>
    </row>
    <row r="7283" spans="31:31">
      <c r="AE7283" s="54"/>
    </row>
    <row r="7284" spans="31:31">
      <c r="AE7284" s="54"/>
    </row>
    <row r="7285" spans="31:31">
      <c r="AE7285" s="54"/>
    </row>
    <row r="7286" spans="31:31">
      <c r="AE7286" s="54"/>
    </row>
    <row r="7287" spans="31:31">
      <c r="AE7287" s="54"/>
    </row>
    <row r="7288" spans="31:31">
      <c r="AE7288" s="54"/>
    </row>
    <row r="7289" spans="31:31">
      <c r="AE7289" s="54"/>
    </row>
    <row r="7290" spans="31:31">
      <c r="AE7290" s="54"/>
    </row>
    <row r="7291" spans="31:31">
      <c r="AE7291" s="54"/>
    </row>
    <row r="7292" spans="31:31">
      <c r="AE7292" s="54"/>
    </row>
    <row r="7293" spans="31:31">
      <c r="AE7293" s="54"/>
    </row>
    <row r="7294" spans="31:31">
      <c r="AE7294" s="54"/>
    </row>
    <row r="7295" spans="31:31">
      <c r="AE7295" s="54"/>
    </row>
    <row r="7296" spans="31:31">
      <c r="AE7296" s="54"/>
    </row>
    <row r="7297" spans="31:31">
      <c r="AE7297" s="54"/>
    </row>
    <row r="7298" spans="31:31">
      <c r="AE7298" s="54"/>
    </row>
    <row r="7299" spans="31:31">
      <c r="AE7299" s="54"/>
    </row>
    <row r="7300" spans="31:31">
      <c r="AE7300" s="54"/>
    </row>
    <row r="7301" spans="31:31">
      <c r="AE7301" s="54"/>
    </row>
    <row r="7302" spans="31:31">
      <c r="AE7302" s="54"/>
    </row>
    <row r="7303" spans="31:31">
      <c r="AE7303" s="54"/>
    </row>
    <row r="7304" spans="31:31">
      <c r="AE7304" s="54"/>
    </row>
    <row r="7305" spans="31:31">
      <c r="AE7305" s="54"/>
    </row>
    <row r="7306" spans="31:31">
      <c r="AE7306" s="54"/>
    </row>
    <row r="7307" spans="31:31">
      <c r="AE7307" s="54"/>
    </row>
    <row r="7308" spans="31:31">
      <c r="AE7308" s="54"/>
    </row>
    <row r="7309" spans="31:31">
      <c r="AE7309" s="54"/>
    </row>
    <row r="7310" spans="31:31">
      <c r="AE7310" s="54"/>
    </row>
    <row r="7311" spans="31:31">
      <c r="AE7311" s="54"/>
    </row>
    <row r="7312" spans="31:31">
      <c r="AE7312" s="54"/>
    </row>
    <row r="7313" spans="31:31">
      <c r="AE7313" s="54"/>
    </row>
    <row r="7314" spans="31:31">
      <c r="AE7314" s="54"/>
    </row>
    <row r="7315" spans="31:31">
      <c r="AE7315" s="54"/>
    </row>
    <row r="7316" spans="31:31">
      <c r="AE7316" s="54"/>
    </row>
    <row r="7317" spans="31:31">
      <c r="AE7317" s="54"/>
    </row>
    <row r="7318" spans="31:31">
      <c r="AE7318" s="54"/>
    </row>
    <row r="7319" spans="31:31">
      <c r="AE7319" s="54"/>
    </row>
    <row r="7320" spans="31:31">
      <c r="AE7320" s="54"/>
    </row>
    <row r="7321" spans="31:31">
      <c r="AE7321" s="54"/>
    </row>
    <row r="7322" spans="31:31">
      <c r="AE7322" s="54"/>
    </row>
    <row r="7323" spans="31:31">
      <c r="AE7323" s="54"/>
    </row>
    <row r="7324" spans="31:31">
      <c r="AE7324" s="54"/>
    </row>
    <row r="7325" spans="31:31">
      <c r="AE7325" s="54"/>
    </row>
    <row r="7326" spans="31:31">
      <c r="AE7326" s="54"/>
    </row>
    <row r="7327" spans="31:31">
      <c r="AE7327" s="54"/>
    </row>
    <row r="7328" spans="31:31">
      <c r="AE7328" s="54"/>
    </row>
    <row r="7329" spans="31:31">
      <c r="AE7329" s="54"/>
    </row>
    <row r="7330" spans="31:31">
      <c r="AE7330" s="54"/>
    </row>
    <row r="7331" spans="31:31">
      <c r="AE7331" s="54"/>
    </row>
    <row r="7332" spans="31:31">
      <c r="AE7332" s="54"/>
    </row>
    <row r="7333" spans="31:31">
      <c r="AE7333" s="54"/>
    </row>
    <row r="7334" spans="31:31">
      <c r="AE7334" s="54"/>
    </row>
    <row r="7335" spans="31:31">
      <c r="AE7335" s="54"/>
    </row>
    <row r="7336" spans="31:31">
      <c r="AE7336" s="54"/>
    </row>
    <row r="7337" spans="31:31">
      <c r="AE7337" s="54"/>
    </row>
    <row r="7338" spans="31:31">
      <c r="AE7338" s="54"/>
    </row>
    <row r="7339" spans="31:31">
      <c r="AE7339" s="54"/>
    </row>
    <row r="7340" spans="31:31">
      <c r="AE7340" s="54"/>
    </row>
    <row r="7341" spans="31:31">
      <c r="AE7341" s="54"/>
    </row>
    <row r="7342" spans="31:31">
      <c r="AE7342" s="54"/>
    </row>
    <row r="7343" spans="31:31">
      <c r="AE7343" s="54"/>
    </row>
    <row r="7344" spans="31:31">
      <c r="AE7344" s="54"/>
    </row>
    <row r="7345" spans="31:31">
      <c r="AE7345" s="54"/>
    </row>
    <row r="7346" spans="31:31">
      <c r="AE7346" s="54"/>
    </row>
    <row r="7347" spans="31:31">
      <c r="AE7347" s="54"/>
    </row>
    <row r="7348" spans="31:31">
      <c r="AE7348" s="54"/>
    </row>
    <row r="7349" spans="31:31">
      <c r="AE7349" s="54"/>
    </row>
    <row r="7350" spans="31:31">
      <c r="AE7350" s="54"/>
    </row>
    <row r="7351" spans="31:31">
      <c r="AE7351" s="54"/>
    </row>
    <row r="7352" spans="31:31">
      <c r="AE7352" s="54"/>
    </row>
    <row r="7353" spans="31:31">
      <c r="AE7353" s="54"/>
    </row>
    <row r="7354" spans="31:31">
      <c r="AE7354" s="54"/>
    </row>
    <row r="7355" spans="31:31">
      <c r="AE7355" s="54"/>
    </row>
    <row r="7356" spans="31:31">
      <c r="AE7356" s="54"/>
    </row>
    <row r="7357" spans="31:31">
      <c r="AE7357" s="54"/>
    </row>
    <row r="7358" spans="31:31">
      <c r="AE7358" s="54"/>
    </row>
    <row r="7359" spans="31:31">
      <c r="AE7359" s="54"/>
    </row>
    <row r="7360" spans="31:31">
      <c r="AE7360" s="54"/>
    </row>
    <row r="7361" spans="31:31">
      <c r="AE7361" s="54"/>
    </row>
    <row r="7362" spans="31:31">
      <c r="AE7362" s="54"/>
    </row>
    <row r="7363" spans="31:31">
      <c r="AE7363" s="54"/>
    </row>
    <row r="7364" spans="31:31">
      <c r="AE7364" s="54"/>
    </row>
    <row r="7365" spans="31:31">
      <c r="AE7365" s="54"/>
    </row>
    <row r="7366" spans="31:31">
      <c r="AE7366" s="54"/>
    </row>
    <row r="7367" spans="31:31">
      <c r="AE7367" s="54"/>
    </row>
    <row r="7368" spans="31:31">
      <c r="AE7368" s="54"/>
    </row>
    <row r="7369" spans="31:31">
      <c r="AE7369" s="54"/>
    </row>
    <row r="7370" spans="31:31">
      <c r="AE7370" s="54"/>
    </row>
    <row r="7371" spans="31:31">
      <c r="AE7371" s="54"/>
    </row>
    <row r="7372" spans="31:31">
      <c r="AE7372" s="54"/>
    </row>
    <row r="7373" spans="31:31">
      <c r="AE7373" s="54"/>
    </row>
    <row r="7374" spans="31:31">
      <c r="AE7374" s="54"/>
    </row>
    <row r="7375" spans="31:31">
      <c r="AE7375" s="54"/>
    </row>
    <row r="7376" spans="31:31">
      <c r="AE7376" s="54"/>
    </row>
    <row r="7377" spans="31:31">
      <c r="AE7377" s="54"/>
    </row>
    <row r="7378" spans="31:31">
      <c r="AE7378" s="54"/>
    </row>
    <row r="7379" spans="31:31">
      <c r="AE7379" s="54"/>
    </row>
    <row r="7380" spans="31:31">
      <c r="AE7380" s="54"/>
    </row>
    <row r="7381" spans="31:31">
      <c r="AE7381" s="54"/>
    </row>
    <row r="7382" spans="31:31">
      <c r="AE7382" s="54"/>
    </row>
    <row r="7383" spans="31:31">
      <c r="AE7383" s="54"/>
    </row>
    <row r="7384" spans="31:31">
      <c r="AE7384" s="54"/>
    </row>
    <row r="7385" spans="31:31">
      <c r="AE7385" s="54"/>
    </row>
    <row r="7386" spans="31:31">
      <c r="AE7386" s="54"/>
    </row>
    <row r="7387" spans="31:31">
      <c r="AE7387" s="54"/>
    </row>
    <row r="7388" spans="31:31">
      <c r="AE7388" s="54"/>
    </row>
    <row r="7389" spans="31:31">
      <c r="AE7389" s="54"/>
    </row>
    <row r="7390" spans="31:31">
      <c r="AE7390" s="54"/>
    </row>
    <row r="7391" spans="31:31">
      <c r="AE7391" s="54"/>
    </row>
    <row r="7392" spans="31:31">
      <c r="AE7392" s="54"/>
    </row>
    <row r="7393" spans="31:31">
      <c r="AE7393" s="54"/>
    </row>
    <row r="7394" spans="31:31">
      <c r="AE7394" s="54"/>
    </row>
    <row r="7395" spans="31:31">
      <c r="AE7395" s="54"/>
    </row>
    <row r="7396" spans="31:31">
      <c r="AE7396" s="54"/>
    </row>
    <row r="7397" spans="31:31">
      <c r="AE7397" s="54"/>
    </row>
    <row r="7398" spans="31:31">
      <c r="AE7398" s="54"/>
    </row>
    <row r="7399" spans="31:31">
      <c r="AE7399" s="54"/>
    </row>
    <row r="7400" spans="31:31">
      <c r="AE7400" s="54"/>
    </row>
    <row r="7401" spans="31:31">
      <c r="AE7401" s="54"/>
    </row>
    <row r="7402" spans="31:31">
      <c r="AE7402" s="54"/>
    </row>
    <row r="7403" spans="31:31">
      <c r="AE7403" s="54"/>
    </row>
    <row r="7404" spans="31:31">
      <c r="AE7404" s="54"/>
    </row>
    <row r="7405" spans="31:31">
      <c r="AE7405" s="54"/>
    </row>
    <row r="7406" spans="31:31">
      <c r="AE7406" s="54"/>
    </row>
    <row r="7407" spans="31:31">
      <c r="AE7407" s="54"/>
    </row>
    <row r="7408" spans="31:31">
      <c r="AE7408" s="54"/>
    </row>
    <row r="7409" spans="31:31">
      <c r="AE7409" s="54"/>
    </row>
    <row r="7410" spans="31:31">
      <c r="AE7410" s="54"/>
    </row>
    <row r="7411" spans="31:31">
      <c r="AE7411" s="54"/>
    </row>
    <row r="7412" spans="31:31">
      <c r="AE7412" s="54"/>
    </row>
    <row r="7413" spans="31:31">
      <c r="AE7413" s="54"/>
    </row>
    <row r="7414" spans="31:31">
      <c r="AE7414" s="54"/>
    </row>
    <row r="7415" spans="31:31">
      <c r="AE7415" s="54"/>
    </row>
    <row r="7416" spans="31:31">
      <c r="AE7416" s="54"/>
    </row>
    <row r="7417" spans="31:31">
      <c r="AE7417" s="54"/>
    </row>
    <row r="7418" spans="31:31">
      <c r="AE7418" s="54"/>
    </row>
    <row r="7419" spans="31:31">
      <c r="AE7419" s="54"/>
    </row>
    <row r="7420" spans="31:31">
      <c r="AE7420" s="54"/>
    </row>
    <row r="7421" spans="31:31">
      <c r="AE7421" s="54"/>
    </row>
    <row r="7422" spans="31:31">
      <c r="AE7422" s="54"/>
    </row>
    <row r="7423" spans="31:31">
      <c r="AE7423" s="54"/>
    </row>
    <row r="7424" spans="31:31">
      <c r="AE7424" s="54"/>
    </row>
    <row r="7425" spans="31:31">
      <c r="AE7425" s="54"/>
    </row>
    <row r="7426" spans="31:31">
      <c r="AE7426" s="54"/>
    </row>
    <row r="7427" spans="31:31">
      <c r="AE7427" s="54"/>
    </row>
    <row r="7428" spans="31:31">
      <c r="AE7428" s="54"/>
    </row>
    <row r="7429" spans="31:31">
      <c r="AE7429" s="54"/>
    </row>
    <row r="7430" spans="31:31">
      <c r="AE7430" s="54"/>
    </row>
    <row r="7431" spans="31:31">
      <c r="AE7431" s="54"/>
    </row>
    <row r="7432" spans="31:31">
      <c r="AE7432" s="54"/>
    </row>
    <row r="7433" spans="31:31">
      <c r="AE7433" s="54"/>
    </row>
    <row r="7434" spans="31:31">
      <c r="AE7434" s="54"/>
    </row>
    <row r="7435" spans="31:31">
      <c r="AE7435" s="54"/>
    </row>
    <row r="7436" spans="31:31">
      <c r="AE7436" s="54"/>
    </row>
    <row r="7437" spans="31:31">
      <c r="AE7437" s="54"/>
    </row>
    <row r="7438" spans="31:31">
      <c r="AE7438" s="54"/>
    </row>
    <row r="7439" spans="31:31">
      <c r="AE7439" s="54"/>
    </row>
    <row r="7440" spans="31:31">
      <c r="AE7440" s="54"/>
    </row>
    <row r="7441" spans="31:31">
      <c r="AE7441" s="54"/>
    </row>
    <row r="7442" spans="31:31">
      <c r="AE7442" s="54"/>
    </row>
    <row r="7443" spans="31:31">
      <c r="AE7443" s="54"/>
    </row>
    <row r="7444" spans="31:31">
      <c r="AE7444" s="54"/>
    </row>
    <row r="7445" spans="31:31">
      <c r="AE7445" s="54"/>
    </row>
    <row r="7446" spans="31:31">
      <c r="AE7446" s="54"/>
    </row>
    <row r="7447" spans="31:31">
      <c r="AE7447" s="54"/>
    </row>
    <row r="7448" spans="31:31">
      <c r="AE7448" s="54"/>
    </row>
    <row r="7449" spans="31:31">
      <c r="AE7449" s="54"/>
    </row>
    <row r="7450" spans="31:31">
      <c r="AE7450" s="54"/>
    </row>
    <row r="7451" spans="31:31">
      <c r="AE7451" s="54"/>
    </row>
    <row r="7452" spans="31:31">
      <c r="AE7452" s="54"/>
    </row>
    <row r="7453" spans="31:31">
      <c r="AE7453" s="54"/>
    </row>
    <row r="7454" spans="31:31">
      <c r="AE7454" s="54"/>
    </row>
    <row r="7455" spans="31:31">
      <c r="AE7455" s="54"/>
    </row>
    <row r="7456" spans="31:31">
      <c r="AE7456" s="54"/>
    </row>
    <row r="7457" spans="31:31">
      <c r="AE7457" s="54"/>
    </row>
    <row r="7458" spans="31:31">
      <c r="AE7458" s="54"/>
    </row>
    <row r="7459" spans="31:31">
      <c r="AE7459" s="54"/>
    </row>
    <row r="7460" spans="31:31">
      <c r="AE7460" s="54"/>
    </row>
    <row r="7461" spans="31:31">
      <c r="AE7461" s="54"/>
    </row>
    <row r="7462" spans="31:31">
      <c r="AE7462" s="54"/>
    </row>
    <row r="7463" spans="31:31">
      <c r="AE7463" s="54"/>
    </row>
    <row r="7464" spans="31:31">
      <c r="AE7464" s="54"/>
    </row>
    <row r="7465" spans="31:31">
      <c r="AE7465" s="54"/>
    </row>
    <row r="7466" spans="31:31">
      <c r="AE7466" s="54"/>
    </row>
    <row r="7467" spans="31:31">
      <c r="AE7467" s="54"/>
    </row>
    <row r="7468" spans="31:31">
      <c r="AE7468" s="54"/>
    </row>
    <row r="7469" spans="31:31">
      <c r="AE7469" s="54"/>
    </row>
    <row r="7470" spans="31:31">
      <c r="AE7470" s="54"/>
    </row>
    <row r="7471" spans="31:31">
      <c r="AE7471" s="54"/>
    </row>
    <row r="7472" spans="31:31">
      <c r="AE7472" s="54"/>
    </row>
    <row r="7473" spans="31:31">
      <c r="AE7473" s="54"/>
    </row>
    <row r="7474" spans="31:31">
      <c r="AE7474" s="54"/>
    </row>
    <row r="7475" spans="31:31">
      <c r="AE7475" s="54"/>
    </row>
    <row r="7476" spans="31:31">
      <c r="AE7476" s="54"/>
    </row>
    <row r="7477" spans="31:31">
      <c r="AE7477" s="54"/>
    </row>
    <row r="7478" spans="31:31">
      <c r="AE7478" s="54"/>
    </row>
    <row r="7479" spans="31:31">
      <c r="AE7479" s="54"/>
    </row>
    <row r="7480" spans="31:31">
      <c r="AE7480" s="54"/>
    </row>
    <row r="7481" spans="31:31">
      <c r="AE7481" s="54"/>
    </row>
    <row r="7482" spans="31:31">
      <c r="AE7482" s="54"/>
    </row>
    <row r="7483" spans="31:31">
      <c r="AE7483" s="54"/>
    </row>
    <row r="7484" spans="31:31">
      <c r="AE7484" s="54"/>
    </row>
    <row r="7485" spans="31:31">
      <c r="AE7485" s="54"/>
    </row>
    <row r="7486" spans="31:31">
      <c r="AE7486" s="54"/>
    </row>
    <row r="7487" spans="31:31">
      <c r="AE7487" s="54"/>
    </row>
    <row r="7488" spans="31:31">
      <c r="AE7488" s="54"/>
    </row>
    <row r="7489" spans="31:31">
      <c r="AE7489" s="54"/>
    </row>
    <row r="7490" spans="31:31">
      <c r="AE7490" s="54"/>
    </row>
    <row r="7491" spans="31:31">
      <c r="AE7491" s="54"/>
    </row>
    <row r="7492" spans="31:31">
      <c r="AE7492" s="54"/>
    </row>
    <row r="7493" spans="31:31">
      <c r="AE7493" s="54"/>
    </row>
    <row r="7494" spans="31:31">
      <c r="AE7494" s="54"/>
    </row>
    <row r="7495" spans="31:31">
      <c r="AE7495" s="54"/>
    </row>
    <row r="7496" spans="31:31">
      <c r="AE7496" s="54"/>
    </row>
    <row r="7497" spans="31:31">
      <c r="AE7497" s="54"/>
    </row>
    <row r="7498" spans="31:31">
      <c r="AE7498" s="54"/>
    </row>
    <row r="7499" spans="31:31">
      <c r="AE7499" s="54"/>
    </row>
    <row r="7500" spans="31:31">
      <c r="AE7500" s="54"/>
    </row>
    <row r="7501" spans="31:31">
      <c r="AE7501" s="54"/>
    </row>
    <row r="7502" spans="31:31">
      <c r="AE7502" s="54"/>
    </row>
    <row r="7503" spans="31:31">
      <c r="AE7503" s="54"/>
    </row>
    <row r="7504" spans="31:31">
      <c r="AE7504" s="54"/>
    </row>
    <row r="7505" spans="31:31">
      <c r="AE7505" s="54"/>
    </row>
    <row r="7506" spans="31:31">
      <c r="AE7506" s="54"/>
    </row>
    <row r="7507" spans="31:31">
      <c r="AE7507" s="54"/>
    </row>
    <row r="7508" spans="31:31">
      <c r="AE7508" s="54"/>
    </row>
    <row r="7509" spans="31:31">
      <c r="AE7509" s="54"/>
    </row>
    <row r="7510" spans="31:31">
      <c r="AE7510" s="54"/>
    </row>
    <row r="7511" spans="31:31">
      <c r="AE7511" s="54"/>
    </row>
    <row r="7512" spans="31:31">
      <c r="AE7512" s="54"/>
    </row>
    <row r="7513" spans="31:31">
      <c r="AE7513" s="54"/>
    </row>
    <row r="7514" spans="31:31">
      <c r="AE7514" s="54"/>
    </row>
    <row r="7515" spans="31:31">
      <c r="AE7515" s="54"/>
    </row>
    <row r="7516" spans="31:31">
      <c r="AE7516" s="54"/>
    </row>
    <row r="7517" spans="31:31">
      <c r="AE7517" s="54"/>
    </row>
    <row r="7518" spans="31:31">
      <c r="AE7518" s="54"/>
    </row>
    <row r="7519" spans="31:31">
      <c r="AE7519" s="54"/>
    </row>
    <row r="7520" spans="31:31">
      <c r="AE7520" s="54"/>
    </row>
    <row r="7521" spans="31:31">
      <c r="AE7521" s="54"/>
    </row>
    <row r="7522" spans="31:31">
      <c r="AE7522" s="54"/>
    </row>
    <row r="7523" spans="31:31">
      <c r="AE7523" s="54"/>
    </row>
    <row r="7524" spans="31:31">
      <c r="AE7524" s="54"/>
    </row>
    <row r="7525" spans="31:31">
      <c r="AE7525" s="54"/>
    </row>
    <row r="7526" spans="31:31">
      <c r="AE7526" s="54"/>
    </row>
    <row r="7527" spans="31:31">
      <c r="AE7527" s="54"/>
    </row>
    <row r="7528" spans="31:31">
      <c r="AE7528" s="54"/>
    </row>
    <row r="7529" spans="31:31">
      <c r="AE7529" s="54"/>
    </row>
    <row r="7530" spans="31:31">
      <c r="AE7530" s="54"/>
    </row>
    <row r="7531" spans="31:31">
      <c r="AE7531" s="54"/>
    </row>
    <row r="7532" spans="31:31">
      <c r="AE7532" s="54"/>
    </row>
    <row r="7533" spans="31:31">
      <c r="AE7533" s="54"/>
    </row>
    <row r="7534" spans="31:31">
      <c r="AE7534" s="54"/>
    </row>
    <row r="7535" spans="31:31">
      <c r="AE7535" s="54"/>
    </row>
    <row r="7536" spans="31:31">
      <c r="AE7536" s="54"/>
    </row>
    <row r="7537" spans="31:31">
      <c r="AE7537" s="54"/>
    </row>
    <row r="7538" spans="31:31">
      <c r="AE7538" s="54"/>
    </row>
    <row r="7539" spans="31:31">
      <c r="AE7539" s="54"/>
    </row>
    <row r="7540" spans="31:31">
      <c r="AE7540" s="54"/>
    </row>
    <row r="7541" spans="31:31">
      <c r="AE7541" s="54"/>
    </row>
    <row r="7542" spans="31:31">
      <c r="AE7542" s="54"/>
    </row>
    <row r="7543" spans="31:31">
      <c r="AE7543" s="54"/>
    </row>
    <row r="7544" spans="31:31">
      <c r="AE7544" s="54"/>
    </row>
    <row r="7545" spans="31:31">
      <c r="AE7545" s="54"/>
    </row>
    <row r="7546" spans="31:31">
      <c r="AE7546" s="54"/>
    </row>
    <row r="7547" spans="31:31">
      <c r="AE7547" s="54"/>
    </row>
    <row r="7548" spans="31:31">
      <c r="AE7548" s="54"/>
    </row>
    <row r="7549" spans="31:31">
      <c r="AE7549" s="54"/>
    </row>
    <row r="7550" spans="31:31">
      <c r="AE7550" s="54"/>
    </row>
    <row r="7551" spans="31:31">
      <c r="AE7551" s="54"/>
    </row>
    <row r="7552" spans="31:31">
      <c r="AE7552" s="54"/>
    </row>
    <row r="7553" spans="31:31">
      <c r="AE7553" s="54"/>
    </row>
    <row r="7554" spans="31:31">
      <c r="AE7554" s="54"/>
    </row>
    <row r="7555" spans="31:31">
      <c r="AE7555" s="54"/>
    </row>
    <row r="7556" spans="31:31">
      <c r="AE7556" s="54"/>
    </row>
    <row r="7557" spans="31:31">
      <c r="AE7557" s="54"/>
    </row>
    <row r="7558" spans="31:31">
      <c r="AE7558" s="54"/>
    </row>
    <row r="7559" spans="31:31">
      <c r="AE7559" s="54"/>
    </row>
    <row r="7560" spans="31:31">
      <c r="AE7560" s="54"/>
    </row>
    <row r="7561" spans="31:31">
      <c r="AE7561" s="54"/>
    </row>
    <row r="7562" spans="31:31">
      <c r="AE7562" s="54"/>
    </row>
    <row r="7563" spans="31:31">
      <c r="AE7563" s="54"/>
    </row>
    <row r="7564" spans="31:31">
      <c r="AE7564" s="54"/>
    </row>
    <row r="7565" spans="31:31">
      <c r="AE7565" s="54"/>
    </row>
    <row r="7566" spans="31:31">
      <c r="AE7566" s="54"/>
    </row>
    <row r="7567" spans="31:31">
      <c r="AE7567" s="54"/>
    </row>
    <row r="7568" spans="31:31">
      <c r="AE7568" s="54"/>
    </row>
    <row r="7569" spans="31:31">
      <c r="AE7569" s="54"/>
    </row>
    <row r="7570" spans="31:31">
      <c r="AE7570" s="54"/>
    </row>
    <row r="7571" spans="31:31">
      <c r="AE7571" s="54"/>
    </row>
    <row r="7572" spans="31:31">
      <c r="AE7572" s="54"/>
    </row>
    <row r="7573" spans="31:31">
      <c r="AE7573" s="54"/>
    </row>
    <row r="7574" spans="31:31">
      <c r="AE7574" s="54"/>
    </row>
    <row r="7575" spans="31:31">
      <c r="AE7575" s="54"/>
    </row>
    <row r="7576" spans="31:31">
      <c r="AE7576" s="54"/>
    </row>
    <row r="7577" spans="31:31">
      <c r="AE7577" s="54"/>
    </row>
    <row r="7578" spans="31:31">
      <c r="AE7578" s="54"/>
    </row>
    <row r="7579" spans="31:31">
      <c r="AE7579" s="54"/>
    </row>
    <row r="7580" spans="31:31">
      <c r="AE7580" s="54"/>
    </row>
    <row r="7581" spans="31:31">
      <c r="AE7581" s="54"/>
    </row>
    <row r="7582" spans="31:31">
      <c r="AE7582" s="54"/>
    </row>
    <row r="7583" spans="31:31">
      <c r="AE7583" s="54"/>
    </row>
    <row r="7584" spans="31:31">
      <c r="AE7584" s="54"/>
    </row>
    <row r="7585" spans="31:31">
      <c r="AE7585" s="54"/>
    </row>
    <row r="7586" spans="31:31">
      <c r="AE7586" s="54"/>
    </row>
    <row r="7587" spans="31:31">
      <c r="AE7587" s="54"/>
    </row>
    <row r="7588" spans="31:31">
      <c r="AE7588" s="54"/>
    </row>
    <row r="7589" spans="31:31">
      <c r="AE7589" s="54"/>
    </row>
    <row r="7590" spans="31:31">
      <c r="AE7590" s="54"/>
    </row>
    <row r="7591" spans="31:31">
      <c r="AE7591" s="54"/>
    </row>
    <row r="7592" spans="31:31">
      <c r="AE7592" s="54"/>
    </row>
    <row r="7593" spans="31:31">
      <c r="AE7593" s="54"/>
    </row>
    <row r="7594" spans="31:31">
      <c r="AE7594" s="54"/>
    </row>
    <row r="7595" spans="31:31">
      <c r="AE7595" s="54"/>
    </row>
    <row r="7596" spans="31:31">
      <c r="AE7596" s="54"/>
    </row>
    <row r="7597" spans="31:31">
      <c r="AE7597" s="54"/>
    </row>
    <row r="7598" spans="31:31">
      <c r="AE7598" s="54"/>
    </row>
    <row r="7599" spans="31:31">
      <c r="AE7599" s="54"/>
    </row>
    <row r="7600" spans="31:31">
      <c r="AE7600" s="54"/>
    </row>
    <row r="7601" spans="31:31">
      <c r="AE7601" s="54"/>
    </row>
    <row r="7602" spans="31:31">
      <c r="AE7602" s="54"/>
    </row>
    <row r="7603" spans="31:31">
      <c r="AE7603" s="54"/>
    </row>
    <row r="7604" spans="31:31">
      <c r="AE7604" s="54"/>
    </row>
    <row r="7605" spans="31:31">
      <c r="AE7605" s="54"/>
    </row>
    <row r="7606" spans="31:31">
      <c r="AE7606" s="54"/>
    </row>
    <row r="7607" spans="31:31">
      <c r="AE7607" s="54"/>
    </row>
    <row r="7608" spans="31:31">
      <c r="AE7608" s="54"/>
    </row>
    <row r="7609" spans="31:31">
      <c r="AE7609" s="54"/>
    </row>
    <row r="7610" spans="31:31">
      <c r="AE7610" s="54"/>
    </row>
    <row r="7611" spans="31:31">
      <c r="AE7611" s="54"/>
    </row>
    <row r="7612" spans="31:31">
      <c r="AE7612" s="54"/>
    </row>
    <row r="7613" spans="31:31">
      <c r="AE7613" s="54"/>
    </row>
    <row r="7614" spans="31:31">
      <c r="AE7614" s="54"/>
    </row>
    <row r="7615" spans="31:31">
      <c r="AE7615" s="54"/>
    </row>
    <row r="7616" spans="31:31">
      <c r="AE7616" s="54"/>
    </row>
    <row r="7617" spans="31:31">
      <c r="AE7617" s="54"/>
    </row>
    <row r="7618" spans="31:31">
      <c r="AE7618" s="54"/>
    </row>
    <row r="7619" spans="31:31">
      <c r="AE7619" s="54"/>
    </row>
    <row r="7620" spans="31:31">
      <c r="AE7620" s="54"/>
    </row>
    <row r="7621" spans="31:31">
      <c r="AE7621" s="54"/>
    </row>
    <row r="7622" spans="31:31">
      <c r="AE7622" s="54"/>
    </row>
    <row r="7623" spans="31:31">
      <c r="AE7623" s="54"/>
    </row>
    <row r="7624" spans="31:31">
      <c r="AE7624" s="54"/>
    </row>
    <row r="7625" spans="31:31">
      <c r="AE7625" s="54"/>
    </row>
    <row r="7626" spans="31:31">
      <c r="AE7626" s="54"/>
    </row>
    <row r="7627" spans="31:31">
      <c r="AE7627" s="54"/>
    </row>
    <row r="7628" spans="31:31">
      <c r="AE7628" s="54"/>
    </row>
    <row r="7629" spans="31:31">
      <c r="AE7629" s="54"/>
    </row>
    <row r="7630" spans="31:31">
      <c r="AE7630" s="54"/>
    </row>
    <row r="7631" spans="31:31">
      <c r="AE7631" s="54"/>
    </row>
    <row r="7632" spans="31:31">
      <c r="AE7632" s="54"/>
    </row>
    <row r="7633" spans="31:31">
      <c r="AE7633" s="54"/>
    </row>
    <row r="7634" spans="31:31">
      <c r="AE7634" s="54"/>
    </row>
    <row r="7635" spans="31:31">
      <c r="AE7635" s="54"/>
    </row>
    <row r="7636" spans="31:31">
      <c r="AE7636" s="54"/>
    </row>
    <row r="7637" spans="31:31">
      <c r="AE7637" s="54"/>
    </row>
    <row r="7638" spans="31:31">
      <c r="AE7638" s="54"/>
    </row>
    <row r="7639" spans="31:31">
      <c r="AE7639" s="54"/>
    </row>
    <row r="7640" spans="31:31">
      <c r="AE7640" s="54"/>
    </row>
    <row r="7641" spans="31:31">
      <c r="AE7641" s="54"/>
    </row>
    <row r="7642" spans="31:31">
      <c r="AE7642" s="54"/>
    </row>
    <row r="7643" spans="31:31">
      <c r="AE7643" s="54"/>
    </row>
    <row r="7644" spans="31:31">
      <c r="AE7644" s="54"/>
    </row>
    <row r="7645" spans="31:31">
      <c r="AE7645" s="54"/>
    </row>
    <row r="7646" spans="31:31">
      <c r="AE7646" s="54"/>
    </row>
    <row r="7647" spans="31:31">
      <c r="AE7647" s="54"/>
    </row>
    <row r="7648" spans="31:31">
      <c r="AE7648" s="54"/>
    </row>
    <row r="7649" spans="31:31">
      <c r="AE7649" s="54"/>
    </row>
    <row r="7650" spans="31:31">
      <c r="AE7650" s="54"/>
    </row>
    <row r="7651" spans="31:31">
      <c r="AE7651" s="54"/>
    </row>
    <row r="7652" spans="31:31">
      <c r="AE7652" s="54"/>
    </row>
    <row r="7653" spans="31:31">
      <c r="AE7653" s="54"/>
    </row>
    <row r="7654" spans="31:31">
      <c r="AE7654" s="54"/>
    </row>
    <row r="7655" spans="31:31">
      <c r="AE7655" s="54"/>
    </row>
    <row r="7656" spans="31:31">
      <c r="AE7656" s="54"/>
    </row>
    <row r="7657" spans="31:31">
      <c r="AE7657" s="54"/>
    </row>
    <row r="7658" spans="31:31">
      <c r="AE7658" s="54"/>
    </row>
    <row r="7659" spans="31:31">
      <c r="AE7659" s="54"/>
    </row>
    <row r="7660" spans="31:31">
      <c r="AE7660" s="54"/>
    </row>
    <row r="7661" spans="31:31">
      <c r="AE7661" s="54"/>
    </row>
    <row r="7662" spans="31:31">
      <c r="AE7662" s="54"/>
    </row>
    <row r="7663" spans="31:31">
      <c r="AE7663" s="54"/>
    </row>
    <row r="7664" spans="31:31">
      <c r="AE7664" s="54"/>
    </row>
    <row r="7665" spans="31:31">
      <c r="AE7665" s="54"/>
    </row>
    <row r="7666" spans="31:31">
      <c r="AE7666" s="54"/>
    </row>
    <row r="7667" spans="31:31">
      <c r="AE7667" s="54"/>
    </row>
    <row r="7668" spans="31:31">
      <c r="AE7668" s="54"/>
    </row>
    <row r="7669" spans="31:31">
      <c r="AE7669" s="54"/>
    </row>
    <row r="7670" spans="31:31">
      <c r="AE7670" s="54"/>
    </row>
    <row r="7671" spans="31:31">
      <c r="AE7671" s="54"/>
    </row>
    <row r="7672" spans="31:31">
      <c r="AE7672" s="54"/>
    </row>
    <row r="7673" spans="31:31">
      <c r="AE7673" s="54"/>
    </row>
    <row r="7674" spans="31:31">
      <c r="AE7674" s="54"/>
    </row>
    <row r="7675" spans="31:31">
      <c r="AE7675" s="54"/>
    </row>
    <row r="7676" spans="31:31">
      <c r="AE7676" s="54"/>
    </row>
    <row r="7677" spans="31:31">
      <c r="AE7677" s="54"/>
    </row>
    <row r="7678" spans="31:31">
      <c r="AE7678" s="54"/>
    </row>
    <row r="7679" spans="31:31">
      <c r="AE7679" s="54"/>
    </row>
    <row r="7680" spans="31:31">
      <c r="AE7680" s="54"/>
    </row>
    <row r="7681" spans="31:31">
      <c r="AE7681" s="54"/>
    </row>
    <row r="7682" spans="31:31">
      <c r="AE7682" s="54"/>
    </row>
    <row r="7683" spans="31:31">
      <c r="AE7683" s="54"/>
    </row>
    <row r="7684" spans="31:31">
      <c r="AE7684" s="54"/>
    </row>
    <row r="7685" spans="31:31">
      <c r="AE7685" s="54"/>
    </row>
    <row r="7686" spans="31:31">
      <c r="AE7686" s="54"/>
    </row>
    <row r="7687" spans="31:31">
      <c r="AE7687" s="54"/>
    </row>
    <row r="7688" spans="31:31">
      <c r="AE7688" s="54"/>
    </row>
    <row r="7689" spans="31:31">
      <c r="AE7689" s="54"/>
    </row>
    <row r="7690" spans="31:31">
      <c r="AE7690" s="54"/>
    </row>
    <row r="7691" spans="31:31">
      <c r="AE7691" s="54"/>
    </row>
    <row r="7692" spans="31:31">
      <c r="AE7692" s="54"/>
    </row>
    <row r="7693" spans="31:31">
      <c r="AE7693" s="54"/>
    </row>
    <row r="7694" spans="31:31">
      <c r="AE7694" s="54"/>
    </row>
    <row r="7695" spans="31:31">
      <c r="AE7695" s="54"/>
    </row>
    <row r="7696" spans="31:31">
      <c r="AE7696" s="54"/>
    </row>
    <row r="7697" spans="31:31">
      <c r="AE7697" s="54"/>
    </row>
    <row r="7698" spans="31:31">
      <c r="AE7698" s="54"/>
    </row>
    <row r="7699" spans="31:31">
      <c r="AE7699" s="54"/>
    </row>
    <row r="7700" spans="31:31">
      <c r="AE7700" s="54"/>
    </row>
    <row r="7701" spans="31:31">
      <c r="AE7701" s="54"/>
    </row>
    <row r="7702" spans="31:31">
      <c r="AE7702" s="54"/>
    </row>
    <row r="7703" spans="31:31">
      <c r="AE7703" s="54"/>
    </row>
    <row r="7704" spans="31:31">
      <c r="AE7704" s="54"/>
    </row>
    <row r="7705" spans="31:31">
      <c r="AE7705" s="54"/>
    </row>
    <row r="7706" spans="31:31">
      <c r="AE7706" s="54"/>
    </row>
    <row r="7707" spans="31:31">
      <c r="AE7707" s="54"/>
    </row>
    <row r="7708" spans="31:31">
      <c r="AE7708" s="54"/>
    </row>
    <row r="7709" spans="31:31">
      <c r="AE7709" s="54"/>
    </row>
    <row r="7710" spans="31:31">
      <c r="AE7710" s="54"/>
    </row>
    <row r="7711" spans="31:31">
      <c r="AE7711" s="54"/>
    </row>
    <row r="7712" spans="31:31">
      <c r="AE7712" s="54"/>
    </row>
    <row r="7713" spans="31:31">
      <c r="AE7713" s="54"/>
    </row>
    <row r="7714" spans="31:31">
      <c r="AE7714" s="54"/>
    </row>
    <row r="7715" spans="31:31">
      <c r="AE7715" s="54"/>
    </row>
    <row r="7716" spans="31:31">
      <c r="AE7716" s="54"/>
    </row>
    <row r="7717" spans="31:31">
      <c r="AE7717" s="54"/>
    </row>
    <row r="7718" spans="31:31">
      <c r="AE7718" s="54"/>
    </row>
    <row r="7719" spans="31:31">
      <c r="AE7719" s="54"/>
    </row>
    <row r="7720" spans="31:31">
      <c r="AE7720" s="54"/>
    </row>
    <row r="7721" spans="31:31">
      <c r="AE7721" s="54"/>
    </row>
    <row r="7722" spans="31:31">
      <c r="AE7722" s="54"/>
    </row>
    <row r="7723" spans="31:31">
      <c r="AE7723" s="54"/>
    </row>
    <row r="7724" spans="31:31">
      <c r="AE7724" s="54"/>
    </row>
    <row r="7725" spans="31:31">
      <c r="AE7725" s="54"/>
    </row>
    <row r="7726" spans="31:31">
      <c r="AE7726" s="54"/>
    </row>
    <row r="7727" spans="31:31">
      <c r="AE7727" s="54"/>
    </row>
    <row r="7728" spans="31:31">
      <c r="AE7728" s="54"/>
    </row>
    <row r="7729" spans="31:31">
      <c r="AE7729" s="54"/>
    </row>
    <row r="7730" spans="31:31">
      <c r="AE7730" s="54"/>
    </row>
    <row r="7731" spans="31:31">
      <c r="AE7731" s="54"/>
    </row>
    <row r="7732" spans="31:31">
      <c r="AE7732" s="54"/>
    </row>
    <row r="7733" spans="31:31">
      <c r="AE7733" s="54"/>
    </row>
    <row r="7734" spans="31:31">
      <c r="AE7734" s="54"/>
    </row>
    <row r="7735" spans="31:31">
      <c r="AE7735" s="54"/>
    </row>
    <row r="7736" spans="31:31">
      <c r="AE7736" s="54"/>
    </row>
    <row r="7737" spans="31:31">
      <c r="AE7737" s="54"/>
    </row>
    <row r="7738" spans="31:31">
      <c r="AE7738" s="54"/>
    </row>
    <row r="7739" spans="31:31">
      <c r="AE7739" s="54"/>
    </row>
    <row r="7740" spans="31:31">
      <c r="AE7740" s="54"/>
    </row>
    <row r="7741" spans="31:31">
      <c r="AE7741" s="54"/>
    </row>
    <row r="7742" spans="31:31">
      <c r="AE7742" s="54"/>
    </row>
    <row r="7743" spans="31:31">
      <c r="AE7743" s="54"/>
    </row>
    <row r="7744" spans="31:31">
      <c r="AE7744" s="54"/>
    </row>
    <row r="7745" spans="31:31">
      <c r="AE7745" s="54"/>
    </row>
    <row r="7746" spans="31:31">
      <c r="AE7746" s="54"/>
    </row>
    <row r="7747" spans="31:31">
      <c r="AE7747" s="54"/>
    </row>
    <row r="7748" spans="31:31">
      <c r="AE7748" s="54"/>
    </row>
    <row r="7749" spans="31:31">
      <c r="AE7749" s="54"/>
    </row>
    <row r="7750" spans="31:31">
      <c r="AE7750" s="54"/>
    </row>
    <row r="7751" spans="31:31">
      <c r="AE7751" s="54"/>
    </row>
    <row r="7752" spans="31:31">
      <c r="AE7752" s="54"/>
    </row>
    <row r="7753" spans="31:31">
      <c r="AE7753" s="54"/>
    </row>
    <row r="7754" spans="31:31">
      <c r="AE7754" s="54"/>
    </row>
    <row r="7755" spans="31:31">
      <c r="AE7755" s="54"/>
    </row>
    <row r="7756" spans="31:31">
      <c r="AE7756" s="54"/>
    </row>
    <row r="7757" spans="31:31">
      <c r="AE7757" s="54"/>
    </row>
    <row r="7758" spans="31:31">
      <c r="AE7758" s="54"/>
    </row>
    <row r="7759" spans="31:31">
      <c r="AE7759" s="54"/>
    </row>
    <row r="7760" spans="31:31">
      <c r="AE7760" s="54"/>
    </row>
    <row r="7761" spans="31:31">
      <c r="AE7761" s="54"/>
    </row>
    <row r="7762" spans="31:31">
      <c r="AE7762" s="54"/>
    </row>
    <row r="7763" spans="31:31">
      <c r="AE7763" s="54"/>
    </row>
    <row r="7764" spans="31:31">
      <c r="AE7764" s="54"/>
    </row>
    <row r="7765" spans="31:31">
      <c r="AE7765" s="54"/>
    </row>
    <row r="7766" spans="31:31">
      <c r="AE7766" s="54"/>
    </row>
    <row r="7767" spans="31:31">
      <c r="AE7767" s="54"/>
    </row>
    <row r="7768" spans="31:31">
      <c r="AE7768" s="54"/>
    </row>
    <row r="7769" spans="31:31">
      <c r="AE7769" s="54"/>
    </row>
    <row r="7770" spans="31:31">
      <c r="AE7770" s="54"/>
    </row>
    <row r="7771" spans="31:31">
      <c r="AE7771" s="54"/>
    </row>
    <row r="7772" spans="31:31">
      <c r="AE7772" s="54"/>
    </row>
    <row r="7773" spans="31:31">
      <c r="AE7773" s="54"/>
    </row>
    <row r="7774" spans="31:31">
      <c r="AE7774" s="54"/>
    </row>
    <row r="7775" spans="31:31">
      <c r="AE7775" s="54"/>
    </row>
    <row r="7776" spans="31:31">
      <c r="AE7776" s="54"/>
    </row>
    <row r="7777" spans="31:31">
      <c r="AE7777" s="54"/>
    </row>
    <row r="7778" spans="31:31">
      <c r="AE7778" s="54"/>
    </row>
    <row r="7779" spans="31:31">
      <c r="AE7779" s="54"/>
    </row>
    <row r="7780" spans="31:31">
      <c r="AE7780" s="54"/>
    </row>
    <row r="7781" spans="31:31">
      <c r="AE7781" s="54"/>
    </row>
    <row r="7782" spans="31:31">
      <c r="AE7782" s="54"/>
    </row>
    <row r="7783" spans="31:31">
      <c r="AE7783" s="54"/>
    </row>
    <row r="7784" spans="31:31">
      <c r="AE7784" s="54"/>
    </row>
    <row r="7785" spans="31:31">
      <c r="AE7785" s="54"/>
    </row>
    <row r="7786" spans="31:31">
      <c r="AE7786" s="54"/>
    </row>
    <row r="7787" spans="31:31">
      <c r="AE7787" s="54"/>
    </row>
    <row r="7788" spans="31:31">
      <c r="AE7788" s="54"/>
    </row>
    <row r="7789" spans="31:31">
      <c r="AE7789" s="54"/>
    </row>
    <row r="7790" spans="31:31">
      <c r="AE7790" s="54"/>
    </row>
    <row r="7791" spans="31:31">
      <c r="AE7791" s="54"/>
    </row>
    <row r="7792" spans="31:31">
      <c r="AE7792" s="54"/>
    </row>
    <row r="7793" spans="31:31">
      <c r="AE7793" s="54"/>
    </row>
    <row r="7794" spans="31:31">
      <c r="AE7794" s="54"/>
    </row>
    <row r="7795" spans="31:31">
      <c r="AE7795" s="54"/>
    </row>
    <row r="7796" spans="31:31">
      <c r="AE7796" s="54"/>
    </row>
    <row r="7797" spans="31:31">
      <c r="AE7797" s="54"/>
    </row>
    <row r="7798" spans="31:31">
      <c r="AE7798" s="54"/>
    </row>
    <row r="7799" spans="31:31">
      <c r="AE7799" s="54"/>
    </row>
    <row r="7800" spans="31:31">
      <c r="AE7800" s="54"/>
    </row>
    <row r="7801" spans="31:31">
      <c r="AE7801" s="54"/>
    </row>
    <row r="7802" spans="31:31">
      <c r="AE7802" s="54"/>
    </row>
    <row r="7803" spans="31:31">
      <c r="AE7803" s="54"/>
    </row>
    <row r="7804" spans="31:31">
      <c r="AE7804" s="54"/>
    </row>
    <row r="7805" spans="31:31">
      <c r="AE7805" s="54"/>
    </row>
    <row r="7806" spans="31:31">
      <c r="AE7806" s="54"/>
    </row>
    <row r="7807" spans="31:31">
      <c r="AE7807" s="54"/>
    </row>
    <row r="7808" spans="31:31">
      <c r="AE7808" s="54"/>
    </row>
    <row r="7809" spans="31:31">
      <c r="AE7809" s="54"/>
    </row>
    <row r="7810" spans="31:31">
      <c r="AE7810" s="54"/>
    </row>
    <row r="7811" spans="31:31">
      <c r="AE7811" s="54"/>
    </row>
    <row r="7812" spans="31:31">
      <c r="AE7812" s="54"/>
    </row>
    <row r="7813" spans="31:31">
      <c r="AE7813" s="54"/>
    </row>
    <row r="7814" spans="31:31">
      <c r="AE7814" s="54"/>
    </row>
    <row r="7815" spans="31:31">
      <c r="AE7815" s="54"/>
    </row>
    <row r="7816" spans="31:31">
      <c r="AE7816" s="54"/>
    </row>
    <row r="7817" spans="31:31">
      <c r="AE7817" s="54"/>
    </row>
    <row r="7818" spans="31:31">
      <c r="AE7818" s="54"/>
    </row>
    <row r="7819" spans="31:31">
      <c r="AE7819" s="54"/>
    </row>
    <row r="7820" spans="31:31">
      <c r="AE7820" s="54"/>
    </row>
    <row r="7821" spans="31:31">
      <c r="AE7821" s="54"/>
    </row>
    <row r="7822" spans="31:31">
      <c r="AE7822" s="54"/>
    </row>
    <row r="7823" spans="31:31">
      <c r="AE7823" s="54"/>
    </row>
    <row r="7824" spans="31:31">
      <c r="AE7824" s="54"/>
    </row>
    <row r="7825" spans="31:31">
      <c r="AE7825" s="54"/>
    </row>
    <row r="7826" spans="31:31">
      <c r="AE7826" s="54"/>
    </row>
    <row r="7827" spans="31:31">
      <c r="AE7827" s="54"/>
    </row>
    <row r="7828" spans="31:31">
      <c r="AE7828" s="54"/>
    </row>
    <row r="7829" spans="31:31">
      <c r="AE7829" s="54"/>
    </row>
    <row r="7830" spans="31:31">
      <c r="AE7830" s="54"/>
    </row>
    <row r="7831" spans="31:31">
      <c r="AE7831" s="54"/>
    </row>
    <row r="7832" spans="31:31">
      <c r="AE7832" s="54"/>
    </row>
    <row r="7833" spans="31:31">
      <c r="AE7833" s="54"/>
    </row>
    <row r="7834" spans="31:31">
      <c r="AE7834" s="54"/>
    </row>
    <row r="7835" spans="31:31">
      <c r="AE7835" s="54"/>
    </row>
    <row r="7836" spans="31:31">
      <c r="AE7836" s="54"/>
    </row>
    <row r="7837" spans="31:31">
      <c r="AE7837" s="54"/>
    </row>
    <row r="7838" spans="31:31">
      <c r="AE7838" s="54"/>
    </row>
    <row r="7839" spans="31:31">
      <c r="AE7839" s="54"/>
    </row>
    <row r="7840" spans="31:31">
      <c r="AE7840" s="54"/>
    </row>
    <row r="7841" spans="31:31">
      <c r="AE7841" s="54"/>
    </row>
    <row r="7842" spans="31:31">
      <c r="AE7842" s="54"/>
    </row>
    <row r="7843" spans="31:31">
      <c r="AE7843" s="54"/>
    </row>
    <row r="7844" spans="31:31">
      <c r="AE7844" s="54"/>
    </row>
    <row r="7845" spans="31:31">
      <c r="AE7845" s="54"/>
    </row>
    <row r="7846" spans="31:31">
      <c r="AE7846" s="54"/>
    </row>
    <row r="7847" spans="31:31">
      <c r="AE7847" s="54"/>
    </row>
    <row r="7848" spans="31:31">
      <c r="AE7848" s="54"/>
    </row>
    <row r="7849" spans="31:31">
      <c r="AE7849" s="54"/>
    </row>
    <row r="7850" spans="31:31">
      <c r="AE7850" s="54"/>
    </row>
    <row r="7851" spans="31:31">
      <c r="AE7851" s="54"/>
    </row>
    <row r="7852" spans="31:31">
      <c r="AE7852" s="54"/>
    </row>
    <row r="7853" spans="31:31">
      <c r="AE7853" s="54"/>
    </row>
    <row r="7854" spans="31:31">
      <c r="AE7854" s="54"/>
    </row>
    <row r="7855" spans="31:31">
      <c r="AE7855" s="54"/>
    </row>
    <row r="7856" spans="31:31">
      <c r="AE7856" s="54"/>
    </row>
    <row r="7857" spans="31:31">
      <c r="AE7857" s="54"/>
    </row>
    <row r="7858" spans="31:31">
      <c r="AE7858" s="54"/>
    </row>
    <row r="7859" spans="31:31">
      <c r="AE7859" s="54"/>
    </row>
    <row r="7860" spans="31:31">
      <c r="AE7860" s="54"/>
    </row>
    <row r="7861" spans="31:31">
      <c r="AE7861" s="54"/>
    </row>
    <row r="7862" spans="31:31">
      <c r="AE7862" s="54"/>
    </row>
    <row r="7863" spans="31:31">
      <c r="AE7863" s="54"/>
    </row>
    <row r="7864" spans="31:31">
      <c r="AE7864" s="54"/>
    </row>
    <row r="7865" spans="31:31">
      <c r="AE7865" s="54"/>
    </row>
    <row r="7866" spans="31:31">
      <c r="AE7866" s="54"/>
    </row>
    <row r="7867" spans="31:31">
      <c r="AE7867" s="54"/>
    </row>
    <row r="7868" spans="31:31">
      <c r="AE7868" s="54"/>
    </row>
    <row r="7869" spans="31:31">
      <c r="AE7869" s="54"/>
    </row>
    <row r="7870" spans="31:31">
      <c r="AE7870" s="54"/>
    </row>
    <row r="7871" spans="31:31">
      <c r="AE7871" s="54"/>
    </row>
    <row r="7872" spans="31:31">
      <c r="AE7872" s="54"/>
    </row>
    <row r="7873" spans="31:31">
      <c r="AE7873" s="54"/>
    </row>
    <row r="7874" spans="31:31">
      <c r="AE7874" s="54"/>
    </row>
    <row r="7875" spans="31:31">
      <c r="AE7875" s="54"/>
    </row>
    <row r="7876" spans="31:31">
      <c r="AE7876" s="54"/>
    </row>
    <row r="7877" spans="31:31">
      <c r="AE7877" s="54"/>
    </row>
    <row r="7878" spans="31:31">
      <c r="AE7878" s="54"/>
    </row>
    <row r="7879" spans="31:31">
      <c r="AE7879" s="54"/>
    </row>
    <row r="7880" spans="31:31">
      <c r="AE7880" s="54"/>
    </row>
    <row r="7881" spans="31:31">
      <c r="AE7881" s="54"/>
    </row>
    <row r="7882" spans="31:31">
      <c r="AE7882" s="54"/>
    </row>
    <row r="7883" spans="31:31">
      <c r="AE7883" s="54"/>
    </row>
    <row r="7884" spans="31:31">
      <c r="AE7884" s="54"/>
    </row>
    <row r="7885" spans="31:31">
      <c r="AE7885" s="54"/>
    </row>
    <row r="7886" spans="31:31">
      <c r="AE7886" s="54"/>
    </row>
    <row r="7887" spans="31:31">
      <c r="AE7887" s="54"/>
    </row>
    <row r="7888" spans="31:31">
      <c r="AE7888" s="54"/>
    </row>
    <row r="7889" spans="31:31">
      <c r="AE7889" s="54"/>
    </row>
    <row r="7890" spans="31:31">
      <c r="AE7890" s="54"/>
    </row>
    <row r="7891" spans="31:31">
      <c r="AE7891" s="54"/>
    </row>
    <row r="7892" spans="31:31">
      <c r="AE7892" s="54"/>
    </row>
    <row r="7893" spans="31:31">
      <c r="AE7893" s="54"/>
    </row>
    <row r="7894" spans="31:31">
      <c r="AE7894" s="54"/>
    </row>
    <row r="7895" spans="31:31">
      <c r="AE7895" s="54"/>
    </row>
    <row r="7896" spans="31:31">
      <c r="AE7896" s="54"/>
    </row>
    <row r="7897" spans="31:31">
      <c r="AE7897" s="54"/>
    </row>
    <row r="7898" spans="31:31">
      <c r="AE7898" s="54"/>
    </row>
    <row r="7899" spans="31:31">
      <c r="AE7899" s="54"/>
    </row>
    <row r="7900" spans="31:31">
      <c r="AE7900" s="54"/>
    </row>
    <row r="7901" spans="31:31">
      <c r="AE7901" s="54"/>
    </row>
    <row r="7902" spans="31:31">
      <c r="AE7902" s="54"/>
    </row>
    <row r="7903" spans="31:31">
      <c r="AE7903" s="54"/>
    </row>
    <row r="7904" spans="31:31">
      <c r="AE7904" s="54"/>
    </row>
    <row r="7905" spans="31:31">
      <c r="AE7905" s="54"/>
    </row>
    <row r="7906" spans="31:31">
      <c r="AE7906" s="54"/>
    </row>
    <row r="7907" spans="31:31">
      <c r="AE7907" s="54"/>
    </row>
    <row r="7908" spans="31:31">
      <c r="AE7908" s="54"/>
    </row>
    <row r="7909" spans="31:31">
      <c r="AE7909" s="54"/>
    </row>
    <row r="7910" spans="31:31">
      <c r="AE7910" s="54"/>
    </row>
    <row r="7911" spans="31:31">
      <c r="AE7911" s="54"/>
    </row>
    <row r="7912" spans="31:31">
      <c r="AE7912" s="54"/>
    </row>
    <row r="7913" spans="31:31">
      <c r="AE7913" s="54"/>
    </row>
    <row r="7914" spans="31:31">
      <c r="AE7914" s="54"/>
    </row>
    <row r="7915" spans="31:31">
      <c r="AE7915" s="54"/>
    </row>
    <row r="7916" spans="31:31">
      <c r="AE7916" s="54"/>
    </row>
    <row r="7917" spans="31:31">
      <c r="AE7917" s="54"/>
    </row>
    <row r="7918" spans="31:31">
      <c r="AE7918" s="54"/>
    </row>
    <row r="7919" spans="31:31">
      <c r="AE7919" s="54"/>
    </row>
    <row r="7920" spans="31:31">
      <c r="AE7920" s="54"/>
    </row>
    <row r="7921" spans="31:31">
      <c r="AE7921" s="54"/>
    </row>
    <row r="7922" spans="31:31">
      <c r="AE7922" s="54"/>
    </row>
    <row r="7923" spans="31:31">
      <c r="AE7923" s="54"/>
    </row>
    <row r="7924" spans="31:31">
      <c r="AE7924" s="54"/>
    </row>
    <row r="7925" spans="31:31">
      <c r="AE7925" s="54"/>
    </row>
    <row r="7926" spans="31:31">
      <c r="AE7926" s="54"/>
    </row>
    <row r="7927" spans="31:31">
      <c r="AE7927" s="54"/>
    </row>
    <row r="7928" spans="31:31">
      <c r="AE7928" s="54"/>
    </row>
    <row r="7929" spans="31:31">
      <c r="AE7929" s="54"/>
    </row>
    <row r="7930" spans="31:31">
      <c r="AE7930" s="54"/>
    </row>
    <row r="7931" spans="31:31">
      <c r="AE7931" s="54"/>
    </row>
    <row r="7932" spans="31:31">
      <c r="AE7932" s="54"/>
    </row>
    <row r="7933" spans="31:31">
      <c r="AE7933" s="54"/>
    </row>
    <row r="7934" spans="31:31">
      <c r="AE7934" s="54"/>
    </row>
    <row r="7935" spans="31:31">
      <c r="AE7935" s="54"/>
    </row>
    <row r="7936" spans="31:31">
      <c r="AE7936" s="54"/>
    </row>
    <row r="7937" spans="31:31">
      <c r="AE7937" s="54"/>
    </row>
    <row r="7938" spans="31:31">
      <c r="AE7938" s="54"/>
    </row>
    <row r="7939" spans="31:31">
      <c r="AE7939" s="54"/>
    </row>
    <row r="7940" spans="31:31">
      <c r="AE7940" s="54"/>
    </row>
    <row r="7941" spans="31:31">
      <c r="AE7941" s="54"/>
    </row>
    <row r="7942" spans="31:31">
      <c r="AE7942" s="54"/>
    </row>
    <row r="7943" spans="31:31">
      <c r="AE7943" s="54"/>
    </row>
    <row r="7944" spans="31:31">
      <c r="AE7944" s="54"/>
    </row>
    <row r="7945" spans="31:31">
      <c r="AE7945" s="54"/>
    </row>
    <row r="7946" spans="31:31">
      <c r="AE7946" s="54"/>
    </row>
    <row r="7947" spans="31:31">
      <c r="AE7947" s="54"/>
    </row>
    <row r="7948" spans="31:31">
      <c r="AE7948" s="54"/>
    </row>
    <row r="7949" spans="31:31">
      <c r="AE7949" s="54"/>
    </row>
    <row r="7950" spans="31:31">
      <c r="AE7950" s="54"/>
    </row>
    <row r="7951" spans="31:31">
      <c r="AE7951" s="54"/>
    </row>
    <row r="7952" spans="31:31">
      <c r="AE7952" s="54"/>
    </row>
    <row r="7953" spans="31:31">
      <c r="AE7953" s="54"/>
    </row>
    <row r="7954" spans="31:31">
      <c r="AE7954" s="54"/>
    </row>
    <row r="7955" spans="31:31">
      <c r="AE7955" s="54"/>
    </row>
    <row r="7956" spans="31:31">
      <c r="AE7956" s="54"/>
    </row>
    <row r="7957" spans="31:31">
      <c r="AE7957" s="54"/>
    </row>
    <row r="7958" spans="31:31">
      <c r="AE7958" s="54"/>
    </row>
    <row r="7959" spans="31:31">
      <c r="AE7959" s="54"/>
    </row>
    <row r="7960" spans="31:31">
      <c r="AE7960" s="54"/>
    </row>
    <row r="7961" spans="31:31">
      <c r="AE7961" s="54"/>
    </row>
    <row r="7962" spans="31:31">
      <c r="AE7962" s="54"/>
    </row>
    <row r="7963" spans="31:31">
      <c r="AE7963" s="54"/>
    </row>
    <row r="7964" spans="31:31">
      <c r="AE7964" s="54"/>
    </row>
    <row r="7965" spans="31:31">
      <c r="AE7965" s="54"/>
    </row>
    <row r="7966" spans="31:31">
      <c r="AE7966" s="54"/>
    </row>
    <row r="7967" spans="31:31">
      <c r="AE7967" s="54"/>
    </row>
    <row r="7968" spans="31:31">
      <c r="AE7968" s="54"/>
    </row>
    <row r="7969" spans="31:31">
      <c r="AE7969" s="54"/>
    </row>
    <row r="7970" spans="31:31">
      <c r="AE7970" s="54"/>
    </row>
    <row r="7971" spans="31:31">
      <c r="AE7971" s="54"/>
    </row>
    <row r="7972" spans="31:31">
      <c r="AE7972" s="54"/>
    </row>
    <row r="7973" spans="31:31">
      <c r="AE7973" s="54"/>
    </row>
    <row r="7974" spans="31:31">
      <c r="AE7974" s="54"/>
    </row>
    <row r="7975" spans="31:31">
      <c r="AE7975" s="54"/>
    </row>
    <row r="7976" spans="31:31">
      <c r="AE7976" s="54"/>
    </row>
    <row r="7977" spans="31:31">
      <c r="AE7977" s="54"/>
    </row>
    <row r="7978" spans="31:31">
      <c r="AE7978" s="54"/>
    </row>
    <row r="7979" spans="31:31">
      <c r="AE7979" s="54"/>
    </row>
    <row r="7980" spans="31:31">
      <c r="AE7980" s="54"/>
    </row>
    <row r="7981" spans="31:31">
      <c r="AE7981" s="54"/>
    </row>
    <row r="7982" spans="31:31">
      <c r="AE7982" s="54"/>
    </row>
    <row r="7983" spans="31:31">
      <c r="AE7983" s="54"/>
    </row>
    <row r="7984" spans="31:31">
      <c r="AE7984" s="54"/>
    </row>
    <row r="7985" spans="31:31">
      <c r="AE7985" s="54"/>
    </row>
    <row r="7986" spans="31:31">
      <c r="AE7986" s="54"/>
    </row>
    <row r="7987" spans="31:31">
      <c r="AE7987" s="54"/>
    </row>
    <row r="7988" spans="31:31">
      <c r="AE7988" s="54"/>
    </row>
    <row r="7989" spans="31:31">
      <c r="AE7989" s="54"/>
    </row>
    <row r="7990" spans="31:31">
      <c r="AE7990" s="54"/>
    </row>
    <row r="7991" spans="31:31">
      <c r="AE7991" s="54"/>
    </row>
    <row r="7992" spans="31:31">
      <c r="AE7992" s="54"/>
    </row>
    <row r="7993" spans="31:31">
      <c r="AE7993" s="54"/>
    </row>
    <row r="7994" spans="31:31">
      <c r="AE7994" s="54"/>
    </row>
    <row r="7995" spans="31:31">
      <c r="AE7995" s="54"/>
    </row>
    <row r="7996" spans="31:31">
      <c r="AE7996" s="54"/>
    </row>
    <row r="7997" spans="31:31">
      <c r="AE7997" s="54"/>
    </row>
    <row r="7998" spans="31:31">
      <c r="AE7998" s="54"/>
    </row>
    <row r="7999" spans="31:31">
      <c r="AE7999" s="54"/>
    </row>
    <row r="8000" spans="31:31">
      <c r="AE8000" s="54"/>
    </row>
    <row r="8001" spans="31:31">
      <c r="AE8001" s="54"/>
    </row>
    <row r="8002" spans="31:31">
      <c r="AE8002" s="54"/>
    </row>
    <row r="8003" spans="31:31">
      <c r="AE8003" s="54"/>
    </row>
    <row r="8004" spans="31:31">
      <c r="AE8004" s="54"/>
    </row>
    <row r="8005" spans="31:31">
      <c r="AE8005" s="54"/>
    </row>
    <row r="8006" spans="31:31">
      <c r="AE8006" s="54"/>
    </row>
    <row r="8007" spans="31:31">
      <c r="AE8007" s="54"/>
    </row>
    <row r="8008" spans="31:31">
      <c r="AE8008" s="54"/>
    </row>
    <row r="8009" spans="31:31">
      <c r="AE8009" s="54"/>
    </row>
    <row r="8010" spans="31:31">
      <c r="AE8010" s="54"/>
    </row>
    <row r="8011" spans="31:31">
      <c r="AE8011" s="54"/>
    </row>
    <row r="8012" spans="31:31">
      <c r="AE8012" s="54"/>
    </row>
    <row r="8013" spans="31:31">
      <c r="AE8013" s="54"/>
    </row>
    <row r="8014" spans="31:31">
      <c r="AE8014" s="54"/>
    </row>
    <row r="8015" spans="31:31">
      <c r="AE8015" s="54"/>
    </row>
    <row r="8016" spans="31:31">
      <c r="AE8016" s="54"/>
    </row>
    <row r="8017" spans="31:31">
      <c r="AE8017" s="54"/>
    </row>
    <row r="8018" spans="31:31">
      <c r="AE8018" s="54"/>
    </row>
    <row r="8019" spans="31:31">
      <c r="AE8019" s="54"/>
    </row>
    <row r="8020" spans="31:31">
      <c r="AE8020" s="54"/>
    </row>
    <row r="8021" spans="31:31">
      <c r="AE8021" s="54"/>
    </row>
    <row r="8022" spans="31:31">
      <c r="AE8022" s="54"/>
    </row>
    <row r="8023" spans="31:31">
      <c r="AE8023" s="54"/>
    </row>
    <row r="8024" spans="31:31">
      <c r="AE8024" s="54"/>
    </row>
    <row r="8025" spans="31:31">
      <c r="AE8025" s="54"/>
    </row>
    <row r="8026" spans="31:31">
      <c r="AE8026" s="54"/>
    </row>
    <row r="8027" spans="31:31">
      <c r="AE8027" s="54"/>
    </row>
    <row r="8028" spans="31:31">
      <c r="AE8028" s="54"/>
    </row>
    <row r="8029" spans="31:31">
      <c r="AE8029" s="54"/>
    </row>
    <row r="8030" spans="31:31">
      <c r="AE8030" s="54"/>
    </row>
    <row r="8031" spans="31:31">
      <c r="AE8031" s="54"/>
    </row>
    <row r="8032" spans="31:31">
      <c r="AE8032" s="54"/>
    </row>
    <row r="8033" spans="31:31">
      <c r="AE8033" s="54"/>
    </row>
    <row r="8034" spans="31:31">
      <c r="AE8034" s="54"/>
    </row>
    <row r="8035" spans="31:31">
      <c r="AE8035" s="54"/>
    </row>
    <row r="8036" spans="31:31">
      <c r="AE8036" s="54"/>
    </row>
    <row r="8037" spans="31:31">
      <c r="AE8037" s="54"/>
    </row>
    <row r="8038" spans="31:31">
      <c r="AE8038" s="54"/>
    </row>
    <row r="8039" spans="31:31">
      <c r="AE8039" s="54"/>
    </row>
    <row r="8040" spans="31:31">
      <c r="AE8040" s="54"/>
    </row>
    <row r="8041" spans="31:31">
      <c r="AE8041" s="54"/>
    </row>
    <row r="8042" spans="31:31">
      <c r="AE8042" s="54"/>
    </row>
    <row r="8043" spans="31:31">
      <c r="AE8043" s="54"/>
    </row>
    <row r="8044" spans="31:31">
      <c r="AE8044" s="54"/>
    </row>
    <row r="8045" spans="31:31">
      <c r="AE8045" s="54"/>
    </row>
    <row r="8046" spans="31:31">
      <c r="AE8046" s="54"/>
    </row>
    <row r="8047" spans="31:31">
      <c r="AE8047" s="54"/>
    </row>
    <row r="8048" spans="31:31">
      <c r="AE8048" s="54"/>
    </row>
    <row r="8049" spans="31:31">
      <c r="AE8049" s="54"/>
    </row>
    <row r="8050" spans="31:31">
      <c r="AE8050" s="54"/>
    </row>
    <row r="8051" spans="31:31">
      <c r="AE8051" s="54"/>
    </row>
    <row r="8052" spans="31:31">
      <c r="AE8052" s="54"/>
    </row>
    <row r="8053" spans="31:31">
      <c r="AE8053" s="54"/>
    </row>
    <row r="8054" spans="31:31">
      <c r="AE8054" s="54"/>
    </row>
    <row r="8055" spans="31:31">
      <c r="AE8055" s="54"/>
    </row>
    <row r="8056" spans="31:31">
      <c r="AE8056" s="54"/>
    </row>
    <row r="8057" spans="31:31">
      <c r="AE8057" s="54"/>
    </row>
    <row r="8058" spans="31:31">
      <c r="AE8058" s="54"/>
    </row>
    <row r="8059" spans="31:31">
      <c r="AE8059" s="54"/>
    </row>
    <row r="8060" spans="31:31">
      <c r="AE8060" s="54"/>
    </row>
    <row r="8061" spans="31:31">
      <c r="AE8061" s="54"/>
    </row>
    <row r="8062" spans="31:31">
      <c r="AE8062" s="54"/>
    </row>
    <row r="8063" spans="31:31">
      <c r="AE8063" s="54"/>
    </row>
    <row r="8064" spans="31:31">
      <c r="AE8064" s="54"/>
    </row>
    <row r="8065" spans="31:31">
      <c r="AE8065" s="54"/>
    </row>
    <row r="8066" spans="31:31">
      <c r="AE8066" s="54"/>
    </row>
    <row r="8067" spans="31:31">
      <c r="AE8067" s="54"/>
    </row>
    <row r="8068" spans="31:31">
      <c r="AE8068" s="54"/>
    </row>
    <row r="8069" spans="31:31">
      <c r="AE8069" s="54"/>
    </row>
    <row r="8070" spans="31:31">
      <c r="AE8070" s="54"/>
    </row>
    <row r="8071" spans="31:31">
      <c r="AE8071" s="54"/>
    </row>
    <row r="8072" spans="31:31">
      <c r="AE8072" s="54"/>
    </row>
    <row r="8073" spans="31:31">
      <c r="AE8073" s="54"/>
    </row>
    <row r="8074" spans="31:31">
      <c r="AE8074" s="54"/>
    </row>
    <row r="8075" spans="31:31">
      <c r="AE8075" s="54"/>
    </row>
    <row r="8076" spans="31:31">
      <c r="AE8076" s="54"/>
    </row>
    <row r="8077" spans="31:31">
      <c r="AE8077" s="54"/>
    </row>
    <row r="8078" spans="31:31">
      <c r="AE8078" s="54"/>
    </row>
    <row r="8079" spans="31:31">
      <c r="AE8079" s="54"/>
    </row>
    <row r="8080" spans="31:31">
      <c r="AE8080" s="54"/>
    </row>
    <row r="8081" spans="31:31">
      <c r="AE8081" s="54"/>
    </row>
    <row r="8082" spans="31:31">
      <c r="AE8082" s="54"/>
    </row>
    <row r="8083" spans="31:31">
      <c r="AE8083" s="54"/>
    </row>
    <row r="8084" spans="31:31">
      <c r="AE8084" s="54"/>
    </row>
    <row r="8085" spans="31:31">
      <c r="AE8085" s="54"/>
    </row>
    <row r="8086" spans="31:31">
      <c r="AE8086" s="54"/>
    </row>
    <row r="8087" spans="31:31">
      <c r="AE8087" s="54"/>
    </row>
    <row r="8088" spans="31:31">
      <c r="AE8088" s="54"/>
    </row>
    <row r="8089" spans="31:31">
      <c r="AE8089" s="54"/>
    </row>
    <row r="8090" spans="31:31">
      <c r="AE8090" s="54"/>
    </row>
    <row r="8091" spans="31:31">
      <c r="AE8091" s="54"/>
    </row>
    <row r="8092" spans="31:31">
      <c r="AE8092" s="54"/>
    </row>
    <row r="8093" spans="31:31">
      <c r="AE8093" s="54"/>
    </row>
    <row r="8094" spans="31:31">
      <c r="AE8094" s="54"/>
    </row>
    <row r="8095" spans="31:31">
      <c r="AE8095" s="54"/>
    </row>
    <row r="8096" spans="31:31">
      <c r="AE8096" s="54"/>
    </row>
    <row r="8097" spans="31:31">
      <c r="AE8097" s="54"/>
    </row>
    <row r="8098" spans="31:31">
      <c r="AE8098" s="54"/>
    </row>
    <row r="8099" spans="31:31">
      <c r="AE8099" s="54"/>
    </row>
    <row r="8100" spans="31:31">
      <c r="AE8100" s="54"/>
    </row>
    <row r="8101" spans="31:31">
      <c r="AE8101" s="54"/>
    </row>
    <row r="8102" spans="31:31">
      <c r="AE8102" s="54"/>
    </row>
    <row r="8103" spans="31:31">
      <c r="AE8103" s="54"/>
    </row>
    <row r="8104" spans="31:31">
      <c r="AE8104" s="54"/>
    </row>
    <row r="8105" spans="31:31">
      <c r="AE8105" s="54"/>
    </row>
    <row r="8106" spans="31:31">
      <c r="AE8106" s="54"/>
    </row>
    <row r="8107" spans="31:31">
      <c r="AE8107" s="54"/>
    </row>
    <row r="8108" spans="31:31">
      <c r="AE8108" s="54"/>
    </row>
    <row r="8109" spans="31:31">
      <c r="AE8109" s="54"/>
    </row>
    <row r="8110" spans="31:31">
      <c r="AE8110" s="54"/>
    </row>
    <row r="8111" spans="31:31">
      <c r="AE8111" s="54"/>
    </row>
    <row r="8112" spans="31:31">
      <c r="AE8112" s="54"/>
    </row>
    <row r="8113" spans="31:31">
      <c r="AE8113" s="54"/>
    </row>
    <row r="8114" spans="31:31">
      <c r="AE8114" s="54"/>
    </row>
    <row r="8115" spans="31:31">
      <c r="AE8115" s="54"/>
    </row>
    <row r="8116" spans="31:31">
      <c r="AE8116" s="54"/>
    </row>
    <row r="8117" spans="31:31">
      <c r="AE8117" s="54"/>
    </row>
    <row r="8118" spans="31:31">
      <c r="AE8118" s="54"/>
    </row>
    <row r="8119" spans="31:31">
      <c r="AE8119" s="54"/>
    </row>
    <row r="8120" spans="31:31">
      <c r="AE8120" s="54"/>
    </row>
    <row r="8121" spans="31:31">
      <c r="AE8121" s="54"/>
    </row>
    <row r="8122" spans="31:31">
      <c r="AE8122" s="54"/>
    </row>
    <row r="8123" spans="31:31">
      <c r="AE8123" s="54"/>
    </row>
    <row r="8124" spans="31:31">
      <c r="AE8124" s="54"/>
    </row>
    <row r="8125" spans="31:31">
      <c r="AE8125" s="54"/>
    </row>
    <row r="8126" spans="31:31">
      <c r="AE8126" s="54"/>
    </row>
    <row r="8127" spans="31:31">
      <c r="AE8127" s="54"/>
    </row>
    <row r="8128" spans="31:31">
      <c r="AE8128" s="54"/>
    </row>
    <row r="8129" spans="31:31">
      <c r="AE8129" s="54"/>
    </row>
    <row r="8130" spans="31:31">
      <c r="AE8130" s="54"/>
    </row>
    <row r="8131" spans="31:31">
      <c r="AE8131" s="54"/>
    </row>
    <row r="8132" spans="31:31">
      <c r="AE8132" s="54"/>
    </row>
    <row r="8133" spans="31:31">
      <c r="AE8133" s="54"/>
    </row>
    <row r="8134" spans="31:31">
      <c r="AE8134" s="54"/>
    </row>
    <row r="8135" spans="31:31">
      <c r="AE8135" s="54"/>
    </row>
    <row r="8136" spans="31:31">
      <c r="AE8136" s="54"/>
    </row>
    <row r="8137" spans="31:31">
      <c r="AE8137" s="54"/>
    </row>
    <row r="8138" spans="31:31">
      <c r="AE8138" s="54"/>
    </row>
    <row r="8139" spans="31:31">
      <c r="AE8139" s="54"/>
    </row>
    <row r="8140" spans="31:31">
      <c r="AE8140" s="54"/>
    </row>
    <row r="8141" spans="31:31">
      <c r="AE8141" s="54"/>
    </row>
    <row r="8142" spans="31:31">
      <c r="AE8142" s="54"/>
    </row>
    <row r="8143" spans="31:31">
      <c r="AE8143" s="54"/>
    </row>
    <row r="8144" spans="31:31">
      <c r="AE8144" s="54"/>
    </row>
    <row r="8145" spans="31:31">
      <c r="AE8145" s="54"/>
    </row>
    <row r="8146" spans="31:31">
      <c r="AE8146" s="54"/>
    </row>
    <row r="8147" spans="31:31">
      <c r="AE8147" s="54"/>
    </row>
    <row r="8148" spans="31:31">
      <c r="AE8148" s="54"/>
    </row>
    <row r="8149" spans="31:31">
      <c r="AE8149" s="54"/>
    </row>
    <row r="8150" spans="31:31">
      <c r="AE8150" s="54"/>
    </row>
    <row r="8151" spans="31:31">
      <c r="AE8151" s="54"/>
    </row>
    <row r="8152" spans="31:31">
      <c r="AE8152" s="54"/>
    </row>
    <row r="8153" spans="31:31">
      <c r="AE8153" s="54"/>
    </row>
    <row r="8154" spans="31:31">
      <c r="AE8154" s="54"/>
    </row>
    <row r="8155" spans="31:31">
      <c r="AE8155" s="54"/>
    </row>
    <row r="8156" spans="31:31">
      <c r="AE8156" s="54"/>
    </row>
    <row r="8157" spans="31:31">
      <c r="AE8157" s="54"/>
    </row>
    <row r="8158" spans="31:31">
      <c r="AE8158" s="54"/>
    </row>
    <row r="8159" spans="31:31">
      <c r="AE8159" s="54"/>
    </row>
    <row r="8160" spans="31:31">
      <c r="AE8160" s="54"/>
    </row>
    <row r="8161" spans="31:31">
      <c r="AE8161" s="54"/>
    </row>
    <row r="8162" spans="31:31">
      <c r="AE8162" s="54"/>
    </row>
    <row r="8163" spans="31:31">
      <c r="AE8163" s="54"/>
    </row>
    <row r="8164" spans="31:31">
      <c r="AE8164" s="54"/>
    </row>
    <row r="8165" spans="31:31">
      <c r="AE8165" s="54"/>
    </row>
    <row r="8166" spans="31:31">
      <c r="AE8166" s="54"/>
    </row>
    <row r="8167" spans="31:31">
      <c r="AE8167" s="54"/>
    </row>
    <row r="8168" spans="31:31">
      <c r="AE8168" s="54"/>
    </row>
    <row r="8169" spans="31:31">
      <c r="AE8169" s="54"/>
    </row>
    <row r="8170" spans="31:31">
      <c r="AE8170" s="54"/>
    </row>
    <row r="8171" spans="31:31">
      <c r="AE8171" s="54"/>
    </row>
    <row r="8172" spans="31:31">
      <c r="AE8172" s="54"/>
    </row>
    <row r="8173" spans="31:31">
      <c r="AE8173" s="54"/>
    </row>
    <row r="8174" spans="31:31">
      <c r="AE8174" s="54"/>
    </row>
    <row r="8175" spans="31:31">
      <c r="AE8175" s="54"/>
    </row>
    <row r="8176" spans="31:31">
      <c r="AE8176" s="54"/>
    </row>
    <row r="8177" spans="31:31">
      <c r="AE8177" s="54"/>
    </row>
    <row r="8178" spans="31:31">
      <c r="AE8178" s="54"/>
    </row>
    <row r="8179" spans="31:31">
      <c r="AE8179" s="54"/>
    </row>
    <row r="8180" spans="31:31">
      <c r="AE8180" s="54"/>
    </row>
    <row r="8181" spans="31:31">
      <c r="AE8181" s="54"/>
    </row>
    <row r="8182" spans="31:31">
      <c r="AE8182" s="54"/>
    </row>
    <row r="8183" spans="31:31">
      <c r="AE8183" s="54"/>
    </row>
    <row r="8184" spans="31:31">
      <c r="AE8184" s="54"/>
    </row>
    <row r="8185" spans="31:31">
      <c r="AE8185" s="54"/>
    </row>
    <row r="8186" spans="31:31">
      <c r="AE8186" s="54"/>
    </row>
    <row r="8187" spans="31:31">
      <c r="AE8187" s="54"/>
    </row>
    <row r="8188" spans="31:31">
      <c r="AE8188" s="54"/>
    </row>
    <row r="8189" spans="31:31">
      <c r="AE8189" s="54"/>
    </row>
    <row r="8190" spans="31:31">
      <c r="AE8190" s="54"/>
    </row>
    <row r="8191" spans="31:31">
      <c r="AE8191" s="54"/>
    </row>
    <row r="8192" spans="31:31">
      <c r="AE8192" s="54"/>
    </row>
    <row r="8193" spans="31:31">
      <c r="AE8193" s="54"/>
    </row>
    <row r="8194" spans="31:31">
      <c r="AE8194" s="54"/>
    </row>
    <row r="8195" spans="31:31">
      <c r="AE8195" s="54"/>
    </row>
    <row r="8196" spans="31:31">
      <c r="AE8196" s="54"/>
    </row>
    <row r="8197" spans="31:31">
      <c r="AE8197" s="54"/>
    </row>
    <row r="8198" spans="31:31">
      <c r="AE8198" s="54"/>
    </row>
    <row r="8199" spans="31:31">
      <c r="AE8199" s="54"/>
    </row>
    <row r="8200" spans="31:31">
      <c r="AE8200" s="54"/>
    </row>
    <row r="8201" spans="31:31">
      <c r="AE8201" s="54"/>
    </row>
    <row r="8202" spans="31:31">
      <c r="AE8202" s="54"/>
    </row>
    <row r="8203" spans="31:31">
      <c r="AE8203" s="54"/>
    </row>
    <row r="8204" spans="31:31">
      <c r="AE8204" s="54"/>
    </row>
    <row r="8205" spans="31:31">
      <c r="AE8205" s="54"/>
    </row>
    <row r="8206" spans="31:31">
      <c r="AE8206" s="54"/>
    </row>
    <row r="8207" spans="31:31">
      <c r="AE8207" s="54"/>
    </row>
    <row r="8208" spans="31:31">
      <c r="AE8208" s="54"/>
    </row>
    <row r="8209" spans="31:31">
      <c r="AE8209" s="54"/>
    </row>
    <row r="8210" spans="31:31">
      <c r="AE8210" s="54"/>
    </row>
    <row r="8211" spans="31:31">
      <c r="AE8211" s="54"/>
    </row>
    <row r="8212" spans="31:31">
      <c r="AE8212" s="54"/>
    </row>
    <row r="8213" spans="31:31">
      <c r="AE8213" s="54"/>
    </row>
    <row r="8214" spans="31:31">
      <c r="AE8214" s="54"/>
    </row>
    <row r="8215" spans="31:31">
      <c r="AE8215" s="54"/>
    </row>
    <row r="8216" spans="31:31">
      <c r="AE8216" s="54"/>
    </row>
    <row r="8217" spans="31:31">
      <c r="AE8217" s="54"/>
    </row>
    <row r="8218" spans="31:31">
      <c r="AE8218" s="54"/>
    </row>
    <row r="8219" spans="31:31">
      <c r="AE8219" s="54"/>
    </row>
    <row r="8220" spans="31:31">
      <c r="AE8220" s="54"/>
    </row>
    <row r="8221" spans="31:31">
      <c r="AE8221" s="54"/>
    </row>
    <row r="8222" spans="31:31">
      <c r="AE8222" s="54"/>
    </row>
    <row r="8223" spans="31:31">
      <c r="AE8223" s="54"/>
    </row>
    <row r="8224" spans="31:31">
      <c r="AE8224" s="54"/>
    </row>
    <row r="8225" spans="31:31">
      <c r="AE8225" s="54"/>
    </row>
    <row r="8226" spans="31:31">
      <c r="AE8226" s="54"/>
    </row>
    <row r="8227" spans="31:31">
      <c r="AE8227" s="54"/>
    </row>
    <row r="8228" spans="31:31">
      <c r="AE8228" s="54"/>
    </row>
    <row r="8229" spans="31:31">
      <c r="AE8229" s="54"/>
    </row>
    <row r="8230" spans="31:31">
      <c r="AE8230" s="54"/>
    </row>
    <row r="8231" spans="31:31">
      <c r="AE8231" s="54"/>
    </row>
    <row r="8232" spans="31:31">
      <c r="AE8232" s="54"/>
    </row>
    <row r="8233" spans="31:31">
      <c r="AE8233" s="54"/>
    </row>
    <row r="8234" spans="31:31">
      <c r="AE8234" s="54"/>
    </row>
    <row r="8235" spans="31:31">
      <c r="AE8235" s="54"/>
    </row>
    <row r="8236" spans="31:31">
      <c r="AE8236" s="54"/>
    </row>
    <row r="8237" spans="31:31">
      <c r="AE8237" s="54"/>
    </row>
    <row r="8238" spans="31:31">
      <c r="AE8238" s="54"/>
    </row>
    <row r="8239" spans="31:31">
      <c r="AE8239" s="54"/>
    </row>
    <row r="8240" spans="31:31">
      <c r="AE8240" s="54"/>
    </row>
    <row r="8241" spans="31:31">
      <c r="AE8241" s="54"/>
    </row>
    <row r="8242" spans="31:31">
      <c r="AE8242" s="54"/>
    </row>
    <row r="8243" spans="31:31">
      <c r="AE8243" s="54"/>
    </row>
    <row r="8244" spans="31:31">
      <c r="AE8244" s="54"/>
    </row>
    <row r="8245" spans="31:31">
      <c r="AE8245" s="54"/>
    </row>
    <row r="8246" spans="31:31">
      <c r="AE8246" s="54"/>
    </row>
    <row r="8247" spans="31:31">
      <c r="AE8247" s="54"/>
    </row>
    <row r="8248" spans="31:31">
      <c r="AE8248" s="54"/>
    </row>
    <row r="8249" spans="31:31">
      <c r="AE8249" s="54"/>
    </row>
    <row r="8250" spans="31:31">
      <c r="AE8250" s="54"/>
    </row>
    <row r="8251" spans="31:31">
      <c r="AE8251" s="54"/>
    </row>
    <row r="8252" spans="31:31">
      <c r="AE8252" s="54"/>
    </row>
    <row r="8253" spans="31:31">
      <c r="AE8253" s="54"/>
    </row>
    <row r="8254" spans="31:31">
      <c r="AE8254" s="54"/>
    </row>
    <row r="8255" spans="31:31">
      <c r="AE8255" s="54"/>
    </row>
    <row r="8256" spans="31:31">
      <c r="AE8256" s="54"/>
    </row>
    <row r="8257" spans="31:31">
      <c r="AE8257" s="54"/>
    </row>
    <row r="8258" spans="31:31">
      <c r="AE8258" s="54"/>
    </row>
    <row r="8259" spans="31:31">
      <c r="AE8259" s="54"/>
    </row>
    <row r="8260" spans="31:31">
      <c r="AE8260" s="54"/>
    </row>
    <row r="8261" spans="31:31">
      <c r="AE8261" s="54"/>
    </row>
    <row r="8262" spans="31:31">
      <c r="AE8262" s="54"/>
    </row>
    <row r="8263" spans="31:31">
      <c r="AE8263" s="54"/>
    </row>
    <row r="8264" spans="31:31">
      <c r="AE8264" s="54"/>
    </row>
    <row r="8265" spans="31:31">
      <c r="AE8265" s="54"/>
    </row>
    <row r="8266" spans="31:31">
      <c r="AE8266" s="54"/>
    </row>
    <row r="8267" spans="31:31">
      <c r="AE8267" s="54"/>
    </row>
    <row r="8268" spans="31:31">
      <c r="AE8268" s="54"/>
    </row>
    <row r="8269" spans="31:31">
      <c r="AE8269" s="54"/>
    </row>
    <row r="8270" spans="31:31">
      <c r="AE8270" s="54"/>
    </row>
    <row r="8271" spans="31:31">
      <c r="AE8271" s="54"/>
    </row>
    <row r="8272" spans="31:31">
      <c r="AE8272" s="54"/>
    </row>
    <row r="8273" spans="31:31">
      <c r="AE8273" s="54"/>
    </row>
    <row r="8274" spans="31:31">
      <c r="AE8274" s="54"/>
    </row>
    <row r="8275" spans="31:31">
      <c r="AE8275" s="54"/>
    </row>
    <row r="8276" spans="31:31">
      <c r="AE8276" s="54"/>
    </row>
    <row r="8277" spans="31:31">
      <c r="AE8277" s="54"/>
    </row>
    <row r="8278" spans="31:31">
      <c r="AE8278" s="54"/>
    </row>
    <row r="8279" spans="31:31">
      <c r="AE8279" s="54"/>
    </row>
    <row r="8280" spans="31:31">
      <c r="AE8280" s="54"/>
    </row>
    <row r="8281" spans="31:31">
      <c r="AE8281" s="54"/>
    </row>
    <row r="8282" spans="31:31">
      <c r="AE8282" s="54"/>
    </row>
    <row r="8283" spans="31:31">
      <c r="AE8283" s="54"/>
    </row>
    <row r="8284" spans="31:31">
      <c r="AE8284" s="54"/>
    </row>
    <row r="8285" spans="31:31">
      <c r="AE8285" s="54"/>
    </row>
    <row r="8286" spans="31:31">
      <c r="AE8286" s="54"/>
    </row>
    <row r="8287" spans="31:31">
      <c r="AE8287" s="54"/>
    </row>
    <row r="8288" spans="31:31">
      <c r="AE8288" s="54"/>
    </row>
    <row r="8289" spans="31:31">
      <c r="AE8289" s="54"/>
    </row>
    <row r="8290" spans="31:31">
      <c r="AE8290" s="54"/>
    </row>
    <row r="8291" spans="31:31">
      <c r="AE8291" s="54"/>
    </row>
    <row r="8292" spans="31:31">
      <c r="AE8292" s="54"/>
    </row>
    <row r="8293" spans="31:31">
      <c r="AE8293" s="54"/>
    </row>
    <row r="8294" spans="31:31">
      <c r="AE8294" s="54"/>
    </row>
    <row r="8295" spans="31:31">
      <c r="AE8295" s="54"/>
    </row>
    <row r="8296" spans="31:31">
      <c r="AE8296" s="54"/>
    </row>
    <row r="8297" spans="31:31">
      <c r="AE8297" s="54"/>
    </row>
    <row r="8298" spans="31:31">
      <c r="AE8298" s="54"/>
    </row>
    <row r="8299" spans="31:31">
      <c r="AE8299" s="54"/>
    </row>
    <row r="8300" spans="31:31">
      <c r="AE8300" s="54"/>
    </row>
    <row r="8301" spans="31:31">
      <c r="AE8301" s="54"/>
    </row>
    <row r="8302" spans="31:31">
      <c r="AE8302" s="54"/>
    </row>
    <row r="8303" spans="31:31">
      <c r="AE8303" s="54"/>
    </row>
    <row r="8304" spans="31:31">
      <c r="AE8304" s="54"/>
    </row>
    <row r="8305" spans="31:31">
      <c r="AE8305" s="54"/>
    </row>
    <row r="8306" spans="31:31">
      <c r="AE8306" s="54"/>
    </row>
    <row r="8307" spans="31:31">
      <c r="AE8307" s="54"/>
    </row>
    <row r="8308" spans="31:31">
      <c r="AE8308" s="54"/>
    </row>
    <row r="8309" spans="31:31">
      <c r="AE8309" s="54"/>
    </row>
    <row r="8310" spans="31:31">
      <c r="AE8310" s="54"/>
    </row>
    <row r="8311" spans="31:31">
      <c r="AE8311" s="54"/>
    </row>
    <row r="8312" spans="31:31">
      <c r="AE8312" s="54"/>
    </row>
    <row r="8313" spans="31:31">
      <c r="AE8313" s="54"/>
    </row>
    <row r="8314" spans="31:31">
      <c r="AE8314" s="54"/>
    </row>
    <row r="8315" spans="31:31">
      <c r="AE8315" s="54"/>
    </row>
    <row r="8316" spans="31:31">
      <c r="AE8316" s="54"/>
    </row>
    <row r="8317" spans="31:31">
      <c r="AE8317" s="54"/>
    </row>
    <row r="8318" spans="31:31">
      <c r="AE8318" s="54"/>
    </row>
    <row r="8319" spans="31:31">
      <c r="AE8319" s="54"/>
    </row>
    <row r="8320" spans="31:31">
      <c r="AE8320" s="54"/>
    </row>
    <row r="8321" spans="31:31">
      <c r="AE8321" s="54"/>
    </row>
    <row r="8322" spans="31:31">
      <c r="AE8322" s="54"/>
    </row>
    <row r="8323" spans="31:31">
      <c r="AE8323" s="54"/>
    </row>
    <row r="8324" spans="31:31">
      <c r="AE8324" s="54"/>
    </row>
    <row r="8325" spans="31:31">
      <c r="AE8325" s="54"/>
    </row>
    <row r="8326" spans="31:31">
      <c r="AE8326" s="54"/>
    </row>
    <row r="8327" spans="31:31">
      <c r="AE8327" s="54"/>
    </row>
    <row r="8328" spans="31:31">
      <c r="AE8328" s="54"/>
    </row>
    <row r="8329" spans="31:31">
      <c r="AE8329" s="54"/>
    </row>
    <row r="8330" spans="31:31">
      <c r="AE8330" s="54"/>
    </row>
    <row r="8331" spans="31:31">
      <c r="AE8331" s="54"/>
    </row>
    <row r="8332" spans="31:31">
      <c r="AE8332" s="54"/>
    </row>
    <row r="8333" spans="31:31">
      <c r="AE8333" s="54"/>
    </row>
    <row r="8334" spans="31:31">
      <c r="AE8334" s="54"/>
    </row>
    <row r="8335" spans="31:31">
      <c r="AE8335" s="54"/>
    </row>
    <row r="8336" spans="31:31">
      <c r="AE8336" s="54"/>
    </row>
    <row r="8337" spans="31:31">
      <c r="AE8337" s="54"/>
    </row>
    <row r="8338" spans="31:31">
      <c r="AE8338" s="54"/>
    </row>
    <row r="8339" spans="31:31">
      <c r="AE8339" s="54"/>
    </row>
    <row r="8340" spans="31:31">
      <c r="AE8340" s="54"/>
    </row>
    <row r="8341" spans="31:31">
      <c r="AE8341" s="54"/>
    </row>
    <row r="8342" spans="31:31">
      <c r="AE8342" s="54"/>
    </row>
    <row r="8343" spans="31:31">
      <c r="AE8343" s="54"/>
    </row>
    <row r="8344" spans="31:31">
      <c r="AE8344" s="54"/>
    </row>
    <row r="8345" spans="31:31">
      <c r="AE8345" s="54"/>
    </row>
    <row r="8346" spans="31:31">
      <c r="AE8346" s="54"/>
    </row>
    <row r="8347" spans="31:31">
      <c r="AE8347" s="54"/>
    </row>
    <row r="8348" spans="31:31">
      <c r="AE8348" s="54"/>
    </row>
    <row r="8349" spans="31:31">
      <c r="AE8349" s="54"/>
    </row>
    <row r="8350" spans="31:31">
      <c r="AE8350" s="54"/>
    </row>
    <row r="8351" spans="31:31">
      <c r="AE8351" s="54"/>
    </row>
    <row r="8352" spans="31:31">
      <c r="AE8352" s="54"/>
    </row>
    <row r="8353" spans="31:31">
      <c r="AE8353" s="54"/>
    </row>
    <row r="8354" spans="31:31">
      <c r="AE8354" s="54"/>
    </row>
    <row r="8355" spans="31:31">
      <c r="AE8355" s="54"/>
    </row>
    <row r="8356" spans="31:31">
      <c r="AE8356" s="54"/>
    </row>
    <row r="8357" spans="31:31">
      <c r="AE8357" s="54"/>
    </row>
    <row r="8358" spans="31:31">
      <c r="AE8358" s="54"/>
    </row>
    <row r="8359" spans="31:31">
      <c r="AE8359" s="54"/>
    </row>
    <row r="8360" spans="31:31">
      <c r="AE8360" s="54"/>
    </row>
    <row r="8361" spans="31:31">
      <c r="AE8361" s="54"/>
    </row>
    <row r="8362" spans="31:31">
      <c r="AE8362" s="54"/>
    </row>
    <row r="8363" spans="31:31">
      <c r="AE8363" s="54"/>
    </row>
    <row r="8364" spans="31:31">
      <c r="AE8364" s="54"/>
    </row>
    <row r="8365" spans="31:31">
      <c r="AE8365" s="54"/>
    </row>
    <row r="8366" spans="31:31">
      <c r="AE8366" s="54"/>
    </row>
    <row r="8367" spans="31:31">
      <c r="AE8367" s="54"/>
    </row>
    <row r="8368" spans="31:31">
      <c r="AE8368" s="54"/>
    </row>
    <row r="8369" spans="31:31">
      <c r="AE8369" s="54"/>
    </row>
    <row r="8370" spans="31:31">
      <c r="AE8370" s="54"/>
    </row>
    <row r="8371" spans="31:31">
      <c r="AE8371" s="54"/>
    </row>
    <row r="8372" spans="31:31">
      <c r="AE8372" s="54"/>
    </row>
    <row r="8373" spans="31:31">
      <c r="AE8373" s="54"/>
    </row>
    <row r="8374" spans="31:31">
      <c r="AE8374" s="54"/>
    </row>
    <row r="8375" spans="31:31">
      <c r="AE8375" s="54"/>
    </row>
    <row r="8376" spans="31:31">
      <c r="AE8376" s="54"/>
    </row>
    <row r="8377" spans="31:31">
      <c r="AE8377" s="54"/>
    </row>
    <row r="8378" spans="31:31">
      <c r="AE8378" s="54"/>
    </row>
    <row r="8379" spans="31:31">
      <c r="AE8379" s="54"/>
    </row>
    <row r="8380" spans="31:31">
      <c r="AE8380" s="54"/>
    </row>
    <row r="8381" spans="31:31">
      <c r="AE8381" s="54"/>
    </row>
    <row r="8382" spans="31:31">
      <c r="AE8382" s="54"/>
    </row>
    <row r="8383" spans="31:31">
      <c r="AE8383" s="54"/>
    </row>
    <row r="8384" spans="31:31">
      <c r="AE8384" s="54"/>
    </row>
    <row r="8385" spans="31:31">
      <c r="AE8385" s="54"/>
    </row>
    <row r="8386" spans="31:31">
      <c r="AE8386" s="54"/>
    </row>
    <row r="8387" spans="31:31">
      <c r="AE8387" s="54"/>
    </row>
    <row r="8388" spans="31:31">
      <c r="AE8388" s="54"/>
    </row>
    <row r="8389" spans="31:31">
      <c r="AE8389" s="54"/>
    </row>
    <row r="8390" spans="31:31">
      <c r="AE8390" s="54"/>
    </row>
    <row r="8391" spans="31:31">
      <c r="AE8391" s="54"/>
    </row>
    <row r="8392" spans="31:31">
      <c r="AE8392" s="54"/>
    </row>
    <row r="8393" spans="31:31">
      <c r="AE8393" s="54"/>
    </row>
    <row r="8394" spans="31:31">
      <c r="AE8394" s="54"/>
    </row>
    <row r="8395" spans="31:31">
      <c r="AE8395" s="54"/>
    </row>
    <row r="8396" spans="31:31">
      <c r="AE8396" s="54"/>
    </row>
    <row r="8397" spans="31:31">
      <c r="AE8397" s="54"/>
    </row>
    <row r="8398" spans="31:31">
      <c r="AE8398" s="54"/>
    </row>
    <row r="8399" spans="31:31">
      <c r="AE8399" s="54"/>
    </row>
    <row r="8400" spans="31:31">
      <c r="AE8400" s="54"/>
    </row>
    <row r="8401" spans="31:31">
      <c r="AE8401" s="54"/>
    </row>
    <row r="8402" spans="31:31">
      <c r="AE8402" s="54"/>
    </row>
    <row r="8403" spans="31:31">
      <c r="AE8403" s="54"/>
    </row>
    <row r="8404" spans="31:31">
      <c r="AE8404" s="54"/>
    </row>
    <row r="8405" spans="31:31">
      <c r="AE8405" s="54"/>
    </row>
    <row r="8406" spans="31:31">
      <c r="AE8406" s="54"/>
    </row>
    <row r="8407" spans="31:31">
      <c r="AE8407" s="54"/>
    </row>
    <row r="8408" spans="31:31">
      <c r="AE8408" s="54"/>
    </row>
    <row r="8409" spans="31:31">
      <c r="AE8409" s="54"/>
    </row>
    <row r="8410" spans="31:31">
      <c r="AE8410" s="54"/>
    </row>
    <row r="8411" spans="31:31">
      <c r="AE8411" s="54"/>
    </row>
    <row r="8412" spans="31:31">
      <c r="AE8412" s="54"/>
    </row>
    <row r="8413" spans="31:31">
      <c r="AE8413" s="54"/>
    </row>
    <row r="8414" spans="31:31">
      <c r="AE8414" s="54"/>
    </row>
    <row r="8415" spans="31:31">
      <c r="AE8415" s="54"/>
    </row>
    <row r="8416" spans="31:31">
      <c r="AE8416" s="54"/>
    </row>
    <row r="8417" spans="31:31">
      <c r="AE8417" s="54"/>
    </row>
    <row r="8418" spans="31:31">
      <c r="AE8418" s="54"/>
    </row>
    <row r="8419" spans="31:31">
      <c r="AE8419" s="54"/>
    </row>
    <row r="8420" spans="31:31">
      <c r="AE8420" s="54"/>
    </row>
    <row r="8421" spans="31:31">
      <c r="AE8421" s="54"/>
    </row>
    <row r="8422" spans="31:31">
      <c r="AE8422" s="54"/>
    </row>
    <row r="8423" spans="31:31">
      <c r="AE8423" s="54"/>
    </row>
    <row r="8424" spans="31:31">
      <c r="AE8424" s="54"/>
    </row>
    <row r="8425" spans="31:31">
      <c r="AE8425" s="54"/>
    </row>
    <row r="8426" spans="31:31">
      <c r="AE8426" s="54"/>
    </row>
    <row r="8427" spans="31:31">
      <c r="AE8427" s="54"/>
    </row>
    <row r="8428" spans="31:31">
      <c r="AE8428" s="54"/>
    </row>
    <row r="8429" spans="31:31">
      <c r="AE8429" s="54"/>
    </row>
    <row r="8430" spans="31:31">
      <c r="AE8430" s="54"/>
    </row>
    <row r="8431" spans="31:31">
      <c r="AE8431" s="54"/>
    </row>
    <row r="8432" spans="31:31">
      <c r="AE8432" s="54"/>
    </row>
    <row r="8433" spans="31:31">
      <c r="AE8433" s="54"/>
    </row>
    <row r="8434" spans="31:31">
      <c r="AE8434" s="54"/>
    </row>
    <row r="8435" spans="31:31">
      <c r="AE8435" s="54"/>
    </row>
    <row r="8436" spans="31:31">
      <c r="AE8436" s="54"/>
    </row>
    <row r="8437" spans="31:31">
      <c r="AE8437" s="54"/>
    </row>
    <row r="8438" spans="31:31">
      <c r="AE8438" s="54"/>
    </row>
    <row r="8439" spans="31:31">
      <c r="AE8439" s="54"/>
    </row>
    <row r="8440" spans="31:31">
      <c r="AE8440" s="54"/>
    </row>
    <row r="8441" spans="31:31">
      <c r="AE8441" s="54"/>
    </row>
    <row r="8442" spans="31:31">
      <c r="AE8442" s="54"/>
    </row>
    <row r="8443" spans="31:31">
      <c r="AE8443" s="54"/>
    </row>
    <row r="8444" spans="31:31">
      <c r="AE8444" s="54"/>
    </row>
    <row r="8445" spans="31:31">
      <c r="AE8445" s="54"/>
    </row>
    <row r="8446" spans="31:31">
      <c r="AE8446" s="54"/>
    </row>
    <row r="8447" spans="31:31">
      <c r="AE8447" s="54"/>
    </row>
    <row r="8448" spans="31:31">
      <c r="AE8448" s="54"/>
    </row>
    <row r="8449" spans="31:31">
      <c r="AE8449" s="54"/>
    </row>
    <row r="8450" spans="31:31">
      <c r="AE8450" s="54"/>
    </row>
    <row r="8451" spans="31:31">
      <c r="AE8451" s="54"/>
    </row>
    <row r="8452" spans="31:31">
      <c r="AE8452" s="54"/>
    </row>
    <row r="8453" spans="31:31">
      <c r="AE8453" s="54"/>
    </row>
    <row r="8454" spans="31:31">
      <c r="AE8454" s="54"/>
    </row>
    <row r="8455" spans="31:31">
      <c r="AE8455" s="54"/>
    </row>
    <row r="8456" spans="31:31">
      <c r="AE8456" s="54"/>
    </row>
    <row r="8457" spans="31:31">
      <c r="AE8457" s="54"/>
    </row>
    <row r="8458" spans="31:31">
      <c r="AE8458" s="54"/>
    </row>
    <row r="8459" spans="31:31">
      <c r="AE8459" s="54"/>
    </row>
    <row r="8460" spans="31:31">
      <c r="AE8460" s="54"/>
    </row>
    <row r="8461" spans="31:31">
      <c r="AE8461" s="54"/>
    </row>
    <row r="8462" spans="31:31">
      <c r="AE8462" s="54"/>
    </row>
    <row r="8463" spans="31:31">
      <c r="AE8463" s="54"/>
    </row>
    <row r="8464" spans="31:31">
      <c r="AE8464" s="54"/>
    </row>
    <row r="8465" spans="31:31">
      <c r="AE8465" s="54"/>
    </row>
    <row r="8466" spans="31:31">
      <c r="AE8466" s="54"/>
    </row>
    <row r="8467" spans="31:31">
      <c r="AE8467" s="54"/>
    </row>
    <row r="8468" spans="31:31">
      <c r="AE8468" s="54"/>
    </row>
    <row r="8469" spans="31:31">
      <c r="AE8469" s="54"/>
    </row>
    <row r="8470" spans="31:31">
      <c r="AE8470" s="54"/>
    </row>
    <row r="8471" spans="31:31">
      <c r="AE8471" s="54"/>
    </row>
    <row r="8472" spans="31:31">
      <c r="AE8472" s="54"/>
    </row>
    <row r="8473" spans="31:31">
      <c r="AE8473" s="54"/>
    </row>
    <row r="8474" spans="31:31">
      <c r="AE8474" s="54"/>
    </row>
    <row r="8475" spans="31:31">
      <c r="AE8475" s="54"/>
    </row>
    <row r="8476" spans="31:31">
      <c r="AE8476" s="54"/>
    </row>
    <row r="8477" spans="31:31">
      <c r="AE8477" s="54"/>
    </row>
    <row r="8478" spans="31:31">
      <c r="AE8478" s="54"/>
    </row>
    <row r="8479" spans="31:31">
      <c r="AE8479" s="54"/>
    </row>
    <row r="8480" spans="31:31">
      <c r="AE8480" s="54"/>
    </row>
    <row r="8481" spans="31:31">
      <c r="AE8481" s="54"/>
    </row>
    <row r="8482" spans="31:31">
      <c r="AE8482" s="54"/>
    </row>
    <row r="8483" spans="31:31">
      <c r="AE8483" s="54"/>
    </row>
    <row r="8484" spans="31:31">
      <c r="AE8484" s="54"/>
    </row>
    <row r="8485" spans="31:31">
      <c r="AE8485" s="54"/>
    </row>
    <row r="8486" spans="31:31">
      <c r="AE8486" s="54"/>
    </row>
    <row r="8487" spans="31:31">
      <c r="AE8487" s="54"/>
    </row>
    <row r="8488" spans="31:31">
      <c r="AE8488" s="54"/>
    </row>
    <row r="8489" spans="31:31">
      <c r="AE8489" s="54"/>
    </row>
    <row r="8490" spans="31:31">
      <c r="AE8490" s="54"/>
    </row>
    <row r="8491" spans="31:31">
      <c r="AE8491" s="54"/>
    </row>
    <row r="8492" spans="31:31">
      <c r="AE8492" s="54"/>
    </row>
    <row r="8493" spans="31:31">
      <c r="AE8493" s="54"/>
    </row>
    <row r="8494" spans="31:31">
      <c r="AE8494" s="54"/>
    </row>
    <row r="8495" spans="31:31">
      <c r="AE8495" s="54"/>
    </row>
    <row r="8496" spans="31:31">
      <c r="AE8496" s="54"/>
    </row>
    <row r="8497" spans="31:31">
      <c r="AE8497" s="54"/>
    </row>
    <row r="8498" spans="31:31">
      <c r="AE8498" s="54"/>
    </row>
    <row r="8499" spans="31:31">
      <c r="AE8499" s="54"/>
    </row>
    <row r="8500" spans="31:31">
      <c r="AE8500" s="54"/>
    </row>
    <row r="8501" spans="31:31">
      <c r="AE8501" s="54"/>
    </row>
    <row r="8502" spans="31:31">
      <c r="AE8502" s="54"/>
    </row>
    <row r="8503" spans="31:31">
      <c r="AE8503" s="54"/>
    </row>
    <row r="8504" spans="31:31">
      <c r="AE8504" s="54"/>
    </row>
    <row r="8505" spans="31:31">
      <c r="AE8505" s="54"/>
    </row>
    <row r="8506" spans="31:31">
      <c r="AE8506" s="54"/>
    </row>
    <row r="8507" spans="31:31">
      <c r="AE8507" s="54"/>
    </row>
    <row r="8508" spans="31:31">
      <c r="AE8508" s="54"/>
    </row>
    <row r="8509" spans="31:31">
      <c r="AE8509" s="54"/>
    </row>
    <row r="8510" spans="31:31">
      <c r="AE8510" s="54"/>
    </row>
    <row r="8511" spans="31:31">
      <c r="AE8511" s="54"/>
    </row>
    <row r="8512" spans="31:31">
      <c r="AE8512" s="54"/>
    </row>
    <row r="8513" spans="31:31">
      <c r="AE8513" s="54"/>
    </row>
    <row r="8514" spans="31:31">
      <c r="AE8514" s="54"/>
    </row>
    <row r="8515" spans="31:31">
      <c r="AE8515" s="54"/>
    </row>
    <row r="8516" spans="31:31">
      <c r="AE8516" s="54"/>
    </row>
    <row r="8517" spans="31:31">
      <c r="AE8517" s="54"/>
    </row>
    <row r="8518" spans="31:31">
      <c r="AE8518" s="54"/>
    </row>
    <row r="8519" spans="31:31">
      <c r="AE8519" s="54"/>
    </row>
    <row r="8520" spans="31:31">
      <c r="AE8520" s="54"/>
    </row>
    <row r="8521" spans="31:31">
      <c r="AE8521" s="54"/>
    </row>
    <row r="8522" spans="31:31">
      <c r="AE8522" s="54"/>
    </row>
    <row r="8523" spans="31:31">
      <c r="AE8523" s="54"/>
    </row>
    <row r="8524" spans="31:31">
      <c r="AE8524" s="54"/>
    </row>
    <row r="8525" spans="31:31">
      <c r="AE8525" s="54"/>
    </row>
    <row r="8526" spans="31:31">
      <c r="AE8526" s="54"/>
    </row>
    <row r="8527" spans="31:31">
      <c r="AE8527" s="54"/>
    </row>
    <row r="8528" spans="31:31">
      <c r="AE8528" s="54"/>
    </row>
    <row r="8529" spans="31:31">
      <c r="AE8529" s="54"/>
    </row>
    <row r="8530" spans="31:31">
      <c r="AE8530" s="54"/>
    </row>
    <row r="8531" spans="31:31">
      <c r="AE8531" s="54"/>
    </row>
    <row r="8532" spans="31:31">
      <c r="AE8532" s="54"/>
    </row>
    <row r="8533" spans="31:31">
      <c r="AE8533" s="54"/>
    </row>
    <row r="8534" spans="31:31">
      <c r="AE8534" s="54"/>
    </row>
    <row r="8535" spans="31:31">
      <c r="AE8535" s="54"/>
    </row>
    <row r="8536" spans="31:31">
      <c r="AE8536" s="54"/>
    </row>
    <row r="8537" spans="31:31">
      <c r="AE8537" s="54"/>
    </row>
    <row r="8538" spans="31:31">
      <c r="AE8538" s="54"/>
    </row>
    <row r="8539" spans="31:31">
      <c r="AE8539" s="54"/>
    </row>
    <row r="8540" spans="31:31">
      <c r="AE8540" s="54"/>
    </row>
    <row r="8541" spans="31:31">
      <c r="AE8541" s="54"/>
    </row>
    <row r="8542" spans="31:31">
      <c r="AE8542" s="54"/>
    </row>
    <row r="8543" spans="31:31">
      <c r="AE8543" s="54"/>
    </row>
    <row r="8544" spans="31:31">
      <c r="AE8544" s="54"/>
    </row>
    <row r="8545" spans="31:31">
      <c r="AE8545" s="54"/>
    </row>
    <row r="8546" spans="31:31">
      <c r="AE8546" s="54"/>
    </row>
    <row r="8547" spans="31:31">
      <c r="AE8547" s="54"/>
    </row>
    <row r="8548" spans="31:31">
      <c r="AE8548" s="54"/>
    </row>
    <row r="8549" spans="31:31">
      <c r="AE8549" s="54"/>
    </row>
    <row r="8550" spans="31:31">
      <c r="AE8550" s="54"/>
    </row>
    <row r="8551" spans="31:31">
      <c r="AE8551" s="54"/>
    </row>
    <row r="8552" spans="31:31">
      <c r="AE8552" s="54"/>
    </row>
    <row r="8553" spans="31:31">
      <c r="AE8553" s="54"/>
    </row>
    <row r="8554" spans="31:31">
      <c r="AE8554" s="54"/>
    </row>
    <row r="8555" spans="31:31">
      <c r="AE8555" s="54"/>
    </row>
    <row r="8556" spans="31:31">
      <c r="AE8556" s="54"/>
    </row>
    <row r="8557" spans="31:31">
      <c r="AE8557" s="54"/>
    </row>
    <row r="8558" spans="31:31">
      <c r="AE8558" s="54"/>
    </row>
    <row r="8559" spans="31:31">
      <c r="AE8559" s="54"/>
    </row>
    <row r="8560" spans="31:31">
      <c r="AE8560" s="54"/>
    </row>
    <row r="8561" spans="31:31">
      <c r="AE8561" s="54"/>
    </row>
    <row r="8562" spans="31:31">
      <c r="AE8562" s="54"/>
    </row>
    <row r="8563" spans="31:31">
      <c r="AE8563" s="54"/>
    </row>
    <row r="8564" spans="31:31">
      <c r="AE8564" s="54"/>
    </row>
    <row r="8565" spans="31:31">
      <c r="AE8565" s="54"/>
    </row>
    <row r="8566" spans="31:31">
      <c r="AE8566" s="54"/>
    </row>
    <row r="8567" spans="31:31">
      <c r="AE8567" s="54"/>
    </row>
    <row r="8568" spans="31:31">
      <c r="AE8568" s="54"/>
    </row>
    <row r="8569" spans="31:31">
      <c r="AE8569" s="54"/>
    </row>
    <row r="8570" spans="31:31">
      <c r="AE8570" s="54"/>
    </row>
    <row r="8571" spans="31:31">
      <c r="AE8571" s="54"/>
    </row>
    <row r="8572" spans="31:31">
      <c r="AE8572" s="54"/>
    </row>
    <row r="8573" spans="31:31">
      <c r="AE8573" s="54"/>
    </row>
    <row r="8574" spans="31:31">
      <c r="AE8574" s="54"/>
    </row>
    <row r="8575" spans="31:31">
      <c r="AE8575" s="54"/>
    </row>
    <row r="8576" spans="31:31">
      <c r="AE8576" s="54"/>
    </row>
    <row r="8577" spans="31:31">
      <c r="AE8577" s="54"/>
    </row>
    <row r="8578" spans="31:31">
      <c r="AE8578" s="54"/>
    </row>
    <row r="8579" spans="31:31">
      <c r="AE8579" s="54"/>
    </row>
    <row r="8580" spans="31:31">
      <c r="AE8580" s="54"/>
    </row>
    <row r="8581" spans="31:31">
      <c r="AE8581" s="54"/>
    </row>
    <row r="8582" spans="31:31">
      <c r="AE8582" s="54"/>
    </row>
    <row r="8583" spans="31:31">
      <c r="AE8583" s="54"/>
    </row>
    <row r="8584" spans="31:31">
      <c r="AE8584" s="54"/>
    </row>
    <row r="8585" spans="31:31">
      <c r="AE8585" s="54"/>
    </row>
    <row r="8586" spans="31:31">
      <c r="AE8586" s="54"/>
    </row>
    <row r="8587" spans="31:31">
      <c r="AE8587" s="54"/>
    </row>
    <row r="8588" spans="31:31">
      <c r="AE8588" s="54"/>
    </row>
    <row r="8589" spans="31:31">
      <c r="AE8589" s="54"/>
    </row>
    <row r="8590" spans="31:31">
      <c r="AE8590" s="54"/>
    </row>
    <row r="8591" spans="31:31">
      <c r="AE8591" s="54"/>
    </row>
    <row r="8592" spans="31:31">
      <c r="AE8592" s="54"/>
    </row>
    <row r="8593" spans="31:31">
      <c r="AE8593" s="54"/>
    </row>
    <row r="8594" spans="31:31">
      <c r="AE8594" s="54"/>
    </row>
    <row r="8595" spans="31:31">
      <c r="AE8595" s="54"/>
    </row>
    <row r="8596" spans="31:31">
      <c r="AE8596" s="54"/>
    </row>
    <row r="8597" spans="31:31">
      <c r="AE8597" s="54"/>
    </row>
    <row r="8598" spans="31:31">
      <c r="AE8598" s="54"/>
    </row>
    <row r="8599" spans="31:31">
      <c r="AE8599" s="54"/>
    </row>
    <row r="8600" spans="31:31">
      <c r="AE8600" s="54"/>
    </row>
    <row r="8601" spans="31:31">
      <c r="AE8601" s="54"/>
    </row>
    <row r="8602" spans="31:31">
      <c r="AE8602" s="54"/>
    </row>
    <row r="8603" spans="31:31">
      <c r="AE8603" s="54"/>
    </row>
    <row r="8604" spans="31:31">
      <c r="AE8604" s="54"/>
    </row>
    <row r="8605" spans="31:31">
      <c r="AE8605" s="54"/>
    </row>
    <row r="8606" spans="31:31">
      <c r="AE8606" s="54"/>
    </row>
    <row r="8607" spans="31:31">
      <c r="AE8607" s="54"/>
    </row>
    <row r="8608" spans="31:31">
      <c r="AE8608" s="54"/>
    </row>
    <row r="8609" spans="31:31">
      <c r="AE8609" s="54"/>
    </row>
    <row r="8610" spans="31:31">
      <c r="AE8610" s="54"/>
    </row>
    <row r="8611" spans="31:31">
      <c r="AE8611" s="54"/>
    </row>
    <row r="8612" spans="31:31">
      <c r="AE8612" s="54"/>
    </row>
    <row r="8613" spans="31:31">
      <c r="AE8613" s="54"/>
    </row>
    <row r="8614" spans="31:31">
      <c r="AE8614" s="54"/>
    </row>
    <row r="8615" spans="31:31">
      <c r="AE8615" s="54"/>
    </row>
    <row r="8616" spans="31:31">
      <c r="AE8616" s="54"/>
    </row>
    <row r="8617" spans="31:31">
      <c r="AE8617" s="54"/>
    </row>
    <row r="8618" spans="31:31">
      <c r="AE8618" s="54"/>
    </row>
    <row r="8619" spans="31:31">
      <c r="AE8619" s="54"/>
    </row>
    <row r="8620" spans="31:31">
      <c r="AE8620" s="54"/>
    </row>
    <row r="8621" spans="31:31">
      <c r="AE8621" s="54"/>
    </row>
    <row r="8622" spans="31:31">
      <c r="AE8622" s="54"/>
    </row>
    <row r="8623" spans="31:31">
      <c r="AE8623" s="54"/>
    </row>
    <row r="8624" spans="31:31">
      <c r="AE8624" s="54"/>
    </row>
    <row r="8625" spans="31:31">
      <c r="AE8625" s="54"/>
    </row>
    <row r="8626" spans="31:31">
      <c r="AE8626" s="54"/>
    </row>
    <row r="8627" spans="31:31">
      <c r="AE8627" s="54"/>
    </row>
    <row r="8628" spans="31:31">
      <c r="AE8628" s="54"/>
    </row>
    <row r="8629" spans="31:31">
      <c r="AE8629" s="54"/>
    </row>
    <row r="8630" spans="31:31">
      <c r="AE8630" s="54"/>
    </row>
    <row r="8631" spans="31:31">
      <c r="AE8631" s="54"/>
    </row>
    <row r="8632" spans="31:31">
      <c r="AE8632" s="54"/>
    </row>
    <row r="8633" spans="31:31">
      <c r="AE8633" s="54"/>
    </row>
    <row r="8634" spans="31:31">
      <c r="AE8634" s="54"/>
    </row>
    <row r="8635" spans="31:31">
      <c r="AE8635" s="54"/>
    </row>
    <row r="8636" spans="31:31">
      <c r="AE8636" s="54"/>
    </row>
    <row r="8637" spans="31:31">
      <c r="AE8637" s="54"/>
    </row>
    <row r="8638" spans="31:31">
      <c r="AE8638" s="54"/>
    </row>
    <row r="8639" spans="31:31">
      <c r="AE8639" s="54"/>
    </row>
    <row r="8640" spans="31:31">
      <c r="AE8640" s="54"/>
    </row>
    <row r="8641" spans="31:31">
      <c r="AE8641" s="54"/>
    </row>
    <row r="8642" spans="31:31">
      <c r="AE8642" s="54"/>
    </row>
    <row r="8643" spans="31:31">
      <c r="AE8643" s="54"/>
    </row>
    <row r="8644" spans="31:31">
      <c r="AE8644" s="54"/>
    </row>
    <row r="8645" spans="31:31">
      <c r="AE8645" s="54"/>
    </row>
    <row r="8646" spans="31:31">
      <c r="AE8646" s="54"/>
    </row>
    <row r="8647" spans="31:31">
      <c r="AE8647" s="54"/>
    </row>
    <row r="8648" spans="31:31">
      <c r="AE8648" s="54"/>
    </row>
    <row r="8649" spans="31:31">
      <c r="AE8649" s="54"/>
    </row>
    <row r="8650" spans="31:31">
      <c r="AE8650" s="54"/>
    </row>
    <row r="8651" spans="31:31">
      <c r="AE8651" s="54"/>
    </row>
    <row r="8652" spans="31:31">
      <c r="AE8652" s="54"/>
    </row>
    <row r="8653" spans="31:31">
      <c r="AE8653" s="54"/>
    </row>
    <row r="8654" spans="31:31">
      <c r="AE8654" s="54"/>
    </row>
    <row r="8655" spans="31:31">
      <c r="AE8655" s="54"/>
    </row>
    <row r="8656" spans="31:31">
      <c r="AE8656" s="54"/>
    </row>
    <row r="8657" spans="31:31">
      <c r="AE8657" s="54"/>
    </row>
    <row r="8658" spans="31:31">
      <c r="AE8658" s="54"/>
    </row>
    <row r="8659" spans="31:31">
      <c r="AE8659" s="54"/>
    </row>
    <row r="8660" spans="31:31">
      <c r="AE8660" s="54"/>
    </row>
    <row r="8661" spans="31:31">
      <c r="AE8661" s="54"/>
    </row>
    <row r="8662" spans="31:31">
      <c r="AE8662" s="54"/>
    </row>
    <row r="8663" spans="31:31">
      <c r="AE8663" s="54"/>
    </row>
    <row r="8664" spans="31:31">
      <c r="AE8664" s="54"/>
    </row>
    <row r="8665" spans="31:31">
      <c r="AE8665" s="54"/>
    </row>
    <row r="8666" spans="31:31">
      <c r="AE8666" s="54"/>
    </row>
    <row r="8667" spans="31:31">
      <c r="AE8667" s="54"/>
    </row>
    <row r="8668" spans="31:31">
      <c r="AE8668" s="54"/>
    </row>
    <row r="8669" spans="31:31">
      <c r="AE8669" s="54"/>
    </row>
    <row r="8670" spans="31:31">
      <c r="AE8670" s="54"/>
    </row>
    <row r="8671" spans="31:31">
      <c r="AE8671" s="54"/>
    </row>
    <row r="8672" spans="31:31">
      <c r="AE8672" s="54"/>
    </row>
    <row r="8673" spans="31:31">
      <c r="AE8673" s="54"/>
    </row>
    <row r="8674" spans="31:31">
      <c r="AE8674" s="54"/>
    </row>
    <row r="8675" spans="31:31">
      <c r="AE8675" s="54"/>
    </row>
    <row r="8676" spans="31:31">
      <c r="AE8676" s="54"/>
    </row>
    <row r="8677" spans="31:31">
      <c r="AE8677" s="54"/>
    </row>
    <row r="8678" spans="31:31">
      <c r="AE8678" s="54"/>
    </row>
    <row r="8679" spans="31:31">
      <c r="AE8679" s="54"/>
    </row>
    <row r="8680" spans="31:31">
      <c r="AE8680" s="54"/>
    </row>
    <row r="8681" spans="31:31">
      <c r="AE8681" s="54"/>
    </row>
    <row r="8682" spans="31:31">
      <c r="AE8682" s="54"/>
    </row>
    <row r="8683" spans="31:31">
      <c r="AE8683" s="54"/>
    </row>
    <row r="8684" spans="31:31">
      <c r="AE8684" s="54"/>
    </row>
    <row r="8685" spans="31:31">
      <c r="AE8685" s="54"/>
    </row>
    <row r="8686" spans="31:31">
      <c r="AE8686" s="54"/>
    </row>
    <row r="8687" spans="31:31">
      <c r="AE8687" s="54"/>
    </row>
    <row r="8688" spans="31:31">
      <c r="AE8688" s="54"/>
    </row>
    <row r="8689" spans="31:31">
      <c r="AE8689" s="54"/>
    </row>
    <row r="8690" spans="31:31">
      <c r="AE8690" s="54"/>
    </row>
    <row r="8691" spans="31:31">
      <c r="AE8691" s="54"/>
    </row>
    <row r="8692" spans="31:31">
      <c r="AE8692" s="54"/>
    </row>
    <row r="8693" spans="31:31">
      <c r="AE8693" s="54"/>
    </row>
    <row r="8694" spans="31:31">
      <c r="AE8694" s="54"/>
    </row>
    <row r="8695" spans="31:31">
      <c r="AE8695" s="54"/>
    </row>
    <row r="8696" spans="31:31">
      <c r="AE8696" s="54"/>
    </row>
    <row r="8697" spans="31:31">
      <c r="AE8697" s="54"/>
    </row>
    <row r="8698" spans="31:31">
      <c r="AE8698" s="54"/>
    </row>
    <row r="8699" spans="31:31">
      <c r="AE8699" s="54"/>
    </row>
    <row r="8700" spans="31:31">
      <c r="AE8700" s="54"/>
    </row>
    <row r="8701" spans="31:31">
      <c r="AE8701" s="54"/>
    </row>
    <row r="8702" spans="31:31">
      <c r="AE8702" s="54"/>
    </row>
    <row r="8703" spans="31:31">
      <c r="AE8703" s="54"/>
    </row>
    <row r="8704" spans="31:31">
      <c r="AE8704" s="54"/>
    </row>
    <row r="8705" spans="31:31">
      <c r="AE8705" s="54"/>
    </row>
    <row r="8706" spans="31:31">
      <c r="AE8706" s="54"/>
    </row>
    <row r="8707" spans="31:31">
      <c r="AE8707" s="54"/>
    </row>
    <row r="8708" spans="31:31">
      <c r="AE8708" s="54"/>
    </row>
    <row r="8709" spans="31:31">
      <c r="AE8709" s="54"/>
    </row>
    <row r="8710" spans="31:31">
      <c r="AE8710" s="54"/>
    </row>
    <row r="8711" spans="31:31">
      <c r="AE8711" s="54"/>
    </row>
    <row r="8712" spans="31:31">
      <c r="AE8712" s="54"/>
    </row>
    <row r="8713" spans="31:31">
      <c r="AE8713" s="54"/>
    </row>
    <row r="8714" spans="31:31">
      <c r="AE8714" s="54"/>
    </row>
    <row r="8715" spans="31:31">
      <c r="AE8715" s="54"/>
    </row>
    <row r="8716" spans="31:31">
      <c r="AE8716" s="54"/>
    </row>
    <row r="8717" spans="31:31">
      <c r="AE8717" s="54"/>
    </row>
    <row r="8718" spans="31:31">
      <c r="AE8718" s="54"/>
    </row>
    <row r="8719" spans="31:31">
      <c r="AE8719" s="54"/>
    </row>
    <row r="8720" spans="31:31">
      <c r="AE8720" s="54"/>
    </row>
    <row r="8721" spans="31:31">
      <c r="AE8721" s="54"/>
    </row>
    <row r="8722" spans="31:31">
      <c r="AE8722" s="54"/>
    </row>
    <row r="8723" spans="31:31">
      <c r="AE8723" s="54"/>
    </row>
    <row r="8724" spans="31:31">
      <c r="AE8724" s="54"/>
    </row>
    <row r="8725" spans="31:31">
      <c r="AE8725" s="54"/>
    </row>
    <row r="8726" spans="31:31">
      <c r="AE8726" s="54"/>
    </row>
    <row r="8727" spans="31:31">
      <c r="AE8727" s="54"/>
    </row>
    <row r="8728" spans="31:31">
      <c r="AE8728" s="54"/>
    </row>
    <row r="8729" spans="31:31">
      <c r="AE8729" s="54"/>
    </row>
    <row r="8730" spans="31:31">
      <c r="AE8730" s="54"/>
    </row>
    <row r="8731" spans="31:31">
      <c r="AE8731" s="54"/>
    </row>
    <row r="8732" spans="31:31">
      <c r="AE8732" s="54"/>
    </row>
    <row r="8733" spans="31:31">
      <c r="AE8733" s="54"/>
    </row>
    <row r="8734" spans="31:31">
      <c r="AE8734" s="54"/>
    </row>
    <row r="8735" spans="31:31">
      <c r="AE8735" s="54"/>
    </row>
    <row r="8736" spans="31:31">
      <c r="AE8736" s="54"/>
    </row>
    <row r="8737" spans="31:31">
      <c r="AE8737" s="54"/>
    </row>
    <row r="8738" spans="31:31">
      <c r="AE8738" s="54"/>
    </row>
    <row r="8739" spans="31:31">
      <c r="AE8739" s="54"/>
    </row>
    <row r="8740" spans="31:31">
      <c r="AE8740" s="54"/>
    </row>
    <row r="8741" spans="31:31">
      <c r="AE8741" s="54"/>
    </row>
    <row r="8742" spans="31:31">
      <c r="AE8742" s="54"/>
    </row>
    <row r="8743" spans="31:31">
      <c r="AE8743" s="54"/>
    </row>
    <row r="8744" spans="31:31">
      <c r="AE8744" s="54"/>
    </row>
    <row r="8745" spans="31:31">
      <c r="AE8745" s="54"/>
    </row>
    <row r="8746" spans="31:31">
      <c r="AE8746" s="54"/>
    </row>
    <row r="8747" spans="31:31">
      <c r="AE8747" s="54"/>
    </row>
    <row r="8748" spans="31:31">
      <c r="AE8748" s="54"/>
    </row>
    <row r="8749" spans="31:31">
      <c r="AE8749" s="54"/>
    </row>
    <row r="8750" spans="31:31">
      <c r="AE8750" s="54"/>
    </row>
    <row r="8751" spans="31:31">
      <c r="AE8751" s="54"/>
    </row>
    <row r="8752" spans="31:31">
      <c r="AE8752" s="54"/>
    </row>
    <row r="8753" spans="31:31">
      <c r="AE8753" s="54"/>
    </row>
    <row r="8754" spans="31:31">
      <c r="AE8754" s="54"/>
    </row>
    <row r="8755" spans="31:31">
      <c r="AE8755" s="54"/>
    </row>
    <row r="8756" spans="31:31">
      <c r="AE8756" s="54"/>
    </row>
    <row r="8757" spans="31:31">
      <c r="AE8757" s="54"/>
    </row>
    <row r="8758" spans="31:31">
      <c r="AE8758" s="54"/>
    </row>
    <row r="8759" spans="31:31">
      <c r="AE8759" s="54"/>
    </row>
    <row r="8760" spans="31:31">
      <c r="AE8760" s="54"/>
    </row>
    <row r="8761" spans="31:31">
      <c r="AE8761" s="54"/>
    </row>
    <row r="8762" spans="31:31">
      <c r="AE8762" s="54"/>
    </row>
    <row r="8763" spans="31:31">
      <c r="AE8763" s="54"/>
    </row>
    <row r="8764" spans="31:31">
      <c r="AE8764" s="54"/>
    </row>
    <row r="8765" spans="31:31">
      <c r="AE8765" s="54"/>
    </row>
    <row r="8766" spans="31:31">
      <c r="AE8766" s="54"/>
    </row>
    <row r="8767" spans="31:31">
      <c r="AE8767" s="54"/>
    </row>
    <row r="8768" spans="31:31">
      <c r="AE8768" s="54"/>
    </row>
    <row r="8769" spans="31:31">
      <c r="AE8769" s="54"/>
    </row>
    <row r="8770" spans="31:31">
      <c r="AE8770" s="54"/>
    </row>
    <row r="8771" spans="31:31">
      <c r="AE8771" s="54"/>
    </row>
    <row r="8772" spans="31:31">
      <c r="AE8772" s="54"/>
    </row>
    <row r="8773" spans="31:31">
      <c r="AE8773" s="54"/>
    </row>
    <row r="8774" spans="31:31">
      <c r="AE8774" s="54"/>
    </row>
    <row r="8775" spans="31:31">
      <c r="AE8775" s="54"/>
    </row>
    <row r="8776" spans="31:31">
      <c r="AE8776" s="54"/>
    </row>
    <row r="8777" spans="31:31">
      <c r="AE8777" s="54"/>
    </row>
    <row r="8778" spans="31:31">
      <c r="AE8778" s="54"/>
    </row>
    <row r="8779" spans="31:31">
      <c r="AE8779" s="54"/>
    </row>
    <row r="8780" spans="31:31">
      <c r="AE8780" s="54"/>
    </row>
    <row r="8781" spans="31:31">
      <c r="AE8781" s="54"/>
    </row>
    <row r="8782" spans="31:31">
      <c r="AE8782" s="54"/>
    </row>
    <row r="8783" spans="31:31">
      <c r="AE8783" s="54"/>
    </row>
    <row r="8784" spans="31:31">
      <c r="AE8784" s="54"/>
    </row>
    <row r="8785" spans="31:31">
      <c r="AE8785" s="54"/>
    </row>
    <row r="8786" spans="31:31">
      <c r="AE8786" s="54"/>
    </row>
    <row r="8787" spans="31:31">
      <c r="AE8787" s="54"/>
    </row>
    <row r="8788" spans="31:31">
      <c r="AE8788" s="54"/>
    </row>
    <row r="8789" spans="31:31">
      <c r="AE8789" s="54"/>
    </row>
    <row r="8790" spans="31:31">
      <c r="AE8790" s="54"/>
    </row>
    <row r="8791" spans="31:31">
      <c r="AE8791" s="54"/>
    </row>
    <row r="8792" spans="31:31">
      <c r="AE8792" s="54"/>
    </row>
    <row r="8793" spans="31:31">
      <c r="AE8793" s="54"/>
    </row>
    <row r="8794" spans="31:31">
      <c r="AE8794" s="54"/>
    </row>
    <row r="8795" spans="31:31">
      <c r="AE8795" s="54"/>
    </row>
    <row r="8796" spans="31:31">
      <c r="AE8796" s="54"/>
    </row>
    <row r="8797" spans="31:31">
      <c r="AE8797" s="54"/>
    </row>
    <row r="8798" spans="31:31">
      <c r="AE8798" s="54"/>
    </row>
    <row r="8799" spans="31:31">
      <c r="AE8799" s="54"/>
    </row>
    <row r="8800" spans="31:31">
      <c r="AE8800" s="54"/>
    </row>
    <row r="8801" spans="31:31">
      <c r="AE8801" s="54"/>
    </row>
    <row r="8802" spans="31:31">
      <c r="AE8802" s="54"/>
    </row>
    <row r="8803" spans="31:31">
      <c r="AE8803" s="54"/>
    </row>
    <row r="8804" spans="31:31">
      <c r="AE8804" s="54"/>
    </row>
    <row r="8805" spans="31:31">
      <c r="AE8805" s="54"/>
    </row>
    <row r="8806" spans="31:31">
      <c r="AE8806" s="54"/>
    </row>
    <row r="8807" spans="31:31">
      <c r="AE8807" s="54"/>
    </row>
    <row r="8808" spans="31:31">
      <c r="AE8808" s="54"/>
    </row>
    <row r="8809" spans="31:31">
      <c r="AE8809" s="54"/>
    </row>
    <row r="8810" spans="31:31">
      <c r="AE8810" s="54"/>
    </row>
    <row r="8811" spans="31:31">
      <c r="AE8811" s="54"/>
    </row>
    <row r="8812" spans="31:31">
      <c r="AE8812" s="54"/>
    </row>
    <row r="8813" spans="31:31">
      <c r="AE8813" s="54"/>
    </row>
    <row r="8814" spans="31:31">
      <c r="AE8814" s="54"/>
    </row>
    <row r="8815" spans="31:31">
      <c r="AE8815" s="54"/>
    </row>
    <row r="8816" spans="31:31">
      <c r="AE8816" s="54"/>
    </row>
    <row r="8817" spans="31:31">
      <c r="AE8817" s="54"/>
    </row>
    <row r="8818" spans="31:31">
      <c r="AE8818" s="54"/>
    </row>
    <row r="8819" spans="31:31">
      <c r="AE8819" s="54"/>
    </row>
    <row r="8820" spans="31:31">
      <c r="AE8820" s="54"/>
    </row>
    <row r="8821" spans="31:31">
      <c r="AE8821" s="54"/>
    </row>
    <row r="8822" spans="31:31">
      <c r="AE8822" s="54"/>
    </row>
    <row r="8823" spans="31:31">
      <c r="AE8823" s="54"/>
    </row>
    <row r="8824" spans="31:31">
      <c r="AE8824" s="54"/>
    </row>
    <row r="8825" spans="31:31">
      <c r="AE8825" s="54"/>
    </row>
    <row r="8826" spans="31:31">
      <c r="AE8826" s="54"/>
    </row>
    <row r="8827" spans="31:31">
      <c r="AE8827" s="54"/>
    </row>
    <row r="8828" spans="31:31">
      <c r="AE8828" s="54"/>
    </row>
    <row r="8829" spans="31:31">
      <c r="AE8829" s="54"/>
    </row>
    <row r="8830" spans="31:31">
      <c r="AE8830" s="54"/>
    </row>
    <row r="8831" spans="31:31">
      <c r="AE8831" s="54"/>
    </row>
    <row r="8832" spans="31:31">
      <c r="AE8832" s="54"/>
    </row>
    <row r="8833" spans="31:31">
      <c r="AE8833" s="54"/>
    </row>
    <row r="8834" spans="31:31">
      <c r="AE8834" s="54"/>
    </row>
    <row r="8835" spans="31:31">
      <c r="AE8835" s="54"/>
    </row>
    <row r="8836" spans="31:31">
      <c r="AE8836" s="54"/>
    </row>
    <row r="8837" spans="31:31">
      <c r="AE8837" s="54"/>
    </row>
    <row r="8838" spans="31:31">
      <c r="AE8838" s="54"/>
    </row>
    <row r="8839" spans="31:31">
      <c r="AE8839" s="54"/>
    </row>
    <row r="8840" spans="31:31">
      <c r="AE8840" s="54"/>
    </row>
    <row r="8841" spans="31:31">
      <c r="AE8841" s="54"/>
    </row>
    <row r="8842" spans="31:31">
      <c r="AE8842" s="54"/>
    </row>
    <row r="8843" spans="31:31">
      <c r="AE8843" s="54"/>
    </row>
    <row r="8844" spans="31:31">
      <c r="AE8844" s="54"/>
    </row>
    <row r="8845" spans="31:31">
      <c r="AE8845" s="54"/>
    </row>
    <row r="8846" spans="31:31">
      <c r="AE8846" s="54"/>
    </row>
    <row r="8847" spans="31:31">
      <c r="AE8847" s="54"/>
    </row>
    <row r="8848" spans="31:31">
      <c r="AE8848" s="54"/>
    </row>
    <row r="8849" spans="31:31">
      <c r="AE8849" s="54"/>
    </row>
    <row r="8850" spans="31:31">
      <c r="AE8850" s="54"/>
    </row>
    <row r="8851" spans="31:31">
      <c r="AE8851" s="54"/>
    </row>
    <row r="8852" spans="31:31">
      <c r="AE8852" s="54"/>
    </row>
    <row r="8853" spans="31:31">
      <c r="AE8853" s="54"/>
    </row>
    <row r="8854" spans="31:31">
      <c r="AE8854" s="54"/>
    </row>
    <row r="8855" spans="31:31">
      <c r="AE8855" s="54"/>
    </row>
    <row r="8856" spans="31:31">
      <c r="AE8856" s="54"/>
    </row>
    <row r="8857" spans="31:31">
      <c r="AE8857" s="54"/>
    </row>
    <row r="8858" spans="31:31">
      <c r="AE8858" s="54"/>
    </row>
    <row r="8859" spans="31:31">
      <c r="AE8859" s="54"/>
    </row>
    <row r="8860" spans="31:31">
      <c r="AE8860" s="54"/>
    </row>
    <row r="8861" spans="31:31">
      <c r="AE8861" s="54"/>
    </row>
    <row r="8862" spans="31:31">
      <c r="AE8862" s="54"/>
    </row>
    <row r="8863" spans="31:31">
      <c r="AE8863" s="54"/>
    </row>
    <row r="8864" spans="31:31">
      <c r="AE8864" s="54"/>
    </row>
    <row r="8865" spans="31:31">
      <c r="AE8865" s="54"/>
    </row>
    <row r="8866" spans="31:31">
      <c r="AE8866" s="54"/>
    </row>
    <row r="8867" spans="31:31">
      <c r="AE8867" s="54"/>
    </row>
    <row r="8868" spans="31:31">
      <c r="AE8868" s="54"/>
    </row>
    <row r="8869" spans="31:31">
      <c r="AE8869" s="54"/>
    </row>
    <row r="8870" spans="31:31">
      <c r="AE8870" s="54"/>
    </row>
    <row r="8871" spans="31:31">
      <c r="AE8871" s="54"/>
    </row>
    <row r="8872" spans="31:31">
      <c r="AE8872" s="54"/>
    </row>
    <row r="8873" spans="31:31">
      <c r="AE8873" s="54"/>
    </row>
    <row r="8874" spans="31:31">
      <c r="AE8874" s="54"/>
    </row>
    <row r="8875" spans="31:31">
      <c r="AE8875" s="54"/>
    </row>
    <row r="8876" spans="31:31">
      <c r="AE8876" s="54"/>
    </row>
    <row r="8877" spans="31:31">
      <c r="AE8877" s="54"/>
    </row>
    <row r="8878" spans="31:31">
      <c r="AE8878" s="54"/>
    </row>
    <row r="8879" spans="31:31">
      <c r="AE8879" s="54"/>
    </row>
    <row r="8880" spans="31:31">
      <c r="AE8880" s="54"/>
    </row>
    <row r="8881" spans="31:31">
      <c r="AE8881" s="54"/>
    </row>
    <row r="8882" spans="31:31">
      <c r="AE8882" s="54"/>
    </row>
    <row r="8883" spans="31:31">
      <c r="AE8883" s="54"/>
    </row>
    <row r="8884" spans="31:31">
      <c r="AE8884" s="54"/>
    </row>
    <row r="8885" spans="31:31">
      <c r="AE8885" s="54"/>
    </row>
    <row r="8886" spans="31:31">
      <c r="AE8886" s="54"/>
    </row>
    <row r="8887" spans="31:31">
      <c r="AE8887" s="54"/>
    </row>
    <row r="8888" spans="31:31">
      <c r="AE8888" s="54"/>
    </row>
    <row r="8889" spans="31:31">
      <c r="AE8889" s="54"/>
    </row>
    <row r="8890" spans="31:31">
      <c r="AE8890" s="54"/>
    </row>
    <row r="8891" spans="31:31">
      <c r="AE8891" s="54"/>
    </row>
    <row r="8892" spans="31:31">
      <c r="AE8892" s="54"/>
    </row>
    <row r="8893" spans="31:31">
      <c r="AE8893" s="54"/>
    </row>
    <row r="8894" spans="31:31">
      <c r="AE8894" s="54"/>
    </row>
    <row r="8895" spans="31:31">
      <c r="AE8895" s="54"/>
    </row>
    <row r="8896" spans="31:31">
      <c r="AE8896" s="54"/>
    </row>
    <row r="8897" spans="31:31">
      <c r="AE8897" s="54"/>
    </row>
    <row r="8898" spans="31:31">
      <c r="AE8898" s="54"/>
    </row>
    <row r="8899" spans="31:31">
      <c r="AE8899" s="54"/>
    </row>
    <row r="8900" spans="31:31">
      <c r="AE8900" s="54"/>
    </row>
    <row r="8901" spans="31:31">
      <c r="AE8901" s="54"/>
    </row>
    <row r="8902" spans="31:31">
      <c r="AE8902" s="54"/>
    </row>
    <row r="8903" spans="31:31">
      <c r="AE8903" s="54"/>
    </row>
    <row r="8904" spans="31:31">
      <c r="AE8904" s="54"/>
    </row>
    <row r="8905" spans="31:31">
      <c r="AE8905" s="54"/>
    </row>
    <row r="8906" spans="31:31">
      <c r="AE8906" s="54"/>
    </row>
    <row r="8907" spans="31:31">
      <c r="AE8907" s="54"/>
    </row>
    <row r="8908" spans="31:31">
      <c r="AE8908" s="54"/>
    </row>
    <row r="8909" spans="31:31">
      <c r="AE8909" s="54"/>
    </row>
    <row r="8910" spans="31:31">
      <c r="AE8910" s="54"/>
    </row>
    <row r="8911" spans="31:31">
      <c r="AE8911" s="54"/>
    </row>
    <row r="8912" spans="31:31">
      <c r="AE8912" s="54"/>
    </row>
    <row r="8913" spans="31:31">
      <c r="AE8913" s="54"/>
    </row>
    <row r="8914" spans="31:31">
      <c r="AE8914" s="54"/>
    </row>
    <row r="8915" spans="31:31">
      <c r="AE8915" s="54"/>
    </row>
    <row r="8916" spans="31:31">
      <c r="AE8916" s="54"/>
    </row>
    <row r="8917" spans="31:31">
      <c r="AE8917" s="54"/>
    </row>
    <row r="8918" spans="31:31">
      <c r="AE8918" s="54"/>
    </row>
    <row r="8919" spans="31:31">
      <c r="AE8919" s="54"/>
    </row>
    <row r="8920" spans="31:31">
      <c r="AE8920" s="54"/>
    </row>
    <row r="8921" spans="31:31">
      <c r="AE8921" s="54"/>
    </row>
    <row r="8922" spans="31:31">
      <c r="AE8922" s="54"/>
    </row>
    <row r="8923" spans="31:31">
      <c r="AE8923" s="54"/>
    </row>
    <row r="8924" spans="31:31">
      <c r="AE8924" s="54"/>
    </row>
    <row r="8925" spans="31:31">
      <c r="AE8925" s="54"/>
    </row>
    <row r="8926" spans="31:31">
      <c r="AE8926" s="54"/>
    </row>
    <row r="8927" spans="31:31">
      <c r="AE8927" s="54"/>
    </row>
    <row r="8928" spans="31:31">
      <c r="AE8928" s="54"/>
    </row>
    <row r="8929" spans="31:31">
      <c r="AE8929" s="54"/>
    </row>
    <row r="8930" spans="31:31">
      <c r="AE8930" s="54"/>
    </row>
    <row r="8931" spans="31:31">
      <c r="AE8931" s="54"/>
    </row>
    <row r="8932" spans="31:31">
      <c r="AE8932" s="54"/>
    </row>
    <row r="8933" spans="31:31">
      <c r="AE8933" s="54"/>
    </row>
    <row r="8934" spans="31:31">
      <c r="AE8934" s="54"/>
    </row>
    <row r="8935" spans="31:31">
      <c r="AE8935" s="54"/>
    </row>
    <row r="8936" spans="31:31">
      <c r="AE8936" s="54"/>
    </row>
    <row r="8937" spans="31:31">
      <c r="AE8937" s="54"/>
    </row>
    <row r="8938" spans="31:31">
      <c r="AE8938" s="54"/>
    </row>
    <row r="8939" spans="31:31">
      <c r="AE8939" s="54"/>
    </row>
    <row r="8940" spans="31:31">
      <c r="AE8940" s="54"/>
    </row>
    <row r="8941" spans="31:31">
      <c r="AE8941" s="54"/>
    </row>
    <row r="8942" spans="31:31">
      <c r="AE8942" s="54"/>
    </row>
    <row r="8943" spans="31:31">
      <c r="AE8943" s="54"/>
    </row>
    <row r="8944" spans="31:31">
      <c r="AE8944" s="54"/>
    </row>
    <row r="8945" spans="31:31">
      <c r="AE8945" s="54"/>
    </row>
    <row r="8946" spans="31:31">
      <c r="AE8946" s="54"/>
    </row>
    <row r="8947" spans="31:31">
      <c r="AE8947" s="54"/>
    </row>
    <row r="8948" spans="31:31">
      <c r="AE8948" s="54"/>
    </row>
    <row r="8949" spans="31:31">
      <c r="AE8949" s="54"/>
    </row>
    <row r="8950" spans="31:31">
      <c r="AE8950" s="54"/>
    </row>
    <row r="8951" spans="31:31">
      <c r="AE8951" s="54"/>
    </row>
    <row r="8952" spans="31:31">
      <c r="AE8952" s="54"/>
    </row>
    <row r="8953" spans="31:31">
      <c r="AE8953" s="54"/>
    </row>
    <row r="8954" spans="31:31">
      <c r="AE8954" s="54"/>
    </row>
    <row r="8955" spans="31:31">
      <c r="AE8955" s="54"/>
    </row>
    <row r="8956" spans="31:31">
      <c r="AE8956" s="54"/>
    </row>
    <row r="8957" spans="31:31">
      <c r="AE8957" s="54"/>
    </row>
    <row r="8958" spans="31:31">
      <c r="AE8958" s="54"/>
    </row>
    <row r="8959" spans="31:31">
      <c r="AE8959" s="54"/>
    </row>
    <row r="8960" spans="31:31">
      <c r="AE8960" s="54"/>
    </row>
    <row r="8961" spans="31:31">
      <c r="AE8961" s="54"/>
    </row>
    <row r="8962" spans="31:31">
      <c r="AE8962" s="54"/>
    </row>
    <row r="8963" spans="31:31">
      <c r="AE8963" s="54"/>
    </row>
    <row r="8964" spans="31:31">
      <c r="AE8964" s="54"/>
    </row>
    <row r="8965" spans="31:31">
      <c r="AE8965" s="54"/>
    </row>
    <row r="8966" spans="31:31">
      <c r="AE8966" s="54"/>
    </row>
    <row r="8967" spans="31:31">
      <c r="AE8967" s="54"/>
    </row>
    <row r="8968" spans="31:31">
      <c r="AE8968" s="54"/>
    </row>
    <row r="8969" spans="31:31">
      <c r="AE8969" s="54"/>
    </row>
    <row r="8970" spans="31:31">
      <c r="AE8970" s="54"/>
    </row>
    <row r="8971" spans="31:31">
      <c r="AE8971" s="54"/>
    </row>
    <row r="8972" spans="31:31">
      <c r="AE8972" s="54"/>
    </row>
    <row r="8973" spans="31:31">
      <c r="AE8973" s="54"/>
    </row>
    <row r="8974" spans="31:31">
      <c r="AE8974" s="54"/>
    </row>
    <row r="8975" spans="31:31">
      <c r="AE8975" s="54"/>
    </row>
    <row r="8976" spans="31:31">
      <c r="AE8976" s="54"/>
    </row>
    <row r="8977" spans="31:31">
      <c r="AE8977" s="54"/>
    </row>
    <row r="8978" spans="31:31">
      <c r="AE8978" s="54"/>
    </row>
    <row r="8979" spans="31:31">
      <c r="AE8979" s="54"/>
    </row>
    <row r="8980" spans="31:31">
      <c r="AE8980" s="54"/>
    </row>
    <row r="8981" spans="31:31">
      <c r="AE8981" s="54"/>
    </row>
    <row r="8982" spans="31:31">
      <c r="AE8982" s="54"/>
    </row>
    <row r="8983" spans="31:31">
      <c r="AE8983" s="54"/>
    </row>
    <row r="8984" spans="31:31">
      <c r="AE8984" s="54"/>
    </row>
    <row r="8985" spans="31:31">
      <c r="AE8985" s="54"/>
    </row>
    <row r="8986" spans="31:31">
      <c r="AE8986" s="54"/>
    </row>
    <row r="8987" spans="31:31">
      <c r="AE8987" s="54"/>
    </row>
    <row r="8988" spans="31:31">
      <c r="AE8988" s="54"/>
    </row>
    <row r="8989" spans="31:31">
      <c r="AE8989" s="54"/>
    </row>
    <row r="8990" spans="31:31">
      <c r="AE8990" s="54"/>
    </row>
    <row r="8991" spans="31:31">
      <c r="AE8991" s="54"/>
    </row>
    <row r="8992" spans="31:31">
      <c r="AE8992" s="54"/>
    </row>
    <row r="8993" spans="31:31">
      <c r="AE8993" s="54"/>
    </row>
    <row r="8994" spans="31:31">
      <c r="AE8994" s="54"/>
    </row>
    <row r="8995" spans="31:31">
      <c r="AE8995" s="54"/>
    </row>
    <row r="8996" spans="31:31">
      <c r="AE8996" s="54"/>
    </row>
    <row r="8997" spans="31:31">
      <c r="AE8997" s="54"/>
    </row>
    <row r="8998" spans="31:31">
      <c r="AE8998" s="54"/>
    </row>
    <row r="8999" spans="31:31">
      <c r="AE8999" s="54"/>
    </row>
    <row r="9000" spans="31:31">
      <c r="AE9000" s="54"/>
    </row>
    <row r="9001" spans="31:31">
      <c r="AE9001" s="54"/>
    </row>
    <row r="9002" spans="31:31">
      <c r="AE9002" s="54"/>
    </row>
    <row r="9003" spans="31:31">
      <c r="AE9003" s="54"/>
    </row>
    <row r="9004" spans="31:31">
      <c r="AE9004" s="54"/>
    </row>
    <row r="9005" spans="31:31">
      <c r="AE9005" s="54"/>
    </row>
    <row r="9006" spans="31:31">
      <c r="AE9006" s="54"/>
    </row>
    <row r="9007" spans="31:31">
      <c r="AE9007" s="54"/>
    </row>
    <row r="9008" spans="31:31">
      <c r="AE9008" s="54"/>
    </row>
    <row r="9009" spans="31:31">
      <c r="AE9009" s="54"/>
    </row>
    <row r="9010" spans="31:31">
      <c r="AE9010" s="54"/>
    </row>
    <row r="9011" spans="31:31">
      <c r="AE9011" s="54"/>
    </row>
    <row r="9012" spans="31:31">
      <c r="AE9012" s="54"/>
    </row>
    <row r="9013" spans="31:31">
      <c r="AE9013" s="54"/>
    </row>
    <row r="9014" spans="31:31">
      <c r="AE9014" s="54"/>
    </row>
    <row r="9015" spans="31:31">
      <c r="AE9015" s="54"/>
    </row>
    <row r="9016" spans="31:31">
      <c r="AE9016" s="54"/>
    </row>
    <row r="9017" spans="31:31">
      <c r="AE9017" s="54"/>
    </row>
    <row r="9018" spans="31:31">
      <c r="AE9018" s="54"/>
    </row>
    <row r="9019" spans="31:31">
      <c r="AE9019" s="54"/>
    </row>
    <row r="9020" spans="31:31">
      <c r="AE9020" s="54"/>
    </row>
    <row r="9021" spans="31:31">
      <c r="AE9021" s="54"/>
    </row>
    <row r="9022" spans="31:31">
      <c r="AE9022" s="54"/>
    </row>
    <row r="9023" spans="31:31">
      <c r="AE9023" s="54"/>
    </row>
    <row r="9024" spans="31:31">
      <c r="AE9024" s="54"/>
    </row>
    <row r="9025" spans="31:31">
      <c r="AE9025" s="54"/>
    </row>
    <row r="9026" spans="31:31">
      <c r="AE9026" s="54"/>
    </row>
    <row r="9027" spans="31:31">
      <c r="AE9027" s="54"/>
    </row>
    <row r="9028" spans="31:31">
      <c r="AE9028" s="54"/>
    </row>
    <row r="9029" spans="31:31">
      <c r="AE9029" s="54"/>
    </row>
    <row r="9030" spans="31:31">
      <c r="AE9030" s="54"/>
    </row>
    <row r="9031" spans="31:31">
      <c r="AE9031" s="54"/>
    </row>
    <row r="9032" spans="31:31">
      <c r="AE9032" s="54"/>
    </row>
    <row r="9033" spans="31:31">
      <c r="AE9033" s="54"/>
    </row>
    <row r="9034" spans="31:31">
      <c r="AE9034" s="54"/>
    </row>
    <row r="9035" spans="31:31">
      <c r="AE9035" s="54"/>
    </row>
    <row r="9036" spans="31:31">
      <c r="AE9036" s="54"/>
    </row>
    <row r="9037" spans="31:31">
      <c r="AE9037" s="54"/>
    </row>
    <row r="9038" spans="31:31">
      <c r="AE9038" s="54"/>
    </row>
    <row r="9039" spans="31:31">
      <c r="AE9039" s="54"/>
    </row>
    <row r="9040" spans="31:31">
      <c r="AE9040" s="54"/>
    </row>
    <row r="9041" spans="31:31">
      <c r="AE9041" s="54"/>
    </row>
    <row r="9042" spans="31:31">
      <c r="AE9042" s="54"/>
    </row>
    <row r="9043" spans="31:31">
      <c r="AE9043" s="54"/>
    </row>
    <row r="9044" spans="31:31">
      <c r="AE9044" s="54"/>
    </row>
    <row r="9045" spans="31:31">
      <c r="AE9045" s="54"/>
    </row>
    <row r="9046" spans="31:31">
      <c r="AE9046" s="54"/>
    </row>
    <row r="9047" spans="31:31">
      <c r="AE9047" s="54"/>
    </row>
    <row r="9048" spans="31:31">
      <c r="AE9048" s="54"/>
    </row>
    <row r="9049" spans="31:31">
      <c r="AE9049" s="54"/>
    </row>
    <row r="9050" spans="31:31">
      <c r="AE9050" s="54"/>
    </row>
    <row r="9051" spans="31:31">
      <c r="AE9051" s="54"/>
    </row>
    <row r="9052" spans="31:31">
      <c r="AE9052" s="54"/>
    </row>
    <row r="9053" spans="31:31">
      <c r="AE9053" s="54"/>
    </row>
    <row r="9054" spans="31:31">
      <c r="AE9054" s="54"/>
    </row>
    <row r="9055" spans="31:31">
      <c r="AE9055" s="54"/>
    </row>
    <row r="9056" spans="31:31">
      <c r="AE9056" s="54"/>
    </row>
    <row r="9057" spans="31:31">
      <c r="AE9057" s="54"/>
    </row>
    <row r="9058" spans="31:31">
      <c r="AE9058" s="54"/>
    </row>
    <row r="9059" spans="31:31">
      <c r="AE9059" s="54"/>
    </row>
    <row r="9060" spans="31:31">
      <c r="AE9060" s="54"/>
    </row>
    <row r="9061" spans="31:31">
      <c r="AE9061" s="54"/>
    </row>
    <row r="9062" spans="31:31">
      <c r="AE9062" s="54"/>
    </row>
    <row r="9063" spans="31:31">
      <c r="AE9063" s="54"/>
    </row>
    <row r="9064" spans="31:31">
      <c r="AE9064" s="54"/>
    </row>
    <row r="9065" spans="31:31">
      <c r="AE9065" s="54"/>
    </row>
    <row r="9066" spans="31:31">
      <c r="AE9066" s="54"/>
    </row>
    <row r="9067" spans="31:31">
      <c r="AE9067" s="54"/>
    </row>
    <row r="9068" spans="31:31">
      <c r="AE9068" s="54"/>
    </row>
    <row r="9069" spans="31:31">
      <c r="AE9069" s="54"/>
    </row>
    <row r="9070" spans="31:31">
      <c r="AE9070" s="54"/>
    </row>
    <row r="9071" spans="31:31">
      <c r="AE9071" s="54"/>
    </row>
    <row r="9072" spans="31:31">
      <c r="AE9072" s="54"/>
    </row>
    <row r="9073" spans="31:31">
      <c r="AE9073" s="54"/>
    </row>
    <row r="9074" spans="31:31">
      <c r="AE9074" s="54"/>
    </row>
    <row r="9075" spans="31:31">
      <c r="AE9075" s="54"/>
    </row>
    <row r="9076" spans="31:31">
      <c r="AE9076" s="54"/>
    </row>
    <row r="9077" spans="31:31">
      <c r="AE9077" s="54"/>
    </row>
    <row r="9078" spans="31:31">
      <c r="AE9078" s="54"/>
    </row>
    <row r="9079" spans="31:31">
      <c r="AE9079" s="54"/>
    </row>
    <row r="9080" spans="31:31">
      <c r="AE9080" s="54"/>
    </row>
    <row r="9081" spans="31:31">
      <c r="AE9081" s="54"/>
    </row>
    <row r="9082" spans="31:31">
      <c r="AE9082" s="54"/>
    </row>
    <row r="9083" spans="31:31">
      <c r="AE9083" s="54"/>
    </row>
    <row r="9084" spans="31:31">
      <c r="AE9084" s="54"/>
    </row>
    <row r="9085" spans="31:31">
      <c r="AE9085" s="54"/>
    </row>
    <row r="9086" spans="31:31">
      <c r="AE9086" s="54"/>
    </row>
    <row r="9087" spans="31:31">
      <c r="AE9087" s="54"/>
    </row>
    <row r="9088" spans="31:31">
      <c r="AE9088" s="54"/>
    </row>
    <row r="9089" spans="31:31">
      <c r="AE9089" s="54"/>
    </row>
    <row r="9090" spans="31:31">
      <c r="AE9090" s="54"/>
    </row>
    <row r="9091" spans="31:31">
      <c r="AE9091" s="54"/>
    </row>
    <row r="9092" spans="31:31">
      <c r="AE9092" s="54"/>
    </row>
    <row r="9093" spans="31:31">
      <c r="AE9093" s="54"/>
    </row>
    <row r="9094" spans="31:31">
      <c r="AE9094" s="54"/>
    </row>
    <row r="9095" spans="31:31">
      <c r="AE9095" s="54"/>
    </row>
    <row r="9096" spans="31:31">
      <c r="AE9096" s="54"/>
    </row>
    <row r="9097" spans="31:31">
      <c r="AE9097" s="54"/>
    </row>
    <row r="9098" spans="31:31">
      <c r="AE9098" s="54"/>
    </row>
    <row r="9099" spans="31:31">
      <c r="AE9099" s="54"/>
    </row>
    <row r="9100" spans="31:31">
      <c r="AE9100" s="54"/>
    </row>
    <row r="9101" spans="31:31">
      <c r="AE9101" s="54"/>
    </row>
    <row r="9102" spans="31:31">
      <c r="AE9102" s="54"/>
    </row>
    <row r="9103" spans="31:31">
      <c r="AE9103" s="54"/>
    </row>
    <row r="9104" spans="31:31">
      <c r="AE9104" s="54"/>
    </row>
    <row r="9105" spans="31:31">
      <c r="AE9105" s="54"/>
    </row>
    <row r="9106" spans="31:31">
      <c r="AE9106" s="54"/>
    </row>
    <row r="9107" spans="31:31">
      <c r="AE9107" s="54"/>
    </row>
    <row r="9108" spans="31:31">
      <c r="AE9108" s="54"/>
    </row>
    <row r="9109" spans="31:31">
      <c r="AE9109" s="54"/>
    </row>
    <row r="9110" spans="31:31">
      <c r="AE9110" s="54"/>
    </row>
    <row r="9111" spans="31:31">
      <c r="AE9111" s="54"/>
    </row>
    <row r="9112" spans="31:31">
      <c r="AE9112" s="54"/>
    </row>
    <row r="9113" spans="31:31">
      <c r="AE9113" s="54"/>
    </row>
    <row r="9114" spans="31:31">
      <c r="AE9114" s="54"/>
    </row>
    <row r="9115" spans="31:31">
      <c r="AE9115" s="54"/>
    </row>
    <row r="9116" spans="31:31">
      <c r="AE9116" s="54"/>
    </row>
    <row r="9117" spans="31:31">
      <c r="AE9117" s="54"/>
    </row>
    <row r="9118" spans="31:31">
      <c r="AE9118" s="54"/>
    </row>
    <row r="9119" spans="31:31">
      <c r="AE9119" s="54"/>
    </row>
    <row r="9120" spans="31:31">
      <c r="AE9120" s="54"/>
    </row>
    <row r="9121" spans="31:31">
      <c r="AE9121" s="54"/>
    </row>
    <row r="9122" spans="31:31">
      <c r="AE9122" s="54"/>
    </row>
    <row r="9123" spans="31:31">
      <c r="AE9123" s="54"/>
    </row>
    <row r="9124" spans="31:31">
      <c r="AE9124" s="54"/>
    </row>
    <row r="9125" spans="31:31">
      <c r="AE9125" s="54"/>
    </row>
    <row r="9126" spans="31:31">
      <c r="AE9126" s="54"/>
    </row>
    <row r="9127" spans="31:31">
      <c r="AE9127" s="54"/>
    </row>
    <row r="9128" spans="31:31">
      <c r="AE9128" s="54"/>
    </row>
    <row r="9129" spans="31:31">
      <c r="AE9129" s="54"/>
    </row>
    <row r="9130" spans="31:31">
      <c r="AE9130" s="54"/>
    </row>
    <row r="9131" spans="31:31">
      <c r="AE9131" s="54"/>
    </row>
    <row r="9132" spans="31:31">
      <c r="AE9132" s="54"/>
    </row>
    <row r="9133" spans="31:31">
      <c r="AE9133" s="54"/>
    </row>
    <row r="9134" spans="31:31">
      <c r="AE9134" s="54"/>
    </row>
    <row r="9135" spans="31:31">
      <c r="AE9135" s="54"/>
    </row>
    <row r="9136" spans="31:31">
      <c r="AE9136" s="54"/>
    </row>
    <row r="9137" spans="31:31">
      <c r="AE9137" s="54"/>
    </row>
    <row r="9138" spans="31:31">
      <c r="AE9138" s="54"/>
    </row>
    <row r="9139" spans="31:31">
      <c r="AE9139" s="54"/>
    </row>
    <row r="9140" spans="31:31">
      <c r="AE9140" s="54"/>
    </row>
    <row r="9141" spans="31:31">
      <c r="AE9141" s="54"/>
    </row>
    <row r="9142" spans="31:31">
      <c r="AE9142" s="54"/>
    </row>
    <row r="9143" spans="31:31">
      <c r="AE9143" s="54"/>
    </row>
    <row r="9144" spans="31:31">
      <c r="AE9144" s="54"/>
    </row>
    <row r="9145" spans="31:31">
      <c r="AE9145" s="54"/>
    </row>
    <row r="9146" spans="31:31">
      <c r="AE9146" s="54"/>
    </row>
    <row r="9147" spans="31:31">
      <c r="AE9147" s="54"/>
    </row>
    <row r="9148" spans="31:31">
      <c r="AE9148" s="54"/>
    </row>
    <row r="9149" spans="31:31">
      <c r="AE9149" s="54"/>
    </row>
    <row r="9150" spans="31:31">
      <c r="AE9150" s="54"/>
    </row>
    <row r="9151" spans="31:31">
      <c r="AE9151" s="54"/>
    </row>
    <row r="9152" spans="31:31">
      <c r="AE9152" s="54"/>
    </row>
    <row r="9153" spans="31:31">
      <c r="AE9153" s="54"/>
    </row>
    <row r="9154" spans="31:31">
      <c r="AE9154" s="54"/>
    </row>
    <row r="9155" spans="31:31">
      <c r="AE9155" s="54"/>
    </row>
    <row r="9156" spans="31:31">
      <c r="AE9156" s="54"/>
    </row>
    <row r="9157" spans="31:31">
      <c r="AE9157" s="54"/>
    </row>
    <row r="9158" spans="31:31">
      <c r="AE9158" s="54"/>
    </row>
    <row r="9159" spans="31:31">
      <c r="AE9159" s="54"/>
    </row>
    <row r="9160" spans="31:31">
      <c r="AE9160" s="54"/>
    </row>
    <row r="9161" spans="31:31">
      <c r="AE9161" s="54"/>
    </row>
    <row r="9162" spans="31:31">
      <c r="AE9162" s="54"/>
    </row>
    <row r="9163" spans="31:31">
      <c r="AE9163" s="54"/>
    </row>
    <row r="9164" spans="31:31">
      <c r="AE9164" s="54"/>
    </row>
    <row r="9165" spans="31:31">
      <c r="AE9165" s="54"/>
    </row>
    <row r="9166" spans="31:31">
      <c r="AE9166" s="54"/>
    </row>
    <row r="9167" spans="31:31">
      <c r="AE9167" s="54"/>
    </row>
    <row r="9168" spans="31:31">
      <c r="AE9168" s="54"/>
    </row>
    <row r="9169" spans="31:31">
      <c r="AE9169" s="54"/>
    </row>
    <row r="9170" spans="31:31">
      <c r="AE9170" s="54"/>
    </row>
    <row r="9171" spans="31:31">
      <c r="AE9171" s="54"/>
    </row>
    <row r="9172" spans="31:31">
      <c r="AE9172" s="54"/>
    </row>
    <row r="9173" spans="31:31">
      <c r="AE9173" s="54"/>
    </row>
    <row r="9174" spans="31:31">
      <c r="AE9174" s="54"/>
    </row>
    <row r="9175" spans="31:31">
      <c r="AE9175" s="54"/>
    </row>
    <row r="9176" spans="31:31">
      <c r="AE9176" s="54"/>
    </row>
    <row r="9177" spans="31:31">
      <c r="AE9177" s="54"/>
    </row>
    <row r="9178" spans="31:31">
      <c r="AE9178" s="54"/>
    </row>
    <row r="9179" spans="31:31">
      <c r="AE9179" s="54"/>
    </row>
    <row r="9180" spans="31:31">
      <c r="AE9180" s="54"/>
    </row>
    <row r="9181" spans="31:31">
      <c r="AE9181" s="54"/>
    </row>
    <row r="9182" spans="31:31">
      <c r="AE9182" s="54"/>
    </row>
    <row r="9183" spans="31:31">
      <c r="AE9183" s="54"/>
    </row>
    <row r="9184" spans="31:31">
      <c r="AE9184" s="54"/>
    </row>
    <row r="9185" spans="31:31">
      <c r="AE9185" s="54"/>
    </row>
    <row r="9186" spans="31:31">
      <c r="AE9186" s="54"/>
    </row>
    <row r="9187" spans="31:31">
      <c r="AE9187" s="54"/>
    </row>
    <row r="9188" spans="31:31">
      <c r="AE9188" s="54"/>
    </row>
    <row r="9189" spans="31:31">
      <c r="AE9189" s="54"/>
    </row>
    <row r="9190" spans="31:31">
      <c r="AE9190" s="54"/>
    </row>
    <row r="9191" spans="31:31">
      <c r="AE9191" s="54"/>
    </row>
    <row r="9192" spans="31:31">
      <c r="AE9192" s="54"/>
    </row>
    <row r="9193" spans="31:31">
      <c r="AE9193" s="54"/>
    </row>
    <row r="9194" spans="31:31">
      <c r="AE9194" s="54"/>
    </row>
    <row r="9195" spans="31:31">
      <c r="AE9195" s="54"/>
    </row>
    <row r="9196" spans="31:31">
      <c r="AE9196" s="54"/>
    </row>
    <row r="9197" spans="31:31">
      <c r="AE9197" s="54"/>
    </row>
    <row r="9198" spans="31:31">
      <c r="AE9198" s="54"/>
    </row>
    <row r="9199" spans="31:31">
      <c r="AE9199" s="54"/>
    </row>
    <row r="9200" spans="31:31">
      <c r="AE9200" s="54"/>
    </row>
    <row r="9201" spans="31:31">
      <c r="AE9201" s="54"/>
    </row>
    <row r="9202" spans="31:31">
      <c r="AE9202" s="54"/>
    </row>
    <row r="9203" spans="31:31">
      <c r="AE9203" s="54"/>
    </row>
    <row r="9204" spans="31:31">
      <c r="AE9204" s="54"/>
    </row>
    <row r="9205" spans="31:31">
      <c r="AE9205" s="54"/>
    </row>
    <row r="9206" spans="31:31">
      <c r="AE9206" s="54"/>
    </row>
    <row r="9207" spans="31:31">
      <c r="AE9207" s="54"/>
    </row>
    <row r="9208" spans="31:31">
      <c r="AE9208" s="54"/>
    </row>
    <row r="9209" spans="31:31">
      <c r="AE9209" s="54"/>
    </row>
    <row r="9210" spans="31:31">
      <c r="AE9210" s="54"/>
    </row>
    <row r="9211" spans="31:31">
      <c r="AE9211" s="54"/>
    </row>
    <row r="9212" spans="31:31">
      <c r="AE9212" s="54"/>
    </row>
    <row r="9213" spans="31:31">
      <c r="AE9213" s="54"/>
    </row>
    <row r="9214" spans="31:31">
      <c r="AE9214" s="54"/>
    </row>
    <row r="9215" spans="31:31">
      <c r="AE9215" s="54"/>
    </row>
    <row r="9216" spans="31:31">
      <c r="AE9216" s="54"/>
    </row>
    <row r="9217" spans="31:31">
      <c r="AE9217" s="54"/>
    </row>
    <row r="9218" spans="31:31">
      <c r="AE9218" s="54"/>
    </row>
    <row r="9219" spans="31:31">
      <c r="AE9219" s="54"/>
    </row>
    <row r="9220" spans="31:31">
      <c r="AE9220" s="54"/>
    </row>
    <row r="9221" spans="31:31">
      <c r="AE9221" s="54"/>
    </row>
    <row r="9222" spans="31:31">
      <c r="AE9222" s="54"/>
    </row>
    <row r="9223" spans="31:31">
      <c r="AE9223" s="54"/>
    </row>
    <row r="9224" spans="31:31">
      <c r="AE9224" s="54"/>
    </row>
    <row r="9225" spans="31:31">
      <c r="AE9225" s="54"/>
    </row>
    <row r="9226" spans="31:31">
      <c r="AE9226" s="54"/>
    </row>
    <row r="9227" spans="31:31">
      <c r="AE9227" s="54"/>
    </row>
    <row r="9228" spans="31:31">
      <c r="AE9228" s="54"/>
    </row>
    <row r="9229" spans="31:31">
      <c r="AE9229" s="54"/>
    </row>
    <row r="9230" spans="31:31">
      <c r="AE9230" s="54"/>
    </row>
    <row r="9231" spans="31:31">
      <c r="AE9231" s="54"/>
    </row>
    <row r="9232" spans="31:31">
      <c r="AE9232" s="54"/>
    </row>
    <row r="9233" spans="31:31">
      <c r="AE9233" s="54"/>
    </row>
    <row r="9234" spans="31:31">
      <c r="AE9234" s="54"/>
    </row>
    <row r="9235" spans="31:31">
      <c r="AE9235" s="54"/>
    </row>
    <row r="9236" spans="31:31">
      <c r="AE9236" s="54"/>
    </row>
    <row r="9237" spans="31:31">
      <c r="AE9237" s="54"/>
    </row>
    <row r="9238" spans="31:31">
      <c r="AE9238" s="54"/>
    </row>
    <row r="9239" spans="31:31">
      <c r="AE9239" s="54"/>
    </row>
    <row r="9240" spans="31:31">
      <c r="AE9240" s="54"/>
    </row>
    <row r="9241" spans="31:31">
      <c r="AE9241" s="54"/>
    </row>
    <row r="9242" spans="31:31">
      <c r="AE9242" s="54"/>
    </row>
    <row r="9243" spans="31:31">
      <c r="AE9243" s="54"/>
    </row>
    <row r="9244" spans="31:31">
      <c r="AE9244" s="54"/>
    </row>
    <row r="9245" spans="31:31">
      <c r="AE9245" s="54"/>
    </row>
    <row r="9246" spans="31:31">
      <c r="AE9246" s="54"/>
    </row>
    <row r="9247" spans="31:31">
      <c r="AE9247" s="54"/>
    </row>
    <row r="9248" spans="31:31">
      <c r="AE9248" s="54"/>
    </row>
    <row r="9249" spans="31:31">
      <c r="AE9249" s="54"/>
    </row>
    <row r="9250" spans="31:31">
      <c r="AE9250" s="54"/>
    </row>
    <row r="9251" spans="31:31">
      <c r="AE9251" s="54"/>
    </row>
    <row r="9252" spans="31:31">
      <c r="AE9252" s="54"/>
    </row>
    <row r="9253" spans="31:31">
      <c r="AE9253" s="54"/>
    </row>
    <row r="9254" spans="31:31">
      <c r="AE9254" s="54"/>
    </row>
    <row r="9255" spans="31:31">
      <c r="AE9255" s="54"/>
    </row>
    <row r="9256" spans="31:31">
      <c r="AE9256" s="54"/>
    </row>
    <row r="9257" spans="31:31">
      <c r="AE9257" s="54"/>
    </row>
    <row r="9258" spans="31:31">
      <c r="AE9258" s="54"/>
    </row>
    <row r="9259" spans="31:31">
      <c r="AE9259" s="54"/>
    </row>
    <row r="9260" spans="31:31">
      <c r="AE9260" s="54"/>
    </row>
    <row r="9261" spans="31:31">
      <c r="AE9261" s="54"/>
    </row>
    <row r="9262" spans="31:31">
      <c r="AE9262" s="54"/>
    </row>
    <row r="9263" spans="31:31">
      <c r="AE9263" s="54"/>
    </row>
    <row r="9264" spans="31:31">
      <c r="AE9264" s="54"/>
    </row>
    <row r="9265" spans="31:31">
      <c r="AE9265" s="54"/>
    </row>
    <row r="9266" spans="31:31">
      <c r="AE9266" s="54"/>
    </row>
    <row r="9267" spans="31:31">
      <c r="AE9267" s="54"/>
    </row>
    <row r="9268" spans="31:31">
      <c r="AE9268" s="54"/>
    </row>
    <row r="9269" spans="31:31">
      <c r="AE9269" s="54"/>
    </row>
    <row r="9270" spans="31:31">
      <c r="AE9270" s="54"/>
    </row>
    <row r="9271" spans="31:31">
      <c r="AE9271" s="54"/>
    </row>
    <row r="9272" spans="31:31">
      <c r="AE9272" s="54"/>
    </row>
    <row r="9273" spans="31:31">
      <c r="AE9273" s="54"/>
    </row>
    <row r="9274" spans="31:31">
      <c r="AE9274" s="54"/>
    </row>
    <row r="9275" spans="31:31">
      <c r="AE9275" s="54"/>
    </row>
    <row r="9276" spans="31:31">
      <c r="AE9276" s="54"/>
    </row>
    <row r="9277" spans="31:31">
      <c r="AE9277" s="54"/>
    </row>
    <row r="9278" spans="31:31">
      <c r="AE9278" s="54"/>
    </row>
    <row r="9279" spans="31:31">
      <c r="AE9279" s="54"/>
    </row>
    <row r="9280" spans="31:31">
      <c r="AE9280" s="54"/>
    </row>
    <row r="9281" spans="31:31">
      <c r="AE9281" s="54"/>
    </row>
    <row r="9282" spans="31:31">
      <c r="AE9282" s="54"/>
    </row>
    <row r="9283" spans="31:31">
      <c r="AE9283" s="54"/>
    </row>
    <row r="9284" spans="31:31">
      <c r="AE9284" s="54"/>
    </row>
    <row r="9285" spans="31:31">
      <c r="AE9285" s="54"/>
    </row>
    <row r="9286" spans="31:31">
      <c r="AE9286" s="54"/>
    </row>
    <row r="9287" spans="31:31">
      <c r="AE9287" s="54"/>
    </row>
    <row r="9288" spans="31:31">
      <c r="AE9288" s="54"/>
    </row>
    <row r="9289" spans="31:31">
      <c r="AE9289" s="54"/>
    </row>
    <row r="9290" spans="31:31">
      <c r="AE9290" s="54"/>
    </row>
    <row r="9291" spans="31:31">
      <c r="AE9291" s="54"/>
    </row>
    <row r="9292" spans="31:31">
      <c r="AE9292" s="54"/>
    </row>
    <row r="9293" spans="31:31">
      <c r="AE9293" s="54"/>
    </row>
    <row r="9294" spans="31:31">
      <c r="AE9294" s="54"/>
    </row>
    <row r="9295" spans="31:31">
      <c r="AE9295" s="54"/>
    </row>
    <row r="9296" spans="31:31">
      <c r="AE9296" s="54"/>
    </row>
    <row r="9297" spans="31:31">
      <c r="AE9297" s="54"/>
    </row>
    <row r="9298" spans="31:31">
      <c r="AE9298" s="54"/>
    </row>
    <row r="9299" spans="31:31">
      <c r="AE9299" s="54"/>
    </row>
    <row r="9300" spans="31:31">
      <c r="AE9300" s="54"/>
    </row>
    <row r="9301" spans="31:31">
      <c r="AE9301" s="54"/>
    </row>
    <row r="9302" spans="31:31">
      <c r="AE9302" s="54"/>
    </row>
    <row r="9303" spans="31:31">
      <c r="AE9303" s="54"/>
    </row>
    <row r="9304" spans="31:31">
      <c r="AE9304" s="54"/>
    </row>
    <row r="9305" spans="31:31">
      <c r="AE9305" s="54"/>
    </row>
    <row r="9306" spans="31:31">
      <c r="AE9306" s="54"/>
    </row>
    <row r="9307" spans="31:31">
      <c r="AE9307" s="54"/>
    </row>
    <row r="9308" spans="31:31">
      <c r="AE9308" s="54"/>
    </row>
    <row r="9309" spans="31:31">
      <c r="AE9309" s="54"/>
    </row>
    <row r="9310" spans="31:31">
      <c r="AE9310" s="54"/>
    </row>
    <row r="9311" spans="31:31">
      <c r="AE9311" s="54"/>
    </row>
    <row r="9312" spans="31:31">
      <c r="AE9312" s="54"/>
    </row>
    <row r="9313" spans="31:31">
      <c r="AE9313" s="54"/>
    </row>
    <row r="9314" spans="31:31">
      <c r="AE9314" s="54"/>
    </row>
    <row r="9315" spans="31:31">
      <c r="AE9315" s="54"/>
    </row>
    <row r="9316" spans="31:31">
      <c r="AE9316" s="54"/>
    </row>
    <row r="9317" spans="31:31">
      <c r="AE9317" s="54"/>
    </row>
    <row r="9318" spans="31:31">
      <c r="AE9318" s="54"/>
    </row>
    <row r="9319" spans="31:31">
      <c r="AE9319" s="54"/>
    </row>
    <row r="9320" spans="31:31">
      <c r="AE9320" s="54"/>
    </row>
    <row r="9321" spans="31:31">
      <c r="AE9321" s="54"/>
    </row>
    <row r="9322" spans="31:31">
      <c r="AE9322" s="54"/>
    </row>
    <row r="9323" spans="31:31">
      <c r="AE9323" s="54"/>
    </row>
    <row r="9324" spans="31:31">
      <c r="AE9324" s="54"/>
    </row>
    <row r="9325" spans="31:31">
      <c r="AE9325" s="54"/>
    </row>
    <row r="9326" spans="31:31">
      <c r="AE9326" s="54"/>
    </row>
    <row r="9327" spans="31:31">
      <c r="AE9327" s="54"/>
    </row>
    <row r="9328" spans="31:31">
      <c r="AE9328" s="54"/>
    </row>
    <row r="9329" spans="31:31">
      <c r="AE9329" s="54"/>
    </row>
    <row r="9330" spans="31:31">
      <c r="AE9330" s="54"/>
    </row>
    <row r="9331" spans="31:31">
      <c r="AE9331" s="54"/>
    </row>
    <row r="9332" spans="31:31">
      <c r="AE9332" s="54"/>
    </row>
    <row r="9333" spans="31:31">
      <c r="AE9333" s="54"/>
    </row>
    <row r="9334" spans="31:31">
      <c r="AE9334" s="54"/>
    </row>
    <row r="9335" spans="31:31">
      <c r="AE9335" s="54"/>
    </row>
    <row r="9336" spans="31:31">
      <c r="AE9336" s="54"/>
    </row>
    <row r="9337" spans="31:31">
      <c r="AE9337" s="54"/>
    </row>
    <row r="9338" spans="31:31">
      <c r="AE9338" s="54"/>
    </row>
    <row r="9339" spans="31:31">
      <c r="AE9339" s="54"/>
    </row>
    <row r="9340" spans="31:31">
      <c r="AE9340" s="54"/>
    </row>
    <row r="9341" spans="31:31">
      <c r="AE9341" s="54"/>
    </row>
    <row r="9342" spans="31:31">
      <c r="AE9342" s="54"/>
    </row>
    <row r="9343" spans="31:31">
      <c r="AE9343" s="54"/>
    </row>
    <row r="9344" spans="31:31">
      <c r="AE9344" s="54"/>
    </row>
    <row r="9345" spans="31:31">
      <c r="AE9345" s="54"/>
    </row>
    <row r="9346" spans="31:31">
      <c r="AE9346" s="54"/>
    </row>
    <row r="9347" spans="31:31">
      <c r="AE9347" s="54"/>
    </row>
    <row r="9348" spans="31:31">
      <c r="AE9348" s="54"/>
    </row>
    <row r="9349" spans="31:31">
      <c r="AE9349" s="54"/>
    </row>
    <row r="9350" spans="31:31">
      <c r="AE9350" s="54"/>
    </row>
    <row r="9351" spans="31:31">
      <c r="AE9351" s="54"/>
    </row>
    <row r="9352" spans="31:31">
      <c r="AE9352" s="54"/>
    </row>
    <row r="9353" spans="31:31">
      <c r="AE9353" s="54"/>
    </row>
    <row r="9354" spans="31:31">
      <c r="AE9354" s="54"/>
    </row>
    <row r="9355" spans="31:31">
      <c r="AE9355" s="54"/>
    </row>
    <row r="9356" spans="31:31">
      <c r="AE9356" s="54"/>
    </row>
    <row r="9357" spans="31:31">
      <c r="AE9357" s="54"/>
    </row>
    <row r="9358" spans="31:31">
      <c r="AE9358" s="54"/>
    </row>
    <row r="9359" spans="31:31">
      <c r="AE9359" s="54"/>
    </row>
    <row r="9360" spans="31:31">
      <c r="AE9360" s="54"/>
    </row>
    <row r="9361" spans="31:31">
      <c r="AE9361" s="54"/>
    </row>
    <row r="9362" spans="31:31">
      <c r="AE9362" s="54"/>
    </row>
    <row r="9363" spans="31:31">
      <c r="AE9363" s="54"/>
    </row>
    <row r="9364" spans="31:31">
      <c r="AE9364" s="54"/>
    </row>
    <row r="9365" spans="31:31">
      <c r="AE9365" s="54"/>
    </row>
    <row r="9366" spans="31:31">
      <c r="AE9366" s="54"/>
    </row>
    <row r="9367" spans="31:31">
      <c r="AE9367" s="54"/>
    </row>
    <row r="9368" spans="31:31">
      <c r="AE9368" s="54"/>
    </row>
    <row r="9369" spans="31:31">
      <c r="AE9369" s="54"/>
    </row>
    <row r="9370" spans="31:31">
      <c r="AE9370" s="54"/>
    </row>
    <row r="9371" spans="31:31">
      <c r="AE9371" s="54"/>
    </row>
    <row r="9372" spans="31:31">
      <c r="AE9372" s="54"/>
    </row>
    <row r="9373" spans="31:31">
      <c r="AE9373" s="54"/>
    </row>
    <row r="9374" spans="31:31">
      <c r="AE9374" s="54"/>
    </row>
    <row r="9375" spans="31:31">
      <c r="AE9375" s="54"/>
    </row>
    <row r="9376" spans="31:31">
      <c r="AE9376" s="54"/>
    </row>
    <row r="9377" spans="31:31">
      <c r="AE9377" s="54"/>
    </row>
    <row r="9378" spans="31:31">
      <c r="AE9378" s="54"/>
    </row>
    <row r="9379" spans="31:31">
      <c r="AE9379" s="54"/>
    </row>
    <row r="9380" spans="31:31">
      <c r="AE9380" s="54"/>
    </row>
    <row r="9381" spans="31:31">
      <c r="AE9381" s="54"/>
    </row>
    <row r="9382" spans="31:31">
      <c r="AE9382" s="54"/>
    </row>
    <row r="9383" spans="31:31">
      <c r="AE9383" s="54"/>
    </row>
    <row r="9384" spans="31:31">
      <c r="AE9384" s="54"/>
    </row>
    <row r="9385" spans="31:31">
      <c r="AE9385" s="54"/>
    </row>
    <row r="9386" spans="31:31">
      <c r="AE9386" s="54"/>
    </row>
    <row r="9387" spans="31:31">
      <c r="AE9387" s="54"/>
    </row>
    <row r="9388" spans="31:31">
      <c r="AE9388" s="54"/>
    </row>
    <row r="9389" spans="31:31">
      <c r="AE9389" s="54"/>
    </row>
    <row r="9390" spans="31:31">
      <c r="AE9390" s="54"/>
    </row>
    <row r="9391" spans="31:31">
      <c r="AE9391" s="54"/>
    </row>
    <row r="9392" spans="31:31">
      <c r="AE9392" s="54"/>
    </row>
    <row r="9393" spans="31:31">
      <c r="AE9393" s="54"/>
    </row>
    <row r="9394" spans="31:31">
      <c r="AE9394" s="54"/>
    </row>
    <row r="9395" spans="31:31">
      <c r="AE9395" s="54"/>
    </row>
    <row r="9396" spans="31:31">
      <c r="AE9396" s="54"/>
    </row>
    <row r="9397" spans="31:31">
      <c r="AE9397" s="54"/>
    </row>
    <row r="9398" spans="31:31">
      <c r="AE9398" s="54"/>
    </row>
    <row r="9399" spans="31:31">
      <c r="AE9399" s="54"/>
    </row>
    <row r="9400" spans="31:31">
      <c r="AE9400" s="54"/>
    </row>
    <row r="9401" spans="31:31">
      <c r="AE9401" s="54"/>
    </row>
    <row r="9402" spans="31:31">
      <c r="AE9402" s="54"/>
    </row>
    <row r="9403" spans="31:31">
      <c r="AE9403" s="54"/>
    </row>
    <row r="9404" spans="31:31">
      <c r="AE9404" s="54"/>
    </row>
    <row r="9405" spans="31:31">
      <c r="AE9405" s="54"/>
    </row>
    <row r="9406" spans="31:31">
      <c r="AE9406" s="54"/>
    </row>
    <row r="9407" spans="31:31">
      <c r="AE9407" s="54"/>
    </row>
    <row r="9408" spans="31:31">
      <c r="AE9408" s="54"/>
    </row>
    <row r="9409" spans="31:31">
      <c r="AE9409" s="54"/>
    </row>
    <row r="9410" spans="31:31">
      <c r="AE9410" s="54"/>
    </row>
    <row r="9411" spans="31:31">
      <c r="AE9411" s="54"/>
    </row>
    <row r="9412" spans="31:31">
      <c r="AE9412" s="54"/>
    </row>
    <row r="9413" spans="31:31">
      <c r="AE9413" s="54"/>
    </row>
    <row r="9414" spans="31:31">
      <c r="AE9414" s="54"/>
    </row>
    <row r="9415" spans="31:31">
      <c r="AE9415" s="54"/>
    </row>
    <row r="9416" spans="31:31">
      <c r="AE9416" s="54"/>
    </row>
    <row r="9417" spans="31:31">
      <c r="AE9417" s="54"/>
    </row>
    <row r="9418" spans="31:31">
      <c r="AE9418" s="54"/>
    </row>
    <row r="9419" spans="31:31">
      <c r="AE9419" s="54"/>
    </row>
    <row r="9420" spans="31:31">
      <c r="AE9420" s="54"/>
    </row>
    <row r="9421" spans="31:31">
      <c r="AE9421" s="54"/>
    </row>
    <row r="9422" spans="31:31">
      <c r="AE9422" s="54"/>
    </row>
    <row r="9423" spans="31:31">
      <c r="AE9423" s="54"/>
    </row>
    <row r="9424" spans="31:31">
      <c r="AE9424" s="54"/>
    </row>
    <row r="9425" spans="31:31">
      <c r="AE9425" s="54"/>
    </row>
    <row r="9426" spans="31:31">
      <c r="AE9426" s="54"/>
    </row>
    <row r="9427" spans="31:31">
      <c r="AE9427" s="54"/>
    </row>
    <row r="9428" spans="31:31">
      <c r="AE9428" s="54"/>
    </row>
    <row r="9429" spans="31:31">
      <c r="AE9429" s="54"/>
    </row>
    <row r="9430" spans="31:31">
      <c r="AE9430" s="54"/>
    </row>
    <row r="9431" spans="31:31">
      <c r="AE9431" s="54"/>
    </row>
    <row r="9432" spans="31:31">
      <c r="AE9432" s="54"/>
    </row>
    <row r="9433" spans="31:31">
      <c r="AE9433" s="54"/>
    </row>
    <row r="9434" spans="31:31">
      <c r="AE9434" s="54"/>
    </row>
    <row r="9435" spans="31:31">
      <c r="AE9435" s="54"/>
    </row>
    <row r="9436" spans="31:31">
      <c r="AE9436" s="54"/>
    </row>
    <row r="9437" spans="31:31">
      <c r="AE9437" s="54"/>
    </row>
    <row r="9438" spans="31:31">
      <c r="AE9438" s="54"/>
    </row>
    <row r="9439" spans="31:31">
      <c r="AE9439" s="54"/>
    </row>
    <row r="9440" spans="31:31">
      <c r="AE9440" s="54"/>
    </row>
    <row r="9441" spans="31:31">
      <c r="AE9441" s="54"/>
    </row>
    <row r="9442" spans="31:31">
      <c r="AE9442" s="54"/>
    </row>
    <row r="9443" spans="31:31">
      <c r="AE9443" s="54"/>
    </row>
    <row r="9444" spans="31:31">
      <c r="AE9444" s="54"/>
    </row>
    <row r="9445" spans="31:31">
      <c r="AE9445" s="54"/>
    </row>
    <row r="9446" spans="31:31">
      <c r="AE9446" s="54"/>
    </row>
    <row r="9447" spans="31:31">
      <c r="AE9447" s="54"/>
    </row>
    <row r="9448" spans="31:31">
      <c r="AE9448" s="54"/>
    </row>
    <row r="9449" spans="31:31">
      <c r="AE9449" s="54"/>
    </row>
    <row r="9450" spans="31:31">
      <c r="AE9450" s="54"/>
    </row>
    <row r="9451" spans="31:31">
      <c r="AE9451" s="54"/>
    </row>
    <row r="9452" spans="31:31">
      <c r="AE9452" s="54"/>
    </row>
    <row r="9453" spans="31:31">
      <c r="AE9453" s="54"/>
    </row>
    <row r="9454" spans="31:31">
      <c r="AE9454" s="54"/>
    </row>
    <row r="9455" spans="31:31">
      <c r="AE9455" s="54"/>
    </row>
    <row r="9456" spans="31:31">
      <c r="AE9456" s="54"/>
    </row>
    <row r="9457" spans="31:31">
      <c r="AE9457" s="54"/>
    </row>
    <row r="9458" spans="31:31">
      <c r="AE9458" s="54"/>
    </row>
    <row r="9459" spans="31:31">
      <c r="AE9459" s="54"/>
    </row>
    <row r="9460" spans="31:31">
      <c r="AE9460" s="54"/>
    </row>
    <row r="9461" spans="31:31">
      <c r="AE9461" s="54"/>
    </row>
    <row r="9462" spans="31:31">
      <c r="AE9462" s="54"/>
    </row>
    <row r="9463" spans="31:31">
      <c r="AE9463" s="54"/>
    </row>
    <row r="9464" spans="31:31">
      <c r="AE9464" s="54"/>
    </row>
    <row r="9465" spans="31:31">
      <c r="AE9465" s="54"/>
    </row>
    <row r="9466" spans="31:31">
      <c r="AE9466" s="54"/>
    </row>
    <row r="9467" spans="31:31">
      <c r="AE9467" s="54"/>
    </row>
    <row r="9468" spans="31:31">
      <c r="AE9468" s="54"/>
    </row>
    <row r="9469" spans="31:31">
      <c r="AE9469" s="54"/>
    </row>
    <row r="9470" spans="31:31">
      <c r="AE9470" s="54"/>
    </row>
    <row r="9471" spans="31:31">
      <c r="AE9471" s="54"/>
    </row>
    <row r="9472" spans="31:31">
      <c r="AE9472" s="54"/>
    </row>
    <row r="9473" spans="31:31">
      <c r="AE9473" s="54"/>
    </row>
    <row r="9474" spans="31:31">
      <c r="AE9474" s="54"/>
    </row>
    <row r="9475" spans="31:31">
      <c r="AE9475" s="54"/>
    </row>
    <row r="9476" spans="31:31">
      <c r="AE9476" s="54"/>
    </row>
    <row r="9477" spans="31:31">
      <c r="AE9477" s="54"/>
    </row>
    <row r="9478" spans="31:31">
      <c r="AE9478" s="54"/>
    </row>
    <row r="9479" spans="31:31">
      <c r="AE9479" s="54"/>
    </row>
    <row r="9480" spans="31:31">
      <c r="AE9480" s="54"/>
    </row>
    <row r="9481" spans="31:31">
      <c r="AE9481" s="54"/>
    </row>
    <row r="9482" spans="31:31">
      <c r="AE9482" s="54"/>
    </row>
    <row r="9483" spans="31:31">
      <c r="AE9483" s="54"/>
    </row>
    <row r="9484" spans="31:31">
      <c r="AE9484" s="54"/>
    </row>
    <row r="9485" spans="31:31">
      <c r="AE9485" s="54"/>
    </row>
    <row r="9486" spans="31:31">
      <c r="AE9486" s="54"/>
    </row>
    <row r="9487" spans="31:31">
      <c r="AE9487" s="54"/>
    </row>
    <row r="9488" spans="31:31">
      <c r="AE9488" s="54"/>
    </row>
    <row r="9489" spans="31:31">
      <c r="AE9489" s="54"/>
    </row>
    <row r="9490" spans="31:31">
      <c r="AE9490" s="54"/>
    </row>
    <row r="9491" spans="31:31">
      <c r="AE9491" s="54"/>
    </row>
    <row r="9492" spans="31:31">
      <c r="AE9492" s="54"/>
    </row>
    <row r="9493" spans="31:31">
      <c r="AE9493" s="54"/>
    </row>
    <row r="9494" spans="31:31">
      <c r="AE9494" s="54"/>
    </row>
    <row r="9495" spans="31:31">
      <c r="AE9495" s="54"/>
    </row>
    <row r="9496" spans="31:31">
      <c r="AE9496" s="54"/>
    </row>
    <row r="9497" spans="31:31">
      <c r="AE9497" s="54"/>
    </row>
    <row r="9498" spans="31:31">
      <c r="AE9498" s="54"/>
    </row>
    <row r="9499" spans="31:31">
      <c r="AE9499" s="54"/>
    </row>
    <row r="9500" spans="31:31">
      <c r="AE9500" s="54"/>
    </row>
    <row r="9501" spans="31:31">
      <c r="AE9501" s="54"/>
    </row>
    <row r="9502" spans="31:31">
      <c r="AE9502" s="54"/>
    </row>
    <row r="9503" spans="31:31">
      <c r="AE9503" s="54"/>
    </row>
    <row r="9504" spans="31:31">
      <c r="AE9504" s="54"/>
    </row>
    <row r="9505" spans="31:31">
      <c r="AE9505" s="54"/>
    </row>
    <row r="9506" spans="31:31">
      <c r="AE9506" s="54"/>
    </row>
    <row r="9507" spans="31:31">
      <c r="AE9507" s="54"/>
    </row>
    <row r="9508" spans="31:31">
      <c r="AE9508" s="54"/>
    </row>
    <row r="9509" spans="31:31">
      <c r="AE9509" s="54"/>
    </row>
    <row r="9510" spans="31:31">
      <c r="AE9510" s="54"/>
    </row>
    <row r="9511" spans="31:31">
      <c r="AE9511" s="54"/>
    </row>
    <row r="9512" spans="31:31">
      <c r="AE9512" s="54"/>
    </row>
    <row r="9513" spans="31:31">
      <c r="AE9513" s="54"/>
    </row>
    <row r="9514" spans="31:31">
      <c r="AE9514" s="54"/>
    </row>
    <row r="9515" spans="31:31">
      <c r="AE9515" s="54"/>
    </row>
    <row r="9516" spans="31:31">
      <c r="AE9516" s="54"/>
    </row>
    <row r="9517" spans="31:31">
      <c r="AE9517" s="54"/>
    </row>
    <row r="9518" spans="31:31">
      <c r="AE9518" s="54"/>
    </row>
    <row r="9519" spans="31:31">
      <c r="AE9519" s="54"/>
    </row>
    <row r="9520" spans="31:31">
      <c r="AE9520" s="54"/>
    </row>
    <row r="9521" spans="31:31">
      <c r="AE9521" s="54"/>
    </row>
    <row r="9522" spans="31:31">
      <c r="AE9522" s="54"/>
    </row>
    <row r="9523" spans="31:31">
      <c r="AE9523" s="54"/>
    </row>
    <row r="9524" spans="31:31">
      <c r="AE9524" s="54"/>
    </row>
    <row r="9525" spans="31:31">
      <c r="AE9525" s="54"/>
    </row>
    <row r="9526" spans="31:31">
      <c r="AE9526" s="54"/>
    </row>
    <row r="9527" spans="31:31">
      <c r="AE9527" s="54"/>
    </row>
    <row r="9528" spans="31:31">
      <c r="AE9528" s="54"/>
    </row>
    <row r="9529" spans="31:31">
      <c r="AE9529" s="54"/>
    </row>
    <row r="9530" spans="31:31">
      <c r="AE9530" s="54"/>
    </row>
    <row r="9531" spans="31:31">
      <c r="AE9531" s="54"/>
    </row>
    <row r="9532" spans="31:31">
      <c r="AE9532" s="54"/>
    </row>
    <row r="9533" spans="31:31">
      <c r="AE9533" s="54"/>
    </row>
    <row r="9534" spans="31:31">
      <c r="AE9534" s="54"/>
    </row>
    <row r="9535" spans="31:31">
      <c r="AE9535" s="54"/>
    </row>
    <row r="9536" spans="31:31">
      <c r="AE9536" s="54"/>
    </row>
    <row r="9537" spans="31:31">
      <c r="AE9537" s="54"/>
    </row>
    <row r="9538" spans="31:31">
      <c r="AE9538" s="54"/>
    </row>
    <row r="9539" spans="31:31">
      <c r="AE9539" s="54"/>
    </row>
    <row r="9540" spans="31:31">
      <c r="AE9540" s="54"/>
    </row>
    <row r="9541" spans="31:31">
      <c r="AE9541" s="54"/>
    </row>
    <row r="9542" spans="31:31">
      <c r="AE9542" s="54"/>
    </row>
    <row r="9543" spans="31:31">
      <c r="AE9543" s="54"/>
    </row>
    <row r="9544" spans="31:31">
      <c r="AE9544" s="54"/>
    </row>
    <row r="9545" spans="31:31">
      <c r="AE9545" s="54"/>
    </row>
    <row r="9546" spans="31:31">
      <c r="AE9546" s="54"/>
    </row>
    <row r="9547" spans="31:31">
      <c r="AE9547" s="54"/>
    </row>
    <row r="9548" spans="31:31">
      <c r="AE9548" s="54"/>
    </row>
    <row r="9549" spans="31:31">
      <c r="AE9549" s="54"/>
    </row>
    <row r="9550" spans="31:31">
      <c r="AE9550" s="54"/>
    </row>
    <row r="9551" spans="31:31">
      <c r="AE9551" s="54"/>
    </row>
    <row r="9552" spans="31:31">
      <c r="AE9552" s="54"/>
    </row>
    <row r="9553" spans="31:31">
      <c r="AE9553" s="54"/>
    </row>
    <row r="9554" spans="31:31">
      <c r="AE9554" s="54"/>
    </row>
    <row r="9555" spans="31:31">
      <c r="AE9555" s="54"/>
    </row>
    <row r="9556" spans="31:31">
      <c r="AE9556" s="54"/>
    </row>
    <row r="9557" spans="31:31">
      <c r="AE9557" s="54"/>
    </row>
    <row r="9558" spans="31:31">
      <c r="AE9558" s="54"/>
    </row>
    <row r="9559" spans="31:31">
      <c r="AE9559" s="54"/>
    </row>
    <row r="9560" spans="31:31">
      <c r="AE9560" s="54"/>
    </row>
    <row r="9561" spans="31:31">
      <c r="AE9561" s="54"/>
    </row>
    <row r="9562" spans="31:31">
      <c r="AE9562" s="54"/>
    </row>
    <row r="9563" spans="31:31">
      <c r="AE9563" s="54"/>
    </row>
    <row r="9564" spans="31:31">
      <c r="AE9564" s="54"/>
    </row>
    <row r="9565" spans="31:31">
      <c r="AE9565" s="54"/>
    </row>
    <row r="9566" spans="31:31">
      <c r="AE9566" s="54"/>
    </row>
    <row r="9567" spans="31:31">
      <c r="AE9567" s="54"/>
    </row>
    <row r="9568" spans="31:31">
      <c r="AE9568" s="54"/>
    </row>
    <row r="9569" spans="31:31">
      <c r="AE9569" s="54"/>
    </row>
    <row r="9570" spans="31:31">
      <c r="AE9570" s="54"/>
    </row>
    <row r="9571" spans="31:31">
      <c r="AE9571" s="54"/>
    </row>
    <row r="9572" spans="31:31">
      <c r="AE9572" s="54"/>
    </row>
    <row r="9573" spans="31:31">
      <c r="AE9573" s="54"/>
    </row>
    <row r="9574" spans="31:31">
      <c r="AE9574" s="54"/>
    </row>
    <row r="9575" spans="31:31">
      <c r="AE9575" s="54"/>
    </row>
    <row r="9576" spans="31:31">
      <c r="AE9576" s="54"/>
    </row>
    <row r="9577" spans="31:31">
      <c r="AE9577" s="54"/>
    </row>
    <row r="9578" spans="31:31">
      <c r="AE9578" s="54"/>
    </row>
    <row r="9579" spans="31:31">
      <c r="AE9579" s="54"/>
    </row>
    <row r="9580" spans="31:31">
      <c r="AE9580" s="54"/>
    </row>
    <row r="9581" spans="31:31">
      <c r="AE9581" s="54"/>
    </row>
    <row r="9582" spans="31:31">
      <c r="AE9582" s="54"/>
    </row>
    <row r="9583" spans="31:31">
      <c r="AE9583" s="54"/>
    </row>
    <row r="9584" spans="31:31">
      <c r="AE9584" s="54"/>
    </row>
    <row r="9585" spans="31:31">
      <c r="AE9585" s="54"/>
    </row>
    <row r="9586" spans="31:31">
      <c r="AE9586" s="54"/>
    </row>
    <row r="9587" spans="31:31">
      <c r="AE9587" s="54"/>
    </row>
    <row r="9588" spans="31:31">
      <c r="AE9588" s="54"/>
    </row>
    <row r="9589" spans="31:31">
      <c r="AE9589" s="54"/>
    </row>
    <row r="9590" spans="31:31">
      <c r="AE9590" s="54"/>
    </row>
    <row r="9591" spans="31:31">
      <c r="AE9591" s="54"/>
    </row>
    <row r="9592" spans="31:31">
      <c r="AE9592" s="54"/>
    </row>
    <row r="9593" spans="31:31">
      <c r="AE9593" s="54"/>
    </row>
    <row r="9594" spans="31:31">
      <c r="AE9594" s="54"/>
    </row>
    <row r="9595" spans="31:31">
      <c r="AE9595" s="54"/>
    </row>
    <row r="9596" spans="31:31">
      <c r="AE9596" s="54"/>
    </row>
    <row r="9597" spans="31:31">
      <c r="AE9597" s="54"/>
    </row>
    <row r="9598" spans="31:31">
      <c r="AE9598" s="54"/>
    </row>
    <row r="9599" spans="31:31">
      <c r="AE9599" s="54"/>
    </row>
    <row r="9600" spans="31:31">
      <c r="AE9600" s="54"/>
    </row>
    <row r="9601" spans="31:31">
      <c r="AE9601" s="54"/>
    </row>
    <row r="9602" spans="31:31">
      <c r="AE9602" s="54"/>
    </row>
    <row r="9603" spans="31:31">
      <c r="AE9603" s="54"/>
    </row>
    <row r="9604" spans="31:31">
      <c r="AE9604" s="54"/>
    </row>
    <row r="9605" spans="31:31">
      <c r="AE9605" s="54"/>
    </row>
    <row r="9606" spans="31:31">
      <c r="AE9606" s="54"/>
    </row>
    <row r="9607" spans="31:31">
      <c r="AE9607" s="54"/>
    </row>
    <row r="9608" spans="31:31">
      <c r="AE9608" s="54"/>
    </row>
    <row r="9609" spans="31:31">
      <c r="AE9609" s="54"/>
    </row>
    <row r="9610" spans="31:31">
      <c r="AE9610" s="54"/>
    </row>
    <row r="9611" spans="31:31">
      <c r="AE9611" s="54"/>
    </row>
    <row r="9612" spans="31:31">
      <c r="AE9612" s="54"/>
    </row>
    <row r="9613" spans="31:31">
      <c r="AE9613" s="54"/>
    </row>
    <row r="9614" spans="31:31">
      <c r="AE9614" s="54"/>
    </row>
    <row r="9615" spans="31:31">
      <c r="AE9615" s="54"/>
    </row>
    <row r="9616" spans="31:31">
      <c r="AE9616" s="54"/>
    </row>
    <row r="9617" spans="31:31">
      <c r="AE9617" s="54"/>
    </row>
    <row r="9618" spans="31:31">
      <c r="AE9618" s="54"/>
    </row>
    <row r="9619" spans="31:31">
      <c r="AE9619" s="54"/>
    </row>
    <row r="9620" spans="31:31">
      <c r="AE9620" s="54"/>
    </row>
    <row r="9621" spans="31:31">
      <c r="AE9621" s="54"/>
    </row>
    <row r="9622" spans="31:31">
      <c r="AE9622" s="54"/>
    </row>
    <row r="9623" spans="31:31">
      <c r="AE9623" s="54"/>
    </row>
    <row r="9624" spans="31:31">
      <c r="AE9624" s="54"/>
    </row>
    <row r="9625" spans="31:31">
      <c r="AE9625" s="54"/>
    </row>
    <row r="9626" spans="31:31">
      <c r="AE9626" s="54"/>
    </row>
    <row r="9627" spans="31:31">
      <c r="AE9627" s="54"/>
    </row>
    <row r="9628" spans="31:31">
      <c r="AE9628" s="54"/>
    </row>
    <row r="9629" spans="31:31">
      <c r="AE9629" s="54"/>
    </row>
    <row r="9630" spans="31:31">
      <c r="AE9630" s="54"/>
    </row>
    <row r="9631" spans="31:31">
      <c r="AE9631" s="54"/>
    </row>
    <row r="9632" spans="31:31">
      <c r="AE9632" s="54"/>
    </row>
    <row r="9633" spans="31:31">
      <c r="AE9633" s="54"/>
    </row>
    <row r="9634" spans="31:31">
      <c r="AE9634" s="54"/>
    </row>
    <row r="9635" spans="31:31">
      <c r="AE9635" s="54"/>
    </row>
    <row r="9636" spans="31:31">
      <c r="AE9636" s="54"/>
    </row>
    <row r="9637" spans="31:31">
      <c r="AE9637" s="54"/>
    </row>
    <row r="9638" spans="31:31">
      <c r="AE9638" s="54"/>
    </row>
    <row r="9639" spans="31:31">
      <c r="AE9639" s="54"/>
    </row>
    <row r="9640" spans="31:31">
      <c r="AE9640" s="54"/>
    </row>
    <row r="9641" spans="31:31">
      <c r="AE9641" s="54"/>
    </row>
    <row r="9642" spans="31:31">
      <c r="AE9642" s="54"/>
    </row>
    <row r="9643" spans="31:31">
      <c r="AE9643" s="54"/>
    </row>
    <row r="9644" spans="31:31">
      <c r="AE9644" s="54"/>
    </row>
    <row r="9645" spans="31:31">
      <c r="AE9645" s="54"/>
    </row>
    <row r="9646" spans="31:31">
      <c r="AE9646" s="54"/>
    </row>
    <row r="9647" spans="31:31">
      <c r="AE9647" s="54"/>
    </row>
    <row r="9648" spans="31:31">
      <c r="AE9648" s="54"/>
    </row>
    <row r="9649" spans="31:31">
      <c r="AE9649" s="54"/>
    </row>
    <row r="9650" spans="31:31">
      <c r="AE9650" s="54"/>
    </row>
    <row r="9651" spans="31:31">
      <c r="AE9651" s="54"/>
    </row>
    <row r="9652" spans="31:31">
      <c r="AE9652" s="54"/>
    </row>
    <row r="9653" spans="31:31">
      <c r="AE9653" s="54"/>
    </row>
    <row r="9654" spans="31:31">
      <c r="AE9654" s="54"/>
    </row>
    <row r="9655" spans="31:31">
      <c r="AE9655" s="54"/>
    </row>
    <row r="9656" spans="31:31">
      <c r="AE9656" s="54"/>
    </row>
    <row r="9657" spans="31:31">
      <c r="AE9657" s="54"/>
    </row>
    <row r="9658" spans="31:31">
      <c r="AE9658" s="54"/>
    </row>
    <row r="9659" spans="31:31">
      <c r="AE9659" s="54"/>
    </row>
    <row r="9660" spans="31:31">
      <c r="AE9660" s="54"/>
    </row>
    <row r="9661" spans="31:31">
      <c r="AE9661" s="54"/>
    </row>
    <row r="9662" spans="31:31">
      <c r="AE9662" s="54"/>
    </row>
    <row r="9663" spans="31:31">
      <c r="AE9663" s="54"/>
    </row>
    <row r="9664" spans="31:31">
      <c r="AE9664" s="54"/>
    </row>
    <row r="9665" spans="31:31">
      <c r="AE9665" s="54"/>
    </row>
    <row r="9666" spans="31:31">
      <c r="AE9666" s="54"/>
    </row>
    <row r="9667" spans="31:31">
      <c r="AE9667" s="54"/>
    </row>
    <row r="9668" spans="31:31">
      <c r="AE9668" s="54"/>
    </row>
    <row r="9669" spans="31:31">
      <c r="AE9669" s="54"/>
    </row>
    <row r="9670" spans="31:31">
      <c r="AE9670" s="54"/>
    </row>
    <row r="9671" spans="31:31">
      <c r="AE9671" s="54"/>
    </row>
    <row r="9672" spans="31:31">
      <c r="AE9672" s="54"/>
    </row>
    <row r="9673" spans="31:31">
      <c r="AE9673" s="54"/>
    </row>
    <row r="9674" spans="31:31">
      <c r="AE9674" s="54"/>
    </row>
    <row r="9675" spans="31:31">
      <c r="AE9675" s="54"/>
    </row>
    <row r="9676" spans="31:31">
      <c r="AE9676" s="54"/>
    </row>
    <row r="9677" spans="31:31">
      <c r="AE9677" s="54"/>
    </row>
    <row r="9678" spans="31:31">
      <c r="AE9678" s="54"/>
    </row>
    <row r="9679" spans="31:31">
      <c r="AE9679" s="54"/>
    </row>
    <row r="9680" spans="31:31">
      <c r="AE9680" s="54"/>
    </row>
    <row r="9681" spans="31:31">
      <c r="AE9681" s="54"/>
    </row>
    <row r="9682" spans="31:31">
      <c r="AE9682" s="54"/>
    </row>
    <row r="9683" spans="31:31">
      <c r="AE9683" s="54"/>
    </row>
    <row r="9684" spans="31:31">
      <c r="AE9684" s="54"/>
    </row>
    <row r="9685" spans="31:31">
      <c r="AE9685" s="54"/>
    </row>
    <row r="9686" spans="31:31">
      <c r="AE9686" s="54"/>
    </row>
    <row r="9687" spans="31:31">
      <c r="AE9687" s="54"/>
    </row>
    <row r="9688" spans="31:31">
      <c r="AE9688" s="54"/>
    </row>
    <row r="9689" spans="31:31">
      <c r="AE9689" s="54"/>
    </row>
    <row r="9690" spans="31:31">
      <c r="AE9690" s="54"/>
    </row>
    <row r="9691" spans="31:31">
      <c r="AE9691" s="54"/>
    </row>
    <row r="9692" spans="31:31">
      <c r="AE9692" s="54"/>
    </row>
    <row r="9693" spans="31:31">
      <c r="AE9693" s="54"/>
    </row>
    <row r="9694" spans="31:31">
      <c r="AE9694" s="54"/>
    </row>
    <row r="9695" spans="31:31">
      <c r="AE9695" s="54"/>
    </row>
    <row r="9696" spans="31:31">
      <c r="AE9696" s="54"/>
    </row>
    <row r="9697" spans="31:31">
      <c r="AE9697" s="54"/>
    </row>
    <row r="9698" spans="31:31">
      <c r="AE9698" s="54"/>
    </row>
    <row r="9699" spans="31:31">
      <c r="AE9699" s="54"/>
    </row>
    <row r="9700" spans="31:31">
      <c r="AE9700" s="54"/>
    </row>
    <row r="9701" spans="31:31">
      <c r="AE9701" s="54"/>
    </row>
    <row r="9702" spans="31:31">
      <c r="AE9702" s="54"/>
    </row>
    <row r="9703" spans="31:31">
      <c r="AE9703" s="54"/>
    </row>
    <row r="9704" spans="31:31">
      <c r="AE9704" s="54"/>
    </row>
    <row r="9705" spans="31:31">
      <c r="AE9705" s="54"/>
    </row>
    <row r="9706" spans="31:31">
      <c r="AE9706" s="54"/>
    </row>
    <row r="9707" spans="31:31">
      <c r="AE9707" s="54"/>
    </row>
    <row r="9708" spans="31:31">
      <c r="AE9708" s="54"/>
    </row>
    <row r="9709" spans="31:31">
      <c r="AE9709" s="54"/>
    </row>
    <row r="9710" spans="31:31">
      <c r="AE9710" s="54"/>
    </row>
    <row r="9711" spans="31:31">
      <c r="AE9711" s="54"/>
    </row>
    <row r="9712" spans="31:31">
      <c r="AE9712" s="54"/>
    </row>
    <row r="9713" spans="31:31">
      <c r="AE9713" s="54"/>
    </row>
    <row r="9714" spans="31:31">
      <c r="AE9714" s="54"/>
    </row>
    <row r="9715" spans="31:31">
      <c r="AE9715" s="54"/>
    </row>
    <row r="9716" spans="31:31">
      <c r="AE9716" s="54"/>
    </row>
    <row r="9717" spans="31:31">
      <c r="AE9717" s="54"/>
    </row>
    <row r="9718" spans="31:31">
      <c r="AE9718" s="54"/>
    </row>
    <row r="9719" spans="31:31">
      <c r="AE9719" s="54"/>
    </row>
    <row r="9720" spans="31:31">
      <c r="AE9720" s="54"/>
    </row>
    <row r="9721" spans="31:31">
      <c r="AE9721" s="54"/>
    </row>
    <row r="9722" spans="31:31">
      <c r="AE9722" s="54"/>
    </row>
    <row r="9723" spans="31:31">
      <c r="AE9723" s="54"/>
    </row>
    <row r="9724" spans="31:31">
      <c r="AE9724" s="54"/>
    </row>
    <row r="9725" spans="31:31">
      <c r="AE9725" s="54"/>
    </row>
    <row r="9726" spans="31:31">
      <c r="AE9726" s="54"/>
    </row>
    <row r="9727" spans="31:31">
      <c r="AE9727" s="54"/>
    </row>
    <row r="9728" spans="31:31">
      <c r="AE9728" s="54"/>
    </row>
    <row r="9729" spans="31:31">
      <c r="AE9729" s="54"/>
    </row>
    <row r="9730" spans="31:31">
      <c r="AE9730" s="54"/>
    </row>
    <row r="9731" spans="31:31">
      <c r="AE9731" s="54"/>
    </row>
    <row r="9732" spans="31:31">
      <c r="AE9732" s="54"/>
    </row>
    <row r="9733" spans="31:31">
      <c r="AE9733" s="54"/>
    </row>
    <row r="9734" spans="31:31">
      <c r="AE9734" s="54"/>
    </row>
    <row r="9735" spans="31:31">
      <c r="AE9735" s="54"/>
    </row>
    <row r="9736" spans="31:31">
      <c r="AE9736" s="54"/>
    </row>
    <row r="9737" spans="31:31">
      <c r="AE9737" s="54"/>
    </row>
    <row r="9738" spans="31:31">
      <c r="AE9738" s="54"/>
    </row>
    <row r="9739" spans="31:31">
      <c r="AE9739" s="54"/>
    </row>
    <row r="9740" spans="31:31">
      <c r="AE9740" s="54"/>
    </row>
    <row r="9741" spans="31:31">
      <c r="AE9741" s="54"/>
    </row>
    <row r="9742" spans="31:31">
      <c r="AE9742" s="54"/>
    </row>
    <row r="9743" spans="31:31">
      <c r="AE9743" s="54"/>
    </row>
    <row r="9744" spans="31:31">
      <c r="AE9744" s="54"/>
    </row>
    <row r="9745" spans="31:31">
      <c r="AE9745" s="54"/>
    </row>
    <row r="9746" spans="31:31">
      <c r="AE9746" s="54"/>
    </row>
    <row r="9747" spans="31:31">
      <c r="AE9747" s="54"/>
    </row>
    <row r="9748" spans="31:31">
      <c r="AE9748" s="54"/>
    </row>
    <row r="9749" spans="31:31">
      <c r="AE9749" s="54"/>
    </row>
    <row r="9750" spans="31:31">
      <c r="AE9750" s="54"/>
    </row>
    <row r="9751" spans="31:31">
      <c r="AE9751" s="54"/>
    </row>
    <row r="9752" spans="31:31">
      <c r="AE9752" s="54"/>
    </row>
    <row r="9753" spans="31:31">
      <c r="AE9753" s="54"/>
    </row>
    <row r="9754" spans="31:31">
      <c r="AE9754" s="54"/>
    </row>
    <row r="9755" spans="31:31">
      <c r="AE9755" s="54"/>
    </row>
    <row r="9756" spans="31:31">
      <c r="AE9756" s="54"/>
    </row>
    <row r="9757" spans="31:31">
      <c r="AE9757" s="54"/>
    </row>
    <row r="9758" spans="31:31">
      <c r="AE9758" s="54"/>
    </row>
    <row r="9759" spans="31:31">
      <c r="AE9759" s="54"/>
    </row>
    <row r="9760" spans="31:31">
      <c r="AE9760" s="54"/>
    </row>
    <row r="9761" spans="31:31">
      <c r="AE9761" s="54"/>
    </row>
    <row r="9762" spans="31:31">
      <c r="AE9762" s="54"/>
    </row>
    <row r="9763" spans="31:31">
      <c r="AE9763" s="54"/>
    </row>
    <row r="9764" spans="31:31">
      <c r="AE9764" s="54"/>
    </row>
    <row r="9765" spans="31:31">
      <c r="AE9765" s="54"/>
    </row>
    <row r="9766" spans="31:31">
      <c r="AE9766" s="54"/>
    </row>
    <row r="9767" spans="31:31">
      <c r="AE9767" s="54"/>
    </row>
    <row r="9768" spans="31:31">
      <c r="AE9768" s="54"/>
    </row>
    <row r="9769" spans="31:31">
      <c r="AE9769" s="54"/>
    </row>
    <row r="9770" spans="31:31">
      <c r="AE9770" s="54"/>
    </row>
    <row r="9771" spans="31:31">
      <c r="AE9771" s="54"/>
    </row>
    <row r="9772" spans="31:31">
      <c r="AE9772" s="54"/>
    </row>
    <row r="9773" spans="31:31">
      <c r="AE9773" s="54"/>
    </row>
    <row r="9774" spans="31:31">
      <c r="AE9774" s="54"/>
    </row>
    <row r="9775" spans="31:31">
      <c r="AE9775" s="54"/>
    </row>
    <row r="9776" spans="31:31">
      <c r="AE9776" s="54"/>
    </row>
    <row r="9777" spans="31:31">
      <c r="AE9777" s="54"/>
    </row>
    <row r="9778" spans="31:31">
      <c r="AE9778" s="54"/>
    </row>
    <row r="9779" spans="31:31">
      <c r="AE9779" s="54"/>
    </row>
    <row r="9780" spans="31:31">
      <c r="AE9780" s="54"/>
    </row>
    <row r="9781" spans="31:31">
      <c r="AE9781" s="54"/>
    </row>
    <row r="9782" spans="31:31">
      <c r="AE9782" s="54"/>
    </row>
    <row r="9783" spans="31:31">
      <c r="AE9783" s="54"/>
    </row>
    <row r="9784" spans="31:31">
      <c r="AE9784" s="54"/>
    </row>
    <row r="9785" spans="31:31">
      <c r="AE9785" s="54"/>
    </row>
    <row r="9786" spans="31:31">
      <c r="AE9786" s="54"/>
    </row>
    <row r="9787" spans="31:31">
      <c r="AE9787" s="54"/>
    </row>
    <row r="9788" spans="31:31">
      <c r="AE9788" s="54"/>
    </row>
    <row r="9789" spans="31:31">
      <c r="AE9789" s="54"/>
    </row>
    <row r="9790" spans="31:31">
      <c r="AE9790" s="54"/>
    </row>
    <row r="9791" spans="31:31">
      <c r="AE9791" s="54"/>
    </row>
    <row r="9792" spans="31:31">
      <c r="AE9792" s="54"/>
    </row>
    <row r="9793" spans="31:31">
      <c r="AE9793" s="54"/>
    </row>
    <row r="9794" spans="31:31">
      <c r="AE9794" s="54"/>
    </row>
    <row r="9795" spans="31:31">
      <c r="AE9795" s="54"/>
    </row>
    <row r="9796" spans="31:31">
      <c r="AE9796" s="54"/>
    </row>
    <row r="9797" spans="31:31">
      <c r="AE9797" s="54"/>
    </row>
    <row r="9798" spans="31:31">
      <c r="AE9798" s="54"/>
    </row>
    <row r="9799" spans="31:31">
      <c r="AE9799" s="54"/>
    </row>
    <row r="9800" spans="31:31">
      <c r="AE9800" s="54"/>
    </row>
    <row r="9801" spans="31:31">
      <c r="AE9801" s="54"/>
    </row>
    <row r="9802" spans="31:31">
      <c r="AE9802" s="54"/>
    </row>
    <row r="9803" spans="31:31">
      <c r="AE9803" s="54"/>
    </row>
    <row r="9804" spans="31:31">
      <c r="AE9804" s="54"/>
    </row>
    <row r="9805" spans="31:31">
      <c r="AE9805" s="54"/>
    </row>
    <row r="9806" spans="31:31">
      <c r="AE9806" s="54"/>
    </row>
    <row r="9807" spans="31:31">
      <c r="AE9807" s="54"/>
    </row>
    <row r="9808" spans="31:31">
      <c r="AE9808" s="54"/>
    </row>
    <row r="9809" spans="31:31">
      <c r="AE9809" s="54"/>
    </row>
    <row r="9810" spans="31:31">
      <c r="AE9810" s="54"/>
    </row>
    <row r="9811" spans="31:31">
      <c r="AE9811" s="54"/>
    </row>
    <row r="9812" spans="31:31">
      <c r="AE9812" s="54"/>
    </row>
    <row r="9813" spans="31:31">
      <c r="AE9813" s="54"/>
    </row>
    <row r="9814" spans="31:31">
      <c r="AE9814" s="54"/>
    </row>
    <row r="9815" spans="31:31">
      <c r="AE9815" s="54"/>
    </row>
    <row r="9816" spans="31:31">
      <c r="AE9816" s="54"/>
    </row>
    <row r="9817" spans="31:31">
      <c r="AE9817" s="54"/>
    </row>
    <row r="9818" spans="31:31">
      <c r="AE9818" s="54"/>
    </row>
    <row r="9819" spans="31:31">
      <c r="AE9819" s="54"/>
    </row>
    <row r="9820" spans="31:31">
      <c r="AE9820" s="54"/>
    </row>
    <row r="9821" spans="31:31">
      <c r="AE9821" s="54"/>
    </row>
    <row r="9822" spans="31:31">
      <c r="AE9822" s="54"/>
    </row>
    <row r="9823" spans="31:31">
      <c r="AE9823" s="54"/>
    </row>
    <row r="9824" spans="31:31">
      <c r="AE9824" s="54"/>
    </row>
    <row r="9825" spans="31:31">
      <c r="AE9825" s="54"/>
    </row>
    <row r="9826" spans="31:31">
      <c r="AE9826" s="54"/>
    </row>
    <row r="9827" spans="31:31">
      <c r="AE9827" s="54"/>
    </row>
    <row r="9828" spans="31:31">
      <c r="AE9828" s="54"/>
    </row>
    <row r="9829" spans="31:31">
      <c r="AE9829" s="54"/>
    </row>
    <row r="9830" spans="31:31">
      <c r="AE9830" s="54"/>
    </row>
    <row r="9831" spans="31:31">
      <c r="AE9831" s="54"/>
    </row>
    <row r="9832" spans="31:31">
      <c r="AE9832" s="54"/>
    </row>
    <row r="9833" spans="31:31">
      <c r="AE9833" s="54"/>
    </row>
    <row r="9834" spans="31:31">
      <c r="AE9834" s="54"/>
    </row>
    <row r="9835" spans="31:31">
      <c r="AE9835" s="54"/>
    </row>
    <row r="9836" spans="31:31">
      <c r="AE9836" s="54"/>
    </row>
    <row r="9837" spans="31:31">
      <c r="AE9837" s="54"/>
    </row>
    <row r="9838" spans="31:31">
      <c r="AE9838" s="54"/>
    </row>
    <row r="9839" spans="31:31">
      <c r="AE9839" s="54"/>
    </row>
    <row r="9840" spans="31:31">
      <c r="AE9840" s="54"/>
    </row>
    <row r="9841" spans="31:31">
      <c r="AE9841" s="54"/>
    </row>
    <row r="9842" spans="31:31">
      <c r="AE9842" s="54"/>
    </row>
    <row r="9843" spans="31:31">
      <c r="AE9843" s="54"/>
    </row>
    <row r="9844" spans="31:31">
      <c r="AE9844" s="54"/>
    </row>
    <row r="9845" spans="31:31">
      <c r="AE9845" s="54"/>
    </row>
    <row r="9846" spans="31:31">
      <c r="AE9846" s="54"/>
    </row>
    <row r="9847" spans="31:31">
      <c r="AE9847" s="54"/>
    </row>
    <row r="9848" spans="31:31">
      <c r="AE9848" s="54"/>
    </row>
    <row r="9849" spans="31:31">
      <c r="AE9849" s="54"/>
    </row>
    <row r="9850" spans="31:31">
      <c r="AE9850" s="54"/>
    </row>
    <row r="9851" spans="31:31">
      <c r="AE9851" s="54"/>
    </row>
    <row r="9852" spans="31:31">
      <c r="AE9852" s="54"/>
    </row>
    <row r="9853" spans="31:31">
      <c r="AE9853" s="54"/>
    </row>
    <row r="9854" spans="31:31">
      <c r="AE9854" s="54"/>
    </row>
    <row r="9855" spans="31:31">
      <c r="AE9855" s="54"/>
    </row>
    <row r="9856" spans="31:31">
      <c r="AE9856" s="54"/>
    </row>
    <row r="9857" spans="31:31">
      <c r="AE9857" s="54"/>
    </row>
    <row r="9858" spans="31:31">
      <c r="AE9858" s="54"/>
    </row>
    <row r="9859" spans="31:31">
      <c r="AE9859" s="54"/>
    </row>
    <row r="9860" spans="31:31">
      <c r="AE9860" s="54"/>
    </row>
    <row r="9861" spans="31:31">
      <c r="AE9861" s="54"/>
    </row>
    <row r="9862" spans="31:31">
      <c r="AE9862" s="54"/>
    </row>
    <row r="9863" spans="31:31">
      <c r="AE9863" s="54"/>
    </row>
    <row r="9864" spans="31:31">
      <c r="AE9864" s="54"/>
    </row>
    <row r="9865" spans="31:31">
      <c r="AE9865" s="54"/>
    </row>
    <row r="9866" spans="31:31">
      <c r="AE9866" s="54"/>
    </row>
    <row r="9867" spans="31:31">
      <c r="AE9867" s="54"/>
    </row>
    <row r="9868" spans="31:31">
      <c r="AE9868" s="54"/>
    </row>
    <row r="9869" spans="31:31">
      <c r="AE9869" s="54"/>
    </row>
    <row r="9870" spans="31:31">
      <c r="AE9870" s="54"/>
    </row>
    <row r="9871" spans="31:31">
      <c r="AE9871" s="54"/>
    </row>
    <row r="9872" spans="31:31">
      <c r="AE9872" s="54"/>
    </row>
    <row r="9873" spans="31:31">
      <c r="AE9873" s="54"/>
    </row>
    <row r="9874" spans="31:31">
      <c r="AE9874" s="54"/>
    </row>
    <row r="9875" spans="31:31">
      <c r="AE9875" s="54"/>
    </row>
    <row r="9876" spans="31:31">
      <c r="AE9876" s="54"/>
    </row>
    <row r="9877" spans="31:31">
      <c r="AE9877" s="54"/>
    </row>
    <row r="9878" spans="31:31">
      <c r="AE9878" s="54"/>
    </row>
    <row r="9879" spans="31:31">
      <c r="AE9879" s="54"/>
    </row>
    <row r="9880" spans="31:31">
      <c r="AE9880" s="54"/>
    </row>
    <row r="9881" spans="31:31">
      <c r="AE9881" s="54"/>
    </row>
    <row r="9882" spans="31:31">
      <c r="AE9882" s="54"/>
    </row>
    <row r="9883" spans="31:31">
      <c r="AE9883" s="54"/>
    </row>
    <row r="9884" spans="31:31">
      <c r="AE9884" s="54"/>
    </row>
    <row r="9885" spans="31:31">
      <c r="AE9885" s="54"/>
    </row>
    <row r="9886" spans="31:31">
      <c r="AE9886" s="54"/>
    </row>
    <row r="9887" spans="31:31">
      <c r="AE9887" s="54"/>
    </row>
    <row r="9888" spans="31:31">
      <c r="AE9888" s="54"/>
    </row>
    <row r="9889" spans="31:31">
      <c r="AE9889" s="54"/>
    </row>
    <row r="9890" spans="31:31">
      <c r="AE9890" s="54"/>
    </row>
    <row r="9891" spans="31:31">
      <c r="AE9891" s="54"/>
    </row>
    <row r="9892" spans="31:31">
      <c r="AE9892" s="54"/>
    </row>
    <row r="9893" spans="31:31">
      <c r="AE9893" s="54"/>
    </row>
    <row r="9894" spans="31:31">
      <c r="AE9894" s="54"/>
    </row>
    <row r="9895" spans="31:31">
      <c r="AE9895" s="54"/>
    </row>
    <row r="9896" spans="31:31">
      <c r="AE9896" s="54"/>
    </row>
    <row r="9897" spans="31:31">
      <c r="AE9897" s="54"/>
    </row>
    <row r="9898" spans="31:31">
      <c r="AE9898" s="54"/>
    </row>
    <row r="9899" spans="31:31">
      <c r="AE9899" s="54"/>
    </row>
    <row r="9900" spans="31:31">
      <c r="AE9900" s="54"/>
    </row>
    <row r="9901" spans="31:31">
      <c r="AE9901" s="54"/>
    </row>
    <row r="9902" spans="31:31">
      <c r="AE9902" s="54"/>
    </row>
    <row r="9903" spans="31:31">
      <c r="AE9903" s="54"/>
    </row>
    <row r="9904" spans="31:31">
      <c r="AE9904" s="54"/>
    </row>
    <row r="9905" spans="31:31">
      <c r="AE9905" s="54"/>
    </row>
    <row r="9906" spans="31:31">
      <c r="AE9906" s="54"/>
    </row>
    <row r="9907" spans="31:31">
      <c r="AE9907" s="54"/>
    </row>
    <row r="9908" spans="31:31">
      <c r="AE9908" s="54"/>
    </row>
    <row r="9909" spans="31:31">
      <c r="AE9909" s="54"/>
    </row>
    <row r="9910" spans="31:31">
      <c r="AE9910" s="54"/>
    </row>
    <row r="9911" spans="31:31">
      <c r="AE9911" s="54"/>
    </row>
    <row r="9912" spans="31:31">
      <c r="AE9912" s="54"/>
    </row>
    <row r="9913" spans="31:31">
      <c r="AE9913" s="54"/>
    </row>
    <row r="9914" spans="31:31">
      <c r="AE9914" s="54"/>
    </row>
    <row r="9915" spans="31:31">
      <c r="AE9915" s="54"/>
    </row>
    <row r="9916" spans="31:31">
      <c r="AE9916" s="54"/>
    </row>
    <row r="9917" spans="31:31">
      <c r="AE9917" s="54"/>
    </row>
    <row r="9918" spans="31:31">
      <c r="AE9918" s="54"/>
    </row>
    <row r="9919" spans="31:31">
      <c r="AE9919" s="54"/>
    </row>
    <row r="9920" spans="31:31">
      <c r="AE9920" s="54"/>
    </row>
    <row r="9921" spans="31:31">
      <c r="AE9921" s="54"/>
    </row>
    <row r="9922" spans="31:31">
      <c r="AE9922" s="54"/>
    </row>
    <row r="9923" spans="31:31">
      <c r="AE9923" s="54"/>
    </row>
    <row r="9924" spans="31:31">
      <c r="AE9924" s="54"/>
    </row>
    <row r="9925" spans="31:31">
      <c r="AE9925" s="54"/>
    </row>
    <row r="9926" spans="31:31">
      <c r="AE9926" s="54"/>
    </row>
    <row r="9927" spans="31:31">
      <c r="AE9927" s="54"/>
    </row>
    <row r="9928" spans="31:31">
      <c r="AE9928" s="54"/>
    </row>
    <row r="9929" spans="31:31">
      <c r="AE9929" s="54"/>
    </row>
    <row r="9930" spans="31:31">
      <c r="AE9930" s="54"/>
    </row>
    <row r="9931" spans="31:31">
      <c r="AE9931" s="54"/>
    </row>
    <row r="9932" spans="31:31">
      <c r="AE9932" s="54"/>
    </row>
    <row r="9933" spans="31:31">
      <c r="AE9933" s="54"/>
    </row>
    <row r="9934" spans="31:31">
      <c r="AE9934" s="54"/>
    </row>
    <row r="9935" spans="31:31">
      <c r="AE9935" s="54"/>
    </row>
    <row r="9936" spans="31:31">
      <c r="AE9936" s="54"/>
    </row>
    <row r="9937" spans="31:31">
      <c r="AE9937" s="54"/>
    </row>
    <row r="9938" spans="31:31">
      <c r="AE9938" s="54"/>
    </row>
    <row r="9939" spans="31:31">
      <c r="AE9939" s="54"/>
    </row>
    <row r="9940" spans="31:31">
      <c r="AE9940" s="54"/>
    </row>
    <row r="9941" spans="31:31">
      <c r="AE9941" s="54"/>
    </row>
    <row r="9942" spans="31:31">
      <c r="AE9942" s="54"/>
    </row>
    <row r="9943" spans="31:31">
      <c r="AE9943" s="54"/>
    </row>
    <row r="9944" spans="31:31">
      <c r="AE9944" s="54"/>
    </row>
    <row r="9945" spans="31:31">
      <c r="AE9945" s="54"/>
    </row>
    <row r="9946" spans="31:31">
      <c r="AE9946" s="54"/>
    </row>
    <row r="9947" spans="31:31">
      <c r="AE9947" s="54"/>
    </row>
    <row r="9948" spans="31:31">
      <c r="AE9948" s="54"/>
    </row>
    <row r="9949" spans="31:31">
      <c r="AE9949" s="54"/>
    </row>
    <row r="9950" spans="31:31">
      <c r="AE9950" s="54"/>
    </row>
    <row r="9951" spans="31:31">
      <c r="AE9951" s="54"/>
    </row>
    <row r="9952" spans="31:31">
      <c r="AE9952" s="54"/>
    </row>
    <row r="9953" spans="31:31">
      <c r="AE9953" s="54"/>
    </row>
    <row r="9954" spans="31:31">
      <c r="AE9954" s="54"/>
    </row>
    <row r="9955" spans="31:31">
      <c r="AE9955" s="54"/>
    </row>
    <row r="9956" spans="31:31">
      <c r="AE9956" s="54"/>
    </row>
    <row r="9957" spans="31:31">
      <c r="AE9957" s="54"/>
    </row>
    <row r="9958" spans="31:31">
      <c r="AE9958" s="54"/>
    </row>
    <row r="9959" spans="31:31">
      <c r="AE9959" s="54"/>
    </row>
    <row r="9960" spans="31:31">
      <c r="AE9960" s="54"/>
    </row>
    <row r="9961" spans="31:31">
      <c r="AE9961" s="54"/>
    </row>
    <row r="9962" spans="31:31">
      <c r="AE9962" s="54"/>
    </row>
    <row r="9963" spans="31:31">
      <c r="AE9963" s="54"/>
    </row>
    <row r="9964" spans="31:31">
      <c r="AE9964" s="54"/>
    </row>
    <row r="9965" spans="31:31">
      <c r="AE9965" s="54"/>
    </row>
    <row r="9966" spans="31:31">
      <c r="AE9966" s="54"/>
    </row>
    <row r="9967" spans="31:31">
      <c r="AE9967" s="54"/>
    </row>
    <row r="9968" spans="31:31">
      <c r="AE9968" s="54"/>
    </row>
    <row r="9969" spans="31:31">
      <c r="AE9969" s="54"/>
    </row>
    <row r="9970" spans="31:31">
      <c r="AE9970" s="54"/>
    </row>
    <row r="9971" spans="31:31">
      <c r="AE9971" s="54"/>
    </row>
    <row r="9972" spans="31:31">
      <c r="AE9972" s="54"/>
    </row>
    <row r="9973" spans="31:31">
      <c r="AE9973" s="54"/>
    </row>
    <row r="9974" spans="31:31">
      <c r="AE9974" s="54"/>
    </row>
    <row r="9975" spans="31:31">
      <c r="AE9975" s="54"/>
    </row>
    <row r="9976" spans="31:31">
      <c r="AE9976" s="54"/>
    </row>
    <row r="9977" spans="31:31">
      <c r="AE9977" s="54"/>
    </row>
    <row r="9978" spans="31:31">
      <c r="AE9978" s="54"/>
    </row>
    <row r="9979" spans="31:31">
      <c r="AE9979" s="54"/>
    </row>
    <row r="9980" spans="31:31">
      <c r="AE9980" s="54"/>
    </row>
    <row r="9981" spans="31:31">
      <c r="AE9981" s="54"/>
    </row>
    <row r="9982" spans="31:31">
      <c r="AE9982" s="54"/>
    </row>
    <row r="9983" spans="31:31">
      <c r="AE9983" s="54"/>
    </row>
    <row r="9984" spans="31:31">
      <c r="AE9984" s="54"/>
    </row>
    <row r="9985" spans="31:31">
      <c r="AE9985" s="54"/>
    </row>
    <row r="9986" spans="31:31">
      <c r="AE9986" s="54"/>
    </row>
    <row r="9987" spans="31:31">
      <c r="AE9987" s="54"/>
    </row>
    <row r="9988" spans="31:31">
      <c r="AE9988" s="54"/>
    </row>
    <row r="9989" spans="31:31">
      <c r="AE9989" s="54"/>
    </row>
    <row r="9990" spans="31:31">
      <c r="AE9990" s="54"/>
    </row>
    <row r="9991" spans="31:31">
      <c r="AE9991" s="54"/>
    </row>
    <row r="9992" spans="31:31">
      <c r="AE9992" s="54"/>
    </row>
    <row r="9993" spans="31:31">
      <c r="AE9993" s="54"/>
    </row>
    <row r="9994" spans="31:31">
      <c r="AE9994" s="54"/>
    </row>
    <row r="9995" spans="31:31">
      <c r="AE9995" s="54"/>
    </row>
    <row r="9996" spans="31:31">
      <c r="AE9996" s="54"/>
    </row>
    <row r="9997" spans="31:31">
      <c r="AE9997" s="54"/>
    </row>
    <row r="9998" spans="31:31">
      <c r="AE9998" s="54"/>
    </row>
    <row r="9999" spans="31:31">
      <c r="AE9999" s="54"/>
    </row>
    <row r="10000" spans="31:31">
      <c r="AE10000" s="54"/>
    </row>
    <row r="10001" spans="31:31">
      <c r="AE10001" s="54"/>
    </row>
    <row r="10002" spans="31:31">
      <c r="AE10002" s="54"/>
    </row>
    <row r="10003" spans="31:31">
      <c r="AE10003" s="54"/>
    </row>
    <row r="10004" spans="31:31">
      <c r="AE10004" s="54"/>
    </row>
    <row r="10005" spans="31:31">
      <c r="AE10005" s="54"/>
    </row>
    <row r="10006" spans="31:31">
      <c r="AE10006" s="54"/>
    </row>
    <row r="10007" spans="31:31">
      <c r="AE10007" s="54"/>
    </row>
    <row r="10008" spans="31:31">
      <c r="AE10008" s="54"/>
    </row>
    <row r="10009" spans="31:31">
      <c r="AE10009" s="54"/>
    </row>
    <row r="10010" spans="31:31">
      <c r="AE10010" s="54"/>
    </row>
    <row r="10011" spans="31:31">
      <c r="AE10011" s="54"/>
    </row>
    <row r="10012" spans="31:31">
      <c r="AE10012" s="54"/>
    </row>
    <row r="10013" spans="31:31">
      <c r="AE10013" s="54"/>
    </row>
    <row r="10014" spans="31:31">
      <c r="AE10014" s="54"/>
    </row>
    <row r="10015" spans="31:31">
      <c r="AE10015" s="54"/>
    </row>
    <row r="10016" spans="31:31">
      <c r="AE10016" s="54"/>
    </row>
    <row r="10017" spans="31:31">
      <c r="AE10017" s="54"/>
    </row>
    <row r="10018" spans="31:31">
      <c r="AE10018" s="54"/>
    </row>
    <row r="10019" spans="31:31">
      <c r="AE10019" s="54"/>
    </row>
    <row r="10020" spans="31:31">
      <c r="AE10020" s="54"/>
    </row>
    <row r="10021" spans="31:31">
      <c r="AE10021" s="54"/>
    </row>
    <row r="10022" spans="31:31">
      <c r="AE10022" s="54"/>
    </row>
    <row r="10023" spans="31:31">
      <c r="AE10023" s="54"/>
    </row>
    <row r="10024" spans="31:31">
      <c r="AE10024" s="54"/>
    </row>
    <row r="10025" spans="31:31">
      <c r="AE10025" s="54"/>
    </row>
    <row r="10026" spans="31:31">
      <c r="AE10026" s="54"/>
    </row>
    <row r="10027" spans="31:31">
      <c r="AE10027" s="54"/>
    </row>
    <row r="10028" spans="31:31">
      <c r="AE10028" s="54"/>
    </row>
    <row r="10029" spans="31:31">
      <c r="AE10029" s="54"/>
    </row>
    <row r="10030" spans="31:31">
      <c r="AE10030" s="54"/>
    </row>
    <row r="10031" spans="31:31">
      <c r="AE10031" s="54"/>
    </row>
    <row r="10032" spans="31:31">
      <c r="AE10032" s="54"/>
    </row>
    <row r="10033" spans="31:31">
      <c r="AE10033" s="54"/>
    </row>
    <row r="10034" spans="31:31">
      <c r="AE10034" s="54"/>
    </row>
    <row r="10035" spans="31:31">
      <c r="AE10035" s="54"/>
    </row>
    <row r="10036" spans="31:31">
      <c r="AE10036" s="54"/>
    </row>
    <row r="10037" spans="31:31">
      <c r="AE10037" s="54"/>
    </row>
    <row r="10038" spans="31:31">
      <c r="AE10038" s="54"/>
    </row>
    <row r="10039" spans="31:31">
      <c r="AE10039" s="54"/>
    </row>
    <row r="10040" spans="31:31">
      <c r="AE10040" s="54"/>
    </row>
    <row r="10041" spans="31:31">
      <c r="AE10041" s="54"/>
    </row>
    <row r="10042" spans="31:31">
      <c r="AE10042" s="54"/>
    </row>
    <row r="10043" spans="31:31">
      <c r="AE10043" s="54"/>
    </row>
    <row r="10044" spans="31:31">
      <c r="AE10044" s="54"/>
    </row>
    <row r="10045" spans="31:31">
      <c r="AE10045" s="54"/>
    </row>
    <row r="10046" spans="31:31">
      <c r="AE10046" s="54"/>
    </row>
    <row r="10047" spans="31:31">
      <c r="AE10047" s="54"/>
    </row>
    <row r="10048" spans="31:31">
      <c r="AE10048" s="54"/>
    </row>
    <row r="10049" spans="31:31">
      <c r="AE10049" s="54"/>
    </row>
    <row r="10050" spans="31:31">
      <c r="AE10050" s="54"/>
    </row>
    <row r="10051" spans="31:31">
      <c r="AE10051" s="54"/>
    </row>
    <row r="10052" spans="31:31">
      <c r="AE10052" s="54"/>
    </row>
    <row r="10053" spans="31:31">
      <c r="AE10053" s="54"/>
    </row>
    <row r="10054" spans="31:31">
      <c r="AE10054" s="54"/>
    </row>
    <row r="10055" spans="31:31">
      <c r="AE10055" s="54"/>
    </row>
    <row r="10056" spans="31:31">
      <c r="AE10056" s="54"/>
    </row>
    <row r="10057" spans="31:31">
      <c r="AE10057" s="54"/>
    </row>
    <row r="10058" spans="31:31">
      <c r="AE10058" s="54"/>
    </row>
    <row r="10059" spans="31:31">
      <c r="AE10059" s="54"/>
    </row>
    <row r="10060" spans="31:31">
      <c r="AE10060" s="54"/>
    </row>
    <row r="10061" spans="31:31">
      <c r="AE10061" s="54"/>
    </row>
    <row r="10062" spans="31:31">
      <c r="AE10062" s="54"/>
    </row>
    <row r="10063" spans="31:31">
      <c r="AE10063" s="54"/>
    </row>
    <row r="10064" spans="31:31">
      <c r="AE10064" s="54"/>
    </row>
    <row r="10065" spans="31:31">
      <c r="AE10065" s="54"/>
    </row>
    <row r="10066" spans="31:31">
      <c r="AE10066" s="54"/>
    </row>
    <row r="10067" spans="31:31">
      <c r="AE10067" s="54"/>
    </row>
    <row r="10068" spans="31:31">
      <c r="AE10068" s="54"/>
    </row>
    <row r="10069" spans="31:31">
      <c r="AE10069" s="54"/>
    </row>
    <row r="10070" spans="31:31">
      <c r="AE10070" s="54"/>
    </row>
    <row r="10071" spans="31:31">
      <c r="AE10071" s="54"/>
    </row>
    <row r="10072" spans="31:31">
      <c r="AE10072" s="54"/>
    </row>
    <row r="10073" spans="31:31">
      <c r="AE10073" s="54"/>
    </row>
    <row r="10074" spans="31:31">
      <c r="AE10074" s="54"/>
    </row>
    <row r="10075" spans="31:31">
      <c r="AE10075" s="54"/>
    </row>
    <row r="10076" spans="31:31">
      <c r="AE10076" s="54"/>
    </row>
    <row r="10077" spans="31:31">
      <c r="AE10077" s="54"/>
    </row>
    <row r="10078" spans="31:31">
      <c r="AE10078" s="54"/>
    </row>
    <row r="10079" spans="31:31">
      <c r="AE10079" s="54"/>
    </row>
    <row r="10080" spans="31:31">
      <c r="AE10080" s="54"/>
    </row>
    <row r="10081" spans="31:31">
      <c r="AE10081" s="54"/>
    </row>
    <row r="10082" spans="31:31">
      <c r="AE10082" s="54"/>
    </row>
    <row r="10083" spans="31:31">
      <c r="AE10083" s="54"/>
    </row>
    <row r="10084" spans="31:31">
      <c r="AE10084" s="54"/>
    </row>
    <row r="10085" spans="31:31">
      <c r="AE10085" s="54"/>
    </row>
    <row r="10086" spans="31:31">
      <c r="AE10086" s="54"/>
    </row>
    <row r="10087" spans="31:31">
      <c r="AE10087" s="54"/>
    </row>
    <row r="10088" spans="31:31">
      <c r="AE10088" s="54"/>
    </row>
    <row r="10089" spans="31:31">
      <c r="AE10089" s="54"/>
    </row>
    <row r="10090" spans="31:31">
      <c r="AE10090" s="54"/>
    </row>
    <row r="10091" spans="31:31">
      <c r="AE10091" s="54"/>
    </row>
    <row r="10092" spans="31:31">
      <c r="AE10092" s="54"/>
    </row>
    <row r="10093" spans="31:31">
      <c r="AE10093" s="54"/>
    </row>
    <row r="10094" spans="31:31">
      <c r="AE10094" s="54"/>
    </row>
    <row r="10095" spans="31:31">
      <c r="AE10095" s="54"/>
    </row>
    <row r="10096" spans="31:31">
      <c r="AE10096" s="54"/>
    </row>
    <row r="10097" spans="31:31">
      <c r="AE10097" s="54"/>
    </row>
    <row r="10098" spans="31:31">
      <c r="AE10098" s="54"/>
    </row>
    <row r="10099" spans="31:31">
      <c r="AE10099" s="54"/>
    </row>
    <row r="10100" spans="31:31">
      <c r="AE10100" s="54"/>
    </row>
    <row r="10101" spans="31:31">
      <c r="AE10101" s="54"/>
    </row>
    <row r="10102" spans="31:31">
      <c r="AE10102" s="54"/>
    </row>
    <row r="10103" spans="31:31">
      <c r="AE10103" s="54"/>
    </row>
    <row r="10104" spans="31:31">
      <c r="AE10104" s="54"/>
    </row>
    <row r="10105" spans="31:31">
      <c r="AE10105" s="54"/>
    </row>
    <row r="10106" spans="31:31">
      <c r="AE10106" s="54"/>
    </row>
    <row r="10107" spans="31:31">
      <c r="AE10107" s="54"/>
    </row>
    <row r="10108" spans="31:31">
      <c r="AE10108" s="54"/>
    </row>
    <row r="10109" spans="31:31">
      <c r="AE10109" s="54"/>
    </row>
    <row r="10110" spans="31:31">
      <c r="AE10110" s="54"/>
    </row>
    <row r="10111" spans="31:31">
      <c r="AE10111" s="54"/>
    </row>
    <row r="10112" spans="31:31">
      <c r="AE10112" s="54"/>
    </row>
    <row r="10113" spans="31:31">
      <c r="AE10113" s="54"/>
    </row>
    <row r="10114" spans="31:31">
      <c r="AE10114" s="54"/>
    </row>
    <row r="10115" spans="31:31">
      <c r="AE10115" s="54"/>
    </row>
    <row r="10116" spans="31:31">
      <c r="AE10116" s="54"/>
    </row>
    <row r="10117" spans="31:31">
      <c r="AE10117" s="54"/>
    </row>
    <row r="10118" spans="31:31">
      <c r="AE10118" s="54"/>
    </row>
    <row r="10119" spans="31:31">
      <c r="AE10119" s="54"/>
    </row>
    <row r="10120" spans="31:31">
      <c r="AE10120" s="54"/>
    </row>
    <row r="10121" spans="31:31">
      <c r="AE10121" s="54"/>
    </row>
    <row r="10122" spans="31:31">
      <c r="AE10122" s="54"/>
    </row>
    <row r="10123" spans="31:31">
      <c r="AE10123" s="54"/>
    </row>
    <row r="10124" spans="31:31">
      <c r="AE10124" s="54"/>
    </row>
    <row r="10125" spans="31:31">
      <c r="AE10125" s="54"/>
    </row>
    <row r="10126" spans="31:31">
      <c r="AE10126" s="54"/>
    </row>
    <row r="10127" spans="31:31">
      <c r="AE10127" s="54"/>
    </row>
    <row r="10128" spans="31:31">
      <c r="AE10128" s="54"/>
    </row>
    <row r="10129" spans="31:31">
      <c r="AE10129" s="54"/>
    </row>
    <row r="10130" spans="31:31">
      <c r="AE10130" s="54"/>
    </row>
    <row r="10131" spans="31:31">
      <c r="AE10131" s="54"/>
    </row>
    <row r="10132" spans="31:31">
      <c r="AE10132" s="54"/>
    </row>
    <row r="10133" spans="31:31">
      <c r="AE10133" s="54"/>
    </row>
    <row r="10134" spans="31:31">
      <c r="AE10134" s="54"/>
    </row>
    <row r="10135" spans="31:31">
      <c r="AE10135" s="54"/>
    </row>
    <row r="10136" spans="31:31">
      <c r="AE10136" s="54"/>
    </row>
    <row r="10137" spans="31:31">
      <c r="AE10137" s="54"/>
    </row>
    <row r="10138" spans="31:31">
      <c r="AE10138" s="54"/>
    </row>
    <row r="10139" spans="31:31">
      <c r="AE10139" s="54"/>
    </row>
    <row r="10140" spans="31:31">
      <c r="AE10140" s="54"/>
    </row>
    <row r="10141" spans="31:31">
      <c r="AE10141" s="54"/>
    </row>
    <row r="10142" spans="31:31">
      <c r="AE10142" s="54"/>
    </row>
    <row r="10143" spans="31:31">
      <c r="AE10143" s="54"/>
    </row>
    <row r="10144" spans="31:31">
      <c r="AE10144" s="54"/>
    </row>
    <row r="10145" spans="31:31">
      <c r="AE10145" s="54"/>
    </row>
    <row r="10146" spans="31:31">
      <c r="AE10146" s="54"/>
    </row>
    <row r="10147" spans="31:31">
      <c r="AE10147" s="54"/>
    </row>
    <row r="10148" spans="31:31">
      <c r="AE10148" s="54"/>
    </row>
    <row r="10149" spans="31:31">
      <c r="AE10149" s="54"/>
    </row>
    <row r="10150" spans="31:31">
      <c r="AE10150" s="54"/>
    </row>
    <row r="10151" spans="31:31">
      <c r="AE10151" s="54"/>
    </row>
    <row r="10152" spans="31:31">
      <c r="AE10152" s="54"/>
    </row>
    <row r="10153" spans="31:31">
      <c r="AE10153" s="54"/>
    </row>
    <row r="10154" spans="31:31">
      <c r="AE10154" s="54"/>
    </row>
    <row r="10155" spans="31:31">
      <c r="AE10155" s="54"/>
    </row>
    <row r="10156" spans="31:31">
      <c r="AE10156" s="54"/>
    </row>
    <row r="10157" spans="31:31">
      <c r="AE10157" s="54"/>
    </row>
    <row r="10158" spans="31:31">
      <c r="AE10158" s="54"/>
    </row>
    <row r="10159" spans="31:31">
      <c r="AE10159" s="54"/>
    </row>
    <row r="10160" spans="31:31">
      <c r="AE10160" s="54"/>
    </row>
    <row r="10161" spans="31:31">
      <c r="AE10161" s="54"/>
    </row>
    <row r="10162" spans="31:31">
      <c r="AE10162" s="54"/>
    </row>
    <row r="10163" spans="31:31">
      <c r="AE10163" s="54"/>
    </row>
    <row r="10164" spans="31:31">
      <c r="AE10164" s="54"/>
    </row>
    <row r="10165" spans="31:31">
      <c r="AE10165" s="54"/>
    </row>
    <row r="10166" spans="31:31">
      <c r="AE10166" s="54"/>
    </row>
    <row r="10167" spans="31:31">
      <c r="AE10167" s="54"/>
    </row>
    <row r="10168" spans="31:31">
      <c r="AE10168" s="54"/>
    </row>
    <row r="10169" spans="31:31">
      <c r="AE10169" s="54"/>
    </row>
    <row r="10170" spans="31:31">
      <c r="AE10170" s="54"/>
    </row>
    <row r="10171" spans="31:31">
      <c r="AE10171" s="54"/>
    </row>
    <row r="10172" spans="31:31">
      <c r="AE10172" s="54"/>
    </row>
    <row r="10173" spans="31:31">
      <c r="AE10173" s="54"/>
    </row>
    <row r="10174" spans="31:31">
      <c r="AE10174" s="54"/>
    </row>
    <row r="10175" spans="31:31">
      <c r="AE10175" s="54"/>
    </row>
    <row r="10176" spans="31:31">
      <c r="AE10176" s="54"/>
    </row>
    <row r="10177" spans="31:31">
      <c r="AE10177" s="54"/>
    </row>
    <row r="10178" spans="31:31">
      <c r="AE10178" s="54"/>
    </row>
    <row r="10179" spans="31:31">
      <c r="AE10179" s="54"/>
    </row>
    <row r="10180" spans="31:31">
      <c r="AE10180" s="54"/>
    </row>
    <row r="10181" spans="31:31">
      <c r="AE10181" s="54"/>
    </row>
    <row r="10182" spans="31:31">
      <c r="AE10182" s="54"/>
    </row>
    <row r="10183" spans="31:31">
      <c r="AE10183" s="54"/>
    </row>
    <row r="10184" spans="31:31">
      <c r="AE10184" s="54"/>
    </row>
    <row r="10185" spans="31:31">
      <c r="AE10185" s="54"/>
    </row>
    <row r="10186" spans="31:31">
      <c r="AE10186" s="54"/>
    </row>
    <row r="10187" spans="31:31">
      <c r="AE10187" s="54"/>
    </row>
    <row r="10188" spans="31:31">
      <c r="AE10188" s="54"/>
    </row>
    <row r="10189" spans="31:31">
      <c r="AE10189" s="54"/>
    </row>
    <row r="10190" spans="31:31">
      <c r="AE10190" s="54"/>
    </row>
    <row r="10191" spans="31:31">
      <c r="AE10191" s="54"/>
    </row>
    <row r="10192" spans="31:31">
      <c r="AE10192" s="54"/>
    </row>
    <row r="10193" spans="31:31">
      <c r="AE10193" s="54"/>
    </row>
    <row r="10194" spans="31:31">
      <c r="AE10194" s="54"/>
    </row>
    <row r="10195" spans="31:31">
      <c r="AE10195" s="54"/>
    </row>
    <row r="10196" spans="31:31">
      <c r="AE10196" s="54"/>
    </row>
    <row r="10197" spans="31:31">
      <c r="AE10197" s="54"/>
    </row>
    <row r="10198" spans="31:31">
      <c r="AE10198" s="54"/>
    </row>
    <row r="10199" spans="31:31">
      <c r="AE10199" s="54"/>
    </row>
    <row r="10200" spans="31:31">
      <c r="AE10200" s="54"/>
    </row>
    <row r="10201" spans="31:31">
      <c r="AE10201" s="54"/>
    </row>
    <row r="10202" spans="31:31">
      <c r="AE10202" s="54"/>
    </row>
    <row r="10203" spans="31:31">
      <c r="AE10203" s="54"/>
    </row>
    <row r="10204" spans="31:31">
      <c r="AE10204" s="54"/>
    </row>
    <row r="10205" spans="31:31">
      <c r="AE10205" s="54"/>
    </row>
    <row r="10206" spans="31:31">
      <c r="AE10206" s="54"/>
    </row>
    <row r="10207" spans="31:31">
      <c r="AE10207" s="54"/>
    </row>
    <row r="10208" spans="31:31">
      <c r="AE10208" s="54"/>
    </row>
    <row r="10209" spans="31:31">
      <c r="AE10209" s="54"/>
    </row>
    <row r="10210" spans="31:31">
      <c r="AE10210" s="54"/>
    </row>
    <row r="10211" spans="31:31">
      <c r="AE10211" s="54"/>
    </row>
    <row r="10212" spans="31:31">
      <c r="AE10212" s="54"/>
    </row>
    <row r="10213" spans="31:31">
      <c r="AE10213" s="54"/>
    </row>
    <row r="10214" spans="31:31">
      <c r="AE10214" s="54"/>
    </row>
    <row r="10215" spans="31:31">
      <c r="AE10215" s="54"/>
    </row>
    <row r="10216" spans="31:31">
      <c r="AE10216" s="54"/>
    </row>
    <row r="10217" spans="31:31">
      <c r="AE10217" s="54"/>
    </row>
    <row r="10218" spans="31:31">
      <c r="AE10218" s="54"/>
    </row>
    <row r="10219" spans="31:31">
      <c r="AE10219" s="54"/>
    </row>
    <row r="10220" spans="31:31">
      <c r="AE10220" s="54"/>
    </row>
    <row r="10221" spans="31:31">
      <c r="AE10221" s="54"/>
    </row>
    <row r="10222" spans="31:31">
      <c r="AE10222" s="54"/>
    </row>
    <row r="10223" spans="31:31">
      <c r="AE10223" s="54"/>
    </row>
    <row r="10224" spans="31:31">
      <c r="AE10224" s="54"/>
    </row>
    <row r="10225" spans="31:31">
      <c r="AE10225" s="54"/>
    </row>
    <row r="10226" spans="31:31">
      <c r="AE10226" s="54"/>
    </row>
    <row r="10227" spans="31:31">
      <c r="AE10227" s="54"/>
    </row>
    <row r="10228" spans="31:31">
      <c r="AE10228" s="54"/>
    </row>
    <row r="10229" spans="31:31">
      <c r="AE10229" s="54"/>
    </row>
    <row r="10230" spans="31:31">
      <c r="AE10230" s="54"/>
    </row>
    <row r="10231" spans="31:31">
      <c r="AE10231" s="54"/>
    </row>
    <row r="10232" spans="31:31">
      <c r="AE10232" s="54"/>
    </row>
    <row r="10233" spans="31:31">
      <c r="AE10233" s="54"/>
    </row>
    <row r="10234" spans="31:31">
      <c r="AE10234" s="54"/>
    </row>
    <row r="10235" spans="31:31">
      <c r="AE10235" s="54"/>
    </row>
    <row r="10236" spans="31:31">
      <c r="AE10236" s="54"/>
    </row>
    <row r="10237" spans="31:31">
      <c r="AE10237" s="54"/>
    </row>
    <row r="10238" spans="31:31">
      <c r="AE10238" s="54"/>
    </row>
    <row r="10239" spans="31:31">
      <c r="AE10239" s="54"/>
    </row>
    <row r="10240" spans="31:31">
      <c r="AE10240" s="54"/>
    </row>
    <row r="10241" spans="31:31">
      <c r="AE10241" s="54"/>
    </row>
    <row r="10242" spans="31:31">
      <c r="AE10242" s="54"/>
    </row>
    <row r="10243" spans="31:31">
      <c r="AE10243" s="54"/>
    </row>
    <row r="10244" spans="31:31">
      <c r="AE10244" s="54"/>
    </row>
    <row r="10245" spans="31:31">
      <c r="AE10245" s="54"/>
    </row>
    <row r="10246" spans="31:31">
      <c r="AE10246" s="54"/>
    </row>
    <row r="10247" spans="31:31">
      <c r="AE10247" s="54"/>
    </row>
    <row r="10248" spans="31:31">
      <c r="AE10248" s="54"/>
    </row>
    <row r="10249" spans="31:31">
      <c r="AE10249" s="54"/>
    </row>
    <row r="10250" spans="31:31">
      <c r="AE10250" s="54"/>
    </row>
    <row r="10251" spans="31:31">
      <c r="AE10251" s="54"/>
    </row>
    <row r="10252" spans="31:31">
      <c r="AE10252" s="54"/>
    </row>
    <row r="10253" spans="31:31">
      <c r="AE10253" s="54"/>
    </row>
    <row r="10254" spans="31:31">
      <c r="AE10254" s="54"/>
    </row>
    <row r="10255" spans="31:31">
      <c r="AE10255" s="54"/>
    </row>
    <row r="10256" spans="31:31">
      <c r="AE10256" s="54"/>
    </row>
    <row r="10257" spans="31:31">
      <c r="AE10257" s="54"/>
    </row>
    <row r="10258" spans="31:31">
      <c r="AE10258" s="54"/>
    </row>
    <row r="10259" spans="31:31">
      <c r="AE10259" s="54"/>
    </row>
    <row r="10260" spans="31:31">
      <c r="AE10260" s="54"/>
    </row>
    <row r="10261" spans="31:31">
      <c r="AE10261" s="54"/>
    </row>
    <row r="10262" spans="31:31">
      <c r="AE10262" s="54"/>
    </row>
    <row r="10263" spans="31:31">
      <c r="AE10263" s="54"/>
    </row>
    <row r="10264" spans="31:31">
      <c r="AE10264" s="54"/>
    </row>
    <row r="10265" spans="31:31">
      <c r="AE10265" s="54"/>
    </row>
    <row r="10266" spans="31:31">
      <c r="AE10266" s="54"/>
    </row>
    <row r="10267" spans="31:31">
      <c r="AE10267" s="54"/>
    </row>
    <row r="10268" spans="31:31">
      <c r="AE10268" s="54"/>
    </row>
    <row r="10269" spans="31:31">
      <c r="AE10269" s="54"/>
    </row>
    <row r="10270" spans="31:31">
      <c r="AE10270" s="54"/>
    </row>
    <row r="10271" spans="31:31">
      <c r="AE10271" s="54"/>
    </row>
    <row r="10272" spans="31:31">
      <c r="AE10272" s="54"/>
    </row>
    <row r="10273" spans="31:31">
      <c r="AE10273" s="54"/>
    </row>
    <row r="10274" spans="31:31">
      <c r="AE10274" s="54"/>
    </row>
    <row r="10275" spans="31:31">
      <c r="AE10275" s="54"/>
    </row>
    <row r="10276" spans="31:31">
      <c r="AE10276" s="54"/>
    </row>
    <row r="10277" spans="31:31">
      <c r="AE10277" s="54"/>
    </row>
    <row r="10278" spans="31:31">
      <c r="AE10278" s="54"/>
    </row>
    <row r="10279" spans="31:31">
      <c r="AE10279" s="54"/>
    </row>
    <row r="10280" spans="31:31">
      <c r="AE10280" s="54"/>
    </row>
    <row r="10281" spans="31:31">
      <c r="AE10281" s="54"/>
    </row>
    <row r="10282" spans="31:31">
      <c r="AE10282" s="54"/>
    </row>
    <row r="10283" spans="31:31">
      <c r="AE10283" s="54"/>
    </row>
    <row r="10284" spans="31:31">
      <c r="AE10284" s="54"/>
    </row>
    <row r="10285" spans="31:31">
      <c r="AE10285" s="54"/>
    </row>
    <row r="10286" spans="31:31">
      <c r="AE10286" s="54"/>
    </row>
    <row r="10287" spans="31:31">
      <c r="AE10287" s="54"/>
    </row>
    <row r="10288" spans="31:31">
      <c r="AE10288" s="54"/>
    </row>
    <row r="10289" spans="31:31">
      <c r="AE10289" s="54"/>
    </row>
    <row r="10290" spans="31:31">
      <c r="AE10290" s="54"/>
    </row>
    <row r="10291" spans="31:31">
      <c r="AE10291" s="54"/>
    </row>
    <row r="10292" spans="31:31">
      <c r="AE10292" s="54"/>
    </row>
    <row r="10293" spans="31:31">
      <c r="AE10293" s="54"/>
    </row>
    <row r="10294" spans="31:31">
      <c r="AE10294" s="54"/>
    </row>
    <row r="10295" spans="31:31">
      <c r="AE10295" s="54"/>
    </row>
    <row r="10296" spans="31:31">
      <c r="AE10296" s="54"/>
    </row>
    <row r="10297" spans="31:31">
      <c r="AE10297" s="54"/>
    </row>
    <row r="10298" spans="31:31">
      <c r="AE10298" s="54"/>
    </row>
    <row r="10299" spans="31:31">
      <c r="AE10299" s="54"/>
    </row>
    <row r="10300" spans="31:31">
      <c r="AE10300" s="54"/>
    </row>
    <row r="10301" spans="31:31">
      <c r="AE10301" s="54"/>
    </row>
    <row r="10302" spans="31:31">
      <c r="AE10302" s="54"/>
    </row>
    <row r="10303" spans="31:31">
      <c r="AE10303" s="54"/>
    </row>
    <row r="10304" spans="31:31">
      <c r="AE10304" s="54"/>
    </row>
    <row r="10305" spans="31:31">
      <c r="AE10305" s="54"/>
    </row>
    <row r="10306" spans="31:31">
      <c r="AE10306" s="54"/>
    </row>
    <row r="10307" spans="31:31">
      <c r="AE10307" s="54"/>
    </row>
    <row r="10308" spans="31:31">
      <c r="AE10308" s="54"/>
    </row>
    <row r="10309" spans="31:31">
      <c r="AE10309" s="54"/>
    </row>
    <row r="10310" spans="31:31">
      <c r="AE10310" s="54"/>
    </row>
    <row r="10311" spans="31:31">
      <c r="AE10311" s="54"/>
    </row>
    <row r="10312" spans="31:31">
      <c r="AE10312" s="54"/>
    </row>
    <row r="10313" spans="31:31">
      <c r="AE10313" s="54"/>
    </row>
    <row r="10314" spans="31:31">
      <c r="AE10314" s="54"/>
    </row>
    <row r="10315" spans="31:31">
      <c r="AE10315" s="54"/>
    </row>
    <row r="10316" spans="31:31">
      <c r="AE10316" s="54"/>
    </row>
    <row r="10317" spans="31:31">
      <c r="AE10317" s="54"/>
    </row>
    <row r="10318" spans="31:31">
      <c r="AE10318" s="54"/>
    </row>
    <row r="10319" spans="31:31">
      <c r="AE10319" s="54"/>
    </row>
    <row r="10320" spans="31:31">
      <c r="AE10320" s="54"/>
    </row>
    <row r="10321" spans="31:31">
      <c r="AE10321" s="54"/>
    </row>
    <row r="10322" spans="31:31">
      <c r="AE10322" s="54"/>
    </row>
    <row r="10323" spans="31:31">
      <c r="AE10323" s="54"/>
    </row>
    <row r="10324" spans="31:31">
      <c r="AE10324" s="54"/>
    </row>
    <row r="10325" spans="31:31">
      <c r="AE10325" s="54"/>
    </row>
    <row r="10326" spans="31:31">
      <c r="AE10326" s="54"/>
    </row>
    <row r="10327" spans="31:31">
      <c r="AE10327" s="54"/>
    </row>
    <row r="10328" spans="31:31">
      <c r="AE10328" s="54"/>
    </row>
    <row r="10329" spans="31:31">
      <c r="AE10329" s="54"/>
    </row>
    <row r="10330" spans="31:31">
      <c r="AE10330" s="54"/>
    </row>
    <row r="10331" spans="31:31">
      <c r="AE10331" s="54"/>
    </row>
    <row r="10332" spans="31:31">
      <c r="AE10332" s="54"/>
    </row>
    <row r="10333" spans="31:31">
      <c r="AE10333" s="54"/>
    </row>
    <row r="10334" spans="31:31">
      <c r="AE10334" s="54"/>
    </row>
    <row r="10335" spans="31:31">
      <c r="AE10335" s="54"/>
    </row>
    <row r="10336" spans="31:31">
      <c r="AE10336" s="54"/>
    </row>
    <row r="10337" spans="31:31">
      <c r="AE10337" s="54"/>
    </row>
    <row r="10338" spans="31:31">
      <c r="AE10338" s="54"/>
    </row>
    <row r="10339" spans="31:31">
      <c r="AE10339" s="54"/>
    </row>
    <row r="10340" spans="31:31">
      <c r="AE10340" s="54"/>
    </row>
    <row r="10341" spans="31:31">
      <c r="AE10341" s="54"/>
    </row>
    <row r="10342" spans="31:31">
      <c r="AE10342" s="54"/>
    </row>
    <row r="10343" spans="31:31">
      <c r="AE10343" s="54"/>
    </row>
    <row r="10344" spans="31:31">
      <c r="AE10344" s="54"/>
    </row>
    <row r="10345" spans="31:31">
      <c r="AE10345" s="54"/>
    </row>
    <row r="10346" spans="31:31">
      <c r="AE10346" s="54"/>
    </row>
    <row r="10347" spans="31:31">
      <c r="AE10347" s="54"/>
    </row>
    <row r="10348" spans="31:31">
      <c r="AE10348" s="54"/>
    </row>
    <row r="10349" spans="31:31">
      <c r="AE10349" s="54"/>
    </row>
    <row r="10350" spans="31:31">
      <c r="AE10350" s="54"/>
    </row>
    <row r="10351" spans="31:31">
      <c r="AE10351" s="54"/>
    </row>
    <row r="10352" spans="31:31">
      <c r="AE10352" s="54"/>
    </row>
    <row r="10353" spans="31:31">
      <c r="AE10353" s="54"/>
    </row>
    <row r="10354" spans="31:31">
      <c r="AE10354" s="54"/>
    </row>
    <row r="10355" spans="31:31">
      <c r="AE10355" s="54"/>
    </row>
    <row r="10356" spans="31:31">
      <c r="AE10356" s="54"/>
    </row>
    <row r="10357" spans="31:31">
      <c r="AE10357" s="54"/>
    </row>
    <row r="10358" spans="31:31">
      <c r="AE10358" s="54"/>
    </row>
    <row r="10359" spans="31:31">
      <c r="AE10359" s="54"/>
    </row>
    <row r="10360" spans="31:31">
      <c r="AE10360" s="54"/>
    </row>
    <row r="10361" spans="31:31">
      <c r="AE10361" s="54"/>
    </row>
    <row r="10362" spans="31:31">
      <c r="AE10362" s="54"/>
    </row>
    <row r="10363" spans="31:31">
      <c r="AE10363" s="54"/>
    </row>
    <row r="10364" spans="31:31">
      <c r="AE10364" s="54"/>
    </row>
    <row r="10365" spans="31:31">
      <c r="AE10365" s="54"/>
    </row>
    <row r="10366" spans="31:31">
      <c r="AE10366" s="54"/>
    </row>
    <row r="10367" spans="31:31">
      <c r="AE10367" s="54"/>
    </row>
    <row r="10368" spans="31:31">
      <c r="AE10368" s="54"/>
    </row>
    <row r="10369" spans="31:31">
      <c r="AE10369" s="54"/>
    </row>
    <row r="10370" spans="31:31">
      <c r="AE10370" s="54"/>
    </row>
    <row r="10371" spans="31:31">
      <c r="AE10371" s="54"/>
    </row>
    <row r="10372" spans="31:31">
      <c r="AE10372" s="54"/>
    </row>
    <row r="10373" spans="31:31">
      <c r="AE10373" s="54"/>
    </row>
    <row r="10374" spans="31:31">
      <c r="AE10374" s="54"/>
    </row>
    <row r="10375" spans="31:31">
      <c r="AE10375" s="54"/>
    </row>
    <row r="10376" spans="31:31">
      <c r="AE10376" s="54"/>
    </row>
    <row r="10377" spans="31:31">
      <c r="AE10377" s="54"/>
    </row>
    <row r="10378" spans="31:31">
      <c r="AE10378" s="54"/>
    </row>
    <row r="10379" spans="31:31">
      <c r="AE10379" s="54"/>
    </row>
    <row r="10380" spans="31:31">
      <c r="AE10380" s="54"/>
    </row>
    <row r="10381" spans="31:31">
      <c r="AE10381" s="54"/>
    </row>
    <row r="10382" spans="31:31">
      <c r="AE10382" s="54"/>
    </row>
    <row r="10383" spans="31:31">
      <c r="AE10383" s="54"/>
    </row>
    <row r="10384" spans="31:31">
      <c r="AE10384" s="54"/>
    </row>
    <row r="10385" spans="31:31">
      <c r="AE10385" s="54"/>
    </row>
    <row r="10386" spans="31:31">
      <c r="AE10386" s="54"/>
    </row>
    <row r="10387" spans="31:31">
      <c r="AE10387" s="54"/>
    </row>
    <row r="10388" spans="31:31">
      <c r="AE10388" s="54"/>
    </row>
    <row r="10389" spans="31:31">
      <c r="AE10389" s="54"/>
    </row>
    <row r="10390" spans="31:31">
      <c r="AE10390" s="54"/>
    </row>
    <row r="10391" spans="31:31">
      <c r="AE10391" s="54"/>
    </row>
    <row r="10392" spans="31:31">
      <c r="AE10392" s="54"/>
    </row>
    <row r="10393" spans="31:31">
      <c r="AE10393" s="54"/>
    </row>
    <row r="10394" spans="31:31">
      <c r="AE10394" s="54"/>
    </row>
    <row r="10395" spans="31:31">
      <c r="AE10395" s="54"/>
    </row>
    <row r="10396" spans="31:31">
      <c r="AE10396" s="54"/>
    </row>
    <row r="10397" spans="31:31">
      <c r="AE10397" s="54"/>
    </row>
    <row r="10398" spans="31:31">
      <c r="AE10398" s="54"/>
    </row>
    <row r="10399" spans="31:31">
      <c r="AE10399" s="54"/>
    </row>
    <row r="10400" spans="31:31">
      <c r="AE10400" s="54"/>
    </row>
    <row r="10401" spans="31:31">
      <c r="AE10401" s="54"/>
    </row>
    <row r="10402" spans="31:31">
      <c r="AE10402" s="54"/>
    </row>
    <row r="10403" spans="31:31">
      <c r="AE10403" s="54"/>
    </row>
    <row r="10404" spans="31:31">
      <c r="AE10404" s="54"/>
    </row>
    <row r="10405" spans="31:31">
      <c r="AE10405" s="54"/>
    </row>
    <row r="10406" spans="31:31">
      <c r="AE10406" s="54"/>
    </row>
    <row r="10407" spans="31:31">
      <c r="AE10407" s="54"/>
    </row>
    <row r="10408" spans="31:31">
      <c r="AE10408" s="54"/>
    </row>
    <row r="10409" spans="31:31">
      <c r="AE10409" s="54"/>
    </row>
    <row r="10410" spans="31:31">
      <c r="AE10410" s="54"/>
    </row>
    <row r="10411" spans="31:31">
      <c r="AE10411" s="54"/>
    </row>
    <row r="10412" spans="31:31">
      <c r="AE10412" s="54"/>
    </row>
    <row r="10413" spans="31:31">
      <c r="AE10413" s="54"/>
    </row>
    <row r="10414" spans="31:31">
      <c r="AE10414" s="54"/>
    </row>
    <row r="10415" spans="31:31">
      <c r="AE10415" s="54"/>
    </row>
    <row r="10416" spans="31:31">
      <c r="AE10416" s="54"/>
    </row>
    <row r="10417" spans="31:31">
      <c r="AE10417" s="54"/>
    </row>
    <row r="10418" spans="31:31">
      <c r="AE10418" s="54"/>
    </row>
    <row r="10419" spans="31:31">
      <c r="AE10419" s="54"/>
    </row>
    <row r="10420" spans="31:31">
      <c r="AE10420" s="54"/>
    </row>
    <row r="10421" spans="31:31">
      <c r="AE10421" s="54"/>
    </row>
    <row r="10422" spans="31:31">
      <c r="AE10422" s="54"/>
    </row>
    <row r="10423" spans="31:31">
      <c r="AE10423" s="54"/>
    </row>
    <row r="10424" spans="31:31">
      <c r="AE10424" s="54"/>
    </row>
    <row r="10425" spans="31:31">
      <c r="AE10425" s="54"/>
    </row>
    <row r="10426" spans="31:31">
      <c r="AE10426" s="54"/>
    </row>
    <row r="10427" spans="31:31">
      <c r="AE10427" s="54"/>
    </row>
    <row r="10428" spans="31:31">
      <c r="AE10428" s="54"/>
    </row>
    <row r="10429" spans="31:31">
      <c r="AE10429" s="54"/>
    </row>
    <row r="10430" spans="31:31">
      <c r="AE10430" s="54"/>
    </row>
    <row r="10431" spans="31:31">
      <c r="AE10431" s="54"/>
    </row>
    <row r="10432" spans="31:31">
      <c r="AE10432" s="54"/>
    </row>
    <row r="10433" spans="31:31">
      <c r="AE10433" s="54"/>
    </row>
    <row r="10434" spans="31:31">
      <c r="AE10434" s="54"/>
    </row>
    <row r="10435" spans="31:31">
      <c r="AE10435" s="54"/>
    </row>
    <row r="10436" spans="31:31">
      <c r="AE10436" s="54"/>
    </row>
    <row r="10437" spans="31:31">
      <c r="AE10437" s="54"/>
    </row>
    <row r="10438" spans="31:31">
      <c r="AE10438" s="54"/>
    </row>
    <row r="10439" spans="31:31">
      <c r="AE10439" s="54"/>
    </row>
    <row r="10440" spans="31:31">
      <c r="AE10440" s="54"/>
    </row>
    <row r="10441" spans="31:31">
      <c r="AE10441" s="54"/>
    </row>
    <row r="10442" spans="31:31">
      <c r="AE10442" s="54"/>
    </row>
    <row r="10443" spans="31:31">
      <c r="AE10443" s="54"/>
    </row>
    <row r="10444" spans="31:31">
      <c r="AE10444" s="54"/>
    </row>
    <row r="10445" spans="31:31">
      <c r="AE10445" s="54"/>
    </row>
    <row r="10446" spans="31:31">
      <c r="AE10446" s="54"/>
    </row>
    <row r="10447" spans="31:31">
      <c r="AE10447" s="54"/>
    </row>
    <row r="10448" spans="31:31">
      <c r="AE10448" s="54"/>
    </row>
    <row r="10449" spans="31:31">
      <c r="AE10449" s="54"/>
    </row>
    <row r="10450" spans="31:31">
      <c r="AE10450" s="54"/>
    </row>
    <row r="10451" spans="31:31">
      <c r="AE10451" s="54"/>
    </row>
    <row r="10452" spans="31:31">
      <c r="AE10452" s="54"/>
    </row>
    <row r="10453" spans="31:31">
      <c r="AE10453" s="54"/>
    </row>
    <row r="10454" spans="31:31">
      <c r="AE10454" s="54"/>
    </row>
    <row r="10455" spans="31:31">
      <c r="AE10455" s="54"/>
    </row>
    <row r="10456" spans="31:31">
      <c r="AE10456" s="54"/>
    </row>
    <row r="10457" spans="31:31">
      <c r="AE10457" s="54"/>
    </row>
    <row r="10458" spans="31:31">
      <c r="AE10458" s="54"/>
    </row>
    <row r="10459" spans="31:31">
      <c r="AE10459" s="54"/>
    </row>
    <row r="10460" spans="31:31">
      <c r="AE10460" s="54"/>
    </row>
    <row r="10461" spans="31:31">
      <c r="AE10461" s="54"/>
    </row>
    <row r="10462" spans="31:31">
      <c r="AE10462" s="54"/>
    </row>
    <row r="10463" spans="31:31">
      <c r="AE10463" s="54"/>
    </row>
    <row r="10464" spans="31:31">
      <c r="AE10464" s="54"/>
    </row>
    <row r="10465" spans="31:31">
      <c r="AE10465" s="54"/>
    </row>
    <row r="10466" spans="31:31">
      <c r="AE10466" s="54"/>
    </row>
    <row r="10467" spans="31:31">
      <c r="AE10467" s="54"/>
    </row>
    <row r="10468" spans="31:31">
      <c r="AE10468" s="54"/>
    </row>
    <row r="10469" spans="31:31">
      <c r="AE10469" s="54"/>
    </row>
    <row r="10470" spans="31:31">
      <c r="AE10470" s="54"/>
    </row>
    <row r="10471" spans="31:31">
      <c r="AE10471" s="54"/>
    </row>
    <row r="10472" spans="31:31">
      <c r="AE10472" s="54"/>
    </row>
    <row r="10473" spans="31:31">
      <c r="AE10473" s="54"/>
    </row>
    <row r="10474" spans="31:31">
      <c r="AE10474" s="54"/>
    </row>
    <row r="10475" spans="31:31">
      <c r="AE10475" s="54"/>
    </row>
    <row r="10476" spans="31:31">
      <c r="AE10476" s="54"/>
    </row>
    <row r="10477" spans="31:31">
      <c r="AE10477" s="54"/>
    </row>
    <row r="10478" spans="31:31">
      <c r="AE10478" s="54"/>
    </row>
    <row r="10479" spans="31:31">
      <c r="AE10479" s="54"/>
    </row>
    <row r="10480" spans="31:31">
      <c r="AE10480" s="54"/>
    </row>
    <row r="10481" spans="31:31">
      <c r="AE10481" s="54"/>
    </row>
    <row r="10482" spans="31:31">
      <c r="AE10482" s="54"/>
    </row>
    <row r="10483" spans="31:31">
      <c r="AE10483" s="54"/>
    </row>
    <row r="10484" spans="31:31">
      <c r="AE10484" s="54"/>
    </row>
    <row r="10485" spans="31:31">
      <c r="AE10485" s="54"/>
    </row>
    <row r="10486" spans="31:31">
      <c r="AE10486" s="54"/>
    </row>
    <row r="10487" spans="31:31">
      <c r="AE10487" s="54"/>
    </row>
    <row r="10488" spans="31:31">
      <c r="AE10488" s="54"/>
    </row>
    <row r="10489" spans="31:31">
      <c r="AE10489" s="54"/>
    </row>
    <row r="10490" spans="31:31">
      <c r="AE10490" s="54"/>
    </row>
    <row r="10491" spans="31:31">
      <c r="AE10491" s="54"/>
    </row>
    <row r="10492" spans="31:31">
      <c r="AE10492" s="54"/>
    </row>
    <row r="10493" spans="31:31">
      <c r="AE10493" s="54"/>
    </row>
    <row r="10494" spans="31:31">
      <c r="AE10494" s="54"/>
    </row>
    <row r="10495" spans="31:31">
      <c r="AE10495" s="54"/>
    </row>
    <row r="10496" spans="31:31">
      <c r="AE10496" s="54"/>
    </row>
    <row r="10497" spans="31:31">
      <c r="AE10497" s="54"/>
    </row>
    <row r="10498" spans="31:31">
      <c r="AE10498" s="54"/>
    </row>
    <row r="10499" spans="31:31">
      <c r="AE10499" s="54"/>
    </row>
    <row r="10500" spans="31:31">
      <c r="AE10500" s="54"/>
    </row>
    <row r="10501" spans="31:31">
      <c r="AE10501" s="54"/>
    </row>
    <row r="10502" spans="31:31">
      <c r="AE10502" s="54"/>
    </row>
    <row r="10503" spans="31:31">
      <c r="AE10503" s="54"/>
    </row>
    <row r="10504" spans="31:31">
      <c r="AE10504" s="54"/>
    </row>
    <row r="10505" spans="31:31">
      <c r="AE10505" s="54"/>
    </row>
    <row r="10506" spans="31:31">
      <c r="AE10506" s="54"/>
    </row>
    <row r="10507" spans="31:31">
      <c r="AE10507" s="54"/>
    </row>
    <row r="10508" spans="31:31">
      <c r="AE10508" s="54"/>
    </row>
    <row r="10509" spans="31:31">
      <c r="AE10509" s="54"/>
    </row>
    <row r="10510" spans="31:31">
      <c r="AE10510" s="54"/>
    </row>
    <row r="10511" spans="31:31">
      <c r="AE10511" s="54"/>
    </row>
    <row r="10512" spans="31:31">
      <c r="AE10512" s="54"/>
    </row>
    <row r="10513" spans="31:31">
      <c r="AE10513" s="54"/>
    </row>
    <row r="10514" spans="31:31">
      <c r="AE10514" s="54"/>
    </row>
    <row r="10515" spans="31:31">
      <c r="AE10515" s="54"/>
    </row>
    <row r="10516" spans="31:31">
      <c r="AE10516" s="54"/>
    </row>
    <row r="10517" spans="31:31">
      <c r="AE10517" s="54"/>
    </row>
    <row r="10518" spans="31:31">
      <c r="AE10518" s="54"/>
    </row>
    <row r="10519" spans="31:31">
      <c r="AE10519" s="54"/>
    </row>
    <row r="10520" spans="31:31">
      <c r="AE10520" s="54"/>
    </row>
    <row r="10521" spans="31:31">
      <c r="AE10521" s="54"/>
    </row>
    <row r="10522" spans="31:31">
      <c r="AE10522" s="54"/>
    </row>
    <row r="10523" spans="31:31">
      <c r="AE10523" s="54"/>
    </row>
    <row r="10524" spans="31:31">
      <c r="AE10524" s="54"/>
    </row>
    <row r="10525" spans="31:31">
      <c r="AE10525" s="54"/>
    </row>
    <row r="10526" spans="31:31">
      <c r="AE10526" s="54"/>
    </row>
    <row r="10527" spans="31:31">
      <c r="AE10527" s="54"/>
    </row>
    <row r="10528" spans="31:31">
      <c r="AE10528" s="54"/>
    </row>
    <row r="10529" spans="31:31">
      <c r="AE10529" s="54"/>
    </row>
    <row r="10530" spans="31:31">
      <c r="AE10530" s="54"/>
    </row>
    <row r="10531" spans="31:31">
      <c r="AE10531" s="54"/>
    </row>
    <row r="10532" spans="31:31">
      <c r="AE10532" s="54"/>
    </row>
    <row r="10533" spans="31:31">
      <c r="AE10533" s="54"/>
    </row>
    <row r="10534" spans="31:31">
      <c r="AE10534" s="54"/>
    </row>
    <row r="10535" spans="31:31">
      <c r="AE10535" s="54"/>
    </row>
    <row r="10536" spans="31:31">
      <c r="AE10536" s="54"/>
    </row>
    <row r="10537" spans="31:31">
      <c r="AE10537" s="54"/>
    </row>
    <row r="10538" spans="31:31">
      <c r="AE10538" s="54"/>
    </row>
    <row r="10539" spans="31:31">
      <c r="AE10539" s="54"/>
    </row>
    <row r="10540" spans="31:31">
      <c r="AE10540" s="54"/>
    </row>
    <row r="10541" spans="31:31">
      <c r="AE10541" s="54"/>
    </row>
    <row r="10542" spans="31:31">
      <c r="AE10542" s="54"/>
    </row>
    <row r="10543" spans="31:31">
      <c r="AE10543" s="54"/>
    </row>
    <row r="10544" spans="31:31">
      <c r="AE10544" s="54"/>
    </row>
    <row r="10545" spans="31:31">
      <c r="AE10545" s="54"/>
    </row>
    <row r="10546" spans="31:31">
      <c r="AE10546" s="54"/>
    </row>
    <row r="10547" spans="31:31">
      <c r="AE10547" s="54"/>
    </row>
    <row r="10548" spans="31:31">
      <c r="AE10548" s="54"/>
    </row>
    <row r="10549" spans="31:31">
      <c r="AE10549" s="54"/>
    </row>
    <row r="10550" spans="31:31">
      <c r="AE10550" s="54"/>
    </row>
    <row r="10551" spans="31:31">
      <c r="AE10551" s="54"/>
    </row>
    <row r="10552" spans="31:31">
      <c r="AE10552" s="54"/>
    </row>
    <row r="10553" spans="31:31">
      <c r="AE10553" s="54"/>
    </row>
    <row r="10554" spans="31:31">
      <c r="AE10554" s="54"/>
    </row>
    <row r="10555" spans="31:31">
      <c r="AE10555" s="54"/>
    </row>
    <row r="10556" spans="31:31">
      <c r="AE10556" s="54"/>
    </row>
    <row r="10557" spans="31:31">
      <c r="AE10557" s="54"/>
    </row>
    <row r="10558" spans="31:31">
      <c r="AE10558" s="54"/>
    </row>
    <row r="10559" spans="31:31">
      <c r="AE10559" s="54"/>
    </row>
    <row r="10560" spans="31:31">
      <c r="AE10560" s="54"/>
    </row>
    <row r="10561" spans="31:31">
      <c r="AE10561" s="54"/>
    </row>
    <row r="10562" spans="31:31">
      <c r="AE10562" s="54"/>
    </row>
    <row r="10563" spans="31:31">
      <c r="AE10563" s="54"/>
    </row>
    <row r="10564" spans="31:31">
      <c r="AE10564" s="54"/>
    </row>
    <row r="10565" spans="31:31">
      <c r="AE10565" s="54"/>
    </row>
    <row r="10566" spans="31:31">
      <c r="AE10566" s="54"/>
    </row>
    <row r="10567" spans="31:31">
      <c r="AE10567" s="54"/>
    </row>
    <row r="10568" spans="31:31">
      <c r="AE10568" s="54"/>
    </row>
    <row r="10569" spans="31:31">
      <c r="AE10569" s="54"/>
    </row>
    <row r="10570" spans="31:31">
      <c r="AE10570" s="54"/>
    </row>
    <row r="10571" spans="31:31">
      <c r="AE10571" s="54"/>
    </row>
    <row r="10572" spans="31:31">
      <c r="AE10572" s="54"/>
    </row>
    <row r="10573" spans="31:31">
      <c r="AE10573" s="54"/>
    </row>
    <row r="10574" spans="31:31">
      <c r="AE10574" s="54"/>
    </row>
    <row r="10575" spans="31:31">
      <c r="AE10575" s="54"/>
    </row>
    <row r="10576" spans="31:31">
      <c r="AE10576" s="54"/>
    </row>
    <row r="10577" spans="31:31">
      <c r="AE10577" s="54"/>
    </row>
    <row r="10578" spans="31:31">
      <c r="AE10578" s="54"/>
    </row>
    <row r="10579" spans="31:31">
      <c r="AE10579" s="54"/>
    </row>
    <row r="10580" spans="31:31">
      <c r="AE10580" s="54"/>
    </row>
    <row r="10581" spans="31:31">
      <c r="AE10581" s="54"/>
    </row>
    <row r="10582" spans="31:31">
      <c r="AE10582" s="54"/>
    </row>
    <row r="10583" spans="31:31">
      <c r="AE10583" s="54"/>
    </row>
    <row r="10584" spans="31:31">
      <c r="AE10584" s="54"/>
    </row>
    <row r="10585" spans="31:31">
      <c r="AE10585" s="54"/>
    </row>
    <row r="10586" spans="31:31">
      <c r="AE10586" s="54"/>
    </row>
    <row r="10587" spans="31:31">
      <c r="AE10587" s="54"/>
    </row>
    <row r="10588" spans="31:31">
      <c r="AE10588" s="54"/>
    </row>
    <row r="10589" spans="31:31">
      <c r="AE10589" s="54"/>
    </row>
    <row r="10590" spans="31:31">
      <c r="AE10590" s="54"/>
    </row>
    <row r="10591" spans="31:31">
      <c r="AE10591" s="54"/>
    </row>
    <row r="10592" spans="31:31">
      <c r="AE10592" s="54"/>
    </row>
    <row r="10593" spans="31:31">
      <c r="AE10593" s="54"/>
    </row>
    <row r="10594" spans="31:31">
      <c r="AE10594" s="54"/>
    </row>
    <row r="10595" spans="31:31">
      <c r="AE10595" s="54"/>
    </row>
    <row r="10596" spans="31:31">
      <c r="AE10596" s="54"/>
    </row>
    <row r="10597" spans="31:31">
      <c r="AE10597" s="54"/>
    </row>
    <row r="10598" spans="31:31">
      <c r="AE10598" s="54"/>
    </row>
    <row r="10599" spans="31:31">
      <c r="AE10599" s="54"/>
    </row>
    <row r="10600" spans="31:31">
      <c r="AE10600" s="54"/>
    </row>
    <row r="10601" spans="31:31">
      <c r="AE10601" s="54"/>
    </row>
    <row r="10602" spans="31:31">
      <c r="AE10602" s="54"/>
    </row>
    <row r="10603" spans="31:31">
      <c r="AE10603" s="54"/>
    </row>
    <row r="10604" spans="31:31">
      <c r="AE10604" s="54"/>
    </row>
    <row r="10605" spans="31:31">
      <c r="AE10605" s="54"/>
    </row>
    <row r="10606" spans="31:31">
      <c r="AE10606" s="54"/>
    </row>
    <row r="10607" spans="31:31">
      <c r="AE10607" s="54"/>
    </row>
    <row r="10608" spans="31:31">
      <c r="AE10608" s="54"/>
    </row>
    <row r="10609" spans="31:31">
      <c r="AE10609" s="54"/>
    </row>
    <row r="10610" spans="31:31">
      <c r="AE10610" s="54"/>
    </row>
    <row r="10611" spans="31:31">
      <c r="AE10611" s="54"/>
    </row>
    <row r="10612" spans="31:31">
      <c r="AE10612" s="54"/>
    </row>
    <row r="10613" spans="31:31">
      <c r="AE10613" s="54"/>
    </row>
    <row r="10614" spans="31:31">
      <c r="AE10614" s="54"/>
    </row>
    <row r="10615" spans="31:31">
      <c r="AE10615" s="54"/>
    </row>
    <row r="10616" spans="31:31">
      <c r="AE10616" s="54"/>
    </row>
    <row r="10617" spans="31:31">
      <c r="AE10617" s="54"/>
    </row>
    <row r="10618" spans="31:31">
      <c r="AE10618" s="54"/>
    </row>
    <row r="10619" spans="31:31">
      <c r="AE10619" s="54"/>
    </row>
    <row r="10620" spans="31:31">
      <c r="AE10620" s="54"/>
    </row>
    <row r="10621" spans="31:31">
      <c r="AE10621" s="54"/>
    </row>
    <row r="10622" spans="31:31">
      <c r="AE10622" s="54"/>
    </row>
    <row r="10623" spans="31:31">
      <c r="AE10623" s="54"/>
    </row>
    <row r="10624" spans="31:31">
      <c r="AE10624" s="54"/>
    </row>
    <row r="10625" spans="31:31">
      <c r="AE10625" s="54"/>
    </row>
    <row r="10626" spans="31:31">
      <c r="AE10626" s="54"/>
    </row>
    <row r="10627" spans="31:31">
      <c r="AE10627" s="54"/>
    </row>
    <row r="10628" spans="31:31">
      <c r="AE10628" s="54"/>
    </row>
    <row r="10629" spans="31:31">
      <c r="AE10629" s="54"/>
    </row>
    <row r="10630" spans="31:31">
      <c r="AE10630" s="54"/>
    </row>
    <row r="10631" spans="31:31">
      <c r="AE10631" s="54"/>
    </row>
    <row r="10632" spans="31:31">
      <c r="AE10632" s="54"/>
    </row>
    <row r="10633" spans="31:31">
      <c r="AE10633" s="54"/>
    </row>
    <row r="10634" spans="31:31">
      <c r="AE10634" s="54"/>
    </row>
    <row r="10635" spans="31:31">
      <c r="AE10635" s="54"/>
    </row>
    <row r="10636" spans="31:31">
      <c r="AE10636" s="54"/>
    </row>
    <row r="10637" spans="31:31">
      <c r="AE10637" s="54"/>
    </row>
    <row r="10638" spans="31:31">
      <c r="AE10638" s="54"/>
    </row>
    <row r="10639" spans="31:31">
      <c r="AE10639" s="54"/>
    </row>
    <row r="10640" spans="31:31">
      <c r="AE10640" s="54"/>
    </row>
    <row r="10641" spans="31:31">
      <c r="AE10641" s="54"/>
    </row>
    <row r="10642" spans="31:31">
      <c r="AE10642" s="54"/>
    </row>
    <row r="10643" spans="31:31">
      <c r="AE10643" s="54"/>
    </row>
    <row r="10644" spans="31:31">
      <c r="AE10644" s="54"/>
    </row>
    <row r="10645" spans="31:31">
      <c r="AE10645" s="54"/>
    </row>
    <row r="10646" spans="31:31">
      <c r="AE10646" s="54"/>
    </row>
    <row r="10647" spans="31:31">
      <c r="AE10647" s="54"/>
    </row>
    <row r="10648" spans="31:31">
      <c r="AE10648" s="54"/>
    </row>
    <row r="10649" spans="31:31">
      <c r="AE10649" s="54"/>
    </row>
    <row r="10650" spans="31:31">
      <c r="AE10650" s="54"/>
    </row>
    <row r="10651" spans="31:31">
      <c r="AE10651" s="54"/>
    </row>
    <row r="10652" spans="31:31">
      <c r="AE10652" s="54"/>
    </row>
    <row r="10653" spans="31:31">
      <c r="AE10653" s="54"/>
    </row>
    <row r="10654" spans="31:31">
      <c r="AE10654" s="54"/>
    </row>
    <row r="10655" spans="31:31">
      <c r="AE10655" s="54"/>
    </row>
    <row r="10656" spans="31:31">
      <c r="AE10656" s="54"/>
    </row>
    <row r="10657" spans="31:31">
      <c r="AE10657" s="54"/>
    </row>
    <row r="10658" spans="31:31">
      <c r="AE10658" s="54"/>
    </row>
    <row r="10659" spans="31:31">
      <c r="AE10659" s="54"/>
    </row>
    <row r="10660" spans="31:31">
      <c r="AE10660" s="54"/>
    </row>
    <row r="10661" spans="31:31">
      <c r="AE10661" s="54"/>
    </row>
    <row r="10662" spans="31:31">
      <c r="AE10662" s="54"/>
    </row>
    <row r="10663" spans="31:31">
      <c r="AE10663" s="54"/>
    </row>
    <row r="10664" spans="31:31">
      <c r="AE10664" s="54"/>
    </row>
    <row r="10665" spans="31:31">
      <c r="AE10665" s="54"/>
    </row>
    <row r="10666" spans="31:31">
      <c r="AE10666" s="54"/>
    </row>
    <row r="10667" spans="31:31">
      <c r="AE10667" s="54"/>
    </row>
    <row r="10668" spans="31:31">
      <c r="AE10668" s="54"/>
    </row>
    <row r="10669" spans="31:31">
      <c r="AE10669" s="54"/>
    </row>
    <row r="10670" spans="31:31">
      <c r="AE10670" s="54"/>
    </row>
    <row r="10671" spans="31:31">
      <c r="AE10671" s="54"/>
    </row>
    <row r="10672" spans="31:31">
      <c r="AE10672" s="54"/>
    </row>
    <row r="10673" spans="31:31">
      <c r="AE10673" s="54"/>
    </row>
    <row r="10674" spans="31:31">
      <c r="AE10674" s="54"/>
    </row>
    <row r="10675" spans="31:31">
      <c r="AE10675" s="54"/>
    </row>
    <row r="10676" spans="31:31">
      <c r="AE10676" s="54"/>
    </row>
    <row r="10677" spans="31:31">
      <c r="AE10677" s="54"/>
    </row>
    <row r="10678" spans="31:31">
      <c r="AE10678" s="54"/>
    </row>
    <row r="10679" spans="31:31">
      <c r="AE10679" s="54"/>
    </row>
    <row r="10680" spans="31:31">
      <c r="AE10680" s="54"/>
    </row>
    <row r="10681" spans="31:31">
      <c r="AE10681" s="54"/>
    </row>
    <row r="10682" spans="31:31">
      <c r="AE10682" s="54"/>
    </row>
    <row r="10683" spans="31:31">
      <c r="AE10683" s="54"/>
    </row>
    <row r="10684" spans="31:31">
      <c r="AE10684" s="54"/>
    </row>
    <row r="10685" spans="31:31">
      <c r="AE10685" s="54"/>
    </row>
    <row r="10686" spans="31:31">
      <c r="AE10686" s="54"/>
    </row>
    <row r="10687" spans="31:31">
      <c r="AE10687" s="54"/>
    </row>
    <row r="10688" spans="31:31">
      <c r="AE10688" s="54"/>
    </row>
    <row r="10689" spans="31:31">
      <c r="AE10689" s="54"/>
    </row>
    <row r="10690" spans="31:31">
      <c r="AE10690" s="54"/>
    </row>
    <row r="10691" spans="31:31">
      <c r="AE10691" s="54"/>
    </row>
    <row r="10692" spans="31:31">
      <c r="AE10692" s="54"/>
    </row>
    <row r="10693" spans="31:31">
      <c r="AE10693" s="54"/>
    </row>
    <row r="10694" spans="31:31">
      <c r="AE10694" s="54"/>
    </row>
    <row r="10695" spans="31:31">
      <c r="AE10695" s="54"/>
    </row>
    <row r="10696" spans="31:31">
      <c r="AE10696" s="54"/>
    </row>
    <row r="10697" spans="31:31">
      <c r="AE10697" s="54"/>
    </row>
    <row r="10698" spans="31:31">
      <c r="AE10698" s="54"/>
    </row>
    <row r="10699" spans="31:31">
      <c r="AE10699" s="54"/>
    </row>
    <row r="10700" spans="31:31">
      <c r="AE10700" s="54"/>
    </row>
    <row r="10701" spans="31:31">
      <c r="AE10701" s="54"/>
    </row>
    <row r="10702" spans="31:31">
      <c r="AE10702" s="54"/>
    </row>
    <row r="10703" spans="31:31">
      <c r="AE10703" s="54"/>
    </row>
    <row r="10704" spans="31:31">
      <c r="AE10704" s="54"/>
    </row>
    <row r="10705" spans="31:31">
      <c r="AE10705" s="54"/>
    </row>
    <row r="10706" spans="31:31">
      <c r="AE10706" s="54"/>
    </row>
    <row r="10707" spans="31:31">
      <c r="AE10707" s="54"/>
    </row>
    <row r="10708" spans="31:31">
      <c r="AE10708" s="54"/>
    </row>
    <row r="10709" spans="31:31">
      <c r="AE10709" s="54"/>
    </row>
    <row r="10710" spans="31:31">
      <c r="AE10710" s="54"/>
    </row>
    <row r="10711" spans="31:31">
      <c r="AE10711" s="54"/>
    </row>
    <row r="10712" spans="31:31">
      <c r="AE10712" s="54"/>
    </row>
    <row r="10713" spans="31:31">
      <c r="AE10713" s="54"/>
    </row>
    <row r="10714" spans="31:31">
      <c r="AE10714" s="54"/>
    </row>
    <row r="10715" spans="31:31">
      <c r="AE10715" s="54"/>
    </row>
    <row r="10716" spans="31:31">
      <c r="AE10716" s="54"/>
    </row>
    <row r="10717" spans="31:31">
      <c r="AE10717" s="54"/>
    </row>
    <row r="10718" spans="31:31">
      <c r="AE10718" s="54"/>
    </row>
    <row r="10719" spans="31:31">
      <c r="AE10719" s="54"/>
    </row>
    <row r="10720" spans="31:31">
      <c r="AE10720" s="54"/>
    </row>
    <row r="10721" spans="31:31">
      <c r="AE10721" s="54"/>
    </row>
    <row r="10722" spans="31:31">
      <c r="AE10722" s="54"/>
    </row>
    <row r="10723" spans="31:31">
      <c r="AE10723" s="54"/>
    </row>
    <row r="10724" spans="31:31">
      <c r="AE10724" s="54"/>
    </row>
    <row r="10725" spans="31:31">
      <c r="AE10725" s="54"/>
    </row>
    <row r="10726" spans="31:31">
      <c r="AE10726" s="54"/>
    </row>
    <row r="10727" spans="31:31">
      <c r="AE10727" s="54"/>
    </row>
    <row r="10728" spans="31:31">
      <c r="AE10728" s="54"/>
    </row>
    <row r="10729" spans="31:31">
      <c r="AE10729" s="54"/>
    </row>
    <row r="10730" spans="31:31">
      <c r="AE10730" s="54"/>
    </row>
    <row r="10731" spans="31:31">
      <c r="AE10731" s="54"/>
    </row>
    <row r="10732" spans="31:31">
      <c r="AE10732" s="54"/>
    </row>
    <row r="10733" spans="31:31">
      <c r="AE10733" s="54"/>
    </row>
    <row r="10734" spans="31:31">
      <c r="AE10734" s="54"/>
    </row>
    <row r="10735" spans="31:31">
      <c r="AE10735" s="54"/>
    </row>
    <row r="10736" spans="31:31">
      <c r="AE10736" s="54"/>
    </row>
    <row r="10737" spans="31:31">
      <c r="AE10737" s="54"/>
    </row>
    <row r="10738" spans="31:31">
      <c r="AE10738" s="54"/>
    </row>
    <row r="10739" spans="31:31">
      <c r="AE10739" s="54"/>
    </row>
    <row r="10740" spans="31:31">
      <c r="AE10740" s="54"/>
    </row>
    <row r="10741" spans="31:31">
      <c r="AE10741" s="54"/>
    </row>
    <row r="10742" spans="31:31">
      <c r="AE10742" s="54"/>
    </row>
    <row r="10743" spans="31:31">
      <c r="AE10743" s="54"/>
    </row>
    <row r="10744" spans="31:31">
      <c r="AE10744" s="54"/>
    </row>
    <row r="10745" spans="31:31">
      <c r="AE10745" s="54"/>
    </row>
    <row r="10746" spans="31:31">
      <c r="AE10746" s="54"/>
    </row>
    <row r="10747" spans="31:31">
      <c r="AE10747" s="54"/>
    </row>
    <row r="10748" spans="31:31">
      <c r="AE10748" s="54"/>
    </row>
    <row r="10749" spans="31:31">
      <c r="AE10749" s="54"/>
    </row>
    <row r="10750" spans="31:31">
      <c r="AE10750" s="54"/>
    </row>
    <row r="10751" spans="31:31">
      <c r="AE10751" s="54"/>
    </row>
    <row r="10752" spans="31:31">
      <c r="AE10752" s="54"/>
    </row>
    <row r="10753" spans="31:31">
      <c r="AE10753" s="54"/>
    </row>
    <row r="10754" spans="31:31">
      <c r="AE10754" s="54"/>
    </row>
    <row r="10755" spans="31:31">
      <c r="AE10755" s="54"/>
    </row>
    <row r="10756" spans="31:31">
      <c r="AE10756" s="54"/>
    </row>
    <row r="10757" spans="31:31">
      <c r="AE10757" s="54"/>
    </row>
    <row r="10758" spans="31:31">
      <c r="AE10758" s="54"/>
    </row>
    <row r="10759" spans="31:31">
      <c r="AE10759" s="54"/>
    </row>
    <row r="10760" spans="31:31">
      <c r="AE10760" s="54"/>
    </row>
    <row r="10761" spans="31:31">
      <c r="AE10761" s="54"/>
    </row>
    <row r="10762" spans="31:31">
      <c r="AE10762" s="54"/>
    </row>
    <row r="10763" spans="31:31">
      <c r="AE10763" s="54"/>
    </row>
    <row r="10764" spans="31:31">
      <c r="AE10764" s="54"/>
    </row>
    <row r="10765" spans="31:31">
      <c r="AE10765" s="54"/>
    </row>
    <row r="10766" spans="31:31">
      <c r="AE10766" s="54"/>
    </row>
    <row r="10767" spans="31:31">
      <c r="AE10767" s="54"/>
    </row>
    <row r="10768" spans="31:31">
      <c r="AE10768" s="54"/>
    </row>
    <row r="10769" spans="31:31">
      <c r="AE10769" s="54"/>
    </row>
    <row r="10770" spans="31:31">
      <c r="AE10770" s="54"/>
    </row>
    <row r="10771" spans="31:31">
      <c r="AE10771" s="54"/>
    </row>
    <row r="10772" spans="31:31">
      <c r="AE10772" s="54"/>
    </row>
    <row r="10773" spans="31:31">
      <c r="AE10773" s="54"/>
    </row>
    <row r="10774" spans="31:31">
      <c r="AE10774" s="54"/>
    </row>
    <row r="10775" spans="31:31">
      <c r="AE10775" s="54"/>
    </row>
    <row r="10776" spans="31:31">
      <c r="AE10776" s="54"/>
    </row>
    <row r="10777" spans="31:31">
      <c r="AE10777" s="54"/>
    </row>
    <row r="10778" spans="31:31">
      <c r="AE10778" s="54"/>
    </row>
    <row r="10779" spans="31:31">
      <c r="AE10779" s="54"/>
    </row>
    <row r="10780" spans="31:31">
      <c r="AE10780" s="54"/>
    </row>
    <row r="10781" spans="31:31">
      <c r="AE10781" s="54"/>
    </row>
    <row r="10782" spans="31:31">
      <c r="AE10782" s="54"/>
    </row>
    <row r="10783" spans="31:31">
      <c r="AE10783" s="54"/>
    </row>
    <row r="10784" spans="31:31">
      <c r="AE10784" s="54"/>
    </row>
    <row r="10785" spans="31:31">
      <c r="AE10785" s="54"/>
    </row>
    <row r="10786" spans="31:31">
      <c r="AE10786" s="54"/>
    </row>
    <row r="10787" spans="31:31">
      <c r="AE10787" s="54"/>
    </row>
    <row r="10788" spans="31:31">
      <c r="AE10788" s="54"/>
    </row>
    <row r="10789" spans="31:31">
      <c r="AE10789" s="54"/>
    </row>
    <row r="10790" spans="31:31">
      <c r="AE10790" s="54"/>
    </row>
    <row r="10791" spans="31:31">
      <c r="AE10791" s="54"/>
    </row>
    <row r="10792" spans="31:31">
      <c r="AE10792" s="54"/>
    </row>
    <row r="10793" spans="31:31">
      <c r="AE10793" s="54"/>
    </row>
    <row r="10794" spans="31:31">
      <c r="AE10794" s="54"/>
    </row>
    <row r="10795" spans="31:31">
      <c r="AE10795" s="54"/>
    </row>
    <row r="10796" spans="31:31">
      <c r="AE10796" s="54"/>
    </row>
    <row r="10797" spans="31:31">
      <c r="AE10797" s="54"/>
    </row>
    <row r="10798" spans="31:31">
      <c r="AE10798" s="54"/>
    </row>
    <row r="10799" spans="31:31">
      <c r="AE10799" s="54"/>
    </row>
    <row r="10800" spans="31:31">
      <c r="AE10800" s="54"/>
    </row>
    <row r="10801" spans="31:31">
      <c r="AE10801" s="54"/>
    </row>
    <row r="10802" spans="31:31">
      <c r="AE10802" s="54"/>
    </row>
    <row r="10803" spans="31:31">
      <c r="AE10803" s="54"/>
    </row>
    <row r="10804" spans="31:31">
      <c r="AE10804" s="54"/>
    </row>
    <row r="10805" spans="31:31">
      <c r="AE10805" s="54"/>
    </row>
    <row r="10806" spans="31:31">
      <c r="AE10806" s="54"/>
    </row>
    <row r="10807" spans="31:31">
      <c r="AE10807" s="54"/>
    </row>
    <row r="10808" spans="31:31">
      <c r="AE10808" s="54"/>
    </row>
    <row r="10809" spans="31:31">
      <c r="AE10809" s="54"/>
    </row>
    <row r="10810" spans="31:31">
      <c r="AE10810" s="54"/>
    </row>
    <row r="10811" spans="31:31">
      <c r="AE10811" s="54"/>
    </row>
    <row r="10812" spans="31:31">
      <c r="AE10812" s="54"/>
    </row>
    <row r="10813" spans="31:31">
      <c r="AE10813" s="54"/>
    </row>
    <row r="10814" spans="31:31">
      <c r="AE10814" s="54"/>
    </row>
    <row r="10815" spans="31:31">
      <c r="AE10815" s="54"/>
    </row>
    <row r="10816" spans="31:31">
      <c r="AE10816" s="54"/>
    </row>
    <row r="10817" spans="31:31">
      <c r="AE10817" s="54"/>
    </row>
    <row r="10818" spans="31:31">
      <c r="AE10818" s="54"/>
    </row>
    <row r="10819" spans="31:31">
      <c r="AE10819" s="54"/>
    </row>
    <row r="10820" spans="31:31">
      <c r="AE10820" s="54"/>
    </row>
    <row r="10821" spans="31:31">
      <c r="AE10821" s="54"/>
    </row>
    <row r="10822" spans="31:31">
      <c r="AE10822" s="54"/>
    </row>
    <row r="10823" spans="31:31">
      <c r="AE10823" s="54"/>
    </row>
    <row r="10824" spans="31:31">
      <c r="AE10824" s="54"/>
    </row>
    <row r="10825" spans="31:31">
      <c r="AE10825" s="54"/>
    </row>
    <row r="10826" spans="31:31">
      <c r="AE10826" s="54"/>
    </row>
    <row r="10827" spans="31:31">
      <c r="AE10827" s="54"/>
    </row>
    <row r="10828" spans="31:31">
      <c r="AE10828" s="54"/>
    </row>
    <row r="10829" spans="31:31">
      <c r="AE10829" s="54"/>
    </row>
    <row r="10830" spans="31:31">
      <c r="AE10830" s="54"/>
    </row>
    <row r="10831" spans="31:31">
      <c r="AE10831" s="54"/>
    </row>
    <row r="10832" spans="31:31">
      <c r="AE10832" s="54"/>
    </row>
    <row r="10833" spans="31:31">
      <c r="AE10833" s="54"/>
    </row>
    <row r="10834" spans="31:31">
      <c r="AE10834" s="54"/>
    </row>
    <row r="10835" spans="31:31">
      <c r="AE10835" s="54"/>
    </row>
    <row r="10836" spans="31:31">
      <c r="AE10836" s="54"/>
    </row>
    <row r="10837" spans="31:31">
      <c r="AE10837" s="54"/>
    </row>
    <row r="10838" spans="31:31">
      <c r="AE10838" s="54"/>
    </row>
    <row r="10839" spans="31:31">
      <c r="AE10839" s="54"/>
    </row>
    <row r="10840" spans="31:31">
      <c r="AE10840" s="54"/>
    </row>
    <row r="10841" spans="31:31">
      <c r="AE10841" s="54"/>
    </row>
    <row r="10842" spans="31:31">
      <c r="AE10842" s="54"/>
    </row>
    <row r="10843" spans="31:31">
      <c r="AE10843" s="54"/>
    </row>
    <row r="10844" spans="31:31">
      <c r="AE10844" s="54"/>
    </row>
    <row r="10845" spans="31:31">
      <c r="AE10845" s="54"/>
    </row>
    <row r="10846" spans="31:31">
      <c r="AE10846" s="54"/>
    </row>
    <row r="10847" spans="31:31">
      <c r="AE10847" s="54"/>
    </row>
    <row r="10848" spans="31:31">
      <c r="AE10848" s="54"/>
    </row>
    <row r="10849" spans="31:31">
      <c r="AE10849" s="54"/>
    </row>
    <row r="10850" spans="31:31">
      <c r="AE10850" s="54"/>
    </row>
    <row r="10851" spans="31:31">
      <c r="AE10851" s="54"/>
    </row>
    <row r="10852" spans="31:31">
      <c r="AE10852" s="54"/>
    </row>
    <row r="10853" spans="31:31">
      <c r="AE10853" s="54"/>
    </row>
    <row r="10854" spans="31:31">
      <c r="AE10854" s="54"/>
    </row>
    <row r="10855" spans="31:31">
      <c r="AE10855" s="54"/>
    </row>
    <row r="10856" spans="31:31">
      <c r="AE10856" s="54"/>
    </row>
    <row r="10857" spans="31:31">
      <c r="AE10857" s="54"/>
    </row>
    <row r="10858" spans="31:31">
      <c r="AE10858" s="54"/>
    </row>
    <row r="10859" spans="31:31">
      <c r="AE10859" s="54"/>
    </row>
    <row r="10860" spans="31:31">
      <c r="AE10860" s="54"/>
    </row>
    <row r="10861" spans="31:31">
      <c r="AE10861" s="54"/>
    </row>
    <row r="10862" spans="31:31">
      <c r="AE10862" s="54"/>
    </row>
    <row r="10863" spans="31:31">
      <c r="AE10863" s="54"/>
    </row>
    <row r="10864" spans="31:31">
      <c r="AE10864" s="54"/>
    </row>
    <row r="10865" spans="31:31">
      <c r="AE10865" s="54"/>
    </row>
    <row r="10866" spans="31:31">
      <c r="AE10866" s="54"/>
    </row>
    <row r="10867" spans="31:31">
      <c r="AE10867" s="54"/>
    </row>
    <row r="10868" spans="31:31">
      <c r="AE10868" s="54"/>
    </row>
    <row r="10869" spans="31:31">
      <c r="AE10869" s="54"/>
    </row>
    <row r="10870" spans="31:31">
      <c r="AE10870" s="54"/>
    </row>
    <row r="10871" spans="31:31">
      <c r="AE10871" s="54"/>
    </row>
    <row r="10872" spans="31:31">
      <c r="AE10872" s="54"/>
    </row>
    <row r="10873" spans="31:31">
      <c r="AE10873" s="54"/>
    </row>
    <row r="10874" spans="31:31">
      <c r="AE10874" s="54"/>
    </row>
    <row r="10875" spans="31:31">
      <c r="AE10875" s="54"/>
    </row>
    <row r="10876" spans="31:31">
      <c r="AE10876" s="54"/>
    </row>
    <row r="10877" spans="31:31">
      <c r="AE10877" s="54"/>
    </row>
    <row r="10878" spans="31:31">
      <c r="AE10878" s="54"/>
    </row>
    <row r="10879" spans="31:31">
      <c r="AE10879" s="54"/>
    </row>
    <row r="10880" spans="31:31">
      <c r="AE10880" s="54"/>
    </row>
    <row r="10881" spans="31:31">
      <c r="AE10881" s="54"/>
    </row>
    <row r="10882" spans="31:31">
      <c r="AE10882" s="54"/>
    </row>
    <row r="10883" spans="31:31">
      <c r="AE10883" s="54"/>
    </row>
    <row r="10884" spans="31:31">
      <c r="AE10884" s="54"/>
    </row>
    <row r="10885" spans="31:31">
      <c r="AE10885" s="54"/>
    </row>
    <row r="10886" spans="31:31">
      <c r="AE10886" s="54"/>
    </row>
    <row r="10887" spans="31:31">
      <c r="AE10887" s="54"/>
    </row>
    <row r="10888" spans="31:31">
      <c r="AE10888" s="54"/>
    </row>
    <row r="10889" spans="31:31">
      <c r="AE10889" s="54"/>
    </row>
    <row r="10890" spans="31:31">
      <c r="AE10890" s="54"/>
    </row>
    <row r="10891" spans="31:31">
      <c r="AE10891" s="54"/>
    </row>
    <row r="10892" spans="31:31">
      <c r="AE10892" s="54"/>
    </row>
    <row r="10893" spans="31:31">
      <c r="AE10893" s="54"/>
    </row>
    <row r="10894" spans="31:31">
      <c r="AE10894" s="54"/>
    </row>
    <row r="10895" spans="31:31">
      <c r="AE10895" s="54"/>
    </row>
    <row r="10896" spans="31:31">
      <c r="AE10896" s="54"/>
    </row>
    <row r="10897" spans="31:31">
      <c r="AE10897" s="54"/>
    </row>
    <row r="10898" spans="31:31">
      <c r="AE10898" s="54"/>
    </row>
    <row r="10899" spans="31:31">
      <c r="AE10899" s="54"/>
    </row>
    <row r="10900" spans="31:31">
      <c r="AE10900" s="54"/>
    </row>
    <row r="10901" spans="31:31">
      <c r="AE10901" s="54"/>
    </row>
    <row r="10902" spans="31:31">
      <c r="AE10902" s="54"/>
    </row>
    <row r="10903" spans="31:31">
      <c r="AE10903" s="54"/>
    </row>
    <row r="10904" spans="31:31">
      <c r="AE10904" s="54"/>
    </row>
    <row r="10905" spans="31:31">
      <c r="AE10905" s="54"/>
    </row>
    <row r="10906" spans="31:31">
      <c r="AE10906" s="54"/>
    </row>
    <row r="10907" spans="31:31">
      <c r="AE10907" s="54"/>
    </row>
    <row r="10908" spans="31:31">
      <c r="AE10908" s="54"/>
    </row>
    <row r="10909" spans="31:31">
      <c r="AE10909" s="54"/>
    </row>
    <row r="10910" spans="31:31">
      <c r="AE10910" s="54"/>
    </row>
    <row r="10911" spans="31:31">
      <c r="AE10911" s="54"/>
    </row>
    <row r="10912" spans="31:31">
      <c r="AE10912" s="54"/>
    </row>
    <row r="10913" spans="31:31">
      <c r="AE10913" s="54"/>
    </row>
    <row r="10914" spans="31:31">
      <c r="AE10914" s="54"/>
    </row>
    <row r="10915" spans="31:31">
      <c r="AE10915" s="54"/>
    </row>
    <row r="10916" spans="31:31">
      <c r="AE10916" s="54"/>
    </row>
    <row r="10917" spans="31:31">
      <c r="AE10917" s="54"/>
    </row>
    <row r="10918" spans="31:31">
      <c r="AE10918" s="54"/>
    </row>
    <row r="10919" spans="31:31">
      <c r="AE10919" s="54"/>
    </row>
    <row r="10920" spans="31:31">
      <c r="AE10920" s="54"/>
    </row>
    <row r="10921" spans="31:31">
      <c r="AE10921" s="54"/>
    </row>
    <row r="10922" spans="31:31">
      <c r="AE10922" s="54"/>
    </row>
    <row r="10923" spans="31:31">
      <c r="AE10923" s="54"/>
    </row>
    <row r="10924" spans="31:31">
      <c r="AE10924" s="54"/>
    </row>
    <row r="10925" spans="31:31">
      <c r="AE10925" s="54"/>
    </row>
    <row r="10926" spans="31:31">
      <c r="AE10926" s="54"/>
    </row>
    <row r="10927" spans="31:31">
      <c r="AE10927" s="54"/>
    </row>
    <row r="10928" spans="31:31">
      <c r="AE10928" s="54"/>
    </row>
    <row r="10929" spans="31:31">
      <c r="AE10929" s="54"/>
    </row>
    <row r="10930" spans="31:31">
      <c r="AE10930" s="54"/>
    </row>
    <row r="10931" spans="31:31">
      <c r="AE10931" s="54"/>
    </row>
    <row r="10932" spans="31:31">
      <c r="AE10932" s="54"/>
    </row>
    <row r="10933" spans="31:31">
      <c r="AE10933" s="54"/>
    </row>
    <row r="10934" spans="31:31">
      <c r="AE10934" s="54"/>
    </row>
    <row r="10935" spans="31:31">
      <c r="AE10935" s="54"/>
    </row>
    <row r="10936" spans="31:31">
      <c r="AE10936" s="54"/>
    </row>
    <row r="10937" spans="31:31">
      <c r="AE10937" s="54"/>
    </row>
    <row r="10938" spans="31:31">
      <c r="AE10938" s="54"/>
    </row>
    <row r="10939" spans="31:31">
      <c r="AE10939" s="54"/>
    </row>
    <row r="10940" spans="31:31">
      <c r="AE10940" s="54"/>
    </row>
    <row r="10941" spans="31:31">
      <c r="AE10941" s="54"/>
    </row>
    <row r="10942" spans="31:31">
      <c r="AE10942" s="54"/>
    </row>
    <row r="10943" spans="31:31">
      <c r="AE10943" s="54"/>
    </row>
    <row r="10944" spans="31:31">
      <c r="AE10944" s="54"/>
    </row>
    <row r="10945" spans="31:31">
      <c r="AE10945" s="54"/>
    </row>
    <row r="10946" spans="31:31">
      <c r="AE10946" s="54"/>
    </row>
    <row r="10947" spans="31:31">
      <c r="AE10947" s="54"/>
    </row>
    <row r="10948" spans="31:31">
      <c r="AE10948" s="54"/>
    </row>
    <row r="10949" spans="31:31">
      <c r="AE10949" s="54"/>
    </row>
    <row r="10950" spans="31:31">
      <c r="AE10950" s="54"/>
    </row>
    <row r="10951" spans="31:31">
      <c r="AE10951" s="54"/>
    </row>
    <row r="10952" spans="31:31">
      <c r="AE10952" s="54"/>
    </row>
    <row r="10953" spans="31:31">
      <c r="AE10953" s="54"/>
    </row>
    <row r="10954" spans="31:31">
      <c r="AE10954" s="54"/>
    </row>
    <row r="10955" spans="31:31">
      <c r="AE10955" s="54"/>
    </row>
    <row r="10956" spans="31:31">
      <c r="AE10956" s="54"/>
    </row>
    <row r="10957" spans="31:31">
      <c r="AE10957" s="54"/>
    </row>
    <row r="10958" spans="31:31">
      <c r="AE10958" s="54"/>
    </row>
    <row r="10959" spans="31:31">
      <c r="AE10959" s="54"/>
    </row>
    <row r="10960" spans="31:31">
      <c r="AE10960" s="54"/>
    </row>
    <row r="10961" spans="31:31">
      <c r="AE10961" s="54"/>
    </row>
    <row r="10962" spans="31:31">
      <c r="AE10962" s="54"/>
    </row>
    <row r="10963" spans="31:31">
      <c r="AE10963" s="54"/>
    </row>
    <row r="10964" spans="31:31">
      <c r="AE10964" s="54"/>
    </row>
    <row r="10965" spans="31:31">
      <c r="AE10965" s="54"/>
    </row>
    <row r="10966" spans="31:31">
      <c r="AE10966" s="54"/>
    </row>
    <row r="10967" spans="31:31">
      <c r="AE10967" s="54"/>
    </row>
    <row r="10968" spans="31:31">
      <c r="AE10968" s="54"/>
    </row>
    <row r="10969" spans="31:31">
      <c r="AE10969" s="54"/>
    </row>
    <row r="10970" spans="31:31">
      <c r="AE10970" s="54"/>
    </row>
    <row r="10971" spans="31:31">
      <c r="AE10971" s="54"/>
    </row>
    <row r="10972" spans="31:31">
      <c r="AE10972" s="54"/>
    </row>
    <row r="10973" spans="31:31">
      <c r="AE10973" s="54"/>
    </row>
    <row r="10974" spans="31:31">
      <c r="AE10974" s="54"/>
    </row>
    <row r="10975" spans="31:31">
      <c r="AE10975" s="54"/>
    </row>
    <row r="10976" spans="31:31">
      <c r="AE10976" s="54"/>
    </row>
    <row r="10977" spans="31:31">
      <c r="AE10977" s="54"/>
    </row>
    <row r="10978" spans="31:31">
      <c r="AE10978" s="54"/>
    </row>
    <row r="10979" spans="31:31">
      <c r="AE10979" s="54"/>
    </row>
    <row r="10980" spans="31:31">
      <c r="AE10980" s="54"/>
    </row>
    <row r="10981" spans="31:31">
      <c r="AE10981" s="54"/>
    </row>
    <row r="10982" spans="31:31">
      <c r="AE10982" s="54"/>
    </row>
    <row r="10983" spans="31:31">
      <c r="AE10983" s="54"/>
    </row>
    <row r="10984" spans="31:31">
      <c r="AE10984" s="54"/>
    </row>
    <row r="10985" spans="31:31">
      <c r="AE10985" s="54"/>
    </row>
    <row r="10986" spans="31:31">
      <c r="AE10986" s="54"/>
    </row>
    <row r="10987" spans="31:31">
      <c r="AE10987" s="54"/>
    </row>
    <row r="10988" spans="31:31">
      <c r="AE10988" s="54"/>
    </row>
    <row r="10989" spans="31:31">
      <c r="AE10989" s="54"/>
    </row>
    <row r="10990" spans="31:31">
      <c r="AE10990" s="54"/>
    </row>
    <row r="10991" spans="31:31">
      <c r="AE10991" s="54"/>
    </row>
    <row r="10992" spans="31:31">
      <c r="AE10992" s="54"/>
    </row>
    <row r="10993" spans="31:31">
      <c r="AE10993" s="54"/>
    </row>
    <row r="10994" spans="31:31">
      <c r="AE10994" s="54"/>
    </row>
    <row r="10995" spans="31:31">
      <c r="AE10995" s="54"/>
    </row>
    <row r="10996" spans="31:31">
      <c r="AE10996" s="54"/>
    </row>
    <row r="10997" spans="31:31">
      <c r="AE10997" s="54"/>
    </row>
    <row r="10998" spans="31:31">
      <c r="AE10998" s="54"/>
    </row>
    <row r="10999" spans="31:31">
      <c r="AE10999" s="54"/>
    </row>
    <row r="11000" spans="31:31">
      <c r="AE11000" s="54"/>
    </row>
    <row r="11001" spans="31:31">
      <c r="AE11001" s="54"/>
    </row>
    <row r="11002" spans="31:31">
      <c r="AE11002" s="54"/>
    </row>
    <row r="11003" spans="31:31">
      <c r="AE11003" s="54"/>
    </row>
    <row r="11004" spans="31:31">
      <c r="AE11004" s="54"/>
    </row>
    <row r="11005" spans="31:31">
      <c r="AE11005" s="54"/>
    </row>
    <row r="11006" spans="31:31">
      <c r="AE11006" s="54"/>
    </row>
    <row r="11007" spans="31:31">
      <c r="AE11007" s="54"/>
    </row>
    <row r="11008" spans="31:31">
      <c r="AE11008" s="54"/>
    </row>
    <row r="11009" spans="31:31">
      <c r="AE11009" s="54"/>
    </row>
    <row r="11010" spans="31:31">
      <c r="AE11010" s="54"/>
    </row>
    <row r="11011" spans="31:31">
      <c r="AE11011" s="54"/>
    </row>
    <row r="11012" spans="31:31">
      <c r="AE11012" s="54"/>
    </row>
    <row r="11013" spans="31:31">
      <c r="AE11013" s="54"/>
    </row>
    <row r="11014" spans="31:31">
      <c r="AE11014" s="54"/>
    </row>
    <row r="11015" spans="31:31">
      <c r="AE11015" s="54"/>
    </row>
    <row r="11016" spans="31:31">
      <c r="AE11016" s="54"/>
    </row>
    <row r="11017" spans="31:31">
      <c r="AE11017" s="54"/>
    </row>
    <row r="11018" spans="31:31">
      <c r="AE11018" s="54"/>
    </row>
    <row r="11019" spans="31:31">
      <c r="AE11019" s="54"/>
    </row>
    <row r="11020" spans="31:31">
      <c r="AE11020" s="54"/>
    </row>
    <row r="11021" spans="31:31">
      <c r="AE11021" s="54"/>
    </row>
    <row r="11022" spans="31:31">
      <c r="AE11022" s="54"/>
    </row>
    <row r="11023" spans="31:31">
      <c r="AE11023" s="54"/>
    </row>
    <row r="11024" spans="31:31">
      <c r="AE11024" s="54"/>
    </row>
    <row r="11025" spans="31:31">
      <c r="AE11025" s="54"/>
    </row>
    <row r="11026" spans="31:31">
      <c r="AE11026" s="54"/>
    </row>
    <row r="11027" spans="31:31">
      <c r="AE11027" s="54"/>
    </row>
    <row r="11028" spans="31:31">
      <c r="AE11028" s="54"/>
    </row>
    <row r="11029" spans="31:31">
      <c r="AE11029" s="54"/>
    </row>
    <row r="11030" spans="31:31">
      <c r="AE11030" s="54"/>
    </row>
    <row r="11031" spans="31:31">
      <c r="AE11031" s="54"/>
    </row>
    <row r="11032" spans="31:31">
      <c r="AE11032" s="54"/>
    </row>
    <row r="11033" spans="31:31">
      <c r="AE11033" s="54"/>
    </row>
    <row r="11034" spans="31:31">
      <c r="AE11034" s="54"/>
    </row>
    <row r="11035" spans="31:31">
      <c r="AE11035" s="54"/>
    </row>
    <row r="11036" spans="31:31">
      <c r="AE11036" s="54"/>
    </row>
    <row r="11037" spans="31:31">
      <c r="AE11037" s="54"/>
    </row>
    <row r="11038" spans="31:31">
      <c r="AE11038" s="54"/>
    </row>
    <row r="11039" spans="31:31">
      <c r="AE11039" s="54"/>
    </row>
    <row r="11040" spans="31:31">
      <c r="AE11040" s="54"/>
    </row>
    <row r="11041" spans="31:31">
      <c r="AE11041" s="54"/>
    </row>
    <row r="11042" spans="31:31">
      <c r="AE11042" s="54"/>
    </row>
    <row r="11043" spans="31:31">
      <c r="AE11043" s="54"/>
    </row>
    <row r="11044" spans="31:31">
      <c r="AE11044" s="54"/>
    </row>
    <row r="11045" spans="31:31">
      <c r="AE11045" s="54"/>
    </row>
    <row r="11046" spans="31:31">
      <c r="AE11046" s="54"/>
    </row>
    <row r="11047" spans="31:31">
      <c r="AE11047" s="54"/>
    </row>
    <row r="11048" spans="31:31">
      <c r="AE11048" s="54"/>
    </row>
    <row r="11049" spans="31:31">
      <c r="AE11049" s="54"/>
    </row>
    <row r="11050" spans="31:31">
      <c r="AE11050" s="54"/>
    </row>
    <row r="11051" spans="31:31">
      <c r="AE11051" s="54"/>
    </row>
    <row r="11052" spans="31:31">
      <c r="AE11052" s="54"/>
    </row>
    <row r="11053" spans="31:31">
      <c r="AE11053" s="54"/>
    </row>
    <row r="11054" spans="31:31">
      <c r="AE11054" s="54"/>
    </row>
    <row r="11055" spans="31:31">
      <c r="AE11055" s="54"/>
    </row>
    <row r="11056" spans="31:31">
      <c r="AE11056" s="54"/>
    </row>
    <row r="11057" spans="31:31">
      <c r="AE11057" s="54"/>
    </row>
    <row r="11058" spans="31:31">
      <c r="AE11058" s="54"/>
    </row>
    <row r="11059" spans="31:31">
      <c r="AE11059" s="54"/>
    </row>
    <row r="11060" spans="31:31">
      <c r="AE11060" s="54"/>
    </row>
    <row r="11061" spans="31:31">
      <c r="AE11061" s="54"/>
    </row>
    <row r="11062" spans="31:31">
      <c r="AE11062" s="54"/>
    </row>
    <row r="11063" spans="31:31">
      <c r="AE11063" s="54"/>
    </row>
    <row r="11064" spans="31:31">
      <c r="AE11064" s="54"/>
    </row>
    <row r="11065" spans="31:31">
      <c r="AE11065" s="54"/>
    </row>
    <row r="11066" spans="31:31">
      <c r="AE11066" s="54"/>
    </row>
    <row r="11067" spans="31:31">
      <c r="AE11067" s="54"/>
    </row>
    <row r="11068" spans="31:31">
      <c r="AE11068" s="54"/>
    </row>
    <row r="11069" spans="31:31">
      <c r="AE11069" s="54"/>
    </row>
    <row r="11070" spans="31:31">
      <c r="AE11070" s="54"/>
    </row>
    <row r="11071" spans="31:31">
      <c r="AE11071" s="54"/>
    </row>
    <row r="11072" spans="31:31">
      <c r="AE11072" s="54"/>
    </row>
    <row r="11073" spans="31:31">
      <c r="AE11073" s="54"/>
    </row>
    <row r="11074" spans="31:31">
      <c r="AE11074" s="54"/>
    </row>
    <row r="11075" spans="31:31">
      <c r="AE11075" s="54"/>
    </row>
    <row r="11076" spans="31:31">
      <c r="AE11076" s="54"/>
    </row>
    <row r="11077" spans="31:31">
      <c r="AE11077" s="54"/>
    </row>
    <row r="11078" spans="31:31">
      <c r="AE11078" s="54"/>
    </row>
    <row r="11079" spans="31:31">
      <c r="AE11079" s="54"/>
    </row>
    <row r="11080" spans="31:31">
      <c r="AE11080" s="54"/>
    </row>
    <row r="11081" spans="31:31">
      <c r="AE11081" s="54"/>
    </row>
    <row r="11082" spans="31:31">
      <c r="AE11082" s="54"/>
    </row>
    <row r="11083" spans="31:31">
      <c r="AE11083" s="54"/>
    </row>
    <row r="11084" spans="31:31">
      <c r="AE11084" s="54"/>
    </row>
    <row r="11085" spans="31:31">
      <c r="AE11085" s="54"/>
    </row>
    <row r="11086" spans="31:31">
      <c r="AE11086" s="54"/>
    </row>
    <row r="11087" spans="31:31">
      <c r="AE11087" s="54"/>
    </row>
    <row r="11088" spans="31:31">
      <c r="AE11088" s="54"/>
    </row>
    <row r="11089" spans="31:31">
      <c r="AE11089" s="54"/>
    </row>
    <row r="11090" spans="31:31">
      <c r="AE11090" s="54"/>
    </row>
    <row r="11091" spans="31:31">
      <c r="AE11091" s="54"/>
    </row>
    <row r="11092" spans="31:31">
      <c r="AE11092" s="54"/>
    </row>
    <row r="11093" spans="31:31">
      <c r="AE11093" s="54"/>
    </row>
    <row r="11094" spans="31:31">
      <c r="AE11094" s="54"/>
    </row>
    <row r="11095" spans="31:31">
      <c r="AE11095" s="54"/>
    </row>
    <row r="11096" spans="31:31">
      <c r="AE11096" s="54"/>
    </row>
    <row r="11097" spans="31:31">
      <c r="AE11097" s="54"/>
    </row>
    <row r="11098" spans="31:31">
      <c r="AE11098" s="54"/>
    </row>
    <row r="11099" spans="31:31">
      <c r="AE11099" s="54"/>
    </row>
    <row r="11100" spans="31:31">
      <c r="AE11100" s="54"/>
    </row>
    <row r="11101" spans="31:31">
      <c r="AE11101" s="54"/>
    </row>
    <row r="11102" spans="31:31">
      <c r="AE11102" s="54"/>
    </row>
    <row r="11103" spans="31:31">
      <c r="AE11103" s="54"/>
    </row>
    <row r="11104" spans="31:31">
      <c r="AE11104" s="54"/>
    </row>
    <row r="11105" spans="31:31">
      <c r="AE11105" s="54"/>
    </row>
    <row r="11106" spans="31:31">
      <c r="AE11106" s="54"/>
    </row>
    <row r="11107" spans="31:31">
      <c r="AE11107" s="54"/>
    </row>
    <row r="11108" spans="31:31">
      <c r="AE11108" s="54"/>
    </row>
    <row r="11109" spans="31:31">
      <c r="AE11109" s="54"/>
    </row>
    <row r="11110" spans="31:31">
      <c r="AE11110" s="54"/>
    </row>
    <row r="11111" spans="31:31">
      <c r="AE11111" s="54"/>
    </row>
    <row r="11112" spans="31:31">
      <c r="AE11112" s="54"/>
    </row>
    <row r="11113" spans="31:31">
      <c r="AE11113" s="54"/>
    </row>
    <row r="11114" spans="31:31">
      <c r="AE11114" s="54"/>
    </row>
    <row r="11115" spans="31:31">
      <c r="AE11115" s="54"/>
    </row>
    <row r="11116" spans="31:31">
      <c r="AE11116" s="54"/>
    </row>
    <row r="11117" spans="31:31">
      <c r="AE11117" s="54"/>
    </row>
    <row r="11118" spans="31:31">
      <c r="AE11118" s="54"/>
    </row>
    <row r="11119" spans="31:31">
      <c r="AE11119" s="54"/>
    </row>
    <row r="11120" spans="31:31">
      <c r="AE11120" s="54"/>
    </row>
    <row r="11121" spans="31:31">
      <c r="AE11121" s="54"/>
    </row>
    <row r="11122" spans="31:31">
      <c r="AE11122" s="54"/>
    </row>
    <row r="11123" spans="31:31">
      <c r="AE11123" s="54"/>
    </row>
    <row r="11124" spans="31:31">
      <c r="AE11124" s="54"/>
    </row>
    <row r="11125" spans="31:31">
      <c r="AE11125" s="54"/>
    </row>
    <row r="11126" spans="31:31">
      <c r="AE11126" s="54"/>
    </row>
    <row r="11127" spans="31:31">
      <c r="AE11127" s="54"/>
    </row>
    <row r="11128" spans="31:31">
      <c r="AE11128" s="54"/>
    </row>
    <row r="11129" spans="31:31">
      <c r="AE11129" s="54"/>
    </row>
    <row r="11130" spans="31:31">
      <c r="AE11130" s="54"/>
    </row>
    <row r="11131" spans="31:31">
      <c r="AE11131" s="54"/>
    </row>
    <row r="11132" spans="31:31">
      <c r="AE11132" s="54"/>
    </row>
    <row r="11133" spans="31:31">
      <c r="AE11133" s="54"/>
    </row>
    <row r="11134" spans="31:31">
      <c r="AE11134" s="54"/>
    </row>
    <row r="11135" spans="31:31">
      <c r="AE11135" s="54"/>
    </row>
    <row r="11136" spans="31:31">
      <c r="AE11136" s="54"/>
    </row>
    <row r="11137" spans="31:31">
      <c r="AE11137" s="54"/>
    </row>
    <row r="11138" spans="31:31">
      <c r="AE11138" s="54"/>
    </row>
    <row r="11139" spans="31:31">
      <c r="AE11139" s="54"/>
    </row>
    <row r="11140" spans="31:31">
      <c r="AE11140" s="54"/>
    </row>
    <row r="11141" spans="31:31">
      <c r="AE11141" s="54"/>
    </row>
    <row r="11142" spans="31:31">
      <c r="AE11142" s="54"/>
    </row>
    <row r="11143" spans="31:31">
      <c r="AE11143" s="54"/>
    </row>
    <row r="11144" spans="31:31">
      <c r="AE11144" s="54"/>
    </row>
    <row r="11145" spans="31:31">
      <c r="AE11145" s="54"/>
    </row>
    <row r="11146" spans="31:31">
      <c r="AE11146" s="54"/>
    </row>
    <row r="11147" spans="31:31">
      <c r="AE11147" s="54"/>
    </row>
    <row r="11148" spans="31:31">
      <c r="AE11148" s="54"/>
    </row>
    <row r="11149" spans="31:31">
      <c r="AE11149" s="54"/>
    </row>
    <row r="11150" spans="31:31">
      <c r="AE11150" s="54"/>
    </row>
    <row r="11151" spans="31:31">
      <c r="AE11151" s="54"/>
    </row>
    <row r="11152" spans="31:31">
      <c r="AE11152" s="54"/>
    </row>
    <row r="11153" spans="31:31">
      <c r="AE11153" s="54"/>
    </row>
    <row r="11154" spans="31:31">
      <c r="AE11154" s="54"/>
    </row>
    <row r="11155" spans="31:31">
      <c r="AE11155" s="54"/>
    </row>
    <row r="11156" spans="31:31">
      <c r="AE11156" s="54"/>
    </row>
    <row r="11157" spans="31:31">
      <c r="AE11157" s="54"/>
    </row>
    <row r="11158" spans="31:31">
      <c r="AE11158" s="54"/>
    </row>
    <row r="11159" spans="31:31">
      <c r="AE11159" s="54"/>
    </row>
    <row r="11160" spans="31:31">
      <c r="AE11160" s="54"/>
    </row>
    <row r="11161" spans="31:31">
      <c r="AE11161" s="54"/>
    </row>
    <row r="11162" spans="31:31">
      <c r="AE11162" s="54"/>
    </row>
    <row r="11163" spans="31:31">
      <c r="AE11163" s="54"/>
    </row>
    <row r="11164" spans="31:31">
      <c r="AE11164" s="54"/>
    </row>
    <row r="11165" spans="31:31">
      <c r="AE11165" s="54"/>
    </row>
    <row r="11166" spans="31:31">
      <c r="AE11166" s="54"/>
    </row>
    <row r="11167" spans="31:31">
      <c r="AE11167" s="54"/>
    </row>
    <row r="11168" spans="31:31">
      <c r="AE11168" s="54"/>
    </row>
    <row r="11169" spans="31:31">
      <c r="AE11169" s="54"/>
    </row>
    <row r="11170" spans="31:31">
      <c r="AE11170" s="54"/>
    </row>
    <row r="11171" spans="31:31">
      <c r="AE11171" s="54"/>
    </row>
    <row r="11172" spans="31:31">
      <c r="AE11172" s="54"/>
    </row>
    <row r="11173" spans="31:31">
      <c r="AE11173" s="54"/>
    </row>
    <row r="11174" spans="31:31">
      <c r="AE11174" s="54"/>
    </row>
    <row r="11175" spans="31:31">
      <c r="AE11175" s="54"/>
    </row>
    <row r="11176" spans="31:31">
      <c r="AE11176" s="54"/>
    </row>
    <row r="11177" spans="31:31">
      <c r="AE11177" s="54"/>
    </row>
    <row r="11178" spans="31:31">
      <c r="AE11178" s="54"/>
    </row>
    <row r="11179" spans="31:31">
      <c r="AE11179" s="54"/>
    </row>
    <row r="11180" spans="31:31">
      <c r="AE11180" s="54"/>
    </row>
    <row r="11181" spans="31:31">
      <c r="AE11181" s="54"/>
    </row>
    <row r="11182" spans="31:31">
      <c r="AE11182" s="54"/>
    </row>
    <row r="11183" spans="31:31">
      <c r="AE11183" s="54"/>
    </row>
    <row r="11184" spans="31:31">
      <c r="AE11184" s="54"/>
    </row>
    <row r="11185" spans="31:31">
      <c r="AE11185" s="54"/>
    </row>
    <row r="11186" spans="31:31">
      <c r="AE11186" s="54"/>
    </row>
    <row r="11187" spans="31:31">
      <c r="AE11187" s="54"/>
    </row>
    <row r="11188" spans="31:31">
      <c r="AE11188" s="54"/>
    </row>
    <row r="11189" spans="31:31">
      <c r="AE11189" s="54"/>
    </row>
    <row r="11190" spans="31:31">
      <c r="AE11190" s="54"/>
    </row>
    <row r="11191" spans="31:31">
      <c r="AE11191" s="54"/>
    </row>
    <row r="11192" spans="31:31">
      <c r="AE11192" s="54"/>
    </row>
    <row r="11193" spans="31:31">
      <c r="AE11193" s="54"/>
    </row>
    <row r="11194" spans="31:31">
      <c r="AE11194" s="54"/>
    </row>
    <row r="11195" spans="31:31">
      <c r="AE11195" s="54"/>
    </row>
    <row r="11196" spans="31:31">
      <c r="AE11196" s="54"/>
    </row>
    <row r="11197" spans="31:31">
      <c r="AE11197" s="54"/>
    </row>
    <row r="11198" spans="31:31">
      <c r="AE11198" s="54"/>
    </row>
    <row r="11199" spans="31:31">
      <c r="AE11199" s="54"/>
    </row>
    <row r="11200" spans="31:31">
      <c r="AE11200" s="54"/>
    </row>
    <row r="11201" spans="31:31">
      <c r="AE11201" s="54"/>
    </row>
    <row r="11202" spans="31:31">
      <c r="AE11202" s="54"/>
    </row>
    <row r="11203" spans="31:31">
      <c r="AE11203" s="54"/>
    </row>
    <row r="11204" spans="31:31">
      <c r="AE11204" s="54"/>
    </row>
    <row r="11205" spans="31:31">
      <c r="AE11205" s="54"/>
    </row>
    <row r="11206" spans="31:31">
      <c r="AE11206" s="54"/>
    </row>
    <row r="11207" spans="31:31">
      <c r="AE11207" s="54"/>
    </row>
    <row r="11208" spans="31:31">
      <c r="AE11208" s="54"/>
    </row>
    <row r="11209" spans="31:31">
      <c r="AE11209" s="54"/>
    </row>
    <row r="11210" spans="31:31">
      <c r="AE11210" s="54"/>
    </row>
    <row r="11211" spans="31:31">
      <c r="AE11211" s="54"/>
    </row>
    <row r="11212" spans="31:31">
      <c r="AE11212" s="54"/>
    </row>
    <row r="11213" spans="31:31">
      <c r="AE11213" s="54"/>
    </row>
    <row r="11214" spans="31:31">
      <c r="AE11214" s="54"/>
    </row>
    <row r="11215" spans="31:31">
      <c r="AE11215" s="54"/>
    </row>
    <row r="11216" spans="31:31">
      <c r="AE11216" s="54"/>
    </row>
    <row r="11217" spans="31:31">
      <c r="AE11217" s="54"/>
    </row>
    <row r="11218" spans="31:31">
      <c r="AE11218" s="54"/>
    </row>
    <row r="11219" spans="31:31">
      <c r="AE11219" s="54"/>
    </row>
    <row r="11220" spans="31:31">
      <c r="AE11220" s="54"/>
    </row>
    <row r="11221" spans="31:31">
      <c r="AE11221" s="54"/>
    </row>
    <row r="11222" spans="31:31">
      <c r="AE11222" s="54"/>
    </row>
    <row r="11223" spans="31:31">
      <c r="AE11223" s="54"/>
    </row>
    <row r="11224" spans="31:31">
      <c r="AE11224" s="54"/>
    </row>
    <row r="11225" spans="31:31">
      <c r="AE11225" s="54"/>
    </row>
    <row r="11226" spans="31:31">
      <c r="AE11226" s="54"/>
    </row>
    <row r="11227" spans="31:31">
      <c r="AE11227" s="54"/>
    </row>
    <row r="11228" spans="31:31">
      <c r="AE11228" s="54"/>
    </row>
    <row r="11229" spans="31:31">
      <c r="AE11229" s="54"/>
    </row>
    <row r="11230" spans="31:31">
      <c r="AE11230" s="54"/>
    </row>
    <row r="11231" spans="31:31">
      <c r="AE11231" s="54"/>
    </row>
    <row r="11232" spans="31:31">
      <c r="AE11232" s="54"/>
    </row>
    <row r="11233" spans="31:31">
      <c r="AE11233" s="54"/>
    </row>
    <row r="11234" spans="31:31">
      <c r="AE11234" s="54"/>
    </row>
    <row r="11235" spans="31:31">
      <c r="AE11235" s="54"/>
    </row>
    <row r="11236" spans="31:31">
      <c r="AE11236" s="54"/>
    </row>
    <row r="11237" spans="31:31">
      <c r="AE11237" s="54"/>
    </row>
    <row r="11238" spans="31:31">
      <c r="AE11238" s="54"/>
    </row>
    <row r="11239" spans="31:31">
      <c r="AE11239" s="54"/>
    </row>
    <row r="11240" spans="31:31">
      <c r="AE11240" s="54"/>
    </row>
    <row r="11241" spans="31:31">
      <c r="AE11241" s="54"/>
    </row>
    <row r="11242" spans="31:31">
      <c r="AE11242" s="54"/>
    </row>
    <row r="11243" spans="31:31">
      <c r="AE11243" s="54"/>
    </row>
    <row r="11244" spans="31:31">
      <c r="AE11244" s="54"/>
    </row>
    <row r="11245" spans="31:31">
      <c r="AE11245" s="54"/>
    </row>
    <row r="11246" spans="31:31">
      <c r="AE11246" s="54"/>
    </row>
    <row r="11247" spans="31:31">
      <c r="AE11247" s="54"/>
    </row>
    <row r="11248" spans="31:31">
      <c r="AE11248" s="54"/>
    </row>
    <row r="11249" spans="31:31">
      <c r="AE11249" s="54"/>
    </row>
    <row r="11250" spans="31:31">
      <c r="AE11250" s="54"/>
    </row>
    <row r="11251" spans="31:31">
      <c r="AE11251" s="54"/>
    </row>
    <row r="11252" spans="31:31">
      <c r="AE11252" s="54"/>
    </row>
    <row r="11253" spans="31:31">
      <c r="AE11253" s="54"/>
    </row>
    <row r="11254" spans="31:31">
      <c r="AE11254" s="54"/>
    </row>
    <row r="11255" spans="31:31">
      <c r="AE11255" s="54"/>
    </row>
    <row r="11256" spans="31:31">
      <c r="AE11256" s="54"/>
    </row>
    <row r="11257" spans="31:31">
      <c r="AE11257" s="54"/>
    </row>
    <row r="11258" spans="31:31">
      <c r="AE11258" s="54"/>
    </row>
    <row r="11259" spans="31:31">
      <c r="AE11259" s="54"/>
    </row>
    <row r="11260" spans="31:31">
      <c r="AE11260" s="54"/>
    </row>
    <row r="11261" spans="31:31">
      <c r="AE11261" s="54"/>
    </row>
    <row r="11262" spans="31:31">
      <c r="AE11262" s="54"/>
    </row>
    <row r="11263" spans="31:31">
      <c r="AE11263" s="54"/>
    </row>
    <row r="11264" spans="31:31">
      <c r="AE11264" s="54"/>
    </row>
    <row r="11265" spans="31:31">
      <c r="AE11265" s="54"/>
    </row>
    <row r="11266" spans="31:31">
      <c r="AE11266" s="54"/>
    </row>
    <row r="11267" spans="31:31">
      <c r="AE11267" s="54"/>
    </row>
    <row r="11268" spans="31:31">
      <c r="AE11268" s="54"/>
    </row>
    <row r="11269" spans="31:31">
      <c r="AE11269" s="54"/>
    </row>
    <row r="11270" spans="31:31">
      <c r="AE11270" s="54"/>
    </row>
    <row r="11271" spans="31:31">
      <c r="AE11271" s="54"/>
    </row>
    <row r="11272" spans="31:31">
      <c r="AE11272" s="54"/>
    </row>
    <row r="11273" spans="31:31">
      <c r="AE11273" s="54"/>
    </row>
    <row r="11274" spans="31:31">
      <c r="AE11274" s="54"/>
    </row>
    <row r="11275" spans="31:31">
      <c r="AE11275" s="54"/>
    </row>
    <row r="11276" spans="31:31">
      <c r="AE11276" s="54"/>
    </row>
    <row r="11277" spans="31:31">
      <c r="AE11277" s="54"/>
    </row>
    <row r="11278" spans="31:31">
      <c r="AE11278" s="54"/>
    </row>
    <row r="11279" spans="31:31">
      <c r="AE11279" s="54"/>
    </row>
    <row r="11280" spans="31:31">
      <c r="AE11280" s="54"/>
    </row>
    <row r="11281" spans="31:31">
      <c r="AE11281" s="54"/>
    </row>
    <row r="11282" spans="31:31">
      <c r="AE11282" s="54"/>
    </row>
    <row r="11283" spans="31:31">
      <c r="AE11283" s="54"/>
    </row>
    <row r="11284" spans="31:31">
      <c r="AE11284" s="54"/>
    </row>
    <row r="11285" spans="31:31">
      <c r="AE11285" s="54"/>
    </row>
    <row r="11286" spans="31:31">
      <c r="AE11286" s="54"/>
    </row>
    <row r="11287" spans="31:31">
      <c r="AE11287" s="54"/>
    </row>
    <row r="11288" spans="31:31">
      <c r="AE11288" s="54"/>
    </row>
    <row r="11289" spans="31:31">
      <c r="AE11289" s="54"/>
    </row>
    <row r="11290" spans="31:31">
      <c r="AE11290" s="54"/>
    </row>
    <row r="11291" spans="31:31">
      <c r="AE11291" s="54"/>
    </row>
    <row r="11292" spans="31:31">
      <c r="AE11292" s="54"/>
    </row>
    <row r="11293" spans="31:31">
      <c r="AE11293" s="54"/>
    </row>
    <row r="11294" spans="31:31">
      <c r="AE11294" s="54"/>
    </row>
    <row r="11295" spans="31:31">
      <c r="AE11295" s="54"/>
    </row>
    <row r="11296" spans="31:31">
      <c r="AE11296" s="54"/>
    </row>
    <row r="11297" spans="31:31">
      <c r="AE11297" s="54"/>
    </row>
    <row r="11298" spans="31:31">
      <c r="AE11298" s="54"/>
    </row>
    <row r="11299" spans="31:31">
      <c r="AE11299" s="54"/>
    </row>
    <row r="11300" spans="31:31">
      <c r="AE11300" s="54"/>
    </row>
    <row r="11301" spans="31:31">
      <c r="AE11301" s="54"/>
    </row>
    <row r="11302" spans="31:31">
      <c r="AE11302" s="54"/>
    </row>
    <row r="11303" spans="31:31">
      <c r="AE11303" s="54"/>
    </row>
    <row r="11304" spans="31:31">
      <c r="AE11304" s="54"/>
    </row>
    <row r="11305" spans="31:31">
      <c r="AE11305" s="54"/>
    </row>
    <row r="11306" spans="31:31">
      <c r="AE11306" s="54"/>
    </row>
    <row r="11307" spans="31:31">
      <c r="AE11307" s="54"/>
    </row>
    <row r="11308" spans="31:31">
      <c r="AE11308" s="54"/>
    </row>
    <row r="11309" spans="31:31">
      <c r="AE11309" s="54"/>
    </row>
    <row r="11310" spans="31:31">
      <c r="AE11310" s="54"/>
    </row>
    <row r="11311" spans="31:31">
      <c r="AE11311" s="54"/>
    </row>
    <row r="11312" spans="31:31">
      <c r="AE11312" s="54"/>
    </row>
    <row r="11313" spans="31:31">
      <c r="AE11313" s="54"/>
    </row>
    <row r="11314" spans="31:31">
      <c r="AE11314" s="54"/>
    </row>
    <row r="11315" spans="31:31">
      <c r="AE11315" s="54"/>
    </row>
    <row r="11316" spans="31:31">
      <c r="AE11316" s="54"/>
    </row>
    <row r="11317" spans="31:31">
      <c r="AE11317" s="54"/>
    </row>
    <row r="11318" spans="31:31">
      <c r="AE11318" s="54"/>
    </row>
    <row r="11319" spans="31:31">
      <c r="AE11319" s="54"/>
    </row>
    <row r="11320" spans="31:31">
      <c r="AE11320" s="54"/>
    </row>
    <row r="11321" spans="31:31">
      <c r="AE11321" s="54"/>
    </row>
    <row r="11322" spans="31:31">
      <c r="AE11322" s="54"/>
    </row>
    <row r="11323" spans="31:31">
      <c r="AE11323" s="54"/>
    </row>
    <row r="11324" spans="31:31">
      <c r="AE11324" s="54"/>
    </row>
    <row r="11325" spans="31:31">
      <c r="AE11325" s="54"/>
    </row>
    <row r="11326" spans="31:31">
      <c r="AE11326" s="54"/>
    </row>
    <row r="11327" spans="31:31">
      <c r="AE11327" s="54"/>
    </row>
    <row r="11328" spans="31:31">
      <c r="AE11328" s="54"/>
    </row>
    <row r="11329" spans="31:31">
      <c r="AE11329" s="54"/>
    </row>
    <row r="11330" spans="31:31">
      <c r="AE11330" s="54"/>
    </row>
    <row r="11331" spans="31:31">
      <c r="AE11331" s="54"/>
    </row>
    <row r="11332" spans="31:31">
      <c r="AE11332" s="54"/>
    </row>
    <row r="11333" spans="31:31">
      <c r="AE11333" s="54"/>
    </row>
    <row r="11334" spans="31:31">
      <c r="AE11334" s="54"/>
    </row>
    <row r="11335" spans="31:31">
      <c r="AE11335" s="54"/>
    </row>
    <row r="11336" spans="31:31">
      <c r="AE11336" s="54"/>
    </row>
    <row r="11337" spans="31:31">
      <c r="AE11337" s="54"/>
    </row>
    <row r="11338" spans="31:31">
      <c r="AE11338" s="54"/>
    </row>
    <row r="11339" spans="31:31">
      <c r="AE11339" s="54"/>
    </row>
    <row r="11340" spans="31:31">
      <c r="AE11340" s="54"/>
    </row>
    <row r="11341" spans="31:31">
      <c r="AE11341" s="54"/>
    </row>
    <row r="11342" spans="31:31">
      <c r="AE11342" s="54"/>
    </row>
    <row r="11343" spans="31:31">
      <c r="AE11343" s="54"/>
    </row>
    <row r="11344" spans="31:31">
      <c r="AE11344" s="54"/>
    </row>
    <row r="11345" spans="31:31">
      <c r="AE11345" s="54"/>
    </row>
    <row r="11346" spans="31:31">
      <c r="AE11346" s="54"/>
    </row>
    <row r="11347" spans="31:31">
      <c r="AE11347" s="54"/>
    </row>
    <row r="11348" spans="31:31">
      <c r="AE11348" s="54"/>
    </row>
    <row r="11349" spans="31:31">
      <c r="AE11349" s="54"/>
    </row>
    <row r="11350" spans="31:31">
      <c r="AE11350" s="54"/>
    </row>
    <row r="11351" spans="31:31">
      <c r="AE11351" s="54"/>
    </row>
    <row r="11352" spans="31:31">
      <c r="AE11352" s="54"/>
    </row>
    <row r="11353" spans="31:31">
      <c r="AE11353" s="54"/>
    </row>
    <row r="11354" spans="31:31">
      <c r="AE11354" s="54"/>
    </row>
    <row r="11355" spans="31:31">
      <c r="AE11355" s="54"/>
    </row>
    <row r="11356" spans="31:31">
      <c r="AE11356" s="54"/>
    </row>
    <row r="11357" spans="31:31">
      <c r="AE11357" s="54"/>
    </row>
    <row r="11358" spans="31:31">
      <c r="AE11358" s="54"/>
    </row>
    <row r="11359" spans="31:31">
      <c r="AE11359" s="54"/>
    </row>
    <row r="11360" spans="31:31">
      <c r="AE11360" s="54"/>
    </row>
    <row r="11361" spans="31:31">
      <c r="AE11361" s="54"/>
    </row>
    <row r="11362" spans="31:31">
      <c r="AE11362" s="54"/>
    </row>
    <row r="11363" spans="31:31">
      <c r="AE11363" s="54"/>
    </row>
    <row r="11364" spans="31:31">
      <c r="AE11364" s="54"/>
    </row>
    <row r="11365" spans="31:31">
      <c r="AE11365" s="54"/>
    </row>
    <row r="11366" spans="31:31">
      <c r="AE11366" s="54"/>
    </row>
    <row r="11367" spans="31:31">
      <c r="AE11367" s="54"/>
    </row>
    <row r="11368" spans="31:31">
      <c r="AE11368" s="54"/>
    </row>
    <row r="11369" spans="31:31">
      <c r="AE11369" s="54"/>
    </row>
    <row r="11370" spans="31:31">
      <c r="AE11370" s="54"/>
    </row>
    <row r="11371" spans="31:31">
      <c r="AE11371" s="54"/>
    </row>
    <row r="11372" spans="31:31">
      <c r="AE11372" s="54"/>
    </row>
    <row r="11373" spans="31:31">
      <c r="AE11373" s="54"/>
    </row>
    <row r="11374" spans="31:31">
      <c r="AE11374" s="54"/>
    </row>
    <row r="11375" spans="31:31">
      <c r="AE11375" s="54"/>
    </row>
    <row r="11376" spans="31:31">
      <c r="AE11376" s="54"/>
    </row>
    <row r="11377" spans="31:31">
      <c r="AE11377" s="54"/>
    </row>
    <row r="11378" spans="31:31">
      <c r="AE11378" s="54"/>
    </row>
    <row r="11379" spans="31:31">
      <c r="AE11379" s="54"/>
    </row>
    <row r="11380" spans="31:31">
      <c r="AE11380" s="54"/>
    </row>
    <row r="11381" spans="31:31">
      <c r="AE11381" s="54"/>
    </row>
    <row r="11382" spans="31:31">
      <c r="AE11382" s="54"/>
    </row>
    <row r="11383" spans="31:31">
      <c r="AE11383" s="54"/>
    </row>
    <row r="11384" spans="31:31">
      <c r="AE11384" s="54"/>
    </row>
    <row r="11385" spans="31:31">
      <c r="AE11385" s="54"/>
    </row>
    <row r="11386" spans="31:31">
      <c r="AE11386" s="54"/>
    </row>
    <row r="11387" spans="31:31">
      <c r="AE11387" s="54"/>
    </row>
    <row r="11388" spans="31:31">
      <c r="AE11388" s="54"/>
    </row>
    <row r="11389" spans="31:31">
      <c r="AE11389" s="54"/>
    </row>
    <row r="11390" spans="31:31">
      <c r="AE11390" s="54"/>
    </row>
    <row r="11391" spans="31:31">
      <c r="AE11391" s="54"/>
    </row>
    <row r="11392" spans="31:31">
      <c r="AE11392" s="54"/>
    </row>
    <row r="11393" spans="31:31">
      <c r="AE11393" s="54"/>
    </row>
    <row r="11394" spans="31:31">
      <c r="AE11394" s="54"/>
    </row>
    <row r="11395" spans="31:31">
      <c r="AE11395" s="54"/>
    </row>
    <row r="11396" spans="31:31">
      <c r="AE11396" s="54"/>
    </row>
    <row r="11397" spans="31:31">
      <c r="AE11397" s="54"/>
    </row>
    <row r="11398" spans="31:31">
      <c r="AE11398" s="54"/>
    </row>
    <row r="11399" spans="31:31">
      <c r="AE11399" s="54"/>
    </row>
    <row r="11400" spans="31:31">
      <c r="AE11400" s="54"/>
    </row>
    <row r="11401" spans="31:31">
      <c r="AE11401" s="54"/>
    </row>
    <row r="11402" spans="31:31">
      <c r="AE11402" s="54"/>
    </row>
    <row r="11403" spans="31:31">
      <c r="AE11403" s="54"/>
    </row>
    <row r="11404" spans="31:31">
      <c r="AE11404" s="54"/>
    </row>
    <row r="11405" spans="31:31">
      <c r="AE11405" s="54"/>
    </row>
    <row r="11406" spans="31:31">
      <c r="AE11406" s="54"/>
    </row>
    <row r="11407" spans="31:31">
      <c r="AE11407" s="54"/>
    </row>
    <row r="11408" spans="31:31">
      <c r="AE11408" s="54"/>
    </row>
    <row r="11409" spans="31:31">
      <c r="AE11409" s="54"/>
    </row>
    <row r="11410" spans="31:31">
      <c r="AE11410" s="54"/>
    </row>
    <row r="11411" spans="31:31">
      <c r="AE11411" s="54"/>
    </row>
    <row r="11412" spans="31:31">
      <c r="AE11412" s="54"/>
    </row>
    <row r="11413" spans="31:31">
      <c r="AE11413" s="54"/>
    </row>
    <row r="11414" spans="31:31">
      <c r="AE11414" s="54"/>
    </row>
    <row r="11415" spans="31:31">
      <c r="AE11415" s="54"/>
    </row>
    <row r="11416" spans="31:31">
      <c r="AE11416" s="54"/>
    </row>
    <row r="11417" spans="31:31">
      <c r="AE11417" s="54"/>
    </row>
    <row r="11418" spans="31:31">
      <c r="AE11418" s="54"/>
    </row>
    <row r="11419" spans="31:31">
      <c r="AE11419" s="54"/>
    </row>
    <row r="11420" spans="31:31">
      <c r="AE11420" s="54"/>
    </row>
    <row r="11421" spans="31:31">
      <c r="AE11421" s="54"/>
    </row>
    <row r="11422" spans="31:31">
      <c r="AE11422" s="54"/>
    </row>
    <row r="11423" spans="31:31">
      <c r="AE11423" s="54"/>
    </row>
    <row r="11424" spans="31:31">
      <c r="AE11424" s="54"/>
    </row>
    <row r="11425" spans="31:31">
      <c r="AE11425" s="54"/>
    </row>
    <row r="11426" spans="31:31">
      <c r="AE11426" s="54"/>
    </row>
    <row r="11427" spans="31:31">
      <c r="AE11427" s="54"/>
    </row>
    <row r="11428" spans="31:31">
      <c r="AE11428" s="54"/>
    </row>
    <row r="11429" spans="31:31">
      <c r="AE11429" s="54"/>
    </row>
    <row r="11430" spans="31:31">
      <c r="AE11430" s="54"/>
    </row>
    <row r="11431" spans="31:31">
      <c r="AE11431" s="54"/>
    </row>
    <row r="11432" spans="31:31">
      <c r="AE11432" s="54"/>
    </row>
    <row r="11433" spans="31:31">
      <c r="AE11433" s="54"/>
    </row>
    <row r="11434" spans="31:31">
      <c r="AE11434" s="54"/>
    </row>
    <row r="11435" spans="31:31">
      <c r="AE11435" s="54"/>
    </row>
    <row r="11436" spans="31:31">
      <c r="AE11436" s="54"/>
    </row>
    <row r="11437" spans="31:31">
      <c r="AE11437" s="54"/>
    </row>
    <row r="11438" spans="31:31">
      <c r="AE11438" s="54"/>
    </row>
    <row r="11439" spans="31:31">
      <c r="AE11439" s="54"/>
    </row>
    <row r="11440" spans="31:31">
      <c r="AE11440" s="54"/>
    </row>
    <row r="11441" spans="31:31">
      <c r="AE11441" s="54"/>
    </row>
    <row r="11442" spans="31:31">
      <c r="AE11442" s="54"/>
    </row>
    <row r="11443" spans="31:31">
      <c r="AE11443" s="54"/>
    </row>
    <row r="11444" spans="31:31">
      <c r="AE11444" s="54"/>
    </row>
    <row r="11445" spans="31:31">
      <c r="AE11445" s="54"/>
    </row>
    <row r="11446" spans="31:31">
      <c r="AE11446" s="54"/>
    </row>
    <row r="11447" spans="31:31">
      <c r="AE11447" s="54"/>
    </row>
    <row r="11448" spans="31:31">
      <c r="AE11448" s="54"/>
    </row>
    <row r="11449" spans="31:31">
      <c r="AE11449" s="54"/>
    </row>
    <row r="11450" spans="31:31">
      <c r="AE11450" s="54"/>
    </row>
    <row r="11451" spans="31:31">
      <c r="AE11451" s="54"/>
    </row>
    <row r="11452" spans="31:31">
      <c r="AE11452" s="54"/>
    </row>
    <row r="11453" spans="31:31">
      <c r="AE11453" s="54"/>
    </row>
    <row r="11454" spans="31:31">
      <c r="AE11454" s="54"/>
    </row>
    <row r="11455" spans="31:31">
      <c r="AE11455" s="54"/>
    </row>
    <row r="11456" spans="31:31">
      <c r="AE11456" s="54"/>
    </row>
    <row r="11457" spans="31:31">
      <c r="AE11457" s="54"/>
    </row>
    <row r="11458" spans="31:31">
      <c r="AE11458" s="54"/>
    </row>
    <row r="11459" spans="31:31">
      <c r="AE11459" s="54"/>
    </row>
    <row r="11460" spans="31:31">
      <c r="AE11460" s="54"/>
    </row>
    <row r="11461" spans="31:31">
      <c r="AE11461" s="54"/>
    </row>
    <row r="11462" spans="31:31">
      <c r="AE11462" s="54"/>
    </row>
    <row r="11463" spans="31:31">
      <c r="AE11463" s="54"/>
    </row>
    <row r="11464" spans="31:31">
      <c r="AE11464" s="54"/>
    </row>
    <row r="11465" spans="31:31">
      <c r="AE11465" s="54"/>
    </row>
    <row r="11466" spans="31:31">
      <c r="AE11466" s="54"/>
    </row>
    <row r="11467" spans="31:31">
      <c r="AE11467" s="54"/>
    </row>
    <row r="11468" spans="31:31">
      <c r="AE11468" s="54"/>
    </row>
    <row r="11469" spans="31:31">
      <c r="AE11469" s="54"/>
    </row>
    <row r="11470" spans="31:31">
      <c r="AE11470" s="54"/>
    </row>
    <row r="11471" spans="31:31">
      <c r="AE11471" s="54"/>
    </row>
    <row r="11472" spans="31:31">
      <c r="AE11472" s="54"/>
    </row>
    <row r="11473" spans="31:31">
      <c r="AE11473" s="54"/>
    </row>
    <row r="11474" spans="31:31">
      <c r="AE11474" s="54"/>
    </row>
    <row r="11475" spans="31:31">
      <c r="AE11475" s="54"/>
    </row>
    <row r="11476" spans="31:31">
      <c r="AE11476" s="54"/>
    </row>
    <row r="11477" spans="31:31">
      <c r="AE11477" s="54"/>
    </row>
    <row r="11478" spans="31:31">
      <c r="AE11478" s="54"/>
    </row>
    <row r="11479" spans="31:31">
      <c r="AE11479" s="54"/>
    </row>
    <row r="11480" spans="31:31">
      <c r="AE11480" s="54"/>
    </row>
    <row r="11481" spans="31:31">
      <c r="AE11481" s="54"/>
    </row>
    <row r="11482" spans="31:31">
      <c r="AE11482" s="54"/>
    </row>
    <row r="11483" spans="31:31">
      <c r="AE11483" s="54"/>
    </row>
    <row r="11484" spans="31:31">
      <c r="AE11484" s="54"/>
    </row>
    <row r="11485" spans="31:31">
      <c r="AE11485" s="54"/>
    </row>
    <row r="11486" spans="31:31">
      <c r="AE11486" s="54"/>
    </row>
    <row r="11487" spans="31:31">
      <c r="AE11487" s="54"/>
    </row>
    <row r="11488" spans="31:31">
      <c r="AE11488" s="54"/>
    </row>
    <row r="11489" spans="31:31">
      <c r="AE11489" s="54"/>
    </row>
    <row r="11490" spans="31:31">
      <c r="AE11490" s="54"/>
    </row>
    <row r="11491" spans="31:31">
      <c r="AE11491" s="54"/>
    </row>
    <row r="11492" spans="31:31">
      <c r="AE11492" s="54"/>
    </row>
    <row r="11493" spans="31:31">
      <c r="AE11493" s="54"/>
    </row>
    <row r="11494" spans="31:31">
      <c r="AE11494" s="54"/>
    </row>
    <row r="11495" spans="31:31">
      <c r="AE11495" s="54"/>
    </row>
    <row r="11496" spans="31:31">
      <c r="AE11496" s="54"/>
    </row>
    <row r="11497" spans="31:31">
      <c r="AE11497" s="54"/>
    </row>
    <row r="11498" spans="31:31">
      <c r="AE11498" s="54"/>
    </row>
    <row r="11499" spans="31:31">
      <c r="AE11499" s="54"/>
    </row>
    <row r="11500" spans="31:31">
      <c r="AE11500" s="54"/>
    </row>
    <row r="11501" spans="31:31">
      <c r="AE11501" s="54"/>
    </row>
    <row r="11502" spans="31:31">
      <c r="AE11502" s="54"/>
    </row>
    <row r="11503" spans="31:31">
      <c r="AE11503" s="54"/>
    </row>
    <row r="11504" spans="31:31">
      <c r="AE11504" s="54"/>
    </row>
    <row r="11505" spans="31:31">
      <c r="AE11505" s="54"/>
    </row>
    <row r="11506" spans="31:31">
      <c r="AE11506" s="54"/>
    </row>
    <row r="11507" spans="31:31">
      <c r="AE11507" s="54"/>
    </row>
    <row r="11508" spans="31:31">
      <c r="AE11508" s="54"/>
    </row>
    <row r="11509" spans="31:31">
      <c r="AE11509" s="54"/>
    </row>
    <row r="11510" spans="31:31">
      <c r="AE11510" s="54"/>
    </row>
    <row r="11511" spans="31:31">
      <c r="AE11511" s="54"/>
    </row>
    <row r="11512" spans="31:31">
      <c r="AE11512" s="54"/>
    </row>
    <row r="11513" spans="31:31">
      <c r="AE11513" s="54"/>
    </row>
    <row r="11514" spans="31:31">
      <c r="AE11514" s="54"/>
    </row>
    <row r="11515" spans="31:31">
      <c r="AE11515" s="54"/>
    </row>
    <row r="11516" spans="31:31">
      <c r="AE11516" s="54"/>
    </row>
    <row r="11517" spans="31:31">
      <c r="AE11517" s="54"/>
    </row>
    <row r="11518" spans="31:31">
      <c r="AE11518" s="54"/>
    </row>
    <row r="11519" spans="31:31">
      <c r="AE11519" s="54"/>
    </row>
    <row r="11520" spans="31:31">
      <c r="AE11520" s="54"/>
    </row>
    <row r="11521" spans="31:31">
      <c r="AE11521" s="54"/>
    </row>
    <row r="11522" spans="31:31">
      <c r="AE11522" s="54"/>
    </row>
    <row r="11523" spans="31:31">
      <c r="AE11523" s="54"/>
    </row>
    <row r="11524" spans="31:31">
      <c r="AE11524" s="54"/>
    </row>
    <row r="11525" spans="31:31">
      <c r="AE11525" s="54"/>
    </row>
    <row r="11526" spans="31:31">
      <c r="AE11526" s="54"/>
    </row>
    <row r="11527" spans="31:31">
      <c r="AE11527" s="54"/>
    </row>
    <row r="11528" spans="31:31">
      <c r="AE11528" s="54"/>
    </row>
    <row r="11529" spans="31:31">
      <c r="AE11529" s="54"/>
    </row>
    <row r="11530" spans="31:31">
      <c r="AE11530" s="54"/>
    </row>
    <row r="11531" spans="31:31">
      <c r="AE11531" s="54"/>
    </row>
    <row r="11532" spans="31:31">
      <c r="AE11532" s="54"/>
    </row>
    <row r="11533" spans="31:31">
      <c r="AE11533" s="54"/>
    </row>
    <row r="11534" spans="31:31">
      <c r="AE11534" s="54"/>
    </row>
    <row r="11535" spans="31:31">
      <c r="AE11535" s="54"/>
    </row>
    <row r="11536" spans="31:31">
      <c r="AE11536" s="54"/>
    </row>
    <row r="11537" spans="31:31">
      <c r="AE11537" s="54"/>
    </row>
    <row r="11538" spans="31:31">
      <c r="AE11538" s="54"/>
    </row>
    <row r="11539" spans="31:31">
      <c r="AE11539" s="54"/>
    </row>
    <row r="11540" spans="31:31">
      <c r="AE11540" s="54"/>
    </row>
    <row r="11541" spans="31:31">
      <c r="AE11541" s="54"/>
    </row>
    <row r="11542" spans="31:31">
      <c r="AE11542" s="54"/>
    </row>
    <row r="11543" spans="31:31">
      <c r="AE11543" s="54"/>
    </row>
    <row r="11544" spans="31:31">
      <c r="AE11544" s="54"/>
    </row>
    <row r="11545" spans="31:31">
      <c r="AE11545" s="54"/>
    </row>
    <row r="11546" spans="31:31">
      <c r="AE11546" s="54"/>
    </row>
    <row r="11547" spans="31:31">
      <c r="AE11547" s="54"/>
    </row>
    <row r="11548" spans="31:31">
      <c r="AE11548" s="54"/>
    </row>
    <row r="11549" spans="31:31">
      <c r="AE11549" s="54"/>
    </row>
    <row r="11550" spans="31:31">
      <c r="AE11550" s="54"/>
    </row>
    <row r="11551" spans="31:31">
      <c r="AE11551" s="54"/>
    </row>
    <row r="11552" spans="31:31">
      <c r="AE11552" s="54"/>
    </row>
    <row r="11553" spans="31:31">
      <c r="AE11553" s="54"/>
    </row>
    <row r="11554" spans="31:31">
      <c r="AE11554" s="54"/>
    </row>
    <row r="11555" spans="31:31">
      <c r="AE11555" s="54"/>
    </row>
    <row r="11556" spans="31:31">
      <c r="AE11556" s="54"/>
    </row>
    <row r="11557" spans="31:31">
      <c r="AE11557" s="54"/>
    </row>
    <row r="11558" spans="31:31">
      <c r="AE11558" s="54"/>
    </row>
    <row r="11559" spans="31:31">
      <c r="AE11559" s="54"/>
    </row>
    <row r="11560" spans="31:31">
      <c r="AE11560" s="54"/>
    </row>
    <row r="11561" spans="31:31">
      <c r="AE11561" s="54"/>
    </row>
    <row r="11562" spans="31:31">
      <c r="AE11562" s="54"/>
    </row>
    <row r="11563" spans="31:31">
      <c r="AE11563" s="54"/>
    </row>
    <row r="11564" spans="31:31">
      <c r="AE11564" s="54"/>
    </row>
    <row r="11565" spans="31:31">
      <c r="AE11565" s="54"/>
    </row>
    <row r="11566" spans="31:31">
      <c r="AE11566" s="54"/>
    </row>
    <row r="11567" spans="31:31">
      <c r="AE11567" s="54"/>
    </row>
    <row r="11568" spans="31:31">
      <c r="AE11568" s="54"/>
    </row>
    <row r="11569" spans="31:31">
      <c r="AE11569" s="54"/>
    </row>
    <row r="11570" spans="31:31">
      <c r="AE11570" s="54"/>
    </row>
    <row r="11571" spans="31:31">
      <c r="AE11571" s="54"/>
    </row>
    <row r="11572" spans="31:31">
      <c r="AE11572" s="54"/>
    </row>
    <row r="11573" spans="31:31">
      <c r="AE11573" s="54"/>
    </row>
    <row r="11574" spans="31:31">
      <c r="AE11574" s="54"/>
    </row>
    <row r="11575" spans="31:31">
      <c r="AE11575" s="54"/>
    </row>
    <row r="11576" spans="31:31">
      <c r="AE11576" s="54"/>
    </row>
    <row r="11577" spans="31:31">
      <c r="AE11577" s="54"/>
    </row>
    <row r="11578" spans="31:31">
      <c r="AE11578" s="54"/>
    </row>
    <row r="11579" spans="31:31">
      <c r="AE11579" s="54"/>
    </row>
    <row r="11580" spans="31:31">
      <c r="AE11580" s="54"/>
    </row>
    <row r="11581" spans="31:31">
      <c r="AE11581" s="54"/>
    </row>
    <row r="11582" spans="31:31">
      <c r="AE11582" s="54"/>
    </row>
    <row r="11583" spans="31:31">
      <c r="AE11583" s="54"/>
    </row>
    <row r="11584" spans="31:31">
      <c r="AE11584" s="54"/>
    </row>
    <row r="11585" spans="31:31">
      <c r="AE11585" s="54"/>
    </row>
    <row r="11586" spans="31:31">
      <c r="AE11586" s="54"/>
    </row>
    <row r="11587" spans="31:31">
      <c r="AE11587" s="54"/>
    </row>
    <row r="11588" spans="31:31">
      <c r="AE11588" s="54"/>
    </row>
    <row r="11589" spans="31:31">
      <c r="AE11589" s="54"/>
    </row>
    <row r="11590" spans="31:31">
      <c r="AE11590" s="54"/>
    </row>
    <row r="11591" spans="31:31">
      <c r="AE11591" s="54"/>
    </row>
    <row r="11592" spans="31:31">
      <c r="AE11592" s="54"/>
    </row>
    <row r="11593" spans="31:31">
      <c r="AE11593" s="54"/>
    </row>
    <row r="11594" spans="31:31">
      <c r="AE11594" s="54"/>
    </row>
    <row r="11595" spans="31:31">
      <c r="AE11595" s="54"/>
    </row>
    <row r="11596" spans="31:31">
      <c r="AE11596" s="54"/>
    </row>
    <row r="11597" spans="31:31">
      <c r="AE11597" s="54"/>
    </row>
    <row r="11598" spans="31:31">
      <c r="AE11598" s="54"/>
    </row>
    <row r="11599" spans="31:31">
      <c r="AE11599" s="54"/>
    </row>
    <row r="11600" spans="31:31">
      <c r="AE11600" s="54"/>
    </row>
    <row r="11601" spans="31:31">
      <c r="AE11601" s="54"/>
    </row>
    <row r="11602" spans="31:31">
      <c r="AE11602" s="54"/>
    </row>
    <row r="11603" spans="31:31">
      <c r="AE11603" s="54"/>
    </row>
    <row r="11604" spans="31:31">
      <c r="AE11604" s="54"/>
    </row>
    <row r="11605" spans="31:31">
      <c r="AE11605" s="54"/>
    </row>
    <row r="11606" spans="31:31">
      <c r="AE11606" s="54"/>
    </row>
    <row r="11607" spans="31:31">
      <c r="AE11607" s="54"/>
    </row>
    <row r="11608" spans="31:31">
      <c r="AE11608" s="54"/>
    </row>
    <row r="11609" spans="31:31">
      <c r="AE11609" s="54"/>
    </row>
    <row r="11610" spans="31:31">
      <c r="AE11610" s="54"/>
    </row>
    <row r="11611" spans="31:31">
      <c r="AE11611" s="54"/>
    </row>
    <row r="11612" spans="31:31">
      <c r="AE11612" s="54"/>
    </row>
    <row r="11613" spans="31:31">
      <c r="AE11613" s="54"/>
    </row>
    <row r="11614" spans="31:31">
      <c r="AE11614" s="54"/>
    </row>
    <row r="11615" spans="31:31">
      <c r="AE11615" s="54"/>
    </row>
    <row r="11616" spans="31:31">
      <c r="AE11616" s="54"/>
    </row>
    <row r="11617" spans="31:31">
      <c r="AE11617" s="54"/>
    </row>
    <row r="11618" spans="31:31">
      <c r="AE11618" s="54"/>
    </row>
    <row r="11619" spans="31:31">
      <c r="AE11619" s="54"/>
    </row>
    <row r="11620" spans="31:31">
      <c r="AE11620" s="54"/>
    </row>
    <row r="11621" spans="31:31">
      <c r="AE11621" s="54"/>
    </row>
    <row r="11622" spans="31:31">
      <c r="AE11622" s="54"/>
    </row>
    <row r="11623" spans="31:31">
      <c r="AE11623" s="54"/>
    </row>
    <row r="11624" spans="31:31">
      <c r="AE11624" s="54"/>
    </row>
    <row r="11625" spans="31:31">
      <c r="AE11625" s="54"/>
    </row>
    <row r="11626" spans="31:31">
      <c r="AE11626" s="54"/>
    </row>
    <row r="11627" spans="31:31">
      <c r="AE11627" s="54"/>
    </row>
    <row r="11628" spans="31:31">
      <c r="AE11628" s="54"/>
    </row>
    <row r="11629" spans="31:31">
      <c r="AE11629" s="54"/>
    </row>
    <row r="11630" spans="31:31">
      <c r="AE11630" s="54"/>
    </row>
    <row r="11631" spans="31:31">
      <c r="AE11631" s="54"/>
    </row>
    <row r="11632" spans="31:31">
      <c r="AE11632" s="54"/>
    </row>
    <row r="11633" spans="31:31">
      <c r="AE11633" s="54"/>
    </row>
    <row r="11634" spans="31:31">
      <c r="AE11634" s="54"/>
    </row>
    <row r="11635" spans="31:31">
      <c r="AE11635" s="54"/>
    </row>
    <row r="11636" spans="31:31">
      <c r="AE11636" s="54"/>
    </row>
    <row r="11637" spans="31:31">
      <c r="AE11637" s="54"/>
    </row>
    <row r="11638" spans="31:31">
      <c r="AE11638" s="54"/>
    </row>
    <row r="11639" spans="31:31">
      <c r="AE11639" s="54"/>
    </row>
    <row r="11640" spans="31:31">
      <c r="AE11640" s="54"/>
    </row>
    <row r="11641" spans="31:31">
      <c r="AE11641" s="54"/>
    </row>
    <row r="11642" spans="31:31">
      <c r="AE11642" s="54"/>
    </row>
    <row r="11643" spans="31:31">
      <c r="AE11643" s="54"/>
    </row>
    <row r="11644" spans="31:31">
      <c r="AE11644" s="54"/>
    </row>
    <row r="11645" spans="31:31">
      <c r="AE11645" s="54"/>
    </row>
    <row r="11646" spans="31:31">
      <c r="AE11646" s="54"/>
    </row>
    <row r="11647" spans="31:31">
      <c r="AE11647" s="54"/>
    </row>
    <row r="11648" spans="31:31">
      <c r="AE11648" s="54"/>
    </row>
    <row r="11649" spans="31:31">
      <c r="AE11649" s="54"/>
    </row>
    <row r="11650" spans="31:31">
      <c r="AE11650" s="54"/>
    </row>
    <row r="11651" spans="31:31">
      <c r="AE11651" s="54"/>
    </row>
    <row r="11652" spans="31:31">
      <c r="AE11652" s="54"/>
    </row>
    <row r="11653" spans="31:31">
      <c r="AE11653" s="54"/>
    </row>
    <row r="11654" spans="31:31">
      <c r="AE11654" s="54"/>
    </row>
    <row r="11655" spans="31:31">
      <c r="AE11655" s="54"/>
    </row>
    <row r="11656" spans="31:31">
      <c r="AE11656" s="54"/>
    </row>
    <row r="11657" spans="31:31">
      <c r="AE11657" s="54"/>
    </row>
    <row r="11658" spans="31:31">
      <c r="AE11658" s="54"/>
    </row>
    <row r="11659" spans="31:31">
      <c r="AE11659" s="54"/>
    </row>
    <row r="11660" spans="31:31">
      <c r="AE11660" s="54"/>
    </row>
    <row r="11661" spans="31:31">
      <c r="AE11661" s="54"/>
    </row>
    <row r="11662" spans="31:31">
      <c r="AE11662" s="54"/>
    </row>
    <row r="11663" spans="31:31">
      <c r="AE11663" s="54"/>
    </row>
    <row r="11664" spans="31:31">
      <c r="AE11664" s="54"/>
    </row>
    <row r="11665" spans="31:31">
      <c r="AE11665" s="54"/>
    </row>
    <row r="11666" spans="31:31">
      <c r="AE11666" s="54"/>
    </row>
    <row r="11667" spans="31:31">
      <c r="AE11667" s="54"/>
    </row>
    <row r="11668" spans="31:31">
      <c r="AE11668" s="54"/>
    </row>
    <row r="11669" spans="31:31">
      <c r="AE11669" s="54"/>
    </row>
    <row r="11670" spans="31:31">
      <c r="AE11670" s="54"/>
    </row>
    <row r="11671" spans="31:31">
      <c r="AE11671" s="54"/>
    </row>
    <row r="11672" spans="31:31">
      <c r="AE11672" s="54"/>
    </row>
    <row r="11673" spans="31:31">
      <c r="AE11673" s="54"/>
    </row>
    <row r="11674" spans="31:31">
      <c r="AE11674" s="54"/>
    </row>
    <row r="11675" spans="31:31">
      <c r="AE11675" s="54"/>
    </row>
    <row r="11676" spans="31:31">
      <c r="AE11676" s="54"/>
    </row>
    <row r="11677" spans="31:31">
      <c r="AE11677" s="54"/>
    </row>
    <row r="11678" spans="31:31">
      <c r="AE11678" s="54"/>
    </row>
    <row r="11679" spans="31:31">
      <c r="AE11679" s="54"/>
    </row>
    <row r="11680" spans="31:31">
      <c r="AE11680" s="54"/>
    </row>
    <row r="11681" spans="31:31">
      <c r="AE11681" s="54"/>
    </row>
    <row r="11682" spans="31:31">
      <c r="AE11682" s="54"/>
    </row>
    <row r="11683" spans="31:31">
      <c r="AE11683" s="54"/>
    </row>
    <row r="11684" spans="31:31">
      <c r="AE11684" s="54"/>
    </row>
    <row r="11685" spans="31:31">
      <c r="AE11685" s="54"/>
    </row>
    <row r="11686" spans="31:31">
      <c r="AE11686" s="54"/>
    </row>
    <row r="11687" spans="31:31">
      <c r="AE11687" s="54"/>
    </row>
    <row r="11688" spans="31:31">
      <c r="AE11688" s="54"/>
    </row>
    <row r="11689" spans="31:31">
      <c r="AE11689" s="54"/>
    </row>
    <row r="11690" spans="31:31">
      <c r="AE11690" s="54"/>
    </row>
    <row r="11691" spans="31:31">
      <c r="AE11691" s="54"/>
    </row>
    <row r="11692" spans="31:31">
      <c r="AE11692" s="54"/>
    </row>
    <row r="11693" spans="31:31">
      <c r="AE11693" s="54"/>
    </row>
    <row r="11694" spans="31:31">
      <c r="AE11694" s="54"/>
    </row>
    <row r="11695" spans="31:31">
      <c r="AE11695" s="54"/>
    </row>
    <row r="11696" spans="31:31">
      <c r="AE11696" s="54"/>
    </row>
    <row r="11697" spans="31:31">
      <c r="AE11697" s="54"/>
    </row>
    <row r="11698" spans="31:31">
      <c r="AE11698" s="54"/>
    </row>
    <row r="11699" spans="31:31">
      <c r="AE11699" s="54"/>
    </row>
    <row r="11700" spans="31:31">
      <c r="AE11700" s="54"/>
    </row>
    <row r="11701" spans="31:31">
      <c r="AE11701" s="54"/>
    </row>
    <row r="11702" spans="31:31">
      <c r="AE11702" s="54"/>
    </row>
    <row r="11703" spans="31:31">
      <c r="AE11703" s="54"/>
    </row>
    <row r="11704" spans="31:31">
      <c r="AE11704" s="54"/>
    </row>
    <row r="11705" spans="31:31">
      <c r="AE11705" s="54"/>
    </row>
    <row r="11706" spans="31:31">
      <c r="AE11706" s="54"/>
    </row>
    <row r="11707" spans="31:31">
      <c r="AE11707" s="54"/>
    </row>
    <row r="11708" spans="31:31">
      <c r="AE11708" s="54"/>
    </row>
    <row r="11709" spans="31:31">
      <c r="AE11709" s="54"/>
    </row>
    <row r="11710" spans="31:31">
      <c r="AE11710" s="54"/>
    </row>
    <row r="11711" spans="31:31">
      <c r="AE11711" s="54"/>
    </row>
    <row r="11712" spans="31:31">
      <c r="AE11712" s="54"/>
    </row>
    <row r="11713" spans="31:31">
      <c r="AE11713" s="54"/>
    </row>
    <row r="11714" spans="31:31">
      <c r="AE11714" s="54"/>
    </row>
    <row r="11715" spans="31:31">
      <c r="AE11715" s="54"/>
    </row>
    <row r="11716" spans="31:31">
      <c r="AE11716" s="54"/>
    </row>
    <row r="11717" spans="31:31">
      <c r="AE11717" s="54"/>
    </row>
    <row r="11718" spans="31:31">
      <c r="AE11718" s="54"/>
    </row>
    <row r="11719" spans="31:31">
      <c r="AE11719" s="54"/>
    </row>
    <row r="11720" spans="31:31">
      <c r="AE11720" s="54"/>
    </row>
    <row r="11721" spans="31:31">
      <c r="AE11721" s="54"/>
    </row>
    <row r="11722" spans="31:31">
      <c r="AE11722" s="54"/>
    </row>
    <row r="11723" spans="31:31">
      <c r="AE11723" s="54"/>
    </row>
    <row r="11724" spans="31:31">
      <c r="AE11724" s="54"/>
    </row>
    <row r="11725" spans="31:31">
      <c r="AE11725" s="54"/>
    </row>
    <row r="11726" spans="31:31">
      <c r="AE11726" s="54"/>
    </row>
    <row r="11727" spans="31:31">
      <c r="AE11727" s="54"/>
    </row>
    <row r="11728" spans="31:31">
      <c r="AE11728" s="54"/>
    </row>
    <row r="11729" spans="31:31">
      <c r="AE11729" s="54"/>
    </row>
    <row r="11730" spans="31:31">
      <c r="AE11730" s="54"/>
    </row>
    <row r="11731" spans="31:31">
      <c r="AE11731" s="54"/>
    </row>
    <row r="11732" spans="31:31">
      <c r="AE11732" s="54"/>
    </row>
    <row r="11733" spans="31:31">
      <c r="AE11733" s="54"/>
    </row>
    <row r="11734" spans="31:31">
      <c r="AE11734" s="54"/>
    </row>
    <row r="11735" spans="31:31">
      <c r="AE11735" s="54"/>
    </row>
    <row r="11736" spans="31:31">
      <c r="AE11736" s="54"/>
    </row>
    <row r="11737" spans="31:31">
      <c r="AE11737" s="54"/>
    </row>
    <row r="11738" spans="31:31">
      <c r="AE11738" s="54"/>
    </row>
    <row r="11739" spans="31:31">
      <c r="AE11739" s="54"/>
    </row>
    <row r="11740" spans="31:31">
      <c r="AE11740" s="54"/>
    </row>
    <row r="11741" spans="31:31">
      <c r="AE11741" s="54"/>
    </row>
    <row r="11742" spans="31:31">
      <c r="AE11742" s="54"/>
    </row>
    <row r="11743" spans="31:31">
      <c r="AE11743" s="54"/>
    </row>
    <row r="11744" spans="31:31">
      <c r="AE11744" s="54"/>
    </row>
    <row r="11745" spans="31:31">
      <c r="AE11745" s="54"/>
    </row>
    <row r="11746" spans="31:31">
      <c r="AE11746" s="54"/>
    </row>
    <row r="11747" spans="31:31">
      <c r="AE11747" s="54"/>
    </row>
    <row r="11748" spans="31:31">
      <c r="AE11748" s="54"/>
    </row>
    <row r="11749" spans="31:31">
      <c r="AE11749" s="54"/>
    </row>
    <row r="11750" spans="31:31">
      <c r="AE11750" s="54"/>
    </row>
    <row r="11751" spans="31:31">
      <c r="AE11751" s="54"/>
    </row>
    <row r="11752" spans="31:31">
      <c r="AE11752" s="54"/>
    </row>
    <row r="11753" spans="31:31">
      <c r="AE11753" s="54"/>
    </row>
    <row r="11754" spans="31:31">
      <c r="AE11754" s="54"/>
    </row>
    <row r="11755" spans="31:31">
      <c r="AE11755" s="54"/>
    </row>
    <row r="11756" spans="31:31">
      <c r="AE11756" s="54"/>
    </row>
    <row r="11757" spans="31:31">
      <c r="AE11757" s="54"/>
    </row>
    <row r="11758" spans="31:31">
      <c r="AE11758" s="54"/>
    </row>
    <row r="11759" spans="31:31">
      <c r="AE11759" s="54"/>
    </row>
    <row r="11760" spans="31:31">
      <c r="AE11760" s="54"/>
    </row>
    <row r="11761" spans="31:31">
      <c r="AE11761" s="54"/>
    </row>
    <row r="11762" spans="31:31">
      <c r="AE11762" s="54"/>
    </row>
    <row r="11763" spans="31:31">
      <c r="AE11763" s="54"/>
    </row>
    <row r="11764" spans="31:31">
      <c r="AE11764" s="54"/>
    </row>
    <row r="11765" spans="31:31">
      <c r="AE11765" s="54"/>
    </row>
    <row r="11766" spans="31:31">
      <c r="AE11766" s="54"/>
    </row>
    <row r="11767" spans="31:31">
      <c r="AE11767" s="54"/>
    </row>
    <row r="11768" spans="31:31">
      <c r="AE11768" s="54"/>
    </row>
    <row r="11769" spans="31:31">
      <c r="AE11769" s="54"/>
    </row>
    <row r="11770" spans="31:31">
      <c r="AE11770" s="54"/>
    </row>
    <row r="11771" spans="31:31">
      <c r="AE11771" s="54"/>
    </row>
    <row r="11772" spans="31:31">
      <c r="AE11772" s="54"/>
    </row>
    <row r="11773" spans="31:31">
      <c r="AE11773" s="54"/>
    </row>
    <row r="11774" spans="31:31">
      <c r="AE11774" s="54"/>
    </row>
    <row r="11775" spans="31:31">
      <c r="AE11775" s="54"/>
    </row>
    <row r="11776" spans="31:31">
      <c r="AE11776" s="54"/>
    </row>
    <row r="11777" spans="31:31">
      <c r="AE11777" s="54"/>
    </row>
    <row r="11778" spans="31:31">
      <c r="AE11778" s="54"/>
    </row>
    <row r="11779" spans="31:31">
      <c r="AE11779" s="54"/>
    </row>
    <row r="11780" spans="31:31">
      <c r="AE11780" s="54"/>
    </row>
    <row r="11781" spans="31:31">
      <c r="AE11781" s="54"/>
    </row>
    <row r="11782" spans="31:31">
      <c r="AE11782" s="54"/>
    </row>
    <row r="11783" spans="31:31">
      <c r="AE11783" s="54"/>
    </row>
    <row r="11784" spans="31:31">
      <c r="AE11784" s="54"/>
    </row>
    <row r="11785" spans="31:31">
      <c r="AE11785" s="54"/>
    </row>
    <row r="11786" spans="31:31">
      <c r="AE11786" s="54"/>
    </row>
    <row r="11787" spans="31:31">
      <c r="AE11787" s="54"/>
    </row>
    <row r="11788" spans="31:31">
      <c r="AE11788" s="54"/>
    </row>
    <row r="11789" spans="31:31">
      <c r="AE11789" s="54"/>
    </row>
    <row r="11790" spans="31:31">
      <c r="AE11790" s="54"/>
    </row>
    <row r="11791" spans="31:31">
      <c r="AE11791" s="54"/>
    </row>
    <row r="11792" spans="31:31">
      <c r="AE11792" s="54"/>
    </row>
    <row r="11793" spans="31:31">
      <c r="AE11793" s="54"/>
    </row>
    <row r="11794" spans="31:31">
      <c r="AE11794" s="54"/>
    </row>
    <row r="11795" spans="31:31">
      <c r="AE11795" s="54"/>
    </row>
    <row r="11796" spans="31:31">
      <c r="AE11796" s="54"/>
    </row>
    <row r="11797" spans="31:31">
      <c r="AE11797" s="54"/>
    </row>
    <row r="11798" spans="31:31">
      <c r="AE11798" s="54"/>
    </row>
    <row r="11799" spans="31:31">
      <c r="AE11799" s="54"/>
    </row>
    <row r="11800" spans="31:31">
      <c r="AE11800" s="54"/>
    </row>
    <row r="11801" spans="31:31">
      <c r="AE11801" s="54"/>
    </row>
    <row r="11802" spans="31:31">
      <c r="AE11802" s="54"/>
    </row>
    <row r="11803" spans="31:31">
      <c r="AE11803" s="54"/>
    </row>
    <row r="11804" spans="31:31">
      <c r="AE11804" s="54"/>
    </row>
    <row r="11805" spans="31:31">
      <c r="AE11805" s="54"/>
    </row>
    <row r="11806" spans="31:31">
      <c r="AE11806" s="54"/>
    </row>
    <row r="11807" spans="31:31">
      <c r="AE11807" s="54"/>
    </row>
    <row r="11808" spans="31:31">
      <c r="AE11808" s="54"/>
    </row>
    <row r="11809" spans="31:31">
      <c r="AE11809" s="54"/>
    </row>
    <row r="11810" spans="31:31">
      <c r="AE11810" s="54"/>
    </row>
    <row r="11811" spans="31:31">
      <c r="AE11811" s="54"/>
    </row>
    <row r="11812" spans="31:31">
      <c r="AE11812" s="54"/>
    </row>
    <row r="11813" spans="31:31">
      <c r="AE11813" s="54"/>
    </row>
    <row r="11814" spans="31:31">
      <c r="AE11814" s="54"/>
    </row>
    <row r="11815" spans="31:31">
      <c r="AE11815" s="54"/>
    </row>
    <row r="11816" spans="31:31">
      <c r="AE11816" s="54"/>
    </row>
    <row r="11817" spans="31:31">
      <c r="AE11817" s="54"/>
    </row>
    <row r="11818" spans="31:31">
      <c r="AE11818" s="54"/>
    </row>
    <row r="11819" spans="31:31">
      <c r="AE11819" s="54"/>
    </row>
    <row r="11820" spans="31:31">
      <c r="AE11820" s="54"/>
    </row>
    <row r="11821" spans="31:31">
      <c r="AE11821" s="54"/>
    </row>
    <row r="11822" spans="31:31">
      <c r="AE11822" s="54"/>
    </row>
    <row r="11823" spans="31:31">
      <c r="AE11823" s="54"/>
    </row>
    <row r="11824" spans="31:31">
      <c r="AE11824" s="54"/>
    </row>
    <row r="11825" spans="31:31">
      <c r="AE11825" s="54"/>
    </row>
    <row r="11826" spans="31:31">
      <c r="AE11826" s="54"/>
    </row>
    <row r="11827" spans="31:31">
      <c r="AE11827" s="54"/>
    </row>
    <row r="11828" spans="31:31">
      <c r="AE11828" s="54"/>
    </row>
    <row r="11829" spans="31:31">
      <c r="AE11829" s="54"/>
    </row>
    <row r="11830" spans="31:31">
      <c r="AE11830" s="54"/>
    </row>
    <row r="11831" spans="31:31">
      <c r="AE11831" s="54"/>
    </row>
    <row r="11832" spans="31:31">
      <c r="AE11832" s="54"/>
    </row>
    <row r="11833" spans="31:31">
      <c r="AE11833" s="54"/>
    </row>
    <row r="11834" spans="31:31">
      <c r="AE11834" s="54"/>
    </row>
    <row r="11835" spans="31:31">
      <c r="AE11835" s="54"/>
    </row>
    <row r="11836" spans="31:31">
      <c r="AE11836" s="54"/>
    </row>
    <row r="11837" spans="31:31">
      <c r="AE11837" s="54"/>
    </row>
    <row r="11838" spans="31:31">
      <c r="AE11838" s="54"/>
    </row>
    <row r="11839" spans="31:31">
      <c r="AE11839" s="54"/>
    </row>
    <row r="11840" spans="31:31">
      <c r="AE11840" s="54"/>
    </row>
    <row r="11841" spans="31:31">
      <c r="AE11841" s="54"/>
    </row>
    <row r="11842" spans="31:31">
      <c r="AE11842" s="54"/>
    </row>
    <row r="11843" spans="31:31">
      <c r="AE11843" s="54"/>
    </row>
    <row r="11844" spans="31:31">
      <c r="AE11844" s="54"/>
    </row>
    <row r="11845" spans="31:31">
      <c r="AE11845" s="54"/>
    </row>
    <row r="11846" spans="31:31">
      <c r="AE11846" s="54"/>
    </row>
    <row r="11847" spans="31:31">
      <c r="AE11847" s="54"/>
    </row>
    <row r="11848" spans="31:31">
      <c r="AE11848" s="54"/>
    </row>
    <row r="11849" spans="31:31">
      <c r="AE11849" s="54"/>
    </row>
    <row r="11850" spans="31:31">
      <c r="AE11850" s="54"/>
    </row>
    <row r="11851" spans="31:31">
      <c r="AE11851" s="54"/>
    </row>
    <row r="11852" spans="31:31">
      <c r="AE11852" s="54"/>
    </row>
    <row r="11853" spans="31:31">
      <c r="AE11853" s="54"/>
    </row>
    <row r="11854" spans="31:31">
      <c r="AE11854" s="54"/>
    </row>
    <row r="11855" spans="31:31">
      <c r="AE11855" s="54"/>
    </row>
    <row r="11856" spans="31:31">
      <c r="AE11856" s="54"/>
    </row>
    <row r="11857" spans="31:31">
      <c r="AE11857" s="54"/>
    </row>
    <row r="11858" spans="31:31">
      <c r="AE11858" s="54"/>
    </row>
    <row r="11859" spans="31:31">
      <c r="AE11859" s="54"/>
    </row>
    <row r="11860" spans="31:31">
      <c r="AE11860" s="54"/>
    </row>
    <row r="11861" spans="31:31">
      <c r="AE11861" s="54"/>
    </row>
    <row r="11862" spans="31:31">
      <c r="AE11862" s="54"/>
    </row>
    <row r="11863" spans="31:31">
      <c r="AE11863" s="54"/>
    </row>
    <row r="11864" spans="31:31">
      <c r="AE11864" s="54"/>
    </row>
    <row r="11865" spans="31:31">
      <c r="AE11865" s="54"/>
    </row>
    <row r="11866" spans="31:31">
      <c r="AE11866" s="54"/>
    </row>
    <row r="11867" spans="31:31">
      <c r="AE11867" s="54"/>
    </row>
    <row r="11868" spans="31:31">
      <c r="AE11868" s="54"/>
    </row>
    <row r="11869" spans="31:31">
      <c r="AE11869" s="54"/>
    </row>
    <row r="11870" spans="31:31">
      <c r="AE11870" s="54"/>
    </row>
    <row r="11871" spans="31:31">
      <c r="AE11871" s="54"/>
    </row>
    <row r="11872" spans="31:31">
      <c r="AE11872" s="54"/>
    </row>
    <row r="11873" spans="31:31">
      <c r="AE11873" s="54"/>
    </row>
    <row r="11874" spans="31:31">
      <c r="AE11874" s="54"/>
    </row>
    <row r="11875" spans="31:31">
      <c r="AE11875" s="54"/>
    </row>
    <row r="11876" spans="31:31">
      <c r="AE11876" s="54"/>
    </row>
    <row r="11877" spans="31:31">
      <c r="AE11877" s="54"/>
    </row>
    <row r="11878" spans="31:31">
      <c r="AE11878" s="54"/>
    </row>
    <row r="11879" spans="31:31">
      <c r="AE11879" s="54"/>
    </row>
    <row r="11880" spans="31:31">
      <c r="AE11880" s="54"/>
    </row>
    <row r="11881" spans="31:31">
      <c r="AE11881" s="54"/>
    </row>
    <row r="11882" spans="31:31">
      <c r="AE11882" s="54"/>
    </row>
    <row r="11883" spans="31:31">
      <c r="AE11883" s="54"/>
    </row>
    <row r="11884" spans="31:31">
      <c r="AE11884" s="54"/>
    </row>
    <row r="11885" spans="31:31">
      <c r="AE11885" s="54"/>
    </row>
    <row r="11886" spans="31:31">
      <c r="AE11886" s="54"/>
    </row>
    <row r="11887" spans="31:31">
      <c r="AE11887" s="54"/>
    </row>
    <row r="11888" spans="31:31">
      <c r="AE11888" s="54"/>
    </row>
    <row r="11889" spans="31:31">
      <c r="AE11889" s="54"/>
    </row>
    <row r="11890" spans="31:31">
      <c r="AE11890" s="54"/>
    </row>
    <row r="11891" spans="31:31">
      <c r="AE11891" s="54"/>
    </row>
    <row r="11892" spans="31:31">
      <c r="AE11892" s="54"/>
    </row>
    <row r="11893" spans="31:31">
      <c r="AE11893" s="54"/>
    </row>
    <row r="11894" spans="31:31">
      <c r="AE11894" s="54"/>
    </row>
    <row r="11895" spans="31:31">
      <c r="AE11895" s="54"/>
    </row>
    <row r="11896" spans="31:31">
      <c r="AE11896" s="54"/>
    </row>
    <row r="11897" spans="31:31">
      <c r="AE11897" s="54"/>
    </row>
    <row r="11898" spans="31:31">
      <c r="AE11898" s="54"/>
    </row>
    <row r="11899" spans="31:31">
      <c r="AE11899" s="54"/>
    </row>
    <row r="11900" spans="31:31">
      <c r="AE11900" s="54"/>
    </row>
    <row r="11901" spans="31:31">
      <c r="AE11901" s="54"/>
    </row>
    <row r="11902" spans="31:31">
      <c r="AE11902" s="54"/>
    </row>
    <row r="11903" spans="31:31">
      <c r="AE11903" s="54"/>
    </row>
    <row r="11904" spans="31:31">
      <c r="AE11904" s="54"/>
    </row>
    <row r="11905" spans="31:31">
      <c r="AE11905" s="54"/>
    </row>
    <row r="11906" spans="31:31">
      <c r="AE11906" s="54"/>
    </row>
    <row r="11907" spans="31:31">
      <c r="AE11907" s="54"/>
    </row>
    <row r="11908" spans="31:31">
      <c r="AE11908" s="54"/>
    </row>
    <row r="11909" spans="31:31">
      <c r="AE11909" s="54"/>
    </row>
    <row r="11910" spans="31:31">
      <c r="AE11910" s="54"/>
    </row>
    <row r="11911" spans="31:31">
      <c r="AE11911" s="54"/>
    </row>
    <row r="11912" spans="31:31">
      <c r="AE11912" s="54"/>
    </row>
    <row r="11913" spans="31:31">
      <c r="AE11913" s="54"/>
    </row>
    <row r="11914" spans="31:31">
      <c r="AE11914" s="54"/>
    </row>
    <row r="11915" spans="31:31">
      <c r="AE11915" s="54"/>
    </row>
    <row r="11916" spans="31:31">
      <c r="AE11916" s="54"/>
    </row>
    <row r="11917" spans="31:31">
      <c r="AE11917" s="54"/>
    </row>
    <row r="11918" spans="31:31">
      <c r="AE11918" s="54"/>
    </row>
    <row r="11919" spans="31:31">
      <c r="AE11919" s="54"/>
    </row>
    <row r="11920" spans="31:31">
      <c r="AE11920" s="54"/>
    </row>
    <row r="11921" spans="31:31">
      <c r="AE11921" s="54"/>
    </row>
    <row r="11922" spans="31:31">
      <c r="AE11922" s="54"/>
    </row>
    <row r="11923" spans="31:31">
      <c r="AE11923" s="54"/>
    </row>
    <row r="11924" spans="31:31">
      <c r="AE11924" s="54"/>
    </row>
    <row r="11925" spans="31:31">
      <c r="AE11925" s="54"/>
    </row>
    <row r="11926" spans="31:31">
      <c r="AE11926" s="54"/>
    </row>
    <row r="11927" spans="31:31">
      <c r="AE11927" s="54"/>
    </row>
    <row r="11928" spans="31:31">
      <c r="AE11928" s="54"/>
    </row>
    <row r="11929" spans="31:31">
      <c r="AE11929" s="54"/>
    </row>
    <row r="11930" spans="31:31">
      <c r="AE11930" s="54"/>
    </row>
    <row r="11931" spans="31:31">
      <c r="AE11931" s="54"/>
    </row>
    <row r="11932" spans="31:31">
      <c r="AE11932" s="54"/>
    </row>
    <row r="11933" spans="31:31">
      <c r="AE11933" s="54"/>
    </row>
    <row r="11934" spans="31:31">
      <c r="AE11934" s="54"/>
    </row>
    <row r="11935" spans="31:31">
      <c r="AE11935" s="54"/>
    </row>
    <row r="11936" spans="31:31">
      <c r="AE11936" s="54"/>
    </row>
    <row r="11937" spans="31:31">
      <c r="AE11937" s="54"/>
    </row>
    <row r="11938" spans="31:31">
      <c r="AE11938" s="54"/>
    </row>
    <row r="11939" spans="31:31">
      <c r="AE11939" s="54"/>
    </row>
    <row r="11940" spans="31:31">
      <c r="AE11940" s="54"/>
    </row>
    <row r="11941" spans="31:31">
      <c r="AE11941" s="54"/>
    </row>
    <row r="11942" spans="31:31">
      <c r="AE11942" s="54"/>
    </row>
    <row r="11943" spans="31:31">
      <c r="AE11943" s="54"/>
    </row>
    <row r="11944" spans="31:31">
      <c r="AE11944" s="54"/>
    </row>
    <row r="11945" spans="31:31">
      <c r="AE11945" s="54"/>
    </row>
    <row r="11946" spans="31:31">
      <c r="AE11946" s="54"/>
    </row>
    <row r="11947" spans="31:31">
      <c r="AE11947" s="54"/>
    </row>
    <row r="11948" spans="31:31">
      <c r="AE11948" s="54"/>
    </row>
    <row r="11949" spans="31:31">
      <c r="AE11949" s="54"/>
    </row>
    <row r="11950" spans="31:31">
      <c r="AE11950" s="54"/>
    </row>
    <row r="11951" spans="31:31">
      <c r="AE11951" s="54"/>
    </row>
    <row r="11952" spans="31:31">
      <c r="AE11952" s="54"/>
    </row>
    <row r="11953" spans="31:31">
      <c r="AE11953" s="54"/>
    </row>
    <row r="11954" spans="31:31">
      <c r="AE11954" s="54"/>
    </row>
    <row r="11955" spans="31:31">
      <c r="AE11955" s="54"/>
    </row>
    <row r="11956" spans="31:31">
      <c r="AE11956" s="54"/>
    </row>
    <row r="11957" spans="31:31">
      <c r="AE11957" s="54"/>
    </row>
    <row r="11958" spans="31:31">
      <c r="AE11958" s="54"/>
    </row>
    <row r="11959" spans="31:31">
      <c r="AE11959" s="54"/>
    </row>
    <row r="11960" spans="31:31">
      <c r="AE11960" s="54"/>
    </row>
    <row r="11961" spans="31:31">
      <c r="AE11961" s="54"/>
    </row>
    <row r="11962" spans="31:31">
      <c r="AE11962" s="54"/>
    </row>
    <row r="11963" spans="31:31">
      <c r="AE11963" s="54"/>
    </row>
    <row r="11964" spans="31:31">
      <c r="AE11964" s="54"/>
    </row>
    <row r="11965" spans="31:31">
      <c r="AE11965" s="54"/>
    </row>
    <row r="11966" spans="31:31">
      <c r="AE11966" s="54"/>
    </row>
    <row r="11967" spans="31:31">
      <c r="AE11967" s="54"/>
    </row>
    <row r="11968" spans="31:31">
      <c r="AE11968" s="54"/>
    </row>
    <row r="11969" spans="31:31">
      <c r="AE11969" s="54"/>
    </row>
    <row r="11970" spans="31:31">
      <c r="AE11970" s="54"/>
    </row>
    <row r="11971" spans="31:31">
      <c r="AE11971" s="54"/>
    </row>
    <row r="11972" spans="31:31">
      <c r="AE11972" s="54"/>
    </row>
    <row r="11973" spans="31:31">
      <c r="AE11973" s="54"/>
    </row>
    <row r="11974" spans="31:31">
      <c r="AE11974" s="54"/>
    </row>
    <row r="11975" spans="31:31">
      <c r="AE11975" s="54"/>
    </row>
    <row r="11976" spans="31:31">
      <c r="AE11976" s="54"/>
    </row>
    <row r="11977" spans="31:31">
      <c r="AE11977" s="54"/>
    </row>
    <row r="11978" spans="31:31">
      <c r="AE11978" s="54"/>
    </row>
    <row r="11979" spans="31:31">
      <c r="AE11979" s="54"/>
    </row>
    <row r="11980" spans="31:31">
      <c r="AE11980" s="54"/>
    </row>
    <row r="11981" spans="31:31">
      <c r="AE11981" s="54"/>
    </row>
    <row r="11982" spans="31:31">
      <c r="AE11982" s="54"/>
    </row>
    <row r="11983" spans="31:31">
      <c r="AE11983" s="54"/>
    </row>
    <row r="11984" spans="31:31">
      <c r="AE11984" s="54"/>
    </row>
    <row r="11985" spans="31:31">
      <c r="AE11985" s="54"/>
    </row>
    <row r="11986" spans="31:31">
      <c r="AE11986" s="54"/>
    </row>
    <row r="11987" spans="31:31">
      <c r="AE11987" s="54"/>
    </row>
    <row r="11988" spans="31:31">
      <c r="AE11988" s="54"/>
    </row>
    <row r="11989" spans="31:31">
      <c r="AE11989" s="54"/>
    </row>
    <row r="11990" spans="31:31">
      <c r="AE11990" s="54"/>
    </row>
    <row r="11991" spans="31:31">
      <c r="AE11991" s="54"/>
    </row>
    <row r="11992" spans="31:31">
      <c r="AE11992" s="54"/>
    </row>
    <row r="11993" spans="31:31">
      <c r="AE11993" s="54"/>
    </row>
    <row r="11994" spans="31:31">
      <c r="AE11994" s="54"/>
    </row>
    <row r="11995" spans="31:31">
      <c r="AE11995" s="54"/>
    </row>
    <row r="11996" spans="31:31">
      <c r="AE11996" s="54"/>
    </row>
    <row r="11997" spans="31:31">
      <c r="AE11997" s="54"/>
    </row>
    <row r="11998" spans="31:31">
      <c r="AE11998" s="54"/>
    </row>
    <row r="11999" spans="31:31">
      <c r="AE11999" s="54"/>
    </row>
    <row r="12000" spans="31:31">
      <c r="AE12000" s="54"/>
    </row>
    <row r="12001" spans="31:31">
      <c r="AE12001" s="54"/>
    </row>
    <row r="12002" spans="31:31">
      <c r="AE12002" s="54"/>
    </row>
    <row r="12003" spans="31:31">
      <c r="AE12003" s="54"/>
    </row>
    <row r="12004" spans="31:31">
      <c r="AE12004" s="54"/>
    </row>
    <row r="12005" spans="31:31">
      <c r="AE12005" s="54"/>
    </row>
    <row r="12006" spans="31:31">
      <c r="AE12006" s="54"/>
    </row>
    <row r="12007" spans="31:31">
      <c r="AE12007" s="54"/>
    </row>
    <row r="12008" spans="31:31">
      <c r="AE12008" s="54"/>
    </row>
    <row r="12009" spans="31:31">
      <c r="AE12009" s="54"/>
    </row>
    <row r="12010" spans="31:31">
      <c r="AE12010" s="54"/>
    </row>
    <row r="12011" spans="31:31">
      <c r="AE12011" s="54"/>
    </row>
    <row r="12012" spans="31:31">
      <c r="AE12012" s="54"/>
    </row>
    <row r="12013" spans="31:31">
      <c r="AE12013" s="54"/>
    </row>
    <row r="12014" spans="31:31">
      <c r="AE12014" s="54"/>
    </row>
    <row r="12015" spans="31:31">
      <c r="AE12015" s="54"/>
    </row>
    <row r="12016" spans="31:31">
      <c r="AE12016" s="54"/>
    </row>
    <row r="12017" spans="31:31">
      <c r="AE12017" s="54"/>
    </row>
    <row r="12018" spans="31:31">
      <c r="AE12018" s="54"/>
    </row>
    <row r="12019" spans="31:31">
      <c r="AE12019" s="54"/>
    </row>
    <row r="12020" spans="31:31">
      <c r="AE12020" s="54"/>
    </row>
    <row r="12021" spans="31:31">
      <c r="AE12021" s="54"/>
    </row>
    <row r="12022" spans="31:31">
      <c r="AE12022" s="54"/>
    </row>
    <row r="12023" spans="31:31">
      <c r="AE12023" s="54"/>
    </row>
    <row r="12024" spans="31:31">
      <c r="AE12024" s="54"/>
    </row>
    <row r="12025" spans="31:31">
      <c r="AE12025" s="54"/>
    </row>
    <row r="12026" spans="31:31">
      <c r="AE12026" s="54"/>
    </row>
    <row r="12027" spans="31:31">
      <c r="AE12027" s="54"/>
    </row>
    <row r="12028" spans="31:31">
      <c r="AE12028" s="54"/>
    </row>
    <row r="12029" spans="31:31">
      <c r="AE12029" s="54"/>
    </row>
    <row r="12030" spans="31:31">
      <c r="AE12030" s="54"/>
    </row>
    <row r="12031" spans="31:31">
      <c r="AE12031" s="54"/>
    </row>
    <row r="12032" spans="31:31">
      <c r="AE12032" s="54"/>
    </row>
    <row r="12033" spans="31:31">
      <c r="AE12033" s="54"/>
    </row>
    <row r="12034" spans="31:31">
      <c r="AE12034" s="54"/>
    </row>
    <row r="12035" spans="31:31">
      <c r="AE12035" s="54"/>
    </row>
    <row r="12036" spans="31:31">
      <c r="AE12036" s="54"/>
    </row>
    <row r="12037" spans="31:31">
      <c r="AE12037" s="54"/>
    </row>
    <row r="12038" spans="31:31">
      <c r="AE12038" s="54"/>
    </row>
    <row r="12039" spans="31:31">
      <c r="AE12039" s="54"/>
    </row>
    <row r="12040" spans="31:31">
      <c r="AE12040" s="54"/>
    </row>
    <row r="12041" spans="31:31">
      <c r="AE12041" s="54"/>
    </row>
    <row r="12042" spans="31:31">
      <c r="AE12042" s="54"/>
    </row>
    <row r="12043" spans="31:31">
      <c r="AE12043" s="54"/>
    </row>
    <row r="12044" spans="31:31">
      <c r="AE12044" s="54"/>
    </row>
    <row r="12045" spans="31:31">
      <c r="AE12045" s="54"/>
    </row>
    <row r="12046" spans="31:31">
      <c r="AE12046" s="54"/>
    </row>
    <row r="12047" spans="31:31">
      <c r="AE12047" s="54"/>
    </row>
    <row r="12048" spans="31:31">
      <c r="AE12048" s="54"/>
    </row>
    <row r="12049" spans="31:31">
      <c r="AE12049" s="54"/>
    </row>
    <row r="12050" spans="31:31">
      <c r="AE12050" s="54"/>
    </row>
    <row r="12051" spans="31:31">
      <c r="AE12051" s="54"/>
    </row>
    <row r="12052" spans="31:31">
      <c r="AE12052" s="54"/>
    </row>
    <row r="12053" spans="31:31">
      <c r="AE12053" s="54"/>
    </row>
    <row r="12054" spans="31:31">
      <c r="AE12054" s="54"/>
    </row>
    <row r="12055" spans="31:31">
      <c r="AE12055" s="54"/>
    </row>
    <row r="12056" spans="31:31">
      <c r="AE12056" s="54"/>
    </row>
    <row r="12057" spans="31:31">
      <c r="AE12057" s="54"/>
    </row>
    <row r="12058" spans="31:31">
      <c r="AE12058" s="54"/>
    </row>
    <row r="12059" spans="31:31">
      <c r="AE12059" s="54"/>
    </row>
    <row r="12060" spans="31:31">
      <c r="AE12060" s="54"/>
    </row>
    <row r="12061" spans="31:31">
      <c r="AE12061" s="54"/>
    </row>
    <row r="12062" spans="31:31">
      <c r="AE12062" s="54"/>
    </row>
    <row r="12063" spans="31:31">
      <c r="AE12063" s="54"/>
    </row>
    <row r="12064" spans="31:31">
      <c r="AE12064" s="54"/>
    </row>
    <row r="12065" spans="31:31">
      <c r="AE12065" s="54"/>
    </row>
    <row r="12066" spans="31:31">
      <c r="AE12066" s="54"/>
    </row>
    <row r="12067" spans="31:31">
      <c r="AE12067" s="54"/>
    </row>
    <row r="12068" spans="31:31">
      <c r="AE12068" s="54"/>
    </row>
    <row r="12069" spans="31:31">
      <c r="AE12069" s="54"/>
    </row>
    <row r="12070" spans="31:31">
      <c r="AE12070" s="54"/>
    </row>
    <row r="12071" spans="31:31">
      <c r="AE12071" s="54"/>
    </row>
    <row r="12072" spans="31:31">
      <c r="AE12072" s="54"/>
    </row>
    <row r="12073" spans="31:31">
      <c r="AE12073" s="54"/>
    </row>
    <row r="12074" spans="31:31">
      <c r="AE12074" s="54"/>
    </row>
    <row r="12075" spans="31:31">
      <c r="AE12075" s="54"/>
    </row>
    <row r="12076" spans="31:31">
      <c r="AE12076" s="54"/>
    </row>
    <row r="12077" spans="31:31">
      <c r="AE12077" s="54"/>
    </row>
    <row r="12078" spans="31:31">
      <c r="AE12078" s="54"/>
    </row>
    <row r="12079" spans="31:31">
      <c r="AE12079" s="54"/>
    </row>
    <row r="12080" spans="31:31">
      <c r="AE12080" s="54"/>
    </row>
    <row r="12081" spans="31:31">
      <c r="AE12081" s="54"/>
    </row>
    <row r="12082" spans="31:31">
      <c r="AE12082" s="54"/>
    </row>
    <row r="12083" spans="31:31">
      <c r="AE12083" s="54"/>
    </row>
    <row r="12084" spans="31:31">
      <c r="AE12084" s="54"/>
    </row>
    <row r="12085" spans="31:31">
      <c r="AE12085" s="54"/>
    </row>
    <row r="12086" spans="31:31">
      <c r="AE12086" s="54"/>
    </row>
    <row r="12087" spans="31:31">
      <c r="AE12087" s="54"/>
    </row>
    <row r="12088" spans="31:31">
      <c r="AE12088" s="54"/>
    </row>
    <row r="12089" spans="31:31">
      <c r="AE12089" s="54"/>
    </row>
    <row r="12090" spans="31:31">
      <c r="AE12090" s="54"/>
    </row>
    <row r="12091" spans="31:31">
      <c r="AE12091" s="54"/>
    </row>
    <row r="12092" spans="31:31">
      <c r="AE12092" s="54"/>
    </row>
    <row r="12093" spans="31:31">
      <c r="AE12093" s="54"/>
    </row>
    <row r="12094" spans="31:31">
      <c r="AE12094" s="54"/>
    </row>
    <row r="12095" spans="31:31">
      <c r="AE12095" s="54"/>
    </row>
    <row r="12096" spans="31:31">
      <c r="AE12096" s="54"/>
    </row>
    <row r="12097" spans="31:31">
      <c r="AE12097" s="54"/>
    </row>
    <row r="12098" spans="31:31">
      <c r="AE12098" s="54"/>
    </row>
    <row r="12099" spans="31:31">
      <c r="AE12099" s="54"/>
    </row>
    <row r="12100" spans="31:31">
      <c r="AE12100" s="54"/>
    </row>
    <row r="12101" spans="31:31">
      <c r="AE12101" s="54"/>
    </row>
    <row r="12102" spans="31:31">
      <c r="AE12102" s="54"/>
    </row>
    <row r="12103" spans="31:31">
      <c r="AE12103" s="54"/>
    </row>
    <row r="12104" spans="31:31">
      <c r="AE12104" s="54"/>
    </row>
    <row r="12105" spans="31:31">
      <c r="AE12105" s="54"/>
    </row>
    <row r="12106" spans="31:31">
      <c r="AE12106" s="54"/>
    </row>
    <row r="12107" spans="31:31">
      <c r="AE12107" s="54"/>
    </row>
    <row r="12108" spans="31:31">
      <c r="AE12108" s="54"/>
    </row>
    <row r="12109" spans="31:31">
      <c r="AE12109" s="54"/>
    </row>
    <row r="12110" spans="31:31">
      <c r="AE12110" s="54"/>
    </row>
    <row r="12111" spans="31:31">
      <c r="AE12111" s="54"/>
    </row>
    <row r="12112" spans="31:31">
      <c r="AE12112" s="54"/>
    </row>
    <row r="12113" spans="31:31">
      <c r="AE12113" s="54"/>
    </row>
    <row r="12114" spans="31:31">
      <c r="AE12114" s="54"/>
    </row>
    <row r="12115" spans="31:31">
      <c r="AE12115" s="54"/>
    </row>
    <row r="12116" spans="31:31">
      <c r="AE12116" s="54"/>
    </row>
    <row r="12117" spans="31:31">
      <c r="AE12117" s="54"/>
    </row>
    <row r="12118" spans="31:31">
      <c r="AE12118" s="54"/>
    </row>
    <row r="12119" spans="31:31">
      <c r="AE12119" s="54"/>
    </row>
    <row r="12120" spans="31:31">
      <c r="AE12120" s="54"/>
    </row>
    <row r="12121" spans="31:31">
      <c r="AE12121" s="54"/>
    </row>
    <row r="12122" spans="31:31">
      <c r="AE12122" s="54"/>
    </row>
    <row r="12123" spans="31:31">
      <c r="AE12123" s="54"/>
    </row>
    <row r="12124" spans="31:31">
      <c r="AE12124" s="54"/>
    </row>
    <row r="12125" spans="31:31">
      <c r="AE12125" s="54"/>
    </row>
    <row r="12126" spans="31:31">
      <c r="AE12126" s="54"/>
    </row>
    <row r="12127" spans="31:31">
      <c r="AE12127" s="54"/>
    </row>
    <row r="12128" spans="31:31">
      <c r="AE12128" s="54"/>
    </row>
    <row r="12129" spans="31:31">
      <c r="AE12129" s="54"/>
    </row>
    <row r="12130" spans="31:31">
      <c r="AE12130" s="54"/>
    </row>
    <row r="12131" spans="31:31">
      <c r="AE12131" s="54"/>
    </row>
    <row r="12132" spans="31:31">
      <c r="AE12132" s="54"/>
    </row>
    <row r="12133" spans="31:31">
      <c r="AE12133" s="54"/>
    </row>
    <row r="12134" spans="31:31">
      <c r="AE12134" s="54"/>
    </row>
    <row r="12135" spans="31:31">
      <c r="AE12135" s="54"/>
    </row>
    <row r="12136" spans="31:31">
      <c r="AE12136" s="54"/>
    </row>
    <row r="12137" spans="31:31">
      <c r="AE12137" s="54"/>
    </row>
    <row r="12138" spans="31:31">
      <c r="AE12138" s="54"/>
    </row>
    <row r="12139" spans="31:31">
      <c r="AE12139" s="54"/>
    </row>
    <row r="12140" spans="31:31">
      <c r="AE12140" s="54"/>
    </row>
    <row r="12141" spans="31:31">
      <c r="AE12141" s="54"/>
    </row>
    <row r="12142" spans="31:31">
      <c r="AE12142" s="54"/>
    </row>
    <row r="12143" spans="31:31">
      <c r="AE12143" s="54"/>
    </row>
    <row r="12144" spans="31:31">
      <c r="AE12144" s="54"/>
    </row>
    <row r="12145" spans="31:31">
      <c r="AE12145" s="54"/>
    </row>
    <row r="12146" spans="31:31">
      <c r="AE12146" s="54"/>
    </row>
    <row r="12147" spans="31:31">
      <c r="AE12147" s="54"/>
    </row>
    <row r="12148" spans="31:31">
      <c r="AE12148" s="54"/>
    </row>
    <row r="12149" spans="31:31">
      <c r="AE12149" s="54"/>
    </row>
    <row r="12150" spans="31:31">
      <c r="AE12150" s="54"/>
    </row>
    <row r="12151" spans="31:31">
      <c r="AE12151" s="54"/>
    </row>
    <row r="12152" spans="31:31">
      <c r="AE12152" s="54"/>
    </row>
    <row r="12153" spans="31:31">
      <c r="AE12153" s="54"/>
    </row>
    <row r="12154" spans="31:31">
      <c r="AE12154" s="54"/>
    </row>
    <row r="12155" spans="31:31">
      <c r="AE12155" s="54"/>
    </row>
    <row r="12156" spans="31:31">
      <c r="AE12156" s="54"/>
    </row>
    <row r="12157" spans="31:31">
      <c r="AE12157" s="54"/>
    </row>
    <row r="12158" spans="31:31">
      <c r="AE12158" s="54"/>
    </row>
    <row r="12159" spans="31:31">
      <c r="AE12159" s="54"/>
    </row>
    <row r="12160" spans="31:31">
      <c r="AE12160" s="54"/>
    </row>
    <row r="12161" spans="31:31">
      <c r="AE12161" s="54"/>
    </row>
    <row r="12162" spans="31:31">
      <c r="AE12162" s="54"/>
    </row>
    <row r="12163" spans="31:31">
      <c r="AE12163" s="54"/>
    </row>
    <row r="12164" spans="31:31">
      <c r="AE12164" s="54"/>
    </row>
    <row r="12165" spans="31:31">
      <c r="AE12165" s="54"/>
    </row>
    <row r="12166" spans="31:31">
      <c r="AE12166" s="54"/>
    </row>
    <row r="12167" spans="31:31">
      <c r="AE12167" s="54"/>
    </row>
    <row r="12168" spans="31:31">
      <c r="AE12168" s="54"/>
    </row>
    <row r="12169" spans="31:31">
      <c r="AE12169" s="54"/>
    </row>
    <row r="12170" spans="31:31">
      <c r="AE12170" s="54"/>
    </row>
    <row r="12171" spans="31:31">
      <c r="AE12171" s="54"/>
    </row>
    <row r="12172" spans="31:31">
      <c r="AE12172" s="54"/>
    </row>
    <row r="12173" spans="31:31">
      <c r="AE12173" s="54"/>
    </row>
    <row r="12174" spans="31:31">
      <c r="AE12174" s="54"/>
    </row>
    <row r="12175" spans="31:31">
      <c r="AE12175" s="54"/>
    </row>
    <row r="12176" spans="31:31">
      <c r="AE12176" s="54"/>
    </row>
    <row r="12177" spans="31:31">
      <c r="AE12177" s="54"/>
    </row>
    <row r="12178" spans="31:31">
      <c r="AE12178" s="54"/>
    </row>
    <row r="12179" spans="31:31">
      <c r="AE12179" s="54"/>
    </row>
    <row r="12180" spans="31:31">
      <c r="AE12180" s="54"/>
    </row>
    <row r="12181" spans="31:31">
      <c r="AE12181" s="54"/>
    </row>
    <row r="12182" spans="31:31">
      <c r="AE12182" s="54"/>
    </row>
    <row r="12183" spans="31:31">
      <c r="AE12183" s="54"/>
    </row>
    <row r="12184" spans="31:31">
      <c r="AE12184" s="54"/>
    </row>
    <row r="12185" spans="31:31">
      <c r="AE12185" s="54"/>
    </row>
    <row r="12186" spans="31:31">
      <c r="AE12186" s="54"/>
    </row>
    <row r="12187" spans="31:31">
      <c r="AE12187" s="54"/>
    </row>
    <row r="12188" spans="31:31">
      <c r="AE12188" s="54"/>
    </row>
    <row r="12189" spans="31:31">
      <c r="AE12189" s="54"/>
    </row>
    <row r="12190" spans="31:31">
      <c r="AE12190" s="54"/>
    </row>
    <row r="12191" spans="31:31">
      <c r="AE12191" s="54"/>
    </row>
    <row r="12192" spans="31:31">
      <c r="AE12192" s="54"/>
    </row>
    <row r="12193" spans="31:31">
      <c r="AE12193" s="54"/>
    </row>
    <row r="12194" spans="31:31">
      <c r="AE12194" s="54"/>
    </row>
    <row r="12195" spans="31:31">
      <c r="AE12195" s="54"/>
    </row>
    <row r="12196" spans="31:31">
      <c r="AE12196" s="54"/>
    </row>
    <row r="12197" spans="31:31">
      <c r="AE12197" s="54"/>
    </row>
    <row r="12198" spans="31:31">
      <c r="AE12198" s="54"/>
    </row>
    <row r="12199" spans="31:31">
      <c r="AE12199" s="54"/>
    </row>
    <row r="12200" spans="31:31">
      <c r="AE12200" s="54"/>
    </row>
    <row r="12201" spans="31:31">
      <c r="AE12201" s="54"/>
    </row>
    <row r="12202" spans="31:31">
      <c r="AE12202" s="54"/>
    </row>
    <row r="12203" spans="31:31">
      <c r="AE12203" s="54"/>
    </row>
    <row r="12204" spans="31:31">
      <c r="AE12204" s="54"/>
    </row>
    <row r="12205" spans="31:31">
      <c r="AE12205" s="54"/>
    </row>
    <row r="12206" spans="31:31">
      <c r="AE12206" s="54"/>
    </row>
    <row r="12207" spans="31:31">
      <c r="AE12207" s="54"/>
    </row>
    <row r="12208" spans="31:31">
      <c r="AE12208" s="54"/>
    </row>
    <row r="12209" spans="31:31">
      <c r="AE12209" s="54"/>
    </row>
    <row r="12210" spans="31:31">
      <c r="AE12210" s="54"/>
    </row>
    <row r="12211" spans="31:31">
      <c r="AE12211" s="54"/>
    </row>
    <row r="12212" spans="31:31">
      <c r="AE12212" s="54"/>
    </row>
    <row r="12213" spans="31:31">
      <c r="AE12213" s="54"/>
    </row>
    <row r="12214" spans="31:31">
      <c r="AE12214" s="54"/>
    </row>
    <row r="12215" spans="31:31">
      <c r="AE12215" s="54"/>
    </row>
    <row r="12216" spans="31:31">
      <c r="AE12216" s="54"/>
    </row>
    <row r="12217" spans="31:31">
      <c r="AE12217" s="54"/>
    </row>
    <row r="12218" spans="31:31">
      <c r="AE12218" s="54"/>
    </row>
    <row r="12219" spans="31:31">
      <c r="AE12219" s="54"/>
    </row>
    <row r="12220" spans="31:31">
      <c r="AE12220" s="54"/>
    </row>
    <row r="12221" spans="31:31">
      <c r="AE12221" s="54"/>
    </row>
    <row r="12222" spans="31:31">
      <c r="AE12222" s="54"/>
    </row>
    <row r="12223" spans="31:31">
      <c r="AE12223" s="54"/>
    </row>
    <row r="12224" spans="31:31">
      <c r="AE12224" s="54"/>
    </row>
    <row r="12225" spans="31:31">
      <c r="AE12225" s="54"/>
    </row>
    <row r="12226" spans="31:31">
      <c r="AE12226" s="54"/>
    </row>
    <row r="12227" spans="31:31">
      <c r="AE12227" s="54"/>
    </row>
    <row r="12228" spans="31:31">
      <c r="AE12228" s="54"/>
    </row>
    <row r="12229" spans="31:31">
      <c r="AE12229" s="54"/>
    </row>
    <row r="12230" spans="31:31">
      <c r="AE12230" s="54"/>
    </row>
    <row r="12231" spans="31:31">
      <c r="AE12231" s="54"/>
    </row>
    <row r="12232" spans="31:31">
      <c r="AE12232" s="54"/>
    </row>
    <row r="12233" spans="31:31">
      <c r="AE12233" s="54"/>
    </row>
    <row r="12234" spans="31:31">
      <c r="AE12234" s="54"/>
    </row>
    <row r="12235" spans="31:31">
      <c r="AE12235" s="54"/>
    </row>
    <row r="12236" spans="31:31">
      <c r="AE12236" s="54"/>
    </row>
    <row r="12237" spans="31:31">
      <c r="AE12237" s="54"/>
    </row>
    <row r="12238" spans="31:31">
      <c r="AE12238" s="54"/>
    </row>
    <row r="12239" spans="31:31">
      <c r="AE12239" s="54"/>
    </row>
    <row r="12240" spans="31:31">
      <c r="AE12240" s="54"/>
    </row>
    <row r="12241" spans="31:31">
      <c r="AE12241" s="54"/>
    </row>
    <row r="12242" spans="31:31">
      <c r="AE12242" s="54"/>
    </row>
    <row r="12243" spans="31:31">
      <c r="AE12243" s="54"/>
    </row>
    <row r="12244" spans="31:31">
      <c r="AE12244" s="54"/>
    </row>
    <row r="12245" spans="31:31">
      <c r="AE12245" s="54"/>
    </row>
    <row r="12246" spans="31:31">
      <c r="AE12246" s="54"/>
    </row>
    <row r="12247" spans="31:31">
      <c r="AE12247" s="54"/>
    </row>
    <row r="12248" spans="31:31">
      <c r="AE12248" s="54"/>
    </row>
    <row r="12249" spans="31:31">
      <c r="AE12249" s="54"/>
    </row>
    <row r="12250" spans="31:31">
      <c r="AE12250" s="54"/>
    </row>
    <row r="12251" spans="31:31">
      <c r="AE12251" s="54"/>
    </row>
    <row r="12252" spans="31:31">
      <c r="AE12252" s="54"/>
    </row>
    <row r="12253" spans="31:31">
      <c r="AE12253" s="54"/>
    </row>
    <row r="12254" spans="31:31">
      <c r="AE12254" s="54"/>
    </row>
    <row r="12255" spans="31:31">
      <c r="AE12255" s="54"/>
    </row>
    <row r="12256" spans="31:31">
      <c r="AE12256" s="54"/>
    </row>
    <row r="12257" spans="31:31">
      <c r="AE12257" s="54"/>
    </row>
    <row r="12258" spans="31:31">
      <c r="AE12258" s="54"/>
    </row>
    <row r="12259" spans="31:31">
      <c r="AE12259" s="54"/>
    </row>
    <row r="12260" spans="31:31">
      <c r="AE12260" s="54"/>
    </row>
    <row r="12261" spans="31:31">
      <c r="AE12261" s="54"/>
    </row>
    <row r="12262" spans="31:31">
      <c r="AE12262" s="54"/>
    </row>
    <row r="12263" spans="31:31">
      <c r="AE12263" s="54"/>
    </row>
    <row r="12264" spans="31:31">
      <c r="AE12264" s="54"/>
    </row>
    <row r="12265" spans="31:31">
      <c r="AE12265" s="54"/>
    </row>
    <row r="12266" spans="31:31">
      <c r="AE12266" s="54"/>
    </row>
    <row r="12267" spans="31:31">
      <c r="AE12267" s="54"/>
    </row>
    <row r="12268" spans="31:31">
      <c r="AE12268" s="54"/>
    </row>
    <row r="12269" spans="31:31">
      <c r="AE12269" s="54"/>
    </row>
    <row r="12270" spans="31:31">
      <c r="AE12270" s="54"/>
    </row>
    <row r="12271" spans="31:31">
      <c r="AE12271" s="54"/>
    </row>
    <row r="12272" spans="31:31">
      <c r="AE12272" s="54"/>
    </row>
    <row r="12273" spans="31:31">
      <c r="AE12273" s="54"/>
    </row>
    <row r="12274" spans="31:31">
      <c r="AE12274" s="54"/>
    </row>
    <row r="12275" spans="31:31">
      <c r="AE12275" s="54"/>
    </row>
    <row r="12276" spans="31:31">
      <c r="AE12276" s="54"/>
    </row>
    <row r="12277" spans="31:31">
      <c r="AE12277" s="54"/>
    </row>
    <row r="12278" spans="31:31">
      <c r="AE12278" s="54"/>
    </row>
    <row r="12279" spans="31:31">
      <c r="AE12279" s="54"/>
    </row>
    <row r="12280" spans="31:31">
      <c r="AE12280" s="54"/>
    </row>
    <row r="12281" spans="31:31">
      <c r="AE12281" s="54"/>
    </row>
    <row r="12282" spans="31:31">
      <c r="AE12282" s="54"/>
    </row>
    <row r="12283" spans="31:31">
      <c r="AE12283" s="54"/>
    </row>
    <row r="12284" spans="31:31">
      <c r="AE12284" s="54"/>
    </row>
    <row r="12285" spans="31:31">
      <c r="AE12285" s="54"/>
    </row>
    <row r="12286" spans="31:31">
      <c r="AE12286" s="54"/>
    </row>
    <row r="12287" spans="31:31">
      <c r="AE12287" s="54"/>
    </row>
    <row r="12288" spans="31:31">
      <c r="AE12288" s="54"/>
    </row>
    <row r="12289" spans="31:31">
      <c r="AE12289" s="54"/>
    </row>
    <row r="12290" spans="31:31">
      <c r="AE12290" s="54"/>
    </row>
    <row r="12291" spans="31:31">
      <c r="AE12291" s="54"/>
    </row>
    <row r="12292" spans="31:31">
      <c r="AE12292" s="54"/>
    </row>
    <row r="12293" spans="31:31">
      <c r="AE12293" s="54"/>
    </row>
    <row r="12294" spans="31:31">
      <c r="AE12294" s="54"/>
    </row>
    <row r="12295" spans="31:31">
      <c r="AE12295" s="54"/>
    </row>
    <row r="12296" spans="31:31">
      <c r="AE12296" s="54"/>
    </row>
    <row r="12297" spans="31:31">
      <c r="AE12297" s="54"/>
    </row>
    <row r="12298" spans="31:31">
      <c r="AE12298" s="54"/>
    </row>
    <row r="12299" spans="31:31">
      <c r="AE12299" s="54"/>
    </row>
    <row r="12300" spans="31:31">
      <c r="AE12300" s="54"/>
    </row>
    <row r="12301" spans="31:31">
      <c r="AE12301" s="54"/>
    </row>
    <row r="12302" spans="31:31">
      <c r="AE12302" s="54"/>
    </row>
    <row r="12303" spans="31:31">
      <c r="AE12303" s="54"/>
    </row>
    <row r="12304" spans="31:31">
      <c r="AE12304" s="54"/>
    </row>
    <row r="12305" spans="31:31">
      <c r="AE12305" s="54"/>
    </row>
    <row r="12306" spans="31:31">
      <c r="AE12306" s="54"/>
    </row>
    <row r="12307" spans="31:31">
      <c r="AE12307" s="54"/>
    </row>
    <row r="12308" spans="31:31">
      <c r="AE12308" s="54"/>
    </row>
    <row r="12309" spans="31:31">
      <c r="AE12309" s="54"/>
    </row>
    <row r="12310" spans="31:31">
      <c r="AE12310" s="54"/>
    </row>
    <row r="12311" spans="31:31">
      <c r="AE12311" s="54"/>
    </row>
    <row r="12312" spans="31:31">
      <c r="AE12312" s="54"/>
    </row>
    <row r="12313" spans="31:31">
      <c r="AE12313" s="54"/>
    </row>
    <row r="12314" spans="31:31">
      <c r="AE12314" s="54"/>
    </row>
    <row r="12315" spans="31:31">
      <c r="AE12315" s="54"/>
    </row>
    <row r="12316" spans="31:31">
      <c r="AE12316" s="54"/>
    </row>
    <row r="12317" spans="31:31">
      <c r="AE12317" s="54"/>
    </row>
    <row r="12318" spans="31:31">
      <c r="AE12318" s="54"/>
    </row>
    <row r="12319" spans="31:31">
      <c r="AE12319" s="54"/>
    </row>
    <row r="12320" spans="31:31">
      <c r="AE12320" s="54"/>
    </row>
    <row r="12321" spans="31:31">
      <c r="AE12321" s="54"/>
    </row>
    <row r="12322" spans="31:31">
      <c r="AE12322" s="54"/>
    </row>
    <row r="12323" spans="31:31">
      <c r="AE12323" s="54"/>
    </row>
    <row r="12324" spans="31:31">
      <c r="AE12324" s="54"/>
    </row>
    <row r="12325" spans="31:31">
      <c r="AE12325" s="54"/>
    </row>
    <row r="12326" spans="31:31">
      <c r="AE12326" s="54"/>
    </row>
    <row r="12327" spans="31:31">
      <c r="AE12327" s="54"/>
    </row>
    <row r="12328" spans="31:31">
      <c r="AE12328" s="54"/>
    </row>
    <row r="12329" spans="31:31">
      <c r="AE12329" s="54"/>
    </row>
    <row r="12330" spans="31:31">
      <c r="AE12330" s="54"/>
    </row>
    <row r="12331" spans="31:31">
      <c r="AE12331" s="54"/>
    </row>
    <row r="12332" spans="31:31">
      <c r="AE12332" s="54"/>
    </row>
    <row r="12333" spans="31:31">
      <c r="AE12333" s="54"/>
    </row>
    <row r="12334" spans="31:31">
      <c r="AE12334" s="54"/>
    </row>
    <row r="12335" spans="31:31">
      <c r="AE12335" s="54"/>
    </row>
    <row r="12336" spans="31:31">
      <c r="AE12336" s="54"/>
    </row>
    <row r="12337" spans="31:31">
      <c r="AE12337" s="54"/>
    </row>
    <row r="12338" spans="31:31">
      <c r="AE12338" s="54"/>
    </row>
    <row r="12339" spans="31:31">
      <c r="AE12339" s="54"/>
    </row>
    <row r="12340" spans="31:31">
      <c r="AE12340" s="54"/>
    </row>
    <row r="12341" spans="31:31">
      <c r="AE12341" s="54"/>
    </row>
    <row r="12342" spans="31:31">
      <c r="AE12342" s="54"/>
    </row>
    <row r="12343" spans="31:31">
      <c r="AE12343" s="54"/>
    </row>
    <row r="12344" spans="31:31">
      <c r="AE12344" s="54"/>
    </row>
    <row r="12345" spans="31:31">
      <c r="AE12345" s="54"/>
    </row>
    <row r="12346" spans="31:31">
      <c r="AE12346" s="54"/>
    </row>
    <row r="12347" spans="31:31">
      <c r="AE12347" s="54"/>
    </row>
    <row r="12348" spans="31:31">
      <c r="AE12348" s="54"/>
    </row>
    <row r="12349" spans="31:31">
      <c r="AE12349" s="54"/>
    </row>
    <row r="12350" spans="31:31">
      <c r="AE12350" s="54"/>
    </row>
    <row r="12351" spans="31:31">
      <c r="AE12351" s="54"/>
    </row>
    <row r="12352" spans="31:31">
      <c r="AE12352" s="54"/>
    </row>
    <row r="12353" spans="31:31">
      <c r="AE12353" s="54"/>
    </row>
    <row r="12354" spans="31:31">
      <c r="AE12354" s="54"/>
    </row>
    <row r="12355" spans="31:31">
      <c r="AE12355" s="54"/>
    </row>
    <row r="12356" spans="31:31">
      <c r="AE12356" s="54"/>
    </row>
    <row r="12357" spans="31:31">
      <c r="AE12357" s="54"/>
    </row>
    <row r="12358" spans="31:31">
      <c r="AE12358" s="54"/>
    </row>
    <row r="12359" spans="31:31">
      <c r="AE12359" s="54"/>
    </row>
    <row r="12360" spans="31:31">
      <c r="AE12360" s="54"/>
    </row>
    <row r="12361" spans="31:31">
      <c r="AE12361" s="54"/>
    </row>
    <row r="12362" spans="31:31">
      <c r="AE12362" s="54"/>
    </row>
    <row r="12363" spans="31:31">
      <c r="AE12363" s="54"/>
    </row>
    <row r="12364" spans="31:31">
      <c r="AE12364" s="54"/>
    </row>
    <row r="12365" spans="31:31">
      <c r="AE12365" s="54"/>
    </row>
    <row r="12366" spans="31:31">
      <c r="AE12366" s="54"/>
    </row>
    <row r="12367" spans="31:31">
      <c r="AE12367" s="54"/>
    </row>
    <row r="12368" spans="31:31">
      <c r="AE12368" s="54"/>
    </row>
    <row r="12369" spans="31:31">
      <c r="AE12369" s="54"/>
    </row>
    <row r="12370" spans="31:31">
      <c r="AE12370" s="54"/>
    </row>
    <row r="12371" spans="31:31">
      <c r="AE12371" s="54"/>
    </row>
    <row r="12372" spans="31:31">
      <c r="AE12372" s="54"/>
    </row>
    <row r="12373" spans="31:31">
      <c r="AE12373" s="54"/>
    </row>
    <row r="12374" spans="31:31">
      <c r="AE12374" s="54"/>
    </row>
    <row r="12375" spans="31:31">
      <c r="AE12375" s="54"/>
    </row>
    <row r="12376" spans="31:31">
      <c r="AE12376" s="54"/>
    </row>
    <row r="12377" spans="31:31">
      <c r="AE12377" s="54"/>
    </row>
    <row r="12378" spans="31:31">
      <c r="AE12378" s="54"/>
    </row>
    <row r="12379" spans="31:31">
      <c r="AE12379" s="54"/>
    </row>
    <row r="12380" spans="31:31">
      <c r="AE12380" s="54"/>
    </row>
    <row r="12381" spans="31:31">
      <c r="AE12381" s="54"/>
    </row>
    <row r="12382" spans="31:31">
      <c r="AE12382" s="54"/>
    </row>
    <row r="12383" spans="31:31">
      <c r="AE12383" s="54"/>
    </row>
    <row r="12384" spans="31:31">
      <c r="AE12384" s="54"/>
    </row>
    <row r="12385" spans="31:31">
      <c r="AE12385" s="54"/>
    </row>
    <row r="12386" spans="31:31">
      <c r="AE12386" s="54"/>
    </row>
    <row r="12387" spans="31:31">
      <c r="AE12387" s="54"/>
    </row>
    <row r="12388" spans="31:31">
      <c r="AE12388" s="54"/>
    </row>
    <row r="12389" spans="31:31">
      <c r="AE12389" s="54"/>
    </row>
    <row r="12390" spans="31:31">
      <c r="AE12390" s="54"/>
    </row>
    <row r="12391" spans="31:31">
      <c r="AE12391" s="54"/>
    </row>
    <row r="12392" spans="31:31">
      <c r="AE12392" s="54"/>
    </row>
    <row r="12393" spans="31:31">
      <c r="AE12393" s="54"/>
    </row>
    <row r="12394" spans="31:31">
      <c r="AE12394" s="54"/>
    </row>
    <row r="12395" spans="31:31">
      <c r="AE12395" s="54"/>
    </row>
    <row r="12396" spans="31:31">
      <c r="AE12396" s="54"/>
    </row>
    <row r="12397" spans="31:31">
      <c r="AE12397" s="54"/>
    </row>
    <row r="12398" spans="31:31">
      <c r="AE12398" s="54"/>
    </row>
    <row r="12399" spans="31:31">
      <c r="AE12399" s="54"/>
    </row>
    <row r="12400" spans="31:31">
      <c r="AE12400" s="54"/>
    </row>
    <row r="12401" spans="31:31">
      <c r="AE12401" s="54"/>
    </row>
    <row r="12402" spans="31:31">
      <c r="AE12402" s="54"/>
    </row>
    <row r="12403" spans="31:31">
      <c r="AE12403" s="54"/>
    </row>
    <row r="12404" spans="31:31">
      <c r="AE12404" s="54"/>
    </row>
    <row r="12405" spans="31:31">
      <c r="AE12405" s="54"/>
    </row>
    <row r="12406" spans="31:31">
      <c r="AE12406" s="54"/>
    </row>
    <row r="12407" spans="31:31">
      <c r="AE12407" s="54"/>
    </row>
    <row r="12408" spans="31:31">
      <c r="AE12408" s="54"/>
    </row>
    <row r="12409" spans="31:31">
      <c r="AE12409" s="54"/>
    </row>
    <row r="12410" spans="31:31">
      <c r="AE12410" s="54"/>
    </row>
    <row r="12411" spans="31:31">
      <c r="AE12411" s="54"/>
    </row>
    <row r="12412" spans="31:31">
      <c r="AE12412" s="54"/>
    </row>
    <row r="12413" spans="31:31">
      <c r="AE12413" s="54"/>
    </row>
    <row r="12414" spans="31:31">
      <c r="AE12414" s="54"/>
    </row>
    <row r="12415" spans="31:31">
      <c r="AE12415" s="54"/>
    </row>
    <row r="12416" spans="31:31">
      <c r="AE12416" s="54"/>
    </row>
    <row r="12417" spans="31:31">
      <c r="AE12417" s="54"/>
    </row>
    <row r="12418" spans="31:31">
      <c r="AE12418" s="54"/>
    </row>
    <row r="12419" spans="31:31">
      <c r="AE12419" s="54"/>
    </row>
    <row r="12420" spans="31:31">
      <c r="AE12420" s="54"/>
    </row>
    <row r="12421" spans="31:31">
      <c r="AE12421" s="54"/>
    </row>
    <row r="12422" spans="31:31">
      <c r="AE12422" s="54"/>
    </row>
    <row r="12423" spans="31:31">
      <c r="AE12423" s="54"/>
    </row>
    <row r="12424" spans="31:31">
      <c r="AE12424" s="54"/>
    </row>
    <row r="12425" spans="31:31">
      <c r="AE12425" s="54"/>
    </row>
    <row r="12426" spans="31:31">
      <c r="AE12426" s="54"/>
    </row>
    <row r="12427" spans="31:31">
      <c r="AE12427" s="54"/>
    </row>
    <row r="12428" spans="31:31">
      <c r="AE12428" s="54"/>
    </row>
    <row r="12429" spans="31:31">
      <c r="AE12429" s="54"/>
    </row>
    <row r="12430" spans="31:31">
      <c r="AE12430" s="54"/>
    </row>
    <row r="12431" spans="31:31">
      <c r="AE12431" s="54"/>
    </row>
    <row r="12432" spans="31:31">
      <c r="AE12432" s="54"/>
    </row>
    <row r="12433" spans="31:31">
      <c r="AE12433" s="54"/>
    </row>
    <row r="12434" spans="31:31">
      <c r="AE12434" s="54"/>
    </row>
    <row r="12435" spans="31:31">
      <c r="AE12435" s="54"/>
    </row>
    <row r="12436" spans="31:31">
      <c r="AE12436" s="54"/>
    </row>
    <row r="12437" spans="31:31">
      <c r="AE12437" s="54"/>
    </row>
    <row r="12438" spans="31:31">
      <c r="AE12438" s="54"/>
    </row>
    <row r="12439" spans="31:31">
      <c r="AE12439" s="54"/>
    </row>
    <row r="12440" spans="31:31">
      <c r="AE12440" s="54"/>
    </row>
    <row r="12441" spans="31:31">
      <c r="AE12441" s="54"/>
    </row>
    <row r="12442" spans="31:31">
      <c r="AE12442" s="54"/>
    </row>
    <row r="12443" spans="31:31">
      <c r="AE12443" s="54"/>
    </row>
    <row r="12444" spans="31:31">
      <c r="AE12444" s="54"/>
    </row>
    <row r="12445" spans="31:31">
      <c r="AE12445" s="54"/>
    </row>
    <row r="12446" spans="31:31">
      <c r="AE12446" s="54"/>
    </row>
    <row r="12447" spans="31:31">
      <c r="AE12447" s="54"/>
    </row>
    <row r="12448" spans="31:31">
      <c r="AE12448" s="54"/>
    </row>
    <row r="12449" spans="31:31">
      <c r="AE12449" s="54"/>
    </row>
    <row r="12450" spans="31:31">
      <c r="AE12450" s="54"/>
    </row>
    <row r="12451" spans="31:31">
      <c r="AE12451" s="54"/>
    </row>
    <row r="12452" spans="31:31">
      <c r="AE12452" s="54"/>
    </row>
    <row r="12453" spans="31:31">
      <c r="AE12453" s="54"/>
    </row>
    <row r="12454" spans="31:31">
      <c r="AE12454" s="54"/>
    </row>
    <row r="12455" spans="31:31">
      <c r="AE12455" s="54"/>
    </row>
    <row r="12456" spans="31:31">
      <c r="AE12456" s="54"/>
    </row>
    <row r="12457" spans="31:31">
      <c r="AE12457" s="54"/>
    </row>
    <row r="12458" spans="31:31">
      <c r="AE12458" s="54"/>
    </row>
    <row r="12459" spans="31:31">
      <c r="AE12459" s="54"/>
    </row>
    <row r="12460" spans="31:31">
      <c r="AE12460" s="54"/>
    </row>
    <row r="12461" spans="31:31">
      <c r="AE12461" s="54"/>
    </row>
    <row r="12462" spans="31:31">
      <c r="AE12462" s="54"/>
    </row>
    <row r="12463" spans="31:31">
      <c r="AE12463" s="54"/>
    </row>
    <row r="12464" spans="31:31">
      <c r="AE12464" s="54"/>
    </row>
    <row r="12465" spans="31:31">
      <c r="AE12465" s="54"/>
    </row>
    <row r="12466" spans="31:31">
      <c r="AE12466" s="54"/>
    </row>
    <row r="12467" spans="31:31">
      <c r="AE12467" s="54"/>
    </row>
    <row r="12468" spans="31:31">
      <c r="AE12468" s="54"/>
    </row>
    <row r="12469" spans="31:31">
      <c r="AE12469" s="54"/>
    </row>
    <row r="12470" spans="31:31">
      <c r="AE12470" s="54"/>
    </row>
    <row r="12471" spans="31:31">
      <c r="AE12471" s="54"/>
    </row>
    <row r="12472" spans="31:31">
      <c r="AE12472" s="54"/>
    </row>
    <row r="12473" spans="31:31">
      <c r="AE12473" s="54"/>
    </row>
    <row r="12474" spans="31:31">
      <c r="AE12474" s="54"/>
    </row>
    <row r="12475" spans="31:31">
      <c r="AE12475" s="54"/>
    </row>
    <row r="12476" spans="31:31">
      <c r="AE12476" s="54"/>
    </row>
    <row r="12477" spans="31:31">
      <c r="AE12477" s="54"/>
    </row>
    <row r="12478" spans="31:31">
      <c r="AE12478" s="54"/>
    </row>
    <row r="12479" spans="31:31">
      <c r="AE12479" s="54"/>
    </row>
    <row r="12480" spans="31:31">
      <c r="AE12480" s="54"/>
    </row>
    <row r="12481" spans="31:31">
      <c r="AE12481" s="54"/>
    </row>
    <row r="12482" spans="31:31">
      <c r="AE12482" s="54"/>
    </row>
    <row r="12483" spans="31:31">
      <c r="AE12483" s="54"/>
    </row>
    <row r="12484" spans="31:31">
      <c r="AE12484" s="54"/>
    </row>
    <row r="12485" spans="31:31">
      <c r="AE12485" s="54"/>
    </row>
    <row r="12486" spans="31:31">
      <c r="AE12486" s="54"/>
    </row>
    <row r="12487" spans="31:31">
      <c r="AE12487" s="54"/>
    </row>
    <row r="12488" spans="31:31">
      <c r="AE12488" s="54"/>
    </row>
    <row r="12489" spans="31:31">
      <c r="AE12489" s="54"/>
    </row>
    <row r="12490" spans="31:31">
      <c r="AE12490" s="54"/>
    </row>
    <row r="12491" spans="31:31">
      <c r="AE12491" s="54"/>
    </row>
    <row r="12492" spans="31:31">
      <c r="AE12492" s="54"/>
    </row>
    <row r="12493" spans="31:31">
      <c r="AE12493" s="54"/>
    </row>
    <row r="12494" spans="31:31">
      <c r="AE12494" s="54"/>
    </row>
    <row r="12495" spans="31:31">
      <c r="AE12495" s="54"/>
    </row>
    <row r="12496" spans="31:31">
      <c r="AE12496" s="54"/>
    </row>
    <row r="12497" spans="31:31">
      <c r="AE12497" s="54"/>
    </row>
    <row r="12498" spans="31:31">
      <c r="AE12498" s="54"/>
    </row>
    <row r="12499" spans="31:31">
      <c r="AE12499" s="54"/>
    </row>
    <row r="12500" spans="31:31">
      <c r="AE12500" s="54"/>
    </row>
    <row r="12501" spans="31:31">
      <c r="AE12501" s="54"/>
    </row>
    <row r="12502" spans="31:31">
      <c r="AE12502" s="54"/>
    </row>
    <row r="12503" spans="31:31">
      <c r="AE12503" s="54"/>
    </row>
    <row r="12504" spans="31:31">
      <c r="AE12504" s="54"/>
    </row>
    <row r="12505" spans="31:31">
      <c r="AE12505" s="54"/>
    </row>
    <row r="12506" spans="31:31">
      <c r="AE12506" s="54"/>
    </row>
    <row r="12507" spans="31:31">
      <c r="AE12507" s="54"/>
    </row>
    <row r="12508" spans="31:31">
      <c r="AE12508" s="54"/>
    </row>
    <row r="12509" spans="31:31">
      <c r="AE12509" s="54"/>
    </row>
    <row r="12510" spans="31:31">
      <c r="AE12510" s="54"/>
    </row>
    <row r="12511" spans="31:31">
      <c r="AE12511" s="54"/>
    </row>
    <row r="12512" spans="31:31">
      <c r="AE12512" s="54"/>
    </row>
    <row r="12513" spans="31:31">
      <c r="AE12513" s="54"/>
    </row>
    <row r="12514" spans="31:31">
      <c r="AE12514" s="54"/>
    </row>
    <row r="12515" spans="31:31">
      <c r="AE12515" s="54"/>
    </row>
    <row r="12516" spans="31:31">
      <c r="AE12516" s="54"/>
    </row>
    <row r="12517" spans="31:31">
      <c r="AE12517" s="54"/>
    </row>
    <row r="12518" spans="31:31">
      <c r="AE12518" s="54"/>
    </row>
    <row r="12519" spans="31:31">
      <c r="AE12519" s="54"/>
    </row>
    <row r="12520" spans="31:31">
      <c r="AE12520" s="54"/>
    </row>
    <row r="12521" spans="31:31">
      <c r="AE12521" s="54"/>
    </row>
    <row r="12522" spans="31:31">
      <c r="AE12522" s="54"/>
    </row>
    <row r="12523" spans="31:31">
      <c r="AE12523" s="54"/>
    </row>
    <row r="12524" spans="31:31">
      <c r="AE12524" s="54"/>
    </row>
    <row r="12525" spans="31:31">
      <c r="AE12525" s="54"/>
    </row>
    <row r="12526" spans="31:31">
      <c r="AE12526" s="54"/>
    </row>
    <row r="12527" spans="31:31">
      <c r="AE12527" s="54"/>
    </row>
    <row r="12528" spans="31:31">
      <c r="AE12528" s="54"/>
    </row>
    <row r="12529" spans="31:31">
      <c r="AE12529" s="54"/>
    </row>
    <row r="12530" spans="31:31">
      <c r="AE12530" s="54"/>
    </row>
    <row r="12531" spans="31:31">
      <c r="AE12531" s="54"/>
    </row>
    <row r="12532" spans="31:31">
      <c r="AE12532" s="54"/>
    </row>
    <row r="12533" spans="31:31">
      <c r="AE12533" s="54"/>
    </row>
    <row r="12534" spans="31:31">
      <c r="AE12534" s="54"/>
    </row>
    <row r="12535" spans="31:31">
      <c r="AE12535" s="54"/>
    </row>
    <row r="12536" spans="31:31">
      <c r="AE12536" s="54"/>
    </row>
    <row r="12537" spans="31:31">
      <c r="AE12537" s="54"/>
    </row>
    <row r="12538" spans="31:31">
      <c r="AE12538" s="54"/>
    </row>
    <row r="12539" spans="31:31">
      <c r="AE12539" s="54"/>
    </row>
    <row r="12540" spans="31:31">
      <c r="AE12540" s="54"/>
    </row>
    <row r="12541" spans="31:31">
      <c r="AE12541" s="54"/>
    </row>
    <row r="12542" spans="31:31">
      <c r="AE12542" s="54"/>
    </row>
    <row r="12543" spans="31:31">
      <c r="AE12543" s="54"/>
    </row>
    <row r="12544" spans="31:31">
      <c r="AE12544" s="54"/>
    </row>
    <row r="12545" spans="31:31">
      <c r="AE12545" s="54"/>
    </row>
    <row r="12546" spans="31:31">
      <c r="AE12546" s="54"/>
    </row>
    <row r="12547" spans="31:31">
      <c r="AE12547" s="54"/>
    </row>
    <row r="12548" spans="31:31">
      <c r="AE12548" s="54"/>
    </row>
    <row r="12549" spans="31:31">
      <c r="AE12549" s="54"/>
    </row>
    <row r="12550" spans="31:31">
      <c r="AE12550" s="54"/>
    </row>
    <row r="12551" spans="31:31">
      <c r="AE12551" s="54"/>
    </row>
    <row r="12552" spans="31:31">
      <c r="AE12552" s="54"/>
    </row>
    <row r="12553" spans="31:31">
      <c r="AE12553" s="54"/>
    </row>
    <row r="12554" spans="31:31">
      <c r="AE12554" s="54"/>
    </row>
    <row r="12555" spans="31:31">
      <c r="AE12555" s="54"/>
    </row>
    <row r="12556" spans="31:31">
      <c r="AE12556" s="54"/>
    </row>
    <row r="12557" spans="31:31">
      <c r="AE12557" s="54"/>
    </row>
    <row r="12558" spans="31:31">
      <c r="AE12558" s="54"/>
    </row>
    <row r="12559" spans="31:31">
      <c r="AE12559" s="54"/>
    </row>
    <row r="12560" spans="31:31">
      <c r="AE12560" s="54"/>
    </row>
    <row r="12561" spans="31:31">
      <c r="AE12561" s="54"/>
    </row>
    <row r="12562" spans="31:31">
      <c r="AE12562" s="54"/>
    </row>
    <row r="12563" spans="31:31">
      <c r="AE12563" s="54"/>
    </row>
    <row r="12564" spans="31:31">
      <c r="AE12564" s="54"/>
    </row>
    <row r="12565" spans="31:31">
      <c r="AE12565" s="54"/>
    </row>
    <row r="12566" spans="31:31">
      <c r="AE12566" s="54"/>
    </row>
    <row r="12567" spans="31:31">
      <c r="AE12567" s="54"/>
    </row>
    <row r="12568" spans="31:31">
      <c r="AE12568" s="54"/>
    </row>
    <row r="12569" spans="31:31">
      <c r="AE12569" s="54"/>
    </row>
    <row r="12570" spans="31:31">
      <c r="AE12570" s="54"/>
    </row>
    <row r="12571" spans="31:31">
      <c r="AE12571" s="54"/>
    </row>
    <row r="12572" spans="31:31">
      <c r="AE12572" s="54"/>
    </row>
    <row r="12573" spans="31:31">
      <c r="AE12573" s="54"/>
    </row>
    <row r="12574" spans="31:31">
      <c r="AE12574" s="54"/>
    </row>
    <row r="12575" spans="31:31">
      <c r="AE12575" s="54"/>
    </row>
    <row r="12576" spans="31:31">
      <c r="AE12576" s="54"/>
    </row>
    <row r="12577" spans="31:31">
      <c r="AE12577" s="54"/>
    </row>
    <row r="12578" spans="31:31">
      <c r="AE12578" s="54"/>
    </row>
    <row r="12579" spans="31:31">
      <c r="AE12579" s="54"/>
    </row>
    <row r="12580" spans="31:31">
      <c r="AE12580" s="54"/>
    </row>
    <row r="12581" spans="31:31">
      <c r="AE12581" s="54"/>
    </row>
    <row r="12582" spans="31:31">
      <c r="AE12582" s="54"/>
    </row>
    <row r="12583" spans="31:31">
      <c r="AE12583" s="54"/>
    </row>
    <row r="12584" spans="31:31">
      <c r="AE12584" s="54"/>
    </row>
    <row r="12585" spans="31:31">
      <c r="AE12585" s="54"/>
    </row>
    <row r="12586" spans="31:31">
      <c r="AE12586" s="54"/>
    </row>
    <row r="12587" spans="31:31">
      <c r="AE12587" s="54"/>
    </row>
    <row r="12588" spans="31:31">
      <c r="AE12588" s="54"/>
    </row>
    <row r="12589" spans="31:31">
      <c r="AE12589" s="54"/>
    </row>
    <row r="12590" spans="31:31">
      <c r="AE12590" s="54"/>
    </row>
    <row r="12591" spans="31:31">
      <c r="AE12591" s="54"/>
    </row>
    <row r="12592" spans="31:31">
      <c r="AE12592" s="54"/>
    </row>
    <row r="12593" spans="31:31">
      <c r="AE12593" s="54"/>
    </row>
    <row r="12594" spans="31:31">
      <c r="AE12594" s="54"/>
    </row>
    <row r="12595" spans="31:31">
      <c r="AE12595" s="54"/>
    </row>
    <row r="12596" spans="31:31">
      <c r="AE12596" s="54"/>
    </row>
    <row r="12597" spans="31:31">
      <c r="AE12597" s="54"/>
    </row>
    <row r="12598" spans="31:31">
      <c r="AE12598" s="54"/>
    </row>
    <row r="12599" spans="31:31">
      <c r="AE12599" s="54"/>
    </row>
    <row r="12600" spans="31:31">
      <c r="AE12600" s="54"/>
    </row>
    <row r="12601" spans="31:31">
      <c r="AE12601" s="54"/>
    </row>
    <row r="12602" spans="31:31">
      <c r="AE12602" s="54"/>
    </row>
    <row r="12603" spans="31:31">
      <c r="AE12603" s="54"/>
    </row>
    <row r="12604" spans="31:31">
      <c r="AE12604" s="54"/>
    </row>
    <row r="12605" spans="31:31">
      <c r="AE12605" s="54"/>
    </row>
    <row r="12606" spans="31:31">
      <c r="AE12606" s="54"/>
    </row>
    <row r="12607" spans="31:31">
      <c r="AE12607" s="54"/>
    </row>
    <row r="12608" spans="31:31">
      <c r="AE12608" s="54"/>
    </row>
    <row r="12609" spans="31:31">
      <c r="AE12609" s="54"/>
    </row>
    <row r="12610" spans="31:31">
      <c r="AE12610" s="54"/>
    </row>
    <row r="12611" spans="31:31">
      <c r="AE12611" s="54"/>
    </row>
    <row r="12612" spans="31:31">
      <c r="AE12612" s="54"/>
    </row>
    <row r="12613" spans="31:31">
      <c r="AE12613" s="54"/>
    </row>
    <row r="12614" spans="31:31">
      <c r="AE12614" s="54"/>
    </row>
    <row r="12615" spans="31:31">
      <c r="AE12615" s="54"/>
    </row>
    <row r="12616" spans="31:31">
      <c r="AE12616" s="54"/>
    </row>
    <row r="12617" spans="31:31">
      <c r="AE12617" s="54"/>
    </row>
    <row r="12618" spans="31:31">
      <c r="AE12618" s="54"/>
    </row>
    <row r="12619" spans="31:31">
      <c r="AE12619" s="54"/>
    </row>
    <row r="12620" spans="31:31">
      <c r="AE12620" s="54"/>
    </row>
    <row r="12621" spans="31:31">
      <c r="AE12621" s="54"/>
    </row>
    <row r="12622" spans="31:31">
      <c r="AE12622" s="54"/>
    </row>
    <row r="12623" spans="31:31">
      <c r="AE12623" s="54"/>
    </row>
    <row r="12624" spans="31:31">
      <c r="AE12624" s="54"/>
    </row>
    <row r="12625" spans="31:31">
      <c r="AE12625" s="54"/>
    </row>
    <row r="12626" spans="31:31">
      <c r="AE12626" s="54"/>
    </row>
    <row r="12627" spans="31:31">
      <c r="AE12627" s="54"/>
    </row>
    <row r="12628" spans="31:31">
      <c r="AE12628" s="54"/>
    </row>
    <row r="12629" spans="31:31">
      <c r="AE12629" s="54"/>
    </row>
    <row r="12630" spans="31:31">
      <c r="AE12630" s="54"/>
    </row>
    <row r="12631" spans="31:31">
      <c r="AE12631" s="54"/>
    </row>
    <row r="12632" spans="31:31">
      <c r="AE12632" s="54"/>
    </row>
    <row r="12633" spans="31:31">
      <c r="AE12633" s="54"/>
    </row>
    <row r="12634" spans="31:31">
      <c r="AE12634" s="54"/>
    </row>
    <row r="12635" spans="31:31">
      <c r="AE12635" s="54"/>
    </row>
    <row r="12636" spans="31:31">
      <c r="AE12636" s="54"/>
    </row>
    <row r="12637" spans="31:31">
      <c r="AE12637" s="54"/>
    </row>
    <row r="12638" spans="31:31">
      <c r="AE12638" s="54"/>
    </row>
    <row r="12639" spans="31:31">
      <c r="AE12639" s="54"/>
    </row>
    <row r="12640" spans="31:31">
      <c r="AE12640" s="54"/>
    </row>
    <row r="12641" spans="31:31">
      <c r="AE12641" s="54"/>
    </row>
    <row r="12642" spans="31:31">
      <c r="AE12642" s="54"/>
    </row>
    <row r="12643" spans="31:31">
      <c r="AE12643" s="54"/>
    </row>
    <row r="12644" spans="31:31">
      <c r="AE12644" s="54"/>
    </row>
    <row r="12645" spans="31:31">
      <c r="AE12645" s="54"/>
    </row>
    <row r="12646" spans="31:31">
      <c r="AE12646" s="54"/>
    </row>
    <row r="12647" spans="31:31">
      <c r="AE12647" s="54"/>
    </row>
    <row r="12648" spans="31:31">
      <c r="AE12648" s="54"/>
    </row>
    <row r="12649" spans="31:31">
      <c r="AE12649" s="54"/>
    </row>
    <row r="12650" spans="31:31">
      <c r="AE12650" s="54"/>
    </row>
    <row r="12651" spans="31:31">
      <c r="AE12651" s="54"/>
    </row>
    <row r="12652" spans="31:31">
      <c r="AE12652" s="54"/>
    </row>
    <row r="12653" spans="31:31">
      <c r="AE12653" s="54"/>
    </row>
    <row r="12654" spans="31:31">
      <c r="AE12654" s="54"/>
    </row>
    <row r="12655" spans="31:31">
      <c r="AE12655" s="54"/>
    </row>
    <row r="12656" spans="31:31">
      <c r="AE12656" s="54"/>
    </row>
    <row r="12657" spans="31:31">
      <c r="AE12657" s="54"/>
    </row>
    <row r="12658" spans="31:31">
      <c r="AE12658" s="54"/>
    </row>
    <row r="12659" spans="31:31">
      <c r="AE12659" s="54"/>
    </row>
    <row r="12660" spans="31:31">
      <c r="AE12660" s="54"/>
    </row>
    <row r="12661" spans="31:31">
      <c r="AE12661" s="54"/>
    </row>
    <row r="12662" spans="31:31">
      <c r="AE12662" s="54"/>
    </row>
    <row r="12663" spans="31:31">
      <c r="AE12663" s="54"/>
    </row>
    <row r="12664" spans="31:31">
      <c r="AE12664" s="54"/>
    </row>
    <row r="12665" spans="31:31">
      <c r="AE12665" s="54"/>
    </row>
    <row r="12666" spans="31:31">
      <c r="AE12666" s="54"/>
    </row>
    <row r="12667" spans="31:31">
      <c r="AE12667" s="54"/>
    </row>
    <row r="12668" spans="31:31">
      <c r="AE12668" s="54"/>
    </row>
    <row r="12669" spans="31:31">
      <c r="AE12669" s="54"/>
    </row>
    <row r="12670" spans="31:31">
      <c r="AE12670" s="54"/>
    </row>
    <row r="12671" spans="31:31">
      <c r="AE12671" s="54"/>
    </row>
    <row r="12672" spans="31:31">
      <c r="AE12672" s="54"/>
    </row>
    <row r="12673" spans="31:31">
      <c r="AE12673" s="54"/>
    </row>
    <row r="12674" spans="31:31">
      <c r="AE12674" s="54"/>
    </row>
    <row r="12675" spans="31:31">
      <c r="AE12675" s="54"/>
    </row>
    <row r="12676" spans="31:31">
      <c r="AE12676" s="54"/>
    </row>
    <row r="12677" spans="31:31">
      <c r="AE12677" s="54"/>
    </row>
    <row r="12678" spans="31:31">
      <c r="AE12678" s="54"/>
    </row>
    <row r="12679" spans="31:31">
      <c r="AE12679" s="54"/>
    </row>
    <row r="12680" spans="31:31">
      <c r="AE12680" s="54"/>
    </row>
    <row r="12681" spans="31:31">
      <c r="AE12681" s="54"/>
    </row>
    <row r="12682" spans="31:31">
      <c r="AE12682" s="54"/>
    </row>
    <row r="12683" spans="31:31">
      <c r="AE12683" s="54"/>
    </row>
    <row r="12684" spans="31:31">
      <c r="AE12684" s="54"/>
    </row>
    <row r="12685" spans="31:31">
      <c r="AE12685" s="54"/>
    </row>
    <row r="12686" spans="31:31">
      <c r="AE12686" s="54"/>
    </row>
    <row r="12687" spans="31:31">
      <c r="AE12687" s="54"/>
    </row>
    <row r="12688" spans="31:31">
      <c r="AE12688" s="54"/>
    </row>
    <row r="12689" spans="31:31">
      <c r="AE12689" s="54"/>
    </row>
    <row r="12690" spans="31:31">
      <c r="AE12690" s="54"/>
    </row>
    <row r="12691" spans="31:31">
      <c r="AE12691" s="54"/>
    </row>
    <row r="12692" spans="31:31">
      <c r="AE12692" s="54"/>
    </row>
    <row r="12693" spans="31:31">
      <c r="AE12693" s="54"/>
    </row>
    <row r="12694" spans="31:31">
      <c r="AE12694" s="54"/>
    </row>
    <row r="12695" spans="31:31">
      <c r="AE12695" s="54"/>
    </row>
    <row r="12696" spans="31:31">
      <c r="AE12696" s="54"/>
    </row>
    <row r="12697" spans="31:31">
      <c r="AE12697" s="54"/>
    </row>
    <row r="12698" spans="31:31">
      <c r="AE12698" s="54"/>
    </row>
    <row r="12699" spans="31:31">
      <c r="AE12699" s="54"/>
    </row>
    <row r="12700" spans="31:31">
      <c r="AE12700" s="54"/>
    </row>
    <row r="12701" spans="31:31">
      <c r="AE12701" s="54"/>
    </row>
    <row r="12702" spans="31:31">
      <c r="AE12702" s="54"/>
    </row>
    <row r="12703" spans="31:31">
      <c r="AE12703" s="54"/>
    </row>
    <row r="12704" spans="31:31">
      <c r="AE12704" s="54"/>
    </row>
    <row r="12705" spans="31:31">
      <c r="AE12705" s="54"/>
    </row>
    <row r="12706" spans="31:31">
      <c r="AE12706" s="54"/>
    </row>
    <row r="12707" spans="31:31">
      <c r="AE12707" s="54"/>
    </row>
    <row r="12708" spans="31:31">
      <c r="AE12708" s="54"/>
    </row>
    <row r="12709" spans="31:31">
      <c r="AE12709" s="54"/>
    </row>
    <row r="12710" spans="31:31">
      <c r="AE12710" s="54"/>
    </row>
    <row r="12711" spans="31:31">
      <c r="AE12711" s="54"/>
    </row>
    <row r="12712" spans="31:31">
      <c r="AE12712" s="54"/>
    </row>
    <row r="12713" spans="31:31">
      <c r="AE12713" s="54"/>
    </row>
    <row r="12714" spans="31:31">
      <c r="AE12714" s="54"/>
    </row>
    <row r="12715" spans="31:31">
      <c r="AE12715" s="54"/>
    </row>
    <row r="12716" spans="31:31">
      <c r="AE12716" s="54"/>
    </row>
    <row r="12717" spans="31:31">
      <c r="AE12717" s="54"/>
    </row>
    <row r="12718" spans="31:31">
      <c r="AE12718" s="54"/>
    </row>
    <row r="12719" spans="31:31">
      <c r="AE12719" s="54"/>
    </row>
    <row r="12720" spans="31:31">
      <c r="AE12720" s="54"/>
    </row>
    <row r="12721" spans="31:31">
      <c r="AE12721" s="54"/>
    </row>
    <row r="12722" spans="31:31">
      <c r="AE12722" s="54"/>
    </row>
    <row r="12723" spans="31:31">
      <c r="AE12723" s="54"/>
    </row>
    <row r="12724" spans="31:31">
      <c r="AE12724" s="54"/>
    </row>
    <row r="12725" spans="31:31">
      <c r="AE12725" s="54"/>
    </row>
    <row r="12726" spans="31:31">
      <c r="AE12726" s="54"/>
    </row>
    <row r="12727" spans="31:31">
      <c r="AE12727" s="54"/>
    </row>
    <row r="12728" spans="31:31">
      <c r="AE12728" s="54"/>
    </row>
    <row r="12729" spans="31:31">
      <c r="AE12729" s="54"/>
    </row>
    <row r="12730" spans="31:31">
      <c r="AE12730" s="54"/>
    </row>
    <row r="12731" spans="31:31">
      <c r="AE12731" s="54"/>
    </row>
    <row r="12732" spans="31:31">
      <c r="AE12732" s="54"/>
    </row>
    <row r="12733" spans="31:31">
      <c r="AE12733" s="54"/>
    </row>
    <row r="12734" spans="31:31">
      <c r="AE12734" s="54"/>
    </row>
    <row r="12735" spans="31:31">
      <c r="AE12735" s="54"/>
    </row>
    <row r="12736" spans="31:31">
      <c r="AE12736" s="54"/>
    </row>
    <row r="12737" spans="31:31">
      <c r="AE12737" s="54"/>
    </row>
    <row r="12738" spans="31:31">
      <c r="AE12738" s="54"/>
    </row>
    <row r="12739" spans="31:31">
      <c r="AE12739" s="54"/>
    </row>
    <row r="12740" spans="31:31">
      <c r="AE12740" s="54"/>
    </row>
    <row r="12741" spans="31:31">
      <c r="AE12741" s="54"/>
    </row>
    <row r="12742" spans="31:31">
      <c r="AE12742" s="54"/>
    </row>
    <row r="12743" spans="31:31">
      <c r="AE12743" s="54"/>
    </row>
    <row r="12744" spans="31:31">
      <c r="AE12744" s="54"/>
    </row>
    <row r="12745" spans="31:31">
      <c r="AE12745" s="54"/>
    </row>
    <row r="12746" spans="31:31">
      <c r="AE12746" s="54"/>
    </row>
    <row r="12747" spans="31:31">
      <c r="AE12747" s="54"/>
    </row>
    <row r="12748" spans="31:31">
      <c r="AE12748" s="54"/>
    </row>
    <row r="12749" spans="31:31">
      <c r="AE12749" s="54"/>
    </row>
    <row r="12750" spans="31:31">
      <c r="AE12750" s="54"/>
    </row>
    <row r="12751" spans="31:31">
      <c r="AE12751" s="54"/>
    </row>
    <row r="12752" spans="31:31">
      <c r="AE12752" s="54"/>
    </row>
    <row r="12753" spans="31:31">
      <c r="AE12753" s="54"/>
    </row>
    <row r="12754" spans="31:31">
      <c r="AE12754" s="54"/>
    </row>
    <row r="12755" spans="31:31">
      <c r="AE12755" s="54"/>
    </row>
    <row r="12756" spans="31:31">
      <c r="AE12756" s="54"/>
    </row>
    <row r="12757" spans="31:31">
      <c r="AE12757" s="54"/>
    </row>
    <row r="12758" spans="31:31">
      <c r="AE12758" s="54"/>
    </row>
    <row r="12759" spans="31:31">
      <c r="AE12759" s="54"/>
    </row>
    <row r="12760" spans="31:31">
      <c r="AE12760" s="54"/>
    </row>
    <row r="12761" spans="31:31">
      <c r="AE12761" s="54"/>
    </row>
    <row r="12762" spans="31:31">
      <c r="AE12762" s="54"/>
    </row>
    <row r="12763" spans="31:31">
      <c r="AE12763" s="54"/>
    </row>
    <row r="12764" spans="31:31">
      <c r="AE12764" s="54"/>
    </row>
    <row r="12765" spans="31:31">
      <c r="AE12765" s="54"/>
    </row>
    <row r="12766" spans="31:31">
      <c r="AE12766" s="54"/>
    </row>
    <row r="12767" spans="31:31">
      <c r="AE12767" s="54"/>
    </row>
    <row r="12768" spans="31:31">
      <c r="AE12768" s="54"/>
    </row>
    <row r="12769" spans="31:31">
      <c r="AE12769" s="54"/>
    </row>
    <row r="12770" spans="31:31">
      <c r="AE12770" s="54"/>
    </row>
    <row r="12771" spans="31:31">
      <c r="AE12771" s="54"/>
    </row>
    <row r="12772" spans="31:31">
      <c r="AE12772" s="54"/>
    </row>
    <row r="12773" spans="31:31">
      <c r="AE12773" s="54"/>
    </row>
    <row r="12774" spans="31:31">
      <c r="AE12774" s="54"/>
    </row>
    <row r="12775" spans="31:31">
      <c r="AE12775" s="54"/>
    </row>
    <row r="12776" spans="31:31">
      <c r="AE12776" s="54"/>
    </row>
    <row r="12777" spans="31:31">
      <c r="AE12777" s="54"/>
    </row>
    <row r="12778" spans="31:31">
      <c r="AE12778" s="54"/>
    </row>
    <row r="12779" spans="31:31">
      <c r="AE12779" s="54"/>
    </row>
    <row r="12780" spans="31:31">
      <c r="AE12780" s="54"/>
    </row>
    <row r="12781" spans="31:31">
      <c r="AE12781" s="54"/>
    </row>
    <row r="12782" spans="31:31">
      <c r="AE12782" s="54"/>
    </row>
    <row r="12783" spans="31:31">
      <c r="AE12783" s="54"/>
    </row>
    <row r="12784" spans="31:31">
      <c r="AE12784" s="54"/>
    </row>
    <row r="12785" spans="31:31">
      <c r="AE12785" s="54"/>
    </row>
    <row r="12786" spans="31:31">
      <c r="AE12786" s="54"/>
    </row>
    <row r="12787" spans="31:31">
      <c r="AE12787" s="54"/>
    </row>
    <row r="12788" spans="31:31">
      <c r="AE12788" s="54"/>
    </row>
    <row r="12789" spans="31:31">
      <c r="AE12789" s="54"/>
    </row>
    <row r="12790" spans="31:31">
      <c r="AE12790" s="54"/>
    </row>
    <row r="12791" spans="31:31">
      <c r="AE12791" s="54"/>
    </row>
    <row r="12792" spans="31:31">
      <c r="AE12792" s="54"/>
    </row>
    <row r="12793" spans="31:31">
      <c r="AE12793" s="54"/>
    </row>
    <row r="12794" spans="31:31">
      <c r="AE12794" s="54"/>
    </row>
    <row r="12795" spans="31:31">
      <c r="AE12795" s="54"/>
    </row>
    <row r="12796" spans="31:31">
      <c r="AE12796" s="54"/>
    </row>
    <row r="12797" spans="31:31">
      <c r="AE12797" s="54"/>
    </row>
    <row r="12798" spans="31:31">
      <c r="AE12798" s="54"/>
    </row>
    <row r="12799" spans="31:31">
      <c r="AE12799" s="54"/>
    </row>
    <row r="12800" spans="31:31">
      <c r="AE12800" s="54"/>
    </row>
    <row r="12801" spans="31:31">
      <c r="AE12801" s="54"/>
    </row>
    <row r="12802" spans="31:31">
      <c r="AE12802" s="54"/>
    </row>
    <row r="12803" spans="31:31">
      <c r="AE12803" s="54"/>
    </row>
    <row r="12804" spans="31:31">
      <c r="AE12804" s="54"/>
    </row>
    <row r="12805" spans="31:31">
      <c r="AE12805" s="54"/>
    </row>
    <row r="12806" spans="31:31">
      <c r="AE12806" s="54"/>
    </row>
    <row r="12807" spans="31:31">
      <c r="AE12807" s="54"/>
    </row>
    <row r="12808" spans="31:31">
      <c r="AE12808" s="54"/>
    </row>
    <row r="12809" spans="31:31">
      <c r="AE12809" s="54"/>
    </row>
    <row r="12810" spans="31:31">
      <c r="AE12810" s="54"/>
    </row>
    <row r="12811" spans="31:31">
      <c r="AE12811" s="54"/>
    </row>
    <row r="12812" spans="31:31">
      <c r="AE12812" s="54"/>
    </row>
    <row r="12813" spans="31:31">
      <c r="AE12813" s="54"/>
    </row>
    <row r="12814" spans="31:31">
      <c r="AE12814" s="54"/>
    </row>
    <row r="12815" spans="31:31">
      <c r="AE12815" s="54"/>
    </row>
    <row r="12816" spans="31:31">
      <c r="AE12816" s="54"/>
    </row>
    <row r="12817" spans="31:31">
      <c r="AE12817" s="54"/>
    </row>
    <row r="12818" spans="31:31">
      <c r="AE12818" s="54"/>
    </row>
    <row r="12819" spans="31:31">
      <c r="AE12819" s="54"/>
    </row>
    <row r="12820" spans="31:31">
      <c r="AE12820" s="54"/>
    </row>
    <row r="12821" spans="31:31">
      <c r="AE12821" s="54"/>
    </row>
    <row r="12822" spans="31:31">
      <c r="AE12822" s="54"/>
    </row>
    <row r="12823" spans="31:31">
      <c r="AE12823" s="54"/>
    </row>
    <row r="12824" spans="31:31">
      <c r="AE12824" s="54"/>
    </row>
    <row r="12825" spans="31:31">
      <c r="AE12825" s="54"/>
    </row>
    <row r="12826" spans="31:31">
      <c r="AE12826" s="54"/>
    </row>
    <row r="12827" spans="31:31">
      <c r="AE12827" s="54"/>
    </row>
    <row r="12828" spans="31:31">
      <c r="AE12828" s="54"/>
    </row>
    <row r="12829" spans="31:31">
      <c r="AE12829" s="54"/>
    </row>
    <row r="12830" spans="31:31">
      <c r="AE12830" s="54"/>
    </row>
    <row r="12831" spans="31:31">
      <c r="AE12831" s="54"/>
    </row>
    <row r="12832" spans="31:31">
      <c r="AE12832" s="54"/>
    </row>
    <row r="12833" spans="31:31">
      <c r="AE12833" s="54"/>
    </row>
    <row r="12834" spans="31:31">
      <c r="AE12834" s="54"/>
    </row>
    <row r="12835" spans="31:31">
      <c r="AE12835" s="54"/>
    </row>
    <row r="12836" spans="31:31">
      <c r="AE12836" s="54"/>
    </row>
    <row r="12837" spans="31:31">
      <c r="AE12837" s="54"/>
    </row>
    <row r="12838" spans="31:31">
      <c r="AE12838" s="54"/>
    </row>
    <row r="12839" spans="31:31">
      <c r="AE12839" s="54"/>
    </row>
    <row r="12840" spans="31:31">
      <c r="AE12840" s="54"/>
    </row>
    <row r="12841" spans="31:31">
      <c r="AE12841" s="54"/>
    </row>
    <row r="12842" spans="31:31">
      <c r="AE12842" s="54"/>
    </row>
    <row r="12843" spans="31:31">
      <c r="AE12843" s="54"/>
    </row>
    <row r="12844" spans="31:31">
      <c r="AE12844" s="54"/>
    </row>
    <row r="12845" spans="31:31">
      <c r="AE12845" s="54"/>
    </row>
    <row r="12846" spans="31:31">
      <c r="AE12846" s="54"/>
    </row>
    <row r="12847" spans="31:31">
      <c r="AE12847" s="54"/>
    </row>
    <row r="12848" spans="31:31">
      <c r="AE12848" s="54"/>
    </row>
    <row r="12849" spans="31:31">
      <c r="AE12849" s="54"/>
    </row>
    <row r="12850" spans="31:31">
      <c r="AE12850" s="54"/>
    </row>
    <row r="12851" spans="31:31">
      <c r="AE12851" s="54"/>
    </row>
    <row r="12852" spans="31:31">
      <c r="AE12852" s="54"/>
    </row>
    <row r="12853" spans="31:31">
      <c r="AE12853" s="54"/>
    </row>
    <row r="12854" spans="31:31">
      <c r="AE12854" s="54"/>
    </row>
    <row r="12855" spans="31:31">
      <c r="AE12855" s="54"/>
    </row>
    <row r="12856" spans="31:31">
      <c r="AE12856" s="54"/>
    </row>
    <row r="12857" spans="31:31">
      <c r="AE12857" s="54"/>
    </row>
    <row r="12858" spans="31:31">
      <c r="AE12858" s="54"/>
    </row>
    <row r="12859" spans="31:31">
      <c r="AE12859" s="54"/>
    </row>
    <row r="12860" spans="31:31">
      <c r="AE12860" s="54"/>
    </row>
    <row r="12861" spans="31:31">
      <c r="AE12861" s="54"/>
    </row>
    <row r="12862" spans="31:31">
      <c r="AE12862" s="54"/>
    </row>
    <row r="12863" spans="31:31">
      <c r="AE12863" s="54"/>
    </row>
    <row r="12864" spans="31:31">
      <c r="AE12864" s="54"/>
    </row>
    <row r="12865" spans="31:31">
      <c r="AE12865" s="54"/>
    </row>
    <row r="12866" spans="31:31">
      <c r="AE12866" s="54"/>
    </row>
    <row r="12867" spans="31:31">
      <c r="AE12867" s="54"/>
    </row>
    <row r="12868" spans="31:31">
      <c r="AE12868" s="54"/>
    </row>
    <row r="12869" spans="31:31">
      <c r="AE12869" s="54"/>
    </row>
    <row r="12870" spans="31:31">
      <c r="AE12870" s="54"/>
    </row>
    <row r="12871" spans="31:31">
      <c r="AE12871" s="54"/>
    </row>
    <row r="12872" spans="31:31">
      <c r="AE12872" s="54"/>
    </row>
    <row r="12873" spans="31:31">
      <c r="AE12873" s="54"/>
    </row>
    <row r="12874" spans="31:31">
      <c r="AE12874" s="54"/>
    </row>
    <row r="12875" spans="31:31">
      <c r="AE12875" s="54"/>
    </row>
    <row r="12876" spans="31:31">
      <c r="AE12876" s="54"/>
    </row>
    <row r="12877" spans="31:31">
      <c r="AE12877" s="54"/>
    </row>
    <row r="12878" spans="31:31">
      <c r="AE12878" s="54"/>
    </row>
    <row r="12879" spans="31:31">
      <c r="AE12879" s="54"/>
    </row>
    <row r="12880" spans="31:31">
      <c r="AE12880" s="54"/>
    </row>
    <row r="12881" spans="31:31">
      <c r="AE12881" s="54"/>
    </row>
    <row r="12882" spans="31:31">
      <c r="AE12882" s="54"/>
    </row>
    <row r="12883" spans="31:31">
      <c r="AE12883" s="54"/>
    </row>
    <row r="12884" spans="31:31">
      <c r="AE12884" s="54"/>
    </row>
    <row r="12885" spans="31:31">
      <c r="AE12885" s="54"/>
    </row>
    <row r="12886" spans="31:31">
      <c r="AE12886" s="54"/>
    </row>
    <row r="12887" spans="31:31">
      <c r="AE12887" s="54"/>
    </row>
    <row r="12888" spans="31:31">
      <c r="AE12888" s="54"/>
    </row>
    <row r="12889" spans="31:31">
      <c r="AE12889" s="54"/>
    </row>
    <row r="12890" spans="31:31">
      <c r="AE12890" s="54"/>
    </row>
    <row r="12891" spans="31:31">
      <c r="AE12891" s="54"/>
    </row>
    <row r="12892" spans="31:31">
      <c r="AE12892" s="54"/>
    </row>
    <row r="12893" spans="31:31">
      <c r="AE12893" s="54"/>
    </row>
    <row r="12894" spans="31:31">
      <c r="AE12894" s="54"/>
    </row>
    <row r="12895" spans="31:31">
      <c r="AE12895" s="54"/>
    </row>
    <row r="12896" spans="31:31">
      <c r="AE12896" s="54"/>
    </row>
    <row r="12897" spans="31:31">
      <c r="AE12897" s="54"/>
    </row>
    <row r="12898" spans="31:31">
      <c r="AE12898" s="54"/>
    </row>
    <row r="12899" spans="31:31">
      <c r="AE12899" s="54"/>
    </row>
    <row r="12900" spans="31:31">
      <c r="AE12900" s="54"/>
    </row>
    <row r="12901" spans="31:31">
      <c r="AE12901" s="54"/>
    </row>
    <row r="12902" spans="31:31">
      <c r="AE12902" s="54"/>
    </row>
    <row r="12903" spans="31:31">
      <c r="AE12903" s="54"/>
    </row>
    <row r="12904" spans="31:31">
      <c r="AE12904" s="54"/>
    </row>
    <row r="12905" spans="31:31">
      <c r="AE12905" s="54"/>
    </row>
    <row r="12906" spans="31:31">
      <c r="AE12906" s="54"/>
    </row>
    <row r="12907" spans="31:31">
      <c r="AE12907" s="54"/>
    </row>
    <row r="12908" spans="31:31">
      <c r="AE12908" s="54"/>
    </row>
    <row r="12909" spans="31:31">
      <c r="AE12909" s="54"/>
    </row>
    <row r="12910" spans="31:31">
      <c r="AE12910" s="54"/>
    </row>
    <row r="12911" spans="31:31">
      <c r="AE12911" s="54"/>
    </row>
    <row r="12912" spans="31:31">
      <c r="AE12912" s="54"/>
    </row>
    <row r="12913" spans="31:31">
      <c r="AE12913" s="54"/>
    </row>
    <row r="12914" spans="31:31">
      <c r="AE12914" s="54"/>
    </row>
    <row r="12915" spans="31:31">
      <c r="AE12915" s="54"/>
    </row>
    <row r="12916" spans="31:31">
      <c r="AE12916" s="54"/>
    </row>
    <row r="12917" spans="31:31">
      <c r="AE12917" s="54"/>
    </row>
    <row r="12918" spans="31:31">
      <c r="AE12918" s="54"/>
    </row>
    <row r="12919" spans="31:31">
      <c r="AE12919" s="54"/>
    </row>
    <row r="12920" spans="31:31">
      <c r="AE12920" s="54"/>
    </row>
    <row r="12921" spans="31:31">
      <c r="AE12921" s="54"/>
    </row>
    <row r="12922" spans="31:31">
      <c r="AE12922" s="54"/>
    </row>
    <row r="12923" spans="31:31">
      <c r="AE12923" s="54"/>
    </row>
    <row r="12924" spans="31:31">
      <c r="AE12924" s="54"/>
    </row>
    <row r="12925" spans="31:31">
      <c r="AE12925" s="54"/>
    </row>
    <row r="12926" spans="31:31">
      <c r="AE12926" s="54"/>
    </row>
    <row r="12927" spans="31:31">
      <c r="AE12927" s="54"/>
    </row>
    <row r="12928" spans="31:31">
      <c r="AE12928" s="54"/>
    </row>
    <row r="12929" spans="31:31">
      <c r="AE12929" s="54"/>
    </row>
    <row r="12930" spans="31:31">
      <c r="AE12930" s="54"/>
    </row>
    <row r="12931" spans="31:31">
      <c r="AE12931" s="54"/>
    </row>
    <row r="12932" spans="31:31">
      <c r="AE12932" s="54"/>
    </row>
    <row r="12933" spans="31:31">
      <c r="AE12933" s="54"/>
    </row>
    <row r="12934" spans="31:31">
      <c r="AE12934" s="54"/>
    </row>
    <row r="12935" spans="31:31">
      <c r="AE12935" s="54"/>
    </row>
    <row r="12936" spans="31:31">
      <c r="AE12936" s="54"/>
    </row>
    <row r="12937" spans="31:31">
      <c r="AE12937" s="54"/>
    </row>
    <row r="12938" spans="31:31">
      <c r="AE12938" s="54"/>
    </row>
    <row r="12939" spans="31:31">
      <c r="AE12939" s="54"/>
    </row>
    <row r="12940" spans="31:31">
      <c r="AE12940" s="54"/>
    </row>
    <row r="12941" spans="31:31">
      <c r="AE12941" s="54"/>
    </row>
    <row r="12942" spans="31:31">
      <c r="AE12942" s="54"/>
    </row>
    <row r="12943" spans="31:31">
      <c r="AE12943" s="54"/>
    </row>
    <row r="12944" spans="31:31">
      <c r="AE12944" s="54"/>
    </row>
    <row r="12945" spans="31:31">
      <c r="AE12945" s="54"/>
    </row>
    <row r="12946" spans="31:31">
      <c r="AE12946" s="54"/>
    </row>
    <row r="12947" spans="31:31">
      <c r="AE12947" s="54"/>
    </row>
    <row r="12948" spans="31:31">
      <c r="AE12948" s="54"/>
    </row>
    <row r="12949" spans="31:31">
      <c r="AE12949" s="54"/>
    </row>
    <row r="12950" spans="31:31">
      <c r="AE12950" s="54"/>
    </row>
    <row r="12951" spans="31:31">
      <c r="AE12951" s="54"/>
    </row>
    <row r="12952" spans="31:31">
      <c r="AE12952" s="54"/>
    </row>
    <row r="12953" spans="31:31">
      <c r="AE12953" s="54"/>
    </row>
    <row r="12954" spans="31:31">
      <c r="AE12954" s="54"/>
    </row>
    <row r="12955" spans="31:31">
      <c r="AE12955" s="54"/>
    </row>
    <row r="12956" spans="31:31">
      <c r="AE12956" s="54"/>
    </row>
    <row r="12957" spans="31:31">
      <c r="AE12957" s="54"/>
    </row>
    <row r="12958" spans="31:31">
      <c r="AE12958" s="54"/>
    </row>
    <row r="12959" spans="31:31">
      <c r="AE12959" s="54"/>
    </row>
    <row r="12960" spans="31:31">
      <c r="AE12960" s="54"/>
    </row>
    <row r="12961" spans="31:31">
      <c r="AE12961" s="54"/>
    </row>
    <row r="12962" spans="31:31">
      <c r="AE12962" s="54"/>
    </row>
    <row r="12963" spans="31:31">
      <c r="AE12963" s="54"/>
    </row>
    <row r="12964" spans="31:31">
      <c r="AE12964" s="54"/>
    </row>
    <row r="12965" spans="31:31">
      <c r="AE12965" s="54"/>
    </row>
    <row r="12966" spans="31:31">
      <c r="AE12966" s="54"/>
    </row>
    <row r="12967" spans="31:31">
      <c r="AE12967" s="54"/>
    </row>
    <row r="12968" spans="31:31">
      <c r="AE12968" s="54"/>
    </row>
    <row r="12969" spans="31:31">
      <c r="AE12969" s="54"/>
    </row>
    <row r="12970" spans="31:31">
      <c r="AE12970" s="54"/>
    </row>
    <row r="12971" spans="31:31">
      <c r="AE12971" s="54"/>
    </row>
    <row r="12972" spans="31:31">
      <c r="AE12972" s="54"/>
    </row>
    <row r="12973" spans="31:31">
      <c r="AE12973" s="54"/>
    </row>
    <row r="12974" spans="31:31">
      <c r="AE12974" s="54"/>
    </row>
    <row r="12975" spans="31:31">
      <c r="AE12975" s="54"/>
    </row>
    <row r="12976" spans="31:31">
      <c r="AE12976" s="54"/>
    </row>
    <row r="12977" spans="31:31">
      <c r="AE12977" s="54"/>
    </row>
    <row r="12978" spans="31:31">
      <c r="AE12978" s="54"/>
    </row>
    <row r="12979" spans="31:31">
      <c r="AE12979" s="54"/>
    </row>
    <row r="12980" spans="31:31">
      <c r="AE12980" s="54"/>
    </row>
    <row r="12981" spans="31:31">
      <c r="AE12981" s="54"/>
    </row>
    <row r="12982" spans="31:31">
      <c r="AE12982" s="54"/>
    </row>
    <row r="12983" spans="31:31">
      <c r="AE12983" s="54"/>
    </row>
    <row r="12984" spans="31:31">
      <c r="AE12984" s="54"/>
    </row>
    <row r="12985" spans="31:31">
      <c r="AE12985" s="54"/>
    </row>
    <row r="12986" spans="31:31">
      <c r="AE12986" s="54"/>
    </row>
    <row r="12987" spans="31:31">
      <c r="AE12987" s="54"/>
    </row>
    <row r="12988" spans="31:31">
      <c r="AE12988" s="54"/>
    </row>
    <row r="12989" spans="31:31">
      <c r="AE12989" s="54"/>
    </row>
    <row r="12990" spans="31:31">
      <c r="AE12990" s="54"/>
    </row>
    <row r="12991" spans="31:31">
      <c r="AE12991" s="54"/>
    </row>
    <row r="12992" spans="31:31">
      <c r="AE12992" s="54"/>
    </row>
    <row r="12993" spans="31:31">
      <c r="AE12993" s="54"/>
    </row>
    <row r="12994" spans="31:31">
      <c r="AE12994" s="54"/>
    </row>
    <row r="12995" spans="31:31">
      <c r="AE12995" s="54"/>
    </row>
    <row r="12996" spans="31:31">
      <c r="AE12996" s="54"/>
    </row>
    <row r="12997" spans="31:31">
      <c r="AE12997" s="54"/>
    </row>
    <row r="12998" spans="31:31">
      <c r="AE12998" s="54"/>
    </row>
    <row r="12999" spans="31:31">
      <c r="AE12999" s="54"/>
    </row>
    <row r="13000" spans="31:31">
      <c r="AE13000" s="54"/>
    </row>
    <row r="13001" spans="31:31">
      <c r="AE13001" s="54"/>
    </row>
    <row r="13002" spans="31:31">
      <c r="AE13002" s="54"/>
    </row>
    <row r="13003" spans="31:31">
      <c r="AE13003" s="54"/>
    </row>
    <row r="13004" spans="31:31">
      <c r="AE13004" s="54"/>
    </row>
    <row r="13005" spans="31:31">
      <c r="AE13005" s="54"/>
    </row>
    <row r="13006" spans="31:31">
      <c r="AE13006" s="54"/>
    </row>
    <row r="13007" spans="31:31">
      <c r="AE13007" s="54"/>
    </row>
    <row r="13008" spans="31:31">
      <c r="AE13008" s="54"/>
    </row>
    <row r="13009" spans="31:31">
      <c r="AE13009" s="54"/>
    </row>
    <row r="13010" spans="31:31">
      <c r="AE13010" s="54"/>
    </row>
    <row r="13011" spans="31:31">
      <c r="AE13011" s="54"/>
    </row>
    <row r="13012" spans="31:31">
      <c r="AE13012" s="54"/>
    </row>
    <row r="13013" spans="31:31">
      <c r="AE13013" s="54"/>
    </row>
    <row r="13014" spans="31:31">
      <c r="AE13014" s="54"/>
    </row>
    <row r="13015" spans="31:31">
      <c r="AE13015" s="54"/>
    </row>
    <row r="13016" spans="31:31">
      <c r="AE13016" s="54"/>
    </row>
    <row r="13017" spans="31:31">
      <c r="AE13017" s="54"/>
    </row>
    <row r="13018" spans="31:31">
      <c r="AE13018" s="54"/>
    </row>
    <row r="13019" spans="31:31">
      <c r="AE13019" s="54"/>
    </row>
    <row r="13020" spans="31:31">
      <c r="AE13020" s="54"/>
    </row>
    <row r="13021" spans="31:31">
      <c r="AE13021" s="54"/>
    </row>
    <row r="13022" spans="31:31">
      <c r="AE13022" s="54"/>
    </row>
    <row r="13023" spans="31:31">
      <c r="AE13023" s="54"/>
    </row>
    <row r="13024" spans="31:31">
      <c r="AE13024" s="54"/>
    </row>
    <row r="13025" spans="31:31">
      <c r="AE13025" s="54"/>
    </row>
    <row r="13026" spans="31:31">
      <c r="AE13026" s="54"/>
    </row>
    <row r="13027" spans="31:31">
      <c r="AE13027" s="54"/>
    </row>
    <row r="13028" spans="31:31">
      <c r="AE13028" s="54"/>
    </row>
    <row r="13029" spans="31:31">
      <c r="AE13029" s="54"/>
    </row>
    <row r="13030" spans="31:31">
      <c r="AE13030" s="54"/>
    </row>
    <row r="13031" spans="31:31">
      <c r="AE13031" s="54"/>
    </row>
    <row r="13032" spans="31:31">
      <c r="AE13032" s="54"/>
    </row>
    <row r="13033" spans="31:31">
      <c r="AE13033" s="54"/>
    </row>
    <row r="13034" spans="31:31">
      <c r="AE13034" s="54"/>
    </row>
    <row r="13035" spans="31:31">
      <c r="AE13035" s="54"/>
    </row>
    <row r="13036" spans="31:31">
      <c r="AE13036" s="54"/>
    </row>
    <row r="13037" spans="31:31">
      <c r="AE13037" s="54"/>
    </row>
    <row r="13038" spans="31:31">
      <c r="AE13038" s="54"/>
    </row>
    <row r="13039" spans="31:31">
      <c r="AE13039" s="54"/>
    </row>
    <row r="13040" spans="31:31">
      <c r="AE13040" s="54"/>
    </row>
    <row r="13041" spans="31:31">
      <c r="AE13041" s="54"/>
    </row>
    <row r="13042" spans="31:31">
      <c r="AE13042" s="54"/>
    </row>
    <row r="13043" spans="31:31">
      <c r="AE13043" s="54"/>
    </row>
    <row r="13044" spans="31:31">
      <c r="AE13044" s="54"/>
    </row>
    <row r="13045" spans="31:31">
      <c r="AE13045" s="54"/>
    </row>
    <row r="13046" spans="31:31">
      <c r="AE13046" s="54"/>
    </row>
    <row r="13047" spans="31:31">
      <c r="AE13047" s="54"/>
    </row>
    <row r="13048" spans="31:31">
      <c r="AE13048" s="54"/>
    </row>
    <row r="13049" spans="31:31">
      <c r="AE13049" s="54"/>
    </row>
    <row r="13050" spans="31:31">
      <c r="AE13050" s="54"/>
    </row>
    <row r="13051" spans="31:31">
      <c r="AE13051" s="54"/>
    </row>
    <row r="13052" spans="31:31">
      <c r="AE13052" s="54"/>
    </row>
    <row r="13053" spans="31:31">
      <c r="AE13053" s="54"/>
    </row>
    <row r="13054" spans="31:31">
      <c r="AE13054" s="54"/>
    </row>
    <row r="13055" spans="31:31">
      <c r="AE13055" s="54"/>
    </row>
    <row r="13056" spans="31:31">
      <c r="AE13056" s="54"/>
    </row>
    <row r="13057" spans="31:31">
      <c r="AE13057" s="54"/>
    </row>
    <row r="13058" spans="31:31">
      <c r="AE13058" s="54"/>
    </row>
    <row r="13059" spans="31:31">
      <c r="AE13059" s="54"/>
    </row>
    <row r="13060" spans="31:31">
      <c r="AE13060" s="54"/>
    </row>
    <row r="13061" spans="31:31">
      <c r="AE13061" s="54"/>
    </row>
    <row r="13062" spans="31:31">
      <c r="AE13062" s="54"/>
    </row>
    <row r="13063" spans="31:31">
      <c r="AE13063" s="54"/>
    </row>
    <row r="13064" spans="31:31">
      <c r="AE13064" s="54"/>
    </row>
    <row r="13065" spans="31:31">
      <c r="AE13065" s="54"/>
    </row>
    <row r="13066" spans="31:31">
      <c r="AE13066" s="54"/>
    </row>
    <row r="13067" spans="31:31">
      <c r="AE13067" s="54"/>
    </row>
    <row r="13068" spans="31:31">
      <c r="AE13068" s="54"/>
    </row>
    <row r="13069" spans="31:31">
      <c r="AE13069" s="54"/>
    </row>
    <row r="13070" spans="31:31">
      <c r="AE13070" s="54"/>
    </row>
    <row r="13071" spans="31:31">
      <c r="AE13071" s="54"/>
    </row>
    <row r="13072" spans="31:31">
      <c r="AE13072" s="54"/>
    </row>
    <row r="13073" spans="31:31">
      <c r="AE13073" s="54"/>
    </row>
    <row r="13074" spans="31:31">
      <c r="AE13074" s="54"/>
    </row>
    <row r="13075" spans="31:31">
      <c r="AE13075" s="54"/>
    </row>
    <row r="13076" spans="31:31">
      <c r="AE13076" s="54"/>
    </row>
    <row r="13077" spans="31:31">
      <c r="AE13077" s="54"/>
    </row>
    <row r="13078" spans="31:31">
      <c r="AE13078" s="54"/>
    </row>
    <row r="13079" spans="31:31">
      <c r="AE13079" s="54"/>
    </row>
    <row r="13080" spans="31:31">
      <c r="AE13080" s="54"/>
    </row>
    <row r="13081" spans="31:31">
      <c r="AE13081" s="54"/>
    </row>
    <row r="13082" spans="31:31">
      <c r="AE13082" s="54"/>
    </row>
    <row r="13083" spans="31:31">
      <c r="AE13083" s="54"/>
    </row>
    <row r="13084" spans="31:31">
      <c r="AE13084" s="54"/>
    </row>
    <row r="13085" spans="31:31">
      <c r="AE13085" s="54"/>
    </row>
    <row r="13086" spans="31:31">
      <c r="AE13086" s="54"/>
    </row>
    <row r="13087" spans="31:31">
      <c r="AE13087" s="54"/>
    </row>
    <row r="13088" spans="31:31">
      <c r="AE13088" s="54"/>
    </row>
    <row r="13089" spans="31:31">
      <c r="AE13089" s="54"/>
    </row>
    <row r="13090" spans="31:31">
      <c r="AE13090" s="54"/>
    </row>
    <row r="13091" spans="31:31">
      <c r="AE13091" s="54"/>
    </row>
    <row r="13092" spans="31:31">
      <c r="AE13092" s="54"/>
    </row>
    <row r="13093" spans="31:31">
      <c r="AE13093" s="54"/>
    </row>
    <row r="13094" spans="31:31">
      <c r="AE13094" s="54"/>
    </row>
    <row r="13095" spans="31:31">
      <c r="AE13095" s="54"/>
    </row>
    <row r="13096" spans="31:31">
      <c r="AE13096" s="54"/>
    </row>
    <row r="13097" spans="31:31">
      <c r="AE13097" s="54"/>
    </row>
    <row r="13098" spans="31:31">
      <c r="AE13098" s="54"/>
    </row>
    <row r="13099" spans="31:31">
      <c r="AE13099" s="54"/>
    </row>
    <row r="13100" spans="31:31">
      <c r="AE13100" s="54"/>
    </row>
    <row r="13101" spans="31:31">
      <c r="AE13101" s="54"/>
    </row>
    <row r="13102" spans="31:31">
      <c r="AE13102" s="54"/>
    </row>
    <row r="13103" spans="31:31">
      <c r="AE13103" s="54"/>
    </row>
    <row r="13104" spans="31:31">
      <c r="AE13104" s="54"/>
    </row>
    <row r="13105" spans="31:31">
      <c r="AE13105" s="54"/>
    </row>
    <row r="13106" spans="31:31">
      <c r="AE13106" s="54"/>
    </row>
    <row r="13107" spans="31:31">
      <c r="AE13107" s="54"/>
    </row>
    <row r="13108" spans="31:31">
      <c r="AE13108" s="54"/>
    </row>
    <row r="13109" spans="31:31">
      <c r="AE13109" s="54"/>
    </row>
    <row r="13110" spans="31:31">
      <c r="AE13110" s="54"/>
    </row>
    <row r="13111" spans="31:31">
      <c r="AE13111" s="54"/>
    </row>
    <row r="13112" spans="31:31">
      <c r="AE13112" s="54"/>
    </row>
    <row r="13113" spans="31:31">
      <c r="AE13113" s="54"/>
    </row>
    <row r="13114" spans="31:31">
      <c r="AE13114" s="54"/>
    </row>
    <row r="13115" spans="31:31">
      <c r="AE13115" s="54"/>
    </row>
    <row r="13116" spans="31:31">
      <c r="AE13116" s="54"/>
    </row>
    <row r="13117" spans="31:31">
      <c r="AE13117" s="54"/>
    </row>
    <row r="13118" spans="31:31">
      <c r="AE13118" s="54"/>
    </row>
    <row r="13119" spans="31:31">
      <c r="AE13119" s="54"/>
    </row>
    <row r="13120" spans="31:31">
      <c r="AE13120" s="54"/>
    </row>
    <row r="13121" spans="31:31">
      <c r="AE13121" s="54"/>
    </row>
    <row r="13122" spans="31:31">
      <c r="AE13122" s="54"/>
    </row>
    <row r="13123" spans="31:31">
      <c r="AE13123" s="54"/>
    </row>
    <row r="13124" spans="31:31">
      <c r="AE13124" s="54"/>
    </row>
    <row r="13125" spans="31:31">
      <c r="AE13125" s="54"/>
    </row>
    <row r="13126" spans="31:31">
      <c r="AE13126" s="54"/>
    </row>
    <row r="13127" spans="31:31">
      <c r="AE13127" s="54"/>
    </row>
    <row r="13128" spans="31:31">
      <c r="AE13128" s="54"/>
    </row>
    <row r="13129" spans="31:31">
      <c r="AE13129" s="54"/>
    </row>
    <row r="13130" spans="31:31">
      <c r="AE13130" s="54"/>
    </row>
    <row r="13131" spans="31:31">
      <c r="AE13131" s="54"/>
    </row>
    <row r="13132" spans="31:31">
      <c r="AE13132" s="54"/>
    </row>
    <row r="13133" spans="31:31">
      <c r="AE13133" s="54"/>
    </row>
    <row r="13134" spans="31:31">
      <c r="AE13134" s="54"/>
    </row>
    <row r="13135" spans="31:31">
      <c r="AE13135" s="54"/>
    </row>
    <row r="13136" spans="31:31">
      <c r="AE13136" s="54"/>
    </row>
    <row r="13137" spans="31:31">
      <c r="AE13137" s="54"/>
    </row>
    <row r="13138" spans="31:31">
      <c r="AE13138" s="54"/>
    </row>
    <row r="13139" spans="31:31">
      <c r="AE13139" s="54"/>
    </row>
    <row r="13140" spans="31:31">
      <c r="AE13140" s="54"/>
    </row>
    <row r="13141" spans="31:31">
      <c r="AE13141" s="54"/>
    </row>
    <row r="13142" spans="31:31">
      <c r="AE13142" s="54"/>
    </row>
    <row r="13143" spans="31:31">
      <c r="AE13143" s="54"/>
    </row>
    <row r="13144" spans="31:31">
      <c r="AE13144" s="54"/>
    </row>
    <row r="13145" spans="31:31">
      <c r="AE13145" s="54"/>
    </row>
    <row r="13146" spans="31:31">
      <c r="AE13146" s="54"/>
    </row>
    <row r="13147" spans="31:31">
      <c r="AE13147" s="54"/>
    </row>
    <row r="13148" spans="31:31">
      <c r="AE13148" s="54"/>
    </row>
    <row r="13149" spans="31:31">
      <c r="AE13149" s="54"/>
    </row>
    <row r="13150" spans="31:31">
      <c r="AE13150" s="54"/>
    </row>
    <row r="13151" spans="31:31">
      <c r="AE13151" s="54"/>
    </row>
    <row r="13152" spans="31:31">
      <c r="AE13152" s="54"/>
    </row>
    <row r="13153" spans="31:31">
      <c r="AE13153" s="54"/>
    </row>
    <row r="13154" spans="31:31">
      <c r="AE13154" s="54"/>
    </row>
    <row r="13155" spans="31:31">
      <c r="AE13155" s="54"/>
    </row>
    <row r="13156" spans="31:31">
      <c r="AE13156" s="54"/>
    </row>
    <row r="13157" spans="31:31">
      <c r="AE13157" s="54"/>
    </row>
    <row r="13158" spans="31:31">
      <c r="AE13158" s="54"/>
    </row>
    <row r="13159" spans="31:31">
      <c r="AE13159" s="54"/>
    </row>
    <row r="13160" spans="31:31">
      <c r="AE13160" s="54"/>
    </row>
    <row r="13161" spans="31:31">
      <c r="AE13161" s="54"/>
    </row>
    <row r="13162" spans="31:31">
      <c r="AE13162" s="54"/>
    </row>
    <row r="13163" spans="31:31">
      <c r="AE13163" s="54"/>
    </row>
    <row r="13164" spans="31:31">
      <c r="AE13164" s="54"/>
    </row>
    <row r="13165" spans="31:31">
      <c r="AE13165" s="54"/>
    </row>
    <row r="13166" spans="31:31">
      <c r="AE13166" s="54"/>
    </row>
    <row r="13167" spans="31:31">
      <c r="AE13167" s="54"/>
    </row>
    <row r="13168" spans="31:31">
      <c r="AE13168" s="54"/>
    </row>
    <row r="13169" spans="31:31">
      <c r="AE13169" s="54"/>
    </row>
    <row r="13170" spans="31:31">
      <c r="AE13170" s="54"/>
    </row>
    <row r="13171" spans="31:31">
      <c r="AE13171" s="54"/>
    </row>
    <row r="13172" spans="31:31">
      <c r="AE13172" s="54"/>
    </row>
    <row r="13173" spans="31:31">
      <c r="AE13173" s="54"/>
    </row>
    <row r="13174" spans="31:31">
      <c r="AE13174" s="54"/>
    </row>
    <row r="13175" spans="31:31">
      <c r="AE13175" s="54"/>
    </row>
    <row r="13176" spans="31:31">
      <c r="AE13176" s="54"/>
    </row>
    <row r="13177" spans="31:31">
      <c r="AE13177" s="54"/>
    </row>
    <row r="13178" spans="31:31">
      <c r="AE13178" s="54"/>
    </row>
    <row r="13179" spans="31:31">
      <c r="AE13179" s="54"/>
    </row>
    <row r="13180" spans="31:31">
      <c r="AE13180" s="54"/>
    </row>
    <row r="13181" spans="31:31">
      <c r="AE13181" s="54"/>
    </row>
    <row r="13182" spans="31:31">
      <c r="AE13182" s="54"/>
    </row>
    <row r="13183" spans="31:31">
      <c r="AE13183" s="54"/>
    </row>
    <row r="13184" spans="31:31">
      <c r="AE13184" s="54"/>
    </row>
    <row r="13185" spans="31:31">
      <c r="AE13185" s="54"/>
    </row>
    <row r="13186" spans="31:31">
      <c r="AE13186" s="54"/>
    </row>
    <row r="13187" spans="31:31">
      <c r="AE13187" s="54"/>
    </row>
    <row r="13188" spans="31:31">
      <c r="AE13188" s="54"/>
    </row>
    <row r="13189" spans="31:31">
      <c r="AE13189" s="54"/>
    </row>
    <row r="13190" spans="31:31">
      <c r="AE13190" s="54"/>
    </row>
    <row r="13191" spans="31:31">
      <c r="AE13191" s="54"/>
    </row>
    <row r="13192" spans="31:31">
      <c r="AE13192" s="54"/>
    </row>
    <row r="13193" spans="31:31">
      <c r="AE13193" s="54"/>
    </row>
    <row r="13194" spans="31:31">
      <c r="AE13194" s="54"/>
    </row>
    <row r="13195" spans="31:31">
      <c r="AE13195" s="54"/>
    </row>
    <row r="13196" spans="31:31">
      <c r="AE13196" s="54"/>
    </row>
    <row r="13197" spans="31:31">
      <c r="AE13197" s="54"/>
    </row>
    <row r="13198" spans="31:31">
      <c r="AE13198" s="54"/>
    </row>
    <row r="13199" spans="31:31">
      <c r="AE13199" s="54"/>
    </row>
    <row r="13200" spans="31:31">
      <c r="AE13200" s="54"/>
    </row>
    <row r="13201" spans="31:31">
      <c r="AE13201" s="54"/>
    </row>
    <row r="13202" spans="31:31">
      <c r="AE13202" s="54"/>
    </row>
    <row r="13203" spans="31:31">
      <c r="AE13203" s="54"/>
    </row>
    <row r="13204" spans="31:31">
      <c r="AE13204" s="54"/>
    </row>
    <row r="13205" spans="31:31">
      <c r="AE13205" s="54"/>
    </row>
    <row r="13206" spans="31:31">
      <c r="AE13206" s="54"/>
    </row>
    <row r="13207" spans="31:31">
      <c r="AE13207" s="54"/>
    </row>
    <row r="13208" spans="31:31">
      <c r="AE13208" s="54"/>
    </row>
    <row r="13209" spans="31:31">
      <c r="AE13209" s="54"/>
    </row>
    <row r="13210" spans="31:31">
      <c r="AE13210" s="54"/>
    </row>
    <row r="13211" spans="31:31">
      <c r="AE13211" s="54"/>
    </row>
    <row r="13212" spans="31:31">
      <c r="AE13212" s="54"/>
    </row>
    <row r="13213" spans="31:31">
      <c r="AE13213" s="54"/>
    </row>
    <row r="13214" spans="31:31">
      <c r="AE13214" s="54"/>
    </row>
    <row r="13215" spans="31:31">
      <c r="AE13215" s="54"/>
    </row>
    <row r="13216" spans="31:31">
      <c r="AE13216" s="54"/>
    </row>
    <row r="13217" spans="31:31">
      <c r="AE13217" s="54"/>
    </row>
    <row r="13218" spans="31:31">
      <c r="AE13218" s="54"/>
    </row>
    <row r="13219" spans="31:31">
      <c r="AE13219" s="54"/>
    </row>
    <row r="13220" spans="31:31">
      <c r="AE13220" s="54"/>
    </row>
    <row r="13221" spans="31:31">
      <c r="AE13221" s="54"/>
    </row>
    <row r="13222" spans="31:31">
      <c r="AE13222" s="54"/>
    </row>
    <row r="13223" spans="31:31">
      <c r="AE13223" s="54"/>
    </row>
    <row r="13224" spans="31:31">
      <c r="AE13224" s="54"/>
    </row>
    <row r="13225" spans="31:31">
      <c r="AE13225" s="54"/>
    </row>
    <row r="13226" spans="31:31">
      <c r="AE13226" s="54"/>
    </row>
    <row r="13227" spans="31:31">
      <c r="AE13227" s="54"/>
    </row>
    <row r="13228" spans="31:31">
      <c r="AE13228" s="54"/>
    </row>
    <row r="13229" spans="31:31">
      <c r="AE13229" s="54"/>
    </row>
    <row r="13230" spans="31:31">
      <c r="AE13230" s="54"/>
    </row>
    <row r="13231" spans="31:31">
      <c r="AE13231" s="54"/>
    </row>
    <row r="13232" spans="31:31">
      <c r="AE13232" s="54"/>
    </row>
    <row r="13233" spans="31:31">
      <c r="AE13233" s="54"/>
    </row>
    <row r="13234" spans="31:31">
      <c r="AE13234" s="54"/>
    </row>
    <row r="13235" spans="31:31">
      <c r="AE13235" s="54"/>
    </row>
    <row r="13236" spans="31:31">
      <c r="AE13236" s="54"/>
    </row>
    <row r="13237" spans="31:31">
      <c r="AE13237" s="54"/>
    </row>
    <row r="13238" spans="31:31">
      <c r="AE13238" s="54"/>
    </row>
    <row r="13239" spans="31:31">
      <c r="AE13239" s="54"/>
    </row>
    <row r="13240" spans="31:31">
      <c r="AE13240" s="54"/>
    </row>
    <row r="13241" spans="31:31">
      <c r="AE13241" s="54"/>
    </row>
    <row r="13242" spans="31:31">
      <c r="AE13242" s="54"/>
    </row>
    <row r="13243" spans="31:31">
      <c r="AE13243" s="54"/>
    </row>
    <row r="13244" spans="31:31">
      <c r="AE13244" s="54"/>
    </row>
    <row r="13245" spans="31:31">
      <c r="AE13245" s="54"/>
    </row>
    <row r="13246" spans="31:31">
      <c r="AE13246" s="54"/>
    </row>
    <row r="13247" spans="31:31">
      <c r="AE13247" s="54"/>
    </row>
    <row r="13248" spans="31:31">
      <c r="AE13248" s="54"/>
    </row>
    <row r="13249" spans="31:31">
      <c r="AE13249" s="54"/>
    </row>
    <row r="13250" spans="31:31">
      <c r="AE13250" s="54"/>
    </row>
    <row r="13251" spans="31:31">
      <c r="AE13251" s="54"/>
    </row>
    <row r="13252" spans="31:31">
      <c r="AE13252" s="54"/>
    </row>
    <row r="13253" spans="31:31">
      <c r="AE13253" s="54"/>
    </row>
    <row r="13254" spans="31:31">
      <c r="AE13254" s="54"/>
    </row>
    <row r="13255" spans="31:31">
      <c r="AE13255" s="54"/>
    </row>
    <row r="13256" spans="31:31">
      <c r="AE13256" s="54"/>
    </row>
    <row r="13257" spans="31:31">
      <c r="AE13257" s="54"/>
    </row>
    <row r="13258" spans="31:31">
      <c r="AE13258" s="54"/>
    </row>
    <row r="13259" spans="31:31">
      <c r="AE13259" s="54"/>
    </row>
    <row r="13260" spans="31:31">
      <c r="AE13260" s="54"/>
    </row>
    <row r="13261" spans="31:31">
      <c r="AE13261" s="54"/>
    </row>
    <row r="13262" spans="31:31">
      <c r="AE13262" s="54"/>
    </row>
    <row r="13263" spans="31:31">
      <c r="AE13263" s="54"/>
    </row>
    <row r="13264" spans="31:31">
      <c r="AE13264" s="54"/>
    </row>
    <row r="13265" spans="31:31">
      <c r="AE13265" s="54"/>
    </row>
    <row r="13266" spans="31:31">
      <c r="AE13266" s="54"/>
    </row>
    <row r="13267" spans="31:31">
      <c r="AE13267" s="54"/>
    </row>
    <row r="13268" spans="31:31">
      <c r="AE13268" s="54"/>
    </row>
    <row r="13269" spans="31:31">
      <c r="AE13269" s="54"/>
    </row>
    <row r="13270" spans="31:31">
      <c r="AE13270" s="54"/>
    </row>
    <row r="13271" spans="31:31">
      <c r="AE13271" s="54"/>
    </row>
    <row r="13272" spans="31:31">
      <c r="AE13272" s="54"/>
    </row>
    <row r="13273" spans="31:31">
      <c r="AE13273" s="54"/>
    </row>
    <row r="13274" spans="31:31">
      <c r="AE13274" s="54"/>
    </row>
    <row r="13275" spans="31:31">
      <c r="AE13275" s="54"/>
    </row>
    <row r="13276" spans="31:31">
      <c r="AE13276" s="54"/>
    </row>
    <row r="13277" spans="31:31">
      <c r="AE13277" s="54"/>
    </row>
    <row r="13278" spans="31:31">
      <c r="AE13278" s="54"/>
    </row>
    <row r="13279" spans="31:31">
      <c r="AE13279" s="54"/>
    </row>
    <row r="13280" spans="31:31">
      <c r="AE13280" s="54"/>
    </row>
    <row r="13281" spans="31:31">
      <c r="AE13281" s="54"/>
    </row>
    <row r="13282" spans="31:31">
      <c r="AE13282" s="54"/>
    </row>
    <row r="13283" spans="31:31">
      <c r="AE13283" s="54"/>
    </row>
    <row r="13284" spans="31:31">
      <c r="AE13284" s="54"/>
    </row>
    <row r="13285" spans="31:31">
      <c r="AE13285" s="54"/>
    </row>
    <row r="13286" spans="31:31">
      <c r="AE13286" s="54"/>
    </row>
    <row r="13287" spans="31:31">
      <c r="AE13287" s="54"/>
    </row>
    <row r="13288" spans="31:31">
      <c r="AE13288" s="54"/>
    </row>
    <row r="13289" spans="31:31">
      <c r="AE13289" s="54"/>
    </row>
    <row r="13290" spans="31:31">
      <c r="AE13290" s="54"/>
    </row>
    <row r="13291" spans="31:31">
      <c r="AE13291" s="54"/>
    </row>
    <row r="13292" spans="31:31">
      <c r="AE13292" s="54"/>
    </row>
    <row r="13293" spans="31:31">
      <c r="AE13293" s="54"/>
    </row>
    <row r="13294" spans="31:31">
      <c r="AE13294" s="54"/>
    </row>
    <row r="13295" spans="31:31">
      <c r="AE13295" s="54"/>
    </row>
    <row r="13296" spans="31:31">
      <c r="AE13296" s="54"/>
    </row>
    <row r="13297" spans="31:31">
      <c r="AE13297" s="54"/>
    </row>
    <row r="13298" spans="31:31">
      <c r="AE13298" s="54"/>
    </row>
    <row r="13299" spans="31:31">
      <c r="AE13299" s="54"/>
    </row>
    <row r="13300" spans="31:31">
      <c r="AE13300" s="54"/>
    </row>
    <row r="13301" spans="31:31">
      <c r="AE13301" s="54"/>
    </row>
    <row r="13302" spans="31:31">
      <c r="AE13302" s="54"/>
    </row>
    <row r="13303" spans="31:31">
      <c r="AE13303" s="54"/>
    </row>
    <row r="13304" spans="31:31">
      <c r="AE13304" s="54"/>
    </row>
    <row r="13305" spans="31:31">
      <c r="AE13305" s="54"/>
    </row>
    <row r="13306" spans="31:31">
      <c r="AE13306" s="54"/>
    </row>
    <row r="13307" spans="31:31">
      <c r="AE13307" s="54"/>
    </row>
    <row r="13308" spans="31:31">
      <c r="AE13308" s="54"/>
    </row>
    <row r="13309" spans="31:31">
      <c r="AE13309" s="54"/>
    </row>
    <row r="13310" spans="31:31">
      <c r="AE13310" s="54"/>
    </row>
    <row r="13311" spans="31:31">
      <c r="AE13311" s="54"/>
    </row>
    <row r="13312" spans="31:31">
      <c r="AE13312" s="54"/>
    </row>
    <row r="13313" spans="31:31">
      <c r="AE13313" s="54"/>
    </row>
    <row r="13314" spans="31:31">
      <c r="AE13314" s="54"/>
    </row>
    <row r="13315" spans="31:31">
      <c r="AE13315" s="54"/>
    </row>
    <row r="13316" spans="31:31">
      <c r="AE13316" s="54"/>
    </row>
    <row r="13317" spans="31:31">
      <c r="AE13317" s="54"/>
    </row>
    <row r="13318" spans="31:31">
      <c r="AE13318" s="54"/>
    </row>
    <row r="13319" spans="31:31">
      <c r="AE13319" s="54"/>
    </row>
    <row r="13320" spans="31:31">
      <c r="AE13320" s="54"/>
    </row>
    <row r="13321" spans="31:31">
      <c r="AE13321" s="54"/>
    </row>
    <row r="13322" spans="31:31">
      <c r="AE13322" s="54"/>
    </row>
    <row r="13323" spans="31:31">
      <c r="AE13323" s="54"/>
    </row>
    <row r="13324" spans="31:31">
      <c r="AE13324" s="54"/>
    </row>
    <row r="13325" spans="31:31">
      <c r="AE13325" s="54"/>
    </row>
    <row r="13326" spans="31:31">
      <c r="AE13326" s="54"/>
    </row>
    <row r="13327" spans="31:31">
      <c r="AE13327" s="54"/>
    </row>
    <row r="13328" spans="31:31">
      <c r="AE13328" s="54"/>
    </row>
    <row r="13329" spans="31:31">
      <c r="AE13329" s="54"/>
    </row>
    <row r="13330" spans="31:31">
      <c r="AE13330" s="54"/>
    </row>
    <row r="13331" spans="31:31">
      <c r="AE13331" s="54"/>
    </row>
    <row r="13332" spans="31:31">
      <c r="AE13332" s="54"/>
    </row>
    <row r="13333" spans="31:31">
      <c r="AE13333" s="54"/>
    </row>
    <row r="13334" spans="31:31">
      <c r="AE13334" s="54"/>
    </row>
    <row r="13335" spans="31:31">
      <c r="AE13335" s="54"/>
    </row>
    <row r="13336" spans="31:31">
      <c r="AE13336" s="54"/>
    </row>
    <row r="13337" spans="31:31">
      <c r="AE13337" s="54"/>
    </row>
    <row r="13338" spans="31:31">
      <c r="AE13338" s="54"/>
    </row>
    <row r="13339" spans="31:31">
      <c r="AE13339" s="54"/>
    </row>
    <row r="13340" spans="31:31">
      <c r="AE13340" s="54"/>
    </row>
    <row r="13341" spans="31:31">
      <c r="AE13341" s="54"/>
    </row>
    <row r="13342" spans="31:31">
      <c r="AE13342" s="54"/>
    </row>
    <row r="13343" spans="31:31">
      <c r="AE13343" s="54"/>
    </row>
    <row r="13344" spans="31:31">
      <c r="AE13344" s="54"/>
    </row>
    <row r="13345" spans="31:31">
      <c r="AE13345" s="54"/>
    </row>
    <row r="13346" spans="31:31">
      <c r="AE13346" s="54"/>
    </row>
    <row r="13347" spans="31:31">
      <c r="AE13347" s="54"/>
    </row>
    <row r="13348" spans="31:31">
      <c r="AE13348" s="54"/>
    </row>
    <row r="13349" spans="31:31">
      <c r="AE13349" s="54"/>
    </row>
    <row r="13350" spans="31:31">
      <c r="AE13350" s="54"/>
    </row>
    <row r="13351" spans="31:31">
      <c r="AE13351" s="54"/>
    </row>
    <row r="13352" spans="31:31">
      <c r="AE13352" s="54"/>
    </row>
    <row r="13353" spans="31:31">
      <c r="AE13353" s="54"/>
    </row>
    <row r="13354" spans="31:31">
      <c r="AE13354" s="54"/>
    </row>
    <row r="13355" spans="31:31">
      <c r="AE13355" s="54"/>
    </row>
    <row r="13356" spans="31:31">
      <c r="AE13356" s="54"/>
    </row>
    <row r="13357" spans="31:31">
      <c r="AE13357" s="54"/>
    </row>
    <row r="13358" spans="31:31">
      <c r="AE13358" s="54"/>
    </row>
    <row r="13359" spans="31:31">
      <c r="AE13359" s="54"/>
    </row>
    <row r="13360" spans="31:31">
      <c r="AE13360" s="54"/>
    </row>
    <row r="13361" spans="31:31">
      <c r="AE13361" s="54"/>
    </row>
    <row r="13362" spans="31:31">
      <c r="AE13362" s="54"/>
    </row>
    <row r="13363" spans="31:31">
      <c r="AE13363" s="54"/>
    </row>
    <row r="13364" spans="31:31">
      <c r="AE13364" s="54"/>
    </row>
    <row r="13365" spans="31:31">
      <c r="AE13365" s="54"/>
    </row>
    <row r="13366" spans="31:31">
      <c r="AE13366" s="54"/>
    </row>
    <row r="13367" spans="31:31">
      <c r="AE13367" s="54"/>
    </row>
    <row r="13368" spans="31:31">
      <c r="AE13368" s="54"/>
    </row>
    <row r="13369" spans="31:31">
      <c r="AE13369" s="54"/>
    </row>
    <row r="13370" spans="31:31">
      <c r="AE13370" s="54"/>
    </row>
    <row r="13371" spans="31:31">
      <c r="AE13371" s="54"/>
    </row>
    <row r="13372" spans="31:31">
      <c r="AE13372" s="54"/>
    </row>
    <row r="13373" spans="31:31">
      <c r="AE13373" s="54"/>
    </row>
    <row r="13374" spans="31:31">
      <c r="AE13374" s="54"/>
    </row>
    <row r="13375" spans="31:31">
      <c r="AE13375" s="54"/>
    </row>
    <row r="13376" spans="31:31">
      <c r="AE13376" s="54"/>
    </row>
    <row r="13377" spans="31:31">
      <c r="AE13377" s="54"/>
    </row>
    <row r="13378" spans="31:31">
      <c r="AE13378" s="54"/>
    </row>
    <row r="13379" spans="31:31">
      <c r="AE13379" s="54"/>
    </row>
    <row r="13380" spans="31:31">
      <c r="AE13380" s="54"/>
    </row>
    <row r="13381" spans="31:31">
      <c r="AE13381" s="54"/>
    </row>
    <row r="13382" spans="31:31">
      <c r="AE13382" s="54"/>
    </row>
    <row r="13383" spans="31:31">
      <c r="AE13383" s="54"/>
    </row>
    <row r="13384" spans="31:31">
      <c r="AE13384" s="54"/>
    </row>
    <row r="13385" spans="31:31">
      <c r="AE13385" s="54"/>
    </row>
    <row r="13386" spans="31:31">
      <c r="AE13386" s="54"/>
    </row>
    <row r="13387" spans="31:31">
      <c r="AE13387" s="54"/>
    </row>
    <row r="13388" spans="31:31">
      <c r="AE13388" s="54"/>
    </row>
    <row r="13389" spans="31:31">
      <c r="AE13389" s="54"/>
    </row>
    <row r="13390" spans="31:31">
      <c r="AE13390" s="54"/>
    </row>
    <row r="13391" spans="31:31">
      <c r="AE13391" s="54"/>
    </row>
    <row r="13392" spans="31:31">
      <c r="AE13392" s="54"/>
    </row>
    <row r="13393" spans="31:31">
      <c r="AE13393" s="54"/>
    </row>
    <row r="13394" spans="31:31">
      <c r="AE13394" s="54"/>
    </row>
    <row r="13395" spans="31:31">
      <c r="AE13395" s="54"/>
    </row>
    <row r="13396" spans="31:31">
      <c r="AE13396" s="54"/>
    </row>
    <row r="13397" spans="31:31">
      <c r="AE13397" s="54"/>
    </row>
    <row r="13398" spans="31:31">
      <c r="AE13398" s="54"/>
    </row>
    <row r="13399" spans="31:31">
      <c r="AE13399" s="54"/>
    </row>
    <row r="13400" spans="31:31">
      <c r="AE13400" s="54"/>
    </row>
    <row r="13401" spans="31:31">
      <c r="AE13401" s="54"/>
    </row>
    <row r="13402" spans="31:31">
      <c r="AE13402" s="54"/>
    </row>
    <row r="13403" spans="31:31">
      <c r="AE13403" s="54"/>
    </row>
    <row r="13404" spans="31:31">
      <c r="AE13404" s="54"/>
    </row>
    <row r="13405" spans="31:31">
      <c r="AE13405" s="54"/>
    </row>
    <row r="13406" spans="31:31">
      <c r="AE13406" s="54"/>
    </row>
    <row r="13407" spans="31:31">
      <c r="AE13407" s="54"/>
    </row>
    <row r="13408" spans="31:31">
      <c r="AE13408" s="54"/>
    </row>
    <row r="13409" spans="31:31">
      <c r="AE13409" s="54"/>
    </row>
    <row r="13410" spans="31:31">
      <c r="AE13410" s="54"/>
    </row>
    <row r="13411" spans="31:31">
      <c r="AE13411" s="54"/>
    </row>
    <row r="13412" spans="31:31">
      <c r="AE13412" s="54"/>
    </row>
    <row r="13413" spans="31:31">
      <c r="AE13413" s="54"/>
    </row>
    <row r="13414" spans="31:31">
      <c r="AE13414" s="54"/>
    </row>
    <row r="13415" spans="31:31">
      <c r="AE13415" s="54"/>
    </row>
    <row r="13416" spans="31:31">
      <c r="AE13416" s="54"/>
    </row>
    <row r="13417" spans="31:31">
      <c r="AE13417" s="54"/>
    </row>
    <row r="13418" spans="31:31">
      <c r="AE13418" s="54"/>
    </row>
    <row r="13419" spans="31:31">
      <c r="AE13419" s="54"/>
    </row>
    <row r="13420" spans="31:31">
      <c r="AE13420" s="54"/>
    </row>
    <row r="13421" spans="31:31">
      <c r="AE13421" s="54"/>
    </row>
    <row r="13422" spans="31:31">
      <c r="AE13422" s="54"/>
    </row>
    <row r="13423" spans="31:31">
      <c r="AE13423" s="54"/>
    </row>
    <row r="13424" spans="31:31">
      <c r="AE13424" s="54"/>
    </row>
    <row r="13425" spans="31:31">
      <c r="AE13425" s="54"/>
    </row>
    <row r="13426" spans="31:31">
      <c r="AE13426" s="54"/>
    </row>
    <row r="13427" spans="31:31">
      <c r="AE13427" s="54"/>
    </row>
    <row r="13428" spans="31:31">
      <c r="AE13428" s="54"/>
    </row>
    <row r="13429" spans="31:31">
      <c r="AE13429" s="54"/>
    </row>
    <row r="13430" spans="31:31">
      <c r="AE13430" s="54"/>
    </row>
    <row r="13431" spans="31:31">
      <c r="AE13431" s="54"/>
    </row>
    <row r="13432" spans="31:31">
      <c r="AE13432" s="54"/>
    </row>
    <row r="13433" spans="31:31">
      <c r="AE13433" s="54"/>
    </row>
    <row r="13434" spans="31:31">
      <c r="AE13434" s="54"/>
    </row>
    <row r="13435" spans="31:31">
      <c r="AE13435" s="54"/>
    </row>
    <row r="13436" spans="31:31">
      <c r="AE13436" s="54"/>
    </row>
    <row r="13437" spans="31:31">
      <c r="AE13437" s="54"/>
    </row>
    <row r="13438" spans="31:31">
      <c r="AE13438" s="54"/>
    </row>
    <row r="13439" spans="31:31">
      <c r="AE13439" s="54"/>
    </row>
    <row r="13440" spans="31:31">
      <c r="AE13440" s="54"/>
    </row>
    <row r="13441" spans="31:31">
      <c r="AE13441" s="54"/>
    </row>
    <row r="13442" spans="31:31">
      <c r="AE13442" s="54"/>
    </row>
    <row r="13443" spans="31:31">
      <c r="AE13443" s="54"/>
    </row>
    <row r="13444" spans="31:31">
      <c r="AE13444" s="54"/>
    </row>
    <row r="13445" spans="31:31">
      <c r="AE13445" s="54"/>
    </row>
    <row r="13446" spans="31:31">
      <c r="AE13446" s="54"/>
    </row>
    <row r="13447" spans="31:31">
      <c r="AE13447" s="54"/>
    </row>
    <row r="13448" spans="31:31">
      <c r="AE13448" s="54"/>
    </row>
    <row r="13449" spans="31:31">
      <c r="AE13449" s="54"/>
    </row>
    <row r="13450" spans="31:31">
      <c r="AE13450" s="54"/>
    </row>
    <row r="13451" spans="31:31">
      <c r="AE13451" s="54"/>
    </row>
    <row r="13452" spans="31:31">
      <c r="AE13452" s="54"/>
    </row>
    <row r="13453" spans="31:31">
      <c r="AE13453" s="54"/>
    </row>
    <row r="13454" spans="31:31">
      <c r="AE13454" s="54"/>
    </row>
    <row r="13455" spans="31:31">
      <c r="AE13455" s="54"/>
    </row>
    <row r="13456" spans="31:31">
      <c r="AE13456" s="54"/>
    </row>
    <row r="13457" spans="31:31">
      <c r="AE13457" s="54"/>
    </row>
    <row r="13458" spans="31:31">
      <c r="AE13458" s="54"/>
    </row>
    <row r="13459" spans="31:31">
      <c r="AE13459" s="54"/>
    </row>
    <row r="13460" spans="31:31">
      <c r="AE13460" s="54"/>
    </row>
    <row r="13461" spans="31:31">
      <c r="AE13461" s="54"/>
    </row>
    <row r="13462" spans="31:31">
      <c r="AE13462" s="54"/>
    </row>
    <row r="13463" spans="31:31">
      <c r="AE13463" s="54"/>
    </row>
    <row r="13464" spans="31:31">
      <c r="AE13464" s="54"/>
    </row>
    <row r="13465" spans="31:31">
      <c r="AE13465" s="54"/>
    </row>
    <row r="13466" spans="31:31">
      <c r="AE13466" s="54"/>
    </row>
    <row r="13467" spans="31:31">
      <c r="AE13467" s="54"/>
    </row>
    <row r="13468" spans="31:31">
      <c r="AE13468" s="54"/>
    </row>
    <row r="13469" spans="31:31">
      <c r="AE13469" s="54"/>
    </row>
    <row r="13470" spans="31:31">
      <c r="AE13470" s="54"/>
    </row>
    <row r="13471" spans="31:31">
      <c r="AE13471" s="54"/>
    </row>
    <row r="13472" spans="31:31">
      <c r="AE13472" s="54"/>
    </row>
    <row r="13473" spans="31:31">
      <c r="AE13473" s="54"/>
    </row>
    <row r="13474" spans="31:31">
      <c r="AE13474" s="54"/>
    </row>
    <row r="13475" spans="31:31">
      <c r="AE13475" s="54"/>
    </row>
    <row r="13476" spans="31:31">
      <c r="AE13476" s="54"/>
    </row>
    <row r="13477" spans="31:31">
      <c r="AE13477" s="54"/>
    </row>
    <row r="13478" spans="31:31">
      <c r="AE13478" s="54"/>
    </row>
    <row r="13479" spans="31:31">
      <c r="AE13479" s="54"/>
    </row>
    <row r="13480" spans="31:31">
      <c r="AE13480" s="54"/>
    </row>
    <row r="13481" spans="31:31">
      <c r="AE13481" s="54"/>
    </row>
    <row r="13482" spans="31:31">
      <c r="AE13482" s="54"/>
    </row>
    <row r="13483" spans="31:31">
      <c r="AE13483" s="54"/>
    </row>
    <row r="13484" spans="31:31">
      <c r="AE13484" s="54"/>
    </row>
    <row r="13485" spans="31:31">
      <c r="AE13485" s="54"/>
    </row>
    <row r="13486" spans="31:31">
      <c r="AE13486" s="54"/>
    </row>
    <row r="13487" spans="31:31">
      <c r="AE13487" s="54"/>
    </row>
    <row r="13488" spans="31:31">
      <c r="AE13488" s="54"/>
    </row>
    <row r="13489" spans="31:31">
      <c r="AE13489" s="54"/>
    </row>
    <row r="13490" spans="31:31">
      <c r="AE13490" s="54"/>
    </row>
    <row r="13491" spans="31:31">
      <c r="AE13491" s="54"/>
    </row>
    <row r="13492" spans="31:31">
      <c r="AE13492" s="54"/>
    </row>
    <row r="13493" spans="31:31">
      <c r="AE13493" s="54"/>
    </row>
    <row r="13494" spans="31:31">
      <c r="AE13494" s="54"/>
    </row>
    <row r="13495" spans="31:31">
      <c r="AE13495" s="54"/>
    </row>
    <row r="13496" spans="31:31">
      <c r="AE13496" s="54"/>
    </row>
    <row r="13497" spans="31:31">
      <c r="AE13497" s="54"/>
    </row>
    <row r="13498" spans="31:31">
      <c r="AE13498" s="54"/>
    </row>
    <row r="13499" spans="31:31">
      <c r="AE13499" s="54"/>
    </row>
    <row r="13500" spans="31:31">
      <c r="AE13500" s="54"/>
    </row>
    <row r="13501" spans="31:31">
      <c r="AE13501" s="54"/>
    </row>
    <row r="13502" spans="31:31">
      <c r="AE13502" s="54"/>
    </row>
    <row r="13503" spans="31:31">
      <c r="AE13503" s="54"/>
    </row>
    <row r="13504" spans="31:31">
      <c r="AE13504" s="54"/>
    </row>
    <row r="13505" spans="31:31">
      <c r="AE13505" s="54"/>
    </row>
    <row r="13506" spans="31:31">
      <c r="AE13506" s="54"/>
    </row>
    <row r="13507" spans="31:31">
      <c r="AE13507" s="54"/>
    </row>
    <row r="13508" spans="31:31">
      <c r="AE13508" s="54"/>
    </row>
    <row r="13509" spans="31:31">
      <c r="AE13509" s="54"/>
    </row>
    <row r="13510" spans="31:31">
      <c r="AE13510" s="54"/>
    </row>
    <row r="13511" spans="31:31">
      <c r="AE13511" s="54"/>
    </row>
    <row r="13512" spans="31:31">
      <c r="AE13512" s="54"/>
    </row>
    <row r="13513" spans="31:31">
      <c r="AE13513" s="54"/>
    </row>
    <row r="13514" spans="31:31">
      <c r="AE13514" s="54"/>
    </row>
    <row r="13515" spans="31:31">
      <c r="AE13515" s="54"/>
    </row>
    <row r="13516" spans="31:31">
      <c r="AE13516" s="54"/>
    </row>
    <row r="13517" spans="31:31">
      <c r="AE13517" s="54"/>
    </row>
    <row r="13518" spans="31:31">
      <c r="AE13518" s="54"/>
    </row>
    <row r="13519" spans="31:31">
      <c r="AE13519" s="54"/>
    </row>
    <row r="13520" spans="31:31">
      <c r="AE13520" s="54"/>
    </row>
    <row r="13521" spans="31:31">
      <c r="AE13521" s="54"/>
    </row>
    <row r="13522" spans="31:31">
      <c r="AE13522" s="54"/>
    </row>
    <row r="13523" spans="31:31">
      <c r="AE13523" s="54"/>
    </row>
    <row r="13524" spans="31:31">
      <c r="AE13524" s="54"/>
    </row>
    <row r="13525" spans="31:31">
      <c r="AE13525" s="54"/>
    </row>
    <row r="13526" spans="31:31">
      <c r="AE13526" s="54"/>
    </row>
    <row r="13527" spans="31:31">
      <c r="AE13527" s="54"/>
    </row>
    <row r="13528" spans="31:31">
      <c r="AE13528" s="54"/>
    </row>
    <row r="13529" spans="31:31">
      <c r="AE13529" s="54"/>
    </row>
    <row r="13530" spans="31:31">
      <c r="AE13530" s="54"/>
    </row>
    <row r="13531" spans="31:31">
      <c r="AE13531" s="54"/>
    </row>
    <row r="13532" spans="31:31">
      <c r="AE13532" s="54"/>
    </row>
    <row r="13533" spans="31:31">
      <c r="AE13533" s="54"/>
    </row>
    <row r="13534" spans="31:31">
      <c r="AE13534" s="54"/>
    </row>
    <row r="13535" spans="31:31">
      <c r="AE13535" s="54"/>
    </row>
    <row r="13536" spans="31:31">
      <c r="AE13536" s="54"/>
    </row>
    <row r="13537" spans="31:31">
      <c r="AE13537" s="54"/>
    </row>
    <row r="13538" spans="31:31">
      <c r="AE13538" s="54"/>
    </row>
    <row r="13539" spans="31:31">
      <c r="AE13539" s="54"/>
    </row>
    <row r="13540" spans="31:31">
      <c r="AE13540" s="54"/>
    </row>
    <row r="13541" spans="31:31">
      <c r="AE13541" s="54"/>
    </row>
    <row r="13542" spans="31:31">
      <c r="AE13542" s="54"/>
    </row>
    <row r="13543" spans="31:31">
      <c r="AE13543" s="54"/>
    </row>
    <row r="13544" spans="31:31">
      <c r="AE13544" s="54"/>
    </row>
    <row r="13545" spans="31:31">
      <c r="AE13545" s="54"/>
    </row>
    <row r="13546" spans="31:31">
      <c r="AE13546" s="54"/>
    </row>
    <row r="13547" spans="31:31">
      <c r="AE13547" s="54"/>
    </row>
    <row r="13548" spans="31:31">
      <c r="AE13548" s="54"/>
    </row>
    <row r="13549" spans="31:31">
      <c r="AE13549" s="54"/>
    </row>
    <row r="13550" spans="31:31">
      <c r="AE13550" s="54"/>
    </row>
    <row r="13551" spans="31:31">
      <c r="AE13551" s="54"/>
    </row>
    <row r="13552" spans="31:31">
      <c r="AE13552" s="54"/>
    </row>
    <row r="13553" spans="31:31">
      <c r="AE13553" s="54"/>
    </row>
    <row r="13554" spans="31:31">
      <c r="AE13554" s="54"/>
    </row>
    <row r="13555" spans="31:31">
      <c r="AE13555" s="54"/>
    </row>
    <row r="13556" spans="31:31">
      <c r="AE13556" s="54"/>
    </row>
    <row r="13557" spans="31:31">
      <c r="AE13557" s="54"/>
    </row>
    <row r="13558" spans="31:31">
      <c r="AE13558" s="54"/>
    </row>
    <row r="13559" spans="31:31">
      <c r="AE13559" s="54"/>
    </row>
    <row r="13560" spans="31:31">
      <c r="AE13560" s="54"/>
    </row>
    <row r="13561" spans="31:31">
      <c r="AE13561" s="54"/>
    </row>
    <row r="13562" spans="31:31">
      <c r="AE13562" s="54"/>
    </row>
    <row r="13563" spans="31:31">
      <c r="AE13563" s="54"/>
    </row>
    <row r="13564" spans="31:31">
      <c r="AE13564" s="54"/>
    </row>
    <row r="13565" spans="31:31">
      <c r="AE13565" s="54"/>
    </row>
    <row r="13566" spans="31:31">
      <c r="AE13566" s="54"/>
    </row>
    <row r="13567" spans="31:31">
      <c r="AE13567" s="54"/>
    </row>
    <row r="13568" spans="31:31">
      <c r="AE13568" s="54"/>
    </row>
    <row r="13569" spans="31:31">
      <c r="AE13569" s="54"/>
    </row>
    <row r="13570" spans="31:31">
      <c r="AE13570" s="54"/>
    </row>
    <row r="13571" spans="31:31">
      <c r="AE13571" s="54"/>
    </row>
    <row r="13572" spans="31:31">
      <c r="AE13572" s="54"/>
    </row>
    <row r="13573" spans="31:31">
      <c r="AE13573" s="54"/>
    </row>
    <row r="13574" spans="31:31">
      <c r="AE13574" s="54"/>
    </row>
    <row r="13575" spans="31:31">
      <c r="AE13575" s="54"/>
    </row>
    <row r="13576" spans="31:31">
      <c r="AE13576" s="54"/>
    </row>
    <row r="13577" spans="31:31">
      <c r="AE13577" s="54"/>
    </row>
    <row r="13578" spans="31:31">
      <c r="AE13578" s="54"/>
    </row>
    <row r="13579" spans="31:31">
      <c r="AE13579" s="54"/>
    </row>
    <row r="13580" spans="31:31">
      <c r="AE13580" s="54"/>
    </row>
    <row r="13581" spans="31:31">
      <c r="AE13581" s="54"/>
    </row>
    <row r="13582" spans="31:31">
      <c r="AE13582" s="54"/>
    </row>
    <row r="13583" spans="31:31">
      <c r="AE13583" s="54"/>
    </row>
    <row r="13584" spans="31:31">
      <c r="AE13584" s="54"/>
    </row>
    <row r="13585" spans="31:31">
      <c r="AE13585" s="54"/>
    </row>
    <row r="13586" spans="31:31">
      <c r="AE13586" s="54"/>
    </row>
    <row r="13587" spans="31:31">
      <c r="AE13587" s="54"/>
    </row>
    <row r="13588" spans="31:31">
      <c r="AE13588" s="54"/>
    </row>
    <row r="13589" spans="31:31">
      <c r="AE13589" s="54"/>
    </row>
    <row r="13590" spans="31:31">
      <c r="AE13590" s="54"/>
    </row>
    <row r="13591" spans="31:31">
      <c r="AE13591" s="54"/>
    </row>
    <row r="13592" spans="31:31">
      <c r="AE13592" s="54"/>
    </row>
    <row r="13593" spans="31:31">
      <c r="AE13593" s="54"/>
    </row>
    <row r="13594" spans="31:31">
      <c r="AE13594" s="54"/>
    </row>
    <row r="13595" spans="31:31">
      <c r="AE13595" s="54"/>
    </row>
    <row r="13596" spans="31:31">
      <c r="AE13596" s="54"/>
    </row>
    <row r="13597" spans="31:31">
      <c r="AE13597" s="54"/>
    </row>
    <row r="13598" spans="31:31">
      <c r="AE13598" s="54"/>
    </row>
    <row r="13599" spans="31:31">
      <c r="AE13599" s="54"/>
    </row>
    <row r="13600" spans="31:31">
      <c r="AE13600" s="54"/>
    </row>
    <row r="13601" spans="31:31">
      <c r="AE13601" s="54"/>
    </row>
    <row r="13602" spans="31:31">
      <c r="AE13602" s="54"/>
    </row>
    <row r="13603" spans="31:31">
      <c r="AE13603" s="54"/>
    </row>
    <row r="13604" spans="31:31">
      <c r="AE13604" s="54"/>
    </row>
    <row r="13605" spans="31:31">
      <c r="AE13605" s="54"/>
    </row>
    <row r="13606" spans="31:31">
      <c r="AE13606" s="54"/>
    </row>
    <row r="13607" spans="31:31">
      <c r="AE13607" s="54"/>
    </row>
    <row r="13608" spans="31:31">
      <c r="AE13608" s="54"/>
    </row>
    <row r="13609" spans="31:31">
      <c r="AE13609" s="54"/>
    </row>
    <row r="13610" spans="31:31">
      <c r="AE13610" s="54"/>
    </row>
    <row r="13611" spans="31:31">
      <c r="AE13611" s="54"/>
    </row>
    <row r="13612" spans="31:31">
      <c r="AE13612" s="54"/>
    </row>
    <row r="13613" spans="31:31">
      <c r="AE13613" s="54"/>
    </row>
    <row r="13614" spans="31:31">
      <c r="AE13614" s="54"/>
    </row>
    <row r="13615" spans="31:31">
      <c r="AE13615" s="54"/>
    </row>
    <row r="13616" spans="31:31">
      <c r="AE13616" s="54"/>
    </row>
    <row r="13617" spans="31:31">
      <c r="AE13617" s="54"/>
    </row>
    <row r="13618" spans="31:31">
      <c r="AE13618" s="54"/>
    </row>
    <row r="13619" spans="31:31">
      <c r="AE13619" s="54"/>
    </row>
    <row r="13620" spans="31:31">
      <c r="AE13620" s="54"/>
    </row>
    <row r="13621" spans="31:31">
      <c r="AE13621" s="54"/>
    </row>
    <row r="13622" spans="31:31">
      <c r="AE13622" s="54"/>
    </row>
    <row r="13623" spans="31:31">
      <c r="AE13623" s="54"/>
    </row>
    <row r="13624" spans="31:31">
      <c r="AE13624" s="54"/>
    </row>
    <row r="13625" spans="31:31">
      <c r="AE13625" s="54"/>
    </row>
    <row r="13626" spans="31:31">
      <c r="AE13626" s="54"/>
    </row>
    <row r="13627" spans="31:31">
      <c r="AE13627" s="54"/>
    </row>
    <row r="13628" spans="31:31">
      <c r="AE13628" s="54"/>
    </row>
    <row r="13629" spans="31:31">
      <c r="AE13629" s="54"/>
    </row>
    <row r="13630" spans="31:31">
      <c r="AE13630" s="54"/>
    </row>
    <row r="13631" spans="31:31">
      <c r="AE13631" s="54"/>
    </row>
    <row r="13632" spans="31:31">
      <c r="AE13632" s="54"/>
    </row>
    <row r="13633" spans="31:31">
      <c r="AE13633" s="54"/>
    </row>
    <row r="13634" spans="31:31">
      <c r="AE13634" s="54"/>
    </row>
    <row r="13635" spans="31:31">
      <c r="AE13635" s="54"/>
    </row>
    <row r="13636" spans="31:31">
      <c r="AE13636" s="54"/>
    </row>
    <row r="13637" spans="31:31">
      <c r="AE13637" s="54"/>
    </row>
    <row r="13638" spans="31:31">
      <c r="AE13638" s="54"/>
    </row>
    <row r="13639" spans="31:31">
      <c r="AE13639" s="54"/>
    </row>
    <row r="13640" spans="31:31">
      <c r="AE13640" s="54"/>
    </row>
    <row r="13641" spans="31:31">
      <c r="AE13641" s="54"/>
    </row>
    <row r="13642" spans="31:31">
      <c r="AE13642" s="54"/>
    </row>
    <row r="13643" spans="31:31">
      <c r="AE13643" s="54"/>
    </row>
    <row r="13644" spans="31:31">
      <c r="AE13644" s="54"/>
    </row>
    <row r="13645" spans="31:31">
      <c r="AE13645" s="54"/>
    </row>
    <row r="13646" spans="31:31">
      <c r="AE13646" s="54"/>
    </row>
    <row r="13647" spans="31:31">
      <c r="AE13647" s="54"/>
    </row>
    <row r="13648" spans="31:31">
      <c r="AE13648" s="54"/>
    </row>
    <row r="13649" spans="31:31">
      <c r="AE13649" s="54"/>
    </row>
    <row r="13650" spans="31:31">
      <c r="AE13650" s="54"/>
    </row>
    <row r="13651" spans="31:31">
      <c r="AE13651" s="54"/>
    </row>
    <row r="13652" spans="31:31">
      <c r="AE13652" s="54"/>
    </row>
    <row r="13653" spans="31:31">
      <c r="AE13653" s="54"/>
    </row>
    <row r="13654" spans="31:31">
      <c r="AE13654" s="54"/>
    </row>
    <row r="13655" spans="31:31">
      <c r="AE13655" s="54"/>
    </row>
    <row r="13656" spans="31:31">
      <c r="AE13656" s="54"/>
    </row>
    <row r="13657" spans="31:31">
      <c r="AE13657" s="54"/>
    </row>
    <row r="13658" spans="31:31">
      <c r="AE13658" s="54"/>
    </row>
    <row r="13659" spans="31:31">
      <c r="AE13659" s="54"/>
    </row>
    <row r="13660" spans="31:31">
      <c r="AE13660" s="54"/>
    </row>
    <row r="13661" spans="31:31">
      <c r="AE13661" s="54"/>
    </row>
    <row r="13662" spans="31:31">
      <c r="AE13662" s="54"/>
    </row>
    <row r="13663" spans="31:31">
      <c r="AE13663" s="54"/>
    </row>
    <row r="13664" spans="31:31">
      <c r="AE13664" s="54"/>
    </row>
    <row r="13665" spans="31:31">
      <c r="AE13665" s="54"/>
    </row>
    <row r="13666" spans="31:31">
      <c r="AE13666" s="54"/>
    </row>
    <row r="13667" spans="31:31">
      <c r="AE13667" s="54"/>
    </row>
    <row r="13668" spans="31:31">
      <c r="AE13668" s="54"/>
    </row>
    <row r="13669" spans="31:31">
      <c r="AE13669" s="54"/>
    </row>
    <row r="13670" spans="31:31">
      <c r="AE13670" s="54"/>
    </row>
    <row r="13671" spans="31:31">
      <c r="AE13671" s="54"/>
    </row>
    <row r="13672" spans="31:31">
      <c r="AE13672" s="54"/>
    </row>
    <row r="13673" spans="31:31">
      <c r="AE13673" s="54"/>
    </row>
    <row r="13674" spans="31:31">
      <c r="AE13674" s="54"/>
    </row>
    <row r="13675" spans="31:31">
      <c r="AE13675" s="54"/>
    </row>
    <row r="13676" spans="31:31">
      <c r="AE13676" s="54"/>
    </row>
    <row r="13677" spans="31:31">
      <c r="AE13677" s="54"/>
    </row>
    <row r="13678" spans="31:31">
      <c r="AE13678" s="54"/>
    </row>
    <row r="13679" spans="31:31">
      <c r="AE13679" s="54"/>
    </row>
    <row r="13680" spans="31:31">
      <c r="AE13680" s="54"/>
    </row>
    <row r="13681" spans="31:31">
      <c r="AE13681" s="54"/>
    </row>
    <row r="13682" spans="31:31">
      <c r="AE13682" s="54"/>
    </row>
    <row r="13683" spans="31:31">
      <c r="AE13683" s="54"/>
    </row>
    <row r="13684" spans="31:31">
      <c r="AE13684" s="54"/>
    </row>
    <row r="13685" spans="31:31">
      <c r="AE13685" s="54"/>
    </row>
    <row r="13686" spans="31:31">
      <c r="AE13686" s="54"/>
    </row>
    <row r="13687" spans="31:31">
      <c r="AE13687" s="54"/>
    </row>
    <row r="13688" spans="31:31">
      <c r="AE13688" s="54"/>
    </row>
    <row r="13689" spans="31:31">
      <c r="AE13689" s="54"/>
    </row>
    <row r="13690" spans="31:31">
      <c r="AE13690" s="54"/>
    </row>
    <row r="13691" spans="31:31">
      <c r="AE13691" s="54"/>
    </row>
    <row r="13692" spans="31:31">
      <c r="AE13692" s="54"/>
    </row>
    <row r="13693" spans="31:31">
      <c r="AE13693" s="54"/>
    </row>
    <row r="13694" spans="31:31">
      <c r="AE13694" s="54"/>
    </row>
    <row r="13695" spans="31:31">
      <c r="AE13695" s="54"/>
    </row>
    <row r="13696" spans="31:31">
      <c r="AE13696" s="54"/>
    </row>
    <row r="13697" spans="31:31">
      <c r="AE13697" s="54"/>
    </row>
    <row r="13698" spans="31:31">
      <c r="AE13698" s="54"/>
    </row>
    <row r="13699" spans="31:31">
      <c r="AE13699" s="54"/>
    </row>
    <row r="13700" spans="31:31">
      <c r="AE13700" s="54"/>
    </row>
    <row r="13701" spans="31:31">
      <c r="AE13701" s="54"/>
    </row>
    <row r="13702" spans="31:31">
      <c r="AE13702" s="54"/>
    </row>
    <row r="13703" spans="31:31">
      <c r="AE13703" s="54"/>
    </row>
    <row r="13704" spans="31:31">
      <c r="AE13704" s="54"/>
    </row>
    <row r="13705" spans="31:31">
      <c r="AE13705" s="54"/>
    </row>
    <row r="13706" spans="31:31">
      <c r="AE13706" s="54"/>
    </row>
    <row r="13707" spans="31:31">
      <c r="AE13707" s="54"/>
    </row>
    <row r="13708" spans="31:31">
      <c r="AE13708" s="54"/>
    </row>
    <row r="13709" spans="31:31">
      <c r="AE13709" s="54"/>
    </row>
    <row r="13710" spans="31:31">
      <c r="AE13710" s="54"/>
    </row>
    <row r="13711" spans="31:31">
      <c r="AE13711" s="54"/>
    </row>
    <row r="13712" spans="31:31">
      <c r="AE13712" s="54"/>
    </row>
    <row r="13713" spans="31:31">
      <c r="AE13713" s="54"/>
    </row>
    <row r="13714" spans="31:31">
      <c r="AE13714" s="54"/>
    </row>
    <row r="13715" spans="31:31">
      <c r="AE13715" s="54"/>
    </row>
    <row r="13716" spans="31:31">
      <c r="AE13716" s="54"/>
    </row>
    <row r="13717" spans="31:31">
      <c r="AE13717" s="54"/>
    </row>
    <row r="13718" spans="31:31">
      <c r="AE13718" s="54"/>
    </row>
    <row r="13719" spans="31:31">
      <c r="AE13719" s="54"/>
    </row>
    <row r="13720" spans="31:31">
      <c r="AE13720" s="54"/>
    </row>
    <row r="13721" spans="31:31">
      <c r="AE13721" s="54"/>
    </row>
    <row r="13722" spans="31:31">
      <c r="AE13722" s="54"/>
    </row>
    <row r="13723" spans="31:31">
      <c r="AE13723" s="54"/>
    </row>
    <row r="13724" spans="31:31">
      <c r="AE13724" s="54"/>
    </row>
    <row r="13725" spans="31:31">
      <c r="AE13725" s="54"/>
    </row>
    <row r="13726" spans="31:31">
      <c r="AE13726" s="54"/>
    </row>
    <row r="13727" spans="31:31">
      <c r="AE13727" s="54"/>
    </row>
    <row r="13728" spans="31:31">
      <c r="AE13728" s="54"/>
    </row>
    <row r="13729" spans="31:31">
      <c r="AE13729" s="54"/>
    </row>
    <row r="13730" spans="31:31">
      <c r="AE13730" s="54"/>
    </row>
    <row r="13731" spans="31:31">
      <c r="AE13731" s="54"/>
    </row>
    <row r="13732" spans="31:31">
      <c r="AE13732" s="54"/>
    </row>
    <row r="13733" spans="31:31">
      <c r="AE13733" s="54"/>
    </row>
    <row r="13734" spans="31:31">
      <c r="AE13734" s="54"/>
    </row>
    <row r="13735" spans="31:31">
      <c r="AE13735" s="54"/>
    </row>
    <row r="13736" spans="31:31">
      <c r="AE13736" s="54"/>
    </row>
    <row r="13737" spans="31:31">
      <c r="AE13737" s="54"/>
    </row>
    <row r="13738" spans="31:31">
      <c r="AE13738" s="54"/>
    </row>
    <row r="13739" spans="31:31">
      <c r="AE13739" s="54"/>
    </row>
    <row r="13740" spans="31:31">
      <c r="AE13740" s="54"/>
    </row>
    <row r="13741" spans="31:31">
      <c r="AE13741" s="54"/>
    </row>
    <row r="13742" spans="31:31">
      <c r="AE13742" s="54"/>
    </row>
    <row r="13743" spans="31:31">
      <c r="AE13743" s="54"/>
    </row>
    <row r="13744" spans="31:31">
      <c r="AE13744" s="54"/>
    </row>
    <row r="13745" spans="31:31">
      <c r="AE13745" s="54"/>
    </row>
    <row r="13746" spans="31:31">
      <c r="AE13746" s="54"/>
    </row>
    <row r="13747" spans="31:31">
      <c r="AE13747" s="54"/>
    </row>
    <row r="13748" spans="31:31">
      <c r="AE13748" s="54"/>
    </row>
    <row r="13749" spans="31:31">
      <c r="AE13749" s="54"/>
    </row>
    <row r="13750" spans="31:31">
      <c r="AE13750" s="54"/>
    </row>
    <row r="13751" spans="31:31">
      <c r="AE13751" s="54"/>
    </row>
    <row r="13752" spans="31:31">
      <c r="AE13752" s="54"/>
    </row>
    <row r="13753" spans="31:31">
      <c r="AE13753" s="54"/>
    </row>
    <row r="13754" spans="31:31">
      <c r="AE13754" s="54"/>
    </row>
    <row r="13755" spans="31:31">
      <c r="AE13755" s="54"/>
    </row>
    <row r="13756" spans="31:31">
      <c r="AE13756" s="54"/>
    </row>
    <row r="13757" spans="31:31">
      <c r="AE13757" s="54"/>
    </row>
    <row r="13758" spans="31:31">
      <c r="AE13758" s="54"/>
    </row>
    <row r="13759" spans="31:31">
      <c r="AE13759" s="54"/>
    </row>
    <row r="13760" spans="31:31">
      <c r="AE13760" s="54"/>
    </row>
    <row r="13761" spans="31:31">
      <c r="AE13761" s="54"/>
    </row>
    <row r="13762" spans="31:31">
      <c r="AE13762" s="54"/>
    </row>
    <row r="13763" spans="31:31">
      <c r="AE13763" s="54"/>
    </row>
    <row r="13764" spans="31:31">
      <c r="AE13764" s="54"/>
    </row>
    <row r="13765" spans="31:31">
      <c r="AE13765" s="54"/>
    </row>
    <row r="13766" spans="31:31">
      <c r="AE13766" s="54"/>
    </row>
    <row r="13767" spans="31:31">
      <c r="AE13767" s="54"/>
    </row>
    <row r="13768" spans="31:31">
      <c r="AE13768" s="54"/>
    </row>
    <row r="13769" spans="31:31">
      <c r="AE13769" s="54"/>
    </row>
    <row r="13770" spans="31:31">
      <c r="AE13770" s="54"/>
    </row>
    <row r="13771" spans="31:31">
      <c r="AE13771" s="54"/>
    </row>
    <row r="13772" spans="31:31">
      <c r="AE13772" s="54"/>
    </row>
    <row r="13773" spans="31:31">
      <c r="AE13773" s="54"/>
    </row>
    <row r="13774" spans="31:31">
      <c r="AE13774" s="54"/>
    </row>
    <row r="13775" spans="31:31">
      <c r="AE13775" s="54"/>
    </row>
    <row r="13776" spans="31:31">
      <c r="AE13776" s="54"/>
    </row>
    <row r="13777" spans="31:31">
      <c r="AE13777" s="54"/>
    </row>
    <row r="13778" spans="31:31">
      <c r="AE13778" s="54"/>
    </row>
    <row r="13779" spans="31:31">
      <c r="AE13779" s="54"/>
    </row>
    <row r="13780" spans="31:31">
      <c r="AE13780" s="54"/>
    </row>
    <row r="13781" spans="31:31">
      <c r="AE13781" s="54"/>
    </row>
    <row r="13782" spans="31:31">
      <c r="AE13782" s="54"/>
    </row>
    <row r="13783" spans="31:31">
      <c r="AE13783" s="54"/>
    </row>
    <row r="13784" spans="31:31">
      <c r="AE13784" s="54"/>
    </row>
    <row r="13785" spans="31:31">
      <c r="AE13785" s="54"/>
    </row>
    <row r="13786" spans="31:31">
      <c r="AE13786" s="54"/>
    </row>
    <row r="13787" spans="31:31">
      <c r="AE13787" s="54"/>
    </row>
    <row r="13788" spans="31:31">
      <c r="AE13788" s="54"/>
    </row>
    <row r="13789" spans="31:31">
      <c r="AE13789" s="54"/>
    </row>
    <row r="13790" spans="31:31">
      <c r="AE13790" s="54"/>
    </row>
    <row r="13791" spans="31:31">
      <c r="AE13791" s="54"/>
    </row>
    <row r="13792" spans="31:31">
      <c r="AE13792" s="54"/>
    </row>
    <row r="13793" spans="31:31">
      <c r="AE13793" s="54"/>
    </row>
    <row r="13794" spans="31:31">
      <c r="AE13794" s="54"/>
    </row>
    <row r="13795" spans="31:31">
      <c r="AE13795" s="54"/>
    </row>
    <row r="13796" spans="31:31">
      <c r="AE13796" s="54"/>
    </row>
    <row r="13797" spans="31:31">
      <c r="AE13797" s="54"/>
    </row>
    <row r="13798" spans="31:31">
      <c r="AE13798" s="54"/>
    </row>
    <row r="13799" spans="31:31">
      <c r="AE13799" s="54"/>
    </row>
    <row r="13800" spans="31:31">
      <c r="AE13800" s="54"/>
    </row>
    <row r="13801" spans="31:31">
      <c r="AE13801" s="54"/>
    </row>
    <row r="13802" spans="31:31">
      <c r="AE13802" s="54"/>
    </row>
    <row r="13803" spans="31:31">
      <c r="AE13803" s="54"/>
    </row>
    <row r="13804" spans="31:31">
      <c r="AE13804" s="54"/>
    </row>
    <row r="13805" spans="31:31">
      <c r="AE13805" s="54"/>
    </row>
    <row r="13806" spans="31:31">
      <c r="AE13806" s="54"/>
    </row>
    <row r="13807" spans="31:31">
      <c r="AE13807" s="54"/>
    </row>
    <row r="13808" spans="31:31">
      <c r="AE13808" s="54"/>
    </row>
    <row r="13809" spans="31:31">
      <c r="AE13809" s="54"/>
    </row>
    <row r="13810" spans="31:31">
      <c r="AE13810" s="54"/>
    </row>
    <row r="13811" spans="31:31">
      <c r="AE13811" s="54"/>
    </row>
    <row r="13812" spans="31:31">
      <c r="AE13812" s="54"/>
    </row>
    <row r="13813" spans="31:31">
      <c r="AE13813" s="54"/>
    </row>
    <row r="13814" spans="31:31">
      <c r="AE13814" s="54"/>
    </row>
    <row r="13815" spans="31:31">
      <c r="AE13815" s="54"/>
    </row>
    <row r="13816" spans="31:31">
      <c r="AE13816" s="54"/>
    </row>
    <row r="13817" spans="31:31">
      <c r="AE13817" s="54"/>
    </row>
    <row r="13818" spans="31:31">
      <c r="AE13818" s="54"/>
    </row>
    <row r="13819" spans="31:31">
      <c r="AE13819" s="54"/>
    </row>
    <row r="13820" spans="31:31">
      <c r="AE13820" s="54"/>
    </row>
    <row r="13821" spans="31:31">
      <c r="AE13821" s="54"/>
    </row>
    <row r="13822" spans="31:31">
      <c r="AE13822" s="54"/>
    </row>
    <row r="13823" spans="31:31">
      <c r="AE13823" s="54"/>
    </row>
    <row r="13824" spans="31:31">
      <c r="AE13824" s="54"/>
    </row>
    <row r="13825" spans="31:31">
      <c r="AE13825" s="54"/>
    </row>
    <row r="13826" spans="31:31">
      <c r="AE13826" s="54"/>
    </row>
    <row r="13827" spans="31:31">
      <c r="AE13827" s="54"/>
    </row>
    <row r="13828" spans="31:31">
      <c r="AE13828" s="54"/>
    </row>
    <row r="13829" spans="31:31">
      <c r="AE13829" s="54"/>
    </row>
    <row r="13830" spans="31:31">
      <c r="AE13830" s="54"/>
    </row>
    <row r="13831" spans="31:31">
      <c r="AE13831" s="54"/>
    </row>
    <row r="13832" spans="31:31">
      <c r="AE13832" s="54"/>
    </row>
    <row r="13833" spans="31:31">
      <c r="AE13833" s="54"/>
    </row>
    <row r="13834" spans="31:31">
      <c r="AE13834" s="54"/>
    </row>
    <row r="13835" spans="31:31">
      <c r="AE13835" s="54"/>
    </row>
    <row r="13836" spans="31:31">
      <c r="AE13836" s="54"/>
    </row>
    <row r="13837" spans="31:31">
      <c r="AE13837" s="54"/>
    </row>
    <row r="13838" spans="31:31">
      <c r="AE13838" s="54"/>
    </row>
    <row r="13839" spans="31:31">
      <c r="AE13839" s="54"/>
    </row>
    <row r="13840" spans="31:31">
      <c r="AE13840" s="54"/>
    </row>
    <row r="13841" spans="31:31">
      <c r="AE13841" s="54"/>
    </row>
    <row r="13842" spans="31:31">
      <c r="AE13842" s="54"/>
    </row>
    <row r="13843" spans="31:31">
      <c r="AE13843" s="54"/>
    </row>
    <row r="13844" spans="31:31">
      <c r="AE13844" s="54"/>
    </row>
    <row r="13845" spans="31:31">
      <c r="AE13845" s="54"/>
    </row>
    <row r="13846" spans="31:31">
      <c r="AE13846" s="54"/>
    </row>
    <row r="13847" spans="31:31">
      <c r="AE13847" s="54"/>
    </row>
    <row r="13848" spans="31:31">
      <c r="AE13848" s="54"/>
    </row>
    <row r="13849" spans="31:31">
      <c r="AE13849" s="54"/>
    </row>
    <row r="13850" spans="31:31">
      <c r="AE13850" s="54"/>
    </row>
    <row r="13851" spans="31:31">
      <c r="AE13851" s="54"/>
    </row>
    <row r="13852" spans="31:31">
      <c r="AE13852" s="54"/>
    </row>
    <row r="13853" spans="31:31">
      <c r="AE13853" s="54"/>
    </row>
    <row r="13854" spans="31:31">
      <c r="AE13854" s="54"/>
    </row>
    <row r="13855" spans="31:31">
      <c r="AE13855" s="54"/>
    </row>
    <row r="13856" spans="31:31">
      <c r="AE13856" s="54"/>
    </row>
    <row r="13857" spans="31:31">
      <c r="AE13857" s="54"/>
    </row>
    <row r="13858" spans="31:31">
      <c r="AE13858" s="54"/>
    </row>
    <row r="13859" spans="31:31">
      <c r="AE13859" s="54"/>
    </row>
    <row r="13860" spans="31:31">
      <c r="AE13860" s="54"/>
    </row>
    <row r="13861" spans="31:31">
      <c r="AE13861" s="54"/>
    </row>
    <row r="13862" spans="31:31">
      <c r="AE13862" s="54"/>
    </row>
    <row r="13863" spans="31:31">
      <c r="AE13863" s="54"/>
    </row>
    <row r="13864" spans="31:31">
      <c r="AE13864" s="54"/>
    </row>
    <row r="13865" spans="31:31">
      <c r="AE13865" s="54"/>
    </row>
    <row r="13866" spans="31:31">
      <c r="AE13866" s="54"/>
    </row>
    <row r="13867" spans="31:31">
      <c r="AE13867" s="54"/>
    </row>
    <row r="13868" spans="31:31">
      <c r="AE13868" s="54"/>
    </row>
    <row r="13869" spans="31:31">
      <c r="AE13869" s="54"/>
    </row>
    <row r="13870" spans="31:31">
      <c r="AE13870" s="54"/>
    </row>
    <row r="13871" spans="31:31">
      <c r="AE13871" s="54"/>
    </row>
    <row r="13872" spans="31:31">
      <c r="AE13872" s="54"/>
    </row>
    <row r="13873" spans="31:31">
      <c r="AE13873" s="54"/>
    </row>
    <row r="13874" spans="31:31">
      <c r="AE13874" s="54"/>
    </row>
    <row r="13875" spans="31:31">
      <c r="AE13875" s="54"/>
    </row>
    <row r="13876" spans="31:31">
      <c r="AE13876" s="54"/>
    </row>
    <row r="13877" spans="31:31">
      <c r="AE13877" s="54"/>
    </row>
    <row r="13878" spans="31:31">
      <c r="AE13878" s="54"/>
    </row>
    <row r="13879" spans="31:31">
      <c r="AE13879" s="54"/>
    </row>
    <row r="13880" spans="31:31">
      <c r="AE13880" s="54"/>
    </row>
    <row r="13881" spans="31:31">
      <c r="AE13881" s="54"/>
    </row>
    <row r="13882" spans="31:31">
      <c r="AE13882" s="54"/>
    </row>
    <row r="13883" spans="31:31">
      <c r="AE13883" s="54"/>
    </row>
    <row r="13884" spans="31:31">
      <c r="AE13884" s="54"/>
    </row>
    <row r="13885" spans="31:31">
      <c r="AE13885" s="54"/>
    </row>
    <row r="13886" spans="31:31">
      <c r="AE13886" s="54"/>
    </row>
    <row r="13887" spans="31:31">
      <c r="AE13887" s="54"/>
    </row>
    <row r="13888" spans="31:31">
      <c r="AE13888" s="54"/>
    </row>
    <row r="13889" spans="31:31">
      <c r="AE13889" s="54"/>
    </row>
    <row r="13890" spans="31:31">
      <c r="AE13890" s="54"/>
    </row>
    <row r="13891" spans="31:31">
      <c r="AE13891" s="54"/>
    </row>
    <row r="13892" spans="31:31">
      <c r="AE13892" s="54"/>
    </row>
    <row r="13893" spans="31:31">
      <c r="AE13893" s="54"/>
    </row>
    <row r="13894" spans="31:31">
      <c r="AE13894" s="54"/>
    </row>
    <row r="13895" spans="31:31">
      <c r="AE13895" s="54"/>
    </row>
    <row r="13896" spans="31:31">
      <c r="AE13896" s="54"/>
    </row>
    <row r="13897" spans="31:31">
      <c r="AE13897" s="54"/>
    </row>
    <row r="13898" spans="31:31">
      <c r="AE13898" s="54"/>
    </row>
    <row r="13899" spans="31:31">
      <c r="AE13899" s="54"/>
    </row>
    <row r="13900" spans="31:31">
      <c r="AE13900" s="54"/>
    </row>
    <row r="13901" spans="31:31">
      <c r="AE13901" s="54"/>
    </row>
    <row r="13902" spans="31:31">
      <c r="AE13902" s="54"/>
    </row>
    <row r="13903" spans="31:31">
      <c r="AE13903" s="54"/>
    </row>
    <row r="13904" spans="31:31">
      <c r="AE13904" s="54"/>
    </row>
    <row r="13905" spans="31:31">
      <c r="AE13905" s="54"/>
    </row>
    <row r="13906" spans="31:31">
      <c r="AE13906" s="54"/>
    </row>
    <row r="13907" spans="31:31">
      <c r="AE13907" s="54"/>
    </row>
    <row r="13908" spans="31:31">
      <c r="AE13908" s="54"/>
    </row>
    <row r="13909" spans="31:31">
      <c r="AE13909" s="54"/>
    </row>
    <row r="13910" spans="31:31">
      <c r="AE13910" s="54"/>
    </row>
    <row r="13911" spans="31:31">
      <c r="AE13911" s="54"/>
    </row>
    <row r="13912" spans="31:31">
      <c r="AE13912" s="54"/>
    </row>
    <row r="13913" spans="31:31">
      <c r="AE13913" s="54"/>
    </row>
    <row r="13914" spans="31:31">
      <c r="AE13914" s="54"/>
    </row>
    <row r="13915" spans="31:31">
      <c r="AE13915" s="54"/>
    </row>
    <row r="13916" spans="31:31">
      <c r="AE13916" s="54"/>
    </row>
    <row r="13917" spans="31:31">
      <c r="AE13917" s="54"/>
    </row>
    <row r="13918" spans="31:31">
      <c r="AE13918" s="54"/>
    </row>
    <row r="13919" spans="31:31">
      <c r="AE13919" s="54"/>
    </row>
    <row r="13920" spans="31:31">
      <c r="AE13920" s="54"/>
    </row>
    <row r="13921" spans="31:31">
      <c r="AE13921" s="54"/>
    </row>
    <row r="13922" spans="31:31">
      <c r="AE13922" s="54"/>
    </row>
    <row r="13923" spans="31:31">
      <c r="AE13923" s="54"/>
    </row>
    <row r="13924" spans="31:31">
      <c r="AE13924" s="54"/>
    </row>
    <row r="13925" spans="31:31">
      <c r="AE13925" s="54"/>
    </row>
    <row r="13926" spans="31:31">
      <c r="AE13926" s="54"/>
    </row>
    <row r="13927" spans="31:31">
      <c r="AE13927" s="54"/>
    </row>
    <row r="13928" spans="31:31">
      <c r="AE13928" s="54"/>
    </row>
    <row r="13929" spans="31:31">
      <c r="AE13929" s="54"/>
    </row>
    <row r="13930" spans="31:31">
      <c r="AE13930" s="54"/>
    </row>
    <row r="13931" spans="31:31">
      <c r="AE13931" s="54"/>
    </row>
    <row r="13932" spans="31:31">
      <c r="AE13932" s="54"/>
    </row>
    <row r="13933" spans="31:31">
      <c r="AE13933" s="54"/>
    </row>
    <row r="13934" spans="31:31">
      <c r="AE13934" s="54"/>
    </row>
    <row r="13935" spans="31:31">
      <c r="AE13935" s="54"/>
    </row>
    <row r="13936" spans="31:31">
      <c r="AE13936" s="54"/>
    </row>
    <row r="13937" spans="31:31">
      <c r="AE13937" s="54"/>
    </row>
    <row r="13938" spans="31:31">
      <c r="AE13938" s="54"/>
    </row>
    <row r="13939" spans="31:31">
      <c r="AE13939" s="54"/>
    </row>
    <row r="13940" spans="31:31">
      <c r="AE13940" s="54"/>
    </row>
    <row r="13941" spans="31:31">
      <c r="AE13941" s="54"/>
    </row>
    <row r="13942" spans="31:31">
      <c r="AE13942" s="54"/>
    </row>
    <row r="13943" spans="31:31">
      <c r="AE13943" s="54"/>
    </row>
    <row r="13944" spans="31:31">
      <c r="AE13944" s="54"/>
    </row>
    <row r="13945" spans="31:31">
      <c r="AE13945" s="54"/>
    </row>
    <row r="13946" spans="31:31">
      <c r="AE13946" s="54"/>
    </row>
    <row r="13947" spans="31:31">
      <c r="AE13947" s="54"/>
    </row>
    <row r="13948" spans="31:31">
      <c r="AE13948" s="54"/>
    </row>
    <row r="13949" spans="31:31">
      <c r="AE13949" s="54"/>
    </row>
    <row r="13950" spans="31:31">
      <c r="AE13950" s="54"/>
    </row>
    <row r="13951" spans="31:31">
      <c r="AE13951" s="54"/>
    </row>
    <row r="13952" spans="31:31">
      <c r="AE13952" s="54"/>
    </row>
    <row r="13953" spans="31:31">
      <c r="AE13953" s="54"/>
    </row>
    <row r="13954" spans="31:31">
      <c r="AE13954" s="54"/>
    </row>
    <row r="13955" spans="31:31">
      <c r="AE13955" s="54"/>
    </row>
    <row r="13956" spans="31:31">
      <c r="AE13956" s="54"/>
    </row>
    <row r="13957" spans="31:31">
      <c r="AE13957" s="54"/>
    </row>
    <row r="13958" spans="31:31">
      <c r="AE13958" s="54"/>
    </row>
    <row r="13959" spans="31:31">
      <c r="AE13959" s="54"/>
    </row>
    <row r="13960" spans="31:31">
      <c r="AE13960" s="54"/>
    </row>
    <row r="13961" spans="31:31">
      <c r="AE13961" s="54"/>
    </row>
    <row r="13962" spans="31:31">
      <c r="AE13962" s="54"/>
    </row>
    <row r="13963" spans="31:31">
      <c r="AE13963" s="54"/>
    </row>
    <row r="13964" spans="31:31">
      <c r="AE13964" s="54"/>
    </row>
    <row r="13965" spans="31:31">
      <c r="AE13965" s="54"/>
    </row>
    <row r="13966" spans="31:31">
      <c r="AE13966" s="54"/>
    </row>
    <row r="13967" spans="31:31">
      <c r="AE13967" s="54"/>
    </row>
    <row r="13968" spans="31:31">
      <c r="AE13968" s="54"/>
    </row>
    <row r="13969" spans="31:31">
      <c r="AE13969" s="54"/>
    </row>
    <row r="13970" spans="31:31">
      <c r="AE13970" s="54"/>
    </row>
    <row r="13971" spans="31:31">
      <c r="AE13971" s="54"/>
    </row>
    <row r="13972" spans="31:31">
      <c r="AE13972" s="54"/>
    </row>
    <row r="13973" spans="31:31">
      <c r="AE13973" s="54"/>
    </row>
    <row r="13974" spans="31:31">
      <c r="AE13974" s="54"/>
    </row>
    <row r="13975" spans="31:31">
      <c r="AE13975" s="54"/>
    </row>
    <row r="13976" spans="31:31">
      <c r="AE13976" s="54"/>
    </row>
    <row r="13977" spans="31:31">
      <c r="AE13977" s="54"/>
    </row>
    <row r="13978" spans="31:31">
      <c r="AE13978" s="54"/>
    </row>
    <row r="13979" spans="31:31">
      <c r="AE13979" s="54"/>
    </row>
    <row r="13980" spans="31:31">
      <c r="AE13980" s="54"/>
    </row>
    <row r="13981" spans="31:31">
      <c r="AE13981" s="54"/>
    </row>
    <row r="13982" spans="31:31">
      <c r="AE13982" s="54"/>
    </row>
    <row r="13983" spans="31:31">
      <c r="AE13983" s="54"/>
    </row>
    <row r="13984" spans="31:31">
      <c r="AE13984" s="54"/>
    </row>
    <row r="13985" spans="31:31">
      <c r="AE13985" s="54"/>
    </row>
    <row r="13986" spans="31:31">
      <c r="AE13986" s="54"/>
    </row>
    <row r="13987" spans="31:31">
      <c r="AE13987" s="54"/>
    </row>
    <row r="13988" spans="31:31">
      <c r="AE13988" s="54"/>
    </row>
    <row r="13989" spans="31:31">
      <c r="AE13989" s="54"/>
    </row>
    <row r="13990" spans="31:31">
      <c r="AE13990" s="54"/>
    </row>
    <row r="13991" spans="31:31">
      <c r="AE13991" s="54"/>
    </row>
    <row r="13992" spans="31:31">
      <c r="AE13992" s="54"/>
    </row>
    <row r="13993" spans="31:31">
      <c r="AE13993" s="54"/>
    </row>
    <row r="13994" spans="31:31">
      <c r="AE13994" s="54"/>
    </row>
    <row r="13995" spans="31:31">
      <c r="AE13995" s="54"/>
    </row>
    <row r="13996" spans="31:31">
      <c r="AE13996" s="54"/>
    </row>
    <row r="13997" spans="31:31">
      <c r="AE13997" s="54"/>
    </row>
    <row r="13998" spans="31:31">
      <c r="AE13998" s="54"/>
    </row>
    <row r="13999" spans="31:31">
      <c r="AE13999" s="54"/>
    </row>
    <row r="14000" spans="31:31">
      <c r="AE14000" s="54"/>
    </row>
    <row r="14001" spans="31:31">
      <c r="AE14001" s="54"/>
    </row>
    <row r="14002" spans="31:31">
      <c r="AE14002" s="54"/>
    </row>
    <row r="14003" spans="31:31">
      <c r="AE14003" s="54"/>
    </row>
    <row r="14004" spans="31:31">
      <c r="AE14004" s="54"/>
    </row>
    <row r="14005" spans="31:31">
      <c r="AE14005" s="54"/>
    </row>
    <row r="14006" spans="31:31">
      <c r="AE14006" s="54"/>
    </row>
    <row r="14007" spans="31:31">
      <c r="AE14007" s="54"/>
    </row>
    <row r="14008" spans="31:31">
      <c r="AE14008" s="54"/>
    </row>
    <row r="14009" spans="31:31">
      <c r="AE14009" s="54"/>
    </row>
    <row r="14010" spans="31:31">
      <c r="AE14010" s="54"/>
    </row>
    <row r="14011" spans="31:31">
      <c r="AE14011" s="54"/>
    </row>
    <row r="14012" spans="31:31">
      <c r="AE14012" s="54"/>
    </row>
    <row r="14013" spans="31:31">
      <c r="AE14013" s="54"/>
    </row>
    <row r="14014" spans="31:31">
      <c r="AE14014" s="54"/>
    </row>
    <row r="14015" spans="31:31">
      <c r="AE14015" s="54"/>
    </row>
    <row r="14016" spans="31:31">
      <c r="AE14016" s="54"/>
    </row>
    <row r="14017" spans="31:31">
      <c r="AE14017" s="54"/>
    </row>
    <row r="14018" spans="31:31">
      <c r="AE14018" s="54"/>
    </row>
    <row r="14019" spans="31:31">
      <c r="AE14019" s="54"/>
    </row>
    <row r="14020" spans="31:31">
      <c r="AE14020" s="54"/>
    </row>
    <row r="14021" spans="31:31">
      <c r="AE14021" s="54"/>
    </row>
    <row r="14022" spans="31:31">
      <c r="AE14022" s="54"/>
    </row>
    <row r="14023" spans="31:31">
      <c r="AE14023" s="54"/>
    </row>
    <row r="14024" spans="31:31">
      <c r="AE14024" s="54"/>
    </row>
    <row r="14025" spans="31:31">
      <c r="AE14025" s="54"/>
    </row>
    <row r="14026" spans="31:31">
      <c r="AE14026" s="54"/>
    </row>
    <row r="14027" spans="31:31">
      <c r="AE14027" s="54"/>
    </row>
    <row r="14028" spans="31:31">
      <c r="AE14028" s="54"/>
    </row>
    <row r="14029" spans="31:31">
      <c r="AE14029" s="54"/>
    </row>
    <row r="14030" spans="31:31">
      <c r="AE14030" s="54"/>
    </row>
    <row r="14031" spans="31:31">
      <c r="AE14031" s="54"/>
    </row>
    <row r="14032" spans="31:31">
      <c r="AE14032" s="54"/>
    </row>
    <row r="14033" spans="31:31">
      <c r="AE14033" s="54"/>
    </row>
    <row r="14034" spans="31:31">
      <c r="AE14034" s="54"/>
    </row>
    <row r="14035" spans="31:31">
      <c r="AE14035" s="54"/>
    </row>
    <row r="14036" spans="31:31">
      <c r="AE14036" s="54"/>
    </row>
    <row r="14037" spans="31:31">
      <c r="AE14037" s="54"/>
    </row>
    <row r="14038" spans="31:31">
      <c r="AE14038" s="54"/>
    </row>
    <row r="14039" spans="31:31">
      <c r="AE14039" s="54"/>
    </row>
    <row r="14040" spans="31:31">
      <c r="AE14040" s="54"/>
    </row>
    <row r="14041" spans="31:31">
      <c r="AE14041" s="54"/>
    </row>
    <row r="14042" spans="31:31">
      <c r="AE14042" s="54"/>
    </row>
    <row r="14043" spans="31:31">
      <c r="AE14043" s="54"/>
    </row>
    <row r="14044" spans="31:31">
      <c r="AE14044" s="54"/>
    </row>
    <row r="14045" spans="31:31">
      <c r="AE14045" s="54"/>
    </row>
    <row r="14046" spans="31:31">
      <c r="AE14046" s="54"/>
    </row>
    <row r="14047" spans="31:31">
      <c r="AE14047" s="54"/>
    </row>
    <row r="14048" spans="31:31">
      <c r="AE14048" s="54"/>
    </row>
    <row r="14049" spans="31:31">
      <c r="AE14049" s="54"/>
    </row>
    <row r="14050" spans="31:31">
      <c r="AE14050" s="54"/>
    </row>
    <row r="14051" spans="31:31">
      <c r="AE14051" s="54"/>
    </row>
    <row r="14052" spans="31:31">
      <c r="AE14052" s="54"/>
    </row>
    <row r="14053" spans="31:31">
      <c r="AE14053" s="54"/>
    </row>
    <row r="14054" spans="31:31">
      <c r="AE14054" s="54"/>
    </row>
    <row r="14055" spans="31:31">
      <c r="AE14055" s="54"/>
    </row>
    <row r="14056" spans="31:31">
      <c r="AE14056" s="54"/>
    </row>
    <row r="14057" spans="31:31">
      <c r="AE14057" s="54"/>
    </row>
    <row r="14058" spans="31:31">
      <c r="AE14058" s="54"/>
    </row>
    <row r="14059" spans="31:31">
      <c r="AE14059" s="54"/>
    </row>
    <row r="14060" spans="31:31">
      <c r="AE14060" s="54"/>
    </row>
    <row r="14061" spans="31:31">
      <c r="AE14061" s="54"/>
    </row>
    <row r="14062" spans="31:31">
      <c r="AE14062" s="54"/>
    </row>
    <row r="14063" spans="31:31">
      <c r="AE14063" s="54"/>
    </row>
    <row r="14064" spans="31:31">
      <c r="AE14064" s="54"/>
    </row>
    <row r="14065" spans="31:31">
      <c r="AE14065" s="54"/>
    </row>
    <row r="14066" spans="31:31">
      <c r="AE14066" s="54"/>
    </row>
    <row r="14067" spans="31:31">
      <c r="AE14067" s="54"/>
    </row>
    <row r="14068" spans="31:31">
      <c r="AE14068" s="54"/>
    </row>
    <row r="14069" spans="31:31">
      <c r="AE14069" s="54"/>
    </row>
    <row r="14070" spans="31:31">
      <c r="AE14070" s="54"/>
    </row>
    <row r="14071" spans="31:31">
      <c r="AE14071" s="54"/>
    </row>
    <row r="14072" spans="31:31">
      <c r="AE14072" s="54"/>
    </row>
    <row r="14073" spans="31:31">
      <c r="AE14073" s="54"/>
    </row>
    <row r="14074" spans="31:31">
      <c r="AE14074" s="54"/>
    </row>
    <row r="14075" spans="31:31">
      <c r="AE14075" s="54"/>
    </row>
    <row r="14076" spans="31:31">
      <c r="AE14076" s="54"/>
    </row>
    <row r="14077" spans="31:31">
      <c r="AE14077" s="54"/>
    </row>
    <row r="14078" spans="31:31">
      <c r="AE14078" s="54"/>
    </row>
    <row r="14079" spans="31:31">
      <c r="AE14079" s="54"/>
    </row>
    <row r="14080" spans="31:31">
      <c r="AE14080" s="54"/>
    </row>
    <row r="14081" spans="31:31">
      <c r="AE14081" s="54"/>
    </row>
    <row r="14082" spans="31:31">
      <c r="AE14082" s="54"/>
    </row>
    <row r="14083" spans="31:31">
      <c r="AE14083" s="54"/>
    </row>
    <row r="14084" spans="31:31">
      <c r="AE14084" s="54"/>
    </row>
    <row r="14085" spans="31:31">
      <c r="AE14085" s="54"/>
    </row>
    <row r="14086" spans="31:31">
      <c r="AE14086" s="54"/>
    </row>
    <row r="14087" spans="31:31">
      <c r="AE14087" s="54"/>
    </row>
    <row r="14088" spans="31:31">
      <c r="AE14088" s="54"/>
    </row>
    <row r="14089" spans="31:31">
      <c r="AE14089" s="54"/>
    </row>
    <row r="14090" spans="31:31">
      <c r="AE14090" s="54"/>
    </row>
    <row r="14091" spans="31:31">
      <c r="AE14091" s="54"/>
    </row>
    <row r="14092" spans="31:31">
      <c r="AE14092" s="54"/>
    </row>
    <row r="14093" spans="31:31">
      <c r="AE14093" s="54"/>
    </row>
    <row r="14094" spans="31:31">
      <c r="AE14094" s="54"/>
    </row>
    <row r="14095" spans="31:31">
      <c r="AE14095" s="54"/>
    </row>
    <row r="14096" spans="31:31">
      <c r="AE14096" s="54"/>
    </row>
    <row r="14097" spans="31:31">
      <c r="AE14097" s="54"/>
    </row>
    <row r="14098" spans="31:31">
      <c r="AE14098" s="54"/>
    </row>
    <row r="14099" spans="31:31">
      <c r="AE14099" s="54"/>
    </row>
    <row r="14100" spans="31:31">
      <c r="AE14100" s="54"/>
    </row>
    <row r="14101" spans="31:31">
      <c r="AE14101" s="54"/>
    </row>
    <row r="14102" spans="31:31">
      <c r="AE14102" s="54"/>
    </row>
    <row r="14103" spans="31:31">
      <c r="AE14103" s="54"/>
    </row>
    <row r="14104" spans="31:31">
      <c r="AE14104" s="54"/>
    </row>
    <row r="14105" spans="31:31">
      <c r="AE14105" s="54"/>
    </row>
    <row r="14106" spans="31:31">
      <c r="AE14106" s="54"/>
    </row>
    <row r="14107" spans="31:31">
      <c r="AE14107" s="54"/>
    </row>
    <row r="14108" spans="31:31">
      <c r="AE14108" s="54"/>
    </row>
    <row r="14109" spans="31:31">
      <c r="AE14109" s="54"/>
    </row>
    <row r="14110" spans="31:31">
      <c r="AE14110" s="54"/>
    </row>
    <row r="14111" spans="31:31">
      <c r="AE14111" s="54"/>
    </row>
    <row r="14112" spans="31:31">
      <c r="AE14112" s="54"/>
    </row>
    <row r="14113" spans="31:31">
      <c r="AE14113" s="54"/>
    </row>
    <row r="14114" spans="31:31">
      <c r="AE14114" s="54"/>
    </row>
    <row r="14115" spans="31:31">
      <c r="AE14115" s="54"/>
    </row>
    <row r="14116" spans="31:31">
      <c r="AE14116" s="54"/>
    </row>
    <row r="14117" spans="31:31">
      <c r="AE14117" s="54"/>
    </row>
    <row r="14118" spans="31:31">
      <c r="AE14118" s="54"/>
    </row>
    <row r="14119" spans="31:31">
      <c r="AE14119" s="54"/>
    </row>
    <row r="14120" spans="31:31">
      <c r="AE14120" s="54"/>
    </row>
    <row r="14121" spans="31:31">
      <c r="AE14121" s="54"/>
    </row>
    <row r="14122" spans="31:31">
      <c r="AE14122" s="54"/>
    </row>
    <row r="14123" spans="31:31">
      <c r="AE14123" s="54"/>
    </row>
    <row r="14124" spans="31:31">
      <c r="AE14124" s="54"/>
    </row>
    <row r="14125" spans="31:31">
      <c r="AE14125" s="54"/>
    </row>
    <row r="14126" spans="31:31">
      <c r="AE14126" s="54"/>
    </row>
    <row r="14127" spans="31:31">
      <c r="AE14127" s="54"/>
    </row>
    <row r="14128" spans="31:31">
      <c r="AE14128" s="54"/>
    </row>
    <row r="14129" spans="31:31">
      <c r="AE14129" s="54"/>
    </row>
    <row r="14130" spans="31:31">
      <c r="AE14130" s="54"/>
    </row>
    <row r="14131" spans="31:31">
      <c r="AE14131" s="54"/>
    </row>
    <row r="14132" spans="31:31">
      <c r="AE14132" s="54"/>
    </row>
    <row r="14133" spans="31:31">
      <c r="AE14133" s="54"/>
    </row>
    <row r="14134" spans="31:31">
      <c r="AE14134" s="54"/>
    </row>
    <row r="14135" spans="31:31">
      <c r="AE14135" s="54"/>
    </row>
    <row r="14136" spans="31:31">
      <c r="AE14136" s="54"/>
    </row>
    <row r="14137" spans="31:31">
      <c r="AE14137" s="54"/>
    </row>
    <row r="14138" spans="31:31">
      <c r="AE14138" s="54"/>
    </row>
    <row r="14139" spans="31:31">
      <c r="AE14139" s="54"/>
    </row>
    <row r="14140" spans="31:31">
      <c r="AE14140" s="54"/>
    </row>
    <row r="14141" spans="31:31">
      <c r="AE14141" s="54"/>
    </row>
    <row r="14142" spans="31:31">
      <c r="AE14142" s="54"/>
    </row>
    <row r="14143" spans="31:31">
      <c r="AE14143" s="54"/>
    </row>
    <row r="14144" spans="31:31">
      <c r="AE14144" s="54"/>
    </row>
    <row r="14145" spans="31:31">
      <c r="AE14145" s="54"/>
    </row>
    <row r="14146" spans="31:31">
      <c r="AE14146" s="54"/>
    </row>
    <row r="14147" spans="31:31">
      <c r="AE14147" s="54"/>
    </row>
    <row r="14148" spans="31:31">
      <c r="AE14148" s="54"/>
    </row>
    <row r="14149" spans="31:31">
      <c r="AE14149" s="54"/>
    </row>
    <row r="14150" spans="31:31">
      <c r="AE14150" s="54"/>
    </row>
    <row r="14151" spans="31:31">
      <c r="AE14151" s="54"/>
    </row>
    <row r="14152" spans="31:31">
      <c r="AE14152" s="54"/>
    </row>
    <row r="14153" spans="31:31">
      <c r="AE14153" s="54"/>
    </row>
    <row r="14154" spans="31:31">
      <c r="AE14154" s="54"/>
    </row>
    <row r="14155" spans="31:31">
      <c r="AE14155" s="54"/>
    </row>
    <row r="14156" spans="31:31">
      <c r="AE14156" s="54"/>
    </row>
    <row r="14157" spans="31:31">
      <c r="AE14157" s="54"/>
    </row>
    <row r="14158" spans="31:31">
      <c r="AE14158" s="54"/>
    </row>
    <row r="14159" spans="31:31">
      <c r="AE14159" s="54"/>
    </row>
    <row r="14160" spans="31:31">
      <c r="AE14160" s="54"/>
    </row>
    <row r="14161" spans="31:31">
      <c r="AE14161" s="54"/>
    </row>
    <row r="14162" spans="31:31">
      <c r="AE14162" s="54"/>
    </row>
    <row r="14163" spans="31:31">
      <c r="AE14163" s="54"/>
    </row>
    <row r="14164" spans="31:31">
      <c r="AE14164" s="54"/>
    </row>
    <row r="14165" spans="31:31">
      <c r="AE14165" s="54"/>
    </row>
    <row r="14166" spans="31:31">
      <c r="AE14166" s="54"/>
    </row>
    <row r="14167" spans="31:31">
      <c r="AE14167" s="54"/>
    </row>
    <row r="14168" spans="31:31">
      <c r="AE14168" s="54"/>
    </row>
    <row r="14169" spans="31:31">
      <c r="AE14169" s="54"/>
    </row>
    <row r="14170" spans="31:31">
      <c r="AE14170" s="54"/>
    </row>
    <row r="14171" spans="31:31">
      <c r="AE14171" s="54"/>
    </row>
    <row r="14172" spans="31:31">
      <c r="AE14172" s="54"/>
    </row>
    <row r="14173" spans="31:31">
      <c r="AE14173" s="54"/>
    </row>
    <row r="14174" spans="31:31">
      <c r="AE14174" s="54"/>
    </row>
    <row r="14175" spans="31:31">
      <c r="AE14175" s="54"/>
    </row>
    <row r="14176" spans="31:31">
      <c r="AE14176" s="54"/>
    </row>
    <row r="14177" spans="31:31">
      <c r="AE14177" s="54"/>
    </row>
    <row r="14178" spans="31:31">
      <c r="AE14178" s="54"/>
    </row>
    <row r="14179" spans="31:31">
      <c r="AE14179" s="54"/>
    </row>
    <row r="14180" spans="31:31">
      <c r="AE14180" s="54"/>
    </row>
    <row r="14181" spans="31:31">
      <c r="AE14181" s="54"/>
    </row>
    <row r="14182" spans="31:31">
      <c r="AE14182" s="54"/>
    </row>
    <row r="14183" spans="31:31">
      <c r="AE14183" s="54"/>
    </row>
    <row r="14184" spans="31:31">
      <c r="AE14184" s="54"/>
    </row>
    <row r="14185" spans="31:31">
      <c r="AE14185" s="54"/>
    </row>
    <row r="14186" spans="31:31">
      <c r="AE14186" s="54"/>
    </row>
    <row r="14187" spans="31:31">
      <c r="AE14187" s="54"/>
    </row>
    <row r="14188" spans="31:31">
      <c r="AE14188" s="54"/>
    </row>
    <row r="14189" spans="31:31">
      <c r="AE14189" s="54"/>
    </row>
    <row r="14190" spans="31:31">
      <c r="AE14190" s="54"/>
    </row>
    <row r="14191" spans="31:31">
      <c r="AE14191" s="54"/>
    </row>
    <row r="14192" spans="31:31">
      <c r="AE14192" s="54"/>
    </row>
    <row r="14193" spans="31:31">
      <c r="AE14193" s="54"/>
    </row>
    <row r="14194" spans="31:31">
      <c r="AE14194" s="54"/>
    </row>
    <row r="14195" spans="31:31">
      <c r="AE14195" s="54"/>
    </row>
    <row r="14196" spans="31:31">
      <c r="AE14196" s="54"/>
    </row>
    <row r="14197" spans="31:31">
      <c r="AE14197" s="54"/>
    </row>
    <row r="14198" spans="31:31">
      <c r="AE14198" s="54"/>
    </row>
    <row r="14199" spans="31:31">
      <c r="AE14199" s="54"/>
    </row>
    <row r="14200" spans="31:31">
      <c r="AE14200" s="54"/>
    </row>
    <row r="14201" spans="31:31">
      <c r="AE14201" s="54"/>
    </row>
    <row r="14202" spans="31:31">
      <c r="AE14202" s="54"/>
    </row>
    <row r="14203" spans="31:31">
      <c r="AE14203" s="54"/>
    </row>
    <row r="14204" spans="31:31">
      <c r="AE14204" s="54"/>
    </row>
    <row r="14205" spans="31:31">
      <c r="AE14205" s="54"/>
    </row>
    <row r="14206" spans="31:31">
      <c r="AE14206" s="54"/>
    </row>
    <row r="14207" spans="31:31">
      <c r="AE14207" s="54"/>
    </row>
    <row r="14208" spans="31:31">
      <c r="AE14208" s="54"/>
    </row>
    <row r="14209" spans="31:31">
      <c r="AE14209" s="54"/>
    </row>
    <row r="14210" spans="31:31">
      <c r="AE14210" s="54"/>
    </row>
    <row r="14211" spans="31:31">
      <c r="AE14211" s="54"/>
    </row>
    <row r="14212" spans="31:31">
      <c r="AE14212" s="54"/>
    </row>
    <row r="14213" spans="31:31">
      <c r="AE14213" s="54"/>
    </row>
    <row r="14214" spans="31:31">
      <c r="AE14214" s="54"/>
    </row>
    <row r="14215" spans="31:31">
      <c r="AE14215" s="54"/>
    </row>
    <row r="14216" spans="31:31">
      <c r="AE14216" s="54"/>
    </row>
    <row r="14217" spans="31:31">
      <c r="AE14217" s="54"/>
    </row>
    <row r="14218" spans="31:31">
      <c r="AE14218" s="54"/>
    </row>
    <row r="14219" spans="31:31">
      <c r="AE14219" s="54"/>
    </row>
    <row r="14220" spans="31:31">
      <c r="AE14220" s="54"/>
    </row>
    <row r="14221" spans="31:31">
      <c r="AE14221" s="54"/>
    </row>
    <row r="14222" spans="31:31">
      <c r="AE14222" s="54"/>
    </row>
    <row r="14223" spans="31:31">
      <c r="AE14223" s="54"/>
    </row>
    <row r="14224" spans="31:31">
      <c r="AE14224" s="54"/>
    </row>
    <row r="14225" spans="31:31">
      <c r="AE14225" s="54"/>
    </row>
    <row r="14226" spans="31:31">
      <c r="AE14226" s="54"/>
    </row>
    <row r="14227" spans="31:31">
      <c r="AE14227" s="54"/>
    </row>
    <row r="14228" spans="31:31">
      <c r="AE14228" s="54"/>
    </row>
    <row r="14229" spans="31:31">
      <c r="AE14229" s="54"/>
    </row>
    <row r="14230" spans="31:31">
      <c r="AE14230" s="54"/>
    </row>
    <row r="14231" spans="31:31">
      <c r="AE14231" s="54"/>
    </row>
    <row r="14232" spans="31:31">
      <c r="AE14232" s="54"/>
    </row>
    <row r="14233" spans="31:31">
      <c r="AE14233" s="54"/>
    </row>
    <row r="14234" spans="31:31">
      <c r="AE14234" s="54"/>
    </row>
    <row r="14235" spans="31:31">
      <c r="AE14235" s="54"/>
    </row>
    <row r="14236" spans="31:31">
      <c r="AE14236" s="54"/>
    </row>
    <row r="14237" spans="31:31">
      <c r="AE14237" s="54"/>
    </row>
    <row r="14238" spans="31:31">
      <c r="AE14238" s="54"/>
    </row>
    <row r="14239" spans="31:31">
      <c r="AE14239" s="54"/>
    </row>
    <row r="14240" spans="31:31">
      <c r="AE14240" s="54"/>
    </row>
    <row r="14241" spans="31:31">
      <c r="AE14241" s="54"/>
    </row>
    <row r="14242" spans="31:31">
      <c r="AE14242" s="54"/>
    </row>
    <row r="14243" spans="31:31">
      <c r="AE14243" s="54"/>
    </row>
    <row r="14244" spans="31:31">
      <c r="AE14244" s="54"/>
    </row>
    <row r="14245" spans="31:31">
      <c r="AE14245" s="54"/>
    </row>
    <row r="14246" spans="31:31">
      <c r="AE14246" s="54"/>
    </row>
    <row r="14247" spans="31:31">
      <c r="AE14247" s="54"/>
    </row>
    <row r="14248" spans="31:31">
      <c r="AE14248" s="54"/>
    </row>
    <row r="14249" spans="31:31">
      <c r="AE14249" s="54"/>
    </row>
    <row r="14250" spans="31:31">
      <c r="AE14250" s="54"/>
    </row>
    <row r="14251" spans="31:31">
      <c r="AE14251" s="54"/>
    </row>
    <row r="14252" spans="31:31">
      <c r="AE14252" s="54"/>
    </row>
    <row r="14253" spans="31:31">
      <c r="AE14253" s="54"/>
    </row>
    <row r="14254" spans="31:31">
      <c r="AE14254" s="54"/>
    </row>
    <row r="14255" spans="31:31">
      <c r="AE14255" s="54"/>
    </row>
    <row r="14256" spans="31:31">
      <c r="AE14256" s="54"/>
    </row>
    <row r="14257" spans="31:31">
      <c r="AE14257" s="54"/>
    </row>
    <row r="14258" spans="31:31">
      <c r="AE14258" s="54"/>
    </row>
    <row r="14259" spans="31:31">
      <c r="AE14259" s="54"/>
    </row>
    <row r="14260" spans="31:31">
      <c r="AE14260" s="54"/>
    </row>
    <row r="14261" spans="31:31">
      <c r="AE14261" s="54"/>
    </row>
    <row r="14262" spans="31:31">
      <c r="AE14262" s="54"/>
    </row>
    <row r="14263" spans="31:31">
      <c r="AE14263" s="54"/>
    </row>
    <row r="14264" spans="31:31">
      <c r="AE14264" s="54"/>
    </row>
    <row r="14265" spans="31:31">
      <c r="AE14265" s="54"/>
    </row>
    <row r="14266" spans="31:31">
      <c r="AE14266" s="54"/>
    </row>
    <row r="14267" spans="31:31">
      <c r="AE14267" s="54"/>
    </row>
    <row r="14268" spans="31:31">
      <c r="AE14268" s="54"/>
    </row>
    <row r="14269" spans="31:31">
      <c r="AE14269" s="54"/>
    </row>
    <row r="14270" spans="31:31">
      <c r="AE14270" s="54"/>
    </row>
    <row r="14271" spans="31:31">
      <c r="AE14271" s="54"/>
    </row>
    <row r="14272" spans="31:31">
      <c r="AE14272" s="54"/>
    </row>
    <row r="14273" spans="31:31">
      <c r="AE14273" s="54"/>
    </row>
    <row r="14274" spans="31:31">
      <c r="AE14274" s="54"/>
    </row>
    <row r="14275" spans="31:31">
      <c r="AE14275" s="54"/>
    </row>
    <row r="14276" spans="31:31">
      <c r="AE14276" s="54"/>
    </row>
    <row r="14277" spans="31:31">
      <c r="AE14277" s="54"/>
    </row>
    <row r="14278" spans="31:31">
      <c r="AE14278" s="54"/>
    </row>
    <row r="14279" spans="31:31">
      <c r="AE14279" s="54"/>
    </row>
    <row r="14280" spans="31:31">
      <c r="AE14280" s="54"/>
    </row>
    <row r="14281" spans="31:31">
      <c r="AE14281" s="54"/>
    </row>
    <row r="14282" spans="31:31">
      <c r="AE14282" s="54"/>
    </row>
    <row r="14283" spans="31:31">
      <c r="AE14283" s="54"/>
    </row>
    <row r="14284" spans="31:31">
      <c r="AE14284" s="54"/>
    </row>
    <row r="14285" spans="31:31">
      <c r="AE14285" s="54"/>
    </row>
    <row r="14286" spans="31:31">
      <c r="AE14286" s="54"/>
    </row>
    <row r="14287" spans="31:31">
      <c r="AE14287" s="54"/>
    </row>
    <row r="14288" spans="31:31">
      <c r="AE14288" s="54"/>
    </row>
    <row r="14289" spans="31:31">
      <c r="AE14289" s="54"/>
    </row>
    <row r="14290" spans="31:31">
      <c r="AE14290" s="54"/>
    </row>
    <row r="14291" spans="31:31">
      <c r="AE14291" s="54"/>
    </row>
    <row r="14292" spans="31:31">
      <c r="AE14292" s="54"/>
    </row>
    <row r="14293" spans="31:31">
      <c r="AE14293" s="54"/>
    </row>
    <row r="14294" spans="31:31">
      <c r="AE14294" s="54"/>
    </row>
    <row r="14295" spans="31:31">
      <c r="AE14295" s="54"/>
    </row>
    <row r="14296" spans="31:31">
      <c r="AE14296" s="54"/>
    </row>
    <row r="14297" spans="31:31">
      <c r="AE14297" s="54"/>
    </row>
    <row r="14298" spans="31:31">
      <c r="AE14298" s="54"/>
    </row>
    <row r="14299" spans="31:31">
      <c r="AE14299" s="54"/>
    </row>
    <row r="14300" spans="31:31">
      <c r="AE14300" s="54"/>
    </row>
    <row r="14301" spans="31:31">
      <c r="AE14301" s="54"/>
    </row>
    <row r="14302" spans="31:31">
      <c r="AE14302" s="54"/>
    </row>
    <row r="14303" spans="31:31">
      <c r="AE14303" s="54"/>
    </row>
    <row r="14304" spans="31:31">
      <c r="AE14304" s="54"/>
    </row>
    <row r="14305" spans="31:31">
      <c r="AE14305" s="54"/>
    </row>
    <row r="14306" spans="31:31">
      <c r="AE14306" s="54"/>
    </row>
    <row r="14307" spans="31:31">
      <c r="AE14307" s="54"/>
    </row>
    <row r="14308" spans="31:31">
      <c r="AE14308" s="54"/>
    </row>
    <row r="14309" spans="31:31">
      <c r="AE14309" s="54"/>
    </row>
    <row r="14310" spans="31:31">
      <c r="AE14310" s="54"/>
    </row>
    <row r="14311" spans="31:31">
      <c r="AE14311" s="54"/>
    </row>
    <row r="14312" spans="31:31">
      <c r="AE14312" s="54"/>
    </row>
    <row r="14313" spans="31:31">
      <c r="AE14313" s="54"/>
    </row>
    <row r="14314" spans="31:31">
      <c r="AE14314" s="54"/>
    </row>
    <row r="14315" spans="31:31">
      <c r="AE14315" s="54"/>
    </row>
    <row r="14316" spans="31:31">
      <c r="AE14316" s="54"/>
    </row>
    <row r="14317" spans="31:31">
      <c r="AE14317" s="54"/>
    </row>
    <row r="14318" spans="31:31">
      <c r="AE14318" s="54"/>
    </row>
    <row r="14319" spans="31:31">
      <c r="AE14319" s="54"/>
    </row>
    <row r="14320" spans="31:31">
      <c r="AE14320" s="54"/>
    </row>
    <row r="14321" spans="31:31">
      <c r="AE14321" s="54"/>
    </row>
    <row r="14322" spans="31:31">
      <c r="AE14322" s="54"/>
    </row>
    <row r="14323" spans="31:31">
      <c r="AE14323" s="54"/>
    </row>
    <row r="14324" spans="31:31">
      <c r="AE14324" s="54"/>
    </row>
    <row r="14325" spans="31:31">
      <c r="AE14325" s="54"/>
    </row>
    <row r="14326" spans="31:31">
      <c r="AE14326" s="54"/>
    </row>
    <row r="14327" spans="31:31">
      <c r="AE14327" s="54"/>
    </row>
    <row r="14328" spans="31:31">
      <c r="AE14328" s="54"/>
    </row>
    <row r="14329" spans="31:31">
      <c r="AE14329" s="54"/>
    </row>
    <row r="14330" spans="31:31">
      <c r="AE14330" s="54"/>
    </row>
    <row r="14331" spans="31:31">
      <c r="AE14331" s="54"/>
    </row>
    <row r="14332" spans="31:31">
      <c r="AE14332" s="54"/>
    </row>
    <row r="14333" spans="31:31">
      <c r="AE14333" s="54"/>
    </row>
    <row r="14334" spans="31:31">
      <c r="AE14334" s="54"/>
    </row>
    <row r="14335" spans="31:31">
      <c r="AE14335" s="54"/>
    </row>
    <row r="14336" spans="31:31">
      <c r="AE14336" s="54"/>
    </row>
    <row r="14337" spans="31:31">
      <c r="AE14337" s="54"/>
    </row>
    <row r="14338" spans="31:31">
      <c r="AE14338" s="54"/>
    </row>
    <row r="14339" spans="31:31">
      <c r="AE14339" s="54"/>
    </row>
    <row r="14340" spans="31:31">
      <c r="AE14340" s="54"/>
    </row>
    <row r="14341" spans="31:31">
      <c r="AE14341" s="54"/>
    </row>
    <row r="14342" spans="31:31">
      <c r="AE14342" s="54"/>
    </row>
    <row r="14343" spans="31:31">
      <c r="AE14343" s="54"/>
    </row>
    <row r="14344" spans="31:31">
      <c r="AE14344" s="54"/>
    </row>
    <row r="14345" spans="31:31">
      <c r="AE14345" s="54"/>
    </row>
    <row r="14346" spans="31:31">
      <c r="AE14346" s="54"/>
    </row>
    <row r="14347" spans="31:31">
      <c r="AE14347" s="54"/>
    </row>
    <row r="14348" spans="31:31">
      <c r="AE14348" s="54"/>
    </row>
    <row r="14349" spans="31:31">
      <c r="AE14349" s="54"/>
    </row>
    <row r="14350" spans="31:31">
      <c r="AE14350" s="54"/>
    </row>
    <row r="14351" spans="31:31">
      <c r="AE14351" s="54"/>
    </row>
    <row r="14352" spans="31:31">
      <c r="AE14352" s="54"/>
    </row>
    <row r="14353" spans="31:31">
      <c r="AE14353" s="54"/>
    </row>
    <row r="14354" spans="31:31">
      <c r="AE14354" s="54"/>
    </row>
    <row r="14355" spans="31:31">
      <c r="AE14355" s="54"/>
    </row>
    <row r="14356" spans="31:31">
      <c r="AE14356" s="54"/>
    </row>
    <row r="14357" spans="31:31">
      <c r="AE14357" s="54"/>
    </row>
    <row r="14358" spans="31:31">
      <c r="AE14358" s="54"/>
    </row>
    <row r="14359" spans="31:31">
      <c r="AE14359" s="54"/>
    </row>
    <row r="14360" spans="31:31">
      <c r="AE14360" s="54"/>
    </row>
    <row r="14361" spans="31:31">
      <c r="AE14361" s="54"/>
    </row>
    <row r="14362" spans="31:31">
      <c r="AE14362" s="54"/>
    </row>
    <row r="14363" spans="31:31">
      <c r="AE14363" s="54"/>
    </row>
    <row r="14364" spans="31:31">
      <c r="AE14364" s="54"/>
    </row>
    <row r="14365" spans="31:31">
      <c r="AE14365" s="54"/>
    </row>
    <row r="14366" spans="31:31">
      <c r="AE14366" s="54"/>
    </row>
    <row r="14367" spans="31:31">
      <c r="AE14367" s="54"/>
    </row>
    <row r="14368" spans="31:31">
      <c r="AE14368" s="54"/>
    </row>
    <row r="14369" spans="31:31">
      <c r="AE14369" s="54"/>
    </row>
    <row r="14370" spans="31:31">
      <c r="AE14370" s="54"/>
    </row>
    <row r="14371" spans="31:31">
      <c r="AE14371" s="54"/>
    </row>
    <row r="14372" spans="31:31">
      <c r="AE14372" s="54"/>
    </row>
    <row r="14373" spans="31:31">
      <c r="AE14373" s="54"/>
    </row>
    <row r="14374" spans="31:31">
      <c r="AE14374" s="54"/>
    </row>
    <row r="14375" spans="31:31">
      <c r="AE14375" s="54"/>
    </row>
    <row r="14376" spans="31:31">
      <c r="AE14376" s="54"/>
    </row>
    <row r="14377" spans="31:31">
      <c r="AE14377" s="54"/>
    </row>
    <row r="14378" spans="31:31">
      <c r="AE14378" s="54"/>
    </row>
    <row r="14379" spans="31:31">
      <c r="AE14379" s="54"/>
    </row>
    <row r="14380" spans="31:31">
      <c r="AE14380" s="54"/>
    </row>
    <row r="14381" spans="31:31">
      <c r="AE14381" s="54"/>
    </row>
    <row r="14382" spans="31:31">
      <c r="AE14382" s="54"/>
    </row>
    <row r="14383" spans="31:31">
      <c r="AE14383" s="54"/>
    </row>
    <row r="14384" spans="31:31">
      <c r="AE14384" s="54"/>
    </row>
    <row r="14385" spans="31:31">
      <c r="AE14385" s="54"/>
    </row>
    <row r="14386" spans="31:31">
      <c r="AE14386" s="54"/>
    </row>
    <row r="14387" spans="31:31">
      <c r="AE14387" s="54"/>
    </row>
    <row r="14388" spans="31:31">
      <c r="AE14388" s="54"/>
    </row>
    <row r="14389" spans="31:31">
      <c r="AE14389" s="54"/>
    </row>
    <row r="14390" spans="31:31">
      <c r="AE14390" s="54"/>
    </row>
    <row r="14391" spans="31:31">
      <c r="AE14391" s="54"/>
    </row>
    <row r="14392" spans="31:31">
      <c r="AE14392" s="54"/>
    </row>
    <row r="14393" spans="31:31">
      <c r="AE14393" s="54"/>
    </row>
    <row r="14394" spans="31:31">
      <c r="AE14394" s="54"/>
    </row>
    <row r="14395" spans="31:31">
      <c r="AE14395" s="54"/>
    </row>
    <row r="14396" spans="31:31">
      <c r="AE14396" s="54"/>
    </row>
    <row r="14397" spans="31:31">
      <c r="AE14397" s="54"/>
    </row>
    <row r="14398" spans="31:31">
      <c r="AE14398" s="54"/>
    </row>
    <row r="14399" spans="31:31">
      <c r="AE14399" s="54"/>
    </row>
    <row r="14400" spans="31:31">
      <c r="AE14400" s="54"/>
    </row>
    <row r="14401" spans="31:31">
      <c r="AE14401" s="54"/>
    </row>
    <row r="14402" spans="31:31">
      <c r="AE14402" s="54"/>
    </row>
    <row r="14403" spans="31:31">
      <c r="AE14403" s="54"/>
    </row>
    <row r="14404" spans="31:31">
      <c r="AE14404" s="54"/>
    </row>
    <row r="14405" spans="31:31">
      <c r="AE14405" s="54"/>
    </row>
    <row r="14406" spans="31:31">
      <c r="AE14406" s="54"/>
    </row>
    <row r="14407" spans="31:31">
      <c r="AE14407" s="54"/>
    </row>
    <row r="14408" spans="31:31">
      <c r="AE14408" s="54"/>
    </row>
    <row r="14409" spans="31:31">
      <c r="AE14409" s="54"/>
    </row>
    <row r="14410" spans="31:31">
      <c r="AE14410" s="54"/>
    </row>
    <row r="14411" spans="31:31">
      <c r="AE14411" s="54"/>
    </row>
    <row r="14412" spans="31:31">
      <c r="AE14412" s="54"/>
    </row>
    <row r="14413" spans="31:31">
      <c r="AE14413" s="54"/>
    </row>
    <row r="14414" spans="31:31">
      <c r="AE14414" s="54"/>
    </row>
    <row r="14415" spans="31:31">
      <c r="AE14415" s="54"/>
    </row>
    <row r="14416" spans="31:31">
      <c r="AE14416" s="54"/>
    </row>
    <row r="14417" spans="31:31">
      <c r="AE14417" s="54"/>
    </row>
    <row r="14418" spans="31:31">
      <c r="AE14418" s="54"/>
    </row>
    <row r="14419" spans="31:31">
      <c r="AE14419" s="54"/>
    </row>
    <row r="14420" spans="31:31">
      <c r="AE14420" s="54"/>
    </row>
    <row r="14421" spans="31:31">
      <c r="AE14421" s="54"/>
    </row>
    <row r="14422" spans="31:31">
      <c r="AE14422" s="54"/>
    </row>
    <row r="14423" spans="31:31">
      <c r="AE14423" s="54"/>
    </row>
    <row r="14424" spans="31:31">
      <c r="AE14424" s="54"/>
    </row>
    <row r="14425" spans="31:31">
      <c r="AE14425" s="54"/>
    </row>
    <row r="14426" spans="31:31">
      <c r="AE14426" s="54"/>
    </row>
    <row r="14427" spans="31:31">
      <c r="AE14427" s="54"/>
    </row>
    <row r="14428" spans="31:31">
      <c r="AE14428" s="54"/>
    </row>
    <row r="14429" spans="31:31">
      <c r="AE14429" s="54"/>
    </row>
    <row r="14430" spans="31:31">
      <c r="AE14430" s="54"/>
    </row>
    <row r="14431" spans="31:31">
      <c r="AE14431" s="54"/>
    </row>
    <row r="14432" spans="31:31">
      <c r="AE14432" s="54"/>
    </row>
    <row r="14433" spans="31:31">
      <c r="AE14433" s="54"/>
    </row>
    <row r="14434" spans="31:31">
      <c r="AE14434" s="54"/>
    </row>
    <row r="14435" spans="31:31">
      <c r="AE14435" s="54"/>
    </row>
    <row r="14436" spans="31:31">
      <c r="AE14436" s="54"/>
    </row>
    <row r="14437" spans="31:31">
      <c r="AE14437" s="54"/>
    </row>
    <row r="14438" spans="31:31">
      <c r="AE14438" s="54"/>
    </row>
    <row r="14439" spans="31:31">
      <c r="AE14439" s="54"/>
    </row>
    <row r="14440" spans="31:31">
      <c r="AE14440" s="54"/>
    </row>
    <row r="14441" spans="31:31">
      <c r="AE14441" s="54"/>
    </row>
    <row r="14442" spans="31:31">
      <c r="AE14442" s="54"/>
    </row>
    <row r="14443" spans="31:31">
      <c r="AE14443" s="54"/>
    </row>
    <row r="14444" spans="31:31">
      <c r="AE14444" s="54"/>
    </row>
    <row r="14445" spans="31:31">
      <c r="AE14445" s="54"/>
    </row>
    <row r="14446" spans="31:31">
      <c r="AE14446" s="54"/>
    </row>
    <row r="14447" spans="31:31">
      <c r="AE14447" s="54"/>
    </row>
    <row r="14448" spans="31:31">
      <c r="AE14448" s="54"/>
    </row>
    <row r="14449" spans="31:31">
      <c r="AE14449" s="54"/>
    </row>
    <row r="14450" spans="31:31">
      <c r="AE14450" s="54"/>
    </row>
    <row r="14451" spans="31:31">
      <c r="AE14451" s="54"/>
    </row>
    <row r="14452" spans="31:31">
      <c r="AE14452" s="54"/>
    </row>
    <row r="14453" spans="31:31">
      <c r="AE14453" s="54"/>
    </row>
    <row r="14454" spans="31:31">
      <c r="AE14454" s="54"/>
    </row>
    <row r="14455" spans="31:31">
      <c r="AE14455" s="54"/>
    </row>
    <row r="14456" spans="31:31">
      <c r="AE14456" s="54"/>
    </row>
    <row r="14457" spans="31:31">
      <c r="AE14457" s="54"/>
    </row>
    <row r="14458" spans="31:31">
      <c r="AE14458" s="54"/>
    </row>
    <row r="14459" spans="31:31">
      <c r="AE14459" s="54"/>
    </row>
    <row r="14460" spans="31:31">
      <c r="AE14460" s="54"/>
    </row>
    <row r="14461" spans="31:31">
      <c r="AE14461" s="54"/>
    </row>
    <row r="14462" spans="31:31">
      <c r="AE14462" s="54"/>
    </row>
    <row r="14463" spans="31:31">
      <c r="AE14463" s="54"/>
    </row>
    <row r="14464" spans="31:31">
      <c r="AE14464" s="54"/>
    </row>
    <row r="14465" spans="31:31">
      <c r="AE14465" s="54"/>
    </row>
    <row r="14466" spans="31:31">
      <c r="AE14466" s="54"/>
    </row>
    <row r="14467" spans="31:31">
      <c r="AE14467" s="54"/>
    </row>
    <row r="14468" spans="31:31">
      <c r="AE14468" s="54"/>
    </row>
    <row r="14469" spans="31:31">
      <c r="AE14469" s="54"/>
    </row>
    <row r="14470" spans="31:31">
      <c r="AE14470" s="54"/>
    </row>
    <row r="14471" spans="31:31">
      <c r="AE14471" s="54"/>
    </row>
    <row r="14472" spans="31:31">
      <c r="AE14472" s="54"/>
    </row>
    <row r="14473" spans="31:31">
      <c r="AE14473" s="54"/>
    </row>
    <row r="14474" spans="31:31">
      <c r="AE14474" s="54"/>
    </row>
    <row r="14475" spans="31:31">
      <c r="AE14475" s="54"/>
    </row>
    <row r="14476" spans="31:31">
      <c r="AE14476" s="54"/>
    </row>
    <row r="14477" spans="31:31">
      <c r="AE14477" s="54"/>
    </row>
    <row r="14478" spans="31:31">
      <c r="AE14478" s="54"/>
    </row>
    <row r="14479" spans="31:31">
      <c r="AE14479" s="54"/>
    </row>
    <row r="14480" spans="31:31">
      <c r="AE14480" s="54"/>
    </row>
    <row r="14481" spans="31:31">
      <c r="AE14481" s="54"/>
    </row>
    <row r="14482" spans="31:31">
      <c r="AE14482" s="54"/>
    </row>
    <row r="14483" spans="31:31">
      <c r="AE14483" s="54"/>
    </row>
    <row r="14484" spans="31:31">
      <c r="AE14484" s="54"/>
    </row>
    <row r="14485" spans="31:31">
      <c r="AE14485" s="54"/>
    </row>
    <row r="14486" spans="31:31">
      <c r="AE14486" s="54"/>
    </row>
    <row r="14487" spans="31:31">
      <c r="AE14487" s="54"/>
    </row>
    <row r="14488" spans="31:31">
      <c r="AE14488" s="54"/>
    </row>
    <row r="14489" spans="31:31">
      <c r="AE14489" s="54"/>
    </row>
    <row r="14490" spans="31:31">
      <c r="AE14490" s="54"/>
    </row>
    <row r="14491" spans="31:31">
      <c r="AE14491" s="54"/>
    </row>
    <row r="14492" spans="31:31">
      <c r="AE14492" s="54"/>
    </row>
    <row r="14493" spans="31:31">
      <c r="AE14493" s="54"/>
    </row>
    <row r="14494" spans="31:31">
      <c r="AE14494" s="54"/>
    </row>
    <row r="14495" spans="31:31">
      <c r="AE14495" s="54"/>
    </row>
    <row r="14496" spans="31:31">
      <c r="AE14496" s="54"/>
    </row>
    <row r="14497" spans="31:31">
      <c r="AE14497" s="54"/>
    </row>
    <row r="14498" spans="31:31">
      <c r="AE14498" s="54"/>
    </row>
    <row r="14499" spans="31:31">
      <c r="AE14499" s="54"/>
    </row>
    <row r="14500" spans="31:31">
      <c r="AE14500" s="54"/>
    </row>
    <row r="14501" spans="31:31">
      <c r="AE14501" s="54"/>
    </row>
    <row r="14502" spans="31:31">
      <c r="AE14502" s="54"/>
    </row>
    <row r="14503" spans="31:31">
      <c r="AE14503" s="54"/>
    </row>
    <row r="14504" spans="31:31">
      <c r="AE14504" s="54"/>
    </row>
    <row r="14505" spans="31:31">
      <c r="AE14505" s="54"/>
    </row>
    <row r="14506" spans="31:31">
      <c r="AE14506" s="54"/>
    </row>
    <row r="14507" spans="31:31">
      <c r="AE14507" s="54"/>
    </row>
    <row r="14508" spans="31:31">
      <c r="AE14508" s="54"/>
    </row>
    <row r="14509" spans="31:31">
      <c r="AE14509" s="54"/>
    </row>
    <row r="14510" spans="31:31">
      <c r="AE14510" s="54"/>
    </row>
    <row r="14511" spans="31:31">
      <c r="AE14511" s="54"/>
    </row>
    <row r="14512" spans="31:31">
      <c r="AE14512" s="54"/>
    </row>
    <row r="14513" spans="31:31">
      <c r="AE14513" s="54"/>
    </row>
    <row r="14514" spans="31:31">
      <c r="AE14514" s="54"/>
    </row>
    <row r="14515" spans="31:31">
      <c r="AE14515" s="54"/>
    </row>
    <row r="14516" spans="31:31">
      <c r="AE14516" s="54"/>
    </row>
    <row r="14517" spans="31:31">
      <c r="AE14517" s="54"/>
    </row>
    <row r="14518" spans="31:31">
      <c r="AE14518" s="54"/>
    </row>
    <row r="14519" spans="31:31">
      <c r="AE14519" s="54"/>
    </row>
    <row r="14520" spans="31:31">
      <c r="AE14520" s="54"/>
    </row>
    <row r="14521" spans="31:31">
      <c r="AE14521" s="54"/>
    </row>
    <row r="14522" spans="31:31">
      <c r="AE14522" s="54"/>
    </row>
    <row r="14523" spans="31:31">
      <c r="AE14523" s="54"/>
    </row>
    <row r="14524" spans="31:31">
      <c r="AE14524" s="54"/>
    </row>
    <row r="14525" spans="31:31">
      <c r="AE14525" s="54"/>
    </row>
    <row r="14526" spans="31:31">
      <c r="AE14526" s="54"/>
    </row>
    <row r="14527" spans="31:31">
      <c r="AE14527" s="54"/>
    </row>
    <row r="14528" spans="31:31">
      <c r="AE14528" s="54"/>
    </row>
    <row r="14529" spans="31:31">
      <c r="AE14529" s="54"/>
    </row>
    <row r="14530" spans="31:31">
      <c r="AE14530" s="54"/>
    </row>
    <row r="14531" spans="31:31">
      <c r="AE14531" s="54"/>
    </row>
    <row r="14532" spans="31:31">
      <c r="AE14532" s="54"/>
    </row>
    <row r="14533" spans="31:31">
      <c r="AE14533" s="54"/>
    </row>
    <row r="14534" spans="31:31">
      <c r="AE14534" s="54"/>
    </row>
    <row r="14535" spans="31:31">
      <c r="AE14535" s="54"/>
    </row>
    <row r="14536" spans="31:31">
      <c r="AE14536" s="54"/>
    </row>
    <row r="14537" spans="31:31">
      <c r="AE14537" s="54"/>
    </row>
    <row r="14538" spans="31:31">
      <c r="AE14538" s="54"/>
    </row>
    <row r="14539" spans="31:31">
      <c r="AE14539" s="54"/>
    </row>
    <row r="14540" spans="31:31">
      <c r="AE14540" s="54"/>
    </row>
    <row r="14541" spans="31:31">
      <c r="AE14541" s="54"/>
    </row>
    <row r="14542" spans="31:31">
      <c r="AE14542" s="54"/>
    </row>
    <row r="14543" spans="31:31">
      <c r="AE14543" s="54"/>
    </row>
    <row r="14544" spans="31:31">
      <c r="AE14544" s="54"/>
    </row>
    <row r="14545" spans="31:31">
      <c r="AE14545" s="54"/>
    </row>
    <row r="14546" spans="31:31">
      <c r="AE14546" s="54"/>
    </row>
    <row r="14547" spans="31:31">
      <c r="AE14547" s="54"/>
    </row>
    <row r="14548" spans="31:31">
      <c r="AE14548" s="54"/>
    </row>
    <row r="14549" spans="31:31">
      <c r="AE14549" s="54"/>
    </row>
    <row r="14550" spans="31:31">
      <c r="AE14550" s="54"/>
    </row>
    <row r="14551" spans="31:31">
      <c r="AE14551" s="54"/>
    </row>
    <row r="14552" spans="31:31">
      <c r="AE14552" s="54"/>
    </row>
    <row r="14553" spans="31:31">
      <c r="AE14553" s="54"/>
    </row>
    <row r="14554" spans="31:31">
      <c r="AE14554" s="54"/>
    </row>
    <row r="14555" spans="31:31">
      <c r="AE14555" s="54"/>
    </row>
    <row r="14556" spans="31:31">
      <c r="AE14556" s="54"/>
    </row>
    <row r="14557" spans="31:31">
      <c r="AE14557" s="54"/>
    </row>
    <row r="14558" spans="31:31">
      <c r="AE14558" s="54"/>
    </row>
    <row r="14559" spans="31:31">
      <c r="AE14559" s="54"/>
    </row>
    <row r="14560" spans="31:31">
      <c r="AE14560" s="54"/>
    </row>
    <row r="14561" spans="31:31">
      <c r="AE14561" s="54"/>
    </row>
    <row r="14562" spans="31:31">
      <c r="AE14562" s="54"/>
    </row>
    <row r="14563" spans="31:31">
      <c r="AE14563" s="54"/>
    </row>
    <row r="14564" spans="31:31">
      <c r="AE14564" s="54"/>
    </row>
    <row r="14565" spans="31:31">
      <c r="AE14565" s="54"/>
    </row>
    <row r="14566" spans="31:31">
      <c r="AE14566" s="54"/>
    </row>
    <row r="14567" spans="31:31">
      <c r="AE14567" s="54"/>
    </row>
    <row r="14568" spans="31:31">
      <c r="AE14568" s="54"/>
    </row>
    <row r="14569" spans="31:31">
      <c r="AE14569" s="54"/>
    </row>
    <row r="14570" spans="31:31">
      <c r="AE14570" s="54"/>
    </row>
    <row r="14571" spans="31:31">
      <c r="AE14571" s="54"/>
    </row>
    <row r="14572" spans="31:31">
      <c r="AE14572" s="54"/>
    </row>
    <row r="14573" spans="31:31">
      <c r="AE14573" s="54"/>
    </row>
    <row r="14574" spans="31:31">
      <c r="AE14574" s="54"/>
    </row>
    <row r="14575" spans="31:31">
      <c r="AE14575" s="54"/>
    </row>
    <row r="14576" spans="31:31">
      <c r="AE14576" s="54"/>
    </row>
    <row r="14577" spans="31:31">
      <c r="AE14577" s="54"/>
    </row>
    <row r="14578" spans="31:31">
      <c r="AE14578" s="54"/>
    </row>
    <row r="14579" spans="31:31">
      <c r="AE14579" s="54"/>
    </row>
    <row r="14580" spans="31:31">
      <c r="AE14580" s="54"/>
    </row>
    <row r="14581" spans="31:31">
      <c r="AE14581" s="54"/>
    </row>
    <row r="14582" spans="31:31">
      <c r="AE14582" s="54"/>
    </row>
    <row r="14583" spans="31:31">
      <c r="AE14583" s="54"/>
    </row>
    <row r="14584" spans="31:31">
      <c r="AE14584" s="54"/>
    </row>
    <row r="14585" spans="31:31">
      <c r="AE14585" s="54"/>
    </row>
    <row r="14586" spans="31:31">
      <c r="AE14586" s="54"/>
    </row>
    <row r="14587" spans="31:31">
      <c r="AE14587" s="54"/>
    </row>
    <row r="14588" spans="31:31">
      <c r="AE14588" s="54"/>
    </row>
    <row r="14589" spans="31:31">
      <c r="AE14589" s="54"/>
    </row>
    <row r="14590" spans="31:31">
      <c r="AE14590" s="54"/>
    </row>
    <row r="14591" spans="31:31">
      <c r="AE14591" s="54"/>
    </row>
    <row r="14592" spans="31:31">
      <c r="AE14592" s="54"/>
    </row>
    <row r="14593" spans="31:31">
      <c r="AE14593" s="54"/>
    </row>
    <row r="14594" spans="31:31">
      <c r="AE14594" s="54"/>
    </row>
    <row r="14595" spans="31:31">
      <c r="AE14595" s="54"/>
    </row>
    <row r="14596" spans="31:31">
      <c r="AE14596" s="54"/>
    </row>
    <row r="14597" spans="31:31">
      <c r="AE14597" s="54"/>
    </row>
    <row r="14598" spans="31:31">
      <c r="AE14598" s="54"/>
    </row>
    <row r="14599" spans="31:31">
      <c r="AE14599" s="54"/>
    </row>
    <row r="14600" spans="31:31">
      <c r="AE14600" s="54"/>
    </row>
    <row r="14601" spans="31:31">
      <c r="AE14601" s="54"/>
    </row>
    <row r="14602" spans="31:31">
      <c r="AE14602" s="54"/>
    </row>
    <row r="14603" spans="31:31">
      <c r="AE14603" s="54"/>
    </row>
    <row r="14604" spans="31:31">
      <c r="AE14604" s="54"/>
    </row>
    <row r="14605" spans="31:31">
      <c r="AE14605" s="54"/>
    </row>
    <row r="14606" spans="31:31">
      <c r="AE14606" s="54"/>
    </row>
    <row r="14607" spans="31:31">
      <c r="AE14607" s="54"/>
    </row>
    <row r="14608" spans="31:31">
      <c r="AE14608" s="54"/>
    </row>
    <row r="14609" spans="31:31">
      <c r="AE14609" s="54"/>
    </row>
    <row r="14610" spans="31:31">
      <c r="AE14610" s="54"/>
    </row>
    <row r="14611" spans="31:31">
      <c r="AE14611" s="54"/>
    </row>
    <row r="14612" spans="31:31">
      <c r="AE14612" s="54"/>
    </row>
    <row r="14613" spans="31:31">
      <c r="AE14613" s="54"/>
    </row>
    <row r="14614" spans="31:31">
      <c r="AE14614" s="54"/>
    </row>
    <row r="14615" spans="31:31">
      <c r="AE14615" s="54"/>
    </row>
    <row r="14616" spans="31:31">
      <c r="AE14616" s="54"/>
    </row>
    <row r="14617" spans="31:31">
      <c r="AE14617" s="54"/>
    </row>
    <row r="14618" spans="31:31">
      <c r="AE14618" s="54"/>
    </row>
    <row r="14619" spans="31:31">
      <c r="AE14619" s="54"/>
    </row>
    <row r="14620" spans="31:31">
      <c r="AE14620" s="54"/>
    </row>
    <row r="14621" spans="31:31">
      <c r="AE14621" s="54"/>
    </row>
    <row r="14622" spans="31:31">
      <c r="AE14622" s="54"/>
    </row>
    <row r="14623" spans="31:31">
      <c r="AE14623" s="54"/>
    </row>
    <row r="14624" spans="31:31">
      <c r="AE14624" s="54"/>
    </row>
    <row r="14625" spans="31:31">
      <c r="AE14625" s="54"/>
    </row>
    <row r="14626" spans="31:31">
      <c r="AE14626" s="54"/>
    </row>
    <row r="14627" spans="31:31">
      <c r="AE14627" s="54"/>
    </row>
    <row r="14628" spans="31:31">
      <c r="AE14628" s="54"/>
    </row>
    <row r="14629" spans="31:31">
      <c r="AE14629" s="54"/>
    </row>
    <row r="14630" spans="31:31">
      <c r="AE14630" s="54"/>
    </row>
    <row r="14631" spans="31:31">
      <c r="AE14631" s="54"/>
    </row>
    <row r="14632" spans="31:31">
      <c r="AE14632" s="54"/>
    </row>
    <row r="14633" spans="31:31">
      <c r="AE14633" s="54"/>
    </row>
    <row r="14634" spans="31:31">
      <c r="AE14634" s="54"/>
    </row>
    <row r="14635" spans="31:31">
      <c r="AE14635" s="54"/>
    </row>
    <row r="14636" spans="31:31">
      <c r="AE14636" s="54"/>
    </row>
    <row r="14637" spans="31:31">
      <c r="AE14637" s="54"/>
    </row>
    <row r="14638" spans="31:31">
      <c r="AE14638" s="54"/>
    </row>
    <row r="14639" spans="31:31">
      <c r="AE14639" s="54"/>
    </row>
    <row r="14640" spans="31:31">
      <c r="AE14640" s="54"/>
    </row>
    <row r="14641" spans="31:31">
      <c r="AE14641" s="54"/>
    </row>
    <row r="14642" spans="31:31">
      <c r="AE14642" s="54"/>
    </row>
    <row r="14643" spans="31:31">
      <c r="AE14643" s="54"/>
    </row>
    <row r="14644" spans="31:31">
      <c r="AE14644" s="54"/>
    </row>
    <row r="14645" spans="31:31">
      <c r="AE14645" s="54"/>
    </row>
    <row r="14646" spans="31:31">
      <c r="AE14646" s="54"/>
    </row>
    <row r="14647" spans="31:31">
      <c r="AE14647" s="54"/>
    </row>
    <row r="14648" spans="31:31">
      <c r="AE14648" s="54"/>
    </row>
    <row r="14649" spans="31:31">
      <c r="AE14649" s="54"/>
    </row>
    <row r="14650" spans="31:31">
      <c r="AE14650" s="54"/>
    </row>
    <row r="14651" spans="31:31">
      <c r="AE14651" s="54"/>
    </row>
    <row r="14652" spans="31:31">
      <c r="AE14652" s="54"/>
    </row>
    <row r="14653" spans="31:31">
      <c r="AE14653" s="54"/>
    </row>
    <row r="14654" spans="31:31">
      <c r="AE14654" s="54"/>
    </row>
    <row r="14655" spans="31:31">
      <c r="AE14655" s="54"/>
    </row>
    <row r="14656" spans="31:31">
      <c r="AE14656" s="54"/>
    </row>
    <row r="14657" spans="31:31">
      <c r="AE14657" s="54"/>
    </row>
    <row r="14658" spans="31:31">
      <c r="AE14658" s="54"/>
    </row>
    <row r="14659" spans="31:31">
      <c r="AE14659" s="54"/>
    </row>
    <row r="14660" spans="31:31">
      <c r="AE14660" s="54"/>
    </row>
    <row r="14661" spans="31:31">
      <c r="AE14661" s="54"/>
    </row>
    <row r="14662" spans="31:31">
      <c r="AE14662" s="54"/>
    </row>
    <row r="14663" spans="31:31">
      <c r="AE14663" s="54"/>
    </row>
    <row r="14664" spans="31:31">
      <c r="AE14664" s="54"/>
    </row>
    <row r="14665" spans="31:31">
      <c r="AE14665" s="54"/>
    </row>
    <row r="14666" spans="31:31">
      <c r="AE14666" s="54"/>
    </row>
    <row r="14667" spans="31:31">
      <c r="AE14667" s="54"/>
    </row>
    <row r="14668" spans="31:31">
      <c r="AE14668" s="54"/>
    </row>
    <row r="14669" spans="31:31">
      <c r="AE14669" s="54"/>
    </row>
    <row r="14670" spans="31:31">
      <c r="AE14670" s="54"/>
    </row>
    <row r="14671" spans="31:31">
      <c r="AE14671" s="54"/>
    </row>
    <row r="14672" spans="31:31">
      <c r="AE14672" s="54"/>
    </row>
    <row r="14673" spans="31:31">
      <c r="AE14673" s="54"/>
    </row>
    <row r="14674" spans="31:31">
      <c r="AE14674" s="54"/>
    </row>
    <row r="14675" spans="31:31">
      <c r="AE14675" s="54"/>
    </row>
    <row r="14676" spans="31:31">
      <c r="AE14676" s="54"/>
    </row>
    <row r="14677" spans="31:31">
      <c r="AE14677" s="54"/>
    </row>
    <row r="14678" spans="31:31">
      <c r="AE14678" s="54"/>
    </row>
    <row r="14679" spans="31:31">
      <c r="AE14679" s="54"/>
    </row>
    <row r="14680" spans="31:31">
      <c r="AE14680" s="54"/>
    </row>
    <row r="14681" spans="31:31">
      <c r="AE14681" s="54"/>
    </row>
    <row r="14682" spans="31:31">
      <c r="AE14682" s="54"/>
    </row>
    <row r="14683" spans="31:31">
      <c r="AE14683" s="54"/>
    </row>
    <row r="14684" spans="31:31">
      <c r="AE14684" s="54"/>
    </row>
    <row r="14685" spans="31:31">
      <c r="AE14685" s="54"/>
    </row>
    <row r="14686" spans="31:31">
      <c r="AE14686" s="54"/>
    </row>
    <row r="14687" spans="31:31">
      <c r="AE14687" s="54"/>
    </row>
    <row r="14688" spans="31:31">
      <c r="AE14688" s="54"/>
    </row>
    <row r="14689" spans="31:31">
      <c r="AE14689" s="54"/>
    </row>
    <row r="14690" spans="31:31">
      <c r="AE14690" s="54"/>
    </row>
    <row r="14691" spans="31:31">
      <c r="AE14691" s="54"/>
    </row>
    <row r="14692" spans="31:31">
      <c r="AE14692" s="54"/>
    </row>
    <row r="14693" spans="31:31">
      <c r="AE14693" s="54"/>
    </row>
    <row r="14694" spans="31:31">
      <c r="AE14694" s="54"/>
    </row>
    <row r="14695" spans="31:31">
      <c r="AE14695" s="54"/>
    </row>
    <row r="14696" spans="31:31">
      <c r="AE14696" s="54"/>
    </row>
    <row r="14697" spans="31:31">
      <c r="AE14697" s="54"/>
    </row>
    <row r="14698" spans="31:31">
      <c r="AE14698" s="54"/>
    </row>
    <row r="14699" spans="31:31">
      <c r="AE14699" s="54"/>
    </row>
    <row r="14700" spans="31:31">
      <c r="AE14700" s="54"/>
    </row>
    <row r="14701" spans="31:31">
      <c r="AE14701" s="54"/>
    </row>
    <row r="14702" spans="31:31">
      <c r="AE14702" s="54"/>
    </row>
    <row r="14703" spans="31:31">
      <c r="AE14703" s="54"/>
    </row>
    <row r="14704" spans="31:31">
      <c r="AE14704" s="54"/>
    </row>
    <row r="14705" spans="31:31">
      <c r="AE14705" s="54"/>
    </row>
    <row r="14706" spans="31:31">
      <c r="AE14706" s="54"/>
    </row>
    <row r="14707" spans="31:31">
      <c r="AE14707" s="54"/>
    </row>
    <row r="14708" spans="31:31">
      <c r="AE14708" s="54"/>
    </row>
    <row r="14709" spans="31:31">
      <c r="AE14709" s="54"/>
    </row>
    <row r="14710" spans="31:31">
      <c r="AE14710" s="54"/>
    </row>
    <row r="14711" spans="31:31">
      <c r="AE14711" s="54"/>
    </row>
    <row r="14712" spans="31:31">
      <c r="AE14712" s="54"/>
    </row>
    <row r="14713" spans="31:31">
      <c r="AE14713" s="54"/>
    </row>
    <row r="14714" spans="31:31">
      <c r="AE14714" s="54"/>
    </row>
    <row r="14715" spans="31:31">
      <c r="AE14715" s="54"/>
    </row>
    <row r="14716" spans="31:31">
      <c r="AE14716" s="54"/>
    </row>
    <row r="14717" spans="31:31">
      <c r="AE14717" s="54"/>
    </row>
    <row r="14718" spans="31:31">
      <c r="AE14718" s="54"/>
    </row>
    <row r="14719" spans="31:31">
      <c r="AE14719" s="54"/>
    </row>
    <row r="14720" spans="31:31">
      <c r="AE14720" s="54"/>
    </row>
    <row r="14721" spans="31:31">
      <c r="AE14721" s="54"/>
    </row>
    <row r="14722" spans="31:31">
      <c r="AE14722" s="54"/>
    </row>
    <row r="14723" spans="31:31">
      <c r="AE14723" s="54"/>
    </row>
    <row r="14724" spans="31:31">
      <c r="AE14724" s="54"/>
    </row>
    <row r="14725" spans="31:31">
      <c r="AE14725" s="54"/>
    </row>
    <row r="14726" spans="31:31">
      <c r="AE14726" s="54"/>
    </row>
    <row r="14727" spans="31:31">
      <c r="AE14727" s="54"/>
    </row>
    <row r="14728" spans="31:31">
      <c r="AE14728" s="54"/>
    </row>
    <row r="14729" spans="31:31">
      <c r="AE14729" s="54"/>
    </row>
    <row r="14730" spans="31:31">
      <c r="AE14730" s="54"/>
    </row>
    <row r="14731" spans="31:31">
      <c r="AE14731" s="54"/>
    </row>
    <row r="14732" spans="31:31">
      <c r="AE14732" s="54"/>
    </row>
    <row r="14733" spans="31:31">
      <c r="AE14733" s="54"/>
    </row>
    <row r="14734" spans="31:31">
      <c r="AE14734" s="54"/>
    </row>
    <row r="14735" spans="31:31">
      <c r="AE14735" s="54"/>
    </row>
    <row r="14736" spans="31:31">
      <c r="AE14736" s="54"/>
    </row>
    <row r="14737" spans="31:31">
      <c r="AE14737" s="54"/>
    </row>
    <row r="14738" spans="31:31">
      <c r="AE14738" s="54"/>
    </row>
    <row r="14739" spans="31:31">
      <c r="AE14739" s="54"/>
    </row>
    <row r="14740" spans="31:31">
      <c r="AE14740" s="54"/>
    </row>
    <row r="14741" spans="31:31">
      <c r="AE14741" s="54"/>
    </row>
    <row r="14742" spans="31:31">
      <c r="AE14742" s="54"/>
    </row>
    <row r="14743" spans="31:31">
      <c r="AE14743" s="54"/>
    </row>
    <row r="14744" spans="31:31">
      <c r="AE14744" s="54"/>
    </row>
    <row r="14745" spans="31:31">
      <c r="AE14745" s="54"/>
    </row>
    <row r="14746" spans="31:31">
      <c r="AE14746" s="54"/>
    </row>
    <row r="14747" spans="31:31">
      <c r="AE14747" s="54"/>
    </row>
    <row r="14748" spans="31:31">
      <c r="AE14748" s="54"/>
    </row>
    <row r="14749" spans="31:31">
      <c r="AE14749" s="54"/>
    </row>
    <row r="14750" spans="31:31">
      <c r="AE14750" s="54"/>
    </row>
    <row r="14751" spans="31:31">
      <c r="AE14751" s="54"/>
    </row>
    <row r="14752" spans="31:31">
      <c r="AE14752" s="54"/>
    </row>
    <row r="14753" spans="31:31">
      <c r="AE14753" s="54"/>
    </row>
    <row r="14754" spans="31:31">
      <c r="AE14754" s="54"/>
    </row>
    <row r="14755" spans="31:31">
      <c r="AE14755" s="54"/>
    </row>
    <row r="14756" spans="31:31">
      <c r="AE14756" s="54"/>
    </row>
    <row r="14757" spans="31:31">
      <c r="AE14757" s="54"/>
    </row>
    <row r="14758" spans="31:31">
      <c r="AE14758" s="54"/>
    </row>
    <row r="14759" spans="31:31">
      <c r="AE14759" s="54"/>
    </row>
    <row r="14760" spans="31:31">
      <c r="AE14760" s="54"/>
    </row>
    <row r="14761" spans="31:31">
      <c r="AE14761" s="54"/>
    </row>
    <row r="14762" spans="31:31">
      <c r="AE14762" s="54"/>
    </row>
    <row r="14763" spans="31:31">
      <c r="AE14763" s="54"/>
    </row>
    <row r="14764" spans="31:31">
      <c r="AE14764" s="54"/>
    </row>
    <row r="14765" spans="31:31">
      <c r="AE14765" s="54"/>
    </row>
    <row r="14766" spans="31:31">
      <c r="AE14766" s="54"/>
    </row>
    <row r="14767" spans="31:31">
      <c r="AE14767" s="54"/>
    </row>
    <row r="14768" spans="31:31">
      <c r="AE14768" s="54"/>
    </row>
    <row r="14769" spans="31:31">
      <c r="AE14769" s="54"/>
    </row>
    <row r="14770" spans="31:31">
      <c r="AE14770" s="54"/>
    </row>
    <row r="14771" spans="31:31">
      <c r="AE14771" s="54"/>
    </row>
    <row r="14772" spans="31:31">
      <c r="AE14772" s="54"/>
    </row>
    <row r="14773" spans="31:31">
      <c r="AE14773" s="54"/>
    </row>
    <row r="14774" spans="31:31">
      <c r="AE14774" s="54"/>
    </row>
    <row r="14775" spans="31:31">
      <c r="AE14775" s="54"/>
    </row>
    <row r="14776" spans="31:31">
      <c r="AE14776" s="54"/>
    </row>
    <row r="14777" spans="31:31">
      <c r="AE14777" s="54"/>
    </row>
    <row r="14778" spans="31:31">
      <c r="AE14778" s="54"/>
    </row>
    <row r="14779" spans="31:31">
      <c r="AE14779" s="54"/>
    </row>
    <row r="14780" spans="31:31">
      <c r="AE14780" s="54"/>
    </row>
    <row r="14781" spans="31:31">
      <c r="AE14781" s="54"/>
    </row>
    <row r="14782" spans="31:31">
      <c r="AE14782" s="54"/>
    </row>
    <row r="14783" spans="31:31">
      <c r="AE14783" s="54"/>
    </row>
    <row r="14784" spans="31:31">
      <c r="AE14784" s="54"/>
    </row>
    <row r="14785" spans="31:31">
      <c r="AE14785" s="54"/>
    </row>
    <row r="14786" spans="31:31">
      <c r="AE14786" s="54"/>
    </row>
    <row r="14787" spans="31:31">
      <c r="AE14787" s="54"/>
    </row>
    <row r="14788" spans="31:31">
      <c r="AE14788" s="54"/>
    </row>
    <row r="14789" spans="31:31">
      <c r="AE14789" s="54"/>
    </row>
    <row r="14790" spans="31:31">
      <c r="AE14790" s="54"/>
    </row>
    <row r="14791" spans="31:31">
      <c r="AE14791" s="54"/>
    </row>
    <row r="14792" spans="31:31">
      <c r="AE14792" s="54"/>
    </row>
    <row r="14793" spans="31:31">
      <c r="AE14793" s="54"/>
    </row>
    <row r="14794" spans="31:31">
      <c r="AE14794" s="54"/>
    </row>
    <row r="14795" spans="31:31">
      <c r="AE14795" s="54"/>
    </row>
    <row r="14796" spans="31:31">
      <c r="AE14796" s="54"/>
    </row>
    <row r="14797" spans="31:31">
      <c r="AE14797" s="54"/>
    </row>
    <row r="14798" spans="31:31">
      <c r="AE14798" s="54"/>
    </row>
    <row r="14799" spans="31:31">
      <c r="AE14799" s="54"/>
    </row>
    <row r="14800" spans="31:31">
      <c r="AE14800" s="54"/>
    </row>
    <row r="14801" spans="31:31">
      <c r="AE14801" s="54"/>
    </row>
    <row r="14802" spans="31:31">
      <c r="AE14802" s="54"/>
    </row>
    <row r="14803" spans="31:31">
      <c r="AE14803" s="54"/>
    </row>
    <row r="14804" spans="31:31">
      <c r="AE14804" s="54"/>
    </row>
    <row r="14805" spans="31:31">
      <c r="AE14805" s="54"/>
    </row>
    <row r="14806" spans="31:31">
      <c r="AE14806" s="54"/>
    </row>
    <row r="14807" spans="31:31">
      <c r="AE14807" s="54"/>
    </row>
    <row r="14808" spans="31:31">
      <c r="AE14808" s="54"/>
    </row>
    <row r="14809" spans="31:31">
      <c r="AE14809" s="54"/>
    </row>
    <row r="14810" spans="31:31">
      <c r="AE14810" s="54"/>
    </row>
    <row r="14811" spans="31:31">
      <c r="AE14811" s="54"/>
    </row>
    <row r="14812" spans="31:31">
      <c r="AE14812" s="54"/>
    </row>
    <row r="14813" spans="31:31">
      <c r="AE14813" s="54"/>
    </row>
    <row r="14814" spans="31:31">
      <c r="AE14814" s="54"/>
    </row>
    <row r="14815" spans="31:31">
      <c r="AE14815" s="54"/>
    </row>
    <row r="14816" spans="31:31">
      <c r="AE14816" s="54"/>
    </row>
    <row r="14817" spans="31:31">
      <c r="AE14817" s="54"/>
    </row>
    <row r="14818" spans="31:31">
      <c r="AE14818" s="54"/>
    </row>
    <row r="14819" spans="31:31">
      <c r="AE14819" s="54"/>
    </row>
    <row r="14820" spans="31:31">
      <c r="AE14820" s="54"/>
    </row>
    <row r="14821" spans="31:31">
      <c r="AE14821" s="54"/>
    </row>
    <row r="14822" spans="31:31">
      <c r="AE14822" s="54"/>
    </row>
    <row r="14823" spans="31:31">
      <c r="AE14823" s="54"/>
    </row>
    <row r="14824" spans="31:31">
      <c r="AE14824" s="54"/>
    </row>
    <row r="14825" spans="31:31">
      <c r="AE14825" s="54"/>
    </row>
    <row r="14826" spans="31:31">
      <c r="AE14826" s="54"/>
    </row>
    <row r="14827" spans="31:31">
      <c r="AE14827" s="54"/>
    </row>
    <row r="14828" spans="31:31">
      <c r="AE14828" s="54"/>
    </row>
    <row r="14829" spans="31:31">
      <c r="AE14829" s="54"/>
    </row>
    <row r="14830" spans="31:31">
      <c r="AE14830" s="54"/>
    </row>
    <row r="14831" spans="31:31">
      <c r="AE14831" s="54"/>
    </row>
    <row r="14832" spans="31:31">
      <c r="AE14832" s="54"/>
    </row>
    <row r="14833" spans="31:31">
      <c r="AE14833" s="54"/>
    </row>
    <row r="14834" spans="31:31">
      <c r="AE14834" s="54"/>
    </row>
    <row r="14835" spans="31:31">
      <c r="AE14835" s="54"/>
    </row>
    <row r="14836" spans="31:31">
      <c r="AE14836" s="54"/>
    </row>
    <row r="14837" spans="31:31">
      <c r="AE14837" s="54"/>
    </row>
    <row r="14838" spans="31:31">
      <c r="AE14838" s="54"/>
    </row>
    <row r="14839" spans="31:31">
      <c r="AE14839" s="54"/>
    </row>
    <row r="14840" spans="31:31">
      <c r="AE14840" s="54"/>
    </row>
    <row r="14841" spans="31:31">
      <c r="AE14841" s="54"/>
    </row>
    <row r="14842" spans="31:31">
      <c r="AE14842" s="54"/>
    </row>
    <row r="14843" spans="31:31">
      <c r="AE14843" s="54"/>
    </row>
    <row r="14844" spans="31:31">
      <c r="AE14844" s="54"/>
    </row>
    <row r="14845" spans="31:31">
      <c r="AE14845" s="54"/>
    </row>
    <row r="14846" spans="31:31">
      <c r="AE14846" s="54"/>
    </row>
    <row r="14847" spans="31:31">
      <c r="AE14847" s="54"/>
    </row>
    <row r="14848" spans="31:31">
      <c r="AE14848" s="54"/>
    </row>
    <row r="14849" spans="31:31">
      <c r="AE14849" s="54"/>
    </row>
    <row r="14850" spans="31:31">
      <c r="AE14850" s="54"/>
    </row>
    <row r="14851" spans="31:31">
      <c r="AE14851" s="54"/>
    </row>
    <row r="14852" spans="31:31">
      <c r="AE14852" s="54"/>
    </row>
    <row r="14853" spans="31:31">
      <c r="AE14853" s="54"/>
    </row>
    <row r="14854" spans="31:31">
      <c r="AE14854" s="54"/>
    </row>
    <row r="14855" spans="31:31">
      <c r="AE14855" s="54"/>
    </row>
    <row r="14856" spans="31:31">
      <c r="AE14856" s="54"/>
    </row>
    <row r="14857" spans="31:31">
      <c r="AE14857" s="54"/>
    </row>
    <row r="14858" spans="31:31">
      <c r="AE14858" s="54"/>
    </row>
    <row r="14859" spans="31:31">
      <c r="AE14859" s="54"/>
    </row>
    <row r="14860" spans="31:31">
      <c r="AE14860" s="54"/>
    </row>
    <row r="14861" spans="31:31">
      <c r="AE14861" s="54"/>
    </row>
    <row r="14862" spans="31:31">
      <c r="AE14862" s="54"/>
    </row>
    <row r="14863" spans="31:31">
      <c r="AE14863" s="54"/>
    </row>
    <row r="14864" spans="31:31">
      <c r="AE14864" s="54"/>
    </row>
    <row r="14865" spans="31:31">
      <c r="AE14865" s="54"/>
    </row>
    <row r="14866" spans="31:31">
      <c r="AE14866" s="54"/>
    </row>
    <row r="14867" spans="31:31">
      <c r="AE14867" s="54"/>
    </row>
    <row r="14868" spans="31:31">
      <c r="AE14868" s="54"/>
    </row>
    <row r="14869" spans="31:31">
      <c r="AE14869" s="54"/>
    </row>
    <row r="14870" spans="31:31">
      <c r="AE14870" s="54"/>
    </row>
    <row r="14871" spans="31:31">
      <c r="AE14871" s="54"/>
    </row>
    <row r="14872" spans="31:31">
      <c r="AE14872" s="54"/>
    </row>
    <row r="14873" spans="31:31">
      <c r="AE14873" s="54"/>
    </row>
    <row r="14874" spans="31:31">
      <c r="AE14874" s="54"/>
    </row>
    <row r="14875" spans="31:31">
      <c r="AE14875" s="54"/>
    </row>
    <row r="14876" spans="31:31">
      <c r="AE14876" s="54"/>
    </row>
    <row r="14877" spans="31:31">
      <c r="AE14877" s="54"/>
    </row>
    <row r="14878" spans="31:31">
      <c r="AE14878" s="54"/>
    </row>
    <row r="14879" spans="31:31">
      <c r="AE14879" s="54"/>
    </row>
    <row r="14880" spans="31:31">
      <c r="AE14880" s="54"/>
    </row>
    <row r="14881" spans="31:31">
      <c r="AE14881" s="54"/>
    </row>
    <row r="14882" spans="31:31">
      <c r="AE14882" s="54"/>
    </row>
    <row r="14883" spans="31:31">
      <c r="AE14883" s="54"/>
    </row>
    <row r="14884" spans="31:31">
      <c r="AE14884" s="54"/>
    </row>
    <row r="14885" spans="31:31">
      <c r="AE14885" s="54"/>
    </row>
    <row r="14886" spans="31:31">
      <c r="AE14886" s="54"/>
    </row>
    <row r="14887" spans="31:31">
      <c r="AE14887" s="54"/>
    </row>
    <row r="14888" spans="31:31">
      <c r="AE14888" s="54"/>
    </row>
    <row r="14889" spans="31:31">
      <c r="AE14889" s="54"/>
    </row>
    <row r="14890" spans="31:31">
      <c r="AE14890" s="54"/>
    </row>
    <row r="14891" spans="31:31">
      <c r="AE14891" s="54"/>
    </row>
    <row r="14892" spans="31:31">
      <c r="AE14892" s="54"/>
    </row>
    <row r="14893" spans="31:31">
      <c r="AE14893" s="54"/>
    </row>
    <row r="14894" spans="31:31">
      <c r="AE14894" s="54"/>
    </row>
    <row r="14895" spans="31:31">
      <c r="AE14895" s="54"/>
    </row>
    <row r="14896" spans="31:31">
      <c r="AE14896" s="54"/>
    </row>
    <row r="14897" spans="31:31">
      <c r="AE14897" s="54"/>
    </row>
    <row r="14898" spans="31:31">
      <c r="AE14898" s="54"/>
    </row>
    <row r="14899" spans="31:31">
      <c r="AE14899" s="54"/>
    </row>
    <row r="14900" spans="31:31">
      <c r="AE14900" s="54"/>
    </row>
    <row r="14901" spans="31:31">
      <c r="AE14901" s="54"/>
    </row>
    <row r="14902" spans="31:31">
      <c r="AE14902" s="54"/>
    </row>
    <row r="14903" spans="31:31">
      <c r="AE14903" s="54"/>
    </row>
    <row r="14904" spans="31:31">
      <c r="AE14904" s="54"/>
    </row>
    <row r="14905" spans="31:31">
      <c r="AE14905" s="54"/>
    </row>
    <row r="14906" spans="31:31">
      <c r="AE14906" s="54"/>
    </row>
    <row r="14907" spans="31:31">
      <c r="AE14907" s="54"/>
    </row>
    <row r="14908" spans="31:31">
      <c r="AE14908" s="54"/>
    </row>
    <row r="14909" spans="31:31">
      <c r="AE14909" s="54"/>
    </row>
    <row r="14910" spans="31:31">
      <c r="AE14910" s="54"/>
    </row>
    <row r="14911" spans="31:31">
      <c r="AE14911" s="54"/>
    </row>
    <row r="14912" spans="31:31">
      <c r="AE14912" s="54"/>
    </row>
    <row r="14913" spans="31:31">
      <c r="AE14913" s="54"/>
    </row>
    <row r="14914" spans="31:31">
      <c r="AE14914" s="54"/>
    </row>
    <row r="14915" spans="31:31">
      <c r="AE14915" s="54"/>
    </row>
    <row r="14916" spans="31:31">
      <c r="AE14916" s="54"/>
    </row>
    <row r="14917" spans="31:31">
      <c r="AE14917" s="54"/>
    </row>
    <row r="14918" spans="31:31">
      <c r="AE14918" s="54"/>
    </row>
    <row r="14919" spans="31:31">
      <c r="AE14919" s="54"/>
    </row>
    <row r="14920" spans="31:31">
      <c r="AE14920" s="54"/>
    </row>
    <row r="14921" spans="31:31">
      <c r="AE14921" s="54"/>
    </row>
    <row r="14922" spans="31:31">
      <c r="AE14922" s="54"/>
    </row>
    <row r="14923" spans="31:31">
      <c r="AE14923" s="54"/>
    </row>
    <row r="14924" spans="31:31">
      <c r="AE14924" s="54"/>
    </row>
    <row r="14925" spans="31:31">
      <c r="AE14925" s="54"/>
    </row>
    <row r="14926" spans="31:31">
      <c r="AE14926" s="54"/>
    </row>
    <row r="14927" spans="31:31">
      <c r="AE14927" s="54"/>
    </row>
    <row r="14928" spans="31:31">
      <c r="AE14928" s="54"/>
    </row>
    <row r="14929" spans="31:31">
      <c r="AE14929" s="54"/>
    </row>
    <row r="14930" spans="31:31">
      <c r="AE14930" s="54"/>
    </row>
    <row r="14931" spans="31:31">
      <c r="AE14931" s="54"/>
    </row>
    <row r="14932" spans="31:31">
      <c r="AE14932" s="54"/>
    </row>
    <row r="14933" spans="31:31">
      <c r="AE14933" s="54"/>
    </row>
    <row r="14934" spans="31:31">
      <c r="AE14934" s="54"/>
    </row>
    <row r="14935" spans="31:31">
      <c r="AE14935" s="54"/>
    </row>
    <row r="14936" spans="31:31">
      <c r="AE14936" s="54"/>
    </row>
    <row r="14937" spans="31:31">
      <c r="AE14937" s="54"/>
    </row>
    <row r="14938" spans="31:31">
      <c r="AE14938" s="54"/>
    </row>
    <row r="14939" spans="31:31">
      <c r="AE14939" s="54"/>
    </row>
    <row r="14940" spans="31:31">
      <c r="AE14940" s="54"/>
    </row>
    <row r="14941" spans="31:31">
      <c r="AE14941" s="54"/>
    </row>
    <row r="14942" spans="31:31">
      <c r="AE14942" s="54"/>
    </row>
    <row r="14943" spans="31:31">
      <c r="AE14943" s="54"/>
    </row>
    <row r="14944" spans="31:31">
      <c r="AE14944" s="54"/>
    </row>
    <row r="14945" spans="31:31">
      <c r="AE14945" s="54"/>
    </row>
    <row r="14946" spans="31:31">
      <c r="AE14946" s="54"/>
    </row>
    <row r="14947" spans="31:31">
      <c r="AE14947" s="54"/>
    </row>
    <row r="14948" spans="31:31">
      <c r="AE14948" s="54"/>
    </row>
    <row r="14949" spans="31:31">
      <c r="AE14949" s="54"/>
    </row>
    <row r="14950" spans="31:31">
      <c r="AE14950" s="54"/>
    </row>
    <row r="14951" spans="31:31">
      <c r="AE14951" s="54"/>
    </row>
    <row r="14952" spans="31:31">
      <c r="AE14952" s="54"/>
    </row>
    <row r="14953" spans="31:31">
      <c r="AE14953" s="54"/>
    </row>
    <row r="14954" spans="31:31">
      <c r="AE14954" s="54"/>
    </row>
    <row r="14955" spans="31:31">
      <c r="AE14955" s="54"/>
    </row>
    <row r="14956" spans="31:31">
      <c r="AE14956" s="54"/>
    </row>
    <row r="14957" spans="31:31">
      <c r="AE14957" s="54"/>
    </row>
    <row r="14958" spans="31:31">
      <c r="AE14958" s="54"/>
    </row>
    <row r="14959" spans="31:31">
      <c r="AE14959" s="54"/>
    </row>
    <row r="14960" spans="31:31">
      <c r="AE14960" s="54"/>
    </row>
    <row r="14961" spans="31:31">
      <c r="AE14961" s="54"/>
    </row>
    <row r="14962" spans="31:31">
      <c r="AE14962" s="54"/>
    </row>
    <row r="14963" spans="31:31">
      <c r="AE14963" s="54"/>
    </row>
    <row r="14964" spans="31:31">
      <c r="AE14964" s="54"/>
    </row>
    <row r="14965" spans="31:31">
      <c r="AE14965" s="54"/>
    </row>
    <row r="14966" spans="31:31">
      <c r="AE14966" s="54"/>
    </row>
    <row r="14967" spans="31:31">
      <c r="AE14967" s="54"/>
    </row>
    <row r="14968" spans="31:31">
      <c r="AE14968" s="54"/>
    </row>
    <row r="14969" spans="31:31">
      <c r="AE14969" s="54"/>
    </row>
    <row r="14970" spans="31:31">
      <c r="AE14970" s="54"/>
    </row>
    <row r="14971" spans="31:31">
      <c r="AE14971" s="54"/>
    </row>
    <row r="14972" spans="31:31">
      <c r="AE14972" s="54"/>
    </row>
    <row r="14973" spans="31:31">
      <c r="AE14973" s="54"/>
    </row>
    <row r="14974" spans="31:31">
      <c r="AE14974" s="54"/>
    </row>
    <row r="14975" spans="31:31">
      <c r="AE14975" s="54"/>
    </row>
    <row r="14976" spans="31:31">
      <c r="AE14976" s="54"/>
    </row>
    <row r="14977" spans="31:31">
      <c r="AE14977" s="54"/>
    </row>
    <row r="14978" spans="31:31">
      <c r="AE14978" s="54"/>
    </row>
    <row r="14979" spans="31:31">
      <c r="AE14979" s="54"/>
    </row>
    <row r="14980" spans="31:31">
      <c r="AE14980" s="54"/>
    </row>
    <row r="14981" spans="31:31">
      <c r="AE14981" s="54"/>
    </row>
    <row r="14982" spans="31:31">
      <c r="AE14982" s="54"/>
    </row>
    <row r="14983" spans="31:31">
      <c r="AE14983" s="54"/>
    </row>
    <row r="14984" spans="31:31">
      <c r="AE14984" s="54"/>
    </row>
    <row r="14985" spans="31:31">
      <c r="AE14985" s="54"/>
    </row>
    <row r="14986" spans="31:31">
      <c r="AE14986" s="54"/>
    </row>
    <row r="14987" spans="31:31">
      <c r="AE14987" s="54"/>
    </row>
    <row r="14988" spans="31:31">
      <c r="AE14988" s="54"/>
    </row>
    <row r="14989" spans="31:31">
      <c r="AE14989" s="54"/>
    </row>
    <row r="14990" spans="31:31">
      <c r="AE14990" s="54"/>
    </row>
    <row r="14991" spans="31:31">
      <c r="AE14991" s="54"/>
    </row>
    <row r="14992" spans="31:31">
      <c r="AE14992" s="54"/>
    </row>
    <row r="14993" spans="31:31">
      <c r="AE14993" s="54"/>
    </row>
    <row r="14994" spans="31:31">
      <c r="AE14994" s="54"/>
    </row>
    <row r="14995" spans="31:31">
      <c r="AE14995" s="54"/>
    </row>
    <row r="14996" spans="31:31">
      <c r="AE14996" s="54"/>
    </row>
    <row r="14997" spans="31:31">
      <c r="AE14997" s="54"/>
    </row>
    <row r="14998" spans="31:31">
      <c r="AE14998" s="54"/>
    </row>
    <row r="14999" spans="31:31">
      <c r="AE14999" s="54"/>
    </row>
    <row r="15000" spans="31:31">
      <c r="AE15000" s="54"/>
    </row>
    <row r="15001" spans="31:31">
      <c r="AE15001" s="54"/>
    </row>
    <row r="15002" spans="31:31">
      <c r="AE15002" s="54"/>
    </row>
    <row r="15003" spans="31:31">
      <c r="AE15003" s="54"/>
    </row>
    <row r="15004" spans="31:31">
      <c r="AE15004" s="54"/>
    </row>
    <row r="15005" spans="31:31">
      <c r="AE15005" s="54"/>
    </row>
    <row r="15006" spans="31:31">
      <c r="AE15006" s="54"/>
    </row>
    <row r="15007" spans="31:31">
      <c r="AE15007" s="54"/>
    </row>
    <row r="15008" spans="31:31">
      <c r="AE15008" s="54"/>
    </row>
    <row r="15009" spans="31:31">
      <c r="AE15009" s="54"/>
    </row>
    <row r="15010" spans="31:31">
      <c r="AE15010" s="54"/>
    </row>
    <row r="15011" spans="31:31">
      <c r="AE15011" s="54"/>
    </row>
    <row r="15012" spans="31:31">
      <c r="AE15012" s="54"/>
    </row>
    <row r="15013" spans="31:31">
      <c r="AE15013" s="54"/>
    </row>
    <row r="15014" spans="31:31">
      <c r="AE15014" s="54"/>
    </row>
    <row r="15015" spans="31:31">
      <c r="AE15015" s="54"/>
    </row>
    <row r="15016" spans="31:31">
      <c r="AE15016" s="54"/>
    </row>
    <row r="15017" spans="31:31">
      <c r="AE15017" s="54"/>
    </row>
    <row r="15018" spans="31:31">
      <c r="AE15018" s="54"/>
    </row>
    <row r="15019" spans="31:31">
      <c r="AE15019" s="54"/>
    </row>
    <row r="15020" spans="31:31">
      <c r="AE15020" s="54"/>
    </row>
    <row r="15021" spans="31:31">
      <c r="AE15021" s="54"/>
    </row>
    <row r="15022" spans="31:31">
      <c r="AE15022" s="54"/>
    </row>
    <row r="15023" spans="31:31">
      <c r="AE15023" s="54"/>
    </row>
    <row r="15024" spans="31:31">
      <c r="AE15024" s="54"/>
    </row>
    <row r="15025" spans="31:31">
      <c r="AE15025" s="54"/>
    </row>
    <row r="15026" spans="31:31">
      <c r="AE15026" s="54"/>
    </row>
    <row r="15027" spans="31:31">
      <c r="AE15027" s="54"/>
    </row>
    <row r="15028" spans="31:31">
      <c r="AE15028" s="54"/>
    </row>
    <row r="15029" spans="31:31">
      <c r="AE15029" s="54"/>
    </row>
    <row r="15030" spans="31:31">
      <c r="AE15030" s="54"/>
    </row>
    <row r="15031" spans="31:31">
      <c r="AE15031" s="54"/>
    </row>
    <row r="15032" spans="31:31">
      <c r="AE15032" s="54"/>
    </row>
    <row r="15033" spans="31:31">
      <c r="AE15033" s="54"/>
    </row>
    <row r="15034" spans="31:31">
      <c r="AE15034" s="54"/>
    </row>
    <row r="15035" spans="31:31">
      <c r="AE15035" s="54"/>
    </row>
    <row r="15036" spans="31:31">
      <c r="AE15036" s="54"/>
    </row>
    <row r="15037" spans="31:31">
      <c r="AE15037" s="54"/>
    </row>
    <row r="15038" spans="31:31">
      <c r="AE15038" s="54"/>
    </row>
    <row r="15039" spans="31:31">
      <c r="AE15039" s="54"/>
    </row>
    <row r="15040" spans="31:31">
      <c r="AE15040" s="54"/>
    </row>
    <row r="15041" spans="31:31">
      <c r="AE15041" s="54"/>
    </row>
    <row r="15042" spans="31:31">
      <c r="AE15042" s="54"/>
    </row>
    <row r="15043" spans="31:31">
      <c r="AE15043" s="54"/>
    </row>
    <row r="15044" spans="31:31">
      <c r="AE15044" s="54"/>
    </row>
    <row r="15045" spans="31:31">
      <c r="AE15045" s="54"/>
    </row>
    <row r="15046" spans="31:31">
      <c r="AE15046" s="54"/>
    </row>
    <row r="15047" spans="31:31">
      <c r="AE15047" s="54"/>
    </row>
    <row r="15048" spans="31:31">
      <c r="AE15048" s="54"/>
    </row>
    <row r="15049" spans="31:31">
      <c r="AE15049" s="54"/>
    </row>
    <row r="15050" spans="31:31">
      <c r="AE15050" s="54"/>
    </row>
    <row r="15051" spans="31:31">
      <c r="AE15051" s="54"/>
    </row>
    <row r="15052" spans="31:31">
      <c r="AE15052" s="54"/>
    </row>
    <row r="15053" spans="31:31">
      <c r="AE15053" s="54"/>
    </row>
    <row r="15054" spans="31:31">
      <c r="AE15054" s="54"/>
    </row>
    <row r="15055" spans="31:31">
      <c r="AE15055" s="54"/>
    </row>
    <row r="15056" spans="31:31">
      <c r="AE15056" s="54"/>
    </row>
    <row r="15057" spans="31:31">
      <c r="AE15057" s="54"/>
    </row>
    <row r="15058" spans="31:31">
      <c r="AE15058" s="54"/>
    </row>
    <row r="15059" spans="31:31">
      <c r="AE15059" s="54"/>
    </row>
    <row r="15060" spans="31:31">
      <c r="AE15060" s="54"/>
    </row>
    <row r="15061" spans="31:31">
      <c r="AE15061" s="54"/>
    </row>
    <row r="15062" spans="31:31">
      <c r="AE15062" s="54"/>
    </row>
    <row r="15063" spans="31:31">
      <c r="AE15063" s="54"/>
    </row>
    <row r="15064" spans="31:31">
      <c r="AE15064" s="54"/>
    </row>
    <row r="15065" spans="31:31">
      <c r="AE15065" s="54"/>
    </row>
    <row r="15066" spans="31:31">
      <c r="AE15066" s="54"/>
    </row>
    <row r="15067" spans="31:31">
      <c r="AE15067" s="54"/>
    </row>
    <row r="15068" spans="31:31">
      <c r="AE15068" s="54"/>
    </row>
    <row r="15069" spans="31:31">
      <c r="AE15069" s="54"/>
    </row>
    <row r="15070" spans="31:31">
      <c r="AE15070" s="54"/>
    </row>
    <row r="15071" spans="31:31">
      <c r="AE15071" s="54"/>
    </row>
    <row r="15072" spans="31:31">
      <c r="AE15072" s="54"/>
    </row>
    <row r="15073" spans="31:31">
      <c r="AE15073" s="54"/>
    </row>
    <row r="15074" spans="31:31">
      <c r="AE15074" s="54"/>
    </row>
    <row r="15075" spans="31:31">
      <c r="AE15075" s="54"/>
    </row>
    <row r="15076" spans="31:31">
      <c r="AE15076" s="54"/>
    </row>
    <row r="15077" spans="31:31">
      <c r="AE15077" s="54"/>
    </row>
    <row r="15078" spans="31:31">
      <c r="AE15078" s="54"/>
    </row>
    <row r="15079" spans="31:31">
      <c r="AE15079" s="54"/>
    </row>
    <row r="15080" spans="31:31">
      <c r="AE15080" s="54"/>
    </row>
    <row r="15081" spans="31:31">
      <c r="AE15081" s="54"/>
    </row>
    <row r="15082" spans="31:31">
      <c r="AE15082" s="54"/>
    </row>
    <row r="15083" spans="31:31">
      <c r="AE15083" s="54"/>
    </row>
    <row r="15084" spans="31:31">
      <c r="AE15084" s="54"/>
    </row>
    <row r="15085" spans="31:31">
      <c r="AE15085" s="54"/>
    </row>
    <row r="15086" spans="31:31">
      <c r="AE15086" s="54"/>
    </row>
    <row r="15087" spans="31:31">
      <c r="AE15087" s="54"/>
    </row>
    <row r="15088" spans="31:31">
      <c r="AE15088" s="54"/>
    </row>
    <row r="15089" spans="31:31">
      <c r="AE15089" s="54"/>
    </row>
    <row r="15090" spans="31:31">
      <c r="AE15090" s="54"/>
    </row>
    <row r="15091" spans="31:31">
      <c r="AE15091" s="54"/>
    </row>
    <row r="15092" spans="31:31">
      <c r="AE15092" s="54"/>
    </row>
    <row r="15093" spans="31:31">
      <c r="AE15093" s="54"/>
    </row>
    <row r="15094" spans="31:31">
      <c r="AE15094" s="54"/>
    </row>
    <row r="15095" spans="31:31">
      <c r="AE15095" s="54"/>
    </row>
    <row r="15096" spans="31:31">
      <c r="AE15096" s="54"/>
    </row>
    <row r="15097" spans="31:31">
      <c r="AE15097" s="54"/>
    </row>
    <row r="15098" spans="31:31">
      <c r="AE15098" s="54"/>
    </row>
    <row r="15099" spans="31:31">
      <c r="AE15099" s="54"/>
    </row>
    <row r="15100" spans="31:31">
      <c r="AE15100" s="54"/>
    </row>
    <row r="15101" spans="31:31">
      <c r="AE15101" s="54"/>
    </row>
    <row r="15102" spans="31:31">
      <c r="AE15102" s="54"/>
    </row>
    <row r="15103" spans="31:31">
      <c r="AE15103" s="54"/>
    </row>
    <row r="15104" spans="31:31">
      <c r="AE15104" s="54"/>
    </row>
    <row r="15105" spans="31:31">
      <c r="AE15105" s="54"/>
    </row>
    <row r="15106" spans="31:31">
      <c r="AE15106" s="54"/>
    </row>
    <row r="15107" spans="31:31">
      <c r="AE15107" s="54"/>
    </row>
    <row r="15108" spans="31:31">
      <c r="AE15108" s="54"/>
    </row>
    <row r="15109" spans="31:31">
      <c r="AE15109" s="54"/>
    </row>
    <row r="15110" spans="31:31">
      <c r="AE15110" s="54"/>
    </row>
    <row r="15111" spans="31:31">
      <c r="AE15111" s="54"/>
    </row>
    <row r="15112" spans="31:31">
      <c r="AE15112" s="54"/>
    </row>
    <row r="15113" spans="31:31">
      <c r="AE15113" s="54"/>
    </row>
    <row r="15114" spans="31:31">
      <c r="AE15114" s="54"/>
    </row>
    <row r="15115" spans="31:31">
      <c r="AE15115" s="54"/>
    </row>
    <row r="15116" spans="31:31">
      <c r="AE15116" s="54"/>
    </row>
    <row r="15117" spans="31:31">
      <c r="AE15117" s="54"/>
    </row>
    <row r="15118" spans="31:31">
      <c r="AE15118" s="54"/>
    </row>
    <row r="15119" spans="31:31">
      <c r="AE15119" s="54"/>
    </row>
    <row r="15120" spans="31:31">
      <c r="AE15120" s="54"/>
    </row>
    <row r="15121" spans="31:31">
      <c r="AE15121" s="54"/>
    </row>
    <row r="15122" spans="31:31">
      <c r="AE15122" s="54"/>
    </row>
    <row r="15123" spans="31:31">
      <c r="AE15123" s="54"/>
    </row>
    <row r="15124" spans="31:31">
      <c r="AE15124" s="54"/>
    </row>
    <row r="15125" spans="31:31">
      <c r="AE15125" s="54"/>
    </row>
    <row r="15126" spans="31:31">
      <c r="AE15126" s="54"/>
    </row>
    <row r="15127" spans="31:31">
      <c r="AE15127" s="54"/>
    </row>
    <row r="15128" spans="31:31">
      <c r="AE15128" s="54"/>
    </row>
    <row r="15129" spans="31:31">
      <c r="AE15129" s="54"/>
    </row>
    <row r="15130" spans="31:31">
      <c r="AE15130" s="54"/>
    </row>
    <row r="15131" spans="31:31">
      <c r="AE15131" s="54"/>
    </row>
    <row r="15132" spans="31:31">
      <c r="AE15132" s="54"/>
    </row>
    <row r="15133" spans="31:31">
      <c r="AE15133" s="54"/>
    </row>
    <row r="15134" spans="31:31">
      <c r="AE15134" s="54"/>
    </row>
    <row r="15135" spans="31:31">
      <c r="AE15135" s="54"/>
    </row>
    <row r="15136" spans="31:31">
      <c r="AE15136" s="54"/>
    </row>
    <row r="15137" spans="31:31">
      <c r="AE15137" s="54"/>
    </row>
    <row r="15138" spans="31:31">
      <c r="AE15138" s="54"/>
    </row>
    <row r="15139" spans="31:31">
      <c r="AE15139" s="54"/>
    </row>
    <row r="15140" spans="31:31">
      <c r="AE15140" s="54"/>
    </row>
    <row r="15141" spans="31:31">
      <c r="AE15141" s="54"/>
    </row>
    <row r="15142" spans="31:31">
      <c r="AE15142" s="54"/>
    </row>
    <row r="15143" spans="31:31">
      <c r="AE15143" s="54"/>
    </row>
    <row r="15144" spans="31:31">
      <c r="AE15144" s="54"/>
    </row>
    <row r="15145" spans="31:31">
      <c r="AE15145" s="54"/>
    </row>
    <row r="15146" spans="31:31">
      <c r="AE15146" s="54"/>
    </row>
    <row r="15147" spans="31:31">
      <c r="AE15147" s="54"/>
    </row>
    <row r="15148" spans="31:31">
      <c r="AE15148" s="54"/>
    </row>
    <row r="15149" spans="31:31">
      <c r="AE15149" s="54"/>
    </row>
    <row r="15150" spans="31:31">
      <c r="AE15150" s="54"/>
    </row>
    <row r="15151" spans="31:31">
      <c r="AE15151" s="54"/>
    </row>
    <row r="15152" spans="31:31">
      <c r="AE15152" s="54"/>
    </row>
    <row r="15153" spans="31:31">
      <c r="AE15153" s="54"/>
    </row>
    <row r="15154" spans="31:31">
      <c r="AE15154" s="54"/>
    </row>
    <row r="15155" spans="31:31">
      <c r="AE15155" s="54"/>
    </row>
    <row r="15156" spans="31:31">
      <c r="AE15156" s="54"/>
    </row>
    <row r="15157" spans="31:31">
      <c r="AE15157" s="54"/>
    </row>
    <row r="15158" spans="31:31">
      <c r="AE15158" s="54"/>
    </row>
    <row r="15159" spans="31:31">
      <c r="AE15159" s="54"/>
    </row>
    <row r="15160" spans="31:31">
      <c r="AE15160" s="54"/>
    </row>
    <row r="15161" spans="31:31">
      <c r="AE15161" s="54"/>
    </row>
    <row r="15162" spans="31:31">
      <c r="AE15162" s="54"/>
    </row>
    <row r="15163" spans="31:31">
      <c r="AE15163" s="54"/>
    </row>
    <row r="15164" spans="31:31">
      <c r="AE15164" s="54"/>
    </row>
    <row r="15165" spans="31:31">
      <c r="AE15165" s="54"/>
    </row>
    <row r="15166" spans="31:31">
      <c r="AE15166" s="54"/>
    </row>
    <row r="15167" spans="31:31">
      <c r="AE15167" s="54"/>
    </row>
    <row r="15168" spans="31:31">
      <c r="AE15168" s="54"/>
    </row>
    <row r="15169" spans="31:31">
      <c r="AE15169" s="54"/>
    </row>
    <row r="15170" spans="31:31">
      <c r="AE15170" s="54"/>
    </row>
    <row r="15171" spans="31:31">
      <c r="AE15171" s="54"/>
    </row>
    <row r="15172" spans="31:31">
      <c r="AE15172" s="54"/>
    </row>
    <row r="15173" spans="31:31">
      <c r="AE15173" s="54"/>
    </row>
    <row r="15174" spans="31:31">
      <c r="AE15174" s="54"/>
    </row>
    <row r="15175" spans="31:31">
      <c r="AE15175" s="54"/>
    </row>
    <row r="15176" spans="31:31">
      <c r="AE15176" s="54"/>
    </row>
    <row r="15177" spans="31:31">
      <c r="AE15177" s="54"/>
    </row>
    <row r="15178" spans="31:31">
      <c r="AE15178" s="54"/>
    </row>
    <row r="15179" spans="31:31">
      <c r="AE15179" s="54"/>
    </row>
    <row r="15180" spans="31:31">
      <c r="AE15180" s="54"/>
    </row>
    <row r="15181" spans="31:31">
      <c r="AE15181" s="54"/>
    </row>
    <row r="15182" spans="31:31">
      <c r="AE15182" s="54"/>
    </row>
    <row r="15183" spans="31:31">
      <c r="AE15183" s="54"/>
    </row>
    <row r="15184" spans="31:31">
      <c r="AE15184" s="54"/>
    </row>
    <row r="15185" spans="31:31">
      <c r="AE15185" s="54"/>
    </row>
    <row r="15186" spans="31:31">
      <c r="AE15186" s="54"/>
    </row>
    <row r="15187" spans="31:31">
      <c r="AE15187" s="54"/>
    </row>
    <row r="15188" spans="31:31">
      <c r="AE15188" s="54"/>
    </row>
    <row r="15189" spans="31:31">
      <c r="AE15189" s="54"/>
    </row>
    <row r="15190" spans="31:31">
      <c r="AE15190" s="54"/>
    </row>
    <row r="15191" spans="31:31">
      <c r="AE15191" s="54"/>
    </row>
    <row r="15192" spans="31:31">
      <c r="AE15192" s="54"/>
    </row>
    <row r="15193" spans="31:31">
      <c r="AE15193" s="54"/>
    </row>
    <row r="15194" spans="31:31">
      <c r="AE15194" s="54"/>
    </row>
    <row r="15195" spans="31:31">
      <c r="AE15195" s="54"/>
    </row>
    <row r="15196" spans="31:31">
      <c r="AE15196" s="54"/>
    </row>
    <row r="15197" spans="31:31">
      <c r="AE15197" s="54"/>
    </row>
    <row r="15198" spans="31:31">
      <c r="AE15198" s="54"/>
    </row>
    <row r="15199" spans="31:31">
      <c r="AE15199" s="54"/>
    </row>
    <row r="15200" spans="31:31">
      <c r="AE15200" s="54"/>
    </row>
    <row r="15201" spans="31:31">
      <c r="AE15201" s="54"/>
    </row>
    <row r="15202" spans="31:31">
      <c r="AE15202" s="54"/>
    </row>
    <row r="15203" spans="31:31">
      <c r="AE15203" s="54"/>
    </row>
    <row r="15204" spans="31:31">
      <c r="AE15204" s="54"/>
    </row>
    <row r="15205" spans="31:31">
      <c r="AE15205" s="54"/>
    </row>
    <row r="15206" spans="31:31">
      <c r="AE15206" s="54"/>
    </row>
    <row r="15207" spans="31:31">
      <c r="AE15207" s="54"/>
    </row>
    <row r="15208" spans="31:31">
      <c r="AE15208" s="54"/>
    </row>
    <row r="15209" spans="31:31">
      <c r="AE15209" s="54"/>
    </row>
    <row r="15210" spans="31:31">
      <c r="AE15210" s="54"/>
    </row>
    <row r="15211" spans="31:31">
      <c r="AE15211" s="54"/>
    </row>
    <row r="15212" spans="31:31">
      <c r="AE15212" s="54"/>
    </row>
    <row r="15213" spans="31:31">
      <c r="AE15213" s="54"/>
    </row>
    <row r="15214" spans="31:31">
      <c r="AE15214" s="54"/>
    </row>
    <row r="15215" spans="31:31">
      <c r="AE15215" s="54"/>
    </row>
    <row r="15216" spans="31:31">
      <c r="AE15216" s="54"/>
    </row>
    <row r="15217" spans="31:31">
      <c r="AE15217" s="54"/>
    </row>
    <row r="15218" spans="31:31">
      <c r="AE15218" s="54"/>
    </row>
    <row r="15219" spans="31:31">
      <c r="AE15219" s="54"/>
    </row>
    <row r="15220" spans="31:31">
      <c r="AE15220" s="54"/>
    </row>
    <row r="15221" spans="31:31">
      <c r="AE15221" s="54"/>
    </row>
    <row r="15222" spans="31:31">
      <c r="AE15222" s="54"/>
    </row>
    <row r="15223" spans="31:31">
      <c r="AE15223" s="54"/>
    </row>
    <row r="15224" spans="31:31">
      <c r="AE15224" s="54"/>
    </row>
    <row r="15225" spans="31:31">
      <c r="AE15225" s="54"/>
    </row>
    <row r="15226" spans="31:31">
      <c r="AE15226" s="54"/>
    </row>
    <row r="15227" spans="31:31">
      <c r="AE15227" s="54"/>
    </row>
    <row r="15228" spans="31:31">
      <c r="AE15228" s="54"/>
    </row>
    <row r="15229" spans="31:31">
      <c r="AE15229" s="54"/>
    </row>
    <row r="15230" spans="31:31">
      <c r="AE15230" s="54"/>
    </row>
    <row r="15231" spans="31:31">
      <c r="AE15231" s="54"/>
    </row>
    <row r="15232" spans="31:31">
      <c r="AE15232" s="54"/>
    </row>
    <row r="15233" spans="31:31">
      <c r="AE15233" s="54"/>
    </row>
    <row r="15234" spans="31:31">
      <c r="AE15234" s="54"/>
    </row>
    <row r="15235" spans="31:31">
      <c r="AE15235" s="54"/>
    </row>
    <row r="15236" spans="31:31">
      <c r="AE15236" s="54"/>
    </row>
    <row r="15237" spans="31:31">
      <c r="AE15237" s="54"/>
    </row>
    <row r="15238" spans="31:31">
      <c r="AE15238" s="54"/>
    </row>
    <row r="15239" spans="31:31">
      <c r="AE15239" s="54"/>
    </row>
    <row r="15240" spans="31:31">
      <c r="AE15240" s="54"/>
    </row>
    <row r="15241" spans="31:31">
      <c r="AE15241" s="54"/>
    </row>
    <row r="15242" spans="31:31">
      <c r="AE15242" s="54"/>
    </row>
    <row r="15243" spans="31:31">
      <c r="AE15243" s="54"/>
    </row>
    <row r="15244" spans="31:31">
      <c r="AE15244" s="54"/>
    </row>
    <row r="15245" spans="31:31">
      <c r="AE15245" s="54"/>
    </row>
    <row r="15246" spans="31:31">
      <c r="AE15246" s="54"/>
    </row>
    <row r="15247" spans="31:31">
      <c r="AE15247" s="54"/>
    </row>
    <row r="15248" spans="31:31">
      <c r="AE15248" s="54"/>
    </row>
    <row r="15249" spans="31:31">
      <c r="AE15249" s="54"/>
    </row>
    <row r="15250" spans="31:31">
      <c r="AE15250" s="54"/>
    </row>
    <row r="15251" spans="31:31">
      <c r="AE15251" s="54"/>
    </row>
    <row r="15252" spans="31:31">
      <c r="AE15252" s="54"/>
    </row>
    <row r="15253" spans="31:31">
      <c r="AE15253" s="54"/>
    </row>
    <row r="15254" spans="31:31">
      <c r="AE15254" s="54"/>
    </row>
    <row r="15255" spans="31:31">
      <c r="AE15255" s="54"/>
    </row>
    <row r="15256" spans="31:31">
      <c r="AE15256" s="54"/>
    </row>
    <row r="15257" spans="31:31">
      <c r="AE15257" s="54"/>
    </row>
    <row r="15258" spans="31:31">
      <c r="AE15258" s="54"/>
    </row>
    <row r="15259" spans="31:31">
      <c r="AE15259" s="54"/>
    </row>
    <row r="15260" spans="31:31">
      <c r="AE15260" s="54"/>
    </row>
    <row r="15261" spans="31:31">
      <c r="AE15261" s="54"/>
    </row>
    <row r="15262" spans="31:31">
      <c r="AE15262" s="54"/>
    </row>
    <row r="15263" spans="31:31">
      <c r="AE15263" s="54"/>
    </row>
    <row r="15264" spans="31:31">
      <c r="AE15264" s="54"/>
    </row>
    <row r="15265" spans="31:31">
      <c r="AE15265" s="54"/>
    </row>
    <row r="15266" spans="31:31">
      <c r="AE15266" s="54"/>
    </row>
    <row r="15267" spans="31:31">
      <c r="AE15267" s="54"/>
    </row>
    <row r="15268" spans="31:31">
      <c r="AE15268" s="54"/>
    </row>
    <row r="15269" spans="31:31">
      <c r="AE15269" s="54"/>
    </row>
    <row r="15270" spans="31:31">
      <c r="AE15270" s="54"/>
    </row>
    <row r="15271" spans="31:31">
      <c r="AE15271" s="54"/>
    </row>
    <row r="15272" spans="31:31">
      <c r="AE15272" s="54"/>
    </row>
    <row r="15273" spans="31:31">
      <c r="AE15273" s="54"/>
    </row>
    <row r="15274" spans="31:31">
      <c r="AE15274" s="54"/>
    </row>
    <row r="15275" spans="31:31">
      <c r="AE15275" s="54"/>
    </row>
    <row r="15276" spans="31:31">
      <c r="AE15276" s="54"/>
    </row>
    <row r="15277" spans="31:31">
      <c r="AE15277" s="54"/>
    </row>
    <row r="15278" spans="31:31">
      <c r="AE15278" s="54"/>
    </row>
    <row r="15279" spans="31:31">
      <c r="AE15279" s="54"/>
    </row>
    <row r="15280" spans="31:31">
      <c r="AE15280" s="54"/>
    </row>
    <row r="15281" spans="31:31">
      <c r="AE15281" s="54"/>
    </row>
    <row r="15282" spans="31:31">
      <c r="AE15282" s="54"/>
    </row>
    <row r="15283" spans="31:31">
      <c r="AE15283" s="54"/>
    </row>
    <row r="15284" spans="31:31">
      <c r="AE15284" s="54"/>
    </row>
    <row r="15285" spans="31:31">
      <c r="AE15285" s="54"/>
    </row>
    <row r="15286" spans="31:31">
      <c r="AE15286" s="54"/>
    </row>
    <row r="15287" spans="31:31">
      <c r="AE15287" s="54"/>
    </row>
    <row r="15288" spans="31:31">
      <c r="AE15288" s="54"/>
    </row>
    <row r="15289" spans="31:31">
      <c r="AE15289" s="54"/>
    </row>
    <row r="15290" spans="31:31">
      <c r="AE15290" s="54"/>
    </row>
    <row r="15291" spans="31:31">
      <c r="AE15291" s="54"/>
    </row>
    <row r="15292" spans="31:31">
      <c r="AE15292" s="54"/>
    </row>
    <row r="15293" spans="31:31">
      <c r="AE15293" s="54"/>
    </row>
    <row r="15294" spans="31:31">
      <c r="AE15294" s="54"/>
    </row>
    <row r="15295" spans="31:31">
      <c r="AE15295" s="54"/>
    </row>
    <row r="15296" spans="31:31">
      <c r="AE15296" s="54"/>
    </row>
    <row r="15297" spans="31:31">
      <c r="AE15297" s="54"/>
    </row>
    <row r="15298" spans="31:31">
      <c r="AE15298" s="54"/>
    </row>
    <row r="15299" spans="31:31">
      <c r="AE15299" s="54"/>
    </row>
    <row r="15300" spans="31:31">
      <c r="AE15300" s="54"/>
    </row>
    <row r="15301" spans="31:31">
      <c r="AE15301" s="54"/>
    </row>
    <row r="15302" spans="31:31">
      <c r="AE15302" s="54"/>
    </row>
    <row r="15303" spans="31:31">
      <c r="AE15303" s="54"/>
    </row>
    <row r="15304" spans="31:31">
      <c r="AE15304" s="54"/>
    </row>
    <row r="15305" spans="31:31">
      <c r="AE15305" s="54"/>
    </row>
    <row r="15306" spans="31:31">
      <c r="AE15306" s="54"/>
    </row>
    <row r="15307" spans="31:31">
      <c r="AE15307" s="54"/>
    </row>
    <row r="15308" spans="31:31">
      <c r="AE15308" s="54"/>
    </row>
    <row r="15309" spans="31:31">
      <c r="AE15309" s="54"/>
    </row>
    <row r="15310" spans="31:31">
      <c r="AE15310" s="54"/>
    </row>
    <row r="15311" spans="31:31">
      <c r="AE15311" s="54"/>
    </row>
    <row r="15312" spans="31:31">
      <c r="AE15312" s="54"/>
    </row>
    <row r="15313" spans="31:31">
      <c r="AE15313" s="54"/>
    </row>
    <row r="15314" spans="31:31">
      <c r="AE15314" s="54"/>
    </row>
    <row r="15315" spans="31:31">
      <c r="AE15315" s="54"/>
    </row>
    <row r="15316" spans="31:31">
      <c r="AE15316" s="54"/>
    </row>
    <row r="15317" spans="31:31">
      <c r="AE15317" s="54"/>
    </row>
    <row r="15318" spans="31:31">
      <c r="AE15318" s="54"/>
    </row>
    <row r="15319" spans="31:31">
      <c r="AE15319" s="54"/>
    </row>
    <row r="15320" spans="31:31">
      <c r="AE15320" s="54"/>
    </row>
    <row r="15321" spans="31:31">
      <c r="AE15321" s="54"/>
    </row>
    <row r="15322" spans="31:31">
      <c r="AE15322" s="54"/>
    </row>
    <row r="15323" spans="31:31">
      <c r="AE15323" s="54"/>
    </row>
    <row r="15324" spans="31:31">
      <c r="AE15324" s="54"/>
    </row>
    <row r="15325" spans="31:31">
      <c r="AE15325" s="54"/>
    </row>
    <row r="15326" spans="31:31">
      <c r="AE15326" s="54"/>
    </row>
    <row r="15327" spans="31:31">
      <c r="AE15327" s="54"/>
    </row>
    <row r="15328" spans="31:31">
      <c r="AE15328" s="54"/>
    </row>
    <row r="15329" spans="31:31">
      <c r="AE15329" s="54"/>
    </row>
    <row r="15330" spans="31:31">
      <c r="AE15330" s="54"/>
    </row>
    <row r="15331" spans="31:31">
      <c r="AE15331" s="54"/>
    </row>
    <row r="15332" spans="31:31">
      <c r="AE15332" s="54"/>
    </row>
    <row r="15333" spans="31:31">
      <c r="AE15333" s="54"/>
    </row>
    <row r="15334" spans="31:31">
      <c r="AE15334" s="54"/>
    </row>
    <row r="15335" spans="31:31">
      <c r="AE15335" s="54"/>
    </row>
    <row r="15336" spans="31:31">
      <c r="AE15336" s="54"/>
    </row>
    <row r="15337" spans="31:31">
      <c r="AE15337" s="54"/>
    </row>
    <row r="15338" spans="31:31">
      <c r="AE15338" s="54"/>
    </row>
    <row r="15339" spans="31:31">
      <c r="AE15339" s="54"/>
    </row>
    <row r="15340" spans="31:31">
      <c r="AE15340" s="54"/>
    </row>
    <row r="15341" spans="31:31">
      <c r="AE15341" s="54"/>
    </row>
    <row r="15342" spans="31:31">
      <c r="AE15342" s="54"/>
    </row>
    <row r="15343" spans="31:31">
      <c r="AE15343" s="54"/>
    </row>
    <row r="15344" spans="31:31">
      <c r="AE15344" s="54"/>
    </row>
    <row r="15345" spans="31:31">
      <c r="AE15345" s="54"/>
    </row>
    <row r="15346" spans="31:31">
      <c r="AE15346" s="54"/>
    </row>
    <row r="15347" spans="31:31">
      <c r="AE15347" s="54"/>
    </row>
    <row r="15348" spans="31:31">
      <c r="AE15348" s="54"/>
    </row>
    <row r="15349" spans="31:31">
      <c r="AE15349" s="54"/>
    </row>
    <row r="15350" spans="31:31">
      <c r="AE15350" s="54"/>
    </row>
    <row r="15351" spans="31:31">
      <c r="AE15351" s="54"/>
    </row>
    <row r="15352" spans="31:31">
      <c r="AE15352" s="54"/>
    </row>
    <row r="15353" spans="31:31">
      <c r="AE15353" s="54"/>
    </row>
    <row r="15354" spans="31:31">
      <c r="AE15354" s="54"/>
    </row>
    <row r="15355" spans="31:31">
      <c r="AE15355" s="54"/>
    </row>
    <row r="15356" spans="31:31">
      <c r="AE15356" s="54"/>
    </row>
    <row r="15357" spans="31:31">
      <c r="AE15357" s="54"/>
    </row>
    <row r="15358" spans="31:31">
      <c r="AE15358" s="54"/>
    </row>
    <row r="15359" spans="31:31">
      <c r="AE15359" s="54"/>
    </row>
    <row r="15360" spans="31:31">
      <c r="AE15360" s="54"/>
    </row>
    <row r="15361" spans="31:31">
      <c r="AE15361" s="54"/>
    </row>
    <row r="15362" spans="31:31">
      <c r="AE15362" s="54"/>
    </row>
    <row r="15363" spans="31:31">
      <c r="AE15363" s="54"/>
    </row>
    <row r="15364" spans="31:31">
      <c r="AE15364" s="54"/>
    </row>
    <row r="15365" spans="31:31">
      <c r="AE15365" s="54"/>
    </row>
    <row r="15366" spans="31:31">
      <c r="AE15366" s="54"/>
    </row>
    <row r="15367" spans="31:31">
      <c r="AE15367" s="54"/>
    </row>
    <row r="15368" spans="31:31">
      <c r="AE15368" s="54"/>
    </row>
    <row r="15369" spans="31:31">
      <c r="AE15369" s="54"/>
    </row>
    <row r="15370" spans="31:31">
      <c r="AE15370" s="54"/>
    </row>
    <row r="15371" spans="31:31">
      <c r="AE15371" s="54"/>
    </row>
    <row r="15372" spans="31:31">
      <c r="AE15372" s="54"/>
    </row>
    <row r="15373" spans="31:31">
      <c r="AE15373" s="54"/>
    </row>
    <row r="15374" spans="31:31">
      <c r="AE15374" s="54"/>
    </row>
    <row r="15375" spans="31:31">
      <c r="AE15375" s="54"/>
    </row>
    <row r="15376" spans="31:31">
      <c r="AE15376" s="54"/>
    </row>
    <row r="15377" spans="31:31">
      <c r="AE15377" s="54"/>
    </row>
    <row r="15378" spans="31:31">
      <c r="AE15378" s="54"/>
    </row>
    <row r="15379" spans="31:31">
      <c r="AE15379" s="54"/>
    </row>
    <row r="15380" spans="31:31">
      <c r="AE15380" s="54"/>
    </row>
    <row r="15381" spans="31:31">
      <c r="AE15381" s="54"/>
    </row>
    <row r="15382" spans="31:31">
      <c r="AE15382" s="54"/>
    </row>
    <row r="15383" spans="31:31">
      <c r="AE15383" s="54"/>
    </row>
    <row r="15384" spans="31:31">
      <c r="AE15384" s="54"/>
    </row>
    <row r="15385" spans="31:31">
      <c r="AE15385" s="54"/>
    </row>
    <row r="15386" spans="31:31">
      <c r="AE15386" s="54"/>
    </row>
    <row r="15387" spans="31:31">
      <c r="AE15387" s="54"/>
    </row>
    <row r="15388" spans="31:31">
      <c r="AE15388" s="54"/>
    </row>
    <row r="15389" spans="31:31">
      <c r="AE15389" s="54"/>
    </row>
    <row r="15390" spans="31:31">
      <c r="AE15390" s="54"/>
    </row>
    <row r="15391" spans="31:31">
      <c r="AE15391" s="54"/>
    </row>
    <row r="15392" spans="31:31">
      <c r="AE15392" s="54"/>
    </row>
    <row r="15393" spans="31:31">
      <c r="AE15393" s="54"/>
    </row>
    <row r="15394" spans="31:31">
      <c r="AE15394" s="54"/>
    </row>
    <row r="15395" spans="31:31">
      <c r="AE15395" s="54"/>
    </row>
    <row r="15396" spans="31:31">
      <c r="AE15396" s="54"/>
    </row>
    <row r="15397" spans="31:31">
      <c r="AE15397" s="54"/>
    </row>
    <row r="15398" spans="31:31">
      <c r="AE15398" s="54"/>
    </row>
    <row r="15399" spans="31:31">
      <c r="AE15399" s="54"/>
    </row>
    <row r="15400" spans="31:31">
      <c r="AE15400" s="54"/>
    </row>
    <row r="15401" spans="31:31">
      <c r="AE15401" s="54"/>
    </row>
    <row r="15402" spans="31:31">
      <c r="AE15402" s="54"/>
    </row>
    <row r="15403" spans="31:31">
      <c r="AE15403" s="54"/>
    </row>
    <row r="15404" spans="31:31">
      <c r="AE15404" s="54"/>
    </row>
    <row r="15405" spans="31:31">
      <c r="AE15405" s="54"/>
    </row>
    <row r="15406" spans="31:31">
      <c r="AE15406" s="54"/>
    </row>
    <row r="15407" spans="31:31">
      <c r="AE15407" s="54"/>
    </row>
    <row r="15408" spans="31:31">
      <c r="AE15408" s="54"/>
    </row>
    <row r="15409" spans="31:31">
      <c r="AE15409" s="54"/>
    </row>
    <row r="15410" spans="31:31">
      <c r="AE15410" s="54"/>
    </row>
    <row r="15411" spans="31:31">
      <c r="AE15411" s="54"/>
    </row>
    <row r="15412" spans="31:31">
      <c r="AE15412" s="54"/>
    </row>
    <row r="15413" spans="31:31">
      <c r="AE15413" s="54"/>
    </row>
    <row r="15414" spans="31:31">
      <c r="AE15414" s="54"/>
    </row>
    <row r="15415" spans="31:31">
      <c r="AE15415" s="54"/>
    </row>
    <row r="15416" spans="31:31">
      <c r="AE15416" s="54"/>
    </row>
    <row r="15417" spans="31:31">
      <c r="AE15417" s="54"/>
    </row>
    <row r="15418" spans="31:31">
      <c r="AE15418" s="54"/>
    </row>
    <row r="15419" spans="31:31">
      <c r="AE15419" s="54"/>
    </row>
    <row r="15420" spans="31:31">
      <c r="AE15420" s="54"/>
    </row>
    <row r="15421" spans="31:31">
      <c r="AE15421" s="54"/>
    </row>
    <row r="15422" spans="31:31">
      <c r="AE15422" s="54"/>
    </row>
    <row r="15423" spans="31:31">
      <c r="AE15423" s="54"/>
    </row>
    <row r="15424" spans="31:31">
      <c r="AE15424" s="54"/>
    </row>
    <row r="15425" spans="31:31">
      <c r="AE15425" s="54"/>
    </row>
    <row r="15426" spans="31:31">
      <c r="AE15426" s="54"/>
    </row>
    <row r="15427" spans="31:31">
      <c r="AE15427" s="54"/>
    </row>
    <row r="15428" spans="31:31">
      <c r="AE15428" s="54"/>
    </row>
    <row r="15429" spans="31:31">
      <c r="AE15429" s="54"/>
    </row>
    <row r="15430" spans="31:31">
      <c r="AE15430" s="54"/>
    </row>
    <row r="15431" spans="31:31">
      <c r="AE15431" s="54"/>
    </row>
    <row r="15432" spans="31:31">
      <c r="AE15432" s="54"/>
    </row>
    <row r="15433" spans="31:31">
      <c r="AE15433" s="54"/>
    </row>
    <row r="15434" spans="31:31">
      <c r="AE15434" s="54"/>
    </row>
    <row r="15435" spans="31:31">
      <c r="AE15435" s="54"/>
    </row>
    <row r="15436" spans="31:31">
      <c r="AE15436" s="54"/>
    </row>
    <row r="15437" spans="31:31">
      <c r="AE15437" s="54"/>
    </row>
    <row r="15438" spans="31:31">
      <c r="AE15438" s="54"/>
    </row>
    <row r="15439" spans="31:31">
      <c r="AE15439" s="54"/>
    </row>
    <row r="15440" spans="31:31">
      <c r="AE15440" s="54"/>
    </row>
    <row r="15441" spans="31:31">
      <c r="AE15441" s="54"/>
    </row>
    <row r="15442" spans="31:31">
      <c r="AE15442" s="54"/>
    </row>
    <row r="15443" spans="31:31">
      <c r="AE15443" s="54"/>
    </row>
    <row r="15444" spans="31:31">
      <c r="AE15444" s="54"/>
    </row>
    <row r="15445" spans="31:31">
      <c r="AE15445" s="54"/>
    </row>
    <row r="15446" spans="31:31">
      <c r="AE15446" s="54"/>
    </row>
    <row r="15447" spans="31:31">
      <c r="AE15447" s="54"/>
    </row>
    <row r="15448" spans="31:31">
      <c r="AE15448" s="54"/>
    </row>
    <row r="15449" spans="31:31">
      <c r="AE15449" s="54"/>
    </row>
    <row r="15450" spans="31:31">
      <c r="AE15450" s="54"/>
    </row>
    <row r="15451" spans="31:31">
      <c r="AE15451" s="54"/>
    </row>
    <row r="15452" spans="31:31">
      <c r="AE15452" s="54"/>
    </row>
    <row r="15453" spans="31:31">
      <c r="AE15453" s="54"/>
    </row>
    <row r="15454" spans="31:31">
      <c r="AE15454" s="54"/>
    </row>
    <row r="15455" spans="31:31">
      <c r="AE15455" s="54"/>
    </row>
    <row r="15456" spans="31:31">
      <c r="AE15456" s="54"/>
    </row>
    <row r="15457" spans="31:31">
      <c r="AE15457" s="54"/>
    </row>
    <row r="15458" spans="31:31">
      <c r="AE15458" s="54"/>
    </row>
    <row r="15459" spans="31:31">
      <c r="AE15459" s="54"/>
    </row>
    <row r="15460" spans="31:31">
      <c r="AE15460" s="54"/>
    </row>
    <row r="15461" spans="31:31">
      <c r="AE15461" s="54"/>
    </row>
    <row r="15462" spans="31:31">
      <c r="AE15462" s="54"/>
    </row>
    <row r="15463" spans="31:31">
      <c r="AE15463" s="54"/>
    </row>
    <row r="15464" spans="31:31">
      <c r="AE15464" s="54"/>
    </row>
    <row r="15465" spans="31:31">
      <c r="AE15465" s="54"/>
    </row>
    <row r="15466" spans="31:31">
      <c r="AE15466" s="54"/>
    </row>
    <row r="15467" spans="31:31">
      <c r="AE15467" s="54"/>
    </row>
    <row r="15468" spans="31:31">
      <c r="AE15468" s="54"/>
    </row>
    <row r="15469" spans="31:31">
      <c r="AE15469" s="54"/>
    </row>
    <row r="15470" spans="31:31">
      <c r="AE15470" s="54"/>
    </row>
    <row r="15471" spans="31:31">
      <c r="AE15471" s="54"/>
    </row>
    <row r="15472" spans="31:31">
      <c r="AE15472" s="54"/>
    </row>
    <row r="15473" spans="31:31">
      <c r="AE15473" s="54"/>
    </row>
    <row r="15474" spans="31:31">
      <c r="AE15474" s="54"/>
    </row>
    <row r="15475" spans="31:31">
      <c r="AE15475" s="54"/>
    </row>
    <row r="15476" spans="31:31">
      <c r="AE15476" s="54"/>
    </row>
    <row r="15477" spans="31:31">
      <c r="AE15477" s="54"/>
    </row>
    <row r="15478" spans="31:31">
      <c r="AE15478" s="54"/>
    </row>
    <row r="15479" spans="31:31">
      <c r="AE15479" s="54"/>
    </row>
    <row r="15480" spans="31:31">
      <c r="AE15480" s="54"/>
    </row>
    <row r="15481" spans="31:31">
      <c r="AE15481" s="54"/>
    </row>
    <row r="15482" spans="31:31">
      <c r="AE15482" s="54"/>
    </row>
    <row r="15483" spans="31:31">
      <c r="AE15483" s="54"/>
    </row>
    <row r="15484" spans="31:31">
      <c r="AE15484" s="54"/>
    </row>
    <row r="15485" spans="31:31">
      <c r="AE15485" s="54"/>
    </row>
    <row r="15486" spans="31:31">
      <c r="AE15486" s="54"/>
    </row>
    <row r="15487" spans="31:31">
      <c r="AE15487" s="54"/>
    </row>
    <row r="15488" spans="31:31">
      <c r="AE15488" s="54"/>
    </row>
    <row r="15489" spans="31:31">
      <c r="AE15489" s="54"/>
    </row>
    <row r="15490" spans="31:31">
      <c r="AE15490" s="54"/>
    </row>
    <row r="15491" spans="31:31">
      <c r="AE15491" s="54"/>
    </row>
    <row r="15492" spans="31:31">
      <c r="AE15492" s="54"/>
    </row>
    <row r="15493" spans="31:31">
      <c r="AE15493" s="54"/>
    </row>
    <row r="15494" spans="31:31">
      <c r="AE15494" s="54"/>
    </row>
    <row r="15495" spans="31:31">
      <c r="AE15495" s="54"/>
    </row>
    <row r="15496" spans="31:31">
      <c r="AE15496" s="54"/>
    </row>
    <row r="15497" spans="31:31">
      <c r="AE15497" s="54"/>
    </row>
    <row r="15498" spans="31:31">
      <c r="AE15498" s="54"/>
    </row>
    <row r="15499" spans="31:31">
      <c r="AE15499" s="54"/>
    </row>
    <row r="15500" spans="31:31">
      <c r="AE15500" s="54"/>
    </row>
    <row r="15501" spans="31:31">
      <c r="AE15501" s="54"/>
    </row>
    <row r="15502" spans="31:31">
      <c r="AE15502" s="54"/>
    </row>
    <row r="15503" spans="31:31">
      <c r="AE15503" s="54"/>
    </row>
    <row r="15504" spans="31:31">
      <c r="AE15504" s="54"/>
    </row>
    <row r="15505" spans="31:31">
      <c r="AE15505" s="54"/>
    </row>
    <row r="15506" spans="31:31">
      <c r="AE15506" s="54"/>
    </row>
    <row r="15507" spans="31:31">
      <c r="AE15507" s="54"/>
    </row>
    <row r="15508" spans="31:31">
      <c r="AE15508" s="54"/>
    </row>
    <row r="15509" spans="31:31">
      <c r="AE15509" s="54"/>
    </row>
    <row r="15510" spans="31:31">
      <c r="AE15510" s="54"/>
    </row>
    <row r="15511" spans="31:31">
      <c r="AE15511" s="54"/>
    </row>
    <row r="15512" spans="31:31">
      <c r="AE15512" s="54"/>
    </row>
    <row r="15513" spans="31:31">
      <c r="AE15513" s="54"/>
    </row>
    <row r="15514" spans="31:31">
      <c r="AE15514" s="54"/>
    </row>
    <row r="15515" spans="31:31">
      <c r="AE15515" s="54"/>
    </row>
    <row r="15516" spans="31:31">
      <c r="AE15516" s="54"/>
    </row>
    <row r="15517" spans="31:31">
      <c r="AE15517" s="54"/>
    </row>
    <row r="15518" spans="31:31">
      <c r="AE15518" s="54"/>
    </row>
    <row r="15519" spans="31:31">
      <c r="AE15519" s="54"/>
    </row>
    <row r="15520" spans="31:31">
      <c r="AE15520" s="54"/>
    </row>
    <row r="15521" spans="31:31">
      <c r="AE15521" s="54"/>
    </row>
    <row r="15522" spans="31:31">
      <c r="AE15522" s="54"/>
    </row>
    <row r="15523" spans="31:31">
      <c r="AE15523" s="54"/>
    </row>
    <row r="15524" spans="31:31">
      <c r="AE15524" s="54"/>
    </row>
    <row r="15525" spans="31:31">
      <c r="AE15525" s="54"/>
    </row>
    <row r="15526" spans="31:31">
      <c r="AE15526" s="54"/>
    </row>
    <row r="15527" spans="31:31">
      <c r="AE15527" s="54"/>
    </row>
    <row r="15528" spans="31:31">
      <c r="AE15528" s="54"/>
    </row>
    <row r="15529" spans="31:31">
      <c r="AE15529" s="54"/>
    </row>
    <row r="15530" spans="31:31">
      <c r="AE15530" s="54"/>
    </row>
    <row r="15531" spans="31:31">
      <c r="AE15531" s="54"/>
    </row>
    <row r="15532" spans="31:31">
      <c r="AE15532" s="54"/>
    </row>
    <row r="15533" spans="31:31">
      <c r="AE15533" s="54"/>
    </row>
    <row r="15534" spans="31:31">
      <c r="AE15534" s="54"/>
    </row>
    <row r="15535" spans="31:31">
      <c r="AE15535" s="54"/>
    </row>
    <row r="15536" spans="31:31">
      <c r="AE15536" s="54"/>
    </row>
    <row r="15537" spans="31:31">
      <c r="AE15537" s="54"/>
    </row>
    <row r="15538" spans="31:31">
      <c r="AE15538" s="54"/>
    </row>
    <row r="15539" spans="31:31">
      <c r="AE15539" s="54"/>
    </row>
    <row r="15540" spans="31:31">
      <c r="AE15540" s="54"/>
    </row>
    <row r="15541" spans="31:31">
      <c r="AE15541" s="54"/>
    </row>
    <row r="15542" spans="31:31">
      <c r="AE15542" s="54"/>
    </row>
    <row r="15543" spans="31:31">
      <c r="AE15543" s="54"/>
    </row>
    <row r="15544" spans="31:31">
      <c r="AE15544" s="54"/>
    </row>
    <row r="15545" spans="31:31">
      <c r="AE15545" s="54"/>
    </row>
    <row r="15546" spans="31:31">
      <c r="AE15546" s="54"/>
    </row>
    <row r="15547" spans="31:31">
      <c r="AE15547" s="54"/>
    </row>
    <row r="15548" spans="31:31">
      <c r="AE15548" s="54"/>
    </row>
    <row r="15549" spans="31:31">
      <c r="AE15549" s="54"/>
    </row>
    <row r="15550" spans="31:31">
      <c r="AE15550" s="54"/>
    </row>
    <row r="15551" spans="31:31">
      <c r="AE15551" s="54"/>
    </row>
    <row r="15552" spans="31:31">
      <c r="AE15552" s="54"/>
    </row>
    <row r="15553" spans="31:31">
      <c r="AE15553" s="54"/>
    </row>
    <row r="15554" spans="31:31">
      <c r="AE15554" s="54"/>
    </row>
    <row r="15555" spans="31:31">
      <c r="AE15555" s="54"/>
    </row>
    <row r="15556" spans="31:31">
      <c r="AE15556" s="54"/>
    </row>
    <row r="15557" spans="31:31">
      <c r="AE15557" s="54"/>
    </row>
    <row r="15558" spans="31:31">
      <c r="AE15558" s="54"/>
    </row>
    <row r="15559" spans="31:31">
      <c r="AE15559" s="54"/>
    </row>
    <row r="15560" spans="31:31">
      <c r="AE15560" s="54"/>
    </row>
    <row r="15561" spans="31:31">
      <c r="AE15561" s="54"/>
    </row>
    <row r="15562" spans="31:31">
      <c r="AE15562" s="54"/>
    </row>
    <row r="15563" spans="31:31">
      <c r="AE15563" s="54"/>
    </row>
    <row r="15564" spans="31:31">
      <c r="AE15564" s="54"/>
    </row>
    <row r="15565" spans="31:31">
      <c r="AE15565" s="54"/>
    </row>
    <row r="15566" spans="31:31">
      <c r="AE15566" s="54"/>
    </row>
    <row r="15567" spans="31:31">
      <c r="AE15567" s="54"/>
    </row>
    <row r="15568" spans="31:31">
      <c r="AE15568" s="54"/>
    </row>
    <row r="15569" spans="31:31">
      <c r="AE15569" s="54"/>
    </row>
    <row r="15570" spans="31:31">
      <c r="AE15570" s="54"/>
    </row>
    <row r="15571" spans="31:31">
      <c r="AE15571" s="54"/>
    </row>
    <row r="15572" spans="31:31">
      <c r="AE15572" s="54"/>
    </row>
    <row r="15573" spans="31:31">
      <c r="AE15573" s="54"/>
    </row>
    <row r="15574" spans="31:31">
      <c r="AE15574" s="54"/>
    </row>
    <row r="15575" spans="31:31">
      <c r="AE15575" s="54"/>
    </row>
    <row r="15576" spans="31:31">
      <c r="AE15576" s="54"/>
    </row>
    <row r="15577" spans="31:31">
      <c r="AE15577" s="54"/>
    </row>
    <row r="15578" spans="31:31">
      <c r="AE15578" s="54"/>
    </row>
    <row r="15579" spans="31:31">
      <c r="AE15579" s="54"/>
    </row>
    <row r="15580" spans="31:31">
      <c r="AE15580" s="54"/>
    </row>
    <row r="15581" spans="31:31">
      <c r="AE15581" s="54"/>
    </row>
    <row r="15582" spans="31:31">
      <c r="AE15582" s="54"/>
    </row>
    <row r="15583" spans="31:31">
      <c r="AE15583" s="54"/>
    </row>
    <row r="15584" spans="31:31">
      <c r="AE15584" s="54"/>
    </row>
    <row r="15585" spans="31:31">
      <c r="AE15585" s="54"/>
    </row>
    <row r="15586" spans="31:31">
      <c r="AE15586" s="54"/>
    </row>
    <row r="15587" spans="31:31">
      <c r="AE15587" s="54"/>
    </row>
    <row r="15588" spans="31:31">
      <c r="AE15588" s="54"/>
    </row>
    <row r="15589" spans="31:31">
      <c r="AE15589" s="54"/>
    </row>
    <row r="15590" spans="31:31">
      <c r="AE15590" s="54"/>
    </row>
    <row r="15591" spans="31:31">
      <c r="AE15591" s="54"/>
    </row>
    <row r="15592" spans="31:31">
      <c r="AE15592" s="54"/>
    </row>
    <row r="15593" spans="31:31">
      <c r="AE15593" s="54"/>
    </row>
    <row r="15594" spans="31:31">
      <c r="AE15594" s="54"/>
    </row>
    <row r="15595" spans="31:31">
      <c r="AE15595" s="54"/>
    </row>
    <row r="15596" spans="31:31">
      <c r="AE15596" s="54"/>
    </row>
    <row r="15597" spans="31:31">
      <c r="AE15597" s="54"/>
    </row>
    <row r="15598" spans="31:31">
      <c r="AE15598" s="54"/>
    </row>
    <row r="15599" spans="31:31">
      <c r="AE15599" s="54"/>
    </row>
    <row r="15600" spans="31:31">
      <c r="AE15600" s="54"/>
    </row>
    <row r="15601" spans="31:31">
      <c r="AE15601" s="54"/>
    </row>
    <row r="15602" spans="31:31">
      <c r="AE15602" s="54"/>
    </row>
    <row r="15603" spans="31:31">
      <c r="AE15603" s="54"/>
    </row>
    <row r="15604" spans="31:31">
      <c r="AE15604" s="54"/>
    </row>
    <row r="15605" spans="31:31">
      <c r="AE15605" s="54"/>
    </row>
    <row r="15606" spans="31:31">
      <c r="AE15606" s="54"/>
    </row>
    <row r="15607" spans="31:31">
      <c r="AE15607" s="54"/>
    </row>
    <row r="15608" spans="31:31">
      <c r="AE15608" s="54"/>
    </row>
    <row r="15609" spans="31:31">
      <c r="AE15609" s="54"/>
    </row>
    <row r="15610" spans="31:31">
      <c r="AE15610" s="54"/>
    </row>
    <row r="15611" spans="31:31">
      <c r="AE15611" s="54"/>
    </row>
    <row r="15612" spans="31:31">
      <c r="AE15612" s="54"/>
    </row>
    <row r="15613" spans="31:31">
      <c r="AE15613" s="54"/>
    </row>
    <row r="15614" spans="31:31">
      <c r="AE15614" s="54"/>
    </row>
    <row r="15615" spans="31:31">
      <c r="AE15615" s="54"/>
    </row>
    <row r="15616" spans="31:31">
      <c r="AE15616" s="54"/>
    </row>
    <row r="15617" spans="31:31">
      <c r="AE15617" s="54"/>
    </row>
    <row r="15618" spans="31:31">
      <c r="AE15618" s="54"/>
    </row>
    <row r="15619" spans="31:31">
      <c r="AE15619" s="54"/>
    </row>
    <row r="15620" spans="31:31">
      <c r="AE15620" s="54"/>
    </row>
    <row r="15621" spans="31:31">
      <c r="AE15621" s="54"/>
    </row>
    <row r="15622" spans="31:31">
      <c r="AE15622" s="54"/>
    </row>
    <row r="15623" spans="31:31">
      <c r="AE15623" s="54"/>
    </row>
    <row r="15624" spans="31:31">
      <c r="AE15624" s="54"/>
    </row>
    <row r="15625" spans="31:31">
      <c r="AE15625" s="54"/>
    </row>
    <row r="15626" spans="31:31">
      <c r="AE15626" s="54"/>
    </row>
    <row r="15627" spans="31:31">
      <c r="AE15627" s="54"/>
    </row>
    <row r="15628" spans="31:31">
      <c r="AE15628" s="54"/>
    </row>
    <row r="15629" spans="31:31">
      <c r="AE15629" s="54"/>
    </row>
    <row r="15630" spans="31:31">
      <c r="AE15630" s="54"/>
    </row>
    <row r="15631" spans="31:31">
      <c r="AE15631" s="54"/>
    </row>
    <row r="15632" spans="31:31">
      <c r="AE15632" s="54"/>
    </row>
    <row r="15633" spans="31:31">
      <c r="AE15633" s="54"/>
    </row>
    <row r="15634" spans="31:31">
      <c r="AE15634" s="54"/>
    </row>
    <row r="15635" spans="31:31">
      <c r="AE15635" s="54"/>
    </row>
    <row r="15636" spans="31:31">
      <c r="AE15636" s="54"/>
    </row>
    <row r="15637" spans="31:31">
      <c r="AE15637" s="54"/>
    </row>
    <row r="15638" spans="31:31">
      <c r="AE15638" s="54"/>
    </row>
    <row r="15639" spans="31:31">
      <c r="AE15639" s="54"/>
    </row>
    <row r="15640" spans="31:31">
      <c r="AE15640" s="54"/>
    </row>
    <row r="15641" spans="31:31">
      <c r="AE15641" s="54"/>
    </row>
    <row r="15642" spans="31:31">
      <c r="AE15642" s="54"/>
    </row>
    <row r="15643" spans="31:31">
      <c r="AE15643" s="54"/>
    </row>
    <row r="15644" spans="31:31">
      <c r="AE15644" s="54"/>
    </row>
    <row r="15645" spans="31:31">
      <c r="AE15645" s="54"/>
    </row>
    <row r="15646" spans="31:31">
      <c r="AE15646" s="54"/>
    </row>
    <row r="15647" spans="31:31">
      <c r="AE15647" s="54"/>
    </row>
    <row r="15648" spans="31:31">
      <c r="AE15648" s="54"/>
    </row>
    <row r="15649" spans="31:31">
      <c r="AE15649" s="54"/>
    </row>
    <row r="15650" spans="31:31">
      <c r="AE15650" s="54"/>
    </row>
    <row r="15651" spans="31:31">
      <c r="AE15651" s="54"/>
    </row>
    <row r="15652" spans="31:31">
      <c r="AE15652" s="54"/>
    </row>
    <row r="15653" spans="31:31">
      <c r="AE15653" s="54"/>
    </row>
    <row r="15654" spans="31:31">
      <c r="AE15654" s="54"/>
    </row>
    <row r="15655" spans="31:31">
      <c r="AE15655" s="54"/>
    </row>
    <row r="15656" spans="31:31">
      <c r="AE15656" s="54"/>
    </row>
    <row r="15657" spans="31:31">
      <c r="AE15657" s="54"/>
    </row>
    <row r="15658" spans="31:31">
      <c r="AE15658" s="54"/>
    </row>
    <row r="15659" spans="31:31">
      <c r="AE15659" s="54"/>
    </row>
    <row r="15660" spans="31:31">
      <c r="AE15660" s="54"/>
    </row>
    <row r="15661" spans="31:31">
      <c r="AE15661" s="54"/>
    </row>
    <row r="15662" spans="31:31">
      <c r="AE15662" s="54"/>
    </row>
    <row r="15663" spans="31:31">
      <c r="AE15663" s="54"/>
    </row>
    <row r="15664" spans="31:31">
      <c r="AE15664" s="54"/>
    </row>
    <row r="15665" spans="31:31">
      <c r="AE15665" s="54"/>
    </row>
    <row r="15666" spans="31:31">
      <c r="AE15666" s="54"/>
    </row>
    <row r="15667" spans="31:31">
      <c r="AE15667" s="54"/>
    </row>
    <row r="15668" spans="31:31">
      <c r="AE15668" s="54"/>
    </row>
    <row r="15669" spans="31:31">
      <c r="AE15669" s="54"/>
    </row>
    <row r="15670" spans="31:31">
      <c r="AE15670" s="54"/>
    </row>
    <row r="15671" spans="31:31">
      <c r="AE15671" s="54"/>
    </row>
    <row r="15672" spans="31:31">
      <c r="AE15672" s="54"/>
    </row>
    <row r="15673" spans="31:31">
      <c r="AE15673" s="54"/>
    </row>
    <row r="15674" spans="31:31">
      <c r="AE15674" s="54"/>
    </row>
    <row r="15675" spans="31:31">
      <c r="AE15675" s="54"/>
    </row>
    <row r="15676" spans="31:31">
      <c r="AE15676" s="54"/>
    </row>
    <row r="15677" spans="31:31">
      <c r="AE15677" s="54"/>
    </row>
    <row r="15678" spans="31:31">
      <c r="AE15678" s="54"/>
    </row>
    <row r="15679" spans="31:31">
      <c r="AE15679" s="54"/>
    </row>
    <row r="15680" spans="31:31">
      <c r="AE15680" s="54"/>
    </row>
    <row r="15681" spans="31:31">
      <c r="AE15681" s="54"/>
    </row>
    <row r="15682" spans="31:31">
      <c r="AE15682" s="54"/>
    </row>
    <row r="15683" spans="31:31">
      <c r="AE15683" s="54"/>
    </row>
    <row r="15684" spans="31:31">
      <c r="AE15684" s="54"/>
    </row>
    <row r="15685" spans="31:31">
      <c r="AE15685" s="54"/>
    </row>
    <row r="15686" spans="31:31">
      <c r="AE15686" s="54"/>
    </row>
    <row r="15687" spans="31:31">
      <c r="AE15687" s="54"/>
    </row>
    <row r="15688" spans="31:31">
      <c r="AE15688" s="54"/>
    </row>
    <row r="15689" spans="31:31">
      <c r="AE15689" s="54"/>
    </row>
    <row r="15690" spans="31:31">
      <c r="AE15690" s="54"/>
    </row>
    <row r="15691" spans="31:31">
      <c r="AE15691" s="54"/>
    </row>
    <row r="15692" spans="31:31">
      <c r="AE15692" s="54"/>
    </row>
    <row r="15693" spans="31:31">
      <c r="AE15693" s="54"/>
    </row>
    <row r="15694" spans="31:31">
      <c r="AE15694" s="54"/>
    </row>
    <row r="15695" spans="31:31">
      <c r="AE15695" s="54"/>
    </row>
    <row r="15696" spans="31:31">
      <c r="AE15696" s="54"/>
    </row>
    <row r="15697" spans="31:31">
      <c r="AE15697" s="54"/>
    </row>
    <row r="15698" spans="31:31">
      <c r="AE15698" s="54"/>
    </row>
    <row r="15699" spans="31:31">
      <c r="AE15699" s="54"/>
    </row>
    <row r="15700" spans="31:31">
      <c r="AE15700" s="54"/>
    </row>
    <row r="15701" spans="31:31">
      <c r="AE15701" s="54"/>
    </row>
    <row r="15702" spans="31:31">
      <c r="AE15702" s="54"/>
    </row>
    <row r="15703" spans="31:31">
      <c r="AE15703" s="54"/>
    </row>
    <row r="15704" spans="31:31">
      <c r="AE15704" s="54"/>
    </row>
    <row r="15705" spans="31:31">
      <c r="AE15705" s="54"/>
    </row>
    <row r="15706" spans="31:31">
      <c r="AE15706" s="54"/>
    </row>
    <row r="15707" spans="31:31">
      <c r="AE15707" s="54"/>
    </row>
    <row r="15708" spans="31:31">
      <c r="AE15708" s="54"/>
    </row>
    <row r="15709" spans="31:31">
      <c r="AE15709" s="54"/>
    </row>
    <row r="15710" spans="31:31">
      <c r="AE15710" s="54"/>
    </row>
    <row r="15711" spans="31:31">
      <c r="AE15711" s="54"/>
    </row>
    <row r="15712" spans="31:31">
      <c r="AE15712" s="54"/>
    </row>
    <row r="15713" spans="31:31">
      <c r="AE15713" s="54"/>
    </row>
    <row r="15714" spans="31:31">
      <c r="AE15714" s="54"/>
    </row>
    <row r="15715" spans="31:31">
      <c r="AE15715" s="54"/>
    </row>
    <row r="15716" spans="31:31">
      <c r="AE15716" s="54"/>
    </row>
    <row r="15717" spans="31:31">
      <c r="AE15717" s="54"/>
    </row>
    <row r="15718" spans="31:31">
      <c r="AE15718" s="54"/>
    </row>
    <row r="15719" spans="31:31">
      <c r="AE15719" s="54"/>
    </row>
    <row r="15720" spans="31:31">
      <c r="AE15720" s="54"/>
    </row>
    <row r="15721" spans="31:31">
      <c r="AE15721" s="54"/>
    </row>
    <row r="15722" spans="31:31">
      <c r="AE15722" s="54"/>
    </row>
    <row r="15723" spans="31:31">
      <c r="AE15723" s="54"/>
    </row>
    <row r="15724" spans="31:31">
      <c r="AE15724" s="54"/>
    </row>
    <row r="15725" spans="31:31">
      <c r="AE15725" s="54"/>
    </row>
    <row r="15726" spans="31:31">
      <c r="AE15726" s="54"/>
    </row>
    <row r="15727" spans="31:31">
      <c r="AE15727" s="54"/>
    </row>
    <row r="15728" spans="31:31">
      <c r="AE15728" s="54"/>
    </row>
    <row r="15729" spans="31:31">
      <c r="AE15729" s="54"/>
    </row>
    <row r="15730" spans="31:31">
      <c r="AE15730" s="54"/>
    </row>
    <row r="15731" spans="31:31">
      <c r="AE15731" s="54"/>
    </row>
    <row r="15732" spans="31:31">
      <c r="AE15732" s="54"/>
    </row>
    <row r="15733" spans="31:31">
      <c r="AE15733" s="54"/>
    </row>
    <row r="15734" spans="31:31">
      <c r="AE15734" s="54"/>
    </row>
    <row r="15735" spans="31:31">
      <c r="AE15735" s="54"/>
    </row>
    <row r="15736" spans="31:31">
      <c r="AE15736" s="54"/>
    </row>
    <row r="15737" spans="31:31">
      <c r="AE15737" s="54"/>
    </row>
    <row r="15738" spans="31:31">
      <c r="AE15738" s="54"/>
    </row>
    <row r="15739" spans="31:31">
      <c r="AE15739" s="54"/>
    </row>
    <row r="15740" spans="31:31">
      <c r="AE15740" s="54"/>
    </row>
    <row r="15741" spans="31:31">
      <c r="AE15741" s="54"/>
    </row>
    <row r="15742" spans="31:31">
      <c r="AE15742" s="54"/>
    </row>
    <row r="15743" spans="31:31">
      <c r="AE15743" s="54"/>
    </row>
    <row r="15744" spans="31:31">
      <c r="AE15744" s="54"/>
    </row>
    <row r="15745" spans="31:31">
      <c r="AE15745" s="54"/>
    </row>
    <row r="15746" spans="31:31">
      <c r="AE15746" s="54"/>
    </row>
    <row r="15747" spans="31:31">
      <c r="AE15747" s="54"/>
    </row>
    <row r="15748" spans="31:31">
      <c r="AE15748" s="54"/>
    </row>
    <row r="15749" spans="31:31">
      <c r="AE15749" s="54"/>
    </row>
    <row r="15750" spans="31:31">
      <c r="AE15750" s="54"/>
    </row>
    <row r="15751" spans="31:31">
      <c r="AE15751" s="54"/>
    </row>
    <row r="15752" spans="31:31">
      <c r="AE15752" s="54"/>
    </row>
    <row r="15753" spans="31:31">
      <c r="AE15753" s="54"/>
    </row>
    <row r="15754" spans="31:31">
      <c r="AE15754" s="54"/>
    </row>
    <row r="15755" spans="31:31">
      <c r="AE15755" s="54"/>
    </row>
    <row r="15756" spans="31:31">
      <c r="AE15756" s="54"/>
    </row>
    <row r="15757" spans="31:31">
      <c r="AE15757" s="54"/>
    </row>
    <row r="15758" spans="31:31">
      <c r="AE15758" s="54"/>
    </row>
    <row r="15759" spans="31:31">
      <c r="AE15759" s="54"/>
    </row>
    <row r="15760" spans="31:31">
      <c r="AE15760" s="54"/>
    </row>
    <row r="15761" spans="31:31">
      <c r="AE15761" s="54"/>
    </row>
    <row r="15762" spans="31:31">
      <c r="AE15762" s="54"/>
    </row>
    <row r="15763" spans="31:31">
      <c r="AE15763" s="54"/>
    </row>
    <row r="15764" spans="31:31">
      <c r="AE15764" s="54"/>
    </row>
    <row r="15765" spans="31:31">
      <c r="AE15765" s="54"/>
    </row>
    <row r="15766" spans="31:31">
      <c r="AE15766" s="54"/>
    </row>
    <row r="15767" spans="31:31">
      <c r="AE15767" s="54"/>
    </row>
    <row r="15768" spans="31:31">
      <c r="AE15768" s="54"/>
    </row>
    <row r="15769" spans="31:31">
      <c r="AE15769" s="54"/>
    </row>
    <row r="15770" spans="31:31">
      <c r="AE15770" s="54"/>
    </row>
    <row r="15771" spans="31:31">
      <c r="AE15771" s="54"/>
    </row>
    <row r="15772" spans="31:31">
      <c r="AE15772" s="54"/>
    </row>
    <row r="15773" spans="31:31">
      <c r="AE15773" s="54"/>
    </row>
    <row r="15774" spans="31:31">
      <c r="AE15774" s="54"/>
    </row>
    <row r="15775" spans="31:31">
      <c r="AE15775" s="54"/>
    </row>
    <row r="15776" spans="31:31">
      <c r="AE15776" s="54"/>
    </row>
    <row r="15777" spans="31:31">
      <c r="AE15777" s="54"/>
    </row>
    <row r="15778" spans="31:31">
      <c r="AE15778" s="54"/>
    </row>
    <row r="15779" spans="31:31">
      <c r="AE15779" s="54"/>
    </row>
    <row r="15780" spans="31:31">
      <c r="AE15780" s="54"/>
    </row>
    <row r="15781" spans="31:31">
      <c r="AE15781" s="54"/>
    </row>
    <row r="15782" spans="31:31">
      <c r="AE15782" s="54"/>
    </row>
    <row r="15783" spans="31:31">
      <c r="AE15783" s="54"/>
    </row>
    <row r="15784" spans="31:31">
      <c r="AE15784" s="54"/>
    </row>
    <row r="15785" spans="31:31">
      <c r="AE15785" s="54"/>
    </row>
    <row r="15786" spans="31:31">
      <c r="AE15786" s="54"/>
    </row>
    <row r="15787" spans="31:31">
      <c r="AE15787" s="54"/>
    </row>
    <row r="15788" spans="31:31">
      <c r="AE15788" s="54"/>
    </row>
    <row r="15789" spans="31:31">
      <c r="AE15789" s="54"/>
    </row>
    <row r="15790" spans="31:31">
      <c r="AE15790" s="54"/>
    </row>
    <row r="15791" spans="31:31">
      <c r="AE15791" s="54"/>
    </row>
    <row r="15792" spans="31:31">
      <c r="AE15792" s="54"/>
    </row>
    <row r="15793" spans="31:31">
      <c r="AE15793" s="54"/>
    </row>
    <row r="15794" spans="31:31">
      <c r="AE15794" s="54"/>
    </row>
    <row r="15795" spans="31:31">
      <c r="AE15795" s="54"/>
    </row>
    <row r="15796" spans="31:31">
      <c r="AE15796" s="54"/>
    </row>
    <row r="15797" spans="31:31">
      <c r="AE15797" s="54"/>
    </row>
    <row r="15798" spans="31:31">
      <c r="AE15798" s="54"/>
    </row>
    <row r="15799" spans="31:31">
      <c r="AE15799" s="54"/>
    </row>
    <row r="15800" spans="31:31">
      <c r="AE15800" s="54"/>
    </row>
    <row r="15801" spans="31:31">
      <c r="AE15801" s="54"/>
    </row>
    <row r="15802" spans="31:31">
      <c r="AE15802" s="54"/>
    </row>
    <row r="15803" spans="31:31">
      <c r="AE15803" s="54"/>
    </row>
    <row r="15804" spans="31:31">
      <c r="AE15804" s="54"/>
    </row>
    <row r="15805" spans="31:31">
      <c r="AE15805" s="54"/>
    </row>
    <row r="15806" spans="31:31">
      <c r="AE15806" s="54"/>
    </row>
    <row r="15807" spans="31:31">
      <c r="AE15807" s="54"/>
    </row>
    <row r="15808" spans="31:31">
      <c r="AE15808" s="54"/>
    </row>
    <row r="15809" spans="31:31">
      <c r="AE15809" s="54"/>
    </row>
    <row r="15810" spans="31:31">
      <c r="AE15810" s="54"/>
    </row>
    <row r="15811" spans="31:31">
      <c r="AE15811" s="54"/>
    </row>
    <row r="15812" spans="31:31">
      <c r="AE15812" s="54"/>
    </row>
    <row r="15813" spans="31:31">
      <c r="AE15813" s="54"/>
    </row>
    <row r="15814" spans="31:31">
      <c r="AE15814" s="54"/>
    </row>
    <row r="15815" spans="31:31">
      <c r="AE15815" s="54"/>
    </row>
    <row r="15816" spans="31:31">
      <c r="AE15816" s="54"/>
    </row>
    <row r="15817" spans="31:31">
      <c r="AE15817" s="54"/>
    </row>
    <row r="15818" spans="31:31">
      <c r="AE15818" s="54"/>
    </row>
    <row r="15819" spans="31:31">
      <c r="AE15819" s="54"/>
    </row>
    <row r="15820" spans="31:31">
      <c r="AE15820" s="54"/>
    </row>
    <row r="15821" spans="31:31">
      <c r="AE15821" s="54"/>
    </row>
    <row r="15822" spans="31:31">
      <c r="AE15822" s="54"/>
    </row>
    <row r="15823" spans="31:31">
      <c r="AE15823" s="54"/>
    </row>
    <row r="15824" spans="31:31">
      <c r="AE15824" s="54"/>
    </row>
    <row r="15825" spans="31:31">
      <c r="AE15825" s="54"/>
    </row>
    <row r="15826" spans="31:31">
      <c r="AE15826" s="54"/>
    </row>
    <row r="15827" spans="31:31">
      <c r="AE15827" s="54"/>
    </row>
    <row r="15828" spans="31:31">
      <c r="AE15828" s="54"/>
    </row>
    <row r="15829" spans="31:31">
      <c r="AE15829" s="54"/>
    </row>
    <row r="15830" spans="31:31">
      <c r="AE15830" s="54"/>
    </row>
    <row r="15831" spans="31:31">
      <c r="AE15831" s="54"/>
    </row>
    <row r="15832" spans="31:31">
      <c r="AE15832" s="54"/>
    </row>
    <row r="15833" spans="31:31">
      <c r="AE15833" s="54"/>
    </row>
    <row r="15834" spans="31:31">
      <c r="AE15834" s="54"/>
    </row>
    <row r="15835" spans="31:31">
      <c r="AE15835" s="54"/>
    </row>
    <row r="15836" spans="31:31">
      <c r="AE15836" s="54"/>
    </row>
    <row r="15837" spans="31:31">
      <c r="AE15837" s="54"/>
    </row>
    <row r="15838" spans="31:31">
      <c r="AE15838" s="54"/>
    </row>
    <row r="15839" spans="31:31">
      <c r="AE15839" s="54"/>
    </row>
    <row r="15840" spans="31:31">
      <c r="AE15840" s="54"/>
    </row>
    <row r="15841" spans="31:31">
      <c r="AE15841" s="54"/>
    </row>
    <row r="15842" spans="31:31">
      <c r="AE15842" s="54"/>
    </row>
    <row r="15843" spans="31:31">
      <c r="AE15843" s="54"/>
    </row>
    <row r="15844" spans="31:31">
      <c r="AE15844" s="54"/>
    </row>
    <row r="15845" spans="31:31">
      <c r="AE15845" s="54"/>
    </row>
    <row r="15846" spans="31:31">
      <c r="AE15846" s="54"/>
    </row>
    <row r="15847" spans="31:31">
      <c r="AE15847" s="54"/>
    </row>
    <row r="15848" spans="31:31">
      <c r="AE15848" s="54"/>
    </row>
    <row r="15849" spans="31:31">
      <c r="AE15849" s="54"/>
    </row>
    <row r="15850" spans="31:31">
      <c r="AE15850" s="54"/>
    </row>
    <row r="15851" spans="31:31">
      <c r="AE15851" s="54"/>
    </row>
    <row r="15852" spans="31:31">
      <c r="AE15852" s="54"/>
    </row>
    <row r="15853" spans="31:31">
      <c r="AE15853" s="54"/>
    </row>
    <row r="15854" spans="31:31">
      <c r="AE15854" s="54"/>
    </row>
    <row r="15855" spans="31:31">
      <c r="AE15855" s="54"/>
    </row>
    <row r="15856" spans="31:31">
      <c r="AE15856" s="54"/>
    </row>
    <row r="15857" spans="31:31">
      <c r="AE15857" s="54"/>
    </row>
    <row r="15858" spans="31:31">
      <c r="AE15858" s="54"/>
    </row>
    <row r="15859" spans="31:31">
      <c r="AE15859" s="54"/>
    </row>
    <row r="15860" spans="31:31">
      <c r="AE15860" s="54"/>
    </row>
    <row r="15861" spans="31:31">
      <c r="AE15861" s="54"/>
    </row>
    <row r="15862" spans="31:31">
      <c r="AE15862" s="54"/>
    </row>
    <row r="15863" spans="31:31">
      <c r="AE15863" s="54"/>
    </row>
    <row r="15864" spans="31:31">
      <c r="AE15864" s="54"/>
    </row>
    <row r="15865" spans="31:31">
      <c r="AE15865" s="54"/>
    </row>
    <row r="15866" spans="31:31">
      <c r="AE15866" s="54"/>
    </row>
    <row r="15867" spans="31:31">
      <c r="AE15867" s="54"/>
    </row>
    <row r="15868" spans="31:31">
      <c r="AE15868" s="54"/>
    </row>
    <row r="15869" spans="31:31">
      <c r="AE15869" s="54"/>
    </row>
    <row r="15870" spans="31:31">
      <c r="AE15870" s="54"/>
    </row>
    <row r="15871" spans="31:31">
      <c r="AE15871" s="54"/>
    </row>
    <row r="15872" spans="31:31">
      <c r="AE15872" s="54"/>
    </row>
    <row r="15873" spans="31:31">
      <c r="AE15873" s="54"/>
    </row>
    <row r="15874" spans="31:31">
      <c r="AE15874" s="54"/>
    </row>
    <row r="15875" spans="31:31">
      <c r="AE15875" s="54"/>
    </row>
    <row r="15876" spans="31:31">
      <c r="AE15876" s="54"/>
    </row>
    <row r="15877" spans="31:31">
      <c r="AE15877" s="54"/>
    </row>
    <row r="15878" spans="31:31">
      <c r="AE15878" s="54"/>
    </row>
    <row r="15879" spans="31:31">
      <c r="AE15879" s="54"/>
    </row>
    <row r="15880" spans="31:31">
      <c r="AE15880" s="54"/>
    </row>
    <row r="15881" spans="31:31">
      <c r="AE15881" s="54"/>
    </row>
    <row r="15882" spans="31:31">
      <c r="AE15882" s="54"/>
    </row>
    <row r="15883" spans="31:31">
      <c r="AE15883" s="54"/>
    </row>
    <row r="15884" spans="31:31">
      <c r="AE15884" s="54"/>
    </row>
    <row r="15885" spans="31:31">
      <c r="AE15885" s="54"/>
    </row>
    <row r="15886" spans="31:31">
      <c r="AE15886" s="54"/>
    </row>
    <row r="15887" spans="31:31">
      <c r="AE15887" s="54"/>
    </row>
    <row r="15888" spans="31:31">
      <c r="AE15888" s="54"/>
    </row>
    <row r="15889" spans="31:31">
      <c r="AE15889" s="54"/>
    </row>
    <row r="15890" spans="31:31">
      <c r="AE15890" s="54"/>
    </row>
    <row r="15891" spans="31:31">
      <c r="AE15891" s="54"/>
    </row>
    <row r="15892" spans="31:31">
      <c r="AE15892" s="54"/>
    </row>
    <row r="15893" spans="31:31">
      <c r="AE15893" s="54"/>
    </row>
    <row r="15894" spans="31:31">
      <c r="AE15894" s="54"/>
    </row>
    <row r="15895" spans="31:31">
      <c r="AE15895" s="54"/>
    </row>
    <row r="15896" spans="31:31">
      <c r="AE15896" s="54"/>
    </row>
    <row r="15897" spans="31:31">
      <c r="AE15897" s="54"/>
    </row>
    <row r="15898" spans="31:31">
      <c r="AE15898" s="54"/>
    </row>
    <row r="15899" spans="31:31">
      <c r="AE15899" s="54"/>
    </row>
    <row r="15900" spans="31:31">
      <c r="AE15900" s="54"/>
    </row>
    <row r="15901" spans="31:31">
      <c r="AE15901" s="54"/>
    </row>
    <row r="15902" spans="31:31">
      <c r="AE15902" s="54"/>
    </row>
    <row r="15903" spans="31:31">
      <c r="AE15903" s="54"/>
    </row>
    <row r="15904" spans="31:31">
      <c r="AE15904" s="54"/>
    </row>
    <row r="15905" spans="31:31">
      <c r="AE15905" s="54"/>
    </row>
    <row r="15906" spans="31:31">
      <c r="AE15906" s="54"/>
    </row>
    <row r="15907" spans="31:31">
      <c r="AE15907" s="54"/>
    </row>
    <row r="15908" spans="31:31">
      <c r="AE15908" s="54"/>
    </row>
    <row r="15909" spans="31:31">
      <c r="AE15909" s="54"/>
    </row>
    <row r="15910" spans="31:31">
      <c r="AE15910" s="54"/>
    </row>
    <row r="15911" spans="31:31">
      <c r="AE15911" s="54"/>
    </row>
    <row r="15912" spans="31:31">
      <c r="AE15912" s="54"/>
    </row>
    <row r="15913" spans="31:31">
      <c r="AE15913" s="54"/>
    </row>
    <row r="15914" spans="31:31">
      <c r="AE15914" s="54"/>
    </row>
    <row r="15915" spans="31:31">
      <c r="AE15915" s="54"/>
    </row>
    <row r="15916" spans="31:31">
      <c r="AE15916" s="54"/>
    </row>
    <row r="15917" spans="31:31">
      <c r="AE15917" s="54"/>
    </row>
    <row r="15918" spans="31:31">
      <c r="AE15918" s="54"/>
    </row>
    <row r="15919" spans="31:31">
      <c r="AE15919" s="54"/>
    </row>
    <row r="15920" spans="31:31">
      <c r="AE15920" s="54"/>
    </row>
    <row r="15921" spans="31:31">
      <c r="AE15921" s="54"/>
    </row>
    <row r="15922" spans="31:31">
      <c r="AE15922" s="54"/>
    </row>
    <row r="15923" spans="31:31">
      <c r="AE15923" s="54"/>
    </row>
    <row r="15924" spans="31:31">
      <c r="AE15924" s="54"/>
    </row>
    <row r="15925" spans="31:31">
      <c r="AE15925" s="54"/>
    </row>
    <row r="15926" spans="31:31">
      <c r="AE15926" s="54"/>
    </row>
    <row r="15927" spans="31:31">
      <c r="AE15927" s="54"/>
    </row>
    <row r="15928" spans="31:31">
      <c r="AE15928" s="54"/>
    </row>
    <row r="15929" spans="31:31">
      <c r="AE15929" s="54"/>
    </row>
    <row r="15930" spans="31:31">
      <c r="AE15930" s="54"/>
    </row>
    <row r="15931" spans="31:31">
      <c r="AE15931" s="54"/>
    </row>
    <row r="15932" spans="31:31">
      <c r="AE15932" s="54"/>
    </row>
    <row r="15933" spans="31:31">
      <c r="AE15933" s="54"/>
    </row>
    <row r="15934" spans="31:31">
      <c r="AE15934" s="54"/>
    </row>
    <row r="15935" spans="31:31">
      <c r="AE15935" s="54"/>
    </row>
    <row r="15936" spans="31:31">
      <c r="AE15936" s="54"/>
    </row>
    <row r="15937" spans="31:31">
      <c r="AE15937" s="54"/>
    </row>
    <row r="15938" spans="31:31">
      <c r="AE15938" s="54"/>
    </row>
    <row r="15939" spans="31:31">
      <c r="AE15939" s="54"/>
    </row>
    <row r="15940" spans="31:31">
      <c r="AE15940" s="54"/>
    </row>
    <row r="15941" spans="31:31">
      <c r="AE15941" s="54"/>
    </row>
    <row r="15942" spans="31:31">
      <c r="AE15942" s="54"/>
    </row>
    <row r="15943" spans="31:31">
      <c r="AE15943" s="54"/>
    </row>
    <row r="15944" spans="31:31">
      <c r="AE15944" s="54"/>
    </row>
    <row r="15945" spans="31:31">
      <c r="AE15945" s="54"/>
    </row>
    <row r="15946" spans="31:31">
      <c r="AE15946" s="54"/>
    </row>
    <row r="15947" spans="31:31">
      <c r="AE15947" s="54"/>
    </row>
    <row r="15948" spans="31:31">
      <c r="AE15948" s="54"/>
    </row>
    <row r="15949" spans="31:31">
      <c r="AE15949" s="54"/>
    </row>
    <row r="15950" spans="31:31">
      <c r="AE15950" s="54"/>
    </row>
    <row r="15951" spans="31:31">
      <c r="AE15951" s="54"/>
    </row>
    <row r="15952" spans="31:31">
      <c r="AE15952" s="54"/>
    </row>
    <row r="15953" spans="31:31">
      <c r="AE15953" s="54"/>
    </row>
    <row r="15954" spans="31:31">
      <c r="AE15954" s="54"/>
    </row>
    <row r="15955" spans="31:31">
      <c r="AE15955" s="54"/>
    </row>
    <row r="15956" spans="31:31">
      <c r="AE15956" s="54"/>
    </row>
    <row r="15957" spans="31:31">
      <c r="AE15957" s="54"/>
    </row>
    <row r="15958" spans="31:31">
      <c r="AE15958" s="54"/>
    </row>
    <row r="15959" spans="31:31">
      <c r="AE15959" s="54"/>
    </row>
    <row r="15960" spans="31:31">
      <c r="AE15960" s="54"/>
    </row>
    <row r="15961" spans="31:31">
      <c r="AE15961" s="54"/>
    </row>
    <row r="15962" spans="31:31">
      <c r="AE15962" s="54"/>
    </row>
    <row r="15963" spans="31:31">
      <c r="AE15963" s="54"/>
    </row>
    <row r="15964" spans="31:31">
      <c r="AE15964" s="54"/>
    </row>
    <row r="15965" spans="31:31">
      <c r="AE15965" s="54"/>
    </row>
    <row r="15966" spans="31:31">
      <c r="AE15966" s="54"/>
    </row>
    <row r="15967" spans="31:31">
      <c r="AE15967" s="54"/>
    </row>
    <row r="15968" spans="31:31">
      <c r="AE15968" s="54"/>
    </row>
    <row r="15969" spans="31:31">
      <c r="AE15969" s="54"/>
    </row>
    <row r="15970" spans="31:31">
      <c r="AE15970" s="54"/>
    </row>
    <row r="15971" spans="31:31">
      <c r="AE15971" s="54"/>
    </row>
    <row r="15972" spans="31:31">
      <c r="AE15972" s="54"/>
    </row>
    <row r="15973" spans="31:31">
      <c r="AE15973" s="54"/>
    </row>
    <row r="15974" spans="31:31">
      <c r="AE15974" s="54"/>
    </row>
    <row r="15975" spans="31:31">
      <c r="AE15975" s="54"/>
    </row>
    <row r="15976" spans="31:31">
      <c r="AE15976" s="54"/>
    </row>
    <row r="15977" spans="31:31">
      <c r="AE15977" s="54"/>
    </row>
    <row r="15978" spans="31:31">
      <c r="AE15978" s="54"/>
    </row>
    <row r="15979" spans="31:31">
      <c r="AE15979" s="54"/>
    </row>
    <row r="15980" spans="31:31">
      <c r="AE15980" s="54"/>
    </row>
    <row r="15981" spans="31:31">
      <c r="AE15981" s="54"/>
    </row>
    <row r="15982" spans="31:31">
      <c r="AE15982" s="54"/>
    </row>
    <row r="15983" spans="31:31">
      <c r="AE15983" s="54"/>
    </row>
    <row r="15984" spans="31:31">
      <c r="AE15984" s="54"/>
    </row>
    <row r="15985" spans="31:31">
      <c r="AE15985" s="54"/>
    </row>
    <row r="15986" spans="31:31">
      <c r="AE15986" s="54"/>
    </row>
    <row r="15987" spans="31:31">
      <c r="AE15987" s="54"/>
    </row>
    <row r="15988" spans="31:31">
      <c r="AE15988" s="54"/>
    </row>
    <row r="15989" spans="31:31">
      <c r="AE15989" s="54"/>
    </row>
    <row r="15990" spans="31:31">
      <c r="AE15990" s="54"/>
    </row>
    <row r="15991" spans="31:31">
      <c r="AE15991" s="54"/>
    </row>
    <row r="15992" spans="31:31">
      <c r="AE15992" s="54"/>
    </row>
    <row r="15993" spans="31:31">
      <c r="AE15993" s="54"/>
    </row>
    <row r="15994" spans="31:31">
      <c r="AE15994" s="54"/>
    </row>
    <row r="15995" spans="31:31">
      <c r="AE15995" s="54"/>
    </row>
    <row r="15996" spans="31:31">
      <c r="AE15996" s="54"/>
    </row>
    <row r="15997" spans="31:31">
      <c r="AE15997" s="54"/>
    </row>
    <row r="15998" spans="31:31">
      <c r="AE15998" s="54"/>
    </row>
    <row r="15999" spans="31:31">
      <c r="AE15999" s="54"/>
    </row>
    <row r="16000" spans="31:31">
      <c r="AE16000" s="54"/>
    </row>
    <row r="16001" spans="31:31">
      <c r="AE16001" s="54"/>
    </row>
    <row r="16002" spans="31:31">
      <c r="AE16002" s="54"/>
    </row>
    <row r="16003" spans="31:31">
      <c r="AE16003" s="54"/>
    </row>
    <row r="16004" spans="31:31">
      <c r="AE16004" s="54"/>
    </row>
    <row r="16005" spans="31:31">
      <c r="AE16005" s="54"/>
    </row>
    <row r="16006" spans="31:31">
      <c r="AE16006" s="54"/>
    </row>
    <row r="16007" spans="31:31">
      <c r="AE16007" s="54"/>
    </row>
    <row r="16008" spans="31:31">
      <c r="AE16008" s="54"/>
    </row>
    <row r="16009" spans="31:31">
      <c r="AE16009" s="54"/>
    </row>
    <row r="16010" spans="31:31">
      <c r="AE16010" s="54"/>
    </row>
    <row r="16011" spans="31:31">
      <c r="AE16011" s="54"/>
    </row>
    <row r="16012" spans="31:31">
      <c r="AE16012" s="54"/>
    </row>
    <row r="16013" spans="31:31">
      <c r="AE16013" s="54"/>
    </row>
    <row r="16014" spans="31:31">
      <c r="AE16014" s="54"/>
    </row>
    <row r="16015" spans="31:31">
      <c r="AE16015" s="54"/>
    </row>
    <row r="16016" spans="31:31">
      <c r="AE16016" s="54"/>
    </row>
    <row r="16017" spans="31:31">
      <c r="AE16017" s="54"/>
    </row>
    <row r="16018" spans="31:31">
      <c r="AE16018" s="54"/>
    </row>
    <row r="16019" spans="31:31">
      <c r="AE16019" s="54"/>
    </row>
    <row r="16020" spans="31:31">
      <c r="AE16020" s="54"/>
    </row>
    <row r="16021" spans="31:31">
      <c r="AE16021" s="54"/>
    </row>
    <row r="16022" spans="31:31">
      <c r="AE16022" s="54"/>
    </row>
    <row r="16023" spans="31:31">
      <c r="AE16023" s="54"/>
    </row>
    <row r="16024" spans="31:31">
      <c r="AE16024" s="54"/>
    </row>
    <row r="16025" spans="31:31">
      <c r="AE16025" s="54"/>
    </row>
    <row r="16026" spans="31:31">
      <c r="AE16026" s="54"/>
    </row>
    <row r="16027" spans="31:31">
      <c r="AE16027" s="54"/>
    </row>
    <row r="16028" spans="31:31">
      <c r="AE16028" s="54"/>
    </row>
    <row r="16029" spans="31:31">
      <c r="AE16029" s="54"/>
    </row>
    <row r="16030" spans="31:31">
      <c r="AE16030" s="54"/>
    </row>
    <row r="16031" spans="31:31">
      <c r="AE16031" s="54"/>
    </row>
    <row r="16032" spans="31:31">
      <c r="AE16032" s="54"/>
    </row>
    <row r="16033" spans="31:31">
      <c r="AE16033" s="54"/>
    </row>
    <row r="16034" spans="31:31">
      <c r="AE16034" s="54"/>
    </row>
    <row r="16035" spans="31:31">
      <c r="AE16035" s="54"/>
    </row>
    <row r="16036" spans="31:31">
      <c r="AE16036" s="54"/>
    </row>
    <row r="16037" spans="31:31">
      <c r="AE16037" s="54"/>
    </row>
    <row r="16038" spans="31:31">
      <c r="AE16038" s="54"/>
    </row>
    <row r="16039" spans="31:31">
      <c r="AE16039" s="54"/>
    </row>
    <row r="16040" spans="31:31">
      <c r="AE16040" s="54"/>
    </row>
    <row r="16041" spans="31:31">
      <c r="AE16041" s="54"/>
    </row>
    <row r="16042" spans="31:31">
      <c r="AE16042" s="54"/>
    </row>
    <row r="16043" spans="31:31">
      <c r="AE16043" s="54"/>
    </row>
    <row r="16044" spans="31:31">
      <c r="AE16044" s="54"/>
    </row>
    <row r="16045" spans="31:31">
      <c r="AE16045" s="54"/>
    </row>
    <row r="16046" spans="31:31">
      <c r="AE16046" s="54"/>
    </row>
    <row r="16047" spans="31:31">
      <c r="AE16047" s="54"/>
    </row>
    <row r="16048" spans="31:31">
      <c r="AE16048" s="54"/>
    </row>
    <row r="16049" spans="31:31">
      <c r="AE16049" s="54"/>
    </row>
    <row r="16050" spans="31:31">
      <c r="AE16050" s="54"/>
    </row>
    <row r="16051" spans="31:31">
      <c r="AE16051" s="54"/>
    </row>
    <row r="16052" spans="31:31">
      <c r="AE16052" s="54"/>
    </row>
    <row r="16053" spans="31:31">
      <c r="AE16053" s="54"/>
    </row>
    <row r="16054" spans="31:31">
      <c r="AE16054" s="54"/>
    </row>
    <row r="16055" spans="31:31">
      <c r="AE16055" s="54"/>
    </row>
    <row r="16056" spans="31:31">
      <c r="AE16056" s="54"/>
    </row>
    <row r="16057" spans="31:31">
      <c r="AE16057" s="54"/>
    </row>
    <row r="16058" spans="31:31">
      <c r="AE16058" s="54"/>
    </row>
    <row r="16059" spans="31:31">
      <c r="AE16059" s="54"/>
    </row>
    <row r="16060" spans="31:31">
      <c r="AE16060" s="54"/>
    </row>
    <row r="16061" spans="31:31">
      <c r="AE16061" s="54"/>
    </row>
    <row r="16062" spans="31:31">
      <c r="AE16062" s="54"/>
    </row>
    <row r="16063" spans="31:31">
      <c r="AE16063" s="54"/>
    </row>
    <row r="16064" spans="31:31">
      <c r="AE16064" s="54"/>
    </row>
    <row r="16065" spans="31:31">
      <c r="AE16065" s="54"/>
    </row>
    <row r="16066" spans="31:31">
      <c r="AE16066" s="54"/>
    </row>
    <row r="16067" spans="31:31">
      <c r="AE16067" s="54"/>
    </row>
    <row r="16068" spans="31:31">
      <c r="AE16068" s="54"/>
    </row>
    <row r="16069" spans="31:31">
      <c r="AE16069" s="54"/>
    </row>
    <row r="16070" spans="31:31">
      <c r="AE16070" s="54"/>
    </row>
    <row r="16071" spans="31:31">
      <c r="AE16071" s="54"/>
    </row>
    <row r="16072" spans="31:31">
      <c r="AE16072" s="54"/>
    </row>
    <row r="16073" spans="31:31">
      <c r="AE16073" s="54"/>
    </row>
    <row r="16074" spans="31:31">
      <c r="AE16074" s="54"/>
    </row>
    <row r="16075" spans="31:31">
      <c r="AE16075" s="54"/>
    </row>
    <row r="16076" spans="31:31">
      <c r="AE16076" s="54"/>
    </row>
    <row r="16077" spans="31:31">
      <c r="AE16077" s="54"/>
    </row>
    <row r="16078" spans="31:31">
      <c r="AE16078" s="54"/>
    </row>
    <row r="16079" spans="31:31">
      <c r="AE16079" s="54"/>
    </row>
    <row r="16080" spans="31:31">
      <c r="AE16080" s="54"/>
    </row>
    <row r="16081" spans="31:31">
      <c r="AE16081" s="54"/>
    </row>
    <row r="16082" spans="31:31">
      <c r="AE16082" s="54"/>
    </row>
    <row r="16083" spans="31:31">
      <c r="AE16083" s="54"/>
    </row>
    <row r="16084" spans="31:31">
      <c r="AE16084" s="54"/>
    </row>
    <row r="16085" spans="31:31">
      <c r="AE16085" s="54"/>
    </row>
    <row r="16086" spans="31:31">
      <c r="AE16086" s="54"/>
    </row>
    <row r="16087" spans="31:31">
      <c r="AE16087" s="54"/>
    </row>
    <row r="16088" spans="31:31">
      <c r="AE16088" s="54"/>
    </row>
    <row r="16089" spans="31:31">
      <c r="AE16089" s="54"/>
    </row>
    <row r="16090" spans="31:31">
      <c r="AE16090" s="54"/>
    </row>
    <row r="16091" spans="31:31">
      <c r="AE16091" s="54"/>
    </row>
    <row r="16092" spans="31:31">
      <c r="AE16092" s="54"/>
    </row>
    <row r="16093" spans="31:31">
      <c r="AE16093" s="54"/>
    </row>
    <row r="16094" spans="31:31">
      <c r="AE16094" s="54"/>
    </row>
    <row r="16095" spans="31:31">
      <c r="AE16095" s="54"/>
    </row>
    <row r="16096" spans="31:31">
      <c r="AE16096" s="54"/>
    </row>
    <row r="16097" spans="31:31">
      <c r="AE16097" s="54"/>
    </row>
    <row r="16098" spans="31:31">
      <c r="AE16098" s="54"/>
    </row>
    <row r="16099" spans="31:31">
      <c r="AE16099" s="54"/>
    </row>
    <row r="16100" spans="31:31">
      <c r="AE16100" s="54"/>
    </row>
    <row r="16101" spans="31:31">
      <c r="AE16101" s="54"/>
    </row>
    <row r="16102" spans="31:31">
      <c r="AE16102" s="54"/>
    </row>
    <row r="16103" spans="31:31">
      <c r="AE16103" s="54"/>
    </row>
    <row r="16104" spans="31:31">
      <c r="AE16104" s="54"/>
    </row>
    <row r="16105" spans="31:31">
      <c r="AE16105" s="54"/>
    </row>
    <row r="16106" spans="31:31">
      <c r="AE16106" s="54"/>
    </row>
    <row r="16107" spans="31:31">
      <c r="AE16107" s="54"/>
    </row>
    <row r="16108" spans="31:31">
      <c r="AE16108" s="54"/>
    </row>
    <row r="16109" spans="31:31">
      <c r="AE16109" s="54"/>
    </row>
    <row r="16110" spans="31:31">
      <c r="AE16110" s="54"/>
    </row>
    <row r="16111" spans="31:31">
      <c r="AE16111" s="54"/>
    </row>
    <row r="16112" spans="31:31">
      <c r="AE16112" s="54"/>
    </row>
    <row r="16113" spans="31:31">
      <c r="AE16113" s="54"/>
    </row>
    <row r="16114" spans="31:31">
      <c r="AE16114" s="54"/>
    </row>
    <row r="16115" spans="31:31">
      <c r="AE16115" s="54"/>
    </row>
    <row r="16116" spans="31:31">
      <c r="AE16116" s="54"/>
    </row>
    <row r="16117" spans="31:31">
      <c r="AE16117" s="54"/>
    </row>
    <row r="16118" spans="31:31">
      <c r="AE16118" s="54"/>
    </row>
    <row r="16119" spans="31:31">
      <c r="AE16119" s="54"/>
    </row>
    <row r="16120" spans="31:31">
      <c r="AE16120" s="54"/>
    </row>
    <row r="16121" spans="31:31">
      <c r="AE16121" s="54"/>
    </row>
    <row r="16122" spans="31:31">
      <c r="AE16122" s="54"/>
    </row>
    <row r="16123" spans="31:31">
      <c r="AE16123" s="54"/>
    </row>
    <row r="16124" spans="31:31">
      <c r="AE16124" s="54"/>
    </row>
    <row r="16125" spans="31:31">
      <c r="AE16125" s="54"/>
    </row>
    <row r="16126" spans="31:31">
      <c r="AE16126" s="54"/>
    </row>
    <row r="16127" spans="31:31">
      <c r="AE16127" s="54"/>
    </row>
    <row r="16128" spans="31:31">
      <c r="AE16128" s="54"/>
    </row>
    <row r="16129" spans="31:31">
      <c r="AE16129" s="54"/>
    </row>
    <row r="16130" spans="31:31">
      <c r="AE16130" s="54"/>
    </row>
    <row r="16131" spans="31:31">
      <c r="AE16131" s="54"/>
    </row>
    <row r="16132" spans="31:31">
      <c r="AE16132" s="54"/>
    </row>
    <row r="16133" spans="31:31">
      <c r="AE16133" s="54"/>
    </row>
    <row r="16134" spans="31:31">
      <c r="AE16134" s="54"/>
    </row>
    <row r="16135" spans="31:31">
      <c r="AE16135" s="54"/>
    </row>
    <row r="16136" spans="31:31">
      <c r="AE16136" s="54"/>
    </row>
    <row r="16137" spans="31:31">
      <c r="AE16137" s="54"/>
    </row>
    <row r="16138" spans="31:31">
      <c r="AE16138" s="54"/>
    </row>
    <row r="16139" spans="31:31">
      <c r="AE16139" s="54"/>
    </row>
    <row r="16140" spans="31:31">
      <c r="AE16140" s="54"/>
    </row>
    <row r="16141" spans="31:31">
      <c r="AE16141" s="54"/>
    </row>
    <row r="16142" spans="31:31">
      <c r="AE16142" s="54"/>
    </row>
    <row r="16143" spans="31:31">
      <c r="AE16143" s="54"/>
    </row>
    <row r="16144" spans="31:31">
      <c r="AE16144" s="54"/>
    </row>
    <row r="16145" spans="31:31">
      <c r="AE16145" s="54"/>
    </row>
    <row r="16146" spans="31:31">
      <c r="AE16146" s="54"/>
    </row>
    <row r="16147" spans="31:31">
      <c r="AE16147" s="54"/>
    </row>
    <row r="16148" spans="31:31">
      <c r="AE16148" s="54"/>
    </row>
    <row r="16149" spans="31:31">
      <c r="AE16149" s="54"/>
    </row>
    <row r="16150" spans="31:31">
      <c r="AE16150" s="54"/>
    </row>
    <row r="16151" spans="31:31">
      <c r="AE16151" s="54"/>
    </row>
    <row r="16152" spans="31:31">
      <c r="AE16152" s="54"/>
    </row>
    <row r="16153" spans="31:31">
      <c r="AE16153" s="54"/>
    </row>
    <row r="16154" spans="31:31">
      <c r="AE16154" s="54"/>
    </row>
    <row r="16155" spans="31:31">
      <c r="AE16155" s="54"/>
    </row>
    <row r="16156" spans="31:31">
      <c r="AE16156" s="54"/>
    </row>
    <row r="16157" spans="31:31">
      <c r="AE16157" s="54"/>
    </row>
    <row r="16158" spans="31:31">
      <c r="AE16158" s="54"/>
    </row>
    <row r="16159" spans="31:31">
      <c r="AE16159" s="54"/>
    </row>
    <row r="16160" spans="31:31">
      <c r="AE16160" s="54"/>
    </row>
    <row r="16161" spans="31:31">
      <c r="AE16161" s="54"/>
    </row>
    <row r="16162" spans="31:31">
      <c r="AE16162" s="54"/>
    </row>
    <row r="16163" spans="31:31">
      <c r="AE16163" s="54"/>
    </row>
    <row r="16164" spans="31:31">
      <c r="AE16164" s="54"/>
    </row>
    <row r="16165" spans="31:31">
      <c r="AE16165" s="54"/>
    </row>
    <row r="16166" spans="31:31">
      <c r="AE16166" s="54"/>
    </row>
    <row r="16167" spans="31:31">
      <c r="AE16167" s="54"/>
    </row>
    <row r="16168" spans="31:31">
      <c r="AE16168" s="54"/>
    </row>
    <row r="16169" spans="31:31">
      <c r="AE16169" s="54"/>
    </row>
    <row r="16170" spans="31:31">
      <c r="AE16170" s="54"/>
    </row>
    <row r="16171" spans="31:31">
      <c r="AE16171" s="54"/>
    </row>
    <row r="16172" spans="31:31">
      <c r="AE16172" s="54"/>
    </row>
    <row r="16173" spans="31:31">
      <c r="AE16173" s="54"/>
    </row>
    <row r="16174" spans="31:31">
      <c r="AE16174" s="54"/>
    </row>
    <row r="16175" spans="31:31">
      <c r="AE16175" s="54"/>
    </row>
    <row r="16176" spans="31:31">
      <c r="AE16176" s="54"/>
    </row>
    <row r="16177" spans="31:31">
      <c r="AE16177" s="54"/>
    </row>
    <row r="16178" spans="31:31">
      <c r="AE16178" s="54"/>
    </row>
    <row r="16179" spans="31:31">
      <c r="AE16179" s="54"/>
    </row>
    <row r="16180" spans="31:31">
      <c r="AE16180" s="54"/>
    </row>
    <row r="16181" spans="31:31">
      <c r="AE16181" s="54"/>
    </row>
    <row r="16182" spans="31:31">
      <c r="AE16182" s="54"/>
    </row>
    <row r="16183" spans="31:31">
      <c r="AE16183" s="54"/>
    </row>
    <row r="16184" spans="31:31">
      <c r="AE16184" s="54"/>
    </row>
    <row r="16185" spans="31:31">
      <c r="AE16185" s="54"/>
    </row>
    <row r="16186" spans="31:31">
      <c r="AE16186" s="54"/>
    </row>
    <row r="16187" spans="31:31">
      <c r="AE16187" s="54"/>
    </row>
    <row r="16188" spans="31:31">
      <c r="AE16188" s="54"/>
    </row>
    <row r="16189" spans="31:31">
      <c r="AE16189" s="54"/>
    </row>
    <row r="16190" spans="31:31">
      <c r="AE16190" s="54"/>
    </row>
    <row r="16191" spans="31:31">
      <c r="AE16191" s="54"/>
    </row>
    <row r="16192" spans="31:31">
      <c r="AE16192" s="54"/>
    </row>
    <row r="16193" spans="31:31">
      <c r="AE16193" s="54"/>
    </row>
    <row r="16194" spans="31:31">
      <c r="AE16194" s="54"/>
    </row>
    <row r="16195" spans="31:31">
      <c r="AE16195" s="54"/>
    </row>
    <row r="16196" spans="31:31">
      <c r="AE16196" s="54"/>
    </row>
    <row r="16197" spans="31:31">
      <c r="AE16197" s="54"/>
    </row>
    <row r="16198" spans="31:31">
      <c r="AE16198" s="54"/>
    </row>
    <row r="16199" spans="31:31">
      <c r="AE16199" s="54"/>
    </row>
    <row r="16200" spans="31:31">
      <c r="AE16200" s="54"/>
    </row>
    <row r="16201" spans="31:31">
      <c r="AE16201" s="54"/>
    </row>
    <row r="16202" spans="31:31">
      <c r="AE16202" s="54"/>
    </row>
    <row r="16203" spans="31:31">
      <c r="AE16203" s="54"/>
    </row>
    <row r="16204" spans="31:31">
      <c r="AE16204" s="54"/>
    </row>
    <row r="16205" spans="31:31">
      <c r="AE16205" s="54"/>
    </row>
    <row r="16206" spans="31:31">
      <c r="AE16206" s="54"/>
    </row>
    <row r="16207" spans="31:31">
      <c r="AE16207" s="54"/>
    </row>
    <row r="16208" spans="31:31">
      <c r="AE16208" s="54"/>
    </row>
    <row r="16209" spans="31:31">
      <c r="AE16209" s="54"/>
    </row>
    <row r="16210" spans="31:31">
      <c r="AE16210" s="54"/>
    </row>
    <row r="16211" spans="31:31">
      <c r="AE16211" s="54"/>
    </row>
    <row r="16212" spans="31:31">
      <c r="AE16212" s="54"/>
    </row>
    <row r="16213" spans="31:31">
      <c r="AE16213" s="54"/>
    </row>
    <row r="16214" spans="31:31">
      <c r="AE16214" s="54"/>
    </row>
    <row r="16215" spans="31:31">
      <c r="AE16215" s="54"/>
    </row>
    <row r="16216" spans="31:31">
      <c r="AE16216" s="54"/>
    </row>
    <row r="16217" spans="31:31">
      <c r="AE16217" s="54"/>
    </row>
    <row r="16218" spans="31:31">
      <c r="AE16218" s="54"/>
    </row>
    <row r="16219" spans="31:31">
      <c r="AE16219" s="54"/>
    </row>
    <row r="16220" spans="31:31">
      <c r="AE16220" s="54"/>
    </row>
    <row r="16221" spans="31:31">
      <c r="AE16221" s="54"/>
    </row>
    <row r="16222" spans="31:31">
      <c r="AE16222" s="54"/>
    </row>
    <row r="16223" spans="31:31">
      <c r="AE16223" s="54"/>
    </row>
    <row r="16224" spans="31:31">
      <c r="AE16224" s="54"/>
    </row>
    <row r="16225" spans="31:31">
      <c r="AE16225" s="54"/>
    </row>
    <row r="16226" spans="31:31">
      <c r="AE16226" s="54"/>
    </row>
    <row r="16227" spans="31:31">
      <c r="AE16227" s="54"/>
    </row>
    <row r="16228" spans="31:31">
      <c r="AE16228" s="54"/>
    </row>
    <row r="16229" spans="31:31">
      <c r="AE16229" s="54"/>
    </row>
    <row r="16230" spans="31:31">
      <c r="AE16230" s="54"/>
    </row>
    <row r="16231" spans="31:31">
      <c r="AE16231" s="54"/>
    </row>
    <row r="16232" spans="31:31">
      <c r="AE16232" s="54"/>
    </row>
    <row r="16233" spans="31:31">
      <c r="AE16233" s="54"/>
    </row>
    <row r="16234" spans="31:31">
      <c r="AE16234" s="54"/>
    </row>
    <row r="16235" spans="31:31">
      <c r="AE16235" s="54"/>
    </row>
    <row r="16236" spans="31:31">
      <c r="AE16236" s="54"/>
    </row>
    <row r="16237" spans="31:31">
      <c r="AE16237" s="54"/>
    </row>
    <row r="16238" spans="31:31">
      <c r="AE16238" s="54"/>
    </row>
    <row r="16239" spans="31:31">
      <c r="AE16239" s="54"/>
    </row>
    <row r="16240" spans="31:31">
      <c r="AE16240" s="54"/>
    </row>
    <row r="16241" spans="31:31">
      <c r="AE16241" s="54"/>
    </row>
    <row r="16242" spans="31:31">
      <c r="AE16242" s="54"/>
    </row>
    <row r="16243" spans="31:31">
      <c r="AE16243" s="54"/>
    </row>
    <row r="16244" spans="31:31">
      <c r="AE16244" s="54"/>
    </row>
    <row r="16245" spans="31:31">
      <c r="AE16245" s="54"/>
    </row>
    <row r="16246" spans="31:31">
      <c r="AE16246" s="54"/>
    </row>
    <row r="16247" spans="31:31">
      <c r="AE16247" s="54"/>
    </row>
    <row r="16248" spans="31:31">
      <c r="AE16248" s="54"/>
    </row>
    <row r="16249" spans="31:31">
      <c r="AE16249" s="54"/>
    </row>
    <row r="16250" spans="31:31">
      <c r="AE16250" s="54"/>
    </row>
    <row r="16251" spans="31:31">
      <c r="AE16251" s="54"/>
    </row>
    <row r="16252" spans="31:31">
      <c r="AE16252" s="54"/>
    </row>
    <row r="16253" spans="31:31">
      <c r="AE16253" s="54"/>
    </row>
    <row r="16254" spans="31:31">
      <c r="AE16254" s="54"/>
    </row>
    <row r="16255" spans="31:31">
      <c r="AE16255" s="54"/>
    </row>
    <row r="16256" spans="31:31">
      <c r="AE16256" s="54"/>
    </row>
    <row r="16257" spans="31:31">
      <c r="AE16257" s="54"/>
    </row>
    <row r="16258" spans="31:31">
      <c r="AE16258" s="54"/>
    </row>
    <row r="16259" spans="31:31">
      <c r="AE16259" s="54"/>
    </row>
    <row r="16260" spans="31:31">
      <c r="AE16260" s="54"/>
    </row>
    <row r="16261" spans="31:31">
      <c r="AE16261" s="54"/>
    </row>
    <row r="16262" spans="31:31">
      <c r="AE16262" s="54"/>
    </row>
    <row r="16263" spans="31:31">
      <c r="AE16263" s="54"/>
    </row>
    <row r="16264" spans="31:31">
      <c r="AE16264" s="54"/>
    </row>
    <row r="16265" spans="31:31">
      <c r="AE16265" s="54"/>
    </row>
    <row r="16266" spans="31:31">
      <c r="AE16266" s="54"/>
    </row>
    <row r="16267" spans="31:31">
      <c r="AE16267" s="54"/>
    </row>
    <row r="16268" spans="31:31">
      <c r="AE16268" s="54"/>
    </row>
    <row r="16269" spans="31:31">
      <c r="AE16269" s="54"/>
    </row>
    <row r="16270" spans="31:31">
      <c r="AE16270" s="54"/>
    </row>
    <row r="16271" spans="31:31">
      <c r="AE16271" s="54"/>
    </row>
    <row r="16272" spans="31:31">
      <c r="AE16272" s="54"/>
    </row>
    <row r="16273" spans="31:31">
      <c r="AE16273" s="54"/>
    </row>
    <row r="16274" spans="31:31">
      <c r="AE16274" s="54"/>
    </row>
    <row r="16275" spans="31:31">
      <c r="AE16275" s="54"/>
    </row>
    <row r="16276" spans="31:31">
      <c r="AE16276" s="54"/>
    </row>
    <row r="16277" spans="31:31">
      <c r="AE16277" s="54"/>
    </row>
    <row r="16278" spans="31:31">
      <c r="AE16278" s="54"/>
    </row>
    <row r="16279" spans="31:31">
      <c r="AE16279" s="54"/>
    </row>
    <row r="16280" spans="31:31">
      <c r="AE16280" s="54"/>
    </row>
    <row r="16281" spans="31:31">
      <c r="AE16281" s="54"/>
    </row>
    <row r="16282" spans="31:31">
      <c r="AE16282" s="54"/>
    </row>
    <row r="16283" spans="31:31">
      <c r="AE16283" s="54"/>
    </row>
    <row r="16284" spans="31:31">
      <c r="AE16284" s="54"/>
    </row>
    <row r="16285" spans="31:31">
      <c r="AE16285" s="54"/>
    </row>
    <row r="16286" spans="31:31">
      <c r="AE16286" s="54"/>
    </row>
    <row r="16287" spans="31:31">
      <c r="AE16287" s="54"/>
    </row>
    <row r="16288" spans="31:31">
      <c r="AE16288" s="54"/>
    </row>
    <row r="16289" spans="31:31">
      <c r="AE16289" s="54"/>
    </row>
    <row r="16290" spans="31:31">
      <c r="AE16290" s="54"/>
    </row>
    <row r="16291" spans="31:31">
      <c r="AE16291" s="54"/>
    </row>
    <row r="16292" spans="31:31">
      <c r="AE16292" s="54"/>
    </row>
    <row r="16293" spans="31:31">
      <c r="AE16293" s="54"/>
    </row>
    <row r="16294" spans="31:31">
      <c r="AE16294" s="54"/>
    </row>
    <row r="16295" spans="31:31">
      <c r="AE16295" s="54"/>
    </row>
    <row r="16296" spans="31:31">
      <c r="AE16296" s="54"/>
    </row>
    <row r="16297" spans="31:31">
      <c r="AE16297" s="54"/>
    </row>
    <row r="16298" spans="31:31">
      <c r="AE16298" s="54"/>
    </row>
    <row r="16299" spans="31:31">
      <c r="AE16299" s="54"/>
    </row>
    <row r="16300" spans="31:31">
      <c r="AE16300" s="54"/>
    </row>
    <row r="16301" spans="31:31">
      <c r="AE16301" s="54"/>
    </row>
    <row r="16302" spans="31:31">
      <c r="AE16302" s="54"/>
    </row>
    <row r="16303" spans="31:31">
      <c r="AE16303" s="54"/>
    </row>
    <row r="16304" spans="31:31">
      <c r="AE16304" s="54"/>
    </row>
    <row r="16305" spans="31:31">
      <c r="AE16305" s="54"/>
    </row>
    <row r="16306" spans="31:31">
      <c r="AE16306" s="54"/>
    </row>
    <row r="16307" spans="31:31">
      <c r="AE16307" s="54"/>
    </row>
    <row r="16308" spans="31:31">
      <c r="AE16308" s="54"/>
    </row>
    <row r="16309" spans="31:31">
      <c r="AE16309" s="54"/>
    </row>
    <row r="16310" spans="31:31">
      <c r="AE16310" s="54"/>
    </row>
    <row r="16311" spans="31:31">
      <c r="AE16311" s="54"/>
    </row>
    <row r="16312" spans="31:31">
      <c r="AE16312" s="54"/>
    </row>
    <row r="16313" spans="31:31">
      <c r="AE16313" s="54"/>
    </row>
    <row r="16314" spans="31:31">
      <c r="AE16314" s="54"/>
    </row>
    <row r="16315" spans="31:31">
      <c r="AE16315" s="54"/>
    </row>
    <row r="16316" spans="31:31">
      <c r="AE16316" s="54"/>
    </row>
    <row r="16317" spans="31:31">
      <c r="AE16317" s="54"/>
    </row>
    <row r="16318" spans="31:31">
      <c r="AE16318" s="54"/>
    </row>
    <row r="16319" spans="31:31">
      <c r="AE16319" s="54"/>
    </row>
    <row r="16320" spans="31:31">
      <c r="AE16320" s="54"/>
    </row>
    <row r="16321" spans="31:31">
      <c r="AE16321" s="54"/>
    </row>
    <row r="16322" spans="31:31">
      <c r="AE16322" s="54"/>
    </row>
    <row r="16323" spans="31:31">
      <c r="AE16323" s="54"/>
    </row>
    <row r="16324" spans="31:31">
      <c r="AE16324" s="54"/>
    </row>
    <row r="16325" spans="31:31">
      <c r="AE16325" s="54"/>
    </row>
    <row r="16326" spans="31:31">
      <c r="AE16326" s="54"/>
    </row>
    <row r="16327" spans="31:31">
      <c r="AE16327" s="54"/>
    </row>
    <row r="16328" spans="31:31">
      <c r="AE16328" s="54"/>
    </row>
    <row r="16329" spans="31:31">
      <c r="AE16329" s="54"/>
    </row>
    <row r="16330" spans="31:31">
      <c r="AE16330" s="54"/>
    </row>
    <row r="16331" spans="31:31">
      <c r="AE16331" s="54"/>
    </row>
    <row r="16332" spans="31:31">
      <c r="AE16332" s="54"/>
    </row>
    <row r="16333" spans="31:31">
      <c r="AE16333" s="54"/>
    </row>
    <row r="16334" spans="31:31">
      <c r="AE16334" s="54"/>
    </row>
    <row r="16335" spans="31:31">
      <c r="AE16335" s="54"/>
    </row>
    <row r="16336" spans="31:31">
      <c r="AE16336" s="54"/>
    </row>
    <row r="16337" spans="31:31">
      <c r="AE16337" s="54"/>
    </row>
    <row r="16338" spans="31:31">
      <c r="AE16338" s="54"/>
    </row>
    <row r="16339" spans="31:31">
      <c r="AE16339" s="54"/>
    </row>
    <row r="16340" spans="31:31">
      <c r="AE16340" s="54"/>
    </row>
    <row r="16341" spans="31:31">
      <c r="AE16341" s="54"/>
    </row>
    <row r="16342" spans="31:31">
      <c r="AE16342" s="54"/>
    </row>
    <row r="16343" spans="31:31">
      <c r="AE16343" s="54"/>
    </row>
    <row r="16344" spans="31:31">
      <c r="AE16344" s="54"/>
    </row>
    <row r="16345" spans="31:31">
      <c r="AE16345" s="54"/>
    </row>
    <row r="16346" spans="31:31">
      <c r="AE16346" s="54"/>
    </row>
    <row r="16347" spans="31:31">
      <c r="AE16347" s="54"/>
    </row>
    <row r="16348" spans="31:31">
      <c r="AE16348" s="54"/>
    </row>
    <row r="16349" spans="31:31">
      <c r="AE16349" s="54"/>
    </row>
    <row r="16350" spans="31:31">
      <c r="AE16350" s="54"/>
    </row>
    <row r="16351" spans="31:31">
      <c r="AE16351" s="54"/>
    </row>
    <row r="16352" spans="31:31">
      <c r="AE16352" s="54"/>
    </row>
    <row r="16353" spans="31:31">
      <c r="AE16353" s="54"/>
    </row>
    <row r="16354" spans="31:31">
      <c r="AE16354" s="54"/>
    </row>
    <row r="16355" spans="31:31">
      <c r="AE16355" s="54"/>
    </row>
    <row r="16356" spans="31:31">
      <c r="AE16356" s="54"/>
    </row>
    <row r="16357" spans="31:31">
      <c r="AE16357" s="54"/>
    </row>
    <row r="16358" spans="31:31">
      <c r="AE16358" s="54"/>
    </row>
    <row r="16359" spans="31:31">
      <c r="AE16359" s="54"/>
    </row>
    <row r="16360" spans="31:31">
      <c r="AE16360" s="54"/>
    </row>
    <row r="16361" spans="31:31">
      <c r="AE16361" s="54"/>
    </row>
    <row r="16362" spans="31:31">
      <c r="AE16362" s="54"/>
    </row>
    <row r="16363" spans="31:31">
      <c r="AE16363" s="54"/>
    </row>
    <row r="16364" spans="31:31">
      <c r="AE16364" s="54"/>
    </row>
    <row r="16365" spans="31:31">
      <c r="AE16365" s="54"/>
    </row>
    <row r="16366" spans="31:31">
      <c r="AE16366" s="54"/>
    </row>
    <row r="16367" spans="31:31">
      <c r="AE16367" s="54"/>
    </row>
    <row r="16368" spans="31:31">
      <c r="AE16368" s="54"/>
    </row>
    <row r="16369" spans="31:31">
      <c r="AE16369" s="54"/>
    </row>
    <row r="16370" spans="31:31">
      <c r="AE16370" s="54"/>
    </row>
    <row r="16371" spans="31:31">
      <c r="AE16371" s="54"/>
    </row>
    <row r="16372" spans="31:31">
      <c r="AE16372" s="54"/>
    </row>
    <row r="16373" spans="31:31">
      <c r="AE16373" s="54"/>
    </row>
    <row r="16374" spans="31:31">
      <c r="AE16374" s="54"/>
    </row>
    <row r="16375" spans="31:31">
      <c r="AE16375" s="54"/>
    </row>
    <row r="16376" spans="31:31">
      <c r="AE16376" s="54"/>
    </row>
    <row r="16377" spans="31:31">
      <c r="AE16377" s="54"/>
    </row>
    <row r="16378" spans="31:31">
      <c r="AE16378" s="54"/>
    </row>
    <row r="16379" spans="31:31">
      <c r="AE16379" s="54"/>
    </row>
    <row r="16380" spans="31:31">
      <c r="AE16380" s="54"/>
    </row>
    <row r="16381" spans="31:31">
      <c r="AE16381" s="54"/>
    </row>
    <row r="16382" spans="31:31">
      <c r="AE16382" s="54"/>
    </row>
    <row r="16383" spans="31:31">
      <c r="AE16383" s="54"/>
    </row>
    <row r="16384" spans="31:31">
      <c r="AE16384" s="54"/>
    </row>
    <row r="16385" spans="31:31">
      <c r="AE16385" s="54"/>
    </row>
    <row r="16386" spans="31:31">
      <c r="AE16386" s="54"/>
    </row>
    <row r="16387" spans="31:31">
      <c r="AE16387" s="54"/>
    </row>
    <row r="16388" spans="31:31">
      <c r="AE16388" s="54"/>
    </row>
    <row r="16389" spans="31:31">
      <c r="AE16389" s="54"/>
    </row>
    <row r="16390" spans="31:31">
      <c r="AE16390" s="54"/>
    </row>
    <row r="16391" spans="31:31">
      <c r="AE16391" s="54"/>
    </row>
    <row r="16392" spans="31:31">
      <c r="AE16392" s="54"/>
    </row>
    <row r="16393" spans="31:31">
      <c r="AE16393" s="54"/>
    </row>
    <row r="16394" spans="31:31">
      <c r="AE16394" s="54"/>
    </row>
    <row r="16395" spans="31:31">
      <c r="AE16395" s="54"/>
    </row>
    <row r="16396" spans="31:31">
      <c r="AE16396" s="54"/>
    </row>
    <row r="16397" spans="31:31">
      <c r="AE16397" s="54"/>
    </row>
    <row r="16398" spans="31:31">
      <c r="AE16398" s="54"/>
    </row>
    <row r="16399" spans="31:31">
      <c r="AE16399" s="54"/>
    </row>
    <row r="16400" spans="31:31">
      <c r="AE16400" s="54"/>
    </row>
    <row r="16401" spans="31:31">
      <c r="AE16401" s="54"/>
    </row>
    <row r="16402" spans="31:31">
      <c r="AE16402" s="54"/>
    </row>
    <row r="16403" spans="31:31">
      <c r="AE16403" s="54"/>
    </row>
    <row r="16404" spans="31:31">
      <c r="AE16404" s="54"/>
    </row>
    <row r="16405" spans="31:31">
      <c r="AE16405" s="54"/>
    </row>
    <row r="16406" spans="31:31">
      <c r="AE16406" s="54"/>
    </row>
    <row r="16407" spans="31:31">
      <c r="AE16407" s="54"/>
    </row>
    <row r="16408" spans="31:31">
      <c r="AE16408" s="54"/>
    </row>
    <row r="16409" spans="31:31">
      <c r="AE16409" s="54"/>
    </row>
    <row r="16410" spans="31:31">
      <c r="AE16410" s="54"/>
    </row>
    <row r="16411" spans="31:31">
      <c r="AE16411" s="54"/>
    </row>
    <row r="16412" spans="31:31">
      <c r="AE16412" s="54"/>
    </row>
    <row r="16413" spans="31:31">
      <c r="AE16413" s="54"/>
    </row>
    <row r="16414" spans="31:31">
      <c r="AE16414" s="54"/>
    </row>
    <row r="16415" spans="31:31">
      <c r="AE16415" s="54"/>
    </row>
    <row r="16416" spans="31:31">
      <c r="AE16416" s="54"/>
    </row>
    <row r="16417" spans="31:31">
      <c r="AE16417" s="54"/>
    </row>
    <row r="16418" spans="31:31">
      <c r="AE16418" s="54"/>
    </row>
    <row r="16419" spans="31:31">
      <c r="AE16419" s="54"/>
    </row>
    <row r="16420" spans="31:31">
      <c r="AE16420" s="54"/>
    </row>
    <row r="16421" spans="31:31">
      <c r="AE16421" s="54"/>
    </row>
    <row r="16422" spans="31:31">
      <c r="AE16422" s="54"/>
    </row>
    <row r="16423" spans="31:31">
      <c r="AE16423" s="54"/>
    </row>
    <row r="16424" spans="31:31">
      <c r="AE16424" s="54"/>
    </row>
    <row r="16425" spans="31:31">
      <c r="AE16425" s="54"/>
    </row>
    <row r="16426" spans="31:31">
      <c r="AE16426" s="54"/>
    </row>
    <row r="16427" spans="31:31">
      <c r="AE16427" s="54"/>
    </row>
    <row r="16428" spans="31:31">
      <c r="AE16428" s="54"/>
    </row>
    <row r="16429" spans="31:31">
      <c r="AE16429" s="54"/>
    </row>
    <row r="16430" spans="31:31">
      <c r="AE16430" s="54"/>
    </row>
    <row r="16431" spans="31:31">
      <c r="AE16431" s="54"/>
    </row>
    <row r="16432" spans="31:31">
      <c r="AE16432" s="54"/>
    </row>
    <row r="16433" spans="31:31">
      <c r="AE16433" s="54"/>
    </row>
    <row r="16434" spans="31:31">
      <c r="AE16434" s="54"/>
    </row>
    <row r="16435" spans="31:31">
      <c r="AE16435" s="54"/>
    </row>
    <row r="16436" spans="31:31">
      <c r="AE16436" s="54"/>
    </row>
    <row r="16437" spans="31:31">
      <c r="AE16437" s="54"/>
    </row>
    <row r="16438" spans="31:31">
      <c r="AE16438" s="54"/>
    </row>
    <row r="16439" spans="31:31">
      <c r="AE16439" s="54"/>
    </row>
    <row r="16440" spans="31:31">
      <c r="AE16440" s="54"/>
    </row>
    <row r="16441" spans="31:31">
      <c r="AE16441" s="54"/>
    </row>
    <row r="16442" spans="31:31">
      <c r="AE16442" s="54"/>
    </row>
    <row r="16443" spans="31:31">
      <c r="AE16443" s="54"/>
    </row>
    <row r="16444" spans="31:31">
      <c r="AE16444" s="54"/>
    </row>
    <row r="16445" spans="31:31">
      <c r="AE16445" s="54"/>
    </row>
    <row r="16446" spans="31:31">
      <c r="AE16446" s="54"/>
    </row>
    <row r="16447" spans="31:31">
      <c r="AE16447" s="54"/>
    </row>
    <row r="16448" spans="31:31">
      <c r="AE16448" s="54"/>
    </row>
    <row r="16449" spans="31:31">
      <c r="AE16449" s="54"/>
    </row>
    <row r="16450" spans="31:31">
      <c r="AE16450" s="54"/>
    </row>
    <row r="16451" spans="31:31">
      <c r="AE16451" s="54"/>
    </row>
    <row r="16452" spans="31:31">
      <c r="AE16452" s="54"/>
    </row>
    <row r="16453" spans="31:31">
      <c r="AE16453" s="54"/>
    </row>
    <row r="16454" spans="31:31">
      <c r="AE16454" s="54"/>
    </row>
    <row r="16455" spans="31:31">
      <c r="AE16455" s="54"/>
    </row>
    <row r="16456" spans="31:31">
      <c r="AE16456" s="54"/>
    </row>
    <row r="16457" spans="31:31">
      <c r="AE16457" s="54"/>
    </row>
    <row r="16458" spans="31:31">
      <c r="AE16458" s="54"/>
    </row>
    <row r="16459" spans="31:31">
      <c r="AE16459" s="54"/>
    </row>
    <row r="16460" spans="31:31">
      <c r="AE16460" s="54"/>
    </row>
    <row r="16461" spans="31:31">
      <c r="AE16461" s="54"/>
    </row>
    <row r="16462" spans="31:31">
      <c r="AE16462" s="54"/>
    </row>
    <row r="16463" spans="31:31">
      <c r="AE16463" s="54"/>
    </row>
    <row r="16464" spans="31:31">
      <c r="AE16464" s="54"/>
    </row>
    <row r="16465" spans="31:31">
      <c r="AE16465" s="54"/>
    </row>
    <row r="16466" spans="31:31">
      <c r="AE16466" s="54"/>
    </row>
    <row r="16467" spans="31:31">
      <c r="AE16467" s="54"/>
    </row>
    <row r="16468" spans="31:31">
      <c r="AE16468" s="54"/>
    </row>
    <row r="16469" spans="31:31">
      <c r="AE16469" s="54"/>
    </row>
    <row r="16470" spans="31:31">
      <c r="AE16470" s="54"/>
    </row>
    <row r="16471" spans="31:31">
      <c r="AE16471" s="54"/>
    </row>
    <row r="16472" spans="31:31">
      <c r="AE16472" s="54"/>
    </row>
    <row r="16473" spans="31:31">
      <c r="AE16473" s="54"/>
    </row>
    <row r="16474" spans="31:31">
      <c r="AE16474" s="54"/>
    </row>
    <row r="16475" spans="31:31">
      <c r="AE16475" s="54"/>
    </row>
    <row r="16476" spans="31:31">
      <c r="AE16476" s="54"/>
    </row>
    <row r="16477" spans="31:31">
      <c r="AE16477" s="54"/>
    </row>
    <row r="16478" spans="31:31">
      <c r="AE16478" s="54"/>
    </row>
    <row r="16479" spans="31:31">
      <c r="AE16479" s="54"/>
    </row>
    <row r="16480" spans="31:31">
      <c r="AE16480" s="54"/>
    </row>
    <row r="16481" spans="31:31">
      <c r="AE16481" s="54"/>
    </row>
    <row r="16482" spans="31:31">
      <c r="AE16482" s="54"/>
    </row>
    <row r="16483" spans="31:31">
      <c r="AE16483" s="54"/>
    </row>
    <row r="16484" spans="31:31">
      <c r="AE16484" s="54"/>
    </row>
    <row r="16485" spans="31:31">
      <c r="AE16485" s="54"/>
    </row>
    <row r="16486" spans="31:31">
      <c r="AE16486" s="54"/>
    </row>
    <row r="16487" spans="31:31">
      <c r="AE16487" s="54"/>
    </row>
    <row r="16488" spans="31:31">
      <c r="AE16488" s="54"/>
    </row>
    <row r="16489" spans="31:31">
      <c r="AE16489" s="54"/>
    </row>
    <row r="16490" spans="31:31">
      <c r="AE16490" s="54"/>
    </row>
    <row r="16491" spans="31:31">
      <c r="AE16491" s="54"/>
    </row>
    <row r="16492" spans="31:31">
      <c r="AE16492" s="54"/>
    </row>
    <row r="16493" spans="31:31">
      <c r="AE16493" s="54"/>
    </row>
    <row r="16494" spans="31:31">
      <c r="AE16494" s="54"/>
    </row>
    <row r="16495" spans="31:31">
      <c r="AE16495" s="54"/>
    </row>
    <row r="16496" spans="31:31">
      <c r="AE16496" s="54"/>
    </row>
    <row r="16497" spans="31:31">
      <c r="AE16497" s="54"/>
    </row>
    <row r="16498" spans="31:31">
      <c r="AE16498" s="54"/>
    </row>
    <row r="16499" spans="31:31">
      <c r="AE16499" s="54"/>
    </row>
    <row r="16500" spans="31:31">
      <c r="AE16500" s="54"/>
    </row>
    <row r="16501" spans="31:31">
      <c r="AE16501" s="54"/>
    </row>
    <row r="16502" spans="31:31">
      <c r="AE16502" s="54"/>
    </row>
    <row r="16503" spans="31:31">
      <c r="AE16503" s="54"/>
    </row>
    <row r="16504" spans="31:31">
      <c r="AE16504" s="54"/>
    </row>
    <row r="16505" spans="31:31">
      <c r="AE16505" s="54"/>
    </row>
    <row r="16506" spans="31:31">
      <c r="AE16506" s="54"/>
    </row>
    <row r="16507" spans="31:31">
      <c r="AE16507" s="54"/>
    </row>
    <row r="16508" spans="31:31">
      <c r="AE16508" s="54"/>
    </row>
    <row r="16509" spans="31:31">
      <c r="AE16509" s="54"/>
    </row>
    <row r="16510" spans="31:31">
      <c r="AE16510" s="54"/>
    </row>
    <row r="16511" spans="31:31">
      <c r="AE16511" s="54"/>
    </row>
    <row r="16512" spans="31:31">
      <c r="AE16512" s="54"/>
    </row>
    <row r="16513" spans="31:31">
      <c r="AE16513" s="54"/>
    </row>
    <row r="16514" spans="31:31">
      <c r="AE16514" s="54"/>
    </row>
    <row r="16515" spans="31:31">
      <c r="AE16515" s="54"/>
    </row>
    <row r="16516" spans="31:31">
      <c r="AE16516" s="54"/>
    </row>
    <row r="16517" spans="31:31">
      <c r="AE16517" s="54"/>
    </row>
    <row r="16518" spans="31:31">
      <c r="AE16518" s="54"/>
    </row>
    <row r="16519" spans="31:31">
      <c r="AE16519" s="54"/>
    </row>
    <row r="16520" spans="31:31">
      <c r="AE16520" s="54"/>
    </row>
    <row r="16521" spans="31:31">
      <c r="AE16521" s="54"/>
    </row>
    <row r="16522" spans="31:31">
      <c r="AE16522" s="54"/>
    </row>
    <row r="16523" spans="31:31">
      <c r="AE16523" s="54"/>
    </row>
    <row r="16524" spans="31:31">
      <c r="AE16524" s="54"/>
    </row>
    <row r="16525" spans="31:31">
      <c r="AE16525" s="54"/>
    </row>
    <row r="16526" spans="31:31">
      <c r="AE16526" s="54"/>
    </row>
    <row r="16527" spans="31:31">
      <c r="AE16527" s="54"/>
    </row>
    <row r="16528" spans="31:31">
      <c r="AE16528" s="54"/>
    </row>
    <row r="16529" spans="31:31">
      <c r="AE16529" s="54"/>
    </row>
    <row r="16530" spans="31:31">
      <c r="AE16530" s="54"/>
    </row>
    <row r="16531" spans="31:31">
      <c r="AE16531" s="54"/>
    </row>
    <row r="16532" spans="31:31">
      <c r="AE16532" s="54"/>
    </row>
    <row r="16533" spans="31:31">
      <c r="AE16533" s="54"/>
    </row>
    <row r="16534" spans="31:31">
      <c r="AE16534" s="54"/>
    </row>
    <row r="16535" spans="31:31">
      <c r="AE16535" s="54"/>
    </row>
    <row r="16536" spans="31:31">
      <c r="AE16536" s="54"/>
    </row>
    <row r="16537" spans="31:31">
      <c r="AE16537" s="54"/>
    </row>
    <row r="16538" spans="31:31">
      <c r="AE16538" s="54"/>
    </row>
    <row r="16539" spans="31:31">
      <c r="AE16539" s="54"/>
    </row>
    <row r="16540" spans="31:31">
      <c r="AE16540" s="54"/>
    </row>
    <row r="16541" spans="31:31">
      <c r="AE16541" s="54"/>
    </row>
    <row r="16542" spans="31:31">
      <c r="AE16542" s="54"/>
    </row>
    <row r="16543" spans="31:31">
      <c r="AE16543" s="54"/>
    </row>
    <row r="16544" spans="31:31">
      <c r="AE16544" s="54"/>
    </row>
    <row r="16545" spans="31:31">
      <c r="AE16545" s="54"/>
    </row>
    <row r="16546" spans="31:31">
      <c r="AE16546" s="54"/>
    </row>
    <row r="16547" spans="31:31">
      <c r="AE16547" s="54"/>
    </row>
    <row r="16548" spans="31:31">
      <c r="AE16548" s="54"/>
    </row>
    <row r="16549" spans="31:31">
      <c r="AE16549" s="54"/>
    </row>
    <row r="16550" spans="31:31">
      <c r="AE16550" s="54"/>
    </row>
    <row r="16551" spans="31:31">
      <c r="AE16551" s="54"/>
    </row>
    <row r="16552" spans="31:31">
      <c r="AE16552" s="54"/>
    </row>
    <row r="16553" spans="31:31">
      <c r="AE16553" s="54"/>
    </row>
    <row r="16554" spans="31:31">
      <c r="AE16554" s="54"/>
    </row>
    <row r="16555" spans="31:31">
      <c r="AE16555" s="54"/>
    </row>
    <row r="16556" spans="31:31">
      <c r="AE16556" s="54"/>
    </row>
    <row r="16557" spans="31:31">
      <c r="AE16557" s="54"/>
    </row>
    <row r="16558" spans="31:31">
      <c r="AE16558" s="54"/>
    </row>
    <row r="16559" spans="31:31">
      <c r="AE16559" s="54"/>
    </row>
    <row r="16560" spans="31:31">
      <c r="AE16560" s="54"/>
    </row>
    <row r="16561" spans="31:31">
      <c r="AE16561" s="54"/>
    </row>
    <row r="16562" spans="31:31">
      <c r="AE16562" s="54"/>
    </row>
    <row r="16563" spans="31:31">
      <c r="AE16563" s="54"/>
    </row>
    <row r="16564" spans="31:31">
      <c r="AE16564" s="54"/>
    </row>
    <row r="16565" spans="31:31">
      <c r="AE16565" s="54"/>
    </row>
    <row r="16566" spans="31:31">
      <c r="AE16566" s="54"/>
    </row>
    <row r="16567" spans="31:31">
      <c r="AE16567" s="54"/>
    </row>
    <row r="16568" spans="31:31">
      <c r="AE16568" s="54"/>
    </row>
    <row r="16569" spans="31:31">
      <c r="AE16569" s="54"/>
    </row>
    <row r="16570" spans="31:31">
      <c r="AE16570" s="54"/>
    </row>
    <row r="16571" spans="31:31">
      <c r="AE16571" s="54"/>
    </row>
    <row r="16572" spans="31:31">
      <c r="AE16572" s="54"/>
    </row>
    <row r="16573" spans="31:31">
      <c r="AE16573" s="54"/>
    </row>
    <row r="16574" spans="31:31">
      <c r="AE16574" s="54"/>
    </row>
    <row r="16575" spans="31:31">
      <c r="AE16575" s="54"/>
    </row>
    <row r="16576" spans="31:31">
      <c r="AE16576" s="54"/>
    </row>
    <row r="16577" spans="31:31">
      <c r="AE16577" s="54"/>
    </row>
    <row r="16578" spans="31:31">
      <c r="AE16578" s="54"/>
    </row>
    <row r="16579" spans="31:31">
      <c r="AE16579" s="54"/>
    </row>
    <row r="16580" spans="31:31">
      <c r="AE16580" s="54"/>
    </row>
    <row r="16581" spans="31:31">
      <c r="AE16581" s="54"/>
    </row>
    <row r="16582" spans="31:31">
      <c r="AE16582" s="54"/>
    </row>
    <row r="16583" spans="31:31">
      <c r="AE16583" s="54"/>
    </row>
    <row r="16584" spans="31:31">
      <c r="AE16584" s="54"/>
    </row>
    <row r="16585" spans="31:31">
      <c r="AE16585" s="54"/>
    </row>
    <row r="16586" spans="31:31">
      <c r="AE16586" s="54"/>
    </row>
    <row r="16587" spans="31:31">
      <c r="AE16587" s="54"/>
    </row>
    <row r="16588" spans="31:31">
      <c r="AE16588" s="54"/>
    </row>
    <row r="16589" spans="31:31">
      <c r="AE16589" s="54"/>
    </row>
    <row r="16590" spans="31:31">
      <c r="AE16590" s="54"/>
    </row>
    <row r="16591" spans="31:31">
      <c r="AE16591" s="54"/>
    </row>
    <row r="16592" spans="31:31">
      <c r="AE16592" s="54"/>
    </row>
    <row r="16593" spans="31:31">
      <c r="AE16593" s="54"/>
    </row>
    <row r="16594" spans="31:31">
      <c r="AE16594" s="54"/>
    </row>
    <row r="16595" spans="31:31">
      <c r="AE16595" s="54"/>
    </row>
    <row r="16596" spans="31:31">
      <c r="AE16596" s="54"/>
    </row>
    <row r="16597" spans="31:31">
      <c r="AE16597" s="54"/>
    </row>
    <row r="16598" spans="31:31">
      <c r="AE16598" s="54"/>
    </row>
    <row r="16599" spans="31:31">
      <c r="AE16599" s="54"/>
    </row>
    <row r="16600" spans="31:31">
      <c r="AE16600" s="54"/>
    </row>
    <row r="16601" spans="31:31">
      <c r="AE16601" s="54"/>
    </row>
    <row r="16602" spans="31:31">
      <c r="AE16602" s="54"/>
    </row>
    <row r="16603" spans="31:31">
      <c r="AE16603" s="54"/>
    </row>
    <row r="16604" spans="31:31">
      <c r="AE16604" s="54"/>
    </row>
    <row r="16605" spans="31:31">
      <c r="AE16605" s="54"/>
    </row>
    <row r="16606" spans="31:31">
      <c r="AE16606" s="54"/>
    </row>
    <row r="16607" spans="31:31">
      <c r="AE16607" s="54"/>
    </row>
    <row r="16608" spans="31:31">
      <c r="AE16608" s="54"/>
    </row>
    <row r="16609" spans="31:31">
      <c r="AE16609" s="54"/>
    </row>
    <row r="16610" spans="31:31">
      <c r="AE16610" s="54"/>
    </row>
    <row r="16611" spans="31:31">
      <c r="AE16611" s="54"/>
    </row>
    <row r="16612" spans="31:31">
      <c r="AE16612" s="54"/>
    </row>
    <row r="16613" spans="31:31">
      <c r="AE16613" s="54"/>
    </row>
    <row r="16614" spans="31:31">
      <c r="AE16614" s="54"/>
    </row>
    <row r="16615" spans="31:31">
      <c r="AE16615" s="54"/>
    </row>
    <row r="16616" spans="31:31">
      <c r="AE16616" s="54"/>
    </row>
    <row r="16617" spans="31:31">
      <c r="AE16617" s="54"/>
    </row>
    <row r="16618" spans="31:31">
      <c r="AE16618" s="54"/>
    </row>
    <row r="16619" spans="31:31">
      <c r="AE16619" s="54"/>
    </row>
    <row r="16620" spans="31:31">
      <c r="AE16620" s="54"/>
    </row>
    <row r="16621" spans="31:31">
      <c r="AE16621" s="54"/>
    </row>
    <row r="16622" spans="31:31">
      <c r="AE16622" s="54"/>
    </row>
    <row r="16623" spans="31:31">
      <c r="AE16623" s="54"/>
    </row>
    <row r="16624" spans="31:31">
      <c r="AE16624" s="54"/>
    </row>
    <row r="16625" spans="31:31">
      <c r="AE16625" s="54"/>
    </row>
    <row r="16626" spans="31:31">
      <c r="AE16626" s="54"/>
    </row>
    <row r="16627" spans="31:31">
      <c r="AE16627" s="54"/>
    </row>
    <row r="16628" spans="31:31">
      <c r="AE16628" s="54"/>
    </row>
    <row r="16629" spans="31:31">
      <c r="AE16629" s="54"/>
    </row>
    <row r="16630" spans="31:31">
      <c r="AE16630" s="54"/>
    </row>
    <row r="16631" spans="31:31">
      <c r="AE16631" s="54"/>
    </row>
    <row r="16632" spans="31:31">
      <c r="AE16632" s="54"/>
    </row>
    <row r="16633" spans="31:31">
      <c r="AE16633" s="54"/>
    </row>
    <row r="16634" spans="31:31">
      <c r="AE16634" s="54"/>
    </row>
    <row r="16635" spans="31:31">
      <c r="AE16635" s="54"/>
    </row>
    <row r="16636" spans="31:31">
      <c r="AE16636" s="54"/>
    </row>
    <row r="16637" spans="31:31">
      <c r="AE16637" s="54"/>
    </row>
    <row r="16638" spans="31:31">
      <c r="AE16638" s="54"/>
    </row>
    <row r="16639" spans="31:31">
      <c r="AE16639" s="54"/>
    </row>
    <row r="16640" spans="31:31">
      <c r="AE16640" s="54"/>
    </row>
    <row r="16641" spans="31:31">
      <c r="AE16641" s="54"/>
    </row>
    <row r="16642" spans="31:31">
      <c r="AE16642" s="54"/>
    </row>
    <row r="16643" spans="31:31">
      <c r="AE16643" s="54"/>
    </row>
    <row r="16644" spans="31:31">
      <c r="AE16644" s="54"/>
    </row>
    <row r="16645" spans="31:31">
      <c r="AE16645" s="54"/>
    </row>
    <row r="16646" spans="31:31">
      <c r="AE16646" s="54"/>
    </row>
    <row r="16647" spans="31:31">
      <c r="AE16647" s="54"/>
    </row>
    <row r="16648" spans="31:31">
      <c r="AE16648" s="54"/>
    </row>
    <row r="16649" spans="31:31">
      <c r="AE16649" s="54"/>
    </row>
    <row r="16650" spans="31:31">
      <c r="AE16650" s="54"/>
    </row>
    <row r="16651" spans="31:31">
      <c r="AE16651" s="54"/>
    </row>
    <row r="16652" spans="31:31">
      <c r="AE16652" s="54"/>
    </row>
    <row r="16653" spans="31:31">
      <c r="AE16653" s="54"/>
    </row>
    <row r="16654" spans="31:31">
      <c r="AE16654" s="54"/>
    </row>
    <row r="16655" spans="31:31">
      <c r="AE16655" s="54"/>
    </row>
    <row r="16656" spans="31:31">
      <c r="AE16656" s="54"/>
    </row>
    <row r="16657" spans="31:31">
      <c r="AE16657" s="54"/>
    </row>
    <row r="16658" spans="31:31">
      <c r="AE16658" s="54"/>
    </row>
    <row r="16659" spans="31:31">
      <c r="AE16659" s="54"/>
    </row>
    <row r="16660" spans="31:31">
      <c r="AE16660" s="54"/>
    </row>
    <row r="16661" spans="31:31">
      <c r="AE16661" s="54"/>
    </row>
    <row r="16662" spans="31:31">
      <c r="AE16662" s="54"/>
    </row>
    <row r="16663" spans="31:31">
      <c r="AE16663" s="54"/>
    </row>
    <row r="16664" spans="31:31">
      <c r="AE16664" s="54"/>
    </row>
    <row r="16665" spans="31:31">
      <c r="AE16665" s="54"/>
    </row>
    <row r="16666" spans="31:31">
      <c r="AE16666" s="54"/>
    </row>
    <row r="16667" spans="31:31">
      <c r="AE16667" s="54"/>
    </row>
    <row r="16668" spans="31:31">
      <c r="AE16668" s="54"/>
    </row>
    <row r="16669" spans="31:31">
      <c r="AE16669" s="54"/>
    </row>
    <row r="16670" spans="31:31">
      <c r="AE16670" s="54"/>
    </row>
    <row r="16671" spans="31:31">
      <c r="AE16671" s="54"/>
    </row>
    <row r="16672" spans="31:31">
      <c r="AE16672" s="54"/>
    </row>
    <row r="16673" spans="31:31">
      <c r="AE16673" s="54"/>
    </row>
    <row r="16674" spans="31:31">
      <c r="AE16674" s="54"/>
    </row>
    <row r="16675" spans="31:31">
      <c r="AE16675" s="54"/>
    </row>
    <row r="16676" spans="31:31">
      <c r="AE16676" s="54"/>
    </row>
    <row r="16677" spans="31:31">
      <c r="AE16677" s="54"/>
    </row>
    <row r="16678" spans="31:31">
      <c r="AE16678" s="54"/>
    </row>
    <row r="16679" spans="31:31">
      <c r="AE16679" s="54"/>
    </row>
    <row r="16680" spans="31:31">
      <c r="AE16680" s="54"/>
    </row>
    <row r="16681" spans="31:31">
      <c r="AE16681" s="54"/>
    </row>
    <row r="16682" spans="31:31">
      <c r="AE16682" s="54"/>
    </row>
    <row r="16683" spans="31:31">
      <c r="AE16683" s="54"/>
    </row>
    <row r="16684" spans="31:31">
      <c r="AE16684" s="54"/>
    </row>
    <row r="16685" spans="31:31">
      <c r="AE16685" s="54"/>
    </row>
    <row r="16686" spans="31:31">
      <c r="AE16686" s="54"/>
    </row>
    <row r="16687" spans="31:31">
      <c r="AE16687" s="54"/>
    </row>
    <row r="16688" spans="31:31">
      <c r="AE16688" s="54"/>
    </row>
    <row r="16689" spans="31:31">
      <c r="AE16689" s="54"/>
    </row>
    <row r="16690" spans="31:31">
      <c r="AE16690" s="54"/>
    </row>
    <row r="16691" spans="31:31">
      <c r="AE16691" s="54"/>
    </row>
    <row r="16692" spans="31:31">
      <c r="AE16692" s="54"/>
    </row>
    <row r="16693" spans="31:31">
      <c r="AE16693" s="54"/>
    </row>
    <row r="16694" spans="31:31">
      <c r="AE16694" s="54"/>
    </row>
    <row r="16695" spans="31:31">
      <c r="AE16695" s="54"/>
    </row>
    <row r="16696" spans="31:31">
      <c r="AE16696" s="54"/>
    </row>
    <row r="16697" spans="31:31">
      <c r="AE16697" s="54"/>
    </row>
    <row r="16698" spans="31:31">
      <c r="AE16698" s="54"/>
    </row>
    <row r="16699" spans="31:31">
      <c r="AE16699" s="54"/>
    </row>
    <row r="16700" spans="31:31">
      <c r="AE16700" s="54"/>
    </row>
    <row r="16701" spans="31:31">
      <c r="AE16701" s="54"/>
    </row>
    <row r="16702" spans="31:31">
      <c r="AE16702" s="54"/>
    </row>
    <row r="16703" spans="31:31">
      <c r="AE16703" s="54"/>
    </row>
    <row r="16704" spans="31:31">
      <c r="AE16704" s="54"/>
    </row>
    <row r="16705" spans="31:31">
      <c r="AE16705" s="54"/>
    </row>
    <row r="16706" spans="31:31">
      <c r="AE16706" s="54"/>
    </row>
    <row r="16707" spans="31:31">
      <c r="AE16707" s="54"/>
    </row>
    <row r="16708" spans="31:31">
      <c r="AE16708" s="54"/>
    </row>
    <row r="16709" spans="31:31">
      <c r="AE16709" s="54"/>
    </row>
    <row r="16710" spans="31:31">
      <c r="AE16710" s="54"/>
    </row>
    <row r="16711" spans="31:31">
      <c r="AE16711" s="54"/>
    </row>
    <row r="16712" spans="31:31">
      <c r="AE16712" s="54"/>
    </row>
    <row r="16713" spans="31:31">
      <c r="AE16713" s="54"/>
    </row>
    <row r="16714" spans="31:31">
      <c r="AE16714" s="54"/>
    </row>
    <row r="16715" spans="31:31">
      <c r="AE16715" s="54"/>
    </row>
    <row r="16716" spans="31:31">
      <c r="AE16716" s="54"/>
    </row>
    <row r="16717" spans="31:31">
      <c r="AE16717" s="54"/>
    </row>
    <row r="16718" spans="31:31">
      <c r="AE16718" s="54"/>
    </row>
    <row r="16719" spans="31:31">
      <c r="AE16719" s="54"/>
    </row>
    <row r="16720" spans="31:31">
      <c r="AE16720" s="54"/>
    </row>
    <row r="16721" spans="31:31">
      <c r="AE16721" s="54"/>
    </row>
    <row r="16722" spans="31:31">
      <c r="AE16722" s="54"/>
    </row>
    <row r="16723" spans="31:31">
      <c r="AE16723" s="54"/>
    </row>
    <row r="16724" spans="31:31">
      <c r="AE16724" s="54"/>
    </row>
    <row r="16725" spans="31:31">
      <c r="AE16725" s="54"/>
    </row>
    <row r="16726" spans="31:31">
      <c r="AE16726" s="54"/>
    </row>
    <row r="16727" spans="31:31">
      <c r="AE16727" s="54"/>
    </row>
    <row r="16728" spans="31:31">
      <c r="AE16728" s="54"/>
    </row>
    <row r="16729" spans="31:31">
      <c r="AE16729" s="54"/>
    </row>
    <row r="16730" spans="31:31">
      <c r="AE16730" s="54"/>
    </row>
    <row r="16731" spans="31:31">
      <c r="AE16731" s="54"/>
    </row>
    <row r="16732" spans="31:31">
      <c r="AE16732" s="54"/>
    </row>
    <row r="16733" spans="31:31">
      <c r="AE16733" s="54"/>
    </row>
    <row r="16734" spans="31:31">
      <c r="AE16734" s="54"/>
    </row>
    <row r="16735" spans="31:31">
      <c r="AE16735" s="54"/>
    </row>
    <row r="16736" spans="31:31">
      <c r="AE16736" s="54"/>
    </row>
    <row r="16737" spans="31:31">
      <c r="AE16737" s="54"/>
    </row>
    <row r="16738" spans="31:31">
      <c r="AE16738" s="54"/>
    </row>
    <row r="16739" spans="31:31">
      <c r="AE16739" s="54"/>
    </row>
    <row r="16740" spans="31:31">
      <c r="AE16740" s="54"/>
    </row>
    <row r="16741" spans="31:31">
      <c r="AE16741" s="54"/>
    </row>
    <row r="16742" spans="31:31">
      <c r="AE16742" s="54"/>
    </row>
    <row r="16743" spans="31:31">
      <c r="AE16743" s="54"/>
    </row>
    <row r="16744" spans="31:31">
      <c r="AE16744" s="54"/>
    </row>
    <row r="16745" spans="31:31">
      <c r="AE16745" s="54"/>
    </row>
    <row r="16746" spans="31:31">
      <c r="AE16746" s="54"/>
    </row>
    <row r="16747" spans="31:31">
      <c r="AE16747" s="54"/>
    </row>
    <row r="16748" spans="31:31">
      <c r="AE16748" s="54"/>
    </row>
    <row r="16749" spans="31:31">
      <c r="AE16749" s="54"/>
    </row>
    <row r="16750" spans="31:31">
      <c r="AE16750" s="54"/>
    </row>
    <row r="16751" spans="31:31">
      <c r="AE16751" s="54"/>
    </row>
    <row r="16752" spans="31:31">
      <c r="AE16752" s="54"/>
    </row>
    <row r="16753" spans="31:31">
      <c r="AE16753" s="54"/>
    </row>
    <row r="16754" spans="31:31">
      <c r="AE16754" s="54"/>
    </row>
    <row r="16755" spans="31:31">
      <c r="AE16755" s="54"/>
    </row>
    <row r="16756" spans="31:31">
      <c r="AE16756" s="54"/>
    </row>
    <row r="16757" spans="31:31">
      <c r="AE16757" s="54"/>
    </row>
    <row r="16758" spans="31:31">
      <c r="AE16758" s="54"/>
    </row>
    <row r="16759" spans="31:31">
      <c r="AE16759" s="54"/>
    </row>
    <row r="16760" spans="31:31">
      <c r="AE16760" s="54"/>
    </row>
    <row r="16761" spans="31:31">
      <c r="AE16761" s="54"/>
    </row>
    <row r="16762" spans="31:31">
      <c r="AE16762" s="54"/>
    </row>
    <row r="16763" spans="31:31">
      <c r="AE16763" s="54"/>
    </row>
    <row r="16764" spans="31:31">
      <c r="AE16764" s="54"/>
    </row>
    <row r="16765" spans="31:31">
      <c r="AE16765" s="54"/>
    </row>
    <row r="16766" spans="31:31">
      <c r="AE16766" s="54"/>
    </row>
    <row r="16767" spans="31:31">
      <c r="AE16767" s="54"/>
    </row>
    <row r="16768" spans="31:31">
      <c r="AE16768" s="54"/>
    </row>
    <row r="16769" spans="31:31">
      <c r="AE16769" s="54"/>
    </row>
    <row r="16770" spans="31:31">
      <c r="AE16770" s="54"/>
    </row>
    <row r="16771" spans="31:31">
      <c r="AE16771" s="54"/>
    </row>
    <row r="16772" spans="31:31">
      <c r="AE16772" s="54"/>
    </row>
    <row r="16773" spans="31:31">
      <c r="AE16773" s="54"/>
    </row>
    <row r="16774" spans="31:31">
      <c r="AE16774" s="54"/>
    </row>
    <row r="16775" spans="31:31">
      <c r="AE16775" s="54"/>
    </row>
    <row r="16776" spans="31:31">
      <c r="AE16776" s="54"/>
    </row>
    <row r="16777" spans="31:31">
      <c r="AE16777" s="54"/>
    </row>
    <row r="16778" spans="31:31">
      <c r="AE16778" s="54"/>
    </row>
    <row r="16779" spans="31:31">
      <c r="AE16779" s="54"/>
    </row>
    <row r="16780" spans="31:31">
      <c r="AE16780" s="54"/>
    </row>
    <row r="16781" spans="31:31">
      <c r="AE16781" s="54"/>
    </row>
    <row r="16782" spans="31:31">
      <c r="AE16782" s="54"/>
    </row>
    <row r="16783" spans="31:31">
      <c r="AE16783" s="54"/>
    </row>
    <row r="16784" spans="31:31">
      <c r="AE16784" s="54"/>
    </row>
    <row r="16785" spans="31:31">
      <c r="AE16785" s="54"/>
    </row>
    <row r="16786" spans="31:31">
      <c r="AE16786" s="54"/>
    </row>
    <row r="16787" spans="31:31">
      <c r="AE16787" s="54"/>
    </row>
    <row r="16788" spans="31:31">
      <c r="AE16788" s="54"/>
    </row>
    <row r="16789" spans="31:31">
      <c r="AE16789" s="54"/>
    </row>
    <row r="16790" spans="31:31">
      <c r="AE16790" s="54"/>
    </row>
    <row r="16791" spans="31:31">
      <c r="AE16791" s="54"/>
    </row>
    <row r="16792" spans="31:31">
      <c r="AE16792" s="54"/>
    </row>
    <row r="16793" spans="31:31">
      <c r="AE16793" s="54"/>
    </row>
    <row r="16794" spans="31:31">
      <c r="AE16794" s="54"/>
    </row>
    <row r="16795" spans="31:31">
      <c r="AE16795" s="54"/>
    </row>
    <row r="16796" spans="31:31">
      <c r="AE16796" s="54"/>
    </row>
    <row r="16797" spans="31:31">
      <c r="AE16797" s="54"/>
    </row>
    <row r="16798" spans="31:31">
      <c r="AE16798" s="54"/>
    </row>
    <row r="16799" spans="31:31">
      <c r="AE16799" s="54"/>
    </row>
    <row r="16800" spans="31:31">
      <c r="AE16800" s="54"/>
    </row>
    <row r="16801" spans="31:31">
      <c r="AE16801" s="54"/>
    </row>
    <row r="16802" spans="31:31">
      <c r="AE16802" s="54"/>
    </row>
    <row r="16803" spans="31:31">
      <c r="AE16803" s="54"/>
    </row>
    <row r="16804" spans="31:31">
      <c r="AE16804" s="54"/>
    </row>
    <row r="16805" spans="31:31">
      <c r="AE16805" s="54"/>
    </row>
    <row r="16806" spans="31:31">
      <c r="AE16806" s="54"/>
    </row>
    <row r="16807" spans="31:31">
      <c r="AE16807" s="54"/>
    </row>
    <row r="16808" spans="31:31">
      <c r="AE16808" s="54"/>
    </row>
    <row r="16809" spans="31:31">
      <c r="AE16809" s="54"/>
    </row>
    <row r="16810" spans="31:31">
      <c r="AE16810" s="54"/>
    </row>
    <row r="16811" spans="31:31">
      <c r="AE16811" s="54"/>
    </row>
    <row r="16812" spans="31:31">
      <c r="AE16812" s="54"/>
    </row>
    <row r="16813" spans="31:31">
      <c r="AE16813" s="54"/>
    </row>
    <row r="16814" spans="31:31">
      <c r="AE16814" s="54"/>
    </row>
    <row r="16815" spans="31:31">
      <c r="AE16815" s="54"/>
    </row>
    <row r="16816" spans="31:31">
      <c r="AE16816" s="54"/>
    </row>
    <row r="16817" spans="31:31">
      <c r="AE16817" s="54"/>
    </row>
    <row r="16818" spans="31:31">
      <c r="AE16818" s="54"/>
    </row>
    <row r="16819" spans="31:31">
      <c r="AE16819" s="54"/>
    </row>
    <row r="16820" spans="31:31">
      <c r="AE16820" s="54"/>
    </row>
    <row r="16821" spans="31:31">
      <c r="AE16821" s="54"/>
    </row>
    <row r="16822" spans="31:31">
      <c r="AE16822" s="54"/>
    </row>
    <row r="16823" spans="31:31">
      <c r="AE16823" s="54"/>
    </row>
    <row r="16824" spans="31:31">
      <c r="AE16824" s="54"/>
    </row>
    <row r="16825" spans="31:31">
      <c r="AE16825" s="54"/>
    </row>
    <row r="16826" spans="31:31">
      <c r="AE16826" s="54"/>
    </row>
    <row r="16827" spans="31:31">
      <c r="AE16827" s="54"/>
    </row>
    <row r="16828" spans="31:31">
      <c r="AE16828" s="54"/>
    </row>
    <row r="16829" spans="31:31">
      <c r="AE16829" s="54"/>
    </row>
    <row r="16830" spans="31:31">
      <c r="AE16830" s="54"/>
    </row>
    <row r="16831" spans="31:31">
      <c r="AE16831" s="54"/>
    </row>
    <row r="16832" spans="31:31">
      <c r="AE16832" s="54"/>
    </row>
    <row r="16833" spans="31:31">
      <c r="AE16833" s="54"/>
    </row>
    <row r="16834" spans="31:31">
      <c r="AE16834" s="54"/>
    </row>
    <row r="16835" spans="31:31">
      <c r="AE16835" s="54"/>
    </row>
    <row r="16836" spans="31:31">
      <c r="AE16836" s="54"/>
    </row>
    <row r="16837" spans="31:31">
      <c r="AE16837" s="54"/>
    </row>
    <row r="16838" spans="31:31">
      <c r="AE16838" s="54"/>
    </row>
    <row r="16839" spans="31:31">
      <c r="AE16839" s="54"/>
    </row>
    <row r="16840" spans="31:31">
      <c r="AE16840" s="54"/>
    </row>
    <row r="16841" spans="31:31">
      <c r="AE16841" s="54"/>
    </row>
    <row r="16842" spans="31:31">
      <c r="AE16842" s="54"/>
    </row>
    <row r="16843" spans="31:31">
      <c r="AE16843" s="54"/>
    </row>
    <row r="16844" spans="31:31">
      <c r="AE16844" s="54"/>
    </row>
    <row r="16845" spans="31:31">
      <c r="AE16845" s="54"/>
    </row>
    <row r="16846" spans="31:31">
      <c r="AE16846" s="54"/>
    </row>
    <row r="16847" spans="31:31">
      <c r="AE16847" s="54"/>
    </row>
    <row r="16848" spans="31:31">
      <c r="AE16848" s="54"/>
    </row>
    <row r="16849" spans="31:31">
      <c r="AE16849" s="54"/>
    </row>
    <row r="16850" spans="31:31">
      <c r="AE16850" s="54"/>
    </row>
    <row r="16851" spans="31:31">
      <c r="AE16851" s="54"/>
    </row>
    <row r="16852" spans="31:31">
      <c r="AE16852" s="54"/>
    </row>
    <row r="16853" spans="31:31">
      <c r="AE16853" s="54"/>
    </row>
    <row r="16854" spans="31:31">
      <c r="AE16854" s="54"/>
    </row>
    <row r="16855" spans="31:31">
      <c r="AE16855" s="54"/>
    </row>
    <row r="16856" spans="31:31">
      <c r="AE16856" s="54"/>
    </row>
    <row r="16857" spans="31:31">
      <c r="AE16857" s="54"/>
    </row>
    <row r="16858" spans="31:31">
      <c r="AE16858" s="54"/>
    </row>
    <row r="16859" spans="31:31">
      <c r="AE16859" s="54"/>
    </row>
    <row r="16860" spans="31:31">
      <c r="AE16860" s="54"/>
    </row>
    <row r="16861" spans="31:31">
      <c r="AE16861" s="54"/>
    </row>
    <row r="16862" spans="31:31">
      <c r="AE16862" s="54"/>
    </row>
    <row r="16863" spans="31:31">
      <c r="AE16863" s="54"/>
    </row>
    <row r="16864" spans="31:31">
      <c r="AE16864" s="54"/>
    </row>
    <row r="16865" spans="31:31">
      <c r="AE16865" s="54"/>
    </row>
    <row r="16866" spans="31:31">
      <c r="AE16866" s="54"/>
    </row>
    <row r="16867" spans="31:31">
      <c r="AE16867" s="54"/>
    </row>
    <row r="16868" spans="31:31">
      <c r="AE16868" s="54"/>
    </row>
    <row r="16869" spans="31:31">
      <c r="AE16869" s="54"/>
    </row>
    <row r="16870" spans="31:31">
      <c r="AE16870" s="54"/>
    </row>
    <row r="16871" spans="31:31">
      <c r="AE16871" s="54"/>
    </row>
    <row r="16872" spans="31:31">
      <c r="AE16872" s="54"/>
    </row>
    <row r="16873" spans="31:31">
      <c r="AE16873" s="54"/>
    </row>
    <row r="16874" spans="31:31">
      <c r="AE16874" s="54"/>
    </row>
    <row r="16875" spans="31:31">
      <c r="AE16875" s="54"/>
    </row>
    <row r="16876" spans="31:31">
      <c r="AE16876" s="54"/>
    </row>
    <row r="16877" spans="31:31">
      <c r="AE16877" s="54"/>
    </row>
    <row r="16878" spans="31:31">
      <c r="AE16878" s="54"/>
    </row>
    <row r="16879" spans="31:31">
      <c r="AE16879" s="54"/>
    </row>
    <row r="16880" spans="31:31">
      <c r="AE16880" s="54"/>
    </row>
    <row r="16881" spans="31:31">
      <c r="AE16881" s="54"/>
    </row>
    <row r="16882" spans="31:31">
      <c r="AE16882" s="54"/>
    </row>
    <row r="16883" spans="31:31">
      <c r="AE16883" s="54"/>
    </row>
    <row r="16884" spans="31:31">
      <c r="AE16884" s="54"/>
    </row>
    <row r="16885" spans="31:31">
      <c r="AE16885" s="54"/>
    </row>
    <row r="16886" spans="31:31">
      <c r="AE16886" s="54"/>
    </row>
    <row r="16887" spans="31:31">
      <c r="AE16887" s="54"/>
    </row>
    <row r="16888" spans="31:31">
      <c r="AE16888" s="54"/>
    </row>
    <row r="16889" spans="31:31">
      <c r="AE16889" s="54"/>
    </row>
    <row r="16890" spans="31:31">
      <c r="AE16890" s="54"/>
    </row>
    <row r="16891" spans="31:31">
      <c r="AE16891" s="54"/>
    </row>
    <row r="16892" spans="31:31">
      <c r="AE16892" s="54"/>
    </row>
    <row r="16893" spans="31:31">
      <c r="AE16893" s="54"/>
    </row>
    <row r="16894" spans="31:31">
      <c r="AE16894" s="54"/>
    </row>
    <row r="16895" spans="31:31">
      <c r="AE16895" s="54"/>
    </row>
    <row r="16896" spans="31:31">
      <c r="AE16896" s="54"/>
    </row>
    <row r="16897" spans="31:31">
      <c r="AE16897" s="54"/>
    </row>
    <row r="16898" spans="31:31">
      <c r="AE16898" s="54"/>
    </row>
    <row r="16899" spans="31:31">
      <c r="AE16899" s="54"/>
    </row>
    <row r="16900" spans="31:31">
      <c r="AE16900" s="54"/>
    </row>
    <row r="16901" spans="31:31">
      <c r="AE16901" s="54"/>
    </row>
    <row r="16902" spans="31:31">
      <c r="AE16902" s="54"/>
    </row>
    <row r="16903" spans="31:31">
      <c r="AE16903" s="54"/>
    </row>
    <row r="16904" spans="31:31">
      <c r="AE16904" s="54"/>
    </row>
    <row r="16905" spans="31:31">
      <c r="AE16905" s="54"/>
    </row>
    <row r="16906" spans="31:31">
      <c r="AE16906" s="54"/>
    </row>
    <row r="16907" spans="31:31">
      <c r="AE16907" s="54"/>
    </row>
    <row r="16908" spans="31:31">
      <c r="AE16908" s="54"/>
    </row>
    <row r="16909" spans="31:31">
      <c r="AE16909" s="54"/>
    </row>
    <row r="16910" spans="31:31">
      <c r="AE16910" s="54"/>
    </row>
    <row r="16911" spans="31:31">
      <c r="AE16911" s="54"/>
    </row>
    <row r="16912" spans="31:31">
      <c r="AE16912" s="54"/>
    </row>
    <row r="16913" spans="31:31">
      <c r="AE16913" s="54"/>
    </row>
    <row r="16914" spans="31:31">
      <c r="AE16914" s="54"/>
    </row>
    <row r="16915" spans="31:31">
      <c r="AE16915" s="54"/>
    </row>
    <row r="16916" spans="31:31">
      <c r="AE16916" s="54"/>
    </row>
    <row r="16917" spans="31:31">
      <c r="AE16917" s="54"/>
    </row>
    <row r="16918" spans="31:31">
      <c r="AE16918" s="54"/>
    </row>
    <row r="16919" spans="31:31">
      <c r="AE16919" s="54"/>
    </row>
    <row r="16920" spans="31:31">
      <c r="AE16920" s="54"/>
    </row>
    <row r="16921" spans="31:31">
      <c r="AE16921" s="54"/>
    </row>
    <row r="16922" spans="31:31">
      <c r="AE16922" s="54"/>
    </row>
    <row r="16923" spans="31:31">
      <c r="AE16923" s="54"/>
    </row>
    <row r="16924" spans="31:31">
      <c r="AE16924" s="54"/>
    </row>
    <row r="16925" spans="31:31">
      <c r="AE16925" s="54"/>
    </row>
    <row r="16926" spans="31:31">
      <c r="AE16926" s="54"/>
    </row>
    <row r="16927" spans="31:31">
      <c r="AE16927" s="54"/>
    </row>
    <row r="16928" spans="31:31">
      <c r="AE16928" s="54"/>
    </row>
    <row r="16929" spans="31:31">
      <c r="AE16929" s="54"/>
    </row>
    <row r="16930" spans="31:31">
      <c r="AE16930" s="54"/>
    </row>
    <row r="16931" spans="31:31">
      <c r="AE16931" s="54"/>
    </row>
    <row r="16932" spans="31:31">
      <c r="AE16932" s="54"/>
    </row>
    <row r="16933" spans="31:31">
      <c r="AE16933" s="54"/>
    </row>
    <row r="16934" spans="31:31">
      <c r="AE16934" s="54"/>
    </row>
    <row r="16935" spans="31:31">
      <c r="AE16935" s="54"/>
    </row>
    <row r="16936" spans="31:31">
      <c r="AE16936" s="54"/>
    </row>
    <row r="16937" spans="31:31">
      <c r="AE16937" s="54"/>
    </row>
    <row r="16938" spans="31:31">
      <c r="AE16938" s="54"/>
    </row>
    <row r="16939" spans="31:31">
      <c r="AE16939" s="54"/>
    </row>
    <row r="16940" spans="31:31">
      <c r="AE16940" s="54"/>
    </row>
    <row r="16941" spans="31:31">
      <c r="AE16941" s="54"/>
    </row>
    <row r="16942" spans="31:31">
      <c r="AE16942" s="54"/>
    </row>
    <row r="16943" spans="31:31">
      <c r="AE16943" s="54"/>
    </row>
    <row r="16944" spans="31:31">
      <c r="AE16944" s="54"/>
    </row>
    <row r="16945" spans="31:31">
      <c r="AE16945" s="54"/>
    </row>
    <row r="16946" spans="31:31">
      <c r="AE16946" s="54"/>
    </row>
    <row r="16947" spans="31:31">
      <c r="AE16947" s="54"/>
    </row>
    <row r="16948" spans="31:31">
      <c r="AE16948" s="54"/>
    </row>
    <row r="16949" spans="31:31">
      <c r="AE16949" s="54"/>
    </row>
    <row r="16950" spans="31:31">
      <c r="AE16950" s="54"/>
    </row>
    <row r="16951" spans="31:31">
      <c r="AE16951" s="54"/>
    </row>
    <row r="16952" spans="31:31">
      <c r="AE16952" s="54"/>
    </row>
    <row r="16953" spans="31:31">
      <c r="AE16953" s="54"/>
    </row>
    <row r="16954" spans="31:31">
      <c r="AE16954" s="54"/>
    </row>
    <row r="16955" spans="31:31">
      <c r="AE16955" s="54"/>
    </row>
    <row r="16956" spans="31:31">
      <c r="AE16956" s="54"/>
    </row>
    <row r="16957" spans="31:31">
      <c r="AE16957" s="54"/>
    </row>
    <row r="16958" spans="31:31">
      <c r="AE16958" s="54"/>
    </row>
    <row r="16959" spans="31:31">
      <c r="AE16959" s="54"/>
    </row>
    <row r="16960" spans="31:31">
      <c r="AE16960" s="54"/>
    </row>
    <row r="16961" spans="31:31">
      <c r="AE16961" s="54"/>
    </row>
    <row r="16962" spans="31:31">
      <c r="AE16962" s="54"/>
    </row>
    <row r="16963" spans="31:31">
      <c r="AE16963" s="54"/>
    </row>
    <row r="16964" spans="31:31">
      <c r="AE16964" s="54"/>
    </row>
    <row r="16965" spans="31:31">
      <c r="AE16965" s="54"/>
    </row>
    <row r="16966" spans="31:31">
      <c r="AE16966" s="54"/>
    </row>
    <row r="16967" spans="31:31">
      <c r="AE16967" s="54"/>
    </row>
    <row r="16968" spans="31:31">
      <c r="AE16968" s="54"/>
    </row>
    <row r="16969" spans="31:31">
      <c r="AE16969" s="54"/>
    </row>
    <row r="16970" spans="31:31">
      <c r="AE16970" s="54"/>
    </row>
    <row r="16971" spans="31:31">
      <c r="AE16971" s="54"/>
    </row>
    <row r="16972" spans="31:31">
      <c r="AE16972" s="54"/>
    </row>
    <row r="16973" spans="31:31">
      <c r="AE16973" s="54"/>
    </row>
    <row r="16974" spans="31:31">
      <c r="AE16974" s="54"/>
    </row>
    <row r="16975" spans="31:31">
      <c r="AE16975" s="54"/>
    </row>
    <row r="16976" spans="31:31">
      <c r="AE16976" s="54"/>
    </row>
    <row r="16977" spans="31:31">
      <c r="AE16977" s="54"/>
    </row>
    <row r="16978" spans="31:31">
      <c r="AE16978" s="54"/>
    </row>
    <row r="16979" spans="31:31">
      <c r="AE16979" s="54"/>
    </row>
    <row r="16980" spans="31:31">
      <c r="AE16980" s="54"/>
    </row>
    <row r="16981" spans="31:31">
      <c r="AE16981" s="54"/>
    </row>
    <row r="16982" spans="31:31">
      <c r="AE16982" s="54"/>
    </row>
    <row r="16983" spans="31:31">
      <c r="AE16983" s="54"/>
    </row>
    <row r="16984" spans="31:31">
      <c r="AE16984" s="54"/>
    </row>
    <row r="16985" spans="31:31">
      <c r="AE16985" s="54"/>
    </row>
    <row r="16986" spans="31:31">
      <c r="AE16986" s="54"/>
    </row>
    <row r="16987" spans="31:31">
      <c r="AE16987" s="54"/>
    </row>
    <row r="16988" spans="31:31">
      <c r="AE16988" s="54"/>
    </row>
    <row r="16989" spans="31:31">
      <c r="AE16989" s="54"/>
    </row>
    <row r="16990" spans="31:31">
      <c r="AE16990" s="54"/>
    </row>
    <row r="16991" spans="31:31">
      <c r="AE16991" s="54"/>
    </row>
    <row r="16992" spans="31:31">
      <c r="AE16992" s="54"/>
    </row>
    <row r="16993" spans="31:31">
      <c r="AE16993" s="54"/>
    </row>
    <row r="16994" spans="31:31">
      <c r="AE16994" s="54"/>
    </row>
    <row r="16995" spans="31:31">
      <c r="AE16995" s="54"/>
    </row>
    <row r="16996" spans="31:31">
      <c r="AE16996" s="54"/>
    </row>
    <row r="16997" spans="31:31">
      <c r="AE16997" s="54"/>
    </row>
    <row r="16998" spans="31:31">
      <c r="AE16998" s="54"/>
    </row>
    <row r="16999" spans="31:31">
      <c r="AE16999" s="54"/>
    </row>
    <row r="17000" spans="31:31">
      <c r="AE17000" s="54"/>
    </row>
    <row r="17001" spans="31:31">
      <c r="AE17001" s="54"/>
    </row>
    <row r="17002" spans="31:31">
      <c r="AE17002" s="54"/>
    </row>
    <row r="17003" spans="31:31">
      <c r="AE17003" s="54"/>
    </row>
    <row r="17004" spans="31:31">
      <c r="AE17004" s="54"/>
    </row>
    <row r="17005" spans="31:31">
      <c r="AE17005" s="54"/>
    </row>
    <row r="17006" spans="31:31">
      <c r="AE17006" s="54"/>
    </row>
    <row r="17007" spans="31:31">
      <c r="AE17007" s="54"/>
    </row>
    <row r="17008" spans="31:31">
      <c r="AE17008" s="54"/>
    </row>
    <row r="17009" spans="31:31">
      <c r="AE17009" s="54"/>
    </row>
    <row r="17010" spans="31:31">
      <c r="AE17010" s="54"/>
    </row>
    <row r="17011" spans="31:31">
      <c r="AE17011" s="54"/>
    </row>
    <row r="17012" spans="31:31">
      <c r="AE17012" s="54"/>
    </row>
    <row r="17013" spans="31:31">
      <c r="AE17013" s="54"/>
    </row>
    <row r="17014" spans="31:31">
      <c r="AE17014" s="54"/>
    </row>
    <row r="17015" spans="31:31">
      <c r="AE17015" s="54"/>
    </row>
    <row r="17016" spans="31:31">
      <c r="AE17016" s="54"/>
    </row>
    <row r="17017" spans="31:31">
      <c r="AE17017" s="54"/>
    </row>
    <row r="17018" spans="31:31">
      <c r="AE17018" s="54"/>
    </row>
    <row r="17019" spans="31:31">
      <c r="AE17019" s="54"/>
    </row>
    <row r="17020" spans="31:31">
      <c r="AE17020" s="54"/>
    </row>
    <row r="17021" spans="31:31">
      <c r="AE17021" s="54"/>
    </row>
    <row r="17022" spans="31:31">
      <c r="AE17022" s="54"/>
    </row>
    <row r="17023" spans="31:31">
      <c r="AE17023" s="54"/>
    </row>
    <row r="17024" spans="31:31">
      <c r="AE17024" s="54"/>
    </row>
    <row r="17025" spans="31:31">
      <c r="AE17025" s="54"/>
    </row>
    <row r="17026" spans="31:31">
      <c r="AE17026" s="54"/>
    </row>
    <row r="17027" spans="31:31">
      <c r="AE17027" s="54"/>
    </row>
    <row r="17028" spans="31:31">
      <c r="AE17028" s="54"/>
    </row>
    <row r="17029" spans="31:31">
      <c r="AE17029" s="54"/>
    </row>
    <row r="17030" spans="31:31">
      <c r="AE17030" s="54"/>
    </row>
    <row r="17031" spans="31:31">
      <c r="AE17031" s="54"/>
    </row>
    <row r="17032" spans="31:31">
      <c r="AE17032" s="54"/>
    </row>
    <row r="17033" spans="31:31">
      <c r="AE17033" s="54"/>
    </row>
    <row r="17034" spans="31:31">
      <c r="AE17034" s="54"/>
    </row>
    <row r="17035" spans="31:31">
      <c r="AE17035" s="54"/>
    </row>
    <row r="17036" spans="31:31">
      <c r="AE17036" s="54"/>
    </row>
    <row r="17037" spans="31:31">
      <c r="AE17037" s="54"/>
    </row>
    <row r="17038" spans="31:31">
      <c r="AE17038" s="54"/>
    </row>
    <row r="17039" spans="31:31">
      <c r="AE17039" s="54"/>
    </row>
    <row r="17040" spans="31:31">
      <c r="AE17040" s="54"/>
    </row>
    <row r="17041" spans="31:31">
      <c r="AE17041" s="54"/>
    </row>
    <row r="17042" spans="31:31">
      <c r="AE17042" s="54"/>
    </row>
    <row r="17043" spans="31:31">
      <c r="AE17043" s="54"/>
    </row>
    <row r="17044" spans="31:31">
      <c r="AE17044" s="54"/>
    </row>
    <row r="17045" spans="31:31">
      <c r="AE17045" s="54"/>
    </row>
    <row r="17046" spans="31:31">
      <c r="AE17046" s="54"/>
    </row>
    <row r="17047" spans="31:31">
      <c r="AE17047" s="54"/>
    </row>
    <row r="17048" spans="31:31">
      <c r="AE17048" s="54"/>
    </row>
    <row r="17049" spans="31:31">
      <c r="AE17049" s="54"/>
    </row>
    <row r="17050" spans="31:31">
      <c r="AE17050" s="54"/>
    </row>
    <row r="17051" spans="31:31">
      <c r="AE17051" s="54"/>
    </row>
    <row r="17052" spans="31:31">
      <c r="AE17052" s="54"/>
    </row>
    <row r="17053" spans="31:31">
      <c r="AE17053" s="54"/>
    </row>
    <row r="17054" spans="31:31">
      <c r="AE17054" s="54"/>
    </row>
    <row r="17055" spans="31:31">
      <c r="AE17055" s="54"/>
    </row>
    <row r="17056" spans="31:31">
      <c r="AE17056" s="54"/>
    </row>
    <row r="17057" spans="31:31">
      <c r="AE17057" s="54"/>
    </row>
    <row r="17058" spans="31:31">
      <c r="AE17058" s="54"/>
    </row>
    <row r="17059" spans="31:31">
      <c r="AE17059" s="54"/>
    </row>
    <row r="17060" spans="31:31">
      <c r="AE17060" s="54"/>
    </row>
    <row r="17061" spans="31:31">
      <c r="AE17061" s="54"/>
    </row>
    <row r="17062" spans="31:31">
      <c r="AE17062" s="54"/>
    </row>
    <row r="17063" spans="31:31">
      <c r="AE17063" s="54"/>
    </row>
    <row r="17064" spans="31:31">
      <c r="AE17064" s="54"/>
    </row>
    <row r="17065" spans="31:31">
      <c r="AE17065" s="54"/>
    </row>
    <row r="17066" spans="31:31">
      <c r="AE17066" s="54"/>
    </row>
    <row r="17067" spans="31:31">
      <c r="AE17067" s="54"/>
    </row>
    <row r="17068" spans="31:31">
      <c r="AE17068" s="54"/>
    </row>
    <row r="17069" spans="31:31">
      <c r="AE17069" s="54"/>
    </row>
    <row r="17070" spans="31:31">
      <c r="AE17070" s="54"/>
    </row>
    <row r="17071" spans="31:31">
      <c r="AE17071" s="54"/>
    </row>
    <row r="17072" spans="31:31">
      <c r="AE17072" s="54"/>
    </row>
    <row r="17073" spans="31:31">
      <c r="AE17073" s="54"/>
    </row>
    <row r="17074" spans="31:31">
      <c r="AE17074" s="54"/>
    </row>
    <row r="17075" spans="31:31">
      <c r="AE17075" s="54"/>
    </row>
    <row r="17076" spans="31:31">
      <c r="AE17076" s="54"/>
    </row>
    <row r="17077" spans="31:31">
      <c r="AE17077" s="54"/>
    </row>
    <row r="17078" spans="31:31">
      <c r="AE17078" s="54"/>
    </row>
    <row r="17079" spans="31:31">
      <c r="AE17079" s="54"/>
    </row>
    <row r="17080" spans="31:31">
      <c r="AE17080" s="54"/>
    </row>
    <row r="17081" spans="31:31">
      <c r="AE17081" s="54"/>
    </row>
    <row r="17082" spans="31:31">
      <c r="AE17082" s="54"/>
    </row>
    <row r="17083" spans="31:31">
      <c r="AE17083" s="54"/>
    </row>
    <row r="17084" spans="31:31">
      <c r="AE17084" s="54"/>
    </row>
    <row r="17085" spans="31:31">
      <c r="AE17085" s="54"/>
    </row>
    <row r="17086" spans="31:31">
      <c r="AE17086" s="54"/>
    </row>
    <row r="17087" spans="31:31">
      <c r="AE17087" s="54"/>
    </row>
    <row r="17088" spans="31:31">
      <c r="AE17088" s="54"/>
    </row>
    <row r="17089" spans="31:31">
      <c r="AE17089" s="54"/>
    </row>
    <row r="17090" spans="31:31">
      <c r="AE17090" s="54"/>
    </row>
    <row r="17091" spans="31:31">
      <c r="AE17091" s="54"/>
    </row>
    <row r="17092" spans="31:31">
      <c r="AE17092" s="54"/>
    </row>
    <row r="17093" spans="31:31">
      <c r="AE17093" s="54"/>
    </row>
    <row r="17094" spans="31:31">
      <c r="AE17094" s="54"/>
    </row>
    <row r="17095" spans="31:31">
      <c r="AE17095" s="54"/>
    </row>
    <row r="17096" spans="31:31">
      <c r="AE17096" s="54"/>
    </row>
    <row r="17097" spans="31:31">
      <c r="AE17097" s="54"/>
    </row>
    <row r="17098" spans="31:31">
      <c r="AE17098" s="54"/>
    </row>
    <row r="17099" spans="31:31">
      <c r="AE17099" s="54"/>
    </row>
    <row r="17100" spans="31:31">
      <c r="AE17100" s="54"/>
    </row>
    <row r="17101" spans="31:31">
      <c r="AE17101" s="54"/>
    </row>
    <row r="17102" spans="31:31">
      <c r="AE17102" s="54"/>
    </row>
    <row r="17103" spans="31:31">
      <c r="AE17103" s="54"/>
    </row>
    <row r="17104" spans="31:31">
      <c r="AE17104" s="54"/>
    </row>
    <row r="17105" spans="31:31">
      <c r="AE17105" s="54"/>
    </row>
    <row r="17106" spans="31:31">
      <c r="AE17106" s="54"/>
    </row>
    <row r="17107" spans="31:31">
      <c r="AE17107" s="54"/>
    </row>
    <row r="17108" spans="31:31">
      <c r="AE17108" s="54"/>
    </row>
    <row r="17109" spans="31:31">
      <c r="AE17109" s="54"/>
    </row>
    <row r="17110" spans="31:31">
      <c r="AE17110" s="54"/>
    </row>
    <row r="17111" spans="31:31">
      <c r="AE17111" s="54"/>
    </row>
    <row r="17112" spans="31:31">
      <c r="AE17112" s="54"/>
    </row>
    <row r="17113" spans="31:31">
      <c r="AE17113" s="54"/>
    </row>
    <row r="17114" spans="31:31">
      <c r="AE17114" s="54"/>
    </row>
    <row r="17115" spans="31:31">
      <c r="AE17115" s="54"/>
    </row>
    <row r="17116" spans="31:31">
      <c r="AE17116" s="54"/>
    </row>
    <row r="17117" spans="31:31">
      <c r="AE17117" s="54"/>
    </row>
    <row r="17118" spans="31:31">
      <c r="AE17118" s="54"/>
    </row>
    <row r="17119" spans="31:31">
      <c r="AE17119" s="54"/>
    </row>
    <row r="17120" spans="31:31">
      <c r="AE17120" s="54"/>
    </row>
    <row r="17121" spans="31:31">
      <c r="AE17121" s="54"/>
    </row>
    <row r="17122" spans="31:31">
      <c r="AE17122" s="54"/>
    </row>
    <row r="17123" spans="31:31">
      <c r="AE17123" s="54"/>
    </row>
    <row r="17124" spans="31:31">
      <c r="AE17124" s="54"/>
    </row>
    <row r="17125" spans="31:31">
      <c r="AE17125" s="54"/>
    </row>
    <row r="17126" spans="31:31">
      <c r="AE17126" s="54"/>
    </row>
    <row r="17127" spans="31:31">
      <c r="AE17127" s="54"/>
    </row>
    <row r="17128" spans="31:31">
      <c r="AE17128" s="54"/>
    </row>
    <row r="17129" spans="31:31">
      <c r="AE17129" s="54"/>
    </row>
    <row r="17130" spans="31:31">
      <c r="AE17130" s="54"/>
    </row>
    <row r="17131" spans="31:31">
      <c r="AE17131" s="54"/>
    </row>
    <row r="17132" spans="31:31">
      <c r="AE17132" s="54"/>
    </row>
    <row r="17133" spans="31:31">
      <c r="AE17133" s="54"/>
    </row>
    <row r="17134" spans="31:31">
      <c r="AE17134" s="54"/>
    </row>
    <row r="17135" spans="31:31">
      <c r="AE17135" s="54"/>
    </row>
    <row r="17136" spans="31:31">
      <c r="AE17136" s="54"/>
    </row>
    <row r="17137" spans="31:31">
      <c r="AE17137" s="54"/>
    </row>
    <row r="17138" spans="31:31">
      <c r="AE17138" s="54"/>
    </row>
    <row r="17139" spans="31:31">
      <c r="AE17139" s="54"/>
    </row>
    <row r="17140" spans="31:31">
      <c r="AE17140" s="54"/>
    </row>
    <row r="17141" spans="31:31">
      <c r="AE17141" s="54"/>
    </row>
    <row r="17142" spans="31:31">
      <c r="AE17142" s="54"/>
    </row>
    <row r="17143" spans="31:31">
      <c r="AE17143" s="54"/>
    </row>
    <row r="17144" spans="31:31">
      <c r="AE17144" s="54"/>
    </row>
    <row r="17145" spans="31:31">
      <c r="AE17145" s="54"/>
    </row>
    <row r="17146" spans="31:31">
      <c r="AE17146" s="54"/>
    </row>
    <row r="17147" spans="31:31">
      <c r="AE17147" s="54"/>
    </row>
    <row r="17148" spans="31:31">
      <c r="AE17148" s="54"/>
    </row>
    <row r="17149" spans="31:31">
      <c r="AE17149" s="54"/>
    </row>
    <row r="17150" spans="31:31">
      <c r="AE17150" s="54"/>
    </row>
    <row r="17151" spans="31:31">
      <c r="AE17151" s="54"/>
    </row>
    <row r="17152" spans="31:31">
      <c r="AE17152" s="54"/>
    </row>
    <row r="17153" spans="31:31">
      <c r="AE17153" s="54"/>
    </row>
    <row r="17154" spans="31:31">
      <c r="AE17154" s="54"/>
    </row>
    <row r="17155" spans="31:31">
      <c r="AE17155" s="54"/>
    </row>
    <row r="17156" spans="31:31">
      <c r="AE17156" s="54"/>
    </row>
    <row r="17157" spans="31:31">
      <c r="AE17157" s="54"/>
    </row>
    <row r="17158" spans="31:31">
      <c r="AE17158" s="54"/>
    </row>
    <row r="17159" spans="31:31">
      <c r="AE17159" s="54"/>
    </row>
    <row r="17160" spans="31:31">
      <c r="AE17160" s="54"/>
    </row>
    <row r="17161" spans="31:31">
      <c r="AE17161" s="54"/>
    </row>
    <row r="17162" spans="31:31">
      <c r="AE17162" s="54"/>
    </row>
    <row r="17163" spans="31:31">
      <c r="AE17163" s="54"/>
    </row>
    <row r="17164" spans="31:31">
      <c r="AE17164" s="54"/>
    </row>
    <row r="17165" spans="31:31">
      <c r="AE17165" s="54"/>
    </row>
    <row r="17166" spans="31:31">
      <c r="AE17166" s="54"/>
    </row>
    <row r="17167" spans="31:31">
      <c r="AE17167" s="54"/>
    </row>
    <row r="17168" spans="31:31">
      <c r="AE17168" s="54"/>
    </row>
    <row r="17169" spans="31:31">
      <c r="AE17169" s="54"/>
    </row>
    <row r="17170" spans="31:31">
      <c r="AE17170" s="54"/>
    </row>
    <row r="17171" spans="31:31">
      <c r="AE17171" s="54"/>
    </row>
    <row r="17172" spans="31:31">
      <c r="AE17172" s="54"/>
    </row>
    <row r="17173" spans="31:31">
      <c r="AE17173" s="54"/>
    </row>
    <row r="17174" spans="31:31">
      <c r="AE17174" s="54"/>
    </row>
    <row r="17175" spans="31:31">
      <c r="AE17175" s="54"/>
    </row>
    <row r="17176" spans="31:31">
      <c r="AE17176" s="54"/>
    </row>
    <row r="17177" spans="31:31">
      <c r="AE17177" s="54"/>
    </row>
    <row r="17178" spans="31:31">
      <c r="AE17178" s="54"/>
    </row>
    <row r="17179" spans="31:31">
      <c r="AE17179" s="54"/>
    </row>
    <row r="17180" spans="31:31">
      <c r="AE17180" s="54"/>
    </row>
    <row r="17181" spans="31:31">
      <c r="AE17181" s="54"/>
    </row>
    <row r="17182" spans="31:31">
      <c r="AE17182" s="54"/>
    </row>
    <row r="17183" spans="31:31">
      <c r="AE17183" s="54"/>
    </row>
    <row r="17184" spans="31:31">
      <c r="AE17184" s="54"/>
    </row>
    <row r="17185" spans="31:31">
      <c r="AE17185" s="54"/>
    </row>
    <row r="17186" spans="31:31">
      <c r="AE17186" s="54"/>
    </row>
    <row r="17187" spans="31:31">
      <c r="AE17187" s="54"/>
    </row>
    <row r="17188" spans="31:31">
      <c r="AE17188" s="54"/>
    </row>
    <row r="17189" spans="31:31">
      <c r="AE17189" s="54"/>
    </row>
    <row r="17190" spans="31:31">
      <c r="AE17190" s="54"/>
    </row>
    <row r="17191" spans="31:31">
      <c r="AE17191" s="54"/>
    </row>
    <row r="17192" spans="31:31">
      <c r="AE17192" s="54"/>
    </row>
    <row r="17193" spans="31:31">
      <c r="AE17193" s="54"/>
    </row>
    <row r="17194" spans="31:31">
      <c r="AE17194" s="54"/>
    </row>
    <row r="17195" spans="31:31">
      <c r="AE17195" s="54"/>
    </row>
    <row r="17196" spans="31:31">
      <c r="AE17196" s="54"/>
    </row>
    <row r="17197" spans="31:31">
      <c r="AE17197" s="54"/>
    </row>
    <row r="17198" spans="31:31">
      <c r="AE17198" s="54"/>
    </row>
    <row r="17199" spans="31:31">
      <c r="AE17199" s="54"/>
    </row>
    <row r="17200" spans="31:31">
      <c r="AE17200" s="54"/>
    </row>
    <row r="17201" spans="31:31">
      <c r="AE17201" s="54"/>
    </row>
    <row r="17202" spans="31:31">
      <c r="AE17202" s="54"/>
    </row>
    <row r="17203" spans="31:31">
      <c r="AE17203" s="54"/>
    </row>
    <row r="17204" spans="31:31">
      <c r="AE17204" s="54"/>
    </row>
    <row r="17205" spans="31:31">
      <c r="AE17205" s="54"/>
    </row>
    <row r="17206" spans="31:31">
      <c r="AE17206" s="54"/>
    </row>
    <row r="17207" spans="31:31">
      <c r="AE17207" s="54"/>
    </row>
    <row r="17208" spans="31:31">
      <c r="AE17208" s="54"/>
    </row>
    <row r="17209" spans="31:31">
      <c r="AE17209" s="54"/>
    </row>
    <row r="17210" spans="31:31">
      <c r="AE17210" s="54"/>
    </row>
    <row r="17211" spans="31:31">
      <c r="AE17211" s="54"/>
    </row>
    <row r="17212" spans="31:31">
      <c r="AE17212" s="54"/>
    </row>
    <row r="17213" spans="31:31">
      <c r="AE17213" s="54"/>
    </row>
    <row r="17214" spans="31:31">
      <c r="AE17214" s="54"/>
    </row>
    <row r="17215" spans="31:31">
      <c r="AE17215" s="54"/>
    </row>
    <row r="17216" spans="31:31">
      <c r="AE17216" s="54"/>
    </row>
    <row r="17217" spans="31:31">
      <c r="AE17217" s="54"/>
    </row>
    <row r="17218" spans="31:31">
      <c r="AE17218" s="54"/>
    </row>
    <row r="17219" spans="31:31">
      <c r="AE17219" s="54"/>
    </row>
    <row r="17220" spans="31:31">
      <c r="AE17220" s="54"/>
    </row>
    <row r="17221" spans="31:31">
      <c r="AE17221" s="54"/>
    </row>
    <row r="17222" spans="31:31">
      <c r="AE17222" s="54"/>
    </row>
    <row r="17223" spans="31:31">
      <c r="AE17223" s="54"/>
    </row>
    <row r="17224" spans="31:31">
      <c r="AE17224" s="54"/>
    </row>
    <row r="17225" spans="31:31">
      <c r="AE17225" s="54"/>
    </row>
    <row r="17226" spans="31:31">
      <c r="AE17226" s="54"/>
    </row>
    <row r="17227" spans="31:31">
      <c r="AE17227" s="54"/>
    </row>
    <row r="17228" spans="31:31">
      <c r="AE17228" s="54"/>
    </row>
    <row r="17229" spans="31:31">
      <c r="AE17229" s="54"/>
    </row>
    <row r="17230" spans="31:31">
      <c r="AE17230" s="54"/>
    </row>
    <row r="17231" spans="31:31">
      <c r="AE17231" s="54"/>
    </row>
    <row r="17232" spans="31:31">
      <c r="AE17232" s="54"/>
    </row>
    <row r="17233" spans="31:31">
      <c r="AE17233" s="54"/>
    </row>
    <row r="17234" spans="31:31">
      <c r="AE17234" s="54"/>
    </row>
    <row r="17235" spans="31:31">
      <c r="AE17235" s="54"/>
    </row>
    <row r="17236" spans="31:31">
      <c r="AE17236" s="54"/>
    </row>
    <row r="17237" spans="31:31">
      <c r="AE17237" s="54"/>
    </row>
    <row r="17238" spans="31:31">
      <c r="AE17238" s="54"/>
    </row>
    <row r="17239" spans="31:31">
      <c r="AE17239" s="54"/>
    </row>
    <row r="17240" spans="31:31">
      <c r="AE17240" s="54"/>
    </row>
    <row r="17241" spans="31:31">
      <c r="AE17241" s="54"/>
    </row>
    <row r="17242" spans="31:31">
      <c r="AE17242" s="54"/>
    </row>
    <row r="17243" spans="31:31">
      <c r="AE17243" s="54"/>
    </row>
    <row r="17244" spans="31:31">
      <c r="AE17244" s="54"/>
    </row>
    <row r="17245" spans="31:31">
      <c r="AE17245" s="54"/>
    </row>
    <row r="17246" spans="31:31">
      <c r="AE17246" s="54"/>
    </row>
    <row r="17247" spans="31:31">
      <c r="AE17247" s="54"/>
    </row>
    <row r="17248" spans="31:31">
      <c r="AE17248" s="54"/>
    </row>
    <row r="17249" spans="31:31">
      <c r="AE17249" s="54"/>
    </row>
    <row r="17250" spans="31:31">
      <c r="AE17250" s="54"/>
    </row>
    <row r="17251" spans="31:31">
      <c r="AE17251" s="54"/>
    </row>
    <row r="17252" spans="31:31">
      <c r="AE17252" s="54"/>
    </row>
    <row r="17253" spans="31:31">
      <c r="AE17253" s="54"/>
    </row>
    <row r="17254" spans="31:31">
      <c r="AE17254" s="54"/>
    </row>
    <row r="17255" spans="31:31">
      <c r="AE17255" s="54"/>
    </row>
    <row r="17256" spans="31:31">
      <c r="AE17256" s="54"/>
    </row>
    <row r="17257" spans="31:31">
      <c r="AE17257" s="54"/>
    </row>
    <row r="17258" spans="31:31">
      <c r="AE17258" s="54"/>
    </row>
    <row r="17259" spans="31:31">
      <c r="AE17259" s="54"/>
    </row>
    <row r="17260" spans="31:31">
      <c r="AE17260" s="54"/>
    </row>
    <row r="17261" spans="31:31">
      <c r="AE17261" s="54"/>
    </row>
    <row r="17262" spans="31:31">
      <c r="AE17262" s="54"/>
    </row>
    <row r="17263" spans="31:31">
      <c r="AE17263" s="54"/>
    </row>
    <row r="17264" spans="31:31">
      <c r="AE17264" s="54"/>
    </row>
    <row r="17265" spans="31:31">
      <c r="AE17265" s="54"/>
    </row>
    <row r="17266" spans="31:31">
      <c r="AE17266" s="54"/>
    </row>
    <row r="17267" spans="31:31">
      <c r="AE17267" s="54"/>
    </row>
    <row r="17268" spans="31:31">
      <c r="AE17268" s="54"/>
    </row>
    <row r="17269" spans="31:31">
      <c r="AE17269" s="54"/>
    </row>
    <row r="17270" spans="31:31">
      <c r="AE17270" s="54"/>
    </row>
    <row r="17271" spans="31:31">
      <c r="AE17271" s="54"/>
    </row>
    <row r="17272" spans="31:31">
      <c r="AE17272" s="54"/>
    </row>
    <row r="17273" spans="31:31">
      <c r="AE17273" s="54"/>
    </row>
    <row r="17274" spans="31:31">
      <c r="AE17274" s="54"/>
    </row>
    <row r="17275" spans="31:31">
      <c r="AE17275" s="54"/>
    </row>
    <row r="17276" spans="31:31">
      <c r="AE17276" s="54"/>
    </row>
    <row r="17277" spans="31:31">
      <c r="AE17277" s="54"/>
    </row>
    <row r="17278" spans="31:31">
      <c r="AE17278" s="54"/>
    </row>
    <row r="17279" spans="31:31">
      <c r="AE17279" s="54"/>
    </row>
    <row r="17280" spans="31:31">
      <c r="AE17280" s="54"/>
    </row>
    <row r="17281" spans="31:31">
      <c r="AE17281" s="54"/>
    </row>
    <row r="17282" spans="31:31">
      <c r="AE17282" s="54"/>
    </row>
    <row r="17283" spans="31:31">
      <c r="AE17283" s="54"/>
    </row>
    <row r="17284" spans="31:31">
      <c r="AE17284" s="54"/>
    </row>
    <row r="17285" spans="31:31">
      <c r="AE17285" s="54"/>
    </row>
    <row r="17286" spans="31:31">
      <c r="AE17286" s="54"/>
    </row>
    <row r="17287" spans="31:31">
      <c r="AE17287" s="54"/>
    </row>
    <row r="17288" spans="31:31">
      <c r="AE17288" s="54"/>
    </row>
    <row r="17289" spans="31:31">
      <c r="AE17289" s="54"/>
    </row>
    <row r="17290" spans="31:31">
      <c r="AE17290" s="54"/>
    </row>
    <row r="17291" spans="31:31">
      <c r="AE17291" s="54"/>
    </row>
    <row r="17292" spans="31:31">
      <c r="AE17292" s="54"/>
    </row>
    <row r="17293" spans="31:31">
      <c r="AE17293" s="54"/>
    </row>
    <row r="17294" spans="31:31">
      <c r="AE17294" s="54"/>
    </row>
    <row r="17295" spans="31:31">
      <c r="AE17295" s="54"/>
    </row>
    <row r="17296" spans="31:31">
      <c r="AE17296" s="54"/>
    </row>
    <row r="17297" spans="31:31">
      <c r="AE17297" s="54"/>
    </row>
    <row r="17298" spans="31:31">
      <c r="AE17298" s="54"/>
    </row>
    <row r="17299" spans="31:31">
      <c r="AE17299" s="54"/>
    </row>
    <row r="17300" spans="31:31">
      <c r="AE17300" s="54"/>
    </row>
    <row r="17301" spans="31:31">
      <c r="AE17301" s="54"/>
    </row>
    <row r="17302" spans="31:31">
      <c r="AE17302" s="54"/>
    </row>
    <row r="17303" spans="31:31">
      <c r="AE17303" s="54"/>
    </row>
    <row r="17304" spans="31:31">
      <c r="AE17304" s="54"/>
    </row>
    <row r="17305" spans="31:31">
      <c r="AE17305" s="54"/>
    </row>
    <row r="17306" spans="31:31">
      <c r="AE17306" s="54"/>
    </row>
    <row r="17307" spans="31:31">
      <c r="AE17307" s="54"/>
    </row>
    <row r="17308" spans="31:31">
      <c r="AE17308" s="54"/>
    </row>
    <row r="17309" spans="31:31">
      <c r="AE17309" s="54"/>
    </row>
    <row r="17310" spans="31:31">
      <c r="AE17310" s="54"/>
    </row>
    <row r="17311" spans="31:31">
      <c r="AE17311" s="54"/>
    </row>
    <row r="17312" spans="31:31">
      <c r="AE17312" s="54"/>
    </row>
    <row r="17313" spans="31:31">
      <c r="AE17313" s="54"/>
    </row>
    <row r="17314" spans="31:31">
      <c r="AE17314" s="54"/>
    </row>
    <row r="17315" spans="31:31">
      <c r="AE17315" s="54"/>
    </row>
    <row r="17316" spans="31:31">
      <c r="AE17316" s="54"/>
    </row>
    <row r="17317" spans="31:31">
      <c r="AE17317" s="54"/>
    </row>
    <row r="17318" spans="31:31">
      <c r="AE17318" s="54"/>
    </row>
    <row r="17319" spans="31:31">
      <c r="AE17319" s="54"/>
    </row>
    <row r="17320" spans="31:31">
      <c r="AE17320" s="54"/>
    </row>
    <row r="17321" spans="31:31">
      <c r="AE17321" s="54"/>
    </row>
    <row r="17322" spans="31:31">
      <c r="AE17322" s="54"/>
    </row>
    <row r="17323" spans="31:31">
      <c r="AE17323" s="54"/>
    </row>
    <row r="17324" spans="31:31">
      <c r="AE17324" s="54"/>
    </row>
    <row r="17325" spans="31:31">
      <c r="AE17325" s="54"/>
    </row>
    <row r="17326" spans="31:31">
      <c r="AE17326" s="54"/>
    </row>
    <row r="17327" spans="31:31">
      <c r="AE17327" s="54"/>
    </row>
    <row r="17328" spans="31:31">
      <c r="AE17328" s="54"/>
    </row>
    <row r="17329" spans="31:31">
      <c r="AE17329" s="54"/>
    </row>
    <row r="17330" spans="31:31">
      <c r="AE17330" s="54"/>
    </row>
    <row r="17331" spans="31:31">
      <c r="AE17331" s="54"/>
    </row>
    <row r="17332" spans="31:31">
      <c r="AE17332" s="54"/>
    </row>
    <row r="17333" spans="31:31">
      <c r="AE17333" s="54"/>
    </row>
    <row r="17334" spans="31:31">
      <c r="AE17334" s="54"/>
    </row>
    <row r="17335" spans="31:31">
      <c r="AE17335" s="54"/>
    </row>
    <row r="17336" spans="31:31">
      <c r="AE17336" s="54"/>
    </row>
    <row r="17337" spans="31:31">
      <c r="AE17337" s="54"/>
    </row>
    <row r="17338" spans="31:31">
      <c r="AE17338" s="54"/>
    </row>
    <row r="17339" spans="31:31">
      <c r="AE17339" s="54"/>
    </row>
    <row r="17340" spans="31:31">
      <c r="AE17340" s="54"/>
    </row>
    <row r="17341" spans="31:31">
      <c r="AE17341" s="54"/>
    </row>
    <row r="17342" spans="31:31">
      <c r="AE17342" s="54"/>
    </row>
    <row r="17343" spans="31:31">
      <c r="AE17343" s="54"/>
    </row>
    <row r="17344" spans="31:31">
      <c r="AE17344" s="54"/>
    </row>
    <row r="17345" spans="31:31">
      <c r="AE17345" s="54"/>
    </row>
    <row r="17346" spans="31:31">
      <c r="AE17346" s="54"/>
    </row>
    <row r="17347" spans="31:31">
      <c r="AE17347" s="54"/>
    </row>
    <row r="17348" spans="31:31">
      <c r="AE17348" s="54"/>
    </row>
    <row r="17349" spans="31:31">
      <c r="AE17349" s="54"/>
    </row>
    <row r="17350" spans="31:31">
      <c r="AE17350" s="54"/>
    </row>
    <row r="17351" spans="31:31">
      <c r="AE17351" s="54"/>
    </row>
    <row r="17352" spans="31:31">
      <c r="AE17352" s="54"/>
    </row>
    <row r="17353" spans="31:31">
      <c r="AE17353" s="54"/>
    </row>
    <row r="17354" spans="31:31">
      <c r="AE17354" s="54"/>
    </row>
    <row r="17355" spans="31:31">
      <c r="AE17355" s="54"/>
    </row>
    <row r="17356" spans="31:31">
      <c r="AE17356" s="54"/>
    </row>
    <row r="17357" spans="31:31">
      <c r="AE17357" s="54"/>
    </row>
    <row r="17358" spans="31:31">
      <c r="AE17358" s="54"/>
    </row>
    <row r="17359" spans="31:31">
      <c r="AE17359" s="54"/>
    </row>
    <row r="17360" spans="31:31">
      <c r="AE17360" s="54"/>
    </row>
    <row r="17361" spans="31:31">
      <c r="AE17361" s="54"/>
    </row>
    <row r="17362" spans="31:31">
      <c r="AE17362" s="54"/>
    </row>
    <row r="17363" spans="31:31">
      <c r="AE17363" s="54"/>
    </row>
    <row r="17364" spans="31:31">
      <c r="AE17364" s="54"/>
    </row>
    <row r="17365" spans="31:31">
      <c r="AE17365" s="54"/>
    </row>
    <row r="17366" spans="31:31">
      <c r="AE17366" s="54"/>
    </row>
    <row r="17367" spans="31:31">
      <c r="AE17367" s="54"/>
    </row>
    <row r="17368" spans="31:31">
      <c r="AE17368" s="54"/>
    </row>
    <row r="17369" spans="31:31">
      <c r="AE17369" s="54"/>
    </row>
    <row r="17370" spans="31:31">
      <c r="AE17370" s="54"/>
    </row>
    <row r="17371" spans="31:31">
      <c r="AE17371" s="54"/>
    </row>
    <row r="17372" spans="31:31">
      <c r="AE17372" s="54"/>
    </row>
    <row r="17373" spans="31:31">
      <c r="AE17373" s="54"/>
    </row>
    <row r="17374" spans="31:31">
      <c r="AE17374" s="54"/>
    </row>
    <row r="17375" spans="31:31">
      <c r="AE17375" s="54"/>
    </row>
    <row r="17376" spans="31:31">
      <c r="AE17376" s="54"/>
    </row>
    <row r="17377" spans="31:31">
      <c r="AE17377" s="54"/>
    </row>
    <row r="17378" spans="31:31">
      <c r="AE17378" s="54"/>
    </row>
    <row r="17379" spans="31:31">
      <c r="AE17379" s="54"/>
    </row>
    <row r="17380" spans="31:31">
      <c r="AE17380" s="54"/>
    </row>
    <row r="17381" spans="31:31">
      <c r="AE17381" s="54"/>
    </row>
    <row r="17382" spans="31:31">
      <c r="AE17382" s="54"/>
    </row>
    <row r="17383" spans="31:31">
      <c r="AE17383" s="54"/>
    </row>
    <row r="17384" spans="31:31">
      <c r="AE17384" s="54"/>
    </row>
    <row r="17385" spans="31:31">
      <c r="AE17385" s="54"/>
    </row>
    <row r="17386" spans="31:31">
      <c r="AE17386" s="54"/>
    </row>
    <row r="17387" spans="31:31">
      <c r="AE17387" s="54"/>
    </row>
    <row r="17388" spans="31:31">
      <c r="AE17388" s="54"/>
    </row>
    <row r="17389" spans="31:31">
      <c r="AE17389" s="54"/>
    </row>
    <row r="17390" spans="31:31">
      <c r="AE17390" s="54"/>
    </row>
    <row r="17391" spans="31:31">
      <c r="AE17391" s="54"/>
    </row>
    <row r="17392" spans="31:31">
      <c r="AE17392" s="54"/>
    </row>
    <row r="17393" spans="31:31">
      <c r="AE17393" s="54"/>
    </row>
    <row r="17394" spans="31:31">
      <c r="AE17394" s="54"/>
    </row>
    <row r="17395" spans="31:31">
      <c r="AE17395" s="54"/>
    </row>
    <row r="17396" spans="31:31">
      <c r="AE17396" s="54"/>
    </row>
    <row r="17397" spans="31:31">
      <c r="AE17397" s="54"/>
    </row>
    <row r="17398" spans="31:31">
      <c r="AE17398" s="54"/>
    </row>
    <row r="17399" spans="31:31">
      <c r="AE17399" s="54"/>
    </row>
    <row r="17400" spans="31:31">
      <c r="AE17400" s="54"/>
    </row>
    <row r="17401" spans="31:31">
      <c r="AE17401" s="54"/>
    </row>
    <row r="17402" spans="31:31">
      <c r="AE17402" s="54"/>
    </row>
    <row r="17403" spans="31:31">
      <c r="AE17403" s="54"/>
    </row>
    <row r="17404" spans="31:31">
      <c r="AE17404" s="54"/>
    </row>
    <row r="17405" spans="31:31">
      <c r="AE17405" s="54"/>
    </row>
    <row r="17406" spans="31:31">
      <c r="AE17406" s="54"/>
    </row>
    <row r="17407" spans="31:31">
      <c r="AE17407" s="54"/>
    </row>
    <row r="17408" spans="31:31">
      <c r="AE17408" s="54"/>
    </row>
    <row r="17409" spans="31:31">
      <c r="AE17409" s="54"/>
    </row>
    <row r="17410" spans="31:31">
      <c r="AE17410" s="54"/>
    </row>
    <row r="17411" spans="31:31">
      <c r="AE17411" s="54"/>
    </row>
    <row r="17412" spans="31:31">
      <c r="AE17412" s="54"/>
    </row>
    <row r="17413" spans="31:31">
      <c r="AE17413" s="54"/>
    </row>
    <row r="17414" spans="31:31">
      <c r="AE17414" s="54"/>
    </row>
    <row r="17415" spans="31:31">
      <c r="AE17415" s="54"/>
    </row>
    <row r="17416" spans="31:31">
      <c r="AE17416" s="54"/>
    </row>
    <row r="17417" spans="31:31">
      <c r="AE17417" s="54"/>
    </row>
    <row r="17418" spans="31:31">
      <c r="AE17418" s="54"/>
    </row>
    <row r="17419" spans="31:31">
      <c r="AE17419" s="54"/>
    </row>
    <row r="17420" spans="31:31">
      <c r="AE17420" s="54"/>
    </row>
    <row r="17421" spans="31:31">
      <c r="AE17421" s="54"/>
    </row>
    <row r="17422" spans="31:31">
      <c r="AE17422" s="54"/>
    </row>
    <row r="17423" spans="31:31">
      <c r="AE17423" s="54"/>
    </row>
    <row r="17424" spans="31:31">
      <c r="AE17424" s="54"/>
    </row>
    <row r="17425" spans="31:31">
      <c r="AE17425" s="54"/>
    </row>
    <row r="17426" spans="31:31">
      <c r="AE17426" s="54"/>
    </row>
    <row r="17427" spans="31:31">
      <c r="AE17427" s="54"/>
    </row>
    <row r="17428" spans="31:31">
      <c r="AE17428" s="54"/>
    </row>
    <row r="17429" spans="31:31">
      <c r="AE17429" s="54"/>
    </row>
    <row r="17430" spans="31:31">
      <c r="AE17430" s="54"/>
    </row>
    <row r="17431" spans="31:31">
      <c r="AE17431" s="54"/>
    </row>
    <row r="17432" spans="31:31">
      <c r="AE17432" s="54"/>
    </row>
    <row r="17433" spans="31:31">
      <c r="AE17433" s="54"/>
    </row>
    <row r="17434" spans="31:31">
      <c r="AE17434" s="54"/>
    </row>
    <row r="17435" spans="31:31">
      <c r="AE17435" s="54"/>
    </row>
    <row r="17436" spans="31:31">
      <c r="AE17436" s="54"/>
    </row>
    <row r="17437" spans="31:31">
      <c r="AE17437" s="54"/>
    </row>
    <row r="17438" spans="31:31">
      <c r="AE17438" s="54"/>
    </row>
    <row r="17439" spans="31:31">
      <c r="AE17439" s="54"/>
    </row>
    <row r="17440" spans="31:31">
      <c r="AE17440" s="54"/>
    </row>
    <row r="17441" spans="31:31">
      <c r="AE17441" s="54"/>
    </row>
    <row r="17442" spans="31:31">
      <c r="AE17442" s="54"/>
    </row>
    <row r="17443" spans="31:31">
      <c r="AE17443" s="54"/>
    </row>
    <row r="17444" spans="31:31">
      <c r="AE17444" s="54"/>
    </row>
    <row r="17445" spans="31:31">
      <c r="AE17445" s="54"/>
    </row>
    <row r="17446" spans="31:31">
      <c r="AE17446" s="54"/>
    </row>
    <row r="17447" spans="31:31">
      <c r="AE17447" s="54"/>
    </row>
    <row r="17448" spans="31:31">
      <c r="AE17448" s="54"/>
    </row>
    <row r="17449" spans="31:31">
      <c r="AE17449" s="54"/>
    </row>
    <row r="17450" spans="31:31">
      <c r="AE17450" s="54"/>
    </row>
    <row r="17451" spans="31:31">
      <c r="AE17451" s="54"/>
    </row>
    <row r="17452" spans="31:31">
      <c r="AE17452" s="54"/>
    </row>
    <row r="17453" spans="31:31">
      <c r="AE17453" s="54"/>
    </row>
    <row r="17454" spans="31:31">
      <c r="AE17454" s="54"/>
    </row>
    <row r="17455" spans="31:31">
      <c r="AE17455" s="54"/>
    </row>
    <row r="17456" spans="31:31">
      <c r="AE17456" s="54"/>
    </row>
    <row r="17457" spans="31:31">
      <c r="AE17457" s="54"/>
    </row>
    <row r="17458" spans="31:31">
      <c r="AE17458" s="54"/>
    </row>
    <row r="17459" spans="31:31">
      <c r="AE17459" s="54"/>
    </row>
    <row r="17460" spans="31:31">
      <c r="AE17460" s="54"/>
    </row>
    <row r="17461" spans="31:31">
      <c r="AE17461" s="54"/>
    </row>
    <row r="17462" spans="31:31">
      <c r="AE17462" s="54"/>
    </row>
    <row r="17463" spans="31:31">
      <c r="AE17463" s="54"/>
    </row>
    <row r="17464" spans="31:31">
      <c r="AE17464" s="54"/>
    </row>
    <row r="17465" spans="31:31">
      <c r="AE17465" s="54"/>
    </row>
    <row r="17466" spans="31:31">
      <c r="AE17466" s="54"/>
    </row>
    <row r="17467" spans="31:31">
      <c r="AE17467" s="54"/>
    </row>
    <row r="17468" spans="31:31">
      <c r="AE17468" s="54"/>
    </row>
    <row r="17469" spans="31:31">
      <c r="AE17469" s="54"/>
    </row>
    <row r="17470" spans="31:31">
      <c r="AE17470" s="54"/>
    </row>
    <row r="17471" spans="31:31">
      <c r="AE17471" s="54"/>
    </row>
    <row r="17472" spans="31:31">
      <c r="AE17472" s="54"/>
    </row>
    <row r="17473" spans="31:31">
      <c r="AE17473" s="54"/>
    </row>
    <row r="17474" spans="31:31">
      <c r="AE17474" s="54"/>
    </row>
    <row r="17475" spans="31:31">
      <c r="AE17475" s="54"/>
    </row>
    <row r="17476" spans="31:31">
      <c r="AE17476" s="54"/>
    </row>
    <row r="17477" spans="31:31">
      <c r="AE17477" s="54"/>
    </row>
    <row r="17478" spans="31:31">
      <c r="AE17478" s="54"/>
    </row>
    <row r="17479" spans="31:31">
      <c r="AE17479" s="54"/>
    </row>
    <row r="17480" spans="31:31">
      <c r="AE17480" s="54"/>
    </row>
    <row r="17481" spans="31:31">
      <c r="AE17481" s="54"/>
    </row>
    <row r="17482" spans="31:31">
      <c r="AE17482" s="54"/>
    </row>
    <row r="17483" spans="31:31">
      <c r="AE17483" s="54"/>
    </row>
    <row r="17484" spans="31:31">
      <c r="AE17484" s="54"/>
    </row>
    <row r="17485" spans="31:31">
      <c r="AE17485" s="54"/>
    </row>
    <row r="17486" spans="31:31">
      <c r="AE17486" s="54"/>
    </row>
    <row r="17487" spans="31:31">
      <c r="AE17487" s="54"/>
    </row>
    <row r="17488" spans="31:31">
      <c r="AE17488" s="54"/>
    </row>
    <row r="17489" spans="31:31">
      <c r="AE17489" s="54"/>
    </row>
    <row r="17490" spans="31:31">
      <c r="AE17490" s="54"/>
    </row>
    <row r="17491" spans="31:31">
      <c r="AE17491" s="54"/>
    </row>
    <row r="17492" spans="31:31">
      <c r="AE17492" s="54"/>
    </row>
    <row r="17493" spans="31:31">
      <c r="AE17493" s="54"/>
    </row>
    <row r="17494" spans="31:31">
      <c r="AE17494" s="54"/>
    </row>
    <row r="17495" spans="31:31">
      <c r="AE17495" s="54"/>
    </row>
    <row r="17496" spans="31:31">
      <c r="AE17496" s="54"/>
    </row>
    <row r="17497" spans="31:31">
      <c r="AE17497" s="54"/>
    </row>
    <row r="17498" spans="31:31">
      <c r="AE17498" s="54"/>
    </row>
    <row r="17499" spans="31:31">
      <c r="AE17499" s="54"/>
    </row>
    <row r="17500" spans="31:31">
      <c r="AE17500" s="54"/>
    </row>
    <row r="17501" spans="31:31">
      <c r="AE17501" s="54"/>
    </row>
    <row r="17502" spans="31:31">
      <c r="AE17502" s="54"/>
    </row>
    <row r="17503" spans="31:31">
      <c r="AE17503" s="54"/>
    </row>
    <row r="17504" spans="31:31">
      <c r="AE17504" s="54"/>
    </row>
    <row r="17505" spans="31:31">
      <c r="AE17505" s="54"/>
    </row>
    <row r="17506" spans="31:31">
      <c r="AE17506" s="54"/>
    </row>
    <row r="17507" spans="31:31">
      <c r="AE17507" s="54"/>
    </row>
    <row r="17508" spans="31:31">
      <c r="AE17508" s="54"/>
    </row>
    <row r="17509" spans="31:31">
      <c r="AE17509" s="54"/>
    </row>
    <row r="17510" spans="31:31">
      <c r="AE17510" s="54"/>
    </row>
    <row r="17511" spans="31:31">
      <c r="AE17511" s="54"/>
    </row>
    <row r="17512" spans="31:31">
      <c r="AE17512" s="54"/>
    </row>
    <row r="17513" spans="31:31">
      <c r="AE17513" s="54"/>
    </row>
    <row r="17514" spans="31:31">
      <c r="AE17514" s="54"/>
    </row>
    <row r="17515" spans="31:31">
      <c r="AE17515" s="54"/>
    </row>
    <row r="17516" spans="31:31">
      <c r="AE17516" s="54"/>
    </row>
    <row r="17517" spans="31:31">
      <c r="AE17517" s="54"/>
    </row>
    <row r="17518" spans="31:31">
      <c r="AE17518" s="54"/>
    </row>
    <row r="17519" spans="31:31">
      <c r="AE17519" s="54"/>
    </row>
    <row r="17520" spans="31:31">
      <c r="AE17520" s="54"/>
    </row>
    <row r="17521" spans="31:31">
      <c r="AE17521" s="54"/>
    </row>
    <row r="17522" spans="31:31">
      <c r="AE17522" s="54"/>
    </row>
    <row r="17523" spans="31:31">
      <c r="AE17523" s="54"/>
    </row>
    <row r="17524" spans="31:31">
      <c r="AE17524" s="54"/>
    </row>
    <row r="17525" spans="31:31">
      <c r="AE17525" s="54"/>
    </row>
    <row r="17526" spans="31:31">
      <c r="AE17526" s="54"/>
    </row>
    <row r="17527" spans="31:31">
      <c r="AE17527" s="54"/>
    </row>
    <row r="17528" spans="31:31">
      <c r="AE17528" s="54"/>
    </row>
    <row r="17529" spans="31:31">
      <c r="AE17529" s="54"/>
    </row>
    <row r="17530" spans="31:31">
      <c r="AE17530" s="54"/>
    </row>
    <row r="17531" spans="31:31">
      <c r="AE17531" s="54"/>
    </row>
    <row r="17532" spans="31:31">
      <c r="AE17532" s="54"/>
    </row>
    <row r="17533" spans="31:31">
      <c r="AE17533" s="54"/>
    </row>
    <row r="17534" spans="31:31">
      <c r="AE17534" s="54"/>
    </row>
    <row r="17535" spans="31:31">
      <c r="AE17535" s="54"/>
    </row>
    <row r="17536" spans="31:31">
      <c r="AE17536" s="54"/>
    </row>
    <row r="17537" spans="31:31">
      <c r="AE17537" s="54"/>
    </row>
    <row r="17538" spans="31:31">
      <c r="AE17538" s="54"/>
    </row>
    <row r="17539" spans="31:31">
      <c r="AE17539" s="54"/>
    </row>
    <row r="17540" spans="31:31">
      <c r="AE17540" s="54"/>
    </row>
    <row r="17541" spans="31:31">
      <c r="AE17541" s="54"/>
    </row>
    <row r="17542" spans="31:31">
      <c r="AE17542" s="54"/>
    </row>
    <row r="17543" spans="31:31">
      <c r="AE17543" s="54"/>
    </row>
    <row r="17544" spans="31:31">
      <c r="AE17544" s="54"/>
    </row>
    <row r="17545" spans="31:31">
      <c r="AE17545" s="54"/>
    </row>
    <row r="17546" spans="31:31">
      <c r="AE17546" s="54"/>
    </row>
    <row r="17547" spans="31:31">
      <c r="AE17547" s="54"/>
    </row>
    <row r="17548" spans="31:31">
      <c r="AE17548" s="54"/>
    </row>
    <row r="17549" spans="31:31">
      <c r="AE17549" s="54"/>
    </row>
    <row r="17550" spans="31:31">
      <c r="AE17550" s="54"/>
    </row>
    <row r="17551" spans="31:31">
      <c r="AE17551" s="54"/>
    </row>
    <row r="17552" spans="31:31">
      <c r="AE17552" s="54"/>
    </row>
    <row r="17553" spans="31:31">
      <c r="AE17553" s="54"/>
    </row>
    <row r="17554" spans="31:31">
      <c r="AE17554" s="54"/>
    </row>
    <row r="17555" spans="31:31">
      <c r="AE17555" s="54"/>
    </row>
    <row r="17556" spans="31:31">
      <c r="AE17556" s="54"/>
    </row>
    <row r="17557" spans="31:31">
      <c r="AE17557" s="54"/>
    </row>
    <row r="17558" spans="31:31">
      <c r="AE17558" s="54"/>
    </row>
    <row r="17559" spans="31:31">
      <c r="AE17559" s="54"/>
    </row>
    <row r="17560" spans="31:31">
      <c r="AE17560" s="54"/>
    </row>
    <row r="17561" spans="31:31">
      <c r="AE17561" s="54"/>
    </row>
    <row r="17562" spans="31:31">
      <c r="AE17562" s="54"/>
    </row>
    <row r="17563" spans="31:31">
      <c r="AE17563" s="54"/>
    </row>
    <row r="17564" spans="31:31">
      <c r="AE17564" s="54"/>
    </row>
    <row r="17565" spans="31:31">
      <c r="AE17565" s="54"/>
    </row>
    <row r="17566" spans="31:31">
      <c r="AE17566" s="54"/>
    </row>
    <row r="17567" spans="31:31">
      <c r="AE17567" s="54"/>
    </row>
    <row r="17568" spans="31:31">
      <c r="AE17568" s="54"/>
    </row>
    <row r="17569" spans="31:31">
      <c r="AE17569" s="54"/>
    </row>
    <row r="17570" spans="31:31">
      <c r="AE17570" s="54"/>
    </row>
    <row r="17571" spans="31:31">
      <c r="AE17571" s="54"/>
    </row>
    <row r="17572" spans="31:31">
      <c r="AE17572" s="54"/>
    </row>
    <row r="17573" spans="31:31">
      <c r="AE17573" s="54"/>
    </row>
    <row r="17574" spans="31:31">
      <c r="AE17574" s="54"/>
    </row>
    <row r="17575" spans="31:31">
      <c r="AE17575" s="54"/>
    </row>
    <row r="17576" spans="31:31">
      <c r="AE17576" s="54"/>
    </row>
    <row r="17577" spans="31:31">
      <c r="AE17577" s="54"/>
    </row>
    <row r="17578" spans="31:31">
      <c r="AE17578" s="54"/>
    </row>
    <row r="17579" spans="31:31">
      <c r="AE17579" s="54"/>
    </row>
    <row r="17580" spans="31:31">
      <c r="AE17580" s="54"/>
    </row>
    <row r="17581" spans="31:31">
      <c r="AE17581" s="54"/>
    </row>
    <row r="17582" spans="31:31">
      <c r="AE17582" s="54"/>
    </row>
    <row r="17583" spans="31:31">
      <c r="AE17583" s="54"/>
    </row>
    <row r="17584" spans="31:31">
      <c r="AE17584" s="54"/>
    </row>
    <row r="17585" spans="31:31">
      <c r="AE17585" s="54"/>
    </row>
    <row r="17586" spans="31:31">
      <c r="AE17586" s="54"/>
    </row>
    <row r="17587" spans="31:31">
      <c r="AE17587" s="54"/>
    </row>
    <row r="17588" spans="31:31">
      <c r="AE17588" s="54"/>
    </row>
    <row r="17589" spans="31:31">
      <c r="AE17589" s="54"/>
    </row>
    <row r="17590" spans="31:31">
      <c r="AE17590" s="54"/>
    </row>
    <row r="17591" spans="31:31">
      <c r="AE17591" s="54"/>
    </row>
    <row r="17592" spans="31:31">
      <c r="AE17592" s="54"/>
    </row>
    <row r="17593" spans="31:31">
      <c r="AE17593" s="54"/>
    </row>
    <row r="17594" spans="31:31">
      <c r="AE17594" s="54"/>
    </row>
    <row r="17595" spans="31:31">
      <c r="AE17595" s="54"/>
    </row>
    <row r="17596" spans="31:31">
      <c r="AE17596" s="54"/>
    </row>
    <row r="17597" spans="31:31">
      <c r="AE17597" s="54"/>
    </row>
    <row r="17598" spans="31:31">
      <c r="AE17598" s="54"/>
    </row>
    <row r="17599" spans="31:31">
      <c r="AE17599" s="54"/>
    </row>
    <row r="17600" spans="31:31">
      <c r="AE17600" s="54"/>
    </row>
    <row r="17601" spans="31:31">
      <c r="AE17601" s="54"/>
    </row>
    <row r="17602" spans="31:31">
      <c r="AE17602" s="54"/>
    </row>
    <row r="17603" spans="31:31">
      <c r="AE17603" s="54"/>
    </row>
    <row r="17604" spans="31:31">
      <c r="AE17604" s="54"/>
    </row>
    <row r="17605" spans="31:31">
      <c r="AE17605" s="54"/>
    </row>
    <row r="17606" spans="31:31">
      <c r="AE17606" s="54"/>
    </row>
    <row r="17607" spans="31:31">
      <c r="AE17607" s="54"/>
    </row>
    <row r="17608" spans="31:31">
      <c r="AE17608" s="54"/>
    </row>
    <row r="17609" spans="31:31">
      <c r="AE17609" s="54"/>
    </row>
    <row r="17610" spans="31:31">
      <c r="AE17610" s="54"/>
    </row>
    <row r="17611" spans="31:31">
      <c r="AE17611" s="54"/>
    </row>
    <row r="17612" spans="31:31">
      <c r="AE17612" s="54"/>
    </row>
    <row r="17613" spans="31:31">
      <c r="AE17613" s="54"/>
    </row>
    <row r="17614" spans="31:31">
      <c r="AE17614" s="54"/>
    </row>
    <row r="17615" spans="31:31">
      <c r="AE17615" s="54"/>
    </row>
    <row r="17616" spans="31:31">
      <c r="AE17616" s="54"/>
    </row>
    <row r="17617" spans="31:31">
      <c r="AE17617" s="54"/>
    </row>
    <row r="17618" spans="31:31">
      <c r="AE17618" s="54"/>
    </row>
    <row r="17619" spans="31:31">
      <c r="AE17619" s="54"/>
    </row>
    <row r="17620" spans="31:31">
      <c r="AE17620" s="54"/>
    </row>
    <row r="17621" spans="31:31">
      <c r="AE17621" s="54"/>
    </row>
    <row r="17622" spans="31:31">
      <c r="AE17622" s="54"/>
    </row>
    <row r="17623" spans="31:31">
      <c r="AE17623" s="54"/>
    </row>
    <row r="17624" spans="31:31">
      <c r="AE17624" s="54"/>
    </row>
    <row r="17625" spans="31:31">
      <c r="AE17625" s="54"/>
    </row>
    <row r="17626" spans="31:31">
      <c r="AE17626" s="54"/>
    </row>
    <row r="17627" spans="31:31">
      <c r="AE17627" s="54"/>
    </row>
    <row r="17628" spans="31:31">
      <c r="AE17628" s="54"/>
    </row>
    <row r="17629" spans="31:31">
      <c r="AE17629" s="54"/>
    </row>
    <row r="17630" spans="31:31">
      <c r="AE17630" s="54"/>
    </row>
    <row r="17631" spans="31:31">
      <c r="AE17631" s="54"/>
    </row>
    <row r="17632" spans="31:31">
      <c r="AE17632" s="54"/>
    </row>
    <row r="17633" spans="31:31">
      <c r="AE17633" s="54"/>
    </row>
    <row r="17634" spans="31:31">
      <c r="AE17634" s="54"/>
    </row>
    <row r="17635" spans="31:31">
      <c r="AE17635" s="54"/>
    </row>
    <row r="17636" spans="31:31">
      <c r="AE17636" s="54"/>
    </row>
    <row r="17637" spans="31:31">
      <c r="AE17637" s="54"/>
    </row>
    <row r="17638" spans="31:31">
      <c r="AE17638" s="54"/>
    </row>
    <row r="17639" spans="31:31">
      <c r="AE17639" s="54"/>
    </row>
    <row r="17640" spans="31:31">
      <c r="AE17640" s="54"/>
    </row>
    <row r="17641" spans="31:31">
      <c r="AE17641" s="54"/>
    </row>
    <row r="17642" spans="31:31">
      <c r="AE17642" s="54"/>
    </row>
    <row r="17643" spans="31:31">
      <c r="AE17643" s="54"/>
    </row>
    <row r="17644" spans="31:31">
      <c r="AE17644" s="54"/>
    </row>
    <row r="17645" spans="31:31">
      <c r="AE17645" s="54"/>
    </row>
    <row r="17646" spans="31:31">
      <c r="AE17646" s="54"/>
    </row>
    <row r="17647" spans="31:31">
      <c r="AE17647" s="54"/>
    </row>
    <row r="17648" spans="31:31">
      <c r="AE17648" s="54"/>
    </row>
    <row r="17649" spans="31:31">
      <c r="AE17649" s="54"/>
    </row>
    <row r="17650" spans="31:31">
      <c r="AE17650" s="54"/>
    </row>
    <row r="17651" spans="31:31">
      <c r="AE17651" s="54"/>
    </row>
    <row r="17652" spans="31:31">
      <c r="AE17652" s="54"/>
    </row>
    <row r="17653" spans="31:31">
      <c r="AE17653" s="54"/>
    </row>
    <row r="17654" spans="31:31">
      <c r="AE17654" s="54"/>
    </row>
    <row r="17655" spans="31:31">
      <c r="AE17655" s="54"/>
    </row>
    <row r="17656" spans="31:31">
      <c r="AE17656" s="54"/>
    </row>
    <row r="17657" spans="31:31">
      <c r="AE17657" s="54"/>
    </row>
    <row r="17658" spans="31:31">
      <c r="AE17658" s="54"/>
    </row>
    <row r="17659" spans="31:31">
      <c r="AE17659" s="54"/>
    </row>
    <row r="17660" spans="31:31">
      <c r="AE17660" s="54"/>
    </row>
    <row r="17661" spans="31:31">
      <c r="AE17661" s="54"/>
    </row>
    <row r="17662" spans="31:31">
      <c r="AE17662" s="54"/>
    </row>
    <row r="17663" spans="31:31">
      <c r="AE17663" s="54"/>
    </row>
    <row r="17664" spans="31:31">
      <c r="AE17664" s="54"/>
    </row>
    <row r="17665" spans="31:31">
      <c r="AE17665" s="54"/>
    </row>
    <row r="17666" spans="31:31">
      <c r="AE17666" s="54"/>
    </row>
    <row r="17667" spans="31:31">
      <c r="AE17667" s="54"/>
    </row>
    <row r="17668" spans="31:31">
      <c r="AE17668" s="54"/>
    </row>
    <row r="17669" spans="31:31">
      <c r="AE17669" s="54"/>
    </row>
    <row r="17670" spans="31:31">
      <c r="AE17670" s="54"/>
    </row>
    <row r="17671" spans="31:31">
      <c r="AE17671" s="54"/>
    </row>
    <row r="17672" spans="31:31">
      <c r="AE17672" s="54"/>
    </row>
    <row r="17673" spans="31:31">
      <c r="AE17673" s="54"/>
    </row>
    <row r="17674" spans="31:31">
      <c r="AE17674" s="54"/>
    </row>
    <row r="17675" spans="31:31">
      <c r="AE17675" s="54"/>
    </row>
    <row r="17676" spans="31:31">
      <c r="AE17676" s="54"/>
    </row>
    <row r="17677" spans="31:31">
      <c r="AE17677" s="54"/>
    </row>
    <row r="17678" spans="31:31">
      <c r="AE17678" s="54"/>
    </row>
    <row r="17679" spans="31:31">
      <c r="AE17679" s="54"/>
    </row>
    <row r="17680" spans="31:31">
      <c r="AE17680" s="54"/>
    </row>
    <row r="17681" spans="31:31">
      <c r="AE17681" s="54"/>
    </row>
    <row r="17682" spans="31:31">
      <c r="AE17682" s="54"/>
    </row>
    <row r="17683" spans="31:31">
      <c r="AE17683" s="54"/>
    </row>
    <row r="17684" spans="31:31">
      <c r="AE17684" s="54"/>
    </row>
    <row r="17685" spans="31:31">
      <c r="AE17685" s="54"/>
    </row>
    <row r="17686" spans="31:31">
      <c r="AE17686" s="54"/>
    </row>
    <row r="17687" spans="31:31">
      <c r="AE17687" s="54"/>
    </row>
    <row r="17688" spans="31:31">
      <c r="AE17688" s="54"/>
    </row>
    <row r="17689" spans="31:31">
      <c r="AE17689" s="54"/>
    </row>
    <row r="17690" spans="31:31">
      <c r="AE17690" s="54"/>
    </row>
    <row r="17691" spans="31:31">
      <c r="AE17691" s="54"/>
    </row>
    <row r="17692" spans="31:31">
      <c r="AE17692" s="54"/>
    </row>
    <row r="17693" spans="31:31">
      <c r="AE17693" s="54"/>
    </row>
    <row r="17694" spans="31:31">
      <c r="AE17694" s="54"/>
    </row>
    <row r="17695" spans="31:31">
      <c r="AE17695" s="54"/>
    </row>
    <row r="17696" spans="31:31">
      <c r="AE17696" s="54"/>
    </row>
    <row r="17697" spans="31:31">
      <c r="AE17697" s="54"/>
    </row>
    <row r="17698" spans="31:31">
      <c r="AE17698" s="54"/>
    </row>
    <row r="17699" spans="31:31">
      <c r="AE17699" s="54"/>
    </row>
    <row r="17700" spans="31:31">
      <c r="AE17700" s="54"/>
    </row>
    <row r="17701" spans="31:31">
      <c r="AE17701" s="54"/>
    </row>
    <row r="17702" spans="31:31">
      <c r="AE17702" s="54"/>
    </row>
    <row r="17703" spans="31:31">
      <c r="AE17703" s="54"/>
    </row>
    <row r="17704" spans="31:31">
      <c r="AE17704" s="54"/>
    </row>
    <row r="17705" spans="31:31">
      <c r="AE17705" s="54"/>
    </row>
    <row r="17706" spans="31:31">
      <c r="AE17706" s="54"/>
    </row>
    <row r="17707" spans="31:31">
      <c r="AE17707" s="54"/>
    </row>
    <row r="17708" spans="31:31">
      <c r="AE17708" s="54"/>
    </row>
    <row r="17709" spans="31:31">
      <c r="AE17709" s="54"/>
    </row>
    <row r="17710" spans="31:31">
      <c r="AE17710" s="54"/>
    </row>
    <row r="17711" spans="31:31">
      <c r="AE17711" s="54"/>
    </row>
    <row r="17712" spans="31:31">
      <c r="AE17712" s="54"/>
    </row>
    <row r="17713" spans="31:31">
      <c r="AE17713" s="54"/>
    </row>
    <row r="17714" spans="31:31">
      <c r="AE17714" s="54"/>
    </row>
    <row r="17715" spans="31:31">
      <c r="AE17715" s="54"/>
    </row>
    <row r="17716" spans="31:31">
      <c r="AE17716" s="54"/>
    </row>
    <row r="17717" spans="31:31">
      <c r="AE17717" s="54"/>
    </row>
    <row r="17718" spans="31:31">
      <c r="AE17718" s="54"/>
    </row>
    <row r="17719" spans="31:31">
      <c r="AE17719" s="54"/>
    </row>
    <row r="17720" spans="31:31">
      <c r="AE17720" s="54"/>
    </row>
    <row r="17721" spans="31:31">
      <c r="AE17721" s="54"/>
    </row>
    <row r="17722" spans="31:31">
      <c r="AE17722" s="54"/>
    </row>
    <row r="17723" spans="31:31">
      <c r="AE17723" s="54"/>
    </row>
    <row r="17724" spans="31:31">
      <c r="AE17724" s="54"/>
    </row>
    <row r="17725" spans="31:31">
      <c r="AE17725" s="54"/>
    </row>
    <row r="17726" spans="31:31">
      <c r="AE17726" s="54"/>
    </row>
    <row r="17727" spans="31:31">
      <c r="AE17727" s="54"/>
    </row>
    <row r="17728" spans="31:31">
      <c r="AE17728" s="54"/>
    </row>
    <row r="17729" spans="31:31">
      <c r="AE17729" s="54"/>
    </row>
    <row r="17730" spans="31:31">
      <c r="AE17730" s="54"/>
    </row>
    <row r="17731" spans="31:31">
      <c r="AE17731" s="54"/>
    </row>
    <row r="17732" spans="31:31">
      <c r="AE17732" s="54"/>
    </row>
    <row r="17733" spans="31:31">
      <c r="AE17733" s="54"/>
    </row>
    <row r="17734" spans="31:31">
      <c r="AE17734" s="54"/>
    </row>
    <row r="17735" spans="31:31">
      <c r="AE17735" s="54"/>
    </row>
    <row r="17736" spans="31:31">
      <c r="AE17736" s="54"/>
    </row>
    <row r="17737" spans="31:31">
      <c r="AE17737" s="54"/>
    </row>
    <row r="17738" spans="31:31">
      <c r="AE17738" s="54"/>
    </row>
    <row r="17739" spans="31:31">
      <c r="AE17739" s="54"/>
    </row>
    <row r="17740" spans="31:31">
      <c r="AE17740" s="54"/>
    </row>
    <row r="17741" spans="31:31">
      <c r="AE17741" s="54"/>
    </row>
    <row r="17742" spans="31:31">
      <c r="AE17742" s="54"/>
    </row>
    <row r="17743" spans="31:31">
      <c r="AE17743" s="54"/>
    </row>
    <row r="17744" spans="31:31">
      <c r="AE17744" s="54"/>
    </row>
    <row r="17745" spans="31:31">
      <c r="AE17745" s="54"/>
    </row>
    <row r="17746" spans="31:31">
      <c r="AE17746" s="54"/>
    </row>
    <row r="17747" spans="31:31">
      <c r="AE17747" s="54"/>
    </row>
    <row r="17748" spans="31:31">
      <c r="AE17748" s="54"/>
    </row>
    <row r="17749" spans="31:31">
      <c r="AE17749" s="54"/>
    </row>
    <row r="17750" spans="31:31">
      <c r="AE17750" s="54"/>
    </row>
    <row r="17751" spans="31:31">
      <c r="AE17751" s="54"/>
    </row>
    <row r="17752" spans="31:31">
      <c r="AE17752" s="54"/>
    </row>
    <row r="17753" spans="31:31">
      <c r="AE17753" s="54"/>
    </row>
    <row r="17754" spans="31:31">
      <c r="AE17754" s="54"/>
    </row>
    <row r="17755" spans="31:31">
      <c r="AE17755" s="54"/>
    </row>
    <row r="17756" spans="31:31">
      <c r="AE17756" s="54"/>
    </row>
    <row r="17757" spans="31:31">
      <c r="AE17757" s="54"/>
    </row>
    <row r="17758" spans="31:31">
      <c r="AE17758" s="54"/>
    </row>
    <row r="17759" spans="31:31">
      <c r="AE17759" s="54"/>
    </row>
    <row r="17760" spans="31:31">
      <c r="AE17760" s="54"/>
    </row>
    <row r="17761" spans="31:31">
      <c r="AE17761" s="54"/>
    </row>
    <row r="17762" spans="31:31">
      <c r="AE17762" s="54"/>
    </row>
    <row r="17763" spans="31:31">
      <c r="AE17763" s="54"/>
    </row>
    <row r="17764" spans="31:31">
      <c r="AE17764" s="54"/>
    </row>
    <row r="17765" spans="31:31">
      <c r="AE17765" s="54"/>
    </row>
    <row r="17766" spans="31:31">
      <c r="AE17766" s="54"/>
    </row>
    <row r="17767" spans="31:31">
      <c r="AE17767" s="54"/>
    </row>
    <row r="17768" spans="31:31">
      <c r="AE17768" s="54"/>
    </row>
    <row r="17769" spans="31:31">
      <c r="AE17769" s="54"/>
    </row>
    <row r="17770" spans="31:31">
      <c r="AE17770" s="54"/>
    </row>
    <row r="17771" spans="31:31">
      <c r="AE17771" s="54"/>
    </row>
    <row r="17772" spans="31:31">
      <c r="AE17772" s="54"/>
    </row>
    <row r="17773" spans="31:31">
      <c r="AE17773" s="54"/>
    </row>
    <row r="17774" spans="31:31">
      <c r="AE17774" s="54"/>
    </row>
    <row r="17775" spans="31:31">
      <c r="AE17775" s="54"/>
    </row>
    <row r="17776" spans="31:31">
      <c r="AE17776" s="54"/>
    </row>
    <row r="17777" spans="31:31">
      <c r="AE17777" s="54"/>
    </row>
    <row r="17778" spans="31:31">
      <c r="AE17778" s="54"/>
    </row>
    <row r="17779" spans="31:31">
      <c r="AE17779" s="54"/>
    </row>
    <row r="17780" spans="31:31">
      <c r="AE17780" s="54"/>
    </row>
    <row r="17781" spans="31:31">
      <c r="AE17781" s="54"/>
    </row>
    <row r="17782" spans="31:31">
      <c r="AE17782" s="54"/>
    </row>
    <row r="17783" spans="31:31">
      <c r="AE17783" s="54"/>
    </row>
    <row r="17784" spans="31:31">
      <c r="AE17784" s="54"/>
    </row>
    <row r="17785" spans="31:31">
      <c r="AE17785" s="54"/>
    </row>
    <row r="17786" spans="31:31">
      <c r="AE17786" s="54"/>
    </row>
    <row r="17787" spans="31:31">
      <c r="AE17787" s="54"/>
    </row>
    <row r="17788" spans="31:31">
      <c r="AE17788" s="54"/>
    </row>
    <row r="17789" spans="31:31">
      <c r="AE17789" s="54"/>
    </row>
    <row r="17790" spans="31:31">
      <c r="AE17790" s="54"/>
    </row>
    <row r="17791" spans="31:31">
      <c r="AE17791" s="54"/>
    </row>
    <row r="17792" spans="31:31">
      <c r="AE17792" s="54"/>
    </row>
    <row r="17793" spans="31:31">
      <c r="AE17793" s="54"/>
    </row>
    <row r="17794" spans="31:31">
      <c r="AE17794" s="54"/>
    </row>
    <row r="17795" spans="31:31">
      <c r="AE17795" s="54"/>
    </row>
    <row r="17796" spans="31:31">
      <c r="AE17796" s="54"/>
    </row>
    <row r="17797" spans="31:31">
      <c r="AE17797" s="54"/>
    </row>
    <row r="17798" spans="31:31">
      <c r="AE17798" s="54"/>
    </row>
    <row r="17799" spans="31:31">
      <c r="AE17799" s="54"/>
    </row>
    <row r="17800" spans="31:31">
      <c r="AE17800" s="54"/>
    </row>
    <row r="17801" spans="31:31">
      <c r="AE17801" s="54"/>
    </row>
    <row r="17802" spans="31:31">
      <c r="AE17802" s="54"/>
    </row>
    <row r="17803" spans="31:31">
      <c r="AE17803" s="54"/>
    </row>
    <row r="17804" spans="31:31">
      <c r="AE17804" s="54"/>
    </row>
    <row r="17805" spans="31:31">
      <c r="AE17805" s="54"/>
    </row>
    <row r="17806" spans="31:31">
      <c r="AE17806" s="54"/>
    </row>
    <row r="17807" spans="31:31">
      <c r="AE17807" s="54"/>
    </row>
    <row r="17808" spans="31:31">
      <c r="AE17808" s="54"/>
    </row>
    <row r="17809" spans="31:31">
      <c r="AE17809" s="54"/>
    </row>
    <row r="17810" spans="31:31">
      <c r="AE17810" s="54"/>
    </row>
    <row r="17811" spans="31:31">
      <c r="AE17811" s="54"/>
    </row>
    <row r="17812" spans="31:31">
      <c r="AE17812" s="54"/>
    </row>
    <row r="17813" spans="31:31">
      <c r="AE17813" s="54"/>
    </row>
    <row r="17814" spans="31:31">
      <c r="AE17814" s="54"/>
    </row>
    <row r="17815" spans="31:31">
      <c r="AE17815" s="54"/>
    </row>
    <row r="17816" spans="31:31">
      <c r="AE17816" s="54"/>
    </row>
    <row r="17817" spans="31:31">
      <c r="AE17817" s="54"/>
    </row>
    <row r="17818" spans="31:31">
      <c r="AE17818" s="54"/>
    </row>
    <row r="17819" spans="31:31">
      <c r="AE17819" s="54"/>
    </row>
    <row r="17820" spans="31:31">
      <c r="AE17820" s="54"/>
    </row>
    <row r="17821" spans="31:31">
      <c r="AE17821" s="54"/>
    </row>
    <row r="17822" spans="31:31">
      <c r="AE17822" s="54"/>
    </row>
    <row r="17823" spans="31:31">
      <c r="AE17823" s="54"/>
    </row>
    <row r="17824" spans="31:31">
      <c r="AE17824" s="54"/>
    </row>
    <row r="17825" spans="31:31">
      <c r="AE17825" s="54"/>
    </row>
    <row r="17826" spans="31:31">
      <c r="AE17826" s="54"/>
    </row>
    <row r="17827" spans="31:31">
      <c r="AE17827" s="54"/>
    </row>
    <row r="17828" spans="31:31">
      <c r="AE17828" s="54"/>
    </row>
    <row r="17829" spans="31:31">
      <c r="AE17829" s="54"/>
    </row>
    <row r="17830" spans="31:31">
      <c r="AE17830" s="54"/>
    </row>
    <row r="17831" spans="31:31">
      <c r="AE17831" s="54"/>
    </row>
    <row r="17832" spans="31:31">
      <c r="AE17832" s="54"/>
    </row>
    <row r="17833" spans="31:31">
      <c r="AE17833" s="54"/>
    </row>
    <row r="17834" spans="31:31">
      <c r="AE17834" s="54"/>
    </row>
    <row r="17835" spans="31:31">
      <c r="AE17835" s="54"/>
    </row>
    <row r="17836" spans="31:31">
      <c r="AE17836" s="54"/>
    </row>
    <row r="17837" spans="31:31">
      <c r="AE17837" s="54"/>
    </row>
    <row r="17838" spans="31:31">
      <c r="AE17838" s="54"/>
    </row>
    <row r="17839" spans="31:31">
      <c r="AE17839" s="54"/>
    </row>
    <row r="17840" spans="31:31">
      <c r="AE17840" s="54"/>
    </row>
    <row r="17841" spans="31:31">
      <c r="AE17841" s="54"/>
    </row>
    <row r="17842" spans="31:31">
      <c r="AE17842" s="54"/>
    </row>
    <row r="17843" spans="31:31">
      <c r="AE17843" s="54"/>
    </row>
    <row r="17844" spans="31:31">
      <c r="AE17844" s="54"/>
    </row>
    <row r="17845" spans="31:31">
      <c r="AE17845" s="54"/>
    </row>
    <row r="17846" spans="31:31">
      <c r="AE17846" s="54"/>
    </row>
    <row r="17847" spans="31:31">
      <c r="AE17847" s="54"/>
    </row>
    <row r="17848" spans="31:31">
      <c r="AE17848" s="54"/>
    </row>
    <row r="17849" spans="31:31">
      <c r="AE17849" s="54"/>
    </row>
    <row r="17850" spans="31:31">
      <c r="AE17850" s="54"/>
    </row>
    <row r="17851" spans="31:31">
      <c r="AE17851" s="54"/>
    </row>
    <row r="17852" spans="31:31">
      <c r="AE17852" s="54"/>
    </row>
    <row r="17853" spans="31:31">
      <c r="AE17853" s="54"/>
    </row>
    <row r="17854" spans="31:31">
      <c r="AE17854" s="54"/>
    </row>
    <row r="17855" spans="31:31">
      <c r="AE17855" s="54"/>
    </row>
    <row r="17856" spans="31:31">
      <c r="AE17856" s="54"/>
    </row>
    <row r="17857" spans="31:31">
      <c r="AE17857" s="54"/>
    </row>
    <row r="17858" spans="31:31">
      <c r="AE17858" s="54"/>
    </row>
    <row r="17859" spans="31:31">
      <c r="AE17859" s="54"/>
    </row>
    <row r="17860" spans="31:31">
      <c r="AE17860" s="54"/>
    </row>
    <row r="17861" spans="31:31">
      <c r="AE17861" s="54"/>
    </row>
    <row r="17862" spans="31:31">
      <c r="AE17862" s="54"/>
    </row>
    <row r="17863" spans="31:31">
      <c r="AE17863" s="54"/>
    </row>
    <row r="17864" spans="31:31">
      <c r="AE17864" s="54"/>
    </row>
    <row r="17865" spans="31:31">
      <c r="AE17865" s="54"/>
    </row>
    <row r="17866" spans="31:31">
      <c r="AE17866" s="54"/>
    </row>
    <row r="17867" spans="31:31">
      <c r="AE17867" s="54"/>
    </row>
    <row r="17868" spans="31:31">
      <c r="AE17868" s="54"/>
    </row>
    <row r="17869" spans="31:31">
      <c r="AE17869" s="54"/>
    </row>
    <row r="17870" spans="31:31">
      <c r="AE17870" s="54"/>
    </row>
    <row r="17871" spans="31:31">
      <c r="AE17871" s="54"/>
    </row>
    <row r="17872" spans="31:31">
      <c r="AE17872" s="54"/>
    </row>
    <row r="17873" spans="31:31">
      <c r="AE17873" s="54"/>
    </row>
    <row r="17874" spans="31:31">
      <c r="AE17874" s="54"/>
    </row>
    <row r="17875" spans="31:31">
      <c r="AE17875" s="54"/>
    </row>
    <row r="17876" spans="31:31">
      <c r="AE17876" s="54"/>
    </row>
    <row r="17877" spans="31:31">
      <c r="AE17877" s="54"/>
    </row>
    <row r="17878" spans="31:31">
      <c r="AE17878" s="54"/>
    </row>
    <row r="17879" spans="31:31">
      <c r="AE17879" s="54"/>
    </row>
    <row r="17880" spans="31:31">
      <c r="AE17880" s="54"/>
    </row>
    <row r="17881" spans="31:31">
      <c r="AE17881" s="54"/>
    </row>
    <row r="17882" spans="31:31">
      <c r="AE17882" s="54"/>
    </row>
    <row r="17883" spans="31:31">
      <c r="AE17883" s="54"/>
    </row>
    <row r="17884" spans="31:31">
      <c r="AE17884" s="54"/>
    </row>
    <row r="17885" spans="31:31">
      <c r="AE17885" s="54"/>
    </row>
    <row r="17886" spans="31:31">
      <c r="AE17886" s="54"/>
    </row>
    <row r="17887" spans="31:31">
      <c r="AE17887" s="54"/>
    </row>
    <row r="17888" spans="31:31">
      <c r="AE17888" s="54"/>
    </row>
    <row r="17889" spans="31:31">
      <c r="AE17889" s="54"/>
    </row>
    <row r="17890" spans="31:31">
      <c r="AE17890" s="54"/>
    </row>
    <row r="17891" spans="31:31">
      <c r="AE17891" s="54"/>
    </row>
    <row r="17892" spans="31:31">
      <c r="AE17892" s="54"/>
    </row>
    <row r="17893" spans="31:31">
      <c r="AE17893" s="54"/>
    </row>
    <row r="17894" spans="31:31">
      <c r="AE17894" s="54"/>
    </row>
    <row r="17895" spans="31:31">
      <c r="AE17895" s="54"/>
    </row>
    <row r="17896" spans="31:31">
      <c r="AE17896" s="54"/>
    </row>
    <row r="17897" spans="31:31">
      <c r="AE17897" s="54"/>
    </row>
    <row r="17898" spans="31:31">
      <c r="AE17898" s="54"/>
    </row>
    <row r="17899" spans="31:31">
      <c r="AE17899" s="54"/>
    </row>
    <row r="17900" spans="31:31">
      <c r="AE17900" s="54"/>
    </row>
    <row r="17901" spans="31:31">
      <c r="AE17901" s="54"/>
    </row>
    <row r="17902" spans="31:31">
      <c r="AE17902" s="54"/>
    </row>
    <row r="17903" spans="31:31">
      <c r="AE17903" s="54"/>
    </row>
    <row r="17904" spans="31:31">
      <c r="AE17904" s="54"/>
    </row>
    <row r="17905" spans="31:31">
      <c r="AE17905" s="54"/>
    </row>
    <row r="17906" spans="31:31">
      <c r="AE17906" s="54"/>
    </row>
    <row r="17907" spans="31:31">
      <c r="AE17907" s="54"/>
    </row>
    <row r="17908" spans="31:31">
      <c r="AE17908" s="54"/>
    </row>
    <row r="17909" spans="31:31">
      <c r="AE17909" s="54"/>
    </row>
    <row r="17910" spans="31:31">
      <c r="AE17910" s="54"/>
    </row>
    <row r="17911" spans="31:31">
      <c r="AE17911" s="54"/>
    </row>
    <row r="17912" spans="31:31">
      <c r="AE17912" s="54"/>
    </row>
    <row r="17913" spans="31:31">
      <c r="AE17913" s="54"/>
    </row>
    <row r="17914" spans="31:31">
      <c r="AE17914" s="54"/>
    </row>
    <row r="17915" spans="31:31">
      <c r="AE17915" s="54"/>
    </row>
    <row r="17916" spans="31:31">
      <c r="AE17916" s="54"/>
    </row>
    <row r="17917" spans="31:31">
      <c r="AE17917" s="54"/>
    </row>
    <row r="17918" spans="31:31">
      <c r="AE17918" s="54"/>
    </row>
    <row r="17919" spans="31:31">
      <c r="AE17919" s="54"/>
    </row>
    <row r="17920" spans="31:31">
      <c r="AE17920" s="54"/>
    </row>
    <row r="17921" spans="31:31">
      <c r="AE17921" s="54"/>
    </row>
    <row r="17922" spans="31:31">
      <c r="AE17922" s="54"/>
    </row>
    <row r="17923" spans="31:31">
      <c r="AE17923" s="54"/>
    </row>
    <row r="17924" spans="31:31">
      <c r="AE17924" s="54"/>
    </row>
    <row r="17925" spans="31:31">
      <c r="AE17925" s="54"/>
    </row>
    <row r="17926" spans="31:31">
      <c r="AE17926" s="54"/>
    </row>
    <row r="17927" spans="31:31">
      <c r="AE17927" s="54"/>
    </row>
    <row r="17928" spans="31:31">
      <c r="AE17928" s="54"/>
    </row>
    <row r="17929" spans="31:31">
      <c r="AE17929" s="54"/>
    </row>
    <row r="17930" spans="31:31">
      <c r="AE17930" s="54"/>
    </row>
    <row r="17931" spans="31:31">
      <c r="AE17931" s="54"/>
    </row>
    <row r="17932" spans="31:31">
      <c r="AE17932" s="54"/>
    </row>
    <row r="17933" spans="31:31">
      <c r="AE17933" s="54"/>
    </row>
    <row r="17934" spans="31:31">
      <c r="AE17934" s="54"/>
    </row>
    <row r="17935" spans="31:31">
      <c r="AE17935" s="54"/>
    </row>
    <row r="17936" spans="31:31">
      <c r="AE17936" s="54"/>
    </row>
    <row r="17937" spans="31:31">
      <c r="AE17937" s="54"/>
    </row>
    <row r="17938" spans="31:31">
      <c r="AE17938" s="54"/>
    </row>
    <row r="17939" spans="31:31">
      <c r="AE17939" s="54"/>
    </row>
    <row r="17940" spans="31:31">
      <c r="AE17940" s="54"/>
    </row>
    <row r="17941" spans="31:31">
      <c r="AE17941" s="54"/>
    </row>
    <row r="17942" spans="31:31">
      <c r="AE17942" s="54"/>
    </row>
    <row r="17943" spans="31:31">
      <c r="AE17943" s="54"/>
    </row>
    <row r="17944" spans="31:31">
      <c r="AE17944" s="54"/>
    </row>
    <row r="17945" spans="31:31">
      <c r="AE17945" s="54"/>
    </row>
    <row r="17946" spans="31:31">
      <c r="AE17946" s="54"/>
    </row>
    <row r="17947" spans="31:31">
      <c r="AE17947" s="54"/>
    </row>
    <row r="17948" spans="31:31">
      <c r="AE17948" s="54"/>
    </row>
    <row r="17949" spans="31:31">
      <c r="AE17949" s="54"/>
    </row>
    <row r="17950" spans="31:31">
      <c r="AE17950" s="54"/>
    </row>
    <row r="17951" spans="31:31">
      <c r="AE17951" s="54"/>
    </row>
    <row r="17952" spans="31:31">
      <c r="AE17952" s="54"/>
    </row>
    <row r="17953" spans="31:31">
      <c r="AE17953" s="54"/>
    </row>
    <row r="17954" spans="31:31">
      <c r="AE17954" s="54"/>
    </row>
    <row r="17955" spans="31:31">
      <c r="AE17955" s="54"/>
    </row>
    <row r="17956" spans="31:31">
      <c r="AE17956" s="54"/>
    </row>
    <row r="17957" spans="31:31">
      <c r="AE17957" s="54"/>
    </row>
    <row r="17958" spans="31:31">
      <c r="AE17958" s="54"/>
    </row>
    <row r="17959" spans="31:31">
      <c r="AE17959" s="54"/>
    </row>
    <row r="17960" spans="31:31">
      <c r="AE17960" s="54"/>
    </row>
    <row r="17961" spans="31:31">
      <c r="AE17961" s="54"/>
    </row>
    <row r="17962" spans="31:31">
      <c r="AE17962" s="54"/>
    </row>
    <row r="17963" spans="31:31">
      <c r="AE17963" s="54"/>
    </row>
    <row r="17964" spans="31:31">
      <c r="AE17964" s="54"/>
    </row>
    <row r="17965" spans="31:31">
      <c r="AE17965" s="54"/>
    </row>
    <row r="17966" spans="31:31">
      <c r="AE17966" s="54"/>
    </row>
    <row r="17967" spans="31:31">
      <c r="AE17967" s="54"/>
    </row>
    <row r="17968" spans="31:31">
      <c r="AE17968" s="54"/>
    </row>
    <row r="17969" spans="31:31">
      <c r="AE17969" s="54"/>
    </row>
    <row r="17970" spans="31:31">
      <c r="AE17970" s="54"/>
    </row>
    <row r="17971" spans="31:31">
      <c r="AE17971" s="54"/>
    </row>
    <row r="17972" spans="31:31">
      <c r="AE17972" s="54"/>
    </row>
    <row r="17973" spans="31:31">
      <c r="AE17973" s="54"/>
    </row>
    <row r="17974" spans="31:31">
      <c r="AE17974" s="54"/>
    </row>
    <row r="17975" spans="31:31">
      <c r="AE17975" s="54"/>
    </row>
    <row r="17976" spans="31:31">
      <c r="AE17976" s="54"/>
    </row>
    <row r="17977" spans="31:31">
      <c r="AE17977" s="54"/>
    </row>
    <row r="17978" spans="31:31">
      <c r="AE17978" s="54"/>
    </row>
    <row r="17979" spans="31:31">
      <c r="AE17979" s="54"/>
    </row>
    <row r="17980" spans="31:31">
      <c r="AE17980" s="54"/>
    </row>
    <row r="17981" spans="31:31">
      <c r="AE17981" s="54"/>
    </row>
    <row r="17982" spans="31:31">
      <c r="AE17982" s="54"/>
    </row>
    <row r="17983" spans="31:31">
      <c r="AE17983" s="54"/>
    </row>
    <row r="17984" spans="31:31">
      <c r="AE17984" s="54"/>
    </row>
    <row r="17985" spans="31:31">
      <c r="AE17985" s="54"/>
    </row>
    <row r="17986" spans="31:31">
      <c r="AE17986" s="54"/>
    </row>
    <row r="17987" spans="31:31">
      <c r="AE17987" s="54"/>
    </row>
    <row r="17988" spans="31:31">
      <c r="AE17988" s="54"/>
    </row>
    <row r="17989" spans="31:31">
      <c r="AE17989" s="54"/>
    </row>
    <row r="17990" spans="31:31">
      <c r="AE17990" s="54"/>
    </row>
    <row r="17991" spans="31:31">
      <c r="AE17991" s="54"/>
    </row>
    <row r="17992" spans="31:31">
      <c r="AE17992" s="54"/>
    </row>
    <row r="17993" spans="31:31">
      <c r="AE17993" s="54"/>
    </row>
    <row r="17994" spans="31:31">
      <c r="AE17994" s="54"/>
    </row>
    <row r="17995" spans="31:31">
      <c r="AE17995" s="54"/>
    </row>
    <row r="17996" spans="31:31">
      <c r="AE17996" s="54"/>
    </row>
    <row r="17997" spans="31:31">
      <c r="AE17997" s="54"/>
    </row>
    <row r="17998" spans="31:31">
      <c r="AE17998" s="54"/>
    </row>
    <row r="17999" spans="31:31">
      <c r="AE17999" s="54"/>
    </row>
    <row r="18000" spans="31:31">
      <c r="AE18000" s="54"/>
    </row>
    <row r="18001" spans="31:31">
      <c r="AE18001" s="54"/>
    </row>
    <row r="18002" spans="31:31">
      <c r="AE18002" s="54"/>
    </row>
    <row r="18003" spans="31:31">
      <c r="AE18003" s="54"/>
    </row>
    <row r="18004" spans="31:31">
      <c r="AE18004" s="54"/>
    </row>
    <row r="18005" spans="31:31">
      <c r="AE18005" s="54"/>
    </row>
    <row r="18006" spans="31:31">
      <c r="AE18006" s="54"/>
    </row>
    <row r="18007" spans="31:31">
      <c r="AE18007" s="54"/>
    </row>
    <row r="18008" spans="31:31">
      <c r="AE18008" s="54"/>
    </row>
    <row r="18009" spans="31:31">
      <c r="AE18009" s="54"/>
    </row>
    <row r="18010" spans="31:31">
      <c r="AE18010" s="54"/>
    </row>
    <row r="18011" spans="31:31">
      <c r="AE18011" s="54"/>
    </row>
    <row r="18012" spans="31:31">
      <c r="AE18012" s="54"/>
    </row>
    <row r="18013" spans="31:31">
      <c r="AE18013" s="54"/>
    </row>
    <row r="18014" spans="31:31">
      <c r="AE18014" s="54"/>
    </row>
    <row r="18015" spans="31:31">
      <c r="AE18015" s="54"/>
    </row>
    <row r="18016" spans="31:31">
      <c r="AE18016" s="54"/>
    </row>
    <row r="18017" spans="31:31">
      <c r="AE18017" s="54"/>
    </row>
    <row r="18018" spans="31:31">
      <c r="AE18018" s="54"/>
    </row>
    <row r="18019" spans="31:31">
      <c r="AE18019" s="54"/>
    </row>
    <row r="18020" spans="31:31">
      <c r="AE18020" s="54"/>
    </row>
    <row r="18021" spans="31:31">
      <c r="AE18021" s="54"/>
    </row>
    <row r="18022" spans="31:31">
      <c r="AE18022" s="54"/>
    </row>
    <row r="18023" spans="31:31">
      <c r="AE18023" s="54"/>
    </row>
    <row r="18024" spans="31:31">
      <c r="AE18024" s="54"/>
    </row>
    <row r="18025" spans="31:31">
      <c r="AE18025" s="54"/>
    </row>
    <row r="18026" spans="31:31">
      <c r="AE18026" s="54"/>
    </row>
    <row r="18027" spans="31:31">
      <c r="AE18027" s="54"/>
    </row>
    <row r="18028" spans="31:31">
      <c r="AE18028" s="54"/>
    </row>
    <row r="18029" spans="31:31">
      <c r="AE18029" s="54"/>
    </row>
    <row r="18030" spans="31:31">
      <c r="AE18030" s="54"/>
    </row>
    <row r="18031" spans="31:31">
      <c r="AE18031" s="54"/>
    </row>
    <row r="18032" spans="31:31">
      <c r="AE18032" s="54"/>
    </row>
    <row r="18033" spans="31:31">
      <c r="AE18033" s="54"/>
    </row>
    <row r="18034" spans="31:31">
      <c r="AE18034" s="54"/>
    </row>
    <row r="18035" spans="31:31">
      <c r="AE18035" s="54"/>
    </row>
    <row r="18036" spans="31:31">
      <c r="AE18036" s="54"/>
    </row>
    <row r="18037" spans="31:31">
      <c r="AE18037" s="54"/>
    </row>
    <row r="18038" spans="31:31">
      <c r="AE18038" s="54"/>
    </row>
    <row r="18039" spans="31:31">
      <c r="AE18039" s="54"/>
    </row>
    <row r="18040" spans="31:31">
      <c r="AE18040" s="54"/>
    </row>
    <row r="18041" spans="31:31">
      <c r="AE18041" s="54"/>
    </row>
    <row r="18042" spans="31:31">
      <c r="AE18042" s="54"/>
    </row>
    <row r="18043" spans="31:31">
      <c r="AE18043" s="54"/>
    </row>
    <row r="18044" spans="31:31">
      <c r="AE18044" s="54"/>
    </row>
    <row r="18045" spans="31:31">
      <c r="AE18045" s="54"/>
    </row>
    <row r="18046" spans="31:31">
      <c r="AE18046" s="54"/>
    </row>
    <row r="18047" spans="31:31">
      <c r="AE18047" s="54"/>
    </row>
    <row r="18048" spans="31:31">
      <c r="AE18048" s="54"/>
    </row>
    <row r="18049" spans="31:31">
      <c r="AE18049" s="54"/>
    </row>
    <row r="18050" spans="31:31">
      <c r="AE18050" s="54"/>
    </row>
    <row r="18051" spans="31:31">
      <c r="AE18051" s="54"/>
    </row>
    <row r="18052" spans="31:31">
      <c r="AE18052" s="54"/>
    </row>
    <row r="18053" spans="31:31">
      <c r="AE18053" s="54"/>
    </row>
    <row r="18054" spans="31:31">
      <c r="AE18054" s="54"/>
    </row>
    <row r="18055" spans="31:31">
      <c r="AE18055" s="54"/>
    </row>
    <row r="18056" spans="31:31">
      <c r="AE18056" s="54"/>
    </row>
    <row r="18057" spans="31:31">
      <c r="AE18057" s="54"/>
    </row>
    <row r="18058" spans="31:31">
      <c r="AE18058" s="54"/>
    </row>
    <row r="18059" spans="31:31">
      <c r="AE18059" s="54"/>
    </row>
    <row r="18060" spans="31:31">
      <c r="AE18060" s="54"/>
    </row>
    <row r="18061" spans="31:31">
      <c r="AE18061" s="54"/>
    </row>
    <row r="18062" spans="31:31">
      <c r="AE18062" s="54"/>
    </row>
    <row r="18063" spans="31:31">
      <c r="AE18063" s="54"/>
    </row>
    <row r="18064" spans="31:31">
      <c r="AE18064" s="54"/>
    </row>
    <row r="18065" spans="31:31">
      <c r="AE18065" s="54"/>
    </row>
    <row r="18066" spans="31:31">
      <c r="AE18066" s="54"/>
    </row>
    <row r="18067" spans="31:31">
      <c r="AE18067" s="54"/>
    </row>
    <row r="18068" spans="31:31">
      <c r="AE18068" s="54"/>
    </row>
    <row r="18069" spans="31:31">
      <c r="AE18069" s="54"/>
    </row>
    <row r="18070" spans="31:31">
      <c r="AE18070" s="54"/>
    </row>
    <row r="18071" spans="31:31">
      <c r="AE18071" s="54"/>
    </row>
    <row r="18072" spans="31:31">
      <c r="AE18072" s="54"/>
    </row>
    <row r="18073" spans="31:31">
      <c r="AE18073" s="54"/>
    </row>
    <row r="18074" spans="31:31">
      <c r="AE18074" s="54"/>
    </row>
    <row r="18075" spans="31:31">
      <c r="AE18075" s="54"/>
    </row>
    <row r="18076" spans="31:31">
      <c r="AE18076" s="54"/>
    </row>
    <row r="18077" spans="31:31">
      <c r="AE18077" s="54"/>
    </row>
    <row r="18078" spans="31:31">
      <c r="AE18078" s="54"/>
    </row>
    <row r="18079" spans="31:31">
      <c r="AE18079" s="54"/>
    </row>
    <row r="18080" spans="31:31">
      <c r="AE18080" s="54"/>
    </row>
    <row r="18081" spans="31:31">
      <c r="AE18081" s="54"/>
    </row>
    <row r="18082" spans="31:31">
      <c r="AE18082" s="54"/>
    </row>
    <row r="18083" spans="31:31">
      <c r="AE18083" s="54"/>
    </row>
    <row r="18084" spans="31:31">
      <c r="AE18084" s="54"/>
    </row>
    <row r="18085" spans="31:31">
      <c r="AE18085" s="54"/>
    </row>
    <row r="18086" spans="31:31">
      <c r="AE18086" s="54"/>
    </row>
    <row r="18087" spans="31:31">
      <c r="AE18087" s="54"/>
    </row>
    <row r="18088" spans="31:31">
      <c r="AE18088" s="54"/>
    </row>
    <row r="18089" spans="31:31">
      <c r="AE18089" s="54"/>
    </row>
    <row r="18090" spans="31:31">
      <c r="AE18090" s="54"/>
    </row>
    <row r="18091" spans="31:31">
      <c r="AE18091" s="54"/>
    </row>
    <row r="18092" spans="31:31">
      <c r="AE18092" s="54"/>
    </row>
    <row r="18093" spans="31:31">
      <c r="AE18093" s="54"/>
    </row>
    <row r="18094" spans="31:31">
      <c r="AE18094" s="54"/>
    </row>
    <row r="18095" spans="31:31">
      <c r="AE18095" s="54"/>
    </row>
    <row r="18096" spans="31:31">
      <c r="AE18096" s="54"/>
    </row>
    <row r="18097" spans="31:31">
      <c r="AE18097" s="54"/>
    </row>
    <row r="18098" spans="31:31">
      <c r="AE18098" s="54"/>
    </row>
    <row r="18099" spans="31:31">
      <c r="AE18099" s="54"/>
    </row>
    <row r="18100" spans="31:31">
      <c r="AE18100" s="54"/>
    </row>
    <row r="18101" spans="31:31">
      <c r="AE18101" s="54"/>
    </row>
    <row r="18102" spans="31:31">
      <c r="AE18102" s="54"/>
    </row>
    <row r="18103" spans="31:31">
      <c r="AE18103" s="54"/>
    </row>
    <row r="18104" spans="31:31">
      <c r="AE18104" s="54"/>
    </row>
    <row r="18105" spans="31:31">
      <c r="AE18105" s="54"/>
    </row>
    <row r="18106" spans="31:31">
      <c r="AE18106" s="54"/>
    </row>
    <row r="18107" spans="31:31">
      <c r="AE18107" s="54"/>
    </row>
    <row r="18108" spans="31:31">
      <c r="AE18108" s="54"/>
    </row>
    <row r="18109" spans="31:31">
      <c r="AE18109" s="54"/>
    </row>
    <row r="18110" spans="31:31">
      <c r="AE18110" s="54"/>
    </row>
    <row r="18111" spans="31:31">
      <c r="AE18111" s="54"/>
    </row>
    <row r="18112" spans="31:31">
      <c r="AE18112" s="54"/>
    </row>
    <row r="18113" spans="31:31">
      <c r="AE18113" s="54"/>
    </row>
    <row r="18114" spans="31:31">
      <c r="AE18114" s="54"/>
    </row>
    <row r="18115" spans="31:31">
      <c r="AE18115" s="54"/>
    </row>
    <row r="18116" spans="31:31">
      <c r="AE18116" s="54"/>
    </row>
    <row r="18117" spans="31:31">
      <c r="AE18117" s="54"/>
    </row>
    <row r="18118" spans="31:31">
      <c r="AE18118" s="54"/>
    </row>
    <row r="18119" spans="31:31">
      <c r="AE18119" s="54"/>
    </row>
    <row r="18120" spans="31:31">
      <c r="AE18120" s="54"/>
    </row>
    <row r="18121" spans="31:31">
      <c r="AE18121" s="54"/>
    </row>
    <row r="18122" spans="31:31">
      <c r="AE18122" s="54"/>
    </row>
    <row r="18123" spans="31:31">
      <c r="AE18123" s="54"/>
    </row>
    <row r="18124" spans="31:31">
      <c r="AE18124" s="54"/>
    </row>
    <row r="18125" spans="31:31">
      <c r="AE18125" s="54"/>
    </row>
    <row r="18126" spans="31:31">
      <c r="AE18126" s="54"/>
    </row>
    <row r="18127" spans="31:31">
      <c r="AE18127" s="54"/>
    </row>
    <row r="18128" spans="31:31">
      <c r="AE18128" s="54"/>
    </row>
    <row r="18129" spans="31:31">
      <c r="AE18129" s="54"/>
    </row>
    <row r="18130" spans="31:31">
      <c r="AE18130" s="54"/>
    </row>
    <row r="18131" spans="31:31">
      <c r="AE18131" s="54"/>
    </row>
    <row r="18132" spans="31:31">
      <c r="AE18132" s="54"/>
    </row>
    <row r="18133" spans="31:31">
      <c r="AE18133" s="54"/>
    </row>
    <row r="18134" spans="31:31">
      <c r="AE18134" s="54"/>
    </row>
    <row r="18135" spans="31:31">
      <c r="AE18135" s="54"/>
    </row>
    <row r="18136" spans="31:31">
      <c r="AE18136" s="54"/>
    </row>
    <row r="18137" spans="31:31">
      <c r="AE18137" s="54"/>
    </row>
    <row r="18138" spans="31:31">
      <c r="AE18138" s="54"/>
    </row>
    <row r="18139" spans="31:31">
      <c r="AE18139" s="54"/>
    </row>
    <row r="18140" spans="31:31">
      <c r="AE18140" s="54"/>
    </row>
    <row r="18141" spans="31:31">
      <c r="AE18141" s="54"/>
    </row>
    <row r="18142" spans="31:31">
      <c r="AE18142" s="54"/>
    </row>
    <row r="18143" spans="31:31">
      <c r="AE18143" s="54"/>
    </row>
    <row r="18144" spans="31:31">
      <c r="AE18144" s="54"/>
    </row>
    <row r="18145" spans="31:31">
      <c r="AE18145" s="54"/>
    </row>
    <row r="18146" spans="31:31">
      <c r="AE18146" s="54"/>
    </row>
    <row r="18147" spans="31:31">
      <c r="AE18147" s="54"/>
    </row>
    <row r="18148" spans="31:31">
      <c r="AE18148" s="54"/>
    </row>
    <row r="18149" spans="31:31">
      <c r="AE18149" s="54"/>
    </row>
    <row r="18150" spans="31:31">
      <c r="AE18150" s="54"/>
    </row>
    <row r="18151" spans="31:31">
      <c r="AE18151" s="54"/>
    </row>
    <row r="18152" spans="31:31">
      <c r="AE18152" s="54"/>
    </row>
    <row r="18153" spans="31:31">
      <c r="AE18153" s="54"/>
    </row>
    <row r="18154" spans="31:31">
      <c r="AE18154" s="54"/>
    </row>
    <row r="18155" spans="31:31">
      <c r="AE18155" s="54"/>
    </row>
    <row r="18156" spans="31:31">
      <c r="AE18156" s="54"/>
    </row>
    <row r="18157" spans="31:31">
      <c r="AE18157" s="54"/>
    </row>
    <row r="18158" spans="31:31">
      <c r="AE18158" s="54"/>
    </row>
    <row r="18159" spans="31:31">
      <c r="AE18159" s="54"/>
    </row>
    <row r="18160" spans="31:31">
      <c r="AE18160" s="54"/>
    </row>
    <row r="18161" spans="31:31">
      <c r="AE18161" s="54"/>
    </row>
    <row r="18162" spans="31:31">
      <c r="AE18162" s="54"/>
    </row>
    <row r="18163" spans="31:31">
      <c r="AE18163" s="54"/>
    </row>
    <row r="18164" spans="31:31">
      <c r="AE18164" s="54"/>
    </row>
    <row r="18165" spans="31:31">
      <c r="AE18165" s="54"/>
    </row>
    <row r="18166" spans="31:31">
      <c r="AE18166" s="54"/>
    </row>
    <row r="18167" spans="31:31">
      <c r="AE18167" s="54"/>
    </row>
    <row r="18168" spans="31:31">
      <c r="AE18168" s="54"/>
    </row>
    <row r="18169" spans="31:31">
      <c r="AE18169" s="54"/>
    </row>
    <row r="18170" spans="31:31">
      <c r="AE18170" s="54"/>
    </row>
    <row r="18171" spans="31:31">
      <c r="AE18171" s="54"/>
    </row>
    <row r="18172" spans="31:31">
      <c r="AE18172" s="54"/>
    </row>
    <row r="18173" spans="31:31">
      <c r="AE18173" s="54"/>
    </row>
    <row r="18174" spans="31:31">
      <c r="AE18174" s="54"/>
    </row>
    <row r="18175" spans="31:31">
      <c r="AE18175" s="54"/>
    </row>
    <row r="18176" spans="31:31">
      <c r="AE18176" s="54"/>
    </row>
    <row r="18177" spans="31:31">
      <c r="AE18177" s="54"/>
    </row>
    <row r="18178" spans="31:31">
      <c r="AE18178" s="54"/>
    </row>
    <row r="18179" spans="31:31">
      <c r="AE18179" s="54"/>
    </row>
    <row r="18180" spans="31:31">
      <c r="AE18180" s="54"/>
    </row>
    <row r="18181" spans="31:31">
      <c r="AE18181" s="54"/>
    </row>
    <row r="18182" spans="31:31">
      <c r="AE18182" s="54"/>
    </row>
    <row r="18183" spans="31:31">
      <c r="AE18183" s="54"/>
    </row>
    <row r="18184" spans="31:31">
      <c r="AE18184" s="54"/>
    </row>
    <row r="18185" spans="31:31">
      <c r="AE18185" s="54"/>
    </row>
    <row r="18186" spans="31:31">
      <c r="AE18186" s="54"/>
    </row>
    <row r="18187" spans="31:31">
      <c r="AE18187" s="54"/>
    </row>
    <row r="18188" spans="31:31">
      <c r="AE18188" s="54"/>
    </row>
    <row r="18189" spans="31:31">
      <c r="AE18189" s="54"/>
    </row>
    <row r="18190" spans="31:31">
      <c r="AE18190" s="54"/>
    </row>
    <row r="18191" spans="31:31">
      <c r="AE18191" s="54"/>
    </row>
    <row r="18192" spans="31:31">
      <c r="AE18192" s="54"/>
    </row>
    <row r="18193" spans="31:31">
      <c r="AE18193" s="54"/>
    </row>
    <row r="18194" spans="31:31">
      <c r="AE18194" s="54"/>
    </row>
    <row r="18195" spans="31:31">
      <c r="AE18195" s="54"/>
    </row>
    <row r="18196" spans="31:31">
      <c r="AE18196" s="54"/>
    </row>
    <row r="18197" spans="31:31">
      <c r="AE18197" s="54"/>
    </row>
    <row r="18198" spans="31:31">
      <c r="AE18198" s="54"/>
    </row>
    <row r="18199" spans="31:31">
      <c r="AE18199" s="54"/>
    </row>
    <row r="18200" spans="31:31">
      <c r="AE18200" s="54"/>
    </row>
    <row r="18201" spans="31:31">
      <c r="AE18201" s="54"/>
    </row>
    <row r="18202" spans="31:31">
      <c r="AE18202" s="54"/>
    </row>
    <row r="18203" spans="31:31">
      <c r="AE18203" s="54"/>
    </row>
    <row r="18204" spans="31:31">
      <c r="AE18204" s="54"/>
    </row>
    <row r="18205" spans="31:31">
      <c r="AE18205" s="54"/>
    </row>
    <row r="18206" spans="31:31">
      <c r="AE18206" s="54"/>
    </row>
    <row r="18207" spans="31:31">
      <c r="AE18207" s="54"/>
    </row>
    <row r="18208" spans="31:31">
      <c r="AE18208" s="54"/>
    </row>
    <row r="18209" spans="31:31">
      <c r="AE18209" s="54"/>
    </row>
    <row r="18210" spans="31:31">
      <c r="AE18210" s="54"/>
    </row>
    <row r="18211" spans="31:31">
      <c r="AE18211" s="54"/>
    </row>
    <row r="18212" spans="31:31">
      <c r="AE18212" s="54"/>
    </row>
    <row r="18213" spans="31:31">
      <c r="AE18213" s="54"/>
    </row>
    <row r="18214" spans="31:31">
      <c r="AE18214" s="54"/>
    </row>
    <row r="18215" spans="31:31">
      <c r="AE18215" s="54"/>
    </row>
    <row r="18216" spans="31:31">
      <c r="AE18216" s="54"/>
    </row>
    <row r="18217" spans="31:31">
      <c r="AE18217" s="54"/>
    </row>
    <row r="18218" spans="31:31">
      <c r="AE18218" s="54"/>
    </row>
    <row r="18219" spans="31:31">
      <c r="AE18219" s="54"/>
    </row>
    <row r="18220" spans="31:31">
      <c r="AE18220" s="54"/>
    </row>
    <row r="18221" spans="31:31">
      <c r="AE18221" s="54"/>
    </row>
    <row r="18222" spans="31:31">
      <c r="AE18222" s="54"/>
    </row>
    <row r="18223" spans="31:31">
      <c r="AE18223" s="54"/>
    </row>
    <row r="18224" spans="31:31">
      <c r="AE18224" s="54"/>
    </row>
    <row r="18225" spans="31:31">
      <c r="AE18225" s="54"/>
    </row>
    <row r="18226" spans="31:31">
      <c r="AE18226" s="54"/>
    </row>
    <row r="18227" spans="31:31">
      <c r="AE18227" s="54"/>
    </row>
    <row r="18228" spans="31:31">
      <c r="AE18228" s="54"/>
    </row>
    <row r="18229" spans="31:31">
      <c r="AE18229" s="54"/>
    </row>
    <row r="18230" spans="31:31">
      <c r="AE18230" s="54"/>
    </row>
    <row r="18231" spans="31:31">
      <c r="AE18231" s="54"/>
    </row>
    <row r="18232" spans="31:31">
      <c r="AE18232" s="54"/>
    </row>
    <row r="18233" spans="31:31">
      <c r="AE18233" s="54"/>
    </row>
    <row r="18234" spans="31:31">
      <c r="AE18234" s="54"/>
    </row>
    <row r="18235" spans="31:31">
      <c r="AE18235" s="54"/>
    </row>
    <row r="18236" spans="31:31">
      <c r="AE18236" s="54"/>
    </row>
    <row r="18237" spans="31:31">
      <c r="AE18237" s="54"/>
    </row>
    <row r="18238" spans="31:31">
      <c r="AE18238" s="54"/>
    </row>
    <row r="18239" spans="31:31">
      <c r="AE18239" s="54"/>
    </row>
    <row r="18240" spans="31:31">
      <c r="AE18240" s="54"/>
    </row>
    <row r="18241" spans="31:31">
      <c r="AE18241" s="54"/>
    </row>
    <row r="18242" spans="31:31">
      <c r="AE18242" s="54"/>
    </row>
    <row r="18243" spans="31:31">
      <c r="AE18243" s="54"/>
    </row>
    <row r="18244" spans="31:31">
      <c r="AE18244" s="54"/>
    </row>
    <row r="18245" spans="31:31">
      <c r="AE18245" s="54"/>
    </row>
    <row r="18246" spans="31:31">
      <c r="AE18246" s="54"/>
    </row>
    <row r="18247" spans="31:31">
      <c r="AE18247" s="54"/>
    </row>
    <row r="18248" spans="31:31">
      <c r="AE18248" s="54"/>
    </row>
    <row r="18249" spans="31:31">
      <c r="AE18249" s="54"/>
    </row>
    <row r="18250" spans="31:31">
      <c r="AE18250" s="54"/>
    </row>
    <row r="18251" spans="31:31">
      <c r="AE18251" s="54"/>
    </row>
    <row r="18252" spans="31:31">
      <c r="AE18252" s="54"/>
    </row>
    <row r="18253" spans="31:31">
      <c r="AE18253" s="54"/>
    </row>
    <row r="18254" spans="31:31">
      <c r="AE18254" s="54"/>
    </row>
    <row r="18255" spans="31:31">
      <c r="AE18255" s="54"/>
    </row>
    <row r="18256" spans="31:31">
      <c r="AE18256" s="54"/>
    </row>
    <row r="18257" spans="31:31">
      <c r="AE18257" s="54"/>
    </row>
    <row r="18258" spans="31:31">
      <c r="AE18258" s="54"/>
    </row>
    <row r="18259" spans="31:31">
      <c r="AE18259" s="54"/>
    </row>
    <row r="18260" spans="31:31">
      <c r="AE18260" s="54"/>
    </row>
    <row r="18261" spans="31:31">
      <c r="AE18261" s="54"/>
    </row>
    <row r="18262" spans="31:31">
      <c r="AE18262" s="54"/>
    </row>
    <row r="18263" spans="31:31">
      <c r="AE18263" s="54"/>
    </row>
    <row r="18264" spans="31:31">
      <c r="AE18264" s="54"/>
    </row>
    <row r="18265" spans="31:31">
      <c r="AE18265" s="54"/>
    </row>
    <row r="18266" spans="31:31">
      <c r="AE18266" s="54"/>
    </row>
    <row r="18267" spans="31:31">
      <c r="AE18267" s="54"/>
    </row>
    <row r="18268" spans="31:31">
      <c r="AE18268" s="54"/>
    </row>
    <row r="18269" spans="31:31">
      <c r="AE18269" s="54"/>
    </row>
    <row r="18270" spans="31:31">
      <c r="AE18270" s="54"/>
    </row>
    <row r="18271" spans="31:31">
      <c r="AE18271" s="54"/>
    </row>
    <row r="18272" spans="31:31">
      <c r="AE18272" s="54"/>
    </row>
    <row r="18273" spans="31:31">
      <c r="AE18273" s="54"/>
    </row>
    <row r="18274" spans="31:31">
      <c r="AE18274" s="54"/>
    </row>
    <row r="18275" spans="31:31">
      <c r="AE18275" s="54"/>
    </row>
    <row r="18276" spans="31:31">
      <c r="AE18276" s="54"/>
    </row>
    <row r="18277" spans="31:31">
      <c r="AE18277" s="54"/>
    </row>
    <row r="18278" spans="31:31">
      <c r="AE18278" s="54"/>
    </row>
    <row r="18279" spans="31:31">
      <c r="AE18279" s="54"/>
    </row>
    <row r="18280" spans="31:31">
      <c r="AE18280" s="54"/>
    </row>
    <row r="18281" spans="31:31">
      <c r="AE18281" s="54"/>
    </row>
    <row r="18282" spans="31:31">
      <c r="AE18282" s="54"/>
    </row>
    <row r="18283" spans="31:31">
      <c r="AE18283" s="54"/>
    </row>
    <row r="18284" spans="31:31">
      <c r="AE18284" s="54"/>
    </row>
    <row r="18285" spans="31:31">
      <c r="AE18285" s="54"/>
    </row>
    <row r="18286" spans="31:31">
      <c r="AE18286" s="54"/>
    </row>
    <row r="18287" spans="31:31">
      <c r="AE18287" s="54"/>
    </row>
    <row r="18288" spans="31:31">
      <c r="AE18288" s="54"/>
    </row>
    <row r="18289" spans="31:31">
      <c r="AE18289" s="54"/>
    </row>
    <row r="18290" spans="31:31">
      <c r="AE18290" s="54"/>
    </row>
    <row r="18291" spans="31:31">
      <c r="AE18291" s="54"/>
    </row>
    <row r="18292" spans="31:31">
      <c r="AE18292" s="54"/>
    </row>
    <row r="18293" spans="31:31">
      <c r="AE18293" s="54"/>
    </row>
    <row r="18294" spans="31:31">
      <c r="AE18294" s="54"/>
    </row>
    <row r="18295" spans="31:31">
      <c r="AE18295" s="54"/>
    </row>
    <row r="18296" spans="31:31">
      <c r="AE18296" s="54"/>
    </row>
    <row r="18297" spans="31:31">
      <c r="AE18297" s="54"/>
    </row>
    <row r="18298" spans="31:31">
      <c r="AE18298" s="54"/>
    </row>
    <row r="18299" spans="31:31">
      <c r="AE18299" s="54"/>
    </row>
    <row r="18300" spans="31:31">
      <c r="AE18300" s="54"/>
    </row>
    <row r="18301" spans="31:31">
      <c r="AE18301" s="54"/>
    </row>
    <row r="18302" spans="31:31">
      <c r="AE18302" s="54"/>
    </row>
    <row r="18303" spans="31:31">
      <c r="AE18303" s="54"/>
    </row>
    <row r="18304" spans="31:31">
      <c r="AE18304" s="54"/>
    </row>
    <row r="18305" spans="31:31">
      <c r="AE18305" s="54"/>
    </row>
    <row r="18306" spans="31:31">
      <c r="AE18306" s="54"/>
    </row>
    <row r="18307" spans="31:31">
      <c r="AE18307" s="54"/>
    </row>
    <row r="18308" spans="31:31">
      <c r="AE18308" s="54"/>
    </row>
    <row r="18309" spans="31:31">
      <c r="AE18309" s="54"/>
    </row>
    <row r="18310" spans="31:31">
      <c r="AE18310" s="54"/>
    </row>
    <row r="18311" spans="31:31">
      <c r="AE18311" s="54"/>
    </row>
    <row r="18312" spans="31:31">
      <c r="AE18312" s="54"/>
    </row>
    <row r="18313" spans="31:31">
      <c r="AE18313" s="54"/>
    </row>
    <row r="18314" spans="31:31">
      <c r="AE18314" s="54"/>
    </row>
    <row r="18315" spans="31:31">
      <c r="AE18315" s="54"/>
    </row>
    <row r="18316" spans="31:31">
      <c r="AE18316" s="54"/>
    </row>
    <row r="18317" spans="31:31">
      <c r="AE18317" s="54"/>
    </row>
    <row r="18318" spans="31:31">
      <c r="AE18318" s="54"/>
    </row>
    <row r="18319" spans="31:31">
      <c r="AE18319" s="54"/>
    </row>
    <row r="18320" spans="31:31">
      <c r="AE18320" s="54"/>
    </row>
    <row r="18321" spans="31:31">
      <c r="AE18321" s="54"/>
    </row>
    <row r="18322" spans="31:31">
      <c r="AE18322" s="54"/>
    </row>
    <row r="18323" spans="31:31">
      <c r="AE18323" s="54"/>
    </row>
    <row r="18324" spans="31:31">
      <c r="AE18324" s="54"/>
    </row>
    <row r="18325" spans="31:31">
      <c r="AE18325" s="54"/>
    </row>
    <row r="18326" spans="31:31">
      <c r="AE18326" s="54"/>
    </row>
    <row r="18327" spans="31:31">
      <c r="AE18327" s="54"/>
    </row>
    <row r="18328" spans="31:31">
      <c r="AE18328" s="54"/>
    </row>
    <row r="18329" spans="31:31">
      <c r="AE18329" s="54"/>
    </row>
    <row r="18330" spans="31:31">
      <c r="AE18330" s="54"/>
    </row>
    <row r="18331" spans="31:31">
      <c r="AE18331" s="54"/>
    </row>
    <row r="18332" spans="31:31">
      <c r="AE18332" s="54"/>
    </row>
    <row r="18333" spans="31:31">
      <c r="AE18333" s="54"/>
    </row>
    <row r="18334" spans="31:31">
      <c r="AE18334" s="54"/>
    </row>
    <row r="18335" spans="31:31">
      <c r="AE18335" s="54"/>
    </row>
    <row r="18336" spans="31:31">
      <c r="AE18336" s="54"/>
    </row>
    <row r="18337" spans="31:31">
      <c r="AE18337" s="54"/>
    </row>
    <row r="18338" spans="31:31">
      <c r="AE18338" s="54"/>
    </row>
    <row r="18339" spans="31:31">
      <c r="AE18339" s="54"/>
    </row>
    <row r="18340" spans="31:31">
      <c r="AE18340" s="54"/>
    </row>
    <row r="18341" spans="31:31">
      <c r="AE18341" s="54"/>
    </row>
    <row r="18342" spans="31:31">
      <c r="AE18342" s="54"/>
    </row>
    <row r="18343" spans="31:31">
      <c r="AE18343" s="54"/>
    </row>
    <row r="18344" spans="31:31">
      <c r="AE18344" s="54"/>
    </row>
    <row r="18345" spans="31:31">
      <c r="AE18345" s="54"/>
    </row>
    <row r="18346" spans="31:31">
      <c r="AE18346" s="54"/>
    </row>
    <row r="18347" spans="31:31">
      <c r="AE18347" s="54"/>
    </row>
    <row r="18348" spans="31:31">
      <c r="AE18348" s="54"/>
    </row>
    <row r="18349" spans="31:31">
      <c r="AE18349" s="54"/>
    </row>
    <row r="18350" spans="31:31">
      <c r="AE18350" s="54"/>
    </row>
    <row r="18351" spans="31:31">
      <c r="AE18351" s="54"/>
    </row>
    <row r="18352" spans="31:31">
      <c r="AE18352" s="54"/>
    </row>
    <row r="18353" spans="31:31">
      <c r="AE18353" s="54"/>
    </row>
    <row r="18354" spans="31:31">
      <c r="AE18354" s="54"/>
    </row>
    <row r="18355" spans="31:31">
      <c r="AE18355" s="54"/>
    </row>
    <row r="18356" spans="31:31">
      <c r="AE18356" s="54"/>
    </row>
    <row r="18357" spans="31:31">
      <c r="AE18357" s="54"/>
    </row>
    <row r="18358" spans="31:31">
      <c r="AE18358" s="54"/>
    </row>
    <row r="18359" spans="31:31">
      <c r="AE18359" s="54"/>
    </row>
    <row r="18360" spans="31:31">
      <c r="AE18360" s="54"/>
    </row>
    <row r="18361" spans="31:31">
      <c r="AE18361" s="54"/>
    </row>
    <row r="18362" spans="31:31">
      <c r="AE18362" s="54"/>
    </row>
    <row r="18363" spans="31:31">
      <c r="AE18363" s="54"/>
    </row>
    <row r="18364" spans="31:31">
      <c r="AE18364" s="54"/>
    </row>
    <row r="18365" spans="31:31">
      <c r="AE18365" s="54"/>
    </row>
    <row r="18366" spans="31:31">
      <c r="AE18366" s="54"/>
    </row>
    <row r="18367" spans="31:31">
      <c r="AE18367" s="54"/>
    </row>
    <row r="18368" spans="31:31">
      <c r="AE18368" s="54"/>
    </row>
    <row r="18369" spans="31:31">
      <c r="AE18369" s="54"/>
    </row>
    <row r="18370" spans="31:31">
      <c r="AE18370" s="54"/>
    </row>
    <row r="18371" spans="31:31">
      <c r="AE18371" s="54"/>
    </row>
    <row r="18372" spans="31:31">
      <c r="AE18372" s="54"/>
    </row>
    <row r="18373" spans="31:31">
      <c r="AE18373" s="54"/>
    </row>
    <row r="18374" spans="31:31">
      <c r="AE18374" s="54"/>
    </row>
    <row r="18375" spans="31:31">
      <c r="AE18375" s="54"/>
    </row>
    <row r="18376" spans="31:31">
      <c r="AE18376" s="54"/>
    </row>
    <row r="18377" spans="31:31">
      <c r="AE18377" s="54"/>
    </row>
    <row r="18378" spans="31:31">
      <c r="AE18378" s="54"/>
    </row>
    <row r="18379" spans="31:31">
      <c r="AE18379" s="54"/>
    </row>
    <row r="18380" spans="31:31">
      <c r="AE18380" s="54"/>
    </row>
    <row r="18381" spans="31:31">
      <c r="AE18381" s="54"/>
    </row>
    <row r="18382" spans="31:31">
      <c r="AE18382" s="54"/>
    </row>
    <row r="18383" spans="31:31">
      <c r="AE18383" s="54"/>
    </row>
    <row r="18384" spans="31:31">
      <c r="AE18384" s="54"/>
    </row>
    <row r="18385" spans="31:31">
      <c r="AE18385" s="54"/>
    </row>
    <row r="18386" spans="31:31">
      <c r="AE18386" s="54"/>
    </row>
    <row r="18387" spans="31:31">
      <c r="AE18387" s="54"/>
    </row>
    <row r="18388" spans="31:31">
      <c r="AE18388" s="54"/>
    </row>
    <row r="18389" spans="31:31">
      <c r="AE18389" s="54"/>
    </row>
    <row r="18390" spans="31:31">
      <c r="AE18390" s="54"/>
    </row>
    <row r="18391" spans="31:31">
      <c r="AE18391" s="54"/>
    </row>
    <row r="18392" spans="31:31">
      <c r="AE18392" s="54"/>
    </row>
    <row r="18393" spans="31:31">
      <c r="AE18393" s="54"/>
    </row>
    <row r="18394" spans="31:31">
      <c r="AE18394" s="54"/>
    </row>
    <row r="18395" spans="31:31">
      <c r="AE18395" s="54"/>
    </row>
    <row r="18396" spans="31:31">
      <c r="AE18396" s="54"/>
    </row>
    <row r="18397" spans="31:31">
      <c r="AE18397" s="54"/>
    </row>
    <row r="18398" spans="31:31">
      <c r="AE18398" s="54"/>
    </row>
    <row r="18399" spans="31:31">
      <c r="AE18399" s="54"/>
    </row>
    <row r="18400" spans="31:31">
      <c r="AE18400" s="54"/>
    </row>
    <row r="18401" spans="31:31">
      <c r="AE18401" s="54"/>
    </row>
    <row r="18402" spans="31:31">
      <c r="AE18402" s="54"/>
    </row>
    <row r="18403" spans="31:31">
      <c r="AE18403" s="54"/>
    </row>
    <row r="18404" spans="31:31">
      <c r="AE18404" s="54"/>
    </row>
    <row r="18405" spans="31:31">
      <c r="AE18405" s="54"/>
    </row>
    <row r="18406" spans="31:31">
      <c r="AE18406" s="54"/>
    </row>
    <row r="18407" spans="31:31">
      <c r="AE18407" s="54"/>
    </row>
    <row r="18408" spans="31:31">
      <c r="AE18408" s="54"/>
    </row>
    <row r="18409" spans="31:31">
      <c r="AE18409" s="54"/>
    </row>
    <row r="18410" spans="31:31">
      <c r="AE18410" s="54"/>
    </row>
    <row r="18411" spans="31:31">
      <c r="AE18411" s="54"/>
    </row>
    <row r="18412" spans="31:31">
      <c r="AE18412" s="54"/>
    </row>
    <row r="18413" spans="31:31">
      <c r="AE18413" s="54"/>
    </row>
    <row r="18414" spans="31:31">
      <c r="AE18414" s="54"/>
    </row>
    <row r="18415" spans="31:31">
      <c r="AE18415" s="54"/>
    </row>
    <row r="18416" spans="31:31">
      <c r="AE18416" s="54"/>
    </row>
    <row r="18417" spans="31:31">
      <c r="AE18417" s="54"/>
    </row>
    <row r="18418" spans="31:31">
      <c r="AE18418" s="54"/>
    </row>
    <row r="18419" spans="31:31">
      <c r="AE18419" s="54"/>
    </row>
    <row r="18420" spans="31:31">
      <c r="AE18420" s="54"/>
    </row>
    <row r="18421" spans="31:31">
      <c r="AE18421" s="54"/>
    </row>
    <row r="18422" spans="31:31">
      <c r="AE18422" s="54"/>
    </row>
    <row r="18423" spans="31:31">
      <c r="AE18423" s="54"/>
    </row>
    <row r="18424" spans="31:31">
      <c r="AE18424" s="54"/>
    </row>
    <row r="18425" spans="31:31">
      <c r="AE18425" s="54"/>
    </row>
    <row r="18426" spans="31:31">
      <c r="AE18426" s="54"/>
    </row>
    <row r="18427" spans="31:31">
      <c r="AE18427" s="54"/>
    </row>
    <row r="18428" spans="31:31">
      <c r="AE18428" s="54"/>
    </row>
    <row r="18429" spans="31:31">
      <c r="AE18429" s="54"/>
    </row>
    <row r="18430" spans="31:31">
      <c r="AE18430" s="54"/>
    </row>
    <row r="18431" spans="31:31">
      <c r="AE18431" s="54"/>
    </row>
    <row r="18432" spans="31:31">
      <c r="AE18432" s="54"/>
    </row>
    <row r="18433" spans="31:31">
      <c r="AE18433" s="54"/>
    </row>
    <row r="18434" spans="31:31">
      <c r="AE18434" s="54"/>
    </row>
    <row r="18435" spans="31:31">
      <c r="AE18435" s="54"/>
    </row>
    <row r="18436" spans="31:31">
      <c r="AE18436" s="54"/>
    </row>
    <row r="18437" spans="31:31">
      <c r="AE18437" s="54"/>
    </row>
    <row r="18438" spans="31:31">
      <c r="AE18438" s="54"/>
    </row>
    <row r="18439" spans="31:31">
      <c r="AE18439" s="54"/>
    </row>
    <row r="18440" spans="31:31">
      <c r="AE18440" s="54"/>
    </row>
    <row r="18441" spans="31:31">
      <c r="AE18441" s="54"/>
    </row>
    <row r="18442" spans="31:31">
      <c r="AE18442" s="54"/>
    </row>
    <row r="18443" spans="31:31">
      <c r="AE18443" s="54"/>
    </row>
    <row r="18444" spans="31:31">
      <c r="AE18444" s="54"/>
    </row>
    <row r="18445" spans="31:31">
      <c r="AE18445" s="54"/>
    </row>
    <row r="18446" spans="31:31">
      <c r="AE18446" s="54"/>
    </row>
    <row r="18447" spans="31:31">
      <c r="AE18447" s="54"/>
    </row>
    <row r="18448" spans="31:31">
      <c r="AE18448" s="54"/>
    </row>
    <row r="18449" spans="31:31">
      <c r="AE18449" s="54"/>
    </row>
    <row r="18450" spans="31:31">
      <c r="AE18450" s="54"/>
    </row>
    <row r="18451" spans="31:31">
      <c r="AE18451" s="54"/>
    </row>
    <row r="18452" spans="31:31">
      <c r="AE18452" s="54"/>
    </row>
    <row r="18453" spans="31:31">
      <c r="AE18453" s="54"/>
    </row>
    <row r="18454" spans="31:31">
      <c r="AE18454" s="54"/>
    </row>
    <row r="18455" spans="31:31">
      <c r="AE18455" s="54"/>
    </row>
    <row r="18456" spans="31:31">
      <c r="AE18456" s="54"/>
    </row>
    <row r="18457" spans="31:31">
      <c r="AE18457" s="54"/>
    </row>
    <row r="18458" spans="31:31">
      <c r="AE18458" s="54"/>
    </row>
    <row r="18459" spans="31:31">
      <c r="AE18459" s="54"/>
    </row>
    <row r="18460" spans="31:31">
      <c r="AE18460" s="54"/>
    </row>
    <row r="18461" spans="31:31">
      <c r="AE18461" s="54"/>
    </row>
    <row r="18462" spans="31:31">
      <c r="AE18462" s="54"/>
    </row>
    <row r="18463" spans="31:31">
      <c r="AE18463" s="54"/>
    </row>
    <row r="18464" spans="31:31">
      <c r="AE18464" s="54"/>
    </row>
    <row r="18465" spans="31:31">
      <c r="AE18465" s="54"/>
    </row>
    <row r="18466" spans="31:31">
      <c r="AE18466" s="54"/>
    </row>
    <row r="18467" spans="31:31">
      <c r="AE18467" s="54"/>
    </row>
    <row r="18468" spans="31:31">
      <c r="AE18468" s="54"/>
    </row>
    <row r="18469" spans="31:31">
      <c r="AE18469" s="54"/>
    </row>
    <row r="18470" spans="31:31">
      <c r="AE18470" s="54"/>
    </row>
    <row r="18471" spans="31:31">
      <c r="AE18471" s="54"/>
    </row>
    <row r="18472" spans="31:31">
      <c r="AE18472" s="54"/>
    </row>
    <row r="18473" spans="31:31">
      <c r="AE18473" s="54"/>
    </row>
    <row r="18474" spans="31:31">
      <c r="AE18474" s="54"/>
    </row>
    <row r="18475" spans="31:31">
      <c r="AE18475" s="54"/>
    </row>
    <row r="18476" spans="31:31">
      <c r="AE18476" s="54"/>
    </row>
    <row r="18477" spans="31:31">
      <c r="AE18477" s="54"/>
    </row>
    <row r="18478" spans="31:31">
      <c r="AE18478" s="54"/>
    </row>
    <row r="18479" spans="31:31">
      <c r="AE18479" s="54"/>
    </row>
    <row r="18480" spans="31:31">
      <c r="AE18480" s="54"/>
    </row>
    <row r="18481" spans="31:31">
      <c r="AE18481" s="54"/>
    </row>
    <row r="18482" spans="31:31">
      <c r="AE18482" s="54"/>
    </row>
    <row r="18483" spans="31:31">
      <c r="AE18483" s="54"/>
    </row>
    <row r="18484" spans="31:31">
      <c r="AE18484" s="54"/>
    </row>
    <row r="18485" spans="31:31">
      <c r="AE18485" s="54"/>
    </row>
    <row r="18486" spans="31:31">
      <c r="AE18486" s="54"/>
    </row>
    <row r="18487" spans="31:31">
      <c r="AE18487" s="54"/>
    </row>
    <row r="18488" spans="31:31">
      <c r="AE18488" s="54"/>
    </row>
    <row r="18489" spans="31:31">
      <c r="AE18489" s="54"/>
    </row>
    <row r="18490" spans="31:31">
      <c r="AE18490" s="54"/>
    </row>
    <row r="18491" spans="31:31">
      <c r="AE18491" s="54"/>
    </row>
    <row r="18492" spans="31:31">
      <c r="AE18492" s="54"/>
    </row>
    <row r="18493" spans="31:31">
      <c r="AE18493" s="54"/>
    </row>
    <row r="18494" spans="31:31">
      <c r="AE18494" s="54"/>
    </row>
    <row r="18495" spans="31:31">
      <c r="AE18495" s="54"/>
    </row>
    <row r="18496" spans="31:31">
      <c r="AE18496" s="54"/>
    </row>
    <row r="18497" spans="31:31">
      <c r="AE18497" s="54"/>
    </row>
    <row r="18498" spans="31:31">
      <c r="AE18498" s="54"/>
    </row>
    <row r="18499" spans="31:31">
      <c r="AE18499" s="54"/>
    </row>
    <row r="18500" spans="31:31">
      <c r="AE18500" s="54"/>
    </row>
    <row r="18501" spans="31:31">
      <c r="AE18501" s="54"/>
    </row>
    <row r="18502" spans="31:31">
      <c r="AE18502" s="54"/>
    </row>
    <row r="18503" spans="31:31">
      <c r="AE18503" s="54"/>
    </row>
    <row r="18504" spans="31:31">
      <c r="AE18504" s="54"/>
    </row>
    <row r="18505" spans="31:31">
      <c r="AE18505" s="54"/>
    </row>
    <row r="18506" spans="31:31">
      <c r="AE18506" s="54"/>
    </row>
    <row r="18507" spans="31:31">
      <c r="AE18507" s="54"/>
    </row>
    <row r="18508" spans="31:31">
      <c r="AE18508" s="54"/>
    </row>
    <row r="18509" spans="31:31">
      <c r="AE18509" s="54"/>
    </row>
    <row r="18510" spans="31:31">
      <c r="AE18510" s="54"/>
    </row>
    <row r="18511" spans="31:31">
      <c r="AE18511" s="54"/>
    </row>
    <row r="18512" spans="31:31">
      <c r="AE18512" s="54"/>
    </row>
    <row r="18513" spans="31:31">
      <c r="AE18513" s="54"/>
    </row>
    <row r="18514" spans="31:31">
      <c r="AE18514" s="54"/>
    </row>
    <row r="18515" spans="31:31">
      <c r="AE18515" s="54"/>
    </row>
    <row r="18516" spans="31:31">
      <c r="AE18516" s="54"/>
    </row>
    <row r="18517" spans="31:31">
      <c r="AE18517" s="54"/>
    </row>
    <row r="18518" spans="31:31">
      <c r="AE18518" s="54"/>
    </row>
    <row r="18519" spans="31:31">
      <c r="AE18519" s="54"/>
    </row>
    <row r="18520" spans="31:31">
      <c r="AE18520" s="54"/>
    </row>
    <row r="18521" spans="31:31">
      <c r="AE18521" s="54"/>
    </row>
    <row r="18522" spans="31:31">
      <c r="AE18522" s="54"/>
    </row>
    <row r="18523" spans="31:31">
      <c r="AE18523" s="54"/>
    </row>
    <row r="18524" spans="31:31">
      <c r="AE18524" s="54"/>
    </row>
    <row r="18525" spans="31:31">
      <c r="AE18525" s="54"/>
    </row>
    <row r="18526" spans="31:31">
      <c r="AE18526" s="54"/>
    </row>
    <row r="18527" spans="31:31">
      <c r="AE18527" s="54"/>
    </row>
    <row r="18528" spans="31:31">
      <c r="AE18528" s="54"/>
    </row>
    <row r="18529" spans="31:31">
      <c r="AE18529" s="54"/>
    </row>
    <row r="18530" spans="31:31">
      <c r="AE18530" s="54"/>
    </row>
    <row r="18531" spans="31:31">
      <c r="AE18531" s="54"/>
    </row>
    <row r="18532" spans="31:31">
      <c r="AE18532" s="54"/>
    </row>
    <row r="18533" spans="31:31">
      <c r="AE18533" s="54"/>
    </row>
    <row r="18534" spans="31:31">
      <c r="AE18534" s="54"/>
    </row>
    <row r="18535" spans="31:31">
      <c r="AE18535" s="54"/>
    </row>
    <row r="18536" spans="31:31">
      <c r="AE18536" s="54"/>
    </row>
    <row r="18537" spans="31:31">
      <c r="AE18537" s="54"/>
    </row>
    <row r="18538" spans="31:31">
      <c r="AE18538" s="54"/>
    </row>
    <row r="18539" spans="31:31">
      <c r="AE18539" s="54"/>
    </row>
    <row r="18540" spans="31:31">
      <c r="AE18540" s="54"/>
    </row>
    <row r="18541" spans="31:31">
      <c r="AE18541" s="54"/>
    </row>
    <row r="18542" spans="31:31">
      <c r="AE18542" s="54"/>
    </row>
    <row r="18543" spans="31:31">
      <c r="AE18543" s="54"/>
    </row>
    <row r="18544" spans="31:31">
      <c r="AE18544" s="54"/>
    </row>
    <row r="18545" spans="31:31">
      <c r="AE18545" s="54"/>
    </row>
    <row r="18546" spans="31:31">
      <c r="AE18546" s="54"/>
    </row>
    <row r="18547" spans="31:31">
      <c r="AE18547" s="54"/>
    </row>
    <row r="18548" spans="31:31">
      <c r="AE18548" s="54"/>
    </row>
    <row r="18549" spans="31:31">
      <c r="AE18549" s="54"/>
    </row>
    <row r="18550" spans="31:31">
      <c r="AE18550" s="54"/>
    </row>
    <row r="18551" spans="31:31">
      <c r="AE18551" s="54"/>
    </row>
    <row r="18552" spans="31:31">
      <c r="AE18552" s="54"/>
    </row>
    <row r="18553" spans="31:31">
      <c r="AE18553" s="54"/>
    </row>
    <row r="18554" spans="31:31">
      <c r="AE18554" s="54"/>
    </row>
    <row r="18555" spans="31:31">
      <c r="AE18555" s="54"/>
    </row>
    <row r="18556" spans="31:31">
      <c r="AE18556" s="54"/>
    </row>
    <row r="18557" spans="31:31">
      <c r="AE18557" s="54"/>
    </row>
    <row r="18558" spans="31:31">
      <c r="AE18558" s="54"/>
    </row>
    <row r="18559" spans="31:31">
      <c r="AE18559" s="54"/>
    </row>
    <row r="18560" spans="31:31">
      <c r="AE18560" s="54"/>
    </row>
    <row r="18561" spans="31:31">
      <c r="AE18561" s="54"/>
    </row>
    <row r="18562" spans="31:31">
      <c r="AE18562" s="54"/>
    </row>
    <row r="18563" spans="31:31">
      <c r="AE18563" s="54"/>
    </row>
    <row r="18564" spans="31:31">
      <c r="AE18564" s="54"/>
    </row>
    <row r="18565" spans="31:31">
      <c r="AE18565" s="54"/>
    </row>
    <row r="18566" spans="31:31">
      <c r="AE18566" s="54"/>
    </row>
    <row r="18567" spans="31:31">
      <c r="AE18567" s="54"/>
    </row>
    <row r="18568" spans="31:31">
      <c r="AE18568" s="54"/>
    </row>
    <row r="18569" spans="31:31">
      <c r="AE18569" s="54"/>
    </row>
    <row r="18570" spans="31:31">
      <c r="AE18570" s="54"/>
    </row>
    <row r="18571" spans="31:31">
      <c r="AE18571" s="54"/>
    </row>
    <row r="18572" spans="31:31">
      <c r="AE18572" s="54"/>
    </row>
    <row r="18573" spans="31:31">
      <c r="AE18573" s="54"/>
    </row>
    <row r="18574" spans="31:31">
      <c r="AE18574" s="54"/>
    </row>
    <row r="18575" spans="31:31">
      <c r="AE18575" s="54"/>
    </row>
    <row r="18576" spans="31:31">
      <c r="AE18576" s="54"/>
    </row>
    <row r="18577" spans="31:31">
      <c r="AE18577" s="54"/>
    </row>
    <row r="18578" spans="31:31">
      <c r="AE18578" s="54"/>
    </row>
    <row r="18579" spans="31:31">
      <c r="AE18579" s="54"/>
    </row>
    <row r="18580" spans="31:31">
      <c r="AE18580" s="54"/>
    </row>
    <row r="18581" spans="31:31">
      <c r="AE18581" s="54"/>
    </row>
    <row r="18582" spans="31:31">
      <c r="AE18582" s="54"/>
    </row>
    <row r="18583" spans="31:31">
      <c r="AE18583" s="54"/>
    </row>
    <row r="18584" spans="31:31">
      <c r="AE18584" s="54"/>
    </row>
    <row r="18585" spans="31:31">
      <c r="AE18585" s="54"/>
    </row>
    <row r="18586" spans="31:31">
      <c r="AE18586" s="54"/>
    </row>
    <row r="18587" spans="31:31">
      <c r="AE18587" s="54"/>
    </row>
    <row r="18588" spans="31:31">
      <c r="AE18588" s="54"/>
    </row>
    <row r="18589" spans="31:31">
      <c r="AE18589" s="54"/>
    </row>
    <row r="18590" spans="31:31">
      <c r="AE18590" s="54"/>
    </row>
    <row r="18591" spans="31:31">
      <c r="AE18591" s="54"/>
    </row>
    <row r="18592" spans="31:31">
      <c r="AE18592" s="54"/>
    </row>
    <row r="18593" spans="31:31">
      <c r="AE18593" s="54"/>
    </row>
    <row r="18594" spans="31:31">
      <c r="AE18594" s="54"/>
    </row>
    <row r="18595" spans="31:31">
      <c r="AE18595" s="54"/>
    </row>
    <row r="18596" spans="31:31">
      <c r="AE18596" s="54"/>
    </row>
    <row r="18597" spans="31:31">
      <c r="AE18597" s="54"/>
    </row>
    <row r="18598" spans="31:31">
      <c r="AE18598" s="54"/>
    </row>
    <row r="18599" spans="31:31">
      <c r="AE18599" s="54"/>
    </row>
    <row r="18600" spans="31:31">
      <c r="AE18600" s="54"/>
    </row>
    <row r="18601" spans="31:31">
      <c r="AE18601" s="54"/>
    </row>
    <row r="18602" spans="31:31">
      <c r="AE18602" s="54"/>
    </row>
    <row r="18603" spans="31:31">
      <c r="AE18603" s="54"/>
    </row>
    <row r="18604" spans="31:31">
      <c r="AE18604" s="54"/>
    </row>
    <row r="18605" spans="31:31">
      <c r="AE18605" s="54"/>
    </row>
    <row r="18606" spans="31:31">
      <c r="AE18606" s="54"/>
    </row>
    <row r="18607" spans="31:31">
      <c r="AE18607" s="54"/>
    </row>
    <row r="18608" spans="31:31">
      <c r="AE18608" s="54"/>
    </row>
    <row r="18609" spans="31:31">
      <c r="AE18609" s="54"/>
    </row>
    <row r="18610" spans="31:31">
      <c r="AE18610" s="54"/>
    </row>
    <row r="18611" spans="31:31">
      <c r="AE18611" s="54"/>
    </row>
    <row r="18612" spans="31:31">
      <c r="AE18612" s="54"/>
    </row>
    <row r="18613" spans="31:31">
      <c r="AE18613" s="54"/>
    </row>
    <row r="18614" spans="31:31">
      <c r="AE18614" s="54"/>
    </row>
    <row r="18615" spans="31:31">
      <c r="AE18615" s="54"/>
    </row>
    <row r="18616" spans="31:31">
      <c r="AE18616" s="54"/>
    </row>
    <row r="18617" spans="31:31">
      <c r="AE18617" s="54"/>
    </row>
    <row r="18618" spans="31:31">
      <c r="AE18618" s="54"/>
    </row>
    <row r="18619" spans="31:31">
      <c r="AE18619" s="54"/>
    </row>
    <row r="18620" spans="31:31">
      <c r="AE18620" s="54"/>
    </row>
    <row r="18621" spans="31:31">
      <c r="AE18621" s="54"/>
    </row>
    <row r="18622" spans="31:31">
      <c r="AE18622" s="54"/>
    </row>
    <row r="18623" spans="31:31">
      <c r="AE18623" s="54"/>
    </row>
    <row r="18624" spans="31:31">
      <c r="AE18624" s="54"/>
    </row>
    <row r="18625" spans="31:31">
      <c r="AE18625" s="54"/>
    </row>
    <row r="18626" spans="31:31">
      <c r="AE18626" s="54"/>
    </row>
    <row r="18627" spans="31:31">
      <c r="AE18627" s="54"/>
    </row>
    <row r="18628" spans="31:31">
      <c r="AE18628" s="54"/>
    </row>
    <row r="18629" spans="31:31">
      <c r="AE18629" s="54"/>
    </row>
    <row r="18630" spans="31:31">
      <c r="AE18630" s="54"/>
    </row>
    <row r="18631" spans="31:31">
      <c r="AE18631" s="54"/>
    </row>
    <row r="18632" spans="31:31">
      <c r="AE18632" s="54"/>
    </row>
    <row r="18633" spans="31:31">
      <c r="AE18633" s="54"/>
    </row>
    <row r="18634" spans="31:31">
      <c r="AE18634" s="54"/>
    </row>
    <row r="18635" spans="31:31">
      <c r="AE18635" s="54"/>
    </row>
    <row r="18636" spans="31:31">
      <c r="AE18636" s="54"/>
    </row>
    <row r="18637" spans="31:31">
      <c r="AE18637" s="54"/>
    </row>
    <row r="18638" spans="31:31">
      <c r="AE18638" s="54"/>
    </row>
    <row r="18639" spans="31:31">
      <c r="AE18639" s="54"/>
    </row>
    <row r="18640" spans="31:31">
      <c r="AE18640" s="54"/>
    </row>
    <row r="18641" spans="31:31">
      <c r="AE18641" s="54"/>
    </row>
    <row r="18642" spans="31:31">
      <c r="AE18642" s="54"/>
    </row>
    <row r="18643" spans="31:31">
      <c r="AE18643" s="54"/>
    </row>
    <row r="18644" spans="31:31">
      <c r="AE18644" s="54"/>
    </row>
    <row r="18645" spans="31:31">
      <c r="AE18645" s="54"/>
    </row>
    <row r="18646" spans="31:31">
      <c r="AE18646" s="54"/>
    </row>
    <row r="18647" spans="31:31">
      <c r="AE18647" s="54"/>
    </row>
    <row r="18648" spans="31:31">
      <c r="AE18648" s="54"/>
    </row>
    <row r="18649" spans="31:31">
      <c r="AE18649" s="54"/>
    </row>
    <row r="18650" spans="31:31">
      <c r="AE18650" s="54"/>
    </row>
    <row r="18651" spans="31:31">
      <c r="AE18651" s="54"/>
    </row>
    <row r="18652" spans="31:31">
      <c r="AE18652" s="54"/>
    </row>
    <row r="18653" spans="31:31">
      <c r="AE18653" s="54"/>
    </row>
    <row r="18654" spans="31:31">
      <c r="AE18654" s="54"/>
    </row>
    <row r="18655" spans="31:31">
      <c r="AE18655" s="54"/>
    </row>
    <row r="18656" spans="31:31">
      <c r="AE18656" s="54"/>
    </row>
    <row r="18657" spans="31:31">
      <c r="AE18657" s="54"/>
    </row>
    <row r="18658" spans="31:31">
      <c r="AE18658" s="54"/>
    </row>
    <row r="18659" spans="31:31">
      <c r="AE18659" s="54"/>
    </row>
    <row r="18660" spans="31:31">
      <c r="AE18660" s="54"/>
    </row>
    <row r="18661" spans="31:31">
      <c r="AE18661" s="54"/>
    </row>
    <row r="18662" spans="31:31">
      <c r="AE18662" s="54"/>
    </row>
    <row r="18663" spans="31:31">
      <c r="AE18663" s="54"/>
    </row>
    <row r="18664" spans="31:31">
      <c r="AE18664" s="54"/>
    </row>
    <row r="18665" spans="31:31">
      <c r="AE18665" s="54"/>
    </row>
    <row r="18666" spans="31:31">
      <c r="AE18666" s="54"/>
    </row>
    <row r="18667" spans="31:31">
      <c r="AE18667" s="54"/>
    </row>
    <row r="18668" spans="31:31">
      <c r="AE18668" s="54"/>
    </row>
    <row r="18669" spans="31:31">
      <c r="AE18669" s="54"/>
    </row>
    <row r="18670" spans="31:31">
      <c r="AE18670" s="54"/>
    </row>
    <row r="18671" spans="31:31">
      <c r="AE18671" s="54"/>
    </row>
    <row r="18672" spans="31:31">
      <c r="AE18672" s="54"/>
    </row>
    <row r="18673" spans="31:31">
      <c r="AE18673" s="54"/>
    </row>
    <row r="18674" spans="31:31">
      <c r="AE18674" s="54"/>
    </row>
    <row r="18675" spans="31:31">
      <c r="AE18675" s="54"/>
    </row>
    <row r="18676" spans="31:31">
      <c r="AE18676" s="54"/>
    </row>
    <row r="18677" spans="31:31">
      <c r="AE18677" s="54"/>
    </row>
    <row r="18678" spans="31:31">
      <c r="AE18678" s="54"/>
    </row>
    <row r="18679" spans="31:31">
      <c r="AE18679" s="54"/>
    </row>
    <row r="18680" spans="31:31">
      <c r="AE18680" s="54"/>
    </row>
    <row r="18681" spans="31:31">
      <c r="AE18681" s="54"/>
    </row>
    <row r="18682" spans="31:31">
      <c r="AE18682" s="54"/>
    </row>
    <row r="18683" spans="31:31">
      <c r="AE18683" s="54"/>
    </row>
    <row r="18684" spans="31:31">
      <c r="AE18684" s="54"/>
    </row>
    <row r="18685" spans="31:31">
      <c r="AE18685" s="54"/>
    </row>
    <row r="18686" spans="31:31">
      <c r="AE18686" s="54"/>
    </row>
    <row r="18687" spans="31:31">
      <c r="AE18687" s="54"/>
    </row>
    <row r="18688" spans="31:31">
      <c r="AE18688" s="54"/>
    </row>
    <row r="18689" spans="31:31">
      <c r="AE18689" s="54"/>
    </row>
    <row r="18690" spans="31:31">
      <c r="AE18690" s="54"/>
    </row>
    <row r="18691" spans="31:31">
      <c r="AE18691" s="54"/>
    </row>
    <row r="18692" spans="31:31">
      <c r="AE18692" s="54"/>
    </row>
    <row r="18693" spans="31:31">
      <c r="AE18693" s="54"/>
    </row>
    <row r="18694" spans="31:31">
      <c r="AE18694" s="54"/>
    </row>
    <row r="18695" spans="31:31">
      <c r="AE18695" s="54"/>
    </row>
    <row r="18696" spans="31:31">
      <c r="AE18696" s="54"/>
    </row>
    <row r="18697" spans="31:31">
      <c r="AE18697" s="54"/>
    </row>
    <row r="18698" spans="31:31">
      <c r="AE18698" s="54"/>
    </row>
    <row r="18699" spans="31:31">
      <c r="AE18699" s="54"/>
    </row>
    <row r="18700" spans="31:31">
      <c r="AE18700" s="54"/>
    </row>
    <row r="18701" spans="31:31">
      <c r="AE18701" s="54"/>
    </row>
    <row r="18702" spans="31:31">
      <c r="AE18702" s="54"/>
    </row>
    <row r="18703" spans="31:31">
      <c r="AE18703" s="54"/>
    </row>
    <row r="18704" spans="31:31">
      <c r="AE18704" s="54"/>
    </row>
    <row r="18705" spans="31:31">
      <c r="AE18705" s="54"/>
    </row>
    <row r="18706" spans="31:31">
      <c r="AE18706" s="54"/>
    </row>
    <row r="18707" spans="31:31">
      <c r="AE18707" s="54"/>
    </row>
    <row r="18708" spans="31:31">
      <c r="AE18708" s="54"/>
    </row>
    <row r="18709" spans="31:31">
      <c r="AE18709" s="54"/>
    </row>
    <row r="18710" spans="31:31">
      <c r="AE18710" s="54"/>
    </row>
    <row r="18711" spans="31:31">
      <c r="AE18711" s="54"/>
    </row>
    <row r="18712" spans="31:31">
      <c r="AE18712" s="54"/>
    </row>
    <row r="18713" spans="31:31">
      <c r="AE18713" s="54"/>
    </row>
    <row r="18714" spans="31:31">
      <c r="AE18714" s="54"/>
    </row>
    <row r="18715" spans="31:31">
      <c r="AE18715" s="54"/>
    </row>
    <row r="18716" spans="31:31">
      <c r="AE18716" s="54"/>
    </row>
    <row r="18717" spans="31:31">
      <c r="AE18717" s="54"/>
    </row>
    <row r="18718" spans="31:31">
      <c r="AE18718" s="54"/>
    </row>
    <row r="18719" spans="31:31">
      <c r="AE18719" s="54"/>
    </row>
    <row r="18720" spans="31:31">
      <c r="AE18720" s="54"/>
    </row>
    <row r="18721" spans="31:31">
      <c r="AE18721" s="54"/>
    </row>
    <row r="18722" spans="31:31">
      <c r="AE18722" s="54"/>
    </row>
    <row r="18723" spans="31:31">
      <c r="AE18723" s="54"/>
    </row>
    <row r="18724" spans="31:31">
      <c r="AE18724" s="54"/>
    </row>
    <row r="18725" spans="31:31">
      <c r="AE18725" s="54"/>
    </row>
    <row r="18726" spans="31:31">
      <c r="AE18726" s="54"/>
    </row>
    <row r="18727" spans="31:31">
      <c r="AE18727" s="54"/>
    </row>
    <row r="18728" spans="31:31">
      <c r="AE18728" s="54"/>
    </row>
    <row r="18729" spans="31:31">
      <c r="AE18729" s="54"/>
    </row>
    <row r="18730" spans="31:31">
      <c r="AE18730" s="54"/>
    </row>
    <row r="18731" spans="31:31">
      <c r="AE18731" s="54"/>
    </row>
    <row r="18732" spans="31:31">
      <c r="AE18732" s="54"/>
    </row>
    <row r="18733" spans="31:31">
      <c r="AE18733" s="54"/>
    </row>
    <row r="18734" spans="31:31">
      <c r="AE18734" s="54"/>
    </row>
    <row r="18735" spans="31:31">
      <c r="AE18735" s="54"/>
    </row>
    <row r="18736" spans="31:31">
      <c r="AE18736" s="54"/>
    </row>
    <row r="18737" spans="31:31">
      <c r="AE18737" s="54"/>
    </row>
    <row r="18738" spans="31:31">
      <c r="AE18738" s="54"/>
    </row>
    <row r="18739" spans="31:31">
      <c r="AE18739" s="54"/>
    </row>
    <row r="18740" spans="31:31">
      <c r="AE18740" s="54"/>
    </row>
    <row r="18741" spans="31:31">
      <c r="AE18741" s="54"/>
    </row>
    <row r="18742" spans="31:31">
      <c r="AE18742" s="54"/>
    </row>
    <row r="18743" spans="31:31">
      <c r="AE18743" s="54"/>
    </row>
    <row r="18744" spans="31:31">
      <c r="AE18744" s="54"/>
    </row>
    <row r="18745" spans="31:31">
      <c r="AE18745" s="54"/>
    </row>
    <row r="18746" spans="31:31">
      <c r="AE18746" s="54"/>
    </row>
    <row r="18747" spans="31:31">
      <c r="AE18747" s="54"/>
    </row>
    <row r="18748" spans="31:31">
      <c r="AE18748" s="54"/>
    </row>
    <row r="18749" spans="31:31">
      <c r="AE18749" s="54"/>
    </row>
    <row r="18750" spans="31:31">
      <c r="AE18750" s="54"/>
    </row>
    <row r="18751" spans="31:31">
      <c r="AE18751" s="54"/>
    </row>
    <row r="18752" spans="31:31">
      <c r="AE18752" s="54"/>
    </row>
    <row r="18753" spans="31:31">
      <c r="AE18753" s="54"/>
    </row>
    <row r="18754" spans="31:31">
      <c r="AE18754" s="54"/>
    </row>
    <row r="18755" spans="31:31">
      <c r="AE18755" s="54"/>
    </row>
    <row r="18756" spans="31:31">
      <c r="AE18756" s="54"/>
    </row>
    <row r="18757" spans="31:31">
      <c r="AE18757" s="54"/>
    </row>
    <row r="18758" spans="31:31">
      <c r="AE18758" s="54"/>
    </row>
    <row r="18759" spans="31:31">
      <c r="AE18759" s="54"/>
    </row>
    <row r="18760" spans="31:31">
      <c r="AE18760" s="54"/>
    </row>
    <row r="18761" spans="31:31">
      <c r="AE18761" s="54"/>
    </row>
    <row r="18762" spans="31:31">
      <c r="AE18762" s="54"/>
    </row>
    <row r="18763" spans="31:31">
      <c r="AE18763" s="54"/>
    </row>
    <row r="18764" spans="31:31">
      <c r="AE18764" s="54"/>
    </row>
    <row r="18765" spans="31:31">
      <c r="AE18765" s="54"/>
    </row>
    <row r="18766" spans="31:31">
      <c r="AE18766" s="54"/>
    </row>
    <row r="18767" spans="31:31">
      <c r="AE18767" s="54"/>
    </row>
    <row r="18768" spans="31:31">
      <c r="AE18768" s="54"/>
    </row>
    <row r="18769" spans="31:31">
      <c r="AE18769" s="54"/>
    </row>
    <row r="18770" spans="31:31">
      <c r="AE18770" s="54"/>
    </row>
    <row r="18771" spans="31:31">
      <c r="AE18771" s="54"/>
    </row>
    <row r="18772" spans="31:31">
      <c r="AE18772" s="54"/>
    </row>
    <row r="18773" spans="31:31">
      <c r="AE18773" s="54"/>
    </row>
    <row r="18774" spans="31:31">
      <c r="AE18774" s="54"/>
    </row>
    <row r="18775" spans="31:31">
      <c r="AE18775" s="54"/>
    </row>
    <row r="18776" spans="31:31">
      <c r="AE18776" s="54"/>
    </row>
    <row r="18777" spans="31:31">
      <c r="AE18777" s="54"/>
    </row>
    <row r="18778" spans="31:31">
      <c r="AE18778" s="54"/>
    </row>
    <row r="18779" spans="31:31">
      <c r="AE18779" s="54"/>
    </row>
    <row r="18780" spans="31:31">
      <c r="AE18780" s="54"/>
    </row>
    <row r="18781" spans="31:31">
      <c r="AE18781" s="54"/>
    </row>
    <row r="18782" spans="31:31">
      <c r="AE18782" s="54"/>
    </row>
    <row r="18783" spans="31:31">
      <c r="AE18783" s="54"/>
    </row>
    <row r="18784" spans="31:31">
      <c r="AE18784" s="54"/>
    </row>
    <row r="18785" spans="31:31">
      <c r="AE18785" s="54"/>
    </row>
    <row r="18786" spans="31:31">
      <c r="AE18786" s="54"/>
    </row>
    <row r="18787" spans="31:31">
      <c r="AE18787" s="54"/>
    </row>
    <row r="18788" spans="31:31">
      <c r="AE18788" s="54"/>
    </row>
    <row r="18789" spans="31:31">
      <c r="AE18789" s="54"/>
    </row>
    <row r="18790" spans="31:31">
      <c r="AE18790" s="54"/>
    </row>
    <row r="18791" spans="31:31">
      <c r="AE18791" s="54"/>
    </row>
    <row r="18792" spans="31:31">
      <c r="AE18792" s="54"/>
    </row>
    <row r="18793" spans="31:31">
      <c r="AE18793" s="54"/>
    </row>
    <row r="18794" spans="31:31">
      <c r="AE18794" s="54"/>
    </row>
    <row r="18795" spans="31:31">
      <c r="AE18795" s="54"/>
    </row>
    <row r="18796" spans="31:31">
      <c r="AE18796" s="54"/>
    </row>
    <row r="18797" spans="31:31">
      <c r="AE18797" s="54"/>
    </row>
    <row r="18798" spans="31:31">
      <c r="AE18798" s="54"/>
    </row>
    <row r="18799" spans="31:31">
      <c r="AE18799" s="54"/>
    </row>
    <row r="18800" spans="31:31">
      <c r="AE18800" s="54"/>
    </row>
    <row r="18801" spans="31:31">
      <c r="AE18801" s="54"/>
    </row>
    <row r="18802" spans="31:31">
      <c r="AE18802" s="54"/>
    </row>
    <row r="18803" spans="31:31">
      <c r="AE18803" s="54"/>
    </row>
    <row r="18804" spans="31:31">
      <c r="AE18804" s="54"/>
    </row>
    <row r="18805" spans="31:31">
      <c r="AE18805" s="54"/>
    </row>
    <row r="18806" spans="31:31">
      <c r="AE18806" s="54"/>
    </row>
    <row r="18807" spans="31:31">
      <c r="AE18807" s="54"/>
    </row>
    <row r="18808" spans="31:31">
      <c r="AE18808" s="54"/>
    </row>
    <row r="18809" spans="31:31">
      <c r="AE18809" s="54"/>
    </row>
    <row r="18810" spans="31:31">
      <c r="AE18810" s="54"/>
    </row>
    <row r="18811" spans="31:31">
      <c r="AE18811" s="54"/>
    </row>
    <row r="18812" spans="31:31">
      <c r="AE18812" s="54"/>
    </row>
    <row r="18813" spans="31:31">
      <c r="AE18813" s="54"/>
    </row>
    <row r="18814" spans="31:31">
      <c r="AE18814" s="54"/>
    </row>
    <row r="18815" spans="31:31">
      <c r="AE18815" s="54"/>
    </row>
    <row r="18816" spans="31:31">
      <c r="AE18816" s="54"/>
    </row>
    <row r="18817" spans="31:31">
      <c r="AE18817" s="54"/>
    </row>
    <row r="18818" spans="31:31">
      <c r="AE18818" s="54"/>
    </row>
    <row r="18819" spans="31:31">
      <c r="AE18819" s="54"/>
    </row>
    <row r="18820" spans="31:31">
      <c r="AE18820" s="54"/>
    </row>
    <row r="18821" spans="31:31">
      <c r="AE18821" s="54"/>
    </row>
    <row r="18822" spans="31:31">
      <c r="AE18822" s="54"/>
    </row>
    <row r="18823" spans="31:31">
      <c r="AE18823" s="54"/>
    </row>
    <row r="18824" spans="31:31">
      <c r="AE18824" s="54"/>
    </row>
    <row r="18825" spans="31:31">
      <c r="AE18825" s="54"/>
    </row>
    <row r="18826" spans="31:31">
      <c r="AE18826" s="54"/>
    </row>
    <row r="18827" spans="31:31">
      <c r="AE18827" s="54"/>
    </row>
    <row r="18828" spans="31:31">
      <c r="AE18828" s="54"/>
    </row>
    <row r="18829" spans="31:31">
      <c r="AE18829" s="54"/>
    </row>
    <row r="18830" spans="31:31">
      <c r="AE18830" s="54"/>
    </row>
    <row r="18831" spans="31:31">
      <c r="AE18831" s="54"/>
    </row>
    <row r="18832" spans="31:31">
      <c r="AE18832" s="54"/>
    </row>
    <row r="18833" spans="31:31">
      <c r="AE18833" s="54"/>
    </row>
    <row r="18834" spans="31:31">
      <c r="AE18834" s="54"/>
    </row>
    <row r="18835" spans="31:31">
      <c r="AE18835" s="54"/>
    </row>
    <row r="18836" spans="31:31">
      <c r="AE18836" s="54"/>
    </row>
    <row r="18837" spans="31:31">
      <c r="AE18837" s="54"/>
    </row>
    <row r="18838" spans="31:31">
      <c r="AE18838" s="54"/>
    </row>
    <row r="18839" spans="31:31">
      <c r="AE18839" s="54"/>
    </row>
    <row r="18840" spans="31:31">
      <c r="AE18840" s="54"/>
    </row>
    <row r="18841" spans="31:31">
      <c r="AE18841" s="54"/>
    </row>
    <row r="18842" spans="31:31">
      <c r="AE18842" s="54"/>
    </row>
    <row r="18843" spans="31:31">
      <c r="AE18843" s="54"/>
    </row>
    <row r="18844" spans="31:31">
      <c r="AE18844" s="54"/>
    </row>
    <row r="18845" spans="31:31">
      <c r="AE18845" s="54"/>
    </row>
    <row r="18846" spans="31:31">
      <c r="AE18846" s="54"/>
    </row>
    <row r="18847" spans="31:31">
      <c r="AE18847" s="54"/>
    </row>
    <row r="18848" spans="31:31">
      <c r="AE18848" s="54"/>
    </row>
    <row r="18849" spans="31:31">
      <c r="AE18849" s="54"/>
    </row>
    <row r="18850" spans="31:31">
      <c r="AE18850" s="54"/>
    </row>
    <row r="18851" spans="31:31">
      <c r="AE18851" s="54"/>
    </row>
    <row r="18852" spans="31:31">
      <c r="AE18852" s="54"/>
    </row>
    <row r="18853" spans="31:31">
      <c r="AE18853" s="54"/>
    </row>
    <row r="18854" spans="31:31">
      <c r="AE18854" s="54"/>
    </row>
    <row r="18855" spans="31:31">
      <c r="AE18855" s="54"/>
    </row>
    <row r="18856" spans="31:31">
      <c r="AE18856" s="54"/>
    </row>
    <row r="18857" spans="31:31">
      <c r="AE18857" s="54"/>
    </row>
    <row r="18858" spans="31:31">
      <c r="AE18858" s="54"/>
    </row>
    <row r="18859" spans="31:31">
      <c r="AE18859" s="54"/>
    </row>
    <row r="18860" spans="31:31">
      <c r="AE18860" s="54"/>
    </row>
    <row r="18861" spans="31:31">
      <c r="AE18861" s="54"/>
    </row>
    <row r="18862" spans="31:31">
      <c r="AE18862" s="54"/>
    </row>
    <row r="18863" spans="31:31">
      <c r="AE18863" s="54"/>
    </row>
    <row r="18864" spans="31:31">
      <c r="AE18864" s="54"/>
    </row>
    <row r="18865" spans="31:31">
      <c r="AE18865" s="54"/>
    </row>
    <row r="18866" spans="31:31">
      <c r="AE18866" s="54"/>
    </row>
    <row r="18867" spans="31:31">
      <c r="AE18867" s="54"/>
    </row>
    <row r="18868" spans="31:31">
      <c r="AE18868" s="54"/>
    </row>
    <row r="18869" spans="31:31">
      <c r="AE18869" s="54"/>
    </row>
    <row r="18870" spans="31:31">
      <c r="AE18870" s="54"/>
    </row>
    <row r="18871" spans="31:31">
      <c r="AE18871" s="54"/>
    </row>
    <row r="18872" spans="31:31">
      <c r="AE18872" s="54"/>
    </row>
    <row r="18873" spans="31:31">
      <c r="AE18873" s="54"/>
    </row>
    <row r="18874" spans="31:31">
      <c r="AE18874" s="54"/>
    </row>
    <row r="18875" spans="31:31">
      <c r="AE18875" s="54"/>
    </row>
    <row r="18876" spans="31:31">
      <c r="AE18876" s="54"/>
    </row>
    <row r="18877" spans="31:31">
      <c r="AE18877" s="54"/>
    </row>
    <row r="18878" spans="31:31">
      <c r="AE18878" s="54"/>
    </row>
    <row r="18879" spans="31:31">
      <c r="AE18879" s="54"/>
    </row>
    <row r="18880" spans="31:31">
      <c r="AE18880" s="54"/>
    </row>
    <row r="18881" spans="31:31">
      <c r="AE18881" s="54"/>
    </row>
    <row r="18882" spans="31:31">
      <c r="AE18882" s="54"/>
    </row>
    <row r="18883" spans="31:31">
      <c r="AE18883" s="54"/>
    </row>
    <row r="18884" spans="31:31">
      <c r="AE18884" s="54"/>
    </row>
    <row r="18885" spans="31:31">
      <c r="AE18885" s="54"/>
    </row>
    <row r="18886" spans="31:31">
      <c r="AE18886" s="54"/>
    </row>
    <row r="18887" spans="31:31">
      <c r="AE18887" s="54"/>
    </row>
    <row r="18888" spans="31:31">
      <c r="AE18888" s="54"/>
    </row>
    <row r="18889" spans="31:31">
      <c r="AE18889" s="54"/>
    </row>
    <row r="18890" spans="31:31">
      <c r="AE18890" s="54"/>
    </row>
    <row r="18891" spans="31:31">
      <c r="AE18891" s="54"/>
    </row>
    <row r="18892" spans="31:31">
      <c r="AE18892" s="54"/>
    </row>
    <row r="18893" spans="31:31">
      <c r="AE18893" s="54"/>
    </row>
    <row r="18894" spans="31:31">
      <c r="AE18894" s="54"/>
    </row>
    <row r="18895" spans="31:31">
      <c r="AE18895" s="54"/>
    </row>
    <row r="18896" spans="31:31">
      <c r="AE18896" s="54"/>
    </row>
    <row r="18897" spans="31:31">
      <c r="AE18897" s="54"/>
    </row>
    <row r="18898" spans="31:31">
      <c r="AE18898" s="54"/>
    </row>
    <row r="18899" spans="31:31">
      <c r="AE18899" s="54"/>
    </row>
    <row r="18900" spans="31:31">
      <c r="AE18900" s="54"/>
    </row>
    <row r="18901" spans="31:31">
      <c r="AE18901" s="54"/>
    </row>
    <row r="18902" spans="31:31">
      <c r="AE18902" s="54"/>
    </row>
    <row r="18903" spans="31:31">
      <c r="AE18903" s="54"/>
    </row>
    <row r="18904" spans="31:31">
      <c r="AE18904" s="54"/>
    </row>
    <row r="18905" spans="31:31">
      <c r="AE18905" s="54"/>
    </row>
    <row r="18906" spans="31:31">
      <c r="AE18906" s="54"/>
    </row>
    <row r="18907" spans="31:31">
      <c r="AE18907" s="54"/>
    </row>
    <row r="18908" spans="31:31">
      <c r="AE18908" s="54"/>
    </row>
    <row r="18909" spans="31:31">
      <c r="AE18909" s="54"/>
    </row>
    <row r="18910" spans="31:31">
      <c r="AE18910" s="54"/>
    </row>
    <row r="18911" spans="31:31">
      <c r="AE18911" s="54"/>
    </row>
    <row r="18912" spans="31:31">
      <c r="AE18912" s="54"/>
    </row>
    <row r="18913" spans="31:31">
      <c r="AE18913" s="54"/>
    </row>
    <row r="18914" spans="31:31">
      <c r="AE18914" s="54"/>
    </row>
    <row r="18915" spans="31:31">
      <c r="AE18915" s="54"/>
    </row>
    <row r="18916" spans="31:31">
      <c r="AE18916" s="54"/>
    </row>
    <row r="18917" spans="31:31">
      <c r="AE18917" s="54"/>
    </row>
    <row r="18918" spans="31:31">
      <c r="AE18918" s="54"/>
    </row>
    <row r="18919" spans="31:31">
      <c r="AE18919" s="54"/>
    </row>
    <row r="18920" spans="31:31">
      <c r="AE18920" s="54"/>
    </row>
    <row r="18921" spans="31:31">
      <c r="AE18921" s="54"/>
    </row>
    <row r="18922" spans="31:31">
      <c r="AE18922" s="54"/>
    </row>
    <row r="18923" spans="31:31">
      <c r="AE18923" s="54"/>
    </row>
    <row r="18924" spans="31:31">
      <c r="AE18924" s="54"/>
    </row>
    <row r="18925" spans="31:31">
      <c r="AE18925" s="54"/>
    </row>
    <row r="18926" spans="31:31">
      <c r="AE18926" s="54"/>
    </row>
    <row r="18927" spans="31:31">
      <c r="AE18927" s="54"/>
    </row>
    <row r="18928" spans="31:31">
      <c r="AE18928" s="54"/>
    </row>
    <row r="18929" spans="31:31">
      <c r="AE18929" s="54"/>
    </row>
    <row r="18930" spans="31:31">
      <c r="AE18930" s="54"/>
    </row>
    <row r="18931" spans="31:31">
      <c r="AE18931" s="54"/>
    </row>
    <row r="18932" spans="31:31">
      <c r="AE18932" s="54"/>
    </row>
    <row r="18933" spans="31:31">
      <c r="AE18933" s="54"/>
    </row>
    <row r="18934" spans="31:31">
      <c r="AE18934" s="54"/>
    </row>
    <row r="18935" spans="31:31">
      <c r="AE18935" s="54"/>
    </row>
    <row r="18936" spans="31:31">
      <c r="AE18936" s="54"/>
    </row>
    <row r="18937" spans="31:31">
      <c r="AE18937" s="54"/>
    </row>
    <row r="18938" spans="31:31">
      <c r="AE18938" s="54"/>
    </row>
    <row r="18939" spans="31:31">
      <c r="AE18939" s="54"/>
    </row>
    <row r="18940" spans="31:31">
      <c r="AE18940" s="54"/>
    </row>
    <row r="18941" spans="31:31">
      <c r="AE18941" s="54"/>
    </row>
    <row r="18942" spans="31:31">
      <c r="AE18942" s="54"/>
    </row>
    <row r="18943" spans="31:31">
      <c r="AE18943" s="54"/>
    </row>
    <row r="18944" spans="31:31">
      <c r="AE18944" s="54"/>
    </row>
    <row r="18945" spans="31:31">
      <c r="AE18945" s="54"/>
    </row>
    <row r="18946" spans="31:31">
      <c r="AE18946" s="54"/>
    </row>
    <row r="18947" spans="31:31">
      <c r="AE18947" s="54"/>
    </row>
    <row r="18948" spans="31:31">
      <c r="AE18948" s="54"/>
    </row>
    <row r="18949" spans="31:31">
      <c r="AE18949" s="54"/>
    </row>
    <row r="18950" spans="31:31">
      <c r="AE18950" s="54"/>
    </row>
    <row r="18951" spans="31:31">
      <c r="AE18951" s="54"/>
    </row>
    <row r="18952" spans="31:31">
      <c r="AE18952" s="54"/>
    </row>
    <row r="18953" spans="31:31">
      <c r="AE18953" s="54"/>
    </row>
    <row r="18954" spans="31:31">
      <c r="AE18954" s="54"/>
    </row>
    <row r="18955" spans="31:31">
      <c r="AE18955" s="54"/>
    </row>
    <row r="18956" spans="31:31">
      <c r="AE18956" s="54"/>
    </row>
    <row r="18957" spans="31:31">
      <c r="AE18957" s="54"/>
    </row>
    <row r="18958" spans="31:31">
      <c r="AE18958" s="54"/>
    </row>
    <row r="18959" spans="31:31">
      <c r="AE18959" s="54"/>
    </row>
    <row r="18960" spans="31:31">
      <c r="AE18960" s="54"/>
    </row>
    <row r="18961" spans="31:31">
      <c r="AE18961" s="54"/>
    </row>
    <row r="18962" spans="31:31">
      <c r="AE18962" s="54"/>
    </row>
    <row r="18963" spans="31:31">
      <c r="AE18963" s="54"/>
    </row>
    <row r="18964" spans="31:31">
      <c r="AE18964" s="54"/>
    </row>
    <row r="18965" spans="31:31">
      <c r="AE18965" s="54"/>
    </row>
    <row r="18966" spans="31:31">
      <c r="AE18966" s="54"/>
    </row>
    <row r="18967" spans="31:31">
      <c r="AE18967" s="54"/>
    </row>
    <row r="18968" spans="31:31">
      <c r="AE18968" s="54"/>
    </row>
    <row r="18969" spans="31:31">
      <c r="AE18969" s="54"/>
    </row>
    <row r="18970" spans="31:31">
      <c r="AE18970" s="54"/>
    </row>
    <row r="18971" spans="31:31">
      <c r="AE18971" s="54"/>
    </row>
    <row r="18972" spans="31:31">
      <c r="AE18972" s="54"/>
    </row>
    <row r="18973" spans="31:31">
      <c r="AE18973" s="54"/>
    </row>
    <row r="18974" spans="31:31">
      <c r="AE18974" s="54"/>
    </row>
    <row r="18975" spans="31:31">
      <c r="AE18975" s="54"/>
    </row>
    <row r="18976" spans="31:31">
      <c r="AE18976" s="54"/>
    </row>
    <row r="18977" spans="31:31">
      <c r="AE18977" s="54"/>
    </row>
    <row r="18978" spans="31:31">
      <c r="AE18978" s="54"/>
    </row>
    <row r="18979" spans="31:31">
      <c r="AE18979" s="54"/>
    </row>
    <row r="18980" spans="31:31">
      <c r="AE18980" s="54"/>
    </row>
    <row r="18981" spans="31:31">
      <c r="AE18981" s="54"/>
    </row>
    <row r="18982" spans="31:31">
      <c r="AE18982" s="54"/>
    </row>
    <row r="18983" spans="31:31">
      <c r="AE18983" s="54"/>
    </row>
    <row r="18984" spans="31:31">
      <c r="AE18984" s="54"/>
    </row>
    <row r="18985" spans="31:31">
      <c r="AE18985" s="54"/>
    </row>
    <row r="18986" spans="31:31">
      <c r="AE18986" s="54"/>
    </row>
    <row r="18987" spans="31:31">
      <c r="AE18987" s="54"/>
    </row>
    <row r="18988" spans="31:31">
      <c r="AE18988" s="54"/>
    </row>
    <row r="18989" spans="31:31">
      <c r="AE18989" s="54"/>
    </row>
    <row r="18990" spans="31:31">
      <c r="AE18990" s="54"/>
    </row>
    <row r="18991" spans="31:31">
      <c r="AE18991" s="54"/>
    </row>
    <row r="18992" spans="31:31">
      <c r="AE18992" s="54"/>
    </row>
    <row r="18993" spans="31:31">
      <c r="AE18993" s="54"/>
    </row>
    <row r="18994" spans="31:31">
      <c r="AE18994" s="54"/>
    </row>
    <row r="18995" spans="31:31">
      <c r="AE18995" s="54"/>
    </row>
    <row r="18996" spans="31:31">
      <c r="AE18996" s="54"/>
    </row>
    <row r="18997" spans="31:31">
      <c r="AE18997" s="54"/>
    </row>
    <row r="18998" spans="31:31">
      <c r="AE18998" s="54"/>
    </row>
    <row r="18999" spans="31:31">
      <c r="AE18999" s="54"/>
    </row>
    <row r="19000" spans="31:31">
      <c r="AE19000" s="54"/>
    </row>
    <row r="19001" spans="31:31">
      <c r="AE19001" s="54"/>
    </row>
    <row r="19002" spans="31:31">
      <c r="AE19002" s="54"/>
    </row>
    <row r="19003" spans="31:31">
      <c r="AE19003" s="54"/>
    </row>
    <row r="19004" spans="31:31">
      <c r="AE19004" s="54"/>
    </row>
    <row r="19005" spans="31:31">
      <c r="AE19005" s="54"/>
    </row>
    <row r="19006" spans="31:31">
      <c r="AE19006" s="54"/>
    </row>
    <row r="19007" spans="31:31">
      <c r="AE19007" s="54"/>
    </row>
    <row r="19008" spans="31:31">
      <c r="AE19008" s="54"/>
    </row>
    <row r="19009" spans="31:31">
      <c r="AE19009" s="54"/>
    </row>
    <row r="19010" spans="31:31">
      <c r="AE19010" s="54"/>
    </row>
    <row r="19011" spans="31:31">
      <c r="AE19011" s="54"/>
    </row>
    <row r="19012" spans="31:31">
      <c r="AE19012" s="54"/>
    </row>
    <row r="19013" spans="31:31">
      <c r="AE19013" s="54"/>
    </row>
    <row r="19014" spans="31:31">
      <c r="AE19014" s="54"/>
    </row>
    <row r="19015" spans="31:31">
      <c r="AE19015" s="54"/>
    </row>
    <row r="19016" spans="31:31">
      <c r="AE19016" s="54"/>
    </row>
    <row r="19017" spans="31:31">
      <c r="AE19017" s="54"/>
    </row>
    <row r="19018" spans="31:31">
      <c r="AE19018" s="54"/>
    </row>
    <row r="19019" spans="31:31">
      <c r="AE19019" s="54"/>
    </row>
    <row r="19020" spans="31:31">
      <c r="AE19020" s="54"/>
    </row>
    <row r="19021" spans="31:31">
      <c r="AE19021" s="54"/>
    </row>
    <row r="19022" spans="31:31">
      <c r="AE19022" s="54"/>
    </row>
    <row r="19023" spans="31:31">
      <c r="AE19023" s="54"/>
    </row>
    <row r="19024" spans="31:31">
      <c r="AE19024" s="54"/>
    </row>
    <row r="19025" spans="31:31">
      <c r="AE19025" s="54"/>
    </row>
    <row r="19026" spans="31:31">
      <c r="AE19026" s="54"/>
    </row>
    <row r="19027" spans="31:31">
      <c r="AE19027" s="54"/>
    </row>
    <row r="19028" spans="31:31">
      <c r="AE19028" s="54"/>
    </row>
    <row r="19029" spans="31:31">
      <c r="AE19029" s="54"/>
    </row>
    <row r="19030" spans="31:31">
      <c r="AE19030" s="54"/>
    </row>
    <row r="19031" spans="31:31">
      <c r="AE19031" s="54"/>
    </row>
    <row r="19032" spans="31:31">
      <c r="AE19032" s="54"/>
    </row>
    <row r="19033" spans="31:31">
      <c r="AE19033" s="54"/>
    </row>
    <row r="19034" spans="31:31">
      <c r="AE19034" s="54"/>
    </row>
    <row r="19035" spans="31:31">
      <c r="AE19035" s="54"/>
    </row>
    <row r="19036" spans="31:31">
      <c r="AE19036" s="54"/>
    </row>
    <row r="19037" spans="31:31">
      <c r="AE19037" s="54"/>
    </row>
    <row r="19038" spans="31:31">
      <c r="AE19038" s="54"/>
    </row>
    <row r="19039" spans="31:31">
      <c r="AE19039" s="54"/>
    </row>
    <row r="19040" spans="31:31">
      <c r="AE19040" s="54"/>
    </row>
    <row r="19041" spans="31:31">
      <c r="AE19041" s="54"/>
    </row>
    <row r="19042" spans="31:31">
      <c r="AE19042" s="54"/>
    </row>
    <row r="19043" spans="31:31">
      <c r="AE19043" s="54"/>
    </row>
    <row r="19044" spans="31:31">
      <c r="AE19044" s="54"/>
    </row>
    <row r="19045" spans="31:31">
      <c r="AE19045" s="54"/>
    </row>
    <row r="19046" spans="31:31">
      <c r="AE19046" s="54"/>
    </row>
    <row r="19047" spans="31:31">
      <c r="AE19047" s="54"/>
    </row>
    <row r="19048" spans="31:31">
      <c r="AE19048" s="54"/>
    </row>
    <row r="19049" spans="31:31">
      <c r="AE19049" s="54"/>
    </row>
    <row r="19050" spans="31:31">
      <c r="AE19050" s="54"/>
    </row>
    <row r="19051" spans="31:31">
      <c r="AE19051" s="54"/>
    </row>
    <row r="19052" spans="31:31">
      <c r="AE19052" s="54"/>
    </row>
    <row r="19053" spans="31:31">
      <c r="AE19053" s="54"/>
    </row>
    <row r="19054" spans="31:31">
      <c r="AE19054" s="54"/>
    </row>
    <row r="19055" spans="31:31">
      <c r="AE19055" s="54"/>
    </row>
    <row r="19056" spans="31:31">
      <c r="AE19056" s="54"/>
    </row>
    <row r="19057" spans="31:31">
      <c r="AE19057" s="54"/>
    </row>
    <row r="19058" spans="31:31">
      <c r="AE19058" s="54"/>
    </row>
    <row r="19059" spans="31:31">
      <c r="AE19059" s="54"/>
    </row>
    <row r="19060" spans="31:31">
      <c r="AE19060" s="54"/>
    </row>
    <row r="19061" spans="31:31">
      <c r="AE19061" s="54"/>
    </row>
    <row r="19062" spans="31:31">
      <c r="AE19062" s="54"/>
    </row>
    <row r="19063" spans="31:31">
      <c r="AE19063" s="54"/>
    </row>
    <row r="19064" spans="31:31">
      <c r="AE19064" s="54"/>
    </row>
    <row r="19065" spans="31:31">
      <c r="AE19065" s="54"/>
    </row>
    <row r="19066" spans="31:31">
      <c r="AE19066" s="54"/>
    </row>
    <row r="19067" spans="31:31">
      <c r="AE19067" s="54"/>
    </row>
    <row r="19068" spans="31:31">
      <c r="AE19068" s="54"/>
    </row>
    <row r="19069" spans="31:31">
      <c r="AE19069" s="54"/>
    </row>
    <row r="19070" spans="31:31">
      <c r="AE19070" s="54"/>
    </row>
    <row r="19071" spans="31:31">
      <c r="AE19071" s="54"/>
    </row>
    <row r="19072" spans="31:31">
      <c r="AE19072" s="54"/>
    </row>
    <row r="19073" spans="31:31">
      <c r="AE19073" s="54"/>
    </row>
    <row r="19074" spans="31:31">
      <c r="AE19074" s="54"/>
    </row>
    <row r="19075" spans="31:31">
      <c r="AE19075" s="54"/>
    </row>
    <row r="19076" spans="31:31">
      <c r="AE19076" s="54"/>
    </row>
    <row r="19077" spans="31:31">
      <c r="AE19077" s="54"/>
    </row>
    <row r="19078" spans="31:31">
      <c r="AE19078" s="54"/>
    </row>
    <row r="19079" spans="31:31">
      <c r="AE19079" s="54"/>
    </row>
    <row r="19080" spans="31:31">
      <c r="AE19080" s="54"/>
    </row>
    <row r="19081" spans="31:31">
      <c r="AE19081" s="54"/>
    </row>
    <row r="19082" spans="31:31">
      <c r="AE19082" s="54"/>
    </row>
    <row r="19083" spans="31:31">
      <c r="AE19083" s="54"/>
    </row>
    <row r="19084" spans="31:31">
      <c r="AE19084" s="54"/>
    </row>
    <row r="19085" spans="31:31">
      <c r="AE19085" s="54"/>
    </row>
    <row r="19086" spans="31:31">
      <c r="AE19086" s="54"/>
    </row>
    <row r="19087" spans="31:31">
      <c r="AE19087" s="54"/>
    </row>
    <row r="19088" spans="31:31">
      <c r="AE19088" s="54"/>
    </row>
    <row r="19089" spans="31:31">
      <c r="AE19089" s="54"/>
    </row>
    <row r="19090" spans="31:31">
      <c r="AE19090" s="54"/>
    </row>
    <row r="19091" spans="31:31">
      <c r="AE19091" s="54"/>
    </row>
    <row r="19092" spans="31:31">
      <c r="AE19092" s="54"/>
    </row>
    <row r="19093" spans="31:31">
      <c r="AE19093" s="54"/>
    </row>
    <row r="19094" spans="31:31">
      <c r="AE19094" s="54"/>
    </row>
    <row r="19095" spans="31:31">
      <c r="AE19095" s="54"/>
    </row>
    <row r="19096" spans="31:31">
      <c r="AE19096" s="54"/>
    </row>
    <row r="19097" spans="31:31">
      <c r="AE19097" s="54"/>
    </row>
    <row r="19098" spans="31:31">
      <c r="AE19098" s="54"/>
    </row>
    <row r="19099" spans="31:31">
      <c r="AE19099" s="54"/>
    </row>
    <row r="19100" spans="31:31">
      <c r="AE19100" s="54"/>
    </row>
    <row r="19101" spans="31:31">
      <c r="AE19101" s="54"/>
    </row>
    <row r="19102" spans="31:31">
      <c r="AE19102" s="54"/>
    </row>
    <row r="19103" spans="31:31">
      <c r="AE19103" s="54"/>
    </row>
    <row r="19104" spans="31:31">
      <c r="AE19104" s="54"/>
    </row>
    <row r="19105" spans="31:31">
      <c r="AE19105" s="54"/>
    </row>
    <row r="19106" spans="31:31">
      <c r="AE19106" s="54"/>
    </row>
    <row r="19107" spans="31:31">
      <c r="AE19107" s="54"/>
    </row>
    <row r="19108" spans="31:31">
      <c r="AE19108" s="54"/>
    </row>
    <row r="19109" spans="31:31">
      <c r="AE19109" s="54"/>
    </row>
    <row r="19110" spans="31:31">
      <c r="AE19110" s="54"/>
    </row>
    <row r="19111" spans="31:31">
      <c r="AE19111" s="54"/>
    </row>
    <row r="19112" spans="31:31">
      <c r="AE19112" s="54"/>
    </row>
    <row r="19113" spans="31:31">
      <c r="AE19113" s="54"/>
    </row>
    <row r="19114" spans="31:31">
      <c r="AE19114" s="54"/>
    </row>
    <row r="19115" spans="31:31">
      <c r="AE19115" s="54"/>
    </row>
    <row r="19116" spans="31:31">
      <c r="AE19116" s="54"/>
    </row>
    <row r="19117" spans="31:31">
      <c r="AE19117" s="54"/>
    </row>
    <row r="19118" spans="31:31">
      <c r="AE19118" s="54"/>
    </row>
    <row r="19119" spans="31:31">
      <c r="AE19119" s="54"/>
    </row>
    <row r="19120" spans="31:31">
      <c r="AE19120" s="54"/>
    </row>
    <row r="19121" spans="31:31">
      <c r="AE19121" s="54"/>
    </row>
    <row r="19122" spans="31:31">
      <c r="AE19122" s="54"/>
    </row>
    <row r="19123" spans="31:31">
      <c r="AE19123" s="54"/>
    </row>
    <row r="19124" spans="31:31">
      <c r="AE19124" s="54"/>
    </row>
    <row r="19125" spans="31:31">
      <c r="AE19125" s="54"/>
    </row>
    <row r="19126" spans="31:31">
      <c r="AE19126" s="54"/>
    </row>
    <row r="19127" spans="31:31">
      <c r="AE19127" s="54"/>
    </row>
    <row r="19128" spans="31:31">
      <c r="AE19128" s="54"/>
    </row>
    <row r="19129" spans="31:31">
      <c r="AE19129" s="54"/>
    </row>
    <row r="19130" spans="31:31">
      <c r="AE19130" s="54"/>
    </row>
    <row r="19131" spans="31:31">
      <c r="AE19131" s="54"/>
    </row>
    <row r="19132" spans="31:31">
      <c r="AE19132" s="54"/>
    </row>
    <row r="19133" spans="31:31">
      <c r="AE19133" s="54"/>
    </row>
    <row r="19134" spans="31:31">
      <c r="AE19134" s="54"/>
    </row>
    <row r="19135" spans="31:31">
      <c r="AE19135" s="54"/>
    </row>
    <row r="19136" spans="31:31">
      <c r="AE19136" s="54"/>
    </row>
    <row r="19137" spans="31:31">
      <c r="AE19137" s="54"/>
    </row>
    <row r="19138" spans="31:31">
      <c r="AE19138" s="54"/>
    </row>
    <row r="19139" spans="31:31">
      <c r="AE19139" s="54"/>
    </row>
    <row r="19140" spans="31:31">
      <c r="AE19140" s="54"/>
    </row>
    <row r="19141" spans="31:31">
      <c r="AE19141" s="54"/>
    </row>
    <row r="19142" spans="31:31">
      <c r="AE19142" s="54"/>
    </row>
    <row r="19143" spans="31:31">
      <c r="AE19143" s="54"/>
    </row>
    <row r="19144" spans="31:31">
      <c r="AE19144" s="54"/>
    </row>
    <row r="19145" spans="31:31">
      <c r="AE19145" s="54"/>
    </row>
    <row r="19146" spans="31:31">
      <c r="AE19146" s="54"/>
    </row>
    <row r="19147" spans="31:31">
      <c r="AE19147" s="54"/>
    </row>
    <row r="19148" spans="31:31">
      <c r="AE19148" s="54"/>
    </row>
    <row r="19149" spans="31:31">
      <c r="AE19149" s="54"/>
    </row>
    <row r="19150" spans="31:31">
      <c r="AE19150" s="54"/>
    </row>
    <row r="19151" spans="31:31">
      <c r="AE19151" s="54"/>
    </row>
    <row r="19152" spans="31:31">
      <c r="AE19152" s="54"/>
    </row>
    <row r="19153" spans="31:31">
      <c r="AE19153" s="54"/>
    </row>
    <row r="19154" spans="31:31">
      <c r="AE19154" s="54"/>
    </row>
    <row r="19155" spans="31:31">
      <c r="AE19155" s="54"/>
    </row>
    <row r="19156" spans="31:31">
      <c r="AE19156" s="54"/>
    </row>
    <row r="19157" spans="31:31">
      <c r="AE19157" s="54"/>
    </row>
    <row r="19158" spans="31:31">
      <c r="AE19158" s="54"/>
    </row>
    <row r="19159" spans="31:31">
      <c r="AE19159" s="54"/>
    </row>
    <row r="19160" spans="31:31">
      <c r="AE19160" s="54"/>
    </row>
    <row r="19161" spans="31:31">
      <c r="AE19161" s="54"/>
    </row>
    <row r="19162" spans="31:31">
      <c r="AE19162" s="54"/>
    </row>
    <row r="19163" spans="31:31">
      <c r="AE19163" s="54"/>
    </row>
    <row r="19164" spans="31:31">
      <c r="AE19164" s="54"/>
    </row>
    <row r="19165" spans="31:31">
      <c r="AE19165" s="54"/>
    </row>
    <row r="19166" spans="31:31">
      <c r="AE19166" s="54"/>
    </row>
    <row r="19167" spans="31:31">
      <c r="AE19167" s="54"/>
    </row>
    <row r="19168" spans="31:31">
      <c r="AE19168" s="54"/>
    </row>
    <row r="19169" spans="31:31">
      <c r="AE19169" s="54"/>
    </row>
    <row r="19170" spans="31:31">
      <c r="AE19170" s="54"/>
    </row>
    <row r="19171" spans="31:31">
      <c r="AE19171" s="54"/>
    </row>
    <row r="19172" spans="31:31">
      <c r="AE19172" s="54"/>
    </row>
    <row r="19173" spans="31:31">
      <c r="AE19173" s="54"/>
    </row>
    <row r="19174" spans="31:31">
      <c r="AE19174" s="54"/>
    </row>
    <row r="19175" spans="31:31">
      <c r="AE19175" s="54"/>
    </row>
    <row r="19176" spans="31:31">
      <c r="AE19176" s="54"/>
    </row>
    <row r="19177" spans="31:31">
      <c r="AE19177" s="54"/>
    </row>
    <row r="19178" spans="31:31">
      <c r="AE19178" s="54"/>
    </row>
    <row r="19179" spans="31:31">
      <c r="AE19179" s="54"/>
    </row>
    <row r="19180" spans="31:31">
      <c r="AE19180" s="54"/>
    </row>
    <row r="19181" spans="31:31">
      <c r="AE19181" s="54"/>
    </row>
    <row r="19182" spans="31:31">
      <c r="AE19182" s="54"/>
    </row>
    <row r="19183" spans="31:31">
      <c r="AE19183" s="54"/>
    </row>
    <row r="19184" spans="31:31">
      <c r="AE19184" s="54"/>
    </row>
    <row r="19185" spans="31:31">
      <c r="AE19185" s="54"/>
    </row>
    <row r="19186" spans="31:31">
      <c r="AE19186" s="54"/>
    </row>
    <row r="19187" spans="31:31">
      <c r="AE19187" s="54"/>
    </row>
    <row r="19188" spans="31:31">
      <c r="AE19188" s="54"/>
    </row>
    <row r="19189" spans="31:31">
      <c r="AE19189" s="54"/>
    </row>
    <row r="19190" spans="31:31">
      <c r="AE19190" s="54"/>
    </row>
    <row r="19191" spans="31:31">
      <c r="AE19191" s="54"/>
    </row>
    <row r="19192" spans="31:31">
      <c r="AE19192" s="54"/>
    </row>
    <row r="19193" spans="31:31">
      <c r="AE19193" s="54"/>
    </row>
    <row r="19194" spans="31:31">
      <c r="AE19194" s="54"/>
    </row>
    <row r="19195" spans="31:31">
      <c r="AE19195" s="54"/>
    </row>
    <row r="19196" spans="31:31">
      <c r="AE19196" s="54"/>
    </row>
    <row r="19197" spans="31:31">
      <c r="AE19197" s="54"/>
    </row>
    <row r="19198" spans="31:31">
      <c r="AE19198" s="54"/>
    </row>
    <row r="19199" spans="31:31">
      <c r="AE19199" s="54"/>
    </row>
    <row r="19200" spans="31:31">
      <c r="AE19200" s="54"/>
    </row>
    <row r="19201" spans="31:31">
      <c r="AE19201" s="54"/>
    </row>
    <row r="19202" spans="31:31">
      <c r="AE19202" s="54"/>
    </row>
    <row r="19203" spans="31:31">
      <c r="AE19203" s="54"/>
    </row>
    <row r="19204" spans="31:31">
      <c r="AE19204" s="54"/>
    </row>
    <row r="19205" spans="31:31">
      <c r="AE19205" s="54"/>
    </row>
    <row r="19206" spans="31:31">
      <c r="AE19206" s="54"/>
    </row>
    <row r="19207" spans="31:31">
      <c r="AE19207" s="54"/>
    </row>
    <row r="19208" spans="31:31">
      <c r="AE19208" s="54"/>
    </row>
    <row r="19209" spans="31:31">
      <c r="AE19209" s="54"/>
    </row>
    <row r="19210" spans="31:31">
      <c r="AE19210" s="54"/>
    </row>
    <row r="19211" spans="31:31">
      <c r="AE19211" s="54"/>
    </row>
    <row r="19212" spans="31:31">
      <c r="AE19212" s="54"/>
    </row>
    <row r="19213" spans="31:31">
      <c r="AE19213" s="54"/>
    </row>
    <row r="19214" spans="31:31">
      <c r="AE19214" s="54"/>
    </row>
    <row r="19215" spans="31:31">
      <c r="AE19215" s="54"/>
    </row>
    <row r="19216" spans="31:31">
      <c r="AE19216" s="54"/>
    </row>
    <row r="19217" spans="31:31">
      <c r="AE19217" s="54"/>
    </row>
    <row r="19218" spans="31:31">
      <c r="AE19218" s="54"/>
    </row>
    <row r="19219" spans="31:31">
      <c r="AE19219" s="54"/>
    </row>
    <row r="19220" spans="31:31">
      <c r="AE19220" s="54"/>
    </row>
    <row r="19221" spans="31:31">
      <c r="AE19221" s="54"/>
    </row>
    <row r="19222" spans="31:31">
      <c r="AE19222" s="54"/>
    </row>
    <row r="19223" spans="31:31">
      <c r="AE19223" s="54"/>
    </row>
    <row r="19224" spans="31:31">
      <c r="AE19224" s="54"/>
    </row>
    <row r="19225" spans="31:31">
      <c r="AE19225" s="54"/>
    </row>
    <row r="19226" spans="31:31">
      <c r="AE19226" s="54"/>
    </row>
    <row r="19227" spans="31:31">
      <c r="AE19227" s="54"/>
    </row>
    <row r="19228" spans="31:31">
      <c r="AE19228" s="54"/>
    </row>
    <row r="19229" spans="31:31">
      <c r="AE19229" s="54"/>
    </row>
    <row r="19230" spans="31:31">
      <c r="AE19230" s="54"/>
    </row>
    <row r="19231" spans="31:31">
      <c r="AE19231" s="54"/>
    </row>
    <row r="19232" spans="31:31">
      <c r="AE19232" s="54"/>
    </row>
    <row r="19233" spans="31:31">
      <c r="AE19233" s="54"/>
    </row>
    <row r="19234" spans="31:31">
      <c r="AE19234" s="54"/>
    </row>
    <row r="19235" spans="31:31">
      <c r="AE19235" s="54"/>
    </row>
    <row r="19236" spans="31:31">
      <c r="AE19236" s="54"/>
    </row>
    <row r="19237" spans="31:31">
      <c r="AE19237" s="54"/>
    </row>
    <row r="19238" spans="31:31">
      <c r="AE19238" s="54"/>
    </row>
    <row r="19239" spans="31:31">
      <c r="AE19239" s="54"/>
    </row>
    <row r="19240" spans="31:31">
      <c r="AE19240" s="54"/>
    </row>
    <row r="19241" spans="31:31">
      <c r="AE19241" s="54"/>
    </row>
    <row r="19242" spans="31:31">
      <c r="AE19242" s="54"/>
    </row>
    <row r="19243" spans="31:31">
      <c r="AE19243" s="54"/>
    </row>
    <row r="19244" spans="31:31">
      <c r="AE19244" s="54"/>
    </row>
    <row r="19245" spans="31:31">
      <c r="AE19245" s="54"/>
    </row>
    <row r="19246" spans="31:31">
      <c r="AE19246" s="54"/>
    </row>
    <row r="19247" spans="31:31">
      <c r="AE19247" s="54"/>
    </row>
    <row r="19248" spans="31:31">
      <c r="AE19248" s="54"/>
    </row>
    <row r="19249" spans="31:31">
      <c r="AE19249" s="54"/>
    </row>
    <row r="19250" spans="31:31">
      <c r="AE19250" s="54"/>
    </row>
    <row r="19251" spans="31:31">
      <c r="AE19251" s="54"/>
    </row>
    <row r="19252" spans="31:31">
      <c r="AE19252" s="54"/>
    </row>
    <row r="19253" spans="31:31">
      <c r="AE19253" s="54"/>
    </row>
    <row r="19254" spans="31:31">
      <c r="AE19254" s="54"/>
    </row>
    <row r="19255" spans="31:31">
      <c r="AE19255" s="54"/>
    </row>
    <row r="19256" spans="31:31">
      <c r="AE19256" s="54"/>
    </row>
    <row r="19257" spans="31:31">
      <c r="AE19257" s="54"/>
    </row>
    <row r="19258" spans="31:31">
      <c r="AE19258" s="54"/>
    </row>
    <row r="19259" spans="31:31">
      <c r="AE19259" s="54"/>
    </row>
    <row r="19260" spans="31:31">
      <c r="AE19260" s="54"/>
    </row>
    <row r="19261" spans="31:31">
      <c r="AE19261" s="54"/>
    </row>
    <row r="19262" spans="31:31">
      <c r="AE19262" s="54"/>
    </row>
    <row r="19263" spans="31:31">
      <c r="AE19263" s="54"/>
    </row>
    <row r="19264" spans="31:31">
      <c r="AE19264" s="54"/>
    </row>
    <row r="19265" spans="31:31">
      <c r="AE19265" s="54"/>
    </row>
    <row r="19266" spans="31:31">
      <c r="AE19266" s="54"/>
    </row>
    <row r="19267" spans="31:31">
      <c r="AE19267" s="54"/>
    </row>
    <row r="19268" spans="31:31">
      <c r="AE19268" s="54"/>
    </row>
    <row r="19269" spans="31:31">
      <c r="AE19269" s="54"/>
    </row>
    <row r="19270" spans="31:31">
      <c r="AE19270" s="54"/>
    </row>
    <row r="19271" spans="31:31">
      <c r="AE19271" s="54"/>
    </row>
    <row r="19272" spans="31:31">
      <c r="AE19272" s="54"/>
    </row>
    <row r="19273" spans="31:31">
      <c r="AE19273" s="54"/>
    </row>
    <row r="19274" spans="31:31">
      <c r="AE19274" s="54"/>
    </row>
    <row r="19275" spans="31:31">
      <c r="AE19275" s="54"/>
    </row>
    <row r="19276" spans="31:31">
      <c r="AE19276" s="54"/>
    </row>
    <row r="19277" spans="31:31">
      <c r="AE19277" s="54"/>
    </row>
    <row r="19278" spans="31:31">
      <c r="AE19278" s="54"/>
    </row>
    <row r="19279" spans="31:31">
      <c r="AE19279" s="54"/>
    </row>
    <row r="19280" spans="31:31">
      <c r="AE19280" s="54"/>
    </row>
    <row r="19281" spans="31:31">
      <c r="AE19281" s="54"/>
    </row>
    <row r="19282" spans="31:31">
      <c r="AE19282" s="54"/>
    </row>
    <row r="19283" spans="31:31">
      <c r="AE19283" s="54"/>
    </row>
    <row r="19284" spans="31:31">
      <c r="AE19284" s="54"/>
    </row>
    <row r="19285" spans="31:31">
      <c r="AE19285" s="54"/>
    </row>
    <row r="19286" spans="31:31">
      <c r="AE19286" s="54"/>
    </row>
    <row r="19287" spans="31:31">
      <c r="AE19287" s="54"/>
    </row>
    <row r="19288" spans="31:31">
      <c r="AE19288" s="54"/>
    </row>
    <row r="19289" spans="31:31">
      <c r="AE19289" s="54"/>
    </row>
    <row r="19290" spans="31:31">
      <c r="AE19290" s="54"/>
    </row>
    <row r="19291" spans="31:31">
      <c r="AE19291" s="54"/>
    </row>
    <row r="19292" spans="31:31">
      <c r="AE19292" s="54"/>
    </row>
    <row r="19293" spans="31:31">
      <c r="AE19293" s="54"/>
    </row>
    <row r="19294" spans="31:31">
      <c r="AE19294" s="54"/>
    </row>
    <row r="19295" spans="31:31">
      <c r="AE19295" s="54"/>
    </row>
    <row r="19296" spans="31:31">
      <c r="AE19296" s="54"/>
    </row>
    <row r="19297" spans="31:31">
      <c r="AE19297" s="54"/>
    </row>
    <row r="19298" spans="31:31">
      <c r="AE19298" s="54"/>
    </row>
    <row r="19299" spans="31:31">
      <c r="AE19299" s="54"/>
    </row>
    <row r="19300" spans="31:31">
      <c r="AE19300" s="54"/>
    </row>
    <row r="19301" spans="31:31">
      <c r="AE19301" s="54"/>
    </row>
    <row r="19302" spans="31:31">
      <c r="AE19302" s="54"/>
    </row>
    <row r="19303" spans="31:31">
      <c r="AE19303" s="54"/>
    </row>
    <row r="19304" spans="31:31">
      <c r="AE19304" s="54"/>
    </row>
    <row r="19305" spans="31:31">
      <c r="AE19305" s="54"/>
    </row>
    <row r="19306" spans="31:31">
      <c r="AE19306" s="54"/>
    </row>
    <row r="19307" spans="31:31">
      <c r="AE19307" s="54"/>
    </row>
    <row r="19308" spans="31:31">
      <c r="AE19308" s="54"/>
    </row>
    <row r="19309" spans="31:31">
      <c r="AE19309" s="54"/>
    </row>
    <row r="19310" spans="31:31">
      <c r="AE19310" s="54"/>
    </row>
    <row r="19311" spans="31:31">
      <c r="AE19311" s="54"/>
    </row>
    <row r="19312" spans="31:31">
      <c r="AE19312" s="54"/>
    </row>
    <row r="19313" spans="31:31">
      <c r="AE19313" s="54"/>
    </row>
    <row r="19314" spans="31:31">
      <c r="AE19314" s="54"/>
    </row>
    <row r="19315" spans="31:31">
      <c r="AE19315" s="54"/>
    </row>
    <row r="19316" spans="31:31">
      <c r="AE19316" s="54"/>
    </row>
    <row r="19317" spans="31:31">
      <c r="AE19317" s="54"/>
    </row>
    <row r="19318" spans="31:31">
      <c r="AE19318" s="54"/>
    </row>
    <row r="19319" spans="31:31">
      <c r="AE19319" s="54"/>
    </row>
    <row r="19320" spans="31:31">
      <c r="AE19320" s="54"/>
    </row>
    <row r="19321" spans="31:31">
      <c r="AE19321" s="54"/>
    </row>
    <row r="19322" spans="31:31">
      <c r="AE19322" s="54"/>
    </row>
    <row r="19323" spans="31:31">
      <c r="AE19323" s="54"/>
    </row>
    <row r="19324" spans="31:31">
      <c r="AE19324" s="54"/>
    </row>
    <row r="19325" spans="31:31">
      <c r="AE19325" s="54"/>
    </row>
    <row r="19326" spans="31:31">
      <c r="AE19326" s="54"/>
    </row>
    <row r="19327" spans="31:31">
      <c r="AE19327" s="54"/>
    </row>
    <row r="19328" spans="31:31">
      <c r="AE19328" s="54"/>
    </row>
    <row r="19329" spans="31:31">
      <c r="AE19329" s="54"/>
    </row>
    <row r="19330" spans="31:31">
      <c r="AE19330" s="54"/>
    </row>
    <row r="19331" spans="31:31">
      <c r="AE19331" s="54"/>
    </row>
    <row r="19332" spans="31:31">
      <c r="AE19332" s="54"/>
    </row>
    <row r="19333" spans="31:31">
      <c r="AE19333" s="54"/>
    </row>
    <row r="19334" spans="31:31">
      <c r="AE19334" s="54"/>
    </row>
    <row r="19335" spans="31:31">
      <c r="AE19335" s="54"/>
    </row>
    <row r="19336" spans="31:31">
      <c r="AE19336" s="54"/>
    </row>
    <row r="19337" spans="31:31">
      <c r="AE19337" s="54"/>
    </row>
    <row r="19338" spans="31:31">
      <c r="AE19338" s="54"/>
    </row>
    <row r="19339" spans="31:31">
      <c r="AE19339" s="54"/>
    </row>
    <row r="19340" spans="31:31">
      <c r="AE19340" s="54"/>
    </row>
    <row r="19341" spans="31:31">
      <c r="AE19341" s="54"/>
    </row>
    <row r="19342" spans="31:31">
      <c r="AE19342" s="54"/>
    </row>
    <row r="19343" spans="31:31">
      <c r="AE19343" s="54"/>
    </row>
    <row r="19344" spans="31:31">
      <c r="AE19344" s="54"/>
    </row>
    <row r="19345" spans="31:31">
      <c r="AE19345" s="54"/>
    </row>
    <row r="19346" spans="31:31">
      <c r="AE19346" s="54"/>
    </row>
    <row r="19347" spans="31:31">
      <c r="AE19347" s="54"/>
    </row>
    <row r="19348" spans="31:31">
      <c r="AE19348" s="54"/>
    </row>
    <row r="19349" spans="31:31">
      <c r="AE19349" s="54"/>
    </row>
    <row r="19350" spans="31:31">
      <c r="AE19350" s="54"/>
    </row>
    <row r="19351" spans="31:31">
      <c r="AE19351" s="54"/>
    </row>
    <row r="19352" spans="31:31">
      <c r="AE19352" s="54"/>
    </row>
    <row r="19353" spans="31:31">
      <c r="AE19353" s="54"/>
    </row>
    <row r="19354" spans="31:31">
      <c r="AE19354" s="54"/>
    </row>
    <row r="19355" spans="31:31">
      <c r="AE19355" s="54"/>
    </row>
    <row r="19356" spans="31:31">
      <c r="AE19356" s="54"/>
    </row>
    <row r="19357" spans="31:31">
      <c r="AE19357" s="54"/>
    </row>
    <row r="19358" spans="31:31">
      <c r="AE19358" s="54"/>
    </row>
    <row r="19359" spans="31:31">
      <c r="AE19359" s="54"/>
    </row>
    <row r="19360" spans="31:31">
      <c r="AE19360" s="54"/>
    </row>
    <row r="19361" spans="31:31">
      <c r="AE19361" s="54"/>
    </row>
    <row r="19362" spans="31:31">
      <c r="AE19362" s="54"/>
    </row>
    <row r="19363" spans="31:31">
      <c r="AE19363" s="54"/>
    </row>
    <row r="19364" spans="31:31">
      <c r="AE19364" s="54"/>
    </row>
    <row r="19365" spans="31:31">
      <c r="AE19365" s="54"/>
    </row>
    <row r="19366" spans="31:31">
      <c r="AE19366" s="54"/>
    </row>
    <row r="19367" spans="31:31">
      <c r="AE19367" s="54"/>
    </row>
    <row r="19368" spans="31:31">
      <c r="AE19368" s="54"/>
    </row>
    <row r="19369" spans="31:31">
      <c r="AE19369" s="54"/>
    </row>
    <row r="19370" spans="31:31">
      <c r="AE19370" s="54"/>
    </row>
    <row r="19371" spans="31:31">
      <c r="AE19371" s="54"/>
    </row>
    <row r="19372" spans="31:31">
      <c r="AE19372" s="54"/>
    </row>
    <row r="19373" spans="31:31">
      <c r="AE19373" s="54"/>
    </row>
    <row r="19374" spans="31:31">
      <c r="AE19374" s="54"/>
    </row>
    <row r="19375" spans="31:31">
      <c r="AE19375" s="54"/>
    </row>
    <row r="19376" spans="31:31">
      <c r="AE19376" s="54"/>
    </row>
    <row r="19377" spans="31:31">
      <c r="AE19377" s="54"/>
    </row>
    <row r="19378" spans="31:31">
      <c r="AE19378" s="54"/>
    </row>
    <row r="19379" spans="31:31">
      <c r="AE19379" s="54"/>
    </row>
    <row r="19380" spans="31:31">
      <c r="AE19380" s="54"/>
    </row>
    <row r="19381" spans="31:31">
      <c r="AE19381" s="54"/>
    </row>
    <row r="19382" spans="31:31">
      <c r="AE19382" s="54"/>
    </row>
    <row r="19383" spans="31:31">
      <c r="AE19383" s="54"/>
    </row>
    <row r="19384" spans="31:31">
      <c r="AE19384" s="54"/>
    </row>
    <row r="19385" spans="31:31">
      <c r="AE19385" s="54"/>
    </row>
    <row r="19386" spans="31:31">
      <c r="AE19386" s="54"/>
    </row>
    <row r="19387" spans="31:31">
      <c r="AE19387" s="54"/>
    </row>
    <row r="19388" spans="31:31">
      <c r="AE19388" s="54"/>
    </row>
    <row r="19389" spans="31:31">
      <c r="AE19389" s="54"/>
    </row>
    <row r="19390" spans="31:31">
      <c r="AE19390" s="54"/>
    </row>
    <row r="19391" spans="31:31">
      <c r="AE19391" s="54"/>
    </row>
    <row r="19392" spans="31:31">
      <c r="AE19392" s="54"/>
    </row>
    <row r="19393" spans="31:31">
      <c r="AE19393" s="54"/>
    </row>
    <row r="19394" spans="31:31">
      <c r="AE19394" s="54"/>
    </row>
    <row r="19395" spans="31:31">
      <c r="AE19395" s="54"/>
    </row>
    <row r="19396" spans="31:31">
      <c r="AE19396" s="54"/>
    </row>
    <row r="19397" spans="31:31">
      <c r="AE19397" s="54"/>
    </row>
    <row r="19398" spans="31:31">
      <c r="AE19398" s="54"/>
    </row>
    <row r="19399" spans="31:31">
      <c r="AE19399" s="54"/>
    </row>
    <row r="19400" spans="31:31">
      <c r="AE19400" s="54"/>
    </row>
    <row r="19401" spans="31:31">
      <c r="AE19401" s="54"/>
    </row>
    <row r="19402" spans="31:31">
      <c r="AE19402" s="54"/>
    </row>
    <row r="19403" spans="31:31">
      <c r="AE19403" s="54"/>
    </row>
    <row r="19404" spans="31:31">
      <c r="AE19404" s="54"/>
    </row>
    <row r="19405" spans="31:31">
      <c r="AE19405" s="54"/>
    </row>
    <row r="19406" spans="31:31">
      <c r="AE19406" s="54"/>
    </row>
    <row r="19407" spans="31:31">
      <c r="AE19407" s="54"/>
    </row>
    <row r="19408" spans="31:31">
      <c r="AE19408" s="54"/>
    </row>
    <row r="19409" spans="31:31">
      <c r="AE19409" s="54"/>
    </row>
    <row r="19410" spans="31:31">
      <c r="AE19410" s="54"/>
    </row>
    <row r="19411" spans="31:31">
      <c r="AE19411" s="54"/>
    </row>
    <row r="19412" spans="31:31">
      <c r="AE19412" s="54"/>
    </row>
    <row r="19413" spans="31:31">
      <c r="AE19413" s="54"/>
    </row>
    <row r="19414" spans="31:31">
      <c r="AE19414" s="54"/>
    </row>
    <row r="19415" spans="31:31">
      <c r="AE19415" s="54"/>
    </row>
    <row r="19416" spans="31:31">
      <c r="AE19416" s="54"/>
    </row>
    <row r="19417" spans="31:31">
      <c r="AE19417" s="54"/>
    </row>
    <row r="19418" spans="31:31">
      <c r="AE19418" s="54"/>
    </row>
    <row r="19419" spans="31:31">
      <c r="AE19419" s="54"/>
    </row>
    <row r="19420" spans="31:31">
      <c r="AE19420" s="54"/>
    </row>
    <row r="19421" spans="31:31">
      <c r="AE19421" s="54"/>
    </row>
    <row r="19422" spans="31:31">
      <c r="AE19422" s="54"/>
    </row>
    <row r="19423" spans="31:31">
      <c r="AE19423" s="54"/>
    </row>
    <row r="19424" spans="31:31">
      <c r="AE19424" s="54"/>
    </row>
    <row r="19425" spans="31:31">
      <c r="AE19425" s="54"/>
    </row>
    <row r="19426" spans="31:31">
      <c r="AE19426" s="54"/>
    </row>
    <row r="19427" spans="31:31">
      <c r="AE19427" s="54"/>
    </row>
    <row r="19428" spans="31:31">
      <c r="AE19428" s="54"/>
    </row>
    <row r="19429" spans="31:31">
      <c r="AE19429" s="54"/>
    </row>
    <row r="19430" spans="31:31">
      <c r="AE19430" s="54"/>
    </row>
    <row r="19431" spans="31:31">
      <c r="AE19431" s="54"/>
    </row>
    <row r="19432" spans="31:31">
      <c r="AE19432" s="54"/>
    </row>
    <row r="19433" spans="31:31">
      <c r="AE19433" s="54"/>
    </row>
    <row r="19434" spans="31:31">
      <c r="AE19434" s="54"/>
    </row>
    <row r="19435" spans="31:31">
      <c r="AE19435" s="54"/>
    </row>
    <row r="19436" spans="31:31">
      <c r="AE19436" s="54"/>
    </row>
    <row r="19437" spans="31:31">
      <c r="AE19437" s="54"/>
    </row>
    <row r="19438" spans="31:31">
      <c r="AE19438" s="54"/>
    </row>
    <row r="19439" spans="31:31">
      <c r="AE19439" s="54"/>
    </row>
    <row r="19440" spans="31:31">
      <c r="AE19440" s="54"/>
    </row>
    <row r="19441" spans="31:31">
      <c r="AE19441" s="54"/>
    </row>
    <row r="19442" spans="31:31">
      <c r="AE19442" s="54"/>
    </row>
    <row r="19443" spans="31:31">
      <c r="AE19443" s="54"/>
    </row>
    <row r="19444" spans="31:31">
      <c r="AE19444" s="54"/>
    </row>
    <row r="19445" spans="31:31">
      <c r="AE19445" s="54"/>
    </row>
    <row r="19446" spans="31:31">
      <c r="AE19446" s="54"/>
    </row>
    <row r="19447" spans="31:31">
      <c r="AE19447" s="54"/>
    </row>
    <row r="19448" spans="31:31">
      <c r="AE19448" s="54"/>
    </row>
    <row r="19449" spans="31:31">
      <c r="AE19449" s="54"/>
    </row>
    <row r="19450" spans="31:31">
      <c r="AE19450" s="54"/>
    </row>
    <row r="19451" spans="31:31">
      <c r="AE19451" s="54"/>
    </row>
    <row r="19452" spans="31:31">
      <c r="AE19452" s="54"/>
    </row>
    <row r="19453" spans="31:31">
      <c r="AE19453" s="54"/>
    </row>
    <row r="19454" spans="31:31">
      <c r="AE19454" s="54"/>
    </row>
    <row r="19455" spans="31:31">
      <c r="AE19455" s="54"/>
    </row>
    <row r="19456" spans="31:31">
      <c r="AE19456" s="54"/>
    </row>
    <row r="19457" spans="31:31">
      <c r="AE19457" s="54"/>
    </row>
    <row r="19458" spans="31:31">
      <c r="AE19458" s="54"/>
    </row>
    <row r="19459" spans="31:31">
      <c r="AE19459" s="54"/>
    </row>
    <row r="19460" spans="31:31">
      <c r="AE19460" s="54"/>
    </row>
    <row r="19461" spans="31:31">
      <c r="AE19461" s="54"/>
    </row>
    <row r="19462" spans="31:31">
      <c r="AE19462" s="54"/>
    </row>
    <row r="19463" spans="31:31">
      <c r="AE19463" s="54"/>
    </row>
    <row r="19464" spans="31:31">
      <c r="AE19464" s="54"/>
    </row>
    <row r="19465" spans="31:31">
      <c r="AE19465" s="54"/>
    </row>
    <row r="19466" spans="31:31">
      <c r="AE19466" s="54"/>
    </row>
    <row r="19467" spans="31:31">
      <c r="AE19467" s="54"/>
    </row>
    <row r="19468" spans="31:31">
      <c r="AE19468" s="54"/>
    </row>
    <row r="19469" spans="31:31">
      <c r="AE19469" s="54"/>
    </row>
    <row r="19470" spans="31:31">
      <c r="AE19470" s="54"/>
    </row>
    <row r="19471" spans="31:31">
      <c r="AE19471" s="54"/>
    </row>
    <row r="19472" spans="31:31">
      <c r="AE19472" s="54"/>
    </row>
    <row r="19473" spans="31:31">
      <c r="AE19473" s="54"/>
    </row>
    <row r="19474" spans="31:31">
      <c r="AE19474" s="54"/>
    </row>
    <row r="19475" spans="31:31">
      <c r="AE19475" s="54"/>
    </row>
    <row r="19476" spans="31:31">
      <c r="AE19476" s="54"/>
    </row>
    <row r="19477" spans="31:31">
      <c r="AE19477" s="54"/>
    </row>
    <row r="19478" spans="31:31">
      <c r="AE19478" s="54"/>
    </row>
    <row r="19479" spans="31:31">
      <c r="AE19479" s="54"/>
    </row>
    <row r="19480" spans="31:31">
      <c r="AE19480" s="54"/>
    </row>
    <row r="19481" spans="31:31">
      <c r="AE19481" s="54"/>
    </row>
    <row r="19482" spans="31:31">
      <c r="AE19482" s="54"/>
    </row>
    <row r="19483" spans="31:31">
      <c r="AE19483" s="54"/>
    </row>
    <row r="19484" spans="31:31">
      <c r="AE19484" s="54"/>
    </row>
    <row r="19485" spans="31:31">
      <c r="AE19485" s="54"/>
    </row>
    <row r="19486" spans="31:31">
      <c r="AE19486" s="54"/>
    </row>
    <row r="19487" spans="31:31">
      <c r="AE19487" s="54"/>
    </row>
    <row r="19488" spans="31:31">
      <c r="AE19488" s="54"/>
    </row>
    <row r="19489" spans="31:31">
      <c r="AE19489" s="54"/>
    </row>
    <row r="19490" spans="31:31">
      <c r="AE19490" s="54"/>
    </row>
    <row r="19491" spans="31:31">
      <c r="AE19491" s="54"/>
    </row>
    <row r="19492" spans="31:31">
      <c r="AE19492" s="54"/>
    </row>
    <row r="19493" spans="31:31">
      <c r="AE19493" s="54"/>
    </row>
    <row r="19494" spans="31:31">
      <c r="AE19494" s="54"/>
    </row>
    <row r="19495" spans="31:31">
      <c r="AE19495" s="54"/>
    </row>
    <row r="19496" spans="31:31">
      <c r="AE19496" s="54"/>
    </row>
    <row r="19497" spans="31:31">
      <c r="AE19497" s="54"/>
    </row>
    <row r="19498" spans="31:31">
      <c r="AE19498" s="54"/>
    </row>
    <row r="19499" spans="31:31">
      <c r="AE19499" s="54"/>
    </row>
    <row r="19500" spans="31:31">
      <c r="AE19500" s="54"/>
    </row>
    <row r="19501" spans="31:31">
      <c r="AE19501" s="54"/>
    </row>
    <row r="19502" spans="31:31">
      <c r="AE19502" s="54"/>
    </row>
    <row r="19503" spans="31:31">
      <c r="AE19503" s="54"/>
    </row>
    <row r="19504" spans="31:31">
      <c r="AE19504" s="54"/>
    </row>
    <row r="19505" spans="31:31">
      <c r="AE19505" s="54"/>
    </row>
    <row r="19506" spans="31:31">
      <c r="AE19506" s="54"/>
    </row>
    <row r="19507" spans="31:31">
      <c r="AE19507" s="54"/>
    </row>
    <row r="19508" spans="31:31">
      <c r="AE19508" s="54"/>
    </row>
    <row r="19509" spans="31:31">
      <c r="AE19509" s="54"/>
    </row>
    <row r="19510" spans="31:31">
      <c r="AE19510" s="54"/>
    </row>
    <row r="19511" spans="31:31">
      <c r="AE19511" s="54"/>
    </row>
    <row r="19512" spans="31:31">
      <c r="AE19512" s="54"/>
    </row>
    <row r="19513" spans="31:31">
      <c r="AE19513" s="54"/>
    </row>
    <row r="19514" spans="31:31">
      <c r="AE19514" s="54"/>
    </row>
    <row r="19515" spans="31:31">
      <c r="AE19515" s="54"/>
    </row>
    <row r="19516" spans="31:31">
      <c r="AE19516" s="54"/>
    </row>
    <row r="19517" spans="31:31">
      <c r="AE19517" s="54"/>
    </row>
    <row r="19518" spans="31:31">
      <c r="AE19518" s="54"/>
    </row>
    <row r="19519" spans="31:31">
      <c r="AE19519" s="54"/>
    </row>
    <row r="19520" spans="31:31">
      <c r="AE19520" s="54"/>
    </row>
    <row r="19521" spans="31:31">
      <c r="AE19521" s="54"/>
    </row>
    <row r="19522" spans="31:31">
      <c r="AE19522" s="54"/>
    </row>
    <row r="19523" spans="31:31">
      <c r="AE19523" s="54"/>
    </row>
    <row r="19524" spans="31:31">
      <c r="AE19524" s="54"/>
    </row>
    <row r="19525" spans="31:31">
      <c r="AE19525" s="54"/>
    </row>
    <row r="19526" spans="31:31">
      <c r="AE19526" s="54"/>
    </row>
    <row r="19527" spans="31:31">
      <c r="AE19527" s="54"/>
    </row>
    <row r="19528" spans="31:31">
      <c r="AE19528" s="54"/>
    </row>
    <row r="19529" spans="31:31">
      <c r="AE19529" s="54"/>
    </row>
    <row r="19530" spans="31:31">
      <c r="AE19530" s="54"/>
    </row>
    <row r="19531" spans="31:31">
      <c r="AE19531" s="54"/>
    </row>
    <row r="19532" spans="31:31">
      <c r="AE19532" s="54"/>
    </row>
    <row r="19533" spans="31:31">
      <c r="AE19533" s="54"/>
    </row>
    <row r="19534" spans="31:31">
      <c r="AE19534" s="54"/>
    </row>
    <row r="19535" spans="31:31">
      <c r="AE19535" s="54"/>
    </row>
    <row r="19536" spans="31:31">
      <c r="AE19536" s="54"/>
    </row>
    <row r="19537" spans="31:31">
      <c r="AE19537" s="54"/>
    </row>
    <row r="19538" spans="31:31">
      <c r="AE19538" s="54"/>
    </row>
    <row r="19539" spans="31:31">
      <c r="AE19539" s="54"/>
    </row>
    <row r="19540" spans="31:31">
      <c r="AE19540" s="54"/>
    </row>
    <row r="19541" spans="31:31">
      <c r="AE19541" s="54"/>
    </row>
    <row r="19542" spans="31:31">
      <c r="AE19542" s="54"/>
    </row>
    <row r="19543" spans="31:31">
      <c r="AE19543" s="54"/>
    </row>
    <row r="19544" spans="31:31">
      <c r="AE19544" s="54"/>
    </row>
    <row r="19545" spans="31:31">
      <c r="AE19545" s="54"/>
    </row>
    <row r="19546" spans="31:31">
      <c r="AE19546" s="54"/>
    </row>
    <row r="19547" spans="31:31">
      <c r="AE19547" s="54"/>
    </row>
    <row r="19548" spans="31:31">
      <c r="AE19548" s="54"/>
    </row>
    <row r="19549" spans="31:31">
      <c r="AE19549" s="54"/>
    </row>
    <row r="19550" spans="31:31">
      <c r="AE19550" s="54"/>
    </row>
    <row r="19551" spans="31:31">
      <c r="AE19551" s="54"/>
    </row>
    <row r="19552" spans="31:31">
      <c r="AE19552" s="54"/>
    </row>
    <row r="19553" spans="31:31">
      <c r="AE19553" s="54"/>
    </row>
    <row r="19554" spans="31:31">
      <c r="AE19554" s="54"/>
    </row>
    <row r="19555" spans="31:31">
      <c r="AE19555" s="54"/>
    </row>
    <row r="19556" spans="31:31">
      <c r="AE19556" s="54"/>
    </row>
    <row r="19557" spans="31:31">
      <c r="AE19557" s="54"/>
    </row>
    <row r="19558" spans="31:31">
      <c r="AE19558" s="54"/>
    </row>
    <row r="19559" spans="31:31">
      <c r="AE19559" s="54"/>
    </row>
    <row r="19560" spans="31:31">
      <c r="AE19560" s="54"/>
    </row>
    <row r="19561" spans="31:31">
      <c r="AE19561" s="54"/>
    </row>
    <row r="19562" spans="31:31">
      <c r="AE19562" s="54"/>
    </row>
    <row r="19563" spans="31:31">
      <c r="AE19563" s="54"/>
    </row>
    <row r="19564" spans="31:31">
      <c r="AE19564" s="54"/>
    </row>
    <row r="19565" spans="31:31">
      <c r="AE19565" s="54"/>
    </row>
    <row r="19566" spans="31:31">
      <c r="AE19566" s="54"/>
    </row>
    <row r="19567" spans="31:31">
      <c r="AE19567" s="54"/>
    </row>
    <row r="19568" spans="31:31">
      <c r="AE19568" s="54"/>
    </row>
    <row r="19569" spans="31:31">
      <c r="AE19569" s="54"/>
    </row>
    <row r="19570" spans="31:31">
      <c r="AE19570" s="54"/>
    </row>
    <row r="19571" spans="31:31">
      <c r="AE19571" s="54"/>
    </row>
    <row r="19572" spans="31:31">
      <c r="AE19572" s="54"/>
    </row>
    <row r="19573" spans="31:31">
      <c r="AE19573" s="54"/>
    </row>
    <row r="19574" spans="31:31">
      <c r="AE19574" s="54"/>
    </row>
    <row r="19575" spans="31:31">
      <c r="AE19575" s="54"/>
    </row>
    <row r="19576" spans="31:31">
      <c r="AE19576" s="54"/>
    </row>
    <row r="19577" spans="31:31">
      <c r="AE19577" s="54"/>
    </row>
    <row r="19578" spans="31:31">
      <c r="AE19578" s="54"/>
    </row>
    <row r="19579" spans="31:31">
      <c r="AE19579" s="54"/>
    </row>
    <row r="19580" spans="31:31">
      <c r="AE19580" s="54"/>
    </row>
    <row r="19581" spans="31:31">
      <c r="AE19581" s="54"/>
    </row>
    <row r="19582" spans="31:31">
      <c r="AE19582" s="54"/>
    </row>
    <row r="19583" spans="31:31">
      <c r="AE19583" s="54"/>
    </row>
    <row r="19584" spans="31:31">
      <c r="AE19584" s="54"/>
    </row>
    <row r="19585" spans="31:31">
      <c r="AE19585" s="54"/>
    </row>
    <row r="19586" spans="31:31">
      <c r="AE19586" s="54"/>
    </row>
    <row r="19587" spans="31:31">
      <c r="AE19587" s="54"/>
    </row>
    <row r="19588" spans="31:31">
      <c r="AE19588" s="54"/>
    </row>
    <row r="19589" spans="31:31">
      <c r="AE19589" s="54"/>
    </row>
    <row r="19590" spans="31:31">
      <c r="AE19590" s="54"/>
    </row>
    <row r="19591" spans="31:31">
      <c r="AE19591" s="54"/>
    </row>
    <row r="19592" spans="31:31">
      <c r="AE19592" s="54"/>
    </row>
    <row r="19593" spans="31:31">
      <c r="AE19593" s="54"/>
    </row>
    <row r="19594" spans="31:31">
      <c r="AE19594" s="54"/>
    </row>
    <row r="19595" spans="31:31">
      <c r="AE19595" s="54"/>
    </row>
    <row r="19596" spans="31:31">
      <c r="AE19596" s="54"/>
    </row>
    <row r="19597" spans="31:31">
      <c r="AE19597" s="54"/>
    </row>
    <row r="19598" spans="31:31">
      <c r="AE19598" s="54"/>
    </row>
    <row r="19599" spans="31:31">
      <c r="AE19599" s="54"/>
    </row>
    <row r="19600" spans="31:31">
      <c r="AE19600" s="54"/>
    </row>
    <row r="19601" spans="31:31">
      <c r="AE19601" s="54"/>
    </row>
    <row r="19602" spans="31:31">
      <c r="AE19602" s="54"/>
    </row>
    <row r="19603" spans="31:31">
      <c r="AE19603" s="54"/>
    </row>
    <row r="19604" spans="31:31">
      <c r="AE19604" s="54"/>
    </row>
    <row r="19605" spans="31:31">
      <c r="AE19605" s="54"/>
    </row>
    <row r="19606" spans="31:31">
      <c r="AE19606" s="54"/>
    </row>
    <row r="19607" spans="31:31">
      <c r="AE19607" s="54"/>
    </row>
    <row r="19608" spans="31:31">
      <c r="AE19608" s="54"/>
    </row>
    <row r="19609" spans="31:31">
      <c r="AE19609" s="54"/>
    </row>
    <row r="19610" spans="31:31">
      <c r="AE19610" s="54"/>
    </row>
    <row r="19611" spans="31:31">
      <c r="AE19611" s="54"/>
    </row>
    <row r="19612" spans="31:31">
      <c r="AE19612" s="54"/>
    </row>
    <row r="19613" spans="31:31">
      <c r="AE19613" s="54"/>
    </row>
    <row r="19614" spans="31:31">
      <c r="AE19614" s="54"/>
    </row>
    <row r="19615" spans="31:31">
      <c r="AE19615" s="54"/>
    </row>
    <row r="19616" spans="31:31">
      <c r="AE19616" s="54"/>
    </row>
    <row r="19617" spans="31:31">
      <c r="AE19617" s="54"/>
    </row>
    <row r="19618" spans="31:31">
      <c r="AE19618" s="54"/>
    </row>
    <row r="19619" spans="31:31">
      <c r="AE19619" s="54"/>
    </row>
    <row r="19620" spans="31:31">
      <c r="AE19620" s="54"/>
    </row>
    <row r="19621" spans="31:31">
      <c r="AE19621" s="54"/>
    </row>
    <row r="19622" spans="31:31">
      <c r="AE19622" s="54"/>
    </row>
    <row r="19623" spans="31:31">
      <c r="AE19623" s="54"/>
    </row>
    <row r="19624" spans="31:31">
      <c r="AE19624" s="54"/>
    </row>
    <row r="19625" spans="31:31">
      <c r="AE19625" s="54"/>
    </row>
    <row r="19626" spans="31:31">
      <c r="AE19626" s="54"/>
    </row>
    <row r="19627" spans="31:31">
      <c r="AE19627" s="54"/>
    </row>
    <row r="19628" spans="31:31">
      <c r="AE19628" s="54"/>
    </row>
    <row r="19629" spans="31:31">
      <c r="AE19629" s="54"/>
    </row>
    <row r="19630" spans="31:31">
      <c r="AE19630" s="54"/>
    </row>
    <row r="19631" spans="31:31">
      <c r="AE19631" s="54"/>
    </row>
    <row r="19632" spans="31:31">
      <c r="AE19632" s="54"/>
    </row>
    <row r="19633" spans="31:31">
      <c r="AE19633" s="54"/>
    </row>
    <row r="19634" spans="31:31">
      <c r="AE19634" s="54"/>
    </row>
    <row r="19635" spans="31:31">
      <c r="AE19635" s="54"/>
    </row>
    <row r="19636" spans="31:31">
      <c r="AE19636" s="54"/>
    </row>
    <row r="19637" spans="31:31">
      <c r="AE19637" s="54"/>
    </row>
    <row r="19638" spans="31:31">
      <c r="AE19638" s="54"/>
    </row>
    <row r="19639" spans="31:31">
      <c r="AE19639" s="54"/>
    </row>
    <row r="19640" spans="31:31">
      <c r="AE19640" s="54"/>
    </row>
    <row r="19641" spans="31:31">
      <c r="AE19641" s="54"/>
    </row>
    <row r="19642" spans="31:31">
      <c r="AE19642" s="54"/>
    </row>
    <row r="19643" spans="31:31">
      <c r="AE19643" s="54"/>
    </row>
    <row r="19644" spans="31:31">
      <c r="AE19644" s="54"/>
    </row>
    <row r="19645" spans="31:31">
      <c r="AE19645" s="54"/>
    </row>
    <row r="19646" spans="31:31">
      <c r="AE19646" s="54"/>
    </row>
    <row r="19647" spans="31:31">
      <c r="AE19647" s="54"/>
    </row>
    <row r="19648" spans="31:31">
      <c r="AE19648" s="54"/>
    </row>
    <row r="19649" spans="31:31">
      <c r="AE19649" s="54"/>
    </row>
    <row r="19650" spans="31:31">
      <c r="AE19650" s="54"/>
    </row>
    <row r="19651" spans="31:31">
      <c r="AE19651" s="54"/>
    </row>
    <row r="19652" spans="31:31">
      <c r="AE19652" s="54"/>
    </row>
    <row r="19653" spans="31:31">
      <c r="AE19653" s="54"/>
    </row>
    <row r="19654" spans="31:31">
      <c r="AE19654" s="54"/>
    </row>
    <row r="19655" spans="31:31">
      <c r="AE19655" s="54"/>
    </row>
    <row r="19656" spans="31:31">
      <c r="AE19656" s="54"/>
    </row>
    <row r="19657" spans="31:31">
      <c r="AE19657" s="54"/>
    </row>
    <row r="19658" spans="31:31">
      <c r="AE19658" s="54"/>
    </row>
    <row r="19659" spans="31:31">
      <c r="AE19659" s="54"/>
    </row>
    <row r="19660" spans="31:31">
      <c r="AE19660" s="54"/>
    </row>
    <row r="19661" spans="31:31">
      <c r="AE19661" s="54"/>
    </row>
    <row r="19662" spans="31:31">
      <c r="AE19662" s="54"/>
    </row>
    <row r="19663" spans="31:31">
      <c r="AE19663" s="54"/>
    </row>
    <row r="19664" spans="31:31">
      <c r="AE19664" s="54"/>
    </row>
    <row r="19665" spans="31:31">
      <c r="AE19665" s="54"/>
    </row>
    <row r="19666" spans="31:31">
      <c r="AE19666" s="54"/>
    </row>
    <row r="19667" spans="31:31">
      <c r="AE19667" s="54"/>
    </row>
    <row r="19668" spans="31:31">
      <c r="AE19668" s="54"/>
    </row>
    <row r="19669" spans="31:31">
      <c r="AE19669" s="54"/>
    </row>
    <row r="19670" spans="31:31">
      <c r="AE19670" s="54"/>
    </row>
    <row r="19671" spans="31:31">
      <c r="AE19671" s="54"/>
    </row>
    <row r="19672" spans="31:31">
      <c r="AE19672" s="54"/>
    </row>
    <row r="19673" spans="31:31">
      <c r="AE19673" s="54"/>
    </row>
    <row r="19674" spans="31:31">
      <c r="AE19674" s="54"/>
    </row>
    <row r="19675" spans="31:31">
      <c r="AE19675" s="54"/>
    </row>
    <row r="19676" spans="31:31">
      <c r="AE19676" s="54"/>
    </row>
    <row r="19677" spans="31:31">
      <c r="AE19677" s="54"/>
    </row>
    <row r="19678" spans="31:31">
      <c r="AE19678" s="54"/>
    </row>
    <row r="19679" spans="31:31">
      <c r="AE19679" s="54"/>
    </row>
    <row r="19680" spans="31:31">
      <c r="AE19680" s="54"/>
    </row>
    <row r="19681" spans="31:31">
      <c r="AE19681" s="54"/>
    </row>
    <row r="19682" spans="31:31">
      <c r="AE19682" s="54"/>
    </row>
    <row r="19683" spans="31:31">
      <c r="AE19683" s="54"/>
    </row>
    <row r="19684" spans="31:31">
      <c r="AE19684" s="54"/>
    </row>
    <row r="19685" spans="31:31">
      <c r="AE19685" s="54"/>
    </row>
    <row r="19686" spans="31:31">
      <c r="AE19686" s="54"/>
    </row>
    <row r="19687" spans="31:31">
      <c r="AE19687" s="54"/>
    </row>
    <row r="19688" spans="31:31">
      <c r="AE19688" s="54"/>
    </row>
    <row r="19689" spans="31:31">
      <c r="AE19689" s="54"/>
    </row>
    <row r="19690" spans="31:31">
      <c r="AE19690" s="54"/>
    </row>
    <row r="19691" spans="31:31">
      <c r="AE19691" s="54"/>
    </row>
    <row r="19692" spans="31:31">
      <c r="AE19692" s="54"/>
    </row>
    <row r="19693" spans="31:31">
      <c r="AE19693" s="54"/>
    </row>
    <row r="19694" spans="31:31">
      <c r="AE19694" s="54"/>
    </row>
    <row r="19695" spans="31:31">
      <c r="AE19695" s="54"/>
    </row>
    <row r="19696" spans="31:31">
      <c r="AE19696" s="54"/>
    </row>
    <row r="19697" spans="31:31">
      <c r="AE19697" s="54"/>
    </row>
    <row r="19698" spans="31:31">
      <c r="AE19698" s="54"/>
    </row>
    <row r="19699" spans="31:31">
      <c r="AE19699" s="54"/>
    </row>
    <row r="19700" spans="31:31">
      <c r="AE19700" s="54"/>
    </row>
    <row r="19701" spans="31:31">
      <c r="AE19701" s="54"/>
    </row>
    <row r="19702" spans="31:31">
      <c r="AE19702" s="54"/>
    </row>
    <row r="19703" spans="31:31">
      <c r="AE19703" s="54"/>
    </row>
    <row r="19704" spans="31:31">
      <c r="AE19704" s="54"/>
    </row>
    <row r="19705" spans="31:31">
      <c r="AE19705" s="54"/>
    </row>
    <row r="19706" spans="31:31">
      <c r="AE19706" s="54"/>
    </row>
    <row r="19707" spans="31:31">
      <c r="AE19707" s="54"/>
    </row>
    <row r="19708" spans="31:31">
      <c r="AE19708" s="54"/>
    </row>
    <row r="19709" spans="31:31">
      <c r="AE19709" s="54"/>
    </row>
    <row r="19710" spans="31:31">
      <c r="AE19710" s="54"/>
    </row>
    <row r="19711" spans="31:31">
      <c r="AE19711" s="54"/>
    </row>
    <row r="19712" spans="31:31">
      <c r="AE19712" s="54"/>
    </row>
    <row r="19713" spans="31:31">
      <c r="AE19713" s="54"/>
    </row>
    <row r="19714" spans="31:31">
      <c r="AE19714" s="54"/>
    </row>
    <row r="19715" spans="31:31">
      <c r="AE19715" s="54"/>
    </row>
    <row r="19716" spans="31:31">
      <c r="AE19716" s="54"/>
    </row>
    <row r="19717" spans="31:31">
      <c r="AE19717" s="54"/>
    </row>
    <row r="19718" spans="31:31">
      <c r="AE19718" s="54"/>
    </row>
    <row r="19719" spans="31:31">
      <c r="AE19719" s="54"/>
    </row>
    <row r="19720" spans="31:31">
      <c r="AE19720" s="54"/>
    </row>
    <row r="19721" spans="31:31">
      <c r="AE19721" s="54"/>
    </row>
    <row r="19722" spans="31:31">
      <c r="AE19722" s="54"/>
    </row>
    <row r="19723" spans="31:31">
      <c r="AE19723" s="54"/>
    </row>
    <row r="19724" spans="31:31">
      <c r="AE19724" s="54"/>
    </row>
    <row r="19725" spans="31:31">
      <c r="AE19725" s="54"/>
    </row>
    <row r="19726" spans="31:31">
      <c r="AE19726" s="54"/>
    </row>
    <row r="19727" spans="31:31">
      <c r="AE19727" s="54"/>
    </row>
    <row r="19728" spans="31:31">
      <c r="AE19728" s="54"/>
    </row>
    <row r="19729" spans="31:31">
      <c r="AE19729" s="54"/>
    </row>
    <row r="19730" spans="31:31">
      <c r="AE19730" s="54"/>
    </row>
    <row r="19731" spans="31:31">
      <c r="AE19731" s="54"/>
    </row>
    <row r="19732" spans="31:31">
      <c r="AE19732" s="54"/>
    </row>
    <row r="19733" spans="31:31">
      <c r="AE19733" s="54"/>
    </row>
    <row r="19734" spans="31:31">
      <c r="AE19734" s="54"/>
    </row>
    <row r="19735" spans="31:31">
      <c r="AE19735" s="54"/>
    </row>
    <row r="19736" spans="31:31">
      <c r="AE19736" s="54"/>
    </row>
    <row r="19737" spans="31:31">
      <c r="AE19737" s="54"/>
    </row>
    <row r="19738" spans="31:31">
      <c r="AE19738" s="54"/>
    </row>
    <row r="19739" spans="31:31">
      <c r="AE19739" s="54"/>
    </row>
    <row r="19740" spans="31:31">
      <c r="AE19740" s="54"/>
    </row>
    <row r="19741" spans="31:31">
      <c r="AE19741" s="54"/>
    </row>
    <row r="19742" spans="31:31">
      <c r="AE19742" s="54"/>
    </row>
    <row r="19743" spans="31:31">
      <c r="AE19743" s="54"/>
    </row>
    <row r="19744" spans="31:31">
      <c r="AE19744" s="54"/>
    </row>
    <row r="19745" spans="31:31">
      <c r="AE19745" s="54"/>
    </row>
    <row r="19746" spans="31:31">
      <c r="AE19746" s="54"/>
    </row>
    <row r="19747" spans="31:31">
      <c r="AE19747" s="54"/>
    </row>
    <row r="19748" spans="31:31">
      <c r="AE19748" s="54"/>
    </row>
    <row r="19749" spans="31:31">
      <c r="AE19749" s="54"/>
    </row>
    <row r="19750" spans="31:31">
      <c r="AE19750" s="54"/>
    </row>
    <row r="19751" spans="31:31">
      <c r="AE19751" s="54"/>
    </row>
    <row r="19752" spans="31:31">
      <c r="AE19752" s="54"/>
    </row>
    <row r="19753" spans="31:31">
      <c r="AE19753" s="54"/>
    </row>
    <row r="19754" spans="31:31">
      <c r="AE19754" s="54"/>
    </row>
    <row r="19755" spans="31:31">
      <c r="AE19755" s="54"/>
    </row>
    <row r="19756" spans="31:31">
      <c r="AE19756" s="54"/>
    </row>
    <row r="19757" spans="31:31">
      <c r="AE19757" s="54"/>
    </row>
    <row r="19758" spans="31:31">
      <c r="AE19758" s="54"/>
    </row>
    <row r="19759" spans="31:31">
      <c r="AE19759" s="54"/>
    </row>
    <row r="19760" spans="31:31">
      <c r="AE19760" s="54"/>
    </row>
    <row r="19761" spans="31:31">
      <c r="AE19761" s="54"/>
    </row>
    <row r="19762" spans="31:31">
      <c r="AE19762" s="54"/>
    </row>
    <row r="19763" spans="31:31">
      <c r="AE19763" s="54"/>
    </row>
    <row r="19764" spans="31:31">
      <c r="AE19764" s="54"/>
    </row>
    <row r="19765" spans="31:31">
      <c r="AE19765" s="54"/>
    </row>
    <row r="19766" spans="31:31">
      <c r="AE19766" s="54"/>
    </row>
    <row r="19767" spans="31:31">
      <c r="AE19767" s="54"/>
    </row>
    <row r="19768" spans="31:31">
      <c r="AE19768" s="54"/>
    </row>
    <row r="19769" spans="31:31">
      <c r="AE19769" s="54"/>
    </row>
    <row r="19770" spans="31:31">
      <c r="AE19770" s="54"/>
    </row>
    <row r="19771" spans="31:31">
      <c r="AE19771" s="54"/>
    </row>
    <row r="19772" spans="31:31">
      <c r="AE19772" s="54"/>
    </row>
    <row r="19773" spans="31:31">
      <c r="AE19773" s="54"/>
    </row>
    <row r="19774" spans="31:31">
      <c r="AE19774" s="54"/>
    </row>
    <row r="19775" spans="31:31">
      <c r="AE19775" s="54"/>
    </row>
    <row r="19776" spans="31:31">
      <c r="AE19776" s="54"/>
    </row>
    <row r="19777" spans="31:31">
      <c r="AE19777" s="54"/>
    </row>
    <row r="19778" spans="31:31">
      <c r="AE19778" s="54"/>
    </row>
    <row r="19779" spans="31:31">
      <c r="AE19779" s="54"/>
    </row>
    <row r="19780" spans="31:31">
      <c r="AE19780" s="54"/>
    </row>
    <row r="19781" spans="31:31">
      <c r="AE19781" s="54"/>
    </row>
    <row r="19782" spans="31:31">
      <c r="AE19782" s="54"/>
    </row>
    <row r="19783" spans="31:31">
      <c r="AE19783" s="54"/>
    </row>
    <row r="19784" spans="31:31">
      <c r="AE19784" s="54"/>
    </row>
    <row r="19785" spans="31:31">
      <c r="AE19785" s="54"/>
    </row>
    <row r="19786" spans="31:31">
      <c r="AE19786" s="54"/>
    </row>
    <row r="19787" spans="31:31">
      <c r="AE19787" s="54"/>
    </row>
    <row r="19788" spans="31:31">
      <c r="AE19788" s="54"/>
    </row>
    <row r="19789" spans="31:31">
      <c r="AE19789" s="54"/>
    </row>
    <row r="19790" spans="31:31">
      <c r="AE19790" s="54"/>
    </row>
    <row r="19791" spans="31:31">
      <c r="AE19791" s="54"/>
    </row>
    <row r="19792" spans="31:31">
      <c r="AE19792" s="54"/>
    </row>
    <row r="19793" spans="31:31">
      <c r="AE19793" s="54"/>
    </row>
    <row r="19794" spans="31:31">
      <c r="AE19794" s="54"/>
    </row>
    <row r="19795" spans="31:31">
      <c r="AE19795" s="54"/>
    </row>
    <row r="19796" spans="31:31">
      <c r="AE19796" s="54"/>
    </row>
    <row r="19797" spans="31:31">
      <c r="AE19797" s="54"/>
    </row>
    <row r="19798" spans="31:31">
      <c r="AE19798" s="54"/>
    </row>
    <row r="19799" spans="31:31">
      <c r="AE19799" s="54"/>
    </row>
    <row r="19800" spans="31:31">
      <c r="AE19800" s="54"/>
    </row>
    <row r="19801" spans="31:31">
      <c r="AE19801" s="54"/>
    </row>
    <row r="19802" spans="31:31">
      <c r="AE19802" s="54"/>
    </row>
    <row r="19803" spans="31:31">
      <c r="AE19803" s="54"/>
    </row>
    <row r="19804" spans="31:31">
      <c r="AE19804" s="54"/>
    </row>
    <row r="19805" spans="31:31">
      <c r="AE19805" s="54"/>
    </row>
    <row r="19806" spans="31:31">
      <c r="AE19806" s="54"/>
    </row>
    <row r="19807" spans="31:31">
      <c r="AE19807" s="54"/>
    </row>
    <row r="19808" spans="31:31">
      <c r="AE19808" s="54"/>
    </row>
    <row r="19809" spans="31:31">
      <c r="AE19809" s="54"/>
    </row>
    <row r="19810" spans="31:31">
      <c r="AE19810" s="54"/>
    </row>
    <row r="19811" spans="31:31">
      <c r="AE19811" s="54"/>
    </row>
    <row r="19812" spans="31:31">
      <c r="AE19812" s="54"/>
    </row>
    <row r="19813" spans="31:31">
      <c r="AE19813" s="54"/>
    </row>
    <row r="19814" spans="31:31">
      <c r="AE19814" s="54"/>
    </row>
    <row r="19815" spans="31:31">
      <c r="AE19815" s="54"/>
    </row>
    <row r="19816" spans="31:31">
      <c r="AE19816" s="54"/>
    </row>
    <row r="19817" spans="31:31">
      <c r="AE19817" s="54"/>
    </row>
    <row r="19818" spans="31:31">
      <c r="AE19818" s="54"/>
    </row>
    <row r="19819" spans="31:31">
      <c r="AE19819" s="54"/>
    </row>
    <row r="19820" spans="31:31">
      <c r="AE19820" s="54"/>
    </row>
    <row r="19821" spans="31:31">
      <c r="AE19821" s="54"/>
    </row>
    <row r="19822" spans="31:31">
      <c r="AE19822" s="54"/>
    </row>
    <row r="19823" spans="31:31">
      <c r="AE19823" s="54"/>
    </row>
    <row r="19824" spans="31:31">
      <c r="AE19824" s="54"/>
    </row>
    <row r="19825" spans="31:31">
      <c r="AE19825" s="54"/>
    </row>
    <row r="19826" spans="31:31">
      <c r="AE19826" s="54"/>
    </row>
    <row r="19827" spans="31:31">
      <c r="AE19827" s="54"/>
    </row>
    <row r="19828" spans="31:31">
      <c r="AE19828" s="54"/>
    </row>
    <row r="19829" spans="31:31">
      <c r="AE19829" s="54"/>
    </row>
    <row r="19830" spans="31:31">
      <c r="AE19830" s="54"/>
    </row>
    <row r="19831" spans="31:31">
      <c r="AE19831" s="54"/>
    </row>
    <row r="19832" spans="31:31">
      <c r="AE19832" s="54"/>
    </row>
    <row r="19833" spans="31:31">
      <c r="AE19833" s="54"/>
    </row>
    <row r="19834" spans="31:31">
      <c r="AE19834" s="54"/>
    </row>
    <row r="19835" spans="31:31">
      <c r="AE19835" s="54"/>
    </row>
    <row r="19836" spans="31:31">
      <c r="AE19836" s="54"/>
    </row>
    <row r="19837" spans="31:31">
      <c r="AE19837" s="54"/>
    </row>
    <row r="19838" spans="31:31">
      <c r="AE19838" s="54"/>
    </row>
    <row r="19839" spans="31:31">
      <c r="AE19839" s="54"/>
    </row>
    <row r="19840" spans="31:31">
      <c r="AE19840" s="54"/>
    </row>
    <row r="19841" spans="31:31">
      <c r="AE19841" s="54"/>
    </row>
    <row r="19842" spans="31:31">
      <c r="AE19842" s="54"/>
    </row>
    <row r="19843" spans="31:31">
      <c r="AE19843" s="54"/>
    </row>
    <row r="19844" spans="31:31">
      <c r="AE19844" s="54"/>
    </row>
    <row r="19845" spans="31:31">
      <c r="AE19845" s="54"/>
    </row>
    <row r="19846" spans="31:31">
      <c r="AE19846" s="54"/>
    </row>
    <row r="19847" spans="31:31">
      <c r="AE19847" s="54"/>
    </row>
    <row r="19848" spans="31:31">
      <c r="AE19848" s="54"/>
    </row>
    <row r="19849" spans="31:31">
      <c r="AE19849" s="54"/>
    </row>
    <row r="19850" spans="31:31">
      <c r="AE19850" s="54"/>
    </row>
    <row r="19851" spans="31:31">
      <c r="AE19851" s="54"/>
    </row>
    <row r="19852" spans="31:31">
      <c r="AE19852" s="54"/>
    </row>
    <row r="19853" spans="31:31">
      <c r="AE19853" s="54"/>
    </row>
    <row r="19854" spans="31:31">
      <c r="AE19854" s="54"/>
    </row>
    <row r="19855" spans="31:31">
      <c r="AE19855" s="54"/>
    </row>
    <row r="19856" spans="31:31">
      <c r="AE19856" s="54"/>
    </row>
    <row r="19857" spans="31:31">
      <c r="AE19857" s="54"/>
    </row>
    <row r="19858" spans="31:31">
      <c r="AE19858" s="54"/>
    </row>
    <row r="19859" spans="31:31">
      <c r="AE19859" s="54"/>
    </row>
    <row r="19860" spans="31:31">
      <c r="AE19860" s="54"/>
    </row>
    <row r="19861" spans="31:31">
      <c r="AE19861" s="54"/>
    </row>
    <row r="19862" spans="31:31">
      <c r="AE19862" s="54"/>
    </row>
    <row r="19863" spans="31:31">
      <c r="AE19863" s="54"/>
    </row>
    <row r="19864" spans="31:31">
      <c r="AE19864" s="54"/>
    </row>
    <row r="19865" spans="31:31">
      <c r="AE19865" s="54"/>
    </row>
    <row r="19866" spans="31:31">
      <c r="AE19866" s="54"/>
    </row>
    <row r="19867" spans="31:31">
      <c r="AE19867" s="54"/>
    </row>
    <row r="19868" spans="31:31">
      <c r="AE19868" s="54"/>
    </row>
    <row r="19869" spans="31:31">
      <c r="AE19869" s="54"/>
    </row>
    <row r="19870" spans="31:31">
      <c r="AE19870" s="54"/>
    </row>
    <row r="19871" spans="31:31">
      <c r="AE19871" s="54"/>
    </row>
    <row r="19872" spans="31:31">
      <c r="AE19872" s="54"/>
    </row>
    <row r="19873" spans="31:31">
      <c r="AE19873" s="54"/>
    </row>
    <row r="19874" spans="31:31">
      <c r="AE19874" s="54"/>
    </row>
    <row r="19875" spans="31:31">
      <c r="AE19875" s="54"/>
    </row>
    <row r="19876" spans="31:31">
      <c r="AE19876" s="54"/>
    </row>
    <row r="19877" spans="31:31">
      <c r="AE19877" s="54"/>
    </row>
    <row r="19878" spans="31:31">
      <c r="AE19878" s="54"/>
    </row>
    <row r="19879" spans="31:31">
      <c r="AE19879" s="54"/>
    </row>
    <row r="19880" spans="31:31">
      <c r="AE19880" s="54"/>
    </row>
    <row r="19881" spans="31:31">
      <c r="AE19881" s="54"/>
    </row>
    <row r="19882" spans="31:31">
      <c r="AE19882" s="54"/>
    </row>
    <row r="19883" spans="31:31">
      <c r="AE19883" s="54"/>
    </row>
    <row r="19884" spans="31:31">
      <c r="AE19884" s="54"/>
    </row>
    <row r="19885" spans="31:31">
      <c r="AE19885" s="54"/>
    </row>
    <row r="19886" spans="31:31">
      <c r="AE19886" s="54"/>
    </row>
    <row r="19887" spans="31:31">
      <c r="AE19887" s="54"/>
    </row>
    <row r="19888" spans="31:31">
      <c r="AE19888" s="54"/>
    </row>
    <row r="19889" spans="31:31">
      <c r="AE19889" s="54"/>
    </row>
    <row r="19890" spans="31:31">
      <c r="AE19890" s="54"/>
    </row>
    <row r="19891" spans="31:31">
      <c r="AE19891" s="54"/>
    </row>
    <row r="19892" spans="31:31">
      <c r="AE19892" s="54"/>
    </row>
    <row r="19893" spans="31:31">
      <c r="AE19893" s="54"/>
    </row>
    <row r="19894" spans="31:31">
      <c r="AE19894" s="54"/>
    </row>
    <row r="19895" spans="31:31">
      <c r="AE19895" s="54"/>
    </row>
    <row r="19896" spans="31:31">
      <c r="AE19896" s="54"/>
    </row>
    <row r="19897" spans="31:31">
      <c r="AE19897" s="54"/>
    </row>
    <row r="19898" spans="31:31">
      <c r="AE19898" s="54"/>
    </row>
    <row r="19899" spans="31:31">
      <c r="AE19899" s="54"/>
    </row>
    <row r="19900" spans="31:31">
      <c r="AE19900" s="54"/>
    </row>
    <row r="19901" spans="31:31">
      <c r="AE19901" s="54"/>
    </row>
    <row r="19902" spans="31:31">
      <c r="AE19902" s="54"/>
    </row>
    <row r="19903" spans="31:31">
      <c r="AE19903" s="54"/>
    </row>
    <row r="19904" spans="31:31">
      <c r="AE19904" s="54"/>
    </row>
    <row r="19905" spans="31:31">
      <c r="AE19905" s="54"/>
    </row>
    <row r="19906" spans="31:31">
      <c r="AE19906" s="54"/>
    </row>
    <row r="19907" spans="31:31">
      <c r="AE19907" s="54"/>
    </row>
    <row r="19908" spans="31:31">
      <c r="AE19908" s="54"/>
    </row>
    <row r="19909" spans="31:31">
      <c r="AE19909" s="54"/>
    </row>
    <row r="19910" spans="31:31">
      <c r="AE19910" s="54"/>
    </row>
    <row r="19911" spans="31:31">
      <c r="AE19911" s="54"/>
    </row>
    <row r="19912" spans="31:31">
      <c r="AE19912" s="54"/>
    </row>
    <row r="19913" spans="31:31">
      <c r="AE19913" s="54"/>
    </row>
    <row r="19914" spans="31:31">
      <c r="AE19914" s="54"/>
    </row>
    <row r="19915" spans="31:31">
      <c r="AE19915" s="54"/>
    </row>
    <row r="19916" spans="31:31">
      <c r="AE19916" s="54"/>
    </row>
    <row r="19917" spans="31:31">
      <c r="AE19917" s="54"/>
    </row>
    <row r="19918" spans="31:31">
      <c r="AE19918" s="54"/>
    </row>
    <row r="19919" spans="31:31">
      <c r="AE19919" s="54"/>
    </row>
    <row r="19920" spans="31:31">
      <c r="AE19920" s="54"/>
    </row>
    <row r="19921" spans="31:31">
      <c r="AE19921" s="54"/>
    </row>
    <row r="19922" spans="31:31">
      <c r="AE19922" s="54"/>
    </row>
    <row r="19923" spans="31:31">
      <c r="AE19923" s="54"/>
    </row>
    <row r="19924" spans="31:31">
      <c r="AE19924" s="54"/>
    </row>
    <row r="19925" spans="31:31">
      <c r="AE19925" s="54"/>
    </row>
    <row r="19926" spans="31:31">
      <c r="AE19926" s="54"/>
    </row>
    <row r="19927" spans="31:31">
      <c r="AE19927" s="54"/>
    </row>
    <row r="19928" spans="31:31">
      <c r="AE19928" s="54"/>
    </row>
    <row r="19929" spans="31:31">
      <c r="AE19929" s="54"/>
    </row>
    <row r="19930" spans="31:31">
      <c r="AE19930" s="54"/>
    </row>
    <row r="19931" spans="31:31">
      <c r="AE19931" s="54"/>
    </row>
    <row r="19932" spans="31:31">
      <c r="AE19932" s="54"/>
    </row>
    <row r="19933" spans="31:31">
      <c r="AE19933" s="54"/>
    </row>
    <row r="19934" spans="31:31">
      <c r="AE19934" s="54"/>
    </row>
    <row r="19935" spans="31:31">
      <c r="AE19935" s="54"/>
    </row>
    <row r="19936" spans="31:31">
      <c r="AE19936" s="54"/>
    </row>
    <row r="19937" spans="31:31">
      <c r="AE19937" s="54"/>
    </row>
    <row r="19938" spans="31:31">
      <c r="AE19938" s="54"/>
    </row>
    <row r="19939" spans="31:31">
      <c r="AE19939" s="54"/>
    </row>
    <row r="19940" spans="31:31">
      <c r="AE19940" s="54"/>
    </row>
    <row r="19941" spans="31:31">
      <c r="AE19941" s="54"/>
    </row>
    <row r="19942" spans="31:31">
      <c r="AE19942" s="54"/>
    </row>
    <row r="19943" spans="31:31">
      <c r="AE19943" s="54"/>
    </row>
    <row r="19944" spans="31:31">
      <c r="AE19944" s="54"/>
    </row>
    <row r="19945" spans="31:31">
      <c r="AE19945" s="54"/>
    </row>
    <row r="19946" spans="31:31">
      <c r="AE19946" s="54"/>
    </row>
    <row r="19947" spans="31:31">
      <c r="AE19947" s="54"/>
    </row>
    <row r="19948" spans="31:31">
      <c r="AE19948" s="54"/>
    </row>
    <row r="19949" spans="31:31">
      <c r="AE19949" s="54"/>
    </row>
    <row r="19950" spans="31:31">
      <c r="AE19950" s="54"/>
    </row>
    <row r="19951" spans="31:31">
      <c r="AE19951" s="54"/>
    </row>
    <row r="19952" spans="31:31">
      <c r="AE19952" s="54"/>
    </row>
    <row r="19953" spans="31:31">
      <c r="AE19953" s="54"/>
    </row>
    <row r="19954" spans="31:31">
      <c r="AE19954" s="54"/>
    </row>
    <row r="19955" spans="31:31">
      <c r="AE19955" s="54"/>
    </row>
    <row r="19956" spans="31:31">
      <c r="AE19956" s="54"/>
    </row>
    <row r="19957" spans="31:31">
      <c r="AE19957" s="54"/>
    </row>
    <row r="19958" spans="31:31">
      <c r="AE19958" s="54"/>
    </row>
    <row r="19959" spans="31:31">
      <c r="AE19959" s="54"/>
    </row>
    <row r="19960" spans="31:31">
      <c r="AE19960" s="54"/>
    </row>
    <row r="19961" spans="31:31">
      <c r="AE19961" s="54"/>
    </row>
    <row r="19962" spans="31:31">
      <c r="AE19962" s="54"/>
    </row>
    <row r="19963" spans="31:31">
      <c r="AE19963" s="54"/>
    </row>
    <row r="19964" spans="31:31">
      <c r="AE19964" s="54"/>
    </row>
    <row r="19965" spans="31:31">
      <c r="AE19965" s="54"/>
    </row>
    <row r="19966" spans="31:31">
      <c r="AE19966" s="54"/>
    </row>
    <row r="19967" spans="31:31">
      <c r="AE19967" s="54"/>
    </row>
    <row r="19968" spans="31:31">
      <c r="AE19968" s="54"/>
    </row>
    <row r="19969" spans="31:31">
      <c r="AE19969" s="54"/>
    </row>
    <row r="19970" spans="31:31">
      <c r="AE19970" s="54"/>
    </row>
    <row r="19971" spans="31:31">
      <c r="AE19971" s="54"/>
    </row>
    <row r="19972" spans="31:31">
      <c r="AE19972" s="54"/>
    </row>
    <row r="19973" spans="31:31">
      <c r="AE19973" s="54"/>
    </row>
    <row r="19974" spans="31:31">
      <c r="AE19974" s="54"/>
    </row>
    <row r="19975" spans="31:31">
      <c r="AE19975" s="54"/>
    </row>
    <row r="19976" spans="31:31">
      <c r="AE19976" s="54"/>
    </row>
    <row r="19977" spans="31:31">
      <c r="AE19977" s="54"/>
    </row>
    <row r="19978" spans="31:31">
      <c r="AE19978" s="54"/>
    </row>
    <row r="19979" spans="31:31">
      <c r="AE19979" s="54"/>
    </row>
    <row r="19980" spans="31:31">
      <c r="AE19980" s="54"/>
    </row>
    <row r="19981" spans="31:31">
      <c r="AE19981" s="54"/>
    </row>
    <row r="19982" spans="31:31">
      <c r="AE19982" s="54"/>
    </row>
    <row r="19983" spans="31:31">
      <c r="AE19983" s="54"/>
    </row>
    <row r="19984" spans="31:31">
      <c r="AE19984" s="54"/>
    </row>
    <row r="19985" spans="31:31">
      <c r="AE19985" s="54"/>
    </row>
    <row r="19986" spans="31:31">
      <c r="AE19986" s="54"/>
    </row>
    <row r="19987" spans="31:31">
      <c r="AE19987" s="54"/>
    </row>
    <row r="19988" spans="31:31">
      <c r="AE19988" s="54"/>
    </row>
    <row r="19989" spans="31:31">
      <c r="AE19989" s="54"/>
    </row>
    <row r="19990" spans="31:31">
      <c r="AE19990" s="54"/>
    </row>
    <row r="19991" spans="31:31">
      <c r="AE19991" s="54"/>
    </row>
    <row r="19992" spans="31:31">
      <c r="AE19992" s="54"/>
    </row>
    <row r="19993" spans="31:31">
      <c r="AE19993" s="54"/>
    </row>
    <row r="19994" spans="31:31">
      <c r="AE19994" s="54"/>
    </row>
    <row r="19995" spans="31:31">
      <c r="AE19995" s="54"/>
    </row>
    <row r="19996" spans="31:31">
      <c r="AE19996" s="54"/>
    </row>
    <row r="19997" spans="31:31">
      <c r="AE19997" s="54"/>
    </row>
    <row r="19998" spans="31:31">
      <c r="AE19998" s="54"/>
    </row>
    <row r="19999" spans="31:31">
      <c r="AE19999" s="54"/>
    </row>
    <row r="20000" spans="31:31">
      <c r="AE20000" s="54"/>
    </row>
    <row r="20001" spans="31:31">
      <c r="AE20001" s="54"/>
    </row>
    <row r="20002" spans="31:31">
      <c r="AE20002" s="54"/>
    </row>
    <row r="20003" spans="31:31">
      <c r="AE20003" s="54"/>
    </row>
    <row r="20004" spans="31:31">
      <c r="AE20004" s="54"/>
    </row>
    <row r="20005" spans="31:31">
      <c r="AE20005" s="54"/>
    </row>
    <row r="20006" spans="31:31">
      <c r="AE20006" s="54"/>
    </row>
    <row r="20007" spans="31:31">
      <c r="AE20007" s="54"/>
    </row>
    <row r="20008" spans="31:31">
      <c r="AE20008" s="54"/>
    </row>
    <row r="20009" spans="31:31">
      <c r="AE20009" s="54"/>
    </row>
    <row r="20010" spans="31:31">
      <c r="AE20010" s="54"/>
    </row>
    <row r="20011" spans="31:31">
      <c r="AE20011" s="54"/>
    </row>
    <row r="20012" spans="31:31">
      <c r="AE20012" s="54"/>
    </row>
    <row r="20013" spans="31:31">
      <c r="AE20013" s="54"/>
    </row>
    <row r="20014" spans="31:31">
      <c r="AE20014" s="54"/>
    </row>
    <row r="20015" spans="31:31">
      <c r="AE20015" s="54"/>
    </row>
    <row r="20016" spans="31:31">
      <c r="AE20016" s="54"/>
    </row>
    <row r="20017" spans="31:31">
      <c r="AE20017" s="54"/>
    </row>
    <row r="20018" spans="31:31">
      <c r="AE20018" s="54"/>
    </row>
    <row r="20019" spans="31:31">
      <c r="AE20019" s="54"/>
    </row>
    <row r="20020" spans="31:31">
      <c r="AE20020" s="54"/>
    </row>
    <row r="20021" spans="31:31">
      <c r="AE20021" s="54"/>
    </row>
    <row r="20022" spans="31:31">
      <c r="AE20022" s="54"/>
    </row>
    <row r="20023" spans="31:31">
      <c r="AE20023" s="54"/>
    </row>
    <row r="20024" spans="31:31">
      <c r="AE20024" s="54"/>
    </row>
    <row r="20025" spans="31:31">
      <c r="AE20025" s="54"/>
    </row>
    <row r="20026" spans="31:31">
      <c r="AE20026" s="54"/>
    </row>
    <row r="20027" spans="31:31">
      <c r="AE20027" s="54"/>
    </row>
    <row r="20028" spans="31:31">
      <c r="AE20028" s="54"/>
    </row>
    <row r="20029" spans="31:31">
      <c r="AE20029" s="54"/>
    </row>
    <row r="20030" spans="31:31">
      <c r="AE20030" s="54"/>
    </row>
    <row r="20031" spans="31:31">
      <c r="AE20031" s="54"/>
    </row>
    <row r="20032" spans="31:31">
      <c r="AE20032" s="54"/>
    </row>
    <row r="20033" spans="31:31">
      <c r="AE20033" s="54"/>
    </row>
    <row r="20034" spans="31:31">
      <c r="AE20034" s="54"/>
    </row>
    <row r="20035" spans="31:31">
      <c r="AE20035" s="54"/>
    </row>
    <row r="20036" spans="31:31">
      <c r="AE20036" s="54"/>
    </row>
    <row r="20037" spans="31:31">
      <c r="AE20037" s="54"/>
    </row>
    <row r="20038" spans="31:31">
      <c r="AE20038" s="54"/>
    </row>
    <row r="20039" spans="31:31">
      <c r="AE20039" s="54"/>
    </row>
    <row r="20040" spans="31:31">
      <c r="AE20040" s="54"/>
    </row>
    <row r="20041" spans="31:31">
      <c r="AE20041" s="54"/>
    </row>
    <row r="20042" spans="31:31">
      <c r="AE20042" s="54"/>
    </row>
    <row r="20043" spans="31:31">
      <c r="AE20043" s="54"/>
    </row>
    <row r="20044" spans="31:31">
      <c r="AE20044" s="54"/>
    </row>
    <row r="20045" spans="31:31">
      <c r="AE20045" s="54"/>
    </row>
    <row r="20046" spans="31:31">
      <c r="AE20046" s="54"/>
    </row>
    <row r="20047" spans="31:31">
      <c r="AE20047" s="54"/>
    </row>
    <row r="20048" spans="31:31">
      <c r="AE20048" s="54"/>
    </row>
    <row r="20049" spans="31:31">
      <c r="AE20049" s="54"/>
    </row>
    <row r="20050" spans="31:31">
      <c r="AE20050" s="54"/>
    </row>
    <row r="20051" spans="31:31">
      <c r="AE20051" s="54"/>
    </row>
    <row r="20052" spans="31:31">
      <c r="AE20052" s="54"/>
    </row>
    <row r="20053" spans="31:31">
      <c r="AE20053" s="54"/>
    </row>
    <row r="20054" spans="31:31">
      <c r="AE20054" s="54"/>
    </row>
    <row r="20055" spans="31:31">
      <c r="AE20055" s="54"/>
    </row>
    <row r="20056" spans="31:31">
      <c r="AE20056" s="54"/>
    </row>
    <row r="20057" spans="31:31">
      <c r="AE20057" s="54"/>
    </row>
    <row r="20058" spans="31:31">
      <c r="AE20058" s="54"/>
    </row>
    <row r="20059" spans="31:31">
      <c r="AE20059" s="54"/>
    </row>
    <row r="20060" spans="31:31">
      <c r="AE20060" s="54"/>
    </row>
    <row r="20061" spans="31:31">
      <c r="AE20061" s="54"/>
    </row>
    <row r="20062" spans="31:31">
      <c r="AE20062" s="54"/>
    </row>
    <row r="20063" spans="31:31">
      <c r="AE20063" s="54"/>
    </row>
    <row r="20064" spans="31:31">
      <c r="AE20064" s="54"/>
    </row>
    <row r="20065" spans="31:31">
      <c r="AE20065" s="54"/>
    </row>
    <row r="20066" spans="31:31">
      <c r="AE20066" s="54"/>
    </row>
    <row r="20067" spans="31:31">
      <c r="AE20067" s="54"/>
    </row>
    <row r="20068" spans="31:31">
      <c r="AE20068" s="54"/>
    </row>
    <row r="20069" spans="31:31">
      <c r="AE20069" s="54"/>
    </row>
    <row r="20070" spans="31:31">
      <c r="AE20070" s="54"/>
    </row>
    <row r="20071" spans="31:31">
      <c r="AE20071" s="54"/>
    </row>
    <row r="20072" spans="31:31">
      <c r="AE20072" s="54"/>
    </row>
    <row r="20073" spans="31:31">
      <c r="AE20073" s="54"/>
    </row>
    <row r="20074" spans="31:31">
      <c r="AE20074" s="54"/>
    </row>
    <row r="20075" spans="31:31">
      <c r="AE20075" s="54"/>
    </row>
    <row r="20076" spans="31:31">
      <c r="AE20076" s="54"/>
    </row>
    <row r="20077" spans="31:31">
      <c r="AE20077" s="54"/>
    </row>
    <row r="20078" spans="31:31">
      <c r="AE20078" s="54"/>
    </row>
    <row r="20079" spans="31:31">
      <c r="AE20079" s="54"/>
    </row>
    <row r="20080" spans="31:31">
      <c r="AE20080" s="54"/>
    </row>
    <row r="20081" spans="31:31">
      <c r="AE20081" s="54"/>
    </row>
    <row r="20082" spans="31:31">
      <c r="AE20082" s="54"/>
    </row>
    <row r="20083" spans="31:31">
      <c r="AE20083" s="54"/>
    </row>
    <row r="20084" spans="31:31">
      <c r="AE20084" s="54"/>
    </row>
    <row r="20085" spans="31:31">
      <c r="AE20085" s="54"/>
    </row>
    <row r="20086" spans="31:31">
      <c r="AE20086" s="54"/>
    </row>
    <row r="20087" spans="31:31">
      <c r="AE20087" s="54"/>
    </row>
    <row r="20088" spans="31:31">
      <c r="AE20088" s="54"/>
    </row>
    <row r="20089" spans="31:31">
      <c r="AE20089" s="54"/>
    </row>
    <row r="20090" spans="31:31">
      <c r="AE20090" s="54"/>
    </row>
    <row r="20091" spans="31:31">
      <c r="AE20091" s="54"/>
    </row>
    <row r="20092" spans="31:31">
      <c r="AE20092" s="54"/>
    </row>
    <row r="20093" spans="31:31">
      <c r="AE20093" s="54"/>
    </row>
    <row r="20094" spans="31:31">
      <c r="AE20094" s="54"/>
    </row>
    <row r="20095" spans="31:31">
      <c r="AE20095" s="54"/>
    </row>
    <row r="20096" spans="31:31">
      <c r="AE20096" s="54"/>
    </row>
    <row r="20097" spans="31:31">
      <c r="AE20097" s="54"/>
    </row>
    <row r="20098" spans="31:31">
      <c r="AE20098" s="54"/>
    </row>
    <row r="20099" spans="31:31">
      <c r="AE20099" s="54"/>
    </row>
    <row r="20100" spans="31:31">
      <c r="AE20100" s="54"/>
    </row>
    <row r="20101" spans="31:31">
      <c r="AE20101" s="54"/>
    </row>
    <row r="20102" spans="31:31">
      <c r="AE20102" s="54"/>
    </row>
    <row r="20103" spans="31:31">
      <c r="AE20103" s="54"/>
    </row>
    <row r="20104" spans="31:31">
      <c r="AE20104" s="54"/>
    </row>
    <row r="20105" spans="31:31">
      <c r="AE20105" s="54"/>
    </row>
    <row r="20106" spans="31:31">
      <c r="AE20106" s="54"/>
    </row>
    <row r="20107" spans="31:31">
      <c r="AE20107" s="54"/>
    </row>
    <row r="20108" spans="31:31">
      <c r="AE20108" s="54"/>
    </row>
    <row r="20109" spans="31:31">
      <c r="AE20109" s="54"/>
    </row>
    <row r="20110" spans="31:31">
      <c r="AE20110" s="54"/>
    </row>
    <row r="20111" spans="31:31">
      <c r="AE20111" s="54"/>
    </row>
    <row r="20112" spans="31:31">
      <c r="AE20112" s="54"/>
    </row>
    <row r="20113" spans="31:31">
      <c r="AE20113" s="54"/>
    </row>
    <row r="20114" spans="31:31">
      <c r="AE20114" s="54"/>
    </row>
    <row r="20115" spans="31:31">
      <c r="AE20115" s="54"/>
    </row>
    <row r="20116" spans="31:31">
      <c r="AE20116" s="54"/>
    </row>
    <row r="20117" spans="31:31">
      <c r="AE20117" s="54"/>
    </row>
    <row r="20118" spans="31:31">
      <c r="AE20118" s="54"/>
    </row>
    <row r="20119" spans="31:31">
      <c r="AE20119" s="54"/>
    </row>
    <row r="20120" spans="31:31">
      <c r="AE20120" s="54"/>
    </row>
    <row r="20121" spans="31:31">
      <c r="AE20121" s="54"/>
    </row>
    <row r="20122" spans="31:31">
      <c r="AE20122" s="54"/>
    </row>
    <row r="20123" spans="31:31">
      <c r="AE20123" s="54"/>
    </row>
    <row r="20124" spans="31:31">
      <c r="AE20124" s="54"/>
    </row>
    <row r="20125" spans="31:31">
      <c r="AE20125" s="54"/>
    </row>
    <row r="20126" spans="31:31">
      <c r="AE20126" s="54"/>
    </row>
    <row r="20127" spans="31:31">
      <c r="AE20127" s="54"/>
    </row>
    <row r="20128" spans="31:31">
      <c r="AE20128" s="54"/>
    </row>
    <row r="20129" spans="31:31">
      <c r="AE20129" s="54"/>
    </row>
    <row r="20130" spans="31:31">
      <c r="AE20130" s="54"/>
    </row>
    <row r="20131" spans="31:31">
      <c r="AE20131" s="54"/>
    </row>
    <row r="20132" spans="31:31">
      <c r="AE20132" s="54"/>
    </row>
    <row r="20133" spans="31:31">
      <c r="AE20133" s="54"/>
    </row>
    <row r="20134" spans="31:31">
      <c r="AE20134" s="54"/>
    </row>
    <row r="20135" spans="31:31">
      <c r="AE20135" s="54"/>
    </row>
    <row r="20136" spans="31:31">
      <c r="AE20136" s="54"/>
    </row>
    <row r="20137" spans="31:31">
      <c r="AE20137" s="54"/>
    </row>
    <row r="20138" spans="31:31">
      <c r="AE20138" s="54"/>
    </row>
    <row r="20139" spans="31:31">
      <c r="AE20139" s="54"/>
    </row>
    <row r="20140" spans="31:31">
      <c r="AE20140" s="54"/>
    </row>
    <row r="20141" spans="31:31">
      <c r="AE20141" s="54"/>
    </row>
    <row r="20142" spans="31:31">
      <c r="AE20142" s="54"/>
    </row>
    <row r="20143" spans="31:31">
      <c r="AE20143" s="54"/>
    </row>
    <row r="20144" spans="31:31">
      <c r="AE20144" s="54"/>
    </row>
    <row r="20145" spans="31:31">
      <c r="AE20145" s="54"/>
    </row>
    <row r="20146" spans="31:31">
      <c r="AE20146" s="54"/>
    </row>
    <row r="20147" spans="31:31">
      <c r="AE20147" s="54"/>
    </row>
    <row r="20148" spans="31:31">
      <c r="AE20148" s="54"/>
    </row>
    <row r="20149" spans="31:31">
      <c r="AE20149" s="54"/>
    </row>
    <row r="20150" spans="31:31">
      <c r="AE20150" s="54"/>
    </row>
    <row r="20151" spans="31:31">
      <c r="AE20151" s="54"/>
    </row>
    <row r="20152" spans="31:31">
      <c r="AE20152" s="54"/>
    </row>
    <row r="20153" spans="31:31">
      <c r="AE20153" s="54"/>
    </row>
    <row r="20154" spans="31:31">
      <c r="AE20154" s="54"/>
    </row>
    <row r="20155" spans="31:31">
      <c r="AE20155" s="54"/>
    </row>
    <row r="20156" spans="31:31">
      <c r="AE20156" s="54"/>
    </row>
    <row r="20157" spans="31:31">
      <c r="AE20157" s="54"/>
    </row>
    <row r="20158" spans="31:31">
      <c r="AE20158" s="54"/>
    </row>
    <row r="20159" spans="31:31">
      <c r="AE20159" s="54"/>
    </row>
    <row r="20160" spans="31:31">
      <c r="AE20160" s="54"/>
    </row>
    <row r="20161" spans="31:31">
      <c r="AE20161" s="54"/>
    </row>
    <row r="20162" spans="31:31">
      <c r="AE20162" s="54"/>
    </row>
    <row r="20163" spans="31:31">
      <c r="AE20163" s="54"/>
    </row>
    <row r="20164" spans="31:31">
      <c r="AE20164" s="54"/>
    </row>
    <row r="20165" spans="31:31">
      <c r="AE20165" s="54"/>
    </row>
    <row r="20166" spans="31:31">
      <c r="AE20166" s="54"/>
    </row>
    <row r="20167" spans="31:31">
      <c r="AE20167" s="54"/>
    </row>
    <row r="20168" spans="31:31">
      <c r="AE20168" s="54"/>
    </row>
    <row r="20169" spans="31:31">
      <c r="AE20169" s="54"/>
    </row>
    <row r="20170" spans="31:31">
      <c r="AE20170" s="54"/>
    </row>
    <row r="20171" spans="31:31">
      <c r="AE20171" s="54"/>
    </row>
    <row r="20172" spans="31:31">
      <c r="AE20172" s="54"/>
    </row>
    <row r="20173" spans="31:31">
      <c r="AE20173" s="54"/>
    </row>
    <row r="20174" spans="31:31">
      <c r="AE20174" s="54"/>
    </row>
    <row r="20175" spans="31:31">
      <c r="AE20175" s="54"/>
    </row>
    <row r="20176" spans="31:31">
      <c r="AE20176" s="54"/>
    </row>
    <row r="20177" spans="31:31">
      <c r="AE20177" s="54"/>
    </row>
    <row r="20178" spans="31:31">
      <c r="AE20178" s="54"/>
    </row>
    <row r="20179" spans="31:31">
      <c r="AE20179" s="54"/>
    </row>
    <row r="20180" spans="31:31">
      <c r="AE20180" s="54"/>
    </row>
    <row r="20181" spans="31:31">
      <c r="AE20181" s="54"/>
    </row>
    <row r="20182" spans="31:31">
      <c r="AE20182" s="54"/>
    </row>
    <row r="20183" spans="31:31">
      <c r="AE20183" s="54"/>
    </row>
    <row r="20184" spans="31:31">
      <c r="AE20184" s="54"/>
    </row>
    <row r="20185" spans="31:31">
      <c r="AE20185" s="54"/>
    </row>
    <row r="20186" spans="31:31">
      <c r="AE20186" s="54"/>
    </row>
    <row r="20187" spans="31:31">
      <c r="AE20187" s="54"/>
    </row>
    <row r="20188" spans="31:31">
      <c r="AE20188" s="54"/>
    </row>
    <row r="20189" spans="31:31">
      <c r="AE20189" s="54"/>
    </row>
    <row r="20190" spans="31:31">
      <c r="AE20190" s="54"/>
    </row>
    <row r="20191" spans="31:31">
      <c r="AE20191" s="54"/>
    </row>
    <row r="20192" spans="31:31">
      <c r="AE20192" s="54"/>
    </row>
    <row r="20193" spans="31:31">
      <c r="AE20193" s="54"/>
    </row>
    <row r="20194" spans="31:31">
      <c r="AE20194" s="54"/>
    </row>
    <row r="20195" spans="31:31">
      <c r="AE20195" s="54"/>
    </row>
    <row r="20196" spans="31:31">
      <c r="AE20196" s="54"/>
    </row>
    <row r="20197" spans="31:31">
      <c r="AE20197" s="54"/>
    </row>
    <row r="20198" spans="31:31">
      <c r="AE20198" s="54"/>
    </row>
    <row r="20199" spans="31:31">
      <c r="AE20199" s="54"/>
    </row>
    <row r="20200" spans="31:31">
      <c r="AE20200" s="54"/>
    </row>
    <row r="20201" spans="31:31">
      <c r="AE20201" s="54"/>
    </row>
    <row r="20202" spans="31:31">
      <c r="AE20202" s="54"/>
    </row>
    <row r="20203" spans="31:31">
      <c r="AE20203" s="54"/>
    </row>
    <row r="20204" spans="31:31">
      <c r="AE20204" s="54"/>
    </row>
    <row r="20205" spans="31:31">
      <c r="AE20205" s="54"/>
    </row>
    <row r="20206" spans="31:31">
      <c r="AE20206" s="54"/>
    </row>
    <row r="20207" spans="31:31">
      <c r="AE20207" s="54"/>
    </row>
    <row r="20208" spans="31:31">
      <c r="AE20208" s="54"/>
    </row>
    <row r="20209" spans="31:31">
      <c r="AE20209" s="54"/>
    </row>
    <row r="20210" spans="31:31">
      <c r="AE20210" s="54"/>
    </row>
    <row r="20211" spans="31:31">
      <c r="AE20211" s="54"/>
    </row>
    <row r="20212" spans="31:31">
      <c r="AE20212" s="54"/>
    </row>
    <row r="20213" spans="31:31">
      <c r="AE20213" s="54"/>
    </row>
    <row r="20214" spans="31:31">
      <c r="AE20214" s="54"/>
    </row>
    <row r="20215" spans="31:31">
      <c r="AE20215" s="54"/>
    </row>
    <row r="20216" spans="31:31">
      <c r="AE20216" s="54"/>
    </row>
    <row r="20217" spans="31:31">
      <c r="AE20217" s="54"/>
    </row>
    <row r="20218" spans="31:31">
      <c r="AE20218" s="54"/>
    </row>
    <row r="20219" spans="31:31">
      <c r="AE20219" s="54"/>
    </row>
    <row r="20220" spans="31:31">
      <c r="AE20220" s="54"/>
    </row>
    <row r="20221" spans="31:31">
      <c r="AE20221" s="54"/>
    </row>
    <row r="20222" spans="31:31">
      <c r="AE20222" s="54"/>
    </row>
    <row r="20223" spans="31:31">
      <c r="AE20223" s="54"/>
    </row>
    <row r="20224" spans="31:31">
      <c r="AE20224" s="54"/>
    </row>
    <row r="20225" spans="31:31">
      <c r="AE20225" s="54"/>
    </row>
    <row r="20226" spans="31:31">
      <c r="AE20226" s="54"/>
    </row>
    <row r="20227" spans="31:31">
      <c r="AE20227" s="54"/>
    </row>
    <row r="20228" spans="31:31">
      <c r="AE20228" s="54"/>
    </row>
    <row r="20229" spans="31:31">
      <c r="AE20229" s="54"/>
    </row>
    <row r="20230" spans="31:31">
      <c r="AE20230" s="54"/>
    </row>
    <row r="20231" spans="31:31">
      <c r="AE20231" s="54"/>
    </row>
    <row r="20232" spans="31:31">
      <c r="AE20232" s="54"/>
    </row>
    <row r="20233" spans="31:31">
      <c r="AE20233" s="54"/>
    </row>
    <row r="20234" spans="31:31">
      <c r="AE20234" s="54"/>
    </row>
    <row r="20235" spans="31:31">
      <c r="AE20235" s="54"/>
    </row>
    <row r="20236" spans="31:31">
      <c r="AE20236" s="54"/>
    </row>
    <row r="20237" spans="31:31">
      <c r="AE20237" s="54"/>
    </row>
    <row r="20238" spans="31:31">
      <c r="AE20238" s="54"/>
    </row>
    <row r="20239" spans="31:31">
      <c r="AE20239" s="54"/>
    </row>
    <row r="20240" spans="31:31">
      <c r="AE20240" s="54"/>
    </row>
    <row r="20241" spans="31:31">
      <c r="AE20241" s="54"/>
    </row>
    <row r="20242" spans="31:31">
      <c r="AE20242" s="54"/>
    </row>
    <row r="20243" spans="31:31">
      <c r="AE20243" s="54"/>
    </row>
    <row r="20244" spans="31:31">
      <c r="AE20244" s="54"/>
    </row>
    <row r="20245" spans="31:31">
      <c r="AE20245" s="54"/>
    </row>
    <row r="20246" spans="31:31">
      <c r="AE20246" s="54"/>
    </row>
    <row r="20247" spans="31:31">
      <c r="AE20247" s="54"/>
    </row>
    <row r="20248" spans="31:31">
      <c r="AE20248" s="54"/>
    </row>
    <row r="20249" spans="31:31">
      <c r="AE20249" s="54"/>
    </row>
    <row r="20250" spans="31:31">
      <c r="AE20250" s="54"/>
    </row>
    <row r="20251" spans="31:31">
      <c r="AE20251" s="54"/>
    </row>
    <row r="20252" spans="31:31">
      <c r="AE20252" s="54"/>
    </row>
    <row r="20253" spans="31:31">
      <c r="AE20253" s="54"/>
    </row>
    <row r="20254" spans="31:31">
      <c r="AE20254" s="54"/>
    </row>
    <row r="20255" spans="31:31">
      <c r="AE20255" s="54"/>
    </row>
    <row r="20256" spans="31:31">
      <c r="AE20256" s="54"/>
    </row>
    <row r="20257" spans="31:31">
      <c r="AE20257" s="54"/>
    </row>
    <row r="20258" spans="31:31">
      <c r="AE20258" s="54"/>
    </row>
    <row r="20259" spans="31:31">
      <c r="AE20259" s="54"/>
    </row>
    <row r="20260" spans="31:31">
      <c r="AE20260" s="54"/>
    </row>
    <row r="20261" spans="31:31">
      <c r="AE20261" s="54"/>
    </row>
    <row r="20262" spans="31:31">
      <c r="AE20262" s="54"/>
    </row>
    <row r="20263" spans="31:31">
      <c r="AE20263" s="54"/>
    </row>
    <row r="20264" spans="31:31">
      <c r="AE20264" s="54"/>
    </row>
    <row r="20265" spans="31:31">
      <c r="AE20265" s="54"/>
    </row>
    <row r="20266" spans="31:31">
      <c r="AE20266" s="54"/>
    </row>
    <row r="20267" spans="31:31">
      <c r="AE20267" s="54"/>
    </row>
    <row r="20268" spans="31:31">
      <c r="AE20268" s="54"/>
    </row>
    <row r="20269" spans="31:31">
      <c r="AE20269" s="54"/>
    </row>
    <row r="20270" spans="31:31">
      <c r="AE20270" s="54"/>
    </row>
    <row r="20271" spans="31:31">
      <c r="AE20271" s="54"/>
    </row>
    <row r="20272" spans="31:31">
      <c r="AE20272" s="54"/>
    </row>
    <row r="20273" spans="31:31">
      <c r="AE20273" s="54"/>
    </row>
    <row r="20274" spans="31:31">
      <c r="AE20274" s="54"/>
    </row>
    <row r="20275" spans="31:31">
      <c r="AE20275" s="54"/>
    </row>
    <row r="20276" spans="31:31">
      <c r="AE20276" s="54"/>
    </row>
    <row r="20277" spans="31:31">
      <c r="AE20277" s="54"/>
    </row>
    <row r="20278" spans="31:31">
      <c r="AE20278" s="54"/>
    </row>
    <row r="20279" spans="31:31">
      <c r="AE20279" s="54"/>
    </row>
    <row r="20280" spans="31:31">
      <c r="AE20280" s="54"/>
    </row>
    <row r="20281" spans="31:31">
      <c r="AE20281" s="54"/>
    </row>
    <row r="20282" spans="31:31">
      <c r="AE20282" s="54"/>
    </row>
    <row r="20283" spans="31:31">
      <c r="AE20283" s="54"/>
    </row>
    <row r="20284" spans="31:31">
      <c r="AE20284" s="54"/>
    </row>
    <row r="20285" spans="31:31">
      <c r="AE20285" s="54"/>
    </row>
    <row r="20286" spans="31:31">
      <c r="AE20286" s="54"/>
    </row>
    <row r="20287" spans="31:31">
      <c r="AE20287" s="54"/>
    </row>
    <row r="20288" spans="31:31">
      <c r="AE20288" s="54"/>
    </row>
    <row r="20289" spans="31:31">
      <c r="AE20289" s="54"/>
    </row>
    <row r="20290" spans="31:31">
      <c r="AE20290" s="54"/>
    </row>
    <row r="20291" spans="31:31">
      <c r="AE20291" s="54"/>
    </row>
    <row r="20292" spans="31:31">
      <c r="AE20292" s="54"/>
    </row>
    <row r="20293" spans="31:31">
      <c r="AE20293" s="54"/>
    </row>
    <row r="20294" spans="31:31">
      <c r="AE20294" s="54"/>
    </row>
    <row r="20295" spans="31:31">
      <c r="AE20295" s="54"/>
    </row>
    <row r="20296" spans="31:31">
      <c r="AE20296" s="54"/>
    </row>
    <row r="20297" spans="31:31">
      <c r="AE20297" s="54"/>
    </row>
    <row r="20298" spans="31:31">
      <c r="AE20298" s="54"/>
    </row>
    <row r="20299" spans="31:31">
      <c r="AE20299" s="54"/>
    </row>
    <row r="20300" spans="31:31">
      <c r="AE20300" s="54"/>
    </row>
    <row r="20301" spans="31:31">
      <c r="AE20301" s="54"/>
    </row>
    <row r="20302" spans="31:31">
      <c r="AE20302" s="54"/>
    </row>
    <row r="20303" spans="31:31">
      <c r="AE20303" s="54"/>
    </row>
    <row r="20304" spans="31:31">
      <c r="AE20304" s="54"/>
    </row>
    <row r="20305" spans="31:31">
      <c r="AE20305" s="54"/>
    </row>
    <row r="20306" spans="31:31">
      <c r="AE20306" s="54"/>
    </row>
    <row r="20307" spans="31:31">
      <c r="AE20307" s="54"/>
    </row>
    <row r="20308" spans="31:31">
      <c r="AE20308" s="54"/>
    </row>
    <row r="20309" spans="31:31">
      <c r="AE20309" s="54"/>
    </row>
    <row r="20310" spans="31:31">
      <c r="AE20310" s="54"/>
    </row>
    <row r="20311" spans="31:31">
      <c r="AE20311" s="54"/>
    </row>
    <row r="20312" spans="31:31">
      <c r="AE20312" s="54"/>
    </row>
    <row r="20313" spans="31:31">
      <c r="AE20313" s="54"/>
    </row>
    <row r="20314" spans="31:31">
      <c r="AE20314" s="54"/>
    </row>
    <row r="20315" spans="31:31">
      <c r="AE20315" s="54"/>
    </row>
    <row r="20316" spans="31:31">
      <c r="AE20316" s="54"/>
    </row>
    <row r="20317" spans="31:31">
      <c r="AE20317" s="54"/>
    </row>
    <row r="20318" spans="31:31">
      <c r="AE20318" s="54"/>
    </row>
    <row r="20319" spans="31:31">
      <c r="AE20319" s="54"/>
    </row>
    <row r="20320" spans="31:31">
      <c r="AE20320" s="54"/>
    </row>
    <row r="20321" spans="31:31">
      <c r="AE20321" s="54"/>
    </row>
    <row r="20322" spans="31:31">
      <c r="AE20322" s="54"/>
    </row>
    <row r="20323" spans="31:31">
      <c r="AE20323" s="54"/>
    </row>
    <row r="20324" spans="31:31">
      <c r="AE20324" s="54"/>
    </row>
    <row r="20325" spans="31:31">
      <c r="AE20325" s="54"/>
    </row>
    <row r="20326" spans="31:31">
      <c r="AE20326" s="54"/>
    </row>
    <row r="20327" spans="31:31">
      <c r="AE20327" s="54"/>
    </row>
    <row r="20328" spans="31:31">
      <c r="AE20328" s="54"/>
    </row>
    <row r="20329" spans="31:31">
      <c r="AE20329" s="54"/>
    </row>
    <row r="20330" spans="31:31">
      <c r="AE20330" s="54"/>
    </row>
    <row r="20331" spans="31:31">
      <c r="AE20331" s="54"/>
    </row>
    <row r="20332" spans="31:31">
      <c r="AE20332" s="54"/>
    </row>
    <row r="20333" spans="31:31">
      <c r="AE20333" s="54"/>
    </row>
    <row r="20334" spans="31:31">
      <c r="AE20334" s="54"/>
    </row>
    <row r="20335" spans="31:31">
      <c r="AE20335" s="54"/>
    </row>
    <row r="20336" spans="31:31">
      <c r="AE20336" s="54"/>
    </row>
    <row r="20337" spans="31:31">
      <c r="AE20337" s="54"/>
    </row>
    <row r="20338" spans="31:31">
      <c r="AE20338" s="54"/>
    </row>
    <row r="20339" spans="31:31">
      <c r="AE20339" s="54"/>
    </row>
    <row r="20340" spans="31:31">
      <c r="AE20340" s="54"/>
    </row>
    <row r="20341" spans="31:31">
      <c r="AE20341" s="54"/>
    </row>
    <row r="20342" spans="31:31">
      <c r="AE20342" s="54"/>
    </row>
    <row r="20343" spans="31:31">
      <c r="AE20343" s="54"/>
    </row>
    <row r="20344" spans="31:31">
      <c r="AE20344" s="54"/>
    </row>
    <row r="20345" spans="31:31">
      <c r="AE20345" s="54"/>
    </row>
    <row r="20346" spans="31:31">
      <c r="AE20346" s="54"/>
    </row>
    <row r="20347" spans="31:31">
      <c r="AE20347" s="54"/>
    </row>
    <row r="20348" spans="31:31">
      <c r="AE20348" s="54"/>
    </row>
    <row r="20349" spans="31:31">
      <c r="AE20349" s="54"/>
    </row>
    <row r="20350" spans="31:31">
      <c r="AE20350" s="54"/>
    </row>
    <row r="20351" spans="31:31">
      <c r="AE20351" s="54"/>
    </row>
    <row r="20352" spans="31:31">
      <c r="AE20352" s="54"/>
    </row>
    <row r="20353" spans="31:31">
      <c r="AE20353" s="54"/>
    </row>
    <row r="20354" spans="31:31">
      <c r="AE20354" s="54"/>
    </row>
    <row r="20355" spans="31:31">
      <c r="AE20355" s="54"/>
    </row>
    <row r="20356" spans="31:31">
      <c r="AE20356" s="54"/>
    </row>
    <row r="20357" spans="31:31">
      <c r="AE20357" s="54"/>
    </row>
    <row r="20358" spans="31:31">
      <c r="AE20358" s="54"/>
    </row>
    <row r="20359" spans="31:31">
      <c r="AE20359" s="54"/>
    </row>
    <row r="20360" spans="31:31">
      <c r="AE20360" s="54"/>
    </row>
    <row r="20361" spans="31:31">
      <c r="AE20361" s="54"/>
    </row>
    <row r="20362" spans="31:31">
      <c r="AE20362" s="54"/>
    </row>
    <row r="20363" spans="31:31">
      <c r="AE20363" s="54"/>
    </row>
    <row r="20364" spans="31:31">
      <c r="AE20364" s="54"/>
    </row>
    <row r="20365" spans="31:31">
      <c r="AE20365" s="54"/>
    </row>
    <row r="20366" spans="31:31">
      <c r="AE20366" s="54"/>
    </row>
    <row r="20367" spans="31:31">
      <c r="AE20367" s="54"/>
    </row>
    <row r="20368" spans="31:31">
      <c r="AE20368" s="54"/>
    </row>
    <row r="20369" spans="31:31">
      <c r="AE20369" s="54"/>
    </row>
    <row r="20370" spans="31:31">
      <c r="AE20370" s="54"/>
    </row>
    <row r="20371" spans="31:31">
      <c r="AE20371" s="54"/>
    </row>
    <row r="20372" spans="31:31">
      <c r="AE20372" s="54"/>
    </row>
    <row r="20373" spans="31:31">
      <c r="AE20373" s="54"/>
    </row>
    <row r="20374" spans="31:31">
      <c r="AE20374" s="54"/>
    </row>
    <row r="20375" spans="31:31">
      <c r="AE20375" s="54"/>
    </row>
    <row r="20376" spans="31:31">
      <c r="AE20376" s="54"/>
    </row>
    <row r="20377" spans="31:31">
      <c r="AE20377" s="54"/>
    </row>
    <row r="20378" spans="31:31">
      <c r="AE20378" s="54"/>
    </row>
    <row r="20379" spans="31:31">
      <c r="AE20379" s="54"/>
    </row>
    <row r="20380" spans="31:31">
      <c r="AE20380" s="54"/>
    </row>
    <row r="20381" spans="31:31">
      <c r="AE20381" s="54"/>
    </row>
    <row r="20382" spans="31:31">
      <c r="AE20382" s="54"/>
    </row>
    <row r="20383" spans="31:31">
      <c r="AE20383" s="54"/>
    </row>
    <row r="20384" spans="31:31">
      <c r="AE20384" s="54"/>
    </row>
    <row r="20385" spans="31:31">
      <c r="AE20385" s="54"/>
    </row>
    <row r="20386" spans="31:31">
      <c r="AE20386" s="54"/>
    </row>
    <row r="20387" spans="31:31">
      <c r="AE20387" s="54"/>
    </row>
    <row r="20388" spans="31:31">
      <c r="AE20388" s="54"/>
    </row>
    <row r="20389" spans="31:31">
      <c r="AE20389" s="54"/>
    </row>
    <row r="20390" spans="31:31">
      <c r="AE20390" s="54"/>
    </row>
    <row r="20391" spans="31:31">
      <c r="AE20391" s="54"/>
    </row>
    <row r="20392" spans="31:31">
      <c r="AE20392" s="54"/>
    </row>
    <row r="20393" spans="31:31">
      <c r="AE20393" s="54"/>
    </row>
    <row r="20394" spans="31:31">
      <c r="AE20394" s="54"/>
    </row>
    <row r="20395" spans="31:31">
      <c r="AE20395" s="54"/>
    </row>
    <row r="20396" spans="31:31">
      <c r="AE20396" s="54"/>
    </row>
    <row r="20397" spans="31:31">
      <c r="AE20397" s="54"/>
    </row>
    <row r="20398" spans="31:31">
      <c r="AE20398" s="54"/>
    </row>
    <row r="20399" spans="31:31">
      <c r="AE20399" s="54"/>
    </row>
    <row r="20400" spans="31:31">
      <c r="AE20400" s="54"/>
    </row>
    <row r="20401" spans="31:31">
      <c r="AE20401" s="54"/>
    </row>
    <row r="20402" spans="31:31">
      <c r="AE20402" s="54"/>
    </row>
    <row r="20403" spans="31:31">
      <c r="AE20403" s="54"/>
    </row>
    <row r="20404" spans="31:31">
      <c r="AE20404" s="54"/>
    </row>
    <row r="20405" spans="31:31">
      <c r="AE20405" s="54"/>
    </row>
    <row r="20406" spans="31:31">
      <c r="AE20406" s="54"/>
    </row>
    <row r="20407" spans="31:31">
      <c r="AE20407" s="54"/>
    </row>
    <row r="20408" spans="31:31">
      <c r="AE20408" s="54"/>
    </row>
    <row r="20409" spans="31:31">
      <c r="AE20409" s="54"/>
    </row>
    <row r="20410" spans="31:31">
      <c r="AE20410" s="54"/>
    </row>
    <row r="20411" spans="31:31">
      <c r="AE20411" s="54"/>
    </row>
    <row r="20412" spans="31:31">
      <c r="AE20412" s="54"/>
    </row>
    <row r="20413" spans="31:31">
      <c r="AE20413" s="54"/>
    </row>
    <row r="20414" spans="31:31">
      <c r="AE20414" s="54"/>
    </row>
    <row r="20415" spans="31:31">
      <c r="AE20415" s="54"/>
    </row>
    <row r="20416" spans="31:31">
      <c r="AE20416" s="54"/>
    </row>
    <row r="20417" spans="31:31">
      <c r="AE20417" s="54"/>
    </row>
    <row r="20418" spans="31:31">
      <c r="AE20418" s="54"/>
    </row>
    <row r="20419" spans="31:31">
      <c r="AE20419" s="54"/>
    </row>
    <row r="20420" spans="31:31">
      <c r="AE20420" s="54"/>
    </row>
    <row r="20421" spans="31:31">
      <c r="AE20421" s="54"/>
    </row>
    <row r="20422" spans="31:31">
      <c r="AE20422" s="54"/>
    </row>
    <row r="20423" spans="31:31">
      <c r="AE20423" s="54"/>
    </row>
    <row r="20424" spans="31:31">
      <c r="AE20424" s="54"/>
    </row>
    <row r="20425" spans="31:31">
      <c r="AE20425" s="54"/>
    </row>
    <row r="20426" spans="31:31">
      <c r="AE20426" s="54"/>
    </row>
    <row r="20427" spans="31:31">
      <c r="AE20427" s="54"/>
    </row>
    <row r="20428" spans="31:31">
      <c r="AE20428" s="54"/>
    </row>
    <row r="20429" spans="31:31">
      <c r="AE20429" s="54"/>
    </row>
    <row r="20430" spans="31:31">
      <c r="AE20430" s="54"/>
    </row>
    <row r="20431" spans="31:31">
      <c r="AE20431" s="54"/>
    </row>
    <row r="20432" spans="31:31">
      <c r="AE20432" s="54"/>
    </row>
    <row r="20433" spans="31:31">
      <c r="AE20433" s="54"/>
    </row>
    <row r="20434" spans="31:31">
      <c r="AE20434" s="54"/>
    </row>
    <row r="20435" spans="31:31">
      <c r="AE20435" s="54"/>
    </row>
    <row r="20436" spans="31:31">
      <c r="AE20436" s="54"/>
    </row>
    <row r="20437" spans="31:31">
      <c r="AE20437" s="54"/>
    </row>
    <row r="20438" spans="31:31">
      <c r="AE20438" s="54"/>
    </row>
    <row r="20439" spans="31:31">
      <c r="AE20439" s="54"/>
    </row>
    <row r="20440" spans="31:31">
      <c r="AE20440" s="54"/>
    </row>
    <row r="20441" spans="31:31">
      <c r="AE20441" s="54"/>
    </row>
    <row r="20442" spans="31:31">
      <c r="AE20442" s="54"/>
    </row>
    <row r="20443" spans="31:31">
      <c r="AE20443" s="54"/>
    </row>
    <row r="20444" spans="31:31">
      <c r="AE20444" s="54"/>
    </row>
    <row r="20445" spans="31:31">
      <c r="AE20445" s="54"/>
    </row>
    <row r="20446" spans="31:31">
      <c r="AE20446" s="54"/>
    </row>
    <row r="20447" spans="31:31">
      <c r="AE20447" s="54"/>
    </row>
    <row r="20448" spans="31:31">
      <c r="AE20448" s="54"/>
    </row>
    <row r="20449" spans="31:31">
      <c r="AE20449" s="54"/>
    </row>
    <row r="20450" spans="31:31">
      <c r="AE20450" s="54"/>
    </row>
    <row r="20451" spans="31:31">
      <c r="AE20451" s="54"/>
    </row>
    <row r="20452" spans="31:31">
      <c r="AE20452" s="54"/>
    </row>
    <row r="20453" spans="31:31">
      <c r="AE20453" s="54"/>
    </row>
    <row r="20454" spans="31:31">
      <c r="AE20454" s="54"/>
    </row>
    <row r="20455" spans="31:31">
      <c r="AE20455" s="54"/>
    </row>
    <row r="20456" spans="31:31">
      <c r="AE20456" s="54"/>
    </row>
    <row r="20457" spans="31:31">
      <c r="AE20457" s="54"/>
    </row>
    <row r="20458" spans="31:31">
      <c r="AE20458" s="54"/>
    </row>
    <row r="20459" spans="31:31">
      <c r="AE20459" s="54"/>
    </row>
    <row r="20460" spans="31:31">
      <c r="AE20460" s="54"/>
    </row>
    <row r="20461" spans="31:31">
      <c r="AE20461" s="54"/>
    </row>
    <row r="20462" spans="31:31">
      <c r="AE20462" s="54"/>
    </row>
    <row r="20463" spans="31:31">
      <c r="AE20463" s="54"/>
    </row>
    <row r="20464" spans="31:31">
      <c r="AE20464" s="54"/>
    </row>
    <row r="20465" spans="31:31">
      <c r="AE20465" s="54"/>
    </row>
    <row r="20466" spans="31:31">
      <c r="AE20466" s="54"/>
    </row>
    <row r="20467" spans="31:31">
      <c r="AE20467" s="54"/>
    </row>
    <row r="20468" spans="31:31">
      <c r="AE20468" s="54"/>
    </row>
    <row r="20469" spans="31:31">
      <c r="AE20469" s="54"/>
    </row>
    <row r="20470" spans="31:31">
      <c r="AE20470" s="54"/>
    </row>
    <row r="20471" spans="31:31">
      <c r="AE20471" s="54"/>
    </row>
    <row r="20472" spans="31:31">
      <c r="AE20472" s="54"/>
    </row>
    <row r="20473" spans="31:31">
      <c r="AE20473" s="54"/>
    </row>
    <row r="20474" spans="31:31">
      <c r="AE20474" s="54"/>
    </row>
    <row r="20475" spans="31:31">
      <c r="AE20475" s="54"/>
    </row>
    <row r="20476" spans="31:31">
      <c r="AE20476" s="54"/>
    </row>
    <row r="20477" spans="31:31">
      <c r="AE20477" s="54"/>
    </row>
    <row r="20478" spans="31:31">
      <c r="AE20478" s="54"/>
    </row>
    <row r="20479" spans="31:31">
      <c r="AE20479" s="54"/>
    </row>
    <row r="20480" spans="31:31">
      <c r="AE20480" s="54"/>
    </row>
    <row r="20481" spans="31:31">
      <c r="AE20481" s="54"/>
    </row>
    <row r="20482" spans="31:31">
      <c r="AE20482" s="54"/>
    </row>
    <row r="20483" spans="31:31">
      <c r="AE20483" s="54"/>
    </row>
    <row r="20484" spans="31:31">
      <c r="AE20484" s="54"/>
    </row>
    <row r="20485" spans="31:31">
      <c r="AE20485" s="54"/>
    </row>
    <row r="20486" spans="31:31">
      <c r="AE20486" s="54"/>
    </row>
    <row r="20487" spans="31:31">
      <c r="AE20487" s="54"/>
    </row>
    <row r="20488" spans="31:31">
      <c r="AE20488" s="54"/>
    </row>
    <row r="20489" spans="31:31">
      <c r="AE20489" s="54"/>
    </row>
    <row r="20490" spans="31:31">
      <c r="AE20490" s="54"/>
    </row>
    <row r="20491" spans="31:31">
      <c r="AE20491" s="54"/>
    </row>
    <row r="20492" spans="31:31">
      <c r="AE20492" s="54"/>
    </row>
    <row r="20493" spans="31:31">
      <c r="AE20493" s="54"/>
    </row>
    <row r="20494" spans="31:31">
      <c r="AE20494" s="54"/>
    </row>
    <row r="20495" spans="31:31">
      <c r="AE20495" s="54"/>
    </row>
    <row r="20496" spans="31:31">
      <c r="AE20496" s="54"/>
    </row>
    <row r="20497" spans="31:31">
      <c r="AE20497" s="54"/>
    </row>
    <row r="20498" spans="31:31">
      <c r="AE20498" s="54"/>
    </row>
    <row r="20499" spans="31:31">
      <c r="AE20499" s="54"/>
    </row>
    <row r="20500" spans="31:31">
      <c r="AE20500" s="54"/>
    </row>
    <row r="20501" spans="31:31">
      <c r="AE20501" s="54"/>
    </row>
    <row r="20502" spans="31:31">
      <c r="AE20502" s="54"/>
    </row>
    <row r="20503" spans="31:31">
      <c r="AE20503" s="54"/>
    </row>
    <row r="20504" spans="31:31">
      <c r="AE20504" s="54"/>
    </row>
    <row r="20505" spans="31:31">
      <c r="AE20505" s="54"/>
    </row>
    <row r="20506" spans="31:31">
      <c r="AE20506" s="54"/>
    </row>
    <row r="20507" spans="31:31">
      <c r="AE20507" s="54"/>
    </row>
    <row r="20508" spans="31:31">
      <c r="AE20508" s="54"/>
    </row>
    <row r="20509" spans="31:31">
      <c r="AE20509" s="54"/>
    </row>
    <row r="20510" spans="31:31">
      <c r="AE20510" s="54"/>
    </row>
    <row r="20511" spans="31:31">
      <c r="AE20511" s="54"/>
    </row>
    <row r="20512" spans="31:31">
      <c r="AE20512" s="54"/>
    </row>
    <row r="20513" spans="31:31">
      <c r="AE20513" s="54"/>
    </row>
    <row r="20514" spans="31:31">
      <c r="AE20514" s="54"/>
    </row>
    <row r="20515" spans="31:31">
      <c r="AE20515" s="54"/>
    </row>
    <row r="20516" spans="31:31">
      <c r="AE20516" s="54"/>
    </row>
    <row r="20517" spans="31:31">
      <c r="AE20517" s="54"/>
    </row>
    <row r="20518" spans="31:31">
      <c r="AE20518" s="54"/>
    </row>
    <row r="20519" spans="31:31">
      <c r="AE20519" s="54"/>
    </row>
    <row r="20520" spans="31:31">
      <c r="AE20520" s="54"/>
    </row>
    <row r="20521" spans="31:31">
      <c r="AE20521" s="54"/>
    </row>
    <row r="20522" spans="31:31">
      <c r="AE20522" s="54"/>
    </row>
    <row r="20523" spans="31:31">
      <c r="AE20523" s="54"/>
    </row>
    <row r="20524" spans="31:31">
      <c r="AE20524" s="54"/>
    </row>
    <row r="20525" spans="31:31">
      <c r="AE20525" s="54"/>
    </row>
    <row r="20526" spans="31:31">
      <c r="AE20526" s="54"/>
    </row>
    <row r="20527" spans="31:31">
      <c r="AE20527" s="54"/>
    </row>
    <row r="20528" spans="31:31">
      <c r="AE20528" s="54"/>
    </row>
    <row r="20529" spans="31:31">
      <c r="AE20529" s="54"/>
    </row>
    <row r="20530" spans="31:31">
      <c r="AE20530" s="54"/>
    </row>
    <row r="20531" spans="31:31">
      <c r="AE20531" s="54"/>
    </row>
    <row r="20532" spans="31:31">
      <c r="AE20532" s="54"/>
    </row>
    <row r="20533" spans="31:31">
      <c r="AE20533" s="54"/>
    </row>
    <row r="20534" spans="31:31">
      <c r="AE20534" s="54"/>
    </row>
    <row r="20535" spans="31:31">
      <c r="AE20535" s="54"/>
    </row>
    <row r="20536" spans="31:31">
      <c r="AE20536" s="54"/>
    </row>
    <row r="20537" spans="31:31">
      <c r="AE20537" s="54"/>
    </row>
    <row r="20538" spans="31:31">
      <c r="AE20538" s="54"/>
    </row>
    <row r="20539" spans="31:31">
      <c r="AE20539" s="54"/>
    </row>
    <row r="20540" spans="31:31">
      <c r="AE20540" s="54"/>
    </row>
    <row r="20541" spans="31:31">
      <c r="AE20541" s="54"/>
    </row>
    <row r="20542" spans="31:31">
      <c r="AE20542" s="54"/>
    </row>
    <row r="20543" spans="31:31">
      <c r="AE20543" s="54"/>
    </row>
    <row r="20544" spans="31:31">
      <c r="AE20544" s="54"/>
    </row>
    <row r="20545" spans="31:31">
      <c r="AE20545" s="54"/>
    </row>
    <row r="20546" spans="31:31">
      <c r="AE20546" s="54"/>
    </row>
    <row r="20547" spans="31:31">
      <c r="AE20547" s="54"/>
    </row>
    <row r="20548" spans="31:31">
      <c r="AE20548" s="54"/>
    </row>
    <row r="20549" spans="31:31">
      <c r="AE20549" s="54"/>
    </row>
    <row r="20550" spans="31:31">
      <c r="AE20550" s="54"/>
    </row>
    <row r="20551" spans="31:31">
      <c r="AE20551" s="54"/>
    </row>
    <row r="20552" spans="31:31">
      <c r="AE20552" s="54"/>
    </row>
    <row r="20553" spans="31:31">
      <c r="AE20553" s="54"/>
    </row>
    <row r="20554" spans="31:31">
      <c r="AE20554" s="54"/>
    </row>
    <row r="20555" spans="31:31">
      <c r="AE20555" s="54"/>
    </row>
    <row r="20556" spans="31:31">
      <c r="AE20556" s="54"/>
    </row>
    <row r="20557" spans="31:31">
      <c r="AE20557" s="54"/>
    </row>
    <row r="20558" spans="31:31">
      <c r="AE20558" s="54"/>
    </row>
    <row r="20559" spans="31:31">
      <c r="AE20559" s="54"/>
    </row>
    <row r="20560" spans="31:31">
      <c r="AE20560" s="54"/>
    </row>
    <row r="20561" spans="31:31">
      <c r="AE20561" s="54"/>
    </row>
    <row r="20562" spans="31:31">
      <c r="AE20562" s="54"/>
    </row>
    <row r="20563" spans="31:31">
      <c r="AE20563" s="54"/>
    </row>
    <row r="20564" spans="31:31">
      <c r="AE20564" s="54"/>
    </row>
    <row r="20565" spans="31:31">
      <c r="AE20565" s="54"/>
    </row>
    <row r="20566" spans="31:31">
      <c r="AE20566" s="54"/>
    </row>
    <row r="20567" spans="31:31">
      <c r="AE20567" s="54"/>
    </row>
    <row r="20568" spans="31:31">
      <c r="AE20568" s="54"/>
    </row>
    <row r="20569" spans="31:31">
      <c r="AE20569" s="54"/>
    </row>
    <row r="20570" spans="31:31">
      <c r="AE20570" s="54"/>
    </row>
    <row r="20571" spans="31:31">
      <c r="AE20571" s="54"/>
    </row>
    <row r="20572" spans="31:31">
      <c r="AE20572" s="54"/>
    </row>
    <row r="20573" spans="31:31">
      <c r="AE20573" s="54"/>
    </row>
    <row r="20574" spans="31:31">
      <c r="AE20574" s="54"/>
    </row>
    <row r="20575" spans="31:31">
      <c r="AE20575" s="54"/>
    </row>
    <row r="20576" spans="31:31">
      <c r="AE20576" s="54"/>
    </row>
    <row r="20577" spans="31:31">
      <c r="AE20577" s="54"/>
    </row>
    <row r="20578" spans="31:31">
      <c r="AE20578" s="54"/>
    </row>
    <row r="20579" spans="31:31">
      <c r="AE20579" s="54"/>
    </row>
    <row r="20580" spans="31:31">
      <c r="AE20580" s="54"/>
    </row>
    <row r="20581" spans="31:31">
      <c r="AE20581" s="54"/>
    </row>
    <row r="20582" spans="31:31">
      <c r="AE20582" s="54"/>
    </row>
    <row r="20583" spans="31:31">
      <c r="AE20583" s="54"/>
    </row>
    <row r="20584" spans="31:31">
      <c r="AE20584" s="54"/>
    </row>
    <row r="20585" spans="31:31">
      <c r="AE20585" s="54"/>
    </row>
    <row r="20586" spans="31:31">
      <c r="AE20586" s="54"/>
    </row>
    <row r="20587" spans="31:31">
      <c r="AE20587" s="54"/>
    </row>
    <row r="20588" spans="31:31">
      <c r="AE20588" s="54"/>
    </row>
    <row r="20589" spans="31:31">
      <c r="AE20589" s="54"/>
    </row>
    <row r="20590" spans="31:31">
      <c r="AE20590" s="54"/>
    </row>
    <row r="20591" spans="31:31">
      <c r="AE20591" s="54"/>
    </row>
    <row r="20592" spans="31:31">
      <c r="AE20592" s="54"/>
    </row>
    <row r="20593" spans="31:31">
      <c r="AE20593" s="54"/>
    </row>
    <row r="20594" spans="31:31">
      <c r="AE20594" s="54"/>
    </row>
    <row r="20595" spans="31:31">
      <c r="AE20595" s="54"/>
    </row>
    <row r="20596" spans="31:31">
      <c r="AE20596" s="54"/>
    </row>
    <row r="20597" spans="31:31">
      <c r="AE20597" s="54"/>
    </row>
    <row r="20598" spans="31:31">
      <c r="AE20598" s="54"/>
    </row>
    <row r="20599" spans="31:31">
      <c r="AE20599" s="54"/>
    </row>
    <row r="20600" spans="31:31">
      <c r="AE20600" s="54"/>
    </row>
    <row r="20601" spans="31:31">
      <c r="AE20601" s="54"/>
    </row>
    <row r="20602" spans="31:31">
      <c r="AE20602" s="54"/>
    </row>
    <row r="20603" spans="31:31">
      <c r="AE20603" s="54"/>
    </row>
    <row r="20604" spans="31:31">
      <c r="AE20604" s="54"/>
    </row>
    <row r="20605" spans="31:31">
      <c r="AE20605" s="54"/>
    </row>
    <row r="20606" spans="31:31">
      <c r="AE20606" s="54"/>
    </row>
    <row r="20607" spans="31:31">
      <c r="AE20607" s="54"/>
    </row>
    <row r="20608" spans="31:31">
      <c r="AE20608" s="54"/>
    </row>
    <row r="20609" spans="31:31">
      <c r="AE20609" s="54"/>
    </row>
    <row r="20610" spans="31:31">
      <c r="AE20610" s="54"/>
    </row>
    <row r="20611" spans="31:31">
      <c r="AE20611" s="54"/>
    </row>
    <row r="20612" spans="31:31">
      <c r="AE20612" s="54"/>
    </row>
    <row r="20613" spans="31:31">
      <c r="AE20613" s="54"/>
    </row>
    <row r="20614" spans="31:31">
      <c r="AE20614" s="54"/>
    </row>
    <row r="20615" spans="31:31">
      <c r="AE20615" s="54"/>
    </row>
    <row r="20616" spans="31:31">
      <c r="AE20616" s="54"/>
    </row>
    <row r="20617" spans="31:31">
      <c r="AE20617" s="54"/>
    </row>
    <row r="20618" spans="31:31">
      <c r="AE20618" s="54"/>
    </row>
    <row r="20619" spans="31:31">
      <c r="AE20619" s="54"/>
    </row>
    <row r="20620" spans="31:31">
      <c r="AE20620" s="54"/>
    </row>
    <row r="20621" spans="31:31">
      <c r="AE20621" s="54"/>
    </row>
    <row r="20622" spans="31:31">
      <c r="AE20622" s="54"/>
    </row>
    <row r="20623" spans="31:31">
      <c r="AE20623" s="54"/>
    </row>
    <row r="20624" spans="31:31">
      <c r="AE20624" s="54"/>
    </row>
    <row r="20625" spans="31:31">
      <c r="AE20625" s="54"/>
    </row>
    <row r="20626" spans="31:31">
      <c r="AE20626" s="54"/>
    </row>
    <row r="20627" spans="31:31">
      <c r="AE20627" s="54"/>
    </row>
    <row r="20628" spans="31:31">
      <c r="AE20628" s="54"/>
    </row>
    <row r="20629" spans="31:31">
      <c r="AE20629" s="54"/>
    </row>
    <row r="20630" spans="31:31">
      <c r="AE20630" s="54"/>
    </row>
    <row r="20631" spans="31:31">
      <c r="AE20631" s="54"/>
    </row>
    <row r="20632" spans="31:31">
      <c r="AE20632" s="54"/>
    </row>
    <row r="20633" spans="31:31">
      <c r="AE20633" s="54"/>
    </row>
    <row r="20634" spans="31:31">
      <c r="AE20634" s="54"/>
    </row>
    <row r="20635" spans="31:31">
      <c r="AE20635" s="54"/>
    </row>
    <row r="20636" spans="31:31">
      <c r="AE20636" s="54"/>
    </row>
    <row r="20637" spans="31:31">
      <c r="AE20637" s="54"/>
    </row>
    <row r="20638" spans="31:31">
      <c r="AE20638" s="54"/>
    </row>
    <row r="20639" spans="31:31">
      <c r="AE20639" s="54"/>
    </row>
    <row r="20640" spans="31:31">
      <c r="AE20640" s="54"/>
    </row>
    <row r="20641" spans="31:31">
      <c r="AE20641" s="54"/>
    </row>
    <row r="20642" spans="31:31">
      <c r="AE20642" s="54"/>
    </row>
    <row r="20643" spans="31:31">
      <c r="AE20643" s="54"/>
    </row>
    <row r="20644" spans="31:31">
      <c r="AE20644" s="54"/>
    </row>
    <row r="20645" spans="31:31">
      <c r="AE20645" s="54"/>
    </row>
    <row r="20646" spans="31:31">
      <c r="AE20646" s="54"/>
    </row>
    <row r="20647" spans="31:31">
      <c r="AE20647" s="54"/>
    </row>
    <row r="20648" spans="31:31">
      <c r="AE20648" s="54"/>
    </row>
    <row r="20649" spans="31:31">
      <c r="AE20649" s="54"/>
    </row>
    <row r="20650" spans="31:31">
      <c r="AE20650" s="54"/>
    </row>
    <row r="20651" spans="31:31">
      <c r="AE20651" s="54"/>
    </row>
    <row r="20652" spans="31:31">
      <c r="AE20652" s="54"/>
    </row>
    <row r="20653" spans="31:31">
      <c r="AE20653" s="54"/>
    </row>
    <row r="20654" spans="31:31">
      <c r="AE20654" s="54"/>
    </row>
    <row r="20655" spans="31:31">
      <c r="AE20655" s="54"/>
    </row>
    <row r="20656" spans="31:31">
      <c r="AE20656" s="54"/>
    </row>
    <row r="20657" spans="31:31">
      <c r="AE20657" s="54"/>
    </row>
    <row r="20658" spans="31:31">
      <c r="AE20658" s="54"/>
    </row>
    <row r="20659" spans="31:31">
      <c r="AE20659" s="54"/>
    </row>
    <row r="20660" spans="31:31">
      <c r="AE20660" s="54"/>
    </row>
    <row r="20661" spans="31:31">
      <c r="AE20661" s="54"/>
    </row>
    <row r="20662" spans="31:31">
      <c r="AE20662" s="54"/>
    </row>
    <row r="20663" spans="31:31">
      <c r="AE20663" s="54"/>
    </row>
    <row r="20664" spans="31:31">
      <c r="AE20664" s="54"/>
    </row>
    <row r="20665" spans="31:31">
      <c r="AE20665" s="54"/>
    </row>
    <row r="20666" spans="31:31">
      <c r="AE20666" s="54"/>
    </row>
    <row r="20667" spans="31:31">
      <c r="AE20667" s="54"/>
    </row>
    <row r="20668" spans="31:31">
      <c r="AE20668" s="54"/>
    </row>
    <row r="20669" spans="31:31">
      <c r="AE20669" s="54"/>
    </row>
    <row r="20670" spans="31:31">
      <c r="AE20670" s="54"/>
    </row>
    <row r="20671" spans="31:31">
      <c r="AE20671" s="54"/>
    </row>
    <row r="20672" spans="31:31">
      <c r="AE20672" s="54"/>
    </row>
    <row r="20673" spans="31:31">
      <c r="AE20673" s="54"/>
    </row>
    <row r="20674" spans="31:31">
      <c r="AE20674" s="54"/>
    </row>
    <row r="20675" spans="31:31">
      <c r="AE20675" s="54"/>
    </row>
    <row r="20676" spans="31:31">
      <c r="AE20676" s="54"/>
    </row>
    <row r="20677" spans="31:31">
      <c r="AE20677" s="54"/>
    </row>
    <row r="20678" spans="31:31">
      <c r="AE20678" s="54"/>
    </row>
    <row r="20679" spans="31:31">
      <c r="AE20679" s="54"/>
    </row>
    <row r="20680" spans="31:31">
      <c r="AE20680" s="54"/>
    </row>
    <row r="20681" spans="31:31">
      <c r="AE20681" s="54"/>
    </row>
    <row r="20682" spans="31:31">
      <c r="AE20682" s="54"/>
    </row>
    <row r="20683" spans="31:31">
      <c r="AE20683" s="54"/>
    </row>
    <row r="20684" spans="31:31">
      <c r="AE20684" s="54"/>
    </row>
    <row r="20685" spans="31:31">
      <c r="AE20685" s="54"/>
    </row>
    <row r="20686" spans="31:31">
      <c r="AE20686" s="54"/>
    </row>
    <row r="20687" spans="31:31">
      <c r="AE20687" s="54"/>
    </row>
    <row r="20688" spans="31:31">
      <c r="AE20688" s="54"/>
    </row>
    <row r="20689" spans="31:31">
      <c r="AE20689" s="54"/>
    </row>
    <row r="20690" spans="31:31">
      <c r="AE20690" s="54"/>
    </row>
    <row r="20691" spans="31:31">
      <c r="AE20691" s="54"/>
    </row>
    <row r="20692" spans="31:31">
      <c r="AE20692" s="54"/>
    </row>
    <row r="20693" spans="31:31">
      <c r="AE20693" s="54"/>
    </row>
    <row r="20694" spans="31:31">
      <c r="AE20694" s="54"/>
    </row>
    <row r="20695" spans="31:31">
      <c r="AE20695" s="54"/>
    </row>
    <row r="20696" spans="31:31">
      <c r="AE20696" s="54"/>
    </row>
    <row r="20697" spans="31:31">
      <c r="AE20697" s="54"/>
    </row>
    <row r="20698" spans="31:31">
      <c r="AE20698" s="54"/>
    </row>
    <row r="20699" spans="31:31">
      <c r="AE20699" s="54"/>
    </row>
    <row r="20700" spans="31:31">
      <c r="AE20700" s="54"/>
    </row>
    <row r="20701" spans="31:31">
      <c r="AE20701" s="54"/>
    </row>
    <row r="20702" spans="31:31">
      <c r="AE20702" s="54"/>
    </row>
    <row r="20703" spans="31:31">
      <c r="AE20703" s="54"/>
    </row>
    <row r="20704" spans="31:31">
      <c r="AE20704" s="54"/>
    </row>
    <row r="20705" spans="31:31">
      <c r="AE20705" s="54"/>
    </row>
    <row r="20706" spans="31:31">
      <c r="AE20706" s="54"/>
    </row>
    <row r="20707" spans="31:31">
      <c r="AE20707" s="54"/>
    </row>
    <row r="20708" spans="31:31">
      <c r="AE20708" s="54"/>
    </row>
    <row r="20709" spans="31:31">
      <c r="AE20709" s="54"/>
    </row>
    <row r="20710" spans="31:31">
      <c r="AE20710" s="54"/>
    </row>
    <row r="20711" spans="31:31">
      <c r="AE20711" s="54"/>
    </row>
    <row r="20712" spans="31:31">
      <c r="AE20712" s="54"/>
    </row>
    <row r="20713" spans="31:31">
      <c r="AE20713" s="54"/>
    </row>
    <row r="20714" spans="31:31">
      <c r="AE20714" s="54"/>
    </row>
    <row r="20715" spans="31:31">
      <c r="AE20715" s="54"/>
    </row>
    <row r="20716" spans="31:31">
      <c r="AE20716" s="54"/>
    </row>
    <row r="20717" spans="31:31">
      <c r="AE20717" s="54"/>
    </row>
    <row r="20718" spans="31:31">
      <c r="AE20718" s="54"/>
    </row>
    <row r="20719" spans="31:31">
      <c r="AE20719" s="54"/>
    </row>
    <row r="20720" spans="31:31">
      <c r="AE20720" s="54"/>
    </row>
    <row r="20721" spans="31:31">
      <c r="AE20721" s="54"/>
    </row>
    <row r="20722" spans="31:31">
      <c r="AE20722" s="54"/>
    </row>
    <row r="20723" spans="31:31">
      <c r="AE20723" s="54"/>
    </row>
    <row r="20724" spans="31:31">
      <c r="AE20724" s="54"/>
    </row>
    <row r="20725" spans="31:31">
      <c r="AE20725" s="54"/>
    </row>
    <row r="20726" spans="31:31">
      <c r="AE20726" s="54"/>
    </row>
    <row r="20727" spans="31:31">
      <c r="AE20727" s="54"/>
    </row>
    <row r="20728" spans="31:31">
      <c r="AE20728" s="54"/>
    </row>
    <row r="20729" spans="31:31">
      <c r="AE20729" s="54"/>
    </row>
    <row r="20730" spans="31:31">
      <c r="AE20730" s="54"/>
    </row>
    <row r="20731" spans="31:31">
      <c r="AE20731" s="54"/>
    </row>
    <row r="20732" spans="31:31">
      <c r="AE20732" s="54"/>
    </row>
    <row r="20733" spans="31:31">
      <c r="AE20733" s="54"/>
    </row>
    <row r="20734" spans="31:31">
      <c r="AE20734" s="54"/>
    </row>
    <row r="20735" spans="31:31">
      <c r="AE20735" s="54"/>
    </row>
    <row r="20736" spans="31:31">
      <c r="AE20736" s="54"/>
    </row>
    <row r="20737" spans="31:31">
      <c r="AE20737" s="54"/>
    </row>
    <row r="20738" spans="31:31">
      <c r="AE20738" s="54"/>
    </row>
    <row r="20739" spans="31:31">
      <c r="AE20739" s="54"/>
    </row>
    <row r="20740" spans="31:31">
      <c r="AE20740" s="54"/>
    </row>
    <row r="20741" spans="31:31">
      <c r="AE20741" s="54"/>
    </row>
    <row r="20742" spans="31:31">
      <c r="AE20742" s="54"/>
    </row>
    <row r="20743" spans="31:31">
      <c r="AE20743" s="54"/>
    </row>
    <row r="20744" spans="31:31">
      <c r="AE20744" s="54"/>
    </row>
    <row r="20745" spans="31:31">
      <c r="AE20745" s="54"/>
    </row>
    <row r="20746" spans="31:31">
      <c r="AE20746" s="54"/>
    </row>
    <row r="20747" spans="31:31">
      <c r="AE20747" s="54"/>
    </row>
    <row r="20748" spans="31:31">
      <c r="AE20748" s="54"/>
    </row>
    <row r="20749" spans="31:31">
      <c r="AE20749" s="54"/>
    </row>
    <row r="20750" spans="31:31">
      <c r="AE20750" s="54"/>
    </row>
    <row r="20751" spans="31:31">
      <c r="AE20751" s="54"/>
    </row>
    <row r="20752" spans="31:31">
      <c r="AE20752" s="54"/>
    </row>
    <row r="20753" spans="31:31">
      <c r="AE20753" s="54"/>
    </row>
    <row r="20754" spans="31:31">
      <c r="AE20754" s="54"/>
    </row>
    <row r="20755" spans="31:31">
      <c r="AE20755" s="54"/>
    </row>
    <row r="20756" spans="31:31">
      <c r="AE20756" s="54"/>
    </row>
    <row r="20757" spans="31:31">
      <c r="AE20757" s="54"/>
    </row>
    <row r="20758" spans="31:31">
      <c r="AE20758" s="54"/>
    </row>
    <row r="20759" spans="31:31">
      <c r="AE20759" s="54"/>
    </row>
    <row r="20760" spans="31:31">
      <c r="AE20760" s="54"/>
    </row>
    <row r="20761" spans="31:31">
      <c r="AE20761" s="54"/>
    </row>
    <row r="20762" spans="31:31">
      <c r="AE20762" s="54"/>
    </row>
    <row r="20763" spans="31:31">
      <c r="AE20763" s="54"/>
    </row>
    <row r="20764" spans="31:31">
      <c r="AE20764" s="54"/>
    </row>
    <row r="20765" spans="31:31">
      <c r="AE20765" s="54"/>
    </row>
    <row r="20766" spans="31:31">
      <c r="AE20766" s="54"/>
    </row>
    <row r="20767" spans="31:31">
      <c r="AE20767" s="54"/>
    </row>
    <row r="20768" spans="31:31">
      <c r="AE20768" s="54"/>
    </row>
    <row r="20769" spans="31:31">
      <c r="AE20769" s="54"/>
    </row>
    <row r="20770" spans="31:31">
      <c r="AE20770" s="54"/>
    </row>
    <row r="20771" spans="31:31">
      <c r="AE20771" s="54"/>
    </row>
    <row r="20772" spans="31:31">
      <c r="AE20772" s="54"/>
    </row>
    <row r="20773" spans="31:31">
      <c r="AE20773" s="54"/>
    </row>
    <row r="20774" spans="31:31">
      <c r="AE20774" s="54"/>
    </row>
    <row r="20775" spans="31:31">
      <c r="AE20775" s="54"/>
    </row>
    <row r="20776" spans="31:31">
      <c r="AE20776" s="54"/>
    </row>
    <row r="20777" spans="31:31">
      <c r="AE20777" s="54"/>
    </row>
    <row r="20778" spans="31:31">
      <c r="AE20778" s="54"/>
    </row>
    <row r="20779" spans="31:31">
      <c r="AE20779" s="54"/>
    </row>
    <row r="20780" spans="31:31">
      <c r="AE20780" s="54"/>
    </row>
    <row r="20781" spans="31:31">
      <c r="AE20781" s="54"/>
    </row>
    <row r="20782" spans="31:31">
      <c r="AE20782" s="54"/>
    </row>
    <row r="20783" spans="31:31">
      <c r="AE20783" s="54"/>
    </row>
    <row r="20784" spans="31:31">
      <c r="AE20784" s="54"/>
    </row>
    <row r="20785" spans="31:31">
      <c r="AE20785" s="54"/>
    </row>
    <row r="20786" spans="31:31">
      <c r="AE20786" s="54"/>
    </row>
    <row r="20787" spans="31:31">
      <c r="AE20787" s="54"/>
    </row>
    <row r="20788" spans="31:31">
      <c r="AE20788" s="54"/>
    </row>
    <row r="20789" spans="31:31">
      <c r="AE20789" s="54"/>
    </row>
    <row r="20790" spans="31:31">
      <c r="AE20790" s="54"/>
    </row>
    <row r="20791" spans="31:31">
      <c r="AE20791" s="54"/>
    </row>
    <row r="20792" spans="31:31">
      <c r="AE20792" s="54"/>
    </row>
    <row r="20793" spans="31:31">
      <c r="AE20793" s="54"/>
    </row>
    <row r="20794" spans="31:31">
      <c r="AE20794" s="54"/>
    </row>
    <row r="20795" spans="31:31">
      <c r="AE20795" s="54"/>
    </row>
    <row r="20796" spans="31:31">
      <c r="AE20796" s="54"/>
    </row>
    <row r="20797" spans="31:31">
      <c r="AE20797" s="54"/>
    </row>
    <row r="20798" spans="31:31">
      <c r="AE20798" s="54"/>
    </row>
    <row r="20799" spans="31:31">
      <c r="AE20799" s="54"/>
    </row>
    <row r="20800" spans="31:31">
      <c r="AE20800" s="54"/>
    </row>
    <row r="20801" spans="31:31">
      <c r="AE20801" s="54"/>
    </row>
    <row r="20802" spans="31:31">
      <c r="AE20802" s="54"/>
    </row>
    <row r="20803" spans="31:31">
      <c r="AE20803" s="54"/>
    </row>
    <row r="20804" spans="31:31">
      <c r="AE20804" s="54"/>
    </row>
    <row r="20805" spans="31:31">
      <c r="AE20805" s="54"/>
    </row>
    <row r="20806" spans="31:31">
      <c r="AE20806" s="54"/>
    </row>
    <row r="20807" spans="31:31">
      <c r="AE20807" s="54"/>
    </row>
    <row r="20808" spans="31:31">
      <c r="AE20808" s="54"/>
    </row>
    <row r="20809" spans="31:31">
      <c r="AE20809" s="54"/>
    </row>
    <row r="20810" spans="31:31">
      <c r="AE20810" s="54"/>
    </row>
    <row r="20811" spans="31:31">
      <c r="AE20811" s="54"/>
    </row>
    <row r="20812" spans="31:31">
      <c r="AE20812" s="54"/>
    </row>
    <row r="20813" spans="31:31">
      <c r="AE20813" s="54"/>
    </row>
    <row r="20814" spans="31:31">
      <c r="AE20814" s="54"/>
    </row>
    <row r="20815" spans="31:31">
      <c r="AE20815" s="54"/>
    </row>
    <row r="20816" spans="31:31">
      <c r="AE20816" s="54"/>
    </row>
    <row r="20817" spans="31:31">
      <c r="AE20817" s="54"/>
    </row>
    <row r="20818" spans="31:31">
      <c r="AE20818" s="54"/>
    </row>
    <row r="20819" spans="31:31">
      <c r="AE20819" s="54"/>
    </row>
    <row r="20820" spans="31:31">
      <c r="AE20820" s="54"/>
    </row>
    <row r="20821" spans="31:31">
      <c r="AE20821" s="54"/>
    </row>
    <row r="20822" spans="31:31">
      <c r="AE20822" s="54"/>
    </row>
    <row r="20823" spans="31:31">
      <c r="AE20823" s="54"/>
    </row>
    <row r="20824" spans="31:31">
      <c r="AE20824" s="54"/>
    </row>
    <row r="20825" spans="31:31">
      <c r="AE20825" s="54"/>
    </row>
    <row r="20826" spans="31:31">
      <c r="AE20826" s="54"/>
    </row>
    <row r="20827" spans="31:31">
      <c r="AE20827" s="54"/>
    </row>
    <row r="20828" spans="31:31">
      <c r="AE20828" s="54"/>
    </row>
    <row r="20829" spans="31:31">
      <c r="AE20829" s="54"/>
    </row>
    <row r="20830" spans="31:31">
      <c r="AE20830" s="54"/>
    </row>
    <row r="20831" spans="31:31">
      <c r="AE20831" s="54"/>
    </row>
    <row r="20832" spans="31:31">
      <c r="AE20832" s="54"/>
    </row>
    <row r="20833" spans="31:31">
      <c r="AE20833" s="54"/>
    </row>
    <row r="20834" spans="31:31">
      <c r="AE20834" s="54"/>
    </row>
    <row r="20835" spans="31:31">
      <c r="AE20835" s="54"/>
    </row>
    <row r="20836" spans="31:31">
      <c r="AE20836" s="54"/>
    </row>
    <row r="20837" spans="31:31">
      <c r="AE20837" s="54"/>
    </row>
    <row r="20838" spans="31:31">
      <c r="AE20838" s="54"/>
    </row>
    <row r="20839" spans="31:31">
      <c r="AE20839" s="54"/>
    </row>
    <row r="20840" spans="31:31">
      <c r="AE20840" s="54"/>
    </row>
    <row r="20841" spans="31:31">
      <c r="AE20841" s="54"/>
    </row>
    <row r="20842" spans="31:31">
      <c r="AE20842" s="54"/>
    </row>
    <row r="20843" spans="31:31">
      <c r="AE20843" s="54"/>
    </row>
    <row r="20844" spans="31:31">
      <c r="AE20844" s="54"/>
    </row>
    <row r="20845" spans="31:31">
      <c r="AE20845" s="54"/>
    </row>
    <row r="20846" spans="31:31">
      <c r="AE20846" s="54"/>
    </row>
    <row r="20847" spans="31:31">
      <c r="AE20847" s="54"/>
    </row>
    <row r="20848" spans="31:31">
      <c r="AE20848" s="54"/>
    </row>
    <row r="20849" spans="31:31">
      <c r="AE20849" s="54"/>
    </row>
    <row r="20850" spans="31:31">
      <c r="AE20850" s="54"/>
    </row>
    <row r="20851" spans="31:31">
      <c r="AE20851" s="54"/>
    </row>
    <row r="20852" spans="31:31">
      <c r="AE20852" s="54"/>
    </row>
    <row r="20853" spans="31:31">
      <c r="AE20853" s="54"/>
    </row>
    <row r="20854" spans="31:31">
      <c r="AE20854" s="54"/>
    </row>
    <row r="20855" spans="31:31">
      <c r="AE20855" s="54"/>
    </row>
    <row r="20856" spans="31:31">
      <c r="AE20856" s="54"/>
    </row>
    <row r="20857" spans="31:31">
      <c r="AE20857" s="54"/>
    </row>
    <row r="20858" spans="31:31">
      <c r="AE20858" s="54"/>
    </row>
    <row r="20859" spans="31:31">
      <c r="AE20859" s="54"/>
    </row>
    <row r="20860" spans="31:31">
      <c r="AE20860" s="54"/>
    </row>
    <row r="20861" spans="31:31">
      <c r="AE20861" s="54"/>
    </row>
    <row r="20862" spans="31:31">
      <c r="AE20862" s="54"/>
    </row>
    <row r="20863" spans="31:31">
      <c r="AE20863" s="54"/>
    </row>
    <row r="20864" spans="31:31">
      <c r="AE20864" s="54"/>
    </row>
    <row r="20865" spans="31:31">
      <c r="AE20865" s="54"/>
    </row>
    <row r="20866" spans="31:31">
      <c r="AE20866" s="54"/>
    </row>
    <row r="20867" spans="31:31">
      <c r="AE20867" s="54"/>
    </row>
    <row r="20868" spans="31:31">
      <c r="AE20868" s="54"/>
    </row>
    <row r="20869" spans="31:31">
      <c r="AE20869" s="54"/>
    </row>
    <row r="20870" spans="31:31">
      <c r="AE20870" s="54"/>
    </row>
    <row r="20871" spans="31:31">
      <c r="AE20871" s="54"/>
    </row>
    <row r="20872" spans="31:31">
      <c r="AE20872" s="54"/>
    </row>
    <row r="20873" spans="31:31">
      <c r="AE20873" s="54"/>
    </row>
    <row r="20874" spans="31:31">
      <c r="AE20874" s="54"/>
    </row>
    <row r="20875" spans="31:31">
      <c r="AE20875" s="54"/>
    </row>
    <row r="20876" spans="31:31">
      <c r="AE20876" s="54"/>
    </row>
    <row r="20877" spans="31:31">
      <c r="AE20877" s="54"/>
    </row>
    <row r="20878" spans="31:31">
      <c r="AE20878" s="54"/>
    </row>
    <row r="20879" spans="31:31">
      <c r="AE20879" s="54"/>
    </row>
    <row r="20880" spans="31:31">
      <c r="AE20880" s="54"/>
    </row>
    <row r="20881" spans="31:31">
      <c r="AE20881" s="54"/>
    </row>
    <row r="20882" spans="31:31">
      <c r="AE20882" s="54"/>
    </row>
    <row r="20883" spans="31:31">
      <c r="AE20883" s="54"/>
    </row>
    <row r="20884" spans="31:31">
      <c r="AE20884" s="54"/>
    </row>
    <row r="20885" spans="31:31">
      <c r="AE20885" s="54"/>
    </row>
    <row r="20886" spans="31:31">
      <c r="AE20886" s="54"/>
    </row>
    <row r="20887" spans="31:31">
      <c r="AE20887" s="54"/>
    </row>
    <row r="20888" spans="31:31">
      <c r="AE20888" s="54"/>
    </row>
    <row r="20889" spans="31:31">
      <c r="AE20889" s="54"/>
    </row>
    <row r="20890" spans="31:31">
      <c r="AE20890" s="54"/>
    </row>
    <row r="20891" spans="31:31">
      <c r="AE20891" s="54"/>
    </row>
    <row r="20892" spans="31:31">
      <c r="AE20892" s="54"/>
    </row>
    <row r="20893" spans="31:31">
      <c r="AE20893" s="54"/>
    </row>
    <row r="20894" spans="31:31">
      <c r="AE20894" s="54"/>
    </row>
    <row r="20895" spans="31:31">
      <c r="AE20895" s="54"/>
    </row>
    <row r="20896" spans="31:31">
      <c r="AE20896" s="54"/>
    </row>
    <row r="20897" spans="31:31">
      <c r="AE20897" s="54"/>
    </row>
    <row r="20898" spans="31:31">
      <c r="AE20898" s="54"/>
    </row>
    <row r="20899" spans="31:31">
      <c r="AE20899" s="54"/>
    </row>
    <row r="20900" spans="31:31">
      <c r="AE20900" s="54"/>
    </row>
    <row r="20901" spans="31:31">
      <c r="AE20901" s="54"/>
    </row>
    <row r="20902" spans="31:31">
      <c r="AE20902" s="54"/>
    </row>
    <row r="20903" spans="31:31">
      <c r="AE20903" s="54"/>
    </row>
    <row r="20904" spans="31:31">
      <c r="AE20904" s="54"/>
    </row>
    <row r="20905" spans="31:31">
      <c r="AE20905" s="54"/>
    </row>
    <row r="20906" spans="31:31">
      <c r="AE20906" s="54"/>
    </row>
    <row r="20907" spans="31:31">
      <c r="AE20907" s="54"/>
    </row>
    <row r="20908" spans="31:31">
      <c r="AE20908" s="54"/>
    </row>
    <row r="20909" spans="31:31">
      <c r="AE20909" s="54"/>
    </row>
    <row r="20910" spans="31:31">
      <c r="AE20910" s="54"/>
    </row>
    <row r="20911" spans="31:31">
      <c r="AE20911" s="54"/>
    </row>
    <row r="20912" spans="31:31">
      <c r="AE20912" s="54"/>
    </row>
    <row r="20913" spans="31:31">
      <c r="AE20913" s="54"/>
    </row>
    <row r="20914" spans="31:31">
      <c r="AE20914" s="54"/>
    </row>
    <row r="20915" spans="31:31">
      <c r="AE20915" s="54"/>
    </row>
    <row r="20916" spans="31:31">
      <c r="AE20916" s="54"/>
    </row>
    <row r="20917" spans="31:31">
      <c r="AE20917" s="54"/>
    </row>
    <row r="20918" spans="31:31">
      <c r="AE20918" s="54"/>
    </row>
    <row r="20919" spans="31:31">
      <c r="AE20919" s="54"/>
    </row>
    <row r="20920" spans="31:31">
      <c r="AE20920" s="54"/>
    </row>
    <row r="20921" spans="31:31">
      <c r="AE20921" s="54"/>
    </row>
    <row r="20922" spans="31:31">
      <c r="AE20922" s="54"/>
    </row>
    <row r="20923" spans="31:31">
      <c r="AE20923" s="54"/>
    </row>
    <row r="20924" spans="31:31">
      <c r="AE20924" s="54"/>
    </row>
    <row r="20925" spans="31:31">
      <c r="AE20925" s="54"/>
    </row>
    <row r="20926" spans="31:31">
      <c r="AE20926" s="54"/>
    </row>
    <row r="20927" spans="31:31">
      <c r="AE20927" s="54"/>
    </row>
    <row r="20928" spans="31:31">
      <c r="AE20928" s="54"/>
    </row>
    <row r="20929" spans="31:31">
      <c r="AE20929" s="54"/>
    </row>
    <row r="20930" spans="31:31">
      <c r="AE20930" s="54"/>
    </row>
    <row r="20931" spans="31:31">
      <c r="AE20931" s="54"/>
    </row>
    <row r="20932" spans="31:31">
      <c r="AE20932" s="54"/>
    </row>
    <row r="20933" spans="31:31">
      <c r="AE20933" s="54"/>
    </row>
    <row r="20934" spans="31:31">
      <c r="AE20934" s="54"/>
    </row>
    <row r="20935" spans="31:31">
      <c r="AE20935" s="54"/>
    </row>
    <row r="20936" spans="31:31">
      <c r="AE20936" s="54"/>
    </row>
    <row r="20937" spans="31:31">
      <c r="AE20937" s="54"/>
    </row>
    <row r="20938" spans="31:31">
      <c r="AE20938" s="54"/>
    </row>
    <row r="20939" spans="31:31">
      <c r="AE20939" s="54"/>
    </row>
    <row r="20940" spans="31:31">
      <c r="AE20940" s="54"/>
    </row>
    <row r="20941" spans="31:31">
      <c r="AE20941" s="54"/>
    </row>
    <row r="20942" spans="31:31">
      <c r="AE20942" s="54"/>
    </row>
    <row r="20943" spans="31:31">
      <c r="AE20943" s="54"/>
    </row>
    <row r="20944" spans="31:31">
      <c r="AE20944" s="54"/>
    </row>
    <row r="20945" spans="31:31">
      <c r="AE20945" s="54"/>
    </row>
    <row r="20946" spans="31:31">
      <c r="AE20946" s="54"/>
    </row>
    <row r="20947" spans="31:31">
      <c r="AE20947" s="54"/>
    </row>
    <row r="20948" spans="31:31">
      <c r="AE20948" s="54"/>
    </row>
    <row r="20949" spans="31:31">
      <c r="AE20949" s="54"/>
    </row>
    <row r="20950" spans="31:31">
      <c r="AE20950" s="54"/>
    </row>
    <row r="20951" spans="31:31">
      <c r="AE20951" s="54"/>
    </row>
    <row r="20952" spans="31:31">
      <c r="AE20952" s="54"/>
    </row>
    <row r="20953" spans="31:31">
      <c r="AE20953" s="54"/>
    </row>
    <row r="20954" spans="31:31">
      <c r="AE20954" s="54"/>
    </row>
    <row r="20955" spans="31:31">
      <c r="AE20955" s="54"/>
    </row>
    <row r="20956" spans="31:31">
      <c r="AE20956" s="54"/>
    </row>
    <row r="20957" spans="31:31">
      <c r="AE20957" s="54"/>
    </row>
    <row r="20958" spans="31:31">
      <c r="AE20958" s="54"/>
    </row>
    <row r="20959" spans="31:31">
      <c r="AE20959" s="54"/>
    </row>
    <row r="20960" spans="31:31">
      <c r="AE20960" s="54"/>
    </row>
    <row r="20961" spans="31:31">
      <c r="AE20961" s="54"/>
    </row>
    <row r="20962" spans="31:31">
      <c r="AE20962" s="54"/>
    </row>
    <row r="20963" spans="31:31">
      <c r="AE20963" s="54"/>
    </row>
    <row r="20964" spans="31:31">
      <c r="AE20964" s="54"/>
    </row>
    <row r="20965" spans="31:31">
      <c r="AE20965" s="54"/>
    </row>
    <row r="20966" spans="31:31">
      <c r="AE20966" s="54"/>
    </row>
    <row r="20967" spans="31:31">
      <c r="AE20967" s="54"/>
    </row>
    <row r="20968" spans="31:31">
      <c r="AE20968" s="54"/>
    </row>
    <row r="20969" spans="31:31">
      <c r="AE20969" s="54"/>
    </row>
    <row r="20970" spans="31:31">
      <c r="AE20970" s="54"/>
    </row>
    <row r="20971" spans="31:31">
      <c r="AE20971" s="54"/>
    </row>
    <row r="20972" spans="31:31">
      <c r="AE20972" s="54"/>
    </row>
    <row r="20973" spans="31:31">
      <c r="AE20973" s="54"/>
    </row>
    <row r="20974" spans="31:31">
      <c r="AE20974" s="54"/>
    </row>
    <row r="20975" spans="31:31">
      <c r="AE20975" s="54"/>
    </row>
    <row r="20976" spans="31:31">
      <c r="AE20976" s="54"/>
    </row>
    <row r="20977" spans="31:31">
      <c r="AE20977" s="54"/>
    </row>
    <row r="20978" spans="31:31">
      <c r="AE20978" s="54"/>
    </row>
    <row r="20979" spans="31:31">
      <c r="AE20979" s="54"/>
    </row>
    <row r="20980" spans="31:31">
      <c r="AE20980" s="54"/>
    </row>
    <row r="20981" spans="31:31">
      <c r="AE20981" s="54"/>
    </row>
    <row r="20982" spans="31:31">
      <c r="AE20982" s="54"/>
    </row>
    <row r="20983" spans="31:31">
      <c r="AE20983" s="54"/>
    </row>
    <row r="20984" spans="31:31">
      <c r="AE20984" s="54"/>
    </row>
    <row r="20985" spans="31:31">
      <c r="AE20985" s="54"/>
    </row>
    <row r="20986" spans="31:31">
      <c r="AE20986" s="54"/>
    </row>
    <row r="20987" spans="31:31">
      <c r="AE20987" s="54"/>
    </row>
    <row r="20988" spans="31:31">
      <c r="AE20988" s="54"/>
    </row>
    <row r="20989" spans="31:31">
      <c r="AE20989" s="54"/>
    </row>
    <row r="20990" spans="31:31">
      <c r="AE20990" s="54"/>
    </row>
    <row r="20991" spans="31:31">
      <c r="AE20991" s="54"/>
    </row>
    <row r="20992" spans="31:31">
      <c r="AE20992" s="54"/>
    </row>
    <row r="20993" spans="31:31">
      <c r="AE20993" s="54"/>
    </row>
    <row r="20994" spans="31:31">
      <c r="AE20994" s="54"/>
    </row>
    <row r="20995" spans="31:31">
      <c r="AE20995" s="54"/>
    </row>
    <row r="20996" spans="31:31">
      <c r="AE20996" s="54"/>
    </row>
    <row r="20997" spans="31:31">
      <c r="AE20997" s="54"/>
    </row>
    <row r="20998" spans="31:31">
      <c r="AE20998" s="54"/>
    </row>
    <row r="20999" spans="31:31">
      <c r="AE20999" s="54"/>
    </row>
    <row r="21000" spans="31:31">
      <c r="AE21000" s="54"/>
    </row>
    <row r="21001" spans="31:31">
      <c r="AE21001" s="54"/>
    </row>
    <row r="21002" spans="31:31">
      <c r="AE21002" s="54"/>
    </row>
    <row r="21003" spans="31:31">
      <c r="AE21003" s="54"/>
    </row>
    <row r="21004" spans="31:31">
      <c r="AE21004" s="54"/>
    </row>
    <row r="21005" spans="31:31">
      <c r="AE21005" s="54"/>
    </row>
    <row r="21006" spans="31:31">
      <c r="AE21006" s="54"/>
    </row>
    <row r="21007" spans="31:31">
      <c r="AE21007" s="54"/>
    </row>
    <row r="21008" spans="31:31">
      <c r="AE21008" s="54"/>
    </row>
    <row r="21009" spans="31:31">
      <c r="AE21009" s="54"/>
    </row>
    <row r="21010" spans="31:31">
      <c r="AE21010" s="54"/>
    </row>
    <row r="21011" spans="31:31">
      <c r="AE21011" s="54"/>
    </row>
    <row r="21012" spans="31:31">
      <c r="AE21012" s="54"/>
    </row>
    <row r="21013" spans="31:31">
      <c r="AE21013" s="54"/>
    </row>
    <row r="21014" spans="31:31">
      <c r="AE21014" s="54"/>
    </row>
    <row r="21015" spans="31:31">
      <c r="AE21015" s="54"/>
    </row>
    <row r="21016" spans="31:31">
      <c r="AE21016" s="54"/>
    </row>
    <row r="21017" spans="31:31">
      <c r="AE21017" s="54"/>
    </row>
    <row r="21018" spans="31:31">
      <c r="AE21018" s="54"/>
    </row>
    <row r="21019" spans="31:31">
      <c r="AE21019" s="54"/>
    </row>
    <row r="21020" spans="31:31">
      <c r="AE21020" s="54"/>
    </row>
    <row r="21021" spans="31:31">
      <c r="AE21021" s="54"/>
    </row>
    <row r="21022" spans="31:31">
      <c r="AE21022" s="54"/>
    </row>
    <row r="21023" spans="31:31">
      <c r="AE21023" s="54"/>
    </row>
    <row r="21024" spans="31:31">
      <c r="AE21024" s="54"/>
    </row>
    <row r="21025" spans="31:31">
      <c r="AE21025" s="54"/>
    </row>
    <row r="21026" spans="31:31">
      <c r="AE21026" s="54"/>
    </row>
    <row r="21027" spans="31:31">
      <c r="AE21027" s="54"/>
    </row>
    <row r="21028" spans="31:31">
      <c r="AE21028" s="54"/>
    </row>
    <row r="21029" spans="31:31">
      <c r="AE21029" s="54"/>
    </row>
    <row r="21030" spans="31:31">
      <c r="AE21030" s="54"/>
    </row>
    <row r="21031" spans="31:31">
      <c r="AE21031" s="54"/>
    </row>
    <row r="21032" spans="31:31">
      <c r="AE21032" s="54"/>
    </row>
    <row r="21033" spans="31:31">
      <c r="AE21033" s="54"/>
    </row>
    <row r="21034" spans="31:31">
      <c r="AE21034" s="54"/>
    </row>
    <row r="21035" spans="31:31">
      <c r="AE21035" s="54"/>
    </row>
    <row r="21036" spans="31:31">
      <c r="AE21036" s="54"/>
    </row>
    <row r="21037" spans="31:31">
      <c r="AE21037" s="54"/>
    </row>
    <row r="21038" spans="31:31">
      <c r="AE21038" s="54"/>
    </row>
    <row r="21039" spans="31:31">
      <c r="AE21039" s="54"/>
    </row>
    <row r="21040" spans="31:31">
      <c r="AE21040" s="54"/>
    </row>
    <row r="21041" spans="31:31">
      <c r="AE21041" s="54"/>
    </row>
    <row r="21042" spans="31:31">
      <c r="AE21042" s="54"/>
    </row>
    <row r="21043" spans="31:31">
      <c r="AE21043" s="54"/>
    </row>
    <row r="21044" spans="31:31">
      <c r="AE21044" s="54"/>
    </row>
    <row r="21045" spans="31:31">
      <c r="AE21045" s="54"/>
    </row>
    <row r="21046" spans="31:31">
      <c r="AE21046" s="54"/>
    </row>
    <row r="21047" spans="31:31">
      <c r="AE21047" s="54"/>
    </row>
    <row r="21048" spans="31:31">
      <c r="AE21048" s="54"/>
    </row>
    <row r="21049" spans="31:31">
      <c r="AE21049" s="54"/>
    </row>
    <row r="21050" spans="31:31">
      <c r="AE21050" s="54"/>
    </row>
    <row r="21051" spans="31:31">
      <c r="AE21051" s="54"/>
    </row>
    <row r="21052" spans="31:31">
      <c r="AE21052" s="54"/>
    </row>
    <row r="21053" spans="31:31">
      <c r="AE21053" s="54"/>
    </row>
    <row r="21054" spans="31:31">
      <c r="AE21054" s="54"/>
    </row>
    <row r="21055" spans="31:31">
      <c r="AE21055" s="54"/>
    </row>
    <row r="21056" spans="31:31">
      <c r="AE21056" s="54"/>
    </row>
    <row r="21057" spans="31:31">
      <c r="AE21057" s="54"/>
    </row>
    <row r="21058" spans="31:31">
      <c r="AE21058" s="54"/>
    </row>
    <row r="21059" spans="31:31">
      <c r="AE21059" s="54"/>
    </row>
    <row r="21060" spans="31:31">
      <c r="AE21060" s="54"/>
    </row>
    <row r="21061" spans="31:31">
      <c r="AE21061" s="54"/>
    </row>
    <row r="21062" spans="31:31">
      <c r="AE21062" s="54"/>
    </row>
    <row r="21063" spans="31:31">
      <c r="AE21063" s="54"/>
    </row>
    <row r="21064" spans="31:31">
      <c r="AE21064" s="54"/>
    </row>
    <row r="21065" spans="31:31">
      <c r="AE21065" s="54"/>
    </row>
    <row r="21066" spans="31:31">
      <c r="AE21066" s="54"/>
    </row>
    <row r="21067" spans="31:31">
      <c r="AE21067" s="54"/>
    </row>
    <row r="21068" spans="31:31">
      <c r="AE21068" s="54"/>
    </row>
    <row r="21069" spans="31:31">
      <c r="AE21069" s="54"/>
    </row>
    <row r="21070" spans="31:31">
      <c r="AE21070" s="54"/>
    </row>
    <row r="21071" spans="31:31">
      <c r="AE21071" s="54"/>
    </row>
    <row r="21072" spans="31:31">
      <c r="AE21072" s="54"/>
    </row>
    <row r="21073" spans="31:31">
      <c r="AE21073" s="54"/>
    </row>
    <row r="21074" spans="31:31">
      <c r="AE21074" s="54"/>
    </row>
    <row r="21075" spans="31:31">
      <c r="AE21075" s="54"/>
    </row>
    <row r="21076" spans="31:31">
      <c r="AE21076" s="54"/>
    </row>
    <row r="21077" spans="31:31">
      <c r="AE21077" s="54"/>
    </row>
    <row r="21078" spans="31:31">
      <c r="AE21078" s="54"/>
    </row>
    <row r="21079" spans="31:31">
      <c r="AE21079" s="54"/>
    </row>
    <row r="21080" spans="31:31">
      <c r="AE21080" s="54"/>
    </row>
    <row r="21081" spans="31:31">
      <c r="AE21081" s="54"/>
    </row>
    <row r="21082" spans="31:31">
      <c r="AE21082" s="54"/>
    </row>
    <row r="21083" spans="31:31">
      <c r="AE21083" s="54"/>
    </row>
    <row r="21084" spans="31:31">
      <c r="AE21084" s="54"/>
    </row>
    <row r="21085" spans="31:31">
      <c r="AE21085" s="54"/>
    </row>
    <row r="21086" spans="31:31">
      <c r="AE21086" s="54"/>
    </row>
    <row r="21087" spans="31:31">
      <c r="AE21087" s="54"/>
    </row>
    <row r="21088" spans="31:31">
      <c r="AE21088" s="54"/>
    </row>
    <row r="21089" spans="31:31">
      <c r="AE21089" s="54"/>
    </row>
    <row r="21090" spans="31:31">
      <c r="AE21090" s="54"/>
    </row>
    <row r="21091" spans="31:31">
      <c r="AE21091" s="54"/>
    </row>
    <row r="21092" spans="31:31">
      <c r="AE21092" s="54"/>
    </row>
    <row r="21093" spans="31:31">
      <c r="AE21093" s="54"/>
    </row>
    <row r="21094" spans="31:31">
      <c r="AE21094" s="54"/>
    </row>
    <row r="21095" spans="31:31">
      <c r="AE21095" s="54"/>
    </row>
    <row r="21096" spans="31:31">
      <c r="AE21096" s="54"/>
    </row>
    <row r="21097" spans="31:31">
      <c r="AE21097" s="54"/>
    </row>
    <row r="21098" spans="31:31">
      <c r="AE21098" s="54"/>
    </row>
    <row r="21099" spans="31:31">
      <c r="AE21099" s="54"/>
    </row>
    <row r="21100" spans="31:31">
      <c r="AE21100" s="54"/>
    </row>
    <row r="21101" spans="31:31">
      <c r="AE21101" s="54"/>
    </row>
    <row r="21102" spans="31:31">
      <c r="AE21102" s="54"/>
    </row>
    <row r="21103" spans="31:31">
      <c r="AE21103" s="54"/>
    </row>
    <row r="21104" spans="31:31">
      <c r="AE21104" s="54"/>
    </row>
    <row r="21105" spans="31:31">
      <c r="AE21105" s="54"/>
    </row>
    <row r="21106" spans="31:31">
      <c r="AE21106" s="54"/>
    </row>
    <row r="21107" spans="31:31">
      <c r="AE21107" s="54"/>
    </row>
    <row r="21108" spans="31:31">
      <c r="AE21108" s="54"/>
    </row>
    <row r="21109" spans="31:31">
      <c r="AE21109" s="54"/>
    </row>
    <row r="21110" spans="31:31">
      <c r="AE21110" s="54"/>
    </row>
    <row r="21111" spans="31:31">
      <c r="AE21111" s="54"/>
    </row>
    <row r="21112" spans="31:31">
      <c r="AE21112" s="54"/>
    </row>
    <row r="21113" spans="31:31">
      <c r="AE21113" s="54"/>
    </row>
    <row r="21114" spans="31:31">
      <c r="AE21114" s="54"/>
    </row>
    <row r="21115" spans="31:31">
      <c r="AE21115" s="54"/>
    </row>
    <row r="21116" spans="31:31">
      <c r="AE21116" s="54"/>
    </row>
    <row r="21117" spans="31:31">
      <c r="AE21117" s="54"/>
    </row>
    <row r="21118" spans="31:31">
      <c r="AE21118" s="54"/>
    </row>
    <row r="21119" spans="31:31">
      <c r="AE21119" s="54"/>
    </row>
    <row r="21120" spans="31:31">
      <c r="AE21120" s="54"/>
    </row>
    <row r="21121" spans="31:31">
      <c r="AE21121" s="54"/>
    </row>
    <row r="21122" spans="31:31">
      <c r="AE21122" s="54"/>
    </row>
    <row r="21123" spans="31:31">
      <c r="AE21123" s="54"/>
    </row>
    <row r="21124" spans="31:31">
      <c r="AE21124" s="54"/>
    </row>
    <row r="21125" spans="31:31">
      <c r="AE21125" s="54"/>
    </row>
    <row r="21126" spans="31:31">
      <c r="AE21126" s="54"/>
    </row>
    <row r="21127" spans="31:31">
      <c r="AE21127" s="54"/>
    </row>
    <row r="21128" spans="31:31">
      <c r="AE21128" s="54"/>
    </row>
    <row r="21129" spans="31:31">
      <c r="AE21129" s="54"/>
    </row>
    <row r="21130" spans="31:31">
      <c r="AE21130" s="54"/>
    </row>
    <row r="21131" spans="31:31">
      <c r="AE21131" s="54"/>
    </row>
    <row r="21132" spans="31:31">
      <c r="AE21132" s="54"/>
    </row>
    <row r="21133" spans="31:31">
      <c r="AE21133" s="54"/>
    </row>
    <row r="21134" spans="31:31">
      <c r="AE21134" s="54"/>
    </row>
    <row r="21135" spans="31:31">
      <c r="AE21135" s="54"/>
    </row>
    <row r="21136" spans="31:31">
      <c r="AE21136" s="54"/>
    </row>
    <row r="21137" spans="31:31">
      <c r="AE21137" s="54"/>
    </row>
    <row r="21138" spans="31:31">
      <c r="AE21138" s="54"/>
    </row>
    <row r="21139" spans="31:31">
      <c r="AE21139" s="54"/>
    </row>
    <row r="21140" spans="31:31">
      <c r="AE21140" s="54"/>
    </row>
    <row r="21141" spans="31:31">
      <c r="AE21141" s="54"/>
    </row>
    <row r="21142" spans="31:31">
      <c r="AE21142" s="54"/>
    </row>
    <row r="21143" spans="31:31">
      <c r="AE21143" s="54"/>
    </row>
    <row r="21144" spans="31:31">
      <c r="AE21144" s="54"/>
    </row>
    <row r="21145" spans="31:31">
      <c r="AE21145" s="54"/>
    </row>
    <row r="21146" spans="31:31">
      <c r="AE21146" s="54"/>
    </row>
    <row r="21147" spans="31:31">
      <c r="AE21147" s="54"/>
    </row>
    <row r="21148" spans="31:31">
      <c r="AE21148" s="54"/>
    </row>
    <row r="21149" spans="31:31">
      <c r="AE21149" s="54"/>
    </row>
    <row r="21150" spans="31:31">
      <c r="AE21150" s="54"/>
    </row>
    <row r="21151" spans="31:31">
      <c r="AE21151" s="54"/>
    </row>
    <row r="21152" spans="31:31">
      <c r="AE21152" s="54"/>
    </row>
    <row r="21153" spans="31:31">
      <c r="AE21153" s="54"/>
    </row>
    <row r="21154" spans="31:31">
      <c r="AE21154" s="54"/>
    </row>
    <row r="21155" spans="31:31">
      <c r="AE21155" s="54"/>
    </row>
    <row r="21156" spans="31:31">
      <c r="AE21156" s="54"/>
    </row>
    <row r="21157" spans="31:31">
      <c r="AE21157" s="54"/>
    </row>
    <row r="21158" spans="31:31">
      <c r="AE21158" s="54"/>
    </row>
    <row r="21159" spans="31:31">
      <c r="AE21159" s="54"/>
    </row>
    <row r="21160" spans="31:31">
      <c r="AE21160" s="54"/>
    </row>
    <row r="21161" spans="31:31">
      <c r="AE21161" s="54"/>
    </row>
    <row r="21162" spans="31:31">
      <c r="AE21162" s="54"/>
    </row>
    <row r="21163" spans="31:31">
      <c r="AE21163" s="54"/>
    </row>
    <row r="21164" spans="31:31">
      <c r="AE21164" s="54"/>
    </row>
    <row r="21165" spans="31:31">
      <c r="AE21165" s="54"/>
    </row>
    <row r="21166" spans="31:31">
      <c r="AE21166" s="54"/>
    </row>
    <row r="21167" spans="31:31">
      <c r="AE21167" s="54"/>
    </row>
    <row r="21168" spans="31:31">
      <c r="AE21168" s="54"/>
    </row>
    <row r="21169" spans="31:31">
      <c r="AE21169" s="54"/>
    </row>
    <row r="21170" spans="31:31">
      <c r="AE21170" s="54"/>
    </row>
    <row r="21171" spans="31:31">
      <c r="AE21171" s="54"/>
    </row>
    <row r="21172" spans="31:31">
      <c r="AE21172" s="54"/>
    </row>
    <row r="21173" spans="31:31">
      <c r="AE21173" s="54"/>
    </row>
    <row r="21174" spans="31:31">
      <c r="AE21174" s="54"/>
    </row>
    <row r="21175" spans="31:31">
      <c r="AE21175" s="54"/>
    </row>
    <row r="21176" spans="31:31">
      <c r="AE21176" s="54"/>
    </row>
    <row r="21177" spans="31:31">
      <c r="AE21177" s="54"/>
    </row>
    <row r="21178" spans="31:31">
      <c r="AE21178" s="54"/>
    </row>
    <row r="21179" spans="31:31">
      <c r="AE21179" s="54"/>
    </row>
    <row r="21180" spans="31:31">
      <c r="AE21180" s="54"/>
    </row>
    <row r="21181" spans="31:31">
      <c r="AE21181" s="54"/>
    </row>
    <row r="21182" spans="31:31">
      <c r="AE21182" s="54"/>
    </row>
    <row r="21183" spans="31:31">
      <c r="AE21183" s="54"/>
    </row>
    <row r="21184" spans="31:31">
      <c r="AE21184" s="54"/>
    </row>
    <row r="21185" spans="31:31">
      <c r="AE21185" s="54"/>
    </row>
    <row r="21186" spans="31:31">
      <c r="AE21186" s="54"/>
    </row>
    <row r="21187" spans="31:31">
      <c r="AE21187" s="54"/>
    </row>
    <row r="21188" spans="31:31">
      <c r="AE21188" s="54"/>
    </row>
    <row r="21189" spans="31:31">
      <c r="AE21189" s="54"/>
    </row>
    <row r="21190" spans="31:31">
      <c r="AE21190" s="54"/>
    </row>
    <row r="21191" spans="31:31">
      <c r="AE21191" s="54"/>
    </row>
    <row r="21192" spans="31:31">
      <c r="AE21192" s="54"/>
    </row>
    <row r="21193" spans="31:31">
      <c r="AE21193" s="54"/>
    </row>
    <row r="21194" spans="31:31">
      <c r="AE21194" s="54"/>
    </row>
    <row r="21195" spans="31:31">
      <c r="AE21195" s="54"/>
    </row>
    <row r="21196" spans="31:31">
      <c r="AE21196" s="54"/>
    </row>
    <row r="21197" spans="31:31">
      <c r="AE21197" s="54"/>
    </row>
    <row r="21198" spans="31:31">
      <c r="AE21198" s="54"/>
    </row>
    <row r="21199" spans="31:31">
      <c r="AE21199" s="54"/>
    </row>
    <row r="21200" spans="31:31">
      <c r="AE21200" s="54"/>
    </row>
    <row r="21201" spans="31:31">
      <c r="AE21201" s="54"/>
    </row>
    <row r="21202" spans="31:31">
      <c r="AE21202" s="54"/>
    </row>
    <row r="21203" spans="31:31">
      <c r="AE21203" s="54"/>
    </row>
    <row r="21204" spans="31:31">
      <c r="AE21204" s="54"/>
    </row>
    <row r="21205" spans="31:31">
      <c r="AE21205" s="54"/>
    </row>
    <row r="21206" spans="31:31">
      <c r="AE21206" s="54"/>
    </row>
    <row r="21207" spans="31:31">
      <c r="AE21207" s="54"/>
    </row>
    <row r="21208" spans="31:31">
      <c r="AE21208" s="54"/>
    </row>
    <row r="21209" spans="31:31">
      <c r="AE21209" s="54"/>
    </row>
    <row r="21210" spans="31:31">
      <c r="AE21210" s="54"/>
    </row>
    <row r="21211" spans="31:31">
      <c r="AE21211" s="54"/>
    </row>
    <row r="21212" spans="31:31">
      <c r="AE21212" s="54"/>
    </row>
    <row r="21213" spans="31:31">
      <c r="AE21213" s="54"/>
    </row>
    <row r="21214" spans="31:31">
      <c r="AE21214" s="54"/>
    </row>
    <row r="21215" spans="31:31">
      <c r="AE21215" s="54"/>
    </row>
    <row r="21216" spans="31:31">
      <c r="AE21216" s="54"/>
    </row>
    <row r="21217" spans="31:31">
      <c r="AE21217" s="54"/>
    </row>
    <row r="21218" spans="31:31">
      <c r="AE21218" s="54"/>
    </row>
    <row r="21219" spans="31:31">
      <c r="AE21219" s="54"/>
    </row>
    <row r="21220" spans="31:31">
      <c r="AE21220" s="54"/>
    </row>
    <row r="21221" spans="31:31">
      <c r="AE21221" s="54"/>
    </row>
    <row r="21222" spans="31:31">
      <c r="AE21222" s="54"/>
    </row>
    <row r="21223" spans="31:31">
      <c r="AE21223" s="54"/>
    </row>
    <row r="21224" spans="31:31">
      <c r="AE21224" s="54"/>
    </row>
    <row r="21225" spans="31:31">
      <c r="AE21225" s="54"/>
    </row>
    <row r="21226" spans="31:31">
      <c r="AE21226" s="54"/>
    </row>
    <row r="21227" spans="31:31">
      <c r="AE21227" s="54"/>
    </row>
    <row r="21228" spans="31:31">
      <c r="AE21228" s="54"/>
    </row>
    <row r="21229" spans="31:31">
      <c r="AE21229" s="54"/>
    </row>
    <row r="21230" spans="31:31">
      <c r="AE21230" s="54"/>
    </row>
    <row r="21231" spans="31:31">
      <c r="AE21231" s="54"/>
    </row>
    <row r="21232" spans="31:31">
      <c r="AE21232" s="54"/>
    </row>
    <row r="21233" spans="31:31">
      <c r="AE21233" s="54"/>
    </row>
    <row r="21234" spans="31:31">
      <c r="AE21234" s="54"/>
    </row>
    <row r="21235" spans="31:31">
      <c r="AE21235" s="54"/>
    </row>
    <row r="21236" spans="31:31">
      <c r="AE21236" s="54"/>
    </row>
    <row r="21237" spans="31:31">
      <c r="AE21237" s="54"/>
    </row>
    <row r="21238" spans="31:31">
      <c r="AE21238" s="54"/>
    </row>
    <row r="21239" spans="31:31">
      <c r="AE21239" s="54"/>
    </row>
    <row r="21240" spans="31:31">
      <c r="AE21240" s="54"/>
    </row>
    <row r="21241" spans="31:31">
      <c r="AE21241" s="54"/>
    </row>
    <row r="21242" spans="31:31">
      <c r="AE21242" s="54"/>
    </row>
    <row r="21243" spans="31:31">
      <c r="AE21243" s="54"/>
    </row>
    <row r="21244" spans="31:31">
      <c r="AE21244" s="54"/>
    </row>
    <row r="21245" spans="31:31">
      <c r="AE21245" s="54"/>
    </row>
    <row r="21246" spans="31:31">
      <c r="AE21246" s="54"/>
    </row>
    <row r="21247" spans="31:31">
      <c r="AE21247" s="54"/>
    </row>
    <row r="21248" spans="31:31">
      <c r="AE21248" s="54"/>
    </row>
    <row r="21249" spans="31:31">
      <c r="AE21249" s="54"/>
    </row>
    <row r="21250" spans="31:31">
      <c r="AE21250" s="54"/>
    </row>
    <row r="21251" spans="31:31">
      <c r="AE21251" s="54"/>
    </row>
    <row r="21252" spans="31:31">
      <c r="AE21252" s="54"/>
    </row>
    <row r="21253" spans="31:31">
      <c r="AE21253" s="54"/>
    </row>
    <row r="21254" spans="31:31">
      <c r="AE21254" s="54"/>
    </row>
    <row r="21255" spans="31:31">
      <c r="AE21255" s="54"/>
    </row>
    <row r="21256" spans="31:31">
      <c r="AE21256" s="54"/>
    </row>
    <row r="21257" spans="31:31">
      <c r="AE21257" s="54"/>
    </row>
    <row r="21258" spans="31:31">
      <c r="AE21258" s="54"/>
    </row>
    <row r="21259" spans="31:31">
      <c r="AE21259" s="54"/>
    </row>
    <row r="21260" spans="31:31">
      <c r="AE21260" s="54"/>
    </row>
    <row r="21261" spans="31:31">
      <c r="AE21261" s="54"/>
    </row>
    <row r="21262" spans="31:31">
      <c r="AE21262" s="54"/>
    </row>
    <row r="21263" spans="31:31">
      <c r="AE21263" s="54"/>
    </row>
    <row r="21264" spans="31:31">
      <c r="AE21264" s="54"/>
    </row>
    <row r="21265" spans="31:31">
      <c r="AE21265" s="54"/>
    </row>
    <row r="21266" spans="31:31">
      <c r="AE21266" s="54"/>
    </row>
    <row r="21267" spans="31:31">
      <c r="AE21267" s="54"/>
    </row>
    <row r="21268" spans="31:31">
      <c r="AE21268" s="54"/>
    </row>
    <row r="21269" spans="31:31">
      <c r="AE21269" s="54"/>
    </row>
    <row r="21270" spans="31:31">
      <c r="AE21270" s="54"/>
    </row>
    <row r="21271" spans="31:31">
      <c r="AE21271" s="54"/>
    </row>
    <row r="21272" spans="31:31">
      <c r="AE21272" s="54"/>
    </row>
    <row r="21273" spans="31:31">
      <c r="AE21273" s="54"/>
    </row>
    <row r="21274" spans="31:31">
      <c r="AE21274" s="54"/>
    </row>
    <row r="21275" spans="31:31">
      <c r="AE21275" s="54"/>
    </row>
    <row r="21276" spans="31:31">
      <c r="AE21276" s="54"/>
    </row>
    <row r="21277" spans="31:31">
      <c r="AE21277" s="54"/>
    </row>
    <row r="21278" spans="31:31">
      <c r="AE21278" s="54"/>
    </row>
    <row r="21279" spans="31:31">
      <c r="AE21279" s="54"/>
    </row>
    <row r="21280" spans="31:31">
      <c r="AE21280" s="54"/>
    </row>
    <row r="21281" spans="31:31">
      <c r="AE21281" s="54"/>
    </row>
    <row r="21282" spans="31:31">
      <c r="AE21282" s="54"/>
    </row>
    <row r="21283" spans="31:31">
      <c r="AE21283" s="54"/>
    </row>
    <row r="21284" spans="31:31">
      <c r="AE21284" s="54"/>
    </row>
    <row r="21285" spans="31:31">
      <c r="AE21285" s="54"/>
    </row>
    <row r="21286" spans="31:31">
      <c r="AE21286" s="54"/>
    </row>
    <row r="21287" spans="31:31">
      <c r="AE21287" s="54"/>
    </row>
    <row r="21288" spans="31:31">
      <c r="AE21288" s="54"/>
    </row>
    <row r="21289" spans="31:31">
      <c r="AE21289" s="54"/>
    </row>
    <row r="21290" spans="31:31">
      <c r="AE21290" s="54"/>
    </row>
    <row r="21291" spans="31:31">
      <c r="AE21291" s="54"/>
    </row>
    <row r="21292" spans="31:31">
      <c r="AE21292" s="54"/>
    </row>
    <row r="21293" spans="31:31">
      <c r="AE21293" s="54"/>
    </row>
    <row r="21294" spans="31:31">
      <c r="AE21294" s="54"/>
    </row>
    <row r="21295" spans="31:31">
      <c r="AE21295" s="54"/>
    </row>
    <row r="21296" spans="31:31">
      <c r="AE21296" s="54"/>
    </row>
    <row r="21297" spans="31:31">
      <c r="AE21297" s="54"/>
    </row>
    <row r="21298" spans="31:31">
      <c r="AE21298" s="54"/>
    </row>
    <row r="21299" spans="31:31">
      <c r="AE21299" s="54"/>
    </row>
    <row r="21300" spans="31:31">
      <c r="AE21300" s="54"/>
    </row>
    <row r="21301" spans="31:31">
      <c r="AE21301" s="54"/>
    </row>
    <row r="21302" spans="31:31">
      <c r="AE21302" s="54"/>
    </row>
    <row r="21303" spans="31:31">
      <c r="AE21303" s="54"/>
    </row>
    <row r="21304" spans="31:31">
      <c r="AE21304" s="54"/>
    </row>
    <row r="21305" spans="31:31">
      <c r="AE21305" s="54"/>
    </row>
    <row r="21306" spans="31:31">
      <c r="AE21306" s="54"/>
    </row>
    <row r="21307" spans="31:31">
      <c r="AE21307" s="54"/>
    </row>
    <row r="21308" spans="31:31">
      <c r="AE21308" s="54"/>
    </row>
    <row r="21309" spans="31:31">
      <c r="AE21309" s="54"/>
    </row>
    <row r="21310" spans="31:31">
      <c r="AE21310" s="54"/>
    </row>
    <row r="21311" spans="31:31">
      <c r="AE21311" s="54"/>
    </row>
    <row r="21312" spans="31:31">
      <c r="AE21312" s="54"/>
    </row>
    <row r="21313" spans="31:31">
      <c r="AE21313" s="54"/>
    </row>
    <row r="21314" spans="31:31">
      <c r="AE21314" s="54"/>
    </row>
    <row r="21315" spans="31:31">
      <c r="AE21315" s="54"/>
    </row>
    <row r="21316" spans="31:31">
      <c r="AE21316" s="54"/>
    </row>
    <row r="21317" spans="31:31">
      <c r="AE21317" s="54"/>
    </row>
    <row r="21318" spans="31:31">
      <c r="AE21318" s="54"/>
    </row>
    <row r="21319" spans="31:31">
      <c r="AE21319" s="54"/>
    </row>
    <row r="21320" spans="31:31">
      <c r="AE21320" s="54"/>
    </row>
    <row r="21321" spans="31:31">
      <c r="AE21321" s="54"/>
    </row>
    <row r="21322" spans="31:31">
      <c r="AE21322" s="54"/>
    </row>
    <row r="21323" spans="31:31">
      <c r="AE21323" s="54"/>
    </row>
    <row r="21324" spans="31:31">
      <c r="AE21324" s="54"/>
    </row>
    <row r="21325" spans="31:31">
      <c r="AE21325" s="54"/>
    </row>
    <row r="21326" spans="31:31">
      <c r="AE21326" s="54"/>
    </row>
    <row r="21327" spans="31:31">
      <c r="AE21327" s="54"/>
    </row>
    <row r="21328" spans="31:31">
      <c r="AE21328" s="54"/>
    </row>
    <row r="21329" spans="31:31">
      <c r="AE21329" s="54"/>
    </row>
    <row r="21330" spans="31:31">
      <c r="AE21330" s="54"/>
    </row>
    <row r="21331" spans="31:31">
      <c r="AE21331" s="54"/>
    </row>
    <row r="21332" spans="31:31">
      <c r="AE21332" s="54"/>
    </row>
    <row r="21333" spans="31:31">
      <c r="AE21333" s="54"/>
    </row>
    <row r="21334" spans="31:31">
      <c r="AE21334" s="54"/>
    </row>
    <row r="21335" spans="31:31">
      <c r="AE21335" s="54"/>
    </row>
    <row r="21336" spans="31:31">
      <c r="AE21336" s="54"/>
    </row>
    <row r="21337" spans="31:31">
      <c r="AE21337" s="54"/>
    </row>
    <row r="21338" spans="31:31">
      <c r="AE21338" s="54"/>
    </row>
    <row r="21339" spans="31:31">
      <c r="AE21339" s="54"/>
    </row>
    <row r="21340" spans="31:31">
      <c r="AE21340" s="54"/>
    </row>
    <row r="21341" spans="31:31">
      <c r="AE21341" s="54"/>
    </row>
    <row r="21342" spans="31:31">
      <c r="AE21342" s="54"/>
    </row>
    <row r="21343" spans="31:31">
      <c r="AE21343" s="54"/>
    </row>
    <row r="21344" spans="31:31">
      <c r="AE21344" s="54"/>
    </row>
    <row r="21345" spans="31:31">
      <c r="AE21345" s="54"/>
    </row>
    <row r="21346" spans="31:31">
      <c r="AE21346" s="54"/>
    </row>
    <row r="21347" spans="31:31">
      <c r="AE21347" s="54"/>
    </row>
    <row r="21348" spans="31:31">
      <c r="AE21348" s="54"/>
    </row>
    <row r="21349" spans="31:31">
      <c r="AE21349" s="54"/>
    </row>
    <row r="21350" spans="31:31">
      <c r="AE21350" s="54"/>
    </row>
    <row r="21351" spans="31:31">
      <c r="AE21351" s="54"/>
    </row>
    <row r="21352" spans="31:31">
      <c r="AE21352" s="54"/>
    </row>
    <row r="21353" spans="31:31">
      <c r="AE21353" s="54"/>
    </row>
    <row r="21354" spans="31:31">
      <c r="AE21354" s="54"/>
    </row>
    <row r="21355" spans="31:31">
      <c r="AE21355" s="54"/>
    </row>
    <row r="21356" spans="31:31">
      <c r="AE21356" s="54"/>
    </row>
    <row r="21357" spans="31:31">
      <c r="AE21357" s="54"/>
    </row>
    <row r="21358" spans="31:31">
      <c r="AE21358" s="54"/>
    </row>
    <row r="21359" spans="31:31">
      <c r="AE21359" s="54"/>
    </row>
    <row r="21360" spans="31:31">
      <c r="AE21360" s="54"/>
    </row>
    <row r="21361" spans="31:31">
      <c r="AE21361" s="54"/>
    </row>
    <row r="21362" spans="31:31">
      <c r="AE21362" s="54"/>
    </row>
    <row r="21363" spans="31:31">
      <c r="AE21363" s="54"/>
    </row>
    <row r="21364" spans="31:31">
      <c r="AE21364" s="54"/>
    </row>
    <row r="21365" spans="31:31">
      <c r="AE21365" s="54"/>
    </row>
    <row r="21366" spans="31:31">
      <c r="AE21366" s="54"/>
    </row>
    <row r="21367" spans="31:31">
      <c r="AE21367" s="54"/>
    </row>
    <row r="21368" spans="31:31">
      <c r="AE21368" s="54"/>
    </row>
    <row r="21369" spans="31:31">
      <c r="AE21369" s="54"/>
    </row>
    <row r="21370" spans="31:31">
      <c r="AE21370" s="54"/>
    </row>
    <row r="21371" spans="31:31">
      <c r="AE21371" s="54"/>
    </row>
    <row r="21372" spans="31:31">
      <c r="AE21372" s="54"/>
    </row>
    <row r="21373" spans="31:31">
      <c r="AE21373" s="54"/>
    </row>
    <row r="21374" spans="31:31">
      <c r="AE21374" s="54"/>
    </row>
    <row r="21375" spans="31:31">
      <c r="AE21375" s="54"/>
    </row>
    <row r="21376" spans="31:31">
      <c r="AE21376" s="54"/>
    </row>
    <row r="21377" spans="31:31">
      <c r="AE21377" s="54"/>
    </row>
    <row r="21378" spans="31:31">
      <c r="AE21378" s="54"/>
    </row>
    <row r="21379" spans="31:31">
      <c r="AE21379" s="54"/>
    </row>
    <row r="21380" spans="31:31">
      <c r="AE21380" s="54"/>
    </row>
    <row r="21381" spans="31:31">
      <c r="AE21381" s="54"/>
    </row>
    <row r="21382" spans="31:31">
      <c r="AE21382" s="54"/>
    </row>
    <row r="21383" spans="31:31">
      <c r="AE21383" s="54"/>
    </row>
    <row r="21384" spans="31:31">
      <c r="AE21384" s="54"/>
    </row>
    <row r="21385" spans="31:31">
      <c r="AE21385" s="54"/>
    </row>
    <row r="21386" spans="31:31">
      <c r="AE21386" s="54"/>
    </row>
    <row r="21387" spans="31:31">
      <c r="AE21387" s="54"/>
    </row>
    <row r="21388" spans="31:31">
      <c r="AE21388" s="54"/>
    </row>
    <row r="21389" spans="31:31">
      <c r="AE21389" s="54"/>
    </row>
    <row r="21390" spans="31:31">
      <c r="AE21390" s="54"/>
    </row>
    <row r="21391" spans="31:31">
      <c r="AE21391" s="54"/>
    </row>
    <row r="21392" spans="31:31">
      <c r="AE21392" s="54"/>
    </row>
    <row r="21393" spans="31:31">
      <c r="AE21393" s="54"/>
    </row>
    <row r="21394" spans="31:31">
      <c r="AE21394" s="54"/>
    </row>
    <row r="21395" spans="31:31">
      <c r="AE21395" s="54"/>
    </row>
    <row r="21396" spans="31:31">
      <c r="AE21396" s="54"/>
    </row>
    <row r="21397" spans="31:31">
      <c r="AE21397" s="54"/>
    </row>
    <row r="21398" spans="31:31">
      <c r="AE21398" s="54"/>
    </row>
    <row r="21399" spans="31:31">
      <c r="AE21399" s="54"/>
    </row>
    <row r="21400" spans="31:31">
      <c r="AE21400" s="54"/>
    </row>
    <row r="21401" spans="31:31">
      <c r="AE21401" s="54"/>
    </row>
    <row r="21402" spans="31:31">
      <c r="AE21402" s="54"/>
    </row>
    <row r="21403" spans="31:31">
      <c r="AE21403" s="54"/>
    </row>
    <row r="21404" spans="31:31">
      <c r="AE21404" s="54"/>
    </row>
    <row r="21405" spans="31:31">
      <c r="AE21405" s="54"/>
    </row>
    <row r="21406" spans="31:31">
      <c r="AE21406" s="54"/>
    </row>
    <row r="21407" spans="31:31">
      <c r="AE21407" s="54"/>
    </row>
    <row r="21408" spans="31:31">
      <c r="AE21408" s="54"/>
    </row>
    <row r="21409" spans="31:31">
      <c r="AE21409" s="54"/>
    </row>
    <row r="21410" spans="31:31">
      <c r="AE21410" s="54"/>
    </row>
    <row r="21411" spans="31:31">
      <c r="AE21411" s="54"/>
    </row>
    <row r="21412" spans="31:31">
      <c r="AE21412" s="54"/>
    </row>
    <row r="21413" spans="31:31">
      <c r="AE21413" s="54"/>
    </row>
    <row r="21414" spans="31:31">
      <c r="AE21414" s="54"/>
    </row>
    <row r="21415" spans="31:31">
      <c r="AE21415" s="54"/>
    </row>
    <row r="21416" spans="31:31">
      <c r="AE21416" s="54"/>
    </row>
    <row r="21417" spans="31:31">
      <c r="AE21417" s="54"/>
    </row>
    <row r="21418" spans="31:31">
      <c r="AE21418" s="54"/>
    </row>
    <row r="21419" spans="31:31">
      <c r="AE21419" s="54"/>
    </row>
    <row r="21420" spans="31:31">
      <c r="AE21420" s="54"/>
    </row>
    <row r="21421" spans="31:31">
      <c r="AE21421" s="54"/>
    </row>
    <row r="21422" spans="31:31">
      <c r="AE21422" s="54"/>
    </row>
    <row r="21423" spans="31:31">
      <c r="AE21423" s="54"/>
    </row>
    <row r="21424" spans="31:31">
      <c r="AE21424" s="54"/>
    </row>
    <row r="21425" spans="31:31">
      <c r="AE21425" s="54"/>
    </row>
    <row r="21426" spans="31:31">
      <c r="AE21426" s="54"/>
    </row>
    <row r="21427" spans="31:31">
      <c r="AE21427" s="54"/>
    </row>
    <row r="21428" spans="31:31">
      <c r="AE21428" s="54"/>
    </row>
    <row r="21429" spans="31:31">
      <c r="AE21429" s="54"/>
    </row>
    <row r="21430" spans="31:31">
      <c r="AE21430" s="54"/>
    </row>
    <row r="21431" spans="31:31">
      <c r="AE21431" s="54"/>
    </row>
    <row r="21432" spans="31:31">
      <c r="AE21432" s="54"/>
    </row>
    <row r="21433" spans="31:31">
      <c r="AE21433" s="54"/>
    </row>
    <row r="21434" spans="31:31">
      <c r="AE21434" s="54"/>
    </row>
    <row r="21435" spans="31:31">
      <c r="AE21435" s="54"/>
    </row>
    <row r="21436" spans="31:31">
      <c r="AE21436" s="54"/>
    </row>
    <row r="21437" spans="31:31">
      <c r="AE21437" s="54"/>
    </row>
    <row r="21438" spans="31:31">
      <c r="AE21438" s="54"/>
    </row>
    <row r="21439" spans="31:31">
      <c r="AE21439" s="54"/>
    </row>
    <row r="21440" spans="31:31">
      <c r="AE21440" s="54"/>
    </row>
    <row r="21441" spans="31:31">
      <c r="AE21441" s="54"/>
    </row>
    <row r="21442" spans="31:31">
      <c r="AE21442" s="54"/>
    </row>
    <row r="21443" spans="31:31">
      <c r="AE21443" s="54"/>
    </row>
    <row r="21444" spans="31:31">
      <c r="AE21444" s="54"/>
    </row>
    <row r="21445" spans="31:31">
      <c r="AE21445" s="54"/>
    </row>
    <row r="21446" spans="31:31">
      <c r="AE21446" s="54"/>
    </row>
    <row r="21447" spans="31:31">
      <c r="AE21447" s="54"/>
    </row>
    <row r="21448" spans="31:31">
      <c r="AE21448" s="54"/>
    </row>
    <row r="21449" spans="31:31">
      <c r="AE21449" s="54"/>
    </row>
    <row r="21450" spans="31:31">
      <c r="AE21450" s="54"/>
    </row>
    <row r="21451" spans="31:31">
      <c r="AE21451" s="54"/>
    </row>
    <row r="21452" spans="31:31">
      <c r="AE21452" s="54"/>
    </row>
    <row r="21453" spans="31:31">
      <c r="AE21453" s="54"/>
    </row>
    <row r="21454" spans="31:31">
      <c r="AE21454" s="54"/>
    </row>
    <row r="21455" spans="31:31">
      <c r="AE21455" s="54"/>
    </row>
    <row r="21456" spans="31:31">
      <c r="AE21456" s="54"/>
    </row>
    <row r="21457" spans="31:31">
      <c r="AE21457" s="54"/>
    </row>
    <row r="21458" spans="31:31">
      <c r="AE21458" s="54"/>
    </row>
    <row r="21459" spans="31:31">
      <c r="AE21459" s="54"/>
    </row>
    <row r="21460" spans="31:31">
      <c r="AE21460" s="54"/>
    </row>
    <row r="21461" spans="31:31">
      <c r="AE21461" s="54"/>
    </row>
    <row r="21462" spans="31:31">
      <c r="AE21462" s="54"/>
    </row>
    <row r="21463" spans="31:31">
      <c r="AE21463" s="54"/>
    </row>
    <row r="21464" spans="31:31">
      <c r="AE21464" s="54"/>
    </row>
    <row r="21465" spans="31:31">
      <c r="AE21465" s="54"/>
    </row>
    <row r="21466" spans="31:31">
      <c r="AE21466" s="54"/>
    </row>
    <row r="21467" spans="31:31">
      <c r="AE21467" s="54"/>
    </row>
    <row r="21468" spans="31:31">
      <c r="AE21468" s="54"/>
    </row>
    <row r="21469" spans="31:31">
      <c r="AE21469" s="54"/>
    </row>
    <row r="21470" spans="31:31">
      <c r="AE21470" s="54"/>
    </row>
    <row r="21471" spans="31:31">
      <c r="AE21471" s="54"/>
    </row>
    <row r="21472" spans="31:31">
      <c r="AE21472" s="54"/>
    </row>
    <row r="21473" spans="31:31">
      <c r="AE21473" s="54"/>
    </row>
    <row r="21474" spans="31:31">
      <c r="AE21474" s="54"/>
    </row>
    <row r="21475" spans="31:31">
      <c r="AE21475" s="54"/>
    </row>
    <row r="21476" spans="31:31">
      <c r="AE21476" s="54"/>
    </row>
    <row r="21477" spans="31:31">
      <c r="AE21477" s="54"/>
    </row>
    <row r="21478" spans="31:31">
      <c r="AE21478" s="54"/>
    </row>
    <row r="21479" spans="31:31">
      <c r="AE21479" s="54"/>
    </row>
    <row r="21480" spans="31:31">
      <c r="AE21480" s="54"/>
    </row>
    <row r="21481" spans="31:31">
      <c r="AE21481" s="54"/>
    </row>
    <row r="21482" spans="31:31">
      <c r="AE21482" s="54"/>
    </row>
    <row r="21483" spans="31:31">
      <c r="AE21483" s="54"/>
    </row>
    <row r="21484" spans="31:31">
      <c r="AE21484" s="54"/>
    </row>
    <row r="21485" spans="31:31">
      <c r="AE21485" s="54"/>
    </row>
    <row r="21486" spans="31:31">
      <c r="AE21486" s="54"/>
    </row>
    <row r="21487" spans="31:31">
      <c r="AE21487" s="54"/>
    </row>
    <row r="21488" spans="31:31">
      <c r="AE21488" s="54"/>
    </row>
    <row r="21489" spans="31:31">
      <c r="AE21489" s="54"/>
    </row>
    <row r="21490" spans="31:31">
      <c r="AE21490" s="54"/>
    </row>
    <row r="21491" spans="31:31">
      <c r="AE21491" s="54"/>
    </row>
    <row r="21492" spans="31:31">
      <c r="AE21492" s="54"/>
    </row>
    <row r="21493" spans="31:31">
      <c r="AE21493" s="54"/>
    </row>
    <row r="21494" spans="31:31">
      <c r="AE21494" s="54"/>
    </row>
    <row r="21495" spans="31:31">
      <c r="AE21495" s="54"/>
    </row>
    <row r="21496" spans="31:31">
      <c r="AE21496" s="54"/>
    </row>
    <row r="21497" spans="31:31">
      <c r="AE21497" s="54"/>
    </row>
    <row r="21498" spans="31:31">
      <c r="AE21498" s="54"/>
    </row>
    <row r="21499" spans="31:31">
      <c r="AE21499" s="54"/>
    </row>
    <row r="21500" spans="31:31">
      <c r="AE21500" s="54"/>
    </row>
    <row r="21501" spans="31:31">
      <c r="AE21501" s="54"/>
    </row>
    <row r="21502" spans="31:31">
      <c r="AE21502" s="54"/>
    </row>
    <row r="21503" spans="31:31">
      <c r="AE21503" s="54"/>
    </row>
    <row r="21504" spans="31:31">
      <c r="AE21504" s="54"/>
    </row>
    <row r="21505" spans="31:31">
      <c r="AE21505" s="54"/>
    </row>
    <row r="21506" spans="31:31">
      <c r="AE21506" s="54"/>
    </row>
    <row r="21507" spans="31:31">
      <c r="AE21507" s="54"/>
    </row>
    <row r="21508" spans="31:31">
      <c r="AE21508" s="54"/>
    </row>
    <row r="21509" spans="31:31">
      <c r="AE21509" s="54"/>
    </row>
    <row r="21510" spans="31:31">
      <c r="AE21510" s="54"/>
    </row>
    <row r="21511" spans="31:31">
      <c r="AE21511" s="54"/>
    </row>
    <row r="21512" spans="31:31">
      <c r="AE21512" s="54"/>
    </row>
    <row r="21513" spans="31:31">
      <c r="AE21513" s="54"/>
    </row>
    <row r="21514" spans="31:31">
      <c r="AE21514" s="54"/>
    </row>
    <row r="21515" spans="31:31">
      <c r="AE21515" s="54"/>
    </row>
    <row r="21516" spans="31:31">
      <c r="AE21516" s="54"/>
    </row>
    <row r="21517" spans="31:31">
      <c r="AE21517" s="54"/>
    </row>
    <row r="21518" spans="31:31">
      <c r="AE21518" s="54"/>
    </row>
    <row r="21519" spans="31:31">
      <c r="AE21519" s="54"/>
    </row>
    <row r="21520" spans="31:31">
      <c r="AE21520" s="54"/>
    </row>
    <row r="21521" spans="31:31">
      <c r="AE21521" s="54"/>
    </row>
    <row r="21522" spans="31:31">
      <c r="AE21522" s="54"/>
    </row>
    <row r="21523" spans="31:31">
      <c r="AE21523" s="54"/>
    </row>
    <row r="21524" spans="31:31">
      <c r="AE21524" s="54"/>
    </row>
    <row r="21525" spans="31:31">
      <c r="AE21525" s="54"/>
    </row>
    <row r="21526" spans="31:31">
      <c r="AE21526" s="54"/>
    </row>
    <row r="21527" spans="31:31">
      <c r="AE21527" s="54"/>
    </row>
    <row r="21528" spans="31:31">
      <c r="AE21528" s="54"/>
    </row>
    <row r="21529" spans="31:31">
      <c r="AE21529" s="54"/>
    </row>
    <row r="21530" spans="31:31">
      <c r="AE21530" s="54"/>
    </row>
    <row r="21531" spans="31:31">
      <c r="AE21531" s="54"/>
    </row>
    <row r="21532" spans="31:31">
      <c r="AE21532" s="54"/>
    </row>
    <row r="21533" spans="31:31">
      <c r="AE21533" s="54"/>
    </row>
    <row r="21534" spans="31:31">
      <c r="AE21534" s="54"/>
    </row>
    <row r="21535" spans="31:31">
      <c r="AE21535" s="54"/>
    </row>
    <row r="21536" spans="31:31">
      <c r="AE21536" s="54"/>
    </row>
    <row r="21537" spans="31:31">
      <c r="AE21537" s="54"/>
    </row>
    <row r="21538" spans="31:31">
      <c r="AE21538" s="54"/>
    </row>
    <row r="21539" spans="31:31">
      <c r="AE21539" s="54"/>
    </row>
    <row r="21540" spans="31:31">
      <c r="AE21540" s="54"/>
    </row>
    <row r="21541" spans="31:31">
      <c r="AE21541" s="54"/>
    </row>
    <row r="21542" spans="31:31">
      <c r="AE21542" s="54"/>
    </row>
    <row r="21543" spans="31:31">
      <c r="AE21543" s="54"/>
    </row>
    <row r="21544" spans="31:31">
      <c r="AE21544" s="54"/>
    </row>
    <row r="21545" spans="31:31">
      <c r="AE21545" s="54"/>
    </row>
    <row r="21546" spans="31:31">
      <c r="AE21546" s="54"/>
    </row>
    <row r="21547" spans="31:31">
      <c r="AE21547" s="54"/>
    </row>
    <row r="21548" spans="31:31">
      <c r="AE21548" s="54"/>
    </row>
    <row r="21549" spans="31:31">
      <c r="AE21549" s="54"/>
    </row>
    <row r="21550" spans="31:31">
      <c r="AE21550" s="54"/>
    </row>
    <row r="21551" spans="31:31">
      <c r="AE21551" s="54"/>
    </row>
    <row r="21552" spans="31:31">
      <c r="AE21552" s="54"/>
    </row>
    <row r="21553" spans="31:31">
      <c r="AE21553" s="54"/>
    </row>
    <row r="21554" spans="31:31">
      <c r="AE21554" s="54"/>
    </row>
    <row r="21555" spans="31:31">
      <c r="AE21555" s="54"/>
    </row>
    <row r="21556" spans="31:31">
      <c r="AE21556" s="54"/>
    </row>
    <row r="21557" spans="31:31">
      <c r="AE21557" s="54"/>
    </row>
    <row r="21558" spans="31:31">
      <c r="AE21558" s="54"/>
    </row>
    <row r="21559" spans="31:31">
      <c r="AE21559" s="54"/>
    </row>
    <row r="21560" spans="31:31">
      <c r="AE21560" s="54"/>
    </row>
    <row r="21561" spans="31:31">
      <c r="AE21561" s="54"/>
    </row>
    <row r="21562" spans="31:31">
      <c r="AE21562" s="54"/>
    </row>
    <row r="21563" spans="31:31">
      <c r="AE21563" s="54"/>
    </row>
    <row r="21564" spans="31:31">
      <c r="AE21564" s="54"/>
    </row>
    <row r="21565" spans="31:31">
      <c r="AE21565" s="54"/>
    </row>
    <row r="21566" spans="31:31">
      <c r="AE21566" s="54"/>
    </row>
    <row r="21567" spans="31:31">
      <c r="AE21567" s="54"/>
    </row>
    <row r="21568" spans="31:31">
      <c r="AE21568" s="54"/>
    </row>
    <row r="21569" spans="31:31">
      <c r="AE21569" s="54"/>
    </row>
    <row r="21570" spans="31:31">
      <c r="AE21570" s="54"/>
    </row>
    <row r="21571" spans="31:31">
      <c r="AE21571" s="54"/>
    </row>
    <row r="21572" spans="31:31">
      <c r="AE21572" s="54"/>
    </row>
    <row r="21573" spans="31:31">
      <c r="AE21573" s="54"/>
    </row>
    <row r="21574" spans="31:31">
      <c r="AE21574" s="54"/>
    </row>
    <row r="21575" spans="31:31">
      <c r="AE21575" s="54"/>
    </row>
    <row r="21576" spans="31:31">
      <c r="AE21576" s="54"/>
    </row>
    <row r="21577" spans="31:31">
      <c r="AE21577" s="54"/>
    </row>
    <row r="21578" spans="31:31">
      <c r="AE21578" s="54"/>
    </row>
    <row r="21579" spans="31:31">
      <c r="AE21579" s="54"/>
    </row>
    <row r="21580" spans="31:31">
      <c r="AE21580" s="54"/>
    </row>
    <row r="21581" spans="31:31">
      <c r="AE21581" s="54"/>
    </row>
    <row r="21582" spans="31:31">
      <c r="AE21582" s="54"/>
    </row>
    <row r="21583" spans="31:31">
      <c r="AE21583" s="54"/>
    </row>
    <row r="21584" spans="31:31">
      <c r="AE21584" s="54"/>
    </row>
    <row r="21585" spans="31:31">
      <c r="AE21585" s="54"/>
    </row>
    <row r="21586" spans="31:31">
      <c r="AE21586" s="54"/>
    </row>
    <row r="21587" spans="31:31">
      <c r="AE21587" s="54"/>
    </row>
    <row r="21588" spans="31:31">
      <c r="AE21588" s="54"/>
    </row>
    <row r="21589" spans="31:31">
      <c r="AE21589" s="54"/>
    </row>
    <row r="21590" spans="31:31">
      <c r="AE21590" s="54"/>
    </row>
    <row r="21591" spans="31:31">
      <c r="AE21591" s="54"/>
    </row>
    <row r="21592" spans="31:31">
      <c r="AE21592" s="54"/>
    </row>
    <row r="21593" spans="31:31">
      <c r="AE21593" s="54"/>
    </row>
    <row r="21594" spans="31:31">
      <c r="AE21594" s="54"/>
    </row>
    <row r="21595" spans="31:31">
      <c r="AE21595" s="54"/>
    </row>
    <row r="21596" spans="31:31">
      <c r="AE21596" s="54"/>
    </row>
    <row r="21597" spans="31:31">
      <c r="AE21597" s="54"/>
    </row>
    <row r="21598" spans="31:31">
      <c r="AE21598" s="54"/>
    </row>
    <row r="21599" spans="31:31">
      <c r="AE21599" s="54"/>
    </row>
    <row r="21600" spans="31:31">
      <c r="AE21600" s="54"/>
    </row>
    <row r="21601" spans="31:31">
      <c r="AE21601" s="54"/>
    </row>
    <row r="21602" spans="31:31">
      <c r="AE21602" s="54"/>
    </row>
    <row r="21603" spans="31:31">
      <c r="AE21603" s="54"/>
    </row>
    <row r="21604" spans="31:31">
      <c r="AE21604" s="54"/>
    </row>
    <row r="21605" spans="31:31">
      <c r="AE21605" s="54"/>
    </row>
    <row r="21606" spans="31:31">
      <c r="AE21606" s="54"/>
    </row>
    <row r="21607" spans="31:31">
      <c r="AE21607" s="54"/>
    </row>
    <row r="21608" spans="31:31">
      <c r="AE21608" s="54"/>
    </row>
    <row r="21609" spans="31:31">
      <c r="AE21609" s="54"/>
    </row>
    <row r="21610" spans="31:31">
      <c r="AE21610" s="54"/>
    </row>
    <row r="21611" spans="31:31">
      <c r="AE21611" s="54"/>
    </row>
    <row r="21612" spans="31:31">
      <c r="AE21612" s="54"/>
    </row>
    <row r="21613" spans="31:31">
      <c r="AE21613" s="54"/>
    </row>
    <row r="21614" spans="31:31">
      <c r="AE21614" s="54"/>
    </row>
    <row r="21615" spans="31:31">
      <c r="AE21615" s="54"/>
    </row>
    <row r="21616" spans="31:31">
      <c r="AE21616" s="54"/>
    </row>
    <row r="21617" spans="31:31">
      <c r="AE21617" s="54"/>
    </row>
    <row r="21618" spans="31:31">
      <c r="AE21618" s="54"/>
    </row>
    <row r="21619" spans="31:31">
      <c r="AE21619" s="54"/>
    </row>
    <row r="21620" spans="31:31">
      <c r="AE21620" s="54"/>
    </row>
    <row r="21621" spans="31:31">
      <c r="AE21621" s="54"/>
    </row>
    <row r="21622" spans="31:31">
      <c r="AE21622" s="54"/>
    </row>
    <row r="21623" spans="31:31">
      <c r="AE21623" s="54"/>
    </row>
    <row r="21624" spans="31:31">
      <c r="AE21624" s="54"/>
    </row>
    <row r="21625" spans="31:31">
      <c r="AE21625" s="54"/>
    </row>
    <row r="21626" spans="31:31">
      <c r="AE21626" s="54"/>
    </row>
    <row r="21627" spans="31:31">
      <c r="AE21627" s="54"/>
    </row>
    <row r="21628" spans="31:31">
      <c r="AE21628" s="54"/>
    </row>
    <row r="21629" spans="31:31">
      <c r="AE21629" s="54"/>
    </row>
    <row r="21630" spans="31:31">
      <c r="AE21630" s="54"/>
    </row>
    <row r="21631" spans="31:31">
      <c r="AE21631" s="54"/>
    </row>
    <row r="21632" spans="31:31">
      <c r="AE21632" s="54"/>
    </row>
    <row r="21633" spans="31:31">
      <c r="AE21633" s="54"/>
    </row>
    <row r="21634" spans="31:31">
      <c r="AE21634" s="54"/>
    </row>
    <row r="21635" spans="31:31">
      <c r="AE21635" s="54"/>
    </row>
    <row r="21636" spans="31:31">
      <c r="AE21636" s="54"/>
    </row>
    <row r="21637" spans="31:31">
      <c r="AE21637" s="54"/>
    </row>
    <row r="21638" spans="31:31">
      <c r="AE21638" s="54"/>
    </row>
    <row r="21639" spans="31:31">
      <c r="AE21639" s="54"/>
    </row>
    <row r="21640" spans="31:31">
      <c r="AE21640" s="54"/>
    </row>
    <row r="21641" spans="31:31">
      <c r="AE21641" s="54"/>
    </row>
    <row r="21642" spans="31:31">
      <c r="AE21642" s="54"/>
    </row>
    <row r="21643" spans="31:31">
      <c r="AE21643" s="54"/>
    </row>
    <row r="21644" spans="31:31">
      <c r="AE21644" s="54"/>
    </row>
    <row r="21645" spans="31:31">
      <c r="AE21645" s="54"/>
    </row>
    <row r="21646" spans="31:31">
      <c r="AE21646" s="54"/>
    </row>
    <row r="21647" spans="31:31">
      <c r="AE21647" s="54"/>
    </row>
    <row r="21648" spans="31:31">
      <c r="AE21648" s="54"/>
    </row>
    <row r="21649" spans="31:31">
      <c r="AE21649" s="54"/>
    </row>
    <row r="21650" spans="31:31">
      <c r="AE21650" s="54"/>
    </row>
    <row r="21651" spans="31:31">
      <c r="AE21651" s="54"/>
    </row>
    <row r="21652" spans="31:31">
      <c r="AE21652" s="54"/>
    </row>
    <row r="21653" spans="31:31">
      <c r="AE21653" s="54"/>
    </row>
    <row r="21654" spans="31:31">
      <c r="AE21654" s="54"/>
    </row>
    <row r="21655" spans="31:31">
      <c r="AE21655" s="54"/>
    </row>
    <row r="21656" spans="31:31">
      <c r="AE21656" s="54"/>
    </row>
    <row r="21657" spans="31:31">
      <c r="AE21657" s="54"/>
    </row>
    <row r="21658" spans="31:31">
      <c r="AE21658" s="54"/>
    </row>
    <row r="21659" spans="31:31">
      <c r="AE21659" s="54"/>
    </row>
    <row r="21660" spans="31:31">
      <c r="AE21660" s="54"/>
    </row>
    <row r="21661" spans="31:31">
      <c r="AE21661" s="54"/>
    </row>
    <row r="21662" spans="31:31">
      <c r="AE21662" s="54"/>
    </row>
    <row r="21663" spans="31:31">
      <c r="AE21663" s="54"/>
    </row>
    <row r="21664" spans="31:31">
      <c r="AE21664" s="54"/>
    </row>
    <row r="21665" spans="31:31">
      <c r="AE21665" s="54"/>
    </row>
    <row r="21666" spans="31:31">
      <c r="AE21666" s="54"/>
    </row>
    <row r="21667" spans="31:31">
      <c r="AE21667" s="54"/>
    </row>
    <row r="21668" spans="31:31">
      <c r="AE21668" s="54"/>
    </row>
    <row r="21669" spans="31:31">
      <c r="AE21669" s="54"/>
    </row>
    <row r="21670" spans="31:31">
      <c r="AE21670" s="54"/>
    </row>
    <row r="21671" spans="31:31">
      <c r="AE21671" s="54"/>
    </row>
    <row r="21672" spans="31:31">
      <c r="AE21672" s="54"/>
    </row>
    <row r="21673" spans="31:31">
      <c r="AE21673" s="54"/>
    </row>
    <row r="21674" spans="31:31">
      <c r="AE21674" s="54"/>
    </row>
    <row r="21675" spans="31:31">
      <c r="AE21675" s="54"/>
    </row>
    <row r="21676" spans="31:31">
      <c r="AE21676" s="54"/>
    </row>
    <row r="21677" spans="31:31">
      <c r="AE21677" s="54"/>
    </row>
    <row r="21678" spans="31:31">
      <c r="AE21678" s="54"/>
    </row>
    <row r="21679" spans="31:31">
      <c r="AE21679" s="54"/>
    </row>
    <row r="21680" spans="31:31">
      <c r="AE21680" s="54"/>
    </row>
    <row r="21681" spans="31:31">
      <c r="AE21681" s="54"/>
    </row>
    <row r="21682" spans="31:31">
      <c r="AE21682" s="54"/>
    </row>
    <row r="21683" spans="31:31">
      <c r="AE21683" s="54"/>
    </row>
    <row r="21684" spans="31:31">
      <c r="AE21684" s="54"/>
    </row>
    <row r="21685" spans="31:31">
      <c r="AE21685" s="54"/>
    </row>
    <row r="21686" spans="31:31">
      <c r="AE21686" s="54"/>
    </row>
    <row r="21687" spans="31:31">
      <c r="AE21687" s="54"/>
    </row>
    <row r="21688" spans="31:31">
      <c r="AE21688" s="54"/>
    </row>
    <row r="21689" spans="31:31">
      <c r="AE21689" s="54"/>
    </row>
    <row r="21690" spans="31:31">
      <c r="AE21690" s="54"/>
    </row>
    <row r="21691" spans="31:31">
      <c r="AE21691" s="54"/>
    </row>
    <row r="21692" spans="31:31">
      <c r="AE21692" s="54"/>
    </row>
    <row r="21693" spans="31:31">
      <c r="AE21693" s="54"/>
    </row>
    <row r="21694" spans="31:31">
      <c r="AE21694" s="54"/>
    </row>
    <row r="21695" spans="31:31">
      <c r="AE21695" s="54"/>
    </row>
    <row r="21696" spans="31:31">
      <c r="AE21696" s="54"/>
    </row>
    <row r="21697" spans="31:31">
      <c r="AE21697" s="54"/>
    </row>
    <row r="21698" spans="31:31">
      <c r="AE21698" s="54"/>
    </row>
    <row r="21699" spans="31:31">
      <c r="AE21699" s="54"/>
    </row>
    <row r="21700" spans="31:31">
      <c r="AE21700" s="54"/>
    </row>
    <row r="21701" spans="31:31">
      <c r="AE21701" s="54"/>
    </row>
    <row r="21702" spans="31:31">
      <c r="AE21702" s="54"/>
    </row>
    <row r="21703" spans="31:31">
      <c r="AE21703" s="54"/>
    </row>
    <row r="21704" spans="31:31">
      <c r="AE21704" s="54"/>
    </row>
    <row r="21705" spans="31:31">
      <c r="AE21705" s="54"/>
    </row>
    <row r="21706" spans="31:31">
      <c r="AE21706" s="54"/>
    </row>
    <row r="21707" spans="31:31">
      <c r="AE21707" s="54"/>
    </row>
    <row r="21708" spans="31:31">
      <c r="AE21708" s="54"/>
    </row>
    <row r="21709" spans="31:31">
      <c r="AE21709" s="54"/>
    </row>
    <row r="21710" spans="31:31">
      <c r="AE21710" s="54"/>
    </row>
    <row r="21711" spans="31:31">
      <c r="AE21711" s="54"/>
    </row>
    <row r="21712" spans="31:31">
      <c r="AE21712" s="54"/>
    </row>
    <row r="21713" spans="31:31">
      <c r="AE21713" s="54"/>
    </row>
    <row r="21714" spans="31:31">
      <c r="AE21714" s="54"/>
    </row>
    <row r="21715" spans="31:31">
      <c r="AE21715" s="54"/>
    </row>
    <row r="21716" spans="31:31">
      <c r="AE21716" s="54"/>
    </row>
    <row r="21717" spans="31:31">
      <c r="AE21717" s="54"/>
    </row>
    <row r="21718" spans="31:31">
      <c r="AE21718" s="54"/>
    </row>
    <row r="21719" spans="31:31">
      <c r="AE21719" s="54"/>
    </row>
    <row r="21720" spans="31:31">
      <c r="AE21720" s="54"/>
    </row>
    <row r="21721" spans="31:31">
      <c r="AE21721" s="54"/>
    </row>
    <row r="21722" spans="31:31">
      <c r="AE21722" s="54"/>
    </row>
    <row r="21723" spans="31:31">
      <c r="AE21723" s="54"/>
    </row>
    <row r="21724" spans="31:31">
      <c r="AE21724" s="54"/>
    </row>
    <row r="21725" spans="31:31">
      <c r="AE21725" s="54"/>
    </row>
    <row r="21726" spans="31:31">
      <c r="AE21726" s="54"/>
    </row>
    <row r="21727" spans="31:31">
      <c r="AE21727" s="54"/>
    </row>
    <row r="21728" spans="31:31">
      <c r="AE21728" s="54"/>
    </row>
    <row r="21729" spans="31:31">
      <c r="AE21729" s="54"/>
    </row>
    <row r="21730" spans="31:31">
      <c r="AE21730" s="54"/>
    </row>
    <row r="21731" spans="31:31">
      <c r="AE21731" s="54"/>
    </row>
    <row r="21732" spans="31:31">
      <c r="AE21732" s="54"/>
    </row>
    <row r="21733" spans="31:31">
      <c r="AE21733" s="54"/>
    </row>
    <row r="21734" spans="31:31">
      <c r="AE21734" s="54"/>
    </row>
    <row r="21735" spans="31:31">
      <c r="AE21735" s="54"/>
    </row>
    <row r="21736" spans="31:31">
      <c r="AE21736" s="54"/>
    </row>
    <row r="21737" spans="31:31">
      <c r="AE21737" s="54"/>
    </row>
    <row r="21738" spans="31:31">
      <c r="AE21738" s="54"/>
    </row>
    <row r="21739" spans="31:31">
      <c r="AE21739" s="54"/>
    </row>
    <row r="21740" spans="31:31">
      <c r="AE21740" s="54"/>
    </row>
    <row r="21741" spans="31:31">
      <c r="AE21741" s="54"/>
    </row>
    <row r="21742" spans="31:31">
      <c r="AE21742" s="54"/>
    </row>
    <row r="21743" spans="31:31">
      <c r="AE21743" s="54"/>
    </row>
    <row r="21744" spans="31:31">
      <c r="AE21744" s="54"/>
    </row>
    <row r="21745" spans="31:31">
      <c r="AE21745" s="54"/>
    </row>
    <row r="21746" spans="31:31">
      <c r="AE21746" s="54"/>
    </row>
    <row r="21747" spans="31:31">
      <c r="AE21747" s="54"/>
    </row>
    <row r="21748" spans="31:31">
      <c r="AE21748" s="54"/>
    </row>
    <row r="21749" spans="31:31">
      <c r="AE21749" s="54"/>
    </row>
    <row r="21750" spans="31:31">
      <c r="AE21750" s="54"/>
    </row>
    <row r="21751" spans="31:31">
      <c r="AE21751" s="54"/>
    </row>
    <row r="21752" spans="31:31">
      <c r="AE21752" s="54"/>
    </row>
    <row r="21753" spans="31:31">
      <c r="AE21753" s="54"/>
    </row>
    <row r="21754" spans="31:31">
      <c r="AE21754" s="54"/>
    </row>
    <row r="21755" spans="31:31">
      <c r="AE21755" s="54"/>
    </row>
    <row r="21756" spans="31:31">
      <c r="AE21756" s="54"/>
    </row>
    <row r="21757" spans="31:31">
      <c r="AE21757" s="54"/>
    </row>
    <row r="21758" spans="31:31">
      <c r="AE21758" s="54"/>
    </row>
    <row r="21759" spans="31:31">
      <c r="AE21759" s="54"/>
    </row>
    <row r="21760" spans="31:31">
      <c r="AE21760" s="54"/>
    </row>
    <row r="21761" spans="31:31">
      <c r="AE21761" s="54"/>
    </row>
    <row r="21762" spans="31:31">
      <c r="AE21762" s="54"/>
    </row>
    <row r="21763" spans="31:31">
      <c r="AE21763" s="54"/>
    </row>
    <row r="21764" spans="31:31">
      <c r="AE21764" s="54"/>
    </row>
    <row r="21765" spans="31:31">
      <c r="AE21765" s="54"/>
    </row>
    <row r="21766" spans="31:31">
      <c r="AE21766" s="54"/>
    </row>
    <row r="21767" spans="31:31">
      <c r="AE21767" s="54"/>
    </row>
    <row r="21768" spans="31:31">
      <c r="AE21768" s="54"/>
    </row>
    <row r="21769" spans="31:31">
      <c r="AE21769" s="54"/>
    </row>
    <row r="21770" spans="31:31">
      <c r="AE21770" s="54"/>
    </row>
    <row r="21771" spans="31:31">
      <c r="AE21771" s="54"/>
    </row>
    <row r="21772" spans="31:31">
      <c r="AE21772" s="54"/>
    </row>
    <row r="21773" spans="31:31">
      <c r="AE21773" s="54"/>
    </row>
    <row r="21774" spans="31:31">
      <c r="AE21774" s="54"/>
    </row>
    <row r="21775" spans="31:31">
      <c r="AE21775" s="54"/>
    </row>
    <row r="21776" spans="31:31">
      <c r="AE21776" s="54"/>
    </row>
    <row r="21777" spans="31:31">
      <c r="AE21777" s="54"/>
    </row>
    <row r="21778" spans="31:31">
      <c r="AE21778" s="54"/>
    </row>
    <row r="21779" spans="31:31">
      <c r="AE21779" s="54"/>
    </row>
    <row r="21780" spans="31:31">
      <c r="AE21780" s="54"/>
    </row>
    <row r="21781" spans="31:31">
      <c r="AE21781" s="54"/>
    </row>
    <row r="21782" spans="31:31">
      <c r="AE21782" s="54"/>
    </row>
    <row r="21783" spans="31:31">
      <c r="AE21783" s="54"/>
    </row>
    <row r="21784" spans="31:31">
      <c r="AE21784" s="54"/>
    </row>
    <row r="21785" spans="31:31">
      <c r="AE21785" s="54"/>
    </row>
    <row r="21786" spans="31:31">
      <c r="AE21786" s="54"/>
    </row>
    <row r="21787" spans="31:31">
      <c r="AE21787" s="54"/>
    </row>
    <row r="21788" spans="31:31">
      <c r="AE21788" s="54"/>
    </row>
    <row r="21789" spans="31:31">
      <c r="AE21789" s="54"/>
    </row>
    <row r="21790" spans="31:31">
      <c r="AE21790" s="54"/>
    </row>
    <row r="21791" spans="31:31">
      <c r="AE21791" s="54"/>
    </row>
    <row r="21792" spans="31:31">
      <c r="AE21792" s="54"/>
    </row>
    <row r="21793" spans="31:31">
      <c r="AE21793" s="54"/>
    </row>
    <row r="21794" spans="31:31">
      <c r="AE21794" s="54"/>
    </row>
    <row r="21795" spans="31:31">
      <c r="AE21795" s="54"/>
    </row>
    <row r="21796" spans="31:31">
      <c r="AE21796" s="54"/>
    </row>
    <row r="21797" spans="31:31">
      <c r="AE21797" s="54"/>
    </row>
    <row r="21798" spans="31:31">
      <c r="AE21798" s="54"/>
    </row>
    <row r="21799" spans="31:31">
      <c r="AE21799" s="54"/>
    </row>
    <row r="21800" spans="31:31">
      <c r="AE21800" s="54"/>
    </row>
    <row r="21801" spans="31:31">
      <c r="AE21801" s="54"/>
    </row>
    <row r="21802" spans="31:31">
      <c r="AE21802" s="54"/>
    </row>
    <row r="21803" spans="31:31">
      <c r="AE21803" s="54"/>
    </row>
    <row r="21804" spans="31:31">
      <c r="AE21804" s="54"/>
    </row>
    <row r="21805" spans="31:31">
      <c r="AE21805" s="54"/>
    </row>
    <row r="21806" spans="31:31">
      <c r="AE21806" s="54"/>
    </row>
    <row r="21807" spans="31:31">
      <c r="AE21807" s="54"/>
    </row>
    <row r="21808" spans="31:31">
      <c r="AE21808" s="54"/>
    </row>
    <row r="21809" spans="31:31">
      <c r="AE21809" s="54"/>
    </row>
    <row r="21810" spans="31:31">
      <c r="AE21810" s="54"/>
    </row>
    <row r="21811" spans="31:31">
      <c r="AE21811" s="54"/>
    </row>
    <row r="21812" spans="31:31">
      <c r="AE21812" s="54"/>
    </row>
    <row r="21813" spans="31:31">
      <c r="AE21813" s="54"/>
    </row>
    <row r="21814" spans="31:31">
      <c r="AE21814" s="54"/>
    </row>
    <row r="21815" spans="31:31">
      <c r="AE21815" s="54"/>
    </row>
    <row r="21816" spans="31:31">
      <c r="AE21816" s="54"/>
    </row>
    <row r="21817" spans="31:31">
      <c r="AE21817" s="54"/>
    </row>
    <row r="21818" spans="31:31">
      <c r="AE21818" s="54"/>
    </row>
    <row r="21819" spans="31:31">
      <c r="AE21819" s="54"/>
    </row>
    <row r="21820" spans="31:31">
      <c r="AE21820" s="54"/>
    </row>
    <row r="21821" spans="31:31">
      <c r="AE21821" s="54"/>
    </row>
    <row r="21822" spans="31:31">
      <c r="AE21822" s="54"/>
    </row>
    <row r="21823" spans="31:31">
      <c r="AE21823" s="54"/>
    </row>
    <row r="21824" spans="31:31">
      <c r="AE21824" s="54"/>
    </row>
    <row r="21825" spans="31:31">
      <c r="AE21825" s="54"/>
    </row>
    <row r="21826" spans="31:31">
      <c r="AE21826" s="54"/>
    </row>
    <row r="21827" spans="31:31">
      <c r="AE21827" s="54"/>
    </row>
    <row r="21828" spans="31:31">
      <c r="AE21828" s="54"/>
    </row>
    <row r="21829" spans="31:31">
      <c r="AE21829" s="54"/>
    </row>
    <row r="21830" spans="31:31">
      <c r="AE21830" s="54"/>
    </row>
    <row r="21831" spans="31:31">
      <c r="AE21831" s="54"/>
    </row>
    <row r="21832" spans="31:31">
      <c r="AE21832" s="54"/>
    </row>
    <row r="21833" spans="31:31">
      <c r="AE21833" s="54"/>
    </row>
    <row r="21834" spans="31:31">
      <c r="AE21834" s="54"/>
    </row>
    <row r="21835" spans="31:31">
      <c r="AE21835" s="54"/>
    </row>
    <row r="21836" spans="31:31">
      <c r="AE21836" s="54"/>
    </row>
    <row r="21837" spans="31:31">
      <c r="AE21837" s="54"/>
    </row>
    <row r="21838" spans="31:31">
      <c r="AE21838" s="54"/>
    </row>
    <row r="21839" spans="31:31">
      <c r="AE21839" s="54"/>
    </row>
    <row r="21840" spans="31:31">
      <c r="AE21840" s="54"/>
    </row>
    <row r="21841" spans="31:31">
      <c r="AE21841" s="54"/>
    </row>
    <row r="21842" spans="31:31">
      <c r="AE21842" s="54"/>
    </row>
    <row r="21843" spans="31:31">
      <c r="AE21843" s="54"/>
    </row>
    <row r="21844" spans="31:31">
      <c r="AE21844" s="54"/>
    </row>
    <row r="21845" spans="31:31">
      <c r="AE21845" s="54"/>
    </row>
    <row r="21846" spans="31:31">
      <c r="AE21846" s="54"/>
    </row>
    <row r="21847" spans="31:31">
      <c r="AE21847" s="54"/>
    </row>
    <row r="21848" spans="31:31">
      <c r="AE21848" s="54"/>
    </row>
    <row r="21849" spans="31:31">
      <c r="AE21849" s="54"/>
    </row>
    <row r="21850" spans="31:31">
      <c r="AE21850" s="54"/>
    </row>
    <row r="21851" spans="31:31">
      <c r="AE21851" s="54"/>
    </row>
    <row r="21852" spans="31:31">
      <c r="AE21852" s="54"/>
    </row>
    <row r="21853" spans="31:31">
      <c r="AE21853" s="54"/>
    </row>
    <row r="21854" spans="31:31">
      <c r="AE21854" s="54"/>
    </row>
    <row r="21855" spans="31:31">
      <c r="AE21855" s="54"/>
    </row>
    <row r="21856" spans="31:31">
      <c r="AE21856" s="54"/>
    </row>
    <row r="21857" spans="31:31">
      <c r="AE21857" s="54"/>
    </row>
    <row r="21858" spans="31:31">
      <c r="AE21858" s="54"/>
    </row>
    <row r="21859" spans="31:31">
      <c r="AE21859" s="54"/>
    </row>
    <row r="21860" spans="31:31">
      <c r="AE21860" s="54"/>
    </row>
    <row r="21861" spans="31:31">
      <c r="AE21861" s="54"/>
    </row>
    <row r="21862" spans="31:31">
      <c r="AE21862" s="54"/>
    </row>
    <row r="21863" spans="31:31">
      <c r="AE21863" s="54"/>
    </row>
    <row r="21864" spans="31:31">
      <c r="AE21864" s="54"/>
    </row>
    <row r="21865" spans="31:31">
      <c r="AE21865" s="54"/>
    </row>
    <row r="21866" spans="31:31">
      <c r="AE21866" s="54"/>
    </row>
    <row r="21867" spans="31:31">
      <c r="AE21867" s="54"/>
    </row>
    <row r="21868" spans="31:31">
      <c r="AE21868" s="54"/>
    </row>
    <row r="21869" spans="31:31">
      <c r="AE21869" s="54"/>
    </row>
    <row r="21870" spans="31:31">
      <c r="AE21870" s="54"/>
    </row>
    <row r="21871" spans="31:31">
      <c r="AE21871" s="54"/>
    </row>
    <row r="21872" spans="31:31">
      <c r="AE21872" s="54"/>
    </row>
    <row r="21873" spans="31:31">
      <c r="AE21873" s="54"/>
    </row>
    <row r="21874" spans="31:31">
      <c r="AE21874" s="54"/>
    </row>
    <row r="21875" spans="31:31">
      <c r="AE21875" s="54"/>
    </row>
    <row r="21876" spans="31:31">
      <c r="AE21876" s="54"/>
    </row>
    <row r="21877" spans="31:31">
      <c r="AE21877" s="54"/>
    </row>
    <row r="21878" spans="31:31">
      <c r="AE21878" s="54"/>
    </row>
    <row r="21879" spans="31:31">
      <c r="AE21879" s="54"/>
    </row>
    <row r="21880" spans="31:31">
      <c r="AE21880" s="54"/>
    </row>
    <row r="21881" spans="31:31">
      <c r="AE21881" s="54"/>
    </row>
    <row r="21882" spans="31:31">
      <c r="AE21882" s="54"/>
    </row>
    <row r="21883" spans="31:31">
      <c r="AE21883" s="54"/>
    </row>
    <row r="21884" spans="31:31">
      <c r="AE21884" s="54"/>
    </row>
    <row r="21885" spans="31:31">
      <c r="AE21885" s="54"/>
    </row>
    <row r="21886" spans="31:31">
      <c r="AE21886" s="54"/>
    </row>
    <row r="21887" spans="31:31">
      <c r="AE21887" s="54"/>
    </row>
    <row r="21888" spans="31:31">
      <c r="AE21888" s="54"/>
    </row>
    <row r="21889" spans="31:31">
      <c r="AE21889" s="54"/>
    </row>
    <row r="21890" spans="31:31">
      <c r="AE21890" s="54"/>
    </row>
    <row r="21891" spans="31:31">
      <c r="AE21891" s="54"/>
    </row>
    <row r="21892" spans="31:31">
      <c r="AE21892" s="54"/>
    </row>
    <row r="21893" spans="31:31">
      <c r="AE21893" s="54"/>
    </row>
    <row r="21894" spans="31:31">
      <c r="AE21894" s="54"/>
    </row>
    <row r="21895" spans="31:31">
      <c r="AE21895" s="54"/>
    </row>
    <row r="21896" spans="31:31">
      <c r="AE21896" s="54"/>
    </row>
    <row r="21897" spans="31:31">
      <c r="AE21897" s="54"/>
    </row>
    <row r="21898" spans="31:31">
      <c r="AE21898" s="54"/>
    </row>
    <row r="21899" spans="31:31">
      <c r="AE21899" s="54"/>
    </row>
    <row r="21900" spans="31:31">
      <c r="AE21900" s="54"/>
    </row>
    <row r="21901" spans="31:31">
      <c r="AE21901" s="54"/>
    </row>
    <row r="21902" spans="31:31">
      <c r="AE21902" s="54"/>
    </row>
    <row r="21903" spans="31:31">
      <c r="AE21903" s="54"/>
    </row>
    <row r="21904" spans="31:31">
      <c r="AE21904" s="54"/>
    </row>
    <row r="21905" spans="31:31">
      <c r="AE21905" s="54"/>
    </row>
    <row r="21906" spans="31:31">
      <c r="AE21906" s="54"/>
    </row>
    <row r="21907" spans="31:31">
      <c r="AE21907" s="54"/>
    </row>
    <row r="21908" spans="31:31">
      <c r="AE21908" s="54"/>
    </row>
    <row r="21909" spans="31:31">
      <c r="AE21909" s="54"/>
    </row>
    <row r="21910" spans="31:31">
      <c r="AE21910" s="54"/>
    </row>
    <row r="21911" spans="31:31">
      <c r="AE21911" s="54"/>
    </row>
    <row r="21912" spans="31:31">
      <c r="AE21912" s="54"/>
    </row>
    <row r="21913" spans="31:31">
      <c r="AE21913" s="54"/>
    </row>
    <row r="21914" spans="31:31">
      <c r="AE21914" s="54"/>
    </row>
    <row r="21915" spans="31:31">
      <c r="AE21915" s="54"/>
    </row>
    <row r="21916" spans="31:31">
      <c r="AE21916" s="54"/>
    </row>
    <row r="21917" spans="31:31">
      <c r="AE21917" s="54"/>
    </row>
    <row r="21918" spans="31:31">
      <c r="AE21918" s="54"/>
    </row>
    <row r="21919" spans="31:31">
      <c r="AE21919" s="54"/>
    </row>
    <row r="21920" spans="31:31">
      <c r="AE21920" s="54"/>
    </row>
    <row r="21921" spans="31:31">
      <c r="AE21921" s="54"/>
    </row>
    <row r="21922" spans="31:31">
      <c r="AE21922" s="54"/>
    </row>
    <row r="21923" spans="31:31">
      <c r="AE21923" s="54"/>
    </row>
    <row r="21924" spans="31:31">
      <c r="AE21924" s="54"/>
    </row>
    <row r="21925" spans="31:31">
      <c r="AE21925" s="54"/>
    </row>
    <row r="21926" spans="31:31">
      <c r="AE21926" s="54"/>
    </row>
    <row r="21927" spans="31:31">
      <c r="AE21927" s="54"/>
    </row>
    <row r="21928" spans="31:31">
      <c r="AE21928" s="54"/>
    </row>
    <row r="21929" spans="31:31">
      <c r="AE21929" s="54"/>
    </row>
    <row r="21930" spans="31:31">
      <c r="AE21930" s="54"/>
    </row>
    <row r="21931" spans="31:31">
      <c r="AE21931" s="54"/>
    </row>
    <row r="21932" spans="31:31">
      <c r="AE21932" s="54"/>
    </row>
    <row r="21933" spans="31:31">
      <c r="AE21933" s="54"/>
    </row>
    <row r="21934" spans="31:31">
      <c r="AE21934" s="54"/>
    </row>
    <row r="21935" spans="31:31">
      <c r="AE21935" s="54"/>
    </row>
    <row r="21936" spans="31:31">
      <c r="AE21936" s="54"/>
    </row>
    <row r="21937" spans="31:31">
      <c r="AE21937" s="54"/>
    </row>
    <row r="21938" spans="31:31">
      <c r="AE21938" s="54"/>
    </row>
    <row r="21939" spans="31:31">
      <c r="AE21939" s="54"/>
    </row>
    <row r="21940" spans="31:31">
      <c r="AE21940" s="54"/>
    </row>
    <row r="21941" spans="31:31">
      <c r="AE21941" s="54"/>
    </row>
    <row r="21942" spans="31:31">
      <c r="AE21942" s="54"/>
    </row>
    <row r="21943" spans="31:31">
      <c r="AE21943" s="54"/>
    </row>
    <row r="21944" spans="31:31">
      <c r="AE21944" s="54"/>
    </row>
    <row r="21945" spans="31:31">
      <c r="AE21945" s="54"/>
    </row>
    <row r="21946" spans="31:31">
      <c r="AE21946" s="54"/>
    </row>
    <row r="21947" spans="31:31">
      <c r="AE21947" s="54"/>
    </row>
    <row r="21948" spans="31:31">
      <c r="AE21948" s="54"/>
    </row>
    <row r="21949" spans="31:31">
      <c r="AE21949" s="54"/>
    </row>
    <row r="21950" spans="31:31">
      <c r="AE21950" s="54"/>
    </row>
    <row r="21951" spans="31:31">
      <c r="AE21951" s="54"/>
    </row>
    <row r="21952" spans="31:31">
      <c r="AE21952" s="54"/>
    </row>
    <row r="21953" spans="31:31">
      <c r="AE21953" s="54"/>
    </row>
    <row r="21954" spans="31:31">
      <c r="AE21954" s="54"/>
    </row>
    <row r="21955" spans="31:31">
      <c r="AE21955" s="54"/>
    </row>
    <row r="21956" spans="31:31">
      <c r="AE21956" s="54"/>
    </row>
    <row r="21957" spans="31:31">
      <c r="AE21957" s="54"/>
    </row>
    <row r="21958" spans="31:31">
      <c r="AE21958" s="54"/>
    </row>
    <row r="21959" spans="31:31">
      <c r="AE21959" s="54"/>
    </row>
    <row r="21960" spans="31:31">
      <c r="AE21960" s="54"/>
    </row>
    <row r="21961" spans="31:31">
      <c r="AE21961" s="54"/>
    </row>
    <row r="21962" spans="31:31">
      <c r="AE21962" s="54"/>
    </row>
    <row r="21963" spans="31:31">
      <c r="AE21963" s="54"/>
    </row>
    <row r="21964" spans="31:31">
      <c r="AE21964" s="54"/>
    </row>
    <row r="21965" spans="31:31">
      <c r="AE21965" s="54"/>
    </row>
    <row r="21966" spans="31:31">
      <c r="AE21966" s="54"/>
    </row>
    <row r="21967" spans="31:31">
      <c r="AE21967" s="54"/>
    </row>
    <row r="21968" spans="31:31">
      <c r="AE21968" s="54"/>
    </row>
    <row r="21969" spans="31:31">
      <c r="AE21969" s="54"/>
    </row>
    <row r="21970" spans="31:31">
      <c r="AE21970" s="54"/>
    </row>
    <row r="21971" spans="31:31">
      <c r="AE21971" s="54"/>
    </row>
    <row r="21972" spans="31:31">
      <c r="AE21972" s="54"/>
    </row>
    <row r="21973" spans="31:31">
      <c r="AE21973" s="54"/>
    </row>
    <row r="21974" spans="31:31">
      <c r="AE21974" s="54"/>
    </row>
    <row r="21975" spans="31:31">
      <c r="AE21975" s="54"/>
    </row>
    <row r="21976" spans="31:31">
      <c r="AE21976" s="54"/>
    </row>
    <row r="21977" spans="31:31">
      <c r="AE21977" s="54"/>
    </row>
    <row r="21978" spans="31:31">
      <c r="AE21978" s="54"/>
    </row>
    <row r="21979" spans="31:31">
      <c r="AE21979" s="54"/>
    </row>
    <row r="21980" spans="31:31">
      <c r="AE21980" s="54"/>
    </row>
    <row r="21981" spans="31:31">
      <c r="AE21981" s="54"/>
    </row>
    <row r="21982" spans="31:31">
      <c r="AE21982" s="54"/>
    </row>
    <row r="21983" spans="31:31">
      <c r="AE21983" s="54"/>
    </row>
    <row r="21984" spans="31:31">
      <c r="AE21984" s="54"/>
    </row>
    <row r="21985" spans="31:31">
      <c r="AE21985" s="54"/>
    </row>
    <row r="21986" spans="31:31">
      <c r="AE21986" s="54"/>
    </row>
    <row r="21987" spans="31:31">
      <c r="AE21987" s="54"/>
    </row>
    <row r="21988" spans="31:31">
      <c r="AE21988" s="54"/>
    </row>
    <row r="21989" spans="31:31">
      <c r="AE21989" s="54"/>
    </row>
    <row r="21990" spans="31:31">
      <c r="AE21990" s="54"/>
    </row>
    <row r="21991" spans="31:31">
      <c r="AE21991" s="54"/>
    </row>
    <row r="21992" spans="31:31">
      <c r="AE21992" s="54"/>
    </row>
    <row r="21993" spans="31:31">
      <c r="AE21993" s="54"/>
    </row>
    <row r="21994" spans="31:31">
      <c r="AE21994" s="54"/>
    </row>
    <row r="21995" spans="31:31">
      <c r="AE21995" s="54"/>
    </row>
    <row r="21996" spans="31:31">
      <c r="AE21996" s="54"/>
    </row>
    <row r="21997" spans="31:31">
      <c r="AE21997" s="54"/>
    </row>
    <row r="21998" spans="31:31">
      <c r="AE21998" s="54"/>
    </row>
    <row r="21999" spans="31:31">
      <c r="AE21999" s="54"/>
    </row>
    <row r="22000" spans="31:31">
      <c r="AE22000" s="54"/>
    </row>
    <row r="22001" spans="31:31">
      <c r="AE22001" s="54"/>
    </row>
    <row r="22002" spans="31:31">
      <c r="AE22002" s="54"/>
    </row>
    <row r="22003" spans="31:31">
      <c r="AE22003" s="54"/>
    </row>
    <row r="22004" spans="31:31">
      <c r="AE22004" s="54"/>
    </row>
    <row r="22005" spans="31:31">
      <c r="AE22005" s="54"/>
    </row>
    <row r="22006" spans="31:31">
      <c r="AE22006" s="54"/>
    </row>
    <row r="22007" spans="31:31">
      <c r="AE22007" s="54"/>
    </row>
    <row r="22008" spans="31:31">
      <c r="AE22008" s="54"/>
    </row>
    <row r="22009" spans="31:31">
      <c r="AE22009" s="54"/>
    </row>
    <row r="22010" spans="31:31">
      <c r="AE22010" s="54"/>
    </row>
    <row r="22011" spans="31:31">
      <c r="AE22011" s="54"/>
    </row>
    <row r="22012" spans="31:31">
      <c r="AE22012" s="54"/>
    </row>
    <row r="22013" spans="31:31">
      <c r="AE22013" s="54"/>
    </row>
    <row r="22014" spans="31:31">
      <c r="AE22014" s="54"/>
    </row>
    <row r="22015" spans="31:31">
      <c r="AE22015" s="54"/>
    </row>
    <row r="22016" spans="31:31">
      <c r="AE22016" s="54"/>
    </row>
    <row r="22017" spans="31:31">
      <c r="AE22017" s="54"/>
    </row>
    <row r="22018" spans="31:31">
      <c r="AE22018" s="54"/>
    </row>
    <row r="22019" spans="31:31">
      <c r="AE22019" s="54"/>
    </row>
    <row r="22020" spans="31:31">
      <c r="AE22020" s="54"/>
    </row>
    <row r="22021" spans="31:31">
      <c r="AE22021" s="54"/>
    </row>
    <row r="22022" spans="31:31">
      <c r="AE22022" s="54"/>
    </row>
    <row r="22023" spans="31:31">
      <c r="AE22023" s="54"/>
    </row>
    <row r="22024" spans="31:31">
      <c r="AE22024" s="54"/>
    </row>
    <row r="22025" spans="31:31">
      <c r="AE22025" s="54"/>
    </row>
    <row r="22026" spans="31:31">
      <c r="AE22026" s="54"/>
    </row>
    <row r="22027" spans="31:31">
      <c r="AE22027" s="54"/>
    </row>
    <row r="22028" spans="31:31">
      <c r="AE22028" s="54"/>
    </row>
    <row r="22029" spans="31:31">
      <c r="AE22029" s="54"/>
    </row>
    <row r="22030" spans="31:31">
      <c r="AE22030" s="54"/>
    </row>
    <row r="22031" spans="31:31">
      <c r="AE22031" s="54"/>
    </row>
    <row r="22032" spans="31:31">
      <c r="AE22032" s="54"/>
    </row>
    <row r="22033" spans="31:31">
      <c r="AE22033" s="54"/>
    </row>
    <row r="22034" spans="31:31">
      <c r="AE22034" s="54"/>
    </row>
    <row r="22035" spans="31:31">
      <c r="AE22035" s="54"/>
    </row>
    <row r="22036" spans="31:31">
      <c r="AE22036" s="54"/>
    </row>
    <row r="22037" spans="31:31">
      <c r="AE22037" s="54"/>
    </row>
    <row r="22038" spans="31:31">
      <c r="AE22038" s="54"/>
    </row>
    <row r="22039" spans="31:31">
      <c r="AE22039" s="54"/>
    </row>
    <row r="22040" spans="31:31">
      <c r="AE22040" s="54"/>
    </row>
    <row r="22041" spans="31:31">
      <c r="AE22041" s="54"/>
    </row>
    <row r="22042" spans="31:31">
      <c r="AE22042" s="54"/>
    </row>
    <row r="22043" spans="31:31">
      <c r="AE22043" s="54"/>
    </row>
    <row r="22044" spans="31:31">
      <c r="AE22044" s="54"/>
    </row>
    <row r="22045" spans="31:31">
      <c r="AE22045" s="54"/>
    </row>
    <row r="22046" spans="31:31">
      <c r="AE22046" s="54"/>
    </row>
    <row r="22047" spans="31:31">
      <c r="AE22047" s="54"/>
    </row>
    <row r="22048" spans="31:31">
      <c r="AE22048" s="54"/>
    </row>
    <row r="22049" spans="31:31">
      <c r="AE22049" s="54"/>
    </row>
    <row r="22050" spans="31:31">
      <c r="AE22050" s="54"/>
    </row>
    <row r="22051" spans="31:31">
      <c r="AE22051" s="54"/>
    </row>
    <row r="22052" spans="31:31">
      <c r="AE22052" s="54"/>
    </row>
    <row r="22053" spans="31:31">
      <c r="AE22053" s="54"/>
    </row>
    <row r="22054" spans="31:31">
      <c r="AE22054" s="54"/>
    </row>
    <row r="22055" spans="31:31">
      <c r="AE22055" s="54"/>
    </row>
    <row r="22056" spans="31:31">
      <c r="AE22056" s="54"/>
    </row>
    <row r="22057" spans="31:31">
      <c r="AE22057" s="54"/>
    </row>
    <row r="22058" spans="31:31">
      <c r="AE22058" s="54"/>
    </row>
    <row r="22059" spans="31:31">
      <c r="AE22059" s="54"/>
    </row>
    <row r="22060" spans="31:31">
      <c r="AE22060" s="54"/>
    </row>
    <row r="22061" spans="31:31">
      <c r="AE22061" s="54"/>
    </row>
    <row r="22062" spans="31:31">
      <c r="AE22062" s="54"/>
    </row>
    <row r="22063" spans="31:31">
      <c r="AE22063" s="54"/>
    </row>
    <row r="22064" spans="31:31">
      <c r="AE22064" s="54"/>
    </row>
    <row r="22065" spans="31:31">
      <c r="AE22065" s="54"/>
    </row>
    <row r="22066" spans="31:31">
      <c r="AE22066" s="54"/>
    </row>
    <row r="22067" spans="31:31">
      <c r="AE22067" s="54"/>
    </row>
    <row r="22068" spans="31:31">
      <c r="AE22068" s="54"/>
    </row>
    <row r="22069" spans="31:31">
      <c r="AE22069" s="54"/>
    </row>
    <row r="22070" spans="31:31">
      <c r="AE22070" s="54"/>
    </row>
    <row r="22071" spans="31:31">
      <c r="AE22071" s="54"/>
    </row>
    <row r="22072" spans="31:31">
      <c r="AE22072" s="54"/>
    </row>
    <row r="22073" spans="31:31">
      <c r="AE22073" s="54"/>
    </row>
    <row r="22074" spans="31:31">
      <c r="AE22074" s="54"/>
    </row>
    <row r="22075" spans="31:31">
      <c r="AE22075" s="54"/>
    </row>
    <row r="22076" spans="31:31">
      <c r="AE22076" s="54"/>
    </row>
    <row r="22077" spans="31:31">
      <c r="AE22077" s="54"/>
    </row>
    <row r="22078" spans="31:31">
      <c r="AE22078" s="54"/>
    </row>
    <row r="22079" spans="31:31">
      <c r="AE22079" s="54"/>
    </row>
    <row r="22080" spans="31:31">
      <c r="AE22080" s="54"/>
    </row>
    <row r="22081" spans="31:31">
      <c r="AE22081" s="54"/>
    </row>
    <row r="22082" spans="31:31">
      <c r="AE22082" s="54"/>
    </row>
    <row r="22083" spans="31:31">
      <c r="AE22083" s="54"/>
    </row>
    <row r="22084" spans="31:31">
      <c r="AE22084" s="54"/>
    </row>
    <row r="22085" spans="31:31">
      <c r="AE22085" s="54"/>
    </row>
    <row r="22086" spans="31:31">
      <c r="AE22086" s="54"/>
    </row>
    <row r="22087" spans="31:31">
      <c r="AE22087" s="54"/>
    </row>
    <row r="22088" spans="31:31">
      <c r="AE22088" s="54"/>
    </row>
    <row r="22089" spans="31:31">
      <c r="AE22089" s="54"/>
    </row>
    <row r="22090" spans="31:31">
      <c r="AE22090" s="54"/>
    </row>
    <row r="22091" spans="31:31">
      <c r="AE22091" s="54"/>
    </row>
    <row r="22092" spans="31:31">
      <c r="AE22092" s="54"/>
    </row>
    <row r="22093" spans="31:31">
      <c r="AE22093" s="54"/>
    </row>
    <row r="22094" spans="31:31">
      <c r="AE22094" s="54"/>
    </row>
    <row r="22095" spans="31:31">
      <c r="AE22095" s="54"/>
    </row>
    <row r="22096" spans="31:31">
      <c r="AE22096" s="54"/>
    </row>
    <row r="22097" spans="31:31">
      <c r="AE22097" s="54"/>
    </row>
    <row r="22098" spans="31:31">
      <c r="AE22098" s="54"/>
    </row>
    <row r="22099" spans="31:31">
      <c r="AE22099" s="54"/>
    </row>
    <row r="22100" spans="31:31">
      <c r="AE22100" s="54"/>
    </row>
    <row r="22101" spans="31:31">
      <c r="AE22101" s="54"/>
    </row>
    <row r="22102" spans="31:31">
      <c r="AE22102" s="54"/>
    </row>
    <row r="22103" spans="31:31">
      <c r="AE22103" s="54"/>
    </row>
    <row r="22104" spans="31:31">
      <c r="AE22104" s="54"/>
    </row>
    <row r="22105" spans="31:31">
      <c r="AE22105" s="54"/>
    </row>
    <row r="22106" spans="31:31">
      <c r="AE22106" s="54"/>
    </row>
    <row r="22107" spans="31:31">
      <c r="AE22107" s="54"/>
    </row>
    <row r="22108" spans="31:31">
      <c r="AE22108" s="54"/>
    </row>
    <row r="22109" spans="31:31">
      <c r="AE22109" s="54"/>
    </row>
    <row r="22110" spans="31:31">
      <c r="AE22110" s="54"/>
    </row>
    <row r="22111" spans="31:31">
      <c r="AE22111" s="54"/>
    </row>
    <row r="22112" spans="31:31">
      <c r="AE22112" s="54"/>
    </row>
    <row r="22113" spans="31:31">
      <c r="AE22113" s="54"/>
    </row>
    <row r="22114" spans="31:31">
      <c r="AE22114" s="54"/>
    </row>
    <row r="22115" spans="31:31">
      <c r="AE22115" s="54"/>
    </row>
    <row r="22116" spans="31:31">
      <c r="AE22116" s="54"/>
    </row>
    <row r="22117" spans="31:31">
      <c r="AE22117" s="54"/>
    </row>
    <row r="22118" spans="31:31">
      <c r="AE22118" s="54"/>
    </row>
    <row r="22119" spans="31:31">
      <c r="AE22119" s="54"/>
    </row>
    <row r="22120" spans="31:31">
      <c r="AE22120" s="54"/>
    </row>
    <row r="22121" spans="31:31">
      <c r="AE22121" s="54"/>
    </row>
    <row r="22122" spans="31:31">
      <c r="AE22122" s="54"/>
    </row>
    <row r="22123" spans="31:31">
      <c r="AE22123" s="54"/>
    </row>
    <row r="22124" spans="31:31">
      <c r="AE22124" s="54"/>
    </row>
    <row r="22125" spans="31:31">
      <c r="AE22125" s="54"/>
    </row>
    <row r="22126" spans="31:31">
      <c r="AE22126" s="54"/>
    </row>
    <row r="22127" spans="31:31">
      <c r="AE22127" s="54"/>
    </row>
    <row r="22128" spans="31:31">
      <c r="AE22128" s="54"/>
    </row>
    <row r="22129" spans="31:31">
      <c r="AE22129" s="54"/>
    </row>
    <row r="22130" spans="31:31">
      <c r="AE22130" s="54"/>
    </row>
    <row r="22131" spans="31:31">
      <c r="AE22131" s="54"/>
    </row>
    <row r="22132" spans="31:31">
      <c r="AE22132" s="54"/>
    </row>
    <row r="22133" spans="31:31">
      <c r="AE22133" s="54"/>
    </row>
    <row r="22134" spans="31:31">
      <c r="AE22134" s="54"/>
    </row>
    <row r="22135" spans="31:31">
      <c r="AE22135" s="54"/>
    </row>
    <row r="22136" spans="31:31">
      <c r="AE22136" s="54"/>
    </row>
    <row r="22137" spans="31:31">
      <c r="AE22137" s="54"/>
    </row>
    <row r="22138" spans="31:31">
      <c r="AE22138" s="54"/>
    </row>
    <row r="22139" spans="31:31">
      <c r="AE22139" s="54"/>
    </row>
    <row r="22140" spans="31:31">
      <c r="AE22140" s="54"/>
    </row>
    <row r="22141" spans="31:31">
      <c r="AE22141" s="54"/>
    </row>
    <row r="22142" spans="31:31">
      <c r="AE22142" s="54"/>
    </row>
    <row r="22143" spans="31:31">
      <c r="AE22143" s="54"/>
    </row>
    <row r="22144" spans="31:31">
      <c r="AE22144" s="54"/>
    </row>
    <row r="22145" spans="31:31">
      <c r="AE22145" s="54"/>
    </row>
    <row r="22146" spans="31:31">
      <c r="AE22146" s="54"/>
    </row>
    <row r="22147" spans="31:31">
      <c r="AE22147" s="54"/>
    </row>
    <row r="22148" spans="31:31">
      <c r="AE22148" s="54"/>
    </row>
    <row r="22149" spans="31:31">
      <c r="AE22149" s="54"/>
    </row>
    <row r="22150" spans="31:31">
      <c r="AE22150" s="54"/>
    </row>
    <row r="22151" spans="31:31">
      <c r="AE22151" s="54"/>
    </row>
    <row r="22152" spans="31:31">
      <c r="AE22152" s="54"/>
    </row>
    <row r="22153" spans="31:31">
      <c r="AE22153" s="54"/>
    </row>
    <row r="22154" spans="31:31">
      <c r="AE22154" s="54"/>
    </row>
    <row r="22155" spans="31:31">
      <c r="AE22155" s="54"/>
    </row>
    <row r="22156" spans="31:31">
      <c r="AE22156" s="54"/>
    </row>
    <row r="22157" spans="31:31">
      <c r="AE22157" s="54"/>
    </row>
    <row r="22158" spans="31:31">
      <c r="AE22158" s="54"/>
    </row>
    <row r="22159" spans="31:31">
      <c r="AE22159" s="54"/>
    </row>
    <row r="22160" spans="31:31">
      <c r="AE22160" s="54"/>
    </row>
    <row r="22161" spans="31:31">
      <c r="AE22161" s="54"/>
    </row>
    <row r="22162" spans="31:31">
      <c r="AE22162" s="54"/>
    </row>
    <row r="22163" spans="31:31">
      <c r="AE22163" s="54"/>
    </row>
    <row r="22164" spans="31:31">
      <c r="AE22164" s="54"/>
    </row>
    <row r="22165" spans="31:31">
      <c r="AE22165" s="54"/>
    </row>
    <row r="22166" spans="31:31">
      <c r="AE22166" s="54"/>
    </row>
    <row r="22167" spans="31:31">
      <c r="AE22167" s="54"/>
    </row>
    <row r="22168" spans="31:31">
      <c r="AE22168" s="54"/>
    </row>
    <row r="22169" spans="31:31">
      <c r="AE22169" s="54"/>
    </row>
    <row r="22170" spans="31:31">
      <c r="AE22170" s="54"/>
    </row>
    <row r="22171" spans="31:31">
      <c r="AE22171" s="54"/>
    </row>
    <row r="22172" spans="31:31">
      <c r="AE22172" s="54"/>
    </row>
    <row r="22173" spans="31:31">
      <c r="AE22173" s="54"/>
    </row>
    <row r="22174" spans="31:31">
      <c r="AE22174" s="54"/>
    </row>
    <row r="22175" spans="31:31">
      <c r="AE22175" s="54"/>
    </row>
    <row r="22176" spans="31:31">
      <c r="AE22176" s="54"/>
    </row>
    <row r="22177" spans="31:31">
      <c r="AE22177" s="54"/>
    </row>
    <row r="22178" spans="31:31">
      <c r="AE22178" s="54"/>
    </row>
    <row r="22179" spans="31:31">
      <c r="AE22179" s="54"/>
    </row>
    <row r="22180" spans="31:31">
      <c r="AE22180" s="54"/>
    </row>
    <row r="22181" spans="31:31">
      <c r="AE22181" s="54"/>
    </row>
    <row r="22182" spans="31:31">
      <c r="AE22182" s="54"/>
    </row>
    <row r="22183" spans="31:31">
      <c r="AE22183" s="54"/>
    </row>
    <row r="22184" spans="31:31">
      <c r="AE22184" s="54"/>
    </row>
    <row r="22185" spans="31:31">
      <c r="AE22185" s="54"/>
    </row>
    <row r="22186" spans="31:31">
      <c r="AE22186" s="54"/>
    </row>
    <row r="22187" spans="31:31">
      <c r="AE22187" s="54"/>
    </row>
    <row r="22188" spans="31:31">
      <c r="AE22188" s="54"/>
    </row>
    <row r="22189" spans="31:31">
      <c r="AE22189" s="54"/>
    </row>
    <row r="22190" spans="31:31">
      <c r="AE22190" s="54"/>
    </row>
    <row r="22191" spans="31:31">
      <c r="AE22191" s="54"/>
    </row>
    <row r="22192" spans="31:31">
      <c r="AE22192" s="54"/>
    </row>
    <row r="22193" spans="31:31">
      <c r="AE22193" s="54"/>
    </row>
    <row r="22194" spans="31:31">
      <c r="AE22194" s="54"/>
    </row>
    <row r="22195" spans="31:31">
      <c r="AE22195" s="54"/>
    </row>
    <row r="22196" spans="31:31">
      <c r="AE22196" s="54"/>
    </row>
    <row r="22197" spans="31:31">
      <c r="AE22197" s="54"/>
    </row>
    <row r="22198" spans="31:31">
      <c r="AE22198" s="54"/>
    </row>
    <row r="22199" spans="31:31">
      <c r="AE22199" s="54"/>
    </row>
    <row r="22200" spans="31:31">
      <c r="AE22200" s="54"/>
    </row>
    <row r="22201" spans="31:31">
      <c r="AE22201" s="54"/>
    </row>
    <row r="22202" spans="31:31">
      <c r="AE22202" s="54"/>
    </row>
    <row r="22203" spans="31:31">
      <c r="AE22203" s="54"/>
    </row>
    <row r="22204" spans="31:31">
      <c r="AE22204" s="54"/>
    </row>
    <row r="22205" spans="31:31">
      <c r="AE22205" s="54"/>
    </row>
    <row r="22206" spans="31:31">
      <c r="AE22206" s="54"/>
    </row>
    <row r="22207" spans="31:31">
      <c r="AE22207" s="54"/>
    </row>
    <row r="22208" spans="31:31">
      <c r="AE22208" s="54"/>
    </row>
    <row r="22209" spans="31:31">
      <c r="AE22209" s="54"/>
    </row>
    <row r="22210" spans="31:31">
      <c r="AE22210" s="54"/>
    </row>
    <row r="22211" spans="31:31">
      <c r="AE22211" s="54"/>
    </row>
    <row r="22212" spans="31:31">
      <c r="AE22212" s="54"/>
    </row>
    <row r="22213" spans="31:31">
      <c r="AE22213" s="54"/>
    </row>
    <row r="22214" spans="31:31">
      <c r="AE22214" s="54"/>
    </row>
    <row r="22215" spans="31:31">
      <c r="AE22215" s="54"/>
    </row>
    <row r="22216" spans="31:31">
      <c r="AE22216" s="54"/>
    </row>
    <row r="22217" spans="31:31">
      <c r="AE22217" s="54"/>
    </row>
    <row r="22218" spans="31:31">
      <c r="AE22218" s="54"/>
    </row>
    <row r="22219" spans="31:31">
      <c r="AE22219" s="54"/>
    </row>
    <row r="22220" spans="31:31">
      <c r="AE22220" s="54"/>
    </row>
    <row r="22221" spans="31:31">
      <c r="AE22221" s="54"/>
    </row>
    <row r="22222" spans="31:31">
      <c r="AE22222" s="54"/>
    </row>
    <row r="22223" spans="31:31">
      <c r="AE22223" s="54"/>
    </row>
    <row r="22224" spans="31:31">
      <c r="AE22224" s="54"/>
    </row>
    <row r="22225" spans="31:31">
      <c r="AE22225" s="54"/>
    </row>
    <row r="22226" spans="31:31">
      <c r="AE22226" s="54"/>
    </row>
    <row r="22227" spans="31:31">
      <c r="AE22227" s="54"/>
    </row>
    <row r="22228" spans="31:31">
      <c r="AE22228" s="54"/>
    </row>
    <row r="22229" spans="31:31">
      <c r="AE22229" s="54"/>
    </row>
    <row r="22230" spans="31:31">
      <c r="AE22230" s="54"/>
    </row>
    <row r="22231" spans="31:31">
      <c r="AE22231" s="54"/>
    </row>
    <row r="22232" spans="31:31">
      <c r="AE22232" s="54"/>
    </row>
    <row r="22233" spans="31:31">
      <c r="AE22233" s="54"/>
    </row>
    <row r="22234" spans="31:31">
      <c r="AE22234" s="54"/>
    </row>
    <row r="22235" spans="31:31">
      <c r="AE22235" s="54"/>
    </row>
    <row r="22236" spans="31:31">
      <c r="AE22236" s="54"/>
    </row>
    <row r="22237" spans="31:31">
      <c r="AE22237" s="54"/>
    </row>
    <row r="22238" spans="31:31">
      <c r="AE22238" s="54"/>
    </row>
    <row r="22239" spans="31:31">
      <c r="AE22239" s="54"/>
    </row>
    <row r="22240" spans="31:31">
      <c r="AE22240" s="54"/>
    </row>
    <row r="22241" spans="31:31">
      <c r="AE22241" s="54"/>
    </row>
    <row r="22242" spans="31:31">
      <c r="AE22242" s="54"/>
    </row>
    <row r="22243" spans="31:31">
      <c r="AE22243" s="54"/>
    </row>
    <row r="22244" spans="31:31">
      <c r="AE22244" s="54"/>
    </row>
    <row r="22245" spans="31:31">
      <c r="AE22245" s="54"/>
    </row>
    <row r="22246" spans="31:31">
      <c r="AE22246" s="54"/>
    </row>
    <row r="22247" spans="31:31">
      <c r="AE22247" s="54"/>
    </row>
    <row r="22248" spans="31:31">
      <c r="AE22248" s="54"/>
    </row>
    <row r="22249" spans="31:31">
      <c r="AE22249" s="54"/>
    </row>
    <row r="22250" spans="31:31">
      <c r="AE22250" s="54"/>
    </row>
    <row r="22251" spans="31:31">
      <c r="AE22251" s="54"/>
    </row>
    <row r="22252" spans="31:31">
      <c r="AE22252" s="54"/>
    </row>
    <row r="22253" spans="31:31">
      <c r="AE22253" s="54"/>
    </row>
    <row r="22254" spans="31:31">
      <c r="AE22254" s="54"/>
    </row>
    <row r="22255" spans="31:31">
      <c r="AE22255" s="54"/>
    </row>
    <row r="22256" spans="31:31">
      <c r="AE22256" s="54"/>
    </row>
    <row r="22257" spans="31:31">
      <c r="AE22257" s="54"/>
    </row>
    <row r="22258" spans="31:31">
      <c r="AE22258" s="54"/>
    </row>
    <row r="22259" spans="31:31">
      <c r="AE22259" s="54"/>
    </row>
    <row r="22260" spans="31:31">
      <c r="AE22260" s="54"/>
    </row>
    <row r="22261" spans="31:31">
      <c r="AE22261" s="54"/>
    </row>
    <row r="22262" spans="31:31">
      <c r="AE22262" s="54"/>
    </row>
    <row r="22263" spans="31:31">
      <c r="AE22263" s="54"/>
    </row>
    <row r="22264" spans="31:31">
      <c r="AE22264" s="54"/>
    </row>
    <row r="22265" spans="31:31">
      <c r="AE22265" s="54"/>
    </row>
    <row r="22266" spans="31:31">
      <c r="AE22266" s="54"/>
    </row>
    <row r="22267" spans="31:31">
      <c r="AE22267" s="54"/>
    </row>
    <row r="22268" spans="31:31">
      <c r="AE22268" s="54"/>
    </row>
    <row r="22269" spans="31:31">
      <c r="AE22269" s="54"/>
    </row>
    <row r="22270" spans="31:31">
      <c r="AE22270" s="54"/>
    </row>
    <row r="22271" spans="31:31">
      <c r="AE22271" s="54"/>
    </row>
    <row r="22272" spans="31:31">
      <c r="AE22272" s="54"/>
    </row>
    <row r="22273" spans="31:31">
      <c r="AE22273" s="54"/>
    </row>
    <row r="22274" spans="31:31">
      <c r="AE22274" s="54"/>
    </row>
    <row r="22275" spans="31:31">
      <c r="AE22275" s="54"/>
    </row>
    <row r="22276" spans="31:31">
      <c r="AE22276" s="54"/>
    </row>
    <row r="22277" spans="31:31">
      <c r="AE22277" s="54"/>
    </row>
    <row r="22278" spans="31:31">
      <c r="AE22278" s="54"/>
    </row>
    <row r="22279" spans="31:31">
      <c r="AE22279" s="54"/>
    </row>
    <row r="22280" spans="31:31">
      <c r="AE22280" s="54"/>
    </row>
    <row r="22281" spans="31:31">
      <c r="AE22281" s="54"/>
    </row>
    <row r="22282" spans="31:31">
      <c r="AE22282" s="54"/>
    </row>
    <row r="22283" spans="31:31">
      <c r="AE22283" s="54"/>
    </row>
    <row r="22284" spans="31:31">
      <c r="AE22284" s="54"/>
    </row>
    <row r="22285" spans="31:31">
      <c r="AE22285" s="54"/>
    </row>
    <row r="22286" spans="31:31">
      <c r="AE22286" s="54"/>
    </row>
    <row r="22287" spans="31:31">
      <c r="AE22287" s="54"/>
    </row>
    <row r="22288" spans="31:31">
      <c r="AE22288" s="54"/>
    </row>
    <row r="22289" spans="31:31">
      <c r="AE22289" s="54"/>
    </row>
    <row r="22290" spans="31:31">
      <c r="AE22290" s="54"/>
    </row>
    <row r="22291" spans="31:31">
      <c r="AE22291" s="54"/>
    </row>
    <row r="22292" spans="31:31">
      <c r="AE22292" s="54"/>
    </row>
    <row r="22293" spans="31:31">
      <c r="AE22293" s="54"/>
    </row>
    <row r="22294" spans="31:31">
      <c r="AE22294" s="54"/>
    </row>
    <row r="22295" spans="31:31">
      <c r="AE22295" s="54"/>
    </row>
    <row r="22296" spans="31:31">
      <c r="AE22296" s="54"/>
    </row>
    <row r="22297" spans="31:31">
      <c r="AE22297" s="54"/>
    </row>
    <row r="22298" spans="31:31">
      <c r="AE22298" s="54"/>
    </row>
    <row r="22299" spans="31:31">
      <c r="AE22299" s="54"/>
    </row>
    <row r="22300" spans="31:31">
      <c r="AE22300" s="54"/>
    </row>
    <row r="22301" spans="31:31">
      <c r="AE22301" s="54"/>
    </row>
    <row r="22302" spans="31:31">
      <c r="AE22302" s="54"/>
    </row>
    <row r="22303" spans="31:31">
      <c r="AE22303" s="54"/>
    </row>
    <row r="22304" spans="31:31">
      <c r="AE22304" s="54"/>
    </row>
    <row r="22305" spans="31:31">
      <c r="AE22305" s="54"/>
    </row>
    <row r="22306" spans="31:31">
      <c r="AE22306" s="54"/>
    </row>
    <row r="22307" spans="31:31">
      <c r="AE22307" s="54"/>
    </row>
    <row r="22308" spans="31:31">
      <c r="AE22308" s="54"/>
    </row>
    <row r="22309" spans="31:31">
      <c r="AE22309" s="54"/>
    </row>
    <row r="22310" spans="31:31">
      <c r="AE22310" s="54"/>
    </row>
    <row r="22311" spans="31:31">
      <c r="AE22311" s="54"/>
    </row>
    <row r="22312" spans="31:31">
      <c r="AE22312" s="54"/>
    </row>
    <row r="22313" spans="31:31">
      <c r="AE22313" s="54"/>
    </row>
    <row r="22314" spans="31:31">
      <c r="AE22314" s="54"/>
    </row>
    <row r="22315" spans="31:31">
      <c r="AE22315" s="54"/>
    </row>
    <row r="22316" spans="31:31">
      <c r="AE22316" s="54"/>
    </row>
    <row r="22317" spans="31:31">
      <c r="AE22317" s="54"/>
    </row>
    <row r="22318" spans="31:31">
      <c r="AE22318" s="54"/>
    </row>
    <row r="22319" spans="31:31">
      <c r="AE22319" s="54"/>
    </row>
    <row r="22320" spans="31:31">
      <c r="AE22320" s="54"/>
    </row>
    <row r="22321" spans="31:31">
      <c r="AE22321" s="54"/>
    </row>
    <row r="22322" spans="31:31">
      <c r="AE22322" s="54"/>
    </row>
    <row r="22323" spans="31:31">
      <c r="AE22323" s="54"/>
    </row>
    <row r="22324" spans="31:31">
      <c r="AE22324" s="54"/>
    </row>
    <row r="22325" spans="31:31">
      <c r="AE22325" s="54"/>
    </row>
    <row r="22326" spans="31:31">
      <c r="AE22326" s="54"/>
    </row>
    <row r="22327" spans="31:31">
      <c r="AE22327" s="54"/>
    </row>
    <row r="22328" spans="31:31">
      <c r="AE22328" s="54"/>
    </row>
    <row r="22329" spans="31:31">
      <c r="AE22329" s="54"/>
    </row>
    <row r="22330" spans="31:31">
      <c r="AE22330" s="54"/>
    </row>
    <row r="22331" spans="31:31">
      <c r="AE22331" s="54"/>
    </row>
    <row r="22332" spans="31:31">
      <c r="AE22332" s="54"/>
    </row>
    <row r="22333" spans="31:31">
      <c r="AE22333" s="54"/>
    </row>
    <row r="22334" spans="31:31">
      <c r="AE22334" s="54"/>
    </row>
    <row r="22335" spans="31:31">
      <c r="AE22335" s="54"/>
    </row>
    <row r="22336" spans="31:31">
      <c r="AE22336" s="54"/>
    </row>
    <row r="22337" spans="31:31">
      <c r="AE22337" s="54"/>
    </row>
    <row r="22338" spans="31:31">
      <c r="AE22338" s="54"/>
    </row>
    <row r="22339" spans="31:31">
      <c r="AE22339" s="54"/>
    </row>
    <row r="22340" spans="31:31">
      <c r="AE22340" s="54"/>
    </row>
    <row r="22341" spans="31:31">
      <c r="AE22341" s="54"/>
    </row>
    <row r="22342" spans="31:31">
      <c r="AE22342" s="54"/>
    </row>
    <row r="22343" spans="31:31">
      <c r="AE22343" s="54"/>
    </row>
    <row r="22344" spans="31:31">
      <c r="AE22344" s="54"/>
    </row>
    <row r="22345" spans="31:31">
      <c r="AE22345" s="54"/>
    </row>
    <row r="22346" spans="31:31">
      <c r="AE22346" s="54"/>
    </row>
    <row r="22347" spans="31:31">
      <c r="AE22347" s="54"/>
    </row>
    <row r="22348" spans="31:31">
      <c r="AE22348" s="54"/>
    </row>
    <row r="22349" spans="31:31">
      <c r="AE22349" s="54"/>
    </row>
    <row r="22350" spans="31:31">
      <c r="AE22350" s="54"/>
    </row>
    <row r="22351" spans="31:31">
      <c r="AE22351" s="54"/>
    </row>
    <row r="22352" spans="31:31">
      <c r="AE22352" s="54"/>
    </row>
    <row r="22353" spans="31:31">
      <c r="AE22353" s="54"/>
    </row>
    <row r="22354" spans="31:31">
      <c r="AE22354" s="54"/>
    </row>
    <row r="22355" spans="31:31">
      <c r="AE22355" s="54"/>
    </row>
    <row r="22356" spans="31:31">
      <c r="AE22356" s="54"/>
    </row>
    <row r="22357" spans="31:31">
      <c r="AE22357" s="54"/>
    </row>
    <row r="22358" spans="31:31">
      <c r="AE22358" s="54"/>
    </row>
    <row r="22359" spans="31:31">
      <c r="AE22359" s="54"/>
    </row>
    <row r="22360" spans="31:31">
      <c r="AE22360" s="54"/>
    </row>
    <row r="22361" spans="31:31">
      <c r="AE22361" s="54"/>
    </row>
    <row r="22362" spans="31:31">
      <c r="AE22362" s="54"/>
    </row>
    <row r="22363" spans="31:31">
      <c r="AE22363" s="54"/>
    </row>
    <row r="22364" spans="31:31">
      <c r="AE22364" s="54"/>
    </row>
    <row r="22365" spans="31:31">
      <c r="AE22365" s="54"/>
    </row>
    <row r="22366" spans="31:31">
      <c r="AE22366" s="54"/>
    </row>
    <row r="22367" spans="31:31">
      <c r="AE22367" s="54"/>
    </row>
    <row r="22368" spans="31:31">
      <c r="AE22368" s="54"/>
    </row>
    <row r="22369" spans="31:31">
      <c r="AE22369" s="54"/>
    </row>
    <row r="22370" spans="31:31">
      <c r="AE22370" s="54"/>
    </row>
    <row r="22371" spans="31:31">
      <c r="AE22371" s="54"/>
    </row>
    <row r="22372" spans="31:31">
      <c r="AE22372" s="54"/>
    </row>
    <row r="22373" spans="31:31">
      <c r="AE22373" s="54"/>
    </row>
    <row r="22374" spans="31:31">
      <c r="AE22374" s="54"/>
    </row>
    <row r="22375" spans="31:31">
      <c r="AE22375" s="54"/>
    </row>
    <row r="22376" spans="31:31">
      <c r="AE22376" s="54"/>
    </row>
    <row r="22377" spans="31:31">
      <c r="AE22377" s="54"/>
    </row>
    <row r="22378" spans="31:31">
      <c r="AE22378" s="54"/>
    </row>
    <row r="22379" spans="31:31">
      <c r="AE22379" s="54"/>
    </row>
    <row r="22380" spans="31:31">
      <c r="AE22380" s="54"/>
    </row>
    <row r="22381" spans="31:31">
      <c r="AE22381" s="54"/>
    </row>
    <row r="22382" spans="31:31">
      <c r="AE22382" s="54"/>
    </row>
    <row r="22383" spans="31:31">
      <c r="AE22383" s="54"/>
    </row>
    <row r="22384" spans="31:31">
      <c r="AE22384" s="54"/>
    </row>
    <row r="22385" spans="31:31">
      <c r="AE22385" s="54"/>
    </row>
    <row r="22386" spans="31:31">
      <c r="AE22386" s="54"/>
    </row>
    <row r="22387" spans="31:31">
      <c r="AE22387" s="54"/>
    </row>
    <row r="22388" spans="31:31">
      <c r="AE22388" s="54"/>
    </row>
    <row r="22389" spans="31:31">
      <c r="AE22389" s="54"/>
    </row>
    <row r="22390" spans="31:31">
      <c r="AE22390" s="54"/>
    </row>
    <row r="22391" spans="31:31">
      <c r="AE22391" s="54"/>
    </row>
    <row r="22392" spans="31:31">
      <c r="AE22392" s="54"/>
    </row>
    <row r="22393" spans="31:31">
      <c r="AE22393" s="54"/>
    </row>
    <row r="22394" spans="31:31">
      <c r="AE22394" s="54"/>
    </row>
    <row r="22395" spans="31:31">
      <c r="AE22395" s="54"/>
    </row>
    <row r="22396" spans="31:31">
      <c r="AE22396" s="54"/>
    </row>
    <row r="22397" spans="31:31">
      <c r="AE22397" s="54"/>
    </row>
    <row r="22398" spans="31:31">
      <c r="AE22398" s="54"/>
    </row>
    <row r="22399" spans="31:31">
      <c r="AE22399" s="54"/>
    </row>
    <row r="22400" spans="31:31">
      <c r="AE22400" s="54"/>
    </row>
    <row r="22401" spans="31:31">
      <c r="AE22401" s="54"/>
    </row>
    <row r="22402" spans="31:31">
      <c r="AE22402" s="54"/>
    </row>
    <row r="22403" spans="31:31">
      <c r="AE22403" s="54"/>
    </row>
    <row r="22404" spans="31:31">
      <c r="AE22404" s="54"/>
    </row>
    <row r="22405" spans="31:31">
      <c r="AE22405" s="54"/>
    </row>
    <row r="22406" spans="31:31">
      <c r="AE22406" s="54"/>
    </row>
    <row r="22407" spans="31:31">
      <c r="AE22407" s="54"/>
    </row>
    <row r="22408" spans="31:31">
      <c r="AE22408" s="54"/>
    </row>
    <row r="22409" spans="31:31">
      <c r="AE22409" s="54"/>
    </row>
    <row r="22410" spans="31:31">
      <c r="AE22410" s="54"/>
    </row>
    <row r="22411" spans="31:31">
      <c r="AE22411" s="54"/>
    </row>
    <row r="22412" spans="31:31">
      <c r="AE22412" s="54"/>
    </row>
    <row r="22413" spans="31:31">
      <c r="AE22413" s="54"/>
    </row>
    <row r="22414" spans="31:31">
      <c r="AE22414" s="54"/>
    </row>
    <row r="22415" spans="31:31">
      <c r="AE22415" s="54"/>
    </row>
    <row r="22416" spans="31:31">
      <c r="AE22416" s="54"/>
    </row>
    <row r="22417" spans="31:31">
      <c r="AE22417" s="54"/>
    </row>
    <row r="22418" spans="31:31">
      <c r="AE22418" s="54"/>
    </row>
    <row r="22419" spans="31:31">
      <c r="AE22419" s="54"/>
    </row>
    <row r="22420" spans="31:31">
      <c r="AE22420" s="54"/>
    </row>
    <row r="22421" spans="31:31">
      <c r="AE22421" s="54"/>
    </row>
    <row r="22422" spans="31:31">
      <c r="AE22422" s="54"/>
    </row>
    <row r="22423" spans="31:31">
      <c r="AE22423" s="54"/>
    </row>
    <row r="22424" spans="31:31">
      <c r="AE22424" s="54"/>
    </row>
    <row r="22425" spans="31:31">
      <c r="AE22425" s="54"/>
    </row>
    <row r="22426" spans="31:31">
      <c r="AE22426" s="54"/>
    </row>
    <row r="22427" spans="31:31">
      <c r="AE22427" s="54"/>
    </row>
    <row r="22428" spans="31:31">
      <c r="AE22428" s="54"/>
    </row>
    <row r="22429" spans="31:31">
      <c r="AE22429" s="54"/>
    </row>
    <row r="22430" spans="31:31">
      <c r="AE22430" s="54"/>
    </row>
    <row r="22431" spans="31:31">
      <c r="AE22431" s="54"/>
    </row>
    <row r="22432" spans="31:31">
      <c r="AE22432" s="54"/>
    </row>
    <row r="22433" spans="31:31">
      <c r="AE22433" s="54"/>
    </row>
    <row r="22434" spans="31:31">
      <c r="AE22434" s="54"/>
    </row>
    <row r="22435" spans="31:31">
      <c r="AE22435" s="54"/>
    </row>
    <row r="22436" spans="31:31">
      <c r="AE22436" s="54"/>
    </row>
    <row r="22437" spans="31:31">
      <c r="AE22437" s="54"/>
    </row>
    <row r="22438" spans="31:31">
      <c r="AE22438" s="54"/>
    </row>
    <row r="22439" spans="31:31">
      <c r="AE22439" s="54"/>
    </row>
    <row r="22440" spans="31:31">
      <c r="AE22440" s="54"/>
    </row>
    <row r="22441" spans="31:31">
      <c r="AE22441" s="54"/>
    </row>
    <row r="22442" spans="31:31">
      <c r="AE22442" s="54"/>
    </row>
    <row r="22443" spans="31:31">
      <c r="AE22443" s="54"/>
    </row>
    <row r="22444" spans="31:31">
      <c r="AE22444" s="54"/>
    </row>
    <row r="22445" spans="31:31">
      <c r="AE22445" s="54"/>
    </row>
    <row r="22446" spans="31:31">
      <c r="AE22446" s="54"/>
    </row>
    <row r="22447" spans="31:31">
      <c r="AE22447" s="54"/>
    </row>
    <row r="22448" spans="31:31">
      <c r="AE22448" s="54"/>
    </row>
    <row r="22449" spans="31:31">
      <c r="AE22449" s="54"/>
    </row>
    <row r="22450" spans="31:31">
      <c r="AE22450" s="54"/>
    </row>
    <row r="22451" spans="31:31">
      <c r="AE22451" s="54"/>
    </row>
    <row r="22452" spans="31:31">
      <c r="AE22452" s="54"/>
    </row>
    <row r="22453" spans="31:31">
      <c r="AE22453" s="54"/>
    </row>
    <row r="22454" spans="31:31">
      <c r="AE22454" s="54"/>
    </row>
    <row r="22455" spans="31:31">
      <c r="AE22455" s="54"/>
    </row>
    <row r="22456" spans="31:31">
      <c r="AE22456" s="54"/>
    </row>
    <row r="22457" spans="31:31">
      <c r="AE22457" s="54"/>
    </row>
    <row r="22458" spans="31:31">
      <c r="AE22458" s="54"/>
    </row>
    <row r="22459" spans="31:31">
      <c r="AE22459" s="54"/>
    </row>
    <row r="22460" spans="31:31">
      <c r="AE22460" s="54"/>
    </row>
    <row r="22461" spans="31:31">
      <c r="AE22461" s="54"/>
    </row>
    <row r="22462" spans="31:31">
      <c r="AE22462" s="54"/>
    </row>
    <row r="22463" spans="31:31">
      <c r="AE22463" s="54"/>
    </row>
    <row r="22464" spans="31:31">
      <c r="AE22464" s="54"/>
    </row>
    <row r="22465" spans="31:31">
      <c r="AE22465" s="54"/>
    </row>
    <row r="22466" spans="31:31">
      <c r="AE22466" s="54"/>
    </row>
    <row r="22467" spans="31:31">
      <c r="AE22467" s="54"/>
    </row>
    <row r="22468" spans="31:31">
      <c r="AE22468" s="54"/>
    </row>
    <row r="22469" spans="31:31">
      <c r="AE22469" s="54"/>
    </row>
    <row r="22470" spans="31:31">
      <c r="AE22470" s="54"/>
    </row>
    <row r="22471" spans="31:31">
      <c r="AE22471" s="54"/>
    </row>
    <row r="22472" spans="31:31">
      <c r="AE22472" s="54"/>
    </row>
    <row r="22473" spans="31:31">
      <c r="AE22473" s="54"/>
    </row>
    <row r="22474" spans="31:31">
      <c r="AE22474" s="54"/>
    </row>
    <row r="22475" spans="31:31">
      <c r="AE22475" s="54"/>
    </row>
    <row r="22476" spans="31:31">
      <c r="AE22476" s="54"/>
    </row>
    <row r="22477" spans="31:31">
      <c r="AE22477" s="54"/>
    </row>
    <row r="22478" spans="31:31">
      <c r="AE22478" s="54"/>
    </row>
    <row r="22479" spans="31:31">
      <c r="AE22479" s="54"/>
    </row>
    <row r="22480" spans="31:31">
      <c r="AE22480" s="54"/>
    </row>
    <row r="22481" spans="31:31">
      <c r="AE22481" s="54"/>
    </row>
    <row r="22482" spans="31:31">
      <c r="AE22482" s="54"/>
    </row>
    <row r="22483" spans="31:31">
      <c r="AE22483" s="54"/>
    </row>
    <row r="22484" spans="31:31">
      <c r="AE22484" s="54"/>
    </row>
    <row r="22485" spans="31:31">
      <c r="AE22485" s="54"/>
    </row>
    <row r="22486" spans="31:31">
      <c r="AE22486" s="54"/>
    </row>
    <row r="22487" spans="31:31">
      <c r="AE22487" s="54"/>
    </row>
    <row r="22488" spans="31:31">
      <c r="AE22488" s="54"/>
    </row>
    <row r="22489" spans="31:31">
      <c r="AE22489" s="54"/>
    </row>
    <row r="22490" spans="31:31">
      <c r="AE22490" s="54"/>
    </row>
    <row r="22491" spans="31:31">
      <c r="AE22491" s="54"/>
    </row>
    <row r="22492" spans="31:31">
      <c r="AE22492" s="54"/>
    </row>
    <row r="22493" spans="31:31">
      <c r="AE22493" s="54"/>
    </row>
    <row r="22494" spans="31:31">
      <c r="AE22494" s="54"/>
    </row>
    <row r="22495" spans="31:31">
      <c r="AE22495" s="54"/>
    </row>
    <row r="22496" spans="31:31">
      <c r="AE22496" s="54"/>
    </row>
    <row r="22497" spans="31:31">
      <c r="AE22497" s="54"/>
    </row>
    <row r="22498" spans="31:31">
      <c r="AE22498" s="54"/>
    </row>
    <row r="22499" spans="31:31">
      <c r="AE22499" s="54"/>
    </row>
    <row r="22500" spans="31:31">
      <c r="AE22500" s="54"/>
    </row>
    <row r="22501" spans="31:31">
      <c r="AE22501" s="54"/>
    </row>
    <row r="22502" spans="31:31">
      <c r="AE22502" s="54"/>
    </row>
    <row r="22503" spans="31:31">
      <c r="AE22503" s="54"/>
    </row>
    <row r="22504" spans="31:31">
      <c r="AE22504" s="54"/>
    </row>
    <row r="22505" spans="31:31">
      <c r="AE22505" s="54"/>
    </row>
    <row r="22506" spans="31:31">
      <c r="AE22506" s="54"/>
    </row>
    <row r="22507" spans="31:31">
      <c r="AE22507" s="54"/>
    </row>
    <row r="22508" spans="31:31">
      <c r="AE22508" s="54"/>
    </row>
    <row r="22509" spans="31:31">
      <c r="AE22509" s="54"/>
    </row>
    <row r="22510" spans="31:31">
      <c r="AE22510" s="54"/>
    </row>
    <row r="22511" spans="31:31">
      <c r="AE22511" s="54"/>
    </row>
    <row r="22512" spans="31:31">
      <c r="AE22512" s="54"/>
    </row>
    <row r="22513" spans="31:31">
      <c r="AE22513" s="54"/>
    </row>
    <row r="22514" spans="31:31">
      <c r="AE22514" s="54"/>
    </row>
    <row r="22515" spans="31:31">
      <c r="AE22515" s="54"/>
    </row>
    <row r="22516" spans="31:31">
      <c r="AE22516" s="54"/>
    </row>
    <row r="22517" spans="31:31">
      <c r="AE22517" s="54"/>
    </row>
    <row r="22518" spans="31:31">
      <c r="AE22518" s="54"/>
    </row>
    <row r="22519" spans="31:31">
      <c r="AE22519" s="54"/>
    </row>
    <row r="22520" spans="31:31">
      <c r="AE22520" s="54"/>
    </row>
    <row r="22521" spans="31:31">
      <c r="AE22521" s="54"/>
    </row>
    <row r="22522" spans="31:31">
      <c r="AE22522" s="54"/>
    </row>
    <row r="22523" spans="31:31">
      <c r="AE22523" s="54"/>
    </row>
    <row r="22524" spans="31:31">
      <c r="AE22524" s="54"/>
    </row>
    <row r="22525" spans="31:31">
      <c r="AE22525" s="54"/>
    </row>
    <row r="22526" spans="31:31">
      <c r="AE22526" s="54"/>
    </row>
    <row r="22527" spans="31:31">
      <c r="AE22527" s="54"/>
    </row>
    <row r="22528" spans="31:31">
      <c r="AE22528" s="54"/>
    </row>
    <row r="22529" spans="31:31">
      <c r="AE22529" s="54"/>
    </row>
    <row r="22530" spans="31:31">
      <c r="AE22530" s="54"/>
    </row>
    <row r="22531" spans="31:31">
      <c r="AE22531" s="54"/>
    </row>
    <row r="22532" spans="31:31">
      <c r="AE22532" s="54"/>
    </row>
    <row r="22533" spans="31:31">
      <c r="AE22533" s="54"/>
    </row>
    <row r="22534" spans="31:31">
      <c r="AE22534" s="54"/>
    </row>
    <row r="22535" spans="31:31">
      <c r="AE22535" s="54"/>
    </row>
    <row r="22536" spans="31:31">
      <c r="AE22536" s="54"/>
    </row>
    <row r="22537" spans="31:31">
      <c r="AE22537" s="54"/>
    </row>
    <row r="22538" spans="31:31">
      <c r="AE22538" s="54"/>
    </row>
    <row r="22539" spans="31:31">
      <c r="AE22539" s="54"/>
    </row>
    <row r="22540" spans="31:31">
      <c r="AE22540" s="54"/>
    </row>
    <row r="22541" spans="31:31">
      <c r="AE22541" s="54"/>
    </row>
    <row r="22542" spans="31:31">
      <c r="AE22542" s="54"/>
    </row>
    <row r="22543" spans="31:31">
      <c r="AE22543" s="54"/>
    </row>
    <row r="22544" spans="31:31">
      <c r="AE22544" s="54"/>
    </row>
    <row r="22545" spans="31:31">
      <c r="AE22545" s="54"/>
    </row>
    <row r="22546" spans="31:31">
      <c r="AE22546" s="54"/>
    </row>
    <row r="22547" spans="31:31">
      <c r="AE22547" s="54"/>
    </row>
    <row r="22548" spans="31:31">
      <c r="AE22548" s="54"/>
    </row>
    <row r="22549" spans="31:31">
      <c r="AE22549" s="54"/>
    </row>
    <row r="22550" spans="31:31">
      <c r="AE22550" s="54"/>
    </row>
    <row r="22551" spans="31:31">
      <c r="AE22551" s="54"/>
    </row>
    <row r="22552" spans="31:31">
      <c r="AE22552" s="54"/>
    </row>
    <row r="22553" spans="31:31">
      <c r="AE22553" s="54"/>
    </row>
    <row r="22554" spans="31:31">
      <c r="AE22554" s="54"/>
    </row>
    <row r="22555" spans="31:31">
      <c r="AE22555" s="54"/>
    </row>
    <row r="22556" spans="31:31">
      <c r="AE22556" s="54"/>
    </row>
    <row r="22557" spans="31:31">
      <c r="AE22557" s="54"/>
    </row>
    <row r="22558" spans="31:31">
      <c r="AE22558" s="54"/>
    </row>
    <row r="22559" spans="31:31">
      <c r="AE22559" s="54"/>
    </row>
    <row r="22560" spans="31:31">
      <c r="AE22560" s="54"/>
    </row>
    <row r="22561" spans="31:31">
      <c r="AE22561" s="54"/>
    </row>
    <row r="22562" spans="31:31">
      <c r="AE22562" s="54"/>
    </row>
    <row r="22563" spans="31:31">
      <c r="AE22563" s="54"/>
    </row>
    <row r="22564" spans="31:31">
      <c r="AE22564" s="54"/>
    </row>
    <row r="22565" spans="31:31">
      <c r="AE22565" s="54"/>
    </row>
    <row r="22566" spans="31:31">
      <c r="AE22566" s="54"/>
    </row>
    <row r="22567" spans="31:31">
      <c r="AE22567" s="54"/>
    </row>
    <row r="22568" spans="31:31">
      <c r="AE22568" s="54"/>
    </row>
    <row r="22569" spans="31:31">
      <c r="AE22569" s="54"/>
    </row>
    <row r="22570" spans="31:31">
      <c r="AE22570" s="54"/>
    </row>
    <row r="22571" spans="31:31">
      <c r="AE22571" s="54"/>
    </row>
    <row r="22572" spans="31:31">
      <c r="AE22572" s="54"/>
    </row>
    <row r="22573" spans="31:31">
      <c r="AE22573" s="54"/>
    </row>
    <row r="22574" spans="31:31">
      <c r="AE22574" s="54"/>
    </row>
    <row r="22575" spans="31:31">
      <c r="AE22575" s="54"/>
    </row>
    <row r="22576" spans="31:31">
      <c r="AE22576" s="54"/>
    </row>
    <row r="22577" spans="31:31">
      <c r="AE22577" s="54"/>
    </row>
    <row r="22578" spans="31:31">
      <c r="AE22578" s="54"/>
    </row>
    <row r="22579" spans="31:31">
      <c r="AE22579" s="54"/>
    </row>
    <row r="22580" spans="31:31">
      <c r="AE22580" s="54"/>
    </row>
    <row r="22581" spans="31:31">
      <c r="AE22581" s="54"/>
    </row>
    <row r="22582" spans="31:31">
      <c r="AE22582" s="54"/>
    </row>
    <row r="22583" spans="31:31">
      <c r="AE22583" s="54"/>
    </row>
    <row r="22584" spans="31:31">
      <c r="AE22584" s="54"/>
    </row>
    <row r="22585" spans="31:31">
      <c r="AE22585" s="54"/>
    </row>
    <row r="22586" spans="31:31">
      <c r="AE22586" s="54"/>
    </row>
    <row r="22587" spans="31:31">
      <c r="AE22587" s="54"/>
    </row>
    <row r="22588" spans="31:31">
      <c r="AE22588" s="54"/>
    </row>
    <row r="22589" spans="31:31">
      <c r="AE22589" s="54"/>
    </row>
    <row r="22590" spans="31:31">
      <c r="AE22590" s="54"/>
    </row>
    <row r="22591" spans="31:31">
      <c r="AE22591" s="54"/>
    </row>
    <row r="22592" spans="31:31">
      <c r="AE22592" s="54"/>
    </row>
    <row r="22593" spans="31:31">
      <c r="AE22593" s="54"/>
    </row>
    <row r="22594" spans="31:31">
      <c r="AE22594" s="54"/>
    </row>
    <row r="22595" spans="31:31">
      <c r="AE22595" s="54"/>
    </row>
    <row r="22596" spans="31:31">
      <c r="AE22596" s="54"/>
    </row>
    <row r="22597" spans="31:31">
      <c r="AE22597" s="54"/>
    </row>
    <row r="22598" spans="31:31">
      <c r="AE22598" s="54"/>
    </row>
    <row r="22599" spans="31:31">
      <c r="AE22599" s="54"/>
    </row>
    <row r="22600" spans="31:31">
      <c r="AE22600" s="54"/>
    </row>
    <row r="22601" spans="31:31">
      <c r="AE22601" s="54"/>
    </row>
    <row r="22602" spans="31:31">
      <c r="AE22602" s="54"/>
    </row>
    <row r="22603" spans="31:31">
      <c r="AE22603" s="54"/>
    </row>
    <row r="22604" spans="31:31">
      <c r="AE22604" s="54"/>
    </row>
    <row r="22605" spans="31:31">
      <c r="AE22605" s="54"/>
    </row>
    <row r="22606" spans="31:31">
      <c r="AE22606" s="54"/>
    </row>
    <row r="22607" spans="31:31">
      <c r="AE22607" s="54"/>
    </row>
    <row r="22608" spans="31:31">
      <c r="AE22608" s="54"/>
    </row>
    <row r="22609" spans="31:31">
      <c r="AE22609" s="54"/>
    </row>
    <row r="22610" spans="31:31">
      <c r="AE22610" s="54"/>
    </row>
    <row r="22611" spans="31:31">
      <c r="AE22611" s="54"/>
    </row>
    <row r="22612" spans="31:31">
      <c r="AE22612" s="54"/>
    </row>
    <row r="22613" spans="31:31">
      <c r="AE22613" s="54"/>
    </row>
    <row r="22614" spans="31:31">
      <c r="AE22614" s="54"/>
    </row>
    <row r="22615" spans="31:31">
      <c r="AE22615" s="54"/>
    </row>
    <row r="22616" spans="31:31">
      <c r="AE22616" s="54"/>
    </row>
    <row r="22617" spans="31:31">
      <c r="AE22617" s="54"/>
    </row>
    <row r="22618" spans="31:31">
      <c r="AE22618" s="54"/>
    </row>
    <row r="22619" spans="31:31">
      <c r="AE22619" s="54"/>
    </row>
    <row r="22620" spans="31:31">
      <c r="AE22620" s="54"/>
    </row>
    <row r="22621" spans="31:31">
      <c r="AE22621" s="54"/>
    </row>
    <row r="22622" spans="31:31">
      <c r="AE22622" s="54"/>
    </row>
    <row r="22623" spans="31:31">
      <c r="AE22623" s="54"/>
    </row>
    <row r="22624" spans="31:31">
      <c r="AE22624" s="54"/>
    </row>
    <row r="22625" spans="31:31">
      <c r="AE22625" s="54"/>
    </row>
    <row r="22626" spans="31:31">
      <c r="AE22626" s="54"/>
    </row>
    <row r="22627" spans="31:31">
      <c r="AE22627" s="54"/>
    </row>
    <row r="22628" spans="31:31">
      <c r="AE22628" s="54"/>
    </row>
    <row r="22629" spans="31:31">
      <c r="AE22629" s="54"/>
    </row>
    <row r="22630" spans="31:31">
      <c r="AE22630" s="54"/>
    </row>
    <row r="22631" spans="31:31">
      <c r="AE22631" s="54"/>
    </row>
    <row r="22632" spans="31:31">
      <c r="AE22632" s="54"/>
    </row>
    <row r="22633" spans="31:31">
      <c r="AE22633" s="54"/>
    </row>
    <row r="22634" spans="31:31">
      <c r="AE22634" s="54"/>
    </row>
    <row r="22635" spans="31:31">
      <c r="AE22635" s="54"/>
    </row>
    <row r="22636" spans="31:31">
      <c r="AE22636" s="54"/>
    </row>
    <row r="22637" spans="31:31">
      <c r="AE22637" s="54"/>
    </row>
    <row r="22638" spans="31:31">
      <c r="AE22638" s="54"/>
    </row>
    <row r="22639" spans="31:31">
      <c r="AE22639" s="54"/>
    </row>
    <row r="22640" spans="31:31">
      <c r="AE22640" s="54"/>
    </row>
    <row r="22641" spans="31:31">
      <c r="AE22641" s="54"/>
    </row>
    <row r="22642" spans="31:31">
      <c r="AE22642" s="54"/>
    </row>
    <row r="22643" spans="31:31">
      <c r="AE22643" s="54"/>
    </row>
    <row r="22644" spans="31:31">
      <c r="AE22644" s="54"/>
    </row>
    <row r="22645" spans="31:31">
      <c r="AE22645" s="54"/>
    </row>
    <row r="22646" spans="31:31">
      <c r="AE22646" s="54"/>
    </row>
    <row r="22647" spans="31:31">
      <c r="AE22647" s="54"/>
    </row>
    <row r="22648" spans="31:31">
      <c r="AE22648" s="54"/>
    </row>
    <row r="22649" spans="31:31">
      <c r="AE22649" s="54"/>
    </row>
    <row r="22650" spans="31:31">
      <c r="AE22650" s="54"/>
    </row>
    <row r="22651" spans="31:31">
      <c r="AE22651" s="54"/>
    </row>
    <row r="22652" spans="31:31">
      <c r="AE22652" s="54"/>
    </row>
    <row r="22653" spans="31:31">
      <c r="AE22653" s="54"/>
    </row>
    <row r="22654" spans="31:31">
      <c r="AE22654" s="54"/>
    </row>
    <row r="22655" spans="31:31">
      <c r="AE22655" s="54"/>
    </row>
    <row r="22656" spans="31:31">
      <c r="AE22656" s="54"/>
    </row>
    <row r="22657" spans="31:31">
      <c r="AE22657" s="54"/>
    </row>
    <row r="22658" spans="31:31">
      <c r="AE22658" s="54"/>
    </row>
    <row r="22659" spans="31:31">
      <c r="AE22659" s="54"/>
    </row>
    <row r="22660" spans="31:31">
      <c r="AE22660" s="54"/>
    </row>
    <row r="22661" spans="31:31">
      <c r="AE22661" s="54"/>
    </row>
    <row r="22662" spans="31:31">
      <c r="AE22662" s="54"/>
    </row>
    <row r="22663" spans="31:31">
      <c r="AE22663" s="54"/>
    </row>
    <row r="22664" spans="31:31">
      <c r="AE22664" s="54"/>
    </row>
    <row r="22665" spans="31:31">
      <c r="AE22665" s="54"/>
    </row>
    <row r="22666" spans="31:31">
      <c r="AE22666" s="54"/>
    </row>
    <row r="22667" spans="31:31">
      <c r="AE22667" s="54"/>
    </row>
    <row r="22668" spans="31:31">
      <c r="AE22668" s="54"/>
    </row>
    <row r="22669" spans="31:31">
      <c r="AE22669" s="54"/>
    </row>
    <row r="22670" spans="31:31">
      <c r="AE22670" s="54"/>
    </row>
    <row r="22671" spans="31:31">
      <c r="AE22671" s="54"/>
    </row>
    <row r="22672" spans="31:31">
      <c r="AE22672" s="54"/>
    </row>
    <row r="22673" spans="31:31">
      <c r="AE22673" s="54"/>
    </row>
    <row r="22674" spans="31:31">
      <c r="AE22674" s="54"/>
    </row>
    <row r="22675" spans="31:31">
      <c r="AE22675" s="54"/>
    </row>
    <row r="22676" spans="31:31">
      <c r="AE22676" s="54"/>
    </row>
    <row r="22677" spans="31:31">
      <c r="AE22677" s="54"/>
    </row>
    <row r="22678" spans="31:31">
      <c r="AE22678" s="54"/>
    </row>
    <row r="22679" spans="31:31">
      <c r="AE22679" s="54"/>
    </row>
    <row r="22680" spans="31:31">
      <c r="AE22680" s="54"/>
    </row>
    <row r="22681" spans="31:31">
      <c r="AE22681" s="54"/>
    </row>
    <row r="22682" spans="31:31">
      <c r="AE22682" s="54"/>
    </row>
    <row r="22683" spans="31:31">
      <c r="AE22683" s="54"/>
    </row>
    <row r="22684" spans="31:31">
      <c r="AE22684" s="54"/>
    </row>
    <row r="22685" spans="31:31">
      <c r="AE22685" s="54"/>
    </row>
    <row r="22686" spans="31:31">
      <c r="AE22686" s="54"/>
    </row>
    <row r="22687" spans="31:31">
      <c r="AE22687" s="54"/>
    </row>
    <row r="22688" spans="31:31">
      <c r="AE22688" s="54"/>
    </row>
    <row r="22689" spans="31:31">
      <c r="AE22689" s="54"/>
    </row>
    <row r="22690" spans="31:31">
      <c r="AE22690" s="54"/>
    </row>
    <row r="22691" spans="31:31">
      <c r="AE22691" s="54"/>
    </row>
    <row r="22692" spans="31:31">
      <c r="AE22692" s="54"/>
    </row>
    <row r="22693" spans="31:31">
      <c r="AE22693" s="54"/>
    </row>
    <row r="22694" spans="31:31">
      <c r="AE22694" s="54"/>
    </row>
    <row r="22695" spans="31:31">
      <c r="AE22695" s="54"/>
    </row>
    <row r="22696" spans="31:31">
      <c r="AE22696" s="54"/>
    </row>
    <row r="22697" spans="31:31">
      <c r="AE22697" s="54"/>
    </row>
    <row r="22698" spans="31:31">
      <c r="AE22698" s="54"/>
    </row>
    <row r="22699" spans="31:31">
      <c r="AE22699" s="54"/>
    </row>
    <row r="22700" spans="31:31">
      <c r="AE22700" s="54"/>
    </row>
    <row r="22701" spans="31:31">
      <c r="AE22701" s="54"/>
    </row>
    <row r="22702" spans="31:31">
      <c r="AE22702" s="54"/>
    </row>
    <row r="22703" spans="31:31">
      <c r="AE22703" s="54"/>
    </row>
    <row r="22704" spans="31:31">
      <c r="AE22704" s="54"/>
    </row>
    <row r="22705" spans="31:31">
      <c r="AE22705" s="54"/>
    </row>
    <row r="22706" spans="31:31">
      <c r="AE22706" s="54"/>
    </row>
    <row r="22707" spans="31:31">
      <c r="AE22707" s="54"/>
    </row>
    <row r="22708" spans="31:31">
      <c r="AE22708" s="54"/>
    </row>
    <row r="22709" spans="31:31">
      <c r="AE22709" s="54"/>
    </row>
    <row r="22710" spans="31:31">
      <c r="AE22710" s="54"/>
    </row>
    <row r="22711" spans="31:31">
      <c r="AE22711" s="54"/>
    </row>
    <row r="22712" spans="31:31">
      <c r="AE22712" s="54"/>
    </row>
    <row r="22713" spans="31:31">
      <c r="AE22713" s="54"/>
    </row>
    <row r="22714" spans="31:31">
      <c r="AE22714" s="54"/>
    </row>
    <row r="22715" spans="31:31">
      <c r="AE22715" s="54"/>
    </row>
    <row r="22716" spans="31:31">
      <c r="AE22716" s="54"/>
    </row>
    <row r="22717" spans="31:31">
      <c r="AE22717" s="54"/>
    </row>
    <row r="22718" spans="31:31">
      <c r="AE22718" s="54"/>
    </row>
    <row r="22719" spans="31:31">
      <c r="AE22719" s="54"/>
    </row>
    <row r="22720" spans="31:31">
      <c r="AE22720" s="54"/>
    </row>
    <row r="22721" spans="31:31">
      <c r="AE22721" s="54"/>
    </row>
    <row r="22722" spans="31:31">
      <c r="AE22722" s="54"/>
    </row>
    <row r="22723" spans="31:31">
      <c r="AE22723" s="54"/>
    </row>
    <row r="22724" spans="31:31">
      <c r="AE22724" s="54"/>
    </row>
    <row r="22725" spans="31:31">
      <c r="AE22725" s="54"/>
    </row>
    <row r="22726" spans="31:31">
      <c r="AE22726" s="54"/>
    </row>
    <row r="22727" spans="31:31">
      <c r="AE22727" s="54"/>
    </row>
    <row r="22728" spans="31:31">
      <c r="AE22728" s="54"/>
    </row>
    <row r="22729" spans="31:31">
      <c r="AE22729" s="54"/>
    </row>
    <row r="22730" spans="31:31">
      <c r="AE22730" s="54"/>
    </row>
    <row r="22731" spans="31:31">
      <c r="AE22731" s="54"/>
    </row>
    <row r="22732" spans="31:31">
      <c r="AE22732" s="54"/>
    </row>
    <row r="22733" spans="31:31">
      <c r="AE22733" s="54"/>
    </row>
    <row r="22734" spans="31:31">
      <c r="AE22734" s="54"/>
    </row>
    <row r="22735" spans="31:31">
      <c r="AE22735" s="54"/>
    </row>
    <row r="22736" spans="31:31">
      <c r="AE22736" s="54"/>
    </row>
    <row r="22737" spans="31:31">
      <c r="AE22737" s="54"/>
    </row>
    <row r="22738" spans="31:31">
      <c r="AE22738" s="54"/>
    </row>
    <row r="22739" spans="31:31">
      <c r="AE22739" s="54"/>
    </row>
    <row r="22740" spans="31:31">
      <c r="AE22740" s="54"/>
    </row>
    <row r="22741" spans="31:31">
      <c r="AE22741" s="54"/>
    </row>
    <row r="22742" spans="31:31">
      <c r="AE22742" s="54"/>
    </row>
    <row r="22743" spans="31:31">
      <c r="AE22743" s="54"/>
    </row>
    <row r="22744" spans="31:31">
      <c r="AE22744" s="54"/>
    </row>
    <row r="22745" spans="31:31">
      <c r="AE22745" s="54"/>
    </row>
    <row r="22746" spans="31:31">
      <c r="AE22746" s="54"/>
    </row>
    <row r="22747" spans="31:31">
      <c r="AE22747" s="54"/>
    </row>
    <row r="22748" spans="31:31">
      <c r="AE22748" s="54"/>
    </row>
    <row r="22749" spans="31:31">
      <c r="AE22749" s="54"/>
    </row>
    <row r="22750" spans="31:31">
      <c r="AE22750" s="54"/>
    </row>
    <row r="22751" spans="31:31">
      <c r="AE22751" s="54"/>
    </row>
    <row r="22752" spans="31:31">
      <c r="AE22752" s="54"/>
    </row>
    <row r="22753" spans="31:31">
      <c r="AE22753" s="54"/>
    </row>
    <row r="22754" spans="31:31">
      <c r="AE22754" s="54"/>
    </row>
    <row r="22755" spans="31:31">
      <c r="AE22755" s="54"/>
    </row>
    <row r="22756" spans="31:31">
      <c r="AE22756" s="54"/>
    </row>
    <row r="22757" spans="31:31">
      <c r="AE22757" s="54"/>
    </row>
    <row r="22758" spans="31:31">
      <c r="AE22758" s="54"/>
    </row>
    <row r="22759" spans="31:31">
      <c r="AE22759" s="54"/>
    </row>
    <row r="22760" spans="31:31">
      <c r="AE22760" s="54"/>
    </row>
    <row r="22761" spans="31:31">
      <c r="AE22761" s="54"/>
    </row>
    <row r="22762" spans="31:31">
      <c r="AE22762" s="54"/>
    </row>
    <row r="22763" spans="31:31">
      <c r="AE22763" s="54"/>
    </row>
    <row r="22764" spans="31:31">
      <c r="AE22764" s="54"/>
    </row>
    <row r="22765" spans="31:31">
      <c r="AE22765" s="54"/>
    </row>
    <row r="22766" spans="31:31">
      <c r="AE22766" s="54"/>
    </row>
    <row r="22767" spans="31:31">
      <c r="AE22767" s="54"/>
    </row>
    <row r="22768" spans="31:31">
      <c r="AE22768" s="54"/>
    </row>
    <row r="22769" spans="31:31">
      <c r="AE22769" s="54"/>
    </row>
    <row r="22770" spans="31:31">
      <c r="AE22770" s="54"/>
    </row>
    <row r="22771" spans="31:31">
      <c r="AE22771" s="54"/>
    </row>
    <row r="22772" spans="31:31">
      <c r="AE22772" s="54"/>
    </row>
    <row r="22773" spans="31:31">
      <c r="AE22773" s="54"/>
    </row>
    <row r="22774" spans="31:31">
      <c r="AE22774" s="54"/>
    </row>
    <row r="22775" spans="31:31">
      <c r="AE22775" s="54"/>
    </row>
    <row r="22776" spans="31:31">
      <c r="AE22776" s="54"/>
    </row>
    <row r="22777" spans="31:31">
      <c r="AE22777" s="54"/>
    </row>
    <row r="22778" spans="31:31">
      <c r="AE22778" s="54"/>
    </row>
    <row r="22779" spans="31:31">
      <c r="AE22779" s="54"/>
    </row>
    <row r="22780" spans="31:31">
      <c r="AE22780" s="54"/>
    </row>
    <row r="22781" spans="31:31">
      <c r="AE22781" s="54"/>
    </row>
    <row r="22782" spans="31:31">
      <c r="AE22782" s="54"/>
    </row>
    <row r="22783" spans="31:31">
      <c r="AE22783" s="54"/>
    </row>
    <row r="22784" spans="31:31">
      <c r="AE22784" s="54"/>
    </row>
    <row r="22785" spans="31:31">
      <c r="AE22785" s="54"/>
    </row>
    <row r="22786" spans="31:31">
      <c r="AE22786" s="54"/>
    </row>
    <row r="22787" spans="31:31">
      <c r="AE22787" s="54"/>
    </row>
    <row r="22788" spans="31:31">
      <c r="AE22788" s="54"/>
    </row>
    <row r="22789" spans="31:31">
      <c r="AE22789" s="54"/>
    </row>
    <row r="22790" spans="31:31">
      <c r="AE22790" s="54"/>
    </row>
    <row r="22791" spans="31:31">
      <c r="AE22791" s="54"/>
    </row>
    <row r="22792" spans="31:31">
      <c r="AE22792" s="54"/>
    </row>
    <row r="22793" spans="31:31">
      <c r="AE22793" s="54"/>
    </row>
    <row r="22794" spans="31:31">
      <c r="AE22794" s="54"/>
    </row>
    <row r="22795" spans="31:31">
      <c r="AE22795" s="54"/>
    </row>
    <row r="22796" spans="31:31">
      <c r="AE22796" s="54"/>
    </row>
    <row r="22797" spans="31:31">
      <c r="AE22797" s="54"/>
    </row>
    <row r="22798" spans="31:31">
      <c r="AE22798" s="54"/>
    </row>
    <row r="22799" spans="31:31">
      <c r="AE22799" s="54"/>
    </row>
    <row r="22800" spans="31:31">
      <c r="AE22800" s="54"/>
    </row>
    <row r="22801" spans="31:31">
      <c r="AE22801" s="54"/>
    </row>
    <row r="22802" spans="31:31">
      <c r="AE22802" s="54"/>
    </row>
    <row r="22803" spans="31:31">
      <c r="AE22803" s="54"/>
    </row>
    <row r="22804" spans="31:31">
      <c r="AE22804" s="54"/>
    </row>
    <row r="22805" spans="31:31">
      <c r="AE22805" s="54"/>
    </row>
    <row r="22806" spans="31:31">
      <c r="AE22806" s="54"/>
    </row>
    <row r="22807" spans="31:31">
      <c r="AE22807" s="54"/>
    </row>
    <row r="22808" spans="31:31">
      <c r="AE22808" s="54"/>
    </row>
    <row r="22809" spans="31:31">
      <c r="AE22809" s="54"/>
    </row>
    <row r="22810" spans="31:31">
      <c r="AE22810" s="54"/>
    </row>
    <row r="22811" spans="31:31">
      <c r="AE22811" s="54"/>
    </row>
    <row r="22812" spans="31:31">
      <c r="AE22812" s="54"/>
    </row>
    <row r="22813" spans="31:31">
      <c r="AE22813" s="54"/>
    </row>
    <row r="22814" spans="31:31">
      <c r="AE22814" s="54"/>
    </row>
    <row r="22815" spans="31:31">
      <c r="AE22815" s="54"/>
    </row>
    <row r="22816" spans="31:31">
      <c r="AE22816" s="54"/>
    </row>
    <row r="22817" spans="31:31">
      <c r="AE22817" s="54"/>
    </row>
    <row r="22818" spans="31:31">
      <c r="AE22818" s="54"/>
    </row>
    <row r="22819" spans="31:31">
      <c r="AE22819" s="54"/>
    </row>
    <row r="22820" spans="31:31">
      <c r="AE22820" s="54"/>
    </row>
    <row r="22821" spans="31:31">
      <c r="AE22821" s="54"/>
    </row>
    <row r="22822" spans="31:31">
      <c r="AE22822" s="54"/>
    </row>
    <row r="22823" spans="31:31">
      <c r="AE22823" s="54"/>
    </row>
    <row r="22824" spans="31:31">
      <c r="AE22824" s="54"/>
    </row>
    <row r="22825" spans="31:31">
      <c r="AE22825" s="54"/>
    </row>
    <row r="22826" spans="31:31">
      <c r="AE22826" s="54"/>
    </row>
    <row r="22827" spans="31:31">
      <c r="AE22827" s="54"/>
    </row>
    <row r="22828" spans="31:31">
      <c r="AE22828" s="54"/>
    </row>
    <row r="22829" spans="31:31">
      <c r="AE22829" s="54"/>
    </row>
    <row r="22830" spans="31:31">
      <c r="AE22830" s="54"/>
    </row>
    <row r="22831" spans="31:31">
      <c r="AE22831" s="54"/>
    </row>
    <row r="22832" spans="31:31">
      <c r="AE22832" s="54"/>
    </row>
    <row r="22833" spans="31:31">
      <c r="AE22833" s="54"/>
    </row>
    <row r="22834" spans="31:31">
      <c r="AE22834" s="54"/>
    </row>
    <row r="22835" spans="31:31">
      <c r="AE22835" s="54"/>
    </row>
    <row r="22836" spans="31:31">
      <c r="AE22836" s="54"/>
    </row>
    <row r="22837" spans="31:31">
      <c r="AE22837" s="54"/>
    </row>
    <row r="22838" spans="31:31">
      <c r="AE22838" s="54"/>
    </row>
    <row r="22839" spans="31:31">
      <c r="AE22839" s="54"/>
    </row>
    <row r="22840" spans="31:31">
      <c r="AE22840" s="54"/>
    </row>
    <row r="22841" spans="31:31">
      <c r="AE22841" s="54"/>
    </row>
    <row r="22842" spans="31:31">
      <c r="AE22842" s="54"/>
    </row>
    <row r="22843" spans="31:31">
      <c r="AE22843" s="54"/>
    </row>
    <row r="22844" spans="31:31">
      <c r="AE22844" s="54"/>
    </row>
    <row r="22845" spans="31:31">
      <c r="AE22845" s="54"/>
    </row>
    <row r="22846" spans="31:31">
      <c r="AE22846" s="54"/>
    </row>
    <row r="22847" spans="31:31">
      <c r="AE22847" s="54"/>
    </row>
    <row r="22848" spans="31:31">
      <c r="AE22848" s="54"/>
    </row>
    <row r="22849" spans="31:31">
      <c r="AE22849" s="54"/>
    </row>
    <row r="22850" spans="31:31">
      <c r="AE22850" s="54"/>
    </row>
    <row r="22851" spans="31:31">
      <c r="AE22851" s="54"/>
    </row>
    <row r="22852" spans="31:31">
      <c r="AE22852" s="54"/>
    </row>
    <row r="22853" spans="31:31">
      <c r="AE22853" s="54"/>
    </row>
    <row r="22854" spans="31:31">
      <c r="AE22854" s="54"/>
    </row>
    <row r="22855" spans="31:31">
      <c r="AE22855" s="54"/>
    </row>
    <row r="22856" spans="31:31">
      <c r="AE22856" s="54"/>
    </row>
    <row r="22857" spans="31:31">
      <c r="AE22857" s="54"/>
    </row>
    <row r="22858" spans="31:31">
      <c r="AE22858" s="54"/>
    </row>
    <row r="22859" spans="31:31">
      <c r="AE22859" s="54"/>
    </row>
    <row r="22860" spans="31:31">
      <c r="AE22860" s="54"/>
    </row>
    <row r="22861" spans="31:31">
      <c r="AE22861" s="54"/>
    </row>
    <row r="22862" spans="31:31">
      <c r="AE22862" s="54"/>
    </row>
    <row r="22863" spans="31:31">
      <c r="AE22863" s="54"/>
    </row>
    <row r="22864" spans="31:31">
      <c r="AE22864" s="54"/>
    </row>
    <row r="22865" spans="31:31">
      <c r="AE22865" s="54"/>
    </row>
    <row r="22866" spans="31:31">
      <c r="AE22866" s="54"/>
    </row>
    <row r="22867" spans="31:31">
      <c r="AE22867" s="54"/>
    </row>
    <row r="22868" spans="31:31">
      <c r="AE22868" s="54"/>
    </row>
    <row r="22869" spans="31:31">
      <c r="AE22869" s="54"/>
    </row>
    <row r="22870" spans="31:31">
      <c r="AE22870" s="54"/>
    </row>
    <row r="22871" spans="31:31">
      <c r="AE22871" s="54"/>
    </row>
    <row r="22872" spans="31:31">
      <c r="AE22872" s="54"/>
    </row>
    <row r="22873" spans="31:31">
      <c r="AE22873" s="54"/>
    </row>
    <row r="22874" spans="31:31">
      <c r="AE22874" s="54"/>
    </row>
    <row r="22875" spans="31:31">
      <c r="AE22875" s="54"/>
    </row>
    <row r="22876" spans="31:31">
      <c r="AE22876" s="54"/>
    </row>
    <row r="22877" spans="31:31">
      <c r="AE22877" s="54"/>
    </row>
    <row r="22878" spans="31:31">
      <c r="AE22878" s="54"/>
    </row>
    <row r="22879" spans="31:31">
      <c r="AE22879" s="54"/>
    </row>
    <row r="22880" spans="31:31">
      <c r="AE22880" s="54"/>
    </row>
    <row r="22881" spans="31:31">
      <c r="AE22881" s="54"/>
    </row>
    <row r="22882" spans="31:31">
      <c r="AE22882" s="54"/>
    </row>
    <row r="22883" spans="31:31">
      <c r="AE22883" s="54"/>
    </row>
    <row r="22884" spans="31:31">
      <c r="AE22884" s="54"/>
    </row>
    <row r="22885" spans="31:31">
      <c r="AE22885" s="54"/>
    </row>
    <row r="22886" spans="31:31">
      <c r="AE22886" s="54"/>
    </row>
    <row r="22887" spans="31:31">
      <c r="AE22887" s="54"/>
    </row>
    <row r="22888" spans="31:31">
      <c r="AE22888" s="54"/>
    </row>
    <row r="22889" spans="31:31">
      <c r="AE22889" s="54"/>
    </row>
    <row r="22890" spans="31:31">
      <c r="AE22890" s="54"/>
    </row>
    <row r="22891" spans="31:31">
      <c r="AE22891" s="54"/>
    </row>
    <row r="22892" spans="31:31">
      <c r="AE22892" s="54"/>
    </row>
    <row r="22893" spans="31:31">
      <c r="AE22893" s="54"/>
    </row>
    <row r="22894" spans="31:31">
      <c r="AE22894" s="54"/>
    </row>
    <row r="22895" spans="31:31">
      <c r="AE22895" s="54"/>
    </row>
    <row r="22896" spans="31:31">
      <c r="AE22896" s="54"/>
    </row>
    <row r="22897" spans="31:31">
      <c r="AE22897" s="54"/>
    </row>
    <row r="22898" spans="31:31">
      <c r="AE22898" s="54"/>
    </row>
    <row r="22899" spans="31:31">
      <c r="AE22899" s="54"/>
    </row>
    <row r="22900" spans="31:31">
      <c r="AE22900" s="54"/>
    </row>
    <row r="22901" spans="31:31">
      <c r="AE22901" s="54"/>
    </row>
    <row r="22902" spans="31:31">
      <c r="AE22902" s="54"/>
    </row>
    <row r="22903" spans="31:31">
      <c r="AE22903" s="54"/>
    </row>
    <row r="22904" spans="31:31">
      <c r="AE22904" s="54"/>
    </row>
    <row r="22905" spans="31:31">
      <c r="AE22905" s="54"/>
    </row>
    <row r="22906" spans="31:31">
      <c r="AE22906" s="54"/>
    </row>
    <row r="22907" spans="31:31">
      <c r="AE22907" s="54"/>
    </row>
    <row r="22908" spans="31:31">
      <c r="AE22908" s="54"/>
    </row>
    <row r="22909" spans="31:31">
      <c r="AE22909" s="54"/>
    </row>
    <row r="22910" spans="31:31">
      <c r="AE22910" s="54"/>
    </row>
    <row r="22911" spans="31:31">
      <c r="AE22911" s="54"/>
    </row>
    <row r="22912" spans="31:31">
      <c r="AE22912" s="54"/>
    </row>
    <row r="22913" spans="31:31">
      <c r="AE22913" s="54"/>
    </row>
    <row r="22914" spans="31:31">
      <c r="AE22914" s="54"/>
    </row>
    <row r="22915" spans="31:31">
      <c r="AE22915" s="54"/>
    </row>
    <row r="22916" spans="31:31">
      <c r="AE22916" s="54"/>
    </row>
    <row r="22917" spans="31:31">
      <c r="AE22917" s="54"/>
    </row>
    <row r="22918" spans="31:31">
      <c r="AE22918" s="54"/>
    </row>
    <row r="22919" spans="31:31">
      <c r="AE22919" s="54"/>
    </row>
    <row r="22920" spans="31:31">
      <c r="AE22920" s="54"/>
    </row>
    <row r="22921" spans="31:31">
      <c r="AE22921" s="54"/>
    </row>
    <row r="22922" spans="31:31">
      <c r="AE22922" s="54"/>
    </row>
    <row r="22923" spans="31:31">
      <c r="AE22923" s="54"/>
    </row>
    <row r="22924" spans="31:31">
      <c r="AE22924" s="54"/>
    </row>
    <row r="22925" spans="31:31">
      <c r="AE22925" s="54"/>
    </row>
    <row r="22926" spans="31:31">
      <c r="AE22926" s="54"/>
    </row>
    <row r="22927" spans="31:31">
      <c r="AE22927" s="54"/>
    </row>
    <row r="22928" spans="31:31">
      <c r="AE22928" s="54"/>
    </row>
    <row r="22929" spans="31:31">
      <c r="AE22929" s="54"/>
    </row>
    <row r="22930" spans="31:31">
      <c r="AE22930" s="54"/>
    </row>
    <row r="22931" spans="31:31">
      <c r="AE22931" s="54"/>
    </row>
    <row r="22932" spans="31:31">
      <c r="AE22932" s="54"/>
    </row>
    <row r="22933" spans="31:31">
      <c r="AE22933" s="54"/>
    </row>
    <row r="22934" spans="31:31">
      <c r="AE22934" s="54"/>
    </row>
    <row r="22935" spans="31:31">
      <c r="AE22935" s="54"/>
    </row>
    <row r="22936" spans="31:31">
      <c r="AE22936" s="54"/>
    </row>
    <row r="22937" spans="31:31">
      <c r="AE22937" s="54"/>
    </row>
    <row r="22938" spans="31:31">
      <c r="AE22938" s="54"/>
    </row>
    <row r="22939" spans="31:31">
      <c r="AE22939" s="54"/>
    </row>
    <row r="22940" spans="31:31">
      <c r="AE22940" s="54"/>
    </row>
    <row r="22941" spans="31:31">
      <c r="AE22941" s="54"/>
    </row>
    <row r="22942" spans="31:31">
      <c r="AE22942" s="54"/>
    </row>
    <row r="22943" spans="31:31">
      <c r="AE22943" s="54"/>
    </row>
    <row r="22944" spans="31:31">
      <c r="AE22944" s="54"/>
    </row>
    <row r="22945" spans="31:31">
      <c r="AE22945" s="54"/>
    </row>
    <row r="22946" spans="31:31">
      <c r="AE22946" s="54"/>
    </row>
    <row r="22947" spans="31:31">
      <c r="AE22947" s="54"/>
    </row>
    <row r="22948" spans="31:31">
      <c r="AE22948" s="54"/>
    </row>
    <row r="22949" spans="31:31">
      <c r="AE22949" s="54"/>
    </row>
    <row r="22950" spans="31:31">
      <c r="AE22950" s="54"/>
    </row>
    <row r="22951" spans="31:31">
      <c r="AE22951" s="54"/>
    </row>
    <row r="22952" spans="31:31">
      <c r="AE22952" s="54"/>
    </row>
    <row r="22953" spans="31:31">
      <c r="AE22953" s="54"/>
    </row>
    <row r="22954" spans="31:31">
      <c r="AE22954" s="54"/>
    </row>
    <row r="22955" spans="31:31">
      <c r="AE22955" s="54"/>
    </row>
    <row r="22956" spans="31:31">
      <c r="AE22956" s="54"/>
    </row>
    <row r="22957" spans="31:31">
      <c r="AE22957" s="54"/>
    </row>
    <row r="22958" spans="31:31">
      <c r="AE22958" s="54"/>
    </row>
    <row r="22959" spans="31:31">
      <c r="AE22959" s="54"/>
    </row>
    <row r="22960" spans="31:31">
      <c r="AE22960" s="54"/>
    </row>
    <row r="22961" spans="31:31">
      <c r="AE22961" s="54"/>
    </row>
    <row r="22962" spans="31:31">
      <c r="AE22962" s="54"/>
    </row>
    <row r="22963" spans="31:31">
      <c r="AE22963" s="54"/>
    </row>
    <row r="22964" spans="31:31">
      <c r="AE22964" s="54"/>
    </row>
    <row r="22965" spans="31:31">
      <c r="AE22965" s="54"/>
    </row>
    <row r="22966" spans="31:31">
      <c r="AE22966" s="54"/>
    </row>
    <row r="22967" spans="31:31">
      <c r="AE22967" s="54"/>
    </row>
    <row r="22968" spans="31:31">
      <c r="AE22968" s="54"/>
    </row>
    <row r="22969" spans="31:31">
      <c r="AE22969" s="54"/>
    </row>
    <row r="22970" spans="31:31">
      <c r="AE22970" s="54"/>
    </row>
    <row r="22971" spans="31:31">
      <c r="AE22971" s="54"/>
    </row>
    <row r="22972" spans="31:31">
      <c r="AE22972" s="54"/>
    </row>
    <row r="22973" spans="31:31">
      <c r="AE22973" s="54"/>
    </row>
    <row r="22974" spans="31:31">
      <c r="AE22974" s="54"/>
    </row>
    <row r="22975" spans="31:31">
      <c r="AE22975" s="54"/>
    </row>
    <row r="22976" spans="31:31">
      <c r="AE22976" s="54"/>
    </row>
    <row r="22977" spans="31:31">
      <c r="AE22977" s="54"/>
    </row>
    <row r="22978" spans="31:31">
      <c r="AE22978" s="54"/>
    </row>
    <row r="22979" spans="31:31">
      <c r="AE22979" s="54"/>
    </row>
    <row r="22980" spans="31:31">
      <c r="AE22980" s="54"/>
    </row>
    <row r="22981" spans="31:31">
      <c r="AE22981" s="54"/>
    </row>
    <row r="22982" spans="31:31">
      <c r="AE22982" s="54"/>
    </row>
    <row r="22983" spans="31:31">
      <c r="AE22983" s="54"/>
    </row>
    <row r="22984" spans="31:31">
      <c r="AE22984" s="54"/>
    </row>
    <row r="22985" spans="31:31">
      <c r="AE22985" s="54"/>
    </row>
    <row r="22986" spans="31:31">
      <c r="AE22986" s="54"/>
    </row>
    <row r="22987" spans="31:31">
      <c r="AE22987" s="54"/>
    </row>
    <row r="22988" spans="31:31">
      <c r="AE22988" s="54"/>
    </row>
    <row r="22989" spans="31:31">
      <c r="AE22989" s="54"/>
    </row>
    <row r="22990" spans="31:31">
      <c r="AE22990" s="54"/>
    </row>
    <row r="22991" spans="31:31">
      <c r="AE22991" s="54"/>
    </row>
    <row r="22992" spans="31:31">
      <c r="AE22992" s="54"/>
    </row>
    <row r="22993" spans="31:31">
      <c r="AE22993" s="54"/>
    </row>
    <row r="22994" spans="31:31">
      <c r="AE22994" s="54"/>
    </row>
    <row r="22995" spans="31:31">
      <c r="AE22995" s="54"/>
    </row>
    <row r="22996" spans="31:31">
      <c r="AE22996" s="54"/>
    </row>
    <row r="22997" spans="31:31">
      <c r="AE22997" s="54"/>
    </row>
    <row r="22998" spans="31:31">
      <c r="AE22998" s="54"/>
    </row>
    <row r="22999" spans="31:31">
      <c r="AE22999" s="54"/>
    </row>
    <row r="23000" spans="31:31">
      <c r="AE23000" s="54"/>
    </row>
    <row r="23001" spans="31:31">
      <c r="AE23001" s="54"/>
    </row>
    <row r="23002" spans="31:31">
      <c r="AE23002" s="54"/>
    </row>
    <row r="23003" spans="31:31">
      <c r="AE23003" s="54"/>
    </row>
    <row r="23004" spans="31:31">
      <c r="AE23004" s="54"/>
    </row>
    <row r="23005" spans="31:31">
      <c r="AE23005" s="54"/>
    </row>
    <row r="23006" spans="31:31">
      <c r="AE23006" s="54"/>
    </row>
    <row r="23007" spans="31:31">
      <c r="AE23007" s="54"/>
    </row>
    <row r="23008" spans="31:31">
      <c r="AE23008" s="54"/>
    </row>
    <row r="23009" spans="31:31">
      <c r="AE23009" s="54"/>
    </row>
    <row r="23010" spans="31:31">
      <c r="AE23010" s="54"/>
    </row>
    <row r="23011" spans="31:31">
      <c r="AE23011" s="54"/>
    </row>
    <row r="23012" spans="31:31">
      <c r="AE23012" s="54"/>
    </row>
    <row r="23013" spans="31:31">
      <c r="AE23013" s="54"/>
    </row>
    <row r="23014" spans="31:31">
      <c r="AE23014" s="54"/>
    </row>
    <row r="23015" spans="31:31">
      <c r="AE23015" s="54"/>
    </row>
    <row r="23016" spans="31:31">
      <c r="AE23016" s="54"/>
    </row>
    <row r="23017" spans="31:31">
      <c r="AE23017" s="54"/>
    </row>
    <row r="23018" spans="31:31">
      <c r="AE23018" s="54"/>
    </row>
    <row r="23019" spans="31:31">
      <c r="AE23019" s="54"/>
    </row>
    <row r="23020" spans="31:31">
      <c r="AE23020" s="54"/>
    </row>
    <row r="23021" spans="31:31">
      <c r="AE23021" s="54"/>
    </row>
    <row r="23022" spans="31:31">
      <c r="AE23022" s="54"/>
    </row>
    <row r="23023" spans="31:31">
      <c r="AE23023" s="54"/>
    </row>
    <row r="23024" spans="31:31">
      <c r="AE23024" s="54"/>
    </row>
    <row r="23025" spans="31:31">
      <c r="AE23025" s="54"/>
    </row>
    <row r="23026" spans="31:31">
      <c r="AE23026" s="54"/>
    </row>
    <row r="23027" spans="31:31">
      <c r="AE23027" s="54"/>
    </row>
    <row r="23028" spans="31:31">
      <c r="AE23028" s="54"/>
    </row>
    <row r="23029" spans="31:31">
      <c r="AE23029" s="54"/>
    </row>
    <row r="23030" spans="31:31">
      <c r="AE23030" s="54"/>
    </row>
    <row r="23031" spans="31:31">
      <c r="AE23031" s="54"/>
    </row>
    <row r="23032" spans="31:31">
      <c r="AE23032" s="54"/>
    </row>
    <row r="23033" spans="31:31">
      <c r="AE23033" s="54"/>
    </row>
    <row r="23034" spans="31:31">
      <c r="AE23034" s="54"/>
    </row>
    <row r="23035" spans="31:31">
      <c r="AE23035" s="54"/>
    </row>
    <row r="23036" spans="31:31">
      <c r="AE23036" s="54"/>
    </row>
    <row r="23037" spans="31:31">
      <c r="AE23037" s="54"/>
    </row>
    <row r="23038" spans="31:31">
      <c r="AE23038" s="54"/>
    </row>
    <row r="23039" spans="31:31">
      <c r="AE23039" s="54"/>
    </row>
    <row r="23040" spans="31:31">
      <c r="AE23040" s="54"/>
    </row>
    <row r="23041" spans="31:31">
      <c r="AE23041" s="54"/>
    </row>
    <row r="23042" spans="31:31">
      <c r="AE23042" s="54"/>
    </row>
    <row r="23043" spans="31:31">
      <c r="AE23043" s="54"/>
    </row>
    <row r="23044" spans="31:31">
      <c r="AE23044" s="54"/>
    </row>
    <row r="23045" spans="31:31">
      <c r="AE23045" s="54"/>
    </row>
    <row r="23046" spans="31:31">
      <c r="AE23046" s="54"/>
    </row>
    <row r="23047" spans="31:31">
      <c r="AE23047" s="54"/>
    </row>
    <row r="23048" spans="31:31">
      <c r="AE23048" s="54"/>
    </row>
    <row r="23049" spans="31:31">
      <c r="AE23049" s="54"/>
    </row>
    <row r="23050" spans="31:31">
      <c r="AE23050" s="54"/>
    </row>
    <row r="23051" spans="31:31">
      <c r="AE23051" s="54"/>
    </row>
    <row r="23052" spans="31:31">
      <c r="AE23052" s="54"/>
    </row>
    <row r="23053" spans="31:31">
      <c r="AE23053" s="54"/>
    </row>
    <row r="23054" spans="31:31">
      <c r="AE23054" s="54"/>
    </row>
    <row r="23055" spans="31:31">
      <c r="AE23055" s="54"/>
    </row>
    <row r="23056" spans="31:31">
      <c r="AE23056" s="54"/>
    </row>
    <row r="23057" spans="31:31">
      <c r="AE23057" s="54"/>
    </row>
    <row r="23058" spans="31:31">
      <c r="AE23058" s="54"/>
    </row>
    <row r="23059" spans="31:31">
      <c r="AE23059" s="54"/>
    </row>
    <row r="23060" spans="31:31">
      <c r="AE23060" s="54"/>
    </row>
    <row r="23061" spans="31:31">
      <c r="AE23061" s="54"/>
    </row>
    <row r="23062" spans="31:31">
      <c r="AE23062" s="54"/>
    </row>
    <row r="23063" spans="31:31">
      <c r="AE23063" s="54"/>
    </row>
    <row r="23064" spans="31:31">
      <c r="AE23064" s="54"/>
    </row>
    <row r="23065" spans="31:31">
      <c r="AE23065" s="54"/>
    </row>
    <row r="23066" spans="31:31">
      <c r="AE23066" s="54"/>
    </row>
    <row r="23067" spans="31:31">
      <c r="AE23067" s="54"/>
    </row>
    <row r="23068" spans="31:31">
      <c r="AE23068" s="54"/>
    </row>
    <row r="23069" spans="31:31">
      <c r="AE23069" s="54"/>
    </row>
    <row r="23070" spans="31:31">
      <c r="AE23070" s="54"/>
    </row>
    <row r="23071" spans="31:31">
      <c r="AE23071" s="54"/>
    </row>
    <row r="23072" spans="31:31">
      <c r="AE23072" s="54"/>
    </row>
    <row r="23073" spans="31:31">
      <c r="AE23073" s="54"/>
    </row>
    <row r="23074" spans="31:31">
      <c r="AE23074" s="54"/>
    </row>
    <row r="23075" spans="31:31">
      <c r="AE23075" s="54"/>
    </row>
    <row r="23076" spans="31:31">
      <c r="AE23076" s="54"/>
    </row>
    <row r="23077" spans="31:31">
      <c r="AE23077" s="54"/>
    </row>
    <row r="23078" spans="31:31">
      <c r="AE23078" s="54"/>
    </row>
    <row r="23079" spans="31:31">
      <c r="AE23079" s="54"/>
    </row>
    <row r="23080" spans="31:31">
      <c r="AE23080" s="54"/>
    </row>
    <row r="23081" spans="31:31">
      <c r="AE23081" s="54"/>
    </row>
    <row r="23082" spans="31:31">
      <c r="AE23082" s="54"/>
    </row>
    <row r="23083" spans="31:31">
      <c r="AE23083" s="54"/>
    </row>
    <row r="23084" spans="31:31">
      <c r="AE23084" s="54"/>
    </row>
    <row r="23085" spans="31:31">
      <c r="AE23085" s="54"/>
    </row>
    <row r="23086" spans="31:31">
      <c r="AE23086" s="54"/>
    </row>
    <row r="23087" spans="31:31">
      <c r="AE23087" s="54"/>
    </row>
    <row r="23088" spans="31:31">
      <c r="AE23088" s="54"/>
    </row>
    <row r="23089" spans="31:31">
      <c r="AE23089" s="54"/>
    </row>
    <row r="23090" spans="31:31">
      <c r="AE23090" s="54"/>
    </row>
    <row r="23091" spans="31:31">
      <c r="AE23091" s="54"/>
    </row>
    <row r="23092" spans="31:31">
      <c r="AE23092" s="54"/>
    </row>
    <row r="23093" spans="31:31">
      <c r="AE23093" s="54"/>
    </row>
    <row r="23094" spans="31:31">
      <c r="AE23094" s="54"/>
    </row>
    <row r="23095" spans="31:31">
      <c r="AE23095" s="54"/>
    </row>
    <row r="23096" spans="31:31">
      <c r="AE23096" s="54"/>
    </row>
    <row r="23097" spans="31:31">
      <c r="AE23097" s="54"/>
    </row>
    <row r="23098" spans="31:31">
      <c r="AE23098" s="54"/>
    </row>
    <row r="23099" spans="31:31">
      <c r="AE23099" s="54"/>
    </row>
    <row r="23100" spans="31:31">
      <c r="AE23100" s="54"/>
    </row>
    <row r="23101" spans="31:31">
      <c r="AE23101" s="54"/>
    </row>
    <row r="23102" spans="31:31">
      <c r="AE23102" s="54"/>
    </row>
    <row r="23103" spans="31:31">
      <c r="AE23103" s="54"/>
    </row>
    <row r="23104" spans="31:31">
      <c r="AE23104" s="54"/>
    </row>
    <row r="23105" spans="31:31">
      <c r="AE23105" s="54"/>
    </row>
    <row r="23106" spans="31:31">
      <c r="AE23106" s="54"/>
    </row>
    <row r="23107" spans="31:31">
      <c r="AE23107" s="54"/>
    </row>
    <row r="23108" spans="31:31">
      <c r="AE23108" s="54"/>
    </row>
    <row r="23109" spans="31:31">
      <c r="AE23109" s="54"/>
    </row>
    <row r="23110" spans="31:31">
      <c r="AE23110" s="54"/>
    </row>
    <row r="23111" spans="31:31">
      <c r="AE23111" s="54"/>
    </row>
    <row r="23112" spans="31:31">
      <c r="AE23112" s="54"/>
    </row>
    <row r="23113" spans="31:31">
      <c r="AE23113" s="54"/>
    </row>
    <row r="23114" spans="31:31">
      <c r="AE23114" s="54"/>
    </row>
    <row r="23115" spans="31:31">
      <c r="AE23115" s="54"/>
    </row>
    <row r="23116" spans="31:31">
      <c r="AE23116" s="54"/>
    </row>
    <row r="23117" spans="31:31">
      <c r="AE23117" s="54"/>
    </row>
    <row r="23118" spans="31:31">
      <c r="AE23118" s="54"/>
    </row>
    <row r="23119" spans="31:31">
      <c r="AE23119" s="54"/>
    </row>
    <row r="23120" spans="31:31">
      <c r="AE23120" s="54"/>
    </row>
    <row r="23121" spans="31:31">
      <c r="AE23121" s="54"/>
    </row>
    <row r="23122" spans="31:31">
      <c r="AE23122" s="54"/>
    </row>
    <row r="23123" spans="31:31">
      <c r="AE23123" s="54"/>
    </row>
    <row r="23124" spans="31:31">
      <c r="AE23124" s="54"/>
    </row>
    <row r="23125" spans="31:31">
      <c r="AE23125" s="54"/>
    </row>
    <row r="23126" spans="31:31">
      <c r="AE23126" s="54"/>
    </row>
    <row r="23127" spans="31:31">
      <c r="AE23127" s="54"/>
    </row>
    <row r="23128" spans="31:31">
      <c r="AE23128" s="54"/>
    </row>
    <row r="23129" spans="31:31">
      <c r="AE23129" s="54"/>
    </row>
    <row r="23130" spans="31:31">
      <c r="AE23130" s="54"/>
    </row>
    <row r="23131" spans="31:31">
      <c r="AE23131" s="54"/>
    </row>
    <row r="23132" spans="31:31">
      <c r="AE23132" s="54"/>
    </row>
    <row r="23133" spans="31:31">
      <c r="AE23133" s="54"/>
    </row>
    <row r="23134" spans="31:31">
      <c r="AE23134" s="54"/>
    </row>
    <row r="23135" spans="31:31">
      <c r="AE23135" s="54"/>
    </row>
    <row r="23136" spans="31:31">
      <c r="AE23136" s="54"/>
    </row>
    <row r="23137" spans="31:31">
      <c r="AE23137" s="54"/>
    </row>
    <row r="23138" spans="31:31">
      <c r="AE23138" s="54"/>
    </row>
    <row r="23139" spans="31:31">
      <c r="AE23139" s="54"/>
    </row>
    <row r="23140" spans="31:31">
      <c r="AE23140" s="54"/>
    </row>
    <row r="23141" spans="31:31">
      <c r="AE23141" s="54"/>
    </row>
    <row r="23142" spans="31:31">
      <c r="AE23142" s="54"/>
    </row>
    <row r="23143" spans="31:31">
      <c r="AE23143" s="54"/>
    </row>
    <row r="23144" spans="31:31">
      <c r="AE23144" s="54"/>
    </row>
    <row r="23145" spans="31:31">
      <c r="AE23145" s="54"/>
    </row>
    <row r="23146" spans="31:31">
      <c r="AE23146" s="54"/>
    </row>
    <row r="23147" spans="31:31">
      <c r="AE23147" s="54"/>
    </row>
    <row r="23148" spans="31:31">
      <c r="AE23148" s="54"/>
    </row>
    <row r="23149" spans="31:31">
      <c r="AE23149" s="54"/>
    </row>
    <row r="23150" spans="31:31">
      <c r="AE23150" s="54"/>
    </row>
    <row r="23151" spans="31:31">
      <c r="AE23151" s="54"/>
    </row>
    <row r="23152" spans="31:31">
      <c r="AE23152" s="54"/>
    </row>
    <row r="23153" spans="31:31">
      <c r="AE23153" s="54"/>
    </row>
    <row r="23154" spans="31:31">
      <c r="AE23154" s="54"/>
    </row>
    <row r="23155" spans="31:31">
      <c r="AE23155" s="54"/>
    </row>
    <row r="23156" spans="31:31">
      <c r="AE23156" s="54"/>
    </row>
    <row r="23157" spans="31:31">
      <c r="AE23157" s="54"/>
    </row>
    <row r="23158" spans="31:31">
      <c r="AE23158" s="54"/>
    </row>
    <row r="23159" spans="31:31">
      <c r="AE23159" s="54"/>
    </row>
    <row r="23160" spans="31:31">
      <c r="AE23160" s="54"/>
    </row>
    <row r="23161" spans="31:31">
      <c r="AE23161" s="54"/>
    </row>
    <row r="23162" spans="31:31">
      <c r="AE23162" s="54"/>
    </row>
    <row r="23163" spans="31:31">
      <c r="AE23163" s="54"/>
    </row>
    <row r="23164" spans="31:31">
      <c r="AE23164" s="54"/>
    </row>
    <row r="23165" spans="31:31">
      <c r="AE23165" s="54"/>
    </row>
    <row r="23166" spans="31:31">
      <c r="AE23166" s="54"/>
    </row>
    <row r="23167" spans="31:31">
      <c r="AE23167" s="54"/>
    </row>
    <row r="23168" spans="31:31">
      <c r="AE23168" s="54"/>
    </row>
    <row r="23169" spans="31:31">
      <c r="AE23169" s="54"/>
    </row>
    <row r="23170" spans="31:31">
      <c r="AE23170" s="54"/>
    </row>
    <row r="23171" spans="31:31">
      <c r="AE23171" s="54"/>
    </row>
    <row r="23172" spans="31:31">
      <c r="AE23172" s="54"/>
    </row>
    <row r="23173" spans="31:31">
      <c r="AE23173" s="54"/>
    </row>
    <row r="23174" spans="31:31">
      <c r="AE23174" s="54"/>
    </row>
    <row r="23175" spans="31:31">
      <c r="AE23175" s="54"/>
    </row>
    <row r="23176" spans="31:31">
      <c r="AE23176" s="54"/>
    </row>
    <row r="23177" spans="31:31">
      <c r="AE23177" s="54"/>
    </row>
    <row r="23178" spans="31:31">
      <c r="AE23178" s="54"/>
    </row>
    <row r="23179" spans="31:31">
      <c r="AE23179" s="54"/>
    </row>
    <row r="23180" spans="31:31">
      <c r="AE23180" s="54"/>
    </row>
    <row r="23181" spans="31:31">
      <c r="AE23181" s="54"/>
    </row>
    <row r="23182" spans="31:31">
      <c r="AE23182" s="54"/>
    </row>
    <row r="23183" spans="31:31">
      <c r="AE23183" s="54"/>
    </row>
    <row r="23184" spans="31:31">
      <c r="AE23184" s="54"/>
    </row>
    <row r="23185" spans="31:31">
      <c r="AE23185" s="54"/>
    </row>
    <row r="23186" spans="31:31">
      <c r="AE23186" s="54"/>
    </row>
    <row r="23187" spans="31:31">
      <c r="AE23187" s="54"/>
    </row>
    <row r="23188" spans="31:31">
      <c r="AE23188" s="54"/>
    </row>
    <row r="23189" spans="31:31">
      <c r="AE23189" s="54"/>
    </row>
    <row r="23190" spans="31:31">
      <c r="AE23190" s="54"/>
    </row>
    <row r="23191" spans="31:31">
      <c r="AE23191" s="54"/>
    </row>
    <row r="23192" spans="31:31">
      <c r="AE23192" s="54"/>
    </row>
    <row r="23193" spans="31:31">
      <c r="AE23193" s="54"/>
    </row>
    <row r="23194" spans="31:31">
      <c r="AE23194" s="54"/>
    </row>
    <row r="23195" spans="31:31">
      <c r="AE23195" s="54"/>
    </row>
    <row r="23196" spans="31:31">
      <c r="AE23196" s="54"/>
    </row>
    <row r="23197" spans="31:31">
      <c r="AE23197" s="54"/>
    </row>
    <row r="23198" spans="31:31">
      <c r="AE23198" s="54"/>
    </row>
    <row r="23199" spans="31:31">
      <c r="AE23199" s="54"/>
    </row>
    <row r="23200" spans="31:31">
      <c r="AE23200" s="54"/>
    </row>
    <row r="23201" spans="31:31">
      <c r="AE23201" s="54"/>
    </row>
    <row r="23202" spans="31:31">
      <c r="AE23202" s="54"/>
    </row>
    <row r="23203" spans="31:31">
      <c r="AE23203" s="54"/>
    </row>
    <row r="23204" spans="31:31">
      <c r="AE23204" s="54"/>
    </row>
    <row r="23205" spans="31:31">
      <c r="AE23205" s="54"/>
    </row>
    <row r="23206" spans="31:31">
      <c r="AE23206" s="54"/>
    </row>
    <row r="23207" spans="31:31">
      <c r="AE23207" s="54"/>
    </row>
    <row r="23208" spans="31:31">
      <c r="AE23208" s="54"/>
    </row>
    <row r="23209" spans="31:31">
      <c r="AE23209" s="54"/>
    </row>
    <row r="23210" spans="31:31">
      <c r="AE23210" s="54"/>
    </row>
    <row r="23211" spans="31:31">
      <c r="AE23211" s="54"/>
    </row>
    <row r="23212" spans="31:31">
      <c r="AE23212" s="54"/>
    </row>
    <row r="23213" spans="31:31">
      <c r="AE23213" s="54"/>
    </row>
    <row r="23214" spans="31:31">
      <c r="AE23214" s="54"/>
    </row>
    <row r="23215" spans="31:31">
      <c r="AE23215" s="54"/>
    </row>
    <row r="23216" spans="31:31">
      <c r="AE23216" s="54"/>
    </row>
    <row r="23217" spans="31:31">
      <c r="AE23217" s="54"/>
    </row>
    <row r="23218" spans="31:31">
      <c r="AE23218" s="54"/>
    </row>
    <row r="23219" spans="31:31">
      <c r="AE23219" s="54"/>
    </row>
    <row r="23220" spans="31:31">
      <c r="AE23220" s="54"/>
    </row>
    <row r="23221" spans="31:31">
      <c r="AE23221" s="54"/>
    </row>
    <row r="23222" spans="31:31">
      <c r="AE23222" s="54"/>
    </row>
    <row r="23223" spans="31:31">
      <c r="AE23223" s="54"/>
    </row>
    <row r="23224" spans="31:31">
      <c r="AE23224" s="54"/>
    </row>
    <row r="23225" spans="31:31">
      <c r="AE23225" s="54"/>
    </row>
    <row r="23226" spans="31:31">
      <c r="AE23226" s="54"/>
    </row>
    <row r="23227" spans="31:31">
      <c r="AE23227" s="54"/>
    </row>
    <row r="23228" spans="31:31">
      <c r="AE23228" s="54"/>
    </row>
    <row r="23229" spans="31:31">
      <c r="AE23229" s="54"/>
    </row>
    <row r="23230" spans="31:31">
      <c r="AE23230" s="54"/>
    </row>
    <row r="23231" spans="31:31">
      <c r="AE23231" s="54"/>
    </row>
    <row r="23232" spans="31:31">
      <c r="AE23232" s="54"/>
    </row>
    <row r="23233" spans="31:31">
      <c r="AE23233" s="54"/>
    </row>
    <row r="23234" spans="31:31">
      <c r="AE23234" s="54"/>
    </row>
    <row r="23235" spans="31:31">
      <c r="AE23235" s="54"/>
    </row>
    <row r="23236" spans="31:31">
      <c r="AE23236" s="54"/>
    </row>
    <row r="23237" spans="31:31">
      <c r="AE23237" s="54"/>
    </row>
    <row r="23238" spans="31:31">
      <c r="AE23238" s="54"/>
    </row>
    <row r="23239" spans="31:31">
      <c r="AE23239" s="54"/>
    </row>
    <row r="23240" spans="31:31">
      <c r="AE23240" s="54"/>
    </row>
    <row r="23241" spans="31:31">
      <c r="AE23241" s="54"/>
    </row>
    <row r="23242" spans="31:31">
      <c r="AE23242" s="54"/>
    </row>
    <row r="23243" spans="31:31">
      <c r="AE23243" s="54"/>
    </row>
    <row r="23244" spans="31:31">
      <c r="AE23244" s="54"/>
    </row>
    <row r="23245" spans="31:31">
      <c r="AE23245" s="54"/>
    </row>
    <row r="23246" spans="31:31">
      <c r="AE23246" s="54"/>
    </row>
    <row r="23247" spans="31:31">
      <c r="AE23247" s="54"/>
    </row>
    <row r="23248" spans="31:31">
      <c r="AE23248" s="54"/>
    </row>
    <row r="23249" spans="31:31">
      <c r="AE23249" s="54"/>
    </row>
    <row r="23250" spans="31:31">
      <c r="AE23250" s="54"/>
    </row>
    <row r="23251" spans="31:31">
      <c r="AE23251" s="54"/>
    </row>
    <row r="23252" spans="31:31">
      <c r="AE23252" s="54"/>
    </row>
    <row r="23253" spans="31:31">
      <c r="AE23253" s="54"/>
    </row>
    <row r="23254" spans="31:31">
      <c r="AE23254" s="54"/>
    </row>
    <row r="23255" spans="31:31">
      <c r="AE23255" s="54"/>
    </row>
    <row r="23256" spans="31:31">
      <c r="AE23256" s="54"/>
    </row>
    <row r="23257" spans="31:31">
      <c r="AE23257" s="54"/>
    </row>
    <row r="23258" spans="31:31">
      <c r="AE23258" s="54"/>
    </row>
    <row r="23259" spans="31:31">
      <c r="AE23259" s="54"/>
    </row>
    <row r="23260" spans="31:31">
      <c r="AE23260" s="54"/>
    </row>
    <row r="23261" spans="31:31">
      <c r="AE23261" s="54"/>
    </row>
    <row r="23262" spans="31:31">
      <c r="AE23262" s="54"/>
    </row>
    <row r="23263" spans="31:31">
      <c r="AE23263" s="54"/>
    </row>
    <row r="23264" spans="31:31">
      <c r="AE23264" s="54"/>
    </row>
    <row r="23265" spans="31:31">
      <c r="AE23265" s="54"/>
    </row>
    <row r="23266" spans="31:31">
      <c r="AE23266" s="54"/>
    </row>
    <row r="23267" spans="31:31">
      <c r="AE23267" s="54"/>
    </row>
    <row r="23268" spans="31:31">
      <c r="AE23268" s="54"/>
    </row>
    <row r="23269" spans="31:31">
      <c r="AE23269" s="54"/>
    </row>
    <row r="23270" spans="31:31">
      <c r="AE23270" s="54"/>
    </row>
    <row r="23271" spans="31:31">
      <c r="AE23271" s="54"/>
    </row>
    <row r="23272" spans="31:31">
      <c r="AE23272" s="54"/>
    </row>
    <row r="23273" spans="31:31">
      <c r="AE23273" s="54"/>
    </row>
    <row r="23274" spans="31:31">
      <c r="AE23274" s="54"/>
    </row>
    <row r="23275" spans="31:31">
      <c r="AE23275" s="54"/>
    </row>
    <row r="23276" spans="31:31">
      <c r="AE23276" s="54"/>
    </row>
    <row r="23277" spans="31:31">
      <c r="AE23277" s="54"/>
    </row>
    <row r="23278" spans="31:31">
      <c r="AE23278" s="54"/>
    </row>
    <row r="23279" spans="31:31">
      <c r="AE23279" s="54"/>
    </row>
    <row r="23280" spans="31:31">
      <c r="AE23280" s="54"/>
    </row>
    <row r="23281" spans="31:31">
      <c r="AE23281" s="54"/>
    </row>
    <row r="23282" spans="31:31">
      <c r="AE23282" s="54"/>
    </row>
    <row r="23283" spans="31:31">
      <c r="AE23283" s="54"/>
    </row>
    <row r="23284" spans="31:31">
      <c r="AE23284" s="54"/>
    </row>
    <row r="23285" spans="31:31">
      <c r="AE23285" s="54"/>
    </row>
    <row r="23286" spans="31:31">
      <c r="AE23286" s="54"/>
    </row>
    <row r="23287" spans="31:31">
      <c r="AE23287" s="54"/>
    </row>
    <row r="23288" spans="31:31">
      <c r="AE23288" s="54"/>
    </row>
    <row r="23289" spans="31:31">
      <c r="AE23289" s="54"/>
    </row>
    <row r="23290" spans="31:31">
      <c r="AE23290" s="54"/>
    </row>
    <row r="23291" spans="31:31">
      <c r="AE23291" s="54"/>
    </row>
    <row r="23292" spans="31:31">
      <c r="AE23292" s="54"/>
    </row>
    <row r="23293" spans="31:31">
      <c r="AE23293" s="54"/>
    </row>
    <row r="23294" spans="31:31">
      <c r="AE23294" s="54"/>
    </row>
    <row r="23295" spans="31:31">
      <c r="AE23295" s="54"/>
    </row>
    <row r="23296" spans="31:31">
      <c r="AE23296" s="54"/>
    </row>
    <row r="23297" spans="31:31">
      <c r="AE23297" s="54"/>
    </row>
    <row r="23298" spans="31:31">
      <c r="AE23298" s="54"/>
    </row>
    <row r="23299" spans="31:31">
      <c r="AE23299" s="54"/>
    </row>
    <row r="23300" spans="31:31">
      <c r="AE23300" s="54"/>
    </row>
    <row r="23301" spans="31:31">
      <c r="AE23301" s="54"/>
    </row>
    <row r="23302" spans="31:31">
      <c r="AE23302" s="54"/>
    </row>
    <row r="23303" spans="31:31">
      <c r="AE23303" s="54"/>
    </row>
    <row r="23304" spans="31:31">
      <c r="AE23304" s="54"/>
    </row>
    <row r="23305" spans="31:31">
      <c r="AE23305" s="54"/>
    </row>
    <row r="23306" spans="31:31">
      <c r="AE23306" s="54"/>
    </row>
    <row r="23307" spans="31:31">
      <c r="AE23307" s="54"/>
    </row>
    <row r="23308" spans="31:31">
      <c r="AE23308" s="54"/>
    </row>
    <row r="23309" spans="31:31">
      <c r="AE23309" s="54"/>
    </row>
    <row r="23310" spans="31:31">
      <c r="AE23310" s="54"/>
    </row>
    <row r="23311" spans="31:31">
      <c r="AE23311" s="54"/>
    </row>
    <row r="23312" spans="31:31">
      <c r="AE23312" s="54"/>
    </row>
    <row r="23313" spans="31:31">
      <c r="AE23313" s="54"/>
    </row>
    <row r="23314" spans="31:31">
      <c r="AE23314" s="54"/>
    </row>
    <row r="23315" spans="31:31">
      <c r="AE23315" s="54"/>
    </row>
    <row r="23316" spans="31:31">
      <c r="AE23316" s="54"/>
    </row>
    <row r="23317" spans="31:31">
      <c r="AE23317" s="54"/>
    </row>
    <row r="23318" spans="31:31">
      <c r="AE23318" s="54"/>
    </row>
    <row r="23319" spans="31:31">
      <c r="AE23319" s="54"/>
    </row>
    <row r="23320" spans="31:31">
      <c r="AE23320" s="54"/>
    </row>
    <row r="23321" spans="31:31">
      <c r="AE23321" s="54"/>
    </row>
    <row r="23322" spans="31:31">
      <c r="AE23322" s="54"/>
    </row>
    <row r="23323" spans="31:31">
      <c r="AE23323" s="54"/>
    </row>
    <row r="23324" spans="31:31">
      <c r="AE23324" s="54"/>
    </row>
    <row r="23325" spans="31:31">
      <c r="AE23325" s="54"/>
    </row>
    <row r="23326" spans="31:31">
      <c r="AE23326" s="54"/>
    </row>
    <row r="23327" spans="31:31">
      <c r="AE23327" s="54"/>
    </row>
    <row r="23328" spans="31:31">
      <c r="AE23328" s="54"/>
    </row>
    <row r="23329" spans="31:31">
      <c r="AE23329" s="54"/>
    </row>
    <row r="23330" spans="31:31">
      <c r="AE23330" s="54"/>
    </row>
    <row r="23331" spans="31:31">
      <c r="AE23331" s="54"/>
    </row>
    <row r="23332" spans="31:31">
      <c r="AE23332" s="54"/>
    </row>
    <row r="23333" spans="31:31">
      <c r="AE23333" s="54"/>
    </row>
    <row r="23334" spans="31:31">
      <c r="AE23334" s="54"/>
    </row>
    <row r="23335" spans="31:31">
      <c r="AE23335" s="54"/>
    </row>
    <row r="23336" spans="31:31">
      <c r="AE23336" s="54"/>
    </row>
    <row r="23337" spans="31:31">
      <c r="AE23337" s="54"/>
    </row>
    <row r="23338" spans="31:31">
      <c r="AE23338" s="54"/>
    </row>
    <row r="23339" spans="31:31">
      <c r="AE23339" s="54"/>
    </row>
    <row r="23340" spans="31:31">
      <c r="AE23340" s="54"/>
    </row>
    <row r="23341" spans="31:31">
      <c r="AE23341" s="54"/>
    </row>
    <row r="23342" spans="31:31">
      <c r="AE23342" s="54"/>
    </row>
    <row r="23343" spans="31:31">
      <c r="AE23343" s="54"/>
    </row>
    <row r="23344" spans="31:31">
      <c r="AE23344" s="54"/>
    </row>
    <row r="23345" spans="31:31">
      <c r="AE23345" s="54"/>
    </row>
    <row r="23346" spans="31:31">
      <c r="AE23346" s="54"/>
    </row>
    <row r="23347" spans="31:31">
      <c r="AE23347" s="54"/>
    </row>
    <row r="23348" spans="31:31">
      <c r="AE23348" s="54"/>
    </row>
    <row r="23349" spans="31:31">
      <c r="AE23349" s="54"/>
    </row>
    <row r="23350" spans="31:31">
      <c r="AE23350" s="54"/>
    </row>
    <row r="23351" spans="31:31">
      <c r="AE23351" s="54"/>
    </row>
    <row r="23352" spans="31:31">
      <c r="AE23352" s="54"/>
    </row>
    <row r="23353" spans="31:31">
      <c r="AE23353" s="54"/>
    </row>
    <row r="23354" spans="31:31">
      <c r="AE23354" s="54"/>
    </row>
    <row r="23355" spans="31:31">
      <c r="AE23355" s="54"/>
    </row>
    <row r="23356" spans="31:31">
      <c r="AE23356" s="54"/>
    </row>
    <row r="23357" spans="31:31">
      <c r="AE23357" s="54"/>
    </row>
    <row r="23358" spans="31:31">
      <c r="AE23358" s="54"/>
    </row>
    <row r="23359" spans="31:31">
      <c r="AE23359" s="54"/>
    </row>
    <row r="23360" spans="31:31">
      <c r="AE23360" s="54"/>
    </row>
    <row r="23361" spans="31:31">
      <c r="AE23361" s="54"/>
    </row>
    <row r="23362" spans="31:31">
      <c r="AE23362" s="54"/>
    </row>
    <row r="23363" spans="31:31">
      <c r="AE23363" s="54"/>
    </row>
    <row r="23364" spans="31:31">
      <c r="AE23364" s="54"/>
    </row>
    <row r="23365" spans="31:31">
      <c r="AE23365" s="54"/>
    </row>
    <row r="23366" spans="31:31">
      <c r="AE23366" s="54"/>
    </row>
    <row r="23367" spans="31:31">
      <c r="AE23367" s="54"/>
    </row>
    <row r="23368" spans="31:31">
      <c r="AE23368" s="54"/>
    </row>
    <row r="23369" spans="31:31">
      <c r="AE23369" s="54"/>
    </row>
    <row r="23370" spans="31:31">
      <c r="AE23370" s="54"/>
    </row>
    <row r="23371" spans="31:31">
      <c r="AE23371" s="54"/>
    </row>
    <row r="23372" spans="31:31">
      <c r="AE23372" s="54"/>
    </row>
    <row r="23373" spans="31:31">
      <c r="AE23373" s="54"/>
    </row>
    <row r="23374" spans="31:31">
      <c r="AE23374" s="54"/>
    </row>
    <row r="23375" spans="31:31">
      <c r="AE23375" s="54"/>
    </row>
    <row r="23376" spans="31:31">
      <c r="AE23376" s="54"/>
    </row>
    <row r="23377" spans="31:31">
      <c r="AE23377" s="54"/>
    </row>
    <row r="23378" spans="31:31">
      <c r="AE23378" s="54"/>
    </row>
    <row r="23379" spans="31:31">
      <c r="AE23379" s="54"/>
    </row>
    <row r="23380" spans="31:31">
      <c r="AE23380" s="54"/>
    </row>
    <row r="23381" spans="31:31">
      <c r="AE23381" s="54"/>
    </row>
    <row r="23382" spans="31:31">
      <c r="AE23382" s="54"/>
    </row>
    <row r="23383" spans="31:31">
      <c r="AE23383" s="54"/>
    </row>
    <row r="23384" spans="31:31">
      <c r="AE23384" s="54"/>
    </row>
    <row r="23385" spans="31:31">
      <c r="AE23385" s="54"/>
    </row>
    <row r="23386" spans="31:31">
      <c r="AE23386" s="54"/>
    </row>
    <row r="23387" spans="31:31">
      <c r="AE23387" s="54"/>
    </row>
    <row r="23388" spans="31:31">
      <c r="AE23388" s="54"/>
    </row>
    <row r="23389" spans="31:31">
      <c r="AE23389" s="54"/>
    </row>
    <row r="23390" spans="31:31">
      <c r="AE23390" s="54"/>
    </row>
    <row r="23391" spans="31:31">
      <c r="AE23391" s="54"/>
    </row>
    <row r="23392" spans="31:31">
      <c r="AE23392" s="54"/>
    </row>
    <row r="23393" spans="31:31">
      <c r="AE23393" s="54"/>
    </row>
    <row r="23394" spans="31:31">
      <c r="AE23394" s="54"/>
    </row>
    <row r="23395" spans="31:31">
      <c r="AE23395" s="54"/>
    </row>
    <row r="23396" spans="31:31">
      <c r="AE23396" s="54"/>
    </row>
    <row r="23397" spans="31:31">
      <c r="AE23397" s="54"/>
    </row>
    <row r="23398" spans="31:31">
      <c r="AE23398" s="54"/>
    </row>
    <row r="23399" spans="31:31">
      <c r="AE23399" s="54"/>
    </row>
    <row r="23400" spans="31:31">
      <c r="AE23400" s="54"/>
    </row>
    <row r="23401" spans="31:31">
      <c r="AE23401" s="54"/>
    </row>
    <row r="23402" spans="31:31">
      <c r="AE23402" s="54"/>
    </row>
    <row r="23403" spans="31:31">
      <c r="AE23403" s="54"/>
    </row>
    <row r="23404" spans="31:31">
      <c r="AE23404" s="54"/>
    </row>
    <row r="23405" spans="31:31">
      <c r="AE23405" s="54"/>
    </row>
    <row r="23406" spans="31:31">
      <c r="AE23406" s="54"/>
    </row>
    <row r="23407" spans="31:31">
      <c r="AE23407" s="54"/>
    </row>
    <row r="23408" spans="31:31">
      <c r="AE23408" s="54"/>
    </row>
    <row r="23409" spans="31:31">
      <c r="AE23409" s="54"/>
    </row>
    <row r="23410" spans="31:31">
      <c r="AE23410" s="54"/>
    </row>
    <row r="23411" spans="31:31">
      <c r="AE23411" s="54"/>
    </row>
    <row r="23412" spans="31:31">
      <c r="AE23412" s="54"/>
    </row>
    <row r="23413" spans="31:31">
      <c r="AE23413" s="54"/>
    </row>
    <row r="23414" spans="31:31">
      <c r="AE23414" s="54"/>
    </row>
    <row r="23415" spans="31:31">
      <c r="AE23415" s="54"/>
    </row>
    <row r="23416" spans="31:31">
      <c r="AE23416" s="54"/>
    </row>
    <row r="23417" spans="31:31">
      <c r="AE23417" s="54"/>
    </row>
    <row r="23418" spans="31:31">
      <c r="AE23418" s="54"/>
    </row>
    <row r="23419" spans="31:31">
      <c r="AE23419" s="54"/>
    </row>
    <row r="23420" spans="31:31">
      <c r="AE23420" s="54"/>
    </row>
    <row r="23421" spans="31:31">
      <c r="AE23421" s="54"/>
    </row>
    <row r="23422" spans="31:31">
      <c r="AE23422" s="54"/>
    </row>
    <row r="23423" spans="31:31">
      <c r="AE23423" s="54"/>
    </row>
    <row r="23424" spans="31:31">
      <c r="AE23424" s="54"/>
    </row>
    <row r="23425" spans="31:31">
      <c r="AE23425" s="54"/>
    </row>
    <row r="23426" spans="31:31">
      <c r="AE23426" s="54"/>
    </row>
    <row r="23427" spans="31:31">
      <c r="AE23427" s="54"/>
    </row>
    <row r="23428" spans="31:31">
      <c r="AE23428" s="54"/>
    </row>
    <row r="23429" spans="31:31">
      <c r="AE23429" s="54"/>
    </row>
    <row r="23430" spans="31:31">
      <c r="AE23430" s="54"/>
    </row>
    <row r="23431" spans="31:31">
      <c r="AE23431" s="54"/>
    </row>
    <row r="23432" spans="31:31">
      <c r="AE23432" s="54"/>
    </row>
    <row r="23433" spans="31:31">
      <c r="AE23433" s="54"/>
    </row>
    <row r="23434" spans="31:31">
      <c r="AE23434" s="54"/>
    </row>
    <row r="23435" spans="31:31">
      <c r="AE23435" s="54"/>
    </row>
    <row r="23436" spans="31:31">
      <c r="AE23436" s="54"/>
    </row>
    <row r="23437" spans="31:31">
      <c r="AE23437" s="54"/>
    </row>
    <row r="23438" spans="31:31">
      <c r="AE23438" s="54"/>
    </row>
    <row r="23439" spans="31:31">
      <c r="AE23439" s="54"/>
    </row>
    <row r="23440" spans="31:31">
      <c r="AE23440" s="54"/>
    </row>
    <row r="23441" spans="31:31">
      <c r="AE23441" s="54"/>
    </row>
    <row r="23442" spans="31:31">
      <c r="AE23442" s="54"/>
    </row>
    <row r="23443" spans="31:31">
      <c r="AE23443" s="54"/>
    </row>
    <row r="23444" spans="31:31">
      <c r="AE23444" s="54"/>
    </row>
    <row r="23445" spans="31:31">
      <c r="AE23445" s="54"/>
    </row>
    <row r="23446" spans="31:31">
      <c r="AE23446" s="54"/>
    </row>
    <row r="23447" spans="31:31">
      <c r="AE23447" s="54"/>
    </row>
    <row r="23448" spans="31:31">
      <c r="AE23448" s="54"/>
    </row>
    <row r="23449" spans="31:31">
      <c r="AE23449" s="54"/>
    </row>
    <row r="23450" spans="31:31">
      <c r="AE23450" s="54"/>
    </row>
    <row r="23451" spans="31:31">
      <c r="AE23451" s="54"/>
    </row>
    <row r="23452" spans="31:31">
      <c r="AE23452" s="54"/>
    </row>
    <row r="23453" spans="31:31">
      <c r="AE23453" s="54"/>
    </row>
    <row r="23454" spans="31:31">
      <c r="AE23454" s="54"/>
    </row>
    <row r="23455" spans="31:31">
      <c r="AE23455" s="54"/>
    </row>
    <row r="23456" spans="31:31">
      <c r="AE23456" s="54"/>
    </row>
    <row r="23457" spans="31:31">
      <c r="AE23457" s="54"/>
    </row>
    <row r="23458" spans="31:31">
      <c r="AE23458" s="54"/>
    </row>
    <row r="23459" spans="31:31">
      <c r="AE23459" s="54"/>
    </row>
    <row r="23460" spans="31:31">
      <c r="AE23460" s="54"/>
    </row>
    <row r="23461" spans="31:31">
      <c r="AE23461" s="54"/>
    </row>
    <row r="23462" spans="31:31">
      <c r="AE23462" s="54"/>
    </row>
    <row r="23463" spans="31:31">
      <c r="AE23463" s="54"/>
    </row>
    <row r="23464" spans="31:31">
      <c r="AE23464" s="54"/>
    </row>
    <row r="23465" spans="31:31">
      <c r="AE23465" s="54"/>
    </row>
    <row r="23466" spans="31:31">
      <c r="AE23466" s="54"/>
    </row>
    <row r="23467" spans="31:31">
      <c r="AE23467" s="54"/>
    </row>
    <row r="23468" spans="31:31">
      <c r="AE23468" s="54"/>
    </row>
    <row r="23469" spans="31:31">
      <c r="AE23469" s="54"/>
    </row>
    <row r="23470" spans="31:31">
      <c r="AE23470" s="54"/>
    </row>
    <row r="23471" spans="31:31">
      <c r="AE23471" s="54"/>
    </row>
    <row r="23472" spans="31:31">
      <c r="AE23472" s="54"/>
    </row>
    <row r="23473" spans="31:31">
      <c r="AE23473" s="54"/>
    </row>
    <row r="23474" spans="31:31">
      <c r="AE23474" s="54"/>
    </row>
    <row r="23475" spans="31:31">
      <c r="AE23475" s="54"/>
    </row>
    <row r="23476" spans="31:31">
      <c r="AE23476" s="54"/>
    </row>
    <row r="23477" spans="31:31">
      <c r="AE23477" s="54"/>
    </row>
    <row r="23478" spans="31:31">
      <c r="AE23478" s="54"/>
    </row>
    <row r="23479" spans="31:31">
      <c r="AE23479" s="54"/>
    </row>
    <row r="23480" spans="31:31">
      <c r="AE23480" s="54"/>
    </row>
    <row r="23481" spans="31:31">
      <c r="AE23481" s="54"/>
    </row>
    <row r="23482" spans="31:31">
      <c r="AE23482" s="54"/>
    </row>
    <row r="23483" spans="31:31">
      <c r="AE23483" s="54"/>
    </row>
    <row r="23484" spans="31:31">
      <c r="AE23484" s="54"/>
    </row>
    <row r="23485" spans="31:31">
      <c r="AE23485" s="54"/>
    </row>
    <row r="23486" spans="31:31">
      <c r="AE23486" s="54"/>
    </row>
    <row r="23487" spans="31:31">
      <c r="AE23487" s="54"/>
    </row>
    <row r="23488" spans="31:31">
      <c r="AE23488" s="54"/>
    </row>
    <row r="23489" spans="31:31">
      <c r="AE23489" s="54"/>
    </row>
    <row r="23490" spans="31:31">
      <c r="AE23490" s="54"/>
    </row>
    <row r="23491" spans="31:31">
      <c r="AE23491" s="54"/>
    </row>
    <row r="23492" spans="31:31">
      <c r="AE23492" s="54"/>
    </row>
    <row r="23493" spans="31:31">
      <c r="AE23493" s="54"/>
    </row>
    <row r="23494" spans="31:31">
      <c r="AE23494" s="54"/>
    </row>
    <row r="23495" spans="31:31">
      <c r="AE23495" s="54"/>
    </row>
    <row r="23496" spans="31:31">
      <c r="AE23496" s="54"/>
    </row>
    <row r="23497" spans="31:31">
      <c r="AE23497" s="54"/>
    </row>
    <row r="23498" spans="31:31">
      <c r="AE23498" s="54"/>
    </row>
    <row r="23499" spans="31:31">
      <c r="AE23499" s="54"/>
    </row>
    <row r="23500" spans="31:31">
      <c r="AE23500" s="54"/>
    </row>
    <row r="23501" spans="31:31">
      <c r="AE23501" s="54"/>
    </row>
    <row r="23502" spans="31:31">
      <c r="AE23502" s="54"/>
    </row>
    <row r="23503" spans="31:31">
      <c r="AE23503" s="54"/>
    </row>
    <row r="23504" spans="31:31">
      <c r="AE23504" s="54"/>
    </row>
    <row r="23505" spans="31:31">
      <c r="AE23505" s="54"/>
    </row>
    <row r="23506" spans="31:31">
      <c r="AE23506" s="54"/>
    </row>
    <row r="23507" spans="31:31">
      <c r="AE23507" s="54"/>
    </row>
    <row r="23508" spans="31:31">
      <c r="AE23508" s="54"/>
    </row>
    <row r="23509" spans="31:31">
      <c r="AE23509" s="54"/>
    </row>
    <row r="23510" spans="31:31">
      <c r="AE23510" s="54"/>
    </row>
    <row r="23511" spans="31:31">
      <c r="AE23511" s="54"/>
    </row>
    <row r="23512" spans="31:31">
      <c r="AE23512" s="54"/>
    </row>
    <row r="23513" spans="31:31">
      <c r="AE23513" s="54"/>
    </row>
    <row r="23514" spans="31:31">
      <c r="AE23514" s="54"/>
    </row>
    <row r="23515" spans="31:31">
      <c r="AE23515" s="54"/>
    </row>
    <row r="23516" spans="31:31">
      <c r="AE23516" s="54"/>
    </row>
    <row r="23517" spans="31:31">
      <c r="AE23517" s="54"/>
    </row>
    <row r="23518" spans="31:31">
      <c r="AE23518" s="54"/>
    </row>
    <row r="23519" spans="31:31">
      <c r="AE23519" s="54"/>
    </row>
    <row r="23520" spans="31:31">
      <c r="AE23520" s="54"/>
    </row>
    <row r="23521" spans="31:31">
      <c r="AE23521" s="54"/>
    </row>
    <row r="23522" spans="31:31">
      <c r="AE23522" s="54"/>
    </row>
    <row r="23523" spans="31:31">
      <c r="AE23523" s="54"/>
    </row>
    <row r="23524" spans="31:31">
      <c r="AE23524" s="54"/>
    </row>
    <row r="23525" spans="31:31">
      <c r="AE23525" s="54"/>
    </row>
    <row r="23526" spans="31:31">
      <c r="AE23526" s="54"/>
    </row>
    <row r="23527" spans="31:31">
      <c r="AE23527" s="54"/>
    </row>
    <row r="23528" spans="31:31">
      <c r="AE23528" s="54"/>
    </row>
    <row r="23529" spans="31:31">
      <c r="AE23529" s="54"/>
    </row>
    <row r="23530" spans="31:31">
      <c r="AE23530" s="54"/>
    </row>
    <row r="23531" spans="31:31">
      <c r="AE23531" s="54"/>
    </row>
    <row r="23532" spans="31:31">
      <c r="AE23532" s="54"/>
    </row>
    <row r="23533" spans="31:31">
      <c r="AE23533" s="54"/>
    </row>
    <row r="23534" spans="31:31">
      <c r="AE23534" s="54"/>
    </row>
    <row r="23535" spans="31:31">
      <c r="AE23535" s="54"/>
    </row>
    <row r="23536" spans="31:31">
      <c r="AE23536" s="54"/>
    </row>
    <row r="23537" spans="31:31">
      <c r="AE23537" s="54"/>
    </row>
    <row r="23538" spans="31:31">
      <c r="AE23538" s="54"/>
    </row>
    <row r="23539" spans="31:31">
      <c r="AE23539" s="54"/>
    </row>
    <row r="23540" spans="31:31">
      <c r="AE23540" s="54"/>
    </row>
    <row r="23541" spans="31:31">
      <c r="AE23541" s="54"/>
    </row>
    <row r="23542" spans="31:31">
      <c r="AE23542" s="54"/>
    </row>
    <row r="23543" spans="31:31">
      <c r="AE23543" s="54"/>
    </row>
    <row r="23544" spans="31:31">
      <c r="AE23544" s="54"/>
    </row>
    <row r="23545" spans="31:31">
      <c r="AE23545" s="54"/>
    </row>
    <row r="23546" spans="31:31">
      <c r="AE23546" s="54"/>
    </row>
    <row r="23547" spans="31:31">
      <c r="AE23547" s="54"/>
    </row>
    <row r="23548" spans="31:31">
      <c r="AE23548" s="54"/>
    </row>
    <row r="23549" spans="31:31">
      <c r="AE23549" s="54"/>
    </row>
    <row r="23550" spans="31:31">
      <c r="AE23550" s="54"/>
    </row>
    <row r="23551" spans="31:31">
      <c r="AE23551" s="54"/>
    </row>
    <row r="23552" spans="31:31">
      <c r="AE23552" s="54"/>
    </row>
    <row r="23553" spans="31:31">
      <c r="AE23553" s="54"/>
    </row>
    <row r="23554" spans="31:31">
      <c r="AE23554" s="54"/>
    </row>
    <row r="23555" spans="31:31">
      <c r="AE23555" s="54"/>
    </row>
    <row r="23556" spans="31:31">
      <c r="AE23556" s="54"/>
    </row>
    <row r="23557" spans="31:31">
      <c r="AE23557" s="54"/>
    </row>
    <row r="23558" spans="31:31">
      <c r="AE23558" s="54"/>
    </row>
    <row r="23559" spans="31:31">
      <c r="AE23559" s="54"/>
    </row>
    <row r="23560" spans="31:31">
      <c r="AE23560" s="54"/>
    </row>
    <row r="23561" spans="31:31">
      <c r="AE23561" s="54"/>
    </row>
    <row r="23562" spans="31:31">
      <c r="AE23562" s="54"/>
    </row>
    <row r="23563" spans="31:31">
      <c r="AE23563" s="54"/>
    </row>
    <row r="23564" spans="31:31">
      <c r="AE23564" s="54"/>
    </row>
    <row r="23565" spans="31:31">
      <c r="AE23565" s="54"/>
    </row>
    <row r="23566" spans="31:31">
      <c r="AE23566" s="54"/>
    </row>
    <row r="23567" spans="31:31">
      <c r="AE23567" s="54"/>
    </row>
    <row r="23568" spans="31:31">
      <c r="AE23568" s="54"/>
    </row>
    <row r="23569" spans="31:31">
      <c r="AE23569" s="54"/>
    </row>
    <row r="23570" spans="31:31">
      <c r="AE23570" s="54"/>
    </row>
    <row r="23571" spans="31:31">
      <c r="AE23571" s="54"/>
    </row>
    <row r="23572" spans="31:31">
      <c r="AE23572" s="54"/>
    </row>
    <row r="23573" spans="31:31">
      <c r="AE23573" s="54"/>
    </row>
    <row r="23574" spans="31:31">
      <c r="AE23574" s="54"/>
    </row>
    <row r="23575" spans="31:31">
      <c r="AE23575" s="54"/>
    </row>
    <row r="23576" spans="31:31">
      <c r="AE23576" s="54"/>
    </row>
    <row r="23577" spans="31:31">
      <c r="AE23577" s="54"/>
    </row>
    <row r="23578" spans="31:31">
      <c r="AE23578" s="54"/>
    </row>
    <row r="23579" spans="31:31">
      <c r="AE23579" s="54"/>
    </row>
    <row r="23580" spans="31:31">
      <c r="AE23580" s="54"/>
    </row>
    <row r="23581" spans="31:31">
      <c r="AE23581" s="54"/>
    </row>
    <row r="23582" spans="31:31">
      <c r="AE23582" s="54"/>
    </row>
    <row r="23583" spans="31:31">
      <c r="AE23583" s="54"/>
    </row>
    <row r="23584" spans="31:31">
      <c r="AE23584" s="54"/>
    </row>
    <row r="23585" spans="31:31">
      <c r="AE23585" s="54"/>
    </row>
    <row r="23586" spans="31:31">
      <c r="AE23586" s="54"/>
    </row>
    <row r="23587" spans="31:31">
      <c r="AE23587" s="54"/>
    </row>
    <row r="23588" spans="31:31">
      <c r="AE23588" s="54"/>
    </row>
    <row r="23589" spans="31:31">
      <c r="AE23589" s="54"/>
    </row>
    <row r="23590" spans="31:31">
      <c r="AE23590" s="54"/>
    </row>
    <row r="23591" spans="31:31">
      <c r="AE23591" s="54"/>
    </row>
    <row r="23592" spans="31:31">
      <c r="AE23592" s="54"/>
    </row>
    <row r="23593" spans="31:31">
      <c r="AE23593" s="54"/>
    </row>
    <row r="23594" spans="31:31">
      <c r="AE23594" s="54"/>
    </row>
    <row r="23595" spans="31:31">
      <c r="AE23595" s="54"/>
    </row>
    <row r="23596" spans="31:31">
      <c r="AE23596" s="54"/>
    </row>
    <row r="23597" spans="31:31">
      <c r="AE23597" s="54"/>
    </row>
    <row r="23598" spans="31:31">
      <c r="AE23598" s="54"/>
    </row>
    <row r="23599" spans="31:31">
      <c r="AE23599" s="54"/>
    </row>
    <row r="23600" spans="31:31">
      <c r="AE23600" s="54"/>
    </row>
    <row r="23601" spans="31:31">
      <c r="AE23601" s="54"/>
    </row>
    <row r="23602" spans="31:31">
      <c r="AE23602" s="54"/>
    </row>
    <row r="23603" spans="31:31">
      <c r="AE23603" s="54"/>
    </row>
    <row r="23604" spans="31:31">
      <c r="AE23604" s="54"/>
    </row>
    <row r="23605" spans="31:31">
      <c r="AE23605" s="54"/>
    </row>
    <row r="23606" spans="31:31">
      <c r="AE23606" s="54"/>
    </row>
    <row r="23607" spans="31:31">
      <c r="AE23607" s="54"/>
    </row>
    <row r="23608" spans="31:31">
      <c r="AE23608" s="54"/>
    </row>
    <row r="23609" spans="31:31">
      <c r="AE23609" s="54"/>
    </row>
    <row r="23610" spans="31:31">
      <c r="AE23610" s="54"/>
    </row>
    <row r="23611" spans="31:31">
      <c r="AE23611" s="54"/>
    </row>
    <row r="23612" spans="31:31">
      <c r="AE23612" s="54"/>
    </row>
    <row r="23613" spans="31:31">
      <c r="AE23613" s="54"/>
    </row>
    <row r="23614" spans="31:31">
      <c r="AE23614" s="54"/>
    </row>
    <row r="23615" spans="31:31">
      <c r="AE23615" s="54"/>
    </row>
    <row r="23616" spans="31:31">
      <c r="AE23616" s="54"/>
    </row>
    <row r="23617" spans="31:31">
      <c r="AE23617" s="54"/>
    </row>
    <row r="23618" spans="31:31">
      <c r="AE23618" s="54"/>
    </row>
    <row r="23619" spans="31:31">
      <c r="AE23619" s="54"/>
    </row>
    <row r="23620" spans="31:31">
      <c r="AE23620" s="54"/>
    </row>
    <row r="23621" spans="31:31">
      <c r="AE23621" s="54"/>
    </row>
    <row r="23622" spans="31:31">
      <c r="AE23622" s="54"/>
    </row>
    <row r="23623" spans="31:31">
      <c r="AE23623" s="54"/>
    </row>
    <row r="23624" spans="31:31">
      <c r="AE23624" s="54"/>
    </row>
    <row r="23625" spans="31:31">
      <c r="AE23625" s="54"/>
    </row>
    <row r="23626" spans="31:31">
      <c r="AE23626" s="54"/>
    </row>
    <row r="23627" spans="31:31">
      <c r="AE23627" s="54"/>
    </row>
    <row r="23628" spans="31:31">
      <c r="AE23628" s="54"/>
    </row>
    <row r="23629" spans="31:31">
      <c r="AE23629" s="54"/>
    </row>
    <row r="23630" spans="31:31">
      <c r="AE23630" s="54"/>
    </row>
    <row r="23631" spans="31:31">
      <c r="AE23631" s="54"/>
    </row>
    <row r="23632" spans="31:31">
      <c r="AE23632" s="54"/>
    </row>
    <row r="23633" spans="31:31">
      <c r="AE23633" s="54"/>
    </row>
    <row r="23634" spans="31:31">
      <c r="AE23634" s="54"/>
    </row>
    <row r="23635" spans="31:31">
      <c r="AE23635" s="54"/>
    </row>
    <row r="23636" spans="31:31">
      <c r="AE23636" s="54"/>
    </row>
    <row r="23637" spans="31:31">
      <c r="AE23637" s="54"/>
    </row>
    <row r="23638" spans="31:31">
      <c r="AE23638" s="54"/>
    </row>
    <row r="23639" spans="31:31">
      <c r="AE23639" s="54"/>
    </row>
    <row r="23640" spans="31:31">
      <c r="AE23640" s="54"/>
    </row>
    <row r="23641" spans="31:31">
      <c r="AE23641" s="54"/>
    </row>
    <row r="23642" spans="31:31">
      <c r="AE23642" s="54"/>
    </row>
    <row r="23643" spans="31:31">
      <c r="AE23643" s="54"/>
    </row>
    <row r="23644" spans="31:31">
      <c r="AE23644" s="54"/>
    </row>
    <row r="23645" spans="31:31">
      <c r="AE23645" s="54"/>
    </row>
    <row r="23646" spans="31:31">
      <c r="AE23646" s="54"/>
    </row>
    <row r="23647" spans="31:31">
      <c r="AE23647" s="54"/>
    </row>
    <row r="23648" spans="31:31">
      <c r="AE23648" s="54"/>
    </row>
    <row r="23649" spans="31:31">
      <c r="AE23649" s="54"/>
    </row>
    <row r="23650" spans="31:31">
      <c r="AE23650" s="54"/>
    </row>
    <row r="23651" spans="31:31">
      <c r="AE23651" s="54"/>
    </row>
    <row r="23652" spans="31:31">
      <c r="AE23652" s="54"/>
    </row>
    <row r="23653" spans="31:31">
      <c r="AE23653" s="54"/>
    </row>
    <row r="23654" spans="31:31">
      <c r="AE23654" s="54"/>
    </row>
    <row r="23655" spans="31:31">
      <c r="AE23655" s="54"/>
    </row>
    <row r="23656" spans="31:31">
      <c r="AE23656" s="54"/>
    </row>
    <row r="23657" spans="31:31">
      <c r="AE23657" s="54"/>
    </row>
    <row r="23658" spans="31:31">
      <c r="AE23658" s="54"/>
    </row>
    <row r="23659" spans="31:31">
      <c r="AE23659" s="54"/>
    </row>
    <row r="23660" spans="31:31">
      <c r="AE23660" s="54"/>
    </row>
    <row r="23661" spans="31:31">
      <c r="AE23661" s="54"/>
    </row>
    <row r="23662" spans="31:31">
      <c r="AE23662" s="54"/>
    </row>
    <row r="23663" spans="31:31">
      <c r="AE23663" s="54"/>
    </row>
    <row r="23664" spans="31:31">
      <c r="AE23664" s="54"/>
    </row>
    <row r="23665" spans="31:31">
      <c r="AE23665" s="54"/>
    </row>
    <row r="23666" spans="31:31">
      <c r="AE23666" s="54"/>
    </row>
    <row r="23667" spans="31:31">
      <c r="AE23667" s="54"/>
    </row>
    <row r="23668" spans="31:31">
      <c r="AE23668" s="54"/>
    </row>
    <row r="23669" spans="31:31">
      <c r="AE23669" s="54"/>
    </row>
    <row r="23670" spans="31:31">
      <c r="AE23670" s="54"/>
    </row>
    <row r="23671" spans="31:31">
      <c r="AE23671" s="54"/>
    </row>
    <row r="23672" spans="31:31">
      <c r="AE23672" s="54"/>
    </row>
    <row r="23673" spans="31:31">
      <c r="AE23673" s="54"/>
    </row>
    <row r="23674" spans="31:31">
      <c r="AE23674" s="54"/>
    </row>
    <row r="23675" spans="31:31">
      <c r="AE23675" s="54"/>
    </row>
    <row r="23676" spans="31:31">
      <c r="AE23676" s="54"/>
    </row>
    <row r="23677" spans="31:31">
      <c r="AE23677" s="54"/>
    </row>
    <row r="23678" spans="31:31">
      <c r="AE23678" s="54"/>
    </row>
    <row r="23679" spans="31:31">
      <c r="AE23679" s="54"/>
    </row>
    <row r="23680" spans="31:31">
      <c r="AE23680" s="54"/>
    </row>
    <row r="23681" spans="31:31">
      <c r="AE23681" s="54"/>
    </row>
    <row r="23682" spans="31:31">
      <c r="AE23682" s="54"/>
    </row>
    <row r="23683" spans="31:31">
      <c r="AE23683" s="54"/>
    </row>
    <row r="23684" spans="31:31">
      <c r="AE23684" s="54"/>
    </row>
    <row r="23685" spans="31:31">
      <c r="AE23685" s="54"/>
    </row>
    <row r="23686" spans="31:31">
      <c r="AE23686" s="54"/>
    </row>
    <row r="23687" spans="31:31">
      <c r="AE23687" s="54"/>
    </row>
    <row r="23688" spans="31:31">
      <c r="AE23688" s="54"/>
    </row>
    <row r="23689" spans="31:31">
      <c r="AE23689" s="54"/>
    </row>
    <row r="23690" spans="31:31">
      <c r="AE23690" s="54"/>
    </row>
    <row r="23691" spans="31:31">
      <c r="AE23691" s="54"/>
    </row>
    <row r="23692" spans="31:31">
      <c r="AE23692" s="54"/>
    </row>
    <row r="23693" spans="31:31">
      <c r="AE23693" s="54"/>
    </row>
    <row r="23694" spans="31:31">
      <c r="AE23694" s="54"/>
    </row>
    <row r="23695" spans="31:31">
      <c r="AE23695" s="54"/>
    </row>
    <row r="23696" spans="31:31">
      <c r="AE23696" s="54"/>
    </row>
    <row r="23697" spans="31:31">
      <c r="AE23697" s="54"/>
    </row>
    <row r="23698" spans="31:31">
      <c r="AE23698" s="54"/>
    </row>
    <row r="23699" spans="31:31">
      <c r="AE23699" s="54"/>
    </row>
    <row r="23700" spans="31:31">
      <c r="AE23700" s="54"/>
    </row>
    <row r="23701" spans="31:31">
      <c r="AE23701" s="54"/>
    </row>
    <row r="23702" spans="31:31">
      <c r="AE23702" s="54"/>
    </row>
    <row r="23703" spans="31:31">
      <c r="AE23703" s="54"/>
    </row>
    <row r="23704" spans="31:31">
      <c r="AE23704" s="54"/>
    </row>
    <row r="23705" spans="31:31">
      <c r="AE23705" s="54"/>
    </row>
    <row r="23706" spans="31:31">
      <c r="AE23706" s="54"/>
    </row>
    <row r="23707" spans="31:31">
      <c r="AE23707" s="54"/>
    </row>
    <row r="23708" spans="31:31">
      <c r="AE23708" s="54"/>
    </row>
    <row r="23709" spans="31:31">
      <c r="AE23709" s="54"/>
    </row>
    <row r="23710" spans="31:31">
      <c r="AE23710" s="54"/>
    </row>
    <row r="23711" spans="31:31">
      <c r="AE23711" s="54"/>
    </row>
    <row r="23712" spans="31:31">
      <c r="AE23712" s="54"/>
    </row>
    <row r="23713" spans="31:31">
      <c r="AE23713" s="54"/>
    </row>
    <row r="23714" spans="31:31">
      <c r="AE23714" s="54"/>
    </row>
    <row r="23715" spans="31:31">
      <c r="AE23715" s="54"/>
    </row>
    <row r="23716" spans="31:31">
      <c r="AE23716" s="54"/>
    </row>
    <row r="23717" spans="31:31">
      <c r="AE23717" s="54"/>
    </row>
    <row r="23718" spans="31:31">
      <c r="AE23718" s="54"/>
    </row>
    <row r="23719" spans="31:31">
      <c r="AE23719" s="54"/>
    </row>
    <row r="23720" spans="31:31">
      <c r="AE23720" s="54"/>
    </row>
    <row r="23721" spans="31:31">
      <c r="AE23721" s="54"/>
    </row>
    <row r="23722" spans="31:31">
      <c r="AE23722" s="54"/>
    </row>
    <row r="23723" spans="31:31">
      <c r="AE23723" s="54"/>
    </row>
    <row r="23724" spans="31:31">
      <c r="AE23724" s="54"/>
    </row>
    <row r="23725" spans="31:31">
      <c r="AE23725" s="54"/>
    </row>
    <row r="23726" spans="31:31">
      <c r="AE23726" s="54"/>
    </row>
    <row r="23727" spans="31:31">
      <c r="AE23727" s="54"/>
    </row>
    <row r="23728" spans="31:31">
      <c r="AE23728" s="54"/>
    </row>
    <row r="23729" spans="31:31">
      <c r="AE23729" s="54"/>
    </row>
    <row r="23730" spans="31:31">
      <c r="AE23730" s="54"/>
    </row>
    <row r="23731" spans="31:31">
      <c r="AE23731" s="54"/>
    </row>
    <row r="23732" spans="31:31">
      <c r="AE23732" s="54"/>
    </row>
    <row r="23733" spans="31:31">
      <c r="AE23733" s="54"/>
    </row>
    <row r="23734" spans="31:31">
      <c r="AE23734" s="54"/>
    </row>
    <row r="23735" spans="31:31">
      <c r="AE23735" s="54"/>
    </row>
    <row r="23736" spans="31:31">
      <c r="AE23736" s="54"/>
    </row>
    <row r="23737" spans="31:31">
      <c r="AE23737" s="54"/>
    </row>
    <row r="23738" spans="31:31">
      <c r="AE23738" s="54"/>
    </row>
    <row r="23739" spans="31:31">
      <c r="AE23739" s="54"/>
    </row>
    <row r="23740" spans="31:31">
      <c r="AE23740" s="54"/>
    </row>
    <row r="23741" spans="31:31">
      <c r="AE23741" s="54"/>
    </row>
    <row r="23742" spans="31:31">
      <c r="AE23742" s="54"/>
    </row>
    <row r="23743" spans="31:31">
      <c r="AE23743" s="54"/>
    </row>
    <row r="23744" spans="31:31">
      <c r="AE23744" s="54"/>
    </row>
    <row r="23745" spans="31:31">
      <c r="AE23745" s="54"/>
    </row>
    <row r="23746" spans="31:31">
      <c r="AE23746" s="54"/>
    </row>
    <row r="23747" spans="31:31">
      <c r="AE23747" s="54"/>
    </row>
    <row r="23748" spans="31:31">
      <c r="AE23748" s="54"/>
    </row>
    <row r="23749" spans="31:31">
      <c r="AE23749" s="54"/>
    </row>
    <row r="23750" spans="31:31">
      <c r="AE23750" s="54"/>
    </row>
    <row r="23751" spans="31:31">
      <c r="AE23751" s="54"/>
    </row>
    <row r="23752" spans="31:31">
      <c r="AE23752" s="54"/>
    </row>
    <row r="23753" spans="31:31">
      <c r="AE23753" s="54"/>
    </row>
    <row r="23754" spans="31:31">
      <c r="AE23754" s="54"/>
    </row>
    <row r="23755" spans="31:31">
      <c r="AE23755" s="54"/>
    </row>
    <row r="23756" spans="31:31">
      <c r="AE23756" s="54"/>
    </row>
    <row r="23757" spans="31:31">
      <c r="AE23757" s="54"/>
    </row>
    <row r="23758" spans="31:31">
      <c r="AE23758" s="54"/>
    </row>
    <row r="23759" spans="31:31">
      <c r="AE23759" s="54"/>
    </row>
    <row r="23760" spans="31:31">
      <c r="AE23760" s="54"/>
    </row>
    <row r="23761" spans="31:31">
      <c r="AE23761" s="54"/>
    </row>
    <row r="23762" spans="31:31">
      <c r="AE23762" s="54"/>
    </row>
    <row r="23763" spans="31:31">
      <c r="AE23763" s="54"/>
    </row>
    <row r="23764" spans="31:31">
      <c r="AE23764" s="54"/>
    </row>
    <row r="23765" spans="31:31">
      <c r="AE23765" s="54"/>
    </row>
    <row r="23766" spans="31:31">
      <c r="AE23766" s="54"/>
    </row>
    <row r="23767" spans="31:31">
      <c r="AE23767" s="54"/>
    </row>
    <row r="23768" spans="31:31">
      <c r="AE23768" s="54"/>
    </row>
    <row r="23769" spans="31:31">
      <c r="AE23769" s="54"/>
    </row>
    <row r="23770" spans="31:31">
      <c r="AE23770" s="54"/>
    </row>
    <row r="23771" spans="31:31">
      <c r="AE23771" s="54"/>
    </row>
    <row r="23772" spans="31:31">
      <c r="AE23772" s="54"/>
    </row>
    <row r="23773" spans="31:31">
      <c r="AE23773" s="54"/>
    </row>
    <row r="23774" spans="31:31">
      <c r="AE23774" s="54"/>
    </row>
    <row r="23775" spans="31:31">
      <c r="AE23775" s="54"/>
    </row>
    <row r="23776" spans="31:31">
      <c r="AE23776" s="54"/>
    </row>
    <row r="23777" spans="31:31">
      <c r="AE23777" s="54"/>
    </row>
    <row r="23778" spans="31:31">
      <c r="AE23778" s="54"/>
    </row>
    <row r="23779" spans="31:31">
      <c r="AE23779" s="54"/>
    </row>
    <row r="23780" spans="31:31">
      <c r="AE23780" s="54"/>
    </row>
    <row r="23781" spans="31:31">
      <c r="AE23781" s="54"/>
    </row>
    <row r="23782" spans="31:31">
      <c r="AE23782" s="54"/>
    </row>
    <row r="23783" spans="31:31">
      <c r="AE23783" s="54"/>
    </row>
    <row r="23784" spans="31:31">
      <c r="AE23784" s="54"/>
    </row>
    <row r="23785" spans="31:31">
      <c r="AE23785" s="54"/>
    </row>
    <row r="23786" spans="31:31">
      <c r="AE23786" s="54"/>
    </row>
    <row r="23787" spans="31:31">
      <c r="AE23787" s="54"/>
    </row>
    <row r="23788" spans="31:31">
      <c r="AE23788" s="54"/>
    </row>
    <row r="23789" spans="31:31">
      <c r="AE23789" s="54"/>
    </row>
    <row r="23790" spans="31:31">
      <c r="AE23790" s="54"/>
    </row>
    <row r="23791" spans="31:31">
      <c r="AE23791" s="54"/>
    </row>
    <row r="23792" spans="31:31">
      <c r="AE23792" s="54"/>
    </row>
    <row r="23793" spans="31:31">
      <c r="AE23793" s="54"/>
    </row>
    <row r="23794" spans="31:31">
      <c r="AE23794" s="54"/>
    </row>
    <row r="23795" spans="31:31">
      <c r="AE23795" s="54"/>
    </row>
    <row r="23796" spans="31:31">
      <c r="AE23796" s="54"/>
    </row>
    <row r="23797" spans="31:31">
      <c r="AE23797" s="54"/>
    </row>
    <row r="23798" spans="31:31">
      <c r="AE23798" s="54"/>
    </row>
    <row r="23799" spans="31:31">
      <c r="AE23799" s="54"/>
    </row>
    <row r="23800" spans="31:31">
      <c r="AE23800" s="54"/>
    </row>
    <row r="23801" spans="31:31">
      <c r="AE23801" s="54"/>
    </row>
    <row r="23802" spans="31:31">
      <c r="AE23802" s="54"/>
    </row>
    <row r="23803" spans="31:31">
      <c r="AE23803" s="54"/>
    </row>
    <row r="23804" spans="31:31">
      <c r="AE23804" s="54"/>
    </row>
    <row r="23805" spans="31:31">
      <c r="AE23805" s="54"/>
    </row>
    <row r="23806" spans="31:31">
      <c r="AE23806" s="54"/>
    </row>
    <row r="23807" spans="31:31">
      <c r="AE23807" s="54"/>
    </row>
    <row r="23808" spans="31:31">
      <c r="AE23808" s="54"/>
    </row>
    <row r="23809" spans="31:31">
      <c r="AE23809" s="54"/>
    </row>
    <row r="23810" spans="31:31">
      <c r="AE23810" s="54"/>
    </row>
    <row r="23811" spans="31:31">
      <c r="AE23811" s="54"/>
    </row>
    <row r="23812" spans="31:31">
      <c r="AE23812" s="54"/>
    </row>
    <row r="23813" spans="31:31">
      <c r="AE23813" s="54"/>
    </row>
    <row r="23814" spans="31:31">
      <c r="AE23814" s="54"/>
    </row>
    <row r="23815" spans="31:31">
      <c r="AE23815" s="54"/>
    </row>
    <row r="23816" spans="31:31">
      <c r="AE23816" s="54"/>
    </row>
    <row r="23817" spans="31:31">
      <c r="AE23817" s="54"/>
    </row>
    <row r="23818" spans="31:31">
      <c r="AE23818" s="54"/>
    </row>
    <row r="23819" spans="31:31">
      <c r="AE23819" s="54"/>
    </row>
    <row r="23820" spans="31:31">
      <c r="AE23820" s="54"/>
    </row>
    <row r="23821" spans="31:31">
      <c r="AE23821" s="54"/>
    </row>
    <row r="23822" spans="31:31">
      <c r="AE23822" s="54"/>
    </row>
    <row r="23823" spans="31:31">
      <c r="AE23823" s="54"/>
    </row>
    <row r="23824" spans="31:31">
      <c r="AE23824" s="54"/>
    </row>
    <row r="23825" spans="31:31">
      <c r="AE23825" s="54"/>
    </row>
    <row r="23826" spans="31:31">
      <c r="AE23826" s="54"/>
    </row>
    <row r="23827" spans="31:31">
      <c r="AE23827" s="54"/>
    </row>
    <row r="23828" spans="31:31">
      <c r="AE23828" s="54"/>
    </row>
    <row r="23829" spans="31:31">
      <c r="AE23829" s="54"/>
    </row>
    <row r="23830" spans="31:31">
      <c r="AE23830" s="54"/>
    </row>
    <row r="23831" spans="31:31">
      <c r="AE23831" s="54"/>
    </row>
    <row r="23832" spans="31:31">
      <c r="AE23832" s="54"/>
    </row>
    <row r="23833" spans="31:31">
      <c r="AE23833" s="54"/>
    </row>
    <row r="23834" spans="31:31">
      <c r="AE23834" s="54"/>
    </row>
    <row r="23835" spans="31:31">
      <c r="AE23835" s="54"/>
    </row>
    <row r="23836" spans="31:31">
      <c r="AE23836" s="54"/>
    </row>
    <row r="23837" spans="31:31">
      <c r="AE23837" s="54"/>
    </row>
    <row r="23838" spans="31:31">
      <c r="AE23838" s="54"/>
    </row>
    <row r="23839" spans="31:31">
      <c r="AE23839" s="54"/>
    </row>
    <row r="23840" spans="31:31">
      <c r="AE23840" s="54"/>
    </row>
    <row r="23841" spans="31:31">
      <c r="AE23841" s="54"/>
    </row>
    <row r="23842" spans="31:31">
      <c r="AE23842" s="54"/>
    </row>
    <row r="23843" spans="31:31">
      <c r="AE23843" s="54"/>
    </row>
    <row r="23844" spans="31:31">
      <c r="AE23844" s="54"/>
    </row>
    <row r="23845" spans="31:31">
      <c r="AE23845" s="54"/>
    </row>
    <row r="23846" spans="31:31">
      <c r="AE23846" s="54"/>
    </row>
    <row r="23847" spans="31:31">
      <c r="AE23847" s="54"/>
    </row>
    <row r="23848" spans="31:31">
      <c r="AE23848" s="54"/>
    </row>
    <row r="23849" spans="31:31">
      <c r="AE23849" s="54"/>
    </row>
    <row r="23850" spans="31:31">
      <c r="AE23850" s="54"/>
    </row>
    <row r="23851" spans="31:31">
      <c r="AE23851" s="54"/>
    </row>
    <row r="23852" spans="31:31">
      <c r="AE23852" s="54"/>
    </row>
    <row r="23853" spans="31:31">
      <c r="AE23853" s="54"/>
    </row>
    <row r="23854" spans="31:31">
      <c r="AE23854" s="54"/>
    </row>
    <row r="23855" spans="31:31">
      <c r="AE23855" s="54"/>
    </row>
    <row r="23856" spans="31:31">
      <c r="AE23856" s="54"/>
    </row>
    <row r="23857" spans="31:31">
      <c r="AE23857" s="54"/>
    </row>
    <row r="23858" spans="31:31">
      <c r="AE23858" s="54"/>
    </row>
    <row r="23859" spans="31:31">
      <c r="AE23859" s="54"/>
    </row>
    <row r="23860" spans="31:31">
      <c r="AE23860" s="54"/>
    </row>
    <row r="23861" spans="31:31">
      <c r="AE23861" s="54"/>
    </row>
    <row r="23862" spans="31:31">
      <c r="AE23862" s="54"/>
    </row>
    <row r="23863" spans="31:31">
      <c r="AE23863" s="54"/>
    </row>
    <row r="23864" spans="31:31">
      <c r="AE23864" s="54"/>
    </row>
    <row r="23865" spans="31:31">
      <c r="AE23865" s="54"/>
    </row>
    <row r="23866" spans="31:31">
      <c r="AE23866" s="54"/>
    </row>
    <row r="23867" spans="31:31">
      <c r="AE23867" s="54"/>
    </row>
    <row r="23868" spans="31:31">
      <c r="AE23868" s="54"/>
    </row>
    <row r="23869" spans="31:31">
      <c r="AE23869" s="54"/>
    </row>
    <row r="23870" spans="31:31">
      <c r="AE23870" s="54"/>
    </row>
    <row r="23871" spans="31:31">
      <c r="AE23871" s="54"/>
    </row>
    <row r="23872" spans="31:31">
      <c r="AE23872" s="54"/>
    </row>
    <row r="23873" spans="31:31">
      <c r="AE23873" s="54"/>
    </row>
    <row r="23874" spans="31:31">
      <c r="AE23874" s="54"/>
    </row>
    <row r="23875" spans="31:31">
      <c r="AE23875" s="54"/>
    </row>
    <row r="23876" spans="31:31">
      <c r="AE23876" s="54"/>
    </row>
    <row r="23877" spans="31:31">
      <c r="AE23877" s="54"/>
    </row>
    <row r="23878" spans="31:31">
      <c r="AE23878" s="54"/>
    </row>
    <row r="23879" spans="31:31">
      <c r="AE23879" s="54"/>
    </row>
    <row r="23880" spans="31:31">
      <c r="AE23880" s="54"/>
    </row>
    <row r="23881" spans="31:31">
      <c r="AE23881" s="54"/>
    </row>
    <row r="23882" spans="31:31">
      <c r="AE23882" s="54"/>
    </row>
    <row r="23883" spans="31:31">
      <c r="AE23883" s="54"/>
    </row>
    <row r="23884" spans="31:31">
      <c r="AE23884" s="54"/>
    </row>
    <row r="23885" spans="31:31">
      <c r="AE23885" s="54"/>
    </row>
    <row r="23886" spans="31:31">
      <c r="AE23886" s="54"/>
    </row>
    <row r="23887" spans="31:31">
      <c r="AE23887" s="54"/>
    </row>
    <row r="23888" spans="31:31">
      <c r="AE23888" s="54"/>
    </row>
    <row r="23889" spans="31:31">
      <c r="AE23889" s="54"/>
    </row>
    <row r="23890" spans="31:31">
      <c r="AE23890" s="54"/>
    </row>
    <row r="23891" spans="31:31">
      <c r="AE23891" s="54"/>
    </row>
    <row r="23892" spans="31:31">
      <c r="AE23892" s="54"/>
    </row>
    <row r="23893" spans="31:31">
      <c r="AE23893" s="54"/>
    </row>
    <row r="23894" spans="31:31">
      <c r="AE23894" s="54"/>
    </row>
    <row r="23895" spans="31:31">
      <c r="AE23895" s="54"/>
    </row>
    <row r="23896" spans="31:31">
      <c r="AE23896" s="54"/>
    </row>
    <row r="23897" spans="31:31">
      <c r="AE23897" s="54"/>
    </row>
    <row r="23898" spans="31:31">
      <c r="AE23898" s="54"/>
    </row>
    <row r="23899" spans="31:31">
      <c r="AE23899" s="54"/>
    </row>
    <row r="23900" spans="31:31">
      <c r="AE23900" s="54"/>
    </row>
    <row r="23901" spans="31:31">
      <c r="AE23901" s="54"/>
    </row>
    <row r="23902" spans="31:31">
      <c r="AE23902" s="54"/>
    </row>
    <row r="23903" spans="31:31">
      <c r="AE23903" s="54"/>
    </row>
    <row r="23904" spans="31:31">
      <c r="AE23904" s="54"/>
    </row>
    <row r="23905" spans="31:31">
      <c r="AE23905" s="54"/>
    </row>
    <row r="23906" spans="31:31">
      <c r="AE23906" s="54"/>
    </row>
    <row r="23907" spans="31:31">
      <c r="AE23907" s="54"/>
    </row>
    <row r="23908" spans="31:31">
      <c r="AE23908" s="54"/>
    </row>
    <row r="23909" spans="31:31">
      <c r="AE23909" s="54"/>
    </row>
    <row r="23910" spans="31:31">
      <c r="AE23910" s="54"/>
    </row>
    <row r="23911" spans="31:31">
      <c r="AE23911" s="54"/>
    </row>
    <row r="23912" spans="31:31">
      <c r="AE23912" s="54"/>
    </row>
    <row r="23913" spans="31:31">
      <c r="AE23913" s="54"/>
    </row>
    <row r="23914" spans="31:31">
      <c r="AE23914" s="54"/>
    </row>
    <row r="23915" spans="31:31">
      <c r="AE23915" s="54"/>
    </row>
    <row r="23916" spans="31:31">
      <c r="AE23916" s="54"/>
    </row>
    <row r="23917" spans="31:31">
      <c r="AE23917" s="54"/>
    </row>
    <row r="23918" spans="31:31">
      <c r="AE23918" s="54"/>
    </row>
    <row r="23919" spans="31:31">
      <c r="AE23919" s="54"/>
    </row>
    <row r="23920" spans="31:31">
      <c r="AE23920" s="54"/>
    </row>
    <row r="23921" spans="31:31">
      <c r="AE23921" s="54"/>
    </row>
    <row r="23922" spans="31:31">
      <c r="AE23922" s="54"/>
    </row>
    <row r="23923" spans="31:31">
      <c r="AE23923" s="54"/>
    </row>
    <row r="23924" spans="31:31">
      <c r="AE23924" s="54"/>
    </row>
    <row r="23925" spans="31:31">
      <c r="AE23925" s="54"/>
    </row>
    <row r="23926" spans="31:31">
      <c r="AE23926" s="54"/>
    </row>
    <row r="23927" spans="31:31">
      <c r="AE23927" s="54"/>
    </row>
    <row r="23928" spans="31:31">
      <c r="AE23928" s="54"/>
    </row>
    <row r="23929" spans="31:31">
      <c r="AE23929" s="54"/>
    </row>
    <row r="23930" spans="31:31">
      <c r="AE23930" s="54"/>
    </row>
    <row r="23931" spans="31:31">
      <c r="AE23931" s="54"/>
    </row>
    <row r="23932" spans="31:31">
      <c r="AE23932" s="54"/>
    </row>
    <row r="23933" spans="31:31">
      <c r="AE23933" s="54"/>
    </row>
    <row r="23934" spans="31:31">
      <c r="AE23934" s="54"/>
    </row>
    <row r="23935" spans="31:31">
      <c r="AE23935" s="54"/>
    </row>
    <row r="23936" spans="31:31">
      <c r="AE23936" s="54"/>
    </row>
    <row r="23937" spans="31:31">
      <c r="AE23937" s="54"/>
    </row>
    <row r="23938" spans="31:31">
      <c r="AE23938" s="54"/>
    </row>
    <row r="23939" spans="31:31">
      <c r="AE23939" s="54"/>
    </row>
    <row r="23940" spans="31:31">
      <c r="AE23940" s="54"/>
    </row>
    <row r="23941" spans="31:31">
      <c r="AE23941" s="54"/>
    </row>
    <row r="23942" spans="31:31">
      <c r="AE23942" s="54"/>
    </row>
    <row r="23943" spans="31:31">
      <c r="AE23943" s="54"/>
    </row>
    <row r="23944" spans="31:31">
      <c r="AE23944" s="54"/>
    </row>
    <row r="23945" spans="31:31">
      <c r="AE23945" s="54"/>
    </row>
    <row r="23946" spans="31:31">
      <c r="AE23946" s="54"/>
    </row>
    <row r="23947" spans="31:31">
      <c r="AE23947" s="54"/>
    </row>
    <row r="23948" spans="31:31">
      <c r="AE23948" s="54"/>
    </row>
    <row r="23949" spans="31:31">
      <c r="AE23949" s="54"/>
    </row>
    <row r="23950" spans="31:31">
      <c r="AE23950" s="54"/>
    </row>
    <row r="23951" spans="31:31">
      <c r="AE23951" s="54"/>
    </row>
    <row r="23952" spans="31:31">
      <c r="AE23952" s="54"/>
    </row>
    <row r="23953" spans="31:31">
      <c r="AE23953" s="54"/>
    </row>
    <row r="23954" spans="31:31">
      <c r="AE23954" s="54"/>
    </row>
    <row r="23955" spans="31:31">
      <c r="AE23955" s="54"/>
    </row>
    <row r="23956" spans="31:31">
      <c r="AE23956" s="54"/>
    </row>
    <row r="23957" spans="31:31">
      <c r="AE23957" s="54"/>
    </row>
    <row r="23958" spans="31:31">
      <c r="AE23958" s="54"/>
    </row>
    <row r="23959" spans="31:31">
      <c r="AE23959" s="54"/>
    </row>
    <row r="23960" spans="31:31">
      <c r="AE23960" s="54"/>
    </row>
    <row r="23961" spans="31:31">
      <c r="AE23961" s="54"/>
    </row>
    <row r="23962" spans="31:31">
      <c r="AE23962" s="54"/>
    </row>
    <row r="23963" spans="31:31">
      <c r="AE23963" s="54"/>
    </row>
    <row r="23964" spans="31:31">
      <c r="AE23964" s="54"/>
    </row>
    <row r="23965" spans="31:31">
      <c r="AE23965" s="54"/>
    </row>
    <row r="23966" spans="31:31">
      <c r="AE23966" s="54"/>
    </row>
    <row r="23967" spans="31:31">
      <c r="AE23967" s="54"/>
    </row>
    <row r="23968" spans="31:31">
      <c r="AE23968" s="54"/>
    </row>
    <row r="23969" spans="31:31">
      <c r="AE23969" s="54"/>
    </row>
    <row r="23970" spans="31:31">
      <c r="AE23970" s="54"/>
    </row>
    <row r="23971" spans="31:31">
      <c r="AE23971" s="54"/>
    </row>
    <row r="23972" spans="31:31">
      <c r="AE23972" s="54"/>
    </row>
    <row r="23973" spans="31:31">
      <c r="AE23973" s="54"/>
    </row>
    <row r="23974" spans="31:31">
      <c r="AE23974" s="54"/>
    </row>
    <row r="23975" spans="31:31">
      <c r="AE23975" s="54"/>
    </row>
    <row r="23976" spans="31:31">
      <c r="AE23976" s="54"/>
    </row>
    <row r="23977" spans="31:31">
      <c r="AE23977" s="54"/>
    </row>
    <row r="23978" spans="31:31">
      <c r="AE23978" s="54"/>
    </row>
    <row r="23979" spans="31:31">
      <c r="AE23979" s="54"/>
    </row>
    <row r="23980" spans="31:31">
      <c r="AE23980" s="54"/>
    </row>
    <row r="23981" spans="31:31">
      <c r="AE23981" s="54"/>
    </row>
    <row r="23982" spans="31:31">
      <c r="AE23982" s="54"/>
    </row>
    <row r="23983" spans="31:31">
      <c r="AE23983" s="54"/>
    </row>
    <row r="23984" spans="31:31">
      <c r="AE23984" s="54"/>
    </row>
    <row r="23985" spans="31:31">
      <c r="AE23985" s="54"/>
    </row>
    <row r="23986" spans="31:31">
      <c r="AE23986" s="54"/>
    </row>
    <row r="23987" spans="31:31">
      <c r="AE23987" s="54"/>
    </row>
    <row r="23988" spans="31:31">
      <c r="AE23988" s="54"/>
    </row>
    <row r="23989" spans="31:31">
      <c r="AE23989" s="54"/>
    </row>
    <row r="23990" spans="31:31">
      <c r="AE23990" s="54"/>
    </row>
    <row r="23991" spans="31:31">
      <c r="AE23991" s="54"/>
    </row>
    <row r="23992" spans="31:31">
      <c r="AE23992" s="54"/>
    </row>
    <row r="23993" spans="31:31">
      <c r="AE23993" s="54"/>
    </row>
    <row r="23994" spans="31:31">
      <c r="AE23994" s="54"/>
    </row>
    <row r="23995" spans="31:31">
      <c r="AE23995" s="54"/>
    </row>
    <row r="23996" spans="31:31">
      <c r="AE23996" s="54"/>
    </row>
    <row r="23997" spans="31:31">
      <c r="AE23997" s="54"/>
    </row>
    <row r="23998" spans="31:31">
      <c r="AE23998" s="54"/>
    </row>
    <row r="23999" spans="31:31">
      <c r="AE23999" s="54"/>
    </row>
    <row r="24000" spans="31:31">
      <c r="AE24000" s="54"/>
    </row>
    <row r="24001" spans="31:31">
      <c r="AE24001" s="54"/>
    </row>
    <row r="24002" spans="31:31">
      <c r="AE24002" s="54"/>
    </row>
    <row r="24003" spans="31:31">
      <c r="AE24003" s="54"/>
    </row>
    <row r="24004" spans="31:31">
      <c r="AE24004" s="54"/>
    </row>
    <row r="24005" spans="31:31">
      <c r="AE24005" s="54"/>
    </row>
    <row r="24006" spans="31:31">
      <c r="AE24006" s="54"/>
    </row>
    <row r="24007" spans="31:31">
      <c r="AE24007" s="54"/>
    </row>
    <row r="24008" spans="31:31">
      <c r="AE24008" s="54"/>
    </row>
    <row r="24009" spans="31:31">
      <c r="AE24009" s="54"/>
    </row>
    <row r="24010" spans="31:31">
      <c r="AE24010" s="54"/>
    </row>
    <row r="24011" spans="31:31">
      <c r="AE24011" s="54"/>
    </row>
    <row r="24012" spans="31:31">
      <c r="AE24012" s="54"/>
    </row>
    <row r="24013" spans="31:31">
      <c r="AE24013" s="54"/>
    </row>
    <row r="24014" spans="31:31">
      <c r="AE24014" s="54"/>
    </row>
    <row r="24015" spans="31:31">
      <c r="AE24015" s="54"/>
    </row>
    <row r="24016" spans="31:31">
      <c r="AE24016" s="54"/>
    </row>
    <row r="24017" spans="31:31">
      <c r="AE24017" s="54"/>
    </row>
    <row r="24018" spans="31:31">
      <c r="AE24018" s="54"/>
    </row>
    <row r="24019" spans="31:31">
      <c r="AE24019" s="54"/>
    </row>
    <row r="24020" spans="31:31">
      <c r="AE24020" s="54"/>
    </row>
    <row r="24021" spans="31:31">
      <c r="AE24021" s="54"/>
    </row>
    <row r="24022" spans="31:31">
      <c r="AE24022" s="54"/>
    </row>
    <row r="24023" spans="31:31">
      <c r="AE24023" s="54"/>
    </row>
    <row r="24024" spans="31:31">
      <c r="AE24024" s="54"/>
    </row>
    <row r="24025" spans="31:31">
      <c r="AE24025" s="54"/>
    </row>
    <row r="24026" spans="31:31">
      <c r="AE24026" s="54"/>
    </row>
    <row r="24027" spans="31:31">
      <c r="AE24027" s="54"/>
    </row>
    <row r="24028" spans="31:31">
      <c r="AE24028" s="54"/>
    </row>
    <row r="24029" spans="31:31">
      <c r="AE24029" s="54"/>
    </row>
    <row r="24030" spans="31:31">
      <c r="AE24030" s="54"/>
    </row>
    <row r="24031" spans="31:31">
      <c r="AE24031" s="54"/>
    </row>
    <row r="24032" spans="31:31">
      <c r="AE24032" s="54"/>
    </row>
    <row r="24033" spans="31:31">
      <c r="AE24033" s="54"/>
    </row>
    <row r="24034" spans="31:31">
      <c r="AE24034" s="54"/>
    </row>
    <row r="24035" spans="31:31">
      <c r="AE24035" s="54"/>
    </row>
    <row r="24036" spans="31:31">
      <c r="AE24036" s="54"/>
    </row>
    <row r="24037" spans="31:31">
      <c r="AE24037" s="54"/>
    </row>
    <row r="24038" spans="31:31">
      <c r="AE24038" s="54"/>
    </row>
    <row r="24039" spans="31:31">
      <c r="AE24039" s="54"/>
    </row>
    <row r="24040" spans="31:31">
      <c r="AE24040" s="54"/>
    </row>
    <row r="24041" spans="31:31">
      <c r="AE24041" s="54"/>
    </row>
    <row r="24042" spans="31:31">
      <c r="AE24042" s="54"/>
    </row>
    <row r="24043" spans="31:31">
      <c r="AE24043" s="54"/>
    </row>
    <row r="24044" spans="31:31">
      <c r="AE24044" s="54"/>
    </row>
    <row r="24045" spans="31:31">
      <c r="AE24045" s="54"/>
    </row>
    <row r="24046" spans="31:31">
      <c r="AE24046" s="54"/>
    </row>
    <row r="24047" spans="31:31">
      <c r="AE24047" s="54"/>
    </row>
    <row r="24048" spans="31:31">
      <c r="AE24048" s="54"/>
    </row>
    <row r="24049" spans="31:31">
      <c r="AE24049" s="54"/>
    </row>
    <row r="24050" spans="31:31">
      <c r="AE24050" s="54"/>
    </row>
    <row r="24051" spans="31:31">
      <c r="AE24051" s="54"/>
    </row>
    <row r="24052" spans="31:31">
      <c r="AE24052" s="54"/>
    </row>
    <row r="24053" spans="31:31">
      <c r="AE24053" s="54"/>
    </row>
    <row r="24054" spans="31:31">
      <c r="AE24054" s="54"/>
    </row>
    <row r="24055" spans="31:31">
      <c r="AE24055" s="54"/>
    </row>
    <row r="24056" spans="31:31">
      <c r="AE24056" s="54"/>
    </row>
    <row r="24057" spans="31:31">
      <c r="AE24057" s="54"/>
    </row>
    <row r="24058" spans="31:31">
      <c r="AE24058" s="54"/>
    </row>
    <row r="24059" spans="31:31">
      <c r="AE24059" s="54"/>
    </row>
    <row r="24060" spans="31:31">
      <c r="AE24060" s="54"/>
    </row>
    <row r="24061" spans="31:31">
      <c r="AE24061" s="54"/>
    </row>
    <row r="24062" spans="31:31">
      <c r="AE24062" s="54"/>
    </row>
    <row r="24063" spans="31:31">
      <c r="AE24063" s="54"/>
    </row>
    <row r="24064" spans="31:31">
      <c r="AE24064" s="54"/>
    </row>
    <row r="24065" spans="31:31">
      <c r="AE24065" s="54"/>
    </row>
    <row r="24066" spans="31:31">
      <c r="AE24066" s="54"/>
    </row>
    <row r="24067" spans="31:31">
      <c r="AE24067" s="54"/>
    </row>
    <row r="24068" spans="31:31">
      <c r="AE24068" s="54"/>
    </row>
    <row r="24069" spans="31:31">
      <c r="AE24069" s="54"/>
    </row>
    <row r="24070" spans="31:31">
      <c r="AE24070" s="54"/>
    </row>
    <row r="24071" spans="31:31">
      <c r="AE24071" s="54"/>
    </row>
    <row r="24072" spans="31:31">
      <c r="AE24072" s="54"/>
    </row>
    <row r="24073" spans="31:31">
      <c r="AE24073" s="54"/>
    </row>
    <row r="24074" spans="31:31">
      <c r="AE24074" s="54"/>
    </row>
    <row r="24075" spans="31:31">
      <c r="AE24075" s="54"/>
    </row>
    <row r="24076" spans="31:31">
      <c r="AE24076" s="54"/>
    </row>
    <row r="24077" spans="31:31">
      <c r="AE24077" s="54"/>
    </row>
    <row r="24078" spans="31:31">
      <c r="AE24078" s="54"/>
    </row>
    <row r="24079" spans="31:31">
      <c r="AE24079" s="54"/>
    </row>
    <row r="24080" spans="31:31">
      <c r="AE24080" s="54"/>
    </row>
    <row r="24081" spans="31:31">
      <c r="AE24081" s="54"/>
    </row>
    <row r="24082" spans="31:31">
      <c r="AE24082" s="54"/>
    </row>
    <row r="24083" spans="31:31">
      <c r="AE24083" s="54"/>
    </row>
    <row r="24084" spans="31:31">
      <c r="AE24084" s="54"/>
    </row>
    <row r="24085" spans="31:31">
      <c r="AE24085" s="54"/>
    </row>
    <row r="24086" spans="31:31">
      <c r="AE24086" s="54"/>
    </row>
    <row r="24087" spans="31:31">
      <c r="AE24087" s="54"/>
    </row>
    <row r="24088" spans="31:31">
      <c r="AE24088" s="54"/>
    </row>
    <row r="24089" spans="31:31">
      <c r="AE24089" s="54"/>
    </row>
    <row r="24090" spans="31:31">
      <c r="AE24090" s="54"/>
    </row>
    <row r="24091" spans="31:31">
      <c r="AE24091" s="54"/>
    </row>
    <row r="24092" spans="31:31">
      <c r="AE24092" s="54"/>
    </row>
    <row r="24093" spans="31:31">
      <c r="AE24093" s="54"/>
    </row>
    <row r="24094" spans="31:31">
      <c r="AE24094" s="54"/>
    </row>
    <row r="24095" spans="31:31">
      <c r="AE24095" s="54"/>
    </row>
    <row r="24096" spans="31:31">
      <c r="AE24096" s="54"/>
    </row>
    <row r="24097" spans="31:31">
      <c r="AE24097" s="54"/>
    </row>
    <row r="24098" spans="31:31">
      <c r="AE24098" s="54"/>
    </row>
    <row r="24099" spans="31:31">
      <c r="AE24099" s="54"/>
    </row>
    <row r="24100" spans="31:31">
      <c r="AE24100" s="54"/>
    </row>
    <row r="24101" spans="31:31">
      <c r="AE24101" s="54"/>
    </row>
    <row r="24102" spans="31:31">
      <c r="AE24102" s="54"/>
    </row>
    <row r="24103" spans="31:31">
      <c r="AE24103" s="54"/>
    </row>
    <row r="24104" spans="31:31">
      <c r="AE24104" s="54"/>
    </row>
    <row r="24105" spans="31:31">
      <c r="AE24105" s="54"/>
    </row>
    <row r="24106" spans="31:31">
      <c r="AE24106" s="54"/>
    </row>
    <row r="24107" spans="31:31">
      <c r="AE24107" s="54"/>
    </row>
    <row r="24108" spans="31:31">
      <c r="AE24108" s="54"/>
    </row>
    <row r="24109" spans="31:31">
      <c r="AE24109" s="54"/>
    </row>
    <row r="24110" spans="31:31">
      <c r="AE24110" s="54"/>
    </row>
    <row r="24111" spans="31:31">
      <c r="AE24111" s="54"/>
    </row>
    <row r="24112" spans="31:31">
      <c r="AE24112" s="54"/>
    </row>
    <row r="24113" spans="31:31">
      <c r="AE24113" s="54"/>
    </row>
    <row r="24114" spans="31:31">
      <c r="AE24114" s="54"/>
    </row>
    <row r="24115" spans="31:31">
      <c r="AE24115" s="54"/>
    </row>
    <row r="24116" spans="31:31">
      <c r="AE24116" s="54"/>
    </row>
    <row r="24117" spans="31:31">
      <c r="AE24117" s="54"/>
    </row>
    <row r="24118" spans="31:31">
      <c r="AE24118" s="54"/>
    </row>
    <row r="24119" spans="31:31">
      <c r="AE24119" s="54"/>
    </row>
    <row r="24120" spans="31:31">
      <c r="AE24120" s="54"/>
    </row>
    <row r="24121" spans="31:31">
      <c r="AE24121" s="54"/>
    </row>
    <row r="24122" spans="31:31">
      <c r="AE24122" s="54"/>
    </row>
    <row r="24123" spans="31:31">
      <c r="AE24123" s="54"/>
    </row>
    <row r="24124" spans="31:31">
      <c r="AE24124" s="54"/>
    </row>
    <row r="24125" spans="31:31">
      <c r="AE24125" s="54"/>
    </row>
    <row r="24126" spans="31:31">
      <c r="AE24126" s="54"/>
    </row>
    <row r="24127" spans="31:31">
      <c r="AE24127" s="54"/>
    </row>
    <row r="24128" spans="31:31">
      <c r="AE24128" s="54"/>
    </row>
    <row r="24129" spans="31:31">
      <c r="AE24129" s="54"/>
    </row>
    <row r="24130" spans="31:31">
      <c r="AE24130" s="54"/>
    </row>
    <row r="24131" spans="31:31">
      <c r="AE24131" s="54"/>
    </row>
    <row r="24132" spans="31:31">
      <c r="AE24132" s="54"/>
    </row>
    <row r="24133" spans="31:31">
      <c r="AE24133" s="54"/>
    </row>
    <row r="24134" spans="31:31">
      <c r="AE24134" s="54"/>
    </row>
    <row r="24135" spans="31:31">
      <c r="AE24135" s="54"/>
    </row>
    <row r="24136" spans="31:31">
      <c r="AE24136" s="54"/>
    </row>
    <row r="24137" spans="31:31">
      <c r="AE24137" s="54"/>
    </row>
    <row r="24138" spans="31:31">
      <c r="AE24138" s="54"/>
    </row>
    <row r="24139" spans="31:31">
      <c r="AE24139" s="54"/>
    </row>
    <row r="24140" spans="31:31">
      <c r="AE24140" s="54"/>
    </row>
    <row r="24141" spans="31:31">
      <c r="AE24141" s="54"/>
    </row>
    <row r="24142" spans="31:31">
      <c r="AE24142" s="54"/>
    </row>
    <row r="24143" spans="31:31">
      <c r="AE24143" s="54"/>
    </row>
    <row r="24144" spans="31:31">
      <c r="AE24144" s="54"/>
    </row>
    <row r="24145" spans="31:31">
      <c r="AE24145" s="54"/>
    </row>
    <row r="24146" spans="31:31">
      <c r="AE24146" s="54"/>
    </row>
    <row r="24147" spans="31:31">
      <c r="AE24147" s="54"/>
    </row>
    <row r="24148" spans="31:31">
      <c r="AE24148" s="54"/>
    </row>
    <row r="24149" spans="31:31">
      <c r="AE24149" s="54"/>
    </row>
    <row r="24150" spans="31:31">
      <c r="AE24150" s="54"/>
    </row>
    <row r="24151" spans="31:31">
      <c r="AE24151" s="54"/>
    </row>
    <row r="24152" spans="31:31">
      <c r="AE24152" s="54"/>
    </row>
    <row r="24153" spans="31:31">
      <c r="AE24153" s="54"/>
    </row>
    <row r="24154" spans="31:31">
      <c r="AE24154" s="54"/>
    </row>
    <row r="24155" spans="31:31">
      <c r="AE24155" s="54"/>
    </row>
    <row r="24156" spans="31:31">
      <c r="AE24156" s="54"/>
    </row>
    <row r="24157" spans="31:31">
      <c r="AE24157" s="54"/>
    </row>
    <row r="24158" spans="31:31">
      <c r="AE24158" s="54"/>
    </row>
    <row r="24159" spans="31:31">
      <c r="AE24159" s="54"/>
    </row>
    <row r="24160" spans="31:31">
      <c r="AE24160" s="54"/>
    </row>
    <row r="24161" spans="31:31">
      <c r="AE24161" s="54"/>
    </row>
    <row r="24162" spans="31:31">
      <c r="AE24162" s="54"/>
    </row>
    <row r="24163" spans="31:31">
      <c r="AE24163" s="54"/>
    </row>
    <row r="24164" spans="31:31">
      <c r="AE24164" s="54"/>
    </row>
    <row r="24165" spans="31:31">
      <c r="AE24165" s="54"/>
    </row>
    <row r="24166" spans="31:31">
      <c r="AE24166" s="54"/>
    </row>
    <row r="24167" spans="31:31">
      <c r="AE24167" s="54"/>
    </row>
    <row r="24168" spans="31:31">
      <c r="AE24168" s="54"/>
    </row>
    <row r="24169" spans="31:31">
      <c r="AE24169" s="54"/>
    </row>
    <row r="24170" spans="31:31">
      <c r="AE24170" s="54"/>
    </row>
    <row r="24171" spans="31:31">
      <c r="AE24171" s="54"/>
    </row>
    <row r="24172" spans="31:31">
      <c r="AE24172" s="54"/>
    </row>
    <row r="24173" spans="31:31">
      <c r="AE24173" s="54"/>
    </row>
    <row r="24174" spans="31:31">
      <c r="AE24174" s="54"/>
    </row>
    <row r="24175" spans="31:31">
      <c r="AE24175" s="54"/>
    </row>
    <row r="24176" spans="31:31">
      <c r="AE24176" s="54"/>
    </row>
    <row r="24177" spans="31:31">
      <c r="AE24177" s="54"/>
    </row>
    <row r="24178" spans="31:31">
      <c r="AE24178" s="54"/>
    </row>
    <row r="24179" spans="31:31">
      <c r="AE24179" s="54"/>
    </row>
    <row r="24180" spans="31:31">
      <c r="AE24180" s="54"/>
    </row>
    <row r="24181" spans="31:31">
      <c r="AE24181" s="54"/>
    </row>
    <row r="24182" spans="31:31">
      <c r="AE24182" s="54"/>
    </row>
    <row r="24183" spans="31:31">
      <c r="AE24183" s="54"/>
    </row>
    <row r="24184" spans="31:31">
      <c r="AE24184" s="54"/>
    </row>
    <row r="24185" spans="31:31">
      <c r="AE24185" s="54"/>
    </row>
    <row r="24186" spans="31:31">
      <c r="AE24186" s="54"/>
    </row>
    <row r="24187" spans="31:31">
      <c r="AE24187" s="54"/>
    </row>
    <row r="24188" spans="31:31">
      <c r="AE24188" s="54"/>
    </row>
    <row r="24189" spans="31:31">
      <c r="AE24189" s="54"/>
    </row>
    <row r="24190" spans="31:31">
      <c r="AE24190" s="54"/>
    </row>
    <row r="24191" spans="31:31">
      <c r="AE24191" s="54"/>
    </row>
    <row r="24192" spans="31:31">
      <c r="AE24192" s="54"/>
    </row>
    <row r="24193" spans="31:31">
      <c r="AE24193" s="54"/>
    </row>
    <row r="24194" spans="31:31">
      <c r="AE24194" s="54"/>
    </row>
    <row r="24195" spans="31:31">
      <c r="AE24195" s="54"/>
    </row>
    <row r="24196" spans="31:31">
      <c r="AE24196" s="54"/>
    </row>
    <row r="24197" spans="31:31">
      <c r="AE24197" s="54"/>
    </row>
    <row r="24198" spans="31:31">
      <c r="AE24198" s="54"/>
    </row>
    <row r="24199" spans="31:31">
      <c r="AE24199" s="54"/>
    </row>
    <row r="24200" spans="31:31">
      <c r="AE24200" s="54"/>
    </row>
    <row r="24201" spans="31:31">
      <c r="AE24201" s="54"/>
    </row>
    <row r="24202" spans="31:31">
      <c r="AE24202" s="54"/>
    </row>
    <row r="24203" spans="31:31">
      <c r="AE24203" s="54"/>
    </row>
    <row r="24204" spans="31:31">
      <c r="AE24204" s="54"/>
    </row>
    <row r="24205" spans="31:31">
      <c r="AE24205" s="54"/>
    </row>
    <row r="24206" spans="31:31">
      <c r="AE24206" s="54"/>
    </row>
    <row r="24207" spans="31:31">
      <c r="AE24207" s="54"/>
    </row>
    <row r="24208" spans="31:31">
      <c r="AE24208" s="54"/>
    </row>
    <row r="24209" spans="31:31">
      <c r="AE24209" s="54"/>
    </row>
    <row r="24210" spans="31:31">
      <c r="AE24210" s="54"/>
    </row>
    <row r="24211" spans="31:31">
      <c r="AE24211" s="54"/>
    </row>
    <row r="24212" spans="31:31">
      <c r="AE24212" s="54"/>
    </row>
    <row r="24213" spans="31:31">
      <c r="AE24213" s="54"/>
    </row>
    <row r="24214" spans="31:31">
      <c r="AE24214" s="54"/>
    </row>
    <row r="24215" spans="31:31">
      <c r="AE24215" s="54"/>
    </row>
    <row r="24216" spans="31:31">
      <c r="AE24216" s="54"/>
    </row>
    <row r="24217" spans="31:31">
      <c r="AE24217" s="54"/>
    </row>
    <row r="24218" spans="31:31">
      <c r="AE24218" s="54"/>
    </row>
    <row r="24219" spans="31:31">
      <c r="AE24219" s="54"/>
    </row>
    <row r="24220" spans="31:31">
      <c r="AE24220" s="54"/>
    </row>
    <row r="24221" spans="31:31">
      <c r="AE24221" s="54"/>
    </row>
    <row r="24222" spans="31:31">
      <c r="AE24222" s="54"/>
    </row>
    <row r="24223" spans="31:31">
      <c r="AE24223" s="54"/>
    </row>
    <row r="24224" spans="31:31">
      <c r="AE24224" s="54"/>
    </row>
    <row r="24225" spans="31:31">
      <c r="AE24225" s="54"/>
    </row>
    <row r="24226" spans="31:31">
      <c r="AE24226" s="54"/>
    </row>
    <row r="24227" spans="31:31">
      <c r="AE24227" s="54"/>
    </row>
    <row r="24228" spans="31:31">
      <c r="AE24228" s="54"/>
    </row>
    <row r="24229" spans="31:31">
      <c r="AE24229" s="54"/>
    </row>
    <row r="24230" spans="31:31">
      <c r="AE24230" s="54"/>
    </row>
    <row r="24231" spans="31:31">
      <c r="AE24231" s="54"/>
    </row>
    <row r="24232" spans="31:31">
      <c r="AE24232" s="54"/>
    </row>
    <row r="24233" spans="31:31">
      <c r="AE24233" s="54"/>
    </row>
    <row r="24234" spans="31:31">
      <c r="AE24234" s="54"/>
    </row>
    <row r="24235" spans="31:31">
      <c r="AE24235" s="54"/>
    </row>
    <row r="24236" spans="31:31">
      <c r="AE24236" s="54"/>
    </row>
    <row r="24237" spans="31:31">
      <c r="AE24237" s="54"/>
    </row>
    <row r="24238" spans="31:31">
      <c r="AE24238" s="54"/>
    </row>
    <row r="24239" spans="31:31">
      <c r="AE24239" s="54"/>
    </row>
    <row r="24240" spans="31:31">
      <c r="AE24240" s="54"/>
    </row>
    <row r="24241" spans="31:31">
      <c r="AE24241" s="54"/>
    </row>
    <row r="24242" spans="31:31">
      <c r="AE24242" s="54"/>
    </row>
    <row r="24243" spans="31:31">
      <c r="AE24243" s="54"/>
    </row>
    <row r="24244" spans="31:31">
      <c r="AE24244" s="54"/>
    </row>
    <row r="24245" spans="31:31">
      <c r="AE24245" s="54"/>
    </row>
    <row r="24246" spans="31:31">
      <c r="AE24246" s="54"/>
    </row>
    <row r="24247" spans="31:31">
      <c r="AE24247" s="54"/>
    </row>
    <row r="24248" spans="31:31">
      <c r="AE24248" s="54"/>
    </row>
    <row r="24249" spans="31:31">
      <c r="AE24249" s="54"/>
    </row>
    <row r="24250" spans="31:31">
      <c r="AE24250" s="54"/>
    </row>
    <row r="24251" spans="31:31">
      <c r="AE24251" s="54"/>
    </row>
    <row r="24252" spans="31:31">
      <c r="AE24252" s="54"/>
    </row>
    <row r="24253" spans="31:31">
      <c r="AE24253" s="54"/>
    </row>
    <row r="24254" spans="31:31">
      <c r="AE24254" s="54"/>
    </row>
    <row r="24255" spans="31:31">
      <c r="AE24255" s="54"/>
    </row>
    <row r="24256" spans="31:31">
      <c r="AE24256" s="54"/>
    </row>
    <row r="24257" spans="31:31">
      <c r="AE24257" s="54"/>
    </row>
    <row r="24258" spans="31:31">
      <c r="AE24258" s="54"/>
    </row>
    <row r="24259" spans="31:31">
      <c r="AE24259" s="54"/>
    </row>
    <row r="24260" spans="31:31">
      <c r="AE24260" s="54"/>
    </row>
    <row r="24261" spans="31:31">
      <c r="AE24261" s="54"/>
    </row>
    <row r="24262" spans="31:31">
      <c r="AE24262" s="54"/>
    </row>
    <row r="24263" spans="31:31">
      <c r="AE24263" s="54"/>
    </row>
    <row r="24264" spans="31:31">
      <c r="AE24264" s="54"/>
    </row>
    <row r="24265" spans="31:31">
      <c r="AE24265" s="54"/>
    </row>
    <row r="24266" spans="31:31">
      <c r="AE24266" s="54"/>
    </row>
    <row r="24267" spans="31:31">
      <c r="AE24267" s="54"/>
    </row>
    <row r="24268" spans="31:31">
      <c r="AE24268" s="54"/>
    </row>
    <row r="24269" spans="31:31">
      <c r="AE24269" s="54"/>
    </row>
    <row r="24270" spans="31:31">
      <c r="AE24270" s="54"/>
    </row>
    <row r="24271" spans="31:31">
      <c r="AE24271" s="54"/>
    </row>
    <row r="24272" spans="31:31">
      <c r="AE24272" s="54"/>
    </row>
    <row r="24273" spans="31:31">
      <c r="AE24273" s="54"/>
    </row>
    <row r="24274" spans="31:31">
      <c r="AE24274" s="54"/>
    </row>
    <row r="24275" spans="31:31">
      <c r="AE24275" s="54"/>
    </row>
    <row r="24276" spans="31:31">
      <c r="AE24276" s="54"/>
    </row>
    <row r="24277" spans="31:31">
      <c r="AE24277" s="54"/>
    </row>
    <row r="24278" spans="31:31">
      <c r="AE24278" s="54"/>
    </row>
    <row r="24279" spans="31:31">
      <c r="AE24279" s="54"/>
    </row>
    <row r="24280" spans="31:31">
      <c r="AE24280" s="54"/>
    </row>
    <row r="24281" spans="31:31">
      <c r="AE24281" s="54"/>
    </row>
    <row r="24282" spans="31:31">
      <c r="AE24282" s="54"/>
    </row>
    <row r="24283" spans="31:31">
      <c r="AE24283" s="54"/>
    </row>
    <row r="24284" spans="31:31">
      <c r="AE24284" s="54"/>
    </row>
    <row r="24285" spans="31:31">
      <c r="AE24285" s="54"/>
    </row>
    <row r="24286" spans="31:31">
      <c r="AE24286" s="54"/>
    </row>
    <row r="24287" spans="31:31">
      <c r="AE24287" s="54"/>
    </row>
    <row r="24288" spans="31:31">
      <c r="AE24288" s="54"/>
    </row>
    <row r="24289" spans="31:31">
      <c r="AE24289" s="54"/>
    </row>
    <row r="24290" spans="31:31">
      <c r="AE24290" s="54"/>
    </row>
    <row r="24291" spans="31:31">
      <c r="AE24291" s="54"/>
    </row>
    <row r="24292" spans="31:31">
      <c r="AE24292" s="54"/>
    </row>
    <row r="24293" spans="31:31">
      <c r="AE24293" s="54"/>
    </row>
    <row r="24294" spans="31:31">
      <c r="AE24294" s="54"/>
    </row>
    <row r="24295" spans="31:31">
      <c r="AE24295" s="54"/>
    </row>
    <row r="24296" spans="31:31">
      <c r="AE24296" s="54"/>
    </row>
    <row r="24297" spans="31:31">
      <c r="AE24297" s="54"/>
    </row>
    <row r="24298" spans="31:31">
      <c r="AE24298" s="54"/>
    </row>
    <row r="24299" spans="31:31">
      <c r="AE24299" s="54"/>
    </row>
    <row r="24300" spans="31:31">
      <c r="AE24300" s="54"/>
    </row>
    <row r="24301" spans="31:31">
      <c r="AE24301" s="54"/>
    </row>
    <row r="24302" spans="31:31">
      <c r="AE24302" s="54"/>
    </row>
    <row r="24303" spans="31:31">
      <c r="AE24303" s="54"/>
    </row>
    <row r="24304" spans="31:31">
      <c r="AE24304" s="54"/>
    </row>
    <row r="24305" spans="31:31">
      <c r="AE24305" s="54"/>
    </row>
    <row r="24306" spans="31:31">
      <c r="AE24306" s="54"/>
    </row>
    <row r="24307" spans="31:31">
      <c r="AE24307" s="54"/>
    </row>
    <row r="24308" spans="31:31">
      <c r="AE24308" s="54"/>
    </row>
    <row r="24309" spans="31:31">
      <c r="AE24309" s="54"/>
    </row>
    <row r="24310" spans="31:31">
      <c r="AE24310" s="54"/>
    </row>
    <row r="24311" spans="31:31">
      <c r="AE24311" s="54"/>
    </row>
    <row r="24312" spans="31:31">
      <c r="AE24312" s="54"/>
    </row>
    <row r="24313" spans="31:31">
      <c r="AE24313" s="54"/>
    </row>
    <row r="24314" spans="31:31">
      <c r="AE24314" s="54"/>
    </row>
    <row r="24315" spans="31:31">
      <c r="AE24315" s="54"/>
    </row>
    <row r="24316" spans="31:31">
      <c r="AE24316" s="54"/>
    </row>
    <row r="24317" spans="31:31">
      <c r="AE24317" s="54"/>
    </row>
    <row r="24318" spans="31:31">
      <c r="AE24318" s="54"/>
    </row>
    <row r="24319" spans="31:31">
      <c r="AE24319" s="54"/>
    </row>
    <row r="24320" spans="31:31">
      <c r="AE24320" s="54"/>
    </row>
    <row r="24321" spans="31:31">
      <c r="AE24321" s="54"/>
    </row>
    <row r="24322" spans="31:31">
      <c r="AE24322" s="54"/>
    </row>
    <row r="24323" spans="31:31">
      <c r="AE24323" s="54"/>
    </row>
    <row r="24324" spans="31:31">
      <c r="AE24324" s="54"/>
    </row>
    <row r="24325" spans="31:31">
      <c r="AE24325" s="54"/>
    </row>
    <row r="24326" spans="31:31">
      <c r="AE24326" s="54"/>
    </row>
    <row r="24327" spans="31:31">
      <c r="AE24327" s="54"/>
    </row>
    <row r="24328" spans="31:31">
      <c r="AE24328" s="54"/>
    </row>
    <row r="24329" spans="31:31">
      <c r="AE24329" s="54"/>
    </row>
    <row r="24330" spans="31:31">
      <c r="AE24330" s="54"/>
    </row>
    <row r="24331" spans="31:31">
      <c r="AE24331" s="54"/>
    </row>
    <row r="24332" spans="31:31">
      <c r="AE24332" s="54"/>
    </row>
    <row r="24333" spans="31:31">
      <c r="AE24333" s="54"/>
    </row>
    <row r="24334" spans="31:31">
      <c r="AE24334" s="54"/>
    </row>
    <row r="24335" spans="31:31">
      <c r="AE24335" s="54"/>
    </row>
    <row r="24336" spans="31:31">
      <c r="AE24336" s="54"/>
    </row>
    <row r="24337" spans="31:31">
      <c r="AE24337" s="54"/>
    </row>
    <row r="24338" spans="31:31">
      <c r="AE24338" s="54"/>
    </row>
    <row r="24339" spans="31:31">
      <c r="AE24339" s="54"/>
    </row>
    <row r="24340" spans="31:31">
      <c r="AE24340" s="54"/>
    </row>
    <row r="24341" spans="31:31">
      <c r="AE24341" s="54"/>
    </row>
    <row r="24342" spans="31:31">
      <c r="AE24342" s="54"/>
    </row>
    <row r="24343" spans="31:31">
      <c r="AE24343" s="54"/>
    </row>
    <row r="24344" spans="31:31">
      <c r="AE24344" s="54"/>
    </row>
    <row r="24345" spans="31:31">
      <c r="AE24345" s="54"/>
    </row>
    <row r="24346" spans="31:31">
      <c r="AE24346" s="54"/>
    </row>
    <row r="24347" spans="31:31">
      <c r="AE24347" s="54"/>
    </row>
    <row r="24348" spans="31:31">
      <c r="AE24348" s="54"/>
    </row>
    <row r="24349" spans="31:31">
      <c r="AE24349" s="54"/>
    </row>
    <row r="24350" spans="31:31">
      <c r="AE24350" s="54"/>
    </row>
    <row r="24351" spans="31:31">
      <c r="AE24351" s="54"/>
    </row>
    <row r="24352" spans="31:31">
      <c r="AE24352" s="54"/>
    </row>
    <row r="24353" spans="31:31">
      <c r="AE24353" s="54"/>
    </row>
    <row r="24354" spans="31:31">
      <c r="AE24354" s="54"/>
    </row>
    <row r="24355" spans="31:31">
      <c r="AE24355" s="54"/>
    </row>
    <row r="24356" spans="31:31">
      <c r="AE24356" s="54"/>
    </row>
    <row r="24357" spans="31:31">
      <c r="AE24357" s="54"/>
    </row>
    <row r="24358" spans="31:31">
      <c r="AE24358" s="54"/>
    </row>
    <row r="24359" spans="31:31">
      <c r="AE24359" s="54"/>
    </row>
    <row r="24360" spans="31:31">
      <c r="AE24360" s="54"/>
    </row>
    <row r="24361" spans="31:31">
      <c r="AE24361" s="54"/>
    </row>
    <row r="24362" spans="31:31">
      <c r="AE24362" s="54"/>
    </row>
    <row r="24363" spans="31:31">
      <c r="AE24363" s="54"/>
    </row>
    <row r="24364" spans="31:31">
      <c r="AE24364" s="54"/>
    </row>
    <row r="24365" spans="31:31">
      <c r="AE24365" s="54"/>
    </row>
    <row r="24366" spans="31:31">
      <c r="AE24366" s="54"/>
    </row>
    <row r="24367" spans="31:31">
      <c r="AE24367" s="54"/>
    </row>
    <row r="24368" spans="31:31">
      <c r="AE24368" s="54"/>
    </row>
    <row r="24369" spans="31:31">
      <c r="AE24369" s="54"/>
    </row>
    <row r="24370" spans="31:31">
      <c r="AE24370" s="54"/>
    </row>
    <row r="24371" spans="31:31">
      <c r="AE24371" s="54"/>
    </row>
    <row r="24372" spans="31:31">
      <c r="AE24372" s="54"/>
    </row>
    <row r="24373" spans="31:31">
      <c r="AE24373" s="54"/>
    </row>
    <row r="24374" spans="31:31">
      <c r="AE24374" s="54"/>
    </row>
    <row r="24375" spans="31:31">
      <c r="AE24375" s="54"/>
    </row>
    <row r="24376" spans="31:31">
      <c r="AE24376" s="54"/>
    </row>
    <row r="24377" spans="31:31">
      <c r="AE24377" s="54"/>
    </row>
    <row r="24378" spans="31:31">
      <c r="AE24378" s="54"/>
    </row>
    <row r="24379" spans="31:31">
      <c r="AE24379" s="54"/>
    </row>
    <row r="24380" spans="31:31">
      <c r="AE24380" s="54"/>
    </row>
    <row r="24381" spans="31:31">
      <c r="AE24381" s="54"/>
    </row>
    <row r="24382" spans="31:31">
      <c r="AE24382" s="54"/>
    </row>
    <row r="24383" spans="31:31">
      <c r="AE24383" s="54"/>
    </row>
    <row r="24384" spans="31:31">
      <c r="AE24384" s="54"/>
    </row>
    <row r="24385" spans="31:31">
      <c r="AE24385" s="54"/>
    </row>
    <row r="24386" spans="31:31">
      <c r="AE24386" s="54"/>
    </row>
    <row r="24387" spans="31:31">
      <c r="AE24387" s="54"/>
    </row>
    <row r="24388" spans="31:31">
      <c r="AE24388" s="54"/>
    </row>
    <row r="24389" spans="31:31">
      <c r="AE24389" s="54"/>
    </row>
    <row r="24390" spans="31:31">
      <c r="AE24390" s="54"/>
    </row>
    <row r="24391" spans="31:31">
      <c r="AE24391" s="54"/>
    </row>
    <row r="24392" spans="31:31">
      <c r="AE24392" s="54"/>
    </row>
    <row r="24393" spans="31:31">
      <c r="AE24393" s="54"/>
    </row>
    <row r="24394" spans="31:31">
      <c r="AE24394" s="54"/>
    </row>
    <row r="24395" spans="31:31">
      <c r="AE24395" s="54"/>
    </row>
    <row r="24396" spans="31:31">
      <c r="AE24396" s="54"/>
    </row>
    <row r="24397" spans="31:31">
      <c r="AE24397" s="54"/>
    </row>
    <row r="24398" spans="31:31">
      <c r="AE24398" s="54"/>
    </row>
    <row r="24399" spans="31:31">
      <c r="AE24399" s="54"/>
    </row>
    <row r="24400" spans="31:31">
      <c r="AE24400" s="54"/>
    </row>
    <row r="24401" spans="31:31">
      <c r="AE24401" s="54"/>
    </row>
    <row r="24402" spans="31:31">
      <c r="AE24402" s="54"/>
    </row>
    <row r="24403" spans="31:31">
      <c r="AE24403" s="54"/>
    </row>
    <row r="24404" spans="31:31">
      <c r="AE24404" s="54"/>
    </row>
    <row r="24405" spans="31:31">
      <c r="AE24405" s="54"/>
    </row>
    <row r="24406" spans="31:31">
      <c r="AE24406" s="54"/>
    </row>
    <row r="24407" spans="31:31">
      <c r="AE24407" s="54"/>
    </row>
    <row r="24408" spans="31:31">
      <c r="AE24408" s="54"/>
    </row>
    <row r="24409" spans="31:31">
      <c r="AE24409" s="54"/>
    </row>
    <row r="24410" spans="31:31">
      <c r="AE24410" s="54"/>
    </row>
    <row r="24411" spans="31:31">
      <c r="AE24411" s="54"/>
    </row>
    <row r="24412" spans="31:31">
      <c r="AE24412" s="54"/>
    </row>
    <row r="24413" spans="31:31">
      <c r="AE24413" s="54"/>
    </row>
    <row r="24414" spans="31:31">
      <c r="AE24414" s="54"/>
    </row>
    <row r="24415" spans="31:31">
      <c r="AE24415" s="54"/>
    </row>
    <row r="24416" spans="31:31">
      <c r="AE24416" s="54"/>
    </row>
    <row r="24417" spans="31:31">
      <c r="AE24417" s="54"/>
    </row>
    <row r="24418" spans="31:31">
      <c r="AE24418" s="54"/>
    </row>
    <row r="24419" spans="31:31">
      <c r="AE24419" s="54"/>
    </row>
    <row r="24420" spans="31:31">
      <c r="AE24420" s="54"/>
    </row>
    <row r="24421" spans="31:31">
      <c r="AE24421" s="54"/>
    </row>
    <row r="24422" spans="31:31">
      <c r="AE24422" s="54"/>
    </row>
    <row r="24423" spans="31:31">
      <c r="AE24423" s="54"/>
    </row>
    <row r="24424" spans="31:31">
      <c r="AE24424" s="54"/>
    </row>
    <row r="24425" spans="31:31">
      <c r="AE24425" s="54"/>
    </row>
    <row r="24426" spans="31:31">
      <c r="AE24426" s="54"/>
    </row>
    <row r="24427" spans="31:31">
      <c r="AE24427" s="54"/>
    </row>
    <row r="24428" spans="31:31">
      <c r="AE24428" s="54"/>
    </row>
    <row r="24429" spans="31:31">
      <c r="AE24429" s="54"/>
    </row>
    <row r="24430" spans="31:31">
      <c r="AE24430" s="54"/>
    </row>
    <row r="24431" spans="31:31">
      <c r="AE24431" s="54"/>
    </row>
    <row r="24432" spans="31:31">
      <c r="AE24432" s="54"/>
    </row>
    <row r="24433" spans="31:31">
      <c r="AE24433" s="54"/>
    </row>
    <row r="24434" spans="31:31">
      <c r="AE24434" s="54"/>
    </row>
    <row r="24435" spans="31:31">
      <c r="AE24435" s="54"/>
    </row>
    <row r="24436" spans="31:31">
      <c r="AE24436" s="54"/>
    </row>
    <row r="24437" spans="31:31">
      <c r="AE24437" s="54"/>
    </row>
    <row r="24438" spans="31:31">
      <c r="AE24438" s="54"/>
    </row>
    <row r="24439" spans="31:31">
      <c r="AE24439" s="54"/>
    </row>
    <row r="24440" spans="31:31">
      <c r="AE24440" s="54"/>
    </row>
    <row r="24441" spans="31:31">
      <c r="AE24441" s="54"/>
    </row>
    <row r="24442" spans="31:31">
      <c r="AE24442" s="54"/>
    </row>
    <row r="24443" spans="31:31">
      <c r="AE24443" s="54"/>
    </row>
    <row r="24444" spans="31:31">
      <c r="AE24444" s="54"/>
    </row>
    <row r="24445" spans="31:31">
      <c r="AE24445" s="54"/>
    </row>
    <row r="24446" spans="31:31">
      <c r="AE24446" s="54"/>
    </row>
    <row r="24447" spans="31:31">
      <c r="AE24447" s="54"/>
    </row>
    <row r="24448" spans="31:31">
      <c r="AE24448" s="54"/>
    </row>
    <row r="24449" spans="31:31">
      <c r="AE24449" s="54"/>
    </row>
    <row r="24450" spans="31:31">
      <c r="AE24450" s="54"/>
    </row>
    <row r="24451" spans="31:31">
      <c r="AE24451" s="54"/>
    </row>
    <row r="24452" spans="31:31">
      <c r="AE24452" s="54"/>
    </row>
    <row r="24453" spans="31:31">
      <c r="AE24453" s="54"/>
    </row>
    <row r="24454" spans="31:31">
      <c r="AE24454" s="54"/>
    </row>
    <row r="24455" spans="31:31">
      <c r="AE24455" s="54"/>
    </row>
    <row r="24456" spans="31:31">
      <c r="AE24456" s="54"/>
    </row>
    <row r="24457" spans="31:31">
      <c r="AE24457" s="54"/>
    </row>
    <row r="24458" spans="31:31">
      <c r="AE24458" s="54"/>
    </row>
    <row r="24459" spans="31:31">
      <c r="AE24459" s="54"/>
    </row>
    <row r="24460" spans="31:31">
      <c r="AE24460" s="54"/>
    </row>
    <row r="24461" spans="31:31">
      <c r="AE24461" s="54"/>
    </row>
    <row r="24462" spans="31:31">
      <c r="AE24462" s="54"/>
    </row>
    <row r="24463" spans="31:31">
      <c r="AE24463" s="54"/>
    </row>
    <row r="24464" spans="31:31">
      <c r="AE24464" s="54"/>
    </row>
    <row r="24465" spans="31:31">
      <c r="AE24465" s="54"/>
    </row>
    <row r="24466" spans="31:31">
      <c r="AE24466" s="54"/>
    </row>
    <row r="24467" spans="31:31">
      <c r="AE24467" s="54"/>
    </row>
    <row r="24468" spans="31:31">
      <c r="AE24468" s="54"/>
    </row>
    <row r="24469" spans="31:31">
      <c r="AE24469" s="54"/>
    </row>
    <row r="24470" spans="31:31">
      <c r="AE24470" s="54"/>
    </row>
    <row r="24471" spans="31:31">
      <c r="AE24471" s="54"/>
    </row>
    <row r="24472" spans="31:31">
      <c r="AE24472" s="54"/>
    </row>
    <row r="24473" spans="31:31">
      <c r="AE24473" s="54"/>
    </row>
    <row r="24474" spans="31:31">
      <c r="AE24474" s="54"/>
    </row>
    <row r="24475" spans="31:31">
      <c r="AE24475" s="54"/>
    </row>
    <row r="24476" spans="31:31">
      <c r="AE24476" s="54"/>
    </row>
    <row r="24477" spans="31:31">
      <c r="AE24477" s="54"/>
    </row>
    <row r="24478" spans="31:31">
      <c r="AE24478" s="54"/>
    </row>
    <row r="24479" spans="31:31">
      <c r="AE24479" s="54"/>
    </row>
    <row r="24480" spans="31:31">
      <c r="AE24480" s="54"/>
    </row>
    <row r="24481" spans="31:31">
      <c r="AE24481" s="54"/>
    </row>
    <row r="24482" spans="31:31">
      <c r="AE24482" s="54"/>
    </row>
    <row r="24483" spans="31:31">
      <c r="AE24483" s="54"/>
    </row>
    <row r="24484" spans="31:31">
      <c r="AE24484" s="54"/>
    </row>
    <row r="24485" spans="31:31">
      <c r="AE24485" s="54"/>
    </row>
    <row r="24486" spans="31:31">
      <c r="AE24486" s="54"/>
    </row>
    <row r="24487" spans="31:31">
      <c r="AE24487" s="54"/>
    </row>
    <row r="24488" spans="31:31">
      <c r="AE24488" s="54"/>
    </row>
    <row r="24489" spans="31:31">
      <c r="AE24489" s="54"/>
    </row>
    <row r="24490" spans="31:31">
      <c r="AE24490" s="54"/>
    </row>
    <row r="24491" spans="31:31">
      <c r="AE24491" s="54"/>
    </row>
    <row r="24492" spans="31:31">
      <c r="AE24492" s="54"/>
    </row>
    <row r="24493" spans="31:31">
      <c r="AE24493" s="54"/>
    </row>
    <row r="24494" spans="31:31">
      <c r="AE24494" s="54"/>
    </row>
    <row r="24495" spans="31:31">
      <c r="AE24495" s="54"/>
    </row>
    <row r="24496" spans="31:31">
      <c r="AE24496" s="54"/>
    </row>
    <row r="24497" spans="31:31">
      <c r="AE24497" s="54"/>
    </row>
    <row r="24498" spans="31:31">
      <c r="AE24498" s="54"/>
    </row>
    <row r="24499" spans="31:31">
      <c r="AE24499" s="54"/>
    </row>
    <row r="24500" spans="31:31">
      <c r="AE24500" s="54"/>
    </row>
    <row r="24501" spans="31:31">
      <c r="AE24501" s="54"/>
    </row>
    <row r="24502" spans="31:31">
      <c r="AE24502" s="54"/>
    </row>
    <row r="24503" spans="31:31">
      <c r="AE24503" s="54"/>
    </row>
    <row r="24504" spans="31:31">
      <c r="AE24504" s="54"/>
    </row>
    <row r="24505" spans="31:31">
      <c r="AE24505" s="54"/>
    </row>
    <row r="24506" spans="31:31">
      <c r="AE24506" s="54"/>
    </row>
    <row r="24507" spans="31:31">
      <c r="AE24507" s="54"/>
    </row>
    <row r="24508" spans="31:31">
      <c r="AE24508" s="54"/>
    </row>
    <row r="24509" spans="31:31">
      <c r="AE24509" s="54"/>
    </row>
    <row r="24510" spans="31:31">
      <c r="AE24510" s="54"/>
    </row>
    <row r="24511" spans="31:31">
      <c r="AE24511" s="54"/>
    </row>
    <row r="24512" spans="31:31">
      <c r="AE24512" s="54"/>
    </row>
    <row r="24513" spans="31:31">
      <c r="AE24513" s="54"/>
    </row>
    <row r="24514" spans="31:31">
      <c r="AE24514" s="54"/>
    </row>
    <row r="24515" spans="31:31">
      <c r="AE24515" s="54"/>
    </row>
    <row r="24516" spans="31:31">
      <c r="AE24516" s="54"/>
    </row>
    <row r="24517" spans="31:31">
      <c r="AE24517" s="54"/>
    </row>
    <row r="24518" spans="31:31">
      <c r="AE24518" s="54"/>
    </row>
    <row r="24519" spans="31:31">
      <c r="AE24519" s="54"/>
    </row>
    <row r="24520" spans="31:31">
      <c r="AE24520" s="54"/>
    </row>
    <row r="24521" spans="31:31">
      <c r="AE24521" s="54"/>
    </row>
    <row r="24522" spans="31:31">
      <c r="AE24522" s="54"/>
    </row>
    <row r="24523" spans="31:31">
      <c r="AE24523" s="54"/>
    </row>
    <row r="24524" spans="31:31">
      <c r="AE24524" s="54"/>
    </row>
    <row r="24525" spans="31:31">
      <c r="AE24525" s="54"/>
    </row>
    <row r="24526" spans="31:31">
      <c r="AE24526" s="54"/>
    </row>
    <row r="24527" spans="31:31">
      <c r="AE24527" s="54"/>
    </row>
    <row r="24528" spans="31:31">
      <c r="AE24528" s="54"/>
    </row>
    <row r="24529" spans="31:31">
      <c r="AE24529" s="54"/>
    </row>
    <row r="24530" spans="31:31">
      <c r="AE24530" s="54"/>
    </row>
    <row r="24531" spans="31:31">
      <c r="AE24531" s="54"/>
    </row>
    <row r="24532" spans="31:31">
      <c r="AE24532" s="54"/>
    </row>
    <row r="24533" spans="31:31">
      <c r="AE24533" s="54"/>
    </row>
    <row r="24534" spans="31:31">
      <c r="AE24534" s="54"/>
    </row>
    <row r="24535" spans="31:31">
      <c r="AE24535" s="54"/>
    </row>
    <row r="24536" spans="31:31">
      <c r="AE24536" s="54"/>
    </row>
    <row r="24537" spans="31:31">
      <c r="AE24537" s="54"/>
    </row>
    <row r="24538" spans="31:31">
      <c r="AE24538" s="54"/>
    </row>
    <row r="24539" spans="31:31">
      <c r="AE24539" s="54"/>
    </row>
    <row r="24540" spans="31:31">
      <c r="AE24540" s="54"/>
    </row>
    <row r="24541" spans="31:31">
      <c r="AE24541" s="54"/>
    </row>
    <row r="24542" spans="31:31">
      <c r="AE24542" s="54"/>
    </row>
    <row r="24543" spans="31:31">
      <c r="AE24543" s="54"/>
    </row>
    <row r="24544" spans="31:31">
      <c r="AE24544" s="54"/>
    </row>
    <row r="24545" spans="31:31">
      <c r="AE24545" s="54"/>
    </row>
    <row r="24546" spans="31:31">
      <c r="AE24546" s="54"/>
    </row>
    <row r="24547" spans="31:31">
      <c r="AE24547" s="54"/>
    </row>
    <row r="24548" spans="31:31">
      <c r="AE24548" s="54"/>
    </row>
    <row r="24549" spans="31:31">
      <c r="AE24549" s="54"/>
    </row>
    <row r="24550" spans="31:31">
      <c r="AE24550" s="54"/>
    </row>
    <row r="24551" spans="31:31">
      <c r="AE24551" s="54"/>
    </row>
    <row r="24552" spans="31:31">
      <c r="AE24552" s="54"/>
    </row>
    <row r="24553" spans="31:31">
      <c r="AE24553" s="54"/>
    </row>
    <row r="24554" spans="31:31">
      <c r="AE24554" s="54"/>
    </row>
    <row r="24555" spans="31:31">
      <c r="AE24555" s="54"/>
    </row>
    <row r="24556" spans="31:31">
      <c r="AE24556" s="54"/>
    </row>
    <row r="24557" spans="31:31">
      <c r="AE24557" s="54"/>
    </row>
    <row r="24558" spans="31:31">
      <c r="AE24558" s="54"/>
    </row>
    <row r="24559" spans="31:31">
      <c r="AE24559" s="54"/>
    </row>
    <row r="24560" spans="31:31">
      <c r="AE24560" s="54"/>
    </row>
    <row r="24561" spans="31:31">
      <c r="AE24561" s="54"/>
    </row>
    <row r="24562" spans="31:31">
      <c r="AE24562" s="54"/>
    </row>
    <row r="24563" spans="31:31">
      <c r="AE24563" s="54"/>
    </row>
    <row r="24564" spans="31:31">
      <c r="AE24564" s="54"/>
    </row>
    <row r="24565" spans="31:31">
      <c r="AE24565" s="54"/>
    </row>
    <row r="24566" spans="31:31">
      <c r="AE24566" s="54"/>
    </row>
    <row r="24567" spans="31:31">
      <c r="AE24567" s="54"/>
    </row>
    <row r="24568" spans="31:31">
      <c r="AE24568" s="54"/>
    </row>
    <row r="24569" spans="31:31">
      <c r="AE24569" s="54"/>
    </row>
    <row r="24570" spans="31:31">
      <c r="AE24570" s="54"/>
    </row>
    <row r="24571" spans="31:31">
      <c r="AE24571" s="54"/>
    </row>
    <row r="24572" spans="31:31">
      <c r="AE24572" s="54"/>
    </row>
    <row r="24573" spans="31:31">
      <c r="AE24573" s="54"/>
    </row>
    <row r="24574" spans="31:31">
      <c r="AE24574" s="54"/>
    </row>
    <row r="24575" spans="31:31">
      <c r="AE24575" s="54"/>
    </row>
    <row r="24576" spans="31:31">
      <c r="AE24576" s="54"/>
    </row>
    <row r="24577" spans="31:31">
      <c r="AE24577" s="54"/>
    </row>
    <row r="24578" spans="31:31">
      <c r="AE24578" s="54"/>
    </row>
    <row r="24579" spans="31:31">
      <c r="AE24579" s="54"/>
    </row>
    <row r="24580" spans="31:31">
      <c r="AE24580" s="54"/>
    </row>
    <row r="24581" spans="31:31">
      <c r="AE24581" s="54"/>
    </row>
    <row r="24582" spans="31:31">
      <c r="AE24582" s="54"/>
    </row>
    <row r="24583" spans="31:31">
      <c r="AE24583" s="54"/>
    </row>
    <row r="24584" spans="31:31">
      <c r="AE24584" s="54"/>
    </row>
    <row r="24585" spans="31:31">
      <c r="AE24585" s="54"/>
    </row>
    <row r="24586" spans="31:31">
      <c r="AE24586" s="54"/>
    </row>
    <row r="24587" spans="31:31">
      <c r="AE24587" s="54"/>
    </row>
    <row r="24588" spans="31:31">
      <c r="AE24588" s="54"/>
    </row>
    <row r="24589" spans="31:31">
      <c r="AE24589" s="54"/>
    </row>
    <row r="24590" spans="31:31">
      <c r="AE24590" s="54"/>
    </row>
    <row r="24591" spans="31:31">
      <c r="AE24591" s="54"/>
    </row>
    <row r="24592" spans="31:31">
      <c r="AE24592" s="54"/>
    </row>
    <row r="24593" spans="31:31">
      <c r="AE24593" s="54"/>
    </row>
    <row r="24594" spans="31:31">
      <c r="AE24594" s="54"/>
    </row>
    <row r="24595" spans="31:31">
      <c r="AE24595" s="54"/>
    </row>
    <row r="24596" spans="31:31">
      <c r="AE24596" s="54"/>
    </row>
    <row r="24597" spans="31:31">
      <c r="AE24597" s="54"/>
    </row>
    <row r="24598" spans="31:31">
      <c r="AE24598" s="54"/>
    </row>
    <row r="24599" spans="31:31">
      <c r="AE24599" s="54"/>
    </row>
    <row r="24600" spans="31:31">
      <c r="AE24600" s="54"/>
    </row>
    <row r="24601" spans="31:31">
      <c r="AE24601" s="54"/>
    </row>
    <row r="24602" spans="31:31">
      <c r="AE24602" s="54"/>
    </row>
    <row r="24603" spans="31:31">
      <c r="AE24603" s="54"/>
    </row>
    <row r="24604" spans="31:31">
      <c r="AE24604" s="54"/>
    </row>
    <row r="24605" spans="31:31">
      <c r="AE24605" s="54"/>
    </row>
    <row r="24606" spans="31:31">
      <c r="AE24606" s="54"/>
    </row>
    <row r="24607" spans="31:31">
      <c r="AE24607" s="54"/>
    </row>
    <row r="24608" spans="31:31">
      <c r="AE24608" s="54"/>
    </row>
    <row r="24609" spans="31:31">
      <c r="AE24609" s="54"/>
    </row>
    <row r="24610" spans="31:31">
      <c r="AE24610" s="54"/>
    </row>
    <row r="24611" spans="31:31">
      <c r="AE24611" s="54"/>
    </row>
    <row r="24612" spans="31:31">
      <c r="AE24612" s="54"/>
    </row>
    <row r="24613" spans="31:31">
      <c r="AE24613" s="54"/>
    </row>
    <row r="24614" spans="31:31">
      <c r="AE24614" s="54"/>
    </row>
    <row r="24615" spans="31:31">
      <c r="AE24615" s="54"/>
    </row>
    <row r="24616" spans="31:31">
      <c r="AE24616" s="54"/>
    </row>
    <row r="24617" spans="31:31">
      <c r="AE24617" s="54"/>
    </row>
    <row r="24618" spans="31:31">
      <c r="AE24618" s="54"/>
    </row>
    <row r="24619" spans="31:31">
      <c r="AE24619" s="54"/>
    </row>
    <row r="24620" spans="31:31">
      <c r="AE24620" s="54"/>
    </row>
    <row r="24621" spans="31:31">
      <c r="AE24621" s="54"/>
    </row>
    <row r="24622" spans="31:31">
      <c r="AE24622" s="54"/>
    </row>
    <row r="24623" spans="31:31">
      <c r="AE24623" s="54"/>
    </row>
    <row r="24624" spans="31:31">
      <c r="AE24624" s="54"/>
    </row>
    <row r="24625" spans="31:31">
      <c r="AE24625" s="54"/>
    </row>
    <row r="24626" spans="31:31">
      <c r="AE24626" s="54"/>
    </row>
    <row r="24627" spans="31:31">
      <c r="AE24627" s="54"/>
    </row>
    <row r="24628" spans="31:31">
      <c r="AE24628" s="54"/>
    </row>
    <row r="24629" spans="31:31">
      <c r="AE24629" s="54"/>
    </row>
    <row r="24630" spans="31:31">
      <c r="AE24630" s="54"/>
    </row>
    <row r="24631" spans="31:31">
      <c r="AE24631" s="54"/>
    </row>
    <row r="24632" spans="31:31">
      <c r="AE24632" s="54"/>
    </row>
    <row r="24633" spans="31:31">
      <c r="AE24633" s="54"/>
    </row>
    <row r="24634" spans="31:31">
      <c r="AE24634" s="54"/>
    </row>
    <row r="24635" spans="31:31">
      <c r="AE24635" s="54"/>
    </row>
    <row r="24636" spans="31:31">
      <c r="AE24636" s="54"/>
    </row>
    <row r="24637" spans="31:31">
      <c r="AE24637" s="54"/>
    </row>
    <row r="24638" spans="31:31">
      <c r="AE24638" s="54"/>
    </row>
    <row r="24639" spans="31:31">
      <c r="AE24639" s="54"/>
    </row>
    <row r="24640" spans="31:31">
      <c r="AE24640" s="54"/>
    </row>
    <row r="24641" spans="31:31">
      <c r="AE24641" s="54"/>
    </row>
    <row r="24642" spans="31:31">
      <c r="AE24642" s="54"/>
    </row>
    <row r="24643" spans="31:31">
      <c r="AE24643" s="54"/>
    </row>
    <row r="24644" spans="31:31">
      <c r="AE24644" s="54"/>
    </row>
    <row r="24645" spans="31:31">
      <c r="AE24645" s="54"/>
    </row>
    <row r="24646" spans="31:31">
      <c r="AE24646" s="54"/>
    </row>
    <row r="24647" spans="31:31">
      <c r="AE24647" s="54"/>
    </row>
    <row r="24648" spans="31:31">
      <c r="AE24648" s="54"/>
    </row>
    <row r="24649" spans="31:31">
      <c r="AE24649" s="54"/>
    </row>
    <row r="24650" spans="31:31">
      <c r="AE24650" s="54"/>
    </row>
    <row r="24651" spans="31:31">
      <c r="AE24651" s="54"/>
    </row>
    <row r="24652" spans="31:31">
      <c r="AE24652" s="54"/>
    </row>
    <row r="24653" spans="31:31">
      <c r="AE24653" s="54"/>
    </row>
    <row r="24654" spans="31:31">
      <c r="AE24654" s="54"/>
    </row>
    <row r="24655" spans="31:31">
      <c r="AE24655" s="54"/>
    </row>
    <row r="24656" spans="31:31">
      <c r="AE24656" s="54"/>
    </row>
    <row r="24657" spans="31:31">
      <c r="AE24657" s="54"/>
    </row>
    <row r="24658" spans="31:31">
      <c r="AE24658" s="54"/>
    </row>
    <row r="24659" spans="31:31">
      <c r="AE24659" s="54"/>
    </row>
    <row r="24660" spans="31:31">
      <c r="AE24660" s="54"/>
    </row>
    <row r="24661" spans="31:31">
      <c r="AE24661" s="54"/>
    </row>
    <row r="24662" spans="31:31">
      <c r="AE24662" s="54"/>
    </row>
    <row r="24663" spans="31:31">
      <c r="AE24663" s="54"/>
    </row>
    <row r="24664" spans="31:31">
      <c r="AE24664" s="54"/>
    </row>
    <row r="24665" spans="31:31">
      <c r="AE24665" s="54"/>
    </row>
    <row r="24666" spans="31:31">
      <c r="AE24666" s="54"/>
    </row>
    <row r="24667" spans="31:31">
      <c r="AE24667" s="54"/>
    </row>
    <row r="24668" spans="31:31">
      <c r="AE24668" s="54"/>
    </row>
    <row r="24669" spans="31:31">
      <c r="AE24669" s="54"/>
    </row>
    <row r="24670" spans="31:31">
      <c r="AE24670" s="54"/>
    </row>
    <row r="24671" spans="31:31">
      <c r="AE24671" s="54"/>
    </row>
    <row r="24672" spans="31:31">
      <c r="AE24672" s="54"/>
    </row>
    <row r="24673" spans="31:31">
      <c r="AE24673" s="54"/>
    </row>
    <row r="24674" spans="31:31">
      <c r="AE24674" s="54"/>
    </row>
    <row r="24675" spans="31:31">
      <c r="AE24675" s="54"/>
    </row>
    <row r="24676" spans="31:31">
      <c r="AE24676" s="54"/>
    </row>
    <row r="24677" spans="31:31">
      <c r="AE24677" s="54"/>
    </row>
    <row r="24678" spans="31:31">
      <c r="AE24678" s="54"/>
    </row>
    <row r="24679" spans="31:31">
      <c r="AE24679" s="54"/>
    </row>
    <row r="24680" spans="31:31">
      <c r="AE24680" s="54"/>
    </row>
    <row r="24681" spans="31:31">
      <c r="AE24681" s="54"/>
    </row>
    <row r="24682" spans="31:31">
      <c r="AE24682" s="54"/>
    </row>
    <row r="24683" spans="31:31">
      <c r="AE24683" s="54"/>
    </row>
    <row r="24684" spans="31:31">
      <c r="AE24684" s="54"/>
    </row>
    <row r="24685" spans="31:31">
      <c r="AE24685" s="54"/>
    </row>
    <row r="24686" spans="31:31">
      <c r="AE24686" s="54"/>
    </row>
    <row r="24687" spans="31:31">
      <c r="AE24687" s="54"/>
    </row>
    <row r="24688" spans="31:31">
      <c r="AE24688" s="54"/>
    </row>
    <row r="24689" spans="31:31">
      <c r="AE24689" s="54"/>
    </row>
    <row r="24690" spans="31:31">
      <c r="AE24690" s="54"/>
    </row>
    <row r="24691" spans="31:31">
      <c r="AE24691" s="54"/>
    </row>
    <row r="24692" spans="31:31">
      <c r="AE24692" s="54"/>
    </row>
    <row r="24693" spans="31:31">
      <c r="AE24693" s="54"/>
    </row>
    <row r="24694" spans="31:31">
      <c r="AE24694" s="54"/>
    </row>
    <row r="24695" spans="31:31">
      <c r="AE24695" s="54"/>
    </row>
    <row r="24696" spans="31:31">
      <c r="AE24696" s="54"/>
    </row>
    <row r="24697" spans="31:31">
      <c r="AE24697" s="54"/>
    </row>
    <row r="24698" spans="31:31">
      <c r="AE24698" s="54"/>
    </row>
    <row r="24699" spans="31:31">
      <c r="AE24699" s="54"/>
    </row>
    <row r="24700" spans="31:31">
      <c r="AE24700" s="54"/>
    </row>
    <row r="24701" spans="31:31">
      <c r="AE24701" s="54"/>
    </row>
    <row r="24702" spans="31:31">
      <c r="AE24702" s="54"/>
    </row>
    <row r="24703" spans="31:31">
      <c r="AE24703" s="54"/>
    </row>
    <row r="24704" spans="31:31">
      <c r="AE24704" s="54"/>
    </row>
    <row r="24705" spans="31:31">
      <c r="AE24705" s="54"/>
    </row>
    <row r="24706" spans="31:31">
      <c r="AE24706" s="54"/>
    </row>
    <row r="24707" spans="31:31">
      <c r="AE24707" s="54"/>
    </row>
    <row r="24708" spans="31:31">
      <c r="AE24708" s="54"/>
    </row>
    <row r="24709" spans="31:31">
      <c r="AE24709" s="54"/>
    </row>
    <row r="24710" spans="31:31">
      <c r="AE24710" s="54"/>
    </row>
    <row r="24711" spans="31:31">
      <c r="AE24711" s="54"/>
    </row>
    <row r="24712" spans="31:31">
      <c r="AE24712" s="54"/>
    </row>
    <row r="24713" spans="31:31">
      <c r="AE24713" s="54"/>
    </row>
    <row r="24714" spans="31:31">
      <c r="AE24714" s="54"/>
    </row>
    <row r="24715" spans="31:31">
      <c r="AE24715" s="54"/>
    </row>
    <row r="24716" spans="31:31">
      <c r="AE24716" s="54"/>
    </row>
    <row r="24717" spans="31:31">
      <c r="AE24717" s="54"/>
    </row>
    <row r="24718" spans="31:31">
      <c r="AE24718" s="54"/>
    </row>
    <row r="24719" spans="31:31">
      <c r="AE24719" s="54"/>
    </row>
    <row r="24720" spans="31:31">
      <c r="AE24720" s="54"/>
    </row>
    <row r="24721" spans="31:31">
      <c r="AE24721" s="54"/>
    </row>
    <row r="24722" spans="31:31">
      <c r="AE24722" s="54"/>
    </row>
    <row r="24723" spans="31:31">
      <c r="AE24723" s="54"/>
    </row>
    <row r="24724" spans="31:31">
      <c r="AE24724" s="54"/>
    </row>
    <row r="24725" spans="31:31">
      <c r="AE24725" s="54"/>
    </row>
    <row r="24726" spans="31:31">
      <c r="AE24726" s="54"/>
    </row>
    <row r="24727" spans="31:31">
      <c r="AE24727" s="54"/>
    </row>
    <row r="24728" spans="31:31">
      <c r="AE24728" s="54"/>
    </row>
    <row r="24729" spans="31:31">
      <c r="AE24729" s="54"/>
    </row>
    <row r="24730" spans="31:31">
      <c r="AE24730" s="54"/>
    </row>
    <row r="24731" spans="31:31">
      <c r="AE24731" s="54"/>
    </row>
    <row r="24732" spans="31:31">
      <c r="AE24732" s="54"/>
    </row>
    <row r="24733" spans="31:31">
      <c r="AE24733" s="54"/>
    </row>
    <row r="24734" spans="31:31">
      <c r="AE24734" s="54"/>
    </row>
    <row r="24735" spans="31:31">
      <c r="AE24735" s="54"/>
    </row>
    <row r="24736" spans="31:31">
      <c r="AE24736" s="54"/>
    </row>
    <row r="24737" spans="31:31">
      <c r="AE24737" s="54"/>
    </row>
    <row r="24738" spans="31:31">
      <c r="AE24738" s="54"/>
    </row>
    <row r="24739" spans="31:31">
      <c r="AE24739" s="54"/>
    </row>
    <row r="24740" spans="31:31">
      <c r="AE24740" s="54"/>
    </row>
    <row r="24741" spans="31:31">
      <c r="AE24741" s="54"/>
    </row>
    <row r="24742" spans="31:31">
      <c r="AE24742" s="54"/>
    </row>
    <row r="24743" spans="31:31">
      <c r="AE24743" s="54"/>
    </row>
    <row r="24744" spans="31:31">
      <c r="AE24744" s="54"/>
    </row>
    <row r="24745" spans="31:31">
      <c r="AE24745" s="54"/>
    </row>
    <row r="24746" spans="31:31">
      <c r="AE24746" s="54"/>
    </row>
    <row r="24747" spans="31:31">
      <c r="AE24747" s="54"/>
    </row>
    <row r="24748" spans="31:31">
      <c r="AE24748" s="54"/>
    </row>
    <row r="24749" spans="31:31">
      <c r="AE24749" s="54"/>
    </row>
    <row r="24750" spans="31:31">
      <c r="AE24750" s="54"/>
    </row>
    <row r="24751" spans="31:31">
      <c r="AE24751" s="54"/>
    </row>
    <row r="24752" spans="31:31">
      <c r="AE24752" s="54"/>
    </row>
    <row r="24753" spans="31:31">
      <c r="AE24753" s="54"/>
    </row>
    <row r="24754" spans="31:31">
      <c r="AE24754" s="54"/>
    </row>
    <row r="24755" spans="31:31">
      <c r="AE24755" s="54"/>
    </row>
    <row r="24756" spans="31:31">
      <c r="AE24756" s="54"/>
    </row>
    <row r="24757" spans="31:31">
      <c r="AE24757" s="54"/>
    </row>
    <row r="24758" spans="31:31">
      <c r="AE24758" s="54"/>
    </row>
    <row r="24759" spans="31:31">
      <c r="AE24759" s="54"/>
    </row>
    <row r="24760" spans="31:31">
      <c r="AE24760" s="54"/>
    </row>
    <row r="24761" spans="31:31">
      <c r="AE24761" s="54"/>
    </row>
    <row r="24762" spans="31:31">
      <c r="AE24762" s="54"/>
    </row>
    <row r="24763" spans="31:31">
      <c r="AE24763" s="54"/>
    </row>
    <row r="24764" spans="31:31">
      <c r="AE24764" s="54"/>
    </row>
    <row r="24765" spans="31:31">
      <c r="AE24765" s="54"/>
    </row>
    <row r="24766" spans="31:31">
      <c r="AE24766" s="54"/>
    </row>
    <row r="24767" spans="31:31">
      <c r="AE24767" s="54"/>
    </row>
    <row r="24768" spans="31:31">
      <c r="AE24768" s="54"/>
    </row>
    <row r="24769" spans="31:31">
      <c r="AE24769" s="54"/>
    </row>
    <row r="24770" spans="31:31">
      <c r="AE24770" s="54"/>
    </row>
    <row r="24771" spans="31:31">
      <c r="AE24771" s="54"/>
    </row>
    <row r="24772" spans="31:31">
      <c r="AE24772" s="54"/>
    </row>
    <row r="24773" spans="31:31">
      <c r="AE24773" s="54"/>
    </row>
    <row r="24774" spans="31:31">
      <c r="AE24774" s="54"/>
    </row>
    <row r="24775" spans="31:31">
      <c r="AE24775" s="54"/>
    </row>
    <row r="24776" spans="31:31">
      <c r="AE24776" s="54"/>
    </row>
    <row r="24777" spans="31:31">
      <c r="AE24777" s="54"/>
    </row>
    <row r="24778" spans="31:31">
      <c r="AE24778" s="54"/>
    </row>
    <row r="24779" spans="31:31">
      <c r="AE24779" s="54"/>
    </row>
    <row r="24780" spans="31:31">
      <c r="AE24780" s="54"/>
    </row>
    <row r="24781" spans="31:31">
      <c r="AE24781" s="54"/>
    </row>
    <row r="24782" spans="31:31">
      <c r="AE24782" s="54"/>
    </row>
    <row r="24783" spans="31:31">
      <c r="AE24783" s="54"/>
    </row>
    <row r="24784" spans="31:31">
      <c r="AE24784" s="54"/>
    </row>
    <row r="24785" spans="31:31">
      <c r="AE24785" s="54"/>
    </row>
    <row r="24786" spans="31:31">
      <c r="AE24786" s="54"/>
    </row>
    <row r="24787" spans="31:31">
      <c r="AE24787" s="54"/>
    </row>
    <row r="24788" spans="31:31">
      <c r="AE24788" s="54"/>
    </row>
    <row r="24789" spans="31:31">
      <c r="AE24789" s="54"/>
    </row>
    <row r="24790" spans="31:31">
      <c r="AE24790" s="54"/>
    </row>
    <row r="24791" spans="31:31">
      <c r="AE24791" s="54"/>
    </row>
    <row r="24792" spans="31:31">
      <c r="AE24792" s="54"/>
    </row>
    <row r="24793" spans="31:31">
      <c r="AE24793" s="54"/>
    </row>
    <row r="24794" spans="31:31">
      <c r="AE24794" s="54"/>
    </row>
    <row r="24795" spans="31:31">
      <c r="AE24795" s="54"/>
    </row>
    <row r="24796" spans="31:31">
      <c r="AE24796" s="54"/>
    </row>
    <row r="24797" spans="31:31">
      <c r="AE24797" s="54"/>
    </row>
    <row r="24798" spans="31:31">
      <c r="AE24798" s="54"/>
    </row>
    <row r="24799" spans="31:31">
      <c r="AE24799" s="54"/>
    </row>
    <row r="24800" spans="31:31">
      <c r="AE24800" s="54"/>
    </row>
    <row r="24801" spans="31:31">
      <c r="AE24801" s="54"/>
    </row>
    <row r="24802" spans="31:31">
      <c r="AE24802" s="54"/>
    </row>
    <row r="24803" spans="31:31">
      <c r="AE24803" s="54"/>
    </row>
    <row r="24804" spans="31:31">
      <c r="AE24804" s="54"/>
    </row>
    <row r="24805" spans="31:31">
      <c r="AE24805" s="54"/>
    </row>
    <row r="24806" spans="31:31">
      <c r="AE24806" s="54"/>
    </row>
    <row r="24807" spans="31:31">
      <c r="AE24807" s="54"/>
    </row>
    <row r="24808" spans="31:31">
      <c r="AE24808" s="54"/>
    </row>
    <row r="24809" spans="31:31">
      <c r="AE24809" s="54"/>
    </row>
    <row r="24810" spans="31:31">
      <c r="AE24810" s="54"/>
    </row>
    <row r="24811" spans="31:31">
      <c r="AE24811" s="54"/>
    </row>
    <row r="24812" spans="31:31">
      <c r="AE24812" s="54"/>
    </row>
    <row r="24813" spans="31:31">
      <c r="AE24813" s="54"/>
    </row>
    <row r="24814" spans="31:31">
      <c r="AE24814" s="54"/>
    </row>
    <row r="24815" spans="31:31">
      <c r="AE24815" s="54"/>
    </row>
    <row r="24816" spans="31:31">
      <c r="AE24816" s="54"/>
    </row>
    <row r="24817" spans="31:31">
      <c r="AE24817" s="54"/>
    </row>
    <row r="24818" spans="31:31">
      <c r="AE24818" s="54"/>
    </row>
    <row r="24819" spans="31:31">
      <c r="AE24819" s="54"/>
    </row>
    <row r="24820" spans="31:31">
      <c r="AE24820" s="54"/>
    </row>
    <row r="24821" spans="31:31">
      <c r="AE24821" s="54"/>
    </row>
    <row r="24822" spans="31:31">
      <c r="AE24822" s="54"/>
    </row>
    <row r="24823" spans="31:31">
      <c r="AE24823" s="54"/>
    </row>
    <row r="24824" spans="31:31">
      <c r="AE24824" s="54"/>
    </row>
    <row r="24825" spans="31:31">
      <c r="AE24825" s="54"/>
    </row>
    <row r="24826" spans="31:31">
      <c r="AE24826" s="54"/>
    </row>
    <row r="24827" spans="31:31">
      <c r="AE24827" s="54"/>
    </row>
    <row r="24828" spans="31:31">
      <c r="AE24828" s="54"/>
    </row>
    <row r="24829" spans="31:31">
      <c r="AE24829" s="54"/>
    </row>
    <row r="24830" spans="31:31">
      <c r="AE24830" s="54"/>
    </row>
    <row r="24831" spans="31:31">
      <c r="AE24831" s="54"/>
    </row>
    <row r="24832" spans="31:31">
      <c r="AE24832" s="54"/>
    </row>
    <row r="24833" spans="31:31">
      <c r="AE24833" s="54"/>
    </row>
    <row r="24834" spans="31:31">
      <c r="AE24834" s="54"/>
    </row>
    <row r="24835" spans="31:31">
      <c r="AE24835" s="54"/>
    </row>
    <row r="24836" spans="31:31">
      <c r="AE24836" s="54"/>
    </row>
    <row r="24837" spans="31:31">
      <c r="AE24837" s="54"/>
    </row>
    <row r="24838" spans="31:31">
      <c r="AE24838" s="54"/>
    </row>
    <row r="24839" spans="31:31">
      <c r="AE24839" s="54"/>
    </row>
    <row r="24840" spans="31:31">
      <c r="AE24840" s="54"/>
    </row>
    <row r="24841" spans="31:31">
      <c r="AE24841" s="54"/>
    </row>
    <row r="24842" spans="31:31">
      <c r="AE24842" s="54"/>
    </row>
    <row r="24843" spans="31:31">
      <c r="AE24843" s="54"/>
    </row>
    <row r="24844" spans="31:31">
      <c r="AE24844" s="54"/>
    </row>
    <row r="24845" spans="31:31">
      <c r="AE24845" s="54"/>
    </row>
    <row r="24846" spans="31:31">
      <c r="AE24846" s="54"/>
    </row>
    <row r="24847" spans="31:31">
      <c r="AE24847" s="54"/>
    </row>
    <row r="24848" spans="31:31">
      <c r="AE24848" s="54"/>
    </row>
    <row r="24849" spans="31:31">
      <c r="AE24849" s="54"/>
    </row>
    <row r="24850" spans="31:31">
      <c r="AE24850" s="54"/>
    </row>
    <row r="24851" spans="31:31">
      <c r="AE24851" s="54"/>
    </row>
    <row r="24852" spans="31:31">
      <c r="AE24852" s="54"/>
    </row>
    <row r="24853" spans="31:31">
      <c r="AE24853" s="54"/>
    </row>
    <row r="24854" spans="31:31">
      <c r="AE24854" s="54"/>
    </row>
    <row r="24855" spans="31:31">
      <c r="AE24855" s="54"/>
    </row>
    <row r="24856" spans="31:31">
      <c r="AE24856" s="54"/>
    </row>
    <row r="24857" spans="31:31">
      <c r="AE24857" s="54"/>
    </row>
    <row r="24858" spans="31:31">
      <c r="AE24858" s="54"/>
    </row>
    <row r="24859" spans="31:31">
      <c r="AE24859" s="54"/>
    </row>
    <row r="24860" spans="31:31">
      <c r="AE24860" s="54"/>
    </row>
    <row r="24861" spans="31:31">
      <c r="AE24861" s="54"/>
    </row>
    <row r="24862" spans="31:31">
      <c r="AE24862" s="54"/>
    </row>
    <row r="24863" spans="31:31">
      <c r="AE24863" s="54"/>
    </row>
    <row r="24864" spans="31:31">
      <c r="AE24864" s="54"/>
    </row>
    <row r="24865" spans="31:31">
      <c r="AE24865" s="54"/>
    </row>
    <row r="24866" spans="31:31">
      <c r="AE24866" s="54"/>
    </row>
    <row r="24867" spans="31:31">
      <c r="AE24867" s="54"/>
    </row>
    <row r="24868" spans="31:31">
      <c r="AE24868" s="54"/>
    </row>
    <row r="24869" spans="31:31">
      <c r="AE24869" s="54"/>
    </row>
    <row r="24870" spans="31:31">
      <c r="AE24870" s="54"/>
    </row>
    <row r="24871" spans="31:31">
      <c r="AE24871" s="54"/>
    </row>
    <row r="24872" spans="31:31">
      <c r="AE24872" s="54"/>
    </row>
    <row r="24873" spans="31:31">
      <c r="AE24873" s="54"/>
    </row>
    <row r="24874" spans="31:31">
      <c r="AE24874" s="54"/>
    </row>
    <row r="24875" spans="31:31">
      <c r="AE24875" s="54"/>
    </row>
    <row r="24876" spans="31:31">
      <c r="AE24876" s="54"/>
    </row>
    <row r="24877" spans="31:31">
      <c r="AE24877" s="54"/>
    </row>
    <row r="24878" spans="31:31">
      <c r="AE24878" s="54"/>
    </row>
    <row r="24879" spans="31:31">
      <c r="AE24879" s="54"/>
    </row>
    <row r="24880" spans="31:31">
      <c r="AE24880" s="54"/>
    </row>
    <row r="24881" spans="31:31">
      <c r="AE24881" s="54"/>
    </row>
    <row r="24882" spans="31:31">
      <c r="AE24882" s="54"/>
    </row>
    <row r="24883" spans="31:31">
      <c r="AE24883" s="54"/>
    </row>
    <row r="24884" spans="31:31">
      <c r="AE24884" s="54"/>
    </row>
    <row r="24885" spans="31:31">
      <c r="AE24885" s="54"/>
    </row>
    <row r="24886" spans="31:31">
      <c r="AE24886" s="54"/>
    </row>
    <row r="24887" spans="31:31">
      <c r="AE24887" s="54"/>
    </row>
    <row r="24888" spans="31:31">
      <c r="AE24888" s="54"/>
    </row>
    <row r="24889" spans="31:31">
      <c r="AE24889" s="54"/>
    </row>
    <row r="24890" spans="31:31">
      <c r="AE24890" s="54"/>
    </row>
    <row r="24891" spans="31:31">
      <c r="AE24891" s="54"/>
    </row>
    <row r="24892" spans="31:31">
      <c r="AE24892" s="54"/>
    </row>
    <row r="24893" spans="31:31">
      <c r="AE24893" s="54"/>
    </row>
    <row r="24894" spans="31:31">
      <c r="AE24894" s="54"/>
    </row>
    <row r="24895" spans="31:31">
      <c r="AE24895" s="54"/>
    </row>
    <row r="24896" spans="31:31">
      <c r="AE24896" s="54"/>
    </row>
    <row r="24897" spans="31:31">
      <c r="AE24897" s="54"/>
    </row>
    <row r="24898" spans="31:31">
      <c r="AE24898" s="54"/>
    </row>
    <row r="24899" spans="31:31">
      <c r="AE24899" s="54"/>
    </row>
    <row r="24900" spans="31:31">
      <c r="AE24900" s="54"/>
    </row>
    <row r="24901" spans="31:31">
      <c r="AE24901" s="54"/>
    </row>
    <row r="24902" spans="31:31">
      <c r="AE24902" s="54"/>
    </row>
    <row r="24903" spans="31:31">
      <c r="AE24903" s="54"/>
    </row>
    <row r="24904" spans="31:31">
      <c r="AE24904" s="54"/>
    </row>
    <row r="24905" spans="31:31">
      <c r="AE24905" s="54"/>
    </row>
    <row r="24906" spans="31:31">
      <c r="AE24906" s="54"/>
    </row>
    <row r="24907" spans="31:31">
      <c r="AE24907" s="54"/>
    </row>
    <row r="24908" spans="31:31">
      <c r="AE24908" s="54"/>
    </row>
    <row r="24909" spans="31:31">
      <c r="AE24909" s="54"/>
    </row>
    <row r="24910" spans="31:31">
      <c r="AE24910" s="54"/>
    </row>
    <row r="24911" spans="31:31">
      <c r="AE24911" s="54"/>
    </row>
    <row r="24912" spans="31:31">
      <c r="AE24912" s="54"/>
    </row>
    <row r="24913" spans="31:31">
      <c r="AE24913" s="54"/>
    </row>
    <row r="24914" spans="31:31">
      <c r="AE24914" s="54"/>
    </row>
    <row r="24915" spans="31:31">
      <c r="AE24915" s="54"/>
    </row>
    <row r="24916" spans="31:31">
      <c r="AE24916" s="54"/>
    </row>
    <row r="24917" spans="31:31">
      <c r="AE24917" s="54"/>
    </row>
    <row r="24918" spans="31:31">
      <c r="AE24918" s="54"/>
    </row>
    <row r="24919" spans="31:31">
      <c r="AE24919" s="54"/>
    </row>
    <row r="24920" spans="31:31">
      <c r="AE24920" s="54"/>
    </row>
    <row r="24921" spans="31:31">
      <c r="AE24921" s="54"/>
    </row>
    <row r="24922" spans="31:31">
      <c r="AE24922" s="54"/>
    </row>
    <row r="24923" spans="31:31">
      <c r="AE24923" s="54"/>
    </row>
    <row r="24924" spans="31:31">
      <c r="AE24924" s="54"/>
    </row>
    <row r="24925" spans="31:31">
      <c r="AE24925" s="54"/>
    </row>
    <row r="24926" spans="31:31">
      <c r="AE24926" s="54"/>
    </row>
    <row r="24927" spans="31:31">
      <c r="AE24927" s="54"/>
    </row>
    <row r="24928" spans="31:31">
      <c r="AE24928" s="54"/>
    </row>
    <row r="24929" spans="31:31">
      <c r="AE24929" s="54"/>
    </row>
    <row r="24930" spans="31:31">
      <c r="AE24930" s="54"/>
    </row>
    <row r="24931" spans="31:31">
      <c r="AE24931" s="54"/>
    </row>
    <row r="24932" spans="31:31">
      <c r="AE24932" s="54"/>
    </row>
    <row r="24933" spans="31:31">
      <c r="AE24933" s="54"/>
    </row>
    <row r="24934" spans="31:31">
      <c r="AE24934" s="54"/>
    </row>
    <row r="24935" spans="31:31">
      <c r="AE24935" s="54"/>
    </row>
    <row r="24936" spans="31:31">
      <c r="AE24936" s="54"/>
    </row>
    <row r="24937" spans="31:31">
      <c r="AE24937" s="54"/>
    </row>
    <row r="24938" spans="31:31">
      <c r="AE24938" s="54"/>
    </row>
    <row r="24939" spans="31:31">
      <c r="AE24939" s="54"/>
    </row>
    <row r="24940" spans="31:31">
      <c r="AE24940" s="54"/>
    </row>
    <row r="24941" spans="31:31">
      <c r="AE24941" s="54"/>
    </row>
    <row r="24942" spans="31:31">
      <c r="AE24942" s="54"/>
    </row>
    <row r="24943" spans="31:31">
      <c r="AE24943" s="54"/>
    </row>
    <row r="24944" spans="31:31">
      <c r="AE24944" s="54"/>
    </row>
    <row r="24945" spans="31:31">
      <c r="AE24945" s="54"/>
    </row>
    <row r="24946" spans="31:31">
      <c r="AE24946" s="54"/>
    </row>
    <row r="24947" spans="31:31">
      <c r="AE24947" s="54"/>
    </row>
    <row r="24948" spans="31:31">
      <c r="AE24948" s="54"/>
    </row>
    <row r="24949" spans="31:31">
      <c r="AE24949" s="54"/>
    </row>
    <row r="24950" spans="31:31">
      <c r="AE24950" s="54"/>
    </row>
    <row r="24951" spans="31:31">
      <c r="AE24951" s="54"/>
    </row>
    <row r="24952" spans="31:31">
      <c r="AE24952" s="54"/>
    </row>
    <row r="24953" spans="31:31">
      <c r="AE24953" s="54"/>
    </row>
    <row r="24954" spans="31:31">
      <c r="AE24954" s="54"/>
    </row>
    <row r="24955" spans="31:31">
      <c r="AE24955" s="54"/>
    </row>
    <row r="24956" spans="31:31">
      <c r="AE24956" s="54"/>
    </row>
    <row r="24957" spans="31:31">
      <c r="AE24957" s="54"/>
    </row>
    <row r="24958" spans="31:31">
      <c r="AE24958" s="54"/>
    </row>
    <row r="24959" spans="31:31">
      <c r="AE24959" s="54"/>
    </row>
    <row r="24960" spans="31:31">
      <c r="AE24960" s="54"/>
    </row>
    <row r="24961" spans="31:31">
      <c r="AE24961" s="54"/>
    </row>
    <row r="24962" spans="31:31">
      <c r="AE24962" s="54"/>
    </row>
    <row r="24963" spans="31:31">
      <c r="AE24963" s="54"/>
    </row>
    <row r="24964" spans="31:31">
      <c r="AE24964" s="54"/>
    </row>
    <row r="24965" spans="31:31">
      <c r="AE24965" s="54"/>
    </row>
    <row r="24966" spans="31:31">
      <c r="AE24966" s="54"/>
    </row>
    <row r="24967" spans="31:31">
      <c r="AE24967" s="54"/>
    </row>
    <row r="24968" spans="31:31">
      <c r="AE24968" s="54"/>
    </row>
    <row r="24969" spans="31:31">
      <c r="AE24969" s="54"/>
    </row>
    <row r="24970" spans="31:31">
      <c r="AE24970" s="54"/>
    </row>
    <row r="24971" spans="31:31">
      <c r="AE24971" s="54"/>
    </row>
    <row r="24972" spans="31:31">
      <c r="AE24972" s="54"/>
    </row>
    <row r="24973" spans="31:31">
      <c r="AE24973" s="54"/>
    </row>
    <row r="24974" spans="31:31">
      <c r="AE24974" s="54"/>
    </row>
    <row r="24975" spans="31:31">
      <c r="AE24975" s="54"/>
    </row>
    <row r="24976" spans="31:31">
      <c r="AE24976" s="54"/>
    </row>
    <row r="24977" spans="31:31">
      <c r="AE24977" s="54"/>
    </row>
    <row r="24978" spans="31:31">
      <c r="AE24978" s="54"/>
    </row>
    <row r="24979" spans="31:31">
      <c r="AE24979" s="54"/>
    </row>
    <row r="24980" spans="31:31">
      <c r="AE24980" s="54"/>
    </row>
    <row r="24981" spans="31:31">
      <c r="AE24981" s="54"/>
    </row>
    <row r="24982" spans="31:31">
      <c r="AE24982" s="54"/>
    </row>
    <row r="24983" spans="31:31">
      <c r="AE24983" s="54"/>
    </row>
    <row r="24984" spans="31:31">
      <c r="AE24984" s="54"/>
    </row>
    <row r="24985" spans="31:31">
      <c r="AE24985" s="54"/>
    </row>
    <row r="24986" spans="31:31">
      <c r="AE24986" s="54"/>
    </row>
    <row r="24987" spans="31:31">
      <c r="AE24987" s="54"/>
    </row>
    <row r="24988" spans="31:31">
      <c r="AE24988" s="54"/>
    </row>
    <row r="24989" spans="31:31">
      <c r="AE24989" s="54"/>
    </row>
    <row r="24990" spans="31:31">
      <c r="AE24990" s="54"/>
    </row>
    <row r="24991" spans="31:31">
      <c r="AE24991" s="54"/>
    </row>
    <row r="24992" spans="31:31">
      <c r="AE24992" s="54"/>
    </row>
    <row r="24993" spans="31:31">
      <c r="AE24993" s="54"/>
    </row>
    <row r="24994" spans="31:31">
      <c r="AE24994" s="54"/>
    </row>
    <row r="24995" spans="31:31">
      <c r="AE24995" s="54"/>
    </row>
    <row r="24996" spans="31:31">
      <c r="AE24996" s="54"/>
    </row>
    <row r="24997" spans="31:31">
      <c r="AE24997" s="54"/>
    </row>
    <row r="24998" spans="31:31">
      <c r="AE24998" s="54"/>
    </row>
    <row r="24999" spans="31:31">
      <c r="AE24999" s="54"/>
    </row>
    <row r="25000" spans="31:31">
      <c r="AE25000" s="54"/>
    </row>
    <row r="25001" spans="31:31">
      <c r="AE25001" s="54"/>
    </row>
    <row r="25002" spans="31:31">
      <c r="AE25002" s="54"/>
    </row>
    <row r="25003" spans="31:31">
      <c r="AE25003" s="54"/>
    </row>
    <row r="25004" spans="31:31">
      <c r="AE25004" s="54"/>
    </row>
    <row r="25005" spans="31:31">
      <c r="AE25005" s="54"/>
    </row>
    <row r="25006" spans="31:31">
      <c r="AE25006" s="54"/>
    </row>
    <row r="25007" spans="31:31">
      <c r="AE25007" s="54"/>
    </row>
    <row r="25008" spans="31:31">
      <c r="AE25008" s="54"/>
    </row>
    <row r="25009" spans="31:31">
      <c r="AE25009" s="54"/>
    </row>
    <row r="25010" spans="31:31">
      <c r="AE25010" s="54"/>
    </row>
    <row r="25011" spans="31:31">
      <c r="AE25011" s="54"/>
    </row>
    <row r="25012" spans="31:31">
      <c r="AE25012" s="54"/>
    </row>
    <row r="25013" spans="31:31">
      <c r="AE25013" s="54"/>
    </row>
    <row r="25014" spans="31:31">
      <c r="AE25014" s="54"/>
    </row>
    <row r="25015" spans="31:31">
      <c r="AE25015" s="54"/>
    </row>
    <row r="25016" spans="31:31">
      <c r="AE25016" s="54"/>
    </row>
    <row r="25017" spans="31:31">
      <c r="AE25017" s="54"/>
    </row>
    <row r="25018" spans="31:31">
      <c r="AE25018" s="54"/>
    </row>
    <row r="25019" spans="31:31">
      <c r="AE25019" s="54"/>
    </row>
    <row r="25020" spans="31:31">
      <c r="AE25020" s="54"/>
    </row>
    <row r="25021" spans="31:31">
      <c r="AE25021" s="54"/>
    </row>
    <row r="25022" spans="31:31">
      <c r="AE25022" s="54"/>
    </row>
    <row r="25023" spans="31:31">
      <c r="AE25023" s="54"/>
    </row>
    <row r="25024" spans="31:31">
      <c r="AE25024" s="54"/>
    </row>
    <row r="25025" spans="31:31">
      <c r="AE25025" s="54"/>
    </row>
    <row r="25026" spans="31:31">
      <c r="AE25026" s="54"/>
    </row>
    <row r="25027" spans="31:31">
      <c r="AE25027" s="54"/>
    </row>
    <row r="25028" spans="31:31">
      <c r="AE25028" s="54"/>
    </row>
    <row r="25029" spans="31:31">
      <c r="AE25029" s="54"/>
    </row>
    <row r="25030" spans="31:31">
      <c r="AE25030" s="54"/>
    </row>
    <row r="25031" spans="31:31">
      <c r="AE25031" s="54"/>
    </row>
    <row r="25032" spans="31:31">
      <c r="AE25032" s="54"/>
    </row>
    <row r="25033" spans="31:31">
      <c r="AE25033" s="54"/>
    </row>
    <row r="25034" spans="31:31">
      <c r="AE25034" s="54"/>
    </row>
    <row r="25035" spans="31:31">
      <c r="AE25035" s="54"/>
    </row>
    <row r="25036" spans="31:31">
      <c r="AE25036" s="54"/>
    </row>
    <row r="25037" spans="31:31">
      <c r="AE25037" s="54"/>
    </row>
    <row r="25038" spans="31:31">
      <c r="AE25038" s="54"/>
    </row>
    <row r="25039" spans="31:31">
      <c r="AE25039" s="54"/>
    </row>
    <row r="25040" spans="31:31">
      <c r="AE25040" s="54"/>
    </row>
    <row r="25041" spans="31:31">
      <c r="AE25041" s="54"/>
    </row>
    <row r="25042" spans="31:31">
      <c r="AE25042" s="54"/>
    </row>
    <row r="25043" spans="31:31">
      <c r="AE25043" s="54"/>
    </row>
    <row r="25044" spans="31:31">
      <c r="AE25044" s="54"/>
    </row>
    <row r="25045" spans="31:31">
      <c r="AE25045" s="54"/>
    </row>
    <row r="25046" spans="31:31">
      <c r="AE25046" s="54"/>
    </row>
    <row r="25047" spans="31:31">
      <c r="AE25047" s="54"/>
    </row>
    <row r="25048" spans="31:31">
      <c r="AE25048" s="54"/>
    </row>
    <row r="25049" spans="31:31">
      <c r="AE25049" s="54"/>
    </row>
    <row r="25050" spans="31:31">
      <c r="AE25050" s="54"/>
    </row>
    <row r="25051" spans="31:31">
      <c r="AE25051" s="54"/>
    </row>
    <row r="25052" spans="31:31">
      <c r="AE25052" s="54"/>
    </row>
    <row r="25053" spans="31:31">
      <c r="AE25053" s="54"/>
    </row>
    <row r="25054" spans="31:31">
      <c r="AE25054" s="54"/>
    </row>
    <row r="25055" spans="31:31">
      <c r="AE25055" s="54"/>
    </row>
    <row r="25056" spans="31:31">
      <c r="AE25056" s="54"/>
    </row>
    <row r="25057" spans="31:31">
      <c r="AE25057" s="54"/>
    </row>
    <row r="25058" spans="31:31">
      <c r="AE25058" s="54"/>
    </row>
    <row r="25059" spans="31:31">
      <c r="AE25059" s="54"/>
    </row>
    <row r="25060" spans="31:31">
      <c r="AE25060" s="54"/>
    </row>
    <row r="25061" spans="31:31">
      <c r="AE25061" s="54"/>
    </row>
    <row r="25062" spans="31:31">
      <c r="AE25062" s="54"/>
    </row>
    <row r="25063" spans="31:31">
      <c r="AE25063" s="54"/>
    </row>
    <row r="25064" spans="31:31">
      <c r="AE25064" s="54"/>
    </row>
    <row r="25065" spans="31:31">
      <c r="AE25065" s="54"/>
    </row>
    <row r="25066" spans="31:31">
      <c r="AE25066" s="54"/>
    </row>
    <row r="25067" spans="31:31">
      <c r="AE25067" s="54"/>
    </row>
    <row r="25068" spans="31:31">
      <c r="AE25068" s="54"/>
    </row>
    <row r="25069" spans="31:31">
      <c r="AE25069" s="54"/>
    </row>
    <row r="25070" spans="31:31">
      <c r="AE25070" s="54"/>
    </row>
    <row r="25071" spans="31:31">
      <c r="AE25071" s="54"/>
    </row>
    <row r="25072" spans="31:31">
      <c r="AE25072" s="54"/>
    </row>
    <row r="25073" spans="31:31">
      <c r="AE25073" s="54"/>
    </row>
    <row r="25074" spans="31:31">
      <c r="AE25074" s="54"/>
    </row>
    <row r="25075" spans="31:31">
      <c r="AE25075" s="54"/>
    </row>
    <row r="25076" spans="31:31">
      <c r="AE25076" s="54"/>
    </row>
    <row r="25077" spans="31:31">
      <c r="AE25077" s="54"/>
    </row>
    <row r="25078" spans="31:31">
      <c r="AE25078" s="54"/>
    </row>
    <row r="25079" spans="31:31">
      <c r="AE25079" s="54"/>
    </row>
    <row r="25080" spans="31:31">
      <c r="AE25080" s="54"/>
    </row>
    <row r="25081" spans="31:31">
      <c r="AE25081" s="54"/>
    </row>
    <row r="25082" spans="31:31">
      <c r="AE25082" s="54"/>
    </row>
    <row r="25083" spans="31:31">
      <c r="AE25083" s="54"/>
    </row>
    <row r="25084" spans="31:31">
      <c r="AE25084" s="54"/>
    </row>
    <row r="25085" spans="31:31">
      <c r="AE25085" s="54"/>
    </row>
    <row r="25086" spans="31:31">
      <c r="AE25086" s="54"/>
    </row>
    <row r="25087" spans="31:31">
      <c r="AE25087" s="54"/>
    </row>
    <row r="25088" spans="31:31">
      <c r="AE25088" s="54"/>
    </row>
    <row r="25089" spans="31:31">
      <c r="AE25089" s="54"/>
    </row>
    <row r="25090" spans="31:31">
      <c r="AE25090" s="54"/>
    </row>
    <row r="25091" spans="31:31">
      <c r="AE25091" s="54"/>
    </row>
    <row r="25092" spans="31:31">
      <c r="AE25092" s="54"/>
    </row>
    <row r="25093" spans="31:31">
      <c r="AE25093" s="54"/>
    </row>
    <row r="25094" spans="31:31">
      <c r="AE25094" s="54"/>
    </row>
    <row r="25095" spans="31:31">
      <c r="AE25095" s="54"/>
    </row>
    <row r="25096" spans="31:31">
      <c r="AE25096" s="54"/>
    </row>
    <row r="25097" spans="31:31">
      <c r="AE25097" s="54"/>
    </row>
    <row r="25098" spans="31:31">
      <c r="AE25098" s="54"/>
    </row>
    <row r="25099" spans="31:31">
      <c r="AE25099" s="54"/>
    </row>
    <row r="25100" spans="31:31">
      <c r="AE25100" s="54"/>
    </row>
    <row r="25101" spans="31:31">
      <c r="AE25101" s="54"/>
    </row>
    <row r="25102" spans="31:31">
      <c r="AE25102" s="54"/>
    </row>
    <row r="25103" spans="31:31">
      <c r="AE25103" s="54"/>
    </row>
    <row r="25104" spans="31:31">
      <c r="AE25104" s="54"/>
    </row>
    <row r="25105" spans="31:31">
      <c r="AE25105" s="54"/>
    </row>
    <row r="25106" spans="31:31">
      <c r="AE25106" s="54"/>
    </row>
    <row r="25107" spans="31:31">
      <c r="AE25107" s="54"/>
    </row>
    <row r="25108" spans="31:31">
      <c r="AE25108" s="54"/>
    </row>
    <row r="25109" spans="31:31">
      <c r="AE25109" s="54"/>
    </row>
    <row r="25110" spans="31:31">
      <c r="AE25110" s="54"/>
    </row>
    <row r="25111" spans="31:31">
      <c r="AE25111" s="54"/>
    </row>
    <row r="25112" spans="31:31">
      <c r="AE25112" s="54"/>
    </row>
    <row r="25113" spans="31:31">
      <c r="AE25113" s="54"/>
    </row>
    <row r="25114" spans="31:31">
      <c r="AE25114" s="54"/>
    </row>
    <row r="25115" spans="31:31">
      <c r="AE25115" s="54"/>
    </row>
    <row r="25116" spans="31:31">
      <c r="AE25116" s="54"/>
    </row>
    <row r="25117" spans="31:31">
      <c r="AE25117" s="54"/>
    </row>
    <row r="25118" spans="31:31">
      <c r="AE25118" s="54"/>
    </row>
    <row r="25119" spans="31:31">
      <c r="AE25119" s="54"/>
    </row>
    <row r="25120" spans="31:31">
      <c r="AE25120" s="54"/>
    </row>
    <row r="25121" spans="31:31">
      <c r="AE25121" s="54"/>
    </row>
    <row r="25122" spans="31:31">
      <c r="AE25122" s="54"/>
    </row>
    <row r="25123" spans="31:31">
      <c r="AE25123" s="54"/>
    </row>
    <row r="25124" spans="31:31">
      <c r="AE25124" s="54"/>
    </row>
    <row r="25125" spans="31:31">
      <c r="AE25125" s="54"/>
    </row>
    <row r="25126" spans="31:31">
      <c r="AE25126" s="54"/>
    </row>
    <row r="25127" spans="31:31">
      <c r="AE25127" s="54"/>
    </row>
    <row r="25128" spans="31:31">
      <c r="AE25128" s="54"/>
    </row>
    <row r="25129" spans="31:31">
      <c r="AE25129" s="54"/>
    </row>
    <row r="25130" spans="31:31">
      <c r="AE25130" s="54"/>
    </row>
    <row r="25131" spans="31:31">
      <c r="AE25131" s="54"/>
    </row>
    <row r="25132" spans="31:31">
      <c r="AE25132" s="54"/>
    </row>
    <row r="25133" spans="31:31">
      <c r="AE25133" s="54"/>
    </row>
    <row r="25134" spans="31:31">
      <c r="AE25134" s="54"/>
    </row>
    <row r="25135" spans="31:31">
      <c r="AE25135" s="54"/>
    </row>
    <row r="25136" spans="31:31">
      <c r="AE25136" s="54"/>
    </row>
    <row r="25137" spans="31:31">
      <c r="AE25137" s="54"/>
    </row>
    <row r="25138" spans="31:31">
      <c r="AE25138" s="54"/>
    </row>
    <row r="25139" spans="31:31">
      <c r="AE25139" s="54"/>
    </row>
    <row r="25140" spans="31:31">
      <c r="AE25140" s="54"/>
    </row>
    <row r="25141" spans="31:31">
      <c r="AE25141" s="54"/>
    </row>
    <row r="25142" spans="31:31">
      <c r="AE25142" s="54"/>
    </row>
    <row r="25143" spans="31:31">
      <c r="AE25143" s="54"/>
    </row>
    <row r="25144" spans="31:31">
      <c r="AE25144" s="54"/>
    </row>
    <row r="25145" spans="31:31">
      <c r="AE25145" s="54"/>
    </row>
    <row r="25146" spans="31:31">
      <c r="AE25146" s="54"/>
    </row>
    <row r="25147" spans="31:31">
      <c r="AE25147" s="54"/>
    </row>
    <row r="25148" spans="31:31">
      <c r="AE25148" s="54"/>
    </row>
    <row r="25149" spans="31:31">
      <c r="AE25149" s="54"/>
    </row>
    <row r="25150" spans="31:31">
      <c r="AE25150" s="54"/>
    </row>
    <row r="25151" spans="31:31">
      <c r="AE25151" s="54"/>
    </row>
    <row r="25152" spans="31:31">
      <c r="AE25152" s="54"/>
    </row>
    <row r="25153" spans="31:31">
      <c r="AE25153" s="54"/>
    </row>
    <row r="25154" spans="31:31">
      <c r="AE25154" s="54"/>
    </row>
    <row r="25155" spans="31:31">
      <c r="AE25155" s="54"/>
    </row>
    <row r="25156" spans="31:31">
      <c r="AE25156" s="54"/>
    </row>
    <row r="25157" spans="31:31">
      <c r="AE25157" s="54"/>
    </row>
    <row r="25158" spans="31:31">
      <c r="AE25158" s="54"/>
    </row>
    <row r="25159" spans="31:31">
      <c r="AE25159" s="54"/>
    </row>
    <row r="25160" spans="31:31">
      <c r="AE25160" s="54"/>
    </row>
    <row r="25161" spans="31:31">
      <c r="AE25161" s="54"/>
    </row>
    <row r="25162" spans="31:31">
      <c r="AE25162" s="54"/>
    </row>
    <row r="25163" spans="31:31">
      <c r="AE25163" s="54"/>
    </row>
    <row r="25164" spans="31:31">
      <c r="AE25164" s="54"/>
    </row>
    <row r="25165" spans="31:31">
      <c r="AE25165" s="54"/>
    </row>
    <row r="25166" spans="31:31">
      <c r="AE25166" s="54"/>
    </row>
    <row r="25167" spans="31:31">
      <c r="AE25167" s="54"/>
    </row>
    <row r="25168" spans="31:31">
      <c r="AE25168" s="54"/>
    </row>
    <row r="25169" spans="31:31">
      <c r="AE25169" s="54"/>
    </row>
    <row r="25170" spans="31:31">
      <c r="AE25170" s="54"/>
    </row>
    <row r="25171" spans="31:31">
      <c r="AE25171" s="54"/>
    </row>
    <row r="25172" spans="31:31">
      <c r="AE25172" s="54"/>
    </row>
    <row r="25173" spans="31:31">
      <c r="AE25173" s="54"/>
    </row>
    <row r="25174" spans="31:31">
      <c r="AE25174" s="54"/>
    </row>
    <row r="25175" spans="31:31">
      <c r="AE25175" s="54"/>
    </row>
    <row r="25176" spans="31:31">
      <c r="AE25176" s="54"/>
    </row>
    <row r="25177" spans="31:31">
      <c r="AE25177" s="54"/>
    </row>
    <row r="25178" spans="31:31">
      <c r="AE25178" s="54"/>
    </row>
    <row r="25179" spans="31:31">
      <c r="AE25179" s="54"/>
    </row>
    <row r="25180" spans="31:31">
      <c r="AE25180" s="54"/>
    </row>
    <row r="25181" spans="31:31">
      <c r="AE25181" s="54"/>
    </row>
    <row r="25182" spans="31:31">
      <c r="AE25182" s="54"/>
    </row>
    <row r="25183" spans="31:31">
      <c r="AE25183" s="54"/>
    </row>
    <row r="25184" spans="31:31">
      <c r="AE25184" s="54"/>
    </row>
    <row r="25185" spans="31:31">
      <c r="AE25185" s="54"/>
    </row>
    <row r="25186" spans="31:31">
      <c r="AE25186" s="54"/>
    </row>
    <row r="25187" spans="31:31">
      <c r="AE25187" s="54"/>
    </row>
    <row r="25188" spans="31:31">
      <c r="AE25188" s="54"/>
    </row>
    <row r="25189" spans="31:31">
      <c r="AE25189" s="54"/>
    </row>
    <row r="25190" spans="31:31">
      <c r="AE25190" s="54"/>
    </row>
    <row r="25191" spans="31:31">
      <c r="AE25191" s="54"/>
    </row>
    <row r="25192" spans="31:31">
      <c r="AE25192" s="54"/>
    </row>
    <row r="25193" spans="31:31">
      <c r="AE25193" s="54"/>
    </row>
    <row r="25194" spans="31:31">
      <c r="AE25194" s="54"/>
    </row>
    <row r="25195" spans="31:31">
      <c r="AE25195" s="54"/>
    </row>
    <row r="25196" spans="31:31">
      <c r="AE25196" s="54"/>
    </row>
    <row r="25197" spans="31:31">
      <c r="AE25197" s="54"/>
    </row>
    <row r="25198" spans="31:31">
      <c r="AE25198" s="54"/>
    </row>
    <row r="25199" spans="31:31">
      <c r="AE25199" s="54"/>
    </row>
    <row r="25200" spans="31:31">
      <c r="AE25200" s="54"/>
    </row>
    <row r="25201" spans="31:31">
      <c r="AE25201" s="54"/>
    </row>
    <row r="25202" spans="31:31">
      <c r="AE25202" s="54"/>
    </row>
    <row r="25203" spans="31:31">
      <c r="AE25203" s="54"/>
    </row>
    <row r="25204" spans="31:31">
      <c r="AE25204" s="54"/>
    </row>
    <row r="25205" spans="31:31">
      <c r="AE25205" s="54"/>
    </row>
    <row r="25206" spans="31:31">
      <c r="AE25206" s="54"/>
    </row>
    <row r="25207" spans="31:31">
      <c r="AE25207" s="54"/>
    </row>
    <row r="25208" spans="31:31">
      <c r="AE25208" s="54"/>
    </row>
    <row r="25209" spans="31:31">
      <c r="AE25209" s="54"/>
    </row>
    <row r="25210" spans="31:31">
      <c r="AE25210" s="54"/>
    </row>
    <row r="25211" spans="31:31">
      <c r="AE25211" s="54"/>
    </row>
    <row r="25212" spans="31:31">
      <c r="AE25212" s="54"/>
    </row>
    <row r="25213" spans="31:31">
      <c r="AE25213" s="54"/>
    </row>
    <row r="25214" spans="31:31">
      <c r="AE25214" s="54"/>
    </row>
    <row r="25215" spans="31:31">
      <c r="AE25215" s="54"/>
    </row>
    <row r="25216" spans="31:31">
      <c r="AE25216" s="54"/>
    </row>
    <row r="25217" spans="31:31">
      <c r="AE25217" s="54"/>
    </row>
    <row r="25218" spans="31:31">
      <c r="AE25218" s="54"/>
    </row>
    <row r="25219" spans="31:31">
      <c r="AE25219" s="54"/>
    </row>
    <row r="25220" spans="31:31">
      <c r="AE25220" s="54"/>
    </row>
    <row r="25221" spans="31:31">
      <c r="AE25221" s="54"/>
    </row>
    <row r="25222" spans="31:31">
      <c r="AE25222" s="54"/>
    </row>
    <row r="25223" spans="31:31">
      <c r="AE25223" s="54"/>
    </row>
    <row r="25224" spans="31:31">
      <c r="AE25224" s="54"/>
    </row>
    <row r="25225" spans="31:31">
      <c r="AE25225" s="54"/>
    </row>
    <row r="25226" spans="31:31">
      <c r="AE25226" s="54"/>
    </row>
    <row r="25227" spans="31:31">
      <c r="AE25227" s="54"/>
    </row>
    <row r="25228" spans="31:31">
      <c r="AE25228" s="54"/>
    </row>
    <row r="25229" spans="31:31">
      <c r="AE25229" s="54"/>
    </row>
    <row r="25230" spans="31:31">
      <c r="AE25230" s="54"/>
    </row>
    <row r="25231" spans="31:31">
      <c r="AE25231" s="54"/>
    </row>
    <row r="25232" spans="31:31">
      <c r="AE25232" s="54"/>
    </row>
    <row r="25233" spans="31:31">
      <c r="AE25233" s="54"/>
    </row>
    <row r="25234" spans="31:31">
      <c r="AE25234" s="54"/>
    </row>
    <row r="25235" spans="31:31">
      <c r="AE25235" s="54"/>
    </row>
    <row r="25236" spans="31:31">
      <c r="AE25236" s="54"/>
    </row>
    <row r="25237" spans="31:31">
      <c r="AE25237" s="54"/>
    </row>
    <row r="25238" spans="31:31">
      <c r="AE25238" s="54"/>
    </row>
    <row r="25239" spans="31:31">
      <c r="AE25239" s="54"/>
    </row>
    <row r="25240" spans="31:31">
      <c r="AE25240" s="54"/>
    </row>
    <row r="25241" spans="31:31">
      <c r="AE25241" s="54"/>
    </row>
    <row r="25242" spans="31:31">
      <c r="AE25242" s="54"/>
    </row>
    <row r="25243" spans="31:31">
      <c r="AE25243" s="54"/>
    </row>
    <row r="25244" spans="31:31">
      <c r="AE25244" s="54"/>
    </row>
    <row r="25245" spans="31:31">
      <c r="AE25245" s="54"/>
    </row>
    <row r="25246" spans="31:31">
      <c r="AE25246" s="54"/>
    </row>
    <row r="25247" spans="31:31">
      <c r="AE25247" s="54"/>
    </row>
    <row r="25248" spans="31:31">
      <c r="AE25248" s="54"/>
    </row>
    <row r="25249" spans="31:31">
      <c r="AE25249" s="54"/>
    </row>
    <row r="25250" spans="31:31">
      <c r="AE25250" s="54"/>
    </row>
    <row r="25251" spans="31:31">
      <c r="AE25251" s="54"/>
    </row>
    <row r="25252" spans="31:31">
      <c r="AE25252" s="54"/>
    </row>
    <row r="25253" spans="31:31">
      <c r="AE25253" s="54"/>
    </row>
    <row r="25254" spans="31:31">
      <c r="AE25254" s="54"/>
    </row>
    <row r="25255" spans="31:31">
      <c r="AE25255" s="54"/>
    </row>
    <row r="25256" spans="31:31">
      <c r="AE25256" s="54"/>
    </row>
    <row r="25257" spans="31:31">
      <c r="AE25257" s="54"/>
    </row>
    <row r="25258" spans="31:31">
      <c r="AE25258" s="54"/>
    </row>
    <row r="25259" spans="31:31">
      <c r="AE25259" s="54"/>
    </row>
    <row r="25260" spans="31:31">
      <c r="AE25260" s="54"/>
    </row>
    <row r="25261" spans="31:31">
      <c r="AE25261" s="54"/>
    </row>
    <row r="25262" spans="31:31">
      <c r="AE25262" s="54"/>
    </row>
    <row r="25263" spans="31:31">
      <c r="AE25263" s="54"/>
    </row>
    <row r="25264" spans="31:31">
      <c r="AE25264" s="54"/>
    </row>
    <row r="25265" spans="31:31">
      <c r="AE25265" s="54"/>
    </row>
    <row r="25266" spans="31:31">
      <c r="AE25266" s="54"/>
    </row>
    <row r="25267" spans="31:31">
      <c r="AE25267" s="54"/>
    </row>
    <row r="25268" spans="31:31">
      <c r="AE25268" s="54"/>
    </row>
    <row r="25269" spans="31:31">
      <c r="AE25269" s="54"/>
    </row>
    <row r="25270" spans="31:31">
      <c r="AE25270" s="54"/>
    </row>
    <row r="25271" spans="31:31">
      <c r="AE25271" s="54"/>
    </row>
    <row r="25272" spans="31:31">
      <c r="AE25272" s="54"/>
    </row>
    <row r="25273" spans="31:31">
      <c r="AE25273" s="54"/>
    </row>
    <row r="25274" spans="31:31">
      <c r="AE25274" s="54"/>
    </row>
    <row r="25275" spans="31:31">
      <c r="AE25275" s="54"/>
    </row>
    <row r="25276" spans="31:31">
      <c r="AE25276" s="54"/>
    </row>
    <row r="25277" spans="31:31">
      <c r="AE25277" s="54"/>
    </row>
    <row r="25278" spans="31:31">
      <c r="AE25278" s="54"/>
    </row>
    <row r="25279" spans="31:31">
      <c r="AE25279" s="54"/>
    </row>
    <row r="25280" spans="31:31">
      <c r="AE25280" s="54"/>
    </row>
    <row r="25281" spans="31:31">
      <c r="AE25281" s="54"/>
    </row>
    <row r="25282" spans="31:31">
      <c r="AE25282" s="54"/>
    </row>
    <row r="25283" spans="31:31">
      <c r="AE25283" s="54"/>
    </row>
    <row r="25284" spans="31:31">
      <c r="AE25284" s="54"/>
    </row>
    <row r="25285" spans="31:31">
      <c r="AE25285" s="54"/>
    </row>
    <row r="25286" spans="31:31">
      <c r="AE25286" s="54"/>
    </row>
    <row r="25287" spans="31:31">
      <c r="AE25287" s="54"/>
    </row>
    <row r="25288" spans="31:31">
      <c r="AE25288" s="54"/>
    </row>
    <row r="25289" spans="31:31">
      <c r="AE25289" s="54"/>
    </row>
    <row r="25290" spans="31:31">
      <c r="AE25290" s="54"/>
    </row>
    <row r="25291" spans="31:31">
      <c r="AE25291" s="54"/>
    </row>
    <row r="25292" spans="31:31">
      <c r="AE25292" s="54"/>
    </row>
    <row r="25293" spans="31:31">
      <c r="AE25293" s="54"/>
    </row>
    <row r="25294" spans="31:31">
      <c r="AE25294" s="54"/>
    </row>
    <row r="25295" spans="31:31">
      <c r="AE25295" s="54"/>
    </row>
    <row r="25296" spans="31:31">
      <c r="AE25296" s="54"/>
    </row>
    <row r="25297" spans="31:31">
      <c r="AE25297" s="54"/>
    </row>
    <row r="25298" spans="31:31">
      <c r="AE25298" s="54"/>
    </row>
    <row r="25299" spans="31:31">
      <c r="AE25299" s="54"/>
    </row>
    <row r="25300" spans="31:31">
      <c r="AE25300" s="54"/>
    </row>
    <row r="25301" spans="31:31">
      <c r="AE25301" s="54"/>
    </row>
    <row r="25302" spans="31:31">
      <c r="AE25302" s="54"/>
    </row>
    <row r="25303" spans="31:31">
      <c r="AE25303" s="54"/>
    </row>
    <row r="25304" spans="31:31">
      <c r="AE25304" s="54"/>
    </row>
    <row r="25305" spans="31:31">
      <c r="AE25305" s="54"/>
    </row>
    <row r="25306" spans="31:31">
      <c r="AE25306" s="54"/>
    </row>
    <row r="25307" spans="31:31">
      <c r="AE25307" s="54"/>
    </row>
    <row r="25308" spans="31:31">
      <c r="AE25308" s="54"/>
    </row>
    <row r="25309" spans="31:31">
      <c r="AE25309" s="54"/>
    </row>
    <row r="25310" spans="31:31">
      <c r="AE25310" s="54"/>
    </row>
    <row r="25311" spans="31:31">
      <c r="AE25311" s="54"/>
    </row>
    <row r="25312" spans="31:31">
      <c r="AE25312" s="54"/>
    </row>
    <row r="25313" spans="31:31">
      <c r="AE25313" s="54"/>
    </row>
    <row r="25314" spans="31:31">
      <c r="AE25314" s="54"/>
    </row>
    <row r="25315" spans="31:31">
      <c r="AE25315" s="54"/>
    </row>
    <row r="25316" spans="31:31">
      <c r="AE25316" s="54"/>
    </row>
    <row r="25317" spans="31:31">
      <c r="AE25317" s="54"/>
    </row>
    <row r="25318" spans="31:31">
      <c r="AE25318" s="54"/>
    </row>
    <row r="25319" spans="31:31">
      <c r="AE25319" s="54"/>
    </row>
    <row r="25320" spans="31:31">
      <c r="AE25320" s="54"/>
    </row>
    <row r="25321" spans="31:31">
      <c r="AE25321" s="54"/>
    </row>
    <row r="25322" spans="31:31">
      <c r="AE25322" s="54"/>
    </row>
    <row r="25323" spans="31:31">
      <c r="AE25323" s="54"/>
    </row>
    <row r="25324" spans="31:31">
      <c r="AE25324" s="54"/>
    </row>
    <row r="25325" spans="31:31">
      <c r="AE25325" s="54"/>
    </row>
    <row r="25326" spans="31:31">
      <c r="AE25326" s="54"/>
    </row>
    <row r="25327" spans="31:31">
      <c r="AE25327" s="54"/>
    </row>
    <row r="25328" spans="31:31">
      <c r="AE25328" s="54"/>
    </row>
    <row r="25329" spans="31:31">
      <c r="AE25329" s="54"/>
    </row>
    <row r="25330" spans="31:31">
      <c r="AE25330" s="54"/>
    </row>
    <row r="25331" spans="31:31">
      <c r="AE25331" s="54"/>
    </row>
    <row r="25332" spans="31:31">
      <c r="AE25332" s="54"/>
    </row>
    <row r="25333" spans="31:31">
      <c r="AE25333" s="54"/>
    </row>
    <row r="25334" spans="31:31">
      <c r="AE25334" s="54"/>
    </row>
    <row r="25335" spans="31:31">
      <c r="AE25335" s="54"/>
    </row>
    <row r="25336" spans="31:31">
      <c r="AE25336" s="54"/>
    </row>
    <row r="25337" spans="31:31">
      <c r="AE25337" s="54"/>
    </row>
    <row r="25338" spans="31:31">
      <c r="AE25338" s="54"/>
    </row>
    <row r="25339" spans="31:31">
      <c r="AE25339" s="54"/>
    </row>
    <row r="25340" spans="31:31">
      <c r="AE25340" s="54"/>
    </row>
    <row r="25341" spans="31:31">
      <c r="AE25341" s="54"/>
    </row>
    <row r="25342" spans="31:31">
      <c r="AE25342" s="54"/>
    </row>
    <row r="25343" spans="31:31">
      <c r="AE25343" s="54"/>
    </row>
    <row r="25344" spans="31:31">
      <c r="AE25344" s="54"/>
    </row>
    <row r="25345" spans="31:31">
      <c r="AE25345" s="54"/>
    </row>
    <row r="25346" spans="31:31">
      <c r="AE25346" s="54"/>
    </row>
    <row r="25347" spans="31:31">
      <c r="AE25347" s="54"/>
    </row>
    <row r="25348" spans="31:31">
      <c r="AE25348" s="54"/>
    </row>
    <row r="25349" spans="31:31">
      <c r="AE25349" s="54"/>
    </row>
    <row r="25350" spans="31:31">
      <c r="AE25350" s="54"/>
    </row>
    <row r="25351" spans="31:31">
      <c r="AE25351" s="54"/>
    </row>
    <row r="25352" spans="31:31">
      <c r="AE25352" s="54"/>
    </row>
    <row r="25353" spans="31:31">
      <c r="AE25353" s="54"/>
    </row>
    <row r="25354" spans="31:31">
      <c r="AE25354" s="54"/>
    </row>
    <row r="25355" spans="31:31">
      <c r="AE25355" s="54"/>
    </row>
    <row r="25356" spans="31:31">
      <c r="AE25356" s="54"/>
    </row>
    <row r="25357" spans="31:31">
      <c r="AE25357" s="54"/>
    </row>
    <row r="25358" spans="31:31">
      <c r="AE25358" s="54"/>
    </row>
    <row r="25359" spans="31:31">
      <c r="AE25359" s="54"/>
    </row>
    <row r="25360" spans="31:31">
      <c r="AE25360" s="54"/>
    </row>
    <row r="25361" spans="31:31">
      <c r="AE25361" s="54"/>
    </row>
    <row r="25362" spans="31:31">
      <c r="AE25362" s="54"/>
    </row>
    <row r="25363" spans="31:31">
      <c r="AE25363" s="54"/>
    </row>
    <row r="25364" spans="31:31">
      <c r="AE25364" s="54"/>
    </row>
    <row r="25365" spans="31:31">
      <c r="AE25365" s="54"/>
    </row>
    <row r="25366" spans="31:31">
      <c r="AE25366" s="54"/>
    </row>
    <row r="25367" spans="31:31">
      <c r="AE25367" s="54"/>
    </row>
    <row r="25368" spans="31:31">
      <c r="AE25368" s="54"/>
    </row>
    <row r="25369" spans="31:31">
      <c r="AE25369" s="54"/>
    </row>
    <row r="25370" spans="31:31">
      <c r="AE25370" s="54"/>
    </row>
    <row r="25371" spans="31:31">
      <c r="AE25371" s="54"/>
    </row>
    <row r="25372" spans="31:31">
      <c r="AE25372" s="54"/>
    </row>
    <row r="25373" spans="31:31">
      <c r="AE25373" s="54"/>
    </row>
    <row r="25374" spans="31:31">
      <c r="AE25374" s="54"/>
    </row>
    <row r="25375" spans="31:31">
      <c r="AE25375" s="54"/>
    </row>
    <row r="25376" spans="31:31">
      <c r="AE25376" s="54"/>
    </row>
    <row r="25377" spans="31:31">
      <c r="AE25377" s="54"/>
    </row>
    <row r="25378" spans="31:31">
      <c r="AE25378" s="54"/>
    </row>
    <row r="25379" spans="31:31">
      <c r="AE25379" s="54"/>
    </row>
    <row r="25380" spans="31:31">
      <c r="AE25380" s="54"/>
    </row>
    <row r="25381" spans="31:31">
      <c r="AE25381" s="54"/>
    </row>
    <row r="25382" spans="31:31">
      <c r="AE25382" s="54"/>
    </row>
    <row r="25383" spans="31:31">
      <c r="AE25383" s="54"/>
    </row>
    <row r="25384" spans="31:31">
      <c r="AE25384" s="54"/>
    </row>
    <row r="25385" spans="31:31">
      <c r="AE25385" s="54"/>
    </row>
    <row r="25386" spans="31:31">
      <c r="AE25386" s="54"/>
    </row>
    <row r="25387" spans="31:31">
      <c r="AE25387" s="54"/>
    </row>
    <row r="25388" spans="31:31">
      <c r="AE25388" s="54"/>
    </row>
    <row r="25389" spans="31:31">
      <c r="AE25389" s="54"/>
    </row>
    <row r="25390" spans="31:31">
      <c r="AE25390" s="54"/>
    </row>
    <row r="25391" spans="31:31">
      <c r="AE25391" s="54"/>
    </row>
    <row r="25392" spans="31:31">
      <c r="AE25392" s="54"/>
    </row>
    <row r="25393" spans="31:31">
      <c r="AE25393" s="54"/>
    </row>
    <row r="25394" spans="31:31">
      <c r="AE25394" s="54"/>
    </row>
    <row r="25395" spans="31:31">
      <c r="AE25395" s="54"/>
    </row>
    <row r="25396" spans="31:31">
      <c r="AE25396" s="54"/>
    </row>
    <row r="25397" spans="31:31">
      <c r="AE25397" s="54"/>
    </row>
    <row r="25398" spans="31:31">
      <c r="AE25398" s="54"/>
    </row>
    <row r="25399" spans="31:31">
      <c r="AE25399" s="54"/>
    </row>
    <row r="25400" spans="31:31">
      <c r="AE25400" s="54"/>
    </row>
    <row r="25401" spans="31:31">
      <c r="AE25401" s="54"/>
    </row>
    <row r="25402" spans="31:31">
      <c r="AE25402" s="54"/>
    </row>
    <row r="25403" spans="31:31">
      <c r="AE25403" s="54"/>
    </row>
    <row r="25404" spans="31:31">
      <c r="AE25404" s="54"/>
    </row>
    <row r="25405" spans="31:31">
      <c r="AE25405" s="54"/>
    </row>
    <row r="25406" spans="31:31">
      <c r="AE25406" s="54"/>
    </row>
    <row r="25407" spans="31:31">
      <c r="AE25407" s="54"/>
    </row>
    <row r="25408" spans="31:31">
      <c r="AE25408" s="54"/>
    </row>
    <row r="25409" spans="31:31">
      <c r="AE25409" s="54"/>
    </row>
    <row r="25410" spans="31:31">
      <c r="AE25410" s="54"/>
    </row>
    <row r="25411" spans="31:31">
      <c r="AE25411" s="54"/>
    </row>
    <row r="25412" spans="31:31">
      <c r="AE25412" s="54"/>
    </row>
    <row r="25413" spans="31:31">
      <c r="AE25413" s="54"/>
    </row>
    <row r="25414" spans="31:31">
      <c r="AE25414" s="54"/>
    </row>
    <row r="25415" spans="31:31">
      <c r="AE25415" s="54"/>
    </row>
    <row r="25416" spans="31:31">
      <c r="AE25416" s="54"/>
    </row>
    <row r="25417" spans="31:31">
      <c r="AE25417" s="54"/>
    </row>
    <row r="25418" spans="31:31">
      <c r="AE25418" s="54"/>
    </row>
    <row r="25419" spans="31:31">
      <c r="AE25419" s="54"/>
    </row>
    <row r="25420" spans="31:31">
      <c r="AE25420" s="54"/>
    </row>
    <row r="25421" spans="31:31">
      <c r="AE25421" s="54"/>
    </row>
    <row r="25422" spans="31:31">
      <c r="AE25422" s="54"/>
    </row>
    <row r="25423" spans="31:31">
      <c r="AE25423" s="54"/>
    </row>
    <row r="25424" spans="31:31">
      <c r="AE25424" s="54"/>
    </row>
    <row r="25425" spans="31:31">
      <c r="AE25425" s="54"/>
    </row>
    <row r="25426" spans="31:31">
      <c r="AE25426" s="54"/>
    </row>
    <row r="25427" spans="31:31">
      <c r="AE25427" s="54"/>
    </row>
    <row r="25428" spans="31:31">
      <c r="AE25428" s="54"/>
    </row>
    <row r="25429" spans="31:31">
      <c r="AE25429" s="54"/>
    </row>
    <row r="25430" spans="31:31">
      <c r="AE25430" s="54"/>
    </row>
    <row r="25431" spans="31:31">
      <c r="AE25431" s="54"/>
    </row>
    <row r="25432" spans="31:31">
      <c r="AE25432" s="54"/>
    </row>
    <row r="25433" spans="31:31">
      <c r="AE25433" s="54"/>
    </row>
    <row r="25434" spans="31:31">
      <c r="AE25434" s="54"/>
    </row>
    <row r="25435" spans="31:31">
      <c r="AE25435" s="54"/>
    </row>
    <row r="25436" spans="31:31">
      <c r="AE25436" s="54"/>
    </row>
    <row r="25437" spans="31:31">
      <c r="AE25437" s="54"/>
    </row>
    <row r="25438" spans="31:31">
      <c r="AE25438" s="54"/>
    </row>
    <row r="25439" spans="31:31">
      <c r="AE25439" s="54"/>
    </row>
    <row r="25440" spans="31:31">
      <c r="AE25440" s="54"/>
    </row>
    <row r="25441" spans="31:31">
      <c r="AE25441" s="54"/>
    </row>
    <row r="25442" spans="31:31">
      <c r="AE25442" s="54"/>
    </row>
    <row r="25443" spans="31:31">
      <c r="AE25443" s="54"/>
    </row>
    <row r="25444" spans="31:31">
      <c r="AE25444" s="54"/>
    </row>
    <row r="25445" spans="31:31">
      <c r="AE25445" s="54"/>
    </row>
    <row r="25446" spans="31:31">
      <c r="AE25446" s="54"/>
    </row>
    <row r="25447" spans="31:31">
      <c r="AE25447" s="54"/>
    </row>
    <row r="25448" spans="31:31">
      <c r="AE25448" s="54"/>
    </row>
    <row r="25449" spans="31:31">
      <c r="AE25449" s="54"/>
    </row>
    <row r="25450" spans="31:31">
      <c r="AE25450" s="54"/>
    </row>
    <row r="25451" spans="31:31">
      <c r="AE25451" s="54"/>
    </row>
    <row r="25452" spans="31:31">
      <c r="AE25452" s="54"/>
    </row>
    <row r="25453" spans="31:31">
      <c r="AE25453" s="54"/>
    </row>
    <row r="25454" spans="31:31">
      <c r="AE25454" s="54"/>
    </row>
    <row r="25455" spans="31:31">
      <c r="AE25455" s="54"/>
    </row>
    <row r="25456" spans="31:31">
      <c r="AE25456" s="54"/>
    </row>
    <row r="25457" spans="31:31">
      <c r="AE25457" s="54"/>
    </row>
    <row r="25458" spans="31:31">
      <c r="AE25458" s="54"/>
    </row>
    <row r="25459" spans="31:31">
      <c r="AE25459" s="54"/>
    </row>
    <row r="25460" spans="31:31">
      <c r="AE25460" s="54"/>
    </row>
    <row r="25461" spans="31:31">
      <c r="AE25461" s="54"/>
    </row>
    <row r="25462" spans="31:31">
      <c r="AE25462" s="54"/>
    </row>
    <row r="25463" spans="31:31">
      <c r="AE25463" s="54"/>
    </row>
    <row r="25464" spans="31:31">
      <c r="AE25464" s="54"/>
    </row>
    <row r="25465" spans="31:31">
      <c r="AE25465" s="54"/>
    </row>
    <row r="25466" spans="31:31">
      <c r="AE25466" s="54"/>
    </row>
    <row r="25467" spans="31:31">
      <c r="AE25467" s="54"/>
    </row>
    <row r="25468" spans="31:31">
      <c r="AE25468" s="54"/>
    </row>
    <row r="25469" spans="31:31">
      <c r="AE25469" s="54"/>
    </row>
    <row r="25470" spans="31:31">
      <c r="AE25470" s="54"/>
    </row>
    <row r="25471" spans="31:31">
      <c r="AE25471" s="54"/>
    </row>
    <row r="25472" spans="31:31">
      <c r="AE25472" s="54"/>
    </row>
    <row r="25473" spans="31:31">
      <c r="AE25473" s="54"/>
    </row>
    <row r="25474" spans="31:31">
      <c r="AE25474" s="54"/>
    </row>
    <row r="25475" spans="31:31">
      <c r="AE25475" s="54"/>
    </row>
    <row r="25476" spans="31:31">
      <c r="AE25476" s="54"/>
    </row>
    <row r="25477" spans="31:31">
      <c r="AE25477" s="54"/>
    </row>
    <row r="25478" spans="31:31">
      <c r="AE25478" s="54"/>
    </row>
    <row r="25479" spans="31:31">
      <c r="AE25479" s="54"/>
    </row>
    <row r="25480" spans="31:31">
      <c r="AE25480" s="54"/>
    </row>
    <row r="25481" spans="31:31">
      <c r="AE25481" s="54"/>
    </row>
    <row r="25482" spans="31:31">
      <c r="AE25482" s="54"/>
    </row>
    <row r="25483" spans="31:31">
      <c r="AE25483" s="54"/>
    </row>
    <row r="25484" spans="31:31">
      <c r="AE25484" s="54"/>
    </row>
    <row r="25485" spans="31:31">
      <c r="AE25485" s="54"/>
    </row>
    <row r="25486" spans="31:31">
      <c r="AE25486" s="54"/>
    </row>
    <row r="25487" spans="31:31">
      <c r="AE25487" s="54"/>
    </row>
    <row r="25488" spans="31:31">
      <c r="AE25488" s="54"/>
    </row>
    <row r="25489" spans="31:31">
      <c r="AE25489" s="54"/>
    </row>
    <row r="25490" spans="31:31">
      <c r="AE25490" s="54"/>
    </row>
    <row r="25491" spans="31:31">
      <c r="AE25491" s="54"/>
    </row>
    <row r="25492" spans="31:31">
      <c r="AE25492" s="54"/>
    </row>
    <row r="25493" spans="31:31">
      <c r="AE25493" s="54"/>
    </row>
    <row r="25494" spans="31:31">
      <c r="AE25494" s="54"/>
    </row>
    <row r="25495" spans="31:31">
      <c r="AE25495" s="54"/>
    </row>
    <row r="25496" spans="31:31">
      <c r="AE25496" s="54"/>
    </row>
    <row r="25497" spans="31:31">
      <c r="AE25497" s="54"/>
    </row>
    <row r="25498" spans="31:31">
      <c r="AE25498" s="54"/>
    </row>
    <row r="25499" spans="31:31">
      <c r="AE25499" s="54"/>
    </row>
    <row r="25500" spans="31:31">
      <c r="AE25500" s="54"/>
    </row>
    <row r="25501" spans="31:31">
      <c r="AE25501" s="54"/>
    </row>
    <row r="25502" spans="31:31">
      <c r="AE25502" s="54"/>
    </row>
    <row r="25503" spans="31:31">
      <c r="AE25503" s="54"/>
    </row>
    <row r="25504" spans="31:31">
      <c r="AE25504" s="54"/>
    </row>
    <row r="25505" spans="31:31">
      <c r="AE25505" s="54"/>
    </row>
    <row r="25506" spans="31:31">
      <c r="AE25506" s="54"/>
    </row>
    <row r="25507" spans="31:31">
      <c r="AE25507" s="54"/>
    </row>
    <row r="25508" spans="31:31">
      <c r="AE25508" s="54"/>
    </row>
    <row r="25509" spans="31:31">
      <c r="AE25509" s="54"/>
    </row>
    <row r="25510" spans="31:31">
      <c r="AE25510" s="54"/>
    </row>
    <row r="25511" spans="31:31">
      <c r="AE25511" s="54"/>
    </row>
    <row r="25512" spans="31:31">
      <c r="AE25512" s="54"/>
    </row>
    <row r="25513" spans="31:31">
      <c r="AE25513" s="54"/>
    </row>
    <row r="25514" spans="31:31">
      <c r="AE25514" s="54"/>
    </row>
    <row r="25515" spans="31:31">
      <c r="AE25515" s="54"/>
    </row>
    <row r="25516" spans="31:31">
      <c r="AE25516" s="54"/>
    </row>
    <row r="25517" spans="31:31">
      <c r="AE25517" s="54"/>
    </row>
    <row r="25518" spans="31:31">
      <c r="AE25518" s="54"/>
    </row>
    <row r="25519" spans="31:31">
      <c r="AE25519" s="54"/>
    </row>
    <row r="25520" spans="31:31">
      <c r="AE25520" s="54"/>
    </row>
    <row r="25521" spans="31:31">
      <c r="AE25521" s="54"/>
    </row>
    <row r="25522" spans="31:31">
      <c r="AE25522" s="54"/>
    </row>
    <row r="25523" spans="31:31">
      <c r="AE25523" s="54"/>
    </row>
    <row r="25524" spans="31:31">
      <c r="AE25524" s="54"/>
    </row>
    <row r="25525" spans="31:31">
      <c r="AE25525" s="54"/>
    </row>
    <row r="25526" spans="31:31">
      <c r="AE25526" s="54"/>
    </row>
    <row r="25527" spans="31:31">
      <c r="AE25527" s="54"/>
    </row>
    <row r="25528" spans="31:31">
      <c r="AE25528" s="54"/>
    </row>
    <row r="25529" spans="31:31">
      <c r="AE25529" s="54"/>
    </row>
    <row r="25530" spans="31:31">
      <c r="AE25530" s="54"/>
    </row>
    <row r="25531" spans="31:31">
      <c r="AE25531" s="54"/>
    </row>
    <row r="25532" spans="31:31">
      <c r="AE25532" s="54"/>
    </row>
    <row r="25533" spans="31:31">
      <c r="AE25533" s="54"/>
    </row>
    <row r="25534" spans="31:31">
      <c r="AE25534" s="54"/>
    </row>
    <row r="25535" spans="31:31">
      <c r="AE25535" s="54"/>
    </row>
    <row r="25536" spans="31:31">
      <c r="AE25536" s="54"/>
    </row>
    <row r="25537" spans="31:31">
      <c r="AE25537" s="54"/>
    </row>
    <row r="25538" spans="31:31">
      <c r="AE25538" s="54"/>
    </row>
    <row r="25539" spans="31:31">
      <c r="AE25539" s="54"/>
    </row>
    <row r="25540" spans="31:31">
      <c r="AE25540" s="54"/>
    </row>
    <row r="25541" spans="31:31">
      <c r="AE25541" s="54"/>
    </row>
    <row r="25542" spans="31:31">
      <c r="AE25542" s="54"/>
    </row>
    <row r="25543" spans="31:31">
      <c r="AE25543" s="54"/>
    </row>
    <row r="25544" spans="31:31">
      <c r="AE25544" s="54"/>
    </row>
    <row r="25545" spans="31:31">
      <c r="AE25545" s="54"/>
    </row>
    <row r="25546" spans="31:31">
      <c r="AE25546" s="54"/>
    </row>
    <row r="25547" spans="31:31">
      <c r="AE25547" s="54"/>
    </row>
    <row r="25548" spans="31:31">
      <c r="AE25548" s="54"/>
    </row>
    <row r="25549" spans="31:31">
      <c r="AE25549" s="54"/>
    </row>
    <row r="25550" spans="31:31">
      <c r="AE25550" s="54"/>
    </row>
    <row r="25551" spans="31:31">
      <c r="AE25551" s="54"/>
    </row>
    <row r="25552" spans="31:31">
      <c r="AE25552" s="54"/>
    </row>
    <row r="25553" spans="31:31">
      <c r="AE25553" s="54"/>
    </row>
    <row r="25554" spans="31:31">
      <c r="AE25554" s="54"/>
    </row>
    <row r="25555" spans="31:31">
      <c r="AE25555" s="54"/>
    </row>
    <row r="25556" spans="31:31">
      <c r="AE25556" s="54"/>
    </row>
    <row r="25557" spans="31:31">
      <c r="AE25557" s="54"/>
    </row>
    <row r="25558" spans="31:31">
      <c r="AE25558" s="54"/>
    </row>
    <row r="25559" spans="31:31">
      <c r="AE25559" s="54"/>
    </row>
    <row r="25560" spans="31:31">
      <c r="AE25560" s="54"/>
    </row>
    <row r="25561" spans="31:31">
      <c r="AE25561" s="54"/>
    </row>
    <row r="25562" spans="31:31">
      <c r="AE25562" s="54"/>
    </row>
    <row r="25563" spans="31:31">
      <c r="AE25563" s="54"/>
    </row>
    <row r="25564" spans="31:31">
      <c r="AE25564" s="54"/>
    </row>
    <row r="25565" spans="31:31">
      <c r="AE25565" s="54"/>
    </row>
    <row r="25566" spans="31:31">
      <c r="AE25566" s="54"/>
    </row>
    <row r="25567" spans="31:31">
      <c r="AE25567" s="54"/>
    </row>
    <row r="25568" spans="31:31">
      <c r="AE25568" s="54"/>
    </row>
    <row r="25569" spans="31:31">
      <c r="AE25569" s="54"/>
    </row>
    <row r="25570" spans="31:31">
      <c r="AE25570" s="54"/>
    </row>
    <row r="25571" spans="31:31">
      <c r="AE25571" s="54"/>
    </row>
    <row r="25572" spans="31:31">
      <c r="AE25572" s="54"/>
    </row>
    <row r="25573" spans="31:31">
      <c r="AE25573" s="54"/>
    </row>
    <row r="25574" spans="31:31">
      <c r="AE25574" s="54"/>
    </row>
    <row r="25575" spans="31:31">
      <c r="AE25575" s="54"/>
    </row>
    <row r="25576" spans="31:31">
      <c r="AE25576" s="54"/>
    </row>
    <row r="25577" spans="31:31">
      <c r="AE25577" s="54"/>
    </row>
    <row r="25578" spans="31:31">
      <c r="AE25578" s="54"/>
    </row>
    <row r="25579" spans="31:31">
      <c r="AE25579" s="54"/>
    </row>
    <row r="25580" spans="31:31">
      <c r="AE25580" s="54"/>
    </row>
    <row r="25581" spans="31:31">
      <c r="AE25581" s="54"/>
    </row>
    <row r="25582" spans="31:31">
      <c r="AE25582" s="54"/>
    </row>
    <row r="25583" spans="31:31">
      <c r="AE25583" s="54"/>
    </row>
    <row r="25584" spans="31:31">
      <c r="AE25584" s="54"/>
    </row>
    <row r="25585" spans="31:31">
      <c r="AE25585" s="54"/>
    </row>
    <row r="25586" spans="31:31">
      <c r="AE25586" s="54"/>
    </row>
    <row r="25587" spans="31:31">
      <c r="AE25587" s="54"/>
    </row>
    <row r="25588" spans="31:31">
      <c r="AE25588" s="54"/>
    </row>
    <row r="25589" spans="31:31">
      <c r="AE25589" s="54"/>
    </row>
    <row r="25590" spans="31:31">
      <c r="AE25590" s="54"/>
    </row>
    <row r="25591" spans="31:31">
      <c r="AE25591" s="54"/>
    </row>
    <row r="25592" spans="31:31">
      <c r="AE25592" s="54"/>
    </row>
    <row r="25593" spans="31:31">
      <c r="AE25593" s="54"/>
    </row>
    <row r="25594" spans="31:31">
      <c r="AE25594" s="54"/>
    </row>
    <row r="25595" spans="31:31">
      <c r="AE25595" s="54"/>
    </row>
    <row r="25596" spans="31:31">
      <c r="AE25596" s="54"/>
    </row>
    <row r="25597" spans="31:31">
      <c r="AE25597" s="54"/>
    </row>
    <row r="25598" spans="31:31">
      <c r="AE25598" s="54"/>
    </row>
    <row r="25599" spans="31:31">
      <c r="AE25599" s="54"/>
    </row>
    <row r="25600" spans="31:31">
      <c r="AE25600" s="54"/>
    </row>
    <row r="25601" spans="31:31">
      <c r="AE25601" s="54"/>
    </row>
    <row r="25602" spans="31:31">
      <c r="AE25602" s="54"/>
    </row>
    <row r="25603" spans="31:31">
      <c r="AE25603" s="54"/>
    </row>
    <row r="25604" spans="31:31">
      <c r="AE25604" s="54"/>
    </row>
    <row r="25605" spans="31:31">
      <c r="AE25605" s="54"/>
    </row>
    <row r="25606" spans="31:31">
      <c r="AE25606" s="54"/>
    </row>
    <row r="25607" spans="31:31">
      <c r="AE25607" s="54"/>
    </row>
    <row r="25608" spans="31:31">
      <c r="AE25608" s="54"/>
    </row>
    <row r="25609" spans="31:31">
      <c r="AE25609" s="54"/>
    </row>
    <row r="25610" spans="31:31">
      <c r="AE25610" s="54"/>
    </row>
    <row r="25611" spans="31:31">
      <c r="AE25611" s="54"/>
    </row>
    <row r="25612" spans="31:31">
      <c r="AE25612" s="54"/>
    </row>
    <row r="25613" spans="31:31">
      <c r="AE25613" s="54"/>
    </row>
    <row r="25614" spans="31:31">
      <c r="AE25614" s="54"/>
    </row>
    <row r="25615" spans="31:31">
      <c r="AE25615" s="54"/>
    </row>
    <row r="25616" spans="31:31">
      <c r="AE25616" s="54"/>
    </row>
    <row r="25617" spans="31:31">
      <c r="AE25617" s="54"/>
    </row>
    <row r="25618" spans="31:31">
      <c r="AE25618" s="54"/>
    </row>
    <row r="25619" spans="31:31">
      <c r="AE25619" s="54"/>
    </row>
    <row r="25620" spans="31:31">
      <c r="AE25620" s="54"/>
    </row>
    <row r="25621" spans="31:31">
      <c r="AE25621" s="54"/>
    </row>
    <row r="25622" spans="31:31">
      <c r="AE25622" s="54"/>
    </row>
    <row r="25623" spans="31:31">
      <c r="AE25623" s="54"/>
    </row>
    <row r="25624" spans="31:31">
      <c r="AE25624" s="54"/>
    </row>
    <row r="25625" spans="31:31">
      <c r="AE25625" s="54"/>
    </row>
    <row r="25626" spans="31:31">
      <c r="AE25626" s="54"/>
    </row>
    <row r="25627" spans="31:31">
      <c r="AE25627" s="54"/>
    </row>
    <row r="25628" spans="31:31">
      <c r="AE25628" s="54"/>
    </row>
    <row r="25629" spans="31:31">
      <c r="AE25629" s="54"/>
    </row>
    <row r="25630" spans="31:31">
      <c r="AE25630" s="54"/>
    </row>
    <row r="25631" spans="31:31">
      <c r="AE25631" s="54"/>
    </row>
    <row r="25632" spans="31:31">
      <c r="AE25632" s="54"/>
    </row>
    <row r="25633" spans="31:31">
      <c r="AE25633" s="54"/>
    </row>
    <row r="25634" spans="31:31">
      <c r="AE25634" s="54"/>
    </row>
    <row r="25635" spans="31:31">
      <c r="AE25635" s="54"/>
    </row>
    <row r="25636" spans="31:31">
      <c r="AE25636" s="54"/>
    </row>
    <row r="25637" spans="31:31">
      <c r="AE25637" s="54"/>
    </row>
    <row r="25638" spans="31:31">
      <c r="AE25638" s="54"/>
    </row>
    <row r="25639" spans="31:31">
      <c r="AE25639" s="54"/>
    </row>
    <row r="25640" spans="31:31">
      <c r="AE25640" s="54"/>
    </row>
    <row r="25641" spans="31:31">
      <c r="AE25641" s="54"/>
    </row>
    <row r="25642" spans="31:31">
      <c r="AE25642" s="54"/>
    </row>
    <row r="25643" spans="31:31">
      <c r="AE25643" s="54"/>
    </row>
    <row r="25644" spans="31:31">
      <c r="AE25644" s="54"/>
    </row>
    <row r="25645" spans="31:31">
      <c r="AE25645" s="54"/>
    </row>
    <row r="25646" spans="31:31">
      <c r="AE25646" s="54"/>
    </row>
    <row r="25647" spans="31:31">
      <c r="AE25647" s="54"/>
    </row>
    <row r="25648" spans="31:31">
      <c r="AE25648" s="54"/>
    </row>
    <row r="25649" spans="31:31">
      <c r="AE25649" s="54"/>
    </row>
    <row r="25650" spans="31:31">
      <c r="AE25650" s="54"/>
    </row>
    <row r="25651" spans="31:31">
      <c r="AE25651" s="54"/>
    </row>
    <row r="25652" spans="31:31">
      <c r="AE25652" s="54"/>
    </row>
    <row r="25653" spans="31:31">
      <c r="AE25653" s="54"/>
    </row>
    <row r="25654" spans="31:31">
      <c r="AE25654" s="54"/>
    </row>
    <row r="25655" spans="31:31">
      <c r="AE25655" s="54"/>
    </row>
    <row r="25656" spans="31:31">
      <c r="AE25656" s="54"/>
    </row>
    <row r="25657" spans="31:31">
      <c r="AE25657" s="54"/>
    </row>
    <row r="25658" spans="31:31">
      <c r="AE25658" s="54"/>
    </row>
    <row r="25659" spans="31:31">
      <c r="AE25659" s="54"/>
    </row>
    <row r="25660" spans="31:31">
      <c r="AE25660" s="54"/>
    </row>
    <row r="25661" spans="31:31">
      <c r="AE25661" s="54"/>
    </row>
    <row r="25662" spans="31:31">
      <c r="AE25662" s="54"/>
    </row>
    <row r="25663" spans="31:31">
      <c r="AE25663" s="54"/>
    </row>
    <row r="25664" spans="31:31">
      <c r="AE25664" s="54"/>
    </row>
    <row r="25665" spans="31:31">
      <c r="AE25665" s="54"/>
    </row>
    <row r="25666" spans="31:31">
      <c r="AE25666" s="54"/>
    </row>
    <row r="25667" spans="31:31">
      <c r="AE25667" s="54"/>
    </row>
    <row r="25668" spans="31:31">
      <c r="AE25668" s="54"/>
    </row>
    <row r="25669" spans="31:31">
      <c r="AE25669" s="54"/>
    </row>
    <row r="25670" spans="31:31">
      <c r="AE25670" s="54"/>
    </row>
    <row r="25671" spans="31:31">
      <c r="AE25671" s="54"/>
    </row>
    <row r="25672" spans="31:31">
      <c r="AE25672" s="54"/>
    </row>
    <row r="25673" spans="31:31">
      <c r="AE25673" s="54"/>
    </row>
    <row r="25674" spans="31:31">
      <c r="AE25674" s="54"/>
    </row>
    <row r="25675" spans="31:31">
      <c r="AE25675" s="54"/>
    </row>
    <row r="25676" spans="31:31">
      <c r="AE25676" s="54"/>
    </row>
    <row r="25677" spans="31:31">
      <c r="AE25677" s="54"/>
    </row>
    <row r="25678" spans="31:31">
      <c r="AE25678" s="54"/>
    </row>
    <row r="25679" spans="31:31">
      <c r="AE25679" s="54"/>
    </row>
    <row r="25680" spans="31:31">
      <c r="AE25680" s="54"/>
    </row>
    <row r="25681" spans="31:31">
      <c r="AE25681" s="54"/>
    </row>
    <row r="25682" spans="31:31">
      <c r="AE25682" s="54"/>
    </row>
    <row r="25683" spans="31:31">
      <c r="AE25683" s="54"/>
    </row>
    <row r="25684" spans="31:31">
      <c r="AE25684" s="54"/>
    </row>
    <row r="25685" spans="31:31">
      <c r="AE25685" s="54"/>
    </row>
    <row r="25686" spans="31:31">
      <c r="AE25686" s="54"/>
    </row>
    <row r="25687" spans="31:31">
      <c r="AE25687" s="54"/>
    </row>
    <row r="25688" spans="31:31">
      <c r="AE25688" s="54"/>
    </row>
    <row r="25689" spans="31:31">
      <c r="AE25689" s="54"/>
    </row>
    <row r="25690" spans="31:31">
      <c r="AE25690" s="54"/>
    </row>
    <row r="25691" spans="31:31">
      <c r="AE25691" s="54"/>
    </row>
    <row r="25692" spans="31:31">
      <c r="AE25692" s="54"/>
    </row>
    <row r="25693" spans="31:31">
      <c r="AE25693" s="54"/>
    </row>
    <row r="25694" spans="31:31">
      <c r="AE25694" s="54"/>
    </row>
    <row r="25695" spans="31:31">
      <c r="AE25695" s="54"/>
    </row>
    <row r="25696" spans="31:31">
      <c r="AE25696" s="54"/>
    </row>
    <row r="25697" spans="31:31">
      <c r="AE25697" s="54"/>
    </row>
    <row r="25698" spans="31:31">
      <c r="AE25698" s="54"/>
    </row>
    <row r="25699" spans="31:31">
      <c r="AE25699" s="54"/>
    </row>
    <row r="25700" spans="31:31">
      <c r="AE25700" s="54"/>
    </row>
    <row r="25701" spans="31:31">
      <c r="AE25701" s="54"/>
    </row>
    <row r="25702" spans="31:31">
      <c r="AE25702" s="54"/>
    </row>
    <row r="25703" spans="31:31">
      <c r="AE25703" s="54"/>
    </row>
    <row r="25704" spans="31:31">
      <c r="AE25704" s="54"/>
    </row>
    <row r="25705" spans="31:31">
      <c r="AE25705" s="54"/>
    </row>
    <row r="25706" spans="31:31">
      <c r="AE25706" s="54"/>
    </row>
    <row r="25707" spans="31:31">
      <c r="AE25707" s="54"/>
    </row>
    <row r="25708" spans="31:31">
      <c r="AE25708" s="54"/>
    </row>
    <row r="25709" spans="31:31">
      <c r="AE25709" s="54"/>
    </row>
    <row r="25710" spans="31:31">
      <c r="AE25710" s="54"/>
    </row>
    <row r="25711" spans="31:31">
      <c r="AE25711" s="54"/>
    </row>
    <row r="25712" spans="31:31">
      <c r="AE25712" s="54"/>
    </row>
    <row r="25713" spans="31:31">
      <c r="AE25713" s="54"/>
    </row>
    <row r="25714" spans="31:31">
      <c r="AE25714" s="54"/>
    </row>
    <row r="25715" spans="31:31">
      <c r="AE25715" s="54"/>
    </row>
    <row r="25716" spans="31:31">
      <c r="AE25716" s="54"/>
    </row>
    <row r="25717" spans="31:31">
      <c r="AE25717" s="54"/>
    </row>
    <row r="25718" spans="31:31">
      <c r="AE25718" s="54"/>
    </row>
    <row r="25719" spans="31:31">
      <c r="AE25719" s="54"/>
    </row>
    <row r="25720" spans="31:31">
      <c r="AE25720" s="54"/>
    </row>
    <row r="25721" spans="31:31">
      <c r="AE25721" s="54"/>
    </row>
    <row r="25722" spans="31:31">
      <c r="AE25722" s="54"/>
    </row>
    <row r="25723" spans="31:31">
      <c r="AE25723" s="54"/>
    </row>
    <row r="25724" spans="31:31">
      <c r="AE25724" s="54"/>
    </row>
    <row r="25725" spans="31:31">
      <c r="AE25725" s="54"/>
    </row>
    <row r="25726" spans="31:31">
      <c r="AE25726" s="54"/>
    </row>
    <row r="25727" spans="31:31">
      <c r="AE25727" s="54"/>
    </row>
    <row r="25728" spans="31:31">
      <c r="AE25728" s="54"/>
    </row>
    <row r="25729" spans="31:31">
      <c r="AE25729" s="54"/>
    </row>
    <row r="25730" spans="31:31">
      <c r="AE25730" s="54"/>
    </row>
    <row r="25731" spans="31:31">
      <c r="AE25731" s="54"/>
    </row>
    <row r="25732" spans="31:31">
      <c r="AE25732" s="54"/>
    </row>
    <row r="25733" spans="31:31">
      <c r="AE25733" s="54"/>
    </row>
    <row r="25734" spans="31:31">
      <c r="AE25734" s="54"/>
    </row>
    <row r="25735" spans="31:31">
      <c r="AE25735" s="54"/>
    </row>
    <row r="25736" spans="31:31">
      <c r="AE25736" s="54"/>
    </row>
    <row r="25737" spans="31:31">
      <c r="AE25737" s="54"/>
    </row>
    <row r="25738" spans="31:31">
      <c r="AE25738" s="54"/>
    </row>
    <row r="25739" spans="31:31">
      <c r="AE25739" s="54"/>
    </row>
    <row r="25740" spans="31:31">
      <c r="AE25740" s="54"/>
    </row>
    <row r="25741" spans="31:31">
      <c r="AE25741" s="54"/>
    </row>
    <row r="25742" spans="31:31">
      <c r="AE25742" s="54"/>
    </row>
    <row r="25743" spans="31:31">
      <c r="AE25743" s="54"/>
    </row>
    <row r="25744" spans="31:31">
      <c r="AE25744" s="54"/>
    </row>
    <row r="25745" spans="31:31">
      <c r="AE25745" s="54"/>
    </row>
    <row r="25746" spans="31:31">
      <c r="AE25746" s="54"/>
    </row>
    <row r="25747" spans="31:31">
      <c r="AE25747" s="54"/>
    </row>
    <row r="25748" spans="31:31">
      <c r="AE25748" s="54"/>
    </row>
    <row r="25749" spans="31:31">
      <c r="AE25749" s="54"/>
    </row>
    <row r="25750" spans="31:31">
      <c r="AE25750" s="54"/>
    </row>
    <row r="25751" spans="31:31">
      <c r="AE25751" s="54"/>
    </row>
    <row r="25752" spans="31:31">
      <c r="AE25752" s="54"/>
    </row>
    <row r="25753" spans="31:31">
      <c r="AE25753" s="54"/>
    </row>
    <row r="25754" spans="31:31">
      <c r="AE25754" s="54"/>
    </row>
    <row r="25755" spans="31:31">
      <c r="AE25755" s="54"/>
    </row>
    <row r="25756" spans="31:31">
      <c r="AE25756" s="54"/>
    </row>
    <row r="25757" spans="31:31">
      <c r="AE25757" s="54"/>
    </row>
    <row r="25758" spans="31:31">
      <c r="AE25758" s="54"/>
    </row>
    <row r="25759" spans="31:31">
      <c r="AE25759" s="54"/>
    </row>
    <row r="25760" spans="31:31">
      <c r="AE25760" s="54"/>
    </row>
    <row r="25761" spans="31:31">
      <c r="AE25761" s="54"/>
    </row>
    <row r="25762" spans="31:31">
      <c r="AE25762" s="54"/>
    </row>
    <row r="25763" spans="31:31">
      <c r="AE25763" s="54"/>
    </row>
    <row r="25764" spans="31:31">
      <c r="AE25764" s="54"/>
    </row>
    <row r="25765" spans="31:31">
      <c r="AE25765" s="54"/>
    </row>
    <row r="25766" spans="31:31">
      <c r="AE25766" s="54"/>
    </row>
    <row r="25767" spans="31:31">
      <c r="AE25767" s="54"/>
    </row>
    <row r="25768" spans="31:31">
      <c r="AE25768" s="54"/>
    </row>
    <row r="25769" spans="31:31">
      <c r="AE25769" s="54"/>
    </row>
    <row r="25770" spans="31:31">
      <c r="AE25770" s="54"/>
    </row>
    <row r="25771" spans="31:31">
      <c r="AE25771" s="54"/>
    </row>
    <row r="25772" spans="31:31">
      <c r="AE25772" s="54"/>
    </row>
    <row r="25773" spans="31:31">
      <c r="AE25773" s="54"/>
    </row>
    <row r="25774" spans="31:31">
      <c r="AE25774" s="54"/>
    </row>
    <row r="25775" spans="31:31">
      <c r="AE25775" s="54"/>
    </row>
    <row r="25776" spans="31:31">
      <c r="AE25776" s="54"/>
    </row>
    <row r="25777" spans="31:31">
      <c r="AE25777" s="54"/>
    </row>
    <row r="25778" spans="31:31">
      <c r="AE25778" s="54"/>
    </row>
    <row r="25779" spans="31:31">
      <c r="AE25779" s="54"/>
    </row>
    <row r="25780" spans="31:31">
      <c r="AE25780" s="54"/>
    </row>
    <row r="25781" spans="31:31">
      <c r="AE25781" s="54"/>
    </row>
    <row r="25782" spans="31:31">
      <c r="AE25782" s="54"/>
    </row>
    <row r="25783" spans="31:31">
      <c r="AE25783" s="54"/>
    </row>
    <row r="25784" spans="31:31">
      <c r="AE25784" s="54"/>
    </row>
    <row r="25785" spans="31:31">
      <c r="AE25785" s="54"/>
    </row>
    <row r="25786" spans="31:31">
      <c r="AE25786" s="54"/>
    </row>
    <row r="25787" spans="31:31">
      <c r="AE25787" s="54"/>
    </row>
    <row r="25788" spans="31:31">
      <c r="AE25788" s="54"/>
    </row>
    <row r="25789" spans="31:31">
      <c r="AE25789" s="54"/>
    </row>
    <row r="25790" spans="31:31">
      <c r="AE25790" s="54"/>
    </row>
    <row r="25791" spans="31:31">
      <c r="AE25791" s="54"/>
    </row>
    <row r="25792" spans="31:31">
      <c r="AE25792" s="54"/>
    </row>
    <row r="25793" spans="31:31">
      <c r="AE25793" s="54"/>
    </row>
    <row r="25794" spans="31:31">
      <c r="AE25794" s="54"/>
    </row>
    <row r="25795" spans="31:31">
      <c r="AE25795" s="54"/>
    </row>
    <row r="25796" spans="31:31">
      <c r="AE25796" s="54"/>
    </row>
    <row r="25797" spans="31:31">
      <c r="AE25797" s="54"/>
    </row>
    <row r="25798" spans="31:31">
      <c r="AE25798" s="54"/>
    </row>
    <row r="25799" spans="31:31">
      <c r="AE25799" s="54"/>
    </row>
    <row r="25800" spans="31:31">
      <c r="AE25800" s="54"/>
    </row>
    <row r="25801" spans="31:31">
      <c r="AE25801" s="54"/>
    </row>
    <row r="25802" spans="31:31">
      <c r="AE25802" s="54"/>
    </row>
    <row r="25803" spans="31:31">
      <c r="AE25803" s="54"/>
    </row>
    <row r="25804" spans="31:31">
      <c r="AE25804" s="54"/>
    </row>
    <row r="25805" spans="31:31">
      <c r="AE25805" s="54"/>
    </row>
    <row r="25806" spans="31:31">
      <c r="AE25806" s="54"/>
    </row>
    <row r="25807" spans="31:31">
      <c r="AE25807" s="54"/>
    </row>
    <row r="25808" spans="31:31">
      <c r="AE25808" s="54"/>
    </row>
    <row r="25809" spans="31:31">
      <c r="AE25809" s="54"/>
    </row>
    <row r="25810" spans="31:31">
      <c r="AE25810" s="54"/>
    </row>
    <row r="25811" spans="31:31">
      <c r="AE25811" s="54"/>
    </row>
    <row r="25812" spans="31:31">
      <c r="AE25812" s="54"/>
    </row>
    <row r="25813" spans="31:31">
      <c r="AE25813" s="54"/>
    </row>
    <row r="25814" spans="31:31">
      <c r="AE25814" s="54"/>
    </row>
    <row r="25815" spans="31:31">
      <c r="AE25815" s="54"/>
    </row>
    <row r="25816" spans="31:31">
      <c r="AE25816" s="54"/>
    </row>
    <row r="25817" spans="31:31">
      <c r="AE25817" s="54"/>
    </row>
    <row r="25818" spans="31:31">
      <c r="AE25818" s="54"/>
    </row>
    <row r="25819" spans="31:31">
      <c r="AE25819" s="54"/>
    </row>
    <row r="25820" spans="31:31">
      <c r="AE25820" s="54"/>
    </row>
    <row r="25821" spans="31:31">
      <c r="AE25821" s="54"/>
    </row>
    <row r="25822" spans="31:31">
      <c r="AE25822" s="54"/>
    </row>
    <row r="25823" spans="31:31">
      <c r="AE25823" s="54"/>
    </row>
    <row r="25824" spans="31:31">
      <c r="AE25824" s="54"/>
    </row>
    <row r="25825" spans="31:31">
      <c r="AE25825" s="54"/>
    </row>
    <row r="25826" spans="31:31">
      <c r="AE25826" s="54"/>
    </row>
    <row r="25827" spans="31:31">
      <c r="AE25827" s="54"/>
    </row>
    <row r="25828" spans="31:31">
      <c r="AE25828" s="54"/>
    </row>
    <row r="25829" spans="31:31">
      <c r="AE25829" s="54"/>
    </row>
    <row r="25830" spans="31:31">
      <c r="AE25830" s="54"/>
    </row>
    <row r="25831" spans="31:31">
      <c r="AE25831" s="54"/>
    </row>
    <row r="25832" spans="31:31">
      <c r="AE25832" s="54"/>
    </row>
    <row r="25833" spans="31:31">
      <c r="AE25833" s="54"/>
    </row>
    <row r="25834" spans="31:31">
      <c r="AE25834" s="54"/>
    </row>
    <row r="25835" spans="31:31">
      <c r="AE25835" s="54"/>
    </row>
    <row r="25836" spans="31:31">
      <c r="AE25836" s="54"/>
    </row>
    <row r="25837" spans="31:31">
      <c r="AE25837" s="54"/>
    </row>
    <row r="25838" spans="31:31">
      <c r="AE25838" s="54"/>
    </row>
    <row r="25839" spans="31:31">
      <c r="AE25839" s="54"/>
    </row>
    <row r="25840" spans="31:31">
      <c r="AE25840" s="54"/>
    </row>
    <row r="25841" spans="31:31">
      <c r="AE25841" s="54"/>
    </row>
    <row r="25842" spans="31:31">
      <c r="AE25842" s="54"/>
    </row>
    <row r="25843" spans="31:31">
      <c r="AE25843" s="54"/>
    </row>
    <row r="25844" spans="31:31">
      <c r="AE25844" s="54"/>
    </row>
    <row r="25845" spans="31:31">
      <c r="AE25845" s="54"/>
    </row>
    <row r="25846" spans="31:31">
      <c r="AE25846" s="54"/>
    </row>
    <row r="25847" spans="31:31">
      <c r="AE25847" s="54"/>
    </row>
    <row r="25848" spans="31:31">
      <c r="AE25848" s="54"/>
    </row>
    <row r="25849" spans="31:31">
      <c r="AE25849" s="54"/>
    </row>
    <row r="25850" spans="31:31">
      <c r="AE25850" s="54"/>
    </row>
    <row r="25851" spans="31:31">
      <c r="AE25851" s="54"/>
    </row>
    <row r="25852" spans="31:31">
      <c r="AE25852" s="54"/>
    </row>
    <row r="25853" spans="31:31">
      <c r="AE25853" s="54"/>
    </row>
    <row r="25854" spans="31:31">
      <c r="AE25854" s="54"/>
    </row>
    <row r="25855" spans="31:31">
      <c r="AE25855" s="54"/>
    </row>
    <row r="25856" spans="31:31">
      <c r="AE25856" s="54"/>
    </row>
    <row r="25857" spans="31:31">
      <c r="AE25857" s="54"/>
    </row>
    <row r="25858" spans="31:31">
      <c r="AE25858" s="54"/>
    </row>
    <row r="25859" spans="31:31">
      <c r="AE25859" s="54"/>
    </row>
    <row r="25860" spans="31:31">
      <c r="AE25860" s="54"/>
    </row>
    <row r="25861" spans="31:31">
      <c r="AE25861" s="54"/>
    </row>
    <row r="25862" spans="31:31">
      <c r="AE25862" s="54"/>
    </row>
    <row r="25863" spans="31:31">
      <c r="AE25863" s="54"/>
    </row>
    <row r="25864" spans="31:31">
      <c r="AE25864" s="54"/>
    </row>
    <row r="25865" spans="31:31">
      <c r="AE25865" s="54"/>
    </row>
    <row r="25866" spans="31:31">
      <c r="AE25866" s="54"/>
    </row>
    <row r="25867" spans="31:31">
      <c r="AE25867" s="54"/>
    </row>
    <row r="25868" spans="31:31">
      <c r="AE25868" s="54"/>
    </row>
    <row r="25869" spans="31:31">
      <c r="AE25869" s="54"/>
    </row>
    <row r="25870" spans="31:31">
      <c r="AE25870" s="54"/>
    </row>
    <row r="25871" spans="31:31">
      <c r="AE25871" s="54"/>
    </row>
    <row r="25872" spans="31:31">
      <c r="AE25872" s="54"/>
    </row>
    <row r="25873" spans="31:31">
      <c r="AE25873" s="54"/>
    </row>
    <row r="25874" spans="31:31">
      <c r="AE25874" s="54"/>
    </row>
    <row r="25875" spans="31:31">
      <c r="AE25875" s="54"/>
    </row>
    <row r="25876" spans="31:31">
      <c r="AE25876" s="54"/>
    </row>
    <row r="25877" spans="31:31">
      <c r="AE25877" s="54"/>
    </row>
    <row r="25878" spans="31:31">
      <c r="AE25878" s="54"/>
    </row>
    <row r="25879" spans="31:31">
      <c r="AE25879" s="54"/>
    </row>
    <row r="25880" spans="31:31">
      <c r="AE25880" s="54"/>
    </row>
    <row r="25881" spans="31:31">
      <c r="AE25881" s="54"/>
    </row>
    <row r="25882" spans="31:31">
      <c r="AE25882" s="54"/>
    </row>
    <row r="25883" spans="31:31">
      <c r="AE25883" s="54"/>
    </row>
    <row r="25884" spans="31:31">
      <c r="AE25884" s="54"/>
    </row>
    <row r="25885" spans="31:31">
      <c r="AE25885" s="54"/>
    </row>
    <row r="25886" spans="31:31">
      <c r="AE25886" s="54"/>
    </row>
    <row r="25887" spans="31:31">
      <c r="AE25887" s="54"/>
    </row>
    <row r="25888" spans="31:31">
      <c r="AE25888" s="54"/>
    </row>
    <row r="25889" spans="31:31">
      <c r="AE25889" s="54"/>
    </row>
    <row r="25890" spans="31:31">
      <c r="AE25890" s="54"/>
    </row>
    <row r="25891" spans="31:31">
      <c r="AE25891" s="54"/>
    </row>
    <row r="25892" spans="31:31">
      <c r="AE25892" s="54"/>
    </row>
    <row r="25893" spans="31:31">
      <c r="AE25893" s="54"/>
    </row>
    <row r="25894" spans="31:31">
      <c r="AE25894" s="54"/>
    </row>
    <row r="25895" spans="31:31">
      <c r="AE25895" s="54"/>
    </row>
    <row r="25896" spans="31:31">
      <c r="AE25896" s="54"/>
    </row>
    <row r="25897" spans="31:31">
      <c r="AE25897" s="54"/>
    </row>
    <row r="25898" spans="31:31">
      <c r="AE25898" s="54"/>
    </row>
    <row r="25899" spans="31:31">
      <c r="AE25899" s="54"/>
    </row>
    <row r="25900" spans="31:31">
      <c r="AE25900" s="54"/>
    </row>
    <row r="25901" spans="31:31">
      <c r="AE25901" s="54"/>
    </row>
    <row r="25902" spans="31:31">
      <c r="AE25902" s="54"/>
    </row>
    <row r="25903" spans="31:31">
      <c r="AE25903" s="54"/>
    </row>
    <row r="25904" spans="31:31">
      <c r="AE25904" s="54"/>
    </row>
    <row r="25905" spans="31:31">
      <c r="AE25905" s="54"/>
    </row>
    <row r="25906" spans="31:31">
      <c r="AE25906" s="54"/>
    </row>
    <row r="25907" spans="31:31">
      <c r="AE25907" s="54"/>
    </row>
    <row r="25908" spans="31:31">
      <c r="AE25908" s="54"/>
    </row>
    <row r="25909" spans="31:31">
      <c r="AE25909" s="54"/>
    </row>
    <row r="25910" spans="31:31">
      <c r="AE25910" s="54"/>
    </row>
    <row r="25911" spans="31:31">
      <c r="AE25911" s="54"/>
    </row>
    <row r="25912" spans="31:31">
      <c r="AE25912" s="54"/>
    </row>
    <row r="25913" spans="31:31">
      <c r="AE25913" s="54"/>
    </row>
    <row r="25914" spans="31:31">
      <c r="AE25914" s="54"/>
    </row>
    <row r="25915" spans="31:31">
      <c r="AE25915" s="54"/>
    </row>
    <row r="25916" spans="31:31">
      <c r="AE25916" s="54"/>
    </row>
    <row r="25917" spans="31:31">
      <c r="AE25917" s="54"/>
    </row>
    <row r="25918" spans="31:31">
      <c r="AE25918" s="54"/>
    </row>
    <row r="25919" spans="31:31">
      <c r="AE25919" s="54"/>
    </row>
    <row r="25920" spans="31:31">
      <c r="AE25920" s="54"/>
    </row>
    <row r="25921" spans="31:31">
      <c r="AE25921" s="54"/>
    </row>
    <row r="25922" spans="31:31">
      <c r="AE25922" s="54"/>
    </row>
    <row r="25923" spans="31:31">
      <c r="AE25923" s="54"/>
    </row>
    <row r="25924" spans="31:31">
      <c r="AE25924" s="54"/>
    </row>
    <row r="25925" spans="31:31">
      <c r="AE25925" s="54"/>
    </row>
    <row r="25926" spans="31:31">
      <c r="AE25926" s="54"/>
    </row>
    <row r="25927" spans="31:31">
      <c r="AE25927" s="54"/>
    </row>
    <row r="25928" spans="31:31">
      <c r="AE25928" s="54"/>
    </row>
    <row r="25929" spans="31:31">
      <c r="AE25929" s="54"/>
    </row>
    <row r="25930" spans="31:31">
      <c r="AE25930" s="54"/>
    </row>
    <row r="25931" spans="31:31">
      <c r="AE25931" s="54"/>
    </row>
    <row r="25932" spans="31:31">
      <c r="AE25932" s="54"/>
    </row>
    <row r="25933" spans="31:31">
      <c r="AE25933" s="54"/>
    </row>
    <row r="25934" spans="31:31">
      <c r="AE25934" s="54"/>
    </row>
    <row r="25935" spans="31:31">
      <c r="AE25935" s="54"/>
    </row>
    <row r="25936" spans="31:31">
      <c r="AE25936" s="54"/>
    </row>
    <row r="25937" spans="31:31">
      <c r="AE25937" s="54"/>
    </row>
    <row r="25938" spans="31:31">
      <c r="AE25938" s="54"/>
    </row>
    <row r="25939" spans="31:31">
      <c r="AE25939" s="54"/>
    </row>
    <row r="25940" spans="31:31">
      <c r="AE25940" s="54"/>
    </row>
    <row r="25941" spans="31:31">
      <c r="AE25941" s="54"/>
    </row>
    <row r="25942" spans="31:31">
      <c r="AE25942" s="54"/>
    </row>
    <row r="25943" spans="31:31">
      <c r="AE25943" s="54"/>
    </row>
    <row r="25944" spans="31:31">
      <c r="AE25944" s="54"/>
    </row>
    <row r="25945" spans="31:31">
      <c r="AE25945" s="54"/>
    </row>
    <row r="25946" spans="31:31">
      <c r="AE25946" s="54"/>
    </row>
    <row r="25947" spans="31:31">
      <c r="AE25947" s="54"/>
    </row>
    <row r="25948" spans="31:31">
      <c r="AE25948" s="54"/>
    </row>
    <row r="25949" spans="31:31">
      <c r="AE25949" s="54"/>
    </row>
    <row r="25950" spans="31:31">
      <c r="AE25950" s="54"/>
    </row>
    <row r="25951" spans="31:31">
      <c r="AE25951" s="54"/>
    </row>
    <row r="25952" spans="31:31">
      <c r="AE25952" s="54"/>
    </row>
    <row r="25953" spans="31:31">
      <c r="AE25953" s="54"/>
    </row>
    <row r="25954" spans="31:31">
      <c r="AE25954" s="54"/>
    </row>
    <row r="25955" spans="31:31">
      <c r="AE25955" s="54"/>
    </row>
    <row r="25956" spans="31:31">
      <c r="AE25956" s="54"/>
    </row>
    <row r="25957" spans="31:31">
      <c r="AE25957" s="54"/>
    </row>
    <row r="25958" spans="31:31">
      <c r="AE25958" s="54"/>
    </row>
    <row r="25959" spans="31:31">
      <c r="AE25959" s="54"/>
    </row>
    <row r="25960" spans="31:31">
      <c r="AE25960" s="54"/>
    </row>
    <row r="25961" spans="31:31">
      <c r="AE25961" s="54"/>
    </row>
    <row r="25962" spans="31:31">
      <c r="AE25962" s="54"/>
    </row>
    <row r="25963" spans="31:31">
      <c r="AE25963" s="54"/>
    </row>
    <row r="25964" spans="31:31">
      <c r="AE25964" s="54"/>
    </row>
    <row r="25965" spans="31:31">
      <c r="AE25965" s="54"/>
    </row>
    <row r="25966" spans="31:31">
      <c r="AE25966" s="54"/>
    </row>
    <row r="25967" spans="31:31">
      <c r="AE25967" s="54"/>
    </row>
    <row r="25968" spans="31:31">
      <c r="AE25968" s="54"/>
    </row>
    <row r="25969" spans="31:31">
      <c r="AE25969" s="54"/>
    </row>
    <row r="25970" spans="31:31">
      <c r="AE25970" s="54"/>
    </row>
    <row r="25971" spans="31:31">
      <c r="AE25971" s="54"/>
    </row>
    <row r="25972" spans="31:31">
      <c r="AE25972" s="54"/>
    </row>
    <row r="25973" spans="31:31">
      <c r="AE25973" s="54"/>
    </row>
    <row r="25974" spans="31:31">
      <c r="AE25974" s="54"/>
    </row>
    <row r="25975" spans="31:31">
      <c r="AE25975" s="54"/>
    </row>
    <row r="25976" spans="31:31">
      <c r="AE25976" s="54"/>
    </row>
    <row r="25977" spans="31:31">
      <c r="AE25977" s="54"/>
    </row>
    <row r="25978" spans="31:31">
      <c r="AE25978" s="54"/>
    </row>
    <row r="25979" spans="31:31">
      <c r="AE25979" s="54"/>
    </row>
    <row r="25980" spans="31:31">
      <c r="AE25980" s="54"/>
    </row>
    <row r="25981" spans="31:31">
      <c r="AE25981" s="54"/>
    </row>
    <row r="25982" spans="31:31">
      <c r="AE25982" s="54"/>
    </row>
    <row r="25983" spans="31:31">
      <c r="AE25983" s="54"/>
    </row>
    <row r="25984" spans="31:31">
      <c r="AE25984" s="54"/>
    </row>
    <row r="25985" spans="31:31">
      <c r="AE25985" s="54"/>
    </row>
    <row r="25986" spans="31:31">
      <c r="AE25986" s="54"/>
    </row>
    <row r="25987" spans="31:31">
      <c r="AE25987" s="54"/>
    </row>
    <row r="25988" spans="31:31">
      <c r="AE25988" s="54"/>
    </row>
    <row r="25989" spans="31:31">
      <c r="AE25989" s="54"/>
    </row>
    <row r="25990" spans="31:31">
      <c r="AE25990" s="54"/>
    </row>
    <row r="25991" spans="31:31">
      <c r="AE25991" s="54"/>
    </row>
    <row r="25992" spans="31:31">
      <c r="AE25992" s="54"/>
    </row>
    <row r="25993" spans="31:31">
      <c r="AE25993" s="54"/>
    </row>
    <row r="25994" spans="31:31">
      <c r="AE25994" s="54"/>
    </row>
    <row r="25995" spans="31:31">
      <c r="AE25995" s="54"/>
    </row>
    <row r="25996" spans="31:31">
      <c r="AE25996" s="54"/>
    </row>
    <row r="25997" spans="31:31">
      <c r="AE25997" s="54"/>
    </row>
    <row r="25998" spans="31:31">
      <c r="AE25998" s="54"/>
    </row>
    <row r="25999" spans="31:31">
      <c r="AE25999" s="54"/>
    </row>
    <row r="26000" spans="31:31">
      <c r="AE26000" s="54"/>
    </row>
    <row r="26001" spans="31:31">
      <c r="AE26001" s="54"/>
    </row>
    <row r="26002" spans="31:31">
      <c r="AE26002" s="54"/>
    </row>
    <row r="26003" spans="31:31">
      <c r="AE26003" s="54"/>
    </row>
    <row r="26004" spans="31:31">
      <c r="AE26004" s="54"/>
    </row>
    <row r="26005" spans="31:31">
      <c r="AE26005" s="54"/>
    </row>
    <row r="26006" spans="31:31">
      <c r="AE26006" s="54"/>
    </row>
    <row r="26007" spans="31:31">
      <c r="AE26007" s="54"/>
    </row>
    <row r="26008" spans="31:31">
      <c r="AE26008" s="54"/>
    </row>
    <row r="26009" spans="31:31">
      <c r="AE26009" s="54"/>
    </row>
    <row r="26010" spans="31:31">
      <c r="AE26010" s="54"/>
    </row>
    <row r="26011" spans="31:31">
      <c r="AE26011" s="54"/>
    </row>
    <row r="26012" spans="31:31">
      <c r="AE26012" s="54"/>
    </row>
    <row r="26013" spans="31:31">
      <c r="AE26013" s="54"/>
    </row>
    <row r="26014" spans="31:31">
      <c r="AE26014" s="54"/>
    </row>
    <row r="26015" spans="31:31">
      <c r="AE26015" s="54"/>
    </row>
    <row r="26016" spans="31:31">
      <c r="AE26016" s="54"/>
    </row>
    <row r="26017" spans="31:31">
      <c r="AE26017" s="54"/>
    </row>
    <row r="26018" spans="31:31">
      <c r="AE26018" s="54"/>
    </row>
    <row r="26019" spans="31:31">
      <c r="AE26019" s="54"/>
    </row>
    <row r="26020" spans="31:31">
      <c r="AE26020" s="54"/>
    </row>
    <row r="26021" spans="31:31">
      <c r="AE26021" s="54"/>
    </row>
    <row r="26022" spans="31:31">
      <c r="AE26022" s="54"/>
    </row>
    <row r="26023" spans="31:31">
      <c r="AE26023" s="54"/>
    </row>
    <row r="26024" spans="31:31">
      <c r="AE26024" s="54"/>
    </row>
    <row r="26025" spans="31:31">
      <c r="AE26025" s="54"/>
    </row>
    <row r="26026" spans="31:31">
      <c r="AE26026" s="54"/>
    </row>
    <row r="26027" spans="31:31">
      <c r="AE26027" s="54"/>
    </row>
    <row r="26028" spans="31:31">
      <c r="AE26028" s="54"/>
    </row>
    <row r="26029" spans="31:31">
      <c r="AE26029" s="54"/>
    </row>
    <row r="26030" spans="31:31">
      <c r="AE26030" s="54"/>
    </row>
    <row r="26031" spans="31:31">
      <c r="AE26031" s="54"/>
    </row>
    <row r="26032" spans="31:31">
      <c r="AE26032" s="54"/>
    </row>
    <row r="26033" spans="31:31">
      <c r="AE26033" s="54"/>
    </row>
    <row r="26034" spans="31:31">
      <c r="AE26034" s="54"/>
    </row>
    <row r="26035" spans="31:31">
      <c r="AE26035" s="54"/>
    </row>
    <row r="26036" spans="31:31">
      <c r="AE26036" s="54"/>
    </row>
    <row r="26037" spans="31:31">
      <c r="AE26037" s="54"/>
    </row>
    <row r="26038" spans="31:31">
      <c r="AE26038" s="54"/>
    </row>
    <row r="26039" spans="31:31">
      <c r="AE26039" s="54"/>
    </row>
    <row r="26040" spans="31:31">
      <c r="AE26040" s="54"/>
    </row>
    <row r="26041" spans="31:31">
      <c r="AE26041" s="54"/>
    </row>
    <row r="26042" spans="31:31">
      <c r="AE26042" s="54"/>
    </row>
    <row r="26043" spans="31:31">
      <c r="AE26043" s="54"/>
    </row>
    <row r="26044" spans="31:31">
      <c r="AE26044" s="54"/>
    </row>
    <row r="26045" spans="31:31">
      <c r="AE26045" s="54"/>
    </row>
    <row r="26046" spans="31:31">
      <c r="AE26046" s="54"/>
    </row>
    <row r="26047" spans="31:31">
      <c r="AE26047" s="54"/>
    </row>
    <row r="26048" spans="31:31">
      <c r="AE26048" s="54"/>
    </row>
    <row r="26049" spans="31:31">
      <c r="AE26049" s="54"/>
    </row>
    <row r="26050" spans="31:31">
      <c r="AE26050" s="54"/>
    </row>
    <row r="26051" spans="31:31">
      <c r="AE26051" s="54"/>
    </row>
    <row r="26052" spans="31:31">
      <c r="AE26052" s="54"/>
    </row>
    <row r="26053" spans="31:31">
      <c r="AE26053" s="54"/>
    </row>
    <row r="26054" spans="31:31">
      <c r="AE26054" s="54"/>
    </row>
    <row r="26055" spans="31:31">
      <c r="AE26055" s="54"/>
    </row>
    <row r="26056" spans="31:31">
      <c r="AE26056" s="54"/>
    </row>
    <row r="26057" spans="31:31">
      <c r="AE26057" s="54"/>
    </row>
    <row r="26058" spans="31:31">
      <c r="AE26058" s="54"/>
    </row>
    <row r="26059" spans="31:31">
      <c r="AE26059" s="54"/>
    </row>
    <row r="26060" spans="31:31">
      <c r="AE26060" s="54"/>
    </row>
    <row r="26061" spans="31:31">
      <c r="AE26061" s="54"/>
    </row>
    <row r="26062" spans="31:31">
      <c r="AE26062" s="54"/>
    </row>
    <row r="26063" spans="31:31">
      <c r="AE26063" s="54"/>
    </row>
    <row r="26064" spans="31:31">
      <c r="AE26064" s="54"/>
    </row>
    <row r="26065" spans="31:31">
      <c r="AE26065" s="54"/>
    </row>
    <row r="26066" spans="31:31">
      <c r="AE26066" s="54"/>
    </row>
    <row r="26067" spans="31:31">
      <c r="AE26067" s="54"/>
    </row>
    <row r="26068" spans="31:31">
      <c r="AE26068" s="54"/>
    </row>
    <row r="26069" spans="31:31">
      <c r="AE26069" s="54"/>
    </row>
    <row r="26070" spans="31:31">
      <c r="AE26070" s="54"/>
    </row>
    <row r="26071" spans="31:31">
      <c r="AE26071" s="54"/>
    </row>
    <row r="26072" spans="31:31">
      <c r="AE26072" s="54"/>
    </row>
    <row r="26073" spans="31:31">
      <c r="AE26073" s="54"/>
    </row>
    <row r="26074" spans="31:31">
      <c r="AE26074" s="54"/>
    </row>
    <row r="26075" spans="31:31">
      <c r="AE26075" s="54"/>
    </row>
    <row r="26076" spans="31:31">
      <c r="AE26076" s="54"/>
    </row>
    <row r="26077" spans="31:31">
      <c r="AE26077" s="54"/>
    </row>
    <row r="26078" spans="31:31">
      <c r="AE26078" s="54"/>
    </row>
    <row r="26079" spans="31:31">
      <c r="AE26079" s="54"/>
    </row>
    <row r="26080" spans="31:31">
      <c r="AE26080" s="54"/>
    </row>
    <row r="26081" spans="31:31">
      <c r="AE26081" s="54"/>
    </row>
    <row r="26082" spans="31:31">
      <c r="AE26082" s="54"/>
    </row>
    <row r="26083" spans="31:31">
      <c r="AE26083" s="54"/>
    </row>
    <row r="26084" spans="31:31">
      <c r="AE26084" s="54"/>
    </row>
    <row r="26085" spans="31:31">
      <c r="AE26085" s="54"/>
    </row>
    <row r="26086" spans="31:31">
      <c r="AE26086" s="54"/>
    </row>
    <row r="26087" spans="31:31">
      <c r="AE26087" s="54"/>
    </row>
    <row r="26088" spans="31:31">
      <c r="AE26088" s="54"/>
    </row>
    <row r="26089" spans="31:31">
      <c r="AE26089" s="54"/>
    </row>
    <row r="26090" spans="31:31">
      <c r="AE26090" s="54"/>
    </row>
    <row r="26091" spans="31:31">
      <c r="AE26091" s="54"/>
    </row>
    <row r="26092" spans="31:31">
      <c r="AE26092" s="54"/>
    </row>
    <row r="26093" spans="31:31">
      <c r="AE26093" s="54"/>
    </row>
    <row r="26094" spans="31:31">
      <c r="AE26094" s="54"/>
    </row>
    <row r="26095" spans="31:31">
      <c r="AE26095" s="54"/>
    </row>
    <row r="26096" spans="31:31">
      <c r="AE26096" s="54"/>
    </row>
    <row r="26097" spans="31:31">
      <c r="AE26097" s="54"/>
    </row>
    <row r="26098" spans="31:31">
      <c r="AE26098" s="54"/>
    </row>
    <row r="26099" spans="31:31">
      <c r="AE26099" s="54"/>
    </row>
    <row r="26100" spans="31:31">
      <c r="AE26100" s="54"/>
    </row>
    <row r="26101" spans="31:31">
      <c r="AE26101" s="54"/>
    </row>
    <row r="26102" spans="31:31">
      <c r="AE26102" s="54"/>
    </row>
    <row r="26103" spans="31:31">
      <c r="AE26103" s="54"/>
    </row>
    <row r="26104" spans="31:31">
      <c r="AE26104" s="54"/>
    </row>
    <row r="26105" spans="31:31">
      <c r="AE26105" s="54"/>
    </row>
    <row r="26106" spans="31:31">
      <c r="AE26106" s="54"/>
    </row>
    <row r="26107" spans="31:31">
      <c r="AE26107" s="54"/>
    </row>
    <row r="26108" spans="31:31">
      <c r="AE26108" s="54"/>
    </row>
    <row r="26109" spans="31:31">
      <c r="AE26109" s="54"/>
    </row>
    <row r="26110" spans="31:31">
      <c r="AE26110" s="54"/>
    </row>
    <row r="26111" spans="31:31">
      <c r="AE26111" s="54"/>
    </row>
    <row r="26112" spans="31:31">
      <c r="AE26112" s="54"/>
    </row>
    <row r="26113" spans="31:31">
      <c r="AE26113" s="54"/>
    </row>
    <row r="26114" spans="31:31">
      <c r="AE26114" s="54"/>
    </row>
    <row r="26115" spans="31:31">
      <c r="AE26115" s="54"/>
    </row>
    <row r="26116" spans="31:31">
      <c r="AE26116" s="54"/>
    </row>
    <row r="26117" spans="31:31">
      <c r="AE26117" s="54"/>
    </row>
    <row r="26118" spans="31:31">
      <c r="AE26118" s="54"/>
    </row>
    <row r="26119" spans="31:31">
      <c r="AE26119" s="54"/>
    </row>
    <row r="26120" spans="31:31">
      <c r="AE26120" s="54"/>
    </row>
    <row r="26121" spans="31:31">
      <c r="AE26121" s="54"/>
    </row>
    <row r="26122" spans="31:31">
      <c r="AE26122" s="54"/>
    </row>
    <row r="26123" spans="31:31">
      <c r="AE26123" s="54"/>
    </row>
    <row r="26124" spans="31:31">
      <c r="AE26124" s="54"/>
    </row>
    <row r="26125" spans="31:31">
      <c r="AE26125" s="54"/>
    </row>
    <row r="26126" spans="31:31">
      <c r="AE26126" s="54"/>
    </row>
    <row r="26127" spans="31:31">
      <c r="AE26127" s="54"/>
    </row>
    <row r="26128" spans="31:31">
      <c r="AE26128" s="54"/>
    </row>
    <row r="26129" spans="31:31">
      <c r="AE26129" s="54"/>
    </row>
    <row r="26130" spans="31:31">
      <c r="AE26130" s="54"/>
    </row>
    <row r="26131" spans="31:31">
      <c r="AE26131" s="54"/>
    </row>
    <row r="26132" spans="31:31">
      <c r="AE26132" s="54"/>
    </row>
    <row r="26133" spans="31:31">
      <c r="AE26133" s="54"/>
    </row>
    <row r="26134" spans="31:31">
      <c r="AE26134" s="54"/>
    </row>
    <row r="26135" spans="31:31">
      <c r="AE26135" s="54"/>
    </row>
    <row r="26136" spans="31:31">
      <c r="AE26136" s="54"/>
    </row>
    <row r="26137" spans="31:31">
      <c r="AE26137" s="54"/>
    </row>
    <row r="26138" spans="31:31">
      <c r="AE26138" s="54"/>
    </row>
    <row r="26139" spans="31:31">
      <c r="AE26139" s="54"/>
    </row>
    <row r="26140" spans="31:31">
      <c r="AE26140" s="54"/>
    </row>
    <row r="26141" spans="31:31">
      <c r="AE26141" s="54"/>
    </row>
    <row r="26142" spans="31:31">
      <c r="AE26142" s="54"/>
    </row>
    <row r="26143" spans="31:31">
      <c r="AE26143" s="54"/>
    </row>
    <row r="26144" spans="31:31">
      <c r="AE26144" s="54"/>
    </row>
    <row r="26145" spans="31:31">
      <c r="AE26145" s="54"/>
    </row>
    <row r="26146" spans="31:31">
      <c r="AE26146" s="54"/>
    </row>
    <row r="26147" spans="31:31">
      <c r="AE26147" s="54"/>
    </row>
    <row r="26148" spans="31:31">
      <c r="AE26148" s="54"/>
    </row>
    <row r="26149" spans="31:31">
      <c r="AE26149" s="54"/>
    </row>
    <row r="26150" spans="31:31">
      <c r="AE26150" s="54"/>
    </row>
    <row r="26151" spans="31:31">
      <c r="AE26151" s="54"/>
    </row>
    <row r="26152" spans="31:31">
      <c r="AE26152" s="54"/>
    </row>
    <row r="26153" spans="31:31">
      <c r="AE26153" s="54"/>
    </row>
    <row r="26154" spans="31:31">
      <c r="AE26154" s="54"/>
    </row>
    <row r="26155" spans="31:31">
      <c r="AE26155" s="54"/>
    </row>
    <row r="26156" spans="31:31">
      <c r="AE26156" s="54"/>
    </row>
    <row r="26157" spans="31:31">
      <c r="AE26157" s="54"/>
    </row>
    <row r="26158" spans="31:31">
      <c r="AE26158" s="54"/>
    </row>
    <row r="26159" spans="31:31">
      <c r="AE26159" s="54"/>
    </row>
    <row r="26160" spans="31:31">
      <c r="AE26160" s="54"/>
    </row>
    <row r="26161" spans="31:31">
      <c r="AE26161" s="54"/>
    </row>
    <row r="26162" spans="31:31">
      <c r="AE26162" s="54"/>
    </row>
    <row r="26163" spans="31:31">
      <c r="AE26163" s="54"/>
    </row>
    <row r="26164" spans="31:31">
      <c r="AE26164" s="54"/>
    </row>
    <row r="26165" spans="31:31">
      <c r="AE26165" s="54"/>
    </row>
    <row r="26166" spans="31:31">
      <c r="AE26166" s="54"/>
    </row>
    <row r="26167" spans="31:31">
      <c r="AE26167" s="54"/>
    </row>
    <row r="26168" spans="31:31">
      <c r="AE26168" s="54"/>
    </row>
    <row r="26169" spans="31:31">
      <c r="AE26169" s="54"/>
    </row>
    <row r="26170" spans="31:31">
      <c r="AE26170" s="54"/>
    </row>
    <row r="26171" spans="31:31">
      <c r="AE26171" s="54"/>
    </row>
    <row r="26172" spans="31:31">
      <c r="AE26172" s="54"/>
    </row>
    <row r="26173" spans="31:31">
      <c r="AE26173" s="54"/>
    </row>
    <row r="26174" spans="31:31">
      <c r="AE26174" s="54"/>
    </row>
    <row r="26175" spans="31:31">
      <c r="AE26175" s="54"/>
    </row>
    <row r="26176" spans="31:31">
      <c r="AE26176" s="54"/>
    </row>
    <row r="26177" spans="31:31">
      <c r="AE26177" s="54"/>
    </row>
    <row r="26178" spans="31:31">
      <c r="AE26178" s="54"/>
    </row>
    <row r="26179" spans="31:31">
      <c r="AE26179" s="54"/>
    </row>
    <row r="26180" spans="31:31">
      <c r="AE26180" s="54"/>
    </row>
    <row r="26181" spans="31:31">
      <c r="AE26181" s="54"/>
    </row>
    <row r="26182" spans="31:31">
      <c r="AE26182" s="54"/>
    </row>
    <row r="26183" spans="31:31">
      <c r="AE26183" s="54"/>
    </row>
    <row r="26184" spans="31:31">
      <c r="AE26184" s="54"/>
    </row>
    <row r="26185" spans="31:31">
      <c r="AE26185" s="54"/>
    </row>
    <row r="26186" spans="31:31">
      <c r="AE26186" s="54"/>
    </row>
    <row r="26187" spans="31:31">
      <c r="AE26187" s="54"/>
    </row>
    <row r="26188" spans="31:31">
      <c r="AE26188" s="54"/>
    </row>
    <row r="26189" spans="31:31">
      <c r="AE26189" s="54"/>
    </row>
    <row r="26190" spans="31:31">
      <c r="AE26190" s="54"/>
    </row>
    <row r="26191" spans="31:31">
      <c r="AE26191" s="54"/>
    </row>
    <row r="26192" spans="31:31">
      <c r="AE26192" s="54"/>
    </row>
    <row r="26193" spans="31:31">
      <c r="AE26193" s="54"/>
    </row>
    <row r="26194" spans="31:31">
      <c r="AE26194" s="54"/>
    </row>
    <row r="26195" spans="31:31">
      <c r="AE26195" s="54"/>
    </row>
    <row r="26196" spans="31:31">
      <c r="AE26196" s="54"/>
    </row>
    <row r="26197" spans="31:31">
      <c r="AE26197" s="54"/>
    </row>
    <row r="26198" spans="31:31">
      <c r="AE26198" s="54"/>
    </row>
    <row r="26199" spans="31:31">
      <c r="AE26199" s="54"/>
    </row>
    <row r="26200" spans="31:31">
      <c r="AE26200" s="54"/>
    </row>
    <row r="26201" spans="31:31">
      <c r="AE26201" s="54"/>
    </row>
    <row r="26202" spans="31:31">
      <c r="AE26202" s="54"/>
    </row>
    <row r="26203" spans="31:31">
      <c r="AE26203" s="54"/>
    </row>
    <row r="26204" spans="31:31">
      <c r="AE26204" s="54"/>
    </row>
    <row r="26205" spans="31:31">
      <c r="AE26205" s="54"/>
    </row>
    <row r="26206" spans="31:31">
      <c r="AE26206" s="54"/>
    </row>
    <row r="26207" spans="31:31">
      <c r="AE26207" s="54"/>
    </row>
    <row r="26208" spans="31:31">
      <c r="AE26208" s="54"/>
    </row>
    <row r="26209" spans="31:31">
      <c r="AE26209" s="54"/>
    </row>
    <row r="26210" spans="31:31">
      <c r="AE26210" s="54"/>
    </row>
    <row r="26211" spans="31:31">
      <c r="AE26211" s="54"/>
    </row>
    <row r="26212" spans="31:31">
      <c r="AE26212" s="54"/>
    </row>
    <row r="26213" spans="31:31">
      <c r="AE26213" s="54"/>
    </row>
    <row r="26214" spans="31:31">
      <c r="AE26214" s="54"/>
    </row>
    <row r="26215" spans="31:31">
      <c r="AE26215" s="54"/>
    </row>
    <row r="26216" spans="31:31">
      <c r="AE26216" s="54"/>
    </row>
    <row r="26217" spans="31:31">
      <c r="AE26217" s="54"/>
    </row>
    <row r="26218" spans="31:31">
      <c r="AE26218" s="54"/>
    </row>
    <row r="26219" spans="31:31">
      <c r="AE26219" s="54"/>
    </row>
    <row r="26220" spans="31:31">
      <c r="AE26220" s="54"/>
    </row>
    <row r="26221" spans="31:31">
      <c r="AE26221" s="54"/>
    </row>
    <row r="26222" spans="31:31">
      <c r="AE26222" s="54"/>
    </row>
    <row r="26223" spans="31:31">
      <c r="AE26223" s="54"/>
    </row>
    <row r="26224" spans="31:31">
      <c r="AE26224" s="54"/>
    </row>
    <row r="26225" spans="31:31">
      <c r="AE26225" s="54"/>
    </row>
    <row r="26226" spans="31:31">
      <c r="AE26226" s="54"/>
    </row>
    <row r="26227" spans="31:31">
      <c r="AE26227" s="54"/>
    </row>
    <row r="26228" spans="31:31">
      <c r="AE26228" s="54"/>
    </row>
    <row r="26229" spans="31:31">
      <c r="AE26229" s="54"/>
    </row>
    <row r="26230" spans="31:31">
      <c r="AE26230" s="54"/>
    </row>
    <row r="26231" spans="31:31">
      <c r="AE26231" s="54"/>
    </row>
    <row r="26232" spans="31:31">
      <c r="AE26232" s="54"/>
    </row>
    <row r="26233" spans="31:31">
      <c r="AE26233" s="54"/>
    </row>
    <row r="26234" spans="31:31">
      <c r="AE26234" s="54"/>
    </row>
    <row r="26235" spans="31:31">
      <c r="AE26235" s="54"/>
    </row>
    <row r="26236" spans="31:31">
      <c r="AE26236" s="54"/>
    </row>
    <row r="26237" spans="31:31">
      <c r="AE26237" s="54"/>
    </row>
    <row r="26238" spans="31:31">
      <c r="AE26238" s="54"/>
    </row>
    <row r="26239" spans="31:31">
      <c r="AE26239" s="54"/>
    </row>
    <row r="26240" spans="31:31">
      <c r="AE26240" s="54"/>
    </row>
    <row r="26241" spans="31:31">
      <c r="AE26241" s="54"/>
    </row>
    <row r="26242" spans="31:31">
      <c r="AE26242" s="54"/>
    </row>
    <row r="26243" spans="31:31">
      <c r="AE26243" s="54"/>
    </row>
    <row r="26244" spans="31:31">
      <c r="AE26244" s="54"/>
    </row>
    <row r="26245" spans="31:31">
      <c r="AE26245" s="54"/>
    </row>
    <row r="26246" spans="31:31">
      <c r="AE26246" s="54"/>
    </row>
    <row r="26247" spans="31:31">
      <c r="AE26247" s="54"/>
    </row>
    <row r="26248" spans="31:31">
      <c r="AE26248" s="54"/>
    </row>
    <row r="26249" spans="31:31">
      <c r="AE26249" s="54"/>
    </row>
    <row r="26250" spans="31:31">
      <c r="AE26250" s="54"/>
    </row>
    <row r="26251" spans="31:31">
      <c r="AE26251" s="54"/>
    </row>
    <row r="26252" spans="31:31">
      <c r="AE26252" s="54"/>
    </row>
    <row r="26253" spans="31:31">
      <c r="AE26253" s="54"/>
    </row>
    <row r="26254" spans="31:31">
      <c r="AE26254" s="54"/>
    </row>
    <row r="26255" spans="31:31">
      <c r="AE26255" s="54"/>
    </row>
    <row r="26256" spans="31:31">
      <c r="AE26256" s="54"/>
    </row>
    <row r="26257" spans="31:31">
      <c r="AE26257" s="54"/>
    </row>
    <row r="26258" spans="31:31">
      <c r="AE26258" s="54"/>
    </row>
    <row r="26259" spans="31:31">
      <c r="AE26259" s="54"/>
    </row>
    <row r="26260" spans="31:31">
      <c r="AE26260" s="54"/>
    </row>
    <row r="26261" spans="31:31">
      <c r="AE26261" s="54"/>
    </row>
    <row r="26262" spans="31:31">
      <c r="AE26262" s="54"/>
    </row>
    <row r="26263" spans="31:31">
      <c r="AE26263" s="54"/>
    </row>
    <row r="26264" spans="31:31">
      <c r="AE26264" s="54"/>
    </row>
    <row r="26265" spans="31:31">
      <c r="AE26265" s="54"/>
    </row>
    <row r="26266" spans="31:31">
      <c r="AE26266" s="54"/>
    </row>
    <row r="26267" spans="31:31">
      <c r="AE26267" s="54"/>
    </row>
    <row r="26268" spans="31:31">
      <c r="AE26268" s="54"/>
    </row>
    <row r="26269" spans="31:31">
      <c r="AE26269" s="54"/>
    </row>
    <row r="26270" spans="31:31">
      <c r="AE26270" s="54"/>
    </row>
    <row r="26271" spans="31:31">
      <c r="AE26271" s="54"/>
    </row>
    <row r="26272" spans="31:31">
      <c r="AE26272" s="54"/>
    </row>
    <row r="26273" spans="31:31">
      <c r="AE26273" s="54"/>
    </row>
    <row r="26274" spans="31:31">
      <c r="AE26274" s="54"/>
    </row>
    <row r="26275" spans="31:31">
      <c r="AE26275" s="54"/>
    </row>
    <row r="26276" spans="31:31">
      <c r="AE26276" s="54"/>
    </row>
    <row r="26277" spans="31:31">
      <c r="AE26277" s="54"/>
    </row>
    <row r="26278" spans="31:31">
      <c r="AE26278" s="54"/>
    </row>
    <row r="26279" spans="31:31">
      <c r="AE26279" s="54"/>
    </row>
    <row r="26280" spans="31:31">
      <c r="AE26280" s="54"/>
    </row>
    <row r="26281" spans="31:31">
      <c r="AE26281" s="54"/>
    </row>
    <row r="26282" spans="31:31">
      <c r="AE26282" s="54"/>
    </row>
    <row r="26283" spans="31:31">
      <c r="AE26283" s="54"/>
    </row>
    <row r="26284" spans="31:31">
      <c r="AE26284" s="54"/>
    </row>
    <row r="26285" spans="31:31">
      <c r="AE26285" s="54"/>
    </row>
    <row r="26286" spans="31:31">
      <c r="AE26286" s="54"/>
    </row>
    <row r="26287" spans="31:31">
      <c r="AE26287" s="54"/>
    </row>
    <row r="26288" spans="31:31">
      <c r="AE26288" s="54"/>
    </row>
    <row r="26289" spans="31:31">
      <c r="AE26289" s="54"/>
    </row>
    <row r="26290" spans="31:31">
      <c r="AE26290" s="54"/>
    </row>
    <row r="26291" spans="31:31">
      <c r="AE26291" s="54"/>
    </row>
    <row r="26292" spans="31:31">
      <c r="AE26292" s="54"/>
    </row>
    <row r="26293" spans="31:31">
      <c r="AE26293" s="54"/>
    </row>
    <row r="26294" spans="31:31">
      <c r="AE26294" s="54"/>
    </row>
    <row r="26295" spans="31:31">
      <c r="AE26295" s="54"/>
    </row>
    <row r="26296" spans="31:31">
      <c r="AE26296" s="54"/>
    </row>
    <row r="26297" spans="31:31">
      <c r="AE26297" s="54"/>
    </row>
    <row r="26298" spans="31:31">
      <c r="AE26298" s="54"/>
    </row>
    <row r="26299" spans="31:31">
      <c r="AE26299" s="54"/>
    </row>
    <row r="26300" spans="31:31">
      <c r="AE26300" s="54"/>
    </row>
    <row r="26301" spans="31:31">
      <c r="AE26301" s="54"/>
    </row>
    <row r="26302" spans="31:31">
      <c r="AE26302" s="54"/>
    </row>
    <row r="26303" spans="31:31">
      <c r="AE26303" s="54"/>
    </row>
    <row r="26304" spans="31:31">
      <c r="AE26304" s="54"/>
    </row>
    <row r="26305" spans="31:31">
      <c r="AE26305" s="54"/>
    </row>
    <row r="26306" spans="31:31">
      <c r="AE26306" s="54"/>
    </row>
    <row r="26307" spans="31:31">
      <c r="AE26307" s="54"/>
    </row>
    <row r="26308" spans="31:31">
      <c r="AE26308" s="54"/>
    </row>
    <row r="26309" spans="31:31">
      <c r="AE26309" s="54"/>
    </row>
    <row r="26310" spans="31:31">
      <c r="AE26310" s="54"/>
    </row>
    <row r="26311" spans="31:31">
      <c r="AE26311" s="54"/>
    </row>
    <row r="26312" spans="31:31">
      <c r="AE26312" s="54"/>
    </row>
    <row r="26313" spans="31:31">
      <c r="AE26313" s="54"/>
    </row>
    <row r="26314" spans="31:31">
      <c r="AE26314" s="54"/>
    </row>
    <row r="26315" spans="31:31">
      <c r="AE26315" s="54"/>
    </row>
    <row r="26316" spans="31:31">
      <c r="AE26316" s="54"/>
    </row>
    <row r="26317" spans="31:31">
      <c r="AE26317" s="54"/>
    </row>
    <row r="26318" spans="31:31">
      <c r="AE26318" s="54"/>
    </row>
    <row r="26319" spans="31:31">
      <c r="AE26319" s="54"/>
    </row>
    <row r="26320" spans="31:31">
      <c r="AE26320" s="54"/>
    </row>
    <row r="26321" spans="31:31">
      <c r="AE26321" s="54"/>
    </row>
    <row r="26322" spans="31:31">
      <c r="AE26322" s="54"/>
    </row>
    <row r="26323" spans="31:31">
      <c r="AE26323" s="54"/>
    </row>
    <row r="26324" spans="31:31">
      <c r="AE26324" s="54"/>
    </row>
    <row r="26325" spans="31:31">
      <c r="AE26325" s="54"/>
    </row>
    <row r="26326" spans="31:31">
      <c r="AE26326" s="54"/>
    </row>
    <row r="26327" spans="31:31">
      <c r="AE26327" s="54"/>
    </row>
    <row r="26328" spans="31:31">
      <c r="AE26328" s="54"/>
    </row>
    <row r="26329" spans="31:31">
      <c r="AE26329" s="54"/>
    </row>
    <row r="26330" spans="31:31">
      <c r="AE26330" s="54"/>
    </row>
    <row r="26331" spans="31:31">
      <c r="AE26331" s="54"/>
    </row>
    <row r="26332" spans="31:31">
      <c r="AE26332" s="54"/>
    </row>
    <row r="26333" spans="31:31">
      <c r="AE26333" s="54"/>
    </row>
    <row r="26334" spans="31:31">
      <c r="AE26334" s="54"/>
    </row>
    <row r="26335" spans="31:31">
      <c r="AE26335" s="54"/>
    </row>
    <row r="26336" spans="31:31">
      <c r="AE26336" s="54"/>
    </row>
    <row r="26337" spans="31:31">
      <c r="AE26337" s="54"/>
    </row>
    <row r="26338" spans="31:31">
      <c r="AE26338" s="54"/>
    </row>
    <row r="26339" spans="31:31">
      <c r="AE26339" s="54"/>
    </row>
    <row r="26340" spans="31:31">
      <c r="AE26340" s="54"/>
    </row>
    <row r="26341" spans="31:31">
      <c r="AE26341" s="54"/>
    </row>
    <row r="26342" spans="31:31">
      <c r="AE26342" s="54"/>
    </row>
    <row r="26343" spans="31:31">
      <c r="AE26343" s="54"/>
    </row>
    <row r="26344" spans="31:31">
      <c r="AE26344" s="54"/>
    </row>
    <row r="26345" spans="31:31">
      <c r="AE26345" s="54"/>
    </row>
    <row r="26346" spans="31:31">
      <c r="AE26346" s="54"/>
    </row>
    <row r="26347" spans="31:31">
      <c r="AE26347" s="54"/>
    </row>
    <row r="26348" spans="31:31">
      <c r="AE26348" s="54"/>
    </row>
    <row r="26349" spans="31:31">
      <c r="AE26349" s="54"/>
    </row>
    <row r="26350" spans="31:31">
      <c r="AE26350" s="54"/>
    </row>
    <row r="26351" spans="31:31">
      <c r="AE26351" s="54"/>
    </row>
    <row r="26352" spans="31:31">
      <c r="AE26352" s="54"/>
    </row>
    <row r="26353" spans="31:31">
      <c r="AE26353" s="54"/>
    </row>
    <row r="26354" spans="31:31">
      <c r="AE26354" s="54"/>
    </row>
    <row r="26355" spans="31:31">
      <c r="AE26355" s="54"/>
    </row>
    <row r="26356" spans="31:31">
      <c r="AE26356" s="54"/>
    </row>
    <row r="26357" spans="31:31">
      <c r="AE26357" s="54"/>
    </row>
    <row r="26358" spans="31:31">
      <c r="AE26358" s="54"/>
    </row>
    <row r="26359" spans="31:31">
      <c r="AE26359" s="54"/>
    </row>
    <row r="26360" spans="31:31">
      <c r="AE26360" s="54"/>
    </row>
    <row r="26361" spans="31:31">
      <c r="AE26361" s="54"/>
    </row>
    <row r="26362" spans="31:31">
      <c r="AE26362" s="54"/>
    </row>
    <row r="26363" spans="31:31">
      <c r="AE26363" s="54"/>
    </row>
    <row r="26364" spans="31:31">
      <c r="AE26364" s="54"/>
    </row>
    <row r="26365" spans="31:31">
      <c r="AE26365" s="54"/>
    </row>
    <row r="26366" spans="31:31">
      <c r="AE26366" s="54"/>
    </row>
    <row r="26367" spans="31:31">
      <c r="AE26367" s="54"/>
    </row>
    <row r="26368" spans="31:31">
      <c r="AE26368" s="54"/>
    </row>
    <row r="26369" spans="31:31">
      <c r="AE26369" s="54"/>
    </row>
    <row r="26370" spans="31:31">
      <c r="AE26370" s="54"/>
    </row>
    <row r="26371" spans="31:31">
      <c r="AE26371" s="54"/>
    </row>
    <row r="26372" spans="31:31">
      <c r="AE26372" s="54"/>
    </row>
    <row r="26373" spans="31:31">
      <c r="AE26373" s="54"/>
    </row>
    <row r="26374" spans="31:31">
      <c r="AE26374" s="54"/>
    </row>
    <row r="26375" spans="31:31">
      <c r="AE26375" s="54"/>
    </row>
    <row r="26376" spans="31:31">
      <c r="AE26376" s="54"/>
    </row>
    <row r="26377" spans="31:31">
      <c r="AE26377" s="54"/>
    </row>
    <row r="26378" spans="31:31">
      <c r="AE26378" s="54"/>
    </row>
    <row r="26379" spans="31:31">
      <c r="AE26379" s="54"/>
    </row>
    <row r="26380" spans="31:31">
      <c r="AE26380" s="54"/>
    </row>
    <row r="26381" spans="31:31">
      <c r="AE26381" s="54"/>
    </row>
    <row r="26382" spans="31:31">
      <c r="AE26382" s="54"/>
    </row>
    <row r="26383" spans="31:31">
      <c r="AE26383" s="54"/>
    </row>
    <row r="26384" spans="31:31">
      <c r="AE26384" s="54"/>
    </row>
    <row r="26385" spans="31:31">
      <c r="AE26385" s="54"/>
    </row>
    <row r="26386" spans="31:31">
      <c r="AE26386" s="54"/>
    </row>
    <row r="26387" spans="31:31">
      <c r="AE26387" s="54"/>
    </row>
    <row r="26388" spans="31:31">
      <c r="AE26388" s="54"/>
    </row>
    <row r="26389" spans="31:31">
      <c r="AE26389" s="54"/>
    </row>
    <row r="26390" spans="31:31">
      <c r="AE26390" s="54"/>
    </row>
    <row r="26391" spans="31:31">
      <c r="AE26391" s="54"/>
    </row>
    <row r="26392" spans="31:31">
      <c r="AE26392" s="54"/>
    </row>
    <row r="26393" spans="31:31">
      <c r="AE26393" s="54"/>
    </row>
    <row r="26394" spans="31:31">
      <c r="AE26394" s="54"/>
    </row>
    <row r="26395" spans="31:31">
      <c r="AE26395" s="54"/>
    </row>
    <row r="26396" spans="31:31">
      <c r="AE26396" s="54"/>
    </row>
    <row r="26397" spans="31:31">
      <c r="AE26397" s="54"/>
    </row>
    <row r="26398" spans="31:31">
      <c r="AE26398" s="54"/>
    </row>
    <row r="26399" spans="31:31">
      <c r="AE26399" s="54"/>
    </row>
    <row r="26400" spans="31:31">
      <c r="AE26400" s="54"/>
    </row>
    <row r="26401" spans="31:31">
      <c r="AE26401" s="54"/>
    </row>
    <row r="26402" spans="31:31">
      <c r="AE26402" s="54"/>
    </row>
    <row r="26403" spans="31:31">
      <c r="AE26403" s="54"/>
    </row>
    <row r="26404" spans="31:31">
      <c r="AE26404" s="54"/>
    </row>
    <row r="26405" spans="31:31">
      <c r="AE26405" s="54"/>
    </row>
    <row r="26406" spans="31:31">
      <c r="AE26406" s="54"/>
    </row>
    <row r="26407" spans="31:31">
      <c r="AE26407" s="54"/>
    </row>
    <row r="26408" spans="31:31">
      <c r="AE26408" s="54"/>
    </row>
    <row r="26409" spans="31:31">
      <c r="AE26409" s="54"/>
    </row>
    <row r="26410" spans="31:31">
      <c r="AE26410" s="54"/>
    </row>
    <row r="26411" spans="31:31">
      <c r="AE26411" s="54"/>
    </row>
    <row r="26412" spans="31:31">
      <c r="AE26412" s="54"/>
    </row>
    <row r="26413" spans="31:31">
      <c r="AE26413" s="54"/>
    </row>
    <row r="26414" spans="31:31">
      <c r="AE26414" s="54"/>
    </row>
    <row r="26415" spans="31:31">
      <c r="AE26415" s="54"/>
    </row>
    <row r="26416" spans="31:31">
      <c r="AE26416" s="54"/>
    </row>
    <row r="26417" spans="31:31">
      <c r="AE26417" s="54"/>
    </row>
    <row r="26418" spans="31:31">
      <c r="AE26418" s="54"/>
    </row>
    <row r="26419" spans="31:31">
      <c r="AE26419" s="54"/>
    </row>
    <row r="26420" spans="31:31">
      <c r="AE26420" s="54"/>
    </row>
    <row r="26421" spans="31:31">
      <c r="AE26421" s="54"/>
    </row>
    <row r="26422" spans="31:31">
      <c r="AE26422" s="54"/>
    </row>
    <row r="26423" spans="31:31">
      <c r="AE26423" s="54"/>
    </row>
    <row r="26424" spans="31:31">
      <c r="AE26424" s="54"/>
    </row>
    <row r="26425" spans="31:31">
      <c r="AE26425" s="54"/>
    </row>
    <row r="26426" spans="31:31">
      <c r="AE26426" s="54"/>
    </row>
    <row r="26427" spans="31:31">
      <c r="AE26427" s="54"/>
    </row>
    <row r="26428" spans="31:31">
      <c r="AE26428" s="54"/>
    </row>
    <row r="26429" spans="31:31">
      <c r="AE26429" s="54"/>
    </row>
    <row r="26430" spans="31:31">
      <c r="AE26430" s="54"/>
    </row>
    <row r="26431" spans="31:31">
      <c r="AE26431" s="54"/>
    </row>
    <row r="26432" spans="31:31">
      <c r="AE26432" s="54"/>
    </row>
    <row r="26433" spans="31:31">
      <c r="AE26433" s="54"/>
    </row>
    <row r="26434" spans="31:31">
      <c r="AE26434" s="54"/>
    </row>
    <row r="26435" spans="31:31">
      <c r="AE26435" s="54"/>
    </row>
    <row r="26436" spans="31:31">
      <c r="AE26436" s="54"/>
    </row>
    <row r="26437" spans="31:31">
      <c r="AE26437" s="54"/>
    </row>
    <row r="26438" spans="31:31">
      <c r="AE26438" s="54"/>
    </row>
    <row r="26439" spans="31:31">
      <c r="AE26439" s="54"/>
    </row>
    <row r="26440" spans="31:31">
      <c r="AE26440" s="54"/>
    </row>
    <row r="26441" spans="31:31">
      <c r="AE26441" s="54"/>
    </row>
    <row r="26442" spans="31:31">
      <c r="AE26442" s="54"/>
    </row>
    <row r="26443" spans="31:31">
      <c r="AE26443" s="54"/>
    </row>
    <row r="26444" spans="31:31">
      <c r="AE26444" s="54"/>
    </row>
    <row r="26445" spans="31:31">
      <c r="AE26445" s="54"/>
    </row>
    <row r="26446" spans="31:31">
      <c r="AE26446" s="54"/>
    </row>
    <row r="26447" spans="31:31">
      <c r="AE26447" s="54"/>
    </row>
    <row r="26448" spans="31:31">
      <c r="AE26448" s="54"/>
    </row>
    <row r="26449" spans="31:31">
      <c r="AE26449" s="54"/>
    </row>
    <row r="26450" spans="31:31">
      <c r="AE26450" s="54"/>
    </row>
    <row r="26451" spans="31:31">
      <c r="AE26451" s="54"/>
    </row>
    <row r="26452" spans="31:31">
      <c r="AE26452" s="54"/>
    </row>
    <row r="26453" spans="31:31">
      <c r="AE26453" s="54"/>
    </row>
    <row r="26454" spans="31:31">
      <c r="AE26454" s="54"/>
    </row>
    <row r="26455" spans="31:31">
      <c r="AE26455" s="54"/>
    </row>
    <row r="26456" spans="31:31">
      <c r="AE26456" s="54"/>
    </row>
    <row r="26457" spans="31:31">
      <c r="AE26457" s="54"/>
    </row>
    <row r="26458" spans="31:31">
      <c r="AE26458" s="54"/>
    </row>
    <row r="26459" spans="31:31">
      <c r="AE26459" s="54"/>
    </row>
    <row r="26460" spans="31:31">
      <c r="AE26460" s="54"/>
    </row>
    <row r="26461" spans="31:31">
      <c r="AE26461" s="54"/>
    </row>
    <row r="26462" spans="31:31">
      <c r="AE26462" s="54"/>
    </row>
    <row r="26463" spans="31:31">
      <c r="AE26463" s="54"/>
    </row>
    <row r="26464" spans="31:31">
      <c r="AE26464" s="54"/>
    </row>
    <row r="26465" spans="31:31">
      <c r="AE26465" s="54"/>
    </row>
    <row r="26466" spans="31:31">
      <c r="AE26466" s="54"/>
    </row>
    <row r="26467" spans="31:31">
      <c r="AE26467" s="54"/>
    </row>
    <row r="26468" spans="31:31">
      <c r="AE26468" s="54"/>
    </row>
    <row r="26469" spans="31:31">
      <c r="AE26469" s="54"/>
    </row>
    <row r="26470" spans="31:31">
      <c r="AE26470" s="54"/>
    </row>
    <row r="26471" spans="31:31">
      <c r="AE26471" s="54"/>
    </row>
    <row r="26472" spans="31:31">
      <c r="AE26472" s="54"/>
    </row>
    <row r="26473" spans="31:31">
      <c r="AE26473" s="54"/>
    </row>
    <row r="26474" spans="31:31">
      <c r="AE26474" s="54"/>
    </row>
    <row r="26475" spans="31:31">
      <c r="AE26475" s="54"/>
    </row>
    <row r="26476" spans="31:31">
      <c r="AE26476" s="54"/>
    </row>
    <row r="26477" spans="31:31">
      <c r="AE26477" s="54"/>
    </row>
    <row r="26478" spans="31:31">
      <c r="AE26478" s="54"/>
    </row>
    <row r="26479" spans="31:31">
      <c r="AE26479" s="54"/>
    </row>
    <row r="26480" spans="31:31">
      <c r="AE26480" s="54"/>
    </row>
    <row r="26481" spans="31:31">
      <c r="AE26481" s="54"/>
    </row>
    <row r="26482" spans="31:31">
      <c r="AE26482" s="54"/>
    </row>
    <row r="26483" spans="31:31">
      <c r="AE26483" s="54"/>
    </row>
    <row r="26484" spans="31:31">
      <c r="AE26484" s="54"/>
    </row>
    <row r="26485" spans="31:31">
      <c r="AE26485" s="54"/>
    </row>
    <row r="26486" spans="31:31">
      <c r="AE26486" s="54"/>
    </row>
    <row r="26487" spans="31:31">
      <c r="AE26487" s="54"/>
    </row>
    <row r="26488" spans="31:31">
      <c r="AE26488" s="54"/>
    </row>
    <row r="26489" spans="31:31">
      <c r="AE26489" s="54"/>
    </row>
    <row r="26490" spans="31:31">
      <c r="AE26490" s="54"/>
    </row>
    <row r="26491" spans="31:31">
      <c r="AE26491" s="54"/>
    </row>
    <row r="26492" spans="31:31">
      <c r="AE26492" s="54"/>
    </row>
    <row r="26493" spans="31:31">
      <c r="AE26493" s="54"/>
    </row>
    <row r="26494" spans="31:31">
      <c r="AE26494" s="54"/>
    </row>
    <row r="26495" spans="31:31">
      <c r="AE26495" s="54"/>
    </row>
    <row r="26496" spans="31:31">
      <c r="AE26496" s="54"/>
    </row>
    <row r="26497" spans="31:31">
      <c r="AE26497" s="54"/>
    </row>
    <row r="26498" spans="31:31">
      <c r="AE26498" s="54"/>
    </row>
    <row r="26499" spans="31:31">
      <c r="AE26499" s="54"/>
    </row>
    <row r="26500" spans="31:31">
      <c r="AE26500" s="54"/>
    </row>
    <row r="26501" spans="31:31">
      <c r="AE26501" s="54"/>
    </row>
    <row r="26502" spans="31:31">
      <c r="AE26502" s="54"/>
    </row>
    <row r="26503" spans="31:31">
      <c r="AE26503" s="54"/>
    </row>
    <row r="26504" spans="31:31">
      <c r="AE26504" s="54"/>
    </row>
    <row r="26505" spans="31:31">
      <c r="AE26505" s="54"/>
    </row>
    <row r="26506" spans="31:31">
      <c r="AE26506" s="54"/>
    </row>
    <row r="26507" spans="31:31">
      <c r="AE26507" s="54"/>
    </row>
    <row r="26508" spans="31:31">
      <c r="AE26508" s="54"/>
    </row>
    <row r="26509" spans="31:31">
      <c r="AE26509" s="54"/>
    </row>
    <row r="26510" spans="31:31">
      <c r="AE26510" s="54"/>
    </row>
    <row r="26511" spans="31:31">
      <c r="AE26511" s="54"/>
    </row>
    <row r="26512" spans="31:31">
      <c r="AE26512" s="54"/>
    </row>
    <row r="26513" spans="31:31">
      <c r="AE26513" s="54"/>
    </row>
    <row r="26514" spans="31:31">
      <c r="AE26514" s="54"/>
    </row>
    <row r="26515" spans="31:31">
      <c r="AE26515" s="54"/>
    </row>
    <row r="26516" spans="31:31">
      <c r="AE26516" s="54"/>
    </row>
    <row r="26517" spans="31:31">
      <c r="AE26517" s="54"/>
    </row>
    <row r="26518" spans="31:31">
      <c r="AE26518" s="54"/>
    </row>
    <row r="26519" spans="31:31">
      <c r="AE26519" s="54"/>
    </row>
    <row r="26520" spans="31:31">
      <c r="AE26520" s="54"/>
    </row>
    <row r="26521" spans="31:31">
      <c r="AE26521" s="54"/>
    </row>
    <row r="26522" spans="31:31">
      <c r="AE26522" s="54"/>
    </row>
    <row r="26523" spans="31:31">
      <c r="AE26523" s="54"/>
    </row>
    <row r="26524" spans="31:31">
      <c r="AE26524" s="54"/>
    </row>
    <row r="26525" spans="31:31">
      <c r="AE26525" s="54"/>
    </row>
    <row r="26526" spans="31:31">
      <c r="AE26526" s="54"/>
    </row>
    <row r="26527" spans="31:31">
      <c r="AE26527" s="54"/>
    </row>
    <row r="26528" spans="31:31">
      <c r="AE26528" s="54"/>
    </row>
    <row r="26529" spans="31:31">
      <c r="AE26529" s="54"/>
    </row>
    <row r="26530" spans="31:31">
      <c r="AE26530" s="54"/>
    </row>
    <row r="26531" spans="31:31">
      <c r="AE26531" s="54"/>
    </row>
    <row r="26532" spans="31:31">
      <c r="AE26532" s="54"/>
    </row>
    <row r="26533" spans="31:31">
      <c r="AE26533" s="54"/>
    </row>
    <row r="26534" spans="31:31">
      <c r="AE26534" s="54"/>
    </row>
    <row r="26535" spans="31:31">
      <c r="AE26535" s="54"/>
    </row>
    <row r="26536" spans="31:31">
      <c r="AE26536" s="54"/>
    </row>
    <row r="26537" spans="31:31">
      <c r="AE26537" s="54"/>
    </row>
    <row r="26538" spans="31:31">
      <c r="AE26538" s="54"/>
    </row>
    <row r="26539" spans="31:31">
      <c r="AE26539" s="54"/>
    </row>
    <row r="26540" spans="31:31">
      <c r="AE26540" s="54"/>
    </row>
    <row r="26541" spans="31:31">
      <c r="AE26541" s="54"/>
    </row>
    <row r="26542" spans="31:31">
      <c r="AE26542" s="54"/>
    </row>
    <row r="26543" spans="31:31">
      <c r="AE26543" s="54"/>
    </row>
    <row r="26544" spans="31:31">
      <c r="AE26544" s="54"/>
    </row>
    <row r="26545" spans="31:31">
      <c r="AE26545" s="54"/>
    </row>
    <row r="26546" spans="31:31">
      <c r="AE26546" s="54"/>
    </row>
    <row r="26547" spans="31:31">
      <c r="AE26547" s="54"/>
    </row>
    <row r="26548" spans="31:31">
      <c r="AE26548" s="54"/>
    </row>
    <row r="26549" spans="31:31">
      <c r="AE26549" s="54"/>
    </row>
    <row r="26550" spans="31:31">
      <c r="AE26550" s="54"/>
    </row>
    <row r="26551" spans="31:31">
      <c r="AE26551" s="54"/>
    </row>
    <row r="26552" spans="31:31">
      <c r="AE26552" s="54"/>
    </row>
    <row r="26553" spans="31:31">
      <c r="AE26553" s="54"/>
    </row>
    <row r="26554" spans="31:31">
      <c r="AE26554" s="54"/>
    </row>
    <row r="26555" spans="31:31">
      <c r="AE26555" s="54"/>
    </row>
    <row r="26556" spans="31:31">
      <c r="AE26556" s="54"/>
    </row>
    <row r="26557" spans="31:31">
      <c r="AE26557" s="54"/>
    </row>
    <row r="26558" spans="31:31">
      <c r="AE26558" s="54"/>
    </row>
    <row r="26559" spans="31:31">
      <c r="AE26559" s="54"/>
    </row>
    <row r="26560" spans="31:31">
      <c r="AE26560" s="54"/>
    </row>
    <row r="26561" spans="31:31">
      <c r="AE26561" s="54"/>
    </row>
    <row r="26562" spans="31:31">
      <c r="AE26562" s="54"/>
    </row>
    <row r="26563" spans="31:31">
      <c r="AE26563" s="54"/>
    </row>
    <row r="26564" spans="31:31">
      <c r="AE26564" s="54"/>
    </row>
    <row r="26565" spans="31:31">
      <c r="AE26565" s="54"/>
    </row>
    <row r="26566" spans="31:31">
      <c r="AE26566" s="54"/>
    </row>
    <row r="26567" spans="31:31">
      <c r="AE26567" s="54"/>
    </row>
    <row r="26568" spans="31:31">
      <c r="AE26568" s="54"/>
    </row>
    <row r="26569" spans="31:31">
      <c r="AE26569" s="54"/>
    </row>
    <row r="26570" spans="31:31">
      <c r="AE26570" s="54"/>
    </row>
    <row r="26571" spans="31:31">
      <c r="AE26571" s="54"/>
    </row>
    <row r="26572" spans="31:31">
      <c r="AE26572" s="54"/>
    </row>
    <row r="26573" spans="31:31">
      <c r="AE26573" s="54"/>
    </row>
    <row r="26574" spans="31:31">
      <c r="AE26574" s="54"/>
    </row>
    <row r="26575" spans="31:31">
      <c r="AE26575" s="54"/>
    </row>
    <row r="26576" spans="31:31">
      <c r="AE26576" s="54"/>
    </row>
    <row r="26577" spans="31:31">
      <c r="AE26577" s="54"/>
    </row>
    <row r="26578" spans="31:31">
      <c r="AE26578" s="54"/>
    </row>
    <row r="26579" spans="31:31">
      <c r="AE26579" s="54"/>
    </row>
    <row r="26580" spans="31:31">
      <c r="AE26580" s="54"/>
    </row>
    <row r="26581" spans="31:31">
      <c r="AE26581" s="54"/>
    </row>
    <row r="26582" spans="31:31">
      <c r="AE26582" s="54"/>
    </row>
    <row r="26583" spans="31:31">
      <c r="AE26583" s="54"/>
    </row>
    <row r="26584" spans="31:31">
      <c r="AE26584" s="54"/>
    </row>
    <row r="26585" spans="31:31">
      <c r="AE26585" s="54"/>
    </row>
    <row r="26586" spans="31:31">
      <c r="AE26586" s="54"/>
    </row>
    <row r="26587" spans="31:31">
      <c r="AE26587" s="54"/>
    </row>
    <row r="26588" spans="31:31">
      <c r="AE26588" s="54"/>
    </row>
    <row r="26589" spans="31:31">
      <c r="AE26589" s="54"/>
    </row>
    <row r="26590" spans="31:31">
      <c r="AE26590" s="54"/>
    </row>
    <row r="26591" spans="31:31">
      <c r="AE26591" s="54"/>
    </row>
    <row r="26592" spans="31:31">
      <c r="AE26592" s="54"/>
    </row>
    <row r="26593" spans="31:31">
      <c r="AE26593" s="54"/>
    </row>
    <row r="26594" spans="31:31">
      <c r="AE26594" s="54"/>
    </row>
    <row r="26595" spans="31:31">
      <c r="AE26595" s="54"/>
    </row>
    <row r="26596" spans="31:31">
      <c r="AE26596" s="54"/>
    </row>
    <row r="26597" spans="31:31">
      <c r="AE26597" s="54"/>
    </row>
    <row r="26598" spans="31:31">
      <c r="AE26598" s="54"/>
    </row>
    <row r="26599" spans="31:31">
      <c r="AE26599" s="54"/>
    </row>
    <row r="26600" spans="31:31">
      <c r="AE26600" s="54"/>
    </row>
    <row r="26601" spans="31:31">
      <c r="AE26601" s="54"/>
    </row>
    <row r="26602" spans="31:31">
      <c r="AE26602" s="54"/>
    </row>
    <row r="26603" spans="31:31">
      <c r="AE26603" s="54"/>
    </row>
    <row r="26604" spans="31:31">
      <c r="AE26604" s="54"/>
    </row>
    <row r="26605" spans="31:31">
      <c r="AE26605" s="54"/>
    </row>
    <row r="26606" spans="31:31">
      <c r="AE26606" s="54"/>
    </row>
    <row r="26607" spans="31:31">
      <c r="AE26607" s="54"/>
    </row>
    <row r="26608" spans="31:31">
      <c r="AE26608" s="54"/>
    </row>
    <row r="26609" spans="31:31">
      <c r="AE26609" s="54"/>
    </row>
    <row r="26610" spans="31:31">
      <c r="AE26610" s="54"/>
    </row>
    <row r="26611" spans="31:31">
      <c r="AE26611" s="54"/>
    </row>
    <row r="26612" spans="31:31">
      <c r="AE26612" s="54"/>
    </row>
    <row r="26613" spans="31:31">
      <c r="AE26613" s="54"/>
    </row>
    <row r="26614" spans="31:31">
      <c r="AE26614" s="54"/>
    </row>
    <row r="26615" spans="31:31">
      <c r="AE26615" s="54"/>
    </row>
    <row r="26616" spans="31:31">
      <c r="AE26616" s="54"/>
    </row>
    <row r="26617" spans="31:31">
      <c r="AE26617" s="54"/>
    </row>
    <row r="26618" spans="31:31">
      <c r="AE26618" s="54"/>
    </row>
    <row r="26619" spans="31:31">
      <c r="AE26619" s="54"/>
    </row>
    <row r="26620" spans="31:31">
      <c r="AE26620" s="54"/>
    </row>
    <row r="26621" spans="31:31">
      <c r="AE26621" s="54"/>
    </row>
    <row r="26622" spans="31:31">
      <c r="AE26622" s="54"/>
    </row>
    <row r="26623" spans="31:31">
      <c r="AE26623" s="54"/>
    </row>
    <row r="26624" spans="31:31">
      <c r="AE26624" s="54"/>
    </row>
    <row r="26625" spans="31:31">
      <c r="AE26625" s="54"/>
    </row>
    <row r="26626" spans="31:31">
      <c r="AE26626" s="54"/>
    </row>
    <row r="26627" spans="31:31">
      <c r="AE26627" s="54"/>
    </row>
    <row r="26628" spans="31:31">
      <c r="AE26628" s="54"/>
    </row>
    <row r="26629" spans="31:31">
      <c r="AE26629" s="54"/>
    </row>
    <row r="26630" spans="31:31">
      <c r="AE26630" s="54"/>
    </row>
    <row r="26631" spans="31:31">
      <c r="AE26631" s="54"/>
    </row>
    <row r="26632" spans="31:31">
      <c r="AE26632" s="54"/>
    </row>
    <row r="26633" spans="31:31">
      <c r="AE26633" s="54"/>
    </row>
    <row r="26634" spans="31:31">
      <c r="AE26634" s="54"/>
    </row>
    <row r="26635" spans="31:31">
      <c r="AE26635" s="54"/>
    </row>
    <row r="26636" spans="31:31">
      <c r="AE26636" s="54"/>
    </row>
    <row r="26637" spans="31:31">
      <c r="AE26637" s="54"/>
    </row>
    <row r="26638" spans="31:31">
      <c r="AE26638" s="54"/>
    </row>
    <row r="26639" spans="31:31">
      <c r="AE26639" s="54"/>
    </row>
    <row r="26640" spans="31:31">
      <c r="AE26640" s="54"/>
    </row>
    <row r="26641" spans="31:31">
      <c r="AE26641" s="54"/>
    </row>
    <row r="26642" spans="31:31">
      <c r="AE26642" s="54"/>
    </row>
    <row r="26643" spans="31:31">
      <c r="AE26643" s="54"/>
    </row>
    <row r="26644" spans="31:31">
      <c r="AE26644" s="54"/>
    </row>
    <row r="26645" spans="31:31">
      <c r="AE26645" s="54"/>
    </row>
    <row r="26646" spans="31:31">
      <c r="AE26646" s="54"/>
    </row>
    <row r="26647" spans="31:31">
      <c r="AE26647" s="54"/>
    </row>
    <row r="26648" spans="31:31">
      <c r="AE26648" s="54"/>
    </row>
    <row r="26649" spans="31:31">
      <c r="AE26649" s="54"/>
    </row>
    <row r="26650" spans="31:31">
      <c r="AE26650" s="54"/>
    </row>
    <row r="26651" spans="31:31">
      <c r="AE26651" s="54"/>
    </row>
    <row r="26652" spans="31:31">
      <c r="AE26652" s="54"/>
    </row>
    <row r="26653" spans="31:31">
      <c r="AE26653" s="54"/>
    </row>
    <row r="26654" spans="31:31">
      <c r="AE26654" s="54"/>
    </row>
    <row r="26655" spans="31:31">
      <c r="AE26655" s="54"/>
    </row>
    <row r="26656" spans="31:31">
      <c r="AE26656" s="54"/>
    </row>
    <row r="26657" spans="31:31">
      <c r="AE26657" s="54"/>
    </row>
    <row r="26658" spans="31:31">
      <c r="AE26658" s="54"/>
    </row>
    <row r="26659" spans="31:31">
      <c r="AE26659" s="54"/>
    </row>
    <row r="26660" spans="31:31">
      <c r="AE26660" s="54"/>
    </row>
    <row r="26661" spans="31:31">
      <c r="AE26661" s="54"/>
    </row>
    <row r="26662" spans="31:31">
      <c r="AE26662" s="54"/>
    </row>
    <row r="26663" spans="31:31">
      <c r="AE26663" s="54"/>
    </row>
    <row r="26664" spans="31:31">
      <c r="AE26664" s="54"/>
    </row>
    <row r="26665" spans="31:31">
      <c r="AE26665" s="54"/>
    </row>
    <row r="26666" spans="31:31">
      <c r="AE26666" s="54"/>
    </row>
    <row r="26667" spans="31:31">
      <c r="AE26667" s="54"/>
    </row>
    <row r="26668" spans="31:31">
      <c r="AE26668" s="54"/>
    </row>
    <row r="26669" spans="31:31">
      <c r="AE26669" s="54"/>
    </row>
    <row r="26670" spans="31:31">
      <c r="AE26670" s="54"/>
    </row>
    <row r="26671" spans="31:31">
      <c r="AE26671" s="54"/>
    </row>
    <row r="26672" spans="31:31">
      <c r="AE26672" s="54"/>
    </row>
    <row r="26673" spans="31:31">
      <c r="AE26673" s="54"/>
    </row>
    <row r="26674" spans="31:31">
      <c r="AE26674" s="54"/>
    </row>
    <row r="26675" spans="31:31">
      <c r="AE26675" s="54"/>
    </row>
    <row r="26676" spans="31:31">
      <c r="AE26676" s="54"/>
    </row>
    <row r="26677" spans="31:31">
      <c r="AE26677" s="54"/>
    </row>
    <row r="26678" spans="31:31">
      <c r="AE26678" s="54"/>
    </row>
    <row r="26679" spans="31:31">
      <c r="AE26679" s="54"/>
    </row>
    <row r="26680" spans="31:31">
      <c r="AE26680" s="54"/>
    </row>
    <row r="26681" spans="31:31">
      <c r="AE26681" s="54"/>
    </row>
    <row r="26682" spans="31:31">
      <c r="AE26682" s="54"/>
    </row>
    <row r="26683" spans="31:31">
      <c r="AE26683" s="54"/>
    </row>
    <row r="26684" spans="31:31">
      <c r="AE26684" s="54"/>
    </row>
    <row r="26685" spans="31:31">
      <c r="AE26685" s="54"/>
    </row>
    <row r="26686" spans="31:31">
      <c r="AE26686" s="54"/>
    </row>
    <row r="26687" spans="31:31">
      <c r="AE26687" s="54"/>
    </row>
    <row r="26688" spans="31:31">
      <c r="AE26688" s="54"/>
    </row>
    <row r="26689" spans="31:31">
      <c r="AE26689" s="54"/>
    </row>
    <row r="26690" spans="31:31">
      <c r="AE26690" s="54"/>
    </row>
    <row r="26691" spans="31:31">
      <c r="AE26691" s="54"/>
    </row>
    <row r="26692" spans="31:31">
      <c r="AE26692" s="54"/>
    </row>
    <row r="26693" spans="31:31">
      <c r="AE26693" s="54"/>
    </row>
    <row r="26694" spans="31:31">
      <c r="AE26694" s="54"/>
    </row>
    <row r="26695" spans="31:31">
      <c r="AE26695" s="54"/>
    </row>
    <row r="26696" spans="31:31">
      <c r="AE26696" s="54"/>
    </row>
    <row r="26697" spans="31:31">
      <c r="AE26697" s="54"/>
    </row>
    <row r="26698" spans="31:31">
      <c r="AE26698" s="54"/>
    </row>
    <row r="26699" spans="31:31">
      <c r="AE26699" s="54"/>
    </row>
    <row r="26700" spans="31:31">
      <c r="AE26700" s="54"/>
    </row>
    <row r="26701" spans="31:31">
      <c r="AE26701" s="54"/>
    </row>
    <row r="26702" spans="31:31">
      <c r="AE26702" s="54"/>
    </row>
    <row r="26703" spans="31:31">
      <c r="AE26703" s="54"/>
    </row>
    <row r="26704" spans="31:31">
      <c r="AE26704" s="54"/>
    </row>
    <row r="26705" spans="31:31">
      <c r="AE26705" s="54"/>
    </row>
    <row r="26706" spans="31:31">
      <c r="AE26706" s="54"/>
    </row>
    <row r="26707" spans="31:31">
      <c r="AE26707" s="54"/>
    </row>
    <row r="26708" spans="31:31">
      <c r="AE26708" s="54"/>
    </row>
    <row r="26709" spans="31:31">
      <c r="AE26709" s="54"/>
    </row>
    <row r="26710" spans="31:31">
      <c r="AE26710" s="54"/>
    </row>
    <row r="26711" spans="31:31">
      <c r="AE26711" s="54"/>
    </row>
    <row r="26712" spans="31:31">
      <c r="AE26712" s="54"/>
    </row>
    <row r="26713" spans="31:31">
      <c r="AE26713" s="54"/>
    </row>
    <row r="26714" spans="31:31">
      <c r="AE26714" s="54"/>
    </row>
    <row r="26715" spans="31:31">
      <c r="AE26715" s="54"/>
    </row>
    <row r="26716" spans="31:31">
      <c r="AE26716" s="54"/>
    </row>
    <row r="26717" spans="31:31">
      <c r="AE26717" s="54"/>
    </row>
    <row r="26718" spans="31:31">
      <c r="AE26718" s="54"/>
    </row>
    <row r="26719" spans="31:31">
      <c r="AE26719" s="54"/>
    </row>
    <row r="26720" spans="31:31">
      <c r="AE26720" s="54"/>
    </row>
    <row r="26721" spans="31:31">
      <c r="AE26721" s="54"/>
    </row>
    <row r="26722" spans="31:31">
      <c r="AE26722" s="54"/>
    </row>
    <row r="26723" spans="31:31">
      <c r="AE26723" s="54"/>
    </row>
    <row r="26724" spans="31:31">
      <c r="AE26724" s="54"/>
    </row>
    <row r="26725" spans="31:31">
      <c r="AE26725" s="54"/>
    </row>
    <row r="26726" spans="31:31">
      <c r="AE26726" s="54"/>
    </row>
    <row r="26727" spans="31:31">
      <c r="AE26727" s="54"/>
    </row>
    <row r="26728" spans="31:31">
      <c r="AE26728" s="54"/>
    </row>
    <row r="26729" spans="31:31">
      <c r="AE26729" s="54"/>
    </row>
    <row r="26730" spans="31:31">
      <c r="AE26730" s="54"/>
    </row>
    <row r="26731" spans="31:31">
      <c r="AE26731" s="54"/>
    </row>
    <row r="26732" spans="31:31">
      <c r="AE26732" s="54"/>
    </row>
    <row r="26733" spans="31:31">
      <c r="AE26733" s="54"/>
    </row>
    <row r="26734" spans="31:31">
      <c r="AE26734" s="54"/>
    </row>
    <row r="26735" spans="31:31">
      <c r="AE26735" s="54"/>
    </row>
    <row r="26736" spans="31:31">
      <c r="AE26736" s="54"/>
    </row>
    <row r="26737" spans="31:31">
      <c r="AE26737" s="54"/>
    </row>
    <row r="26738" spans="31:31">
      <c r="AE26738" s="54"/>
    </row>
    <row r="26739" spans="31:31">
      <c r="AE26739" s="54"/>
    </row>
    <row r="26740" spans="31:31">
      <c r="AE26740" s="54"/>
    </row>
    <row r="26741" spans="31:31">
      <c r="AE26741" s="54"/>
    </row>
    <row r="26742" spans="31:31">
      <c r="AE26742" s="54"/>
    </row>
    <row r="26743" spans="31:31">
      <c r="AE26743" s="54"/>
    </row>
    <row r="26744" spans="31:31">
      <c r="AE26744" s="54"/>
    </row>
    <row r="26745" spans="31:31">
      <c r="AE26745" s="54"/>
    </row>
    <row r="26746" spans="31:31">
      <c r="AE26746" s="54"/>
    </row>
    <row r="26747" spans="31:31">
      <c r="AE26747" s="54"/>
    </row>
    <row r="26748" spans="31:31">
      <c r="AE26748" s="54"/>
    </row>
    <row r="26749" spans="31:31">
      <c r="AE26749" s="54"/>
    </row>
    <row r="26750" spans="31:31">
      <c r="AE26750" s="54"/>
    </row>
    <row r="26751" spans="31:31">
      <c r="AE26751" s="54"/>
    </row>
    <row r="26752" spans="31:31">
      <c r="AE26752" s="54"/>
    </row>
    <row r="26753" spans="31:31">
      <c r="AE26753" s="54"/>
    </row>
    <row r="26754" spans="31:31">
      <c r="AE26754" s="54"/>
    </row>
    <row r="26755" spans="31:31">
      <c r="AE26755" s="54"/>
    </row>
    <row r="26756" spans="31:31">
      <c r="AE26756" s="54"/>
    </row>
    <row r="26757" spans="31:31">
      <c r="AE26757" s="54"/>
    </row>
    <row r="26758" spans="31:31">
      <c r="AE26758" s="54"/>
    </row>
    <row r="26759" spans="31:31">
      <c r="AE26759" s="54"/>
    </row>
    <row r="26760" spans="31:31">
      <c r="AE26760" s="54"/>
    </row>
    <row r="26761" spans="31:31">
      <c r="AE26761" s="54"/>
    </row>
    <row r="26762" spans="31:31">
      <c r="AE26762" s="54"/>
    </row>
    <row r="26763" spans="31:31">
      <c r="AE26763" s="54"/>
    </row>
    <row r="26764" spans="31:31">
      <c r="AE26764" s="54"/>
    </row>
    <row r="26765" spans="31:31">
      <c r="AE26765" s="54"/>
    </row>
    <row r="26766" spans="31:31">
      <c r="AE26766" s="54"/>
    </row>
    <row r="26767" spans="31:31">
      <c r="AE26767" s="54"/>
    </row>
    <row r="26768" spans="31:31">
      <c r="AE26768" s="54"/>
    </row>
    <row r="26769" spans="31:31">
      <c r="AE26769" s="54"/>
    </row>
    <row r="26770" spans="31:31">
      <c r="AE26770" s="54"/>
    </row>
    <row r="26771" spans="31:31">
      <c r="AE26771" s="54"/>
    </row>
    <row r="26772" spans="31:31">
      <c r="AE26772" s="54"/>
    </row>
    <row r="26773" spans="31:31">
      <c r="AE26773" s="54"/>
    </row>
    <row r="26774" spans="31:31">
      <c r="AE26774" s="54"/>
    </row>
    <row r="26775" spans="31:31">
      <c r="AE26775" s="54"/>
    </row>
    <row r="26776" spans="31:31">
      <c r="AE26776" s="54"/>
    </row>
    <row r="26777" spans="31:31">
      <c r="AE26777" s="54"/>
    </row>
    <row r="26778" spans="31:31">
      <c r="AE26778" s="54"/>
    </row>
    <row r="26779" spans="31:31">
      <c r="AE26779" s="54"/>
    </row>
    <row r="26780" spans="31:31">
      <c r="AE26780" s="54"/>
    </row>
    <row r="26781" spans="31:31">
      <c r="AE26781" s="54"/>
    </row>
    <row r="26782" spans="31:31">
      <c r="AE26782" s="54"/>
    </row>
    <row r="26783" spans="31:31">
      <c r="AE26783" s="54"/>
    </row>
    <row r="26784" spans="31:31">
      <c r="AE26784" s="54"/>
    </row>
    <row r="26785" spans="31:31">
      <c r="AE26785" s="54"/>
    </row>
    <row r="26786" spans="31:31">
      <c r="AE26786" s="54"/>
    </row>
    <row r="26787" spans="31:31">
      <c r="AE26787" s="54"/>
    </row>
    <row r="26788" spans="31:31">
      <c r="AE26788" s="54"/>
    </row>
    <row r="26789" spans="31:31">
      <c r="AE26789" s="54"/>
    </row>
    <row r="26790" spans="31:31">
      <c r="AE26790" s="54"/>
    </row>
    <row r="26791" spans="31:31">
      <c r="AE26791" s="54"/>
    </row>
    <row r="26792" spans="31:31">
      <c r="AE26792" s="54"/>
    </row>
    <row r="26793" spans="31:31">
      <c r="AE26793" s="54"/>
    </row>
    <row r="26794" spans="31:31">
      <c r="AE26794" s="54"/>
    </row>
    <row r="26795" spans="31:31">
      <c r="AE26795" s="54"/>
    </row>
    <row r="26796" spans="31:31">
      <c r="AE26796" s="54"/>
    </row>
    <row r="26797" spans="31:31">
      <c r="AE26797" s="54"/>
    </row>
    <row r="26798" spans="31:31">
      <c r="AE26798" s="54"/>
    </row>
    <row r="26799" spans="31:31">
      <c r="AE26799" s="54"/>
    </row>
    <row r="26800" spans="31:31">
      <c r="AE26800" s="54"/>
    </row>
    <row r="26801" spans="31:31">
      <c r="AE26801" s="54"/>
    </row>
    <row r="26802" spans="31:31">
      <c r="AE26802" s="54"/>
    </row>
    <row r="26803" spans="31:31">
      <c r="AE26803" s="54"/>
    </row>
    <row r="26804" spans="31:31">
      <c r="AE26804" s="54"/>
    </row>
    <row r="26805" spans="31:31">
      <c r="AE26805" s="54"/>
    </row>
    <row r="26806" spans="31:31">
      <c r="AE26806" s="54"/>
    </row>
    <row r="26807" spans="31:31">
      <c r="AE26807" s="54"/>
    </row>
    <row r="26808" spans="31:31">
      <c r="AE26808" s="54"/>
    </row>
    <row r="26809" spans="31:31">
      <c r="AE26809" s="54"/>
    </row>
    <row r="26810" spans="31:31">
      <c r="AE26810" s="54"/>
    </row>
    <row r="26811" spans="31:31">
      <c r="AE26811" s="54"/>
    </row>
    <row r="26812" spans="31:31">
      <c r="AE26812" s="54"/>
    </row>
    <row r="26813" spans="31:31">
      <c r="AE26813" s="54"/>
    </row>
    <row r="26814" spans="31:31">
      <c r="AE26814" s="54"/>
    </row>
    <row r="26815" spans="31:31">
      <c r="AE26815" s="54"/>
    </row>
    <row r="26816" spans="31:31">
      <c r="AE26816" s="54"/>
    </row>
    <row r="26817" spans="31:31">
      <c r="AE26817" s="54"/>
    </row>
    <row r="26818" spans="31:31">
      <c r="AE26818" s="54"/>
    </row>
    <row r="26819" spans="31:31">
      <c r="AE26819" s="54"/>
    </row>
    <row r="26820" spans="31:31">
      <c r="AE26820" s="54"/>
    </row>
    <row r="26821" spans="31:31">
      <c r="AE26821" s="54"/>
    </row>
    <row r="26822" spans="31:31">
      <c r="AE26822" s="54"/>
    </row>
    <row r="26823" spans="31:31">
      <c r="AE26823" s="54"/>
    </row>
    <row r="26824" spans="31:31">
      <c r="AE26824" s="54"/>
    </row>
    <row r="26825" spans="31:31">
      <c r="AE26825" s="54"/>
    </row>
    <row r="26826" spans="31:31">
      <c r="AE26826" s="54"/>
    </row>
    <row r="26827" spans="31:31">
      <c r="AE26827" s="54"/>
    </row>
    <row r="26828" spans="31:31">
      <c r="AE26828" s="54"/>
    </row>
    <row r="26829" spans="31:31">
      <c r="AE26829" s="54"/>
    </row>
    <row r="26830" spans="31:31">
      <c r="AE26830" s="54"/>
    </row>
    <row r="26831" spans="31:31">
      <c r="AE26831" s="54"/>
    </row>
    <row r="26832" spans="31:31">
      <c r="AE26832" s="54"/>
    </row>
    <row r="26833" spans="31:31">
      <c r="AE26833" s="54"/>
    </row>
    <row r="26834" spans="31:31">
      <c r="AE26834" s="54"/>
    </row>
    <row r="26835" spans="31:31">
      <c r="AE26835" s="54"/>
    </row>
    <row r="26836" spans="31:31">
      <c r="AE26836" s="54"/>
    </row>
    <row r="26837" spans="31:31">
      <c r="AE26837" s="54"/>
    </row>
    <row r="26838" spans="31:31">
      <c r="AE26838" s="54"/>
    </row>
    <row r="26839" spans="31:31">
      <c r="AE26839" s="54"/>
    </row>
    <row r="26840" spans="31:31">
      <c r="AE26840" s="54"/>
    </row>
    <row r="26841" spans="31:31">
      <c r="AE26841" s="54"/>
    </row>
    <row r="26842" spans="31:31">
      <c r="AE26842" s="54"/>
    </row>
    <row r="26843" spans="31:31">
      <c r="AE26843" s="54"/>
    </row>
    <row r="26844" spans="31:31">
      <c r="AE26844" s="54"/>
    </row>
    <row r="26845" spans="31:31">
      <c r="AE26845" s="54"/>
    </row>
    <row r="26846" spans="31:31">
      <c r="AE26846" s="54"/>
    </row>
    <row r="26847" spans="31:31">
      <c r="AE26847" s="54"/>
    </row>
    <row r="26848" spans="31:31">
      <c r="AE26848" s="54"/>
    </row>
    <row r="26849" spans="31:31">
      <c r="AE26849" s="54"/>
    </row>
    <row r="26850" spans="31:31">
      <c r="AE26850" s="54"/>
    </row>
    <row r="26851" spans="31:31">
      <c r="AE26851" s="54"/>
    </row>
    <row r="26852" spans="31:31">
      <c r="AE26852" s="54"/>
    </row>
    <row r="26853" spans="31:31">
      <c r="AE26853" s="54"/>
    </row>
    <row r="26854" spans="31:31">
      <c r="AE26854" s="54"/>
    </row>
    <row r="26855" spans="31:31">
      <c r="AE26855" s="54"/>
    </row>
    <row r="26856" spans="31:31">
      <c r="AE26856" s="54"/>
    </row>
    <row r="26857" spans="31:31">
      <c r="AE26857" s="54"/>
    </row>
    <row r="26858" spans="31:31">
      <c r="AE26858" s="54"/>
    </row>
    <row r="26859" spans="31:31">
      <c r="AE26859" s="54"/>
    </row>
    <row r="26860" spans="31:31">
      <c r="AE26860" s="54"/>
    </row>
    <row r="26861" spans="31:31">
      <c r="AE26861" s="54"/>
    </row>
    <row r="26862" spans="31:31">
      <c r="AE26862" s="54"/>
    </row>
    <row r="26863" spans="31:31">
      <c r="AE26863" s="54"/>
    </row>
    <row r="26864" spans="31:31">
      <c r="AE26864" s="54"/>
    </row>
    <row r="26865" spans="31:31">
      <c r="AE26865" s="54"/>
    </row>
    <row r="26866" spans="31:31">
      <c r="AE26866" s="54"/>
    </row>
    <row r="26867" spans="31:31">
      <c r="AE26867" s="54"/>
    </row>
    <row r="26868" spans="31:31">
      <c r="AE26868" s="54"/>
    </row>
    <row r="26869" spans="31:31">
      <c r="AE26869" s="54"/>
    </row>
    <row r="26870" spans="31:31">
      <c r="AE26870" s="54"/>
    </row>
    <row r="26871" spans="31:31">
      <c r="AE26871" s="54"/>
    </row>
    <row r="26872" spans="31:31">
      <c r="AE26872" s="54"/>
    </row>
    <row r="26873" spans="31:31">
      <c r="AE26873" s="54"/>
    </row>
    <row r="26874" spans="31:31">
      <c r="AE26874" s="54"/>
    </row>
    <row r="26875" spans="31:31">
      <c r="AE26875" s="54"/>
    </row>
    <row r="26876" spans="31:31">
      <c r="AE26876" s="54"/>
    </row>
    <row r="26877" spans="31:31">
      <c r="AE26877" s="54"/>
    </row>
    <row r="26878" spans="31:31">
      <c r="AE26878" s="54"/>
    </row>
    <row r="26879" spans="31:31">
      <c r="AE26879" s="54"/>
    </row>
    <row r="26880" spans="31:31">
      <c r="AE26880" s="54"/>
    </row>
    <row r="26881" spans="31:31">
      <c r="AE26881" s="54"/>
    </row>
    <row r="26882" spans="31:31">
      <c r="AE26882" s="54"/>
    </row>
    <row r="26883" spans="31:31">
      <c r="AE26883" s="54"/>
    </row>
    <row r="26884" spans="31:31">
      <c r="AE26884" s="54"/>
    </row>
    <row r="26885" spans="31:31">
      <c r="AE26885" s="54"/>
    </row>
    <row r="26886" spans="31:31">
      <c r="AE26886" s="54"/>
    </row>
    <row r="26887" spans="31:31">
      <c r="AE26887" s="54"/>
    </row>
    <row r="26888" spans="31:31">
      <c r="AE26888" s="54"/>
    </row>
    <row r="26889" spans="31:31">
      <c r="AE26889" s="54"/>
    </row>
    <row r="26890" spans="31:31">
      <c r="AE26890" s="54"/>
    </row>
    <row r="26891" spans="31:31">
      <c r="AE26891" s="54"/>
    </row>
    <row r="26892" spans="31:31">
      <c r="AE26892" s="54"/>
    </row>
    <row r="26893" spans="31:31">
      <c r="AE26893" s="54"/>
    </row>
    <row r="26894" spans="31:31">
      <c r="AE26894" s="54"/>
    </row>
    <row r="26895" spans="31:31">
      <c r="AE26895" s="54"/>
    </row>
    <row r="26896" spans="31:31">
      <c r="AE26896" s="54"/>
    </row>
    <row r="26897" spans="31:31">
      <c r="AE26897" s="54"/>
    </row>
    <row r="26898" spans="31:31">
      <c r="AE26898" s="54"/>
    </row>
    <row r="26899" spans="31:31">
      <c r="AE26899" s="54"/>
    </row>
    <row r="26900" spans="31:31">
      <c r="AE26900" s="54"/>
    </row>
    <row r="26901" spans="31:31">
      <c r="AE26901" s="54"/>
    </row>
    <row r="26902" spans="31:31">
      <c r="AE26902" s="54"/>
    </row>
    <row r="26903" spans="31:31">
      <c r="AE26903" s="54"/>
    </row>
    <row r="26904" spans="31:31">
      <c r="AE26904" s="54"/>
    </row>
    <row r="26905" spans="31:31">
      <c r="AE26905" s="54"/>
    </row>
    <row r="26906" spans="31:31">
      <c r="AE26906" s="54"/>
    </row>
    <row r="26907" spans="31:31">
      <c r="AE26907" s="54"/>
    </row>
    <row r="26908" spans="31:31">
      <c r="AE26908" s="54"/>
    </row>
    <row r="26909" spans="31:31">
      <c r="AE26909" s="54"/>
    </row>
    <row r="26910" spans="31:31">
      <c r="AE26910" s="54"/>
    </row>
    <row r="26911" spans="31:31">
      <c r="AE26911" s="54"/>
    </row>
    <row r="26912" spans="31:31">
      <c r="AE26912" s="54"/>
    </row>
    <row r="26913" spans="31:31">
      <c r="AE26913" s="54"/>
    </row>
    <row r="26914" spans="31:31">
      <c r="AE26914" s="54"/>
    </row>
    <row r="26915" spans="31:31">
      <c r="AE26915" s="54"/>
    </row>
    <row r="26916" spans="31:31">
      <c r="AE26916" s="54"/>
    </row>
    <row r="26917" spans="31:31">
      <c r="AE26917" s="54"/>
    </row>
    <row r="26918" spans="31:31">
      <c r="AE26918" s="54"/>
    </row>
    <row r="26919" spans="31:31">
      <c r="AE26919" s="54"/>
    </row>
    <row r="26920" spans="31:31">
      <c r="AE26920" s="54"/>
    </row>
    <row r="26921" spans="31:31">
      <c r="AE26921" s="54"/>
    </row>
    <row r="26922" spans="31:31">
      <c r="AE26922" s="54"/>
    </row>
    <row r="26923" spans="31:31">
      <c r="AE26923" s="54"/>
    </row>
    <row r="26924" spans="31:31">
      <c r="AE26924" s="54"/>
    </row>
    <row r="26925" spans="31:31">
      <c r="AE26925" s="54"/>
    </row>
    <row r="26926" spans="31:31">
      <c r="AE26926" s="54"/>
    </row>
    <row r="26927" spans="31:31">
      <c r="AE26927" s="54"/>
    </row>
    <row r="26928" spans="31:31">
      <c r="AE26928" s="54"/>
    </row>
    <row r="26929" spans="31:31">
      <c r="AE26929" s="54"/>
    </row>
    <row r="26930" spans="31:31">
      <c r="AE26930" s="54"/>
    </row>
    <row r="26931" spans="31:31">
      <c r="AE26931" s="54"/>
    </row>
    <row r="26932" spans="31:31">
      <c r="AE26932" s="54"/>
    </row>
    <row r="26933" spans="31:31">
      <c r="AE26933" s="54"/>
    </row>
    <row r="26934" spans="31:31">
      <c r="AE26934" s="54"/>
    </row>
    <row r="26935" spans="31:31">
      <c r="AE26935" s="54"/>
    </row>
    <row r="26936" spans="31:31">
      <c r="AE26936" s="54"/>
    </row>
    <row r="26937" spans="31:31">
      <c r="AE26937" s="54"/>
    </row>
    <row r="26938" spans="31:31">
      <c r="AE26938" s="54"/>
    </row>
    <row r="26939" spans="31:31">
      <c r="AE26939" s="54"/>
    </row>
    <row r="26940" spans="31:31">
      <c r="AE26940" s="54"/>
    </row>
    <row r="26941" spans="31:31">
      <c r="AE26941" s="54"/>
    </row>
    <row r="26942" spans="31:31">
      <c r="AE26942" s="54"/>
    </row>
    <row r="26943" spans="31:31">
      <c r="AE26943" s="54"/>
    </row>
    <row r="26944" spans="31:31">
      <c r="AE26944" s="54"/>
    </row>
    <row r="26945" spans="31:31">
      <c r="AE26945" s="54"/>
    </row>
    <row r="26946" spans="31:31">
      <c r="AE26946" s="54"/>
    </row>
    <row r="26947" spans="31:31">
      <c r="AE26947" s="54"/>
    </row>
    <row r="26948" spans="31:31">
      <c r="AE26948" s="54"/>
    </row>
    <row r="26949" spans="31:31">
      <c r="AE26949" s="54"/>
    </row>
    <row r="26950" spans="31:31">
      <c r="AE26950" s="54"/>
    </row>
    <row r="26951" spans="31:31">
      <c r="AE26951" s="54"/>
    </row>
    <row r="26952" spans="31:31">
      <c r="AE26952" s="54"/>
    </row>
    <row r="26953" spans="31:31">
      <c r="AE26953" s="54"/>
    </row>
    <row r="26954" spans="31:31">
      <c r="AE26954" s="54"/>
    </row>
    <row r="26955" spans="31:31">
      <c r="AE26955" s="54"/>
    </row>
    <row r="26956" spans="31:31">
      <c r="AE26956" s="54"/>
    </row>
    <row r="26957" spans="31:31">
      <c r="AE26957" s="54"/>
    </row>
    <row r="26958" spans="31:31">
      <c r="AE26958" s="54"/>
    </row>
    <row r="26959" spans="31:31">
      <c r="AE26959" s="54"/>
    </row>
    <row r="26960" spans="31:31">
      <c r="AE26960" s="54"/>
    </row>
    <row r="26961" spans="31:31">
      <c r="AE26961" s="54"/>
    </row>
    <row r="26962" spans="31:31">
      <c r="AE26962" s="54"/>
    </row>
    <row r="26963" spans="31:31">
      <c r="AE26963" s="54"/>
    </row>
    <row r="26964" spans="31:31">
      <c r="AE26964" s="54"/>
    </row>
    <row r="26965" spans="31:31">
      <c r="AE26965" s="54"/>
    </row>
    <row r="26966" spans="31:31">
      <c r="AE26966" s="54"/>
    </row>
    <row r="26967" spans="31:31">
      <c r="AE26967" s="54"/>
    </row>
    <row r="26968" spans="31:31">
      <c r="AE26968" s="54"/>
    </row>
    <row r="26969" spans="31:31">
      <c r="AE26969" s="54"/>
    </row>
    <row r="26970" spans="31:31">
      <c r="AE26970" s="54"/>
    </row>
    <row r="26971" spans="31:31">
      <c r="AE26971" s="54"/>
    </row>
    <row r="26972" spans="31:31">
      <c r="AE26972" s="54"/>
    </row>
    <row r="26973" spans="31:31">
      <c r="AE26973" s="54"/>
    </row>
    <row r="26974" spans="31:31">
      <c r="AE26974" s="54"/>
    </row>
    <row r="26975" spans="31:31">
      <c r="AE26975" s="54"/>
    </row>
    <row r="26976" spans="31:31">
      <c r="AE26976" s="54"/>
    </row>
    <row r="26977" spans="31:31">
      <c r="AE26977" s="54"/>
    </row>
    <row r="26978" spans="31:31">
      <c r="AE26978" s="54"/>
    </row>
    <row r="26979" spans="31:31">
      <c r="AE26979" s="54"/>
    </row>
    <row r="26980" spans="31:31">
      <c r="AE26980" s="54"/>
    </row>
    <row r="26981" spans="31:31">
      <c r="AE26981" s="54"/>
    </row>
    <row r="26982" spans="31:31">
      <c r="AE26982" s="54"/>
    </row>
    <row r="26983" spans="31:31">
      <c r="AE26983" s="54"/>
    </row>
    <row r="26984" spans="31:31">
      <c r="AE26984" s="54"/>
    </row>
    <row r="26985" spans="31:31">
      <c r="AE26985" s="54"/>
    </row>
    <row r="26986" spans="31:31">
      <c r="AE26986" s="54"/>
    </row>
    <row r="26987" spans="31:31">
      <c r="AE26987" s="54"/>
    </row>
    <row r="26988" spans="31:31">
      <c r="AE26988" s="54"/>
    </row>
    <row r="26989" spans="31:31">
      <c r="AE26989" s="54"/>
    </row>
    <row r="26990" spans="31:31">
      <c r="AE26990" s="54"/>
    </row>
    <row r="26991" spans="31:31">
      <c r="AE26991" s="54"/>
    </row>
    <row r="26992" spans="31:31">
      <c r="AE26992" s="54"/>
    </row>
    <row r="26993" spans="31:31">
      <c r="AE26993" s="54"/>
    </row>
    <row r="26994" spans="31:31">
      <c r="AE26994" s="54"/>
    </row>
    <row r="26995" spans="31:31">
      <c r="AE26995" s="54"/>
    </row>
    <row r="26996" spans="31:31">
      <c r="AE26996" s="54"/>
    </row>
    <row r="26997" spans="31:31">
      <c r="AE26997" s="54"/>
    </row>
    <row r="26998" spans="31:31">
      <c r="AE26998" s="54"/>
    </row>
    <row r="26999" spans="31:31">
      <c r="AE26999" s="54"/>
    </row>
    <row r="27000" spans="31:31">
      <c r="AE27000" s="54"/>
    </row>
    <row r="27001" spans="31:31">
      <c r="AE27001" s="54"/>
    </row>
    <row r="27002" spans="31:31">
      <c r="AE27002" s="54"/>
    </row>
    <row r="27003" spans="31:31">
      <c r="AE27003" s="54"/>
    </row>
    <row r="27004" spans="31:31">
      <c r="AE27004" s="54"/>
    </row>
    <row r="27005" spans="31:31">
      <c r="AE27005" s="54"/>
    </row>
    <row r="27006" spans="31:31">
      <c r="AE27006" s="54"/>
    </row>
    <row r="27007" spans="31:31">
      <c r="AE27007" s="54"/>
    </row>
    <row r="27008" spans="31:31">
      <c r="AE27008" s="54"/>
    </row>
    <row r="27009" spans="31:31">
      <c r="AE27009" s="54"/>
    </row>
    <row r="27010" spans="31:31">
      <c r="AE27010" s="54"/>
    </row>
    <row r="27011" spans="31:31">
      <c r="AE27011" s="54"/>
    </row>
    <row r="27012" spans="31:31">
      <c r="AE27012" s="54"/>
    </row>
    <row r="27013" spans="31:31">
      <c r="AE27013" s="54"/>
    </row>
    <row r="27014" spans="31:31">
      <c r="AE27014" s="54"/>
    </row>
    <row r="27015" spans="31:31">
      <c r="AE27015" s="54"/>
    </row>
    <row r="27016" spans="31:31">
      <c r="AE27016" s="54"/>
    </row>
    <row r="27017" spans="31:31">
      <c r="AE27017" s="54"/>
    </row>
    <row r="27018" spans="31:31">
      <c r="AE27018" s="54"/>
    </row>
    <row r="27019" spans="31:31">
      <c r="AE27019" s="54"/>
    </row>
    <row r="27020" spans="31:31">
      <c r="AE27020" s="54"/>
    </row>
    <row r="27021" spans="31:31">
      <c r="AE27021" s="54"/>
    </row>
    <row r="27022" spans="31:31">
      <c r="AE27022" s="54"/>
    </row>
    <row r="27023" spans="31:31">
      <c r="AE27023" s="54"/>
    </row>
    <row r="27024" spans="31:31">
      <c r="AE27024" s="54"/>
    </row>
    <row r="27025" spans="31:31">
      <c r="AE27025" s="54"/>
    </row>
    <row r="27026" spans="31:31">
      <c r="AE27026" s="54"/>
    </row>
    <row r="27027" spans="31:31">
      <c r="AE27027" s="54"/>
    </row>
    <row r="27028" spans="31:31">
      <c r="AE27028" s="54"/>
    </row>
    <row r="27029" spans="31:31">
      <c r="AE27029" s="54"/>
    </row>
    <row r="27030" spans="31:31">
      <c r="AE27030" s="54"/>
    </row>
    <row r="27031" spans="31:31">
      <c r="AE27031" s="54"/>
    </row>
    <row r="27032" spans="31:31">
      <c r="AE27032" s="54"/>
    </row>
    <row r="27033" spans="31:31">
      <c r="AE27033" s="54"/>
    </row>
    <row r="27034" spans="31:31">
      <c r="AE27034" s="54"/>
    </row>
    <row r="27035" spans="31:31">
      <c r="AE27035" s="54"/>
    </row>
    <row r="27036" spans="31:31">
      <c r="AE27036" s="54"/>
    </row>
    <row r="27037" spans="31:31">
      <c r="AE27037" s="54"/>
    </row>
    <row r="27038" spans="31:31">
      <c r="AE27038" s="54"/>
    </row>
    <row r="27039" spans="31:31">
      <c r="AE27039" s="54"/>
    </row>
    <row r="27040" spans="31:31">
      <c r="AE27040" s="54"/>
    </row>
    <row r="27041" spans="31:31">
      <c r="AE27041" s="54"/>
    </row>
    <row r="27042" spans="31:31">
      <c r="AE27042" s="54"/>
    </row>
    <row r="27043" spans="31:31">
      <c r="AE27043" s="54"/>
    </row>
    <row r="27044" spans="31:31">
      <c r="AE27044" s="54"/>
    </row>
    <row r="27045" spans="31:31">
      <c r="AE27045" s="54"/>
    </row>
    <row r="27046" spans="31:31">
      <c r="AE27046" s="54"/>
    </row>
    <row r="27047" spans="31:31">
      <c r="AE27047" s="54"/>
    </row>
    <row r="27048" spans="31:31">
      <c r="AE27048" s="54"/>
    </row>
    <row r="27049" spans="31:31">
      <c r="AE27049" s="54"/>
    </row>
    <row r="27050" spans="31:31">
      <c r="AE27050" s="54"/>
    </row>
    <row r="27051" spans="31:31">
      <c r="AE27051" s="54"/>
    </row>
    <row r="27052" spans="31:31">
      <c r="AE27052" s="54"/>
    </row>
    <row r="27053" spans="31:31">
      <c r="AE27053" s="54"/>
    </row>
    <row r="27054" spans="31:31">
      <c r="AE27054" s="54"/>
    </row>
    <row r="27055" spans="31:31">
      <c r="AE27055" s="54"/>
    </row>
    <row r="27056" spans="31:31">
      <c r="AE27056" s="54"/>
    </row>
    <row r="27057" spans="31:31">
      <c r="AE27057" s="54"/>
    </row>
    <row r="27058" spans="31:31">
      <c r="AE27058" s="54"/>
    </row>
    <row r="27059" spans="31:31">
      <c r="AE27059" s="54"/>
    </row>
    <row r="27060" spans="31:31">
      <c r="AE27060" s="54"/>
    </row>
    <row r="27061" spans="31:31">
      <c r="AE27061" s="54"/>
    </row>
    <row r="27062" spans="31:31">
      <c r="AE27062" s="54"/>
    </row>
    <row r="27063" spans="31:31">
      <c r="AE27063" s="54"/>
    </row>
    <row r="27064" spans="31:31">
      <c r="AE27064" s="54"/>
    </row>
    <row r="27065" spans="31:31">
      <c r="AE27065" s="54"/>
    </row>
    <row r="27066" spans="31:31">
      <c r="AE27066" s="54"/>
    </row>
    <row r="27067" spans="31:31">
      <c r="AE27067" s="54"/>
    </row>
    <row r="27068" spans="31:31">
      <c r="AE27068" s="54"/>
    </row>
    <row r="27069" spans="31:31">
      <c r="AE27069" s="54"/>
    </row>
    <row r="27070" spans="31:31">
      <c r="AE27070" s="54"/>
    </row>
    <row r="27071" spans="31:31">
      <c r="AE27071" s="54"/>
    </row>
    <row r="27072" spans="31:31">
      <c r="AE27072" s="54"/>
    </row>
    <row r="27073" spans="31:31">
      <c r="AE27073" s="54"/>
    </row>
    <row r="27074" spans="31:31">
      <c r="AE27074" s="54"/>
    </row>
    <row r="27075" spans="31:31">
      <c r="AE27075" s="54"/>
    </row>
    <row r="27076" spans="31:31">
      <c r="AE27076" s="54"/>
    </row>
    <row r="27077" spans="31:31">
      <c r="AE27077" s="54"/>
    </row>
    <row r="27078" spans="31:31">
      <c r="AE27078" s="54"/>
    </row>
    <row r="27079" spans="31:31">
      <c r="AE27079" s="54"/>
    </row>
    <row r="27080" spans="31:31">
      <c r="AE27080" s="54"/>
    </row>
    <row r="27081" spans="31:31">
      <c r="AE27081" s="54"/>
    </row>
    <row r="27082" spans="31:31">
      <c r="AE27082" s="54"/>
    </row>
    <row r="27083" spans="31:31">
      <c r="AE27083" s="54"/>
    </row>
    <row r="27084" spans="31:31">
      <c r="AE27084" s="54"/>
    </row>
    <row r="27085" spans="31:31">
      <c r="AE27085" s="54"/>
    </row>
    <row r="27086" spans="31:31">
      <c r="AE27086" s="54"/>
    </row>
    <row r="27087" spans="31:31">
      <c r="AE27087" s="54"/>
    </row>
    <row r="27088" spans="31:31">
      <c r="AE27088" s="54"/>
    </row>
    <row r="27089" spans="31:31">
      <c r="AE27089" s="54"/>
    </row>
    <row r="27090" spans="31:31">
      <c r="AE27090" s="54"/>
    </row>
    <row r="27091" spans="31:31">
      <c r="AE27091" s="54"/>
    </row>
    <row r="27092" spans="31:31">
      <c r="AE27092" s="54"/>
    </row>
    <row r="27093" spans="31:31">
      <c r="AE27093" s="54"/>
    </row>
    <row r="27094" spans="31:31">
      <c r="AE27094" s="54"/>
    </row>
    <row r="27095" spans="31:31">
      <c r="AE27095" s="54"/>
    </row>
    <row r="27096" spans="31:31">
      <c r="AE27096" s="54"/>
    </row>
    <row r="27097" spans="31:31">
      <c r="AE27097" s="54"/>
    </row>
    <row r="27098" spans="31:31">
      <c r="AE27098" s="54"/>
    </row>
    <row r="27099" spans="31:31">
      <c r="AE27099" s="54"/>
    </row>
    <row r="27100" spans="31:31">
      <c r="AE27100" s="54"/>
    </row>
    <row r="27101" spans="31:31">
      <c r="AE27101" s="54"/>
    </row>
    <row r="27102" spans="31:31">
      <c r="AE27102" s="54"/>
    </row>
    <row r="27103" spans="31:31">
      <c r="AE27103" s="54"/>
    </row>
    <row r="27104" spans="31:31">
      <c r="AE27104" s="54"/>
    </row>
    <row r="27105" spans="31:31">
      <c r="AE27105" s="54"/>
    </row>
    <row r="27106" spans="31:31">
      <c r="AE27106" s="54"/>
    </row>
    <row r="27107" spans="31:31">
      <c r="AE27107" s="54"/>
    </row>
    <row r="27108" spans="31:31">
      <c r="AE27108" s="54"/>
    </row>
    <row r="27109" spans="31:31">
      <c r="AE27109" s="54"/>
    </row>
    <row r="27110" spans="31:31">
      <c r="AE27110" s="54"/>
    </row>
    <row r="27111" spans="31:31">
      <c r="AE27111" s="54"/>
    </row>
    <row r="27112" spans="31:31">
      <c r="AE27112" s="54"/>
    </row>
    <row r="27113" spans="31:31">
      <c r="AE27113" s="54"/>
    </row>
    <row r="27114" spans="31:31">
      <c r="AE27114" s="54"/>
    </row>
    <row r="27115" spans="31:31">
      <c r="AE27115" s="54"/>
    </row>
    <row r="27116" spans="31:31">
      <c r="AE27116" s="54"/>
    </row>
    <row r="27117" spans="31:31">
      <c r="AE27117" s="54"/>
    </row>
    <row r="27118" spans="31:31">
      <c r="AE27118" s="54"/>
    </row>
    <row r="27119" spans="31:31">
      <c r="AE27119" s="54"/>
    </row>
    <row r="27120" spans="31:31">
      <c r="AE27120" s="54"/>
    </row>
    <row r="27121" spans="31:31">
      <c r="AE27121" s="54"/>
    </row>
    <row r="27122" spans="31:31">
      <c r="AE27122" s="54"/>
    </row>
    <row r="27123" spans="31:31">
      <c r="AE27123" s="54"/>
    </row>
    <row r="27124" spans="31:31">
      <c r="AE27124" s="54"/>
    </row>
    <row r="27125" spans="31:31">
      <c r="AE27125" s="54"/>
    </row>
    <row r="27126" spans="31:31">
      <c r="AE27126" s="54"/>
    </row>
    <row r="27127" spans="31:31">
      <c r="AE27127" s="54"/>
    </row>
    <row r="27128" spans="31:31">
      <c r="AE27128" s="54"/>
    </row>
    <row r="27129" spans="31:31">
      <c r="AE27129" s="54"/>
    </row>
    <row r="27130" spans="31:31">
      <c r="AE27130" s="54"/>
    </row>
    <row r="27131" spans="31:31">
      <c r="AE27131" s="54"/>
    </row>
    <row r="27132" spans="31:31">
      <c r="AE27132" s="54"/>
    </row>
    <row r="27133" spans="31:31">
      <c r="AE27133" s="54"/>
    </row>
    <row r="27134" spans="31:31">
      <c r="AE27134" s="54"/>
    </row>
    <row r="27135" spans="31:31">
      <c r="AE27135" s="54"/>
    </row>
    <row r="27136" spans="31:31">
      <c r="AE27136" s="54"/>
    </row>
    <row r="27137" spans="31:31">
      <c r="AE27137" s="54"/>
    </row>
    <row r="27138" spans="31:31">
      <c r="AE27138" s="54"/>
    </row>
    <row r="27139" spans="31:31">
      <c r="AE27139" s="54"/>
    </row>
    <row r="27140" spans="31:31">
      <c r="AE27140" s="54"/>
    </row>
    <row r="27141" spans="31:31">
      <c r="AE27141" s="54"/>
    </row>
    <row r="27142" spans="31:31">
      <c r="AE27142" s="54"/>
    </row>
    <row r="27143" spans="31:31">
      <c r="AE27143" s="54"/>
    </row>
    <row r="27144" spans="31:31">
      <c r="AE27144" s="54"/>
    </row>
    <row r="27145" spans="31:31">
      <c r="AE27145" s="54"/>
    </row>
    <row r="27146" spans="31:31">
      <c r="AE27146" s="54"/>
    </row>
    <row r="27147" spans="31:31">
      <c r="AE27147" s="54"/>
    </row>
    <row r="27148" spans="31:31">
      <c r="AE27148" s="54"/>
    </row>
    <row r="27149" spans="31:31">
      <c r="AE27149" s="54"/>
    </row>
    <row r="27150" spans="31:31">
      <c r="AE27150" s="54"/>
    </row>
    <row r="27151" spans="31:31">
      <c r="AE27151" s="54"/>
    </row>
    <row r="27152" spans="31:31">
      <c r="AE27152" s="54"/>
    </row>
    <row r="27153" spans="31:31">
      <c r="AE27153" s="54"/>
    </row>
    <row r="27154" spans="31:31">
      <c r="AE27154" s="54"/>
    </row>
    <row r="27155" spans="31:31">
      <c r="AE27155" s="54"/>
    </row>
    <row r="27156" spans="31:31">
      <c r="AE27156" s="54"/>
    </row>
    <row r="27157" spans="31:31">
      <c r="AE27157" s="54"/>
    </row>
    <row r="27158" spans="31:31">
      <c r="AE27158" s="54"/>
    </row>
    <row r="27159" spans="31:31">
      <c r="AE27159" s="54"/>
    </row>
    <row r="27160" spans="31:31">
      <c r="AE27160" s="54"/>
    </row>
    <row r="27161" spans="31:31">
      <c r="AE27161" s="54"/>
    </row>
    <row r="27162" spans="31:31">
      <c r="AE27162" s="54"/>
    </row>
    <row r="27163" spans="31:31">
      <c r="AE27163" s="54"/>
    </row>
    <row r="27164" spans="31:31">
      <c r="AE27164" s="54"/>
    </row>
    <row r="27165" spans="31:31">
      <c r="AE27165" s="54"/>
    </row>
    <row r="27166" spans="31:31">
      <c r="AE27166" s="54"/>
    </row>
    <row r="27167" spans="31:31">
      <c r="AE27167" s="54"/>
    </row>
    <row r="27168" spans="31:31">
      <c r="AE27168" s="54"/>
    </row>
    <row r="27169" spans="31:31">
      <c r="AE27169" s="54"/>
    </row>
    <row r="27170" spans="31:31">
      <c r="AE27170" s="54"/>
    </row>
    <row r="27171" spans="31:31">
      <c r="AE27171" s="54"/>
    </row>
    <row r="27172" spans="31:31">
      <c r="AE27172" s="54"/>
    </row>
    <row r="27173" spans="31:31">
      <c r="AE27173" s="54"/>
    </row>
    <row r="27174" spans="31:31">
      <c r="AE27174" s="54"/>
    </row>
    <row r="27175" spans="31:31">
      <c r="AE27175" s="54"/>
    </row>
    <row r="27176" spans="31:31">
      <c r="AE27176" s="54"/>
    </row>
    <row r="27177" spans="31:31">
      <c r="AE27177" s="54"/>
    </row>
    <row r="27178" spans="31:31">
      <c r="AE27178" s="54"/>
    </row>
    <row r="27179" spans="31:31">
      <c r="AE27179" s="54"/>
    </row>
    <row r="27180" spans="31:31">
      <c r="AE27180" s="54"/>
    </row>
    <row r="27181" spans="31:31">
      <c r="AE27181" s="54"/>
    </row>
    <row r="27182" spans="31:31">
      <c r="AE27182" s="54"/>
    </row>
    <row r="27183" spans="31:31">
      <c r="AE27183" s="54"/>
    </row>
    <row r="27184" spans="31:31">
      <c r="AE27184" s="54"/>
    </row>
    <row r="27185" spans="31:31">
      <c r="AE27185" s="54"/>
    </row>
    <row r="27186" spans="31:31">
      <c r="AE27186" s="54"/>
    </row>
    <row r="27187" spans="31:31">
      <c r="AE27187" s="54"/>
    </row>
    <row r="27188" spans="31:31">
      <c r="AE27188" s="54"/>
    </row>
    <row r="27189" spans="31:31">
      <c r="AE27189" s="54"/>
    </row>
    <row r="27190" spans="31:31">
      <c r="AE27190" s="54"/>
    </row>
    <row r="27191" spans="31:31">
      <c r="AE27191" s="54"/>
    </row>
    <row r="27192" spans="31:31">
      <c r="AE27192" s="54"/>
    </row>
    <row r="27193" spans="31:31">
      <c r="AE27193" s="54"/>
    </row>
    <row r="27194" spans="31:31">
      <c r="AE27194" s="54"/>
    </row>
    <row r="27195" spans="31:31">
      <c r="AE27195" s="54"/>
    </row>
    <row r="27196" spans="31:31">
      <c r="AE27196" s="54"/>
    </row>
    <row r="27197" spans="31:31">
      <c r="AE27197" s="54"/>
    </row>
    <row r="27198" spans="31:31">
      <c r="AE27198" s="54"/>
    </row>
    <row r="27199" spans="31:31">
      <c r="AE27199" s="54"/>
    </row>
    <row r="27200" spans="31:31">
      <c r="AE27200" s="54"/>
    </row>
    <row r="27201" spans="31:31">
      <c r="AE27201" s="54"/>
    </row>
    <row r="27202" spans="31:31">
      <c r="AE27202" s="54"/>
    </row>
    <row r="27203" spans="31:31">
      <c r="AE27203" s="54"/>
    </row>
    <row r="27204" spans="31:31">
      <c r="AE27204" s="54"/>
    </row>
    <row r="27205" spans="31:31">
      <c r="AE27205" s="54"/>
    </row>
    <row r="27206" spans="31:31">
      <c r="AE27206" s="54"/>
    </row>
    <row r="27207" spans="31:31">
      <c r="AE27207" s="54"/>
    </row>
    <row r="27208" spans="31:31">
      <c r="AE27208" s="54"/>
    </row>
    <row r="27209" spans="31:31">
      <c r="AE27209" s="54"/>
    </row>
    <row r="27210" spans="31:31">
      <c r="AE27210" s="54"/>
    </row>
    <row r="27211" spans="31:31">
      <c r="AE27211" s="54"/>
    </row>
    <row r="27212" spans="31:31">
      <c r="AE27212" s="54"/>
    </row>
    <row r="27213" spans="31:31">
      <c r="AE27213" s="54"/>
    </row>
    <row r="27214" spans="31:31">
      <c r="AE27214" s="54"/>
    </row>
    <row r="27215" spans="31:31">
      <c r="AE27215" s="54"/>
    </row>
    <row r="27216" spans="31:31">
      <c r="AE27216" s="54"/>
    </row>
    <row r="27217" spans="31:31">
      <c r="AE27217" s="54"/>
    </row>
    <row r="27218" spans="31:31">
      <c r="AE27218" s="54"/>
    </row>
    <row r="27219" spans="31:31">
      <c r="AE27219" s="54"/>
    </row>
    <row r="27220" spans="31:31">
      <c r="AE27220" s="54"/>
    </row>
    <row r="27221" spans="31:31">
      <c r="AE27221" s="54"/>
    </row>
    <row r="27222" spans="31:31">
      <c r="AE27222" s="54"/>
    </row>
    <row r="27223" spans="31:31">
      <c r="AE27223" s="54"/>
    </row>
    <row r="27224" spans="31:31">
      <c r="AE27224" s="54"/>
    </row>
    <row r="27225" spans="31:31">
      <c r="AE27225" s="54"/>
    </row>
    <row r="27226" spans="31:31">
      <c r="AE27226" s="54"/>
    </row>
    <row r="27227" spans="31:31">
      <c r="AE27227" s="54"/>
    </row>
    <row r="27228" spans="31:31">
      <c r="AE27228" s="54"/>
    </row>
    <row r="27229" spans="31:31">
      <c r="AE27229" s="54"/>
    </row>
    <row r="27230" spans="31:31">
      <c r="AE27230" s="54"/>
    </row>
    <row r="27231" spans="31:31">
      <c r="AE27231" s="54"/>
    </row>
    <row r="27232" spans="31:31">
      <c r="AE27232" s="54"/>
    </row>
    <row r="27233" spans="31:31">
      <c r="AE27233" s="54"/>
    </row>
    <row r="27234" spans="31:31">
      <c r="AE27234" s="54"/>
    </row>
    <row r="27235" spans="31:31">
      <c r="AE27235" s="54"/>
    </row>
    <row r="27236" spans="31:31">
      <c r="AE27236" s="54"/>
    </row>
    <row r="27237" spans="31:31">
      <c r="AE27237" s="54"/>
    </row>
    <row r="27238" spans="31:31">
      <c r="AE27238" s="54"/>
    </row>
    <row r="27239" spans="31:31">
      <c r="AE27239" s="54"/>
    </row>
    <row r="27240" spans="31:31">
      <c r="AE27240" s="54"/>
    </row>
    <row r="27241" spans="31:31">
      <c r="AE27241" s="54"/>
    </row>
    <row r="27242" spans="31:31">
      <c r="AE27242" s="54"/>
    </row>
    <row r="27243" spans="31:31">
      <c r="AE27243" s="54"/>
    </row>
    <row r="27244" spans="31:31">
      <c r="AE27244" s="54"/>
    </row>
    <row r="27245" spans="31:31">
      <c r="AE27245" s="54"/>
    </row>
    <row r="27246" spans="31:31">
      <c r="AE27246" s="54"/>
    </row>
    <row r="27247" spans="31:31">
      <c r="AE27247" s="54"/>
    </row>
    <row r="27248" spans="31:31">
      <c r="AE27248" s="54"/>
    </row>
    <row r="27249" spans="31:31">
      <c r="AE27249" s="54"/>
    </row>
    <row r="27250" spans="31:31">
      <c r="AE27250" s="54"/>
    </row>
    <row r="27251" spans="31:31">
      <c r="AE27251" s="54"/>
    </row>
    <row r="27252" spans="31:31">
      <c r="AE27252" s="54"/>
    </row>
    <row r="27253" spans="31:31">
      <c r="AE27253" s="54"/>
    </row>
    <row r="27254" spans="31:31">
      <c r="AE27254" s="54"/>
    </row>
    <row r="27255" spans="31:31">
      <c r="AE27255" s="54"/>
    </row>
    <row r="27256" spans="31:31">
      <c r="AE27256" s="54"/>
    </row>
    <row r="27257" spans="31:31">
      <c r="AE27257" s="54"/>
    </row>
    <row r="27258" spans="31:31">
      <c r="AE27258" s="54"/>
    </row>
    <row r="27259" spans="31:31">
      <c r="AE27259" s="54"/>
    </row>
    <row r="27260" spans="31:31">
      <c r="AE27260" s="54"/>
    </row>
    <row r="27261" spans="31:31">
      <c r="AE27261" s="54"/>
    </row>
    <row r="27262" spans="31:31">
      <c r="AE27262" s="54"/>
    </row>
    <row r="27263" spans="31:31">
      <c r="AE27263" s="54"/>
    </row>
    <row r="27264" spans="31:31">
      <c r="AE27264" s="54"/>
    </row>
    <row r="27265" spans="31:31">
      <c r="AE27265" s="54"/>
    </row>
    <row r="27266" spans="31:31">
      <c r="AE27266" s="54"/>
    </row>
    <row r="27267" spans="31:31">
      <c r="AE27267" s="54"/>
    </row>
    <row r="27268" spans="31:31">
      <c r="AE27268" s="54"/>
    </row>
    <row r="27269" spans="31:31">
      <c r="AE27269" s="54"/>
    </row>
    <row r="27270" spans="31:31">
      <c r="AE27270" s="54"/>
    </row>
    <row r="27271" spans="31:31">
      <c r="AE27271" s="54"/>
    </row>
    <row r="27272" spans="31:31">
      <c r="AE27272" s="54"/>
    </row>
    <row r="27273" spans="31:31">
      <c r="AE27273" s="54"/>
    </row>
    <row r="27274" spans="31:31">
      <c r="AE27274" s="54"/>
    </row>
    <row r="27275" spans="31:31">
      <c r="AE27275" s="54"/>
    </row>
    <row r="27276" spans="31:31">
      <c r="AE27276" s="54"/>
    </row>
    <row r="27277" spans="31:31">
      <c r="AE27277" s="54"/>
    </row>
    <row r="27278" spans="31:31">
      <c r="AE27278" s="54"/>
    </row>
    <row r="27279" spans="31:31">
      <c r="AE27279" s="54"/>
    </row>
    <row r="27280" spans="31:31">
      <c r="AE27280" s="54"/>
    </row>
    <row r="27281" spans="31:31">
      <c r="AE27281" s="54"/>
    </row>
    <row r="27282" spans="31:31">
      <c r="AE27282" s="54"/>
    </row>
    <row r="27283" spans="31:31">
      <c r="AE27283" s="54"/>
    </row>
    <row r="27284" spans="31:31">
      <c r="AE27284" s="54"/>
    </row>
    <row r="27285" spans="31:31">
      <c r="AE27285" s="54"/>
    </row>
    <row r="27286" spans="31:31">
      <c r="AE27286" s="54"/>
    </row>
    <row r="27287" spans="31:31">
      <c r="AE27287" s="54"/>
    </row>
    <row r="27288" spans="31:31">
      <c r="AE27288" s="54"/>
    </row>
    <row r="27289" spans="31:31">
      <c r="AE27289" s="54"/>
    </row>
    <row r="27290" spans="31:31">
      <c r="AE27290" s="54"/>
    </row>
    <row r="27291" spans="31:31">
      <c r="AE27291" s="54"/>
    </row>
    <row r="27292" spans="31:31">
      <c r="AE27292" s="54"/>
    </row>
    <row r="27293" spans="31:31">
      <c r="AE27293" s="54"/>
    </row>
    <row r="27294" spans="31:31">
      <c r="AE27294" s="54"/>
    </row>
    <row r="27295" spans="31:31">
      <c r="AE27295" s="54"/>
    </row>
    <row r="27296" spans="31:31">
      <c r="AE27296" s="54"/>
    </row>
    <row r="27297" spans="31:31">
      <c r="AE27297" s="54"/>
    </row>
    <row r="27298" spans="31:31">
      <c r="AE27298" s="54"/>
    </row>
    <row r="27299" spans="31:31">
      <c r="AE27299" s="54"/>
    </row>
    <row r="27300" spans="31:31">
      <c r="AE27300" s="54"/>
    </row>
    <row r="27301" spans="31:31">
      <c r="AE27301" s="54"/>
    </row>
    <row r="27302" spans="31:31">
      <c r="AE27302" s="54"/>
    </row>
    <row r="27303" spans="31:31">
      <c r="AE27303" s="54"/>
    </row>
    <row r="27304" spans="31:31">
      <c r="AE27304" s="54"/>
    </row>
    <row r="27305" spans="31:31">
      <c r="AE27305" s="54"/>
    </row>
    <row r="27306" spans="31:31">
      <c r="AE27306" s="54"/>
    </row>
    <row r="27307" spans="31:31">
      <c r="AE27307" s="54"/>
    </row>
    <row r="27308" spans="31:31">
      <c r="AE27308" s="54"/>
    </row>
    <row r="27309" spans="31:31">
      <c r="AE27309" s="54"/>
    </row>
    <row r="27310" spans="31:31">
      <c r="AE27310" s="54"/>
    </row>
    <row r="27311" spans="31:31">
      <c r="AE27311" s="54"/>
    </row>
    <row r="27312" spans="31:31">
      <c r="AE27312" s="54"/>
    </row>
    <row r="27313" spans="31:31">
      <c r="AE27313" s="54"/>
    </row>
    <row r="27314" spans="31:31">
      <c r="AE27314" s="54"/>
    </row>
    <row r="27315" spans="31:31">
      <c r="AE27315" s="54"/>
    </row>
    <row r="27316" spans="31:31">
      <c r="AE27316" s="54"/>
    </row>
    <row r="27317" spans="31:31">
      <c r="AE27317" s="54"/>
    </row>
    <row r="27318" spans="31:31">
      <c r="AE27318" s="54"/>
    </row>
    <row r="27319" spans="31:31">
      <c r="AE27319" s="54"/>
    </row>
    <row r="27320" spans="31:31">
      <c r="AE27320" s="54"/>
    </row>
    <row r="27321" spans="31:31">
      <c r="AE27321" s="54"/>
    </row>
    <row r="27322" spans="31:31">
      <c r="AE27322" s="54"/>
    </row>
    <row r="27323" spans="31:31">
      <c r="AE27323" s="54"/>
    </row>
    <row r="27324" spans="31:31">
      <c r="AE27324" s="54"/>
    </row>
    <row r="27325" spans="31:31">
      <c r="AE27325" s="54"/>
    </row>
    <row r="27326" spans="31:31">
      <c r="AE27326" s="54"/>
    </row>
    <row r="27327" spans="31:31">
      <c r="AE27327" s="54"/>
    </row>
    <row r="27328" spans="31:31">
      <c r="AE27328" s="54"/>
    </row>
    <row r="27329" spans="31:31">
      <c r="AE27329" s="54"/>
    </row>
    <row r="27330" spans="31:31">
      <c r="AE27330" s="54"/>
    </row>
    <row r="27331" spans="31:31">
      <c r="AE27331" s="54"/>
    </row>
    <row r="27332" spans="31:31">
      <c r="AE27332" s="54"/>
    </row>
    <row r="27333" spans="31:31">
      <c r="AE27333" s="54"/>
    </row>
    <row r="27334" spans="31:31">
      <c r="AE27334" s="54"/>
    </row>
    <row r="27335" spans="31:31">
      <c r="AE27335" s="54"/>
    </row>
    <row r="27336" spans="31:31">
      <c r="AE27336" s="54"/>
    </row>
    <row r="27337" spans="31:31">
      <c r="AE27337" s="54"/>
    </row>
    <row r="27338" spans="31:31">
      <c r="AE27338" s="54"/>
    </row>
    <row r="27339" spans="31:31">
      <c r="AE27339" s="54"/>
    </row>
    <row r="27340" spans="31:31">
      <c r="AE27340" s="54"/>
    </row>
    <row r="27341" spans="31:31">
      <c r="AE27341" s="54"/>
    </row>
    <row r="27342" spans="31:31">
      <c r="AE27342" s="54"/>
    </row>
    <row r="27343" spans="31:31">
      <c r="AE27343" s="54"/>
    </row>
    <row r="27344" spans="31:31">
      <c r="AE27344" s="54"/>
    </row>
    <row r="27345" spans="31:31">
      <c r="AE27345" s="54"/>
    </row>
    <row r="27346" spans="31:31">
      <c r="AE27346" s="54"/>
    </row>
    <row r="27347" spans="31:31">
      <c r="AE27347" s="54"/>
    </row>
    <row r="27348" spans="31:31">
      <c r="AE27348" s="54"/>
    </row>
    <row r="27349" spans="31:31">
      <c r="AE27349" s="54"/>
    </row>
    <row r="27350" spans="31:31">
      <c r="AE27350" s="54"/>
    </row>
    <row r="27351" spans="31:31">
      <c r="AE27351" s="54"/>
    </row>
    <row r="27352" spans="31:31">
      <c r="AE27352" s="54"/>
    </row>
    <row r="27353" spans="31:31">
      <c r="AE27353" s="54"/>
    </row>
    <row r="27354" spans="31:31">
      <c r="AE27354" s="54"/>
    </row>
    <row r="27355" spans="31:31">
      <c r="AE27355" s="54"/>
    </row>
    <row r="27356" spans="31:31">
      <c r="AE27356" s="54"/>
    </row>
    <row r="27357" spans="31:31">
      <c r="AE27357" s="54"/>
    </row>
    <row r="27358" spans="31:31">
      <c r="AE27358" s="54"/>
    </row>
    <row r="27359" spans="31:31">
      <c r="AE27359" s="54"/>
    </row>
    <row r="27360" spans="31:31">
      <c r="AE27360" s="54"/>
    </row>
    <row r="27361" spans="31:31">
      <c r="AE27361" s="54"/>
    </row>
    <row r="27362" spans="31:31">
      <c r="AE27362" s="54"/>
    </row>
    <row r="27363" spans="31:31">
      <c r="AE27363" s="54"/>
    </row>
    <row r="27364" spans="31:31">
      <c r="AE27364" s="54"/>
    </row>
    <row r="27365" spans="31:31">
      <c r="AE27365" s="54"/>
    </row>
    <row r="27366" spans="31:31">
      <c r="AE27366" s="54"/>
    </row>
    <row r="27367" spans="31:31">
      <c r="AE27367" s="54"/>
    </row>
    <row r="27368" spans="31:31">
      <c r="AE27368" s="54"/>
    </row>
    <row r="27369" spans="31:31">
      <c r="AE27369" s="54"/>
    </row>
    <row r="27370" spans="31:31">
      <c r="AE27370" s="54"/>
    </row>
    <row r="27371" spans="31:31">
      <c r="AE27371" s="54"/>
    </row>
    <row r="27372" spans="31:31">
      <c r="AE27372" s="54"/>
    </row>
    <row r="27373" spans="31:31">
      <c r="AE27373" s="54"/>
    </row>
    <row r="27374" spans="31:31">
      <c r="AE27374" s="54"/>
    </row>
    <row r="27375" spans="31:31">
      <c r="AE27375" s="54"/>
    </row>
    <row r="27376" spans="31:31">
      <c r="AE27376" s="54"/>
    </row>
    <row r="27377" spans="31:31">
      <c r="AE27377" s="54"/>
    </row>
    <row r="27378" spans="31:31">
      <c r="AE27378" s="54"/>
    </row>
    <row r="27379" spans="31:31">
      <c r="AE27379" s="54"/>
    </row>
    <row r="27380" spans="31:31">
      <c r="AE27380" s="54"/>
    </row>
    <row r="27381" spans="31:31">
      <c r="AE27381" s="54"/>
    </row>
    <row r="27382" spans="31:31">
      <c r="AE27382" s="54"/>
    </row>
    <row r="27383" spans="31:31">
      <c r="AE27383" s="54"/>
    </row>
    <row r="27384" spans="31:31">
      <c r="AE27384" s="54"/>
    </row>
    <row r="27385" spans="31:31">
      <c r="AE27385" s="54"/>
    </row>
    <row r="27386" spans="31:31">
      <c r="AE27386" s="54"/>
    </row>
    <row r="27387" spans="31:31">
      <c r="AE27387" s="54"/>
    </row>
    <row r="27388" spans="31:31">
      <c r="AE27388" s="54"/>
    </row>
    <row r="27389" spans="31:31">
      <c r="AE27389" s="54"/>
    </row>
    <row r="27390" spans="31:31">
      <c r="AE27390" s="54"/>
    </row>
    <row r="27391" spans="31:31">
      <c r="AE27391" s="54"/>
    </row>
    <row r="27392" spans="31:31">
      <c r="AE27392" s="54"/>
    </row>
    <row r="27393" spans="31:31">
      <c r="AE27393" s="54"/>
    </row>
    <row r="27394" spans="31:31">
      <c r="AE27394" s="54"/>
    </row>
    <row r="27395" spans="31:31">
      <c r="AE27395" s="54"/>
    </row>
    <row r="27396" spans="31:31">
      <c r="AE27396" s="54"/>
    </row>
    <row r="27397" spans="31:31">
      <c r="AE27397" s="54"/>
    </row>
    <row r="27398" spans="31:31">
      <c r="AE27398" s="54"/>
    </row>
    <row r="27399" spans="31:31">
      <c r="AE27399" s="54"/>
    </row>
    <row r="27400" spans="31:31">
      <c r="AE27400" s="54"/>
    </row>
    <row r="27401" spans="31:31">
      <c r="AE27401" s="54"/>
    </row>
    <row r="27402" spans="31:31">
      <c r="AE27402" s="54"/>
    </row>
    <row r="27403" spans="31:31">
      <c r="AE27403" s="54"/>
    </row>
    <row r="27404" spans="31:31">
      <c r="AE27404" s="54"/>
    </row>
    <row r="27405" spans="31:31">
      <c r="AE27405" s="54"/>
    </row>
    <row r="27406" spans="31:31">
      <c r="AE27406" s="54"/>
    </row>
    <row r="27407" spans="31:31">
      <c r="AE27407" s="54"/>
    </row>
    <row r="27408" spans="31:31">
      <c r="AE27408" s="54"/>
    </row>
    <row r="27409" spans="31:31">
      <c r="AE27409" s="54"/>
    </row>
    <row r="27410" spans="31:31">
      <c r="AE27410" s="54"/>
    </row>
    <row r="27411" spans="31:31">
      <c r="AE27411" s="54"/>
    </row>
    <row r="27412" spans="31:31">
      <c r="AE27412" s="54"/>
    </row>
    <row r="27413" spans="31:31">
      <c r="AE27413" s="54"/>
    </row>
    <row r="27414" spans="31:31">
      <c r="AE27414" s="54"/>
    </row>
    <row r="27415" spans="31:31">
      <c r="AE27415" s="54"/>
    </row>
    <row r="27416" spans="31:31">
      <c r="AE27416" s="54"/>
    </row>
    <row r="27417" spans="31:31">
      <c r="AE27417" s="54"/>
    </row>
    <row r="27418" spans="31:31">
      <c r="AE27418" s="54"/>
    </row>
    <row r="27419" spans="31:31">
      <c r="AE27419" s="54"/>
    </row>
    <row r="27420" spans="31:31">
      <c r="AE27420" s="54"/>
    </row>
    <row r="27421" spans="31:31">
      <c r="AE27421" s="54"/>
    </row>
    <row r="27422" spans="31:31">
      <c r="AE27422" s="54"/>
    </row>
    <row r="27423" spans="31:31">
      <c r="AE27423" s="54"/>
    </row>
    <row r="27424" spans="31:31">
      <c r="AE27424" s="54"/>
    </row>
    <row r="27425" spans="31:31">
      <c r="AE27425" s="54"/>
    </row>
    <row r="27426" spans="31:31">
      <c r="AE27426" s="54"/>
    </row>
    <row r="27427" spans="31:31">
      <c r="AE27427" s="54"/>
    </row>
    <row r="27428" spans="31:31">
      <c r="AE27428" s="54"/>
    </row>
    <row r="27429" spans="31:31">
      <c r="AE27429" s="54"/>
    </row>
    <row r="27430" spans="31:31">
      <c r="AE27430" s="54"/>
    </row>
    <row r="27431" spans="31:31">
      <c r="AE27431" s="54"/>
    </row>
    <row r="27432" spans="31:31">
      <c r="AE27432" s="54"/>
    </row>
    <row r="27433" spans="31:31">
      <c r="AE27433" s="54"/>
    </row>
    <row r="27434" spans="31:31">
      <c r="AE27434" s="54"/>
    </row>
    <row r="27435" spans="31:31">
      <c r="AE27435" s="54"/>
    </row>
    <row r="27436" spans="31:31">
      <c r="AE27436" s="54"/>
    </row>
    <row r="27437" spans="31:31">
      <c r="AE27437" s="54"/>
    </row>
    <row r="27438" spans="31:31">
      <c r="AE27438" s="54"/>
    </row>
    <row r="27439" spans="31:31">
      <c r="AE27439" s="54"/>
    </row>
    <row r="27440" spans="31:31">
      <c r="AE27440" s="54"/>
    </row>
    <row r="27441" spans="31:31">
      <c r="AE27441" s="54"/>
    </row>
    <row r="27442" spans="31:31">
      <c r="AE27442" s="54"/>
    </row>
    <row r="27443" spans="31:31">
      <c r="AE27443" s="54"/>
    </row>
    <row r="27444" spans="31:31">
      <c r="AE27444" s="54"/>
    </row>
    <row r="27445" spans="31:31">
      <c r="AE27445" s="54"/>
    </row>
    <row r="27446" spans="31:31">
      <c r="AE27446" s="54"/>
    </row>
    <row r="27447" spans="31:31">
      <c r="AE27447" s="54"/>
    </row>
    <row r="27448" spans="31:31">
      <c r="AE27448" s="54"/>
    </row>
    <row r="27449" spans="31:31">
      <c r="AE27449" s="54"/>
    </row>
    <row r="27450" spans="31:31">
      <c r="AE27450" s="54"/>
    </row>
    <row r="27451" spans="31:31">
      <c r="AE27451" s="54"/>
    </row>
    <row r="27452" spans="31:31">
      <c r="AE27452" s="54"/>
    </row>
    <row r="27453" spans="31:31">
      <c r="AE27453" s="54"/>
    </row>
    <row r="27454" spans="31:31">
      <c r="AE27454" s="54"/>
    </row>
    <row r="27455" spans="31:31">
      <c r="AE27455" s="54"/>
    </row>
    <row r="27456" spans="31:31">
      <c r="AE27456" s="54"/>
    </row>
    <row r="27457" spans="31:31">
      <c r="AE27457" s="54"/>
    </row>
    <row r="27458" spans="31:31">
      <c r="AE27458" s="54"/>
    </row>
    <row r="27459" spans="31:31">
      <c r="AE27459" s="54"/>
    </row>
    <row r="27460" spans="31:31">
      <c r="AE27460" s="54"/>
    </row>
    <row r="27461" spans="31:31">
      <c r="AE27461" s="54"/>
    </row>
    <row r="27462" spans="31:31">
      <c r="AE27462" s="54"/>
    </row>
    <row r="27463" spans="31:31">
      <c r="AE27463" s="54"/>
    </row>
    <row r="27464" spans="31:31">
      <c r="AE27464" s="54"/>
    </row>
    <row r="27465" spans="31:31">
      <c r="AE27465" s="54"/>
    </row>
    <row r="27466" spans="31:31">
      <c r="AE27466" s="54"/>
    </row>
    <row r="27467" spans="31:31">
      <c r="AE27467" s="54"/>
    </row>
    <row r="27468" spans="31:31">
      <c r="AE27468" s="54"/>
    </row>
    <row r="27469" spans="31:31">
      <c r="AE27469" s="54"/>
    </row>
    <row r="27470" spans="31:31">
      <c r="AE27470" s="54"/>
    </row>
    <row r="27471" spans="31:31">
      <c r="AE27471" s="54"/>
    </row>
    <row r="27472" spans="31:31">
      <c r="AE27472" s="54"/>
    </row>
    <row r="27473" spans="31:31">
      <c r="AE27473" s="54"/>
    </row>
    <row r="27474" spans="31:31">
      <c r="AE27474" s="54"/>
    </row>
    <row r="27475" spans="31:31">
      <c r="AE27475" s="54"/>
    </row>
    <row r="27476" spans="31:31">
      <c r="AE27476" s="54"/>
    </row>
    <row r="27477" spans="31:31">
      <c r="AE27477" s="54"/>
    </row>
    <row r="27478" spans="31:31">
      <c r="AE27478" s="54"/>
    </row>
    <row r="27479" spans="31:31">
      <c r="AE27479" s="54"/>
    </row>
    <row r="27480" spans="31:31">
      <c r="AE27480" s="54"/>
    </row>
    <row r="27481" spans="31:31">
      <c r="AE27481" s="54"/>
    </row>
    <row r="27482" spans="31:31">
      <c r="AE27482" s="54"/>
    </row>
    <row r="27483" spans="31:31">
      <c r="AE27483" s="54"/>
    </row>
    <row r="27484" spans="31:31">
      <c r="AE27484" s="54"/>
    </row>
    <row r="27485" spans="31:31">
      <c r="AE27485" s="54"/>
    </row>
    <row r="27486" spans="31:31">
      <c r="AE27486" s="54"/>
    </row>
    <row r="27487" spans="31:31">
      <c r="AE27487" s="54"/>
    </row>
    <row r="27488" spans="31:31">
      <c r="AE27488" s="54"/>
    </row>
    <row r="27489" spans="31:31">
      <c r="AE27489" s="54"/>
    </row>
    <row r="27490" spans="31:31">
      <c r="AE27490" s="54"/>
    </row>
    <row r="27491" spans="31:31">
      <c r="AE27491" s="54"/>
    </row>
    <row r="27492" spans="31:31">
      <c r="AE27492" s="54"/>
    </row>
    <row r="27493" spans="31:31">
      <c r="AE27493" s="54"/>
    </row>
    <row r="27494" spans="31:31">
      <c r="AE27494" s="54"/>
    </row>
    <row r="27495" spans="31:31">
      <c r="AE27495" s="54"/>
    </row>
    <row r="27496" spans="31:31">
      <c r="AE27496" s="54"/>
    </row>
    <row r="27497" spans="31:31">
      <c r="AE27497" s="54"/>
    </row>
    <row r="27498" spans="31:31">
      <c r="AE27498" s="54"/>
    </row>
    <row r="27499" spans="31:31">
      <c r="AE27499" s="54"/>
    </row>
    <row r="27500" spans="31:31">
      <c r="AE27500" s="54"/>
    </row>
    <row r="27501" spans="31:31">
      <c r="AE27501" s="54"/>
    </row>
    <row r="27502" spans="31:31">
      <c r="AE27502" s="54"/>
    </row>
    <row r="27503" spans="31:31">
      <c r="AE27503" s="54"/>
    </row>
    <row r="27504" spans="31:31">
      <c r="AE27504" s="54"/>
    </row>
    <row r="27505" spans="31:31">
      <c r="AE27505" s="54"/>
    </row>
    <row r="27506" spans="31:31">
      <c r="AE27506" s="54"/>
    </row>
    <row r="27507" spans="31:31">
      <c r="AE27507" s="54"/>
    </row>
    <row r="27508" spans="31:31">
      <c r="AE27508" s="54"/>
    </row>
    <row r="27509" spans="31:31">
      <c r="AE27509" s="54"/>
    </row>
    <row r="27510" spans="31:31">
      <c r="AE27510" s="54"/>
    </row>
    <row r="27511" spans="31:31">
      <c r="AE27511" s="54"/>
    </row>
    <row r="27512" spans="31:31">
      <c r="AE27512" s="54"/>
    </row>
    <row r="27513" spans="31:31">
      <c r="AE27513" s="54"/>
    </row>
    <row r="27514" spans="31:31">
      <c r="AE27514" s="54"/>
    </row>
    <row r="27515" spans="31:31">
      <c r="AE27515" s="54"/>
    </row>
    <row r="27516" spans="31:31">
      <c r="AE27516" s="54"/>
    </row>
    <row r="27517" spans="31:31">
      <c r="AE27517" s="54"/>
    </row>
    <row r="27518" spans="31:31">
      <c r="AE27518" s="54"/>
    </row>
    <row r="27519" spans="31:31">
      <c r="AE27519" s="54"/>
    </row>
    <row r="27520" spans="31:31">
      <c r="AE27520" s="54"/>
    </row>
    <row r="27521" spans="31:31">
      <c r="AE27521" s="54"/>
    </row>
    <row r="27522" spans="31:31">
      <c r="AE27522" s="54"/>
    </row>
    <row r="27523" spans="31:31">
      <c r="AE27523" s="54"/>
    </row>
    <row r="27524" spans="31:31">
      <c r="AE27524" s="54"/>
    </row>
    <row r="27525" spans="31:31">
      <c r="AE27525" s="54"/>
    </row>
    <row r="27526" spans="31:31">
      <c r="AE27526" s="54"/>
    </row>
    <row r="27527" spans="31:31">
      <c r="AE27527" s="54"/>
    </row>
    <row r="27528" spans="31:31">
      <c r="AE27528" s="54"/>
    </row>
    <row r="27529" spans="31:31">
      <c r="AE27529" s="54"/>
    </row>
    <row r="27530" spans="31:31">
      <c r="AE27530" s="54"/>
    </row>
    <row r="27531" spans="31:31">
      <c r="AE27531" s="54"/>
    </row>
    <row r="27532" spans="31:31">
      <c r="AE27532" s="54"/>
    </row>
    <row r="27533" spans="31:31">
      <c r="AE27533" s="54"/>
    </row>
    <row r="27534" spans="31:31">
      <c r="AE27534" s="54"/>
    </row>
    <row r="27535" spans="31:31">
      <c r="AE27535" s="54"/>
    </row>
    <row r="27536" spans="31:31">
      <c r="AE27536" s="54"/>
    </row>
    <row r="27537" spans="31:31">
      <c r="AE27537" s="54"/>
    </row>
    <row r="27538" spans="31:31">
      <c r="AE27538" s="54"/>
    </row>
    <row r="27539" spans="31:31">
      <c r="AE27539" s="54"/>
    </row>
    <row r="27540" spans="31:31">
      <c r="AE27540" s="54"/>
    </row>
    <row r="27541" spans="31:31">
      <c r="AE27541" s="54"/>
    </row>
    <row r="27542" spans="31:31">
      <c r="AE27542" s="54"/>
    </row>
    <row r="27543" spans="31:31">
      <c r="AE27543" s="54"/>
    </row>
    <row r="27544" spans="31:31">
      <c r="AE27544" s="54"/>
    </row>
    <row r="27545" spans="31:31">
      <c r="AE27545" s="54"/>
    </row>
    <row r="27546" spans="31:31">
      <c r="AE27546" s="54"/>
    </row>
    <row r="27547" spans="31:31">
      <c r="AE27547" s="54"/>
    </row>
    <row r="27548" spans="31:31">
      <c r="AE27548" s="54"/>
    </row>
    <row r="27549" spans="31:31">
      <c r="AE27549" s="54"/>
    </row>
    <row r="27550" spans="31:31">
      <c r="AE27550" s="54"/>
    </row>
    <row r="27551" spans="31:31">
      <c r="AE27551" s="54"/>
    </row>
    <row r="27552" spans="31:31">
      <c r="AE27552" s="54"/>
    </row>
    <row r="27553" spans="31:31">
      <c r="AE27553" s="54"/>
    </row>
    <row r="27554" spans="31:31">
      <c r="AE27554" s="54"/>
    </row>
    <row r="27555" spans="31:31">
      <c r="AE27555" s="54"/>
    </row>
    <row r="27556" spans="31:31">
      <c r="AE27556" s="54"/>
    </row>
    <row r="27557" spans="31:31">
      <c r="AE27557" s="54"/>
    </row>
    <row r="27558" spans="31:31">
      <c r="AE27558" s="54"/>
    </row>
    <row r="27559" spans="31:31">
      <c r="AE27559" s="54"/>
    </row>
    <row r="27560" spans="31:31">
      <c r="AE27560" s="54"/>
    </row>
    <row r="27561" spans="31:31">
      <c r="AE27561" s="54"/>
    </row>
    <row r="27562" spans="31:31">
      <c r="AE27562" s="54"/>
    </row>
    <row r="27563" spans="31:31">
      <c r="AE27563" s="54"/>
    </row>
    <row r="27564" spans="31:31">
      <c r="AE27564" s="54"/>
    </row>
    <row r="27565" spans="31:31">
      <c r="AE27565" s="54"/>
    </row>
    <row r="27566" spans="31:31">
      <c r="AE27566" s="54"/>
    </row>
    <row r="27567" spans="31:31">
      <c r="AE27567" s="54"/>
    </row>
    <row r="27568" spans="31:31">
      <c r="AE27568" s="54"/>
    </row>
    <row r="27569" spans="31:31">
      <c r="AE27569" s="54"/>
    </row>
    <row r="27570" spans="31:31">
      <c r="AE27570" s="54"/>
    </row>
    <row r="27571" spans="31:31">
      <c r="AE27571" s="54"/>
    </row>
    <row r="27572" spans="31:31">
      <c r="AE27572" s="54"/>
    </row>
    <row r="27573" spans="31:31">
      <c r="AE27573" s="54"/>
    </row>
    <row r="27574" spans="31:31">
      <c r="AE27574" s="54"/>
    </row>
    <row r="27575" spans="31:31">
      <c r="AE27575" s="54"/>
    </row>
    <row r="27576" spans="31:31">
      <c r="AE27576" s="54"/>
    </row>
    <row r="27577" spans="31:31">
      <c r="AE27577" s="54"/>
    </row>
    <row r="27578" spans="31:31">
      <c r="AE27578" s="54"/>
    </row>
    <row r="27579" spans="31:31">
      <c r="AE27579" s="54"/>
    </row>
    <row r="27580" spans="31:31">
      <c r="AE27580" s="54"/>
    </row>
    <row r="27581" spans="31:31">
      <c r="AE27581" s="54"/>
    </row>
    <row r="27582" spans="31:31">
      <c r="AE27582" s="54"/>
    </row>
    <row r="27583" spans="31:31">
      <c r="AE27583" s="54"/>
    </row>
    <row r="27584" spans="31:31">
      <c r="AE27584" s="54"/>
    </row>
    <row r="27585" spans="31:31">
      <c r="AE27585" s="54"/>
    </row>
    <row r="27586" spans="31:31">
      <c r="AE27586" s="54"/>
    </row>
    <row r="27587" spans="31:31">
      <c r="AE27587" s="54"/>
    </row>
    <row r="27588" spans="31:31">
      <c r="AE27588" s="54"/>
    </row>
    <row r="27589" spans="31:31">
      <c r="AE27589" s="54"/>
    </row>
    <row r="27590" spans="31:31">
      <c r="AE27590" s="54"/>
    </row>
    <row r="27591" spans="31:31">
      <c r="AE27591" s="54"/>
    </row>
    <row r="27592" spans="31:31">
      <c r="AE27592" s="54"/>
    </row>
    <row r="27593" spans="31:31">
      <c r="AE27593" s="54"/>
    </row>
    <row r="27594" spans="31:31">
      <c r="AE27594" s="54"/>
    </row>
    <row r="27595" spans="31:31">
      <c r="AE27595" s="54"/>
    </row>
    <row r="27596" spans="31:31">
      <c r="AE27596" s="54"/>
    </row>
    <row r="27597" spans="31:31">
      <c r="AE27597" s="54"/>
    </row>
    <row r="27598" spans="31:31">
      <c r="AE27598" s="54"/>
    </row>
    <row r="27599" spans="31:31">
      <c r="AE27599" s="54"/>
    </row>
    <row r="27600" spans="31:31">
      <c r="AE27600" s="54"/>
    </row>
    <row r="27601" spans="31:31">
      <c r="AE27601" s="54"/>
    </row>
    <row r="27602" spans="31:31">
      <c r="AE27602" s="54"/>
    </row>
    <row r="27603" spans="31:31">
      <c r="AE27603" s="54"/>
    </row>
    <row r="27604" spans="31:31">
      <c r="AE27604" s="54"/>
    </row>
    <row r="27605" spans="31:31">
      <c r="AE27605" s="54"/>
    </row>
    <row r="27606" spans="31:31">
      <c r="AE27606" s="54"/>
    </row>
    <row r="27607" spans="31:31">
      <c r="AE27607" s="54"/>
    </row>
    <row r="27608" spans="31:31">
      <c r="AE27608" s="54"/>
    </row>
    <row r="27609" spans="31:31">
      <c r="AE27609" s="54"/>
    </row>
    <row r="27610" spans="31:31">
      <c r="AE27610" s="54"/>
    </row>
    <row r="27611" spans="31:31">
      <c r="AE27611" s="54"/>
    </row>
    <row r="27612" spans="31:31">
      <c r="AE27612" s="54"/>
    </row>
    <row r="27613" spans="31:31">
      <c r="AE27613" s="54"/>
    </row>
    <row r="27614" spans="31:31">
      <c r="AE27614" s="54"/>
    </row>
    <row r="27615" spans="31:31">
      <c r="AE27615" s="54"/>
    </row>
    <row r="27616" spans="31:31">
      <c r="AE27616" s="54"/>
    </row>
    <row r="27617" spans="31:31">
      <c r="AE27617" s="54"/>
    </row>
    <row r="27618" spans="31:31">
      <c r="AE27618" s="54"/>
    </row>
    <row r="27619" spans="31:31">
      <c r="AE27619" s="54"/>
    </row>
    <row r="27620" spans="31:31">
      <c r="AE27620" s="54"/>
    </row>
    <row r="27621" spans="31:31">
      <c r="AE27621" s="54"/>
    </row>
    <row r="27622" spans="31:31">
      <c r="AE27622" s="54"/>
    </row>
    <row r="27623" spans="31:31">
      <c r="AE27623" s="54"/>
    </row>
    <row r="27624" spans="31:31">
      <c r="AE27624" s="54"/>
    </row>
    <row r="27625" spans="31:31">
      <c r="AE27625" s="54"/>
    </row>
    <row r="27626" spans="31:31">
      <c r="AE27626" s="54"/>
    </row>
    <row r="27627" spans="31:31">
      <c r="AE27627" s="54"/>
    </row>
    <row r="27628" spans="31:31">
      <c r="AE27628" s="54"/>
    </row>
    <row r="27629" spans="31:31">
      <c r="AE27629" s="54"/>
    </row>
    <row r="27630" spans="31:31">
      <c r="AE27630" s="54"/>
    </row>
    <row r="27631" spans="31:31">
      <c r="AE27631" s="54"/>
    </row>
    <row r="27632" spans="31:31">
      <c r="AE27632" s="54"/>
    </row>
    <row r="27633" spans="31:31">
      <c r="AE27633" s="54"/>
    </row>
    <row r="27634" spans="31:31">
      <c r="AE27634" s="54"/>
    </row>
    <row r="27635" spans="31:31">
      <c r="AE27635" s="54"/>
    </row>
    <row r="27636" spans="31:31">
      <c r="AE27636" s="54"/>
    </row>
    <row r="27637" spans="31:31">
      <c r="AE27637" s="54"/>
    </row>
    <row r="27638" spans="31:31">
      <c r="AE27638" s="54"/>
    </row>
    <row r="27639" spans="31:31">
      <c r="AE27639" s="54"/>
    </row>
    <row r="27640" spans="31:31">
      <c r="AE27640" s="54"/>
    </row>
    <row r="27641" spans="31:31">
      <c r="AE27641" s="54"/>
    </row>
    <row r="27642" spans="31:31">
      <c r="AE27642" s="54"/>
    </row>
    <row r="27643" spans="31:31">
      <c r="AE27643" s="54"/>
    </row>
    <row r="27644" spans="31:31">
      <c r="AE27644" s="54"/>
    </row>
    <row r="27645" spans="31:31">
      <c r="AE27645" s="54"/>
    </row>
    <row r="27646" spans="31:31">
      <c r="AE27646" s="54"/>
    </row>
    <row r="27647" spans="31:31">
      <c r="AE27647" s="54"/>
    </row>
    <row r="27648" spans="31:31">
      <c r="AE27648" s="54"/>
    </row>
    <row r="27649" spans="31:31">
      <c r="AE27649" s="54"/>
    </row>
    <row r="27650" spans="31:31">
      <c r="AE27650" s="54"/>
    </row>
    <row r="27651" spans="31:31">
      <c r="AE27651" s="54"/>
    </row>
    <row r="27652" spans="31:31">
      <c r="AE27652" s="54"/>
    </row>
    <row r="27653" spans="31:31">
      <c r="AE27653" s="54"/>
    </row>
    <row r="27654" spans="31:31">
      <c r="AE27654" s="54"/>
    </row>
    <row r="27655" spans="31:31">
      <c r="AE27655" s="54"/>
    </row>
    <row r="27656" spans="31:31">
      <c r="AE27656" s="54"/>
    </row>
    <row r="27657" spans="31:31">
      <c r="AE27657" s="54"/>
    </row>
    <row r="27658" spans="31:31">
      <c r="AE27658" s="54"/>
    </row>
    <row r="27659" spans="31:31">
      <c r="AE27659" s="54"/>
    </row>
    <row r="27660" spans="31:31">
      <c r="AE27660" s="54"/>
    </row>
    <row r="27661" spans="31:31">
      <c r="AE27661" s="54"/>
    </row>
    <row r="27662" spans="31:31">
      <c r="AE27662" s="54"/>
    </row>
    <row r="27663" spans="31:31">
      <c r="AE27663" s="54"/>
    </row>
    <row r="27664" spans="31:31">
      <c r="AE27664" s="54"/>
    </row>
    <row r="27665" spans="31:31">
      <c r="AE27665" s="54"/>
    </row>
    <row r="27666" spans="31:31">
      <c r="AE27666" s="54"/>
    </row>
    <row r="27667" spans="31:31">
      <c r="AE27667" s="54"/>
    </row>
    <row r="27668" spans="31:31">
      <c r="AE27668" s="54"/>
    </row>
    <row r="27669" spans="31:31">
      <c r="AE27669" s="54"/>
    </row>
    <row r="27670" spans="31:31">
      <c r="AE27670" s="54"/>
    </row>
    <row r="27671" spans="31:31">
      <c r="AE27671" s="54"/>
    </row>
    <row r="27672" spans="31:31">
      <c r="AE27672" s="54"/>
    </row>
    <row r="27673" spans="31:31">
      <c r="AE27673" s="54"/>
    </row>
    <row r="27674" spans="31:31">
      <c r="AE27674" s="54"/>
    </row>
    <row r="27675" spans="31:31">
      <c r="AE27675" s="54"/>
    </row>
    <row r="27676" spans="31:31">
      <c r="AE27676" s="54"/>
    </row>
    <row r="27677" spans="31:31">
      <c r="AE27677" s="54"/>
    </row>
    <row r="27678" spans="31:31">
      <c r="AE27678" s="54"/>
    </row>
    <row r="27679" spans="31:31">
      <c r="AE27679" s="54"/>
    </row>
    <row r="27680" spans="31:31">
      <c r="AE27680" s="54"/>
    </row>
    <row r="27681" spans="31:31">
      <c r="AE27681" s="54"/>
    </row>
    <row r="27682" spans="31:31">
      <c r="AE27682" s="54"/>
    </row>
    <row r="27683" spans="31:31">
      <c r="AE27683" s="54"/>
    </row>
    <row r="27684" spans="31:31">
      <c r="AE27684" s="54"/>
    </row>
    <row r="27685" spans="31:31">
      <c r="AE27685" s="54"/>
    </row>
    <row r="27686" spans="31:31">
      <c r="AE27686" s="54"/>
    </row>
    <row r="27687" spans="31:31">
      <c r="AE27687" s="54"/>
    </row>
    <row r="27688" spans="31:31">
      <c r="AE27688" s="54"/>
    </row>
    <row r="27689" spans="31:31">
      <c r="AE27689" s="54"/>
    </row>
    <row r="27690" spans="31:31">
      <c r="AE27690" s="54"/>
    </row>
    <row r="27691" spans="31:31">
      <c r="AE27691" s="54"/>
    </row>
    <row r="27692" spans="31:31">
      <c r="AE27692" s="54"/>
    </row>
    <row r="27693" spans="31:31">
      <c r="AE27693" s="54"/>
    </row>
    <row r="27694" spans="31:31">
      <c r="AE27694" s="54"/>
    </row>
    <row r="27695" spans="31:31">
      <c r="AE27695" s="54"/>
    </row>
    <row r="27696" spans="31:31">
      <c r="AE27696" s="54"/>
    </row>
    <row r="27697" spans="31:31">
      <c r="AE27697" s="54"/>
    </row>
    <row r="27698" spans="31:31">
      <c r="AE27698" s="54"/>
    </row>
    <row r="27699" spans="31:31">
      <c r="AE27699" s="54"/>
    </row>
    <row r="27700" spans="31:31">
      <c r="AE27700" s="54"/>
    </row>
    <row r="27701" spans="31:31">
      <c r="AE27701" s="54"/>
    </row>
    <row r="27702" spans="31:31">
      <c r="AE27702" s="54"/>
    </row>
    <row r="27703" spans="31:31">
      <c r="AE27703" s="54"/>
    </row>
    <row r="27704" spans="31:31">
      <c r="AE27704" s="54"/>
    </row>
    <row r="27705" spans="31:31">
      <c r="AE27705" s="54"/>
    </row>
    <row r="27706" spans="31:31">
      <c r="AE27706" s="54"/>
    </row>
    <row r="27707" spans="31:31">
      <c r="AE27707" s="54"/>
    </row>
    <row r="27708" spans="31:31">
      <c r="AE27708" s="54"/>
    </row>
    <row r="27709" spans="31:31">
      <c r="AE27709" s="54"/>
    </row>
    <row r="27710" spans="31:31">
      <c r="AE27710" s="54"/>
    </row>
    <row r="27711" spans="31:31">
      <c r="AE27711" s="54"/>
    </row>
    <row r="27712" spans="31:31">
      <c r="AE27712" s="54"/>
    </row>
    <row r="27713" spans="31:31">
      <c r="AE27713" s="54"/>
    </row>
    <row r="27714" spans="31:31">
      <c r="AE27714" s="54"/>
    </row>
    <row r="27715" spans="31:31">
      <c r="AE27715" s="54"/>
    </row>
    <row r="27716" spans="31:31">
      <c r="AE27716" s="54"/>
    </row>
    <row r="27717" spans="31:31">
      <c r="AE27717" s="54"/>
    </row>
    <row r="27718" spans="31:31">
      <c r="AE27718" s="54"/>
    </row>
    <row r="27719" spans="31:31">
      <c r="AE27719" s="54"/>
    </row>
    <row r="27720" spans="31:31">
      <c r="AE27720" s="54"/>
    </row>
    <row r="27721" spans="31:31">
      <c r="AE27721" s="54"/>
    </row>
    <row r="27722" spans="31:31">
      <c r="AE27722" s="54"/>
    </row>
    <row r="27723" spans="31:31">
      <c r="AE27723" s="54"/>
    </row>
    <row r="27724" spans="31:31">
      <c r="AE27724" s="54"/>
    </row>
    <row r="27725" spans="31:31">
      <c r="AE27725" s="54"/>
    </row>
    <row r="27726" spans="31:31">
      <c r="AE27726" s="54"/>
    </row>
    <row r="27727" spans="31:31">
      <c r="AE27727" s="54"/>
    </row>
    <row r="27728" spans="31:31">
      <c r="AE27728" s="54"/>
    </row>
    <row r="27729" spans="31:31">
      <c r="AE27729" s="54"/>
    </row>
    <row r="27730" spans="31:31">
      <c r="AE27730" s="54"/>
    </row>
    <row r="27731" spans="31:31">
      <c r="AE27731" s="54"/>
    </row>
    <row r="27732" spans="31:31">
      <c r="AE27732" s="54"/>
    </row>
    <row r="27733" spans="31:31">
      <c r="AE27733" s="54"/>
    </row>
    <row r="27734" spans="31:31">
      <c r="AE27734" s="54"/>
    </row>
    <row r="27735" spans="31:31">
      <c r="AE27735" s="54"/>
    </row>
    <row r="27736" spans="31:31">
      <c r="AE27736" s="54"/>
    </row>
    <row r="27737" spans="31:31">
      <c r="AE27737" s="54"/>
    </row>
    <row r="27738" spans="31:31">
      <c r="AE27738" s="54"/>
    </row>
    <row r="27739" spans="31:31">
      <c r="AE27739" s="54"/>
    </row>
    <row r="27740" spans="31:31">
      <c r="AE27740" s="54"/>
    </row>
    <row r="27741" spans="31:31">
      <c r="AE27741" s="54"/>
    </row>
    <row r="27742" spans="31:31">
      <c r="AE27742" s="54"/>
    </row>
    <row r="27743" spans="31:31">
      <c r="AE27743" s="54"/>
    </row>
    <row r="27744" spans="31:31">
      <c r="AE27744" s="54"/>
    </row>
    <row r="27745" spans="31:31">
      <c r="AE27745" s="54"/>
    </row>
    <row r="27746" spans="31:31">
      <c r="AE27746" s="54"/>
    </row>
    <row r="27747" spans="31:31">
      <c r="AE27747" s="54"/>
    </row>
    <row r="27748" spans="31:31">
      <c r="AE27748" s="54"/>
    </row>
    <row r="27749" spans="31:31">
      <c r="AE27749" s="54"/>
    </row>
    <row r="27750" spans="31:31">
      <c r="AE27750" s="54"/>
    </row>
    <row r="27751" spans="31:31">
      <c r="AE27751" s="54"/>
    </row>
    <row r="27752" spans="31:31">
      <c r="AE27752" s="54"/>
    </row>
    <row r="27753" spans="31:31">
      <c r="AE27753" s="54"/>
    </row>
    <row r="27754" spans="31:31">
      <c r="AE27754" s="54"/>
    </row>
    <row r="27755" spans="31:31">
      <c r="AE27755" s="54"/>
    </row>
    <row r="27756" spans="31:31">
      <c r="AE27756" s="54"/>
    </row>
    <row r="27757" spans="31:31">
      <c r="AE27757" s="54"/>
    </row>
    <row r="27758" spans="31:31">
      <c r="AE27758" s="54"/>
    </row>
    <row r="27759" spans="31:31">
      <c r="AE27759" s="54"/>
    </row>
    <row r="27760" spans="31:31">
      <c r="AE27760" s="54"/>
    </row>
    <row r="27761" spans="31:31">
      <c r="AE27761" s="54"/>
    </row>
    <row r="27762" spans="31:31">
      <c r="AE27762" s="54"/>
    </row>
    <row r="27763" spans="31:31">
      <c r="AE27763" s="54"/>
    </row>
    <row r="27764" spans="31:31">
      <c r="AE27764" s="54"/>
    </row>
    <row r="27765" spans="31:31">
      <c r="AE27765" s="54"/>
    </row>
    <row r="27766" spans="31:31">
      <c r="AE27766" s="54"/>
    </row>
    <row r="27767" spans="31:31">
      <c r="AE27767" s="54"/>
    </row>
    <row r="27768" spans="31:31">
      <c r="AE27768" s="54"/>
    </row>
    <row r="27769" spans="31:31">
      <c r="AE27769" s="54"/>
    </row>
    <row r="27770" spans="31:31">
      <c r="AE27770" s="54"/>
    </row>
    <row r="27771" spans="31:31">
      <c r="AE27771" s="54"/>
    </row>
    <row r="27772" spans="31:31">
      <c r="AE27772" s="54"/>
    </row>
    <row r="27773" spans="31:31">
      <c r="AE27773" s="54"/>
    </row>
    <row r="27774" spans="31:31">
      <c r="AE27774" s="54"/>
    </row>
    <row r="27775" spans="31:31">
      <c r="AE27775" s="54"/>
    </row>
    <row r="27776" spans="31:31">
      <c r="AE27776" s="54"/>
    </row>
    <row r="27777" spans="31:31">
      <c r="AE27777" s="54"/>
    </row>
    <row r="27778" spans="31:31">
      <c r="AE27778" s="54"/>
    </row>
    <row r="27779" spans="31:31">
      <c r="AE27779" s="54"/>
    </row>
    <row r="27780" spans="31:31">
      <c r="AE27780" s="54"/>
    </row>
    <row r="27781" spans="31:31">
      <c r="AE27781" s="54"/>
    </row>
    <row r="27782" spans="31:31">
      <c r="AE27782" s="54"/>
    </row>
    <row r="27783" spans="31:31">
      <c r="AE27783" s="54"/>
    </row>
    <row r="27784" spans="31:31">
      <c r="AE27784" s="54"/>
    </row>
    <row r="27785" spans="31:31">
      <c r="AE27785" s="54"/>
    </row>
    <row r="27786" spans="31:31">
      <c r="AE27786" s="54"/>
    </row>
    <row r="27787" spans="31:31">
      <c r="AE27787" s="54"/>
    </row>
    <row r="27788" spans="31:31">
      <c r="AE27788" s="54"/>
    </row>
    <row r="27789" spans="31:31">
      <c r="AE27789" s="54"/>
    </row>
    <row r="27790" spans="31:31">
      <c r="AE27790" s="54"/>
    </row>
    <row r="27791" spans="31:31">
      <c r="AE27791" s="54"/>
    </row>
    <row r="27792" spans="31:31">
      <c r="AE27792" s="54"/>
    </row>
    <row r="27793" spans="31:31">
      <c r="AE27793" s="54"/>
    </row>
    <row r="27794" spans="31:31">
      <c r="AE27794" s="54"/>
    </row>
    <row r="27795" spans="31:31">
      <c r="AE27795" s="54"/>
    </row>
    <row r="27796" spans="31:31">
      <c r="AE27796" s="54"/>
    </row>
    <row r="27797" spans="31:31">
      <c r="AE27797" s="54"/>
    </row>
    <row r="27798" spans="31:31">
      <c r="AE27798" s="54"/>
    </row>
    <row r="27799" spans="31:31">
      <c r="AE27799" s="54"/>
    </row>
    <row r="27800" spans="31:31">
      <c r="AE27800" s="54"/>
    </row>
    <row r="27801" spans="31:31">
      <c r="AE27801" s="54"/>
    </row>
    <row r="27802" spans="31:31">
      <c r="AE27802" s="54"/>
    </row>
    <row r="27803" spans="31:31">
      <c r="AE27803" s="54"/>
    </row>
    <row r="27804" spans="31:31">
      <c r="AE27804" s="54"/>
    </row>
    <row r="27805" spans="31:31">
      <c r="AE27805" s="54"/>
    </row>
    <row r="27806" spans="31:31">
      <c r="AE27806" s="54"/>
    </row>
    <row r="27807" spans="31:31">
      <c r="AE27807" s="54"/>
    </row>
    <row r="27808" spans="31:31">
      <c r="AE27808" s="54"/>
    </row>
    <row r="27809" spans="31:31">
      <c r="AE27809" s="54"/>
    </row>
    <row r="27810" spans="31:31">
      <c r="AE27810" s="54"/>
    </row>
    <row r="27811" spans="31:31">
      <c r="AE27811" s="54"/>
    </row>
    <row r="27812" spans="31:31">
      <c r="AE27812" s="54"/>
    </row>
    <row r="27813" spans="31:31">
      <c r="AE27813" s="54"/>
    </row>
    <row r="27814" spans="31:31">
      <c r="AE27814" s="54"/>
    </row>
    <row r="27815" spans="31:31">
      <c r="AE27815" s="54"/>
    </row>
    <row r="27816" spans="31:31">
      <c r="AE27816" s="54"/>
    </row>
    <row r="27817" spans="31:31">
      <c r="AE27817" s="54"/>
    </row>
    <row r="27818" spans="31:31">
      <c r="AE27818" s="54"/>
    </row>
    <row r="27819" spans="31:31">
      <c r="AE27819" s="54"/>
    </row>
    <row r="27820" spans="31:31">
      <c r="AE27820" s="54"/>
    </row>
    <row r="27821" spans="31:31">
      <c r="AE27821" s="54"/>
    </row>
    <row r="27822" spans="31:31">
      <c r="AE27822" s="54"/>
    </row>
    <row r="27823" spans="31:31">
      <c r="AE27823" s="54"/>
    </row>
    <row r="27824" spans="31:31">
      <c r="AE27824" s="54"/>
    </row>
    <row r="27825" spans="31:31">
      <c r="AE27825" s="54"/>
    </row>
    <row r="27826" spans="31:31">
      <c r="AE27826" s="54"/>
    </row>
    <row r="27827" spans="31:31">
      <c r="AE27827" s="54"/>
    </row>
    <row r="27828" spans="31:31">
      <c r="AE27828" s="54"/>
    </row>
    <row r="27829" spans="31:31">
      <c r="AE27829" s="54"/>
    </row>
    <row r="27830" spans="31:31">
      <c r="AE27830" s="54"/>
    </row>
    <row r="27831" spans="31:31">
      <c r="AE27831" s="54"/>
    </row>
    <row r="27832" spans="31:31">
      <c r="AE27832" s="54"/>
    </row>
    <row r="27833" spans="31:31">
      <c r="AE27833" s="54"/>
    </row>
    <row r="27834" spans="31:31">
      <c r="AE27834" s="54"/>
    </row>
    <row r="27835" spans="31:31">
      <c r="AE27835" s="54"/>
    </row>
    <row r="27836" spans="31:31">
      <c r="AE27836" s="54"/>
    </row>
    <row r="27837" spans="31:31">
      <c r="AE27837" s="54"/>
    </row>
    <row r="27838" spans="31:31">
      <c r="AE27838" s="54"/>
    </row>
    <row r="27839" spans="31:31">
      <c r="AE27839" s="54"/>
    </row>
    <row r="27840" spans="31:31">
      <c r="AE27840" s="54"/>
    </row>
    <row r="27841" spans="31:31">
      <c r="AE27841" s="54"/>
    </row>
    <row r="27842" spans="31:31">
      <c r="AE27842" s="54"/>
    </row>
    <row r="27843" spans="31:31">
      <c r="AE27843" s="54"/>
    </row>
    <row r="27844" spans="31:31">
      <c r="AE27844" s="54"/>
    </row>
    <row r="27845" spans="31:31">
      <c r="AE27845" s="54"/>
    </row>
    <row r="27846" spans="31:31">
      <c r="AE27846" s="54"/>
    </row>
    <row r="27847" spans="31:31">
      <c r="AE27847" s="54"/>
    </row>
    <row r="27848" spans="31:31">
      <c r="AE27848" s="54"/>
    </row>
    <row r="27849" spans="31:31">
      <c r="AE27849" s="54"/>
    </row>
    <row r="27850" spans="31:31">
      <c r="AE27850" s="54"/>
    </row>
    <row r="27851" spans="31:31">
      <c r="AE27851" s="54"/>
    </row>
    <row r="27852" spans="31:31">
      <c r="AE27852" s="54"/>
    </row>
    <row r="27853" spans="31:31">
      <c r="AE27853" s="54"/>
    </row>
    <row r="27854" spans="31:31">
      <c r="AE27854" s="54"/>
    </row>
    <row r="27855" spans="31:31">
      <c r="AE27855" s="54"/>
    </row>
    <row r="27856" spans="31:31">
      <c r="AE27856" s="54"/>
    </row>
    <row r="27857" spans="31:31">
      <c r="AE27857" s="54"/>
    </row>
    <row r="27858" spans="31:31">
      <c r="AE27858" s="54"/>
    </row>
    <row r="27859" spans="31:31">
      <c r="AE27859" s="54"/>
    </row>
    <row r="27860" spans="31:31">
      <c r="AE27860" s="54"/>
    </row>
    <row r="27861" spans="31:31">
      <c r="AE27861" s="54"/>
    </row>
    <row r="27862" spans="31:31">
      <c r="AE27862" s="54"/>
    </row>
    <row r="27863" spans="31:31">
      <c r="AE27863" s="54"/>
    </row>
    <row r="27864" spans="31:31">
      <c r="AE27864" s="54"/>
    </row>
    <row r="27865" spans="31:31">
      <c r="AE27865" s="54"/>
    </row>
    <row r="27866" spans="31:31">
      <c r="AE27866" s="54"/>
    </row>
    <row r="27867" spans="31:31">
      <c r="AE27867" s="54"/>
    </row>
    <row r="27868" spans="31:31">
      <c r="AE27868" s="54"/>
    </row>
    <row r="27869" spans="31:31">
      <c r="AE27869" s="54"/>
    </row>
    <row r="27870" spans="31:31">
      <c r="AE27870" s="54"/>
    </row>
    <row r="27871" spans="31:31">
      <c r="AE27871" s="54"/>
    </row>
    <row r="27872" spans="31:31">
      <c r="AE27872" s="54"/>
    </row>
    <row r="27873" spans="31:31">
      <c r="AE27873" s="54"/>
    </row>
    <row r="27874" spans="31:31">
      <c r="AE27874" s="54"/>
    </row>
    <row r="27875" spans="31:31">
      <c r="AE27875" s="54"/>
    </row>
    <row r="27876" spans="31:31">
      <c r="AE27876" s="54"/>
    </row>
    <row r="27877" spans="31:31">
      <c r="AE27877" s="54"/>
    </row>
    <row r="27878" spans="31:31">
      <c r="AE27878" s="54"/>
    </row>
    <row r="27879" spans="31:31">
      <c r="AE27879" s="54"/>
    </row>
    <row r="27880" spans="31:31">
      <c r="AE27880" s="54"/>
    </row>
    <row r="27881" spans="31:31">
      <c r="AE27881" s="54"/>
    </row>
    <row r="27882" spans="31:31">
      <c r="AE27882" s="54"/>
    </row>
    <row r="27883" spans="31:31">
      <c r="AE27883" s="54"/>
    </row>
    <row r="27884" spans="31:31">
      <c r="AE27884" s="54"/>
    </row>
    <row r="27885" spans="31:31">
      <c r="AE27885" s="54"/>
    </row>
    <row r="27886" spans="31:31">
      <c r="AE27886" s="54"/>
    </row>
    <row r="27887" spans="31:31">
      <c r="AE27887" s="54"/>
    </row>
    <row r="27888" spans="31:31">
      <c r="AE27888" s="54"/>
    </row>
    <row r="27889" spans="31:31">
      <c r="AE27889" s="54"/>
    </row>
    <row r="27890" spans="31:31">
      <c r="AE27890" s="54"/>
    </row>
    <row r="27891" spans="31:31">
      <c r="AE27891" s="54"/>
    </row>
    <row r="27892" spans="31:31">
      <c r="AE27892" s="54"/>
    </row>
    <row r="27893" spans="31:31">
      <c r="AE27893" s="54"/>
    </row>
    <row r="27894" spans="31:31">
      <c r="AE27894" s="54"/>
    </row>
    <row r="27895" spans="31:31">
      <c r="AE27895" s="54"/>
    </row>
    <row r="27896" spans="31:31">
      <c r="AE27896" s="54"/>
    </row>
    <row r="27897" spans="31:31">
      <c r="AE27897" s="54"/>
    </row>
    <row r="27898" spans="31:31">
      <c r="AE27898" s="54"/>
    </row>
    <row r="27899" spans="31:31">
      <c r="AE27899" s="54"/>
    </row>
    <row r="27900" spans="31:31">
      <c r="AE27900" s="54"/>
    </row>
    <row r="27901" spans="31:31">
      <c r="AE27901" s="54"/>
    </row>
    <row r="27902" spans="31:31">
      <c r="AE27902" s="54"/>
    </row>
    <row r="27903" spans="31:31">
      <c r="AE27903" s="54"/>
    </row>
    <row r="27904" spans="31:31">
      <c r="AE27904" s="54"/>
    </row>
    <row r="27905" spans="31:31">
      <c r="AE27905" s="54"/>
    </row>
    <row r="27906" spans="31:31">
      <c r="AE27906" s="54"/>
    </row>
    <row r="27907" spans="31:31">
      <c r="AE27907" s="54"/>
    </row>
    <row r="27908" spans="31:31">
      <c r="AE27908" s="54"/>
    </row>
    <row r="27909" spans="31:31">
      <c r="AE27909" s="54"/>
    </row>
    <row r="27910" spans="31:31">
      <c r="AE27910" s="54"/>
    </row>
    <row r="27911" spans="31:31">
      <c r="AE27911" s="54"/>
    </row>
    <row r="27912" spans="31:31">
      <c r="AE27912" s="54"/>
    </row>
    <row r="27913" spans="31:31">
      <c r="AE27913" s="54"/>
    </row>
    <row r="27914" spans="31:31">
      <c r="AE27914" s="54"/>
    </row>
    <row r="27915" spans="31:31">
      <c r="AE27915" s="54"/>
    </row>
    <row r="27916" spans="31:31">
      <c r="AE27916" s="54"/>
    </row>
    <row r="27917" spans="31:31">
      <c r="AE27917" s="54"/>
    </row>
    <row r="27918" spans="31:31">
      <c r="AE27918" s="54"/>
    </row>
    <row r="27919" spans="31:31">
      <c r="AE27919" s="54"/>
    </row>
    <row r="27920" spans="31:31">
      <c r="AE27920" s="54"/>
    </row>
    <row r="27921" spans="31:31">
      <c r="AE27921" s="54"/>
    </row>
    <row r="27922" spans="31:31">
      <c r="AE27922" s="54"/>
    </row>
    <row r="27923" spans="31:31">
      <c r="AE27923" s="54"/>
    </row>
    <row r="27924" spans="31:31">
      <c r="AE27924" s="54"/>
    </row>
    <row r="27925" spans="31:31">
      <c r="AE27925" s="54"/>
    </row>
    <row r="27926" spans="31:31">
      <c r="AE27926" s="54"/>
    </row>
    <row r="27927" spans="31:31">
      <c r="AE27927" s="54"/>
    </row>
    <row r="27928" spans="31:31">
      <c r="AE27928" s="54"/>
    </row>
    <row r="27929" spans="31:31">
      <c r="AE27929" s="54"/>
    </row>
    <row r="27930" spans="31:31">
      <c r="AE27930" s="54"/>
    </row>
    <row r="27931" spans="31:31">
      <c r="AE27931" s="54"/>
    </row>
    <row r="27932" spans="31:31">
      <c r="AE27932" s="54"/>
    </row>
    <row r="27933" spans="31:31">
      <c r="AE27933" s="54"/>
    </row>
    <row r="27934" spans="31:31">
      <c r="AE27934" s="54"/>
    </row>
    <row r="27935" spans="31:31">
      <c r="AE27935" s="54"/>
    </row>
    <row r="27936" spans="31:31">
      <c r="AE27936" s="54"/>
    </row>
    <row r="27937" spans="31:31">
      <c r="AE27937" s="54"/>
    </row>
    <row r="27938" spans="31:31">
      <c r="AE27938" s="54"/>
    </row>
    <row r="27939" spans="31:31">
      <c r="AE27939" s="54"/>
    </row>
    <row r="27940" spans="31:31">
      <c r="AE27940" s="54"/>
    </row>
    <row r="27941" spans="31:31">
      <c r="AE27941" s="54"/>
    </row>
    <row r="27942" spans="31:31">
      <c r="AE27942" s="54"/>
    </row>
    <row r="27943" spans="31:31">
      <c r="AE27943" s="54"/>
    </row>
    <row r="27944" spans="31:31">
      <c r="AE27944" s="54"/>
    </row>
    <row r="27945" spans="31:31">
      <c r="AE27945" s="54"/>
    </row>
    <row r="27946" spans="31:31">
      <c r="AE27946" s="54"/>
    </row>
    <row r="27947" spans="31:31">
      <c r="AE27947" s="54"/>
    </row>
    <row r="27948" spans="31:31">
      <c r="AE27948" s="54"/>
    </row>
    <row r="27949" spans="31:31">
      <c r="AE27949" s="54"/>
    </row>
    <row r="27950" spans="31:31">
      <c r="AE27950" s="54"/>
    </row>
    <row r="27951" spans="31:31">
      <c r="AE27951" s="54"/>
    </row>
    <row r="27952" spans="31:31">
      <c r="AE27952" s="54"/>
    </row>
    <row r="27953" spans="31:31">
      <c r="AE27953" s="54"/>
    </row>
    <row r="27954" spans="31:31">
      <c r="AE27954" s="54"/>
    </row>
    <row r="27955" spans="31:31">
      <c r="AE27955" s="54"/>
    </row>
    <row r="27956" spans="31:31">
      <c r="AE27956" s="54"/>
    </row>
    <row r="27957" spans="31:31">
      <c r="AE27957" s="54"/>
    </row>
    <row r="27958" spans="31:31">
      <c r="AE27958" s="54"/>
    </row>
    <row r="27959" spans="31:31">
      <c r="AE27959" s="54"/>
    </row>
    <row r="27960" spans="31:31">
      <c r="AE27960" s="54"/>
    </row>
    <row r="27961" spans="31:31">
      <c r="AE27961" s="54"/>
    </row>
    <row r="27962" spans="31:31">
      <c r="AE27962" s="54"/>
    </row>
    <row r="27963" spans="31:31">
      <c r="AE27963" s="54"/>
    </row>
    <row r="27964" spans="31:31">
      <c r="AE27964" s="54"/>
    </row>
    <row r="27965" spans="31:31">
      <c r="AE27965" s="54"/>
    </row>
    <row r="27966" spans="31:31">
      <c r="AE27966" s="54"/>
    </row>
    <row r="27967" spans="31:31">
      <c r="AE27967" s="54"/>
    </row>
    <row r="27968" spans="31:31">
      <c r="AE27968" s="54"/>
    </row>
    <row r="27969" spans="31:31">
      <c r="AE27969" s="54"/>
    </row>
    <row r="27970" spans="31:31">
      <c r="AE27970" s="54"/>
    </row>
    <row r="27971" spans="31:31">
      <c r="AE27971" s="54"/>
    </row>
    <row r="27972" spans="31:31">
      <c r="AE27972" s="54"/>
    </row>
    <row r="27973" spans="31:31">
      <c r="AE27973" s="54"/>
    </row>
    <row r="27974" spans="31:31">
      <c r="AE27974" s="54"/>
    </row>
    <row r="27975" spans="31:31">
      <c r="AE27975" s="54"/>
    </row>
    <row r="27976" spans="31:31">
      <c r="AE27976" s="54"/>
    </row>
    <row r="27977" spans="31:31">
      <c r="AE27977" s="54"/>
    </row>
    <row r="27978" spans="31:31">
      <c r="AE27978" s="54"/>
    </row>
    <row r="27979" spans="31:31">
      <c r="AE27979" s="54"/>
    </row>
    <row r="27980" spans="31:31">
      <c r="AE27980" s="54"/>
    </row>
    <row r="27981" spans="31:31">
      <c r="AE27981" s="54"/>
    </row>
    <row r="27982" spans="31:31">
      <c r="AE27982" s="54"/>
    </row>
    <row r="27983" spans="31:31">
      <c r="AE27983" s="54"/>
    </row>
    <row r="27984" spans="31:31">
      <c r="AE27984" s="54"/>
    </row>
    <row r="27985" spans="31:31">
      <c r="AE27985" s="54"/>
    </row>
    <row r="27986" spans="31:31">
      <c r="AE27986" s="54"/>
    </row>
    <row r="27987" spans="31:31">
      <c r="AE27987" s="54"/>
    </row>
    <row r="27988" spans="31:31">
      <c r="AE27988" s="54"/>
    </row>
    <row r="27989" spans="31:31">
      <c r="AE27989" s="54"/>
    </row>
    <row r="27990" spans="31:31">
      <c r="AE27990" s="54"/>
    </row>
    <row r="27991" spans="31:31">
      <c r="AE27991" s="54"/>
    </row>
    <row r="27992" spans="31:31">
      <c r="AE27992" s="54"/>
    </row>
    <row r="27993" spans="31:31">
      <c r="AE27993" s="54"/>
    </row>
    <row r="27994" spans="31:31">
      <c r="AE27994" s="54"/>
    </row>
    <row r="27995" spans="31:31">
      <c r="AE27995" s="54"/>
    </row>
    <row r="27996" spans="31:31">
      <c r="AE27996" s="54"/>
    </row>
    <row r="27997" spans="31:31">
      <c r="AE27997" s="54"/>
    </row>
    <row r="27998" spans="31:31">
      <c r="AE27998" s="54"/>
    </row>
    <row r="27999" spans="31:31">
      <c r="AE27999" s="54"/>
    </row>
    <row r="28000" spans="31:31">
      <c r="AE28000" s="54"/>
    </row>
    <row r="28001" spans="31:31">
      <c r="AE28001" s="54"/>
    </row>
    <row r="28002" spans="31:31">
      <c r="AE28002" s="54"/>
    </row>
    <row r="28003" spans="31:31">
      <c r="AE28003" s="54"/>
    </row>
    <row r="28004" spans="31:31">
      <c r="AE28004" s="54"/>
    </row>
    <row r="28005" spans="31:31">
      <c r="AE28005" s="54"/>
    </row>
    <row r="28006" spans="31:31">
      <c r="AE28006" s="54"/>
    </row>
    <row r="28007" spans="31:31">
      <c r="AE28007" s="54"/>
    </row>
    <row r="28008" spans="31:31">
      <c r="AE28008" s="54"/>
    </row>
    <row r="28009" spans="31:31">
      <c r="AE28009" s="54"/>
    </row>
    <row r="28010" spans="31:31">
      <c r="AE28010" s="54"/>
    </row>
    <row r="28011" spans="31:31">
      <c r="AE28011" s="54"/>
    </row>
    <row r="28012" spans="31:31">
      <c r="AE28012" s="54"/>
    </row>
    <row r="28013" spans="31:31">
      <c r="AE28013" s="54"/>
    </row>
    <row r="28014" spans="31:31">
      <c r="AE28014" s="54"/>
    </row>
    <row r="28015" spans="31:31">
      <c r="AE28015" s="54"/>
    </row>
    <row r="28016" spans="31:31">
      <c r="AE28016" s="54"/>
    </row>
    <row r="28017" spans="31:31">
      <c r="AE28017" s="54"/>
    </row>
    <row r="28018" spans="31:31">
      <c r="AE28018" s="54"/>
    </row>
    <row r="28019" spans="31:31">
      <c r="AE28019" s="54"/>
    </row>
    <row r="28020" spans="31:31">
      <c r="AE28020" s="54"/>
    </row>
    <row r="28021" spans="31:31">
      <c r="AE28021" s="54"/>
    </row>
    <row r="28022" spans="31:31">
      <c r="AE28022" s="54"/>
    </row>
    <row r="28023" spans="31:31">
      <c r="AE28023" s="54"/>
    </row>
    <row r="28024" spans="31:31">
      <c r="AE28024" s="54"/>
    </row>
    <row r="28025" spans="31:31">
      <c r="AE28025" s="54"/>
    </row>
    <row r="28026" spans="31:31">
      <c r="AE28026" s="54"/>
    </row>
    <row r="28027" spans="31:31">
      <c r="AE28027" s="54"/>
    </row>
    <row r="28028" spans="31:31">
      <c r="AE28028" s="54"/>
    </row>
    <row r="28029" spans="31:31">
      <c r="AE28029" s="54"/>
    </row>
    <row r="28030" spans="31:31">
      <c r="AE28030" s="54"/>
    </row>
    <row r="28031" spans="31:31">
      <c r="AE28031" s="54"/>
    </row>
    <row r="28032" spans="31:31">
      <c r="AE28032" s="54"/>
    </row>
    <row r="28033" spans="31:31">
      <c r="AE28033" s="54"/>
    </row>
    <row r="28034" spans="31:31">
      <c r="AE28034" s="54"/>
    </row>
    <row r="28035" spans="31:31">
      <c r="AE28035" s="54"/>
    </row>
    <row r="28036" spans="31:31">
      <c r="AE28036" s="54"/>
    </row>
    <row r="28037" spans="31:31">
      <c r="AE28037" s="54"/>
    </row>
    <row r="28038" spans="31:31">
      <c r="AE28038" s="54"/>
    </row>
    <row r="28039" spans="31:31">
      <c r="AE28039" s="54"/>
    </row>
    <row r="28040" spans="31:31">
      <c r="AE28040" s="54"/>
    </row>
    <row r="28041" spans="31:31">
      <c r="AE28041" s="54"/>
    </row>
    <row r="28042" spans="31:31">
      <c r="AE28042" s="54"/>
    </row>
    <row r="28043" spans="31:31">
      <c r="AE28043" s="54"/>
    </row>
    <row r="28044" spans="31:31">
      <c r="AE28044" s="54"/>
    </row>
    <row r="28045" spans="31:31">
      <c r="AE28045" s="54"/>
    </row>
    <row r="28046" spans="31:31">
      <c r="AE28046" s="54"/>
    </row>
    <row r="28047" spans="31:31">
      <c r="AE28047" s="54"/>
    </row>
    <row r="28048" spans="31:31">
      <c r="AE28048" s="54"/>
    </row>
    <row r="28049" spans="31:31">
      <c r="AE28049" s="54"/>
    </row>
    <row r="28050" spans="31:31">
      <c r="AE28050" s="54"/>
    </row>
    <row r="28051" spans="31:31">
      <c r="AE28051" s="54"/>
    </row>
    <row r="28052" spans="31:31">
      <c r="AE28052" s="54"/>
    </row>
    <row r="28053" spans="31:31">
      <c r="AE28053" s="54"/>
    </row>
    <row r="28054" spans="31:31">
      <c r="AE28054" s="54"/>
    </row>
    <row r="28055" spans="31:31">
      <c r="AE28055" s="54"/>
    </row>
    <row r="28056" spans="31:31">
      <c r="AE28056" s="54"/>
    </row>
    <row r="28057" spans="31:31">
      <c r="AE28057" s="54"/>
    </row>
    <row r="28058" spans="31:31">
      <c r="AE28058" s="54"/>
    </row>
    <row r="28059" spans="31:31">
      <c r="AE28059" s="54"/>
    </row>
    <row r="28060" spans="31:31">
      <c r="AE28060" s="54"/>
    </row>
    <row r="28061" spans="31:31">
      <c r="AE28061" s="54"/>
    </row>
    <row r="28062" spans="31:31">
      <c r="AE28062" s="54"/>
    </row>
    <row r="28063" spans="31:31">
      <c r="AE28063" s="54"/>
    </row>
    <row r="28064" spans="31:31">
      <c r="AE28064" s="54"/>
    </row>
    <row r="28065" spans="31:31">
      <c r="AE28065" s="54"/>
    </row>
    <row r="28066" spans="31:31">
      <c r="AE28066" s="54"/>
    </row>
    <row r="28067" spans="31:31">
      <c r="AE28067" s="54"/>
    </row>
    <row r="28068" spans="31:31">
      <c r="AE28068" s="54"/>
    </row>
    <row r="28069" spans="31:31">
      <c r="AE28069" s="54"/>
    </row>
    <row r="28070" spans="31:31">
      <c r="AE28070" s="54"/>
    </row>
    <row r="28071" spans="31:31">
      <c r="AE28071" s="54"/>
    </row>
    <row r="28072" spans="31:31">
      <c r="AE28072" s="54"/>
    </row>
    <row r="28073" spans="31:31">
      <c r="AE28073" s="54"/>
    </row>
    <row r="28074" spans="31:31">
      <c r="AE28074" s="54"/>
    </row>
    <row r="28075" spans="31:31">
      <c r="AE28075" s="54"/>
    </row>
    <row r="28076" spans="31:31">
      <c r="AE28076" s="54"/>
    </row>
    <row r="28077" spans="31:31">
      <c r="AE28077" s="54"/>
    </row>
    <row r="28078" spans="31:31">
      <c r="AE28078" s="54"/>
    </row>
    <row r="28079" spans="31:31">
      <c r="AE28079" s="54"/>
    </row>
    <row r="28080" spans="31:31">
      <c r="AE28080" s="54"/>
    </row>
    <row r="28081" spans="31:31">
      <c r="AE28081" s="54"/>
    </row>
    <row r="28082" spans="31:31">
      <c r="AE28082" s="54"/>
    </row>
    <row r="28083" spans="31:31">
      <c r="AE28083" s="54"/>
    </row>
    <row r="28084" spans="31:31">
      <c r="AE28084" s="54"/>
    </row>
    <row r="28085" spans="31:31">
      <c r="AE28085" s="54"/>
    </row>
    <row r="28086" spans="31:31">
      <c r="AE28086" s="54"/>
    </row>
    <row r="28087" spans="31:31">
      <c r="AE28087" s="54"/>
    </row>
    <row r="28088" spans="31:31">
      <c r="AE28088" s="54"/>
    </row>
    <row r="28089" spans="31:31">
      <c r="AE28089" s="54"/>
    </row>
    <row r="28090" spans="31:31">
      <c r="AE28090" s="54"/>
    </row>
    <row r="28091" spans="31:31">
      <c r="AE28091" s="54"/>
    </row>
    <row r="28092" spans="31:31">
      <c r="AE28092" s="54"/>
    </row>
    <row r="28093" spans="31:31">
      <c r="AE28093" s="54"/>
    </row>
    <row r="28094" spans="31:31">
      <c r="AE28094" s="54"/>
    </row>
    <row r="28095" spans="31:31">
      <c r="AE28095" s="54"/>
    </row>
    <row r="28096" spans="31:31">
      <c r="AE28096" s="54"/>
    </row>
    <row r="28097" spans="31:31">
      <c r="AE28097" s="54"/>
    </row>
    <row r="28098" spans="31:31">
      <c r="AE28098" s="54"/>
    </row>
    <row r="28099" spans="31:31">
      <c r="AE28099" s="54"/>
    </row>
    <row r="28100" spans="31:31">
      <c r="AE28100" s="54"/>
    </row>
    <row r="28101" spans="31:31">
      <c r="AE28101" s="54"/>
    </row>
    <row r="28102" spans="31:31">
      <c r="AE28102" s="54"/>
    </row>
    <row r="28103" spans="31:31">
      <c r="AE28103" s="54"/>
    </row>
    <row r="28104" spans="31:31">
      <c r="AE28104" s="54"/>
    </row>
    <row r="28105" spans="31:31">
      <c r="AE28105" s="54"/>
    </row>
    <row r="28106" spans="31:31">
      <c r="AE28106" s="54"/>
    </row>
    <row r="28107" spans="31:31">
      <c r="AE28107" s="54"/>
    </row>
    <row r="28108" spans="31:31">
      <c r="AE28108" s="54"/>
    </row>
    <row r="28109" spans="31:31">
      <c r="AE28109" s="54"/>
    </row>
    <row r="28110" spans="31:31">
      <c r="AE28110" s="54"/>
    </row>
    <row r="28111" spans="31:31">
      <c r="AE28111" s="54"/>
    </row>
    <row r="28112" spans="31:31">
      <c r="AE28112" s="54"/>
    </row>
    <row r="28113" spans="31:31">
      <c r="AE28113" s="54"/>
    </row>
    <row r="28114" spans="31:31">
      <c r="AE28114" s="54"/>
    </row>
    <row r="28115" spans="31:31">
      <c r="AE28115" s="54"/>
    </row>
    <row r="28116" spans="31:31">
      <c r="AE28116" s="54"/>
    </row>
    <row r="28117" spans="31:31">
      <c r="AE28117" s="54"/>
    </row>
    <row r="28118" spans="31:31">
      <c r="AE28118" s="54"/>
    </row>
    <row r="28119" spans="31:31">
      <c r="AE28119" s="54"/>
    </row>
    <row r="28120" spans="31:31">
      <c r="AE28120" s="54"/>
    </row>
    <row r="28121" spans="31:31">
      <c r="AE28121" s="54"/>
    </row>
    <row r="28122" spans="31:31">
      <c r="AE28122" s="54"/>
    </row>
    <row r="28123" spans="31:31">
      <c r="AE28123" s="54"/>
    </row>
    <row r="28124" spans="31:31">
      <c r="AE28124" s="54"/>
    </row>
    <row r="28125" spans="31:31">
      <c r="AE28125" s="54"/>
    </row>
    <row r="28126" spans="31:31">
      <c r="AE28126" s="54"/>
    </row>
    <row r="28127" spans="31:31">
      <c r="AE28127" s="54"/>
    </row>
    <row r="28128" spans="31:31">
      <c r="AE28128" s="54"/>
    </row>
    <row r="28129" spans="31:31">
      <c r="AE28129" s="54"/>
    </row>
    <row r="28130" spans="31:31">
      <c r="AE28130" s="54"/>
    </row>
    <row r="28131" spans="31:31">
      <c r="AE28131" s="54"/>
    </row>
    <row r="28132" spans="31:31">
      <c r="AE28132" s="54"/>
    </row>
    <row r="28133" spans="31:31">
      <c r="AE28133" s="54"/>
    </row>
    <row r="28134" spans="31:31">
      <c r="AE28134" s="54"/>
    </row>
    <row r="28135" spans="31:31">
      <c r="AE28135" s="54"/>
    </row>
    <row r="28136" spans="31:31">
      <c r="AE28136" s="54"/>
    </row>
    <row r="28137" spans="31:31">
      <c r="AE28137" s="54"/>
    </row>
    <row r="28138" spans="31:31">
      <c r="AE28138" s="54"/>
    </row>
    <row r="28139" spans="31:31">
      <c r="AE28139" s="54"/>
    </row>
    <row r="28140" spans="31:31">
      <c r="AE28140" s="54"/>
    </row>
    <row r="28141" spans="31:31">
      <c r="AE28141" s="54"/>
    </row>
    <row r="28142" spans="31:31">
      <c r="AE28142" s="54"/>
    </row>
    <row r="28143" spans="31:31">
      <c r="AE28143" s="54"/>
    </row>
    <row r="28144" spans="31:31">
      <c r="AE28144" s="54"/>
    </row>
    <row r="28145" spans="31:31">
      <c r="AE28145" s="54"/>
    </row>
    <row r="28146" spans="31:31">
      <c r="AE28146" s="54"/>
    </row>
    <row r="28147" spans="31:31">
      <c r="AE28147" s="54"/>
    </row>
    <row r="28148" spans="31:31">
      <c r="AE28148" s="54"/>
    </row>
    <row r="28149" spans="31:31">
      <c r="AE28149" s="54"/>
    </row>
    <row r="28150" spans="31:31">
      <c r="AE28150" s="54"/>
    </row>
    <row r="28151" spans="31:31">
      <c r="AE28151" s="54"/>
    </row>
    <row r="28152" spans="31:31">
      <c r="AE28152" s="54"/>
    </row>
    <row r="28153" spans="31:31">
      <c r="AE28153" s="54"/>
    </row>
    <row r="28154" spans="31:31">
      <c r="AE28154" s="54"/>
    </row>
    <row r="28155" spans="31:31">
      <c r="AE28155" s="54"/>
    </row>
    <row r="28156" spans="31:31">
      <c r="AE28156" s="54"/>
    </row>
    <row r="28157" spans="31:31">
      <c r="AE28157" s="54"/>
    </row>
    <row r="28158" spans="31:31">
      <c r="AE28158" s="54"/>
    </row>
    <row r="28159" spans="31:31">
      <c r="AE28159" s="54"/>
    </row>
    <row r="28160" spans="31:31">
      <c r="AE28160" s="54"/>
    </row>
    <row r="28161" spans="31:31">
      <c r="AE28161" s="54"/>
    </row>
    <row r="28162" spans="31:31">
      <c r="AE28162" s="54"/>
    </row>
    <row r="28163" spans="31:31">
      <c r="AE28163" s="54"/>
    </row>
    <row r="28164" spans="31:31">
      <c r="AE28164" s="54"/>
    </row>
    <row r="28165" spans="31:31">
      <c r="AE28165" s="54"/>
    </row>
    <row r="28166" spans="31:31">
      <c r="AE28166" s="54"/>
    </row>
    <row r="28167" spans="31:31">
      <c r="AE28167" s="54"/>
    </row>
    <row r="28168" spans="31:31">
      <c r="AE28168" s="54"/>
    </row>
    <row r="28169" spans="31:31">
      <c r="AE28169" s="54"/>
    </row>
    <row r="28170" spans="31:31">
      <c r="AE28170" s="54"/>
    </row>
    <row r="28171" spans="31:31">
      <c r="AE28171" s="54"/>
    </row>
    <row r="28172" spans="31:31">
      <c r="AE28172" s="54"/>
    </row>
    <row r="28173" spans="31:31">
      <c r="AE28173" s="54"/>
    </row>
    <row r="28174" spans="31:31">
      <c r="AE28174" s="54"/>
    </row>
    <row r="28175" spans="31:31">
      <c r="AE28175" s="54"/>
    </row>
    <row r="28176" spans="31:31">
      <c r="AE28176" s="54"/>
    </row>
    <row r="28177" spans="31:31">
      <c r="AE28177" s="54"/>
    </row>
    <row r="28178" spans="31:31">
      <c r="AE28178" s="54"/>
    </row>
    <row r="28179" spans="31:31">
      <c r="AE28179" s="54"/>
    </row>
    <row r="28180" spans="31:31">
      <c r="AE28180" s="54"/>
    </row>
    <row r="28181" spans="31:31">
      <c r="AE28181" s="54"/>
    </row>
    <row r="28182" spans="31:31">
      <c r="AE28182" s="54"/>
    </row>
    <row r="28183" spans="31:31">
      <c r="AE28183" s="54"/>
    </row>
    <row r="28184" spans="31:31">
      <c r="AE28184" s="54"/>
    </row>
    <row r="28185" spans="31:31">
      <c r="AE28185" s="54"/>
    </row>
    <row r="28186" spans="31:31">
      <c r="AE28186" s="54"/>
    </row>
    <row r="28187" spans="31:31">
      <c r="AE28187" s="54"/>
    </row>
    <row r="28188" spans="31:31">
      <c r="AE28188" s="54"/>
    </row>
    <row r="28189" spans="31:31">
      <c r="AE28189" s="54"/>
    </row>
    <row r="28190" spans="31:31">
      <c r="AE28190" s="54"/>
    </row>
    <row r="28191" spans="31:31">
      <c r="AE28191" s="54"/>
    </row>
    <row r="28192" spans="31:31">
      <c r="AE28192" s="54"/>
    </row>
    <row r="28193" spans="31:31">
      <c r="AE28193" s="54"/>
    </row>
    <row r="28194" spans="31:31">
      <c r="AE28194" s="54"/>
    </row>
    <row r="28195" spans="31:31">
      <c r="AE28195" s="54"/>
    </row>
    <row r="28196" spans="31:31">
      <c r="AE28196" s="54"/>
    </row>
    <row r="28197" spans="31:31">
      <c r="AE28197" s="54"/>
    </row>
    <row r="28198" spans="31:31">
      <c r="AE28198" s="54"/>
    </row>
    <row r="28199" spans="31:31">
      <c r="AE28199" s="54"/>
    </row>
    <row r="28200" spans="31:31">
      <c r="AE28200" s="54"/>
    </row>
    <row r="28201" spans="31:31">
      <c r="AE28201" s="54"/>
    </row>
    <row r="28202" spans="31:31">
      <c r="AE28202" s="54"/>
    </row>
    <row r="28203" spans="31:31">
      <c r="AE28203" s="54"/>
    </row>
    <row r="28204" spans="31:31">
      <c r="AE28204" s="54"/>
    </row>
    <row r="28205" spans="31:31">
      <c r="AE28205" s="54"/>
    </row>
    <row r="28206" spans="31:31">
      <c r="AE28206" s="54"/>
    </row>
    <row r="28207" spans="31:31">
      <c r="AE28207" s="54"/>
    </row>
    <row r="28208" spans="31:31">
      <c r="AE28208" s="54"/>
    </row>
    <row r="28209" spans="31:31">
      <c r="AE28209" s="54"/>
    </row>
    <row r="28210" spans="31:31">
      <c r="AE28210" s="54"/>
    </row>
    <row r="28211" spans="31:31">
      <c r="AE28211" s="54"/>
    </row>
    <row r="28212" spans="31:31">
      <c r="AE28212" s="54"/>
    </row>
    <row r="28213" spans="31:31">
      <c r="AE28213" s="54"/>
    </row>
    <row r="28214" spans="31:31">
      <c r="AE28214" s="54"/>
    </row>
    <row r="28215" spans="31:31">
      <c r="AE28215" s="54"/>
    </row>
    <row r="28216" spans="31:31">
      <c r="AE28216" s="54"/>
    </row>
    <row r="28217" spans="31:31">
      <c r="AE28217" s="54"/>
    </row>
    <row r="28218" spans="31:31">
      <c r="AE28218" s="54"/>
    </row>
    <row r="28219" spans="31:31">
      <c r="AE28219" s="54"/>
    </row>
    <row r="28220" spans="31:31">
      <c r="AE28220" s="54"/>
    </row>
    <row r="28221" spans="31:31">
      <c r="AE28221" s="54"/>
    </row>
    <row r="28222" spans="31:31">
      <c r="AE28222" s="54"/>
    </row>
    <row r="28223" spans="31:31">
      <c r="AE28223" s="54"/>
    </row>
    <row r="28224" spans="31:31">
      <c r="AE28224" s="54"/>
    </row>
    <row r="28225" spans="31:31">
      <c r="AE28225" s="54"/>
    </row>
    <row r="28226" spans="31:31">
      <c r="AE28226" s="54"/>
    </row>
    <row r="28227" spans="31:31">
      <c r="AE28227" s="54"/>
    </row>
    <row r="28228" spans="31:31">
      <c r="AE28228" s="54"/>
    </row>
    <row r="28229" spans="31:31">
      <c r="AE28229" s="54"/>
    </row>
    <row r="28230" spans="31:31">
      <c r="AE28230" s="54"/>
    </row>
    <row r="28231" spans="31:31">
      <c r="AE28231" s="54"/>
    </row>
    <row r="28232" spans="31:31">
      <c r="AE28232" s="54"/>
    </row>
    <row r="28233" spans="31:31">
      <c r="AE28233" s="54"/>
    </row>
    <row r="28234" spans="31:31">
      <c r="AE28234" s="54"/>
    </row>
    <row r="28235" spans="31:31">
      <c r="AE28235" s="54"/>
    </row>
    <row r="28236" spans="31:31">
      <c r="AE28236" s="54"/>
    </row>
    <row r="28237" spans="31:31">
      <c r="AE28237" s="54"/>
    </row>
    <row r="28238" spans="31:31">
      <c r="AE28238" s="54"/>
    </row>
    <row r="28239" spans="31:31">
      <c r="AE28239" s="54"/>
    </row>
    <row r="28240" spans="31:31">
      <c r="AE28240" s="54"/>
    </row>
    <row r="28241" spans="31:31">
      <c r="AE28241" s="54"/>
    </row>
    <row r="28242" spans="31:31">
      <c r="AE28242" s="54"/>
    </row>
    <row r="28243" spans="31:31">
      <c r="AE28243" s="54"/>
    </row>
    <row r="28244" spans="31:31">
      <c r="AE28244" s="54"/>
    </row>
    <row r="28245" spans="31:31">
      <c r="AE28245" s="54"/>
    </row>
    <row r="28246" spans="31:31">
      <c r="AE28246" s="54"/>
    </row>
    <row r="28247" spans="31:31">
      <c r="AE28247" s="54"/>
    </row>
    <row r="28248" spans="31:31">
      <c r="AE28248" s="54"/>
    </row>
    <row r="28249" spans="31:31">
      <c r="AE28249" s="54"/>
    </row>
    <row r="28250" spans="31:31">
      <c r="AE28250" s="54"/>
    </row>
    <row r="28251" spans="31:31">
      <c r="AE28251" s="54"/>
    </row>
    <row r="28252" spans="31:31">
      <c r="AE28252" s="54"/>
    </row>
    <row r="28253" spans="31:31">
      <c r="AE28253" s="54"/>
    </row>
    <row r="28254" spans="31:31">
      <c r="AE28254" s="54"/>
    </row>
    <row r="28255" spans="31:31">
      <c r="AE28255" s="54"/>
    </row>
    <row r="28256" spans="31:31">
      <c r="AE28256" s="54"/>
    </row>
    <row r="28257" spans="31:31">
      <c r="AE28257" s="54"/>
    </row>
    <row r="28258" spans="31:31">
      <c r="AE28258" s="54"/>
    </row>
    <row r="28259" spans="31:31">
      <c r="AE28259" s="54"/>
    </row>
    <row r="28260" spans="31:31">
      <c r="AE28260" s="54"/>
    </row>
    <row r="28261" spans="31:31">
      <c r="AE28261" s="54"/>
    </row>
    <row r="28262" spans="31:31">
      <c r="AE28262" s="54"/>
    </row>
    <row r="28263" spans="31:31">
      <c r="AE28263" s="54"/>
    </row>
    <row r="28264" spans="31:31">
      <c r="AE28264" s="54"/>
    </row>
    <row r="28265" spans="31:31">
      <c r="AE28265" s="54"/>
    </row>
    <row r="28266" spans="31:31">
      <c r="AE28266" s="54"/>
    </row>
    <row r="28267" spans="31:31">
      <c r="AE28267" s="54"/>
    </row>
    <row r="28268" spans="31:31">
      <c r="AE28268" s="54"/>
    </row>
    <row r="28269" spans="31:31">
      <c r="AE28269" s="54"/>
    </row>
    <row r="28270" spans="31:31">
      <c r="AE28270" s="54"/>
    </row>
    <row r="28271" spans="31:31">
      <c r="AE28271" s="54"/>
    </row>
    <row r="28272" spans="31:31">
      <c r="AE28272" s="54"/>
    </row>
    <row r="28273" spans="31:31">
      <c r="AE28273" s="54"/>
    </row>
    <row r="28274" spans="31:31">
      <c r="AE28274" s="54"/>
    </row>
    <row r="28275" spans="31:31">
      <c r="AE28275" s="54"/>
    </row>
    <row r="28276" spans="31:31">
      <c r="AE28276" s="54"/>
    </row>
    <row r="28277" spans="31:31">
      <c r="AE28277" s="54"/>
    </row>
    <row r="28278" spans="31:31">
      <c r="AE28278" s="54"/>
    </row>
    <row r="28279" spans="31:31">
      <c r="AE28279" s="54"/>
    </row>
    <row r="28280" spans="31:31">
      <c r="AE28280" s="54"/>
    </row>
    <row r="28281" spans="31:31">
      <c r="AE28281" s="54"/>
    </row>
    <row r="28282" spans="31:31">
      <c r="AE28282" s="54"/>
    </row>
    <row r="28283" spans="31:31">
      <c r="AE28283" s="54"/>
    </row>
    <row r="28284" spans="31:31">
      <c r="AE28284" s="54"/>
    </row>
    <row r="28285" spans="31:31">
      <c r="AE28285" s="54"/>
    </row>
    <row r="28286" spans="31:31">
      <c r="AE28286" s="54"/>
    </row>
    <row r="28287" spans="31:31">
      <c r="AE28287" s="54"/>
    </row>
    <row r="28288" spans="31:31">
      <c r="AE28288" s="54"/>
    </row>
    <row r="28289" spans="31:31">
      <c r="AE28289" s="54"/>
    </row>
    <row r="28290" spans="31:31">
      <c r="AE28290" s="54"/>
    </row>
    <row r="28291" spans="31:31">
      <c r="AE28291" s="54"/>
    </row>
    <row r="28292" spans="31:31">
      <c r="AE28292" s="54"/>
    </row>
    <row r="28293" spans="31:31">
      <c r="AE28293" s="54"/>
    </row>
    <row r="28294" spans="31:31">
      <c r="AE28294" s="54"/>
    </row>
    <row r="28295" spans="31:31">
      <c r="AE28295" s="54"/>
    </row>
    <row r="28296" spans="31:31">
      <c r="AE28296" s="54"/>
    </row>
    <row r="28297" spans="31:31">
      <c r="AE28297" s="54"/>
    </row>
    <row r="28298" spans="31:31">
      <c r="AE28298" s="54"/>
    </row>
    <row r="28299" spans="31:31">
      <c r="AE28299" s="54"/>
    </row>
    <row r="28300" spans="31:31">
      <c r="AE28300" s="54"/>
    </row>
    <row r="28301" spans="31:31">
      <c r="AE28301" s="54"/>
    </row>
    <row r="28302" spans="31:31">
      <c r="AE28302" s="54"/>
    </row>
    <row r="28303" spans="31:31">
      <c r="AE28303" s="54"/>
    </row>
    <row r="28304" spans="31:31">
      <c r="AE28304" s="54"/>
    </row>
    <row r="28305" spans="31:31">
      <c r="AE28305" s="54"/>
    </row>
    <row r="28306" spans="31:31">
      <c r="AE28306" s="54"/>
    </row>
    <row r="28307" spans="31:31">
      <c r="AE28307" s="54"/>
    </row>
    <row r="28308" spans="31:31">
      <c r="AE28308" s="54"/>
    </row>
    <row r="28309" spans="31:31">
      <c r="AE28309" s="54"/>
    </row>
    <row r="28310" spans="31:31">
      <c r="AE28310" s="54"/>
    </row>
    <row r="28311" spans="31:31">
      <c r="AE28311" s="54"/>
    </row>
    <row r="28312" spans="31:31">
      <c r="AE28312" s="54"/>
    </row>
    <row r="28313" spans="31:31">
      <c r="AE28313" s="54"/>
    </row>
    <row r="28314" spans="31:31">
      <c r="AE28314" s="54"/>
    </row>
    <row r="28315" spans="31:31">
      <c r="AE28315" s="54"/>
    </row>
    <row r="28316" spans="31:31">
      <c r="AE28316" s="54"/>
    </row>
    <row r="28317" spans="31:31">
      <c r="AE28317" s="54"/>
    </row>
    <row r="28318" spans="31:31">
      <c r="AE28318" s="54"/>
    </row>
    <row r="28319" spans="31:31">
      <c r="AE28319" s="54"/>
    </row>
    <row r="28320" spans="31:31">
      <c r="AE28320" s="54"/>
    </row>
    <row r="28321" spans="31:31">
      <c r="AE28321" s="54"/>
    </row>
    <row r="28322" spans="31:31">
      <c r="AE28322" s="54"/>
    </row>
    <row r="28323" spans="31:31">
      <c r="AE28323" s="54"/>
    </row>
    <row r="28324" spans="31:31">
      <c r="AE28324" s="54"/>
    </row>
    <row r="28325" spans="31:31">
      <c r="AE28325" s="54"/>
    </row>
    <row r="28326" spans="31:31">
      <c r="AE28326" s="54"/>
    </row>
    <row r="28327" spans="31:31">
      <c r="AE28327" s="54"/>
    </row>
    <row r="28328" spans="31:31">
      <c r="AE28328" s="54"/>
    </row>
    <row r="28329" spans="31:31">
      <c r="AE28329" s="54"/>
    </row>
    <row r="28330" spans="31:31">
      <c r="AE28330" s="54"/>
    </row>
    <row r="28331" spans="31:31">
      <c r="AE28331" s="54"/>
    </row>
    <row r="28332" spans="31:31">
      <c r="AE28332" s="54"/>
    </row>
    <row r="28333" spans="31:31">
      <c r="AE28333" s="54"/>
    </row>
    <row r="28334" spans="31:31">
      <c r="AE28334" s="54"/>
    </row>
    <row r="28335" spans="31:31">
      <c r="AE28335" s="54"/>
    </row>
    <row r="28336" spans="31:31">
      <c r="AE28336" s="54"/>
    </row>
    <row r="28337" spans="31:31">
      <c r="AE28337" s="54"/>
    </row>
    <row r="28338" spans="31:31">
      <c r="AE28338" s="54"/>
    </row>
    <row r="28339" spans="31:31">
      <c r="AE28339" s="54"/>
    </row>
    <row r="28340" spans="31:31">
      <c r="AE28340" s="54"/>
    </row>
    <row r="28341" spans="31:31">
      <c r="AE28341" s="54"/>
    </row>
    <row r="28342" spans="31:31">
      <c r="AE28342" s="54"/>
    </row>
    <row r="28343" spans="31:31">
      <c r="AE28343" s="54"/>
    </row>
    <row r="28344" spans="31:31">
      <c r="AE28344" s="54"/>
    </row>
    <row r="28345" spans="31:31">
      <c r="AE28345" s="54"/>
    </row>
    <row r="28346" spans="31:31">
      <c r="AE28346" s="54"/>
    </row>
    <row r="28347" spans="31:31">
      <c r="AE28347" s="54"/>
    </row>
    <row r="28348" spans="31:31">
      <c r="AE28348" s="54"/>
    </row>
    <row r="28349" spans="31:31">
      <c r="AE28349" s="54"/>
    </row>
    <row r="28350" spans="31:31">
      <c r="AE28350" s="54"/>
    </row>
    <row r="28351" spans="31:31">
      <c r="AE28351" s="54"/>
    </row>
    <row r="28352" spans="31:31">
      <c r="AE28352" s="54"/>
    </row>
    <row r="28353" spans="31:31">
      <c r="AE28353" s="54"/>
    </row>
    <row r="28354" spans="31:31">
      <c r="AE28354" s="54"/>
    </row>
    <row r="28355" spans="31:31">
      <c r="AE28355" s="54"/>
    </row>
    <row r="28356" spans="31:31">
      <c r="AE28356" s="54"/>
    </row>
    <row r="28357" spans="31:31">
      <c r="AE28357" s="54"/>
    </row>
    <row r="28358" spans="31:31">
      <c r="AE28358" s="54"/>
    </row>
    <row r="28359" spans="31:31">
      <c r="AE28359" s="54"/>
    </row>
    <row r="28360" spans="31:31">
      <c r="AE28360" s="54"/>
    </row>
    <row r="28361" spans="31:31">
      <c r="AE28361" s="54"/>
    </row>
    <row r="28362" spans="31:31">
      <c r="AE28362" s="54"/>
    </row>
    <row r="28363" spans="31:31">
      <c r="AE28363" s="54"/>
    </row>
    <row r="28364" spans="31:31">
      <c r="AE28364" s="54"/>
    </row>
    <row r="28365" spans="31:31">
      <c r="AE28365" s="54"/>
    </row>
    <row r="28366" spans="31:31">
      <c r="AE28366" s="54"/>
    </row>
    <row r="28367" spans="31:31">
      <c r="AE28367" s="54"/>
    </row>
    <row r="28368" spans="31:31">
      <c r="AE28368" s="54"/>
    </row>
    <row r="28369" spans="31:31">
      <c r="AE28369" s="54"/>
    </row>
    <row r="28370" spans="31:31">
      <c r="AE28370" s="54"/>
    </row>
    <row r="28371" spans="31:31">
      <c r="AE28371" s="54"/>
    </row>
    <row r="28372" spans="31:31">
      <c r="AE28372" s="54"/>
    </row>
    <row r="28373" spans="31:31">
      <c r="AE28373" s="54"/>
    </row>
    <row r="28374" spans="31:31">
      <c r="AE28374" s="54"/>
    </row>
    <row r="28375" spans="31:31">
      <c r="AE28375" s="54"/>
    </row>
    <row r="28376" spans="31:31">
      <c r="AE28376" s="54"/>
    </row>
    <row r="28377" spans="31:31">
      <c r="AE28377" s="54"/>
    </row>
    <row r="28378" spans="31:31">
      <c r="AE28378" s="54"/>
    </row>
    <row r="28379" spans="31:31">
      <c r="AE28379" s="54"/>
    </row>
    <row r="28380" spans="31:31">
      <c r="AE28380" s="54"/>
    </row>
    <row r="28381" spans="31:31">
      <c r="AE28381" s="54"/>
    </row>
    <row r="28382" spans="31:31">
      <c r="AE28382" s="54"/>
    </row>
    <row r="28383" spans="31:31">
      <c r="AE28383" s="54"/>
    </row>
    <row r="28384" spans="31:31">
      <c r="AE28384" s="54"/>
    </row>
    <row r="28385" spans="31:31">
      <c r="AE28385" s="54"/>
    </row>
    <row r="28386" spans="31:31">
      <c r="AE28386" s="54"/>
    </row>
    <row r="28387" spans="31:31">
      <c r="AE28387" s="54"/>
    </row>
    <row r="28388" spans="31:31">
      <c r="AE28388" s="54"/>
    </row>
    <row r="28389" spans="31:31">
      <c r="AE28389" s="54"/>
    </row>
    <row r="28390" spans="31:31">
      <c r="AE28390" s="54"/>
    </row>
    <row r="28391" spans="31:31">
      <c r="AE28391" s="54"/>
    </row>
    <row r="28392" spans="31:31">
      <c r="AE28392" s="54"/>
    </row>
    <row r="28393" spans="31:31">
      <c r="AE28393" s="54"/>
    </row>
    <row r="28394" spans="31:31">
      <c r="AE28394" s="54"/>
    </row>
    <row r="28395" spans="31:31">
      <c r="AE28395" s="54"/>
    </row>
    <row r="28396" spans="31:31">
      <c r="AE28396" s="54"/>
    </row>
    <row r="28397" spans="31:31">
      <c r="AE28397" s="54"/>
    </row>
    <row r="28398" spans="31:31">
      <c r="AE28398" s="54"/>
    </row>
    <row r="28399" spans="31:31">
      <c r="AE28399" s="54"/>
    </row>
    <row r="28400" spans="31:31">
      <c r="AE28400" s="54"/>
    </row>
    <row r="28401" spans="31:31">
      <c r="AE28401" s="54"/>
    </row>
    <row r="28402" spans="31:31">
      <c r="AE28402" s="54"/>
    </row>
    <row r="28403" spans="31:31">
      <c r="AE28403" s="54"/>
    </row>
    <row r="28404" spans="31:31">
      <c r="AE28404" s="54"/>
    </row>
    <row r="28405" spans="31:31">
      <c r="AE28405" s="54"/>
    </row>
    <row r="28406" spans="31:31">
      <c r="AE28406" s="54"/>
    </row>
    <row r="28407" spans="31:31">
      <c r="AE28407" s="54"/>
    </row>
    <row r="28408" spans="31:31">
      <c r="AE28408" s="54"/>
    </row>
    <row r="28409" spans="31:31">
      <c r="AE28409" s="54"/>
    </row>
    <row r="28410" spans="31:31">
      <c r="AE28410" s="54"/>
    </row>
    <row r="28411" spans="31:31">
      <c r="AE28411" s="54"/>
    </row>
    <row r="28412" spans="31:31">
      <c r="AE28412" s="54"/>
    </row>
    <row r="28413" spans="31:31">
      <c r="AE28413" s="54"/>
    </row>
    <row r="28414" spans="31:31">
      <c r="AE28414" s="54"/>
    </row>
    <row r="28415" spans="31:31">
      <c r="AE28415" s="54"/>
    </row>
    <row r="28416" spans="31:31">
      <c r="AE28416" s="54"/>
    </row>
    <row r="28417" spans="31:31">
      <c r="AE28417" s="54"/>
    </row>
    <row r="28418" spans="31:31">
      <c r="AE28418" s="54"/>
    </row>
    <row r="28419" spans="31:31">
      <c r="AE28419" s="54"/>
    </row>
    <row r="28420" spans="31:31">
      <c r="AE28420" s="54"/>
    </row>
    <row r="28421" spans="31:31">
      <c r="AE28421" s="54"/>
    </row>
    <row r="28422" spans="31:31">
      <c r="AE28422" s="54"/>
    </row>
    <row r="28423" spans="31:31">
      <c r="AE28423" s="54"/>
    </row>
    <row r="28424" spans="31:31">
      <c r="AE28424" s="54"/>
    </row>
    <row r="28425" spans="31:31">
      <c r="AE28425" s="54"/>
    </row>
    <row r="28426" spans="31:31">
      <c r="AE28426" s="54"/>
    </row>
    <row r="28427" spans="31:31">
      <c r="AE28427" s="54"/>
    </row>
    <row r="28428" spans="31:31">
      <c r="AE28428" s="54"/>
    </row>
    <row r="28429" spans="31:31">
      <c r="AE28429" s="54"/>
    </row>
    <row r="28430" spans="31:31">
      <c r="AE28430" s="54"/>
    </row>
    <row r="28431" spans="31:31">
      <c r="AE28431" s="54"/>
    </row>
    <row r="28432" spans="31:31">
      <c r="AE28432" s="54"/>
    </row>
    <row r="28433" spans="31:31">
      <c r="AE28433" s="54"/>
    </row>
    <row r="28434" spans="31:31">
      <c r="AE28434" s="54"/>
    </row>
    <row r="28435" spans="31:31">
      <c r="AE28435" s="54"/>
    </row>
    <row r="28436" spans="31:31">
      <c r="AE28436" s="54"/>
    </row>
    <row r="28437" spans="31:31">
      <c r="AE28437" s="54"/>
    </row>
    <row r="28438" spans="31:31">
      <c r="AE28438" s="54"/>
    </row>
    <row r="28439" spans="31:31">
      <c r="AE28439" s="54"/>
    </row>
    <row r="28440" spans="31:31">
      <c r="AE28440" s="54"/>
    </row>
    <row r="28441" spans="31:31">
      <c r="AE28441" s="54"/>
    </row>
    <row r="28442" spans="31:31">
      <c r="AE28442" s="54"/>
    </row>
    <row r="28443" spans="31:31">
      <c r="AE28443" s="54"/>
    </row>
    <row r="28444" spans="31:31">
      <c r="AE28444" s="54"/>
    </row>
    <row r="28445" spans="31:31">
      <c r="AE28445" s="54"/>
    </row>
    <row r="28446" spans="31:31">
      <c r="AE28446" s="54"/>
    </row>
    <row r="28447" spans="31:31">
      <c r="AE28447" s="54"/>
    </row>
    <row r="28448" spans="31:31">
      <c r="AE28448" s="54"/>
    </row>
    <row r="28449" spans="31:31">
      <c r="AE28449" s="54"/>
    </row>
    <row r="28450" spans="31:31">
      <c r="AE28450" s="54"/>
    </row>
    <row r="28451" spans="31:31">
      <c r="AE28451" s="54"/>
    </row>
    <row r="28452" spans="31:31">
      <c r="AE28452" s="54"/>
    </row>
    <row r="28453" spans="31:31">
      <c r="AE28453" s="54"/>
    </row>
    <row r="28454" spans="31:31">
      <c r="AE28454" s="54"/>
    </row>
    <row r="28455" spans="31:31">
      <c r="AE28455" s="54"/>
    </row>
    <row r="28456" spans="31:31">
      <c r="AE28456" s="54"/>
    </row>
    <row r="28457" spans="31:31">
      <c r="AE28457" s="54"/>
    </row>
    <row r="28458" spans="31:31">
      <c r="AE28458" s="54"/>
    </row>
    <row r="28459" spans="31:31">
      <c r="AE28459" s="54"/>
    </row>
    <row r="28460" spans="31:31">
      <c r="AE28460" s="54"/>
    </row>
    <row r="28461" spans="31:31">
      <c r="AE28461" s="54"/>
    </row>
    <row r="28462" spans="31:31">
      <c r="AE28462" s="54"/>
    </row>
    <row r="28463" spans="31:31">
      <c r="AE28463" s="54"/>
    </row>
    <row r="28464" spans="31:31">
      <c r="AE28464" s="54"/>
    </row>
    <row r="28465" spans="31:31">
      <c r="AE28465" s="54"/>
    </row>
    <row r="28466" spans="31:31">
      <c r="AE28466" s="54"/>
    </row>
    <row r="28467" spans="31:31">
      <c r="AE28467" s="54"/>
    </row>
    <row r="28468" spans="31:31">
      <c r="AE28468" s="54"/>
    </row>
    <row r="28469" spans="31:31">
      <c r="AE28469" s="54"/>
    </row>
    <row r="28470" spans="31:31">
      <c r="AE28470" s="54"/>
    </row>
    <row r="28471" spans="31:31">
      <c r="AE28471" s="54"/>
    </row>
    <row r="28472" spans="31:31">
      <c r="AE28472" s="54"/>
    </row>
    <row r="28473" spans="31:31">
      <c r="AE28473" s="54"/>
    </row>
    <row r="28474" spans="31:31">
      <c r="AE28474" s="54"/>
    </row>
    <row r="28475" spans="31:31">
      <c r="AE28475" s="54"/>
    </row>
    <row r="28476" spans="31:31">
      <c r="AE28476" s="54"/>
    </row>
    <row r="28477" spans="31:31">
      <c r="AE28477" s="54"/>
    </row>
    <row r="28478" spans="31:31">
      <c r="AE28478" s="54"/>
    </row>
    <row r="28479" spans="31:31">
      <c r="AE28479" s="54"/>
    </row>
    <row r="28480" spans="31:31">
      <c r="AE28480" s="54"/>
    </row>
    <row r="28481" spans="31:31">
      <c r="AE28481" s="54"/>
    </row>
    <row r="28482" spans="31:31">
      <c r="AE28482" s="54"/>
    </row>
    <row r="28483" spans="31:31">
      <c r="AE28483" s="54"/>
    </row>
    <row r="28484" spans="31:31">
      <c r="AE28484" s="54"/>
    </row>
    <row r="28485" spans="31:31">
      <c r="AE28485" s="54"/>
    </row>
    <row r="28486" spans="31:31">
      <c r="AE28486" s="54"/>
    </row>
    <row r="28487" spans="31:31">
      <c r="AE28487" s="54"/>
    </row>
    <row r="28488" spans="31:31">
      <c r="AE28488" s="54"/>
    </row>
    <row r="28489" spans="31:31">
      <c r="AE28489" s="54"/>
    </row>
    <row r="28490" spans="31:31">
      <c r="AE28490" s="54"/>
    </row>
    <row r="28491" spans="31:31">
      <c r="AE28491" s="54"/>
    </row>
    <row r="28492" spans="31:31">
      <c r="AE28492" s="54"/>
    </row>
    <row r="28493" spans="31:31">
      <c r="AE28493" s="54"/>
    </row>
    <row r="28494" spans="31:31">
      <c r="AE28494" s="54"/>
    </row>
    <row r="28495" spans="31:31">
      <c r="AE28495" s="54"/>
    </row>
    <row r="28496" spans="31:31">
      <c r="AE28496" s="54"/>
    </row>
    <row r="28497" spans="31:31">
      <c r="AE28497" s="54"/>
    </row>
    <row r="28498" spans="31:31">
      <c r="AE28498" s="54"/>
    </row>
    <row r="28499" spans="31:31">
      <c r="AE28499" s="54"/>
    </row>
    <row r="28500" spans="31:31">
      <c r="AE28500" s="54"/>
    </row>
    <row r="28501" spans="31:31">
      <c r="AE28501" s="54"/>
    </row>
    <row r="28502" spans="31:31">
      <c r="AE28502" s="54"/>
    </row>
    <row r="28503" spans="31:31">
      <c r="AE28503" s="54"/>
    </row>
    <row r="28504" spans="31:31">
      <c r="AE28504" s="54"/>
    </row>
    <row r="28505" spans="31:31">
      <c r="AE28505" s="54"/>
    </row>
    <row r="28506" spans="31:31">
      <c r="AE28506" s="54"/>
    </row>
    <row r="28507" spans="31:31">
      <c r="AE28507" s="54"/>
    </row>
    <row r="28508" spans="31:31">
      <c r="AE28508" s="54"/>
    </row>
    <row r="28509" spans="31:31">
      <c r="AE28509" s="54"/>
    </row>
    <row r="28510" spans="31:31">
      <c r="AE28510" s="54"/>
    </row>
    <row r="28511" spans="31:31">
      <c r="AE28511" s="54"/>
    </row>
    <row r="28512" spans="31:31">
      <c r="AE28512" s="54"/>
    </row>
    <row r="28513" spans="31:31">
      <c r="AE28513" s="54"/>
    </row>
    <row r="28514" spans="31:31">
      <c r="AE28514" s="54"/>
    </row>
    <row r="28515" spans="31:31">
      <c r="AE28515" s="54"/>
    </row>
    <row r="28516" spans="31:31">
      <c r="AE28516" s="54"/>
    </row>
    <row r="28517" spans="31:31">
      <c r="AE28517" s="54"/>
    </row>
    <row r="28518" spans="31:31">
      <c r="AE28518" s="54"/>
    </row>
    <row r="28519" spans="31:31">
      <c r="AE28519" s="54"/>
    </row>
    <row r="28520" spans="31:31">
      <c r="AE28520" s="54"/>
    </row>
    <row r="28521" spans="31:31">
      <c r="AE28521" s="54"/>
    </row>
    <row r="28522" spans="31:31">
      <c r="AE28522" s="54"/>
    </row>
    <row r="28523" spans="31:31">
      <c r="AE28523" s="54"/>
    </row>
    <row r="28524" spans="31:31">
      <c r="AE28524" s="54"/>
    </row>
    <row r="28525" spans="31:31">
      <c r="AE28525" s="54"/>
    </row>
    <row r="28526" spans="31:31">
      <c r="AE28526" s="54"/>
    </row>
    <row r="28527" spans="31:31">
      <c r="AE28527" s="54"/>
    </row>
    <row r="28528" spans="31:31">
      <c r="AE28528" s="54"/>
    </row>
    <row r="28529" spans="31:31">
      <c r="AE28529" s="54"/>
    </row>
    <row r="28530" spans="31:31">
      <c r="AE28530" s="54"/>
    </row>
    <row r="28531" spans="31:31">
      <c r="AE28531" s="54"/>
    </row>
    <row r="28532" spans="31:31">
      <c r="AE28532" s="54"/>
    </row>
    <row r="28533" spans="31:31">
      <c r="AE28533" s="54"/>
    </row>
    <row r="28534" spans="31:31">
      <c r="AE28534" s="54"/>
    </row>
    <row r="28535" spans="31:31">
      <c r="AE28535" s="54"/>
    </row>
    <row r="28536" spans="31:31">
      <c r="AE28536" s="54"/>
    </row>
    <row r="28537" spans="31:31">
      <c r="AE28537" s="54"/>
    </row>
    <row r="28538" spans="31:31">
      <c r="AE28538" s="54"/>
    </row>
    <row r="28539" spans="31:31">
      <c r="AE28539" s="54"/>
    </row>
    <row r="28540" spans="31:31">
      <c r="AE28540" s="54"/>
    </row>
    <row r="28541" spans="31:31">
      <c r="AE28541" s="54"/>
    </row>
    <row r="28542" spans="31:31">
      <c r="AE28542" s="54"/>
    </row>
    <row r="28543" spans="31:31">
      <c r="AE28543" s="54"/>
    </row>
    <row r="28544" spans="31:31">
      <c r="AE28544" s="54"/>
    </row>
    <row r="28545" spans="31:31">
      <c r="AE28545" s="54"/>
    </row>
    <row r="28546" spans="31:31">
      <c r="AE28546" s="54"/>
    </row>
    <row r="28547" spans="31:31">
      <c r="AE28547" s="54"/>
    </row>
    <row r="28548" spans="31:31">
      <c r="AE28548" s="54"/>
    </row>
    <row r="28549" spans="31:31">
      <c r="AE28549" s="54"/>
    </row>
    <row r="28550" spans="31:31">
      <c r="AE28550" s="54"/>
    </row>
    <row r="28551" spans="31:31">
      <c r="AE28551" s="54"/>
    </row>
    <row r="28552" spans="31:31">
      <c r="AE28552" s="54"/>
    </row>
    <row r="28553" spans="31:31">
      <c r="AE28553" s="54"/>
    </row>
    <row r="28554" spans="31:31">
      <c r="AE28554" s="54"/>
    </row>
    <row r="28555" spans="31:31">
      <c r="AE28555" s="54"/>
    </row>
    <row r="28556" spans="31:31">
      <c r="AE28556" s="54"/>
    </row>
    <row r="28557" spans="31:31">
      <c r="AE28557" s="54"/>
    </row>
    <row r="28558" spans="31:31">
      <c r="AE28558" s="54"/>
    </row>
    <row r="28559" spans="31:31">
      <c r="AE28559" s="54"/>
    </row>
    <row r="28560" spans="31:31">
      <c r="AE28560" s="54"/>
    </row>
    <row r="28561" spans="31:31">
      <c r="AE28561" s="54"/>
    </row>
    <row r="28562" spans="31:31">
      <c r="AE28562" s="54"/>
    </row>
    <row r="28563" spans="31:31">
      <c r="AE28563" s="54"/>
    </row>
    <row r="28564" spans="31:31">
      <c r="AE28564" s="54"/>
    </row>
    <row r="28565" spans="31:31">
      <c r="AE28565" s="54"/>
    </row>
    <row r="28566" spans="31:31">
      <c r="AE28566" s="54"/>
    </row>
    <row r="28567" spans="31:31">
      <c r="AE28567" s="54"/>
    </row>
    <row r="28568" spans="31:31">
      <c r="AE28568" s="54"/>
    </row>
    <row r="28569" spans="31:31">
      <c r="AE28569" s="54"/>
    </row>
    <row r="28570" spans="31:31">
      <c r="AE28570" s="54"/>
    </row>
    <row r="28571" spans="31:31">
      <c r="AE28571" s="54"/>
    </row>
    <row r="28572" spans="31:31">
      <c r="AE28572" s="54"/>
    </row>
    <row r="28573" spans="31:31">
      <c r="AE28573" s="54"/>
    </row>
    <row r="28574" spans="31:31">
      <c r="AE28574" s="54"/>
    </row>
    <row r="28575" spans="31:31">
      <c r="AE28575" s="54"/>
    </row>
    <row r="28576" spans="31:31">
      <c r="AE28576" s="54"/>
    </row>
    <row r="28577" spans="31:31">
      <c r="AE28577" s="54"/>
    </row>
    <row r="28578" spans="31:31">
      <c r="AE28578" s="54"/>
    </row>
    <row r="28579" spans="31:31">
      <c r="AE28579" s="54"/>
    </row>
    <row r="28580" spans="31:31">
      <c r="AE28580" s="54"/>
    </row>
    <row r="28581" spans="31:31">
      <c r="AE28581" s="54"/>
    </row>
    <row r="28582" spans="31:31">
      <c r="AE28582" s="54"/>
    </row>
    <row r="28583" spans="31:31">
      <c r="AE28583" s="54"/>
    </row>
    <row r="28584" spans="31:31">
      <c r="AE28584" s="54"/>
    </row>
    <row r="28585" spans="31:31">
      <c r="AE28585" s="54"/>
    </row>
    <row r="28586" spans="31:31">
      <c r="AE28586" s="54"/>
    </row>
    <row r="28587" spans="31:31">
      <c r="AE28587" s="54"/>
    </row>
    <row r="28588" spans="31:31">
      <c r="AE28588" s="54"/>
    </row>
    <row r="28589" spans="31:31">
      <c r="AE28589" s="54"/>
    </row>
    <row r="28590" spans="31:31">
      <c r="AE28590" s="54"/>
    </row>
    <row r="28591" spans="31:31">
      <c r="AE28591" s="54"/>
    </row>
    <row r="28592" spans="31:31">
      <c r="AE28592" s="54"/>
    </row>
    <row r="28593" spans="31:31">
      <c r="AE28593" s="54"/>
    </row>
    <row r="28594" spans="31:31">
      <c r="AE28594" s="54"/>
    </row>
    <row r="28595" spans="31:31">
      <c r="AE28595" s="54"/>
    </row>
    <row r="28596" spans="31:31">
      <c r="AE28596" s="54"/>
    </row>
    <row r="28597" spans="31:31">
      <c r="AE28597" s="54"/>
    </row>
    <row r="28598" spans="31:31">
      <c r="AE28598" s="54"/>
    </row>
    <row r="28599" spans="31:31">
      <c r="AE28599" s="54"/>
    </row>
    <row r="28600" spans="31:31">
      <c r="AE28600" s="54"/>
    </row>
    <row r="28601" spans="31:31">
      <c r="AE28601" s="54"/>
    </row>
    <row r="28602" spans="31:31">
      <c r="AE28602" s="54"/>
    </row>
    <row r="28603" spans="31:31">
      <c r="AE28603" s="54"/>
    </row>
    <row r="28604" spans="31:31">
      <c r="AE28604" s="54"/>
    </row>
    <row r="28605" spans="31:31">
      <c r="AE28605" s="54"/>
    </row>
    <row r="28606" spans="31:31">
      <c r="AE28606" s="54"/>
    </row>
    <row r="28607" spans="31:31">
      <c r="AE28607" s="54"/>
    </row>
    <row r="28608" spans="31:31">
      <c r="AE28608" s="54"/>
    </row>
    <row r="28609" spans="31:31">
      <c r="AE28609" s="54"/>
    </row>
    <row r="28610" spans="31:31">
      <c r="AE28610" s="54"/>
    </row>
    <row r="28611" spans="31:31">
      <c r="AE28611" s="54"/>
    </row>
    <row r="28612" spans="31:31">
      <c r="AE28612" s="54"/>
    </row>
    <row r="28613" spans="31:31">
      <c r="AE28613" s="54"/>
    </row>
    <row r="28614" spans="31:31">
      <c r="AE28614" s="54"/>
    </row>
    <row r="28615" spans="31:31">
      <c r="AE28615" s="54"/>
    </row>
    <row r="28616" spans="31:31">
      <c r="AE28616" s="54"/>
    </row>
    <row r="28617" spans="31:31">
      <c r="AE28617" s="54"/>
    </row>
    <row r="28618" spans="31:31">
      <c r="AE28618" s="54"/>
    </row>
    <row r="28619" spans="31:31">
      <c r="AE28619" s="54"/>
    </row>
    <row r="28620" spans="31:31">
      <c r="AE28620" s="54"/>
    </row>
    <row r="28621" spans="31:31">
      <c r="AE28621" s="54"/>
    </row>
    <row r="28622" spans="31:31">
      <c r="AE28622" s="54"/>
    </row>
    <row r="28623" spans="31:31">
      <c r="AE28623" s="54"/>
    </row>
    <row r="28624" spans="31:31">
      <c r="AE28624" s="54"/>
    </row>
    <row r="28625" spans="31:31">
      <c r="AE28625" s="54"/>
    </row>
    <row r="28626" spans="31:31">
      <c r="AE28626" s="54"/>
    </row>
    <row r="28627" spans="31:31">
      <c r="AE28627" s="54"/>
    </row>
    <row r="28628" spans="31:31">
      <c r="AE28628" s="54"/>
    </row>
    <row r="28629" spans="31:31">
      <c r="AE28629" s="54"/>
    </row>
    <row r="28630" spans="31:31">
      <c r="AE28630" s="54"/>
    </row>
    <row r="28631" spans="31:31">
      <c r="AE28631" s="54"/>
    </row>
    <row r="28632" spans="31:31">
      <c r="AE28632" s="54"/>
    </row>
    <row r="28633" spans="31:31">
      <c r="AE28633" s="54"/>
    </row>
    <row r="28634" spans="31:31">
      <c r="AE28634" s="54"/>
    </row>
    <row r="28635" spans="31:31">
      <c r="AE28635" s="54"/>
    </row>
    <row r="28636" spans="31:31">
      <c r="AE28636" s="54"/>
    </row>
    <row r="28637" spans="31:31">
      <c r="AE28637" s="54"/>
    </row>
    <row r="28638" spans="31:31">
      <c r="AE28638" s="54"/>
    </row>
    <row r="28639" spans="31:31">
      <c r="AE28639" s="54"/>
    </row>
    <row r="28640" spans="31:31">
      <c r="AE28640" s="54"/>
    </row>
    <row r="28641" spans="31:31">
      <c r="AE28641" s="54"/>
    </row>
    <row r="28642" spans="31:31">
      <c r="AE28642" s="54"/>
    </row>
    <row r="28643" spans="31:31">
      <c r="AE28643" s="54"/>
    </row>
    <row r="28644" spans="31:31">
      <c r="AE28644" s="54"/>
    </row>
    <row r="28645" spans="31:31">
      <c r="AE28645" s="54"/>
    </row>
    <row r="28646" spans="31:31">
      <c r="AE28646" s="54"/>
    </row>
    <row r="28647" spans="31:31">
      <c r="AE28647" s="54"/>
    </row>
    <row r="28648" spans="31:31">
      <c r="AE28648" s="54"/>
    </row>
    <row r="28649" spans="31:31">
      <c r="AE28649" s="54"/>
    </row>
    <row r="28650" spans="31:31">
      <c r="AE28650" s="54"/>
    </row>
    <row r="28651" spans="31:31">
      <c r="AE28651" s="54"/>
    </row>
    <row r="28652" spans="31:31">
      <c r="AE28652" s="54"/>
    </row>
    <row r="28653" spans="31:31">
      <c r="AE28653" s="54"/>
    </row>
    <row r="28654" spans="31:31">
      <c r="AE28654" s="54"/>
    </row>
    <row r="28655" spans="31:31">
      <c r="AE28655" s="54"/>
    </row>
    <row r="28656" spans="31:31">
      <c r="AE28656" s="54"/>
    </row>
    <row r="28657" spans="31:31">
      <c r="AE28657" s="54"/>
    </row>
    <row r="28658" spans="31:31">
      <c r="AE28658" s="54"/>
    </row>
    <row r="28659" spans="31:31">
      <c r="AE28659" s="54"/>
    </row>
    <row r="28660" spans="31:31">
      <c r="AE28660" s="54"/>
    </row>
    <row r="28661" spans="31:31">
      <c r="AE28661" s="54"/>
    </row>
    <row r="28662" spans="31:31">
      <c r="AE28662" s="54"/>
    </row>
    <row r="28663" spans="31:31">
      <c r="AE28663" s="54"/>
    </row>
    <row r="28664" spans="31:31">
      <c r="AE28664" s="54"/>
    </row>
    <row r="28665" spans="31:31">
      <c r="AE28665" s="54"/>
    </row>
    <row r="28666" spans="31:31">
      <c r="AE28666" s="54"/>
    </row>
    <row r="28667" spans="31:31">
      <c r="AE28667" s="54"/>
    </row>
    <row r="28668" spans="31:31">
      <c r="AE28668" s="54"/>
    </row>
    <row r="28669" spans="31:31">
      <c r="AE28669" s="54"/>
    </row>
    <row r="28670" spans="31:31">
      <c r="AE28670" s="54"/>
    </row>
    <row r="28671" spans="31:31">
      <c r="AE28671" s="54"/>
    </row>
    <row r="28672" spans="31:31">
      <c r="AE28672" s="54"/>
    </row>
    <row r="28673" spans="31:31">
      <c r="AE28673" s="54"/>
    </row>
    <row r="28674" spans="31:31">
      <c r="AE28674" s="54"/>
    </row>
    <row r="28675" spans="31:31">
      <c r="AE28675" s="54"/>
    </row>
    <row r="28676" spans="31:31">
      <c r="AE28676" s="54"/>
    </row>
    <row r="28677" spans="31:31">
      <c r="AE28677" s="54"/>
    </row>
    <row r="28678" spans="31:31">
      <c r="AE28678" s="54"/>
    </row>
    <row r="28679" spans="31:31">
      <c r="AE28679" s="54"/>
    </row>
    <row r="28680" spans="31:31">
      <c r="AE28680" s="54"/>
    </row>
    <row r="28681" spans="31:31">
      <c r="AE28681" s="54"/>
    </row>
    <row r="28682" spans="31:31">
      <c r="AE28682" s="54"/>
    </row>
    <row r="28683" spans="31:31">
      <c r="AE28683" s="54"/>
    </row>
    <row r="28684" spans="31:31">
      <c r="AE28684" s="54"/>
    </row>
    <row r="28685" spans="31:31">
      <c r="AE28685" s="54"/>
    </row>
    <row r="28686" spans="31:31">
      <c r="AE28686" s="54"/>
    </row>
    <row r="28687" spans="31:31">
      <c r="AE28687" s="54"/>
    </row>
    <row r="28688" spans="31:31">
      <c r="AE28688" s="54"/>
    </row>
    <row r="28689" spans="31:31">
      <c r="AE28689" s="54"/>
    </row>
    <row r="28690" spans="31:31">
      <c r="AE28690" s="54"/>
    </row>
    <row r="28691" spans="31:31">
      <c r="AE28691" s="54"/>
    </row>
    <row r="28692" spans="31:31">
      <c r="AE28692" s="54"/>
    </row>
    <row r="28693" spans="31:31">
      <c r="AE28693" s="54"/>
    </row>
    <row r="28694" spans="31:31">
      <c r="AE28694" s="54"/>
    </row>
    <row r="28695" spans="31:31">
      <c r="AE28695" s="54"/>
    </row>
    <row r="28696" spans="31:31">
      <c r="AE28696" s="54"/>
    </row>
    <row r="28697" spans="31:31">
      <c r="AE28697" s="54"/>
    </row>
    <row r="28698" spans="31:31">
      <c r="AE28698" s="54"/>
    </row>
    <row r="28699" spans="31:31">
      <c r="AE28699" s="54"/>
    </row>
    <row r="28700" spans="31:31">
      <c r="AE28700" s="54"/>
    </row>
    <row r="28701" spans="31:31">
      <c r="AE28701" s="54"/>
    </row>
    <row r="28702" spans="31:31">
      <c r="AE28702" s="54"/>
    </row>
    <row r="28703" spans="31:31">
      <c r="AE28703" s="54"/>
    </row>
    <row r="28704" spans="31:31">
      <c r="AE28704" s="54"/>
    </row>
    <row r="28705" spans="31:31">
      <c r="AE28705" s="54"/>
    </row>
    <row r="28706" spans="31:31">
      <c r="AE28706" s="54"/>
    </row>
    <row r="28707" spans="31:31">
      <c r="AE28707" s="54"/>
    </row>
    <row r="28708" spans="31:31">
      <c r="AE28708" s="54"/>
    </row>
    <row r="28709" spans="31:31">
      <c r="AE28709" s="54"/>
    </row>
    <row r="28710" spans="31:31">
      <c r="AE28710" s="54"/>
    </row>
    <row r="28711" spans="31:31">
      <c r="AE28711" s="54"/>
    </row>
    <row r="28712" spans="31:31">
      <c r="AE28712" s="54"/>
    </row>
    <row r="28713" spans="31:31">
      <c r="AE28713" s="54"/>
    </row>
    <row r="28714" spans="31:31">
      <c r="AE28714" s="54"/>
    </row>
    <row r="28715" spans="31:31">
      <c r="AE28715" s="54"/>
    </row>
    <row r="28716" spans="31:31">
      <c r="AE28716" s="54"/>
    </row>
    <row r="28717" spans="31:31">
      <c r="AE28717" s="54"/>
    </row>
    <row r="28718" spans="31:31">
      <c r="AE28718" s="54"/>
    </row>
    <row r="28719" spans="31:31">
      <c r="AE28719" s="54"/>
    </row>
    <row r="28720" spans="31:31">
      <c r="AE28720" s="54"/>
    </row>
    <row r="28721" spans="31:31">
      <c r="AE28721" s="54"/>
    </row>
    <row r="28722" spans="31:31">
      <c r="AE28722" s="54"/>
    </row>
    <row r="28723" spans="31:31">
      <c r="AE28723" s="54"/>
    </row>
    <row r="28724" spans="31:31">
      <c r="AE28724" s="54"/>
    </row>
    <row r="28725" spans="31:31">
      <c r="AE28725" s="54"/>
    </row>
    <row r="28726" spans="31:31">
      <c r="AE28726" s="54"/>
    </row>
    <row r="28727" spans="31:31">
      <c r="AE28727" s="54"/>
    </row>
    <row r="28728" spans="31:31">
      <c r="AE28728" s="54"/>
    </row>
    <row r="28729" spans="31:31">
      <c r="AE28729" s="54"/>
    </row>
    <row r="28730" spans="31:31">
      <c r="AE28730" s="54"/>
    </row>
    <row r="28731" spans="31:31">
      <c r="AE28731" s="54"/>
    </row>
    <row r="28732" spans="31:31">
      <c r="AE28732" s="54"/>
    </row>
    <row r="28733" spans="31:31">
      <c r="AE28733" s="54"/>
    </row>
    <row r="28734" spans="31:31">
      <c r="AE28734" s="54"/>
    </row>
    <row r="28735" spans="31:31">
      <c r="AE28735" s="54"/>
    </row>
    <row r="28736" spans="31:31">
      <c r="AE28736" s="54"/>
    </row>
    <row r="28737" spans="31:31">
      <c r="AE28737" s="54"/>
    </row>
    <row r="28738" spans="31:31">
      <c r="AE28738" s="54"/>
    </row>
    <row r="28739" spans="31:31">
      <c r="AE28739" s="54"/>
    </row>
    <row r="28740" spans="31:31">
      <c r="AE28740" s="54"/>
    </row>
    <row r="28741" spans="31:31">
      <c r="AE28741" s="54"/>
    </row>
    <row r="28742" spans="31:31">
      <c r="AE28742" s="54"/>
    </row>
    <row r="28743" spans="31:31">
      <c r="AE28743" s="54"/>
    </row>
    <row r="28744" spans="31:31">
      <c r="AE28744" s="54"/>
    </row>
    <row r="28745" spans="31:31">
      <c r="AE28745" s="54"/>
    </row>
    <row r="28746" spans="31:31">
      <c r="AE28746" s="54"/>
    </row>
    <row r="28747" spans="31:31">
      <c r="AE28747" s="54"/>
    </row>
    <row r="28748" spans="31:31">
      <c r="AE28748" s="54"/>
    </row>
    <row r="28749" spans="31:31">
      <c r="AE28749" s="54"/>
    </row>
    <row r="28750" spans="31:31">
      <c r="AE28750" s="54"/>
    </row>
    <row r="28751" spans="31:31">
      <c r="AE28751" s="54"/>
    </row>
    <row r="28752" spans="31:31">
      <c r="AE28752" s="54"/>
    </row>
    <row r="28753" spans="31:31">
      <c r="AE28753" s="54"/>
    </row>
    <row r="28754" spans="31:31">
      <c r="AE28754" s="54"/>
    </row>
    <row r="28755" spans="31:31">
      <c r="AE28755" s="54"/>
    </row>
    <row r="28756" spans="31:31">
      <c r="AE28756" s="54"/>
    </row>
    <row r="28757" spans="31:31">
      <c r="AE28757" s="54"/>
    </row>
    <row r="28758" spans="31:31">
      <c r="AE28758" s="54"/>
    </row>
    <row r="28759" spans="31:31">
      <c r="AE28759" s="54"/>
    </row>
    <row r="28760" spans="31:31">
      <c r="AE28760" s="54"/>
    </row>
    <row r="28761" spans="31:31">
      <c r="AE28761" s="54"/>
    </row>
    <row r="28762" spans="31:31">
      <c r="AE28762" s="54"/>
    </row>
    <row r="28763" spans="31:31">
      <c r="AE28763" s="54"/>
    </row>
    <row r="28764" spans="31:31">
      <c r="AE28764" s="54"/>
    </row>
    <row r="28765" spans="31:31">
      <c r="AE28765" s="54"/>
    </row>
    <row r="28766" spans="31:31">
      <c r="AE28766" s="54"/>
    </row>
    <row r="28767" spans="31:31">
      <c r="AE28767" s="54"/>
    </row>
    <row r="28768" spans="31:31">
      <c r="AE28768" s="54"/>
    </row>
    <row r="28769" spans="31:31">
      <c r="AE28769" s="54"/>
    </row>
    <row r="28770" spans="31:31">
      <c r="AE28770" s="54"/>
    </row>
    <row r="28771" spans="31:31">
      <c r="AE28771" s="54"/>
    </row>
    <row r="28772" spans="31:31">
      <c r="AE28772" s="54"/>
    </row>
    <row r="28773" spans="31:31">
      <c r="AE28773" s="54"/>
    </row>
    <row r="28774" spans="31:31">
      <c r="AE28774" s="54"/>
    </row>
    <row r="28775" spans="31:31">
      <c r="AE28775" s="54"/>
    </row>
    <row r="28776" spans="31:31">
      <c r="AE28776" s="54"/>
    </row>
    <row r="28777" spans="31:31">
      <c r="AE28777" s="54"/>
    </row>
    <row r="28778" spans="31:31">
      <c r="AE28778" s="54"/>
    </row>
    <row r="28779" spans="31:31">
      <c r="AE28779" s="54"/>
    </row>
    <row r="28780" spans="31:31">
      <c r="AE28780" s="54"/>
    </row>
    <row r="28781" spans="31:31">
      <c r="AE28781" s="54"/>
    </row>
    <row r="28782" spans="31:31">
      <c r="AE28782" s="54"/>
    </row>
    <row r="28783" spans="31:31">
      <c r="AE28783" s="54"/>
    </row>
    <row r="28784" spans="31:31">
      <c r="AE28784" s="54"/>
    </row>
    <row r="28785" spans="31:31">
      <c r="AE28785" s="54"/>
    </row>
    <row r="28786" spans="31:31">
      <c r="AE28786" s="54"/>
    </row>
    <row r="28787" spans="31:31">
      <c r="AE28787" s="54"/>
    </row>
    <row r="28788" spans="31:31">
      <c r="AE28788" s="54"/>
    </row>
    <row r="28789" spans="31:31">
      <c r="AE28789" s="54"/>
    </row>
    <row r="28790" spans="31:31">
      <c r="AE28790" s="54"/>
    </row>
    <row r="28791" spans="31:31">
      <c r="AE28791" s="54"/>
    </row>
    <row r="28792" spans="31:31">
      <c r="AE28792" s="54"/>
    </row>
    <row r="28793" spans="31:31">
      <c r="AE28793" s="54"/>
    </row>
    <row r="28794" spans="31:31">
      <c r="AE28794" s="54"/>
    </row>
    <row r="28795" spans="31:31">
      <c r="AE28795" s="54"/>
    </row>
    <row r="28796" spans="31:31">
      <c r="AE28796" s="54"/>
    </row>
    <row r="28797" spans="31:31">
      <c r="AE28797" s="54"/>
    </row>
    <row r="28798" spans="31:31">
      <c r="AE28798" s="54"/>
    </row>
    <row r="28799" spans="31:31">
      <c r="AE28799" s="54"/>
    </row>
    <row r="28800" spans="31:31">
      <c r="AE28800" s="54"/>
    </row>
    <row r="28801" spans="31:31">
      <c r="AE28801" s="54"/>
    </row>
    <row r="28802" spans="31:31">
      <c r="AE28802" s="54"/>
    </row>
    <row r="28803" spans="31:31">
      <c r="AE28803" s="54"/>
    </row>
    <row r="28804" spans="31:31">
      <c r="AE28804" s="54"/>
    </row>
    <row r="28805" spans="31:31">
      <c r="AE28805" s="54"/>
    </row>
    <row r="28806" spans="31:31">
      <c r="AE28806" s="54"/>
    </row>
    <row r="28807" spans="31:31">
      <c r="AE28807" s="54"/>
    </row>
    <row r="28808" spans="31:31">
      <c r="AE28808" s="54"/>
    </row>
    <row r="28809" spans="31:31">
      <c r="AE28809" s="54"/>
    </row>
    <row r="28810" spans="31:31">
      <c r="AE28810" s="54"/>
    </row>
    <row r="28811" spans="31:31">
      <c r="AE28811" s="54"/>
    </row>
    <row r="28812" spans="31:31">
      <c r="AE28812" s="54"/>
    </row>
    <row r="28813" spans="31:31">
      <c r="AE28813" s="54"/>
    </row>
    <row r="28814" spans="31:31">
      <c r="AE28814" s="54"/>
    </row>
    <row r="28815" spans="31:31">
      <c r="AE28815" s="54"/>
    </row>
    <row r="28816" spans="31:31">
      <c r="AE28816" s="54"/>
    </row>
    <row r="28817" spans="31:31">
      <c r="AE28817" s="54"/>
    </row>
    <row r="28818" spans="31:31">
      <c r="AE28818" s="54"/>
    </row>
    <row r="28819" spans="31:31">
      <c r="AE28819" s="54"/>
    </row>
    <row r="28820" spans="31:31">
      <c r="AE28820" s="54"/>
    </row>
    <row r="28821" spans="31:31">
      <c r="AE28821" s="54"/>
    </row>
    <row r="28822" spans="31:31">
      <c r="AE28822" s="54"/>
    </row>
    <row r="28823" spans="31:31">
      <c r="AE28823" s="54"/>
    </row>
    <row r="28824" spans="31:31">
      <c r="AE28824" s="54"/>
    </row>
    <row r="28825" spans="31:31">
      <c r="AE28825" s="54"/>
    </row>
    <row r="28826" spans="31:31">
      <c r="AE28826" s="54"/>
    </row>
    <row r="28827" spans="31:31">
      <c r="AE28827" s="54"/>
    </row>
    <row r="28828" spans="31:31">
      <c r="AE28828" s="54"/>
    </row>
    <row r="28829" spans="31:31">
      <c r="AE28829" s="54"/>
    </row>
    <row r="28830" spans="31:31">
      <c r="AE28830" s="54"/>
    </row>
    <row r="28831" spans="31:31">
      <c r="AE28831" s="54"/>
    </row>
    <row r="28832" spans="31:31">
      <c r="AE28832" s="54"/>
    </row>
    <row r="28833" spans="31:31">
      <c r="AE28833" s="54"/>
    </row>
    <row r="28834" spans="31:31">
      <c r="AE28834" s="54"/>
    </row>
    <row r="28835" spans="31:31">
      <c r="AE28835" s="54"/>
    </row>
    <row r="28836" spans="31:31">
      <c r="AE28836" s="54"/>
    </row>
    <row r="28837" spans="31:31">
      <c r="AE28837" s="54"/>
    </row>
    <row r="28838" spans="31:31">
      <c r="AE28838" s="54"/>
    </row>
    <row r="28839" spans="31:31">
      <c r="AE28839" s="54"/>
    </row>
    <row r="28840" spans="31:31">
      <c r="AE28840" s="54"/>
    </row>
    <row r="28841" spans="31:31">
      <c r="AE28841" s="54"/>
    </row>
    <row r="28842" spans="31:31">
      <c r="AE28842" s="54"/>
    </row>
    <row r="28843" spans="31:31">
      <c r="AE28843" s="54"/>
    </row>
    <row r="28844" spans="31:31">
      <c r="AE28844" s="54"/>
    </row>
    <row r="28845" spans="31:31">
      <c r="AE28845" s="54"/>
    </row>
    <row r="28846" spans="31:31">
      <c r="AE28846" s="54"/>
    </row>
    <row r="28847" spans="31:31">
      <c r="AE28847" s="54"/>
    </row>
    <row r="28848" spans="31:31">
      <c r="AE28848" s="54"/>
    </row>
    <row r="28849" spans="31:31">
      <c r="AE28849" s="54"/>
    </row>
    <row r="28850" spans="31:31">
      <c r="AE28850" s="54"/>
    </row>
    <row r="28851" spans="31:31">
      <c r="AE28851" s="54"/>
    </row>
    <row r="28852" spans="31:31">
      <c r="AE28852" s="54"/>
    </row>
    <row r="28853" spans="31:31">
      <c r="AE28853" s="54"/>
    </row>
    <row r="28854" spans="31:31">
      <c r="AE28854" s="54"/>
    </row>
    <row r="28855" spans="31:31">
      <c r="AE28855" s="54"/>
    </row>
    <row r="28856" spans="31:31">
      <c r="AE28856" s="54"/>
    </row>
    <row r="28857" spans="31:31">
      <c r="AE28857" s="54"/>
    </row>
    <row r="28858" spans="31:31">
      <c r="AE28858" s="54"/>
    </row>
    <row r="28859" spans="31:31">
      <c r="AE28859" s="54"/>
    </row>
    <row r="28860" spans="31:31">
      <c r="AE28860" s="54"/>
    </row>
    <row r="28861" spans="31:31">
      <c r="AE28861" s="54"/>
    </row>
    <row r="28862" spans="31:31">
      <c r="AE28862" s="54"/>
    </row>
    <row r="28863" spans="31:31">
      <c r="AE28863" s="54"/>
    </row>
    <row r="28864" spans="31:31">
      <c r="AE28864" s="54"/>
    </row>
    <row r="28865" spans="31:31">
      <c r="AE28865" s="54"/>
    </row>
    <row r="28866" spans="31:31">
      <c r="AE28866" s="54"/>
    </row>
    <row r="28867" spans="31:31">
      <c r="AE28867" s="54"/>
    </row>
    <row r="28868" spans="31:31">
      <c r="AE28868" s="54"/>
    </row>
    <row r="28869" spans="31:31">
      <c r="AE28869" s="54"/>
    </row>
    <row r="28870" spans="31:31">
      <c r="AE28870" s="54"/>
    </row>
    <row r="28871" spans="31:31">
      <c r="AE28871" s="54"/>
    </row>
    <row r="28872" spans="31:31">
      <c r="AE28872" s="54"/>
    </row>
    <row r="28873" spans="31:31">
      <c r="AE28873" s="54"/>
    </row>
    <row r="28874" spans="31:31">
      <c r="AE28874" s="54"/>
    </row>
    <row r="28875" spans="31:31">
      <c r="AE28875" s="54"/>
    </row>
    <row r="28876" spans="31:31">
      <c r="AE28876" s="54"/>
    </row>
    <row r="28877" spans="31:31">
      <c r="AE28877" s="54"/>
    </row>
    <row r="28878" spans="31:31">
      <c r="AE28878" s="54"/>
    </row>
    <row r="28879" spans="31:31">
      <c r="AE28879" s="54"/>
    </row>
    <row r="28880" spans="31:31">
      <c r="AE28880" s="54"/>
    </row>
    <row r="28881" spans="31:31">
      <c r="AE28881" s="54"/>
    </row>
    <row r="28882" spans="31:31">
      <c r="AE28882" s="54"/>
    </row>
    <row r="28883" spans="31:31">
      <c r="AE28883" s="54"/>
    </row>
    <row r="28884" spans="31:31">
      <c r="AE28884" s="54"/>
    </row>
    <row r="28885" spans="31:31">
      <c r="AE28885" s="54"/>
    </row>
    <row r="28886" spans="31:31">
      <c r="AE28886" s="54"/>
    </row>
    <row r="28887" spans="31:31">
      <c r="AE28887" s="54"/>
    </row>
    <row r="28888" spans="31:31">
      <c r="AE28888" s="54"/>
    </row>
    <row r="28889" spans="31:31">
      <c r="AE28889" s="54"/>
    </row>
    <row r="28890" spans="31:31">
      <c r="AE28890" s="54"/>
    </row>
    <row r="28891" spans="31:31">
      <c r="AE28891" s="54"/>
    </row>
    <row r="28892" spans="31:31">
      <c r="AE28892" s="54"/>
    </row>
    <row r="28893" spans="31:31">
      <c r="AE28893" s="54"/>
    </row>
    <row r="28894" spans="31:31">
      <c r="AE28894" s="54"/>
    </row>
    <row r="28895" spans="31:31">
      <c r="AE28895" s="54"/>
    </row>
    <row r="28896" spans="31:31">
      <c r="AE28896" s="54"/>
    </row>
    <row r="28897" spans="31:31">
      <c r="AE28897" s="54"/>
    </row>
    <row r="28898" spans="31:31">
      <c r="AE28898" s="54"/>
    </row>
    <row r="28899" spans="31:31">
      <c r="AE28899" s="54"/>
    </row>
    <row r="28900" spans="31:31">
      <c r="AE28900" s="54"/>
    </row>
    <row r="28901" spans="31:31">
      <c r="AE28901" s="54"/>
    </row>
    <row r="28902" spans="31:31">
      <c r="AE28902" s="54"/>
    </row>
    <row r="28903" spans="31:31">
      <c r="AE28903" s="54"/>
    </row>
    <row r="28904" spans="31:31">
      <c r="AE28904" s="54"/>
    </row>
    <row r="28905" spans="31:31">
      <c r="AE28905" s="54"/>
    </row>
    <row r="28906" spans="31:31">
      <c r="AE28906" s="54"/>
    </row>
    <row r="28907" spans="31:31">
      <c r="AE28907" s="54"/>
    </row>
    <row r="28908" spans="31:31">
      <c r="AE28908" s="54"/>
    </row>
    <row r="28909" spans="31:31">
      <c r="AE28909" s="54"/>
    </row>
    <row r="28910" spans="31:31">
      <c r="AE28910" s="54"/>
    </row>
    <row r="28911" spans="31:31">
      <c r="AE28911" s="54"/>
    </row>
    <row r="28912" spans="31:31">
      <c r="AE28912" s="54"/>
    </row>
    <row r="28913" spans="31:31">
      <c r="AE28913" s="54"/>
    </row>
    <row r="28914" spans="31:31">
      <c r="AE28914" s="54"/>
    </row>
    <row r="28915" spans="31:31">
      <c r="AE28915" s="54"/>
    </row>
    <row r="28916" spans="31:31">
      <c r="AE28916" s="54"/>
    </row>
    <row r="28917" spans="31:31">
      <c r="AE28917" s="54"/>
    </row>
    <row r="28918" spans="31:31">
      <c r="AE28918" s="54"/>
    </row>
    <row r="28919" spans="31:31">
      <c r="AE28919" s="54"/>
    </row>
    <row r="28920" spans="31:31">
      <c r="AE28920" s="54"/>
    </row>
    <row r="28921" spans="31:31">
      <c r="AE28921" s="54"/>
    </row>
    <row r="28922" spans="31:31">
      <c r="AE28922" s="54"/>
    </row>
    <row r="28923" spans="31:31">
      <c r="AE28923" s="54"/>
    </row>
    <row r="28924" spans="31:31">
      <c r="AE28924" s="54"/>
    </row>
    <row r="28925" spans="31:31">
      <c r="AE28925" s="54"/>
    </row>
    <row r="28926" spans="31:31">
      <c r="AE28926" s="54"/>
    </row>
    <row r="28927" spans="31:31">
      <c r="AE28927" s="54"/>
    </row>
    <row r="28928" spans="31:31">
      <c r="AE28928" s="54"/>
    </row>
    <row r="28929" spans="31:31">
      <c r="AE28929" s="54"/>
    </row>
    <row r="28930" spans="31:31">
      <c r="AE28930" s="54"/>
    </row>
    <row r="28931" spans="31:31">
      <c r="AE28931" s="54"/>
    </row>
    <row r="28932" spans="31:31">
      <c r="AE28932" s="54"/>
    </row>
    <row r="28933" spans="31:31">
      <c r="AE28933" s="54"/>
    </row>
    <row r="28934" spans="31:31">
      <c r="AE28934" s="54"/>
    </row>
    <row r="28935" spans="31:31">
      <c r="AE28935" s="54"/>
    </row>
    <row r="28936" spans="31:31">
      <c r="AE28936" s="54"/>
    </row>
    <row r="28937" spans="31:31">
      <c r="AE28937" s="54"/>
    </row>
    <row r="28938" spans="31:31">
      <c r="AE28938" s="54"/>
    </row>
    <row r="28939" spans="31:31">
      <c r="AE28939" s="54"/>
    </row>
    <row r="28940" spans="31:31">
      <c r="AE28940" s="54"/>
    </row>
    <row r="28941" spans="31:31">
      <c r="AE28941" s="54"/>
    </row>
    <row r="28942" spans="31:31">
      <c r="AE28942" s="54"/>
    </row>
    <row r="28943" spans="31:31">
      <c r="AE28943" s="54"/>
    </row>
    <row r="28944" spans="31:31">
      <c r="AE28944" s="54"/>
    </row>
    <row r="28945" spans="31:31">
      <c r="AE28945" s="54"/>
    </row>
    <row r="28946" spans="31:31">
      <c r="AE28946" s="54"/>
    </row>
    <row r="28947" spans="31:31">
      <c r="AE28947" s="54"/>
    </row>
    <row r="28948" spans="31:31">
      <c r="AE28948" s="54"/>
    </row>
    <row r="28949" spans="31:31">
      <c r="AE28949" s="54"/>
    </row>
    <row r="28950" spans="31:31">
      <c r="AE28950" s="54"/>
    </row>
    <row r="28951" spans="31:31">
      <c r="AE28951" s="54"/>
    </row>
    <row r="28952" spans="31:31">
      <c r="AE28952" s="54"/>
    </row>
    <row r="28953" spans="31:31">
      <c r="AE28953" s="54"/>
    </row>
    <row r="28954" spans="31:31">
      <c r="AE28954" s="54"/>
    </row>
    <row r="28955" spans="31:31">
      <c r="AE28955" s="54"/>
    </row>
    <row r="28956" spans="31:31">
      <c r="AE28956" s="54"/>
    </row>
    <row r="28957" spans="31:31">
      <c r="AE28957" s="54"/>
    </row>
    <row r="28958" spans="31:31">
      <c r="AE28958" s="54"/>
    </row>
    <row r="28959" spans="31:31">
      <c r="AE28959" s="54"/>
    </row>
    <row r="28960" spans="31:31">
      <c r="AE28960" s="54"/>
    </row>
    <row r="28961" spans="31:31">
      <c r="AE28961" s="54"/>
    </row>
    <row r="28962" spans="31:31">
      <c r="AE28962" s="54"/>
    </row>
    <row r="28963" spans="31:31">
      <c r="AE28963" s="54"/>
    </row>
    <row r="28964" spans="31:31">
      <c r="AE28964" s="54"/>
    </row>
    <row r="28965" spans="31:31">
      <c r="AE28965" s="54"/>
    </row>
    <row r="28966" spans="31:31">
      <c r="AE28966" s="54"/>
    </row>
    <row r="28967" spans="31:31">
      <c r="AE28967" s="54"/>
    </row>
    <row r="28968" spans="31:31">
      <c r="AE28968" s="54"/>
    </row>
    <row r="28969" spans="31:31">
      <c r="AE28969" s="54"/>
    </row>
    <row r="28970" spans="31:31">
      <c r="AE28970" s="54"/>
    </row>
    <row r="28971" spans="31:31">
      <c r="AE28971" s="54"/>
    </row>
    <row r="28972" spans="31:31">
      <c r="AE28972" s="54"/>
    </row>
    <row r="28973" spans="31:31">
      <c r="AE28973" s="54"/>
    </row>
    <row r="28974" spans="31:31">
      <c r="AE28974" s="54"/>
    </row>
    <row r="28975" spans="31:31">
      <c r="AE28975" s="54"/>
    </row>
    <row r="28976" spans="31:31">
      <c r="AE28976" s="54"/>
    </row>
    <row r="28977" spans="31:31">
      <c r="AE28977" s="54"/>
    </row>
    <row r="28978" spans="31:31">
      <c r="AE28978" s="54"/>
    </row>
    <row r="28979" spans="31:31">
      <c r="AE28979" s="54"/>
    </row>
    <row r="28980" spans="31:31">
      <c r="AE28980" s="54"/>
    </row>
    <row r="28981" spans="31:31">
      <c r="AE28981" s="54"/>
    </row>
    <row r="28982" spans="31:31">
      <c r="AE28982" s="54"/>
    </row>
    <row r="28983" spans="31:31">
      <c r="AE28983" s="54"/>
    </row>
    <row r="28984" spans="31:31">
      <c r="AE28984" s="54"/>
    </row>
    <row r="28985" spans="31:31">
      <c r="AE28985" s="54"/>
    </row>
    <row r="28986" spans="31:31">
      <c r="AE28986" s="54"/>
    </row>
    <row r="28987" spans="31:31">
      <c r="AE28987" s="54"/>
    </row>
    <row r="28988" spans="31:31">
      <c r="AE28988" s="54"/>
    </row>
    <row r="28989" spans="31:31">
      <c r="AE28989" s="54"/>
    </row>
    <row r="28990" spans="31:31">
      <c r="AE28990" s="54"/>
    </row>
    <row r="28991" spans="31:31">
      <c r="AE28991" s="54"/>
    </row>
    <row r="28992" spans="31:31">
      <c r="AE28992" s="54"/>
    </row>
    <row r="28993" spans="31:31">
      <c r="AE28993" s="54"/>
    </row>
    <row r="28994" spans="31:31">
      <c r="AE28994" s="54"/>
    </row>
    <row r="28995" spans="31:31">
      <c r="AE28995" s="54"/>
    </row>
    <row r="28996" spans="31:31">
      <c r="AE28996" s="54"/>
    </row>
    <row r="28997" spans="31:31">
      <c r="AE28997" s="54"/>
    </row>
    <row r="28998" spans="31:31">
      <c r="AE28998" s="54"/>
    </row>
    <row r="28999" spans="31:31">
      <c r="AE28999" s="54"/>
    </row>
    <row r="29000" spans="31:31">
      <c r="AE29000" s="54"/>
    </row>
    <row r="29001" spans="31:31">
      <c r="AE29001" s="54"/>
    </row>
    <row r="29002" spans="31:31">
      <c r="AE29002" s="54"/>
    </row>
    <row r="29003" spans="31:31">
      <c r="AE29003" s="54"/>
    </row>
    <row r="29004" spans="31:31">
      <c r="AE29004" s="54"/>
    </row>
    <row r="29005" spans="31:31">
      <c r="AE29005" s="54"/>
    </row>
    <row r="29006" spans="31:31">
      <c r="AE29006" s="54"/>
    </row>
    <row r="29007" spans="31:31">
      <c r="AE29007" s="54"/>
    </row>
    <row r="29008" spans="31:31">
      <c r="AE29008" s="54"/>
    </row>
    <row r="29009" spans="31:31">
      <c r="AE29009" s="54"/>
    </row>
    <row r="29010" spans="31:31">
      <c r="AE29010" s="54"/>
    </row>
    <row r="29011" spans="31:31">
      <c r="AE29011" s="54"/>
    </row>
    <row r="29012" spans="31:31">
      <c r="AE29012" s="54"/>
    </row>
    <row r="29013" spans="31:31">
      <c r="AE29013" s="54"/>
    </row>
    <row r="29014" spans="31:31">
      <c r="AE29014" s="54"/>
    </row>
    <row r="29015" spans="31:31">
      <c r="AE29015" s="54"/>
    </row>
    <row r="29016" spans="31:31">
      <c r="AE29016" s="54"/>
    </row>
    <row r="29017" spans="31:31">
      <c r="AE29017" s="54"/>
    </row>
    <row r="29018" spans="31:31">
      <c r="AE29018" s="54"/>
    </row>
    <row r="29019" spans="31:31">
      <c r="AE29019" s="54"/>
    </row>
    <row r="29020" spans="31:31">
      <c r="AE29020" s="54"/>
    </row>
    <row r="29021" spans="31:31">
      <c r="AE29021" s="54"/>
    </row>
    <row r="29022" spans="31:31">
      <c r="AE29022" s="54"/>
    </row>
    <row r="29023" spans="31:31">
      <c r="AE29023" s="54"/>
    </row>
    <row r="29024" spans="31:31">
      <c r="AE29024" s="54"/>
    </row>
    <row r="29025" spans="31:31">
      <c r="AE29025" s="54"/>
    </row>
    <row r="29026" spans="31:31">
      <c r="AE29026" s="54"/>
    </row>
    <row r="29027" spans="31:31">
      <c r="AE29027" s="54"/>
    </row>
    <row r="29028" spans="31:31">
      <c r="AE29028" s="54"/>
    </row>
    <row r="29029" spans="31:31">
      <c r="AE29029" s="54"/>
    </row>
    <row r="29030" spans="31:31">
      <c r="AE29030" s="54"/>
    </row>
    <row r="29031" spans="31:31">
      <c r="AE29031" s="54"/>
    </row>
    <row r="29032" spans="31:31">
      <c r="AE29032" s="54"/>
    </row>
    <row r="29033" spans="31:31">
      <c r="AE29033" s="54"/>
    </row>
    <row r="29034" spans="31:31">
      <c r="AE29034" s="54"/>
    </row>
    <row r="29035" spans="31:31">
      <c r="AE29035" s="54"/>
    </row>
    <row r="29036" spans="31:31">
      <c r="AE29036" s="54"/>
    </row>
    <row r="29037" spans="31:31">
      <c r="AE29037" s="54"/>
    </row>
    <row r="29038" spans="31:31">
      <c r="AE29038" s="54"/>
    </row>
    <row r="29039" spans="31:31">
      <c r="AE29039" s="54"/>
    </row>
    <row r="29040" spans="31:31">
      <c r="AE29040" s="54"/>
    </row>
    <row r="29041" spans="31:31">
      <c r="AE29041" s="54"/>
    </row>
    <row r="29042" spans="31:31">
      <c r="AE29042" s="54"/>
    </row>
    <row r="29043" spans="31:31">
      <c r="AE29043" s="54"/>
    </row>
    <row r="29044" spans="31:31">
      <c r="AE29044" s="54"/>
    </row>
    <row r="29045" spans="31:31">
      <c r="AE29045" s="54"/>
    </row>
    <row r="29046" spans="31:31">
      <c r="AE29046" s="54"/>
    </row>
    <row r="29047" spans="31:31">
      <c r="AE29047" s="54"/>
    </row>
    <row r="29048" spans="31:31">
      <c r="AE29048" s="54"/>
    </row>
    <row r="29049" spans="31:31">
      <c r="AE29049" s="54"/>
    </row>
    <row r="29050" spans="31:31">
      <c r="AE29050" s="54"/>
    </row>
    <row r="29051" spans="31:31">
      <c r="AE29051" s="54"/>
    </row>
    <row r="29052" spans="31:31">
      <c r="AE29052" s="54"/>
    </row>
    <row r="29053" spans="31:31">
      <c r="AE29053" s="54"/>
    </row>
    <row r="29054" spans="31:31">
      <c r="AE29054" s="54"/>
    </row>
    <row r="29055" spans="31:31">
      <c r="AE29055" s="54"/>
    </row>
    <row r="29056" spans="31:31">
      <c r="AE29056" s="54"/>
    </row>
    <row r="29057" spans="31:31">
      <c r="AE29057" s="54"/>
    </row>
    <row r="29058" spans="31:31">
      <c r="AE29058" s="54"/>
    </row>
    <row r="29059" spans="31:31">
      <c r="AE29059" s="54"/>
    </row>
    <row r="29060" spans="31:31">
      <c r="AE29060" s="54"/>
    </row>
    <row r="29061" spans="31:31">
      <c r="AE29061" s="54"/>
    </row>
    <row r="29062" spans="31:31">
      <c r="AE29062" s="54"/>
    </row>
    <row r="29063" spans="31:31">
      <c r="AE29063" s="54"/>
    </row>
    <row r="29064" spans="31:31">
      <c r="AE29064" s="54"/>
    </row>
    <row r="29065" spans="31:31">
      <c r="AE29065" s="54"/>
    </row>
    <row r="29066" spans="31:31">
      <c r="AE29066" s="54"/>
    </row>
    <row r="29067" spans="31:31">
      <c r="AE29067" s="54"/>
    </row>
    <row r="29068" spans="31:31">
      <c r="AE29068" s="54"/>
    </row>
    <row r="29069" spans="31:31">
      <c r="AE29069" s="54"/>
    </row>
    <row r="29070" spans="31:31">
      <c r="AE29070" s="54"/>
    </row>
    <row r="29071" spans="31:31">
      <c r="AE29071" s="54"/>
    </row>
    <row r="29072" spans="31:31">
      <c r="AE29072" s="54"/>
    </row>
    <row r="29073" spans="31:31">
      <c r="AE29073" s="54"/>
    </row>
    <row r="29074" spans="31:31">
      <c r="AE29074" s="54"/>
    </row>
    <row r="29075" spans="31:31">
      <c r="AE29075" s="54"/>
    </row>
    <row r="29076" spans="31:31">
      <c r="AE29076" s="54"/>
    </row>
    <row r="29077" spans="31:31">
      <c r="AE29077" s="54"/>
    </row>
    <row r="29078" spans="31:31">
      <c r="AE29078" s="54"/>
    </row>
    <row r="29079" spans="31:31">
      <c r="AE29079" s="54"/>
    </row>
    <row r="29080" spans="31:31">
      <c r="AE29080" s="54"/>
    </row>
    <row r="29081" spans="31:31">
      <c r="AE29081" s="54"/>
    </row>
    <row r="29082" spans="31:31">
      <c r="AE29082" s="54"/>
    </row>
    <row r="29083" spans="31:31">
      <c r="AE29083" s="54"/>
    </row>
    <row r="29084" spans="31:31">
      <c r="AE29084" s="54"/>
    </row>
    <row r="29085" spans="31:31">
      <c r="AE29085" s="54"/>
    </row>
    <row r="29086" spans="31:31">
      <c r="AE29086" s="54"/>
    </row>
    <row r="29087" spans="31:31">
      <c r="AE29087" s="54"/>
    </row>
    <row r="29088" spans="31:31">
      <c r="AE29088" s="54"/>
    </row>
    <row r="29089" spans="31:31">
      <c r="AE29089" s="54"/>
    </row>
    <row r="29090" spans="31:31">
      <c r="AE29090" s="54"/>
    </row>
    <row r="29091" spans="31:31">
      <c r="AE29091" s="54"/>
    </row>
    <row r="29092" spans="31:31">
      <c r="AE29092" s="54"/>
    </row>
    <row r="29093" spans="31:31">
      <c r="AE29093" s="54"/>
    </row>
    <row r="29094" spans="31:31">
      <c r="AE29094" s="54"/>
    </row>
    <row r="29095" spans="31:31">
      <c r="AE29095" s="54"/>
    </row>
    <row r="29096" spans="31:31">
      <c r="AE29096" s="54"/>
    </row>
    <row r="29097" spans="31:31">
      <c r="AE29097" s="54"/>
    </row>
    <row r="29098" spans="31:31">
      <c r="AE29098" s="54"/>
    </row>
    <row r="29099" spans="31:31">
      <c r="AE29099" s="54"/>
    </row>
    <row r="29100" spans="31:31">
      <c r="AE29100" s="54"/>
    </row>
    <row r="29101" spans="31:31">
      <c r="AE29101" s="54"/>
    </row>
    <row r="29102" spans="31:31">
      <c r="AE29102" s="54"/>
    </row>
    <row r="29103" spans="31:31">
      <c r="AE29103" s="54"/>
    </row>
    <row r="29104" spans="31:31">
      <c r="AE29104" s="54"/>
    </row>
    <row r="29105" spans="31:31">
      <c r="AE29105" s="54"/>
    </row>
    <row r="29106" spans="31:31">
      <c r="AE29106" s="54"/>
    </row>
    <row r="29107" spans="31:31">
      <c r="AE29107" s="54"/>
    </row>
    <row r="29108" spans="31:31">
      <c r="AE29108" s="54"/>
    </row>
    <row r="29109" spans="31:31">
      <c r="AE29109" s="54"/>
    </row>
    <row r="29110" spans="31:31">
      <c r="AE29110" s="54"/>
    </row>
    <row r="29111" spans="31:31">
      <c r="AE29111" s="54"/>
    </row>
    <row r="29112" spans="31:31">
      <c r="AE29112" s="54"/>
    </row>
    <row r="29113" spans="31:31">
      <c r="AE29113" s="54"/>
    </row>
    <row r="29114" spans="31:31">
      <c r="AE29114" s="54"/>
    </row>
    <row r="29115" spans="31:31">
      <c r="AE29115" s="54"/>
    </row>
    <row r="29116" spans="31:31">
      <c r="AE29116" s="54"/>
    </row>
    <row r="29117" spans="31:31">
      <c r="AE29117" s="54"/>
    </row>
    <row r="29118" spans="31:31">
      <c r="AE29118" s="54"/>
    </row>
    <row r="29119" spans="31:31">
      <c r="AE29119" s="54"/>
    </row>
    <row r="29120" spans="31:31">
      <c r="AE29120" s="54"/>
    </row>
    <row r="29121" spans="31:31">
      <c r="AE29121" s="54"/>
    </row>
    <row r="29122" spans="31:31">
      <c r="AE29122" s="54"/>
    </row>
    <row r="29123" spans="31:31">
      <c r="AE29123" s="54"/>
    </row>
    <row r="29124" spans="31:31">
      <c r="AE29124" s="54"/>
    </row>
    <row r="29125" spans="31:31">
      <c r="AE29125" s="54"/>
    </row>
    <row r="29126" spans="31:31">
      <c r="AE29126" s="54"/>
    </row>
    <row r="29127" spans="31:31">
      <c r="AE29127" s="54"/>
    </row>
    <row r="29128" spans="31:31">
      <c r="AE29128" s="54"/>
    </row>
    <row r="29129" spans="31:31">
      <c r="AE29129" s="54"/>
    </row>
    <row r="29130" spans="31:31">
      <c r="AE29130" s="54"/>
    </row>
    <row r="29131" spans="31:31">
      <c r="AE29131" s="54"/>
    </row>
    <row r="29132" spans="31:31">
      <c r="AE29132" s="54"/>
    </row>
    <row r="29133" spans="31:31">
      <c r="AE29133" s="54"/>
    </row>
    <row r="29134" spans="31:31">
      <c r="AE29134" s="54"/>
    </row>
    <row r="29135" spans="31:31">
      <c r="AE29135" s="54"/>
    </row>
    <row r="29136" spans="31:31">
      <c r="AE29136" s="54"/>
    </row>
    <row r="29137" spans="31:31">
      <c r="AE29137" s="54"/>
    </row>
    <row r="29138" spans="31:31">
      <c r="AE29138" s="54"/>
    </row>
    <row r="29139" spans="31:31">
      <c r="AE29139" s="54"/>
    </row>
    <row r="29140" spans="31:31">
      <c r="AE29140" s="54"/>
    </row>
    <row r="29141" spans="31:31">
      <c r="AE29141" s="54"/>
    </row>
    <row r="29142" spans="31:31">
      <c r="AE29142" s="54"/>
    </row>
    <row r="29143" spans="31:31">
      <c r="AE29143" s="54"/>
    </row>
    <row r="29144" spans="31:31">
      <c r="AE29144" s="54"/>
    </row>
    <row r="29145" spans="31:31">
      <c r="AE29145" s="54"/>
    </row>
    <row r="29146" spans="31:31">
      <c r="AE29146" s="54"/>
    </row>
    <row r="29147" spans="31:31">
      <c r="AE29147" s="54"/>
    </row>
    <row r="29148" spans="31:31">
      <c r="AE29148" s="54"/>
    </row>
    <row r="29149" spans="31:31">
      <c r="AE29149" s="54"/>
    </row>
    <row r="29150" spans="31:31">
      <c r="AE29150" s="54"/>
    </row>
    <row r="29151" spans="31:31">
      <c r="AE29151" s="54"/>
    </row>
    <row r="29152" spans="31:31">
      <c r="AE29152" s="54"/>
    </row>
    <row r="29153" spans="31:31">
      <c r="AE29153" s="54"/>
    </row>
    <row r="29154" spans="31:31">
      <c r="AE29154" s="54"/>
    </row>
    <row r="29155" spans="31:31">
      <c r="AE29155" s="54"/>
    </row>
    <row r="29156" spans="31:31">
      <c r="AE29156" s="54"/>
    </row>
    <row r="29157" spans="31:31">
      <c r="AE29157" s="54"/>
    </row>
    <row r="29158" spans="31:31">
      <c r="AE29158" s="54"/>
    </row>
    <row r="29159" spans="31:31">
      <c r="AE29159" s="54"/>
    </row>
    <row r="29160" spans="31:31">
      <c r="AE29160" s="54"/>
    </row>
    <row r="29161" spans="31:31">
      <c r="AE29161" s="54"/>
    </row>
    <row r="29162" spans="31:31">
      <c r="AE29162" s="54"/>
    </row>
    <row r="29163" spans="31:31">
      <c r="AE29163" s="54"/>
    </row>
    <row r="29164" spans="31:31">
      <c r="AE29164" s="54"/>
    </row>
    <row r="29165" spans="31:31">
      <c r="AE29165" s="54"/>
    </row>
    <row r="29166" spans="31:31">
      <c r="AE29166" s="54"/>
    </row>
    <row r="29167" spans="31:31">
      <c r="AE29167" s="54"/>
    </row>
    <row r="29168" spans="31:31">
      <c r="AE29168" s="54"/>
    </row>
    <row r="29169" spans="31:31">
      <c r="AE29169" s="54"/>
    </row>
    <row r="29170" spans="31:31">
      <c r="AE29170" s="54"/>
    </row>
    <row r="29171" spans="31:31">
      <c r="AE29171" s="54"/>
    </row>
    <row r="29172" spans="31:31">
      <c r="AE29172" s="54"/>
    </row>
    <row r="29173" spans="31:31">
      <c r="AE29173" s="54"/>
    </row>
    <row r="29174" spans="31:31">
      <c r="AE29174" s="54"/>
    </row>
    <row r="29175" spans="31:31">
      <c r="AE29175" s="54"/>
    </row>
    <row r="29176" spans="31:31">
      <c r="AE29176" s="54"/>
    </row>
    <row r="29177" spans="31:31">
      <c r="AE29177" s="54"/>
    </row>
    <row r="29178" spans="31:31">
      <c r="AE29178" s="54"/>
    </row>
    <row r="29179" spans="31:31">
      <c r="AE29179" s="54"/>
    </row>
    <row r="29180" spans="31:31">
      <c r="AE29180" s="54"/>
    </row>
    <row r="29181" spans="31:31">
      <c r="AE29181" s="54"/>
    </row>
    <row r="29182" spans="31:31">
      <c r="AE29182" s="54"/>
    </row>
    <row r="29183" spans="31:31">
      <c r="AE29183" s="54"/>
    </row>
    <row r="29184" spans="31:31">
      <c r="AE29184" s="54"/>
    </row>
    <row r="29185" spans="31:31">
      <c r="AE29185" s="54"/>
    </row>
    <row r="29186" spans="31:31">
      <c r="AE29186" s="54"/>
    </row>
    <row r="29187" spans="31:31">
      <c r="AE29187" s="54"/>
    </row>
    <row r="29188" spans="31:31">
      <c r="AE29188" s="54"/>
    </row>
    <row r="29189" spans="31:31">
      <c r="AE29189" s="54"/>
    </row>
    <row r="29190" spans="31:31">
      <c r="AE29190" s="54"/>
    </row>
    <row r="29191" spans="31:31">
      <c r="AE29191" s="54"/>
    </row>
    <row r="29192" spans="31:31">
      <c r="AE29192" s="54"/>
    </row>
    <row r="29193" spans="31:31">
      <c r="AE29193" s="54"/>
    </row>
    <row r="29194" spans="31:31">
      <c r="AE29194" s="54"/>
    </row>
    <row r="29195" spans="31:31">
      <c r="AE29195" s="54"/>
    </row>
    <row r="29196" spans="31:31">
      <c r="AE29196" s="54"/>
    </row>
    <row r="29197" spans="31:31">
      <c r="AE29197" s="54"/>
    </row>
    <row r="29198" spans="31:31">
      <c r="AE29198" s="54"/>
    </row>
    <row r="29199" spans="31:31">
      <c r="AE29199" s="54"/>
    </row>
    <row r="29200" spans="31:31">
      <c r="AE29200" s="54"/>
    </row>
    <row r="29201" spans="31:31">
      <c r="AE29201" s="54"/>
    </row>
    <row r="29202" spans="31:31">
      <c r="AE29202" s="54"/>
    </row>
    <row r="29203" spans="31:31">
      <c r="AE29203" s="54"/>
    </row>
    <row r="29204" spans="31:31">
      <c r="AE29204" s="54"/>
    </row>
    <row r="29205" spans="31:31">
      <c r="AE29205" s="54"/>
    </row>
    <row r="29206" spans="31:31">
      <c r="AE29206" s="54"/>
    </row>
    <row r="29207" spans="31:31">
      <c r="AE29207" s="54"/>
    </row>
    <row r="29208" spans="31:31">
      <c r="AE29208" s="54"/>
    </row>
    <row r="29209" spans="31:31">
      <c r="AE29209" s="54"/>
    </row>
    <row r="29210" spans="31:31">
      <c r="AE29210" s="54"/>
    </row>
    <row r="29211" spans="31:31">
      <c r="AE29211" s="54"/>
    </row>
    <row r="29212" spans="31:31">
      <c r="AE29212" s="54"/>
    </row>
    <row r="29213" spans="31:31">
      <c r="AE29213" s="54"/>
    </row>
    <row r="29214" spans="31:31">
      <c r="AE29214" s="54"/>
    </row>
    <row r="29215" spans="31:31">
      <c r="AE29215" s="54"/>
    </row>
    <row r="29216" spans="31:31">
      <c r="AE29216" s="54"/>
    </row>
    <row r="29217" spans="31:31">
      <c r="AE29217" s="54"/>
    </row>
    <row r="29218" spans="31:31">
      <c r="AE29218" s="54"/>
    </row>
    <row r="29219" spans="31:31">
      <c r="AE29219" s="54"/>
    </row>
    <row r="29220" spans="31:31">
      <c r="AE29220" s="54"/>
    </row>
    <row r="29221" spans="31:31">
      <c r="AE29221" s="54"/>
    </row>
    <row r="29222" spans="31:31">
      <c r="AE29222" s="54"/>
    </row>
    <row r="29223" spans="31:31">
      <c r="AE29223" s="54"/>
    </row>
    <row r="29224" spans="31:31">
      <c r="AE29224" s="54"/>
    </row>
    <row r="29225" spans="31:31">
      <c r="AE29225" s="54"/>
    </row>
    <row r="29226" spans="31:31">
      <c r="AE29226" s="54"/>
    </row>
    <row r="29227" spans="31:31">
      <c r="AE29227" s="54"/>
    </row>
    <row r="29228" spans="31:31">
      <c r="AE29228" s="54"/>
    </row>
    <row r="29229" spans="31:31">
      <c r="AE29229" s="54"/>
    </row>
    <row r="29230" spans="31:31">
      <c r="AE29230" s="54"/>
    </row>
    <row r="29231" spans="31:31">
      <c r="AE29231" s="54"/>
    </row>
    <row r="29232" spans="31:31">
      <c r="AE29232" s="54"/>
    </row>
    <row r="29233" spans="31:31">
      <c r="AE29233" s="54"/>
    </row>
    <row r="29234" spans="31:31">
      <c r="AE29234" s="54"/>
    </row>
    <row r="29235" spans="31:31">
      <c r="AE29235" s="54"/>
    </row>
    <row r="29236" spans="31:31">
      <c r="AE29236" s="54"/>
    </row>
    <row r="29237" spans="31:31">
      <c r="AE29237" s="54"/>
    </row>
    <row r="29238" spans="31:31">
      <c r="AE29238" s="54"/>
    </row>
    <row r="29239" spans="31:31">
      <c r="AE29239" s="54"/>
    </row>
    <row r="29240" spans="31:31">
      <c r="AE29240" s="54"/>
    </row>
    <row r="29241" spans="31:31">
      <c r="AE29241" s="54"/>
    </row>
    <row r="29242" spans="31:31">
      <c r="AE29242" s="54"/>
    </row>
    <row r="29243" spans="31:31">
      <c r="AE29243" s="54"/>
    </row>
    <row r="29244" spans="31:31">
      <c r="AE29244" s="54"/>
    </row>
    <row r="29245" spans="31:31">
      <c r="AE29245" s="54"/>
    </row>
    <row r="29246" spans="31:31">
      <c r="AE29246" s="54"/>
    </row>
    <row r="29247" spans="31:31">
      <c r="AE29247" s="54"/>
    </row>
    <row r="29248" spans="31:31">
      <c r="AE29248" s="54"/>
    </row>
    <row r="29249" spans="31:31">
      <c r="AE29249" s="54"/>
    </row>
    <row r="29250" spans="31:31">
      <c r="AE29250" s="54"/>
    </row>
    <row r="29251" spans="31:31">
      <c r="AE29251" s="54"/>
    </row>
    <row r="29252" spans="31:31">
      <c r="AE29252" s="54"/>
    </row>
    <row r="29253" spans="31:31">
      <c r="AE29253" s="54"/>
    </row>
    <row r="29254" spans="31:31">
      <c r="AE29254" s="54"/>
    </row>
    <row r="29255" spans="31:31">
      <c r="AE29255" s="54"/>
    </row>
    <row r="29256" spans="31:31">
      <c r="AE29256" s="54"/>
    </row>
    <row r="29257" spans="31:31">
      <c r="AE29257" s="54"/>
    </row>
    <row r="29258" spans="31:31">
      <c r="AE29258" s="54"/>
    </row>
    <row r="29259" spans="31:31">
      <c r="AE29259" s="54"/>
    </row>
    <row r="29260" spans="31:31">
      <c r="AE29260" s="54"/>
    </row>
    <row r="29261" spans="31:31">
      <c r="AE29261" s="54"/>
    </row>
    <row r="29262" spans="31:31">
      <c r="AE29262" s="54"/>
    </row>
    <row r="29263" spans="31:31">
      <c r="AE29263" s="54"/>
    </row>
    <row r="29264" spans="31:31">
      <c r="AE29264" s="54"/>
    </row>
    <row r="29265" spans="31:31">
      <c r="AE29265" s="54"/>
    </row>
    <row r="29266" spans="31:31">
      <c r="AE29266" s="54"/>
    </row>
    <row r="29267" spans="31:31">
      <c r="AE29267" s="54"/>
    </row>
    <row r="29268" spans="31:31">
      <c r="AE29268" s="54"/>
    </row>
    <row r="29269" spans="31:31">
      <c r="AE29269" s="54"/>
    </row>
    <row r="29270" spans="31:31">
      <c r="AE29270" s="54"/>
    </row>
    <row r="29271" spans="31:31">
      <c r="AE29271" s="54"/>
    </row>
    <row r="29272" spans="31:31">
      <c r="AE29272" s="54"/>
    </row>
    <row r="29273" spans="31:31">
      <c r="AE29273" s="54"/>
    </row>
    <row r="29274" spans="31:31">
      <c r="AE29274" s="54"/>
    </row>
    <row r="29275" spans="31:31">
      <c r="AE29275" s="54"/>
    </row>
    <row r="29276" spans="31:31">
      <c r="AE29276" s="54"/>
    </row>
    <row r="29277" spans="31:31">
      <c r="AE29277" s="54"/>
    </row>
    <row r="29278" spans="31:31">
      <c r="AE29278" s="54"/>
    </row>
    <row r="29279" spans="31:31">
      <c r="AE29279" s="54"/>
    </row>
    <row r="29280" spans="31:31">
      <c r="AE29280" s="54"/>
    </row>
    <row r="29281" spans="31:31">
      <c r="AE29281" s="54"/>
    </row>
    <row r="29282" spans="31:31">
      <c r="AE29282" s="54"/>
    </row>
    <row r="29283" spans="31:31">
      <c r="AE29283" s="54"/>
    </row>
    <row r="29284" spans="31:31">
      <c r="AE29284" s="54"/>
    </row>
    <row r="29285" spans="31:31">
      <c r="AE29285" s="54"/>
    </row>
    <row r="29286" spans="31:31">
      <c r="AE29286" s="54"/>
    </row>
    <row r="29287" spans="31:31">
      <c r="AE29287" s="54"/>
    </row>
    <row r="29288" spans="31:31">
      <c r="AE29288" s="54"/>
    </row>
    <row r="29289" spans="31:31">
      <c r="AE29289" s="54"/>
    </row>
    <row r="29290" spans="31:31">
      <c r="AE29290" s="54"/>
    </row>
    <row r="29291" spans="31:31">
      <c r="AE29291" s="54"/>
    </row>
    <row r="29292" spans="31:31">
      <c r="AE29292" s="54"/>
    </row>
    <row r="29293" spans="31:31">
      <c r="AE29293" s="54"/>
    </row>
    <row r="29294" spans="31:31">
      <c r="AE29294" s="54"/>
    </row>
    <row r="29295" spans="31:31">
      <c r="AE29295" s="54"/>
    </row>
    <row r="29296" spans="31:31">
      <c r="AE29296" s="54"/>
    </row>
    <row r="29297" spans="31:31">
      <c r="AE29297" s="54"/>
    </row>
    <row r="29298" spans="31:31">
      <c r="AE29298" s="54"/>
    </row>
    <row r="29299" spans="31:31">
      <c r="AE29299" s="54"/>
    </row>
    <row r="29300" spans="31:31">
      <c r="AE29300" s="54"/>
    </row>
    <row r="29301" spans="31:31">
      <c r="AE29301" s="54"/>
    </row>
    <row r="29302" spans="31:31">
      <c r="AE29302" s="54"/>
    </row>
    <row r="29303" spans="31:31">
      <c r="AE29303" s="54"/>
    </row>
    <row r="29304" spans="31:31">
      <c r="AE29304" s="54"/>
    </row>
    <row r="29305" spans="31:31">
      <c r="AE29305" s="54"/>
    </row>
    <row r="29306" spans="31:31">
      <c r="AE29306" s="54"/>
    </row>
    <row r="29307" spans="31:31">
      <c r="AE29307" s="54"/>
    </row>
    <row r="29308" spans="31:31">
      <c r="AE29308" s="54"/>
    </row>
    <row r="29309" spans="31:31">
      <c r="AE29309" s="54"/>
    </row>
    <row r="29310" spans="31:31">
      <c r="AE29310" s="54"/>
    </row>
    <row r="29311" spans="31:31">
      <c r="AE29311" s="54"/>
    </row>
    <row r="29312" spans="31:31">
      <c r="AE29312" s="54"/>
    </row>
    <row r="29313" spans="31:31">
      <c r="AE29313" s="54"/>
    </row>
    <row r="29314" spans="31:31">
      <c r="AE29314" s="54"/>
    </row>
    <row r="29315" spans="31:31">
      <c r="AE29315" s="54"/>
    </row>
    <row r="29316" spans="31:31">
      <c r="AE29316" s="54"/>
    </row>
    <row r="29317" spans="31:31">
      <c r="AE29317" s="54"/>
    </row>
    <row r="29318" spans="31:31">
      <c r="AE29318" s="54"/>
    </row>
    <row r="29319" spans="31:31">
      <c r="AE29319" s="54"/>
    </row>
    <row r="29320" spans="31:31">
      <c r="AE29320" s="54"/>
    </row>
    <row r="29321" spans="31:31">
      <c r="AE29321" s="54"/>
    </row>
    <row r="29322" spans="31:31">
      <c r="AE29322" s="54"/>
    </row>
    <row r="29323" spans="31:31">
      <c r="AE29323" s="54"/>
    </row>
    <row r="29324" spans="31:31">
      <c r="AE29324" s="54"/>
    </row>
    <row r="29325" spans="31:31">
      <c r="AE29325" s="54"/>
    </row>
    <row r="29326" spans="31:31">
      <c r="AE29326" s="54"/>
    </row>
    <row r="29327" spans="31:31">
      <c r="AE29327" s="54"/>
    </row>
    <row r="29328" spans="31:31">
      <c r="AE29328" s="54"/>
    </row>
    <row r="29329" spans="31:31">
      <c r="AE29329" s="54"/>
    </row>
    <row r="29330" spans="31:31">
      <c r="AE29330" s="54"/>
    </row>
    <row r="29331" spans="31:31">
      <c r="AE29331" s="54"/>
    </row>
    <row r="29332" spans="31:31">
      <c r="AE29332" s="54"/>
    </row>
    <row r="29333" spans="31:31">
      <c r="AE29333" s="54"/>
    </row>
    <row r="29334" spans="31:31">
      <c r="AE29334" s="54"/>
    </row>
    <row r="29335" spans="31:31">
      <c r="AE29335" s="54"/>
    </row>
    <row r="29336" spans="31:31">
      <c r="AE29336" s="54"/>
    </row>
    <row r="29337" spans="31:31">
      <c r="AE29337" s="54"/>
    </row>
    <row r="29338" spans="31:31">
      <c r="AE29338" s="54"/>
    </row>
    <row r="29339" spans="31:31">
      <c r="AE29339" s="54"/>
    </row>
    <row r="29340" spans="31:31">
      <c r="AE29340" s="54"/>
    </row>
    <row r="29341" spans="31:31">
      <c r="AE29341" s="54"/>
    </row>
    <row r="29342" spans="31:31">
      <c r="AE29342" s="54"/>
    </row>
    <row r="29343" spans="31:31">
      <c r="AE29343" s="54"/>
    </row>
    <row r="29344" spans="31:31">
      <c r="AE29344" s="54"/>
    </row>
    <row r="29345" spans="31:31">
      <c r="AE29345" s="54"/>
    </row>
    <row r="29346" spans="31:31">
      <c r="AE29346" s="54"/>
    </row>
    <row r="29347" spans="31:31">
      <c r="AE29347" s="54"/>
    </row>
    <row r="29348" spans="31:31">
      <c r="AE29348" s="54"/>
    </row>
    <row r="29349" spans="31:31">
      <c r="AE29349" s="54"/>
    </row>
    <row r="29350" spans="31:31">
      <c r="AE29350" s="54"/>
    </row>
    <row r="29351" spans="31:31">
      <c r="AE29351" s="54"/>
    </row>
    <row r="29352" spans="31:31">
      <c r="AE29352" s="54"/>
    </row>
    <row r="29353" spans="31:31">
      <c r="AE29353" s="54"/>
    </row>
    <row r="29354" spans="31:31">
      <c r="AE29354" s="54"/>
    </row>
    <row r="29355" spans="31:31">
      <c r="AE29355" s="54"/>
    </row>
    <row r="29356" spans="31:31">
      <c r="AE29356" s="54"/>
    </row>
    <row r="29357" spans="31:31">
      <c r="AE29357" s="54"/>
    </row>
    <row r="29358" spans="31:31">
      <c r="AE29358" s="54"/>
    </row>
    <row r="29359" spans="31:31">
      <c r="AE29359" s="54"/>
    </row>
    <row r="29360" spans="31:31">
      <c r="AE29360" s="54"/>
    </row>
    <row r="29361" spans="31:31">
      <c r="AE29361" s="54"/>
    </row>
    <row r="29362" spans="31:31">
      <c r="AE29362" s="54"/>
    </row>
    <row r="29363" spans="31:31">
      <c r="AE29363" s="54"/>
    </row>
    <row r="29364" spans="31:31">
      <c r="AE29364" s="54"/>
    </row>
    <row r="29365" spans="31:31">
      <c r="AE29365" s="54"/>
    </row>
    <row r="29366" spans="31:31">
      <c r="AE29366" s="54"/>
    </row>
    <row r="29367" spans="31:31">
      <c r="AE29367" s="54"/>
    </row>
    <row r="29368" spans="31:31">
      <c r="AE29368" s="54"/>
    </row>
    <row r="29369" spans="31:31">
      <c r="AE29369" s="54"/>
    </row>
    <row r="29370" spans="31:31">
      <c r="AE29370" s="54"/>
    </row>
    <row r="29371" spans="31:31">
      <c r="AE29371" s="54"/>
    </row>
    <row r="29372" spans="31:31">
      <c r="AE29372" s="54"/>
    </row>
    <row r="29373" spans="31:31">
      <c r="AE29373" s="54"/>
    </row>
    <row r="29374" spans="31:31">
      <c r="AE29374" s="54"/>
    </row>
    <row r="29375" spans="31:31">
      <c r="AE29375" s="54"/>
    </row>
    <row r="29376" spans="31:31">
      <c r="AE29376" s="54"/>
    </row>
    <row r="29377" spans="31:31">
      <c r="AE29377" s="54"/>
    </row>
    <row r="29378" spans="31:31">
      <c r="AE29378" s="54"/>
    </row>
    <row r="29379" spans="31:31">
      <c r="AE29379" s="54"/>
    </row>
    <row r="29380" spans="31:31">
      <c r="AE29380" s="54"/>
    </row>
    <row r="29381" spans="31:31">
      <c r="AE29381" s="54"/>
    </row>
    <row r="29382" spans="31:31">
      <c r="AE29382" s="54"/>
    </row>
    <row r="29383" spans="31:31">
      <c r="AE29383" s="54"/>
    </row>
    <row r="29384" spans="31:31">
      <c r="AE29384" s="54"/>
    </row>
    <row r="29385" spans="31:31">
      <c r="AE29385" s="54"/>
    </row>
    <row r="29386" spans="31:31">
      <c r="AE29386" s="54"/>
    </row>
    <row r="29387" spans="31:31">
      <c r="AE29387" s="54"/>
    </row>
    <row r="29388" spans="31:31">
      <c r="AE29388" s="54"/>
    </row>
    <row r="29389" spans="31:31">
      <c r="AE29389" s="54"/>
    </row>
    <row r="29390" spans="31:31">
      <c r="AE29390" s="54"/>
    </row>
    <row r="29391" spans="31:31">
      <c r="AE29391" s="54"/>
    </row>
    <row r="29392" spans="31:31">
      <c r="AE29392" s="54"/>
    </row>
    <row r="29393" spans="31:31">
      <c r="AE29393" s="54"/>
    </row>
    <row r="29394" spans="31:31">
      <c r="AE29394" s="54"/>
    </row>
    <row r="29395" spans="31:31">
      <c r="AE29395" s="54"/>
    </row>
    <row r="29396" spans="31:31">
      <c r="AE29396" s="54"/>
    </row>
    <row r="29397" spans="31:31">
      <c r="AE29397" s="54"/>
    </row>
    <row r="29398" spans="31:31">
      <c r="AE29398" s="54"/>
    </row>
    <row r="29399" spans="31:31">
      <c r="AE29399" s="54"/>
    </row>
    <row r="29400" spans="31:31">
      <c r="AE29400" s="54"/>
    </row>
    <row r="29401" spans="31:31">
      <c r="AE29401" s="54"/>
    </row>
    <row r="29402" spans="31:31">
      <c r="AE29402" s="54"/>
    </row>
    <row r="29403" spans="31:31">
      <c r="AE29403" s="54"/>
    </row>
    <row r="29404" spans="31:31">
      <c r="AE29404" s="54"/>
    </row>
    <row r="29405" spans="31:31">
      <c r="AE29405" s="54"/>
    </row>
    <row r="29406" spans="31:31">
      <c r="AE29406" s="54"/>
    </row>
    <row r="29407" spans="31:31">
      <c r="AE29407" s="54"/>
    </row>
    <row r="29408" spans="31:31">
      <c r="AE29408" s="54"/>
    </row>
    <row r="29409" spans="31:31">
      <c r="AE29409" s="54"/>
    </row>
    <row r="29410" spans="31:31">
      <c r="AE29410" s="54"/>
    </row>
    <row r="29411" spans="31:31">
      <c r="AE29411" s="54"/>
    </row>
    <row r="29412" spans="31:31">
      <c r="AE29412" s="54"/>
    </row>
    <row r="29413" spans="31:31">
      <c r="AE29413" s="54"/>
    </row>
    <row r="29414" spans="31:31">
      <c r="AE29414" s="54"/>
    </row>
    <row r="29415" spans="31:31">
      <c r="AE29415" s="54"/>
    </row>
    <row r="29416" spans="31:31">
      <c r="AE29416" s="54"/>
    </row>
    <row r="29417" spans="31:31">
      <c r="AE29417" s="54"/>
    </row>
    <row r="29418" spans="31:31">
      <c r="AE29418" s="54"/>
    </row>
    <row r="29419" spans="31:31">
      <c r="AE29419" s="54"/>
    </row>
    <row r="29420" spans="31:31">
      <c r="AE29420" s="54"/>
    </row>
    <row r="29421" spans="31:31">
      <c r="AE29421" s="54"/>
    </row>
    <row r="29422" spans="31:31">
      <c r="AE29422" s="54"/>
    </row>
    <row r="29423" spans="31:31">
      <c r="AE29423" s="54"/>
    </row>
    <row r="29424" spans="31:31">
      <c r="AE29424" s="54"/>
    </row>
    <row r="29425" spans="31:31">
      <c r="AE29425" s="54"/>
    </row>
    <row r="29426" spans="31:31">
      <c r="AE29426" s="54"/>
    </row>
    <row r="29427" spans="31:31">
      <c r="AE29427" s="54"/>
    </row>
    <row r="29428" spans="31:31">
      <c r="AE29428" s="54"/>
    </row>
    <row r="29429" spans="31:31">
      <c r="AE29429" s="54"/>
    </row>
    <row r="29430" spans="31:31">
      <c r="AE29430" s="54"/>
    </row>
    <row r="29431" spans="31:31">
      <c r="AE29431" s="54"/>
    </row>
    <row r="29432" spans="31:31">
      <c r="AE29432" s="54"/>
    </row>
    <row r="29433" spans="31:31">
      <c r="AE29433" s="54"/>
    </row>
    <row r="29434" spans="31:31">
      <c r="AE29434" s="54"/>
    </row>
    <row r="29435" spans="31:31">
      <c r="AE29435" s="54"/>
    </row>
    <row r="29436" spans="31:31">
      <c r="AE29436" s="54"/>
    </row>
    <row r="29437" spans="31:31">
      <c r="AE29437" s="54"/>
    </row>
    <row r="29438" spans="31:31">
      <c r="AE29438" s="54"/>
    </row>
    <row r="29439" spans="31:31">
      <c r="AE29439" s="54"/>
    </row>
    <row r="29440" spans="31:31">
      <c r="AE29440" s="54"/>
    </row>
    <row r="29441" spans="31:31">
      <c r="AE29441" s="54"/>
    </row>
    <row r="29442" spans="31:31">
      <c r="AE29442" s="54"/>
    </row>
    <row r="29443" spans="31:31">
      <c r="AE29443" s="54"/>
    </row>
    <row r="29444" spans="31:31">
      <c r="AE29444" s="54"/>
    </row>
    <row r="29445" spans="31:31">
      <c r="AE29445" s="54"/>
    </row>
    <row r="29446" spans="31:31">
      <c r="AE29446" s="54"/>
    </row>
    <row r="29447" spans="31:31">
      <c r="AE29447" s="54"/>
    </row>
    <row r="29448" spans="31:31">
      <c r="AE29448" s="54"/>
    </row>
    <row r="29449" spans="31:31">
      <c r="AE29449" s="54"/>
    </row>
    <row r="29450" spans="31:31">
      <c r="AE29450" s="54"/>
    </row>
    <row r="29451" spans="31:31">
      <c r="AE29451" s="54"/>
    </row>
    <row r="29452" spans="31:31">
      <c r="AE29452" s="54"/>
    </row>
    <row r="29453" spans="31:31">
      <c r="AE29453" s="54"/>
    </row>
    <row r="29454" spans="31:31">
      <c r="AE29454" s="54"/>
    </row>
    <row r="29455" spans="31:31">
      <c r="AE29455" s="54"/>
    </row>
    <row r="29456" spans="31:31">
      <c r="AE29456" s="54"/>
    </row>
    <row r="29457" spans="31:31">
      <c r="AE29457" s="54"/>
    </row>
    <row r="29458" spans="31:31">
      <c r="AE29458" s="54"/>
    </row>
    <row r="29459" spans="31:31">
      <c r="AE29459" s="54"/>
    </row>
    <row r="29460" spans="31:31">
      <c r="AE29460" s="54"/>
    </row>
    <row r="29461" spans="31:31">
      <c r="AE29461" s="54"/>
    </row>
    <row r="29462" spans="31:31">
      <c r="AE29462" s="54"/>
    </row>
    <row r="29463" spans="31:31">
      <c r="AE29463" s="54"/>
    </row>
    <row r="29464" spans="31:31">
      <c r="AE29464" s="54"/>
    </row>
    <row r="29465" spans="31:31">
      <c r="AE29465" s="54"/>
    </row>
    <row r="29466" spans="31:31">
      <c r="AE29466" s="54"/>
    </row>
    <row r="29467" spans="31:31">
      <c r="AE29467" s="54"/>
    </row>
    <row r="29468" spans="31:31">
      <c r="AE29468" s="54"/>
    </row>
    <row r="29469" spans="31:31">
      <c r="AE29469" s="54"/>
    </row>
    <row r="29470" spans="31:31">
      <c r="AE29470" s="54"/>
    </row>
    <row r="29471" spans="31:31">
      <c r="AE29471" s="54"/>
    </row>
    <row r="29472" spans="31:31">
      <c r="AE29472" s="54"/>
    </row>
    <row r="29473" spans="31:31">
      <c r="AE29473" s="54"/>
    </row>
    <row r="29474" spans="31:31">
      <c r="AE29474" s="54"/>
    </row>
    <row r="29475" spans="31:31">
      <c r="AE29475" s="54"/>
    </row>
    <row r="29476" spans="31:31">
      <c r="AE29476" s="54"/>
    </row>
    <row r="29477" spans="31:31">
      <c r="AE29477" s="54"/>
    </row>
    <row r="29478" spans="31:31">
      <c r="AE29478" s="54"/>
    </row>
    <row r="29479" spans="31:31">
      <c r="AE29479" s="54"/>
    </row>
    <row r="29480" spans="31:31">
      <c r="AE29480" s="54"/>
    </row>
    <row r="29481" spans="31:31">
      <c r="AE29481" s="54"/>
    </row>
    <row r="29482" spans="31:31">
      <c r="AE29482" s="54"/>
    </row>
    <row r="29483" spans="31:31">
      <c r="AE29483" s="54"/>
    </row>
    <row r="29484" spans="31:31">
      <c r="AE29484" s="54"/>
    </row>
    <row r="29485" spans="31:31">
      <c r="AE29485" s="54"/>
    </row>
    <row r="29486" spans="31:31">
      <c r="AE29486" s="54"/>
    </row>
    <row r="29487" spans="31:31">
      <c r="AE29487" s="54"/>
    </row>
    <row r="29488" spans="31:31">
      <c r="AE29488" s="54"/>
    </row>
    <row r="29489" spans="31:31">
      <c r="AE29489" s="54"/>
    </row>
    <row r="29490" spans="31:31">
      <c r="AE29490" s="54"/>
    </row>
    <row r="29491" spans="31:31">
      <c r="AE29491" s="54"/>
    </row>
    <row r="29492" spans="31:31">
      <c r="AE29492" s="54"/>
    </row>
    <row r="29493" spans="31:31">
      <c r="AE29493" s="54"/>
    </row>
    <row r="29494" spans="31:31">
      <c r="AE29494" s="54"/>
    </row>
    <row r="29495" spans="31:31">
      <c r="AE29495" s="54"/>
    </row>
    <row r="29496" spans="31:31">
      <c r="AE29496" s="54"/>
    </row>
    <row r="29497" spans="31:31">
      <c r="AE29497" s="54"/>
    </row>
    <row r="29498" spans="31:31">
      <c r="AE29498" s="54"/>
    </row>
    <row r="29499" spans="31:31">
      <c r="AE29499" s="54"/>
    </row>
    <row r="29500" spans="31:31">
      <c r="AE29500" s="54"/>
    </row>
    <row r="29501" spans="31:31">
      <c r="AE29501" s="54"/>
    </row>
    <row r="29502" spans="31:31">
      <c r="AE29502" s="54"/>
    </row>
    <row r="29503" spans="31:31">
      <c r="AE29503" s="54"/>
    </row>
    <row r="29504" spans="31:31">
      <c r="AE29504" s="54"/>
    </row>
    <row r="29505" spans="31:31">
      <c r="AE29505" s="54"/>
    </row>
    <row r="29506" spans="31:31">
      <c r="AE29506" s="54"/>
    </row>
    <row r="29507" spans="31:31">
      <c r="AE29507" s="54"/>
    </row>
    <row r="29508" spans="31:31">
      <c r="AE29508" s="54"/>
    </row>
    <row r="29509" spans="31:31">
      <c r="AE29509" s="54"/>
    </row>
    <row r="29510" spans="31:31">
      <c r="AE29510" s="54"/>
    </row>
    <row r="29511" spans="31:31">
      <c r="AE29511" s="54"/>
    </row>
    <row r="29512" spans="31:31">
      <c r="AE29512" s="54"/>
    </row>
    <row r="29513" spans="31:31">
      <c r="AE29513" s="54"/>
    </row>
    <row r="29514" spans="31:31">
      <c r="AE29514" s="54"/>
    </row>
    <row r="29515" spans="31:31">
      <c r="AE29515" s="54"/>
    </row>
    <row r="29516" spans="31:31">
      <c r="AE29516" s="54"/>
    </row>
    <row r="29517" spans="31:31">
      <c r="AE29517" s="54"/>
    </row>
    <row r="29518" spans="31:31">
      <c r="AE29518" s="54"/>
    </row>
    <row r="29519" spans="31:31">
      <c r="AE29519" s="54"/>
    </row>
    <row r="29520" spans="31:31">
      <c r="AE29520" s="54"/>
    </row>
    <row r="29521" spans="31:31">
      <c r="AE29521" s="54"/>
    </row>
    <row r="29522" spans="31:31">
      <c r="AE29522" s="54"/>
    </row>
    <row r="29523" spans="31:31">
      <c r="AE29523" s="54"/>
    </row>
    <row r="29524" spans="31:31">
      <c r="AE29524" s="54"/>
    </row>
    <row r="29525" spans="31:31">
      <c r="AE29525" s="54"/>
    </row>
    <row r="29526" spans="31:31">
      <c r="AE29526" s="54"/>
    </row>
    <row r="29527" spans="31:31">
      <c r="AE29527" s="54"/>
    </row>
    <row r="29528" spans="31:31">
      <c r="AE29528" s="54"/>
    </row>
    <row r="29529" spans="31:31">
      <c r="AE29529" s="54"/>
    </row>
    <row r="29530" spans="31:31">
      <c r="AE29530" s="54"/>
    </row>
    <row r="29531" spans="31:31">
      <c r="AE29531" s="54"/>
    </row>
    <row r="29532" spans="31:31">
      <c r="AE29532" s="54"/>
    </row>
    <row r="29533" spans="31:31">
      <c r="AE29533" s="54"/>
    </row>
    <row r="29534" spans="31:31">
      <c r="AE29534" s="54"/>
    </row>
    <row r="29535" spans="31:31">
      <c r="AE29535" s="54"/>
    </row>
    <row r="29536" spans="31:31">
      <c r="AE29536" s="54"/>
    </row>
    <row r="29537" spans="31:31">
      <c r="AE29537" s="54"/>
    </row>
    <row r="29538" spans="31:31">
      <c r="AE29538" s="54"/>
    </row>
    <row r="29539" spans="31:31">
      <c r="AE29539" s="54"/>
    </row>
    <row r="29540" spans="31:31">
      <c r="AE29540" s="54"/>
    </row>
    <row r="29541" spans="31:31">
      <c r="AE29541" s="54"/>
    </row>
    <row r="29542" spans="31:31">
      <c r="AE29542" s="54"/>
    </row>
    <row r="29543" spans="31:31">
      <c r="AE29543" s="54"/>
    </row>
    <row r="29544" spans="31:31">
      <c r="AE29544" s="54"/>
    </row>
    <row r="29545" spans="31:31">
      <c r="AE29545" s="54"/>
    </row>
    <row r="29546" spans="31:31">
      <c r="AE29546" s="54"/>
    </row>
    <row r="29547" spans="31:31">
      <c r="AE29547" s="54"/>
    </row>
    <row r="29548" spans="31:31">
      <c r="AE29548" s="54"/>
    </row>
    <row r="29549" spans="31:31">
      <c r="AE29549" s="54"/>
    </row>
    <row r="29550" spans="31:31">
      <c r="AE29550" s="54"/>
    </row>
    <row r="29551" spans="31:31">
      <c r="AE29551" s="54"/>
    </row>
    <row r="29552" spans="31:31">
      <c r="AE29552" s="54"/>
    </row>
    <row r="29553" spans="31:31">
      <c r="AE29553" s="54"/>
    </row>
    <row r="29554" spans="31:31">
      <c r="AE29554" s="54"/>
    </row>
    <row r="29555" spans="31:31">
      <c r="AE29555" s="54"/>
    </row>
    <row r="29556" spans="31:31">
      <c r="AE29556" s="54"/>
    </row>
    <row r="29557" spans="31:31">
      <c r="AE29557" s="54"/>
    </row>
    <row r="29558" spans="31:31">
      <c r="AE29558" s="54"/>
    </row>
    <row r="29559" spans="31:31">
      <c r="AE29559" s="54"/>
    </row>
    <row r="29560" spans="31:31">
      <c r="AE29560" s="54"/>
    </row>
    <row r="29561" spans="31:31">
      <c r="AE29561" s="54"/>
    </row>
    <row r="29562" spans="31:31">
      <c r="AE29562" s="54"/>
    </row>
    <row r="29563" spans="31:31">
      <c r="AE29563" s="54"/>
    </row>
    <row r="29564" spans="31:31">
      <c r="AE29564" s="54"/>
    </row>
    <row r="29565" spans="31:31">
      <c r="AE29565" s="54"/>
    </row>
    <row r="29566" spans="31:31">
      <c r="AE29566" s="54"/>
    </row>
    <row r="29567" spans="31:31">
      <c r="AE29567" s="54"/>
    </row>
    <row r="29568" spans="31:31">
      <c r="AE29568" s="54"/>
    </row>
    <row r="29569" spans="31:31">
      <c r="AE29569" s="54"/>
    </row>
    <row r="29570" spans="31:31">
      <c r="AE29570" s="54"/>
    </row>
    <row r="29571" spans="31:31">
      <c r="AE29571" s="54"/>
    </row>
    <row r="29572" spans="31:31">
      <c r="AE29572" s="54"/>
    </row>
    <row r="29573" spans="31:31">
      <c r="AE29573" s="54"/>
    </row>
    <row r="29574" spans="31:31">
      <c r="AE29574" s="54"/>
    </row>
    <row r="29575" spans="31:31">
      <c r="AE29575" s="54"/>
    </row>
    <row r="29576" spans="31:31">
      <c r="AE29576" s="54"/>
    </row>
    <row r="29577" spans="31:31">
      <c r="AE29577" s="54"/>
    </row>
    <row r="29578" spans="31:31">
      <c r="AE29578" s="54"/>
    </row>
    <row r="29579" spans="31:31">
      <c r="AE29579" s="54"/>
    </row>
    <row r="29580" spans="31:31">
      <c r="AE29580" s="54"/>
    </row>
    <row r="29581" spans="31:31">
      <c r="AE29581" s="54"/>
    </row>
    <row r="29582" spans="31:31">
      <c r="AE29582" s="54"/>
    </row>
    <row r="29583" spans="31:31">
      <c r="AE29583" s="54"/>
    </row>
    <row r="29584" spans="31:31">
      <c r="AE29584" s="54"/>
    </row>
    <row r="29585" spans="31:31">
      <c r="AE29585" s="54"/>
    </row>
    <row r="29586" spans="31:31">
      <c r="AE29586" s="54"/>
    </row>
    <row r="29587" spans="31:31">
      <c r="AE29587" s="54"/>
    </row>
    <row r="29588" spans="31:31">
      <c r="AE29588" s="54"/>
    </row>
    <row r="29589" spans="31:31">
      <c r="AE29589" s="54"/>
    </row>
    <row r="29590" spans="31:31">
      <c r="AE29590" s="54"/>
    </row>
    <row r="29591" spans="31:31">
      <c r="AE29591" s="54"/>
    </row>
    <row r="29592" spans="31:31">
      <c r="AE29592" s="54"/>
    </row>
    <row r="29593" spans="31:31">
      <c r="AE29593" s="54"/>
    </row>
    <row r="29594" spans="31:31">
      <c r="AE29594" s="54"/>
    </row>
    <row r="29595" spans="31:31">
      <c r="AE29595" s="54"/>
    </row>
    <row r="29596" spans="31:31">
      <c r="AE29596" s="54"/>
    </row>
    <row r="29597" spans="31:31">
      <c r="AE29597" s="54"/>
    </row>
    <row r="29598" spans="31:31">
      <c r="AE29598" s="54"/>
    </row>
    <row r="29599" spans="31:31">
      <c r="AE29599" s="54"/>
    </row>
    <row r="29600" spans="31:31">
      <c r="AE29600" s="54"/>
    </row>
    <row r="29601" spans="31:31">
      <c r="AE29601" s="54"/>
    </row>
    <row r="29602" spans="31:31">
      <c r="AE29602" s="54"/>
    </row>
    <row r="29603" spans="31:31">
      <c r="AE29603" s="54"/>
    </row>
    <row r="29604" spans="31:31">
      <c r="AE29604" s="54"/>
    </row>
    <row r="29605" spans="31:31">
      <c r="AE29605" s="54"/>
    </row>
    <row r="29606" spans="31:31">
      <c r="AE29606" s="54"/>
    </row>
    <row r="29607" spans="31:31">
      <c r="AE29607" s="54"/>
    </row>
    <row r="29608" spans="31:31">
      <c r="AE29608" s="54"/>
    </row>
    <row r="29609" spans="31:31">
      <c r="AE29609" s="54"/>
    </row>
    <row r="29610" spans="31:31">
      <c r="AE29610" s="54"/>
    </row>
    <row r="29611" spans="31:31">
      <c r="AE29611" s="54"/>
    </row>
    <row r="29612" spans="31:31">
      <c r="AE29612" s="54"/>
    </row>
    <row r="29613" spans="31:31">
      <c r="AE29613" s="54"/>
    </row>
    <row r="29614" spans="31:31">
      <c r="AE29614" s="54"/>
    </row>
    <row r="29615" spans="31:31">
      <c r="AE29615" s="54"/>
    </row>
    <row r="29616" spans="31:31">
      <c r="AE29616" s="54"/>
    </row>
    <row r="29617" spans="31:31">
      <c r="AE29617" s="54"/>
    </row>
    <row r="29618" spans="31:31">
      <c r="AE29618" s="54"/>
    </row>
    <row r="29619" spans="31:31">
      <c r="AE29619" s="54"/>
    </row>
    <row r="29620" spans="31:31">
      <c r="AE29620" s="54"/>
    </row>
    <row r="29621" spans="31:31">
      <c r="AE29621" s="54"/>
    </row>
    <row r="29622" spans="31:31">
      <c r="AE29622" s="54"/>
    </row>
    <row r="29623" spans="31:31">
      <c r="AE29623" s="54"/>
    </row>
    <row r="29624" spans="31:31">
      <c r="AE29624" s="54"/>
    </row>
    <row r="29625" spans="31:31">
      <c r="AE29625" s="54"/>
    </row>
    <row r="29626" spans="31:31">
      <c r="AE29626" s="54"/>
    </row>
    <row r="29627" spans="31:31">
      <c r="AE29627" s="54"/>
    </row>
    <row r="29628" spans="31:31">
      <c r="AE29628" s="54"/>
    </row>
    <row r="29629" spans="31:31">
      <c r="AE29629" s="54"/>
    </row>
    <row r="29630" spans="31:31">
      <c r="AE29630" s="54"/>
    </row>
    <row r="29631" spans="31:31">
      <c r="AE29631" s="54"/>
    </row>
    <row r="29632" spans="31:31">
      <c r="AE29632" s="54"/>
    </row>
    <row r="29633" spans="31:31">
      <c r="AE29633" s="54"/>
    </row>
    <row r="29634" spans="31:31">
      <c r="AE29634" s="54"/>
    </row>
    <row r="29635" spans="31:31">
      <c r="AE29635" s="54"/>
    </row>
    <row r="29636" spans="31:31">
      <c r="AE29636" s="54"/>
    </row>
    <row r="29637" spans="31:31">
      <c r="AE29637" s="54"/>
    </row>
    <row r="29638" spans="31:31">
      <c r="AE29638" s="54"/>
    </row>
    <row r="29639" spans="31:31">
      <c r="AE29639" s="54"/>
    </row>
    <row r="29640" spans="31:31">
      <c r="AE29640" s="54"/>
    </row>
    <row r="29641" spans="31:31">
      <c r="AE29641" s="54"/>
    </row>
    <row r="29642" spans="31:31">
      <c r="AE29642" s="54"/>
    </row>
    <row r="29643" spans="31:31">
      <c r="AE29643" s="54"/>
    </row>
    <row r="29644" spans="31:31">
      <c r="AE29644" s="54"/>
    </row>
    <row r="29645" spans="31:31">
      <c r="AE29645" s="54"/>
    </row>
    <row r="29646" spans="31:31">
      <c r="AE29646" s="54"/>
    </row>
    <row r="29647" spans="31:31">
      <c r="AE29647" s="54"/>
    </row>
    <row r="29648" spans="31:31">
      <c r="AE29648" s="54"/>
    </row>
    <row r="29649" spans="31:31">
      <c r="AE29649" s="54"/>
    </row>
    <row r="29650" spans="31:31">
      <c r="AE29650" s="54"/>
    </row>
    <row r="29651" spans="31:31">
      <c r="AE29651" s="54"/>
    </row>
    <row r="29652" spans="31:31">
      <c r="AE29652" s="54"/>
    </row>
    <row r="29653" spans="31:31">
      <c r="AE29653" s="54"/>
    </row>
    <row r="29654" spans="31:31">
      <c r="AE29654" s="54"/>
    </row>
    <row r="29655" spans="31:31">
      <c r="AE29655" s="54"/>
    </row>
    <row r="29656" spans="31:31">
      <c r="AE29656" s="54"/>
    </row>
    <row r="29657" spans="31:31">
      <c r="AE29657" s="54"/>
    </row>
    <row r="29658" spans="31:31">
      <c r="AE29658" s="54"/>
    </row>
    <row r="29659" spans="31:31">
      <c r="AE29659" s="54"/>
    </row>
    <row r="29660" spans="31:31">
      <c r="AE29660" s="54"/>
    </row>
    <row r="29661" spans="31:31">
      <c r="AE29661" s="54"/>
    </row>
    <row r="29662" spans="31:31">
      <c r="AE29662" s="54"/>
    </row>
    <row r="29663" spans="31:31">
      <c r="AE29663" s="54"/>
    </row>
    <row r="29664" spans="31:31">
      <c r="AE29664" s="54"/>
    </row>
    <row r="29665" spans="31:31">
      <c r="AE29665" s="54"/>
    </row>
    <row r="29666" spans="31:31">
      <c r="AE29666" s="54"/>
    </row>
    <row r="29667" spans="31:31">
      <c r="AE29667" s="54"/>
    </row>
    <row r="29668" spans="31:31">
      <c r="AE29668" s="54"/>
    </row>
    <row r="29669" spans="31:31">
      <c r="AE29669" s="54"/>
    </row>
    <row r="29670" spans="31:31">
      <c r="AE29670" s="54"/>
    </row>
    <row r="29671" spans="31:31">
      <c r="AE29671" s="54"/>
    </row>
    <row r="29672" spans="31:31">
      <c r="AE29672" s="54"/>
    </row>
    <row r="29673" spans="31:31">
      <c r="AE29673" s="54"/>
    </row>
    <row r="29674" spans="31:31">
      <c r="AE29674" s="54"/>
    </row>
    <row r="29675" spans="31:31">
      <c r="AE29675" s="54"/>
    </row>
    <row r="29676" spans="31:31">
      <c r="AE29676" s="54"/>
    </row>
    <row r="29677" spans="31:31">
      <c r="AE29677" s="54"/>
    </row>
    <row r="29678" spans="31:31">
      <c r="AE29678" s="54"/>
    </row>
    <row r="29679" spans="31:31">
      <c r="AE29679" s="54"/>
    </row>
    <row r="29680" spans="31:31">
      <c r="AE29680" s="54"/>
    </row>
    <row r="29681" spans="31:31">
      <c r="AE29681" s="54"/>
    </row>
    <row r="29682" spans="31:31">
      <c r="AE29682" s="54"/>
    </row>
    <row r="29683" spans="31:31">
      <c r="AE29683" s="54"/>
    </row>
    <row r="29684" spans="31:31">
      <c r="AE29684" s="54"/>
    </row>
    <row r="29685" spans="31:31">
      <c r="AE29685" s="54"/>
    </row>
    <row r="29686" spans="31:31">
      <c r="AE29686" s="54"/>
    </row>
    <row r="29687" spans="31:31">
      <c r="AE29687" s="54"/>
    </row>
    <row r="29688" spans="31:31">
      <c r="AE29688" s="54"/>
    </row>
    <row r="29689" spans="31:31">
      <c r="AE29689" s="54"/>
    </row>
    <row r="29690" spans="31:31">
      <c r="AE29690" s="54"/>
    </row>
    <row r="29691" spans="31:31">
      <c r="AE29691" s="54"/>
    </row>
    <row r="29692" spans="31:31">
      <c r="AE29692" s="54"/>
    </row>
    <row r="29693" spans="31:31">
      <c r="AE29693" s="54"/>
    </row>
    <row r="29694" spans="31:31">
      <c r="AE29694" s="54"/>
    </row>
    <row r="29695" spans="31:31">
      <c r="AE29695" s="54"/>
    </row>
    <row r="29696" spans="31:31">
      <c r="AE29696" s="54"/>
    </row>
    <row r="29697" spans="31:31">
      <c r="AE29697" s="54"/>
    </row>
    <row r="29698" spans="31:31">
      <c r="AE29698" s="54"/>
    </row>
    <row r="29699" spans="31:31">
      <c r="AE29699" s="54"/>
    </row>
    <row r="29700" spans="31:31">
      <c r="AE29700" s="54"/>
    </row>
    <row r="29701" spans="31:31">
      <c r="AE29701" s="54"/>
    </row>
    <row r="29702" spans="31:31">
      <c r="AE29702" s="54"/>
    </row>
    <row r="29703" spans="31:31">
      <c r="AE29703" s="54"/>
    </row>
    <row r="29704" spans="31:31">
      <c r="AE29704" s="54"/>
    </row>
    <row r="29705" spans="31:31">
      <c r="AE29705" s="54"/>
    </row>
    <row r="29706" spans="31:31">
      <c r="AE29706" s="54"/>
    </row>
    <row r="29707" spans="31:31">
      <c r="AE29707" s="54"/>
    </row>
    <row r="29708" spans="31:31">
      <c r="AE29708" s="54"/>
    </row>
    <row r="29709" spans="31:31">
      <c r="AE29709" s="54"/>
    </row>
    <row r="29710" spans="31:31">
      <c r="AE29710" s="54"/>
    </row>
    <row r="29711" spans="31:31">
      <c r="AE29711" s="54"/>
    </row>
    <row r="29712" spans="31:31">
      <c r="AE29712" s="54"/>
    </row>
    <row r="29713" spans="31:31">
      <c r="AE29713" s="54"/>
    </row>
    <row r="29714" spans="31:31">
      <c r="AE29714" s="54"/>
    </row>
    <row r="29715" spans="31:31">
      <c r="AE29715" s="54"/>
    </row>
    <row r="29716" spans="31:31">
      <c r="AE29716" s="54"/>
    </row>
    <row r="29717" spans="31:31">
      <c r="AE29717" s="54"/>
    </row>
    <row r="29718" spans="31:31">
      <c r="AE29718" s="54"/>
    </row>
    <row r="29719" spans="31:31">
      <c r="AE29719" s="54"/>
    </row>
    <row r="29720" spans="31:31">
      <c r="AE29720" s="54"/>
    </row>
    <row r="29721" spans="31:31">
      <c r="AE29721" s="54"/>
    </row>
    <row r="29722" spans="31:31">
      <c r="AE29722" s="54"/>
    </row>
    <row r="29723" spans="31:31">
      <c r="AE29723" s="54"/>
    </row>
    <row r="29724" spans="31:31">
      <c r="AE29724" s="54"/>
    </row>
    <row r="29725" spans="31:31">
      <c r="AE29725" s="54"/>
    </row>
    <row r="29726" spans="31:31">
      <c r="AE29726" s="54"/>
    </row>
    <row r="29727" spans="31:31">
      <c r="AE29727" s="54"/>
    </row>
    <row r="29728" spans="31:31">
      <c r="AE29728" s="54"/>
    </row>
    <row r="29729" spans="31:31">
      <c r="AE29729" s="54"/>
    </row>
    <row r="29730" spans="31:31">
      <c r="AE29730" s="54"/>
    </row>
    <row r="29731" spans="31:31">
      <c r="AE29731" s="54"/>
    </row>
    <row r="29732" spans="31:31">
      <c r="AE29732" s="54"/>
    </row>
    <row r="29733" spans="31:31">
      <c r="AE29733" s="54"/>
    </row>
    <row r="29734" spans="31:31">
      <c r="AE29734" s="54"/>
    </row>
    <row r="29735" spans="31:31">
      <c r="AE29735" s="54"/>
    </row>
    <row r="29736" spans="31:31">
      <c r="AE29736" s="54"/>
    </row>
    <row r="29737" spans="31:31">
      <c r="AE29737" s="54"/>
    </row>
    <row r="29738" spans="31:31">
      <c r="AE29738" s="54"/>
    </row>
    <row r="29739" spans="31:31">
      <c r="AE29739" s="54"/>
    </row>
    <row r="29740" spans="31:31">
      <c r="AE29740" s="54"/>
    </row>
    <row r="29741" spans="31:31">
      <c r="AE29741" s="54"/>
    </row>
    <row r="29742" spans="31:31">
      <c r="AE29742" s="54"/>
    </row>
    <row r="29743" spans="31:31">
      <c r="AE29743" s="54"/>
    </row>
    <row r="29744" spans="31:31">
      <c r="AE29744" s="54"/>
    </row>
    <row r="29745" spans="31:31">
      <c r="AE29745" s="54"/>
    </row>
    <row r="29746" spans="31:31">
      <c r="AE29746" s="54"/>
    </row>
    <row r="29747" spans="31:31">
      <c r="AE29747" s="54"/>
    </row>
    <row r="29748" spans="31:31">
      <c r="AE29748" s="54"/>
    </row>
    <row r="29749" spans="31:31">
      <c r="AE29749" s="54"/>
    </row>
    <row r="29750" spans="31:31">
      <c r="AE29750" s="54"/>
    </row>
    <row r="29751" spans="31:31">
      <c r="AE29751" s="54"/>
    </row>
    <row r="29752" spans="31:31">
      <c r="AE29752" s="54"/>
    </row>
    <row r="29753" spans="31:31">
      <c r="AE29753" s="54"/>
    </row>
    <row r="29754" spans="31:31">
      <c r="AE29754" s="54"/>
    </row>
    <row r="29755" spans="31:31">
      <c r="AE29755" s="54"/>
    </row>
    <row r="29756" spans="31:31">
      <c r="AE29756" s="54"/>
    </row>
    <row r="29757" spans="31:31">
      <c r="AE29757" s="54"/>
    </row>
    <row r="29758" spans="31:31">
      <c r="AE29758" s="54"/>
    </row>
    <row r="29759" spans="31:31">
      <c r="AE29759" s="54"/>
    </row>
    <row r="29760" spans="31:31">
      <c r="AE29760" s="54"/>
    </row>
    <row r="29761" spans="31:31">
      <c r="AE29761" s="54"/>
    </row>
    <row r="29762" spans="31:31">
      <c r="AE29762" s="54"/>
    </row>
    <row r="29763" spans="31:31">
      <c r="AE29763" s="54"/>
    </row>
    <row r="29764" spans="31:31">
      <c r="AE29764" s="54"/>
    </row>
    <row r="29765" spans="31:31">
      <c r="AE29765" s="54"/>
    </row>
    <row r="29766" spans="31:31">
      <c r="AE29766" s="54"/>
    </row>
    <row r="29767" spans="31:31">
      <c r="AE29767" s="54"/>
    </row>
    <row r="29768" spans="31:31">
      <c r="AE29768" s="54"/>
    </row>
    <row r="29769" spans="31:31">
      <c r="AE29769" s="54"/>
    </row>
    <row r="29770" spans="31:31">
      <c r="AE29770" s="54"/>
    </row>
    <row r="29771" spans="31:31">
      <c r="AE29771" s="54"/>
    </row>
    <row r="29772" spans="31:31">
      <c r="AE29772" s="54"/>
    </row>
    <row r="29773" spans="31:31">
      <c r="AE29773" s="54"/>
    </row>
    <row r="29774" spans="31:31">
      <c r="AE29774" s="54"/>
    </row>
    <row r="29775" spans="31:31">
      <c r="AE29775" s="54"/>
    </row>
    <row r="29776" spans="31:31">
      <c r="AE29776" s="54"/>
    </row>
    <row r="29777" spans="31:31">
      <c r="AE29777" s="54"/>
    </row>
    <row r="29778" spans="31:31">
      <c r="AE29778" s="54"/>
    </row>
    <row r="29779" spans="31:31">
      <c r="AE29779" s="54"/>
    </row>
    <row r="29780" spans="31:31">
      <c r="AE29780" s="54"/>
    </row>
    <row r="29781" spans="31:31">
      <c r="AE29781" s="54"/>
    </row>
    <row r="29782" spans="31:31">
      <c r="AE29782" s="54"/>
    </row>
    <row r="29783" spans="31:31">
      <c r="AE29783" s="54"/>
    </row>
    <row r="29784" spans="31:31">
      <c r="AE29784" s="54"/>
    </row>
    <row r="29785" spans="31:31">
      <c r="AE29785" s="54"/>
    </row>
    <row r="29786" spans="31:31">
      <c r="AE29786" s="54"/>
    </row>
    <row r="29787" spans="31:31">
      <c r="AE29787" s="54"/>
    </row>
    <row r="29788" spans="31:31">
      <c r="AE29788" s="54"/>
    </row>
    <row r="29789" spans="31:31">
      <c r="AE29789" s="54"/>
    </row>
    <row r="29790" spans="31:31">
      <c r="AE29790" s="54"/>
    </row>
    <row r="29791" spans="31:31">
      <c r="AE29791" s="54"/>
    </row>
    <row r="29792" spans="31:31">
      <c r="AE29792" s="54"/>
    </row>
    <row r="29793" spans="31:31">
      <c r="AE29793" s="54"/>
    </row>
    <row r="29794" spans="31:31">
      <c r="AE29794" s="54"/>
    </row>
    <row r="29795" spans="31:31">
      <c r="AE29795" s="54"/>
    </row>
    <row r="29796" spans="31:31">
      <c r="AE29796" s="54"/>
    </row>
    <row r="29797" spans="31:31">
      <c r="AE29797" s="54"/>
    </row>
    <row r="29798" spans="31:31">
      <c r="AE29798" s="54"/>
    </row>
    <row r="29799" spans="31:31">
      <c r="AE29799" s="54"/>
    </row>
    <row r="29800" spans="31:31">
      <c r="AE29800" s="54"/>
    </row>
    <row r="29801" spans="31:31">
      <c r="AE29801" s="54"/>
    </row>
    <row r="29802" spans="31:31">
      <c r="AE29802" s="54"/>
    </row>
    <row r="29803" spans="31:31">
      <c r="AE29803" s="54"/>
    </row>
    <row r="29804" spans="31:31">
      <c r="AE29804" s="54"/>
    </row>
    <row r="29805" spans="31:31">
      <c r="AE29805" s="54"/>
    </row>
    <row r="29806" spans="31:31">
      <c r="AE29806" s="54"/>
    </row>
    <row r="29807" spans="31:31">
      <c r="AE29807" s="54"/>
    </row>
    <row r="29808" spans="31:31">
      <c r="AE29808" s="54"/>
    </row>
    <row r="29809" spans="31:31">
      <c r="AE29809" s="54"/>
    </row>
    <row r="29810" spans="31:31">
      <c r="AE29810" s="54"/>
    </row>
    <row r="29811" spans="31:31">
      <c r="AE29811" s="54"/>
    </row>
    <row r="29812" spans="31:31">
      <c r="AE29812" s="54"/>
    </row>
    <row r="29813" spans="31:31">
      <c r="AE29813" s="54"/>
    </row>
    <row r="29814" spans="31:31">
      <c r="AE29814" s="54"/>
    </row>
    <row r="29815" spans="31:31">
      <c r="AE29815" s="54"/>
    </row>
    <row r="29816" spans="31:31">
      <c r="AE29816" s="54"/>
    </row>
    <row r="29817" spans="31:31">
      <c r="AE29817" s="54"/>
    </row>
    <row r="29818" spans="31:31">
      <c r="AE29818" s="54"/>
    </row>
    <row r="29819" spans="31:31">
      <c r="AE29819" s="54"/>
    </row>
    <row r="29820" spans="31:31">
      <c r="AE29820" s="54"/>
    </row>
    <row r="29821" spans="31:31">
      <c r="AE29821" s="54"/>
    </row>
    <row r="29822" spans="31:31">
      <c r="AE29822" s="54"/>
    </row>
    <row r="29823" spans="31:31">
      <c r="AE29823" s="54"/>
    </row>
    <row r="29824" spans="31:31">
      <c r="AE29824" s="54"/>
    </row>
    <row r="29825" spans="31:31">
      <c r="AE29825" s="54"/>
    </row>
    <row r="29826" spans="31:31">
      <c r="AE29826" s="54"/>
    </row>
    <row r="29827" spans="31:31">
      <c r="AE29827" s="54"/>
    </row>
    <row r="29828" spans="31:31">
      <c r="AE29828" s="54"/>
    </row>
    <row r="29829" spans="31:31">
      <c r="AE29829" s="54"/>
    </row>
    <row r="29830" spans="31:31">
      <c r="AE29830" s="54"/>
    </row>
    <row r="29831" spans="31:31">
      <c r="AE29831" s="54"/>
    </row>
    <row r="29832" spans="31:31">
      <c r="AE29832" s="54"/>
    </row>
    <row r="29833" spans="31:31">
      <c r="AE29833" s="54"/>
    </row>
    <row r="29834" spans="31:31">
      <c r="AE29834" s="54"/>
    </row>
    <row r="29835" spans="31:31">
      <c r="AE29835" s="54"/>
    </row>
    <row r="29836" spans="31:31">
      <c r="AE29836" s="54"/>
    </row>
    <row r="29837" spans="31:31">
      <c r="AE29837" s="54"/>
    </row>
    <row r="29838" spans="31:31">
      <c r="AE29838" s="54"/>
    </row>
    <row r="29839" spans="31:31">
      <c r="AE29839" s="54"/>
    </row>
    <row r="29840" spans="31:31">
      <c r="AE29840" s="54"/>
    </row>
    <row r="29841" spans="31:31">
      <c r="AE29841" s="54"/>
    </row>
    <row r="29842" spans="31:31">
      <c r="AE29842" s="54"/>
    </row>
    <row r="29843" spans="31:31">
      <c r="AE29843" s="54"/>
    </row>
    <row r="29844" spans="31:31">
      <c r="AE29844" s="54"/>
    </row>
    <row r="29845" spans="31:31">
      <c r="AE29845" s="54"/>
    </row>
    <row r="29846" spans="31:31">
      <c r="AE29846" s="54"/>
    </row>
    <row r="29847" spans="31:31">
      <c r="AE29847" s="54"/>
    </row>
    <row r="29848" spans="31:31">
      <c r="AE29848" s="54"/>
    </row>
    <row r="29849" spans="31:31">
      <c r="AE29849" s="54"/>
    </row>
    <row r="29850" spans="31:31">
      <c r="AE29850" s="54"/>
    </row>
    <row r="29851" spans="31:31">
      <c r="AE29851" s="54"/>
    </row>
    <row r="29852" spans="31:31">
      <c r="AE29852" s="54"/>
    </row>
    <row r="29853" spans="31:31">
      <c r="AE29853" s="54"/>
    </row>
    <row r="29854" spans="31:31">
      <c r="AE29854" s="54"/>
    </row>
    <row r="29855" spans="31:31">
      <c r="AE29855" s="54"/>
    </row>
    <row r="29856" spans="31:31">
      <c r="AE29856" s="54"/>
    </row>
    <row r="29857" spans="31:31">
      <c r="AE29857" s="54"/>
    </row>
    <row r="29858" spans="31:31">
      <c r="AE29858" s="54"/>
    </row>
    <row r="29859" spans="31:31">
      <c r="AE29859" s="54"/>
    </row>
    <row r="29860" spans="31:31">
      <c r="AE29860" s="54"/>
    </row>
    <row r="29861" spans="31:31">
      <c r="AE29861" s="54"/>
    </row>
    <row r="29862" spans="31:31">
      <c r="AE29862" s="54"/>
    </row>
    <row r="29863" spans="31:31">
      <c r="AE29863" s="54"/>
    </row>
    <row r="29864" spans="31:31">
      <c r="AE29864" s="54"/>
    </row>
    <row r="29865" spans="31:31">
      <c r="AE29865" s="54"/>
    </row>
    <row r="29866" spans="31:31">
      <c r="AE29866" s="54"/>
    </row>
    <row r="29867" spans="31:31">
      <c r="AE29867" s="54"/>
    </row>
    <row r="29868" spans="31:31">
      <c r="AE29868" s="54"/>
    </row>
    <row r="29869" spans="31:31">
      <c r="AE29869" s="54"/>
    </row>
    <row r="29870" spans="31:31">
      <c r="AE29870" s="54"/>
    </row>
    <row r="29871" spans="31:31">
      <c r="AE29871" s="54"/>
    </row>
    <row r="29872" spans="31:31">
      <c r="AE29872" s="54"/>
    </row>
    <row r="29873" spans="31:31">
      <c r="AE29873" s="54"/>
    </row>
    <row r="29874" spans="31:31">
      <c r="AE29874" s="54"/>
    </row>
    <row r="29875" spans="31:31">
      <c r="AE29875" s="54"/>
    </row>
    <row r="29876" spans="31:31">
      <c r="AE29876" s="54"/>
    </row>
    <row r="29877" spans="31:31">
      <c r="AE29877" s="54"/>
    </row>
    <row r="29878" spans="31:31">
      <c r="AE29878" s="54"/>
    </row>
    <row r="29879" spans="31:31">
      <c r="AE29879" s="54"/>
    </row>
    <row r="29880" spans="31:31">
      <c r="AE29880" s="54"/>
    </row>
    <row r="29881" spans="31:31">
      <c r="AE29881" s="54"/>
    </row>
    <row r="29882" spans="31:31">
      <c r="AE29882" s="54"/>
    </row>
    <row r="29883" spans="31:31">
      <c r="AE29883" s="54"/>
    </row>
    <row r="29884" spans="31:31">
      <c r="AE29884" s="54"/>
    </row>
    <row r="29885" spans="31:31">
      <c r="AE29885" s="54"/>
    </row>
    <row r="29886" spans="31:31">
      <c r="AE29886" s="54"/>
    </row>
    <row r="29887" spans="31:31">
      <c r="AE29887" s="54"/>
    </row>
    <row r="29888" spans="31:31">
      <c r="AE29888" s="54"/>
    </row>
    <row r="29889" spans="31:31">
      <c r="AE29889" s="54"/>
    </row>
    <row r="29890" spans="31:31">
      <c r="AE29890" s="54"/>
    </row>
    <row r="29891" spans="31:31">
      <c r="AE29891" s="54"/>
    </row>
    <row r="29892" spans="31:31">
      <c r="AE29892" s="54"/>
    </row>
    <row r="29893" spans="31:31">
      <c r="AE29893" s="54"/>
    </row>
    <row r="29894" spans="31:31">
      <c r="AE29894" s="54"/>
    </row>
    <row r="29895" spans="31:31">
      <c r="AE29895" s="54"/>
    </row>
    <row r="29896" spans="31:31">
      <c r="AE29896" s="54"/>
    </row>
    <row r="29897" spans="31:31">
      <c r="AE29897" s="54"/>
    </row>
    <row r="29898" spans="31:31">
      <c r="AE29898" s="54"/>
    </row>
    <row r="29899" spans="31:31">
      <c r="AE29899" s="54"/>
    </row>
    <row r="29900" spans="31:31">
      <c r="AE29900" s="54"/>
    </row>
    <row r="29901" spans="31:31">
      <c r="AE29901" s="54"/>
    </row>
    <row r="29902" spans="31:31">
      <c r="AE29902" s="54"/>
    </row>
    <row r="29903" spans="31:31">
      <c r="AE29903" s="54"/>
    </row>
    <row r="29904" spans="31:31">
      <c r="AE29904" s="54"/>
    </row>
    <row r="29905" spans="31:31">
      <c r="AE29905" s="54"/>
    </row>
    <row r="29906" spans="31:31">
      <c r="AE29906" s="54"/>
    </row>
    <row r="29907" spans="31:31">
      <c r="AE29907" s="54"/>
    </row>
    <row r="29908" spans="31:31">
      <c r="AE29908" s="54"/>
    </row>
    <row r="29909" spans="31:31">
      <c r="AE29909" s="54"/>
    </row>
    <row r="29910" spans="31:31">
      <c r="AE29910" s="54"/>
    </row>
    <row r="29911" spans="31:31">
      <c r="AE29911" s="54"/>
    </row>
    <row r="29912" spans="31:31">
      <c r="AE29912" s="54"/>
    </row>
    <row r="29913" spans="31:31">
      <c r="AE29913" s="54"/>
    </row>
    <row r="29914" spans="31:31">
      <c r="AE29914" s="54"/>
    </row>
    <row r="29915" spans="31:31">
      <c r="AE29915" s="54"/>
    </row>
    <row r="29916" spans="31:31">
      <c r="AE29916" s="54"/>
    </row>
    <row r="29917" spans="31:31">
      <c r="AE29917" s="54"/>
    </row>
    <row r="29918" spans="31:31">
      <c r="AE29918" s="54"/>
    </row>
    <row r="29919" spans="31:31">
      <c r="AE29919" s="54"/>
    </row>
    <row r="29920" spans="31:31">
      <c r="AE29920" s="54"/>
    </row>
    <row r="29921" spans="31:31">
      <c r="AE29921" s="54"/>
    </row>
    <row r="29922" spans="31:31">
      <c r="AE29922" s="54"/>
    </row>
    <row r="29923" spans="31:31">
      <c r="AE29923" s="54"/>
    </row>
    <row r="29924" spans="31:31">
      <c r="AE29924" s="54"/>
    </row>
    <row r="29925" spans="31:31">
      <c r="AE29925" s="54"/>
    </row>
    <row r="29926" spans="31:31">
      <c r="AE29926" s="54"/>
    </row>
    <row r="29927" spans="31:31">
      <c r="AE29927" s="54"/>
    </row>
    <row r="29928" spans="31:31">
      <c r="AE29928" s="54"/>
    </row>
    <row r="29929" spans="31:31">
      <c r="AE29929" s="54"/>
    </row>
    <row r="29930" spans="31:31">
      <c r="AE29930" s="54"/>
    </row>
    <row r="29931" spans="31:31">
      <c r="AE29931" s="54"/>
    </row>
    <row r="29932" spans="31:31">
      <c r="AE29932" s="54"/>
    </row>
    <row r="29933" spans="31:31">
      <c r="AE29933" s="54"/>
    </row>
    <row r="29934" spans="31:31">
      <c r="AE29934" s="54"/>
    </row>
    <row r="29935" spans="31:31">
      <c r="AE29935" s="54"/>
    </row>
    <row r="29936" spans="31:31">
      <c r="AE29936" s="54"/>
    </row>
    <row r="29937" spans="31:31">
      <c r="AE29937" s="54"/>
    </row>
    <row r="29938" spans="31:31">
      <c r="AE29938" s="54"/>
    </row>
    <row r="29939" spans="31:31">
      <c r="AE29939" s="54"/>
    </row>
    <row r="29940" spans="31:31">
      <c r="AE29940" s="54"/>
    </row>
    <row r="29941" spans="31:31">
      <c r="AE29941" s="54"/>
    </row>
    <row r="29942" spans="31:31">
      <c r="AE29942" s="54"/>
    </row>
    <row r="29943" spans="31:31">
      <c r="AE29943" s="54"/>
    </row>
    <row r="29944" spans="31:31">
      <c r="AE29944" s="54"/>
    </row>
    <row r="29945" spans="31:31">
      <c r="AE29945" s="54"/>
    </row>
    <row r="29946" spans="31:31">
      <c r="AE29946" s="54"/>
    </row>
    <row r="29947" spans="31:31">
      <c r="AE29947" s="54"/>
    </row>
    <row r="29948" spans="31:31">
      <c r="AE29948" s="54"/>
    </row>
    <row r="29949" spans="31:31">
      <c r="AE29949" s="54"/>
    </row>
    <row r="29950" spans="31:31">
      <c r="AE29950" s="54"/>
    </row>
    <row r="29951" spans="31:31">
      <c r="AE29951" s="54"/>
    </row>
    <row r="29952" spans="31:31">
      <c r="AE29952" s="54"/>
    </row>
    <row r="29953" spans="31:31">
      <c r="AE29953" s="54"/>
    </row>
    <row r="29954" spans="31:31">
      <c r="AE29954" s="54"/>
    </row>
    <row r="29955" spans="31:31">
      <c r="AE29955" s="54"/>
    </row>
    <row r="29956" spans="31:31">
      <c r="AE29956" s="54"/>
    </row>
    <row r="29957" spans="31:31">
      <c r="AE29957" s="54"/>
    </row>
    <row r="29958" spans="31:31">
      <c r="AE29958" s="54"/>
    </row>
    <row r="29959" spans="31:31">
      <c r="AE29959" s="54"/>
    </row>
    <row r="29960" spans="31:31">
      <c r="AE29960" s="54"/>
    </row>
    <row r="29961" spans="31:31">
      <c r="AE29961" s="54"/>
    </row>
    <row r="29962" spans="31:31">
      <c r="AE29962" s="54"/>
    </row>
    <row r="29963" spans="31:31">
      <c r="AE29963" s="54"/>
    </row>
    <row r="29964" spans="31:31">
      <c r="AE29964" s="54"/>
    </row>
    <row r="29965" spans="31:31">
      <c r="AE29965" s="54"/>
    </row>
    <row r="29966" spans="31:31">
      <c r="AE29966" s="54"/>
    </row>
    <row r="29967" spans="31:31">
      <c r="AE29967" s="54"/>
    </row>
    <row r="29968" spans="31:31">
      <c r="AE29968" s="54"/>
    </row>
    <row r="29969" spans="31:31">
      <c r="AE29969" s="54"/>
    </row>
    <row r="29970" spans="31:31">
      <c r="AE29970" s="54"/>
    </row>
    <row r="29971" spans="31:31">
      <c r="AE29971" s="54"/>
    </row>
    <row r="29972" spans="31:31">
      <c r="AE29972" s="54"/>
    </row>
    <row r="29973" spans="31:31">
      <c r="AE29973" s="54"/>
    </row>
    <row r="29974" spans="31:31">
      <c r="AE29974" s="54"/>
    </row>
    <row r="29975" spans="31:31">
      <c r="AE29975" s="54"/>
    </row>
    <row r="29976" spans="31:31">
      <c r="AE29976" s="54"/>
    </row>
    <row r="29977" spans="31:31">
      <c r="AE29977" s="54"/>
    </row>
    <row r="29978" spans="31:31">
      <c r="AE29978" s="54"/>
    </row>
    <row r="29979" spans="31:31">
      <c r="AE29979" s="54"/>
    </row>
    <row r="29980" spans="31:31">
      <c r="AE29980" s="54"/>
    </row>
    <row r="29981" spans="31:31">
      <c r="AE29981" s="54"/>
    </row>
    <row r="29982" spans="31:31">
      <c r="AE29982" s="54"/>
    </row>
    <row r="29983" spans="31:31">
      <c r="AE29983" s="54"/>
    </row>
    <row r="29984" spans="31:31">
      <c r="AE29984" s="54"/>
    </row>
    <row r="29985" spans="31:31">
      <c r="AE29985" s="54"/>
    </row>
    <row r="29986" spans="31:31">
      <c r="AE29986" s="54"/>
    </row>
    <row r="29987" spans="31:31">
      <c r="AE29987" s="54"/>
    </row>
    <row r="29988" spans="31:31">
      <c r="AE29988" s="54"/>
    </row>
    <row r="29989" spans="31:31">
      <c r="AE29989" s="54"/>
    </row>
    <row r="29990" spans="31:31">
      <c r="AE29990" s="54"/>
    </row>
    <row r="29991" spans="31:31">
      <c r="AE29991" s="54"/>
    </row>
    <row r="29992" spans="31:31">
      <c r="AE29992" s="54"/>
    </row>
    <row r="29993" spans="31:31">
      <c r="AE29993" s="54"/>
    </row>
    <row r="29994" spans="31:31">
      <c r="AE29994" s="54"/>
    </row>
    <row r="29995" spans="31:31">
      <c r="AE29995" s="54"/>
    </row>
    <row r="29996" spans="31:31">
      <c r="AE29996" s="54"/>
    </row>
    <row r="29997" spans="31:31">
      <c r="AE29997" s="54"/>
    </row>
    <row r="29998" spans="31:31">
      <c r="AE29998" s="54"/>
    </row>
    <row r="29999" spans="31:31">
      <c r="AE29999" s="54"/>
    </row>
    <row r="30000" spans="31:31">
      <c r="AE30000" s="54"/>
    </row>
    <row r="30001" spans="31:31">
      <c r="AE30001" s="54"/>
    </row>
    <row r="30002" spans="31:31">
      <c r="AE30002" s="54"/>
    </row>
    <row r="30003" spans="31:31">
      <c r="AE30003" s="54"/>
    </row>
    <row r="30004" spans="31:31">
      <c r="AE30004" s="54"/>
    </row>
    <row r="30005" spans="31:31">
      <c r="AE30005" s="54"/>
    </row>
    <row r="30006" spans="31:31">
      <c r="AE30006" s="54"/>
    </row>
    <row r="30007" spans="31:31">
      <c r="AE30007" s="54"/>
    </row>
    <row r="30008" spans="31:31">
      <c r="AE30008" s="54"/>
    </row>
    <row r="30009" spans="31:31">
      <c r="AE30009" s="54"/>
    </row>
    <row r="30010" spans="31:31">
      <c r="AE30010" s="54"/>
    </row>
    <row r="30011" spans="31:31">
      <c r="AE30011" s="54"/>
    </row>
    <row r="30012" spans="31:31">
      <c r="AE30012" s="54"/>
    </row>
    <row r="30013" spans="31:31">
      <c r="AE30013" s="54"/>
    </row>
    <row r="30014" spans="31:31">
      <c r="AE30014" s="54"/>
    </row>
    <row r="30015" spans="31:31">
      <c r="AE30015" s="54"/>
    </row>
    <row r="30016" spans="31:31">
      <c r="AE30016" s="54"/>
    </row>
    <row r="30017" spans="31:31">
      <c r="AE30017" s="54"/>
    </row>
    <row r="30018" spans="31:31">
      <c r="AE30018" s="54"/>
    </row>
    <row r="30019" spans="31:31">
      <c r="AE30019" s="54"/>
    </row>
    <row r="30020" spans="31:31">
      <c r="AE30020" s="54"/>
    </row>
    <row r="30021" spans="31:31">
      <c r="AE30021" s="54"/>
    </row>
    <row r="30022" spans="31:31">
      <c r="AE30022" s="54"/>
    </row>
    <row r="30023" spans="31:31">
      <c r="AE30023" s="54"/>
    </row>
    <row r="30024" spans="31:31">
      <c r="AE30024" s="54"/>
    </row>
    <row r="30025" spans="31:31">
      <c r="AE30025" s="54"/>
    </row>
    <row r="30026" spans="31:31">
      <c r="AE30026" s="54"/>
    </row>
    <row r="30027" spans="31:31">
      <c r="AE30027" s="54"/>
    </row>
    <row r="30028" spans="31:31">
      <c r="AE30028" s="54"/>
    </row>
    <row r="30029" spans="31:31">
      <c r="AE30029" s="54"/>
    </row>
    <row r="30030" spans="31:31">
      <c r="AE30030" s="54"/>
    </row>
    <row r="30031" spans="31:31">
      <c r="AE30031" s="54"/>
    </row>
    <row r="30032" spans="31:31">
      <c r="AE30032" s="54"/>
    </row>
    <row r="30033" spans="31:31">
      <c r="AE30033" s="54"/>
    </row>
    <row r="30034" spans="31:31">
      <c r="AE30034" s="54"/>
    </row>
    <row r="30035" spans="31:31">
      <c r="AE30035" s="54"/>
    </row>
    <row r="30036" spans="31:31">
      <c r="AE30036" s="54"/>
    </row>
    <row r="30037" spans="31:31">
      <c r="AE30037" s="54"/>
    </row>
    <row r="30038" spans="31:31">
      <c r="AE30038" s="54"/>
    </row>
    <row r="30039" spans="31:31">
      <c r="AE30039" s="54"/>
    </row>
    <row r="30040" spans="31:31">
      <c r="AE30040" s="54"/>
    </row>
    <row r="30041" spans="31:31">
      <c r="AE30041" s="54"/>
    </row>
    <row r="30042" spans="31:31">
      <c r="AE30042" s="54"/>
    </row>
    <row r="30043" spans="31:31">
      <c r="AE30043" s="54"/>
    </row>
    <row r="30044" spans="31:31">
      <c r="AE30044" s="54"/>
    </row>
    <row r="30045" spans="31:31">
      <c r="AE30045" s="54"/>
    </row>
    <row r="30046" spans="31:31">
      <c r="AE30046" s="54"/>
    </row>
    <row r="30047" spans="31:31">
      <c r="AE30047" s="54"/>
    </row>
    <row r="30048" spans="31:31">
      <c r="AE30048" s="54"/>
    </row>
    <row r="30049" spans="31:31">
      <c r="AE30049" s="54"/>
    </row>
    <row r="30050" spans="31:31">
      <c r="AE30050" s="54"/>
    </row>
    <row r="30051" spans="31:31">
      <c r="AE30051" s="54"/>
    </row>
    <row r="30052" spans="31:31">
      <c r="AE30052" s="54"/>
    </row>
    <row r="30053" spans="31:31">
      <c r="AE30053" s="54"/>
    </row>
    <row r="30054" spans="31:31">
      <c r="AE30054" s="54"/>
    </row>
    <row r="30055" spans="31:31">
      <c r="AE30055" s="54"/>
    </row>
    <row r="30056" spans="31:31">
      <c r="AE30056" s="54"/>
    </row>
    <row r="30057" spans="31:31">
      <c r="AE30057" s="54"/>
    </row>
    <row r="30058" spans="31:31">
      <c r="AE30058" s="54"/>
    </row>
    <row r="30059" spans="31:31">
      <c r="AE30059" s="54"/>
    </row>
    <row r="30060" spans="31:31">
      <c r="AE30060" s="54"/>
    </row>
    <row r="30061" spans="31:31">
      <c r="AE30061" s="54"/>
    </row>
    <row r="30062" spans="31:31">
      <c r="AE30062" s="54"/>
    </row>
    <row r="30063" spans="31:31">
      <c r="AE30063" s="54"/>
    </row>
    <row r="30064" spans="31:31">
      <c r="AE30064" s="54"/>
    </row>
    <row r="30065" spans="31:31">
      <c r="AE30065" s="54"/>
    </row>
    <row r="30066" spans="31:31">
      <c r="AE30066" s="54"/>
    </row>
    <row r="30067" spans="31:31">
      <c r="AE30067" s="54"/>
    </row>
    <row r="30068" spans="31:31">
      <c r="AE30068" s="54"/>
    </row>
    <row r="30069" spans="31:31">
      <c r="AE30069" s="54"/>
    </row>
    <row r="30070" spans="31:31">
      <c r="AE30070" s="54"/>
    </row>
    <row r="30071" spans="31:31">
      <c r="AE30071" s="54"/>
    </row>
    <row r="30072" spans="31:31">
      <c r="AE30072" s="54"/>
    </row>
    <row r="30073" spans="31:31">
      <c r="AE30073" s="54"/>
    </row>
    <row r="30074" spans="31:31">
      <c r="AE30074" s="54"/>
    </row>
    <row r="30075" spans="31:31">
      <c r="AE30075" s="54"/>
    </row>
    <row r="30076" spans="31:31">
      <c r="AE30076" s="54"/>
    </row>
    <row r="30077" spans="31:31">
      <c r="AE30077" s="54"/>
    </row>
    <row r="30078" spans="31:31">
      <c r="AE30078" s="54"/>
    </row>
    <row r="30079" spans="31:31">
      <c r="AE30079" s="54"/>
    </row>
    <row r="30080" spans="31:31">
      <c r="AE30080" s="54"/>
    </row>
    <row r="30081" spans="31:31">
      <c r="AE30081" s="54"/>
    </row>
    <row r="30082" spans="31:31">
      <c r="AE30082" s="54"/>
    </row>
    <row r="30083" spans="31:31">
      <c r="AE30083" s="54"/>
    </row>
    <row r="30084" spans="31:31">
      <c r="AE30084" s="54"/>
    </row>
    <row r="30085" spans="31:31">
      <c r="AE30085" s="54"/>
    </row>
    <row r="30086" spans="31:31">
      <c r="AE30086" s="54"/>
    </row>
    <row r="30087" spans="31:31">
      <c r="AE30087" s="54"/>
    </row>
    <row r="30088" spans="31:31">
      <c r="AE30088" s="54"/>
    </row>
    <row r="30089" spans="31:31">
      <c r="AE30089" s="54"/>
    </row>
    <row r="30090" spans="31:31">
      <c r="AE30090" s="54"/>
    </row>
    <row r="30091" spans="31:31">
      <c r="AE30091" s="54"/>
    </row>
    <row r="30092" spans="31:31">
      <c r="AE30092" s="54"/>
    </row>
    <row r="30093" spans="31:31">
      <c r="AE30093" s="54"/>
    </row>
    <row r="30094" spans="31:31">
      <c r="AE30094" s="54"/>
    </row>
    <row r="30095" spans="31:31">
      <c r="AE30095" s="54"/>
    </row>
    <row r="30096" spans="31:31">
      <c r="AE30096" s="54"/>
    </row>
    <row r="30097" spans="31:31">
      <c r="AE30097" s="54"/>
    </row>
    <row r="30098" spans="31:31">
      <c r="AE30098" s="54"/>
    </row>
    <row r="30099" spans="31:31">
      <c r="AE30099" s="54"/>
    </row>
    <row r="30100" spans="31:31">
      <c r="AE30100" s="54"/>
    </row>
    <row r="30101" spans="31:31">
      <c r="AE30101" s="54"/>
    </row>
    <row r="30102" spans="31:31">
      <c r="AE30102" s="54"/>
    </row>
    <row r="30103" spans="31:31">
      <c r="AE30103" s="54"/>
    </row>
    <row r="30104" spans="31:31">
      <c r="AE30104" s="54"/>
    </row>
    <row r="30105" spans="31:31">
      <c r="AE30105" s="54"/>
    </row>
    <row r="30106" spans="31:31">
      <c r="AE30106" s="54"/>
    </row>
    <row r="30107" spans="31:31">
      <c r="AE30107" s="54"/>
    </row>
    <row r="30108" spans="31:31">
      <c r="AE30108" s="54"/>
    </row>
    <row r="30109" spans="31:31">
      <c r="AE30109" s="54"/>
    </row>
    <row r="30110" spans="31:31">
      <c r="AE30110" s="54"/>
    </row>
    <row r="30111" spans="31:31">
      <c r="AE30111" s="54"/>
    </row>
    <row r="30112" spans="31:31">
      <c r="AE30112" s="54"/>
    </row>
    <row r="30113" spans="31:31">
      <c r="AE30113" s="54"/>
    </row>
    <row r="30114" spans="31:31">
      <c r="AE30114" s="54"/>
    </row>
    <row r="30115" spans="31:31">
      <c r="AE30115" s="54"/>
    </row>
    <row r="30116" spans="31:31">
      <c r="AE30116" s="54"/>
    </row>
    <row r="30117" spans="31:31">
      <c r="AE30117" s="54"/>
    </row>
    <row r="30118" spans="31:31">
      <c r="AE30118" s="54"/>
    </row>
    <row r="30119" spans="31:31">
      <c r="AE30119" s="54"/>
    </row>
    <row r="30120" spans="31:31">
      <c r="AE30120" s="54"/>
    </row>
    <row r="30121" spans="31:31">
      <c r="AE30121" s="54"/>
    </row>
    <row r="30122" spans="31:31">
      <c r="AE30122" s="54"/>
    </row>
    <row r="30123" spans="31:31">
      <c r="AE30123" s="54"/>
    </row>
    <row r="30124" spans="31:31">
      <c r="AE30124" s="54"/>
    </row>
    <row r="30125" spans="31:31">
      <c r="AE30125" s="54"/>
    </row>
    <row r="30126" spans="31:31">
      <c r="AE30126" s="54"/>
    </row>
    <row r="30127" spans="31:31">
      <c r="AE30127" s="54"/>
    </row>
    <row r="30128" spans="31:31">
      <c r="AE30128" s="54"/>
    </row>
    <row r="30129" spans="31:31">
      <c r="AE30129" s="54"/>
    </row>
    <row r="30130" spans="31:31">
      <c r="AE30130" s="54"/>
    </row>
    <row r="30131" spans="31:31">
      <c r="AE30131" s="54"/>
    </row>
    <row r="30132" spans="31:31">
      <c r="AE30132" s="54"/>
    </row>
    <row r="30133" spans="31:31">
      <c r="AE30133" s="54"/>
    </row>
    <row r="30134" spans="31:31">
      <c r="AE30134" s="54"/>
    </row>
    <row r="30135" spans="31:31">
      <c r="AE30135" s="54"/>
    </row>
    <row r="30136" spans="31:31">
      <c r="AE30136" s="54"/>
    </row>
    <row r="30137" spans="31:31">
      <c r="AE30137" s="54"/>
    </row>
    <row r="30138" spans="31:31">
      <c r="AE30138" s="54"/>
    </row>
    <row r="30139" spans="31:31">
      <c r="AE30139" s="54"/>
    </row>
    <row r="30140" spans="31:31">
      <c r="AE30140" s="54"/>
    </row>
    <row r="30141" spans="31:31">
      <c r="AE30141" s="54"/>
    </row>
    <row r="30142" spans="31:31">
      <c r="AE30142" s="54"/>
    </row>
    <row r="30143" spans="31:31">
      <c r="AE30143" s="54"/>
    </row>
    <row r="30144" spans="31:31">
      <c r="AE30144" s="54"/>
    </row>
    <row r="30145" spans="31:31">
      <c r="AE30145" s="54"/>
    </row>
    <row r="30146" spans="31:31">
      <c r="AE30146" s="54"/>
    </row>
    <row r="30147" spans="31:31">
      <c r="AE30147" s="54"/>
    </row>
    <row r="30148" spans="31:31">
      <c r="AE30148" s="54"/>
    </row>
    <row r="30149" spans="31:31">
      <c r="AE30149" s="54"/>
    </row>
    <row r="30150" spans="31:31">
      <c r="AE30150" s="54"/>
    </row>
    <row r="30151" spans="31:31">
      <c r="AE30151" s="54"/>
    </row>
    <row r="30152" spans="31:31">
      <c r="AE30152" s="54"/>
    </row>
    <row r="30153" spans="31:31">
      <c r="AE30153" s="54"/>
    </row>
    <row r="30154" spans="31:31">
      <c r="AE30154" s="54"/>
    </row>
    <row r="30155" spans="31:31">
      <c r="AE30155" s="54"/>
    </row>
    <row r="30156" spans="31:31">
      <c r="AE30156" s="54"/>
    </row>
    <row r="30157" spans="31:31">
      <c r="AE30157" s="54"/>
    </row>
    <row r="30158" spans="31:31">
      <c r="AE30158" s="54"/>
    </row>
    <row r="30159" spans="31:31">
      <c r="AE30159" s="54"/>
    </row>
    <row r="30160" spans="31:31">
      <c r="AE30160" s="54"/>
    </row>
    <row r="30161" spans="31:31">
      <c r="AE30161" s="54"/>
    </row>
    <row r="30162" spans="31:31">
      <c r="AE30162" s="54"/>
    </row>
    <row r="30163" spans="31:31">
      <c r="AE30163" s="54"/>
    </row>
    <row r="30164" spans="31:31">
      <c r="AE30164" s="54"/>
    </row>
    <row r="30165" spans="31:31">
      <c r="AE30165" s="54"/>
    </row>
    <row r="30166" spans="31:31">
      <c r="AE30166" s="54"/>
    </row>
    <row r="30167" spans="31:31">
      <c r="AE30167" s="54"/>
    </row>
    <row r="30168" spans="31:31">
      <c r="AE30168" s="54"/>
    </row>
    <row r="30169" spans="31:31">
      <c r="AE30169" s="54"/>
    </row>
    <row r="30170" spans="31:31">
      <c r="AE30170" s="54"/>
    </row>
    <row r="30171" spans="31:31">
      <c r="AE30171" s="54"/>
    </row>
    <row r="30172" spans="31:31">
      <c r="AE30172" s="54"/>
    </row>
    <row r="30173" spans="31:31">
      <c r="AE30173" s="54"/>
    </row>
    <row r="30174" spans="31:31">
      <c r="AE30174" s="54"/>
    </row>
    <row r="30175" spans="31:31">
      <c r="AE30175" s="54"/>
    </row>
    <row r="30176" spans="31:31">
      <c r="AE30176" s="54"/>
    </row>
    <row r="30177" spans="31:31">
      <c r="AE30177" s="54"/>
    </row>
    <row r="30178" spans="31:31">
      <c r="AE30178" s="54"/>
    </row>
    <row r="30179" spans="31:31">
      <c r="AE30179" s="54"/>
    </row>
    <row r="30180" spans="31:31">
      <c r="AE30180" s="54"/>
    </row>
    <row r="30181" spans="31:31">
      <c r="AE30181" s="54"/>
    </row>
    <row r="30182" spans="31:31">
      <c r="AE30182" s="54"/>
    </row>
    <row r="30183" spans="31:31">
      <c r="AE30183" s="54"/>
    </row>
    <row r="30184" spans="31:31">
      <c r="AE30184" s="54"/>
    </row>
    <row r="30185" spans="31:31">
      <c r="AE30185" s="54"/>
    </row>
    <row r="30186" spans="31:31">
      <c r="AE30186" s="54"/>
    </row>
    <row r="30187" spans="31:31">
      <c r="AE30187" s="54"/>
    </row>
    <row r="30188" spans="31:31">
      <c r="AE30188" s="54"/>
    </row>
    <row r="30189" spans="31:31">
      <c r="AE30189" s="54"/>
    </row>
    <row r="30190" spans="31:31">
      <c r="AE30190" s="54"/>
    </row>
    <row r="30191" spans="31:31">
      <c r="AE30191" s="54"/>
    </row>
    <row r="30192" spans="31:31">
      <c r="AE30192" s="54"/>
    </row>
    <row r="30193" spans="31:31">
      <c r="AE30193" s="54"/>
    </row>
    <row r="30194" spans="31:31">
      <c r="AE30194" s="54"/>
    </row>
    <row r="30195" spans="31:31">
      <c r="AE30195" s="54"/>
    </row>
    <row r="30196" spans="31:31">
      <c r="AE30196" s="54"/>
    </row>
    <row r="30197" spans="31:31">
      <c r="AE30197" s="54"/>
    </row>
    <row r="30198" spans="31:31">
      <c r="AE30198" s="54"/>
    </row>
    <row r="30199" spans="31:31">
      <c r="AE30199" s="54"/>
    </row>
    <row r="30200" spans="31:31">
      <c r="AE30200" s="54"/>
    </row>
    <row r="30201" spans="31:31">
      <c r="AE30201" s="54"/>
    </row>
    <row r="30202" spans="31:31">
      <c r="AE30202" s="54"/>
    </row>
    <row r="30203" spans="31:31">
      <c r="AE30203" s="54"/>
    </row>
    <row r="30204" spans="31:31">
      <c r="AE30204" s="54"/>
    </row>
    <row r="30205" spans="31:31">
      <c r="AE30205" s="54"/>
    </row>
    <row r="30206" spans="31:31">
      <c r="AE30206" s="54"/>
    </row>
    <row r="30207" spans="31:31">
      <c r="AE30207" s="54"/>
    </row>
    <row r="30208" spans="31:31">
      <c r="AE30208" s="54"/>
    </row>
    <row r="30209" spans="31:31">
      <c r="AE30209" s="54"/>
    </row>
    <row r="30210" spans="31:31">
      <c r="AE30210" s="54"/>
    </row>
    <row r="30211" spans="31:31">
      <c r="AE30211" s="54"/>
    </row>
    <row r="30212" spans="31:31">
      <c r="AE30212" s="54"/>
    </row>
    <row r="30213" spans="31:31">
      <c r="AE30213" s="54"/>
    </row>
    <row r="30214" spans="31:31">
      <c r="AE30214" s="54"/>
    </row>
    <row r="30215" spans="31:31">
      <c r="AE30215" s="54"/>
    </row>
    <row r="30216" spans="31:31">
      <c r="AE30216" s="54"/>
    </row>
    <row r="30217" spans="31:31">
      <c r="AE30217" s="54"/>
    </row>
    <row r="30218" spans="31:31">
      <c r="AE30218" s="54"/>
    </row>
    <row r="30219" spans="31:31">
      <c r="AE30219" s="54"/>
    </row>
    <row r="30220" spans="31:31">
      <c r="AE30220" s="54"/>
    </row>
    <row r="30221" spans="31:31">
      <c r="AE30221" s="54"/>
    </row>
    <row r="30222" spans="31:31">
      <c r="AE30222" s="54"/>
    </row>
    <row r="30223" spans="31:31">
      <c r="AE30223" s="54"/>
    </row>
    <row r="30224" spans="31:31">
      <c r="AE30224" s="54"/>
    </row>
    <row r="30225" spans="31:31">
      <c r="AE30225" s="54"/>
    </row>
    <row r="30226" spans="31:31">
      <c r="AE30226" s="54"/>
    </row>
    <row r="30227" spans="31:31">
      <c r="AE30227" s="54"/>
    </row>
    <row r="30228" spans="31:31">
      <c r="AE30228" s="54"/>
    </row>
    <row r="30229" spans="31:31">
      <c r="AE30229" s="54"/>
    </row>
    <row r="30230" spans="31:31">
      <c r="AE30230" s="54"/>
    </row>
    <row r="30231" spans="31:31">
      <c r="AE30231" s="54"/>
    </row>
    <row r="30232" spans="31:31">
      <c r="AE30232" s="54"/>
    </row>
    <row r="30233" spans="31:31">
      <c r="AE30233" s="54"/>
    </row>
    <row r="30234" spans="31:31">
      <c r="AE30234" s="54"/>
    </row>
    <row r="30235" spans="31:31">
      <c r="AE30235" s="54"/>
    </row>
    <row r="30236" spans="31:31">
      <c r="AE30236" s="54"/>
    </row>
    <row r="30237" spans="31:31">
      <c r="AE30237" s="54"/>
    </row>
    <row r="30238" spans="31:31">
      <c r="AE30238" s="54"/>
    </row>
    <row r="30239" spans="31:31">
      <c r="AE30239" s="54"/>
    </row>
    <row r="30240" spans="31:31">
      <c r="AE30240" s="54"/>
    </row>
    <row r="30241" spans="31:31">
      <c r="AE30241" s="54"/>
    </row>
    <row r="30242" spans="31:31">
      <c r="AE30242" s="54"/>
    </row>
    <row r="30243" spans="31:31">
      <c r="AE30243" s="54"/>
    </row>
    <row r="30244" spans="31:31">
      <c r="AE30244" s="54"/>
    </row>
    <row r="30245" spans="31:31">
      <c r="AE30245" s="54"/>
    </row>
    <row r="30246" spans="31:31">
      <c r="AE30246" s="54"/>
    </row>
    <row r="30247" spans="31:31">
      <c r="AE30247" s="54"/>
    </row>
    <row r="30248" spans="31:31">
      <c r="AE30248" s="54"/>
    </row>
    <row r="30249" spans="31:31">
      <c r="AE30249" s="54"/>
    </row>
    <row r="30250" spans="31:31">
      <c r="AE30250" s="54"/>
    </row>
    <row r="30251" spans="31:31">
      <c r="AE30251" s="54"/>
    </row>
    <row r="30252" spans="31:31">
      <c r="AE30252" s="54"/>
    </row>
    <row r="30253" spans="31:31">
      <c r="AE30253" s="54"/>
    </row>
    <row r="30254" spans="31:31">
      <c r="AE30254" s="54"/>
    </row>
    <row r="30255" spans="31:31">
      <c r="AE30255" s="54"/>
    </row>
    <row r="30256" spans="31:31">
      <c r="AE30256" s="54"/>
    </row>
    <row r="30257" spans="31:31">
      <c r="AE30257" s="54"/>
    </row>
    <row r="30258" spans="31:31">
      <c r="AE30258" s="54"/>
    </row>
    <row r="30259" spans="31:31">
      <c r="AE30259" s="54"/>
    </row>
    <row r="30260" spans="31:31">
      <c r="AE30260" s="54"/>
    </row>
    <row r="30261" spans="31:31">
      <c r="AE30261" s="54"/>
    </row>
    <row r="30262" spans="31:31">
      <c r="AE30262" s="54"/>
    </row>
    <row r="30263" spans="31:31">
      <c r="AE30263" s="54"/>
    </row>
    <row r="30264" spans="31:31">
      <c r="AE30264" s="54"/>
    </row>
    <row r="30265" spans="31:31">
      <c r="AE30265" s="54"/>
    </row>
    <row r="30266" spans="31:31">
      <c r="AE30266" s="54"/>
    </row>
    <row r="30267" spans="31:31">
      <c r="AE30267" s="54"/>
    </row>
    <row r="30268" spans="31:31">
      <c r="AE30268" s="54"/>
    </row>
    <row r="30269" spans="31:31">
      <c r="AE30269" s="54"/>
    </row>
    <row r="30270" spans="31:31">
      <c r="AE30270" s="54"/>
    </row>
    <row r="30271" spans="31:31">
      <c r="AE30271" s="54"/>
    </row>
    <row r="30272" spans="31:31">
      <c r="AE30272" s="54"/>
    </row>
    <row r="30273" spans="31:31">
      <c r="AE30273" s="54"/>
    </row>
    <row r="30274" spans="31:31">
      <c r="AE30274" s="54"/>
    </row>
    <row r="30275" spans="31:31">
      <c r="AE30275" s="54"/>
    </row>
    <row r="30276" spans="31:31">
      <c r="AE30276" s="54"/>
    </row>
    <row r="30277" spans="31:31">
      <c r="AE30277" s="54"/>
    </row>
    <row r="30278" spans="31:31">
      <c r="AE30278" s="54"/>
    </row>
    <row r="30279" spans="31:31">
      <c r="AE30279" s="54"/>
    </row>
    <row r="30280" spans="31:31">
      <c r="AE30280" s="54"/>
    </row>
    <row r="30281" spans="31:31">
      <c r="AE30281" s="54"/>
    </row>
    <row r="30282" spans="31:31">
      <c r="AE30282" s="54"/>
    </row>
    <row r="30283" spans="31:31">
      <c r="AE30283" s="54"/>
    </row>
    <row r="30284" spans="31:31">
      <c r="AE30284" s="54"/>
    </row>
    <row r="30285" spans="31:31">
      <c r="AE30285" s="54"/>
    </row>
    <row r="30286" spans="31:31">
      <c r="AE30286" s="54"/>
    </row>
    <row r="30287" spans="31:31">
      <c r="AE30287" s="54"/>
    </row>
    <row r="30288" spans="31:31">
      <c r="AE30288" s="54"/>
    </row>
    <row r="30289" spans="31:31">
      <c r="AE30289" s="54"/>
    </row>
    <row r="30290" spans="31:31">
      <c r="AE30290" s="54"/>
    </row>
    <row r="30291" spans="31:31">
      <c r="AE30291" s="54"/>
    </row>
    <row r="30292" spans="31:31">
      <c r="AE30292" s="54"/>
    </row>
    <row r="30293" spans="31:31">
      <c r="AE30293" s="54"/>
    </row>
    <row r="30294" spans="31:31">
      <c r="AE30294" s="54"/>
    </row>
    <row r="30295" spans="31:31">
      <c r="AE30295" s="54"/>
    </row>
    <row r="30296" spans="31:31">
      <c r="AE30296" s="54"/>
    </row>
    <row r="30297" spans="31:31">
      <c r="AE30297" s="54"/>
    </row>
    <row r="30298" spans="31:31">
      <c r="AE30298" s="54"/>
    </row>
    <row r="30299" spans="31:31">
      <c r="AE30299" s="54"/>
    </row>
    <row r="30300" spans="31:31">
      <c r="AE30300" s="54"/>
    </row>
    <row r="30301" spans="31:31">
      <c r="AE30301" s="54"/>
    </row>
    <row r="30302" spans="31:31">
      <c r="AE30302" s="54"/>
    </row>
    <row r="30303" spans="31:31">
      <c r="AE30303" s="54"/>
    </row>
    <row r="30304" spans="31:31">
      <c r="AE30304" s="54"/>
    </row>
    <row r="30305" spans="31:31">
      <c r="AE30305" s="54"/>
    </row>
    <row r="30306" spans="31:31">
      <c r="AE30306" s="54"/>
    </row>
    <row r="30307" spans="31:31">
      <c r="AE30307" s="54"/>
    </row>
    <row r="30308" spans="31:31">
      <c r="AE30308" s="54"/>
    </row>
    <row r="30309" spans="31:31">
      <c r="AE30309" s="54"/>
    </row>
    <row r="30310" spans="31:31">
      <c r="AE30310" s="54"/>
    </row>
    <row r="30311" spans="31:31">
      <c r="AE30311" s="54"/>
    </row>
    <row r="30312" spans="31:31">
      <c r="AE30312" s="54"/>
    </row>
    <row r="30313" spans="31:31">
      <c r="AE30313" s="54"/>
    </row>
    <row r="30314" spans="31:31">
      <c r="AE30314" s="54"/>
    </row>
    <row r="30315" spans="31:31">
      <c r="AE30315" s="54"/>
    </row>
    <row r="30316" spans="31:31">
      <c r="AE30316" s="54"/>
    </row>
    <row r="30317" spans="31:31">
      <c r="AE30317" s="54"/>
    </row>
    <row r="30318" spans="31:31">
      <c r="AE30318" s="54"/>
    </row>
    <row r="30319" spans="31:31">
      <c r="AE30319" s="54"/>
    </row>
    <row r="30320" spans="31:31">
      <c r="AE30320" s="54"/>
    </row>
    <row r="30321" spans="31:31">
      <c r="AE30321" s="54"/>
    </row>
    <row r="30322" spans="31:31">
      <c r="AE30322" s="54"/>
    </row>
    <row r="30323" spans="31:31">
      <c r="AE30323" s="54"/>
    </row>
    <row r="30324" spans="31:31">
      <c r="AE30324" s="54"/>
    </row>
    <row r="30325" spans="31:31">
      <c r="AE30325" s="54"/>
    </row>
    <row r="30326" spans="31:31">
      <c r="AE30326" s="54"/>
    </row>
    <row r="30327" spans="31:31">
      <c r="AE30327" s="54"/>
    </row>
    <row r="30328" spans="31:31">
      <c r="AE30328" s="54"/>
    </row>
    <row r="30329" spans="31:31">
      <c r="AE30329" s="54"/>
    </row>
    <row r="30330" spans="31:31">
      <c r="AE30330" s="54"/>
    </row>
    <row r="30331" spans="31:31">
      <c r="AE30331" s="54"/>
    </row>
    <row r="30332" spans="31:31">
      <c r="AE30332" s="54"/>
    </row>
    <row r="30333" spans="31:31">
      <c r="AE30333" s="54"/>
    </row>
    <row r="30334" spans="31:31">
      <c r="AE30334" s="54"/>
    </row>
    <row r="30335" spans="31:31">
      <c r="AE30335" s="54"/>
    </row>
    <row r="30336" spans="31:31">
      <c r="AE30336" s="54"/>
    </row>
    <row r="30337" spans="31:31">
      <c r="AE30337" s="54"/>
    </row>
    <row r="30338" spans="31:31">
      <c r="AE30338" s="54"/>
    </row>
    <row r="30339" spans="31:31">
      <c r="AE30339" s="54"/>
    </row>
    <row r="30340" spans="31:31">
      <c r="AE30340" s="54"/>
    </row>
    <row r="30341" spans="31:31">
      <c r="AE30341" s="54"/>
    </row>
    <row r="30342" spans="31:31">
      <c r="AE30342" s="54"/>
    </row>
    <row r="30343" spans="31:31">
      <c r="AE30343" s="54"/>
    </row>
    <row r="30344" spans="31:31">
      <c r="AE30344" s="54"/>
    </row>
    <row r="30345" spans="31:31">
      <c r="AE30345" s="54"/>
    </row>
    <row r="30346" spans="31:31">
      <c r="AE30346" s="54"/>
    </row>
    <row r="30347" spans="31:31">
      <c r="AE30347" s="54"/>
    </row>
    <row r="30348" spans="31:31">
      <c r="AE30348" s="54"/>
    </row>
    <row r="30349" spans="31:31">
      <c r="AE30349" s="54"/>
    </row>
    <row r="30350" spans="31:31">
      <c r="AE30350" s="54"/>
    </row>
    <row r="30351" spans="31:31">
      <c r="AE30351" s="54"/>
    </row>
    <row r="30352" spans="31:31">
      <c r="AE30352" s="54"/>
    </row>
    <row r="30353" spans="31:31">
      <c r="AE30353" s="54"/>
    </row>
    <row r="30354" spans="31:31">
      <c r="AE30354" s="54"/>
    </row>
    <row r="30355" spans="31:31">
      <c r="AE30355" s="54"/>
    </row>
    <row r="30356" spans="31:31">
      <c r="AE30356" s="54"/>
    </row>
    <row r="30357" spans="31:31">
      <c r="AE30357" s="54"/>
    </row>
    <row r="30358" spans="31:31">
      <c r="AE30358" s="54"/>
    </row>
    <row r="30359" spans="31:31">
      <c r="AE30359" s="54"/>
    </row>
    <row r="30360" spans="31:31">
      <c r="AE30360" s="54"/>
    </row>
    <row r="30361" spans="31:31">
      <c r="AE30361" s="54"/>
    </row>
    <row r="30362" spans="31:31">
      <c r="AE30362" s="54"/>
    </row>
    <row r="30363" spans="31:31">
      <c r="AE30363" s="54"/>
    </row>
    <row r="30364" spans="31:31">
      <c r="AE30364" s="54"/>
    </row>
    <row r="30365" spans="31:31">
      <c r="AE30365" s="54"/>
    </row>
    <row r="30366" spans="31:31">
      <c r="AE30366" s="54"/>
    </row>
    <row r="30367" spans="31:31">
      <c r="AE30367" s="54"/>
    </row>
    <row r="30368" spans="31:31">
      <c r="AE30368" s="54"/>
    </row>
    <row r="30369" spans="31:31">
      <c r="AE30369" s="54"/>
    </row>
    <row r="30370" spans="31:31">
      <c r="AE30370" s="54"/>
    </row>
    <row r="30371" spans="31:31">
      <c r="AE30371" s="54"/>
    </row>
    <row r="30372" spans="31:31">
      <c r="AE30372" s="54"/>
    </row>
    <row r="30373" spans="31:31">
      <c r="AE30373" s="54"/>
    </row>
    <row r="30374" spans="31:31">
      <c r="AE30374" s="54"/>
    </row>
    <row r="30375" spans="31:31">
      <c r="AE30375" s="54"/>
    </row>
    <row r="30376" spans="31:31">
      <c r="AE30376" s="54"/>
    </row>
    <row r="30377" spans="31:31">
      <c r="AE30377" s="54"/>
    </row>
    <row r="30378" spans="31:31">
      <c r="AE30378" s="54"/>
    </row>
    <row r="30379" spans="31:31">
      <c r="AE30379" s="54"/>
    </row>
    <row r="30380" spans="31:31">
      <c r="AE30380" s="54"/>
    </row>
    <row r="30381" spans="31:31">
      <c r="AE30381" s="54"/>
    </row>
    <row r="30382" spans="31:31">
      <c r="AE30382" s="54"/>
    </row>
    <row r="30383" spans="31:31">
      <c r="AE30383" s="54"/>
    </row>
    <row r="30384" spans="31:31">
      <c r="AE30384" s="54"/>
    </row>
    <row r="30385" spans="31:31">
      <c r="AE30385" s="54"/>
    </row>
    <row r="30386" spans="31:31">
      <c r="AE30386" s="54"/>
    </row>
    <row r="30387" spans="31:31">
      <c r="AE30387" s="54"/>
    </row>
    <row r="30388" spans="31:31">
      <c r="AE30388" s="54"/>
    </row>
    <row r="30389" spans="31:31">
      <c r="AE30389" s="54"/>
    </row>
    <row r="30390" spans="31:31">
      <c r="AE30390" s="54"/>
    </row>
    <row r="30391" spans="31:31">
      <c r="AE30391" s="54"/>
    </row>
    <row r="30392" spans="31:31">
      <c r="AE30392" s="54"/>
    </row>
    <row r="30393" spans="31:31">
      <c r="AE30393" s="54"/>
    </row>
    <row r="30394" spans="31:31">
      <c r="AE30394" s="54"/>
    </row>
    <row r="30395" spans="31:31">
      <c r="AE30395" s="54"/>
    </row>
    <row r="30396" spans="31:31">
      <c r="AE30396" s="54"/>
    </row>
    <row r="30397" spans="31:31">
      <c r="AE30397" s="54"/>
    </row>
    <row r="30398" spans="31:31">
      <c r="AE30398" s="54"/>
    </row>
    <row r="30399" spans="31:31">
      <c r="AE30399" s="54"/>
    </row>
    <row r="30400" spans="31:31">
      <c r="AE30400" s="54"/>
    </row>
    <row r="30401" spans="31:31">
      <c r="AE30401" s="54"/>
    </row>
    <row r="30402" spans="31:31">
      <c r="AE30402" s="54"/>
    </row>
    <row r="30403" spans="31:31">
      <c r="AE30403" s="54"/>
    </row>
    <row r="30404" spans="31:31">
      <c r="AE30404" s="54"/>
    </row>
    <row r="30405" spans="31:31">
      <c r="AE30405" s="54"/>
    </row>
    <row r="30406" spans="31:31">
      <c r="AE30406" s="54"/>
    </row>
    <row r="30407" spans="31:31">
      <c r="AE30407" s="54"/>
    </row>
    <row r="30408" spans="31:31">
      <c r="AE30408" s="54"/>
    </row>
    <row r="30409" spans="31:31">
      <c r="AE30409" s="54"/>
    </row>
    <row r="30410" spans="31:31">
      <c r="AE30410" s="54"/>
    </row>
    <row r="30411" spans="31:31">
      <c r="AE30411" s="54"/>
    </row>
    <row r="30412" spans="31:31">
      <c r="AE30412" s="54"/>
    </row>
    <row r="30413" spans="31:31">
      <c r="AE30413" s="54"/>
    </row>
    <row r="30414" spans="31:31">
      <c r="AE30414" s="54"/>
    </row>
    <row r="30415" spans="31:31">
      <c r="AE30415" s="54"/>
    </row>
    <row r="30416" spans="31:31">
      <c r="AE30416" s="54"/>
    </row>
    <row r="30417" spans="31:31">
      <c r="AE30417" s="54"/>
    </row>
    <row r="30418" spans="31:31">
      <c r="AE30418" s="54"/>
    </row>
    <row r="30419" spans="31:31">
      <c r="AE30419" s="54"/>
    </row>
    <row r="30420" spans="31:31">
      <c r="AE30420" s="54"/>
    </row>
    <row r="30421" spans="31:31">
      <c r="AE30421" s="54"/>
    </row>
    <row r="30422" spans="31:31">
      <c r="AE30422" s="54"/>
    </row>
    <row r="30423" spans="31:31">
      <c r="AE30423" s="54"/>
    </row>
    <row r="30424" spans="31:31">
      <c r="AE30424" s="54"/>
    </row>
    <row r="30425" spans="31:31">
      <c r="AE30425" s="54"/>
    </row>
    <row r="30426" spans="31:31">
      <c r="AE30426" s="54"/>
    </row>
    <row r="30427" spans="31:31">
      <c r="AE30427" s="54"/>
    </row>
    <row r="30428" spans="31:31">
      <c r="AE30428" s="54"/>
    </row>
    <row r="30429" spans="31:31">
      <c r="AE30429" s="54"/>
    </row>
    <row r="30430" spans="31:31">
      <c r="AE30430" s="54"/>
    </row>
    <row r="30431" spans="31:31">
      <c r="AE30431" s="54"/>
    </row>
    <row r="30432" spans="31:31">
      <c r="AE30432" s="54"/>
    </row>
    <row r="30433" spans="31:31">
      <c r="AE30433" s="54"/>
    </row>
    <row r="30434" spans="31:31">
      <c r="AE30434" s="54"/>
    </row>
    <row r="30435" spans="31:31">
      <c r="AE30435" s="54"/>
    </row>
    <row r="30436" spans="31:31">
      <c r="AE30436" s="54"/>
    </row>
    <row r="30437" spans="31:31">
      <c r="AE30437" s="54"/>
    </row>
    <row r="30438" spans="31:31">
      <c r="AE30438" s="54"/>
    </row>
    <row r="30439" spans="31:31">
      <c r="AE30439" s="54"/>
    </row>
    <row r="30440" spans="31:31">
      <c r="AE30440" s="54"/>
    </row>
    <row r="30441" spans="31:31">
      <c r="AE30441" s="54"/>
    </row>
    <row r="30442" spans="31:31">
      <c r="AE30442" s="54"/>
    </row>
    <row r="30443" spans="31:31">
      <c r="AE30443" s="54"/>
    </row>
    <row r="30444" spans="31:31">
      <c r="AE30444" s="54"/>
    </row>
    <row r="30445" spans="31:31">
      <c r="AE30445" s="54"/>
    </row>
    <row r="30446" spans="31:31">
      <c r="AE30446" s="54"/>
    </row>
    <row r="30447" spans="31:31">
      <c r="AE30447" s="54"/>
    </row>
    <row r="30448" spans="31:31">
      <c r="AE30448" s="54"/>
    </row>
    <row r="30449" spans="31:31">
      <c r="AE30449" s="54"/>
    </row>
    <row r="30450" spans="31:31">
      <c r="AE30450" s="54"/>
    </row>
    <row r="30451" spans="31:31">
      <c r="AE30451" s="54"/>
    </row>
    <row r="30452" spans="31:31">
      <c r="AE30452" s="54"/>
    </row>
    <row r="30453" spans="31:31">
      <c r="AE30453" s="54"/>
    </row>
    <row r="30454" spans="31:31">
      <c r="AE30454" s="54"/>
    </row>
    <row r="30455" spans="31:31">
      <c r="AE30455" s="54"/>
    </row>
    <row r="30456" spans="31:31">
      <c r="AE30456" s="54"/>
    </row>
    <row r="30457" spans="31:31">
      <c r="AE30457" s="54"/>
    </row>
    <row r="30458" spans="31:31">
      <c r="AE30458" s="54"/>
    </row>
    <row r="30459" spans="31:31">
      <c r="AE30459" s="54"/>
    </row>
    <row r="30460" spans="31:31">
      <c r="AE30460" s="54"/>
    </row>
    <row r="30461" spans="31:31">
      <c r="AE30461" s="54"/>
    </row>
    <row r="30462" spans="31:31">
      <c r="AE30462" s="54"/>
    </row>
    <row r="30463" spans="31:31">
      <c r="AE30463" s="54"/>
    </row>
    <row r="30464" spans="31:31">
      <c r="AE30464" s="54"/>
    </row>
    <row r="30465" spans="31:31">
      <c r="AE30465" s="54"/>
    </row>
    <row r="30466" spans="31:31">
      <c r="AE30466" s="54"/>
    </row>
    <row r="30467" spans="31:31">
      <c r="AE30467" s="54"/>
    </row>
    <row r="30468" spans="31:31">
      <c r="AE30468" s="54"/>
    </row>
    <row r="30469" spans="31:31">
      <c r="AE30469" s="54"/>
    </row>
    <row r="30470" spans="31:31">
      <c r="AE30470" s="54"/>
    </row>
    <row r="30471" spans="31:31">
      <c r="AE30471" s="54"/>
    </row>
    <row r="30472" spans="31:31">
      <c r="AE30472" s="54"/>
    </row>
    <row r="30473" spans="31:31">
      <c r="AE30473" s="54"/>
    </row>
    <row r="30474" spans="31:31">
      <c r="AE30474" s="54"/>
    </row>
    <row r="30475" spans="31:31">
      <c r="AE30475" s="54"/>
    </row>
    <row r="30476" spans="31:31">
      <c r="AE30476" s="54"/>
    </row>
    <row r="30477" spans="31:31">
      <c r="AE30477" s="54"/>
    </row>
    <row r="30478" spans="31:31">
      <c r="AE30478" s="54"/>
    </row>
    <row r="30479" spans="31:31">
      <c r="AE30479" s="54"/>
    </row>
    <row r="30480" spans="31:31">
      <c r="AE30480" s="54"/>
    </row>
    <row r="30481" spans="31:31">
      <c r="AE30481" s="54"/>
    </row>
    <row r="30482" spans="31:31">
      <c r="AE30482" s="54"/>
    </row>
    <row r="30483" spans="31:31">
      <c r="AE30483" s="54"/>
    </row>
    <row r="30484" spans="31:31">
      <c r="AE30484" s="54"/>
    </row>
    <row r="30485" spans="31:31">
      <c r="AE30485" s="54"/>
    </row>
    <row r="30486" spans="31:31">
      <c r="AE30486" s="54"/>
    </row>
    <row r="30487" spans="31:31">
      <c r="AE30487" s="54"/>
    </row>
    <row r="30488" spans="31:31">
      <c r="AE30488" s="54"/>
    </row>
    <row r="30489" spans="31:31">
      <c r="AE30489" s="54"/>
    </row>
    <row r="30490" spans="31:31">
      <c r="AE30490" s="54"/>
    </row>
    <row r="30491" spans="31:31">
      <c r="AE30491" s="54"/>
    </row>
    <row r="30492" spans="31:31">
      <c r="AE30492" s="54"/>
    </row>
    <row r="30493" spans="31:31">
      <c r="AE30493" s="54"/>
    </row>
    <row r="30494" spans="31:31">
      <c r="AE30494" s="54"/>
    </row>
    <row r="30495" spans="31:31">
      <c r="AE30495" s="54"/>
    </row>
    <row r="30496" spans="31:31">
      <c r="AE30496" s="54"/>
    </row>
    <row r="30497" spans="31:31">
      <c r="AE30497" s="54"/>
    </row>
    <row r="30498" spans="31:31">
      <c r="AE30498" s="54"/>
    </row>
    <row r="30499" spans="31:31">
      <c r="AE30499" s="54"/>
    </row>
    <row r="30500" spans="31:31">
      <c r="AE30500" s="54"/>
    </row>
    <row r="30501" spans="31:31">
      <c r="AE30501" s="54"/>
    </row>
    <row r="30502" spans="31:31">
      <c r="AE30502" s="54"/>
    </row>
    <row r="30503" spans="31:31">
      <c r="AE30503" s="54"/>
    </row>
    <row r="30504" spans="31:31">
      <c r="AE30504" s="54"/>
    </row>
    <row r="30505" spans="31:31">
      <c r="AE30505" s="54"/>
    </row>
    <row r="30506" spans="31:31">
      <c r="AE30506" s="54"/>
    </row>
    <row r="30507" spans="31:31">
      <c r="AE30507" s="54"/>
    </row>
    <row r="30508" spans="31:31">
      <c r="AE30508" s="54"/>
    </row>
    <row r="30509" spans="31:31">
      <c r="AE30509" s="54"/>
    </row>
    <row r="30510" spans="31:31">
      <c r="AE30510" s="54"/>
    </row>
    <row r="30511" spans="31:31">
      <c r="AE30511" s="54"/>
    </row>
    <row r="30512" spans="31:31">
      <c r="AE30512" s="54"/>
    </row>
    <row r="30513" spans="31:31">
      <c r="AE30513" s="54"/>
    </row>
    <row r="30514" spans="31:31">
      <c r="AE30514" s="54"/>
    </row>
    <row r="30515" spans="31:31">
      <c r="AE30515" s="54"/>
    </row>
    <row r="30516" spans="31:31">
      <c r="AE30516" s="54"/>
    </row>
    <row r="30517" spans="31:31">
      <c r="AE30517" s="54"/>
    </row>
    <row r="30518" spans="31:31">
      <c r="AE30518" s="54"/>
    </row>
    <row r="30519" spans="31:31">
      <c r="AE30519" s="54"/>
    </row>
    <row r="30520" spans="31:31">
      <c r="AE30520" s="54"/>
    </row>
    <row r="30521" spans="31:31">
      <c r="AE30521" s="54"/>
    </row>
    <row r="30522" spans="31:31">
      <c r="AE30522" s="54"/>
    </row>
    <row r="30523" spans="31:31">
      <c r="AE30523" s="54"/>
    </row>
    <row r="30524" spans="31:31">
      <c r="AE30524" s="54"/>
    </row>
    <row r="30525" spans="31:31">
      <c r="AE30525" s="54"/>
    </row>
    <row r="30526" spans="31:31">
      <c r="AE30526" s="54"/>
    </row>
    <row r="30527" spans="31:31">
      <c r="AE30527" s="54"/>
    </row>
    <row r="30528" spans="31:31">
      <c r="AE30528" s="54"/>
    </row>
    <row r="30529" spans="31:31">
      <c r="AE30529" s="54"/>
    </row>
    <row r="30530" spans="31:31">
      <c r="AE30530" s="54"/>
    </row>
    <row r="30531" spans="31:31">
      <c r="AE30531" s="54"/>
    </row>
    <row r="30532" spans="31:31">
      <c r="AE30532" s="54"/>
    </row>
    <row r="30533" spans="31:31">
      <c r="AE30533" s="54"/>
    </row>
    <row r="30534" spans="31:31">
      <c r="AE30534" s="54"/>
    </row>
    <row r="30535" spans="31:31">
      <c r="AE30535" s="54"/>
    </row>
    <row r="30536" spans="31:31">
      <c r="AE30536" s="54"/>
    </row>
    <row r="30537" spans="31:31">
      <c r="AE30537" s="54"/>
    </row>
    <row r="30538" spans="31:31">
      <c r="AE30538" s="54"/>
    </row>
    <row r="30539" spans="31:31">
      <c r="AE30539" s="54"/>
    </row>
    <row r="30540" spans="31:31">
      <c r="AE30540" s="54"/>
    </row>
    <row r="30541" spans="31:31">
      <c r="AE30541" s="54"/>
    </row>
    <row r="30542" spans="31:31">
      <c r="AE30542" s="54"/>
    </row>
    <row r="30543" spans="31:31">
      <c r="AE30543" s="54"/>
    </row>
    <row r="30544" spans="31:31">
      <c r="AE30544" s="54"/>
    </row>
    <row r="30545" spans="31:31">
      <c r="AE30545" s="54"/>
    </row>
    <row r="30546" spans="31:31">
      <c r="AE30546" s="54"/>
    </row>
    <row r="30547" spans="31:31">
      <c r="AE30547" s="54"/>
    </row>
    <row r="30548" spans="31:31">
      <c r="AE30548" s="54"/>
    </row>
    <row r="30549" spans="31:31">
      <c r="AE30549" s="54"/>
    </row>
    <row r="30550" spans="31:31">
      <c r="AE30550" s="54"/>
    </row>
    <row r="30551" spans="31:31">
      <c r="AE30551" s="54"/>
    </row>
    <row r="30552" spans="31:31">
      <c r="AE30552" s="54"/>
    </row>
    <row r="30553" spans="31:31">
      <c r="AE30553" s="54"/>
    </row>
    <row r="30554" spans="31:31">
      <c r="AE30554" s="54"/>
    </row>
    <row r="30555" spans="31:31">
      <c r="AE30555" s="54"/>
    </row>
    <row r="30556" spans="31:31">
      <c r="AE30556" s="54"/>
    </row>
    <row r="30557" spans="31:31">
      <c r="AE30557" s="54"/>
    </row>
    <row r="30558" spans="31:31">
      <c r="AE30558" s="54"/>
    </row>
    <row r="30559" spans="31:31">
      <c r="AE30559" s="54"/>
    </row>
    <row r="30560" spans="31:31">
      <c r="AE30560" s="54"/>
    </row>
    <row r="30561" spans="31:31">
      <c r="AE30561" s="54"/>
    </row>
    <row r="30562" spans="31:31">
      <c r="AE30562" s="54"/>
    </row>
    <row r="30563" spans="31:31">
      <c r="AE30563" s="54"/>
    </row>
    <row r="30564" spans="31:31">
      <c r="AE30564" s="54"/>
    </row>
    <row r="30565" spans="31:31">
      <c r="AE30565" s="54"/>
    </row>
    <row r="30566" spans="31:31">
      <c r="AE30566" s="54"/>
    </row>
    <row r="30567" spans="31:31">
      <c r="AE30567" s="54"/>
    </row>
    <row r="30568" spans="31:31">
      <c r="AE30568" s="54"/>
    </row>
    <row r="30569" spans="31:31">
      <c r="AE30569" s="54"/>
    </row>
    <row r="30570" spans="31:31">
      <c r="AE30570" s="54"/>
    </row>
    <row r="30571" spans="31:31">
      <c r="AE30571" s="54"/>
    </row>
    <row r="30572" spans="31:31">
      <c r="AE30572" s="54"/>
    </row>
    <row r="30573" spans="31:31">
      <c r="AE30573" s="54"/>
    </row>
    <row r="30574" spans="31:31">
      <c r="AE30574" s="54"/>
    </row>
    <row r="30575" spans="31:31">
      <c r="AE30575" s="54"/>
    </row>
    <row r="30576" spans="31:31">
      <c r="AE30576" s="54"/>
    </row>
    <row r="30577" spans="31:31">
      <c r="AE30577" s="54"/>
    </row>
    <row r="30578" spans="31:31">
      <c r="AE30578" s="54"/>
    </row>
    <row r="30579" spans="31:31">
      <c r="AE30579" s="54"/>
    </row>
    <row r="30580" spans="31:31">
      <c r="AE30580" s="54"/>
    </row>
    <row r="30581" spans="31:31">
      <c r="AE30581" s="54"/>
    </row>
    <row r="30582" spans="31:31">
      <c r="AE30582" s="54"/>
    </row>
    <row r="30583" spans="31:31">
      <c r="AE30583" s="54"/>
    </row>
    <row r="30584" spans="31:31">
      <c r="AE30584" s="54"/>
    </row>
    <row r="30585" spans="31:31">
      <c r="AE30585" s="54"/>
    </row>
    <row r="30586" spans="31:31">
      <c r="AE30586" s="54"/>
    </row>
    <row r="30587" spans="31:31">
      <c r="AE30587" s="54"/>
    </row>
    <row r="30588" spans="31:31">
      <c r="AE30588" s="54"/>
    </row>
    <row r="30589" spans="31:31">
      <c r="AE30589" s="54"/>
    </row>
    <row r="30590" spans="31:31">
      <c r="AE30590" s="54"/>
    </row>
    <row r="30591" spans="31:31">
      <c r="AE30591" s="54"/>
    </row>
    <row r="30592" spans="31:31">
      <c r="AE30592" s="54"/>
    </row>
    <row r="30593" spans="31:31">
      <c r="AE30593" s="54"/>
    </row>
    <row r="30594" spans="31:31">
      <c r="AE30594" s="54"/>
    </row>
    <row r="30595" spans="31:31">
      <c r="AE30595" s="54"/>
    </row>
    <row r="30596" spans="31:31">
      <c r="AE30596" s="54"/>
    </row>
    <row r="30597" spans="31:31">
      <c r="AE30597" s="54"/>
    </row>
    <row r="30598" spans="31:31">
      <c r="AE30598" s="54"/>
    </row>
    <row r="30599" spans="31:31">
      <c r="AE30599" s="54"/>
    </row>
    <row r="30600" spans="31:31">
      <c r="AE30600" s="54"/>
    </row>
    <row r="30601" spans="31:31">
      <c r="AE30601" s="54"/>
    </row>
    <row r="30602" spans="31:31">
      <c r="AE30602" s="54"/>
    </row>
    <row r="30603" spans="31:31">
      <c r="AE30603" s="54"/>
    </row>
    <row r="30604" spans="31:31">
      <c r="AE30604" s="54"/>
    </row>
    <row r="30605" spans="31:31">
      <c r="AE30605" s="54"/>
    </row>
    <row r="30606" spans="31:31">
      <c r="AE30606" s="54"/>
    </row>
    <row r="30607" spans="31:31">
      <c r="AE30607" s="54"/>
    </row>
    <row r="30608" spans="31:31">
      <c r="AE30608" s="54"/>
    </row>
    <row r="30609" spans="31:31">
      <c r="AE30609" s="54"/>
    </row>
    <row r="30610" spans="31:31">
      <c r="AE30610" s="54"/>
    </row>
    <row r="30611" spans="31:31">
      <c r="AE30611" s="54"/>
    </row>
    <row r="30612" spans="31:31">
      <c r="AE30612" s="54"/>
    </row>
    <row r="30613" spans="31:31">
      <c r="AE30613" s="54"/>
    </row>
    <row r="30614" spans="31:31">
      <c r="AE30614" s="54"/>
    </row>
    <row r="30615" spans="31:31">
      <c r="AE30615" s="54"/>
    </row>
    <row r="30616" spans="31:31">
      <c r="AE30616" s="54"/>
    </row>
    <row r="30617" spans="31:31">
      <c r="AE30617" s="54"/>
    </row>
    <row r="30618" spans="31:31">
      <c r="AE30618" s="54"/>
    </row>
    <row r="30619" spans="31:31">
      <c r="AE30619" s="54"/>
    </row>
    <row r="30620" spans="31:31">
      <c r="AE30620" s="54"/>
    </row>
    <row r="30621" spans="31:31">
      <c r="AE30621" s="54"/>
    </row>
    <row r="30622" spans="31:31">
      <c r="AE30622" s="54"/>
    </row>
    <row r="30623" spans="31:31">
      <c r="AE30623" s="54"/>
    </row>
    <row r="30624" spans="31:31">
      <c r="AE30624" s="54"/>
    </row>
    <row r="30625" spans="31:31">
      <c r="AE30625" s="54"/>
    </row>
    <row r="30626" spans="31:31">
      <c r="AE30626" s="54"/>
    </row>
    <row r="30627" spans="31:31">
      <c r="AE30627" s="54"/>
    </row>
    <row r="30628" spans="31:31">
      <c r="AE30628" s="54"/>
    </row>
    <row r="30629" spans="31:31">
      <c r="AE30629" s="54"/>
    </row>
    <row r="30630" spans="31:31">
      <c r="AE30630" s="54"/>
    </row>
    <row r="30631" spans="31:31">
      <c r="AE30631" s="54"/>
    </row>
    <row r="30632" spans="31:31">
      <c r="AE30632" s="54"/>
    </row>
    <row r="30633" spans="31:31">
      <c r="AE30633" s="54"/>
    </row>
    <row r="30634" spans="31:31">
      <c r="AE30634" s="54"/>
    </row>
    <row r="30635" spans="31:31">
      <c r="AE30635" s="54"/>
    </row>
    <row r="30636" spans="31:31">
      <c r="AE30636" s="54"/>
    </row>
    <row r="30637" spans="31:31">
      <c r="AE30637" s="54"/>
    </row>
    <row r="30638" spans="31:31">
      <c r="AE30638" s="54"/>
    </row>
    <row r="30639" spans="31:31">
      <c r="AE30639" s="54"/>
    </row>
    <row r="30640" spans="31:31">
      <c r="AE30640" s="54"/>
    </row>
    <row r="30641" spans="31:31">
      <c r="AE30641" s="54"/>
    </row>
    <row r="30642" spans="31:31">
      <c r="AE30642" s="54"/>
    </row>
    <row r="30643" spans="31:31">
      <c r="AE30643" s="54"/>
    </row>
    <row r="30644" spans="31:31">
      <c r="AE30644" s="54"/>
    </row>
    <row r="30645" spans="31:31">
      <c r="AE30645" s="54"/>
    </row>
    <row r="30646" spans="31:31">
      <c r="AE30646" s="54"/>
    </row>
    <row r="30647" spans="31:31">
      <c r="AE30647" s="54"/>
    </row>
    <row r="30648" spans="31:31">
      <c r="AE30648" s="54"/>
    </row>
    <row r="30649" spans="31:31">
      <c r="AE30649" s="54"/>
    </row>
    <row r="30650" spans="31:31">
      <c r="AE30650" s="54"/>
    </row>
    <row r="30651" spans="31:31">
      <c r="AE30651" s="54"/>
    </row>
    <row r="30652" spans="31:31">
      <c r="AE30652" s="54"/>
    </row>
    <row r="30653" spans="31:31">
      <c r="AE30653" s="54"/>
    </row>
    <row r="30654" spans="31:31">
      <c r="AE30654" s="54"/>
    </row>
    <row r="30655" spans="31:31">
      <c r="AE30655" s="54"/>
    </row>
    <row r="30656" spans="31:31">
      <c r="AE30656" s="54"/>
    </row>
    <row r="30657" spans="31:31">
      <c r="AE30657" s="54"/>
    </row>
    <row r="30658" spans="31:31">
      <c r="AE30658" s="54"/>
    </row>
    <row r="30659" spans="31:31">
      <c r="AE30659" s="54"/>
    </row>
    <row r="30660" spans="31:31">
      <c r="AE30660" s="54"/>
    </row>
    <row r="30661" spans="31:31">
      <c r="AE30661" s="54"/>
    </row>
    <row r="30662" spans="31:31">
      <c r="AE30662" s="54"/>
    </row>
    <row r="30663" spans="31:31">
      <c r="AE30663" s="54"/>
    </row>
    <row r="30664" spans="31:31">
      <c r="AE30664" s="54"/>
    </row>
    <row r="30665" spans="31:31">
      <c r="AE30665" s="54"/>
    </row>
    <row r="30666" spans="31:31">
      <c r="AE30666" s="54"/>
    </row>
    <row r="30667" spans="31:31">
      <c r="AE30667" s="54"/>
    </row>
    <row r="30668" spans="31:31">
      <c r="AE30668" s="54"/>
    </row>
    <row r="30669" spans="31:31">
      <c r="AE30669" s="54"/>
    </row>
    <row r="30670" spans="31:31">
      <c r="AE30670" s="54"/>
    </row>
    <row r="30671" spans="31:31">
      <c r="AE30671" s="54"/>
    </row>
    <row r="30672" spans="31:31">
      <c r="AE30672" s="54"/>
    </row>
    <row r="30673" spans="31:31">
      <c r="AE30673" s="54"/>
    </row>
    <row r="30674" spans="31:31">
      <c r="AE30674" s="54"/>
    </row>
    <row r="30675" spans="31:31">
      <c r="AE30675" s="54"/>
    </row>
    <row r="30676" spans="31:31">
      <c r="AE30676" s="54"/>
    </row>
    <row r="30677" spans="31:31">
      <c r="AE30677" s="54"/>
    </row>
    <row r="30678" spans="31:31">
      <c r="AE30678" s="54"/>
    </row>
    <row r="30679" spans="31:31">
      <c r="AE30679" s="54"/>
    </row>
    <row r="30680" spans="31:31">
      <c r="AE30680" s="54"/>
    </row>
    <row r="30681" spans="31:31">
      <c r="AE30681" s="54"/>
    </row>
    <row r="30682" spans="31:31">
      <c r="AE30682" s="54"/>
    </row>
    <row r="30683" spans="31:31">
      <c r="AE30683" s="54"/>
    </row>
    <row r="30684" spans="31:31">
      <c r="AE30684" s="54"/>
    </row>
    <row r="30685" spans="31:31">
      <c r="AE30685" s="54"/>
    </row>
    <row r="30686" spans="31:31">
      <c r="AE30686" s="54"/>
    </row>
    <row r="30687" spans="31:31">
      <c r="AE30687" s="54"/>
    </row>
    <row r="30688" spans="31:31">
      <c r="AE30688" s="54"/>
    </row>
    <row r="30689" spans="31:31">
      <c r="AE30689" s="54"/>
    </row>
    <row r="30690" spans="31:31">
      <c r="AE30690" s="54"/>
    </row>
    <row r="30691" spans="31:31">
      <c r="AE30691" s="54"/>
    </row>
    <row r="30692" spans="31:31">
      <c r="AE30692" s="54"/>
    </row>
    <row r="30693" spans="31:31">
      <c r="AE30693" s="54"/>
    </row>
    <row r="30694" spans="31:31">
      <c r="AE30694" s="54"/>
    </row>
    <row r="30695" spans="31:31">
      <c r="AE30695" s="54"/>
    </row>
    <row r="30696" spans="31:31">
      <c r="AE30696" s="54"/>
    </row>
    <row r="30697" spans="31:31">
      <c r="AE30697" s="54"/>
    </row>
    <row r="30698" spans="31:31">
      <c r="AE30698" s="54"/>
    </row>
    <row r="30699" spans="31:31">
      <c r="AE30699" s="54"/>
    </row>
    <row r="30700" spans="31:31">
      <c r="AE30700" s="54"/>
    </row>
    <row r="30701" spans="31:31">
      <c r="AE30701" s="54"/>
    </row>
    <row r="30702" spans="31:31">
      <c r="AE30702" s="54"/>
    </row>
    <row r="30703" spans="31:31">
      <c r="AE30703" s="54"/>
    </row>
    <row r="30704" spans="31:31">
      <c r="AE30704" s="54"/>
    </row>
    <row r="30705" spans="31:31">
      <c r="AE30705" s="54"/>
    </row>
    <row r="30706" spans="31:31">
      <c r="AE30706" s="54"/>
    </row>
    <row r="30707" spans="31:31">
      <c r="AE30707" s="54"/>
    </row>
    <row r="30708" spans="31:31">
      <c r="AE30708" s="54"/>
    </row>
    <row r="30709" spans="31:31">
      <c r="AE30709" s="54"/>
    </row>
    <row r="30710" spans="31:31">
      <c r="AE30710" s="54"/>
    </row>
    <row r="30711" spans="31:31">
      <c r="AE30711" s="54"/>
    </row>
    <row r="30712" spans="31:31">
      <c r="AE30712" s="54"/>
    </row>
    <row r="30713" spans="31:31">
      <c r="AE30713" s="54"/>
    </row>
    <row r="30714" spans="31:31">
      <c r="AE30714" s="54"/>
    </row>
    <row r="30715" spans="31:31">
      <c r="AE30715" s="54"/>
    </row>
    <row r="30716" spans="31:31">
      <c r="AE30716" s="54"/>
    </row>
    <row r="30717" spans="31:31">
      <c r="AE30717" s="54"/>
    </row>
    <row r="30718" spans="31:31">
      <c r="AE30718" s="54"/>
    </row>
    <row r="30719" spans="31:31">
      <c r="AE30719" s="54"/>
    </row>
    <row r="30720" spans="31:31">
      <c r="AE30720" s="54"/>
    </row>
    <row r="30721" spans="31:31">
      <c r="AE30721" s="54"/>
    </row>
    <row r="30722" spans="31:31">
      <c r="AE30722" s="54"/>
    </row>
    <row r="30723" spans="31:31">
      <c r="AE30723" s="54"/>
    </row>
    <row r="30724" spans="31:31">
      <c r="AE30724" s="54"/>
    </row>
    <row r="30725" spans="31:31">
      <c r="AE30725" s="54"/>
    </row>
    <row r="30726" spans="31:31">
      <c r="AE30726" s="54"/>
    </row>
    <row r="30727" spans="31:31">
      <c r="AE30727" s="54"/>
    </row>
    <row r="30728" spans="31:31">
      <c r="AE30728" s="54"/>
    </row>
    <row r="30729" spans="31:31">
      <c r="AE30729" s="54"/>
    </row>
    <row r="30730" spans="31:31">
      <c r="AE30730" s="54"/>
    </row>
    <row r="30731" spans="31:31">
      <c r="AE30731" s="54"/>
    </row>
    <row r="30732" spans="31:31">
      <c r="AE30732" s="54"/>
    </row>
    <row r="30733" spans="31:31">
      <c r="AE30733" s="54"/>
    </row>
    <row r="30734" spans="31:31">
      <c r="AE30734" s="54"/>
    </row>
    <row r="30735" spans="31:31">
      <c r="AE30735" s="54"/>
    </row>
    <row r="30736" spans="31:31">
      <c r="AE30736" s="54"/>
    </row>
    <row r="30737" spans="31:31">
      <c r="AE30737" s="54"/>
    </row>
    <row r="30738" spans="31:31">
      <c r="AE30738" s="54"/>
    </row>
    <row r="30739" spans="31:31">
      <c r="AE30739" s="54"/>
    </row>
    <row r="30740" spans="31:31">
      <c r="AE30740" s="54"/>
    </row>
    <row r="30741" spans="31:31">
      <c r="AE30741" s="54"/>
    </row>
    <row r="30742" spans="31:31">
      <c r="AE30742" s="54"/>
    </row>
    <row r="30743" spans="31:31">
      <c r="AE30743" s="54"/>
    </row>
    <row r="30744" spans="31:31">
      <c r="AE30744" s="54"/>
    </row>
    <row r="30745" spans="31:31">
      <c r="AE30745" s="54"/>
    </row>
    <row r="30746" spans="31:31">
      <c r="AE30746" s="54"/>
    </row>
    <row r="30747" spans="31:31">
      <c r="AE30747" s="54"/>
    </row>
    <row r="30748" spans="31:31">
      <c r="AE30748" s="54"/>
    </row>
    <row r="30749" spans="31:31">
      <c r="AE30749" s="54"/>
    </row>
    <row r="30750" spans="31:31">
      <c r="AE30750" s="54"/>
    </row>
    <row r="30751" spans="31:31">
      <c r="AE30751" s="54"/>
    </row>
    <row r="30752" spans="31:31">
      <c r="AE30752" s="54"/>
    </row>
    <row r="30753" spans="31:31">
      <c r="AE30753" s="54"/>
    </row>
    <row r="30754" spans="31:31">
      <c r="AE30754" s="54"/>
    </row>
    <row r="30755" spans="31:31">
      <c r="AE30755" s="54"/>
    </row>
    <row r="30756" spans="31:31">
      <c r="AE30756" s="54"/>
    </row>
    <row r="30757" spans="31:31">
      <c r="AE30757" s="54"/>
    </row>
    <row r="30758" spans="31:31">
      <c r="AE30758" s="54"/>
    </row>
    <row r="30759" spans="31:31">
      <c r="AE30759" s="54"/>
    </row>
    <row r="30760" spans="31:31">
      <c r="AE30760" s="54"/>
    </row>
    <row r="30761" spans="31:31">
      <c r="AE30761" s="54"/>
    </row>
    <row r="30762" spans="31:31">
      <c r="AE30762" s="54"/>
    </row>
    <row r="30763" spans="31:31">
      <c r="AE30763" s="54"/>
    </row>
    <row r="30764" spans="31:31">
      <c r="AE30764" s="54"/>
    </row>
    <row r="30765" spans="31:31">
      <c r="AE30765" s="54"/>
    </row>
    <row r="30766" spans="31:31">
      <c r="AE30766" s="54"/>
    </row>
    <row r="30767" spans="31:31">
      <c r="AE30767" s="54"/>
    </row>
    <row r="30768" spans="31:31">
      <c r="AE30768" s="54"/>
    </row>
    <row r="30769" spans="31:31">
      <c r="AE30769" s="54"/>
    </row>
    <row r="30770" spans="31:31">
      <c r="AE30770" s="54"/>
    </row>
    <row r="30771" spans="31:31">
      <c r="AE30771" s="54"/>
    </row>
    <row r="30772" spans="31:31">
      <c r="AE30772" s="54"/>
    </row>
    <row r="30773" spans="31:31">
      <c r="AE30773" s="54"/>
    </row>
    <row r="30774" spans="31:31">
      <c r="AE30774" s="54"/>
    </row>
    <row r="30775" spans="31:31">
      <c r="AE30775" s="54"/>
    </row>
    <row r="30776" spans="31:31">
      <c r="AE30776" s="54"/>
    </row>
    <row r="30777" spans="31:31">
      <c r="AE30777" s="54"/>
    </row>
    <row r="30778" spans="31:31">
      <c r="AE30778" s="54"/>
    </row>
    <row r="30779" spans="31:31">
      <c r="AE30779" s="54"/>
    </row>
    <row r="30780" spans="31:31">
      <c r="AE30780" s="54"/>
    </row>
    <row r="30781" spans="31:31">
      <c r="AE30781" s="54"/>
    </row>
    <row r="30782" spans="31:31">
      <c r="AE30782" s="54"/>
    </row>
    <row r="30783" spans="31:31">
      <c r="AE30783" s="54"/>
    </row>
    <row r="30784" spans="31:31">
      <c r="AE30784" s="54"/>
    </row>
    <row r="30785" spans="31:31">
      <c r="AE30785" s="54"/>
    </row>
    <row r="30786" spans="31:31">
      <c r="AE30786" s="54"/>
    </row>
    <row r="30787" spans="31:31">
      <c r="AE30787" s="54"/>
    </row>
    <row r="30788" spans="31:31">
      <c r="AE30788" s="54"/>
    </row>
    <row r="30789" spans="31:31">
      <c r="AE30789" s="54"/>
    </row>
    <row r="30790" spans="31:31">
      <c r="AE30790" s="54"/>
    </row>
    <row r="30791" spans="31:31">
      <c r="AE30791" s="54"/>
    </row>
    <row r="30792" spans="31:31">
      <c r="AE30792" s="54"/>
    </row>
    <row r="30793" spans="31:31">
      <c r="AE30793" s="54"/>
    </row>
    <row r="30794" spans="31:31">
      <c r="AE30794" s="54"/>
    </row>
    <row r="30795" spans="31:31">
      <c r="AE30795" s="54"/>
    </row>
    <row r="30796" spans="31:31">
      <c r="AE30796" s="54"/>
    </row>
    <row r="30797" spans="31:31">
      <c r="AE30797" s="54"/>
    </row>
    <row r="30798" spans="31:31">
      <c r="AE30798" s="54"/>
    </row>
    <row r="30799" spans="31:31">
      <c r="AE30799" s="54"/>
    </row>
    <row r="30800" spans="31:31">
      <c r="AE30800" s="54"/>
    </row>
    <row r="30801" spans="31:31">
      <c r="AE30801" s="54"/>
    </row>
    <row r="30802" spans="31:31">
      <c r="AE30802" s="54"/>
    </row>
    <row r="30803" spans="31:31">
      <c r="AE30803" s="54"/>
    </row>
    <row r="30804" spans="31:31">
      <c r="AE30804" s="54"/>
    </row>
    <row r="30805" spans="31:31">
      <c r="AE30805" s="54"/>
    </row>
    <row r="30806" spans="31:31">
      <c r="AE30806" s="54"/>
    </row>
    <row r="30807" spans="31:31">
      <c r="AE30807" s="54"/>
    </row>
    <row r="30808" spans="31:31">
      <c r="AE30808" s="54"/>
    </row>
    <row r="30809" spans="31:31">
      <c r="AE30809" s="54"/>
    </row>
    <row r="30810" spans="31:31">
      <c r="AE30810" s="54"/>
    </row>
    <row r="30811" spans="31:31">
      <c r="AE30811" s="54"/>
    </row>
    <row r="30812" spans="31:31">
      <c r="AE30812" s="54"/>
    </row>
    <row r="30813" spans="31:31">
      <c r="AE30813" s="54"/>
    </row>
    <row r="30814" spans="31:31">
      <c r="AE30814" s="54"/>
    </row>
    <row r="30815" spans="31:31">
      <c r="AE30815" s="54"/>
    </row>
    <row r="30816" spans="31:31">
      <c r="AE30816" s="54"/>
    </row>
    <row r="30817" spans="31:31">
      <c r="AE30817" s="54"/>
    </row>
    <row r="30818" spans="31:31">
      <c r="AE30818" s="54"/>
    </row>
    <row r="30819" spans="31:31">
      <c r="AE30819" s="54"/>
    </row>
    <row r="30820" spans="31:31">
      <c r="AE30820" s="54"/>
    </row>
    <row r="30821" spans="31:31">
      <c r="AE30821" s="54"/>
    </row>
    <row r="30822" spans="31:31">
      <c r="AE30822" s="54"/>
    </row>
    <row r="30823" spans="31:31">
      <c r="AE30823" s="54"/>
    </row>
    <row r="30824" spans="31:31">
      <c r="AE30824" s="54"/>
    </row>
    <row r="30825" spans="31:31">
      <c r="AE30825" s="54"/>
    </row>
    <row r="30826" spans="31:31">
      <c r="AE30826" s="54"/>
    </row>
    <row r="30827" spans="31:31">
      <c r="AE30827" s="54"/>
    </row>
    <row r="30828" spans="31:31">
      <c r="AE30828" s="54"/>
    </row>
    <row r="30829" spans="31:31">
      <c r="AE30829" s="54"/>
    </row>
    <row r="30830" spans="31:31">
      <c r="AE30830" s="54"/>
    </row>
    <row r="30831" spans="31:31">
      <c r="AE30831" s="54"/>
    </row>
    <row r="30832" spans="31:31">
      <c r="AE30832" s="54"/>
    </row>
    <row r="30833" spans="31:31">
      <c r="AE30833" s="54"/>
    </row>
    <row r="30834" spans="31:31">
      <c r="AE30834" s="54"/>
    </row>
    <row r="30835" spans="31:31">
      <c r="AE30835" s="54"/>
    </row>
    <row r="30836" spans="31:31">
      <c r="AE30836" s="54"/>
    </row>
    <row r="30837" spans="31:31">
      <c r="AE30837" s="54"/>
    </row>
    <row r="30838" spans="31:31">
      <c r="AE30838" s="54"/>
    </row>
    <row r="30839" spans="31:31">
      <c r="AE30839" s="54"/>
    </row>
    <row r="30840" spans="31:31">
      <c r="AE30840" s="54"/>
    </row>
    <row r="30841" spans="31:31">
      <c r="AE30841" s="54"/>
    </row>
    <row r="30842" spans="31:31">
      <c r="AE30842" s="54"/>
    </row>
    <row r="30843" spans="31:31">
      <c r="AE30843" s="54"/>
    </row>
    <row r="30844" spans="31:31">
      <c r="AE30844" s="54"/>
    </row>
    <row r="30845" spans="31:31">
      <c r="AE30845" s="54"/>
    </row>
    <row r="30846" spans="31:31">
      <c r="AE30846" s="54"/>
    </row>
    <row r="30847" spans="31:31">
      <c r="AE30847" s="54"/>
    </row>
    <row r="30848" spans="31:31">
      <c r="AE30848" s="54"/>
    </row>
    <row r="30849" spans="31:31">
      <c r="AE30849" s="54"/>
    </row>
    <row r="30850" spans="31:31">
      <c r="AE30850" s="54"/>
    </row>
    <row r="30851" spans="31:31">
      <c r="AE30851" s="54"/>
    </row>
    <row r="30852" spans="31:31">
      <c r="AE30852" s="54"/>
    </row>
    <row r="30853" spans="31:31">
      <c r="AE30853" s="54"/>
    </row>
    <row r="30854" spans="31:31">
      <c r="AE30854" s="54"/>
    </row>
    <row r="30855" spans="31:31">
      <c r="AE30855" s="54"/>
    </row>
    <row r="30856" spans="31:31">
      <c r="AE30856" s="54"/>
    </row>
    <row r="30857" spans="31:31">
      <c r="AE30857" s="54"/>
    </row>
    <row r="30858" spans="31:31">
      <c r="AE30858" s="54"/>
    </row>
    <row r="30859" spans="31:31">
      <c r="AE30859" s="54"/>
    </row>
    <row r="30860" spans="31:31">
      <c r="AE30860" s="54"/>
    </row>
    <row r="30861" spans="31:31">
      <c r="AE30861" s="54"/>
    </row>
    <row r="30862" spans="31:31">
      <c r="AE30862" s="54"/>
    </row>
    <row r="30863" spans="31:31">
      <c r="AE30863" s="54"/>
    </row>
    <row r="30864" spans="31:31">
      <c r="AE30864" s="54"/>
    </row>
    <row r="30865" spans="31:31">
      <c r="AE30865" s="54"/>
    </row>
    <row r="30866" spans="31:31">
      <c r="AE30866" s="54"/>
    </row>
    <row r="30867" spans="31:31">
      <c r="AE30867" s="54"/>
    </row>
    <row r="30868" spans="31:31">
      <c r="AE30868" s="54"/>
    </row>
    <row r="30869" spans="31:31">
      <c r="AE30869" s="54"/>
    </row>
    <row r="30870" spans="31:31">
      <c r="AE30870" s="54"/>
    </row>
    <row r="30871" spans="31:31">
      <c r="AE30871" s="54"/>
    </row>
    <row r="30872" spans="31:31">
      <c r="AE30872" s="54"/>
    </row>
    <row r="30873" spans="31:31">
      <c r="AE30873" s="54"/>
    </row>
    <row r="30874" spans="31:31">
      <c r="AE30874" s="54"/>
    </row>
    <row r="30875" spans="31:31">
      <c r="AE30875" s="54"/>
    </row>
    <row r="30876" spans="31:31">
      <c r="AE30876" s="54"/>
    </row>
    <row r="30877" spans="31:31">
      <c r="AE30877" s="54"/>
    </row>
    <row r="30878" spans="31:31">
      <c r="AE30878" s="54"/>
    </row>
    <row r="30879" spans="31:31">
      <c r="AE30879" s="54"/>
    </row>
    <row r="30880" spans="31:31">
      <c r="AE30880" s="54"/>
    </row>
    <row r="30881" spans="31:31">
      <c r="AE30881" s="54"/>
    </row>
    <row r="30882" spans="31:31">
      <c r="AE30882" s="54"/>
    </row>
    <row r="30883" spans="31:31">
      <c r="AE30883" s="54"/>
    </row>
    <row r="30884" spans="31:31">
      <c r="AE30884" s="54"/>
    </row>
    <row r="30885" spans="31:31">
      <c r="AE30885" s="54"/>
    </row>
    <row r="30886" spans="31:31">
      <c r="AE30886" s="54"/>
    </row>
    <row r="30887" spans="31:31">
      <c r="AE30887" s="54"/>
    </row>
    <row r="30888" spans="31:31">
      <c r="AE30888" s="54"/>
    </row>
    <row r="30889" spans="31:31">
      <c r="AE30889" s="54"/>
    </row>
    <row r="30890" spans="31:31">
      <c r="AE30890" s="54"/>
    </row>
    <row r="30891" spans="31:31">
      <c r="AE30891" s="54"/>
    </row>
    <row r="30892" spans="31:31">
      <c r="AE30892" s="54"/>
    </row>
    <row r="30893" spans="31:31">
      <c r="AE30893" s="54"/>
    </row>
    <row r="30894" spans="31:31">
      <c r="AE30894" s="54"/>
    </row>
    <row r="30895" spans="31:31">
      <c r="AE30895" s="54"/>
    </row>
    <row r="30896" spans="31:31">
      <c r="AE30896" s="54"/>
    </row>
    <row r="30897" spans="31:31">
      <c r="AE30897" s="54"/>
    </row>
    <row r="30898" spans="31:31">
      <c r="AE30898" s="54"/>
    </row>
    <row r="30899" spans="31:31">
      <c r="AE30899" s="54"/>
    </row>
    <row r="30900" spans="31:31">
      <c r="AE30900" s="54"/>
    </row>
    <row r="30901" spans="31:31">
      <c r="AE30901" s="54"/>
    </row>
    <row r="30902" spans="31:31">
      <c r="AE30902" s="54"/>
    </row>
    <row r="30903" spans="31:31">
      <c r="AE30903" s="54"/>
    </row>
    <row r="30904" spans="31:31">
      <c r="AE30904" s="54"/>
    </row>
    <row r="30905" spans="31:31">
      <c r="AE30905" s="54"/>
    </row>
    <row r="30906" spans="31:31">
      <c r="AE30906" s="54"/>
    </row>
    <row r="30907" spans="31:31">
      <c r="AE30907" s="54"/>
    </row>
    <row r="30908" spans="31:31">
      <c r="AE30908" s="54"/>
    </row>
    <row r="30909" spans="31:31">
      <c r="AE30909" s="54"/>
    </row>
    <row r="30910" spans="31:31">
      <c r="AE30910" s="54"/>
    </row>
    <row r="30911" spans="31:31">
      <c r="AE30911" s="54"/>
    </row>
    <row r="30912" spans="31:31">
      <c r="AE30912" s="54"/>
    </row>
    <row r="30913" spans="31:31">
      <c r="AE30913" s="54"/>
    </row>
    <row r="30914" spans="31:31">
      <c r="AE30914" s="54"/>
    </row>
    <row r="30915" spans="31:31">
      <c r="AE30915" s="54"/>
    </row>
    <row r="30916" spans="31:31">
      <c r="AE30916" s="54"/>
    </row>
    <row r="30917" spans="31:31">
      <c r="AE30917" s="54"/>
    </row>
    <row r="30918" spans="31:31">
      <c r="AE30918" s="54"/>
    </row>
    <row r="30919" spans="31:31">
      <c r="AE30919" s="54"/>
    </row>
    <row r="30920" spans="31:31">
      <c r="AE30920" s="54"/>
    </row>
    <row r="30921" spans="31:31">
      <c r="AE30921" s="54"/>
    </row>
    <row r="30922" spans="31:31">
      <c r="AE30922" s="54"/>
    </row>
    <row r="30923" spans="31:31">
      <c r="AE30923" s="54"/>
    </row>
    <row r="30924" spans="31:31">
      <c r="AE30924" s="54"/>
    </row>
    <row r="30925" spans="31:31">
      <c r="AE30925" s="54"/>
    </row>
    <row r="30926" spans="31:31">
      <c r="AE30926" s="54"/>
    </row>
    <row r="30927" spans="31:31">
      <c r="AE30927" s="54"/>
    </row>
    <row r="30928" spans="31:31">
      <c r="AE30928" s="54"/>
    </row>
    <row r="30929" spans="31:31">
      <c r="AE30929" s="54"/>
    </row>
    <row r="30930" spans="31:31">
      <c r="AE30930" s="54"/>
    </row>
    <row r="30931" spans="31:31">
      <c r="AE30931" s="54"/>
    </row>
    <row r="30932" spans="31:31">
      <c r="AE30932" s="54"/>
    </row>
    <row r="30933" spans="31:31">
      <c r="AE30933" s="54"/>
    </row>
    <row r="30934" spans="31:31">
      <c r="AE30934" s="54"/>
    </row>
    <row r="30935" spans="31:31">
      <c r="AE30935" s="54"/>
    </row>
    <row r="30936" spans="31:31">
      <c r="AE30936" s="54"/>
    </row>
    <row r="30937" spans="31:31">
      <c r="AE30937" s="54"/>
    </row>
    <row r="30938" spans="31:31">
      <c r="AE30938" s="54"/>
    </row>
    <row r="30939" spans="31:31">
      <c r="AE30939" s="54"/>
    </row>
    <row r="30940" spans="31:31">
      <c r="AE30940" s="54"/>
    </row>
    <row r="30941" spans="31:31">
      <c r="AE30941" s="54"/>
    </row>
    <row r="30942" spans="31:31">
      <c r="AE30942" s="54"/>
    </row>
    <row r="30943" spans="31:31">
      <c r="AE30943" s="54"/>
    </row>
    <row r="30944" spans="31:31">
      <c r="AE30944" s="54"/>
    </row>
    <row r="30945" spans="31:31">
      <c r="AE30945" s="54"/>
    </row>
    <row r="30946" spans="31:31">
      <c r="AE30946" s="54"/>
    </row>
    <row r="30947" spans="31:31">
      <c r="AE30947" s="54"/>
    </row>
    <row r="30948" spans="31:31">
      <c r="AE30948" s="54"/>
    </row>
    <row r="30949" spans="31:31">
      <c r="AE30949" s="54"/>
    </row>
    <row r="30950" spans="31:31">
      <c r="AE30950" s="54"/>
    </row>
    <row r="30951" spans="31:31">
      <c r="AE30951" s="54"/>
    </row>
    <row r="30952" spans="31:31">
      <c r="AE30952" s="54"/>
    </row>
    <row r="30953" spans="31:31">
      <c r="AE30953" s="54"/>
    </row>
    <row r="30954" spans="31:31">
      <c r="AE30954" s="54"/>
    </row>
    <row r="30955" spans="31:31">
      <c r="AE30955" s="54"/>
    </row>
    <row r="30956" spans="31:31">
      <c r="AE30956" s="54"/>
    </row>
    <row r="30957" spans="31:31">
      <c r="AE30957" s="54"/>
    </row>
    <row r="30958" spans="31:31">
      <c r="AE30958" s="54"/>
    </row>
    <row r="30959" spans="31:31">
      <c r="AE30959" s="54"/>
    </row>
    <row r="30960" spans="31:31">
      <c r="AE30960" s="54"/>
    </row>
    <row r="30961" spans="31:31">
      <c r="AE30961" s="54"/>
    </row>
    <row r="30962" spans="31:31">
      <c r="AE30962" s="54"/>
    </row>
    <row r="30963" spans="31:31">
      <c r="AE30963" s="54"/>
    </row>
    <row r="30964" spans="31:31">
      <c r="AE30964" s="54"/>
    </row>
    <row r="30965" spans="31:31">
      <c r="AE30965" s="54"/>
    </row>
    <row r="30966" spans="31:31">
      <c r="AE30966" s="54"/>
    </row>
    <row r="30967" spans="31:31">
      <c r="AE30967" s="54"/>
    </row>
    <row r="30968" spans="31:31">
      <c r="AE30968" s="54"/>
    </row>
    <row r="30969" spans="31:31">
      <c r="AE30969" s="54"/>
    </row>
    <row r="30970" spans="31:31">
      <c r="AE30970" s="54"/>
    </row>
    <row r="30971" spans="31:31">
      <c r="AE30971" s="54"/>
    </row>
    <row r="30972" spans="31:31">
      <c r="AE30972" s="54"/>
    </row>
    <row r="30973" spans="31:31">
      <c r="AE30973" s="54"/>
    </row>
    <row r="30974" spans="31:31">
      <c r="AE30974" s="54"/>
    </row>
    <row r="30975" spans="31:31">
      <c r="AE30975" s="54"/>
    </row>
    <row r="30976" spans="31:31">
      <c r="AE30976" s="54"/>
    </row>
    <row r="30977" spans="31:31">
      <c r="AE30977" s="54"/>
    </row>
    <row r="30978" spans="31:31">
      <c r="AE30978" s="54"/>
    </row>
    <row r="30979" spans="31:31">
      <c r="AE30979" s="54"/>
    </row>
    <row r="30980" spans="31:31">
      <c r="AE30980" s="54"/>
    </row>
    <row r="30981" spans="31:31">
      <c r="AE30981" s="54"/>
    </row>
    <row r="30982" spans="31:31">
      <c r="AE30982" s="54"/>
    </row>
    <row r="30983" spans="31:31">
      <c r="AE30983" s="54"/>
    </row>
    <row r="30984" spans="31:31">
      <c r="AE30984" s="54"/>
    </row>
    <row r="30985" spans="31:31">
      <c r="AE30985" s="54"/>
    </row>
    <row r="30986" spans="31:31">
      <c r="AE30986" s="54"/>
    </row>
    <row r="30987" spans="31:31">
      <c r="AE30987" s="54"/>
    </row>
    <row r="30988" spans="31:31">
      <c r="AE30988" s="54"/>
    </row>
    <row r="30989" spans="31:31">
      <c r="AE30989" s="54"/>
    </row>
    <row r="30990" spans="31:31">
      <c r="AE30990" s="54"/>
    </row>
    <row r="30991" spans="31:31">
      <c r="AE30991" s="54"/>
    </row>
    <row r="30992" spans="31:31">
      <c r="AE30992" s="54"/>
    </row>
    <row r="30993" spans="31:31">
      <c r="AE30993" s="54"/>
    </row>
    <row r="30994" spans="31:31">
      <c r="AE30994" s="54"/>
    </row>
    <row r="30995" spans="31:31">
      <c r="AE30995" s="54"/>
    </row>
    <row r="30996" spans="31:31">
      <c r="AE30996" s="54"/>
    </row>
    <row r="30997" spans="31:31">
      <c r="AE30997" s="54"/>
    </row>
    <row r="30998" spans="31:31">
      <c r="AE30998" s="54"/>
    </row>
    <row r="30999" spans="31:31">
      <c r="AE30999" s="54"/>
    </row>
    <row r="31000" spans="31:31">
      <c r="AE31000" s="54"/>
    </row>
    <row r="31001" spans="31:31">
      <c r="AE31001" s="54"/>
    </row>
    <row r="31002" spans="31:31">
      <c r="AE31002" s="54"/>
    </row>
    <row r="31003" spans="31:31">
      <c r="AE31003" s="54"/>
    </row>
    <row r="31004" spans="31:31">
      <c r="AE31004" s="54"/>
    </row>
    <row r="31005" spans="31:31">
      <c r="AE31005" s="54"/>
    </row>
    <row r="31006" spans="31:31">
      <c r="AE31006" s="54"/>
    </row>
    <row r="31007" spans="31:31">
      <c r="AE31007" s="54"/>
    </row>
    <row r="31008" spans="31:31">
      <c r="AE31008" s="54"/>
    </row>
    <row r="31009" spans="31:31">
      <c r="AE31009" s="54"/>
    </row>
    <row r="31010" spans="31:31">
      <c r="AE31010" s="54"/>
    </row>
    <row r="31011" spans="31:31">
      <c r="AE31011" s="54"/>
    </row>
    <row r="31012" spans="31:31">
      <c r="AE31012" s="54"/>
    </row>
    <row r="31013" spans="31:31">
      <c r="AE31013" s="54"/>
    </row>
    <row r="31014" spans="31:31">
      <c r="AE31014" s="54"/>
    </row>
    <row r="31015" spans="31:31">
      <c r="AE31015" s="54"/>
    </row>
    <row r="31016" spans="31:31">
      <c r="AE31016" s="54"/>
    </row>
    <row r="31017" spans="31:31">
      <c r="AE31017" s="54"/>
    </row>
    <row r="31018" spans="31:31">
      <c r="AE31018" s="54"/>
    </row>
    <row r="31019" spans="31:31">
      <c r="AE31019" s="54"/>
    </row>
    <row r="31020" spans="31:31">
      <c r="AE31020" s="54"/>
    </row>
    <row r="31021" spans="31:31">
      <c r="AE31021" s="54"/>
    </row>
    <row r="31022" spans="31:31">
      <c r="AE31022" s="54"/>
    </row>
    <row r="31023" spans="31:31">
      <c r="AE31023" s="54"/>
    </row>
    <row r="31024" spans="31:31">
      <c r="AE31024" s="54"/>
    </row>
    <row r="31025" spans="31:31">
      <c r="AE31025" s="54"/>
    </row>
    <row r="31026" spans="31:31">
      <c r="AE31026" s="54"/>
    </row>
    <row r="31027" spans="31:31">
      <c r="AE31027" s="54"/>
    </row>
    <row r="31028" spans="31:31">
      <c r="AE31028" s="54"/>
    </row>
    <row r="31029" spans="31:31">
      <c r="AE31029" s="54"/>
    </row>
    <row r="31030" spans="31:31">
      <c r="AE31030" s="54"/>
    </row>
    <row r="31031" spans="31:31">
      <c r="AE31031" s="54"/>
    </row>
    <row r="31032" spans="31:31">
      <c r="AE31032" s="54"/>
    </row>
    <row r="31033" spans="31:31">
      <c r="AE31033" s="54"/>
    </row>
    <row r="31034" spans="31:31">
      <c r="AE31034" s="54"/>
    </row>
    <row r="31035" spans="31:31">
      <c r="AE31035" s="54"/>
    </row>
    <row r="31036" spans="31:31">
      <c r="AE31036" s="54"/>
    </row>
    <row r="31037" spans="31:31">
      <c r="AE31037" s="54"/>
    </row>
    <row r="31038" spans="31:31">
      <c r="AE31038" s="54"/>
    </row>
    <row r="31039" spans="31:31">
      <c r="AE31039" s="54"/>
    </row>
    <row r="31040" spans="31:31">
      <c r="AE31040" s="54"/>
    </row>
    <row r="31041" spans="31:31">
      <c r="AE31041" s="54"/>
    </row>
    <row r="31042" spans="31:31">
      <c r="AE31042" s="54"/>
    </row>
    <row r="31043" spans="31:31">
      <c r="AE31043" s="54"/>
    </row>
    <row r="31044" spans="31:31">
      <c r="AE31044" s="54"/>
    </row>
    <row r="31045" spans="31:31">
      <c r="AE31045" s="54"/>
    </row>
    <row r="31046" spans="31:31">
      <c r="AE31046" s="54"/>
    </row>
    <row r="31047" spans="31:31">
      <c r="AE31047" s="54"/>
    </row>
    <row r="31048" spans="31:31">
      <c r="AE31048" s="54"/>
    </row>
    <row r="31049" spans="31:31">
      <c r="AE31049" s="54"/>
    </row>
    <row r="31050" spans="31:31">
      <c r="AE31050" s="54"/>
    </row>
    <row r="31051" spans="31:31">
      <c r="AE31051" s="54"/>
    </row>
    <row r="31052" spans="31:31">
      <c r="AE31052" s="54"/>
    </row>
    <row r="31053" spans="31:31">
      <c r="AE31053" s="54"/>
    </row>
    <row r="31054" spans="31:31">
      <c r="AE31054" s="54"/>
    </row>
    <row r="31055" spans="31:31">
      <c r="AE31055" s="54"/>
    </row>
    <row r="31056" spans="31:31">
      <c r="AE31056" s="54"/>
    </row>
    <row r="31057" spans="31:31">
      <c r="AE31057" s="54"/>
    </row>
    <row r="31058" spans="31:31">
      <c r="AE31058" s="54"/>
    </row>
    <row r="31059" spans="31:31">
      <c r="AE31059" s="54"/>
    </row>
    <row r="31060" spans="31:31">
      <c r="AE31060" s="54"/>
    </row>
    <row r="31061" spans="31:31">
      <c r="AE31061" s="54"/>
    </row>
    <row r="31062" spans="31:31">
      <c r="AE31062" s="54"/>
    </row>
    <row r="31063" spans="31:31">
      <c r="AE31063" s="54"/>
    </row>
    <row r="31064" spans="31:31">
      <c r="AE31064" s="54"/>
    </row>
    <row r="31065" spans="31:31">
      <c r="AE31065" s="54"/>
    </row>
    <row r="31066" spans="31:31">
      <c r="AE31066" s="54"/>
    </row>
    <row r="31067" spans="31:31">
      <c r="AE31067" s="54"/>
    </row>
    <row r="31068" spans="31:31">
      <c r="AE31068" s="54"/>
    </row>
    <row r="31069" spans="31:31">
      <c r="AE31069" s="54"/>
    </row>
    <row r="31070" spans="31:31">
      <c r="AE31070" s="54"/>
    </row>
    <row r="31071" spans="31:31">
      <c r="AE31071" s="54"/>
    </row>
    <row r="31072" spans="31:31">
      <c r="AE31072" s="54"/>
    </row>
    <row r="31073" spans="31:31">
      <c r="AE31073" s="54"/>
    </row>
    <row r="31074" spans="31:31">
      <c r="AE31074" s="54"/>
    </row>
    <row r="31075" spans="31:31">
      <c r="AE31075" s="54"/>
    </row>
    <row r="31076" spans="31:31">
      <c r="AE31076" s="54"/>
    </row>
    <row r="31077" spans="31:31">
      <c r="AE31077" s="54"/>
    </row>
    <row r="31078" spans="31:31">
      <c r="AE31078" s="54"/>
    </row>
    <row r="31079" spans="31:31">
      <c r="AE31079" s="54"/>
    </row>
    <row r="31080" spans="31:31">
      <c r="AE31080" s="54"/>
    </row>
    <row r="31081" spans="31:31">
      <c r="AE31081" s="54"/>
    </row>
    <row r="31082" spans="31:31">
      <c r="AE31082" s="54"/>
    </row>
    <row r="31083" spans="31:31">
      <c r="AE31083" s="54"/>
    </row>
    <row r="31084" spans="31:31">
      <c r="AE31084" s="54"/>
    </row>
    <row r="31085" spans="31:31">
      <c r="AE31085" s="54"/>
    </row>
    <row r="31086" spans="31:31">
      <c r="AE31086" s="54"/>
    </row>
    <row r="31087" spans="31:31">
      <c r="AE31087" s="54"/>
    </row>
    <row r="31088" spans="31:31">
      <c r="AE31088" s="54"/>
    </row>
    <row r="31089" spans="31:31">
      <c r="AE31089" s="54"/>
    </row>
    <row r="31090" spans="31:31">
      <c r="AE31090" s="54"/>
    </row>
    <row r="31091" spans="31:31">
      <c r="AE31091" s="54"/>
    </row>
    <row r="31092" spans="31:31">
      <c r="AE31092" s="54"/>
    </row>
    <row r="31093" spans="31:31">
      <c r="AE31093" s="54"/>
    </row>
    <row r="31094" spans="31:31">
      <c r="AE31094" s="54"/>
    </row>
    <row r="31095" spans="31:31">
      <c r="AE31095" s="54"/>
    </row>
    <row r="31096" spans="31:31">
      <c r="AE31096" s="54"/>
    </row>
    <row r="31097" spans="31:31">
      <c r="AE31097" s="54"/>
    </row>
    <row r="31098" spans="31:31">
      <c r="AE31098" s="54"/>
    </row>
    <row r="31099" spans="31:31">
      <c r="AE31099" s="54"/>
    </row>
    <row r="31100" spans="31:31">
      <c r="AE31100" s="54"/>
    </row>
    <row r="31101" spans="31:31">
      <c r="AE31101" s="54"/>
    </row>
    <row r="31102" spans="31:31">
      <c r="AE31102" s="54"/>
    </row>
    <row r="31103" spans="31:31">
      <c r="AE31103" s="54"/>
    </row>
    <row r="31104" spans="31:31">
      <c r="AE31104" s="54"/>
    </row>
    <row r="31105" spans="31:31">
      <c r="AE31105" s="54"/>
    </row>
    <row r="31106" spans="31:31">
      <c r="AE31106" s="54"/>
    </row>
    <row r="31107" spans="31:31">
      <c r="AE31107" s="54"/>
    </row>
    <row r="31108" spans="31:31">
      <c r="AE31108" s="54"/>
    </row>
    <row r="31109" spans="31:31">
      <c r="AE31109" s="54"/>
    </row>
    <row r="31110" spans="31:31">
      <c r="AE31110" s="54"/>
    </row>
    <row r="31111" spans="31:31">
      <c r="AE31111" s="54"/>
    </row>
    <row r="31112" spans="31:31">
      <c r="AE31112" s="54"/>
    </row>
    <row r="31113" spans="31:31">
      <c r="AE31113" s="54"/>
    </row>
    <row r="31114" spans="31:31">
      <c r="AE31114" s="54"/>
    </row>
    <row r="31115" spans="31:31">
      <c r="AE31115" s="54"/>
    </row>
    <row r="31116" spans="31:31">
      <c r="AE31116" s="54"/>
    </row>
    <row r="31117" spans="31:31">
      <c r="AE31117" s="54"/>
    </row>
    <row r="31118" spans="31:31">
      <c r="AE31118" s="54"/>
    </row>
    <row r="31119" spans="31:31">
      <c r="AE31119" s="54"/>
    </row>
    <row r="31120" spans="31:31">
      <c r="AE31120" s="54"/>
    </row>
    <row r="31121" spans="31:31">
      <c r="AE31121" s="54"/>
    </row>
    <row r="31122" spans="31:31">
      <c r="AE31122" s="54"/>
    </row>
    <row r="31123" spans="31:31">
      <c r="AE31123" s="54"/>
    </row>
    <row r="31124" spans="31:31">
      <c r="AE31124" s="54"/>
    </row>
    <row r="31125" spans="31:31">
      <c r="AE31125" s="54"/>
    </row>
    <row r="31126" spans="31:31">
      <c r="AE31126" s="54"/>
    </row>
    <row r="31127" spans="31:31">
      <c r="AE31127" s="54"/>
    </row>
    <row r="31128" spans="31:31">
      <c r="AE31128" s="54"/>
    </row>
    <row r="31129" spans="31:31">
      <c r="AE31129" s="54"/>
    </row>
    <row r="31130" spans="31:31">
      <c r="AE31130" s="54"/>
    </row>
    <row r="31131" spans="31:31">
      <c r="AE31131" s="54"/>
    </row>
    <row r="31132" spans="31:31">
      <c r="AE31132" s="54"/>
    </row>
    <row r="31133" spans="31:31">
      <c r="AE31133" s="54"/>
    </row>
    <row r="31134" spans="31:31">
      <c r="AE31134" s="54"/>
    </row>
    <row r="31135" spans="31:31">
      <c r="AE31135" s="54"/>
    </row>
    <row r="31136" spans="31:31">
      <c r="AE31136" s="54"/>
    </row>
    <row r="31137" spans="31:31">
      <c r="AE31137" s="54"/>
    </row>
    <row r="31138" spans="31:31">
      <c r="AE31138" s="54"/>
    </row>
    <row r="31139" spans="31:31">
      <c r="AE31139" s="54"/>
    </row>
    <row r="31140" spans="31:31">
      <c r="AE31140" s="54"/>
    </row>
    <row r="31141" spans="31:31">
      <c r="AE31141" s="54"/>
    </row>
    <row r="31142" spans="31:31">
      <c r="AE31142" s="54"/>
    </row>
    <row r="31143" spans="31:31">
      <c r="AE31143" s="54"/>
    </row>
    <row r="31144" spans="31:31">
      <c r="AE31144" s="54"/>
    </row>
    <row r="31145" spans="31:31">
      <c r="AE31145" s="54"/>
    </row>
    <row r="31146" spans="31:31">
      <c r="AE31146" s="54"/>
    </row>
    <row r="31147" spans="31:31">
      <c r="AE31147" s="54"/>
    </row>
    <row r="31148" spans="31:31">
      <c r="AE31148" s="54"/>
    </row>
    <row r="31149" spans="31:31">
      <c r="AE31149" s="54"/>
    </row>
    <row r="31150" spans="31:31">
      <c r="AE31150" s="54"/>
    </row>
    <row r="31151" spans="31:31">
      <c r="AE31151" s="54"/>
    </row>
    <row r="31152" spans="31:31">
      <c r="AE31152" s="54"/>
    </row>
    <row r="31153" spans="31:31">
      <c r="AE31153" s="54"/>
    </row>
    <row r="31154" spans="31:31">
      <c r="AE31154" s="54"/>
    </row>
    <row r="31155" spans="31:31">
      <c r="AE31155" s="54"/>
    </row>
    <row r="31156" spans="31:31">
      <c r="AE31156" s="54"/>
    </row>
    <row r="31157" spans="31:31">
      <c r="AE31157" s="54"/>
    </row>
    <row r="31158" spans="31:31">
      <c r="AE31158" s="54"/>
    </row>
    <row r="31159" spans="31:31">
      <c r="AE31159" s="54"/>
    </row>
    <row r="31160" spans="31:31">
      <c r="AE31160" s="54"/>
    </row>
    <row r="31161" spans="31:31">
      <c r="AE31161" s="54"/>
    </row>
    <row r="31162" spans="31:31">
      <c r="AE31162" s="54"/>
    </row>
    <row r="31163" spans="31:31">
      <c r="AE31163" s="54"/>
    </row>
    <row r="31164" spans="31:31">
      <c r="AE31164" s="54"/>
    </row>
    <row r="31165" spans="31:31">
      <c r="AE31165" s="54"/>
    </row>
    <row r="31166" spans="31:31">
      <c r="AE31166" s="54"/>
    </row>
    <row r="31167" spans="31:31">
      <c r="AE31167" s="54"/>
    </row>
    <row r="31168" spans="31:31">
      <c r="AE31168" s="54"/>
    </row>
    <row r="31169" spans="31:31">
      <c r="AE31169" s="54"/>
    </row>
    <row r="31170" spans="31:31">
      <c r="AE31170" s="54"/>
    </row>
    <row r="31171" spans="31:31">
      <c r="AE31171" s="54"/>
    </row>
    <row r="31172" spans="31:31">
      <c r="AE31172" s="54"/>
    </row>
    <row r="31173" spans="31:31">
      <c r="AE31173" s="54"/>
    </row>
    <row r="31174" spans="31:31">
      <c r="AE31174" s="54"/>
    </row>
    <row r="31175" spans="31:31">
      <c r="AE31175" s="54"/>
    </row>
    <row r="31176" spans="31:31">
      <c r="AE31176" s="54"/>
    </row>
    <row r="31177" spans="31:31">
      <c r="AE31177" s="54"/>
    </row>
    <row r="31178" spans="31:31">
      <c r="AE31178" s="54"/>
    </row>
    <row r="31179" spans="31:31">
      <c r="AE31179" s="54"/>
    </row>
    <row r="31180" spans="31:31">
      <c r="AE31180" s="54"/>
    </row>
    <row r="31181" spans="31:31">
      <c r="AE31181" s="54"/>
    </row>
    <row r="31182" spans="31:31">
      <c r="AE31182" s="54"/>
    </row>
    <row r="31183" spans="31:31">
      <c r="AE31183" s="54"/>
    </row>
    <row r="31184" spans="31:31">
      <c r="AE31184" s="54"/>
    </row>
    <row r="31185" spans="31:31">
      <c r="AE31185" s="54"/>
    </row>
    <row r="31186" spans="31:31">
      <c r="AE31186" s="54"/>
    </row>
    <row r="31187" spans="31:31">
      <c r="AE31187" s="54"/>
    </row>
    <row r="31188" spans="31:31">
      <c r="AE31188" s="54"/>
    </row>
    <row r="31189" spans="31:31">
      <c r="AE31189" s="54"/>
    </row>
    <row r="31190" spans="31:31">
      <c r="AE31190" s="54"/>
    </row>
    <row r="31191" spans="31:31">
      <c r="AE31191" s="54"/>
    </row>
    <row r="31192" spans="31:31">
      <c r="AE31192" s="54"/>
    </row>
    <row r="31193" spans="31:31">
      <c r="AE31193" s="54"/>
    </row>
    <row r="31194" spans="31:31">
      <c r="AE31194" s="54"/>
    </row>
    <row r="31195" spans="31:31">
      <c r="AE31195" s="54"/>
    </row>
    <row r="31196" spans="31:31">
      <c r="AE31196" s="54"/>
    </row>
    <row r="31197" spans="31:31">
      <c r="AE31197" s="54"/>
    </row>
    <row r="31198" spans="31:31">
      <c r="AE31198" s="54"/>
    </row>
    <row r="31199" spans="31:31">
      <c r="AE31199" s="54"/>
    </row>
    <row r="31200" spans="31:31">
      <c r="AE31200" s="54"/>
    </row>
    <row r="31201" spans="31:31">
      <c r="AE31201" s="54"/>
    </row>
    <row r="31202" spans="31:31">
      <c r="AE31202" s="54"/>
    </row>
    <row r="31203" spans="31:31">
      <c r="AE31203" s="54"/>
    </row>
    <row r="31204" spans="31:31">
      <c r="AE31204" s="54"/>
    </row>
    <row r="31205" spans="31:31">
      <c r="AE31205" s="54"/>
    </row>
    <row r="31206" spans="31:31">
      <c r="AE31206" s="54"/>
    </row>
    <row r="31207" spans="31:31">
      <c r="AE31207" s="54"/>
    </row>
    <row r="31208" spans="31:31">
      <c r="AE31208" s="54"/>
    </row>
    <row r="31209" spans="31:31">
      <c r="AE31209" s="54"/>
    </row>
    <row r="31210" spans="31:31">
      <c r="AE31210" s="54"/>
    </row>
    <row r="31211" spans="31:31">
      <c r="AE31211" s="54"/>
    </row>
    <row r="31212" spans="31:31">
      <c r="AE31212" s="54"/>
    </row>
    <row r="31213" spans="31:31">
      <c r="AE31213" s="54"/>
    </row>
    <row r="31214" spans="31:31">
      <c r="AE31214" s="54"/>
    </row>
    <row r="31215" spans="31:31">
      <c r="AE31215" s="54"/>
    </row>
    <row r="31216" spans="31:31">
      <c r="AE31216" s="54"/>
    </row>
    <row r="31217" spans="31:31">
      <c r="AE31217" s="54"/>
    </row>
    <row r="31218" spans="31:31">
      <c r="AE31218" s="54"/>
    </row>
    <row r="31219" spans="31:31">
      <c r="AE31219" s="54"/>
    </row>
    <row r="31220" spans="31:31">
      <c r="AE31220" s="54"/>
    </row>
    <row r="31221" spans="31:31">
      <c r="AE31221" s="54"/>
    </row>
    <row r="31222" spans="31:31">
      <c r="AE31222" s="54"/>
    </row>
    <row r="31223" spans="31:31">
      <c r="AE31223" s="54"/>
    </row>
    <row r="31224" spans="31:31">
      <c r="AE31224" s="54"/>
    </row>
    <row r="31225" spans="31:31">
      <c r="AE31225" s="54"/>
    </row>
    <row r="31226" spans="31:31">
      <c r="AE31226" s="54"/>
    </row>
    <row r="31227" spans="31:31">
      <c r="AE31227" s="54"/>
    </row>
    <row r="31228" spans="31:31">
      <c r="AE31228" s="54"/>
    </row>
    <row r="31229" spans="31:31">
      <c r="AE31229" s="54"/>
    </row>
    <row r="31230" spans="31:31">
      <c r="AE31230" s="54"/>
    </row>
    <row r="31231" spans="31:31">
      <c r="AE31231" s="54"/>
    </row>
    <row r="31232" spans="31:31">
      <c r="AE31232" s="54"/>
    </row>
    <row r="31233" spans="31:31">
      <c r="AE31233" s="54"/>
    </row>
    <row r="31234" spans="31:31">
      <c r="AE31234" s="54"/>
    </row>
    <row r="31235" spans="31:31">
      <c r="AE31235" s="54"/>
    </row>
    <row r="31236" spans="31:31">
      <c r="AE31236" s="54"/>
    </row>
    <row r="31237" spans="31:31">
      <c r="AE31237" s="54"/>
    </row>
    <row r="31238" spans="31:31">
      <c r="AE31238" s="54"/>
    </row>
    <row r="31239" spans="31:31">
      <c r="AE31239" s="54"/>
    </row>
    <row r="31240" spans="31:31">
      <c r="AE31240" s="54"/>
    </row>
    <row r="31241" spans="31:31">
      <c r="AE31241" s="54"/>
    </row>
    <row r="31242" spans="31:31">
      <c r="AE31242" s="54"/>
    </row>
    <row r="31243" spans="31:31">
      <c r="AE31243" s="54"/>
    </row>
    <row r="31244" spans="31:31">
      <c r="AE31244" s="54"/>
    </row>
    <row r="31245" spans="31:31">
      <c r="AE31245" s="54"/>
    </row>
    <row r="31246" spans="31:31">
      <c r="AE31246" s="54"/>
    </row>
    <row r="31247" spans="31:31">
      <c r="AE31247" s="54"/>
    </row>
    <row r="31248" spans="31:31">
      <c r="AE31248" s="54"/>
    </row>
    <row r="31249" spans="31:31">
      <c r="AE31249" s="54"/>
    </row>
    <row r="31250" spans="31:31">
      <c r="AE31250" s="54"/>
    </row>
    <row r="31251" spans="31:31">
      <c r="AE31251" s="54"/>
    </row>
    <row r="31252" spans="31:31">
      <c r="AE31252" s="54"/>
    </row>
    <row r="31253" spans="31:31">
      <c r="AE31253" s="54"/>
    </row>
    <row r="31254" spans="31:31">
      <c r="AE31254" s="54"/>
    </row>
    <row r="31255" spans="31:31">
      <c r="AE31255" s="54"/>
    </row>
    <row r="31256" spans="31:31">
      <c r="AE31256" s="54"/>
    </row>
    <row r="31257" spans="31:31">
      <c r="AE31257" s="54"/>
    </row>
    <row r="31258" spans="31:31">
      <c r="AE31258" s="54"/>
    </row>
    <row r="31259" spans="31:31">
      <c r="AE31259" s="54"/>
    </row>
    <row r="31260" spans="31:31">
      <c r="AE31260" s="54"/>
    </row>
    <row r="31261" spans="31:31">
      <c r="AE31261" s="54"/>
    </row>
    <row r="31262" spans="31:31">
      <c r="AE31262" s="54"/>
    </row>
    <row r="31263" spans="31:31">
      <c r="AE31263" s="54"/>
    </row>
    <row r="31264" spans="31:31">
      <c r="AE31264" s="54"/>
    </row>
    <row r="31265" spans="31:31">
      <c r="AE31265" s="54"/>
    </row>
    <row r="31266" spans="31:31">
      <c r="AE31266" s="54"/>
    </row>
    <row r="31267" spans="31:31">
      <c r="AE31267" s="54"/>
    </row>
    <row r="31268" spans="31:31">
      <c r="AE31268" s="54"/>
    </row>
    <row r="31269" spans="31:31">
      <c r="AE31269" s="54"/>
    </row>
    <row r="31270" spans="31:31">
      <c r="AE31270" s="54"/>
    </row>
    <row r="31271" spans="31:31">
      <c r="AE31271" s="54"/>
    </row>
    <row r="31272" spans="31:31">
      <c r="AE31272" s="54"/>
    </row>
    <row r="31273" spans="31:31">
      <c r="AE31273" s="54"/>
    </row>
    <row r="31274" spans="31:31">
      <c r="AE31274" s="54"/>
    </row>
    <row r="31275" spans="31:31">
      <c r="AE31275" s="54"/>
    </row>
    <row r="31276" spans="31:31">
      <c r="AE31276" s="54"/>
    </row>
    <row r="31277" spans="31:31">
      <c r="AE31277" s="54"/>
    </row>
    <row r="31278" spans="31:31">
      <c r="AE31278" s="54"/>
    </row>
    <row r="31279" spans="31:31">
      <c r="AE31279" s="54"/>
    </row>
    <row r="31280" spans="31:31">
      <c r="AE31280" s="54"/>
    </row>
    <row r="31281" spans="31:31">
      <c r="AE31281" s="54"/>
    </row>
    <row r="31282" spans="31:31">
      <c r="AE31282" s="54"/>
    </row>
    <row r="31283" spans="31:31">
      <c r="AE31283" s="54"/>
    </row>
    <row r="31284" spans="31:31">
      <c r="AE31284" s="54"/>
    </row>
    <row r="31285" spans="31:31">
      <c r="AE31285" s="54"/>
    </row>
    <row r="31286" spans="31:31">
      <c r="AE31286" s="54"/>
    </row>
    <row r="31287" spans="31:31">
      <c r="AE31287" s="54"/>
    </row>
    <row r="31288" spans="31:31">
      <c r="AE31288" s="54"/>
    </row>
    <row r="31289" spans="31:31">
      <c r="AE31289" s="54"/>
    </row>
    <row r="31290" spans="31:31">
      <c r="AE31290" s="54"/>
    </row>
    <row r="31291" spans="31:31">
      <c r="AE31291" s="54"/>
    </row>
    <row r="31292" spans="31:31">
      <c r="AE31292" s="54"/>
    </row>
    <row r="31293" spans="31:31">
      <c r="AE31293" s="54"/>
    </row>
    <row r="31294" spans="31:31">
      <c r="AE31294" s="54"/>
    </row>
    <row r="31295" spans="31:31">
      <c r="AE31295" s="54"/>
    </row>
    <row r="31296" spans="31:31">
      <c r="AE31296" s="54"/>
    </row>
    <row r="31297" spans="31:31">
      <c r="AE31297" s="54"/>
    </row>
    <row r="31298" spans="31:31">
      <c r="AE31298" s="54"/>
    </row>
    <row r="31299" spans="31:31">
      <c r="AE31299" s="54"/>
    </row>
    <row r="31300" spans="31:31">
      <c r="AE31300" s="54"/>
    </row>
    <row r="31301" spans="31:31">
      <c r="AE31301" s="54"/>
    </row>
    <row r="31302" spans="31:31">
      <c r="AE31302" s="54"/>
    </row>
    <row r="31303" spans="31:31">
      <c r="AE31303" s="54"/>
    </row>
    <row r="31304" spans="31:31">
      <c r="AE31304" s="54"/>
    </row>
    <row r="31305" spans="31:31">
      <c r="AE31305" s="54"/>
    </row>
    <row r="31306" spans="31:31">
      <c r="AE31306" s="54"/>
    </row>
    <row r="31307" spans="31:31">
      <c r="AE31307" s="54"/>
    </row>
    <row r="31308" spans="31:31">
      <c r="AE31308" s="54"/>
    </row>
    <row r="31309" spans="31:31">
      <c r="AE31309" s="54"/>
    </row>
    <row r="31310" spans="31:31">
      <c r="AE31310" s="54"/>
    </row>
    <row r="31311" spans="31:31">
      <c r="AE31311" s="54"/>
    </row>
    <row r="31312" spans="31:31">
      <c r="AE31312" s="54"/>
    </row>
    <row r="31313" spans="31:31">
      <c r="AE31313" s="54"/>
    </row>
    <row r="31314" spans="31:31">
      <c r="AE31314" s="54"/>
    </row>
    <row r="31315" spans="31:31">
      <c r="AE31315" s="54"/>
    </row>
    <row r="31316" spans="31:31">
      <c r="AE31316" s="54"/>
    </row>
    <row r="31317" spans="31:31">
      <c r="AE31317" s="54"/>
    </row>
    <row r="31318" spans="31:31">
      <c r="AE31318" s="54"/>
    </row>
    <row r="31319" spans="31:31">
      <c r="AE31319" s="54"/>
    </row>
    <row r="31320" spans="31:31">
      <c r="AE31320" s="54"/>
    </row>
    <row r="31321" spans="31:31">
      <c r="AE31321" s="54"/>
    </row>
    <row r="31322" spans="31:31">
      <c r="AE31322" s="54"/>
    </row>
    <row r="31323" spans="31:31">
      <c r="AE31323" s="54"/>
    </row>
    <row r="31324" spans="31:31">
      <c r="AE31324" s="54"/>
    </row>
    <row r="31325" spans="31:31">
      <c r="AE31325" s="54"/>
    </row>
    <row r="31326" spans="31:31">
      <c r="AE31326" s="54"/>
    </row>
    <row r="31327" spans="31:31">
      <c r="AE31327" s="54"/>
    </row>
    <row r="31328" spans="31:31">
      <c r="AE31328" s="54"/>
    </row>
    <row r="31329" spans="31:31">
      <c r="AE31329" s="54"/>
    </row>
    <row r="31330" spans="31:31">
      <c r="AE31330" s="54"/>
    </row>
    <row r="31331" spans="31:31">
      <c r="AE31331" s="54"/>
    </row>
    <row r="31332" spans="31:31">
      <c r="AE31332" s="54"/>
    </row>
    <row r="31333" spans="31:31">
      <c r="AE31333" s="54"/>
    </row>
    <row r="31334" spans="31:31">
      <c r="AE31334" s="54"/>
    </row>
    <row r="31335" spans="31:31">
      <c r="AE31335" s="54"/>
    </row>
    <row r="31336" spans="31:31">
      <c r="AE31336" s="54"/>
    </row>
    <row r="31337" spans="31:31">
      <c r="AE31337" s="54"/>
    </row>
    <row r="31338" spans="31:31">
      <c r="AE31338" s="54"/>
    </row>
    <row r="31339" spans="31:31">
      <c r="AE31339" s="54"/>
    </row>
    <row r="31340" spans="31:31">
      <c r="AE31340" s="54"/>
    </row>
    <row r="31341" spans="31:31">
      <c r="AE31341" s="54"/>
    </row>
    <row r="31342" spans="31:31">
      <c r="AE31342" s="54"/>
    </row>
    <row r="31343" spans="31:31">
      <c r="AE31343" s="54"/>
    </row>
    <row r="31344" spans="31:31">
      <c r="AE31344" s="54"/>
    </row>
    <row r="31345" spans="31:31">
      <c r="AE31345" s="54"/>
    </row>
    <row r="31346" spans="31:31">
      <c r="AE31346" s="54"/>
    </row>
    <row r="31347" spans="31:31">
      <c r="AE31347" s="54"/>
    </row>
    <row r="31348" spans="31:31">
      <c r="AE31348" s="54"/>
    </row>
    <row r="31349" spans="31:31">
      <c r="AE31349" s="54"/>
    </row>
    <row r="31350" spans="31:31">
      <c r="AE31350" s="54"/>
    </row>
    <row r="31351" spans="31:31">
      <c r="AE31351" s="54"/>
    </row>
    <row r="31352" spans="31:31">
      <c r="AE31352" s="54"/>
    </row>
    <row r="31353" spans="31:31">
      <c r="AE31353" s="54"/>
    </row>
    <row r="31354" spans="31:31">
      <c r="AE31354" s="54"/>
    </row>
    <row r="31355" spans="31:31">
      <c r="AE31355" s="54"/>
    </row>
    <row r="31356" spans="31:31">
      <c r="AE31356" s="54"/>
    </row>
    <row r="31357" spans="31:31">
      <c r="AE31357" s="54"/>
    </row>
    <row r="31358" spans="31:31">
      <c r="AE31358" s="54"/>
    </row>
    <row r="31359" spans="31:31">
      <c r="AE31359" s="54"/>
    </row>
    <row r="31360" spans="31:31">
      <c r="AE31360" s="54"/>
    </row>
    <row r="31361" spans="31:31">
      <c r="AE31361" s="54"/>
    </row>
    <row r="31362" spans="31:31">
      <c r="AE31362" s="54"/>
    </row>
    <row r="31363" spans="31:31">
      <c r="AE31363" s="54"/>
    </row>
    <row r="31364" spans="31:31">
      <c r="AE31364" s="54"/>
    </row>
    <row r="31365" spans="31:31">
      <c r="AE31365" s="54"/>
    </row>
    <row r="31366" spans="31:31">
      <c r="AE31366" s="54"/>
    </row>
    <row r="31367" spans="31:31">
      <c r="AE31367" s="54"/>
    </row>
    <row r="31368" spans="31:31">
      <c r="AE31368" s="54"/>
    </row>
    <row r="31369" spans="31:31">
      <c r="AE31369" s="54"/>
    </row>
    <row r="31370" spans="31:31">
      <c r="AE31370" s="54"/>
    </row>
    <row r="31371" spans="31:31">
      <c r="AE31371" s="54"/>
    </row>
    <row r="31372" spans="31:31">
      <c r="AE31372" s="54"/>
    </row>
    <row r="31373" spans="31:31">
      <c r="AE31373" s="54"/>
    </row>
    <row r="31374" spans="31:31">
      <c r="AE31374" s="54"/>
    </row>
    <row r="31375" spans="31:31">
      <c r="AE31375" s="54"/>
    </row>
    <row r="31376" spans="31:31">
      <c r="AE31376" s="54"/>
    </row>
    <row r="31377" spans="31:31">
      <c r="AE31377" s="54"/>
    </row>
    <row r="31378" spans="31:31">
      <c r="AE31378" s="54"/>
    </row>
    <row r="31379" spans="31:31">
      <c r="AE31379" s="54"/>
    </row>
    <row r="31380" spans="31:31">
      <c r="AE31380" s="54"/>
    </row>
    <row r="31381" spans="31:31">
      <c r="AE31381" s="54"/>
    </row>
    <row r="31382" spans="31:31">
      <c r="AE31382" s="54"/>
    </row>
    <row r="31383" spans="31:31">
      <c r="AE31383" s="54"/>
    </row>
    <row r="31384" spans="31:31">
      <c r="AE31384" s="54"/>
    </row>
    <row r="31385" spans="31:31">
      <c r="AE31385" s="54"/>
    </row>
    <row r="31386" spans="31:31">
      <c r="AE31386" s="54"/>
    </row>
    <row r="31387" spans="31:31">
      <c r="AE31387" s="54"/>
    </row>
    <row r="31388" spans="31:31">
      <c r="AE31388" s="54"/>
    </row>
    <row r="31389" spans="31:31">
      <c r="AE31389" s="54"/>
    </row>
    <row r="31390" spans="31:31">
      <c r="AE31390" s="54"/>
    </row>
    <row r="31391" spans="31:31">
      <c r="AE31391" s="54"/>
    </row>
    <row r="31392" spans="31:31">
      <c r="AE31392" s="54"/>
    </row>
    <row r="31393" spans="31:31">
      <c r="AE31393" s="54"/>
    </row>
    <row r="31394" spans="31:31">
      <c r="AE31394" s="54"/>
    </row>
    <row r="31395" spans="31:31">
      <c r="AE31395" s="54"/>
    </row>
    <row r="31396" spans="31:31">
      <c r="AE31396" s="54"/>
    </row>
    <row r="31397" spans="31:31">
      <c r="AE31397" s="54"/>
    </row>
    <row r="31398" spans="31:31">
      <c r="AE31398" s="54"/>
    </row>
    <row r="31399" spans="31:31">
      <c r="AE31399" s="54"/>
    </row>
    <row r="31400" spans="31:31">
      <c r="AE31400" s="54"/>
    </row>
    <row r="31401" spans="31:31">
      <c r="AE31401" s="54"/>
    </row>
    <row r="31402" spans="31:31">
      <c r="AE31402" s="54"/>
    </row>
    <row r="31403" spans="31:31">
      <c r="AE31403" s="54"/>
    </row>
    <row r="31404" spans="31:31">
      <c r="AE31404" s="54"/>
    </row>
    <row r="31405" spans="31:31">
      <c r="AE31405" s="54"/>
    </row>
    <row r="31406" spans="31:31">
      <c r="AE31406" s="54"/>
    </row>
    <row r="31407" spans="31:31">
      <c r="AE31407" s="54"/>
    </row>
    <row r="31408" spans="31:31">
      <c r="AE31408" s="54"/>
    </row>
    <row r="31409" spans="31:31">
      <c r="AE31409" s="54"/>
    </row>
    <row r="31410" spans="31:31">
      <c r="AE31410" s="54"/>
    </row>
    <row r="31411" spans="31:31">
      <c r="AE31411" s="54"/>
    </row>
    <row r="31412" spans="31:31">
      <c r="AE31412" s="54"/>
    </row>
    <row r="31413" spans="31:31">
      <c r="AE31413" s="54"/>
    </row>
    <row r="31414" spans="31:31">
      <c r="AE31414" s="54"/>
    </row>
    <row r="31415" spans="31:31">
      <c r="AE31415" s="54"/>
    </row>
    <row r="31416" spans="31:31">
      <c r="AE31416" s="54"/>
    </row>
    <row r="31417" spans="31:31">
      <c r="AE31417" s="54"/>
    </row>
    <row r="31418" spans="31:31">
      <c r="AE31418" s="54"/>
    </row>
    <row r="31419" spans="31:31">
      <c r="AE31419" s="54"/>
    </row>
    <row r="31420" spans="31:31">
      <c r="AE31420" s="54"/>
    </row>
    <row r="31421" spans="31:31">
      <c r="AE31421" s="54"/>
    </row>
    <row r="31422" spans="31:31">
      <c r="AE31422" s="54"/>
    </row>
    <row r="31423" spans="31:31">
      <c r="AE31423" s="54"/>
    </row>
    <row r="31424" spans="31:31">
      <c r="AE31424" s="54"/>
    </row>
    <row r="31425" spans="31:31">
      <c r="AE31425" s="54"/>
    </row>
    <row r="31426" spans="31:31">
      <c r="AE31426" s="54"/>
    </row>
    <row r="31427" spans="31:31">
      <c r="AE31427" s="54"/>
    </row>
    <row r="31428" spans="31:31">
      <c r="AE31428" s="54"/>
    </row>
    <row r="31429" spans="31:31">
      <c r="AE31429" s="54"/>
    </row>
    <row r="31430" spans="31:31">
      <c r="AE31430" s="54"/>
    </row>
    <row r="31431" spans="31:31">
      <c r="AE31431" s="54"/>
    </row>
    <row r="31432" spans="31:31">
      <c r="AE31432" s="54"/>
    </row>
    <row r="31433" spans="31:31">
      <c r="AE31433" s="54"/>
    </row>
    <row r="31434" spans="31:31">
      <c r="AE31434" s="54"/>
    </row>
    <row r="31435" spans="31:31">
      <c r="AE31435" s="54"/>
    </row>
    <row r="31436" spans="31:31">
      <c r="AE31436" s="54"/>
    </row>
    <row r="31437" spans="31:31">
      <c r="AE31437" s="54"/>
    </row>
    <row r="31438" spans="31:31">
      <c r="AE31438" s="54"/>
    </row>
    <row r="31439" spans="31:31">
      <c r="AE31439" s="54"/>
    </row>
    <row r="31440" spans="31:31">
      <c r="AE31440" s="54"/>
    </row>
    <row r="31441" spans="31:31">
      <c r="AE31441" s="54"/>
    </row>
    <row r="31442" spans="31:31">
      <c r="AE31442" s="54"/>
    </row>
    <row r="31443" spans="31:31">
      <c r="AE31443" s="54"/>
    </row>
    <row r="31444" spans="31:31">
      <c r="AE31444" s="54"/>
    </row>
    <row r="31445" spans="31:31">
      <c r="AE31445" s="54"/>
    </row>
    <row r="31446" spans="31:31">
      <c r="AE31446" s="54"/>
    </row>
    <row r="31447" spans="31:31">
      <c r="AE31447" s="54"/>
    </row>
    <row r="31448" spans="31:31">
      <c r="AE31448" s="54"/>
    </row>
    <row r="31449" spans="31:31">
      <c r="AE31449" s="54"/>
    </row>
    <row r="31450" spans="31:31">
      <c r="AE31450" s="54"/>
    </row>
    <row r="31451" spans="31:31">
      <c r="AE31451" s="54"/>
    </row>
    <row r="31452" spans="31:31">
      <c r="AE31452" s="54"/>
    </row>
    <row r="31453" spans="31:31">
      <c r="AE31453" s="54"/>
    </row>
    <row r="31454" spans="31:31">
      <c r="AE31454" s="54"/>
    </row>
    <row r="31455" spans="31:31">
      <c r="AE31455" s="54"/>
    </row>
    <row r="31456" spans="31:31">
      <c r="AE31456" s="54"/>
    </row>
    <row r="31457" spans="31:31">
      <c r="AE31457" s="54"/>
    </row>
    <row r="31458" spans="31:31">
      <c r="AE31458" s="54"/>
    </row>
    <row r="31459" spans="31:31">
      <c r="AE31459" s="54"/>
    </row>
    <row r="31460" spans="31:31">
      <c r="AE31460" s="54"/>
    </row>
    <row r="31461" spans="31:31">
      <c r="AE31461" s="54"/>
    </row>
    <row r="31462" spans="31:31">
      <c r="AE31462" s="54"/>
    </row>
    <row r="31463" spans="31:31">
      <c r="AE31463" s="54"/>
    </row>
    <row r="31464" spans="31:31">
      <c r="AE31464" s="54"/>
    </row>
    <row r="31465" spans="31:31">
      <c r="AE31465" s="54"/>
    </row>
    <row r="31466" spans="31:31">
      <c r="AE31466" s="54"/>
    </row>
    <row r="31467" spans="31:31">
      <c r="AE31467" s="54"/>
    </row>
    <row r="31468" spans="31:31">
      <c r="AE31468" s="54"/>
    </row>
    <row r="31469" spans="31:31">
      <c r="AE31469" s="54"/>
    </row>
    <row r="31470" spans="31:31">
      <c r="AE31470" s="54"/>
    </row>
    <row r="31471" spans="31:31">
      <c r="AE31471" s="54"/>
    </row>
    <row r="31472" spans="31:31">
      <c r="AE31472" s="54"/>
    </row>
    <row r="31473" spans="31:31">
      <c r="AE31473" s="54"/>
    </row>
    <row r="31474" spans="31:31">
      <c r="AE31474" s="54"/>
    </row>
    <row r="31475" spans="31:31">
      <c r="AE31475" s="54"/>
    </row>
    <row r="31476" spans="31:31">
      <c r="AE31476" s="54"/>
    </row>
    <row r="31477" spans="31:31">
      <c r="AE31477" s="54"/>
    </row>
    <row r="31478" spans="31:31">
      <c r="AE31478" s="54"/>
    </row>
    <row r="31479" spans="31:31">
      <c r="AE31479" s="54"/>
    </row>
    <row r="31480" spans="31:31">
      <c r="AE31480" s="54"/>
    </row>
    <row r="31481" spans="31:31">
      <c r="AE31481" s="54"/>
    </row>
    <row r="31482" spans="31:31">
      <c r="AE31482" s="54"/>
    </row>
    <row r="31483" spans="31:31">
      <c r="AE31483" s="54"/>
    </row>
    <row r="31484" spans="31:31">
      <c r="AE31484" s="54"/>
    </row>
    <row r="31485" spans="31:31">
      <c r="AE31485" s="54"/>
    </row>
    <row r="31486" spans="31:31">
      <c r="AE31486" s="54"/>
    </row>
    <row r="31487" spans="31:31">
      <c r="AE31487" s="54"/>
    </row>
    <row r="31488" spans="31:31">
      <c r="AE31488" s="54"/>
    </row>
    <row r="31489" spans="31:31">
      <c r="AE31489" s="54"/>
    </row>
    <row r="31490" spans="31:31">
      <c r="AE31490" s="54"/>
    </row>
    <row r="31491" spans="31:31">
      <c r="AE31491" s="54"/>
    </row>
    <row r="31492" spans="31:31">
      <c r="AE31492" s="54"/>
    </row>
    <row r="31493" spans="31:31">
      <c r="AE31493" s="54"/>
    </row>
    <row r="31494" spans="31:31">
      <c r="AE31494" s="54"/>
    </row>
    <row r="31495" spans="31:31">
      <c r="AE31495" s="54"/>
    </row>
    <row r="31496" spans="31:31">
      <c r="AE31496" s="54"/>
    </row>
    <row r="31497" spans="31:31">
      <c r="AE31497" s="54"/>
    </row>
    <row r="31498" spans="31:31">
      <c r="AE31498" s="54"/>
    </row>
    <row r="31499" spans="31:31">
      <c r="AE31499" s="54"/>
    </row>
    <row r="31500" spans="31:31">
      <c r="AE31500" s="54"/>
    </row>
    <row r="31501" spans="31:31">
      <c r="AE31501" s="54"/>
    </row>
    <row r="31502" spans="31:31">
      <c r="AE31502" s="54"/>
    </row>
    <row r="31503" spans="31:31">
      <c r="AE31503" s="54"/>
    </row>
    <row r="31504" spans="31:31">
      <c r="AE31504" s="54"/>
    </row>
    <row r="31505" spans="31:31">
      <c r="AE31505" s="54"/>
    </row>
    <row r="31506" spans="31:31">
      <c r="AE31506" s="54"/>
    </row>
    <row r="31507" spans="31:31">
      <c r="AE31507" s="54"/>
    </row>
    <row r="31508" spans="31:31">
      <c r="AE31508" s="54"/>
    </row>
    <row r="31509" spans="31:31">
      <c r="AE31509" s="54"/>
    </row>
    <row r="31510" spans="31:31">
      <c r="AE31510" s="54"/>
    </row>
    <row r="31511" spans="31:31">
      <c r="AE31511" s="54"/>
    </row>
    <row r="31512" spans="31:31">
      <c r="AE31512" s="54"/>
    </row>
    <row r="31513" spans="31:31">
      <c r="AE31513" s="54"/>
    </row>
    <row r="31514" spans="31:31">
      <c r="AE31514" s="54"/>
    </row>
    <row r="31515" spans="31:31">
      <c r="AE31515" s="54"/>
    </row>
    <row r="31516" spans="31:31">
      <c r="AE31516" s="54"/>
    </row>
    <row r="31517" spans="31:31">
      <c r="AE31517" s="54"/>
    </row>
    <row r="31518" spans="31:31">
      <c r="AE31518" s="54"/>
    </row>
    <row r="31519" spans="31:31">
      <c r="AE31519" s="54"/>
    </row>
    <row r="31520" spans="31:31">
      <c r="AE31520" s="54"/>
    </row>
    <row r="31521" spans="31:31">
      <c r="AE31521" s="54"/>
    </row>
    <row r="31522" spans="31:31">
      <c r="AE31522" s="54"/>
    </row>
    <row r="31523" spans="31:31">
      <c r="AE31523" s="54"/>
    </row>
    <row r="31524" spans="31:31">
      <c r="AE31524" s="54"/>
    </row>
    <row r="31525" spans="31:31">
      <c r="AE31525" s="54"/>
    </row>
    <row r="31526" spans="31:31">
      <c r="AE31526" s="54"/>
    </row>
    <row r="31527" spans="31:31">
      <c r="AE31527" s="54"/>
    </row>
    <row r="31528" spans="31:31">
      <c r="AE31528" s="54"/>
    </row>
    <row r="31529" spans="31:31">
      <c r="AE31529" s="54"/>
    </row>
    <row r="31530" spans="31:31">
      <c r="AE31530" s="54"/>
    </row>
    <row r="31531" spans="31:31">
      <c r="AE31531" s="54"/>
    </row>
    <row r="31532" spans="31:31">
      <c r="AE31532" s="54"/>
    </row>
    <row r="31533" spans="31:31">
      <c r="AE31533" s="54"/>
    </row>
    <row r="31534" spans="31:31">
      <c r="AE31534" s="54"/>
    </row>
    <row r="31535" spans="31:31">
      <c r="AE31535" s="54"/>
    </row>
    <row r="31536" spans="31:31">
      <c r="AE31536" s="54"/>
    </row>
    <row r="31537" spans="31:31">
      <c r="AE31537" s="54"/>
    </row>
    <row r="31538" spans="31:31">
      <c r="AE31538" s="54"/>
    </row>
    <row r="31539" spans="31:31">
      <c r="AE31539" s="54"/>
    </row>
    <row r="31540" spans="31:31">
      <c r="AE31540" s="54"/>
    </row>
    <row r="31541" spans="31:31">
      <c r="AE31541" s="54"/>
    </row>
    <row r="31542" spans="31:31">
      <c r="AE31542" s="54"/>
    </row>
    <row r="31543" spans="31:31">
      <c r="AE31543" s="54"/>
    </row>
    <row r="31544" spans="31:31">
      <c r="AE31544" s="54"/>
    </row>
    <row r="31545" spans="31:31">
      <c r="AE31545" s="54"/>
    </row>
    <row r="31546" spans="31:31">
      <c r="AE31546" s="54"/>
    </row>
    <row r="31547" spans="31:31">
      <c r="AE31547" s="54"/>
    </row>
    <row r="31548" spans="31:31">
      <c r="AE31548" s="54"/>
    </row>
    <row r="31549" spans="31:31">
      <c r="AE31549" s="54"/>
    </row>
    <row r="31550" spans="31:31">
      <c r="AE31550" s="54"/>
    </row>
    <row r="31551" spans="31:31">
      <c r="AE31551" s="54"/>
    </row>
    <row r="31552" spans="31:31">
      <c r="AE31552" s="54"/>
    </row>
    <row r="31553" spans="31:31">
      <c r="AE31553" s="54"/>
    </row>
    <row r="31554" spans="31:31">
      <c r="AE31554" s="54"/>
    </row>
    <row r="31555" spans="31:31">
      <c r="AE31555" s="54"/>
    </row>
    <row r="31556" spans="31:31">
      <c r="AE31556" s="54"/>
    </row>
    <row r="31557" spans="31:31">
      <c r="AE31557" s="54"/>
    </row>
    <row r="31558" spans="31:31">
      <c r="AE31558" s="54"/>
    </row>
    <row r="31559" spans="31:31">
      <c r="AE31559" s="54"/>
    </row>
    <row r="31560" spans="31:31">
      <c r="AE31560" s="54"/>
    </row>
    <row r="31561" spans="31:31">
      <c r="AE31561" s="54"/>
    </row>
    <row r="31562" spans="31:31">
      <c r="AE31562" s="54"/>
    </row>
    <row r="31563" spans="31:31">
      <c r="AE31563" s="54"/>
    </row>
    <row r="31564" spans="31:31">
      <c r="AE31564" s="54"/>
    </row>
    <row r="31565" spans="31:31">
      <c r="AE31565" s="54"/>
    </row>
    <row r="31566" spans="31:31">
      <c r="AE31566" s="54"/>
    </row>
    <row r="31567" spans="31:31">
      <c r="AE31567" s="54"/>
    </row>
    <row r="31568" spans="31:31">
      <c r="AE31568" s="54"/>
    </row>
    <row r="31569" spans="31:31">
      <c r="AE31569" s="54"/>
    </row>
    <row r="31570" spans="31:31">
      <c r="AE31570" s="54"/>
    </row>
    <row r="31571" spans="31:31">
      <c r="AE31571" s="54"/>
    </row>
    <row r="31572" spans="31:31">
      <c r="AE31572" s="54"/>
    </row>
    <row r="31573" spans="31:31">
      <c r="AE31573" s="54"/>
    </row>
    <row r="31574" spans="31:31">
      <c r="AE31574" s="54"/>
    </row>
    <row r="31575" spans="31:31">
      <c r="AE31575" s="54"/>
    </row>
    <row r="31576" spans="31:31">
      <c r="AE31576" s="54"/>
    </row>
    <row r="31577" spans="31:31">
      <c r="AE31577" s="54"/>
    </row>
    <row r="31578" spans="31:31">
      <c r="AE31578" s="54"/>
    </row>
    <row r="31579" spans="31:31">
      <c r="AE31579" s="54"/>
    </row>
    <row r="31580" spans="31:31">
      <c r="AE31580" s="54"/>
    </row>
    <row r="31581" spans="31:31">
      <c r="AE31581" s="54"/>
    </row>
    <row r="31582" spans="31:31">
      <c r="AE31582" s="54"/>
    </row>
    <row r="31583" spans="31:31">
      <c r="AE31583" s="54"/>
    </row>
    <row r="31584" spans="31:31">
      <c r="AE31584" s="54"/>
    </row>
    <row r="31585" spans="31:31">
      <c r="AE31585" s="54"/>
    </row>
    <row r="31586" spans="31:31">
      <c r="AE31586" s="54"/>
    </row>
    <row r="31587" spans="31:31">
      <c r="AE31587" s="54"/>
    </row>
    <row r="31588" spans="31:31">
      <c r="AE31588" s="54"/>
    </row>
    <row r="31589" spans="31:31">
      <c r="AE31589" s="54"/>
    </row>
    <row r="31590" spans="31:31">
      <c r="AE31590" s="54"/>
    </row>
    <row r="31591" spans="31:31">
      <c r="AE31591" s="54"/>
    </row>
    <row r="31592" spans="31:31">
      <c r="AE31592" s="54"/>
    </row>
    <row r="31593" spans="31:31">
      <c r="AE31593" s="54"/>
    </row>
    <row r="31594" spans="31:31">
      <c r="AE31594" s="54"/>
    </row>
    <row r="31595" spans="31:31">
      <c r="AE31595" s="54"/>
    </row>
    <row r="31596" spans="31:31">
      <c r="AE31596" s="54"/>
    </row>
    <row r="31597" spans="31:31">
      <c r="AE31597" s="54"/>
    </row>
    <row r="31598" spans="31:31">
      <c r="AE31598" s="54"/>
    </row>
    <row r="31599" spans="31:31">
      <c r="AE31599" s="54"/>
    </row>
    <row r="31600" spans="31:31">
      <c r="AE31600" s="54"/>
    </row>
    <row r="31601" spans="31:31">
      <c r="AE31601" s="54"/>
    </row>
    <row r="31602" spans="31:31">
      <c r="AE31602" s="54"/>
    </row>
    <row r="31603" spans="31:31">
      <c r="AE31603" s="54"/>
    </row>
    <row r="31604" spans="31:31">
      <c r="AE31604" s="54"/>
    </row>
    <row r="31605" spans="31:31">
      <c r="AE31605" s="54"/>
    </row>
    <row r="31606" spans="31:31">
      <c r="AE31606" s="54"/>
    </row>
    <row r="31607" spans="31:31">
      <c r="AE31607" s="54"/>
    </row>
    <row r="31608" spans="31:31">
      <c r="AE31608" s="54"/>
    </row>
    <row r="31609" spans="31:31">
      <c r="AE31609" s="54"/>
    </row>
    <row r="31610" spans="31:31">
      <c r="AE31610" s="54"/>
    </row>
    <row r="31611" spans="31:31">
      <c r="AE31611" s="54"/>
    </row>
    <row r="31612" spans="31:31">
      <c r="AE31612" s="54"/>
    </row>
    <row r="31613" spans="31:31">
      <c r="AE31613" s="54"/>
    </row>
    <row r="31614" spans="31:31">
      <c r="AE31614" s="54"/>
    </row>
    <row r="31615" spans="31:31">
      <c r="AE31615" s="54"/>
    </row>
    <row r="31616" spans="31:31">
      <c r="AE31616" s="54"/>
    </row>
    <row r="31617" spans="31:31">
      <c r="AE31617" s="54"/>
    </row>
    <row r="31618" spans="31:31">
      <c r="AE31618" s="54"/>
    </row>
    <row r="31619" spans="31:31">
      <c r="AE31619" s="54"/>
    </row>
    <row r="31620" spans="31:31">
      <c r="AE31620" s="54"/>
    </row>
    <row r="31621" spans="31:31">
      <c r="AE31621" s="54"/>
    </row>
    <row r="31622" spans="31:31">
      <c r="AE31622" s="54"/>
    </row>
    <row r="31623" spans="31:31">
      <c r="AE31623" s="54"/>
    </row>
    <row r="31624" spans="31:31">
      <c r="AE31624" s="54"/>
    </row>
    <row r="31625" spans="31:31">
      <c r="AE31625" s="54"/>
    </row>
    <row r="31626" spans="31:31">
      <c r="AE31626" s="54"/>
    </row>
    <row r="31627" spans="31:31">
      <c r="AE31627" s="54"/>
    </row>
    <row r="31628" spans="31:31">
      <c r="AE31628" s="54"/>
    </row>
    <row r="31629" spans="31:31">
      <c r="AE31629" s="54"/>
    </row>
    <row r="31630" spans="31:31">
      <c r="AE31630" s="54"/>
    </row>
    <row r="31631" spans="31:31">
      <c r="AE31631" s="54"/>
    </row>
    <row r="31632" spans="31:31">
      <c r="AE31632" s="54"/>
    </row>
    <row r="31633" spans="31:31">
      <c r="AE31633" s="54"/>
    </row>
    <row r="31634" spans="31:31">
      <c r="AE31634" s="54"/>
    </row>
    <row r="31635" spans="31:31">
      <c r="AE31635" s="54"/>
    </row>
    <row r="31636" spans="31:31">
      <c r="AE31636" s="54"/>
    </row>
    <row r="31637" spans="31:31">
      <c r="AE31637" s="54"/>
    </row>
    <row r="31638" spans="31:31">
      <c r="AE31638" s="54"/>
    </row>
    <row r="31639" spans="31:31">
      <c r="AE31639" s="54"/>
    </row>
    <row r="31640" spans="31:31">
      <c r="AE31640" s="54"/>
    </row>
    <row r="31641" spans="31:31">
      <c r="AE31641" s="54"/>
    </row>
    <row r="31642" spans="31:31">
      <c r="AE31642" s="54"/>
    </row>
    <row r="31643" spans="31:31">
      <c r="AE31643" s="54"/>
    </row>
    <row r="31644" spans="31:31">
      <c r="AE31644" s="54"/>
    </row>
    <row r="31645" spans="31:31">
      <c r="AE31645" s="54"/>
    </row>
    <row r="31646" spans="31:31">
      <c r="AE31646" s="54"/>
    </row>
    <row r="31647" spans="31:31">
      <c r="AE31647" s="54"/>
    </row>
    <row r="31648" spans="31:31">
      <c r="AE31648" s="54"/>
    </row>
    <row r="31649" spans="31:31">
      <c r="AE31649" s="54"/>
    </row>
    <row r="31650" spans="31:31">
      <c r="AE31650" s="54"/>
    </row>
    <row r="31651" spans="31:31">
      <c r="AE31651" s="54"/>
    </row>
    <row r="31652" spans="31:31">
      <c r="AE31652" s="54"/>
    </row>
    <row r="31653" spans="31:31">
      <c r="AE31653" s="54"/>
    </row>
    <row r="31654" spans="31:31">
      <c r="AE31654" s="54"/>
    </row>
    <row r="31655" spans="31:31">
      <c r="AE31655" s="54"/>
    </row>
    <row r="31656" spans="31:31">
      <c r="AE31656" s="54"/>
    </row>
    <row r="31657" spans="31:31">
      <c r="AE31657" s="54"/>
    </row>
    <row r="31658" spans="31:31">
      <c r="AE31658" s="54"/>
    </row>
    <row r="31659" spans="31:31">
      <c r="AE31659" s="54"/>
    </row>
    <row r="31660" spans="31:31">
      <c r="AE31660" s="54"/>
    </row>
    <row r="31661" spans="31:31">
      <c r="AE31661" s="54"/>
    </row>
    <row r="31662" spans="31:31">
      <c r="AE31662" s="54"/>
    </row>
    <row r="31663" spans="31:31">
      <c r="AE31663" s="54"/>
    </row>
    <row r="31664" spans="31:31">
      <c r="AE31664" s="54"/>
    </row>
    <row r="31665" spans="31:31">
      <c r="AE31665" s="54"/>
    </row>
    <row r="31666" spans="31:31">
      <c r="AE31666" s="54"/>
    </row>
    <row r="31667" spans="31:31">
      <c r="AE31667" s="54"/>
    </row>
    <row r="31668" spans="31:31">
      <c r="AE31668" s="54"/>
    </row>
    <row r="31669" spans="31:31">
      <c r="AE31669" s="54"/>
    </row>
    <row r="31670" spans="31:31">
      <c r="AE31670" s="54"/>
    </row>
    <row r="31671" spans="31:31">
      <c r="AE31671" s="54"/>
    </row>
    <row r="31672" spans="31:31">
      <c r="AE31672" s="54"/>
    </row>
    <row r="31673" spans="31:31">
      <c r="AE31673" s="54"/>
    </row>
    <row r="31674" spans="31:31">
      <c r="AE31674" s="54"/>
    </row>
    <row r="31675" spans="31:31">
      <c r="AE31675" s="54"/>
    </row>
    <row r="31676" spans="31:31">
      <c r="AE31676" s="54"/>
    </row>
    <row r="31677" spans="31:31">
      <c r="AE31677" s="54"/>
    </row>
    <row r="31678" spans="31:31">
      <c r="AE31678" s="54"/>
    </row>
    <row r="31679" spans="31:31">
      <c r="AE31679" s="54"/>
    </row>
    <row r="31680" spans="31:31">
      <c r="AE31680" s="54"/>
    </row>
    <row r="31681" spans="31:31">
      <c r="AE31681" s="54"/>
    </row>
    <row r="31682" spans="31:31">
      <c r="AE31682" s="54"/>
    </row>
    <row r="31683" spans="31:31">
      <c r="AE31683" s="54"/>
    </row>
    <row r="31684" spans="31:31">
      <c r="AE31684" s="54"/>
    </row>
    <row r="31685" spans="31:31">
      <c r="AE31685" s="54"/>
    </row>
    <row r="31686" spans="31:31">
      <c r="AE31686" s="54"/>
    </row>
    <row r="31687" spans="31:31">
      <c r="AE31687" s="54"/>
    </row>
    <row r="31688" spans="31:31">
      <c r="AE31688" s="54"/>
    </row>
    <row r="31689" spans="31:31">
      <c r="AE31689" s="54"/>
    </row>
    <row r="31690" spans="31:31">
      <c r="AE31690" s="54"/>
    </row>
    <row r="31691" spans="31:31">
      <c r="AE31691" s="54"/>
    </row>
    <row r="31692" spans="31:31">
      <c r="AE31692" s="54"/>
    </row>
    <row r="31693" spans="31:31">
      <c r="AE31693" s="54"/>
    </row>
    <row r="31694" spans="31:31">
      <c r="AE31694" s="54"/>
    </row>
    <row r="31695" spans="31:31">
      <c r="AE31695" s="54"/>
    </row>
    <row r="31696" spans="31:31">
      <c r="AE31696" s="54"/>
    </row>
    <row r="31697" spans="31:31">
      <c r="AE31697" s="54"/>
    </row>
    <row r="31698" spans="31:31">
      <c r="AE31698" s="54"/>
    </row>
    <row r="31699" spans="31:31">
      <c r="AE31699" s="54"/>
    </row>
    <row r="31700" spans="31:31">
      <c r="AE31700" s="54"/>
    </row>
    <row r="31701" spans="31:31">
      <c r="AE31701" s="54"/>
    </row>
    <row r="31702" spans="31:31">
      <c r="AE31702" s="54"/>
    </row>
    <row r="31703" spans="31:31">
      <c r="AE31703" s="54"/>
    </row>
    <row r="31704" spans="31:31">
      <c r="AE31704" s="54"/>
    </row>
    <row r="31705" spans="31:31">
      <c r="AE31705" s="54"/>
    </row>
    <row r="31706" spans="31:31">
      <c r="AE31706" s="54"/>
    </row>
    <row r="31707" spans="31:31">
      <c r="AE31707" s="54"/>
    </row>
    <row r="31708" spans="31:31">
      <c r="AE31708" s="54"/>
    </row>
    <row r="31709" spans="31:31">
      <c r="AE31709" s="54"/>
    </row>
    <row r="31710" spans="31:31">
      <c r="AE31710" s="54"/>
    </row>
    <row r="31711" spans="31:31">
      <c r="AE31711" s="54"/>
    </row>
    <row r="31712" spans="31:31">
      <c r="AE31712" s="54"/>
    </row>
    <row r="31713" spans="31:31">
      <c r="AE31713" s="54"/>
    </row>
    <row r="31714" spans="31:31">
      <c r="AE31714" s="54"/>
    </row>
    <row r="31715" spans="31:31">
      <c r="AE31715" s="54"/>
    </row>
    <row r="31716" spans="31:31">
      <c r="AE31716" s="54"/>
    </row>
    <row r="31717" spans="31:31">
      <c r="AE31717" s="54"/>
    </row>
    <row r="31718" spans="31:31">
      <c r="AE31718" s="54"/>
    </row>
    <row r="31719" spans="31:31">
      <c r="AE31719" s="54"/>
    </row>
    <row r="31720" spans="31:31">
      <c r="AE31720" s="54"/>
    </row>
    <row r="31721" spans="31:31">
      <c r="AE31721" s="54"/>
    </row>
    <row r="31722" spans="31:31">
      <c r="AE31722" s="54"/>
    </row>
    <row r="31723" spans="31:31">
      <c r="AE31723" s="54"/>
    </row>
    <row r="31724" spans="31:31">
      <c r="AE31724" s="54"/>
    </row>
    <row r="31725" spans="31:31">
      <c r="AE31725" s="54"/>
    </row>
    <row r="31726" spans="31:31">
      <c r="AE31726" s="54"/>
    </row>
    <row r="31727" spans="31:31">
      <c r="AE31727" s="54"/>
    </row>
    <row r="31728" spans="31:31">
      <c r="AE31728" s="54"/>
    </row>
    <row r="31729" spans="31:31">
      <c r="AE31729" s="54"/>
    </row>
    <row r="31730" spans="31:31">
      <c r="AE31730" s="54"/>
    </row>
    <row r="31731" spans="31:31">
      <c r="AE31731" s="54"/>
    </row>
    <row r="31732" spans="31:31">
      <c r="AE31732" s="54"/>
    </row>
    <row r="31733" spans="31:31">
      <c r="AE31733" s="54"/>
    </row>
    <row r="31734" spans="31:31">
      <c r="AE31734" s="54"/>
    </row>
    <row r="31735" spans="31:31">
      <c r="AE31735" s="54"/>
    </row>
    <row r="31736" spans="31:31">
      <c r="AE31736" s="54"/>
    </row>
    <row r="31737" spans="31:31">
      <c r="AE31737" s="54"/>
    </row>
    <row r="31738" spans="31:31">
      <c r="AE31738" s="54"/>
    </row>
    <row r="31739" spans="31:31">
      <c r="AE31739" s="54"/>
    </row>
    <row r="31740" spans="31:31">
      <c r="AE31740" s="54"/>
    </row>
    <row r="31741" spans="31:31">
      <c r="AE31741" s="54"/>
    </row>
    <row r="31742" spans="31:31">
      <c r="AE31742" s="54"/>
    </row>
    <row r="31743" spans="31:31">
      <c r="AE31743" s="54"/>
    </row>
    <row r="31744" spans="31:31">
      <c r="AE31744" s="54"/>
    </row>
    <row r="31745" spans="31:31">
      <c r="AE31745" s="54"/>
    </row>
    <row r="31746" spans="31:31">
      <c r="AE31746" s="54"/>
    </row>
    <row r="31747" spans="31:31">
      <c r="AE31747" s="54"/>
    </row>
    <row r="31748" spans="31:31">
      <c r="AE31748" s="54"/>
    </row>
    <row r="31749" spans="31:31">
      <c r="AE31749" s="54"/>
    </row>
    <row r="31750" spans="31:31">
      <c r="AE31750" s="54"/>
    </row>
    <row r="31751" spans="31:31">
      <c r="AE31751" s="54"/>
    </row>
    <row r="31752" spans="31:31">
      <c r="AE31752" s="54"/>
    </row>
    <row r="31753" spans="31:31">
      <c r="AE31753" s="54"/>
    </row>
    <row r="31754" spans="31:31">
      <c r="AE31754" s="54"/>
    </row>
    <row r="31755" spans="31:31">
      <c r="AE31755" s="54"/>
    </row>
    <row r="31756" spans="31:31">
      <c r="AE31756" s="54"/>
    </row>
    <row r="31757" spans="31:31">
      <c r="AE31757" s="54"/>
    </row>
    <row r="31758" spans="31:31">
      <c r="AE31758" s="54"/>
    </row>
    <row r="31759" spans="31:31">
      <c r="AE31759" s="54"/>
    </row>
    <row r="31760" spans="31:31">
      <c r="AE31760" s="54"/>
    </row>
    <row r="31761" spans="31:31">
      <c r="AE31761" s="54"/>
    </row>
    <row r="31762" spans="31:31">
      <c r="AE31762" s="54"/>
    </row>
    <row r="31763" spans="31:31">
      <c r="AE31763" s="54"/>
    </row>
    <row r="31764" spans="31:31">
      <c r="AE31764" s="54"/>
    </row>
    <row r="31765" spans="31:31">
      <c r="AE31765" s="54"/>
    </row>
    <row r="31766" spans="31:31">
      <c r="AE31766" s="54"/>
    </row>
    <row r="31767" spans="31:31">
      <c r="AE31767" s="54"/>
    </row>
    <row r="31768" spans="31:31">
      <c r="AE31768" s="54"/>
    </row>
    <row r="31769" spans="31:31">
      <c r="AE31769" s="54"/>
    </row>
    <row r="31770" spans="31:31">
      <c r="AE31770" s="54"/>
    </row>
    <row r="31771" spans="31:31">
      <c r="AE31771" s="54"/>
    </row>
    <row r="31772" spans="31:31">
      <c r="AE31772" s="54"/>
    </row>
    <row r="31773" spans="31:31">
      <c r="AE31773" s="54"/>
    </row>
    <row r="31774" spans="31:31">
      <c r="AE31774" s="54"/>
    </row>
    <row r="31775" spans="31:31">
      <c r="AE31775" s="54"/>
    </row>
    <row r="31776" spans="31:31">
      <c r="AE31776" s="54"/>
    </row>
    <row r="31777" spans="31:31">
      <c r="AE31777" s="54"/>
    </row>
    <row r="31778" spans="31:31">
      <c r="AE31778" s="54"/>
    </row>
    <row r="31779" spans="31:31">
      <c r="AE31779" s="54"/>
    </row>
    <row r="31780" spans="31:31">
      <c r="AE31780" s="54"/>
    </row>
    <row r="31781" spans="31:31">
      <c r="AE31781" s="54"/>
    </row>
    <row r="31782" spans="31:31">
      <c r="AE31782" s="54"/>
    </row>
    <row r="31783" spans="31:31">
      <c r="AE31783" s="54"/>
    </row>
    <row r="31784" spans="31:31">
      <c r="AE31784" s="54"/>
    </row>
    <row r="31785" spans="31:31">
      <c r="AE31785" s="54"/>
    </row>
    <row r="31786" spans="31:31">
      <c r="AE31786" s="54"/>
    </row>
    <row r="31787" spans="31:31">
      <c r="AE31787" s="54"/>
    </row>
    <row r="31788" spans="31:31">
      <c r="AE31788" s="54"/>
    </row>
    <row r="31789" spans="31:31">
      <c r="AE31789" s="54"/>
    </row>
    <row r="31790" spans="31:31">
      <c r="AE31790" s="54"/>
    </row>
    <row r="31791" spans="31:31">
      <c r="AE31791" s="54"/>
    </row>
    <row r="31792" spans="31:31">
      <c r="AE31792" s="54"/>
    </row>
    <row r="31793" spans="31:31">
      <c r="AE31793" s="54"/>
    </row>
    <row r="31794" spans="31:31">
      <c r="AE31794" s="54"/>
    </row>
    <row r="31795" spans="31:31">
      <c r="AE31795" s="54"/>
    </row>
    <row r="31796" spans="31:31">
      <c r="AE31796" s="54"/>
    </row>
    <row r="31797" spans="31:31">
      <c r="AE31797" s="54"/>
    </row>
    <row r="31798" spans="31:31">
      <c r="AE31798" s="54"/>
    </row>
    <row r="31799" spans="31:31">
      <c r="AE31799" s="54"/>
    </row>
    <row r="31800" spans="31:31">
      <c r="AE31800" s="54"/>
    </row>
    <row r="31801" spans="31:31">
      <c r="AE31801" s="54"/>
    </row>
    <row r="31802" spans="31:31">
      <c r="AE31802" s="54"/>
    </row>
    <row r="31803" spans="31:31">
      <c r="AE31803" s="54"/>
    </row>
    <row r="31804" spans="31:31">
      <c r="AE31804" s="54"/>
    </row>
    <row r="31805" spans="31:31">
      <c r="AE31805" s="54"/>
    </row>
    <row r="31806" spans="31:31">
      <c r="AE31806" s="54"/>
    </row>
    <row r="31807" spans="31:31">
      <c r="AE31807" s="54"/>
    </row>
    <row r="31808" spans="31:31">
      <c r="AE31808" s="54"/>
    </row>
    <row r="31809" spans="31:31">
      <c r="AE31809" s="54"/>
    </row>
    <row r="31810" spans="31:31">
      <c r="AE31810" s="54"/>
    </row>
    <row r="31811" spans="31:31">
      <c r="AE31811" s="54"/>
    </row>
    <row r="31812" spans="31:31">
      <c r="AE31812" s="54"/>
    </row>
    <row r="31813" spans="31:31">
      <c r="AE31813" s="54"/>
    </row>
    <row r="31814" spans="31:31">
      <c r="AE31814" s="54"/>
    </row>
    <row r="31815" spans="31:31">
      <c r="AE31815" s="54"/>
    </row>
    <row r="31816" spans="31:31">
      <c r="AE31816" s="54"/>
    </row>
    <row r="31817" spans="31:31">
      <c r="AE31817" s="54"/>
    </row>
    <row r="31818" spans="31:31">
      <c r="AE31818" s="54"/>
    </row>
    <row r="31819" spans="31:31">
      <c r="AE31819" s="54"/>
    </row>
    <row r="31820" spans="31:31">
      <c r="AE31820" s="54"/>
    </row>
    <row r="31821" spans="31:31">
      <c r="AE31821" s="54"/>
    </row>
    <row r="31822" spans="31:31">
      <c r="AE31822" s="54"/>
    </row>
    <row r="31823" spans="31:31">
      <c r="AE31823" s="54"/>
    </row>
    <row r="31824" spans="31:31">
      <c r="AE31824" s="54"/>
    </row>
    <row r="31825" spans="31:31">
      <c r="AE31825" s="54"/>
    </row>
    <row r="31826" spans="31:31">
      <c r="AE31826" s="54"/>
    </row>
    <row r="31827" spans="31:31">
      <c r="AE31827" s="54"/>
    </row>
    <row r="31828" spans="31:31">
      <c r="AE31828" s="54"/>
    </row>
    <row r="31829" spans="31:31">
      <c r="AE31829" s="54"/>
    </row>
    <row r="31830" spans="31:31">
      <c r="AE31830" s="54"/>
    </row>
    <row r="31831" spans="31:31">
      <c r="AE31831" s="54"/>
    </row>
    <row r="31832" spans="31:31">
      <c r="AE31832" s="54"/>
    </row>
    <row r="31833" spans="31:31">
      <c r="AE31833" s="54"/>
    </row>
    <row r="31834" spans="31:31">
      <c r="AE31834" s="54"/>
    </row>
    <row r="31835" spans="31:31">
      <c r="AE31835" s="54"/>
    </row>
    <row r="31836" spans="31:31">
      <c r="AE31836" s="54"/>
    </row>
    <row r="31837" spans="31:31">
      <c r="AE31837" s="54"/>
    </row>
    <row r="31838" spans="31:31">
      <c r="AE31838" s="54"/>
    </row>
    <row r="31839" spans="31:31">
      <c r="AE31839" s="54"/>
    </row>
    <row r="31840" spans="31:31">
      <c r="AE31840" s="54"/>
    </row>
    <row r="31841" spans="31:31">
      <c r="AE31841" s="54"/>
    </row>
    <row r="31842" spans="31:31">
      <c r="AE31842" s="54"/>
    </row>
    <row r="31843" spans="31:31">
      <c r="AE31843" s="54"/>
    </row>
    <row r="31844" spans="31:31">
      <c r="AE31844" s="54"/>
    </row>
    <row r="31845" spans="31:31">
      <c r="AE31845" s="54"/>
    </row>
    <row r="31846" spans="31:31">
      <c r="AE31846" s="54"/>
    </row>
    <row r="31847" spans="31:31">
      <c r="AE31847" s="54"/>
    </row>
    <row r="31848" spans="31:31">
      <c r="AE31848" s="54"/>
    </row>
    <row r="31849" spans="31:31">
      <c r="AE31849" s="54"/>
    </row>
    <row r="31850" spans="31:31">
      <c r="AE31850" s="54"/>
    </row>
    <row r="31851" spans="31:31">
      <c r="AE31851" s="54"/>
    </row>
    <row r="31852" spans="31:31">
      <c r="AE31852" s="54"/>
    </row>
    <row r="31853" spans="31:31">
      <c r="AE31853" s="54"/>
    </row>
    <row r="31854" spans="31:31">
      <c r="AE31854" s="54"/>
    </row>
    <row r="31855" spans="31:31">
      <c r="AE31855" s="54"/>
    </row>
    <row r="31856" spans="31:31">
      <c r="AE31856" s="54"/>
    </row>
    <row r="31857" spans="31:31">
      <c r="AE31857" s="54"/>
    </row>
    <row r="31858" spans="31:31">
      <c r="AE31858" s="54"/>
    </row>
    <row r="31859" spans="31:31">
      <c r="AE31859" s="54"/>
    </row>
    <row r="31860" spans="31:31">
      <c r="AE31860" s="54"/>
    </row>
    <row r="31861" spans="31:31">
      <c r="AE31861" s="54"/>
    </row>
    <row r="31862" spans="31:31">
      <c r="AE31862" s="54"/>
    </row>
    <row r="31863" spans="31:31">
      <c r="AE31863" s="54"/>
    </row>
    <row r="31864" spans="31:31">
      <c r="AE31864" s="54"/>
    </row>
    <row r="31865" spans="31:31">
      <c r="AE31865" s="54"/>
    </row>
    <row r="31866" spans="31:31">
      <c r="AE31866" s="54"/>
    </row>
    <row r="31867" spans="31:31">
      <c r="AE31867" s="54"/>
    </row>
    <row r="31868" spans="31:31">
      <c r="AE31868" s="54"/>
    </row>
    <row r="31869" spans="31:31">
      <c r="AE31869" s="54"/>
    </row>
    <row r="31870" spans="31:31">
      <c r="AE31870" s="54"/>
    </row>
    <row r="31871" spans="31:31">
      <c r="AE31871" s="54"/>
    </row>
    <row r="31872" spans="31:31">
      <c r="AE31872" s="54"/>
    </row>
    <row r="31873" spans="31:31">
      <c r="AE31873" s="54"/>
    </row>
    <row r="31874" spans="31:31">
      <c r="AE31874" s="54"/>
    </row>
    <row r="31875" spans="31:31">
      <c r="AE31875" s="54"/>
    </row>
    <row r="31876" spans="31:31">
      <c r="AE31876" s="54"/>
    </row>
    <row r="31877" spans="31:31">
      <c r="AE31877" s="54"/>
    </row>
    <row r="31878" spans="31:31">
      <c r="AE31878" s="54"/>
    </row>
    <row r="31879" spans="31:31">
      <c r="AE31879" s="54"/>
    </row>
    <row r="31880" spans="31:31">
      <c r="AE31880" s="54"/>
    </row>
    <row r="31881" spans="31:31">
      <c r="AE31881" s="54"/>
    </row>
    <row r="31882" spans="31:31">
      <c r="AE31882" s="54"/>
    </row>
    <row r="31883" spans="31:31">
      <c r="AE31883" s="54"/>
    </row>
    <row r="31884" spans="31:31">
      <c r="AE31884" s="54"/>
    </row>
    <row r="31885" spans="31:31">
      <c r="AE31885" s="54"/>
    </row>
    <row r="31886" spans="31:31">
      <c r="AE31886" s="54"/>
    </row>
    <row r="31887" spans="31:31">
      <c r="AE31887" s="54"/>
    </row>
    <row r="31888" spans="31:31">
      <c r="AE31888" s="54"/>
    </row>
    <row r="31889" spans="31:31">
      <c r="AE31889" s="54"/>
    </row>
    <row r="31890" spans="31:31">
      <c r="AE31890" s="54"/>
    </row>
    <row r="31891" spans="31:31">
      <c r="AE31891" s="54"/>
    </row>
    <row r="31892" spans="31:31">
      <c r="AE31892" s="54"/>
    </row>
    <row r="31893" spans="31:31">
      <c r="AE31893" s="54"/>
    </row>
    <row r="31894" spans="31:31">
      <c r="AE31894" s="54"/>
    </row>
    <row r="31895" spans="31:31">
      <c r="AE31895" s="54"/>
    </row>
    <row r="31896" spans="31:31">
      <c r="AE31896" s="54"/>
    </row>
    <row r="31897" spans="31:31">
      <c r="AE31897" s="54"/>
    </row>
    <row r="31898" spans="31:31">
      <c r="AE31898" s="54"/>
    </row>
    <row r="31899" spans="31:31">
      <c r="AE31899" s="54"/>
    </row>
    <row r="31900" spans="31:31">
      <c r="AE31900" s="54"/>
    </row>
    <row r="31901" spans="31:31">
      <c r="AE31901" s="54"/>
    </row>
    <row r="31902" spans="31:31">
      <c r="AE31902" s="54"/>
    </row>
    <row r="31903" spans="31:31">
      <c r="AE31903" s="54"/>
    </row>
    <row r="31904" spans="31:31">
      <c r="AE31904" s="54"/>
    </row>
    <row r="31905" spans="31:31">
      <c r="AE31905" s="54"/>
    </row>
    <row r="31906" spans="31:31">
      <c r="AE31906" s="54"/>
    </row>
    <row r="31907" spans="31:31">
      <c r="AE31907" s="54"/>
    </row>
    <row r="31908" spans="31:31">
      <c r="AE31908" s="54"/>
    </row>
    <row r="31909" spans="31:31">
      <c r="AE31909" s="54"/>
    </row>
    <row r="31910" spans="31:31">
      <c r="AE31910" s="54"/>
    </row>
    <row r="31911" spans="31:31">
      <c r="AE31911" s="54"/>
    </row>
    <row r="31912" spans="31:31">
      <c r="AE31912" s="54"/>
    </row>
    <row r="31913" spans="31:31">
      <c r="AE31913" s="54"/>
    </row>
    <row r="31914" spans="31:31">
      <c r="AE31914" s="54"/>
    </row>
    <row r="31915" spans="31:31">
      <c r="AE31915" s="54"/>
    </row>
    <row r="31916" spans="31:31">
      <c r="AE31916" s="54"/>
    </row>
    <row r="31917" spans="31:31">
      <c r="AE31917" s="54"/>
    </row>
    <row r="31918" spans="31:31">
      <c r="AE31918" s="54"/>
    </row>
    <row r="31919" spans="31:31">
      <c r="AE31919" s="54"/>
    </row>
    <row r="31920" spans="31:31">
      <c r="AE31920" s="54"/>
    </row>
    <row r="31921" spans="31:31">
      <c r="AE31921" s="54"/>
    </row>
    <row r="31922" spans="31:31">
      <c r="AE31922" s="54"/>
    </row>
    <row r="31923" spans="31:31">
      <c r="AE31923" s="54"/>
    </row>
    <row r="31924" spans="31:31">
      <c r="AE31924" s="54"/>
    </row>
    <row r="31925" spans="31:31">
      <c r="AE31925" s="54"/>
    </row>
    <row r="31926" spans="31:31">
      <c r="AE31926" s="54"/>
    </row>
    <row r="31927" spans="31:31">
      <c r="AE31927" s="54"/>
    </row>
    <row r="31928" spans="31:31">
      <c r="AE31928" s="54"/>
    </row>
    <row r="31929" spans="31:31">
      <c r="AE31929" s="54"/>
    </row>
    <row r="31930" spans="31:31">
      <c r="AE31930" s="54"/>
    </row>
    <row r="31931" spans="31:31">
      <c r="AE31931" s="54"/>
    </row>
    <row r="31932" spans="31:31">
      <c r="AE31932" s="54"/>
    </row>
    <row r="31933" spans="31:31">
      <c r="AE31933" s="54"/>
    </row>
    <row r="31934" spans="31:31">
      <c r="AE31934" s="54"/>
    </row>
    <row r="31935" spans="31:31">
      <c r="AE31935" s="54"/>
    </row>
    <row r="31936" spans="31:31">
      <c r="AE31936" s="54"/>
    </row>
    <row r="31937" spans="31:31">
      <c r="AE31937" s="54"/>
    </row>
    <row r="31938" spans="31:31">
      <c r="AE31938" s="54"/>
    </row>
    <row r="31939" spans="31:31">
      <c r="AE31939" s="54"/>
    </row>
    <row r="31940" spans="31:31">
      <c r="AE31940" s="54"/>
    </row>
    <row r="31941" spans="31:31">
      <c r="AE31941" s="54"/>
    </row>
    <row r="31942" spans="31:31">
      <c r="AE31942" s="54"/>
    </row>
    <row r="31943" spans="31:31">
      <c r="AE31943" s="54"/>
    </row>
    <row r="31944" spans="31:31">
      <c r="AE31944" s="54"/>
    </row>
    <row r="31945" spans="31:31">
      <c r="AE31945" s="54"/>
    </row>
    <row r="31946" spans="31:31">
      <c r="AE31946" s="54"/>
    </row>
    <row r="31947" spans="31:31">
      <c r="AE31947" s="54"/>
    </row>
    <row r="31948" spans="31:31">
      <c r="AE31948" s="54"/>
    </row>
    <row r="31949" spans="31:31">
      <c r="AE31949" s="54"/>
    </row>
    <row r="31950" spans="31:31">
      <c r="AE31950" s="54"/>
    </row>
    <row r="31951" spans="31:31">
      <c r="AE31951" s="54"/>
    </row>
    <row r="31952" spans="31:31">
      <c r="AE31952" s="54"/>
    </row>
    <row r="31953" spans="31:31">
      <c r="AE31953" s="54"/>
    </row>
    <row r="31954" spans="31:31">
      <c r="AE31954" s="54"/>
    </row>
    <row r="31955" spans="31:31">
      <c r="AE31955" s="54"/>
    </row>
    <row r="31956" spans="31:31">
      <c r="AE31956" s="54"/>
    </row>
    <row r="31957" spans="31:31">
      <c r="AE31957" s="54"/>
    </row>
    <row r="31958" spans="31:31">
      <c r="AE31958" s="54"/>
    </row>
    <row r="31959" spans="31:31">
      <c r="AE31959" s="54"/>
    </row>
    <row r="31960" spans="31:31">
      <c r="AE31960" s="54"/>
    </row>
    <row r="31961" spans="31:31">
      <c r="AE31961" s="54"/>
    </row>
    <row r="31962" spans="31:31">
      <c r="AE31962" s="54"/>
    </row>
    <row r="31963" spans="31:31">
      <c r="AE31963" s="54"/>
    </row>
    <row r="31964" spans="31:31">
      <c r="AE31964" s="54"/>
    </row>
    <row r="31965" spans="31:31">
      <c r="AE31965" s="54"/>
    </row>
    <row r="31966" spans="31:31">
      <c r="AE31966" s="54"/>
    </row>
    <row r="31967" spans="31:31">
      <c r="AE31967" s="54"/>
    </row>
    <row r="31968" spans="31:31">
      <c r="AE31968" s="54"/>
    </row>
    <row r="31969" spans="31:31">
      <c r="AE31969" s="54"/>
    </row>
    <row r="31970" spans="31:31">
      <c r="AE31970" s="54"/>
    </row>
    <row r="31971" spans="31:31">
      <c r="AE31971" s="54"/>
    </row>
    <row r="31972" spans="31:31">
      <c r="AE31972" s="54"/>
    </row>
    <row r="31973" spans="31:31">
      <c r="AE31973" s="54"/>
    </row>
    <row r="31974" spans="31:31">
      <c r="AE31974" s="54"/>
    </row>
    <row r="31975" spans="31:31">
      <c r="AE31975" s="54"/>
    </row>
    <row r="31976" spans="31:31">
      <c r="AE31976" s="54"/>
    </row>
    <row r="31977" spans="31:31">
      <c r="AE31977" s="54"/>
    </row>
    <row r="31978" spans="31:31">
      <c r="AE31978" s="54"/>
    </row>
    <row r="31979" spans="31:31">
      <c r="AE31979" s="54"/>
    </row>
    <row r="31980" spans="31:31">
      <c r="AE31980" s="54"/>
    </row>
    <row r="31981" spans="31:31">
      <c r="AE31981" s="54"/>
    </row>
    <row r="31982" spans="31:31">
      <c r="AE31982" s="54"/>
    </row>
    <row r="31983" spans="31:31">
      <c r="AE31983" s="54"/>
    </row>
    <row r="31984" spans="31:31">
      <c r="AE31984" s="54"/>
    </row>
    <row r="31985" spans="31:31">
      <c r="AE31985" s="54"/>
    </row>
    <row r="31986" spans="31:31">
      <c r="AE31986" s="54"/>
    </row>
    <row r="31987" spans="31:31">
      <c r="AE31987" s="54"/>
    </row>
    <row r="31988" spans="31:31">
      <c r="AE31988" s="54"/>
    </row>
    <row r="31989" spans="31:31">
      <c r="AE31989" s="54"/>
    </row>
    <row r="31990" spans="31:31">
      <c r="AE31990" s="54"/>
    </row>
    <row r="31991" spans="31:31">
      <c r="AE31991" s="54"/>
    </row>
    <row r="31992" spans="31:31">
      <c r="AE31992" s="54"/>
    </row>
    <row r="31993" spans="31:31">
      <c r="AE31993" s="54"/>
    </row>
    <row r="31994" spans="31:31">
      <c r="AE31994" s="54"/>
    </row>
    <row r="31995" spans="31:31">
      <c r="AE31995" s="54"/>
    </row>
    <row r="31996" spans="31:31">
      <c r="AE31996" s="54"/>
    </row>
    <row r="31997" spans="31:31">
      <c r="AE31997" s="54"/>
    </row>
    <row r="31998" spans="31:31">
      <c r="AE31998" s="54"/>
    </row>
    <row r="31999" spans="31:31">
      <c r="AE31999" s="54"/>
    </row>
    <row r="32000" spans="31:31">
      <c r="AE32000" s="54"/>
    </row>
    <row r="32001" spans="31:31">
      <c r="AE32001" s="54"/>
    </row>
    <row r="32002" spans="31:31">
      <c r="AE32002" s="54"/>
    </row>
    <row r="32003" spans="31:31">
      <c r="AE32003" s="54"/>
    </row>
    <row r="32004" spans="31:31">
      <c r="AE32004" s="54"/>
    </row>
    <row r="32005" spans="31:31">
      <c r="AE32005" s="54"/>
    </row>
    <row r="32006" spans="31:31">
      <c r="AE32006" s="54"/>
    </row>
    <row r="32007" spans="31:31">
      <c r="AE32007" s="54"/>
    </row>
    <row r="32008" spans="31:31">
      <c r="AE32008" s="54"/>
    </row>
    <row r="32009" spans="31:31">
      <c r="AE32009" s="54"/>
    </row>
    <row r="32010" spans="31:31">
      <c r="AE32010" s="54"/>
    </row>
    <row r="32011" spans="31:31">
      <c r="AE32011" s="54"/>
    </row>
    <row r="32012" spans="31:31">
      <c r="AE32012" s="54"/>
    </row>
    <row r="32013" spans="31:31">
      <c r="AE32013" s="54"/>
    </row>
    <row r="32014" spans="31:31">
      <c r="AE32014" s="54"/>
    </row>
    <row r="32015" spans="31:31">
      <c r="AE32015" s="54"/>
    </row>
    <row r="32016" spans="31:31">
      <c r="AE32016" s="54"/>
    </row>
    <row r="32017" spans="31:31">
      <c r="AE32017" s="54"/>
    </row>
    <row r="32018" spans="31:31">
      <c r="AE32018" s="54"/>
    </row>
    <row r="32019" spans="31:31">
      <c r="AE32019" s="54"/>
    </row>
    <row r="32020" spans="31:31">
      <c r="AE32020" s="54"/>
    </row>
    <row r="32021" spans="31:31">
      <c r="AE32021" s="54"/>
    </row>
    <row r="32022" spans="31:31">
      <c r="AE32022" s="54"/>
    </row>
    <row r="32023" spans="31:31">
      <c r="AE32023" s="54"/>
    </row>
    <row r="32024" spans="31:31">
      <c r="AE32024" s="54"/>
    </row>
    <row r="32025" spans="31:31">
      <c r="AE32025" s="54"/>
    </row>
    <row r="32026" spans="31:31">
      <c r="AE32026" s="54"/>
    </row>
    <row r="32027" spans="31:31">
      <c r="AE32027" s="54"/>
    </row>
    <row r="32028" spans="31:31">
      <c r="AE32028" s="54"/>
    </row>
    <row r="32029" spans="31:31">
      <c r="AE32029" s="54"/>
    </row>
    <row r="32030" spans="31:31">
      <c r="AE32030" s="54"/>
    </row>
    <row r="32031" spans="31:31">
      <c r="AE32031" s="54"/>
    </row>
    <row r="32032" spans="31:31">
      <c r="AE32032" s="54"/>
    </row>
    <row r="32033" spans="31:31">
      <c r="AE32033" s="54"/>
    </row>
    <row r="32034" spans="31:31">
      <c r="AE32034" s="54"/>
    </row>
    <row r="32035" spans="31:31">
      <c r="AE32035" s="54"/>
    </row>
    <row r="32036" spans="31:31">
      <c r="AE32036" s="54"/>
    </row>
    <row r="32037" spans="31:31">
      <c r="AE32037" s="54"/>
    </row>
    <row r="32038" spans="31:31">
      <c r="AE32038" s="54"/>
    </row>
    <row r="32039" spans="31:31">
      <c r="AE32039" s="54"/>
    </row>
    <row r="32040" spans="31:31">
      <c r="AE32040" s="54"/>
    </row>
    <row r="32041" spans="31:31">
      <c r="AE32041" s="54"/>
    </row>
    <row r="32042" spans="31:31">
      <c r="AE32042" s="54"/>
    </row>
    <row r="32043" spans="31:31">
      <c r="AE32043" s="54"/>
    </row>
    <row r="32044" spans="31:31">
      <c r="AE32044" s="54"/>
    </row>
    <row r="32045" spans="31:31">
      <c r="AE32045" s="54"/>
    </row>
    <row r="32046" spans="31:31">
      <c r="AE32046" s="54"/>
    </row>
    <row r="32047" spans="31:31">
      <c r="AE32047" s="54"/>
    </row>
    <row r="32048" spans="31:31">
      <c r="AE32048" s="54"/>
    </row>
    <row r="32049" spans="31:31">
      <c r="AE32049" s="54"/>
    </row>
    <row r="32050" spans="31:31">
      <c r="AE32050" s="54"/>
    </row>
    <row r="32051" spans="31:31">
      <c r="AE32051" s="54"/>
    </row>
    <row r="32052" spans="31:31">
      <c r="AE32052" s="54"/>
    </row>
    <row r="32053" spans="31:31">
      <c r="AE32053" s="54"/>
    </row>
    <row r="32054" spans="31:31">
      <c r="AE32054" s="54"/>
    </row>
    <row r="32055" spans="31:31">
      <c r="AE32055" s="54"/>
    </row>
    <row r="32056" spans="31:31">
      <c r="AE32056" s="54"/>
    </row>
    <row r="32057" spans="31:31">
      <c r="AE32057" s="54"/>
    </row>
    <row r="32058" spans="31:31">
      <c r="AE32058" s="54"/>
    </row>
    <row r="32059" spans="31:31">
      <c r="AE32059" s="54"/>
    </row>
    <row r="32060" spans="31:31">
      <c r="AE32060" s="54"/>
    </row>
    <row r="32061" spans="31:31">
      <c r="AE32061" s="54"/>
    </row>
    <row r="32062" spans="31:31">
      <c r="AE32062" s="54"/>
    </row>
    <row r="32063" spans="31:31">
      <c r="AE32063" s="54"/>
    </row>
    <row r="32064" spans="31:31">
      <c r="AE32064" s="54"/>
    </row>
    <row r="32065" spans="31:31">
      <c r="AE32065" s="54"/>
    </row>
    <row r="32066" spans="31:31">
      <c r="AE32066" s="54"/>
    </row>
    <row r="32067" spans="31:31">
      <c r="AE32067" s="54"/>
    </row>
    <row r="32068" spans="31:31">
      <c r="AE32068" s="54"/>
    </row>
    <row r="32069" spans="31:31">
      <c r="AE32069" s="54"/>
    </row>
    <row r="32070" spans="31:31">
      <c r="AE32070" s="54"/>
    </row>
    <row r="32071" spans="31:31">
      <c r="AE32071" s="54"/>
    </row>
    <row r="32072" spans="31:31">
      <c r="AE32072" s="54"/>
    </row>
    <row r="32073" spans="31:31">
      <c r="AE32073" s="54"/>
    </row>
    <row r="32074" spans="31:31">
      <c r="AE32074" s="54"/>
    </row>
    <row r="32075" spans="31:31">
      <c r="AE32075" s="54"/>
    </row>
    <row r="32076" spans="31:31">
      <c r="AE32076" s="54"/>
    </row>
    <row r="32077" spans="31:31">
      <c r="AE32077" s="54"/>
    </row>
    <row r="32078" spans="31:31">
      <c r="AE32078" s="54"/>
    </row>
    <row r="32079" spans="31:31">
      <c r="AE32079" s="54"/>
    </row>
    <row r="32080" spans="31:31">
      <c r="AE32080" s="54"/>
    </row>
    <row r="32081" spans="31:31">
      <c r="AE32081" s="54"/>
    </row>
    <row r="32082" spans="31:31">
      <c r="AE32082" s="54"/>
    </row>
    <row r="32083" spans="31:31">
      <c r="AE32083" s="54"/>
    </row>
    <row r="32084" spans="31:31">
      <c r="AE32084" s="54"/>
    </row>
    <row r="32085" spans="31:31">
      <c r="AE32085" s="54"/>
    </row>
    <row r="32086" spans="31:31">
      <c r="AE32086" s="54"/>
    </row>
    <row r="32087" spans="31:31">
      <c r="AE32087" s="54"/>
    </row>
    <row r="32088" spans="31:31">
      <c r="AE32088" s="54"/>
    </row>
    <row r="32089" spans="31:31">
      <c r="AE32089" s="54"/>
    </row>
    <row r="32090" spans="31:31">
      <c r="AE32090" s="54"/>
    </row>
    <row r="32091" spans="31:31">
      <c r="AE32091" s="54"/>
    </row>
    <row r="32092" spans="31:31">
      <c r="AE32092" s="54"/>
    </row>
    <row r="32093" spans="31:31">
      <c r="AE32093" s="54"/>
    </row>
    <row r="32094" spans="31:31">
      <c r="AE32094" s="54"/>
    </row>
    <row r="32095" spans="31:31">
      <c r="AE32095" s="54"/>
    </row>
    <row r="32096" spans="31:31">
      <c r="AE32096" s="54"/>
    </row>
    <row r="32097" spans="31:31">
      <c r="AE32097" s="54"/>
    </row>
    <row r="32098" spans="31:31">
      <c r="AE32098" s="54"/>
    </row>
    <row r="32099" spans="31:31">
      <c r="AE32099" s="54"/>
    </row>
    <row r="32100" spans="31:31">
      <c r="AE32100" s="54"/>
    </row>
    <row r="32101" spans="31:31">
      <c r="AE32101" s="54"/>
    </row>
    <row r="32102" spans="31:31">
      <c r="AE32102" s="54"/>
    </row>
    <row r="32103" spans="31:31">
      <c r="AE32103" s="54"/>
    </row>
    <row r="32104" spans="31:31">
      <c r="AE32104" s="54"/>
    </row>
    <row r="32105" spans="31:31">
      <c r="AE32105" s="54"/>
    </row>
    <row r="32106" spans="31:31">
      <c r="AE32106" s="54"/>
    </row>
    <row r="32107" spans="31:31">
      <c r="AE32107" s="54"/>
    </row>
    <row r="32108" spans="31:31">
      <c r="AE32108" s="54"/>
    </row>
    <row r="32109" spans="31:31">
      <c r="AE32109" s="54"/>
    </row>
    <row r="32110" spans="31:31">
      <c r="AE32110" s="54"/>
    </row>
    <row r="32111" spans="31:31">
      <c r="AE32111" s="54"/>
    </row>
    <row r="32112" spans="31:31">
      <c r="AE32112" s="54"/>
    </row>
    <row r="32113" spans="31:31">
      <c r="AE32113" s="54"/>
    </row>
    <row r="32114" spans="31:31">
      <c r="AE32114" s="54"/>
    </row>
    <row r="32115" spans="31:31">
      <c r="AE32115" s="54"/>
    </row>
    <row r="32116" spans="31:31">
      <c r="AE32116" s="54"/>
    </row>
    <row r="32117" spans="31:31">
      <c r="AE32117" s="54"/>
    </row>
    <row r="32118" spans="31:31">
      <c r="AE32118" s="54"/>
    </row>
    <row r="32119" spans="31:31">
      <c r="AE32119" s="54"/>
    </row>
    <row r="32120" spans="31:31">
      <c r="AE32120" s="54"/>
    </row>
    <row r="32121" spans="31:31">
      <c r="AE32121" s="54"/>
    </row>
    <row r="32122" spans="31:31">
      <c r="AE32122" s="54"/>
    </row>
    <row r="32123" spans="31:31">
      <c r="AE32123" s="54"/>
    </row>
    <row r="32124" spans="31:31">
      <c r="AE32124" s="54"/>
    </row>
    <row r="32125" spans="31:31">
      <c r="AE32125" s="54"/>
    </row>
    <row r="32126" spans="31:31">
      <c r="AE32126" s="54"/>
    </row>
    <row r="32127" spans="31:31">
      <c r="AE32127" s="54"/>
    </row>
    <row r="32128" spans="31:31">
      <c r="AE32128" s="54"/>
    </row>
    <row r="32129" spans="31:31">
      <c r="AE32129" s="54"/>
    </row>
    <row r="32130" spans="31:31">
      <c r="AE32130" s="54"/>
    </row>
    <row r="32131" spans="31:31">
      <c r="AE32131" s="54"/>
    </row>
    <row r="32132" spans="31:31">
      <c r="AE32132" s="54"/>
    </row>
    <row r="32133" spans="31:31">
      <c r="AE32133" s="54"/>
    </row>
    <row r="32134" spans="31:31">
      <c r="AE32134" s="54"/>
    </row>
    <row r="32135" spans="31:31">
      <c r="AE32135" s="54"/>
    </row>
    <row r="32136" spans="31:31">
      <c r="AE32136" s="54"/>
    </row>
    <row r="32137" spans="31:31">
      <c r="AE32137" s="54"/>
    </row>
    <row r="32138" spans="31:31">
      <c r="AE32138" s="54"/>
    </row>
    <row r="32139" spans="31:31">
      <c r="AE32139" s="54"/>
    </row>
    <row r="32140" spans="31:31">
      <c r="AE32140" s="54"/>
    </row>
    <row r="32141" spans="31:31">
      <c r="AE32141" s="54"/>
    </row>
    <row r="32142" spans="31:31">
      <c r="AE32142" s="54"/>
    </row>
    <row r="32143" spans="31:31">
      <c r="AE32143" s="54"/>
    </row>
    <row r="32144" spans="31:31">
      <c r="AE32144" s="54"/>
    </row>
    <row r="32145" spans="31:31">
      <c r="AE32145" s="54"/>
    </row>
    <row r="32146" spans="31:31">
      <c r="AE32146" s="54"/>
    </row>
    <row r="32147" spans="31:31">
      <c r="AE32147" s="54"/>
    </row>
    <row r="32148" spans="31:31">
      <c r="AE32148" s="54"/>
    </row>
    <row r="32149" spans="31:31">
      <c r="AE32149" s="54"/>
    </row>
    <row r="32150" spans="31:31">
      <c r="AE32150" s="54"/>
    </row>
    <row r="32151" spans="31:31">
      <c r="AE32151" s="54"/>
    </row>
    <row r="32152" spans="31:31">
      <c r="AE32152" s="54"/>
    </row>
    <row r="32153" spans="31:31">
      <c r="AE32153" s="54"/>
    </row>
    <row r="32154" spans="31:31">
      <c r="AE32154" s="54"/>
    </row>
    <row r="32155" spans="31:31">
      <c r="AE32155" s="54"/>
    </row>
    <row r="32156" spans="31:31">
      <c r="AE32156" s="54"/>
    </row>
    <row r="32157" spans="31:31">
      <c r="AE32157" s="54"/>
    </row>
    <row r="32158" spans="31:31">
      <c r="AE32158" s="54"/>
    </row>
    <row r="32159" spans="31:31">
      <c r="AE32159" s="54"/>
    </row>
    <row r="32160" spans="31:31">
      <c r="AE32160" s="54"/>
    </row>
    <row r="32161" spans="31:31">
      <c r="AE32161" s="54"/>
    </row>
    <row r="32162" spans="31:31">
      <c r="AE32162" s="54"/>
    </row>
    <row r="32163" spans="31:31">
      <c r="AE32163" s="54"/>
    </row>
    <row r="32164" spans="31:31">
      <c r="AE32164" s="54"/>
    </row>
    <row r="32165" spans="31:31">
      <c r="AE32165" s="54"/>
    </row>
    <row r="32166" spans="31:31">
      <c r="AE32166" s="54"/>
    </row>
    <row r="32167" spans="31:31">
      <c r="AE32167" s="54"/>
    </row>
    <row r="32168" spans="31:31">
      <c r="AE32168" s="54"/>
    </row>
    <row r="32169" spans="31:31">
      <c r="AE32169" s="54"/>
    </row>
    <row r="32170" spans="31:31">
      <c r="AE32170" s="54"/>
    </row>
    <row r="32171" spans="31:31">
      <c r="AE32171" s="54"/>
    </row>
    <row r="32172" spans="31:31">
      <c r="AE32172" s="54"/>
    </row>
    <row r="32173" spans="31:31">
      <c r="AE32173" s="54"/>
    </row>
    <row r="32174" spans="31:31">
      <c r="AE32174" s="54"/>
    </row>
    <row r="32175" spans="31:31">
      <c r="AE32175" s="54"/>
    </row>
    <row r="32176" spans="31:31">
      <c r="AE32176" s="54"/>
    </row>
    <row r="32177" spans="31:31">
      <c r="AE32177" s="54"/>
    </row>
    <row r="32178" spans="31:31">
      <c r="AE32178" s="54"/>
    </row>
    <row r="32179" spans="31:31">
      <c r="AE32179" s="54"/>
    </row>
    <row r="32180" spans="31:31">
      <c r="AE32180" s="54"/>
    </row>
    <row r="32181" spans="31:31">
      <c r="AE32181" s="54"/>
    </row>
    <row r="32182" spans="31:31">
      <c r="AE32182" s="54"/>
    </row>
    <row r="32183" spans="31:31">
      <c r="AE32183" s="54"/>
    </row>
    <row r="32184" spans="31:31">
      <c r="AE32184" s="54"/>
    </row>
    <row r="32185" spans="31:31">
      <c r="AE32185" s="54"/>
    </row>
    <row r="32186" spans="31:31">
      <c r="AE32186" s="54"/>
    </row>
    <row r="32187" spans="31:31">
      <c r="AE32187" s="54"/>
    </row>
    <row r="32188" spans="31:31">
      <c r="AE32188" s="54"/>
    </row>
    <row r="32189" spans="31:31">
      <c r="AE32189" s="54"/>
    </row>
    <row r="32190" spans="31:31">
      <c r="AE32190" s="54"/>
    </row>
    <row r="32191" spans="31:31">
      <c r="AE32191" s="54"/>
    </row>
    <row r="32192" spans="31:31">
      <c r="AE32192" s="54"/>
    </row>
    <row r="32193" spans="31:31">
      <c r="AE32193" s="54"/>
    </row>
    <row r="32194" spans="31:31">
      <c r="AE32194" s="54"/>
    </row>
    <row r="32195" spans="31:31">
      <c r="AE32195" s="54"/>
    </row>
    <row r="32196" spans="31:31">
      <c r="AE32196" s="54"/>
    </row>
    <row r="32197" spans="31:31">
      <c r="AE32197" s="54"/>
    </row>
    <row r="32198" spans="31:31">
      <c r="AE32198" s="54"/>
    </row>
    <row r="32199" spans="31:31">
      <c r="AE32199" s="54"/>
    </row>
    <row r="32200" spans="31:31">
      <c r="AE32200" s="54"/>
    </row>
    <row r="32201" spans="31:31">
      <c r="AE32201" s="54"/>
    </row>
    <row r="32202" spans="31:31">
      <c r="AE32202" s="54"/>
    </row>
    <row r="32203" spans="31:31">
      <c r="AE32203" s="54"/>
    </row>
    <row r="32204" spans="31:31">
      <c r="AE32204" s="54"/>
    </row>
    <row r="32205" spans="31:31">
      <c r="AE32205" s="54"/>
    </row>
    <row r="32206" spans="31:31">
      <c r="AE32206" s="54"/>
    </row>
    <row r="32207" spans="31:31">
      <c r="AE32207" s="54"/>
    </row>
    <row r="32208" spans="31:31">
      <c r="AE32208" s="54"/>
    </row>
    <row r="32209" spans="31:31">
      <c r="AE32209" s="54"/>
    </row>
    <row r="32210" spans="31:31">
      <c r="AE32210" s="54"/>
    </row>
    <row r="32211" spans="31:31">
      <c r="AE32211" s="54"/>
    </row>
    <row r="32212" spans="31:31">
      <c r="AE32212" s="54"/>
    </row>
    <row r="32213" spans="31:31">
      <c r="AE32213" s="54"/>
    </row>
    <row r="32214" spans="31:31">
      <c r="AE32214" s="54"/>
    </row>
    <row r="32215" spans="31:31">
      <c r="AE32215" s="54"/>
    </row>
    <row r="32216" spans="31:31">
      <c r="AE32216" s="54"/>
    </row>
    <row r="32217" spans="31:31">
      <c r="AE32217" s="54"/>
    </row>
    <row r="32218" spans="31:31">
      <c r="AE32218" s="54"/>
    </row>
    <row r="32219" spans="31:31">
      <c r="AE32219" s="54"/>
    </row>
    <row r="32220" spans="31:31">
      <c r="AE32220" s="54"/>
    </row>
    <row r="32221" spans="31:31">
      <c r="AE32221" s="54"/>
    </row>
    <row r="32222" spans="31:31">
      <c r="AE32222" s="54"/>
    </row>
    <row r="32223" spans="31:31">
      <c r="AE32223" s="54"/>
    </row>
    <row r="32224" spans="31:31">
      <c r="AE32224" s="54"/>
    </row>
    <row r="32225" spans="31:31">
      <c r="AE32225" s="54"/>
    </row>
    <row r="32226" spans="31:31">
      <c r="AE32226" s="54"/>
    </row>
    <row r="32227" spans="31:31">
      <c r="AE32227" s="54"/>
    </row>
    <row r="32228" spans="31:31">
      <c r="AE32228" s="54"/>
    </row>
    <row r="32229" spans="31:31">
      <c r="AE32229" s="54"/>
    </row>
    <row r="32230" spans="31:31">
      <c r="AE32230" s="54"/>
    </row>
    <row r="32231" spans="31:31">
      <c r="AE32231" s="54"/>
    </row>
    <row r="32232" spans="31:31">
      <c r="AE32232" s="54"/>
    </row>
    <row r="32233" spans="31:31">
      <c r="AE32233" s="54"/>
    </row>
    <row r="32234" spans="31:31">
      <c r="AE32234" s="54"/>
    </row>
    <row r="32235" spans="31:31">
      <c r="AE32235" s="54"/>
    </row>
    <row r="32236" spans="31:31">
      <c r="AE32236" s="54"/>
    </row>
    <row r="32237" spans="31:31">
      <c r="AE32237" s="54"/>
    </row>
    <row r="32238" spans="31:31">
      <c r="AE32238" s="54"/>
    </row>
    <row r="32239" spans="31:31">
      <c r="AE32239" s="54"/>
    </row>
    <row r="32240" spans="31:31">
      <c r="AE32240" s="54"/>
    </row>
    <row r="32241" spans="31:31">
      <c r="AE32241" s="54"/>
    </row>
    <row r="32242" spans="31:31">
      <c r="AE32242" s="54"/>
    </row>
    <row r="32243" spans="31:31">
      <c r="AE32243" s="54"/>
    </row>
    <row r="32244" spans="31:31">
      <c r="AE32244" s="54"/>
    </row>
    <row r="32245" spans="31:31">
      <c r="AE32245" s="54"/>
    </row>
    <row r="32246" spans="31:31">
      <c r="AE32246" s="54"/>
    </row>
    <row r="32247" spans="31:31">
      <c r="AE32247" s="54"/>
    </row>
    <row r="32248" spans="31:31">
      <c r="AE32248" s="54"/>
    </row>
    <row r="32249" spans="31:31">
      <c r="AE32249" s="54"/>
    </row>
    <row r="32250" spans="31:31">
      <c r="AE32250" s="54"/>
    </row>
    <row r="32251" spans="31:31">
      <c r="AE32251" s="54"/>
    </row>
    <row r="32252" spans="31:31">
      <c r="AE32252" s="54"/>
    </row>
    <row r="32253" spans="31:31">
      <c r="AE32253" s="54"/>
    </row>
    <row r="32254" spans="31:31">
      <c r="AE32254" s="54"/>
    </row>
    <row r="32255" spans="31:31">
      <c r="AE32255" s="54"/>
    </row>
    <row r="32256" spans="31:31">
      <c r="AE32256" s="54"/>
    </row>
    <row r="32257" spans="31:31">
      <c r="AE32257" s="54"/>
    </row>
    <row r="32258" spans="31:31">
      <c r="AE32258" s="54"/>
    </row>
    <row r="32259" spans="31:31">
      <c r="AE32259" s="54"/>
    </row>
    <row r="32260" spans="31:31">
      <c r="AE32260" s="54"/>
    </row>
    <row r="32261" spans="31:31">
      <c r="AE32261" s="54"/>
    </row>
    <row r="32262" spans="31:31">
      <c r="AE32262" s="54"/>
    </row>
    <row r="32263" spans="31:31">
      <c r="AE32263" s="54"/>
    </row>
    <row r="32264" spans="31:31">
      <c r="AE32264" s="54"/>
    </row>
    <row r="32265" spans="31:31">
      <c r="AE32265" s="54"/>
    </row>
    <row r="32266" spans="31:31">
      <c r="AE32266" s="54"/>
    </row>
    <row r="32267" spans="31:31">
      <c r="AE32267" s="54"/>
    </row>
    <row r="32268" spans="31:31">
      <c r="AE32268" s="54"/>
    </row>
    <row r="32269" spans="31:31">
      <c r="AE32269" s="54"/>
    </row>
    <row r="32270" spans="31:31">
      <c r="AE32270" s="54"/>
    </row>
    <row r="32271" spans="31:31">
      <c r="AE32271" s="54"/>
    </row>
    <row r="32272" spans="31:31">
      <c r="AE32272" s="54"/>
    </row>
    <row r="32273" spans="31:31">
      <c r="AE32273" s="54"/>
    </row>
    <row r="32274" spans="31:31">
      <c r="AE32274" s="54"/>
    </row>
    <row r="32275" spans="31:31">
      <c r="AE32275" s="54"/>
    </row>
    <row r="32276" spans="31:31">
      <c r="AE32276" s="54"/>
    </row>
    <row r="32277" spans="31:31">
      <c r="AE32277" s="54"/>
    </row>
    <row r="32278" spans="31:31">
      <c r="AE32278" s="54"/>
    </row>
    <row r="32279" spans="31:31">
      <c r="AE32279" s="54"/>
    </row>
    <row r="32280" spans="31:31">
      <c r="AE32280" s="54"/>
    </row>
    <row r="32281" spans="31:31">
      <c r="AE32281" s="54"/>
    </row>
    <row r="32282" spans="31:31">
      <c r="AE32282" s="54"/>
    </row>
    <row r="32283" spans="31:31">
      <c r="AE32283" s="54"/>
    </row>
    <row r="32284" spans="31:31">
      <c r="AE32284" s="54"/>
    </row>
    <row r="32285" spans="31:31">
      <c r="AE32285" s="54"/>
    </row>
    <row r="32286" spans="31:31">
      <c r="AE32286" s="54"/>
    </row>
    <row r="32287" spans="31:31">
      <c r="AE32287" s="54"/>
    </row>
    <row r="32288" spans="31:31">
      <c r="AE32288" s="54"/>
    </row>
    <row r="32289" spans="31:31">
      <c r="AE32289" s="54"/>
    </row>
    <row r="32290" spans="31:31">
      <c r="AE32290" s="54"/>
    </row>
    <row r="32291" spans="31:31">
      <c r="AE32291" s="54"/>
    </row>
    <row r="32292" spans="31:31">
      <c r="AE32292" s="54"/>
    </row>
    <row r="32293" spans="31:31">
      <c r="AE32293" s="54"/>
    </row>
    <row r="32294" spans="31:31">
      <c r="AE32294" s="54"/>
    </row>
    <row r="32295" spans="31:31">
      <c r="AE32295" s="54"/>
    </row>
    <row r="32296" spans="31:31">
      <c r="AE32296" s="54"/>
    </row>
    <row r="32297" spans="31:31">
      <c r="AE32297" s="54"/>
    </row>
    <row r="32298" spans="31:31">
      <c r="AE32298" s="54"/>
    </row>
    <row r="32299" spans="31:31">
      <c r="AE32299" s="54"/>
    </row>
    <row r="32300" spans="31:31">
      <c r="AE32300" s="54"/>
    </row>
    <row r="32301" spans="31:31">
      <c r="AE32301" s="54"/>
    </row>
    <row r="32302" spans="31:31">
      <c r="AE32302" s="54"/>
    </row>
    <row r="32303" spans="31:31">
      <c r="AE32303" s="54"/>
    </row>
    <row r="32304" spans="31:31">
      <c r="AE32304" s="54"/>
    </row>
    <row r="32305" spans="31:31">
      <c r="AE32305" s="54"/>
    </row>
    <row r="32306" spans="31:31">
      <c r="AE32306" s="54"/>
    </row>
    <row r="32307" spans="31:31">
      <c r="AE32307" s="54"/>
    </row>
    <row r="32308" spans="31:31">
      <c r="AE32308" s="54"/>
    </row>
    <row r="32309" spans="31:31">
      <c r="AE32309" s="54"/>
    </row>
    <row r="32310" spans="31:31">
      <c r="AE32310" s="54"/>
    </row>
    <row r="32311" spans="31:31">
      <c r="AE32311" s="54"/>
    </row>
    <row r="32312" spans="31:31">
      <c r="AE32312" s="54"/>
    </row>
    <row r="32313" spans="31:31">
      <c r="AE32313" s="54"/>
    </row>
    <row r="32314" spans="31:31">
      <c r="AE32314" s="54"/>
    </row>
    <row r="32315" spans="31:31">
      <c r="AE32315" s="54"/>
    </row>
    <row r="32316" spans="31:31">
      <c r="AE32316" s="54"/>
    </row>
    <row r="32317" spans="31:31">
      <c r="AE32317" s="54"/>
    </row>
    <row r="32318" spans="31:31">
      <c r="AE32318" s="54"/>
    </row>
    <row r="32319" spans="31:31">
      <c r="AE32319" s="54"/>
    </row>
    <row r="32320" spans="31:31">
      <c r="AE32320" s="54"/>
    </row>
    <row r="32321" spans="31:31">
      <c r="AE32321" s="54"/>
    </row>
    <row r="32322" spans="31:31">
      <c r="AE32322" s="54"/>
    </row>
    <row r="32323" spans="31:31">
      <c r="AE32323" s="54"/>
    </row>
    <row r="32324" spans="31:31">
      <c r="AE32324" s="54"/>
    </row>
    <row r="32325" spans="31:31">
      <c r="AE32325" s="54"/>
    </row>
    <row r="32326" spans="31:31">
      <c r="AE32326" s="54"/>
    </row>
    <row r="32327" spans="31:31">
      <c r="AE32327" s="54"/>
    </row>
    <row r="32328" spans="31:31">
      <c r="AE32328" s="54"/>
    </row>
    <row r="32329" spans="31:31">
      <c r="AE32329" s="54"/>
    </row>
    <row r="32330" spans="31:31">
      <c r="AE32330" s="54"/>
    </row>
    <row r="32331" spans="31:31">
      <c r="AE32331" s="54"/>
    </row>
    <row r="32332" spans="31:31">
      <c r="AE32332" s="54"/>
    </row>
    <row r="32333" spans="31:31">
      <c r="AE32333" s="54"/>
    </row>
    <row r="32334" spans="31:31">
      <c r="AE32334" s="54"/>
    </row>
    <row r="32335" spans="31:31">
      <c r="AE32335" s="54"/>
    </row>
    <row r="32336" spans="31:31">
      <c r="AE32336" s="54"/>
    </row>
    <row r="32337" spans="31:31">
      <c r="AE32337" s="54"/>
    </row>
    <row r="32338" spans="31:31">
      <c r="AE32338" s="54"/>
    </row>
    <row r="32339" spans="31:31">
      <c r="AE32339" s="54"/>
    </row>
    <row r="32340" spans="31:31">
      <c r="AE32340" s="54"/>
    </row>
    <row r="32341" spans="31:31">
      <c r="AE32341" s="54"/>
    </row>
    <row r="32342" spans="31:31">
      <c r="AE32342" s="54"/>
    </row>
    <row r="32343" spans="31:31">
      <c r="AE32343" s="54"/>
    </row>
    <row r="32344" spans="31:31">
      <c r="AE32344" s="54"/>
    </row>
    <row r="32345" spans="31:31">
      <c r="AE32345" s="54"/>
    </row>
    <row r="32346" spans="31:31">
      <c r="AE32346" s="54"/>
    </row>
    <row r="32347" spans="31:31">
      <c r="AE32347" s="54"/>
    </row>
    <row r="32348" spans="31:31">
      <c r="AE32348" s="54"/>
    </row>
    <row r="32349" spans="31:31">
      <c r="AE32349" s="54"/>
    </row>
    <row r="32350" spans="31:31">
      <c r="AE32350" s="54"/>
    </row>
    <row r="32351" spans="31:31">
      <c r="AE32351" s="54"/>
    </row>
    <row r="32352" spans="31:31">
      <c r="AE32352" s="54"/>
    </row>
    <row r="32353" spans="31:31">
      <c r="AE32353" s="54"/>
    </row>
    <row r="32354" spans="31:31">
      <c r="AE32354" s="54"/>
    </row>
    <row r="32355" spans="31:31">
      <c r="AE32355" s="54"/>
    </row>
    <row r="32356" spans="31:31">
      <c r="AE32356" s="54"/>
    </row>
    <row r="32357" spans="31:31">
      <c r="AE32357" s="54"/>
    </row>
    <row r="32358" spans="31:31">
      <c r="AE32358" s="54"/>
    </row>
    <row r="32359" spans="31:31">
      <c r="AE32359" s="54"/>
    </row>
    <row r="32360" spans="31:31">
      <c r="AE32360" s="54"/>
    </row>
    <row r="32361" spans="31:31">
      <c r="AE32361" s="54"/>
    </row>
    <row r="32362" spans="31:31">
      <c r="AE32362" s="54"/>
    </row>
    <row r="32363" spans="31:31">
      <c r="AE32363" s="54"/>
    </row>
    <row r="32364" spans="31:31">
      <c r="AE32364" s="54"/>
    </row>
    <row r="32365" spans="31:31">
      <c r="AE32365" s="54"/>
    </row>
    <row r="32366" spans="31:31">
      <c r="AE32366" s="54"/>
    </row>
    <row r="32367" spans="31:31">
      <c r="AE32367" s="54"/>
    </row>
    <row r="32368" spans="31:31">
      <c r="AE32368" s="54"/>
    </row>
    <row r="32369" spans="31:31">
      <c r="AE32369" s="54"/>
    </row>
    <row r="32370" spans="31:31">
      <c r="AE32370" s="54"/>
    </row>
    <row r="32371" spans="31:31">
      <c r="AE32371" s="54"/>
    </row>
    <row r="32372" spans="31:31">
      <c r="AE32372" s="54"/>
    </row>
    <row r="32373" spans="31:31">
      <c r="AE32373" s="54"/>
    </row>
    <row r="32374" spans="31:31">
      <c r="AE32374" s="54"/>
    </row>
    <row r="32375" spans="31:31">
      <c r="AE32375" s="54"/>
    </row>
    <row r="32376" spans="31:31">
      <c r="AE32376" s="54"/>
    </row>
    <row r="32377" spans="31:31">
      <c r="AE32377" s="54"/>
    </row>
    <row r="32378" spans="31:31">
      <c r="AE32378" s="54"/>
    </row>
    <row r="32379" spans="31:31">
      <c r="AE32379" s="54"/>
    </row>
    <row r="32380" spans="31:31">
      <c r="AE32380" s="54"/>
    </row>
    <row r="32381" spans="31:31">
      <c r="AE32381" s="54"/>
    </row>
    <row r="32382" spans="31:31">
      <c r="AE32382" s="54"/>
    </row>
    <row r="32383" spans="31:31">
      <c r="AE32383" s="54"/>
    </row>
    <row r="32384" spans="31:31">
      <c r="AE32384" s="54"/>
    </row>
    <row r="32385" spans="31:31">
      <c r="AE32385" s="54"/>
    </row>
    <row r="32386" spans="31:31">
      <c r="AE32386" s="54"/>
    </row>
    <row r="32387" spans="31:31">
      <c r="AE32387" s="54"/>
    </row>
    <row r="32388" spans="31:31">
      <c r="AE32388" s="54"/>
    </row>
    <row r="32389" spans="31:31">
      <c r="AE32389" s="54"/>
    </row>
    <row r="32390" spans="31:31">
      <c r="AE32390" s="54"/>
    </row>
    <row r="32391" spans="31:31">
      <c r="AE32391" s="54"/>
    </row>
    <row r="32392" spans="31:31">
      <c r="AE32392" s="54"/>
    </row>
    <row r="32393" spans="31:31">
      <c r="AE32393" s="54"/>
    </row>
    <row r="32394" spans="31:31">
      <c r="AE32394" s="54"/>
    </row>
    <row r="32395" spans="31:31">
      <c r="AE32395" s="54"/>
    </row>
    <row r="32396" spans="31:31">
      <c r="AE32396" s="54"/>
    </row>
    <row r="32397" spans="31:31">
      <c r="AE32397" s="54"/>
    </row>
    <row r="32398" spans="31:31">
      <c r="AE32398" s="54"/>
    </row>
    <row r="32399" spans="31:31">
      <c r="AE32399" s="54"/>
    </row>
    <row r="32400" spans="31:31">
      <c r="AE32400" s="54"/>
    </row>
    <row r="32401" spans="31:31">
      <c r="AE32401" s="54"/>
    </row>
    <row r="32402" spans="31:31">
      <c r="AE32402" s="54"/>
    </row>
    <row r="32403" spans="31:31">
      <c r="AE32403" s="54"/>
    </row>
    <row r="32404" spans="31:31">
      <c r="AE32404" s="54"/>
    </row>
    <row r="32405" spans="31:31">
      <c r="AE32405" s="54"/>
    </row>
    <row r="32406" spans="31:31">
      <c r="AE32406" s="54"/>
    </row>
    <row r="32407" spans="31:31">
      <c r="AE32407" s="54"/>
    </row>
    <row r="32408" spans="31:31">
      <c r="AE32408" s="54"/>
    </row>
    <row r="32409" spans="31:31">
      <c r="AE32409" s="54"/>
    </row>
    <row r="32410" spans="31:31">
      <c r="AE32410" s="54"/>
    </row>
    <row r="32411" spans="31:31">
      <c r="AE32411" s="54"/>
    </row>
    <row r="32412" spans="31:31">
      <c r="AE32412" s="54"/>
    </row>
    <row r="32413" spans="31:31">
      <c r="AE32413" s="54"/>
    </row>
    <row r="32414" spans="31:31">
      <c r="AE32414" s="54"/>
    </row>
    <row r="32415" spans="31:31">
      <c r="AE32415" s="54"/>
    </row>
    <row r="32416" spans="31:31">
      <c r="AE32416" s="54"/>
    </row>
    <row r="32417" spans="31:31">
      <c r="AE32417" s="54"/>
    </row>
    <row r="32418" spans="31:31">
      <c r="AE32418" s="54"/>
    </row>
    <row r="32419" spans="31:31">
      <c r="AE32419" s="54"/>
    </row>
    <row r="32420" spans="31:31">
      <c r="AE32420" s="54"/>
    </row>
    <row r="32421" spans="31:31">
      <c r="AE32421" s="54"/>
    </row>
    <row r="32422" spans="31:31">
      <c r="AE32422" s="54"/>
    </row>
    <row r="32423" spans="31:31">
      <c r="AE32423" s="54"/>
    </row>
    <row r="32424" spans="31:31">
      <c r="AE32424" s="54"/>
    </row>
    <row r="32425" spans="31:31">
      <c r="AE32425" s="54"/>
    </row>
    <row r="32426" spans="31:31">
      <c r="AE32426" s="54"/>
    </row>
    <row r="32427" spans="31:31">
      <c r="AE32427" s="54"/>
    </row>
    <row r="32428" spans="31:31">
      <c r="AE32428" s="54"/>
    </row>
    <row r="32429" spans="31:31">
      <c r="AE32429" s="54"/>
    </row>
    <row r="32430" spans="31:31">
      <c r="AE32430" s="54"/>
    </row>
    <row r="32431" spans="31:31">
      <c r="AE32431" s="54"/>
    </row>
    <row r="32432" spans="31:31">
      <c r="AE32432" s="54"/>
    </row>
    <row r="32433" spans="31:31">
      <c r="AE32433" s="54"/>
    </row>
    <row r="32434" spans="31:31">
      <c r="AE32434" s="54"/>
    </row>
    <row r="32435" spans="31:31">
      <c r="AE32435" s="54"/>
    </row>
    <row r="32436" spans="31:31">
      <c r="AE32436" s="54"/>
    </row>
    <row r="32437" spans="31:31">
      <c r="AE32437" s="54"/>
    </row>
    <row r="32438" spans="31:31">
      <c r="AE32438" s="54"/>
    </row>
    <row r="32439" spans="31:31">
      <c r="AE32439" s="54"/>
    </row>
    <row r="32440" spans="31:31">
      <c r="AE32440" s="54"/>
    </row>
    <row r="32441" spans="31:31">
      <c r="AE32441" s="54"/>
    </row>
    <row r="32442" spans="31:31">
      <c r="AE32442" s="54"/>
    </row>
    <row r="32443" spans="31:31">
      <c r="AE32443" s="54"/>
    </row>
    <row r="32444" spans="31:31">
      <c r="AE32444" s="54"/>
    </row>
    <row r="32445" spans="31:31">
      <c r="AE32445" s="54"/>
    </row>
    <row r="32446" spans="31:31">
      <c r="AE32446" s="54"/>
    </row>
    <row r="32447" spans="31:31">
      <c r="AE32447" s="54"/>
    </row>
    <row r="32448" spans="31:31">
      <c r="AE32448" s="54"/>
    </row>
    <row r="32449" spans="31:31">
      <c r="AE32449" s="54"/>
    </row>
    <row r="32450" spans="31:31">
      <c r="AE32450" s="54"/>
    </row>
    <row r="32451" spans="31:31">
      <c r="AE32451" s="54"/>
    </row>
    <row r="32452" spans="31:31">
      <c r="AE32452" s="54"/>
    </row>
    <row r="32453" spans="31:31">
      <c r="AE32453" s="54"/>
    </row>
    <row r="32454" spans="31:31">
      <c r="AE32454" s="54"/>
    </row>
    <row r="32455" spans="31:31">
      <c r="AE32455" s="54"/>
    </row>
    <row r="32456" spans="31:31">
      <c r="AE32456" s="54"/>
    </row>
    <row r="32457" spans="31:31">
      <c r="AE32457" s="54"/>
    </row>
    <row r="32458" spans="31:31">
      <c r="AE32458" s="54"/>
    </row>
    <row r="32459" spans="31:31">
      <c r="AE32459" s="54"/>
    </row>
    <row r="32460" spans="31:31">
      <c r="AE32460" s="54"/>
    </row>
    <row r="32461" spans="31:31">
      <c r="AE32461" s="54"/>
    </row>
    <row r="32462" spans="31:31">
      <c r="AE32462" s="54"/>
    </row>
    <row r="32463" spans="31:31">
      <c r="AE32463" s="54"/>
    </row>
    <row r="32464" spans="31:31">
      <c r="AE32464" s="54"/>
    </row>
    <row r="32465" spans="31:31">
      <c r="AE32465" s="54"/>
    </row>
    <row r="32466" spans="31:31">
      <c r="AE32466" s="54"/>
    </row>
    <row r="32467" spans="31:31">
      <c r="AE32467" s="54"/>
    </row>
    <row r="32468" spans="31:31">
      <c r="AE32468" s="54"/>
    </row>
    <row r="32469" spans="31:31">
      <c r="AE32469" s="54"/>
    </row>
    <row r="32470" spans="31:31">
      <c r="AE32470" s="54"/>
    </row>
    <row r="32471" spans="31:31">
      <c r="AE32471" s="54"/>
    </row>
    <row r="32472" spans="31:31">
      <c r="AE32472" s="54"/>
    </row>
    <row r="32473" spans="31:31">
      <c r="AE32473" s="54"/>
    </row>
    <row r="32474" spans="31:31">
      <c r="AE32474" s="54"/>
    </row>
    <row r="32475" spans="31:31">
      <c r="AE32475" s="54"/>
    </row>
    <row r="32476" spans="31:31">
      <c r="AE32476" s="54"/>
    </row>
    <row r="32477" spans="31:31">
      <c r="AE32477" s="54"/>
    </row>
    <row r="32478" spans="31:31">
      <c r="AE32478" s="54"/>
    </row>
    <row r="32479" spans="31:31">
      <c r="AE32479" s="54"/>
    </row>
    <row r="32480" spans="31:31">
      <c r="AE32480" s="54"/>
    </row>
    <row r="32481" spans="31:31">
      <c r="AE32481" s="54"/>
    </row>
    <row r="32482" spans="31:31">
      <c r="AE32482" s="54"/>
    </row>
    <row r="32483" spans="31:31">
      <c r="AE32483" s="54"/>
    </row>
    <row r="32484" spans="31:31">
      <c r="AE32484" s="54"/>
    </row>
    <row r="32485" spans="31:31">
      <c r="AE32485" s="54"/>
    </row>
    <row r="32486" spans="31:31">
      <c r="AE32486" s="54"/>
    </row>
    <row r="32487" spans="31:31">
      <c r="AE32487" s="54"/>
    </row>
    <row r="32488" spans="31:31">
      <c r="AE32488" s="54"/>
    </row>
    <row r="32489" spans="31:31">
      <c r="AE32489" s="54"/>
    </row>
    <row r="32490" spans="31:31">
      <c r="AE32490" s="54"/>
    </row>
    <row r="32491" spans="31:31">
      <c r="AE32491" s="54"/>
    </row>
    <row r="32492" spans="31:31">
      <c r="AE32492" s="54"/>
    </row>
    <row r="32493" spans="31:31">
      <c r="AE32493" s="54"/>
    </row>
    <row r="32494" spans="31:31">
      <c r="AE32494" s="54"/>
    </row>
    <row r="32495" spans="31:31">
      <c r="AE32495" s="54"/>
    </row>
    <row r="32496" spans="31:31">
      <c r="AE32496" s="54"/>
    </row>
    <row r="32497" spans="31:31">
      <c r="AE32497" s="54"/>
    </row>
    <row r="32498" spans="31:31">
      <c r="AE32498" s="54"/>
    </row>
    <row r="32499" spans="31:31">
      <c r="AE32499" s="54"/>
    </row>
    <row r="32500" spans="31:31">
      <c r="AE32500" s="54"/>
    </row>
    <row r="32501" spans="31:31">
      <c r="AE32501" s="54"/>
    </row>
    <row r="32502" spans="31:31">
      <c r="AE32502" s="54"/>
    </row>
    <row r="32503" spans="31:31">
      <c r="AE32503" s="54"/>
    </row>
    <row r="32504" spans="31:31">
      <c r="AE32504" s="54"/>
    </row>
    <row r="32505" spans="31:31">
      <c r="AE32505" s="54"/>
    </row>
    <row r="32506" spans="31:31">
      <c r="AE32506" s="54"/>
    </row>
    <row r="32507" spans="31:31">
      <c r="AE32507" s="54"/>
    </row>
    <row r="32508" spans="31:31">
      <c r="AE32508" s="54"/>
    </row>
    <row r="32509" spans="31:31">
      <c r="AE32509" s="54"/>
    </row>
    <row r="32510" spans="31:31">
      <c r="AE32510" s="54"/>
    </row>
    <row r="32511" spans="31:31">
      <c r="AE32511" s="54"/>
    </row>
    <row r="32512" spans="31:31">
      <c r="AE32512" s="54"/>
    </row>
    <row r="32513" spans="31:31">
      <c r="AE32513" s="54"/>
    </row>
    <row r="32514" spans="31:31">
      <c r="AE32514" s="54"/>
    </row>
    <row r="32515" spans="31:31">
      <c r="AE32515" s="54"/>
    </row>
    <row r="32516" spans="31:31">
      <c r="AE32516" s="54"/>
    </row>
    <row r="32517" spans="31:31">
      <c r="AE32517" s="54"/>
    </row>
    <row r="32518" spans="31:31">
      <c r="AE32518" s="54"/>
    </row>
    <row r="32519" spans="31:31">
      <c r="AE32519" s="54"/>
    </row>
    <row r="32520" spans="31:31">
      <c r="AE32520" s="54"/>
    </row>
    <row r="32521" spans="31:31">
      <c r="AE32521" s="54"/>
    </row>
    <row r="32522" spans="31:31">
      <c r="AE32522" s="54"/>
    </row>
    <row r="32523" spans="31:31">
      <c r="AE32523" s="54"/>
    </row>
    <row r="32524" spans="31:31">
      <c r="AE32524" s="54"/>
    </row>
    <row r="32525" spans="31:31">
      <c r="AE32525" s="54"/>
    </row>
    <row r="32526" spans="31:31">
      <c r="AE32526" s="54"/>
    </row>
    <row r="32527" spans="31:31">
      <c r="AE32527" s="54"/>
    </row>
    <row r="32528" spans="31:31">
      <c r="AE32528" s="54"/>
    </row>
    <row r="32529" spans="31:31">
      <c r="AE32529" s="54"/>
    </row>
    <row r="32530" spans="31:31">
      <c r="AE32530" s="54"/>
    </row>
    <row r="32531" spans="31:31">
      <c r="AE32531" s="54"/>
    </row>
    <row r="32532" spans="31:31">
      <c r="AE32532" s="54"/>
    </row>
    <row r="32533" spans="31:31">
      <c r="AE32533" s="54"/>
    </row>
    <row r="32534" spans="31:31">
      <c r="AE32534" s="54"/>
    </row>
    <row r="32535" spans="31:31">
      <c r="AE32535" s="54"/>
    </row>
    <row r="32536" spans="31:31">
      <c r="AE32536" s="54"/>
    </row>
    <row r="32537" spans="31:31">
      <c r="AE32537" s="54"/>
    </row>
    <row r="32538" spans="31:31">
      <c r="AE32538" s="54"/>
    </row>
    <row r="32539" spans="31:31">
      <c r="AE32539" s="54"/>
    </row>
    <row r="32540" spans="31:31">
      <c r="AE32540" s="54"/>
    </row>
    <row r="32541" spans="31:31">
      <c r="AE32541" s="54"/>
    </row>
    <row r="32542" spans="31:31">
      <c r="AE32542" s="54"/>
    </row>
    <row r="32543" spans="31:31">
      <c r="AE32543" s="54"/>
    </row>
    <row r="32544" spans="31:31">
      <c r="AE32544" s="54"/>
    </row>
    <row r="32545" spans="31:31">
      <c r="AE32545" s="54"/>
    </row>
    <row r="32546" spans="31:31">
      <c r="AE32546" s="54"/>
    </row>
    <row r="32547" spans="31:31">
      <c r="AE32547" s="54"/>
    </row>
    <row r="32548" spans="31:31">
      <c r="AE32548" s="54"/>
    </row>
    <row r="32549" spans="31:31">
      <c r="AE32549" s="54"/>
    </row>
    <row r="32550" spans="31:31">
      <c r="AE32550" s="54"/>
    </row>
    <row r="32551" spans="31:31">
      <c r="AE32551" s="54"/>
    </row>
    <row r="32552" spans="31:31">
      <c r="AE32552" s="54"/>
    </row>
    <row r="32553" spans="31:31">
      <c r="AE32553" s="54"/>
    </row>
    <row r="32554" spans="31:31">
      <c r="AE32554" s="54"/>
    </row>
    <row r="32555" spans="31:31">
      <c r="AE32555" s="54"/>
    </row>
    <row r="32556" spans="31:31">
      <c r="AE32556" s="54"/>
    </row>
    <row r="32557" spans="31:31">
      <c r="AE32557" s="54"/>
    </row>
    <row r="32558" spans="31:31">
      <c r="AE32558" s="54"/>
    </row>
    <row r="32559" spans="31:31">
      <c r="AE32559" s="54"/>
    </row>
    <row r="32560" spans="31:31">
      <c r="AE32560" s="54"/>
    </row>
    <row r="32561" spans="31:31">
      <c r="AE32561" s="54"/>
    </row>
    <row r="32562" spans="31:31">
      <c r="AE32562" s="54"/>
    </row>
    <row r="32563" spans="31:31">
      <c r="AE32563" s="54"/>
    </row>
    <row r="32564" spans="31:31">
      <c r="AE32564" s="54"/>
    </row>
    <row r="32565" spans="31:31">
      <c r="AE32565" s="54"/>
    </row>
    <row r="32566" spans="31:31">
      <c r="AE32566" s="54"/>
    </row>
    <row r="32567" spans="31:31">
      <c r="AE32567" s="54"/>
    </row>
    <row r="32568" spans="31:31">
      <c r="AE32568" s="54"/>
    </row>
    <row r="32569" spans="31:31">
      <c r="AE32569" s="54"/>
    </row>
    <row r="32570" spans="31:31">
      <c r="AE32570" s="54"/>
    </row>
    <row r="32571" spans="31:31">
      <c r="AE32571" s="54"/>
    </row>
    <row r="32572" spans="31:31">
      <c r="AE32572" s="54"/>
    </row>
    <row r="32573" spans="31:31">
      <c r="AE32573" s="54"/>
    </row>
    <row r="32574" spans="31:31">
      <c r="AE32574" s="54"/>
    </row>
    <row r="32575" spans="31:31">
      <c r="AE32575" s="54"/>
    </row>
    <row r="32576" spans="31:31">
      <c r="AE32576" s="54"/>
    </row>
    <row r="32577" spans="31:31">
      <c r="AE32577" s="54"/>
    </row>
    <row r="32578" spans="31:31">
      <c r="AE32578" s="54"/>
    </row>
    <row r="32579" spans="31:31">
      <c r="AE32579" s="54"/>
    </row>
    <row r="32580" spans="31:31">
      <c r="AE32580" s="54"/>
    </row>
    <row r="32581" spans="31:31">
      <c r="AE32581" s="54"/>
    </row>
    <row r="32582" spans="31:31">
      <c r="AE32582" s="54"/>
    </row>
    <row r="32583" spans="31:31">
      <c r="AE32583" s="54"/>
    </row>
    <row r="32584" spans="31:31">
      <c r="AE32584" s="54"/>
    </row>
    <row r="32585" spans="31:31">
      <c r="AE32585" s="54"/>
    </row>
    <row r="32586" spans="31:31">
      <c r="AE32586" s="54"/>
    </row>
    <row r="32587" spans="31:31">
      <c r="AE32587" s="54"/>
    </row>
    <row r="32588" spans="31:31">
      <c r="AE32588" s="54"/>
    </row>
    <row r="32589" spans="31:31">
      <c r="AE32589" s="54"/>
    </row>
    <row r="32590" spans="31:31">
      <c r="AE32590" s="54"/>
    </row>
    <row r="32591" spans="31:31">
      <c r="AE32591" s="54"/>
    </row>
    <row r="32592" spans="31:31">
      <c r="AE32592" s="54"/>
    </row>
    <row r="32593" spans="31:31">
      <c r="AE32593" s="54"/>
    </row>
    <row r="32594" spans="31:31">
      <c r="AE32594" s="54"/>
    </row>
    <row r="32595" spans="31:31">
      <c r="AE32595" s="54"/>
    </row>
    <row r="32596" spans="31:31">
      <c r="AE32596" s="54"/>
    </row>
    <row r="32597" spans="31:31">
      <c r="AE32597" s="54"/>
    </row>
    <row r="32598" spans="31:31">
      <c r="AE32598" s="54"/>
    </row>
    <row r="32599" spans="31:31">
      <c r="AE32599" s="54"/>
    </row>
    <row r="32600" spans="31:31">
      <c r="AE32600" s="54"/>
    </row>
    <row r="32601" spans="31:31">
      <c r="AE32601" s="54"/>
    </row>
    <row r="32602" spans="31:31">
      <c r="AE32602" s="54"/>
    </row>
    <row r="32603" spans="31:31">
      <c r="AE32603" s="54"/>
    </row>
    <row r="32604" spans="31:31">
      <c r="AE32604" s="54"/>
    </row>
    <row r="32605" spans="31:31">
      <c r="AE32605" s="54"/>
    </row>
    <row r="32606" spans="31:31">
      <c r="AE32606" s="54"/>
    </row>
    <row r="32607" spans="31:31">
      <c r="AE32607" s="54"/>
    </row>
    <row r="32608" spans="31:31">
      <c r="AE32608" s="54"/>
    </row>
    <row r="32609" spans="31:31">
      <c r="AE32609" s="54"/>
    </row>
    <row r="32610" spans="31:31">
      <c r="AE32610" s="54"/>
    </row>
    <row r="32611" spans="31:31">
      <c r="AE32611" s="54"/>
    </row>
    <row r="32612" spans="31:31">
      <c r="AE32612" s="54"/>
    </row>
    <row r="32613" spans="31:31">
      <c r="AE32613" s="54"/>
    </row>
    <row r="32614" spans="31:31">
      <c r="AE32614" s="54"/>
    </row>
    <row r="32615" spans="31:31">
      <c r="AE32615" s="54"/>
    </row>
    <row r="32616" spans="31:31">
      <c r="AE32616" s="54"/>
    </row>
    <row r="32617" spans="31:31">
      <c r="AE32617" s="54"/>
    </row>
    <row r="32618" spans="31:31">
      <c r="AE32618" s="54"/>
    </row>
    <row r="32619" spans="31:31">
      <c r="AE32619" s="54"/>
    </row>
    <row r="32620" spans="31:31">
      <c r="AE32620" s="54"/>
    </row>
    <row r="32621" spans="31:31">
      <c r="AE32621" s="54"/>
    </row>
    <row r="32622" spans="31:31">
      <c r="AE32622" s="54"/>
    </row>
    <row r="32623" spans="31:31">
      <c r="AE32623" s="54"/>
    </row>
    <row r="32624" spans="31:31">
      <c r="AE32624" s="54"/>
    </row>
    <row r="32625" spans="31:31">
      <c r="AE32625" s="54"/>
    </row>
    <row r="32626" spans="31:31">
      <c r="AE32626" s="54"/>
    </row>
    <row r="32627" spans="31:31">
      <c r="AE32627" s="54"/>
    </row>
    <row r="32628" spans="31:31">
      <c r="AE32628" s="54"/>
    </row>
    <row r="32629" spans="31:31">
      <c r="AE32629" s="54"/>
    </row>
    <row r="32630" spans="31:31">
      <c r="AE32630" s="54"/>
    </row>
    <row r="32631" spans="31:31">
      <c r="AE32631" s="54"/>
    </row>
    <row r="32632" spans="31:31">
      <c r="AE32632" s="54"/>
    </row>
    <row r="32633" spans="31:31">
      <c r="AE32633" s="54"/>
    </row>
    <row r="32634" spans="31:31">
      <c r="AE32634" s="54"/>
    </row>
    <row r="32635" spans="31:31">
      <c r="AE32635" s="54"/>
    </row>
    <row r="32636" spans="31:31">
      <c r="AE32636" s="54"/>
    </row>
    <row r="32637" spans="31:31">
      <c r="AE32637" s="54"/>
    </row>
    <row r="32638" spans="31:31">
      <c r="AE32638" s="54"/>
    </row>
    <row r="32639" spans="31:31">
      <c r="AE32639" s="54"/>
    </row>
    <row r="32640" spans="31:31">
      <c r="AE32640" s="54"/>
    </row>
    <row r="32641" spans="31:31">
      <c r="AE32641" s="54"/>
    </row>
    <row r="32642" spans="31:31">
      <c r="AE32642" s="54"/>
    </row>
    <row r="32643" spans="31:31">
      <c r="AE32643" s="54"/>
    </row>
    <row r="32644" spans="31:31">
      <c r="AE32644" s="54"/>
    </row>
    <row r="32645" spans="31:31">
      <c r="AE32645" s="54"/>
    </row>
    <row r="32646" spans="31:31">
      <c r="AE32646" s="54"/>
    </row>
    <row r="32647" spans="31:31">
      <c r="AE32647" s="54"/>
    </row>
    <row r="32648" spans="31:31">
      <c r="AE32648" s="54"/>
    </row>
    <row r="32649" spans="31:31">
      <c r="AE32649" s="54"/>
    </row>
    <row r="32650" spans="31:31">
      <c r="AE32650" s="54"/>
    </row>
    <row r="32651" spans="31:31">
      <c r="AE32651" s="54"/>
    </row>
    <row r="32652" spans="31:31">
      <c r="AE32652" s="54"/>
    </row>
    <row r="32653" spans="31:31">
      <c r="AE32653" s="54"/>
    </row>
    <row r="32654" spans="31:31">
      <c r="AE32654" s="54"/>
    </row>
    <row r="32655" spans="31:31">
      <c r="AE32655" s="54"/>
    </row>
    <row r="32656" spans="31:31">
      <c r="AE32656" s="54"/>
    </row>
    <row r="32657" spans="31:31">
      <c r="AE32657" s="54"/>
    </row>
    <row r="32658" spans="31:31">
      <c r="AE32658" s="54"/>
    </row>
    <row r="32659" spans="31:31">
      <c r="AE32659" s="54"/>
    </row>
    <row r="32660" spans="31:31">
      <c r="AE32660" s="54"/>
    </row>
    <row r="32661" spans="31:31">
      <c r="AE32661" s="54"/>
    </row>
    <row r="32662" spans="31:31">
      <c r="AE32662" s="54"/>
    </row>
    <row r="32663" spans="31:31">
      <c r="AE32663" s="54"/>
    </row>
    <row r="32664" spans="31:31">
      <c r="AE32664" s="54"/>
    </row>
    <row r="32665" spans="31:31">
      <c r="AE32665" s="54"/>
    </row>
    <row r="32666" spans="31:31">
      <c r="AE32666" s="54"/>
    </row>
    <row r="32667" spans="31:31">
      <c r="AE32667" s="54"/>
    </row>
    <row r="32668" spans="31:31">
      <c r="AE32668" s="54"/>
    </row>
    <row r="32669" spans="31:31">
      <c r="AE32669" s="54"/>
    </row>
    <row r="32670" spans="31:31">
      <c r="AE32670" s="54"/>
    </row>
    <row r="32671" spans="31:31">
      <c r="AE32671" s="54"/>
    </row>
    <row r="32672" spans="31:31">
      <c r="AE32672" s="54"/>
    </row>
    <row r="32673" spans="31:31">
      <c r="AE32673" s="54"/>
    </row>
    <row r="32674" spans="31:31">
      <c r="AE32674" s="54"/>
    </row>
    <row r="32675" spans="31:31">
      <c r="AE32675" s="54"/>
    </row>
    <row r="32676" spans="31:31">
      <c r="AE32676" s="54"/>
    </row>
    <row r="32677" spans="31:31">
      <c r="AE32677" s="54"/>
    </row>
    <row r="32678" spans="31:31">
      <c r="AE32678" s="54"/>
    </row>
    <row r="32679" spans="31:31">
      <c r="AE32679" s="54"/>
    </row>
    <row r="32680" spans="31:31">
      <c r="AE32680" s="54"/>
    </row>
    <row r="32681" spans="31:31">
      <c r="AE32681" s="54"/>
    </row>
    <row r="32682" spans="31:31">
      <c r="AE32682" s="54"/>
    </row>
    <row r="32683" spans="31:31">
      <c r="AE32683" s="54"/>
    </row>
    <row r="32684" spans="31:31">
      <c r="AE32684" s="54"/>
    </row>
    <row r="32685" spans="31:31">
      <c r="AE32685" s="54"/>
    </row>
    <row r="32686" spans="31:31">
      <c r="AE32686" s="54"/>
    </row>
    <row r="32687" spans="31:31">
      <c r="AE32687" s="54"/>
    </row>
    <row r="32688" spans="31:31">
      <c r="AE32688" s="54"/>
    </row>
    <row r="32689" spans="31:31">
      <c r="AE32689" s="54"/>
    </row>
    <row r="32690" spans="31:31">
      <c r="AE32690" s="54"/>
    </row>
    <row r="32691" spans="31:31">
      <c r="AE32691" s="54"/>
    </row>
    <row r="32692" spans="31:31">
      <c r="AE32692" s="54"/>
    </row>
    <row r="32693" spans="31:31">
      <c r="AE32693" s="54"/>
    </row>
    <row r="32694" spans="31:31">
      <c r="AE32694" s="54"/>
    </row>
    <row r="32695" spans="31:31">
      <c r="AE32695" s="54"/>
    </row>
    <row r="32696" spans="31:31">
      <c r="AE32696" s="54"/>
    </row>
    <row r="32697" spans="31:31">
      <c r="AE32697" s="54"/>
    </row>
    <row r="32698" spans="31:31">
      <c r="AE32698" s="54"/>
    </row>
    <row r="32699" spans="31:31">
      <c r="AE32699" s="54"/>
    </row>
    <row r="32700" spans="31:31">
      <c r="AE32700" s="54"/>
    </row>
    <row r="32701" spans="31:31">
      <c r="AE32701" s="54"/>
    </row>
    <row r="32702" spans="31:31">
      <c r="AE32702" s="54"/>
    </row>
    <row r="32703" spans="31:31">
      <c r="AE32703" s="54"/>
    </row>
    <row r="32704" spans="31:31">
      <c r="AE32704" s="54"/>
    </row>
    <row r="32705" spans="31:31">
      <c r="AE32705" s="54"/>
    </row>
    <row r="32706" spans="31:31">
      <c r="AE32706" s="54"/>
    </row>
    <row r="32707" spans="31:31">
      <c r="AE32707" s="54"/>
    </row>
    <row r="32708" spans="31:31">
      <c r="AE32708" s="54"/>
    </row>
    <row r="32709" spans="31:31">
      <c r="AE32709" s="54"/>
    </row>
    <row r="32710" spans="31:31">
      <c r="AE32710" s="54"/>
    </row>
    <row r="32711" spans="31:31">
      <c r="AE32711" s="54"/>
    </row>
    <row r="32712" spans="31:31">
      <c r="AE32712" s="54"/>
    </row>
    <row r="32713" spans="31:31">
      <c r="AE32713" s="54"/>
    </row>
    <row r="32714" spans="31:31">
      <c r="AE32714" s="54"/>
    </row>
    <row r="32715" spans="31:31">
      <c r="AE32715" s="54"/>
    </row>
    <row r="32716" spans="31:31">
      <c r="AE32716" s="54"/>
    </row>
    <row r="32717" spans="31:31">
      <c r="AE32717" s="54"/>
    </row>
    <row r="32718" spans="31:31">
      <c r="AE32718" s="54"/>
    </row>
    <row r="32719" spans="31:31">
      <c r="AE32719" s="54"/>
    </row>
    <row r="32720" spans="31:31">
      <c r="AE32720" s="54"/>
    </row>
    <row r="32721" spans="31:31">
      <c r="AE32721" s="54"/>
    </row>
    <row r="32722" spans="31:31">
      <c r="AE32722" s="54"/>
    </row>
    <row r="32723" spans="31:31">
      <c r="AE32723" s="54"/>
    </row>
    <row r="32724" spans="31:31">
      <c r="AE32724" s="54"/>
    </row>
    <row r="32725" spans="31:31">
      <c r="AE32725" s="54"/>
    </row>
    <row r="32726" spans="31:31">
      <c r="AE32726" s="54"/>
    </row>
    <row r="32727" spans="31:31">
      <c r="AE32727" s="54"/>
    </row>
    <row r="32728" spans="31:31">
      <c r="AE32728" s="54"/>
    </row>
    <row r="32729" spans="31:31">
      <c r="AE32729" s="54"/>
    </row>
    <row r="32730" spans="31:31">
      <c r="AE32730" s="54"/>
    </row>
    <row r="32731" spans="31:31">
      <c r="AE32731" s="54"/>
    </row>
    <row r="32732" spans="31:31">
      <c r="AE32732" s="54"/>
    </row>
    <row r="32733" spans="31:31">
      <c r="AE32733" s="54"/>
    </row>
    <row r="32734" spans="31:31">
      <c r="AE32734" s="54"/>
    </row>
    <row r="32735" spans="31:31">
      <c r="AE32735" s="54"/>
    </row>
    <row r="32736" spans="31:31">
      <c r="AE32736" s="54"/>
    </row>
    <row r="32737" spans="31:31">
      <c r="AE32737" s="54"/>
    </row>
    <row r="32738" spans="31:31">
      <c r="AE32738" s="54"/>
    </row>
    <row r="32739" spans="31:31">
      <c r="AE32739" s="54"/>
    </row>
    <row r="32740" spans="31:31">
      <c r="AE32740" s="54"/>
    </row>
    <row r="32741" spans="31:31">
      <c r="AE32741" s="54"/>
    </row>
    <row r="32742" spans="31:31">
      <c r="AE32742" s="54"/>
    </row>
    <row r="32743" spans="31:31">
      <c r="AE32743" s="54"/>
    </row>
    <row r="32744" spans="31:31">
      <c r="AE32744" s="54"/>
    </row>
    <row r="32745" spans="31:31">
      <c r="AE32745" s="54"/>
    </row>
    <row r="32746" spans="31:31">
      <c r="AE32746" s="54"/>
    </row>
    <row r="32747" spans="31:31">
      <c r="AE32747" s="54"/>
    </row>
    <row r="32748" spans="31:31">
      <c r="AE32748" s="54"/>
    </row>
    <row r="32749" spans="31:31">
      <c r="AE32749" s="54"/>
    </row>
    <row r="32750" spans="31:31">
      <c r="AE32750" s="54"/>
    </row>
    <row r="32751" spans="31:31">
      <c r="AE32751" s="54"/>
    </row>
    <row r="32752" spans="31:31">
      <c r="AE32752" s="54"/>
    </row>
    <row r="32753" spans="31:31">
      <c r="AE32753" s="54"/>
    </row>
    <row r="32754" spans="31:31">
      <c r="AE32754" s="54"/>
    </row>
    <row r="32755" spans="31:31">
      <c r="AE32755" s="54"/>
    </row>
    <row r="32756" spans="31:31">
      <c r="AE32756" s="54"/>
    </row>
    <row r="32757" spans="31:31">
      <c r="AE32757" s="54"/>
    </row>
    <row r="32758" spans="31:31">
      <c r="AE32758" s="54"/>
    </row>
    <row r="32759" spans="31:31">
      <c r="AE32759" s="54"/>
    </row>
    <row r="32760" spans="31:31">
      <c r="AE32760" s="54"/>
    </row>
    <row r="32761" spans="31:31">
      <c r="AE32761" s="54"/>
    </row>
    <row r="32762" spans="31:31">
      <c r="AE32762" s="54"/>
    </row>
    <row r="32763" spans="31:31">
      <c r="AE32763" s="54"/>
    </row>
    <row r="32764" spans="31:31">
      <c r="AE32764" s="54"/>
    </row>
    <row r="32765" spans="31:31">
      <c r="AE32765" s="54"/>
    </row>
    <row r="32766" spans="31:31">
      <c r="AE32766" s="54"/>
    </row>
    <row r="32767" spans="31:31">
      <c r="AE32767" s="54"/>
    </row>
    <row r="32768" spans="31:31">
      <c r="AE32768" s="54"/>
    </row>
    <row r="32769" spans="31:31">
      <c r="AE32769" s="54"/>
    </row>
    <row r="32770" spans="31:31">
      <c r="AE32770" s="54"/>
    </row>
    <row r="32771" spans="31:31">
      <c r="AE32771" s="54"/>
    </row>
    <row r="32772" spans="31:31">
      <c r="AE32772" s="54"/>
    </row>
    <row r="32773" spans="31:31">
      <c r="AE32773" s="54"/>
    </row>
    <row r="32774" spans="31:31">
      <c r="AE32774" s="54"/>
    </row>
    <row r="32775" spans="31:31">
      <c r="AE32775" s="54"/>
    </row>
    <row r="32776" spans="31:31">
      <c r="AE32776" s="54"/>
    </row>
    <row r="32777" spans="31:31">
      <c r="AE32777" s="54"/>
    </row>
    <row r="32778" spans="31:31">
      <c r="AE32778" s="54"/>
    </row>
    <row r="32779" spans="31:31">
      <c r="AE32779" s="54"/>
    </row>
    <row r="32780" spans="31:31">
      <c r="AE32780" s="54"/>
    </row>
    <row r="32781" spans="31:31">
      <c r="AE32781" s="54"/>
    </row>
    <row r="32782" spans="31:31">
      <c r="AE32782" s="54"/>
    </row>
    <row r="32783" spans="31:31">
      <c r="AE32783" s="54"/>
    </row>
    <row r="32784" spans="31:31">
      <c r="AE32784" s="54"/>
    </row>
    <row r="32785" spans="31:31">
      <c r="AE32785" s="54"/>
    </row>
    <row r="32786" spans="31:31">
      <c r="AE32786" s="54"/>
    </row>
    <row r="32787" spans="31:31">
      <c r="AE32787" s="54"/>
    </row>
    <row r="32788" spans="31:31">
      <c r="AE32788" s="54"/>
    </row>
    <row r="32789" spans="31:31">
      <c r="AE32789" s="54"/>
    </row>
    <row r="32790" spans="31:31">
      <c r="AE32790" s="54"/>
    </row>
    <row r="32791" spans="31:31">
      <c r="AE32791" s="54"/>
    </row>
    <row r="32792" spans="31:31">
      <c r="AE32792" s="54"/>
    </row>
    <row r="32793" spans="31:31">
      <c r="AE32793" s="54"/>
    </row>
    <row r="32794" spans="31:31">
      <c r="AE32794" s="54"/>
    </row>
    <row r="32795" spans="31:31">
      <c r="AE32795" s="54"/>
    </row>
    <row r="32796" spans="31:31">
      <c r="AE32796" s="54"/>
    </row>
    <row r="32797" spans="31:31">
      <c r="AE32797" s="54"/>
    </row>
    <row r="32798" spans="31:31">
      <c r="AE32798" s="54"/>
    </row>
    <row r="32799" spans="31:31">
      <c r="AE32799" s="54"/>
    </row>
    <row r="32800" spans="31:31">
      <c r="AE32800" s="54"/>
    </row>
    <row r="32801" spans="31:31">
      <c r="AE32801" s="54"/>
    </row>
    <row r="32802" spans="31:31">
      <c r="AE32802" s="54"/>
    </row>
    <row r="32803" spans="31:31">
      <c r="AE32803" s="54"/>
    </row>
    <row r="32804" spans="31:31">
      <c r="AE32804" s="54"/>
    </row>
    <row r="32805" spans="31:31">
      <c r="AE32805" s="54"/>
    </row>
    <row r="32806" spans="31:31">
      <c r="AE32806" s="54"/>
    </row>
    <row r="32807" spans="31:31">
      <c r="AE32807" s="54"/>
    </row>
    <row r="32808" spans="31:31">
      <c r="AE32808" s="54"/>
    </row>
    <row r="32809" spans="31:31">
      <c r="AE32809" s="54"/>
    </row>
    <row r="32810" spans="31:31">
      <c r="AE32810" s="54"/>
    </row>
    <row r="32811" spans="31:31">
      <c r="AE32811" s="54"/>
    </row>
    <row r="32812" spans="31:31">
      <c r="AE32812" s="54"/>
    </row>
    <row r="32813" spans="31:31">
      <c r="AE32813" s="54"/>
    </row>
    <row r="32814" spans="31:31">
      <c r="AE32814" s="54"/>
    </row>
    <row r="32815" spans="31:31">
      <c r="AE32815" s="54"/>
    </row>
    <row r="32816" spans="31:31">
      <c r="AE32816" s="54"/>
    </row>
    <row r="32817" spans="31:31">
      <c r="AE32817" s="54"/>
    </row>
    <row r="32818" spans="31:31">
      <c r="AE32818" s="54"/>
    </row>
    <row r="32819" spans="31:31">
      <c r="AE32819" s="54"/>
    </row>
    <row r="32820" spans="31:31">
      <c r="AE32820" s="54"/>
    </row>
    <row r="32821" spans="31:31">
      <c r="AE32821" s="54"/>
    </row>
    <row r="32822" spans="31:31">
      <c r="AE32822" s="54"/>
    </row>
    <row r="32823" spans="31:31">
      <c r="AE32823" s="54"/>
    </row>
    <row r="32824" spans="31:31">
      <c r="AE32824" s="54"/>
    </row>
    <row r="32825" spans="31:31">
      <c r="AE32825" s="54"/>
    </row>
    <row r="32826" spans="31:31">
      <c r="AE32826" s="54"/>
    </row>
    <row r="32827" spans="31:31">
      <c r="AE32827" s="54"/>
    </row>
    <row r="32828" spans="31:31">
      <c r="AE32828" s="54"/>
    </row>
    <row r="32829" spans="31:31">
      <c r="AE32829" s="54"/>
    </row>
    <row r="32830" spans="31:31">
      <c r="AE32830" s="54"/>
    </row>
    <row r="32831" spans="31:31">
      <c r="AE32831" s="54"/>
    </row>
    <row r="32832" spans="31:31">
      <c r="AE32832" s="54"/>
    </row>
    <row r="32833" spans="31:31">
      <c r="AE32833" s="54"/>
    </row>
    <row r="32834" spans="31:31">
      <c r="AE32834" s="54"/>
    </row>
    <row r="32835" spans="31:31">
      <c r="AE32835" s="54"/>
    </row>
    <row r="32836" spans="31:31">
      <c r="AE32836" s="54"/>
    </row>
    <row r="32837" spans="31:31">
      <c r="AE32837" s="54"/>
    </row>
    <row r="32838" spans="31:31">
      <c r="AE32838" s="54"/>
    </row>
    <row r="32839" spans="31:31">
      <c r="AE32839" s="54"/>
    </row>
    <row r="32840" spans="31:31">
      <c r="AE32840" s="54"/>
    </row>
    <row r="32841" spans="31:31">
      <c r="AE32841" s="54"/>
    </row>
    <row r="32842" spans="31:31">
      <c r="AE32842" s="54"/>
    </row>
    <row r="32843" spans="31:31">
      <c r="AE32843" s="54"/>
    </row>
    <row r="32844" spans="31:31">
      <c r="AE32844" s="54"/>
    </row>
    <row r="32845" spans="31:31">
      <c r="AE32845" s="54"/>
    </row>
    <row r="32846" spans="31:31">
      <c r="AE32846" s="54"/>
    </row>
    <row r="32847" spans="31:31">
      <c r="AE32847" s="54"/>
    </row>
    <row r="32848" spans="31:31">
      <c r="AE32848" s="54"/>
    </row>
    <row r="32849" spans="31:31">
      <c r="AE32849" s="54"/>
    </row>
    <row r="32850" spans="31:31">
      <c r="AE32850" s="54"/>
    </row>
    <row r="32851" spans="31:31">
      <c r="AE32851" s="54"/>
    </row>
    <row r="32852" spans="31:31">
      <c r="AE32852" s="54"/>
    </row>
    <row r="32853" spans="31:31">
      <c r="AE32853" s="54"/>
    </row>
    <row r="32854" spans="31:31">
      <c r="AE32854" s="54"/>
    </row>
    <row r="32855" spans="31:31">
      <c r="AE32855" s="54"/>
    </row>
    <row r="32856" spans="31:31">
      <c r="AE32856" s="54"/>
    </row>
    <row r="32857" spans="31:31">
      <c r="AE32857" s="54"/>
    </row>
    <row r="32858" spans="31:31">
      <c r="AE32858" s="54"/>
    </row>
    <row r="32859" spans="31:31">
      <c r="AE32859" s="54"/>
    </row>
    <row r="32860" spans="31:31">
      <c r="AE32860" s="54"/>
    </row>
    <row r="32861" spans="31:31">
      <c r="AE32861" s="54"/>
    </row>
    <row r="32862" spans="31:31">
      <c r="AE32862" s="54"/>
    </row>
    <row r="32863" spans="31:31">
      <c r="AE32863" s="54"/>
    </row>
    <row r="32864" spans="31:31">
      <c r="AE32864" s="54"/>
    </row>
    <row r="32865" spans="31:31">
      <c r="AE32865" s="54"/>
    </row>
    <row r="32866" spans="31:31">
      <c r="AE32866" s="54"/>
    </row>
    <row r="32867" spans="31:31">
      <c r="AE32867" s="54"/>
    </row>
    <row r="32868" spans="31:31">
      <c r="AE32868" s="54"/>
    </row>
    <row r="32869" spans="31:31">
      <c r="AE32869" s="54"/>
    </row>
    <row r="32870" spans="31:31">
      <c r="AE32870" s="54"/>
    </row>
    <row r="32871" spans="31:31">
      <c r="AE32871" s="54"/>
    </row>
    <row r="32872" spans="31:31">
      <c r="AE32872" s="54"/>
    </row>
    <row r="32873" spans="31:31">
      <c r="AE32873" s="54"/>
    </row>
    <row r="32874" spans="31:31">
      <c r="AE32874" s="54"/>
    </row>
    <row r="32875" spans="31:31">
      <c r="AE32875" s="54"/>
    </row>
    <row r="32876" spans="31:31">
      <c r="AE32876" s="54"/>
    </row>
    <row r="32877" spans="31:31">
      <c r="AE32877" s="54"/>
    </row>
    <row r="32878" spans="31:31">
      <c r="AE32878" s="54"/>
    </row>
    <row r="32879" spans="31:31">
      <c r="AE32879" s="54"/>
    </row>
    <row r="32880" spans="31:31">
      <c r="AE32880" s="54"/>
    </row>
    <row r="32881" spans="31:31">
      <c r="AE32881" s="54"/>
    </row>
    <row r="32882" spans="31:31">
      <c r="AE32882" s="54"/>
    </row>
    <row r="32883" spans="31:31">
      <c r="AE32883" s="54"/>
    </row>
    <row r="32884" spans="31:31">
      <c r="AE32884" s="54"/>
    </row>
    <row r="32885" spans="31:31">
      <c r="AE32885" s="54"/>
    </row>
    <row r="32886" spans="31:31">
      <c r="AE32886" s="54"/>
    </row>
    <row r="32887" spans="31:31">
      <c r="AE32887" s="54"/>
    </row>
    <row r="32888" spans="31:31">
      <c r="AE32888" s="54"/>
    </row>
    <row r="32889" spans="31:31">
      <c r="AE32889" s="54"/>
    </row>
    <row r="32890" spans="31:31">
      <c r="AE32890" s="54"/>
    </row>
    <row r="32891" spans="31:31">
      <c r="AE32891" s="54"/>
    </row>
    <row r="32892" spans="31:31">
      <c r="AE32892" s="54"/>
    </row>
    <row r="32893" spans="31:31">
      <c r="AE32893" s="54"/>
    </row>
    <row r="32894" spans="31:31">
      <c r="AE32894" s="54"/>
    </row>
    <row r="32895" spans="31:31">
      <c r="AE32895" s="54"/>
    </row>
    <row r="32896" spans="31:31">
      <c r="AE32896" s="54"/>
    </row>
    <row r="32897" spans="31:31">
      <c r="AE32897" s="54"/>
    </row>
    <row r="32898" spans="31:31">
      <c r="AE32898" s="54"/>
    </row>
    <row r="32899" spans="31:31">
      <c r="AE32899" s="54"/>
    </row>
    <row r="32900" spans="31:31">
      <c r="AE32900" s="54"/>
    </row>
    <row r="32901" spans="31:31">
      <c r="AE32901" s="54"/>
    </row>
    <row r="32902" spans="31:31">
      <c r="AE32902" s="54"/>
    </row>
    <row r="32903" spans="31:31">
      <c r="AE32903" s="54"/>
    </row>
    <row r="32904" spans="31:31">
      <c r="AE32904" s="54"/>
    </row>
    <row r="32905" spans="31:31">
      <c r="AE32905" s="54"/>
    </row>
    <row r="32906" spans="31:31">
      <c r="AE32906" s="54"/>
    </row>
    <row r="32907" spans="31:31">
      <c r="AE32907" s="54"/>
    </row>
    <row r="32908" spans="31:31">
      <c r="AE32908" s="54"/>
    </row>
    <row r="32909" spans="31:31">
      <c r="AE32909" s="54"/>
    </row>
    <row r="32910" spans="31:31">
      <c r="AE32910" s="54"/>
    </row>
    <row r="32911" spans="31:31">
      <c r="AE32911" s="54"/>
    </row>
    <row r="32912" spans="31:31">
      <c r="AE32912" s="54"/>
    </row>
    <row r="32913" spans="31:31">
      <c r="AE32913" s="54"/>
    </row>
    <row r="32914" spans="31:31">
      <c r="AE32914" s="54"/>
    </row>
    <row r="32915" spans="31:31">
      <c r="AE32915" s="54"/>
    </row>
    <row r="32916" spans="31:31">
      <c r="AE32916" s="54"/>
    </row>
    <row r="32917" spans="31:31">
      <c r="AE32917" s="54"/>
    </row>
    <row r="32918" spans="31:31">
      <c r="AE32918" s="54"/>
    </row>
    <row r="32919" spans="31:31">
      <c r="AE32919" s="54"/>
    </row>
    <row r="32920" spans="31:31">
      <c r="AE32920" s="54"/>
    </row>
    <row r="32921" spans="31:31">
      <c r="AE32921" s="54"/>
    </row>
    <row r="32922" spans="31:31">
      <c r="AE32922" s="54"/>
    </row>
    <row r="32923" spans="31:31">
      <c r="AE32923" s="54"/>
    </row>
    <row r="32924" spans="31:31">
      <c r="AE32924" s="54"/>
    </row>
    <row r="32925" spans="31:31">
      <c r="AE32925" s="54"/>
    </row>
    <row r="32926" spans="31:31">
      <c r="AE32926" s="54"/>
    </row>
    <row r="32927" spans="31:31">
      <c r="AE32927" s="54"/>
    </row>
    <row r="32928" spans="31:31">
      <c r="AE32928" s="54"/>
    </row>
    <row r="32929" spans="31:31">
      <c r="AE32929" s="54"/>
    </row>
    <row r="32930" spans="31:31">
      <c r="AE32930" s="54"/>
    </row>
    <row r="32931" spans="31:31">
      <c r="AE32931" s="54"/>
    </row>
    <row r="32932" spans="31:31">
      <c r="AE32932" s="54"/>
    </row>
    <row r="32933" spans="31:31">
      <c r="AE32933" s="54"/>
    </row>
    <row r="32934" spans="31:31">
      <c r="AE32934" s="54"/>
    </row>
    <row r="32935" spans="31:31">
      <c r="AE32935" s="54"/>
    </row>
    <row r="32936" spans="31:31">
      <c r="AE32936" s="54"/>
    </row>
    <row r="32937" spans="31:31">
      <c r="AE32937" s="54"/>
    </row>
    <row r="32938" spans="31:31">
      <c r="AE32938" s="54"/>
    </row>
    <row r="32939" spans="31:31">
      <c r="AE32939" s="54"/>
    </row>
    <row r="32940" spans="31:31">
      <c r="AE32940" s="54"/>
    </row>
    <row r="32941" spans="31:31">
      <c r="AE32941" s="54"/>
    </row>
    <row r="32942" spans="31:31">
      <c r="AE32942" s="54"/>
    </row>
    <row r="32943" spans="31:31">
      <c r="AE32943" s="54"/>
    </row>
    <row r="32944" spans="31:31">
      <c r="AE32944" s="54"/>
    </row>
    <row r="32945" spans="31:31">
      <c r="AE32945" s="54"/>
    </row>
    <row r="32946" spans="31:31">
      <c r="AE32946" s="54"/>
    </row>
    <row r="32947" spans="31:31">
      <c r="AE32947" s="54"/>
    </row>
    <row r="32948" spans="31:31">
      <c r="AE32948" s="54"/>
    </row>
    <row r="32949" spans="31:31">
      <c r="AE32949" s="54"/>
    </row>
    <row r="32950" spans="31:31">
      <c r="AE32950" s="54"/>
    </row>
    <row r="32951" spans="31:31">
      <c r="AE32951" s="54"/>
    </row>
    <row r="32952" spans="31:31">
      <c r="AE32952" s="54"/>
    </row>
    <row r="32953" spans="31:31">
      <c r="AE32953" s="54"/>
    </row>
    <row r="32954" spans="31:31">
      <c r="AE32954" s="54"/>
    </row>
    <row r="32955" spans="31:31">
      <c r="AE32955" s="54"/>
    </row>
    <row r="32956" spans="31:31">
      <c r="AE32956" s="54"/>
    </row>
    <row r="32957" spans="31:31">
      <c r="AE32957" s="54"/>
    </row>
    <row r="32958" spans="31:31">
      <c r="AE32958" s="54"/>
    </row>
    <row r="32959" spans="31:31">
      <c r="AE32959" s="54"/>
    </row>
    <row r="32960" spans="31:31">
      <c r="AE32960" s="54"/>
    </row>
    <row r="32961" spans="31:31">
      <c r="AE32961" s="54"/>
    </row>
    <row r="32962" spans="31:31">
      <c r="AE32962" s="54"/>
    </row>
    <row r="32963" spans="31:31">
      <c r="AE32963" s="54"/>
    </row>
    <row r="32964" spans="31:31">
      <c r="AE32964" s="54"/>
    </row>
    <row r="32965" spans="31:31">
      <c r="AE32965" s="54"/>
    </row>
    <row r="32966" spans="31:31">
      <c r="AE32966" s="54"/>
    </row>
    <row r="32967" spans="31:31">
      <c r="AE32967" s="54"/>
    </row>
    <row r="32968" spans="31:31">
      <c r="AE32968" s="54"/>
    </row>
    <row r="32969" spans="31:31">
      <c r="AE32969" s="54"/>
    </row>
    <row r="32970" spans="31:31">
      <c r="AE32970" s="54"/>
    </row>
    <row r="32971" spans="31:31">
      <c r="AE32971" s="54"/>
    </row>
    <row r="32972" spans="31:31">
      <c r="AE32972" s="54"/>
    </row>
    <row r="32973" spans="31:31">
      <c r="AE32973" s="54"/>
    </row>
    <row r="32974" spans="31:31">
      <c r="AE32974" s="54"/>
    </row>
    <row r="32975" spans="31:31">
      <c r="AE32975" s="54"/>
    </row>
    <row r="32976" spans="31:31">
      <c r="AE32976" s="54"/>
    </row>
    <row r="32977" spans="31:31">
      <c r="AE32977" s="54"/>
    </row>
    <row r="32978" spans="31:31">
      <c r="AE32978" s="54"/>
    </row>
    <row r="32979" spans="31:31">
      <c r="AE32979" s="54"/>
    </row>
    <row r="32980" spans="31:31">
      <c r="AE32980" s="54"/>
    </row>
    <row r="32981" spans="31:31">
      <c r="AE32981" s="54"/>
    </row>
    <row r="32982" spans="31:31">
      <c r="AE32982" s="54"/>
    </row>
    <row r="32983" spans="31:31">
      <c r="AE32983" s="54"/>
    </row>
    <row r="32984" spans="31:31">
      <c r="AE32984" s="54"/>
    </row>
    <row r="32985" spans="31:31">
      <c r="AE32985" s="54"/>
    </row>
    <row r="32986" spans="31:31">
      <c r="AE32986" s="54"/>
    </row>
    <row r="32987" spans="31:31">
      <c r="AE32987" s="54"/>
    </row>
    <row r="32988" spans="31:31">
      <c r="AE32988" s="54"/>
    </row>
    <row r="32989" spans="31:31">
      <c r="AE32989" s="54"/>
    </row>
    <row r="32990" spans="31:31">
      <c r="AE32990" s="54"/>
    </row>
    <row r="32991" spans="31:31">
      <c r="AE32991" s="54"/>
    </row>
    <row r="32992" spans="31:31">
      <c r="AE32992" s="54"/>
    </row>
    <row r="32993" spans="31:31">
      <c r="AE32993" s="54"/>
    </row>
    <row r="32994" spans="31:31">
      <c r="AE32994" s="54"/>
    </row>
    <row r="32995" spans="31:31">
      <c r="AE32995" s="54"/>
    </row>
    <row r="32996" spans="31:31">
      <c r="AE32996" s="54"/>
    </row>
    <row r="32997" spans="31:31">
      <c r="AE32997" s="54"/>
    </row>
    <row r="32998" spans="31:31">
      <c r="AE32998" s="54"/>
    </row>
    <row r="32999" spans="31:31">
      <c r="AE32999" s="54"/>
    </row>
    <row r="33000" spans="31:31">
      <c r="AE33000" s="54"/>
    </row>
    <row r="33001" spans="31:31">
      <c r="AE33001" s="54"/>
    </row>
    <row r="33002" spans="31:31">
      <c r="AE33002" s="54"/>
    </row>
    <row r="33003" spans="31:31">
      <c r="AE33003" s="54"/>
    </row>
    <row r="33004" spans="31:31">
      <c r="AE33004" s="54"/>
    </row>
    <row r="33005" spans="31:31">
      <c r="AE33005" s="54"/>
    </row>
    <row r="33006" spans="31:31">
      <c r="AE33006" s="54"/>
    </row>
    <row r="33007" spans="31:31">
      <c r="AE33007" s="54"/>
    </row>
    <row r="33008" spans="31:31">
      <c r="AE33008" s="54"/>
    </row>
    <row r="33009" spans="31:31">
      <c r="AE33009" s="54"/>
    </row>
    <row r="33010" spans="31:31">
      <c r="AE33010" s="54"/>
    </row>
    <row r="33011" spans="31:31">
      <c r="AE33011" s="54"/>
    </row>
    <row r="33012" spans="31:31">
      <c r="AE33012" s="54"/>
    </row>
    <row r="33013" spans="31:31">
      <c r="AE33013" s="54"/>
    </row>
    <row r="33014" spans="31:31">
      <c r="AE33014" s="54"/>
    </row>
    <row r="33015" spans="31:31">
      <c r="AE33015" s="54"/>
    </row>
    <row r="33016" spans="31:31">
      <c r="AE33016" s="54"/>
    </row>
    <row r="33017" spans="31:31">
      <c r="AE33017" s="54"/>
    </row>
    <row r="33018" spans="31:31">
      <c r="AE33018" s="54"/>
    </row>
    <row r="33019" spans="31:31">
      <c r="AE33019" s="54"/>
    </row>
    <row r="33020" spans="31:31">
      <c r="AE33020" s="54"/>
    </row>
    <row r="33021" spans="31:31">
      <c r="AE33021" s="54"/>
    </row>
    <row r="33022" spans="31:31">
      <c r="AE33022" s="54"/>
    </row>
    <row r="33023" spans="31:31">
      <c r="AE33023" s="54"/>
    </row>
    <row r="33024" spans="31:31">
      <c r="AE33024" s="54"/>
    </row>
    <row r="33025" spans="31:31">
      <c r="AE33025" s="54"/>
    </row>
    <row r="33026" spans="31:31">
      <c r="AE33026" s="54"/>
    </row>
    <row r="33027" spans="31:31">
      <c r="AE33027" s="54"/>
    </row>
    <row r="33028" spans="31:31">
      <c r="AE33028" s="54"/>
    </row>
    <row r="33029" spans="31:31">
      <c r="AE33029" s="54"/>
    </row>
    <row r="33030" spans="31:31">
      <c r="AE33030" s="54"/>
    </row>
    <row r="33031" spans="31:31">
      <c r="AE33031" s="54"/>
    </row>
    <row r="33032" spans="31:31">
      <c r="AE33032" s="54"/>
    </row>
    <row r="33033" spans="31:31">
      <c r="AE33033" s="54"/>
    </row>
    <row r="33034" spans="31:31">
      <c r="AE33034" s="54"/>
    </row>
    <row r="33035" spans="31:31">
      <c r="AE33035" s="54"/>
    </row>
    <row r="33036" spans="31:31">
      <c r="AE33036" s="54"/>
    </row>
    <row r="33037" spans="31:31">
      <c r="AE33037" s="54"/>
    </row>
    <row r="33038" spans="31:31">
      <c r="AE33038" s="54"/>
    </row>
    <row r="33039" spans="31:31">
      <c r="AE33039" s="54"/>
    </row>
    <row r="33040" spans="31:31">
      <c r="AE33040" s="54"/>
    </row>
    <row r="33041" spans="31:31">
      <c r="AE33041" s="54"/>
    </row>
    <row r="33042" spans="31:31">
      <c r="AE33042" s="54"/>
    </row>
    <row r="33043" spans="31:31">
      <c r="AE33043" s="54"/>
    </row>
    <row r="33044" spans="31:31">
      <c r="AE33044" s="54"/>
    </row>
    <row r="33045" spans="31:31">
      <c r="AE33045" s="54"/>
    </row>
    <row r="33046" spans="31:31">
      <c r="AE33046" s="54"/>
    </row>
    <row r="33047" spans="31:31">
      <c r="AE33047" s="54"/>
    </row>
    <row r="33048" spans="31:31">
      <c r="AE33048" s="54"/>
    </row>
    <row r="33049" spans="31:31">
      <c r="AE33049" s="54"/>
    </row>
    <row r="33050" spans="31:31">
      <c r="AE33050" s="54"/>
    </row>
    <row r="33051" spans="31:31">
      <c r="AE33051" s="54"/>
    </row>
    <row r="33052" spans="31:31">
      <c r="AE33052" s="54"/>
    </row>
    <row r="33053" spans="31:31">
      <c r="AE33053" s="54"/>
    </row>
    <row r="33054" spans="31:31">
      <c r="AE33054" s="54"/>
    </row>
    <row r="33055" spans="31:31">
      <c r="AE33055" s="54"/>
    </row>
    <row r="33056" spans="31:31">
      <c r="AE33056" s="54"/>
    </row>
    <row r="33057" spans="31:31">
      <c r="AE33057" s="54"/>
    </row>
    <row r="33058" spans="31:31">
      <c r="AE33058" s="54"/>
    </row>
    <row r="33059" spans="31:31">
      <c r="AE33059" s="54"/>
    </row>
    <row r="33060" spans="31:31">
      <c r="AE33060" s="54"/>
    </row>
    <row r="33061" spans="31:31">
      <c r="AE33061" s="54"/>
    </row>
    <row r="33062" spans="31:31">
      <c r="AE33062" s="54"/>
    </row>
    <row r="33063" spans="31:31">
      <c r="AE33063" s="54"/>
    </row>
    <row r="33064" spans="31:31">
      <c r="AE33064" s="54"/>
    </row>
    <row r="33065" spans="31:31">
      <c r="AE33065" s="54"/>
    </row>
    <row r="33066" spans="31:31">
      <c r="AE33066" s="54"/>
    </row>
    <row r="33067" spans="31:31">
      <c r="AE33067" s="54"/>
    </row>
    <row r="33068" spans="31:31">
      <c r="AE33068" s="54"/>
    </row>
    <row r="33069" spans="31:31">
      <c r="AE33069" s="54"/>
    </row>
    <row r="33070" spans="31:31">
      <c r="AE33070" s="54"/>
    </row>
    <row r="33071" spans="31:31">
      <c r="AE33071" s="54"/>
    </row>
    <row r="33072" spans="31:31">
      <c r="AE33072" s="54"/>
    </row>
    <row r="33073" spans="31:31">
      <c r="AE33073" s="54"/>
    </row>
    <row r="33074" spans="31:31">
      <c r="AE33074" s="54"/>
    </row>
    <row r="33075" spans="31:31">
      <c r="AE33075" s="54"/>
    </row>
    <row r="33076" spans="31:31">
      <c r="AE33076" s="54"/>
    </row>
    <row r="33077" spans="31:31">
      <c r="AE33077" s="54"/>
    </row>
    <row r="33078" spans="31:31">
      <c r="AE33078" s="54"/>
    </row>
    <row r="33079" spans="31:31">
      <c r="AE33079" s="54"/>
    </row>
    <row r="33080" spans="31:31">
      <c r="AE33080" s="54"/>
    </row>
    <row r="33081" spans="31:31">
      <c r="AE33081" s="54"/>
    </row>
    <row r="33082" spans="31:31">
      <c r="AE33082" s="54"/>
    </row>
    <row r="33083" spans="31:31">
      <c r="AE33083" s="54"/>
    </row>
    <row r="33084" spans="31:31">
      <c r="AE33084" s="54"/>
    </row>
    <row r="33085" spans="31:31">
      <c r="AE33085" s="54"/>
    </row>
    <row r="33086" spans="31:31">
      <c r="AE33086" s="54"/>
    </row>
    <row r="33087" spans="31:31">
      <c r="AE33087" s="54"/>
    </row>
    <row r="33088" spans="31:31">
      <c r="AE33088" s="54"/>
    </row>
    <row r="33089" spans="31:31">
      <c r="AE33089" s="54"/>
    </row>
    <row r="33090" spans="31:31">
      <c r="AE33090" s="54"/>
    </row>
    <row r="33091" spans="31:31">
      <c r="AE33091" s="54"/>
    </row>
    <row r="33092" spans="31:31">
      <c r="AE33092" s="54"/>
    </row>
    <row r="33093" spans="31:31">
      <c r="AE33093" s="54"/>
    </row>
    <row r="33094" spans="31:31">
      <c r="AE33094" s="54"/>
    </row>
    <row r="33095" spans="31:31">
      <c r="AE33095" s="54"/>
    </row>
    <row r="33096" spans="31:31">
      <c r="AE33096" s="54"/>
    </row>
    <row r="33097" spans="31:31">
      <c r="AE33097" s="54"/>
    </row>
    <row r="33098" spans="31:31">
      <c r="AE33098" s="54"/>
    </row>
    <row r="33099" spans="31:31">
      <c r="AE33099" s="54"/>
    </row>
    <row r="33100" spans="31:31">
      <c r="AE33100" s="54"/>
    </row>
    <row r="33101" spans="31:31">
      <c r="AE33101" s="54"/>
    </row>
    <row r="33102" spans="31:31">
      <c r="AE33102" s="54"/>
    </row>
    <row r="33103" spans="31:31">
      <c r="AE33103" s="54"/>
    </row>
    <row r="33104" spans="31:31">
      <c r="AE33104" s="54"/>
    </row>
    <row r="33105" spans="31:31">
      <c r="AE33105" s="54"/>
    </row>
    <row r="33106" spans="31:31">
      <c r="AE33106" s="54"/>
    </row>
    <row r="33107" spans="31:31">
      <c r="AE33107" s="54"/>
    </row>
    <row r="33108" spans="31:31">
      <c r="AE33108" s="54"/>
    </row>
    <row r="33109" spans="31:31">
      <c r="AE33109" s="54"/>
    </row>
    <row r="33110" spans="31:31">
      <c r="AE33110" s="54"/>
    </row>
    <row r="33111" spans="31:31">
      <c r="AE33111" s="54"/>
    </row>
    <row r="33112" spans="31:31">
      <c r="AE33112" s="54"/>
    </row>
    <row r="33113" spans="31:31">
      <c r="AE33113" s="54"/>
    </row>
    <row r="33114" spans="31:31">
      <c r="AE33114" s="54"/>
    </row>
    <row r="33115" spans="31:31">
      <c r="AE33115" s="54"/>
    </row>
    <row r="33116" spans="31:31">
      <c r="AE33116" s="54"/>
    </row>
    <row r="33117" spans="31:31">
      <c r="AE33117" s="54"/>
    </row>
    <row r="33118" spans="31:31">
      <c r="AE33118" s="54"/>
    </row>
    <row r="33119" spans="31:31">
      <c r="AE33119" s="54"/>
    </row>
    <row r="33120" spans="31:31">
      <c r="AE33120" s="54"/>
    </row>
    <row r="33121" spans="31:31">
      <c r="AE33121" s="54"/>
    </row>
    <row r="33122" spans="31:31">
      <c r="AE33122" s="54"/>
    </row>
    <row r="33123" spans="31:31">
      <c r="AE33123" s="54"/>
    </row>
    <row r="33124" spans="31:31">
      <c r="AE33124" s="54"/>
    </row>
    <row r="33125" spans="31:31">
      <c r="AE33125" s="54"/>
    </row>
    <row r="33126" spans="31:31">
      <c r="AE33126" s="54"/>
    </row>
    <row r="33127" spans="31:31">
      <c r="AE33127" s="54"/>
    </row>
    <row r="33128" spans="31:31">
      <c r="AE33128" s="54"/>
    </row>
    <row r="33129" spans="31:31">
      <c r="AE33129" s="54"/>
    </row>
    <row r="33130" spans="31:31">
      <c r="AE33130" s="54"/>
    </row>
    <row r="33131" spans="31:31">
      <c r="AE33131" s="54"/>
    </row>
    <row r="33132" spans="31:31">
      <c r="AE33132" s="54"/>
    </row>
    <row r="33133" spans="31:31">
      <c r="AE33133" s="54"/>
    </row>
    <row r="33134" spans="31:31">
      <c r="AE33134" s="54"/>
    </row>
    <row r="33135" spans="31:31">
      <c r="AE33135" s="54"/>
    </row>
    <row r="33136" spans="31:31">
      <c r="AE33136" s="54"/>
    </row>
    <row r="33137" spans="31:31">
      <c r="AE33137" s="54"/>
    </row>
    <row r="33138" spans="31:31">
      <c r="AE33138" s="54"/>
    </row>
    <row r="33139" spans="31:31">
      <c r="AE33139" s="54"/>
    </row>
    <row r="33140" spans="31:31">
      <c r="AE33140" s="54"/>
    </row>
    <row r="33141" spans="31:31">
      <c r="AE33141" s="54"/>
    </row>
    <row r="33142" spans="31:31">
      <c r="AE33142" s="54"/>
    </row>
    <row r="33143" spans="31:31">
      <c r="AE33143" s="54"/>
    </row>
    <row r="33144" spans="31:31">
      <c r="AE33144" s="54"/>
    </row>
    <row r="33145" spans="31:31">
      <c r="AE33145" s="54"/>
    </row>
    <row r="33146" spans="31:31">
      <c r="AE33146" s="54"/>
    </row>
    <row r="33147" spans="31:31">
      <c r="AE33147" s="54"/>
    </row>
    <row r="33148" spans="31:31">
      <c r="AE33148" s="54"/>
    </row>
    <row r="33149" spans="31:31">
      <c r="AE33149" s="54"/>
    </row>
    <row r="33150" spans="31:31">
      <c r="AE33150" s="54"/>
    </row>
    <row r="33151" spans="31:31">
      <c r="AE33151" s="54"/>
    </row>
    <row r="33152" spans="31:31">
      <c r="AE33152" s="54"/>
    </row>
    <row r="33153" spans="31:31">
      <c r="AE33153" s="54"/>
    </row>
    <row r="33154" spans="31:31">
      <c r="AE33154" s="54"/>
    </row>
    <row r="33155" spans="31:31">
      <c r="AE33155" s="54"/>
    </row>
    <row r="33156" spans="31:31">
      <c r="AE33156" s="54"/>
    </row>
    <row r="33157" spans="31:31">
      <c r="AE33157" s="54"/>
    </row>
    <row r="33158" spans="31:31">
      <c r="AE33158" s="54"/>
    </row>
    <row r="33159" spans="31:31">
      <c r="AE33159" s="54"/>
    </row>
    <row r="33160" spans="31:31">
      <c r="AE33160" s="54"/>
    </row>
    <row r="33161" spans="31:31">
      <c r="AE33161" s="54"/>
    </row>
    <row r="33162" spans="31:31">
      <c r="AE33162" s="54"/>
    </row>
    <row r="33163" spans="31:31">
      <c r="AE33163" s="54"/>
    </row>
    <row r="33164" spans="31:31">
      <c r="AE33164" s="54"/>
    </row>
    <row r="33165" spans="31:31">
      <c r="AE33165" s="54"/>
    </row>
    <row r="33166" spans="31:31">
      <c r="AE33166" s="54"/>
    </row>
    <row r="33167" spans="31:31">
      <c r="AE33167" s="54"/>
    </row>
    <row r="33168" spans="31:31">
      <c r="AE33168" s="54"/>
    </row>
    <row r="33169" spans="31:31">
      <c r="AE33169" s="54"/>
    </row>
    <row r="33170" spans="31:31">
      <c r="AE33170" s="54"/>
    </row>
    <row r="33171" spans="31:31">
      <c r="AE33171" s="54"/>
    </row>
    <row r="33172" spans="31:31">
      <c r="AE33172" s="54"/>
    </row>
    <row r="33173" spans="31:31">
      <c r="AE33173" s="54"/>
    </row>
    <row r="33174" spans="31:31">
      <c r="AE33174" s="54"/>
    </row>
    <row r="33175" spans="31:31">
      <c r="AE33175" s="54"/>
    </row>
    <row r="33176" spans="31:31">
      <c r="AE33176" s="54"/>
    </row>
    <row r="33177" spans="31:31">
      <c r="AE33177" s="54"/>
    </row>
    <row r="33178" spans="31:31">
      <c r="AE33178" s="54"/>
    </row>
    <row r="33179" spans="31:31">
      <c r="AE33179" s="54"/>
    </row>
    <row r="33180" spans="31:31">
      <c r="AE33180" s="54"/>
    </row>
    <row r="33181" spans="31:31">
      <c r="AE33181" s="54"/>
    </row>
    <row r="33182" spans="31:31">
      <c r="AE33182" s="54"/>
    </row>
    <row r="33183" spans="31:31">
      <c r="AE33183" s="54"/>
    </row>
    <row r="33184" spans="31:31">
      <c r="AE33184" s="54"/>
    </row>
    <row r="33185" spans="31:31">
      <c r="AE33185" s="54"/>
    </row>
    <row r="33186" spans="31:31">
      <c r="AE33186" s="54"/>
    </row>
    <row r="33187" spans="31:31">
      <c r="AE33187" s="54"/>
    </row>
    <row r="33188" spans="31:31">
      <c r="AE33188" s="54"/>
    </row>
    <row r="33189" spans="31:31">
      <c r="AE33189" s="54"/>
    </row>
    <row r="33190" spans="31:31">
      <c r="AE33190" s="54"/>
    </row>
    <row r="33191" spans="31:31">
      <c r="AE33191" s="54"/>
    </row>
    <row r="33192" spans="31:31">
      <c r="AE33192" s="54"/>
    </row>
    <row r="33193" spans="31:31">
      <c r="AE33193" s="54"/>
    </row>
    <row r="33194" spans="31:31">
      <c r="AE33194" s="54"/>
    </row>
    <row r="33195" spans="31:31">
      <c r="AE33195" s="54"/>
    </row>
    <row r="33196" spans="31:31">
      <c r="AE33196" s="54"/>
    </row>
    <row r="33197" spans="31:31">
      <c r="AE33197" s="54"/>
    </row>
    <row r="33198" spans="31:31">
      <c r="AE33198" s="54"/>
    </row>
    <row r="33199" spans="31:31">
      <c r="AE33199" s="54"/>
    </row>
    <row r="33200" spans="31:31">
      <c r="AE33200" s="54"/>
    </row>
    <row r="33201" spans="31:31">
      <c r="AE33201" s="54"/>
    </row>
    <row r="33202" spans="31:31">
      <c r="AE33202" s="54"/>
    </row>
    <row r="33203" spans="31:31">
      <c r="AE33203" s="54"/>
    </row>
    <row r="33204" spans="31:31">
      <c r="AE33204" s="54"/>
    </row>
    <row r="33205" spans="31:31">
      <c r="AE33205" s="54"/>
    </row>
    <row r="33206" spans="31:31">
      <c r="AE33206" s="54"/>
    </row>
    <row r="33207" spans="31:31">
      <c r="AE33207" s="54"/>
    </row>
    <row r="33208" spans="31:31">
      <c r="AE33208" s="54"/>
    </row>
    <row r="33209" spans="31:31">
      <c r="AE33209" s="54"/>
    </row>
    <row r="33210" spans="31:31">
      <c r="AE33210" s="54"/>
    </row>
    <row r="33211" spans="31:31">
      <c r="AE33211" s="54"/>
    </row>
    <row r="33212" spans="31:31">
      <c r="AE33212" s="54"/>
    </row>
    <row r="33213" spans="31:31">
      <c r="AE33213" s="54"/>
    </row>
    <row r="33214" spans="31:31">
      <c r="AE33214" s="54"/>
    </row>
    <row r="33215" spans="31:31">
      <c r="AE33215" s="54"/>
    </row>
    <row r="33216" spans="31:31">
      <c r="AE33216" s="54"/>
    </row>
    <row r="33217" spans="31:31">
      <c r="AE33217" s="54"/>
    </row>
    <row r="33218" spans="31:31">
      <c r="AE33218" s="54"/>
    </row>
    <row r="33219" spans="31:31">
      <c r="AE33219" s="54"/>
    </row>
    <row r="33220" spans="31:31">
      <c r="AE33220" s="54"/>
    </row>
    <row r="33221" spans="31:31">
      <c r="AE33221" s="54"/>
    </row>
    <row r="33222" spans="31:31">
      <c r="AE33222" s="54"/>
    </row>
    <row r="33223" spans="31:31">
      <c r="AE33223" s="54"/>
    </row>
    <row r="33224" spans="31:31">
      <c r="AE33224" s="54"/>
    </row>
    <row r="33225" spans="31:31">
      <c r="AE33225" s="54"/>
    </row>
    <row r="33226" spans="31:31">
      <c r="AE33226" s="54"/>
    </row>
    <row r="33227" spans="31:31">
      <c r="AE33227" s="54"/>
    </row>
    <row r="33228" spans="31:31">
      <c r="AE33228" s="54"/>
    </row>
    <row r="33229" spans="31:31">
      <c r="AE33229" s="54"/>
    </row>
    <row r="33230" spans="31:31">
      <c r="AE33230" s="54"/>
    </row>
    <row r="33231" spans="31:31">
      <c r="AE33231" s="54"/>
    </row>
    <row r="33232" spans="31:31">
      <c r="AE33232" s="54"/>
    </row>
    <row r="33233" spans="31:31">
      <c r="AE33233" s="54"/>
    </row>
    <row r="33234" spans="31:31">
      <c r="AE33234" s="54"/>
    </row>
    <row r="33235" spans="31:31">
      <c r="AE33235" s="54"/>
    </row>
    <row r="33236" spans="31:31">
      <c r="AE33236" s="54"/>
    </row>
    <row r="33237" spans="31:31">
      <c r="AE33237" s="54"/>
    </row>
    <row r="33238" spans="31:31">
      <c r="AE33238" s="54"/>
    </row>
    <row r="33239" spans="31:31">
      <c r="AE33239" s="54"/>
    </row>
    <row r="33240" spans="31:31">
      <c r="AE33240" s="54"/>
    </row>
    <row r="33241" spans="31:31">
      <c r="AE33241" s="54"/>
    </row>
    <row r="33242" spans="31:31">
      <c r="AE33242" s="54"/>
    </row>
    <row r="33243" spans="31:31">
      <c r="AE33243" s="54"/>
    </row>
    <row r="33244" spans="31:31">
      <c r="AE33244" s="54"/>
    </row>
    <row r="33245" spans="31:31">
      <c r="AE33245" s="54"/>
    </row>
    <row r="33246" spans="31:31">
      <c r="AE33246" s="54"/>
    </row>
    <row r="33247" spans="31:31">
      <c r="AE33247" s="54"/>
    </row>
    <row r="33248" spans="31:31">
      <c r="AE33248" s="54"/>
    </row>
    <row r="33249" spans="31:31">
      <c r="AE33249" s="54"/>
    </row>
    <row r="33250" spans="31:31">
      <c r="AE33250" s="54"/>
    </row>
    <row r="33251" spans="31:31">
      <c r="AE33251" s="54"/>
    </row>
    <row r="33252" spans="31:31">
      <c r="AE33252" s="54"/>
    </row>
    <row r="33253" spans="31:31">
      <c r="AE33253" s="54"/>
    </row>
    <row r="33254" spans="31:31">
      <c r="AE33254" s="54"/>
    </row>
    <row r="33255" spans="31:31">
      <c r="AE33255" s="54"/>
    </row>
    <row r="33256" spans="31:31">
      <c r="AE33256" s="54"/>
    </row>
    <row r="33257" spans="31:31">
      <c r="AE33257" s="54"/>
    </row>
    <row r="33258" spans="31:31">
      <c r="AE33258" s="54"/>
    </row>
    <row r="33259" spans="31:31">
      <c r="AE33259" s="54"/>
    </row>
    <row r="33260" spans="31:31">
      <c r="AE33260" s="54"/>
    </row>
    <row r="33261" spans="31:31">
      <c r="AE33261" s="54"/>
    </row>
    <row r="33262" spans="31:31">
      <c r="AE33262" s="54"/>
    </row>
    <row r="33263" spans="31:31">
      <c r="AE33263" s="54"/>
    </row>
    <row r="33264" spans="31:31">
      <c r="AE33264" s="54"/>
    </row>
    <row r="33265" spans="31:31">
      <c r="AE33265" s="54"/>
    </row>
    <row r="33266" spans="31:31">
      <c r="AE33266" s="54"/>
    </row>
    <row r="33267" spans="31:31">
      <c r="AE33267" s="54"/>
    </row>
    <row r="33268" spans="31:31">
      <c r="AE33268" s="54"/>
    </row>
    <row r="33269" spans="31:31">
      <c r="AE33269" s="54"/>
    </row>
    <row r="33270" spans="31:31">
      <c r="AE33270" s="54"/>
    </row>
    <row r="33271" spans="31:31">
      <c r="AE33271" s="54"/>
    </row>
    <row r="33272" spans="31:31">
      <c r="AE33272" s="54"/>
    </row>
    <row r="33273" spans="31:31">
      <c r="AE33273" s="54"/>
    </row>
    <row r="33274" spans="31:31">
      <c r="AE33274" s="54"/>
    </row>
    <row r="33275" spans="31:31">
      <c r="AE33275" s="54"/>
    </row>
    <row r="33276" spans="31:31">
      <c r="AE33276" s="54"/>
    </row>
    <row r="33277" spans="31:31">
      <c r="AE33277" s="54"/>
    </row>
    <row r="33278" spans="31:31">
      <c r="AE33278" s="54"/>
    </row>
    <row r="33279" spans="31:31">
      <c r="AE33279" s="54"/>
    </row>
    <row r="33280" spans="31:31">
      <c r="AE33280" s="54"/>
    </row>
    <row r="33281" spans="31:31">
      <c r="AE33281" s="54"/>
    </row>
    <row r="33282" spans="31:31">
      <c r="AE33282" s="54"/>
    </row>
    <row r="33283" spans="31:31">
      <c r="AE33283" s="54"/>
    </row>
    <row r="33284" spans="31:31">
      <c r="AE33284" s="54"/>
    </row>
    <row r="33285" spans="31:31">
      <c r="AE33285" s="54"/>
    </row>
    <row r="33286" spans="31:31">
      <c r="AE33286" s="54"/>
    </row>
    <row r="33287" spans="31:31">
      <c r="AE33287" s="54"/>
    </row>
    <row r="33288" spans="31:31">
      <c r="AE33288" s="54"/>
    </row>
    <row r="33289" spans="31:31">
      <c r="AE33289" s="54"/>
    </row>
    <row r="33290" spans="31:31">
      <c r="AE33290" s="54"/>
    </row>
    <row r="33291" spans="31:31">
      <c r="AE33291" s="54"/>
    </row>
    <row r="33292" spans="31:31">
      <c r="AE33292" s="54"/>
    </row>
    <row r="33293" spans="31:31">
      <c r="AE33293" s="54"/>
    </row>
    <row r="33294" spans="31:31">
      <c r="AE33294" s="54"/>
    </row>
    <row r="33295" spans="31:31">
      <c r="AE33295" s="54"/>
    </row>
    <row r="33296" spans="31:31">
      <c r="AE33296" s="54"/>
    </row>
    <row r="33297" spans="31:31">
      <c r="AE33297" s="54"/>
    </row>
    <row r="33298" spans="31:31">
      <c r="AE33298" s="54"/>
    </row>
    <row r="33299" spans="31:31">
      <c r="AE33299" s="54"/>
    </row>
    <row r="33300" spans="31:31">
      <c r="AE33300" s="54"/>
    </row>
    <row r="33301" spans="31:31">
      <c r="AE33301" s="54"/>
    </row>
    <row r="33302" spans="31:31">
      <c r="AE33302" s="54"/>
    </row>
    <row r="33303" spans="31:31">
      <c r="AE33303" s="54"/>
    </row>
    <row r="33304" spans="31:31">
      <c r="AE33304" s="54"/>
    </row>
    <row r="33305" spans="31:31">
      <c r="AE33305" s="54"/>
    </row>
    <row r="33306" spans="31:31">
      <c r="AE33306" s="54"/>
    </row>
    <row r="33307" spans="31:31">
      <c r="AE33307" s="54"/>
    </row>
    <row r="33308" spans="31:31">
      <c r="AE33308" s="54"/>
    </row>
    <row r="33309" spans="31:31">
      <c r="AE33309" s="54"/>
    </row>
    <row r="33310" spans="31:31">
      <c r="AE33310" s="54"/>
    </row>
    <row r="33311" spans="31:31">
      <c r="AE33311" s="54"/>
    </row>
    <row r="33312" spans="31:31">
      <c r="AE33312" s="54"/>
    </row>
    <row r="33313" spans="31:31">
      <c r="AE33313" s="54"/>
    </row>
    <row r="33314" spans="31:31">
      <c r="AE33314" s="54"/>
    </row>
    <row r="33315" spans="31:31">
      <c r="AE33315" s="54"/>
    </row>
    <row r="33316" spans="31:31">
      <c r="AE33316" s="54"/>
    </row>
    <row r="33317" spans="31:31">
      <c r="AE33317" s="54"/>
    </row>
    <row r="33318" spans="31:31">
      <c r="AE33318" s="54"/>
    </row>
    <row r="33319" spans="31:31">
      <c r="AE33319" s="54"/>
    </row>
    <row r="33320" spans="31:31">
      <c r="AE33320" s="54"/>
    </row>
    <row r="33321" spans="31:31">
      <c r="AE33321" s="54"/>
    </row>
    <row r="33322" spans="31:31">
      <c r="AE33322" s="54"/>
    </row>
    <row r="33323" spans="31:31">
      <c r="AE33323" s="54"/>
    </row>
    <row r="33324" spans="31:31">
      <c r="AE33324" s="54"/>
    </row>
    <row r="33325" spans="31:31">
      <c r="AE33325" s="54"/>
    </row>
    <row r="33326" spans="31:31">
      <c r="AE33326" s="54"/>
    </row>
    <row r="33327" spans="31:31">
      <c r="AE33327" s="54"/>
    </row>
    <row r="33328" spans="31:31">
      <c r="AE33328" s="54"/>
    </row>
    <row r="33329" spans="31:31">
      <c r="AE33329" s="54"/>
    </row>
    <row r="33330" spans="31:31">
      <c r="AE33330" s="54"/>
    </row>
    <row r="33331" spans="31:31">
      <c r="AE33331" s="54"/>
    </row>
    <row r="33332" spans="31:31">
      <c r="AE33332" s="54"/>
    </row>
    <row r="33333" spans="31:31">
      <c r="AE33333" s="54"/>
    </row>
    <row r="33334" spans="31:31">
      <c r="AE33334" s="54"/>
    </row>
    <row r="33335" spans="31:31">
      <c r="AE33335" s="54"/>
    </row>
    <row r="33336" spans="31:31">
      <c r="AE33336" s="54"/>
    </row>
    <row r="33337" spans="31:31">
      <c r="AE33337" s="54"/>
    </row>
    <row r="33338" spans="31:31">
      <c r="AE33338" s="54"/>
    </row>
    <row r="33339" spans="31:31">
      <c r="AE33339" s="54"/>
    </row>
    <row r="33340" spans="31:31">
      <c r="AE33340" s="54"/>
    </row>
    <row r="33341" spans="31:31">
      <c r="AE33341" s="54"/>
    </row>
    <row r="33342" spans="31:31">
      <c r="AE33342" s="54"/>
    </row>
    <row r="33343" spans="31:31">
      <c r="AE33343" s="54"/>
    </row>
    <row r="33344" spans="31:31">
      <c r="AE33344" s="54"/>
    </row>
    <row r="33345" spans="31:31">
      <c r="AE33345" s="54"/>
    </row>
    <row r="33346" spans="31:31">
      <c r="AE33346" s="54"/>
    </row>
    <row r="33347" spans="31:31">
      <c r="AE33347" s="54"/>
    </row>
    <row r="33348" spans="31:31">
      <c r="AE33348" s="54"/>
    </row>
    <row r="33349" spans="31:31">
      <c r="AE33349" s="54"/>
    </row>
    <row r="33350" spans="31:31">
      <c r="AE33350" s="54"/>
    </row>
    <row r="33351" spans="31:31">
      <c r="AE33351" s="54"/>
    </row>
    <row r="33352" spans="31:31">
      <c r="AE33352" s="54"/>
    </row>
    <row r="33353" spans="31:31">
      <c r="AE33353" s="54"/>
    </row>
    <row r="33354" spans="31:31">
      <c r="AE33354" s="54"/>
    </row>
    <row r="33355" spans="31:31">
      <c r="AE33355" s="54"/>
    </row>
    <row r="33356" spans="31:31">
      <c r="AE33356" s="54"/>
    </row>
    <row r="33357" spans="31:31">
      <c r="AE33357" s="54"/>
    </row>
    <row r="33358" spans="31:31">
      <c r="AE33358" s="54"/>
    </row>
    <row r="33359" spans="31:31">
      <c r="AE33359" s="54"/>
    </row>
    <row r="33360" spans="31:31">
      <c r="AE33360" s="54"/>
    </row>
    <row r="33361" spans="31:31">
      <c r="AE33361" s="54"/>
    </row>
    <row r="33362" spans="31:31">
      <c r="AE33362" s="54"/>
    </row>
    <row r="33363" spans="31:31">
      <c r="AE33363" s="54"/>
    </row>
    <row r="33364" spans="31:31">
      <c r="AE33364" s="54"/>
    </row>
    <row r="33365" spans="31:31">
      <c r="AE33365" s="54"/>
    </row>
    <row r="33366" spans="31:31">
      <c r="AE33366" s="54"/>
    </row>
    <row r="33367" spans="31:31">
      <c r="AE33367" s="54"/>
    </row>
    <row r="33368" spans="31:31">
      <c r="AE33368" s="54"/>
    </row>
    <row r="33369" spans="31:31">
      <c r="AE33369" s="54"/>
    </row>
    <row r="33370" spans="31:31">
      <c r="AE33370" s="54"/>
    </row>
    <row r="33371" spans="31:31">
      <c r="AE33371" s="54"/>
    </row>
    <row r="33372" spans="31:31">
      <c r="AE33372" s="54"/>
    </row>
    <row r="33373" spans="31:31">
      <c r="AE33373" s="54"/>
    </row>
    <row r="33374" spans="31:31">
      <c r="AE33374" s="54"/>
    </row>
    <row r="33375" spans="31:31">
      <c r="AE33375" s="54"/>
    </row>
    <row r="33376" spans="31:31">
      <c r="AE33376" s="54"/>
    </row>
    <row r="33377" spans="31:31">
      <c r="AE33377" s="54"/>
    </row>
    <row r="33378" spans="31:31">
      <c r="AE33378" s="54"/>
    </row>
    <row r="33379" spans="31:31">
      <c r="AE33379" s="54"/>
    </row>
    <row r="33380" spans="31:31">
      <c r="AE33380" s="54"/>
    </row>
    <row r="33381" spans="31:31">
      <c r="AE33381" s="54"/>
    </row>
    <row r="33382" spans="31:31">
      <c r="AE33382" s="54"/>
    </row>
    <row r="33383" spans="31:31">
      <c r="AE33383" s="54"/>
    </row>
    <row r="33384" spans="31:31">
      <c r="AE33384" s="54"/>
    </row>
    <row r="33385" spans="31:31">
      <c r="AE33385" s="54"/>
    </row>
    <row r="33386" spans="31:31">
      <c r="AE33386" s="54"/>
    </row>
    <row r="33387" spans="31:31">
      <c r="AE33387" s="54"/>
    </row>
    <row r="33388" spans="31:31">
      <c r="AE33388" s="54"/>
    </row>
    <row r="33389" spans="31:31">
      <c r="AE33389" s="54"/>
    </row>
    <row r="33390" spans="31:31">
      <c r="AE33390" s="54"/>
    </row>
    <row r="33391" spans="31:31">
      <c r="AE33391" s="54"/>
    </row>
    <row r="33392" spans="31:31">
      <c r="AE33392" s="54"/>
    </row>
    <row r="33393" spans="31:31">
      <c r="AE33393" s="54"/>
    </row>
    <row r="33394" spans="31:31">
      <c r="AE33394" s="54"/>
    </row>
    <row r="33395" spans="31:31">
      <c r="AE33395" s="54"/>
    </row>
    <row r="33396" spans="31:31">
      <c r="AE33396" s="54"/>
    </row>
    <row r="33397" spans="31:31">
      <c r="AE33397" s="54"/>
    </row>
    <row r="33398" spans="31:31">
      <c r="AE33398" s="54"/>
    </row>
    <row r="33399" spans="31:31">
      <c r="AE33399" s="54"/>
    </row>
    <row r="33400" spans="31:31">
      <c r="AE33400" s="54"/>
    </row>
    <row r="33401" spans="31:31">
      <c r="AE33401" s="54"/>
    </row>
    <row r="33402" spans="31:31">
      <c r="AE33402" s="54"/>
    </row>
    <row r="33403" spans="31:31">
      <c r="AE33403" s="54"/>
    </row>
    <row r="33404" spans="31:31">
      <c r="AE33404" s="54"/>
    </row>
    <row r="33405" spans="31:31">
      <c r="AE33405" s="54"/>
    </row>
    <row r="33406" spans="31:31">
      <c r="AE33406" s="54"/>
    </row>
    <row r="33407" spans="31:31">
      <c r="AE33407" s="54"/>
    </row>
    <row r="33408" spans="31:31">
      <c r="AE33408" s="54"/>
    </row>
    <row r="33409" spans="31:31">
      <c r="AE33409" s="54"/>
    </row>
    <row r="33410" spans="31:31">
      <c r="AE33410" s="54"/>
    </row>
    <row r="33411" spans="31:31">
      <c r="AE33411" s="54"/>
    </row>
    <row r="33412" spans="31:31">
      <c r="AE33412" s="54"/>
    </row>
    <row r="33413" spans="31:31">
      <c r="AE33413" s="54"/>
    </row>
    <row r="33414" spans="31:31">
      <c r="AE33414" s="54"/>
    </row>
    <row r="33415" spans="31:31">
      <c r="AE33415" s="54"/>
    </row>
    <row r="33416" spans="31:31">
      <c r="AE33416" s="54"/>
    </row>
    <row r="33417" spans="31:31">
      <c r="AE33417" s="54"/>
    </row>
    <row r="33418" spans="31:31">
      <c r="AE33418" s="54"/>
    </row>
    <row r="33419" spans="31:31">
      <c r="AE33419" s="54"/>
    </row>
    <row r="33420" spans="31:31">
      <c r="AE33420" s="54"/>
    </row>
    <row r="33421" spans="31:31">
      <c r="AE33421" s="54"/>
    </row>
    <row r="33422" spans="31:31">
      <c r="AE33422" s="54"/>
    </row>
    <row r="33423" spans="31:31">
      <c r="AE33423" s="54"/>
    </row>
    <row r="33424" spans="31:31">
      <c r="AE33424" s="54"/>
    </row>
    <row r="33425" spans="31:31">
      <c r="AE33425" s="54"/>
    </row>
    <row r="33426" spans="31:31">
      <c r="AE33426" s="54"/>
    </row>
    <row r="33427" spans="31:31">
      <c r="AE33427" s="54"/>
    </row>
    <row r="33428" spans="31:31">
      <c r="AE33428" s="54"/>
    </row>
    <row r="33429" spans="31:31">
      <c r="AE33429" s="54"/>
    </row>
    <row r="33430" spans="31:31">
      <c r="AE33430" s="54"/>
    </row>
    <row r="33431" spans="31:31">
      <c r="AE33431" s="54"/>
    </row>
    <row r="33432" spans="31:31">
      <c r="AE33432" s="54"/>
    </row>
    <row r="33433" spans="31:31">
      <c r="AE33433" s="54"/>
    </row>
    <row r="33434" spans="31:31">
      <c r="AE33434" s="54"/>
    </row>
    <row r="33435" spans="31:31">
      <c r="AE33435" s="54"/>
    </row>
    <row r="33436" spans="31:31">
      <c r="AE33436" s="54"/>
    </row>
    <row r="33437" spans="31:31">
      <c r="AE33437" s="54"/>
    </row>
    <row r="33438" spans="31:31">
      <c r="AE33438" s="54"/>
    </row>
    <row r="33439" spans="31:31">
      <c r="AE33439" s="54"/>
    </row>
    <row r="33440" spans="31:31">
      <c r="AE33440" s="54"/>
    </row>
    <row r="33441" spans="31:31">
      <c r="AE33441" s="54"/>
    </row>
    <row r="33442" spans="31:31">
      <c r="AE33442" s="54"/>
    </row>
    <row r="33443" spans="31:31">
      <c r="AE33443" s="54"/>
    </row>
    <row r="33444" spans="31:31">
      <c r="AE33444" s="54"/>
    </row>
    <row r="33445" spans="31:31">
      <c r="AE33445" s="54"/>
    </row>
    <row r="33446" spans="31:31">
      <c r="AE33446" s="54"/>
    </row>
    <row r="33447" spans="31:31">
      <c r="AE33447" s="54"/>
    </row>
    <row r="33448" spans="31:31">
      <c r="AE33448" s="54"/>
    </row>
    <row r="33449" spans="31:31">
      <c r="AE33449" s="54"/>
    </row>
    <row r="33450" spans="31:31">
      <c r="AE33450" s="54"/>
    </row>
    <row r="33451" spans="31:31">
      <c r="AE33451" s="54"/>
    </row>
    <row r="33452" spans="31:31">
      <c r="AE33452" s="54"/>
    </row>
    <row r="33453" spans="31:31">
      <c r="AE33453" s="54"/>
    </row>
    <row r="33454" spans="31:31">
      <c r="AE33454" s="54"/>
    </row>
    <row r="33455" spans="31:31">
      <c r="AE33455" s="54"/>
    </row>
    <row r="33456" spans="31:31">
      <c r="AE33456" s="54"/>
    </row>
    <row r="33457" spans="31:31">
      <c r="AE33457" s="54"/>
    </row>
    <row r="33458" spans="31:31">
      <c r="AE33458" s="54"/>
    </row>
    <row r="33459" spans="31:31">
      <c r="AE33459" s="54"/>
    </row>
    <row r="33460" spans="31:31">
      <c r="AE33460" s="54"/>
    </row>
    <row r="33461" spans="31:31">
      <c r="AE33461" s="54"/>
    </row>
    <row r="33462" spans="31:31">
      <c r="AE33462" s="54"/>
    </row>
    <row r="33463" spans="31:31">
      <c r="AE33463" s="54"/>
    </row>
    <row r="33464" spans="31:31">
      <c r="AE33464" s="54"/>
    </row>
    <row r="33465" spans="31:31">
      <c r="AE33465" s="54"/>
    </row>
    <row r="33466" spans="31:31">
      <c r="AE33466" s="54"/>
    </row>
    <row r="33467" spans="31:31">
      <c r="AE33467" s="54"/>
    </row>
    <row r="33468" spans="31:31">
      <c r="AE33468" s="54"/>
    </row>
    <row r="33469" spans="31:31">
      <c r="AE33469" s="54"/>
    </row>
    <row r="33470" spans="31:31">
      <c r="AE33470" s="54"/>
    </row>
    <row r="33471" spans="31:31">
      <c r="AE33471" s="54"/>
    </row>
    <row r="33472" spans="31:31">
      <c r="AE33472" s="54"/>
    </row>
    <row r="33473" spans="31:31">
      <c r="AE33473" s="54"/>
    </row>
    <row r="33474" spans="31:31">
      <c r="AE33474" s="54"/>
    </row>
    <row r="33475" spans="31:31">
      <c r="AE33475" s="54"/>
    </row>
    <row r="33476" spans="31:31">
      <c r="AE33476" s="54"/>
    </row>
    <row r="33477" spans="31:31">
      <c r="AE33477" s="54"/>
    </row>
    <row r="33478" spans="31:31">
      <c r="AE33478" s="54"/>
    </row>
    <row r="33479" spans="31:31">
      <c r="AE33479" s="54"/>
    </row>
    <row r="33480" spans="31:31">
      <c r="AE33480" s="54"/>
    </row>
    <row r="33481" spans="31:31">
      <c r="AE33481" s="54"/>
    </row>
    <row r="33482" spans="31:31">
      <c r="AE33482" s="54"/>
    </row>
    <row r="33483" spans="31:31">
      <c r="AE33483" s="54"/>
    </row>
    <row r="33484" spans="31:31">
      <c r="AE33484" s="54"/>
    </row>
    <row r="33485" spans="31:31">
      <c r="AE33485" s="54"/>
    </row>
    <row r="33486" spans="31:31">
      <c r="AE33486" s="54"/>
    </row>
    <row r="33487" spans="31:31">
      <c r="AE33487" s="54"/>
    </row>
    <row r="33488" spans="31:31">
      <c r="AE33488" s="54"/>
    </row>
    <row r="33489" spans="31:31">
      <c r="AE33489" s="54"/>
    </row>
    <row r="33490" spans="31:31">
      <c r="AE33490" s="54"/>
    </row>
    <row r="33491" spans="31:31">
      <c r="AE33491" s="54"/>
    </row>
    <row r="33492" spans="31:31">
      <c r="AE33492" s="54"/>
    </row>
    <row r="33493" spans="31:31">
      <c r="AE33493" s="54"/>
    </row>
    <row r="33494" spans="31:31">
      <c r="AE33494" s="54"/>
    </row>
    <row r="33495" spans="31:31">
      <c r="AE33495" s="54"/>
    </row>
    <row r="33496" spans="31:31">
      <c r="AE33496" s="54"/>
    </row>
    <row r="33497" spans="31:31">
      <c r="AE33497" s="54"/>
    </row>
    <row r="33498" spans="31:31">
      <c r="AE33498" s="54"/>
    </row>
    <row r="33499" spans="31:31">
      <c r="AE33499" s="54"/>
    </row>
    <row r="33500" spans="31:31">
      <c r="AE33500" s="54"/>
    </row>
    <row r="33501" spans="31:31">
      <c r="AE33501" s="54"/>
    </row>
    <row r="33502" spans="31:31">
      <c r="AE33502" s="54"/>
    </row>
    <row r="33503" spans="31:31">
      <c r="AE33503" s="54"/>
    </row>
    <row r="33504" spans="31:31">
      <c r="AE33504" s="54"/>
    </row>
    <row r="33505" spans="31:31">
      <c r="AE33505" s="54"/>
    </row>
    <row r="33506" spans="31:31">
      <c r="AE33506" s="54"/>
    </row>
    <row r="33507" spans="31:31">
      <c r="AE33507" s="54"/>
    </row>
    <row r="33508" spans="31:31">
      <c r="AE33508" s="54"/>
    </row>
    <row r="33509" spans="31:31">
      <c r="AE33509" s="54"/>
    </row>
    <row r="33510" spans="31:31">
      <c r="AE33510" s="54"/>
    </row>
    <row r="33511" spans="31:31">
      <c r="AE33511" s="54"/>
    </row>
    <row r="33512" spans="31:31">
      <c r="AE33512" s="54"/>
    </row>
    <row r="33513" spans="31:31">
      <c r="AE33513" s="54"/>
    </row>
    <row r="33514" spans="31:31">
      <c r="AE33514" s="54"/>
    </row>
    <row r="33515" spans="31:31">
      <c r="AE33515" s="54"/>
    </row>
    <row r="33516" spans="31:31">
      <c r="AE33516" s="54"/>
    </row>
    <row r="33517" spans="31:31">
      <c r="AE33517" s="54"/>
    </row>
    <row r="33518" spans="31:31">
      <c r="AE33518" s="54"/>
    </row>
    <row r="33519" spans="31:31">
      <c r="AE33519" s="54"/>
    </row>
    <row r="33520" spans="31:31">
      <c r="AE33520" s="54"/>
    </row>
    <row r="33521" spans="31:31">
      <c r="AE33521" s="54"/>
    </row>
    <row r="33522" spans="31:31">
      <c r="AE33522" s="54"/>
    </row>
    <row r="33523" spans="31:31">
      <c r="AE33523" s="54"/>
    </row>
    <row r="33524" spans="31:31">
      <c r="AE33524" s="54"/>
    </row>
    <row r="33525" spans="31:31">
      <c r="AE33525" s="54"/>
    </row>
    <row r="33526" spans="31:31">
      <c r="AE33526" s="54"/>
    </row>
    <row r="33527" spans="31:31">
      <c r="AE33527" s="54"/>
    </row>
    <row r="33528" spans="31:31">
      <c r="AE33528" s="54"/>
    </row>
    <row r="33529" spans="31:31">
      <c r="AE33529" s="54"/>
    </row>
    <row r="33530" spans="31:31">
      <c r="AE33530" s="54"/>
    </row>
    <row r="33531" spans="31:31">
      <c r="AE33531" s="54"/>
    </row>
    <row r="33532" spans="31:31">
      <c r="AE33532" s="54"/>
    </row>
    <row r="33533" spans="31:31">
      <c r="AE33533" s="54"/>
    </row>
    <row r="33534" spans="31:31">
      <c r="AE33534" s="54"/>
    </row>
    <row r="33535" spans="31:31">
      <c r="AE33535" s="54"/>
    </row>
    <row r="33536" spans="31:31">
      <c r="AE33536" s="54"/>
    </row>
    <row r="33537" spans="31:31">
      <c r="AE33537" s="54"/>
    </row>
    <row r="33538" spans="31:31">
      <c r="AE33538" s="54"/>
    </row>
    <row r="33539" spans="31:31">
      <c r="AE33539" s="54"/>
    </row>
    <row r="33540" spans="31:31">
      <c r="AE33540" s="54"/>
    </row>
    <row r="33541" spans="31:31">
      <c r="AE33541" s="54"/>
    </row>
    <row r="33542" spans="31:31">
      <c r="AE33542" s="54"/>
    </row>
    <row r="33543" spans="31:31">
      <c r="AE33543" s="54"/>
    </row>
    <row r="33544" spans="31:31">
      <c r="AE33544" s="54"/>
    </row>
    <row r="33545" spans="31:31">
      <c r="AE33545" s="54"/>
    </row>
    <row r="33546" spans="31:31">
      <c r="AE33546" s="54"/>
    </row>
    <row r="33547" spans="31:31">
      <c r="AE33547" s="54"/>
    </row>
    <row r="33548" spans="31:31">
      <c r="AE33548" s="54"/>
    </row>
    <row r="33549" spans="31:31">
      <c r="AE33549" s="54"/>
    </row>
    <row r="33550" spans="31:31">
      <c r="AE33550" s="54"/>
    </row>
    <row r="33551" spans="31:31">
      <c r="AE33551" s="54"/>
    </row>
    <row r="33552" spans="31:31">
      <c r="AE33552" s="54"/>
    </row>
    <row r="33553" spans="31:31">
      <c r="AE33553" s="54"/>
    </row>
    <row r="33554" spans="31:31">
      <c r="AE33554" s="54"/>
    </row>
    <row r="33555" spans="31:31">
      <c r="AE33555" s="54"/>
    </row>
    <row r="33556" spans="31:31">
      <c r="AE33556" s="54"/>
    </row>
    <row r="33557" spans="31:31">
      <c r="AE33557" s="54"/>
    </row>
    <row r="33558" spans="31:31">
      <c r="AE33558" s="54"/>
    </row>
    <row r="33559" spans="31:31">
      <c r="AE33559" s="54"/>
    </row>
    <row r="33560" spans="31:31">
      <c r="AE33560" s="54"/>
    </row>
    <row r="33561" spans="31:31">
      <c r="AE33561" s="54"/>
    </row>
    <row r="33562" spans="31:31">
      <c r="AE33562" s="54"/>
    </row>
    <row r="33563" spans="31:31">
      <c r="AE33563" s="54"/>
    </row>
    <row r="33564" spans="31:31">
      <c r="AE33564" s="54"/>
    </row>
    <row r="33565" spans="31:31">
      <c r="AE33565" s="54"/>
    </row>
    <row r="33566" spans="31:31">
      <c r="AE33566" s="54"/>
    </row>
    <row r="33567" spans="31:31">
      <c r="AE33567" s="54"/>
    </row>
    <row r="33568" spans="31:31">
      <c r="AE33568" s="54"/>
    </row>
    <row r="33569" spans="31:31">
      <c r="AE33569" s="54"/>
    </row>
    <row r="33570" spans="31:31">
      <c r="AE33570" s="54"/>
    </row>
    <row r="33571" spans="31:31">
      <c r="AE33571" s="54"/>
    </row>
    <row r="33572" spans="31:31">
      <c r="AE33572" s="54"/>
    </row>
    <row r="33573" spans="31:31">
      <c r="AE33573" s="54"/>
    </row>
    <row r="33574" spans="31:31">
      <c r="AE33574" s="54"/>
    </row>
    <row r="33575" spans="31:31">
      <c r="AE33575" s="54"/>
    </row>
    <row r="33576" spans="31:31">
      <c r="AE33576" s="54"/>
    </row>
    <row r="33577" spans="31:31">
      <c r="AE33577" s="54"/>
    </row>
    <row r="33578" spans="31:31">
      <c r="AE33578" s="54"/>
    </row>
    <row r="33579" spans="31:31">
      <c r="AE33579" s="54"/>
    </row>
    <row r="33580" spans="31:31">
      <c r="AE33580" s="54"/>
    </row>
    <row r="33581" spans="31:31">
      <c r="AE33581" s="54"/>
    </row>
    <row r="33582" spans="31:31">
      <c r="AE33582" s="54"/>
    </row>
    <row r="33583" spans="31:31">
      <c r="AE33583" s="54"/>
    </row>
    <row r="33584" spans="31:31">
      <c r="AE33584" s="54"/>
    </row>
    <row r="33585" spans="31:31">
      <c r="AE33585" s="54"/>
    </row>
    <row r="33586" spans="31:31">
      <c r="AE33586" s="54"/>
    </row>
    <row r="33587" spans="31:31">
      <c r="AE33587" s="54"/>
    </row>
    <row r="33588" spans="31:31">
      <c r="AE33588" s="54"/>
    </row>
    <row r="33589" spans="31:31">
      <c r="AE33589" s="54"/>
    </row>
    <row r="33590" spans="31:31">
      <c r="AE33590" s="54"/>
    </row>
    <row r="33591" spans="31:31">
      <c r="AE33591" s="54"/>
    </row>
    <row r="33592" spans="31:31">
      <c r="AE33592" s="54"/>
    </row>
    <row r="33593" spans="31:31">
      <c r="AE33593" s="54"/>
    </row>
    <row r="33594" spans="31:31">
      <c r="AE33594" s="54"/>
    </row>
    <row r="33595" spans="31:31">
      <c r="AE33595" s="54"/>
    </row>
    <row r="33596" spans="31:31">
      <c r="AE33596" s="54"/>
    </row>
    <row r="33597" spans="31:31">
      <c r="AE33597" s="54"/>
    </row>
    <row r="33598" spans="31:31">
      <c r="AE33598" s="54"/>
    </row>
    <row r="33599" spans="31:31">
      <c r="AE33599" s="54"/>
    </row>
    <row r="33600" spans="31:31">
      <c r="AE33600" s="54"/>
    </row>
    <row r="33601" spans="31:31">
      <c r="AE33601" s="54"/>
    </row>
    <row r="33602" spans="31:31">
      <c r="AE33602" s="54"/>
    </row>
    <row r="33603" spans="31:31">
      <c r="AE33603" s="54"/>
    </row>
    <row r="33604" spans="31:31">
      <c r="AE33604" s="54"/>
    </row>
    <row r="33605" spans="31:31">
      <c r="AE33605" s="54"/>
    </row>
    <row r="33606" spans="31:31">
      <c r="AE33606" s="54"/>
    </row>
    <row r="33607" spans="31:31">
      <c r="AE33607" s="54"/>
    </row>
    <row r="33608" spans="31:31">
      <c r="AE33608" s="54"/>
    </row>
    <row r="33609" spans="31:31">
      <c r="AE33609" s="54"/>
    </row>
    <row r="33610" spans="31:31">
      <c r="AE33610" s="54"/>
    </row>
    <row r="33611" spans="31:31">
      <c r="AE33611" s="54"/>
    </row>
    <row r="33612" spans="31:31">
      <c r="AE33612" s="54"/>
    </row>
    <row r="33613" spans="31:31">
      <c r="AE33613" s="54"/>
    </row>
    <row r="33614" spans="31:31">
      <c r="AE33614" s="54"/>
    </row>
    <row r="33615" spans="31:31">
      <c r="AE33615" s="54"/>
    </row>
    <row r="33616" spans="31:31">
      <c r="AE33616" s="54"/>
    </row>
    <row r="33617" spans="31:31">
      <c r="AE33617" s="54"/>
    </row>
    <row r="33618" spans="31:31">
      <c r="AE33618" s="54"/>
    </row>
    <row r="33619" spans="31:31">
      <c r="AE33619" s="54"/>
    </row>
    <row r="33620" spans="31:31">
      <c r="AE33620" s="54"/>
    </row>
    <row r="33621" spans="31:31">
      <c r="AE33621" s="54"/>
    </row>
    <row r="33622" spans="31:31">
      <c r="AE33622" s="54"/>
    </row>
    <row r="33623" spans="31:31">
      <c r="AE33623" s="54"/>
    </row>
    <row r="33624" spans="31:31">
      <c r="AE33624" s="54"/>
    </row>
    <row r="33625" spans="31:31">
      <c r="AE33625" s="54"/>
    </row>
    <row r="33626" spans="31:31">
      <c r="AE33626" s="54"/>
    </row>
    <row r="33627" spans="31:31">
      <c r="AE33627" s="54"/>
    </row>
    <row r="33628" spans="31:31">
      <c r="AE33628" s="54"/>
    </row>
    <row r="33629" spans="31:31">
      <c r="AE33629" s="54"/>
    </row>
    <row r="33630" spans="31:31">
      <c r="AE33630" s="54"/>
    </row>
    <row r="33631" spans="31:31">
      <c r="AE33631" s="54"/>
    </row>
    <row r="33632" spans="31:31">
      <c r="AE33632" s="54"/>
    </row>
    <row r="33633" spans="31:31">
      <c r="AE33633" s="54"/>
    </row>
    <row r="33634" spans="31:31">
      <c r="AE33634" s="54"/>
    </row>
    <row r="33635" spans="31:31">
      <c r="AE33635" s="54"/>
    </row>
    <row r="33636" spans="31:31">
      <c r="AE33636" s="54"/>
    </row>
    <row r="33637" spans="31:31">
      <c r="AE33637" s="54"/>
    </row>
    <row r="33638" spans="31:31">
      <c r="AE33638" s="54"/>
    </row>
    <row r="33639" spans="31:31">
      <c r="AE33639" s="54"/>
    </row>
    <row r="33640" spans="31:31">
      <c r="AE33640" s="54"/>
    </row>
    <row r="33641" spans="31:31">
      <c r="AE33641" s="54"/>
    </row>
    <row r="33642" spans="31:31">
      <c r="AE33642" s="54"/>
    </row>
    <row r="33643" spans="31:31">
      <c r="AE33643" s="54"/>
    </row>
    <row r="33644" spans="31:31">
      <c r="AE33644" s="54"/>
    </row>
    <row r="33645" spans="31:31">
      <c r="AE33645" s="54"/>
    </row>
    <row r="33646" spans="31:31">
      <c r="AE33646" s="54"/>
    </row>
    <row r="33647" spans="31:31">
      <c r="AE33647" s="54"/>
    </row>
    <row r="33648" spans="31:31">
      <c r="AE33648" s="54"/>
    </row>
    <row r="33649" spans="31:31">
      <c r="AE33649" s="54"/>
    </row>
    <row r="33650" spans="31:31">
      <c r="AE33650" s="54"/>
    </row>
    <row r="33651" spans="31:31">
      <c r="AE33651" s="54"/>
    </row>
    <row r="33652" spans="31:31">
      <c r="AE33652" s="54"/>
    </row>
    <row r="33653" spans="31:31">
      <c r="AE33653" s="54"/>
    </row>
    <row r="33654" spans="31:31">
      <c r="AE33654" s="54"/>
    </row>
    <row r="33655" spans="31:31">
      <c r="AE33655" s="54"/>
    </row>
    <row r="33656" spans="31:31">
      <c r="AE33656" s="54"/>
    </row>
    <row r="33657" spans="31:31">
      <c r="AE33657" s="54"/>
    </row>
    <row r="33658" spans="31:31">
      <c r="AE33658" s="54"/>
    </row>
    <row r="33659" spans="31:31">
      <c r="AE33659" s="54"/>
    </row>
    <row r="33660" spans="31:31">
      <c r="AE33660" s="54"/>
    </row>
    <row r="33661" spans="31:31">
      <c r="AE33661" s="54"/>
    </row>
    <row r="33662" spans="31:31">
      <c r="AE33662" s="54"/>
    </row>
    <row r="33663" spans="31:31">
      <c r="AE33663" s="54"/>
    </row>
    <row r="33664" spans="31:31">
      <c r="AE33664" s="54"/>
    </row>
    <row r="33665" spans="31:31">
      <c r="AE33665" s="54"/>
    </row>
    <row r="33666" spans="31:31">
      <c r="AE33666" s="54"/>
    </row>
    <row r="33667" spans="31:31">
      <c r="AE33667" s="54"/>
    </row>
    <row r="33668" spans="31:31">
      <c r="AE33668" s="54"/>
    </row>
    <row r="33669" spans="31:31">
      <c r="AE33669" s="54"/>
    </row>
    <row r="33670" spans="31:31">
      <c r="AE33670" s="54"/>
    </row>
    <row r="33671" spans="31:31">
      <c r="AE33671" s="54"/>
    </row>
    <row r="33672" spans="31:31">
      <c r="AE33672" s="54"/>
    </row>
    <row r="33673" spans="31:31">
      <c r="AE33673" s="54"/>
    </row>
    <row r="33674" spans="31:31">
      <c r="AE33674" s="54"/>
    </row>
    <row r="33675" spans="31:31">
      <c r="AE33675" s="54"/>
    </row>
    <row r="33676" spans="31:31">
      <c r="AE33676" s="54"/>
    </row>
    <row r="33677" spans="31:31">
      <c r="AE33677" s="54"/>
    </row>
    <row r="33678" spans="31:31">
      <c r="AE33678" s="54"/>
    </row>
    <row r="33679" spans="31:31">
      <c r="AE33679" s="54"/>
    </row>
    <row r="33680" spans="31:31">
      <c r="AE33680" s="54"/>
    </row>
    <row r="33681" spans="31:31">
      <c r="AE33681" s="54"/>
    </row>
    <row r="33682" spans="31:31">
      <c r="AE33682" s="54"/>
    </row>
    <row r="33683" spans="31:31">
      <c r="AE33683" s="54"/>
    </row>
    <row r="33684" spans="31:31">
      <c r="AE33684" s="54"/>
    </row>
    <row r="33685" spans="31:31">
      <c r="AE33685" s="54"/>
    </row>
    <row r="33686" spans="31:31">
      <c r="AE33686" s="54"/>
    </row>
    <row r="33687" spans="31:31">
      <c r="AE33687" s="54"/>
    </row>
    <row r="33688" spans="31:31">
      <c r="AE33688" s="54"/>
    </row>
    <row r="33689" spans="31:31">
      <c r="AE33689" s="54"/>
    </row>
    <row r="33690" spans="31:31">
      <c r="AE33690" s="54"/>
    </row>
    <row r="33691" spans="31:31">
      <c r="AE33691" s="54"/>
    </row>
    <row r="33692" spans="31:31">
      <c r="AE33692" s="54"/>
    </row>
    <row r="33693" spans="31:31">
      <c r="AE33693" s="54"/>
    </row>
    <row r="33694" spans="31:31">
      <c r="AE33694" s="54"/>
    </row>
    <row r="33695" spans="31:31">
      <c r="AE33695" s="54"/>
    </row>
    <row r="33696" spans="31:31">
      <c r="AE33696" s="54"/>
    </row>
    <row r="33697" spans="31:31">
      <c r="AE33697" s="54"/>
    </row>
    <row r="33698" spans="31:31">
      <c r="AE33698" s="54"/>
    </row>
    <row r="33699" spans="31:31">
      <c r="AE33699" s="54"/>
    </row>
    <row r="33700" spans="31:31">
      <c r="AE33700" s="54"/>
    </row>
    <row r="33701" spans="31:31">
      <c r="AE33701" s="54"/>
    </row>
    <row r="33702" spans="31:31">
      <c r="AE33702" s="54"/>
    </row>
    <row r="33703" spans="31:31">
      <c r="AE33703" s="54"/>
    </row>
    <row r="33704" spans="31:31">
      <c r="AE33704" s="54"/>
    </row>
    <row r="33705" spans="31:31">
      <c r="AE33705" s="54"/>
    </row>
    <row r="33706" spans="31:31">
      <c r="AE33706" s="54"/>
    </row>
    <row r="33707" spans="31:31">
      <c r="AE33707" s="54"/>
    </row>
    <row r="33708" spans="31:31">
      <c r="AE33708" s="54"/>
    </row>
    <row r="33709" spans="31:31">
      <c r="AE33709" s="54"/>
    </row>
    <row r="33710" spans="31:31">
      <c r="AE33710" s="54"/>
    </row>
    <row r="33711" spans="31:31">
      <c r="AE33711" s="54"/>
    </row>
    <row r="33712" spans="31:31">
      <c r="AE33712" s="54"/>
    </row>
    <row r="33713" spans="31:31">
      <c r="AE33713" s="54"/>
    </row>
    <row r="33714" spans="31:31">
      <c r="AE33714" s="54"/>
    </row>
    <row r="33715" spans="31:31">
      <c r="AE33715" s="54"/>
    </row>
    <row r="33716" spans="31:31">
      <c r="AE33716" s="54"/>
    </row>
    <row r="33717" spans="31:31">
      <c r="AE33717" s="54"/>
    </row>
    <row r="33718" spans="31:31">
      <c r="AE33718" s="54"/>
    </row>
    <row r="33719" spans="31:31">
      <c r="AE33719" s="54"/>
    </row>
    <row r="33720" spans="31:31">
      <c r="AE33720" s="54"/>
    </row>
    <row r="33721" spans="31:31">
      <c r="AE33721" s="54"/>
    </row>
    <row r="33722" spans="31:31">
      <c r="AE33722" s="54"/>
    </row>
    <row r="33723" spans="31:31">
      <c r="AE33723" s="54"/>
    </row>
    <row r="33724" spans="31:31">
      <c r="AE33724" s="54"/>
    </row>
    <row r="33725" spans="31:31">
      <c r="AE33725" s="54"/>
    </row>
    <row r="33726" spans="31:31">
      <c r="AE33726" s="54"/>
    </row>
    <row r="33727" spans="31:31">
      <c r="AE33727" s="54"/>
    </row>
    <row r="33728" spans="31:31">
      <c r="AE33728" s="54"/>
    </row>
    <row r="33729" spans="31:31">
      <c r="AE33729" s="54"/>
    </row>
    <row r="33730" spans="31:31">
      <c r="AE33730" s="54"/>
    </row>
    <row r="33731" spans="31:31">
      <c r="AE33731" s="54"/>
    </row>
    <row r="33732" spans="31:31">
      <c r="AE33732" s="54"/>
    </row>
    <row r="33733" spans="31:31">
      <c r="AE33733" s="54"/>
    </row>
    <row r="33734" spans="31:31">
      <c r="AE33734" s="54"/>
    </row>
    <row r="33735" spans="31:31">
      <c r="AE33735" s="54"/>
    </row>
    <row r="33736" spans="31:31">
      <c r="AE33736" s="54"/>
    </row>
    <row r="33737" spans="31:31">
      <c r="AE33737" s="54"/>
    </row>
    <row r="33738" spans="31:31">
      <c r="AE33738" s="54"/>
    </row>
    <row r="33739" spans="31:31">
      <c r="AE33739" s="54"/>
    </row>
    <row r="33740" spans="31:31">
      <c r="AE33740" s="54"/>
    </row>
    <row r="33741" spans="31:31">
      <c r="AE33741" s="54"/>
    </row>
    <row r="33742" spans="31:31">
      <c r="AE33742" s="54"/>
    </row>
    <row r="33743" spans="31:31">
      <c r="AE33743" s="54"/>
    </row>
    <row r="33744" spans="31:31">
      <c r="AE33744" s="54"/>
    </row>
    <row r="33745" spans="31:31">
      <c r="AE33745" s="54"/>
    </row>
    <row r="33746" spans="31:31">
      <c r="AE33746" s="54"/>
    </row>
    <row r="33747" spans="31:31">
      <c r="AE33747" s="54"/>
    </row>
    <row r="33748" spans="31:31">
      <c r="AE33748" s="54"/>
    </row>
    <row r="33749" spans="31:31">
      <c r="AE33749" s="54"/>
    </row>
    <row r="33750" spans="31:31">
      <c r="AE33750" s="54"/>
    </row>
    <row r="33751" spans="31:31">
      <c r="AE33751" s="54"/>
    </row>
    <row r="33752" spans="31:31">
      <c r="AE33752" s="54"/>
    </row>
    <row r="33753" spans="31:31">
      <c r="AE33753" s="54"/>
    </row>
    <row r="33754" spans="31:31">
      <c r="AE33754" s="54"/>
    </row>
    <row r="33755" spans="31:31">
      <c r="AE33755" s="54"/>
    </row>
    <row r="33756" spans="31:31">
      <c r="AE33756" s="54"/>
    </row>
    <row r="33757" spans="31:31">
      <c r="AE33757" s="54"/>
    </row>
    <row r="33758" spans="31:31">
      <c r="AE33758" s="54"/>
    </row>
    <row r="33759" spans="31:31">
      <c r="AE33759" s="54"/>
    </row>
    <row r="33760" spans="31:31">
      <c r="AE33760" s="54"/>
    </row>
    <row r="33761" spans="31:31">
      <c r="AE33761" s="54"/>
    </row>
    <row r="33762" spans="31:31">
      <c r="AE33762" s="54"/>
    </row>
    <row r="33763" spans="31:31">
      <c r="AE33763" s="54"/>
    </row>
    <row r="33764" spans="31:31">
      <c r="AE33764" s="54"/>
    </row>
    <row r="33765" spans="31:31">
      <c r="AE33765" s="54"/>
    </row>
    <row r="33766" spans="31:31">
      <c r="AE33766" s="54"/>
    </row>
    <row r="33767" spans="31:31">
      <c r="AE33767" s="54"/>
    </row>
    <row r="33768" spans="31:31">
      <c r="AE33768" s="54"/>
    </row>
    <row r="33769" spans="31:31">
      <c r="AE33769" s="54"/>
    </row>
    <row r="33770" spans="31:31">
      <c r="AE33770" s="54"/>
    </row>
    <row r="33771" spans="31:31">
      <c r="AE33771" s="54"/>
    </row>
    <row r="33772" spans="31:31">
      <c r="AE33772" s="54"/>
    </row>
    <row r="33773" spans="31:31">
      <c r="AE33773" s="54"/>
    </row>
    <row r="33774" spans="31:31">
      <c r="AE33774" s="54"/>
    </row>
    <row r="33775" spans="31:31">
      <c r="AE33775" s="54"/>
    </row>
    <row r="33776" spans="31:31">
      <c r="AE33776" s="54"/>
    </row>
    <row r="33777" spans="31:31">
      <c r="AE33777" s="54"/>
    </row>
    <row r="33778" spans="31:31">
      <c r="AE33778" s="54"/>
    </row>
    <row r="33779" spans="31:31">
      <c r="AE33779" s="54"/>
    </row>
    <row r="33780" spans="31:31">
      <c r="AE33780" s="54"/>
    </row>
    <row r="33781" spans="31:31">
      <c r="AE33781" s="54"/>
    </row>
    <row r="33782" spans="31:31">
      <c r="AE33782" s="54"/>
    </row>
    <row r="33783" spans="31:31">
      <c r="AE33783" s="54"/>
    </row>
    <row r="33784" spans="31:31">
      <c r="AE33784" s="54"/>
    </row>
    <row r="33785" spans="31:31">
      <c r="AE33785" s="54"/>
    </row>
    <row r="33786" spans="31:31">
      <c r="AE33786" s="54"/>
    </row>
    <row r="33787" spans="31:31">
      <c r="AE33787" s="54"/>
    </row>
    <row r="33788" spans="31:31">
      <c r="AE33788" s="54"/>
    </row>
    <row r="33789" spans="31:31">
      <c r="AE33789" s="54"/>
    </row>
    <row r="33790" spans="31:31">
      <c r="AE33790" s="54"/>
    </row>
    <row r="33791" spans="31:31">
      <c r="AE33791" s="54"/>
    </row>
    <row r="33792" spans="31:31">
      <c r="AE33792" s="54"/>
    </row>
    <row r="33793" spans="31:31">
      <c r="AE33793" s="54"/>
    </row>
    <row r="33794" spans="31:31">
      <c r="AE33794" s="54"/>
    </row>
    <row r="33795" spans="31:31">
      <c r="AE33795" s="54"/>
    </row>
    <row r="33796" spans="31:31">
      <c r="AE33796" s="54"/>
    </row>
    <row r="33797" spans="31:31">
      <c r="AE33797" s="54"/>
    </row>
    <row r="33798" spans="31:31">
      <c r="AE33798" s="54"/>
    </row>
    <row r="33799" spans="31:31">
      <c r="AE33799" s="54"/>
    </row>
    <row r="33800" spans="31:31">
      <c r="AE33800" s="54"/>
    </row>
    <row r="33801" spans="31:31">
      <c r="AE33801" s="54"/>
    </row>
    <row r="33802" spans="31:31">
      <c r="AE33802" s="54"/>
    </row>
    <row r="33803" spans="31:31">
      <c r="AE33803" s="54"/>
    </row>
    <row r="33804" spans="31:31">
      <c r="AE33804" s="54"/>
    </row>
    <row r="33805" spans="31:31">
      <c r="AE33805" s="54"/>
    </row>
    <row r="33806" spans="31:31">
      <c r="AE33806" s="54"/>
    </row>
    <row r="33807" spans="31:31">
      <c r="AE33807" s="54"/>
    </row>
    <row r="33808" spans="31:31">
      <c r="AE33808" s="54"/>
    </row>
    <row r="33809" spans="31:31">
      <c r="AE33809" s="54"/>
    </row>
    <row r="33810" spans="31:31">
      <c r="AE33810" s="54"/>
    </row>
    <row r="33811" spans="31:31">
      <c r="AE33811" s="54"/>
    </row>
    <row r="33812" spans="31:31">
      <c r="AE33812" s="54"/>
    </row>
    <row r="33813" spans="31:31">
      <c r="AE33813" s="54"/>
    </row>
    <row r="33814" spans="31:31">
      <c r="AE33814" s="54"/>
    </row>
    <row r="33815" spans="31:31">
      <c r="AE33815" s="54"/>
    </row>
    <row r="33816" spans="31:31">
      <c r="AE33816" s="54"/>
    </row>
    <row r="33817" spans="31:31">
      <c r="AE33817" s="54"/>
    </row>
    <row r="33818" spans="31:31">
      <c r="AE33818" s="54"/>
    </row>
    <row r="33819" spans="31:31">
      <c r="AE33819" s="54"/>
    </row>
    <row r="33820" spans="31:31">
      <c r="AE33820" s="54"/>
    </row>
    <row r="33821" spans="31:31">
      <c r="AE33821" s="54"/>
    </row>
    <row r="33822" spans="31:31">
      <c r="AE33822" s="54"/>
    </row>
    <row r="33823" spans="31:31">
      <c r="AE33823" s="54"/>
    </row>
    <row r="33824" spans="31:31">
      <c r="AE33824" s="54"/>
    </row>
    <row r="33825" spans="31:31">
      <c r="AE33825" s="54"/>
    </row>
    <row r="33826" spans="31:31">
      <c r="AE33826" s="54"/>
    </row>
    <row r="33827" spans="31:31">
      <c r="AE33827" s="54"/>
    </row>
    <row r="33828" spans="31:31">
      <c r="AE33828" s="54"/>
    </row>
    <row r="33829" spans="31:31">
      <c r="AE33829" s="54"/>
    </row>
    <row r="33830" spans="31:31">
      <c r="AE33830" s="54"/>
    </row>
    <row r="33831" spans="31:31">
      <c r="AE33831" s="54"/>
    </row>
    <row r="33832" spans="31:31">
      <c r="AE33832" s="54"/>
    </row>
    <row r="33833" spans="31:31">
      <c r="AE33833" s="54"/>
    </row>
    <row r="33834" spans="31:31">
      <c r="AE33834" s="54"/>
    </row>
    <row r="33835" spans="31:31">
      <c r="AE33835" s="54"/>
    </row>
    <row r="33836" spans="31:31">
      <c r="AE33836" s="54"/>
    </row>
    <row r="33837" spans="31:31">
      <c r="AE33837" s="54"/>
    </row>
    <row r="33838" spans="31:31">
      <c r="AE33838" s="54"/>
    </row>
    <row r="33839" spans="31:31">
      <c r="AE33839" s="54"/>
    </row>
    <row r="33840" spans="31:31">
      <c r="AE33840" s="54"/>
    </row>
    <row r="33841" spans="31:31">
      <c r="AE33841" s="54"/>
    </row>
    <row r="33842" spans="31:31">
      <c r="AE33842" s="54"/>
    </row>
    <row r="33843" spans="31:31">
      <c r="AE33843" s="54"/>
    </row>
    <row r="33844" spans="31:31">
      <c r="AE33844" s="54"/>
    </row>
    <row r="33845" spans="31:31">
      <c r="AE33845" s="54"/>
    </row>
    <row r="33846" spans="31:31">
      <c r="AE33846" s="54"/>
    </row>
    <row r="33847" spans="31:31">
      <c r="AE33847" s="54"/>
    </row>
    <row r="33848" spans="31:31">
      <c r="AE33848" s="54"/>
    </row>
    <row r="33849" spans="31:31">
      <c r="AE33849" s="54"/>
    </row>
    <row r="33850" spans="31:31">
      <c r="AE33850" s="54"/>
    </row>
    <row r="33851" spans="31:31">
      <c r="AE33851" s="54"/>
    </row>
    <row r="33852" spans="31:31">
      <c r="AE33852" s="54"/>
    </row>
    <row r="33853" spans="31:31">
      <c r="AE33853" s="54"/>
    </row>
    <row r="33854" spans="31:31">
      <c r="AE33854" s="54"/>
    </row>
    <row r="33855" spans="31:31">
      <c r="AE33855" s="54"/>
    </row>
    <row r="33856" spans="31:31">
      <c r="AE33856" s="54"/>
    </row>
    <row r="33857" spans="31:31">
      <c r="AE33857" s="54"/>
    </row>
    <row r="33858" spans="31:31">
      <c r="AE33858" s="54"/>
    </row>
    <row r="33859" spans="31:31">
      <c r="AE33859" s="54"/>
    </row>
    <row r="33860" spans="31:31">
      <c r="AE33860" s="54"/>
    </row>
    <row r="33861" spans="31:31">
      <c r="AE33861" s="54"/>
    </row>
    <row r="33862" spans="31:31">
      <c r="AE33862" s="54"/>
    </row>
    <row r="33863" spans="31:31">
      <c r="AE33863" s="54"/>
    </row>
    <row r="33864" spans="31:31">
      <c r="AE33864" s="54"/>
    </row>
    <row r="33865" spans="31:31">
      <c r="AE33865" s="54"/>
    </row>
    <row r="33866" spans="31:31">
      <c r="AE33866" s="54"/>
    </row>
    <row r="33867" spans="31:31">
      <c r="AE33867" s="54"/>
    </row>
    <row r="33868" spans="31:31">
      <c r="AE33868" s="54"/>
    </row>
    <row r="33869" spans="31:31">
      <c r="AE33869" s="54"/>
    </row>
    <row r="33870" spans="31:31">
      <c r="AE33870" s="54"/>
    </row>
    <row r="33871" spans="31:31">
      <c r="AE33871" s="54"/>
    </row>
    <row r="33872" spans="31:31">
      <c r="AE33872" s="54"/>
    </row>
    <row r="33873" spans="31:31">
      <c r="AE33873" s="54"/>
    </row>
    <row r="33874" spans="31:31">
      <c r="AE33874" s="54"/>
    </row>
    <row r="33875" spans="31:31">
      <c r="AE33875" s="54"/>
    </row>
    <row r="33876" spans="31:31">
      <c r="AE33876" s="54"/>
    </row>
    <row r="33877" spans="31:31">
      <c r="AE33877" s="54"/>
    </row>
    <row r="33878" spans="31:31">
      <c r="AE33878" s="54"/>
    </row>
    <row r="33879" spans="31:31">
      <c r="AE33879" s="54"/>
    </row>
    <row r="33880" spans="31:31">
      <c r="AE33880" s="54"/>
    </row>
    <row r="33881" spans="31:31">
      <c r="AE33881" s="54"/>
    </row>
    <row r="33882" spans="31:31">
      <c r="AE33882" s="54"/>
    </row>
    <row r="33883" spans="31:31">
      <c r="AE33883" s="54"/>
    </row>
    <row r="33884" spans="31:31">
      <c r="AE33884" s="54"/>
    </row>
    <row r="33885" spans="31:31">
      <c r="AE33885" s="54"/>
    </row>
    <row r="33886" spans="31:31">
      <c r="AE33886" s="54"/>
    </row>
    <row r="33887" spans="31:31">
      <c r="AE33887" s="54"/>
    </row>
    <row r="33888" spans="31:31">
      <c r="AE33888" s="54"/>
    </row>
    <row r="33889" spans="31:31">
      <c r="AE33889" s="54"/>
    </row>
    <row r="33890" spans="31:31">
      <c r="AE33890" s="54"/>
    </row>
    <row r="33891" spans="31:31">
      <c r="AE33891" s="54"/>
    </row>
    <row r="33892" spans="31:31">
      <c r="AE33892" s="54"/>
    </row>
    <row r="33893" spans="31:31">
      <c r="AE33893" s="54"/>
    </row>
    <row r="33894" spans="31:31">
      <c r="AE33894" s="54"/>
    </row>
    <row r="33895" spans="31:31">
      <c r="AE33895" s="54"/>
    </row>
    <row r="33896" spans="31:31">
      <c r="AE33896" s="54"/>
    </row>
    <row r="33897" spans="31:31">
      <c r="AE33897" s="54"/>
    </row>
    <row r="33898" spans="31:31">
      <c r="AE33898" s="54"/>
    </row>
    <row r="33899" spans="31:31">
      <c r="AE33899" s="54"/>
    </row>
    <row r="33900" spans="31:31">
      <c r="AE33900" s="54"/>
    </row>
    <row r="33901" spans="31:31">
      <c r="AE33901" s="54"/>
    </row>
    <row r="33902" spans="31:31">
      <c r="AE33902" s="54"/>
    </row>
    <row r="33903" spans="31:31">
      <c r="AE33903" s="54"/>
    </row>
    <row r="33904" spans="31:31">
      <c r="AE33904" s="54"/>
    </row>
    <row r="33905" spans="31:31">
      <c r="AE33905" s="54"/>
    </row>
    <row r="33906" spans="31:31">
      <c r="AE33906" s="54"/>
    </row>
    <row r="33907" spans="31:31">
      <c r="AE33907" s="54"/>
    </row>
    <row r="33908" spans="31:31">
      <c r="AE33908" s="54"/>
    </row>
    <row r="33909" spans="31:31">
      <c r="AE33909" s="54"/>
    </row>
    <row r="33910" spans="31:31">
      <c r="AE33910" s="54"/>
    </row>
    <row r="33911" spans="31:31">
      <c r="AE33911" s="54"/>
    </row>
    <row r="33912" spans="31:31">
      <c r="AE33912" s="54"/>
    </row>
    <row r="33913" spans="31:31">
      <c r="AE33913" s="54"/>
    </row>
    <row r="33914" spans="31:31">
      <c r="AE33914" s="54"/>
    </row>
    <row r="33915" spans="31:31">
      <c r="AE33915" s="54"/>
    </row>
    <row r="33916" spans="31:31">
      <c r="AE33916" s="54"/>
    </row>
    <row r="33917" spans="31:31">
      <c r="AE33917" s="54"/>
    </row>
    <row r="33918" spans="31:31">
      <c r="AE33918" s="54"/>
    </row>
    <row r="33919" spans="31:31">
      <c r="AE33919" s="54"/>
    </row>
    <row r="33920" spans="31:31">
      <c r="AE33920" s="54"/>
    </row>
    <row r="33921" spans="31:31">
      <c r="AE33921" s="54"/>
    </row>
    <row r="33922" spans="31:31">
      <c r="AE33922" s="54"/>
    </row>
    <row r="33923" spans="31:31">
      <c r="AE33923" s="54"/>
    </row>
    <row r="33924" spans="31:31">
      <c r="AE33924" s="54"/>
    </row>
    <row r="33925" spans="31:31">
      <c r="AE33925" s="54"/>
    </row>
    <row r="33926" spans="31:31">
      <c r="AE33926" s="54"/>
    </row>
    <row r="33927" spans="31:31">
      <c r="AE33927" s="54"/>
    </row>
    <row r="33928" spans="31:31">
      <c r="AE33928" s="54"/>
    </row>
    <row r="33929" spans="31:31">
      <c r="AE33929" s="54"/>
    </row>
    <row r="33930" spans="31:31">
      <c r="AE33930" s="54"/>
    </row>
    <row r="33931" spans="31:31">
      <c r="AE33931" s="54"/>
    </row>
    <row r="33932" spans="31:31">
      <c r="AE33932" s="54"/>
    </row>
    <row r="33933" spans="31:31">
      <c r="AE33933" s="54"/>
    </row>
    <row r="33934" spans="31:31">
      <c r="AE33934" s="54"/>
    </row>
    <row r="33935" spans="31:31">
      <c r="AE33935" s="54"/>
    </row>
    <row r="33936" spans="31:31">
      <c r="AE33936" s="54"/>
    </row>
    <row r="33937" spans="31:31">
      <c r="AE33937" s="54"/>
    </row>
    <row r="33938" spans="31:31">
      <c r="AE33938" s="54"/>
    </row>
    <row r="33939" spans="31:31">
      <c r="AE33939" s="54"/>
    </row>
    <row r="33940" spans="31:31">
      <c r="AE33940" s="54"/>
    </row>
    <row r="33941" spans="31:31">
      <c r="AE33941" s="54"/>
    </row>
    <row r="33942" spans="31:31">
      <c r="AE33942" s="54"/>
    </row>
    <row r="33943" spans="31:31">
      <c r="AE33943" s="54"/>
    </row>
    <row r="33944" spans="31:31">
      <c r="AE33944" s="54"/>
    </row>
    <row r="33945" spans="31:31">
      <c r="AE33945" s="54"/>
    </row>
    <row r="33946" spans="31:31">
      <c r="AE33946" s="54"/>
    </row>
    <row r="33947" spans="31:31">
      <c r="AE33947" s="54"/>
    </row>
    <row r="33948" spans="31:31">
      <c r="AE33948" s="54"/>
    </row>
    <row r="33949" spans="31:31">
      <c r="AE33949" s="54"/>
    </row>
    <row r="33950" spans="31:31">
      <c r="AE33950" s="54"/>
    </row>
    <row r="33951" spans="31:31">
      <c r="AE33951" s="54"/>
    </row>
    <row r="33952" spans="31:31">
      <c r="AE33952" s="54"/>
    </row>
    <row r="33953" spans="31:31">
      <c r="AE33953" s="54"/>
    </row>
    <row r="33954" spans="31:31">
      <c r="AE33954" s="54"/>
    </row>
    <row r="33955" spans="31:31">
      <c r="AE33955" s="54"/>
    </row>
    <row r="33956" spans="31:31">
      <c r="AE33956" s="54"/>
    </row>
    <row r="33957" spans="31:31">
      <c r="AE33957" s="54"/>
    </row>
    <row r="33958" spans="31:31">
      <c r="AE33958" s="54"/>
    </row>
    <row r="33959" spans="31:31">
      <c r="AE33959" s="54"/>
    </row>
    <row r="33960" spans="31:31">
      <c r="AE33960" s="54"/>
    </row>
    <row r="33961" spans="31:31">
      <c r="AE33961" s="54"/>
    </row>
    <row r="33962" spans="31:31">
      <c r="AE33962" s="54"/>
    </row>
    <row r="33963" spans="31:31">
      <c r="AE33963" s="54"/>
    </row>
    <row r="33964" spans="31:31">
      <c r="AE33964" s="54"/>
    </row>
    <row r="33965" spans="31:31">
      <c r="AE33965" s="54"/>
    </row>
    <row r="33966" spans="31:31">
      <c r="AE33966" s="54"/>
    </row>
    <row r="33967" spans="31:31">
      <c r="AE33967" s="54"/>
    </row>
    <row r="33968" spans="31:31">
      <c r="AE33968" s="54"/>
    </row>
    <row r="33969" spans="31:31">
      <c r="AE33969" s="54"/>
    </row>
    <row r="33970" spans="31:31">
      <c r="AE33970" s="54"/>
    </row>
    <row r="33971" spans="31:31">
      <c r="AE33971" s="54"/>
    </row>
    <row r="33972" spans="31:31">
      <c r="AE33972" s="54"/>
    </row>
    <row r="33973" spans="31:31">
      <c r="AE33973" s="54"/>
    </row>
    <row r="33974" spans="31:31">
      <c r="AE33974" s="54"/>
    </row>
    <row r="33975" spans="31:31">
      <c r="AE33975" s="54"/>
    </row>
    <row r="33976" spans="31:31">
      <c r="AE33976" s="54"/>
    </row>
    <row r="33977" spans="31:31">
      <c r="AE33977" s="54"/>
    </row>
    <row r="33978" spans="31:31">
      <c r="AE33978" s="54"/>
    </row>
    <row r="33979" spans="31:31">
      <c r="AE33979" s="54"/>
    </row>
    <row r="33980" spans="31:31">
      <c r="AE33980" s="54"/>
    </row>
    <row r="33981" spans="31:31">
      <c r="AE33981" s="54"/>
    </row>
    <row r="33982" spans="31:31">
      <c r="AE33982" s="54"/>
    </row>
    <row r="33983" spans="31:31">
      <c r="AE33983" s="54"/>
    </row>
    <row r="33984" spans="31:31">
      <c r="AE33984" s="54"/>
    </row>
    <row r="33985" spans="31:31">
      <c r="AE33985" s="54"/>
    </row>
    <row r="33986" spans="31:31">
      <c r="AE33986" s="54"/>
    </row>
    <row r="33987" spans="31:31">
      <c r="AE33987" s="54"/>
    </row>
    <row r="33988" spans="31:31">
      <c r="AE33988" s="54"/>
    </row>
    <row r="33989" spans="31:31">
      <c r="AE33989" s="54"/>
    </row>
    <row r="33990" spans="31:31">
      <c r="AE33990" s="54"/>
    </row>
    <row r="33991" spans="31:31">
      <c r="AE33991" s="54"/>
    </row>
    <row r="33992" spans="31:31">
      <c r="AE33992" s="54"/>
    </row>
    <row r="33993" spans="31:31">
      <c r="AE33993" s="54"/>
    </row>
    <row r="33994" spans="31:31">
      <c r="AE33994" s="54"/>
    </row>
    <row r="33995" spans="31:31">
      <c r="AE33995" s="54"/>
    </row>
    <row r="33996" spans="31:31">
      <c r="AE33996" s="54"/>
    </row>
    <row r="33997" spans="31:31">
      <c r="AE33997" s="54"/>
    </row>
    <row r="33998" spans="31:31">
      <c r="AE33998" s="54"/>
    </row>
    <row r="33999" spans="31:31">
      <c r="AE33999" s="54"/>
    </row>
    <row r="34000" spans="31:31">
      <c r="AE34000" s="54"/>
    </row>
    <row r="34001" spans="31:31">
      <c r="AE34001" s="54"/>
    </row>
    <row r="34002" spans="31:31">
      <c r="AE34002" s="54"/>
    </row>
    <row r="34003" spans="31:31">
      <c r="AE34003" s="54"/>
    </row>
    <row r="34004" spans="31:31">
      <c r="AE34004" s="54"/>
    </row>
    <row r="34005" spans="31:31">
      <c r="AE34005" s="54"/>
    </row>
    <row r="34006" spans="31:31">
      <c r="AE34006" s="54"/>
    </row>
    <row r="34007" spans="31:31">
      <c r="AE34007" s="54"/>
    </row>
    <row r="34008" spans="31:31">
      <c r="AE34008" s="54"/>
    </row>
    <row r="34009" spans="31:31">
      <c r="AE34009" s="54"/>
    </row>
    <row r="34010" spans="31:31">
      <c r="AE34010" s="54"/>
    </row>
    <row r="34011" spans="31:31">
      <c r="AE34011" s="54"/>
    </row>
    <row r="34012" spans="31:31">
      <c r="AE34012" s="54"/>
    </row>
    <row r="34013" spans="31:31">
      <c r="AE34013" s="54"/>
    </row>
    <row r="34014" spans="31:31">
      <c r="AE34014" s="54"/>
    </row>
    <row r="34015" spans="31:31">
      <c r="AE34015" s="54"/>
    </row>
    <row r="34016" spans="31:31">
      <c r="AE34016" s="54"/>
    </row>
    <row r="34017" spans="31:31">
      <c r="AE34017" s="54"/>
    </row>
    <row r="34018" spans="31:31">
      <c r="AE34018" s="54"/>
    </row>
    <row r="34019" spans="31:31">
      <c r="AE34019" s="54"/>
    </row>
    <row r="34020" spans="31:31">
      <c r="AE34020" s="54"/>
    </row>
    <row r="34021" spans="31:31">
      <c r="AE34021" s="54"/>
    </row>
    <row r="34022" spans="31:31">
      <c r="AE34022" s="54"/>
    </row>
    <row r="34023" spans="31:31">
      <c r="AE34023" s="54"/>
    </row>
    <row r="34024" spans="31:31">
      <c r="AE34024" s="54"/>
    </row>
    <row r="34025" spans="31:31">
      <c r="AE34025" s="54"/>
    </row>
    <row r="34026" spans="31:31">
      <c r="AE34026" s="54"/>
    </row>
    <row r="34027" spans="31:31">
      <c r="AE34027" s="54"/>
    </row>
    <row r="34028" spans="31:31">
      <c r="AE34028" s="54"/>
    </row>
    <row r="34029" spans="31:31">
      <c r="AE34029" s="54"/>
    </row>
    <row r="34030" spans="31:31">
      <c r="AE34030" s="54"/>
    </row>
    <row r="34031" spans="31:31">
      <c r="AE34031" s="54"/>
    </row>
    <row r="34032" spans="31:31">
      <c r="AE34032" s="54"/>
    </row>
    <row r="34033" spans="31:31">
      <c r="AE34033" s="54"/>
    </row>
    <row r="34034" spans="31:31">
      <c r="AE34034" s="54"/>
    </row>
    <row r="34035" spans="31:31">
      <c r="AE34035" s="54"/>
    </row>
    <row r="34036" spans="31:31">
      <c r="AE34036" s="54"/>
    </row>
    <row r="34037" spans="31:31">
      <c r="AE34037" s="54"/>
    </row>
    <row r="34038" spans="31:31">
      <c r="AE34038" s="54"/>
    </row>
    <row r="34039" spans="31:31">
      <c r="AE34039" s="54"/>
    </row>
    <row r="34040" spans="31:31">
      <c r="AE34040" s="54"/>
    </row>
    <row r="34041" spans="31:31">
      <c r="AE34041" s="54"/>
    </row>
    <row r="34042" spans="31:31">
      <c r="AE34042" s="54"/>
    </row>
    <row r="34043" spans="31:31">
      <c r="AE34043" s="54"/>
    </row>
    <row r="34044" spans="31:31">
      <c r="AE34044" s="54"/>
    </row>
    <row r="34045" spans="31:31">
      <c r="AE34045" s="54"/>
    </row>
    <row r="34046" spans="31:31">
      <c r="AE34046" s="54"/>
    </row>
    <row r="34047" spans="31:31">
      <c r="AE34047" s="54"/>
    </row>
    <row r="34048" spans="31:31">
      <c r="AE34048" s="54"/>
    </row>
    <row r="34049" spans="31:31">
      <c r="AE34049" s="54"/>
    </row>
    <row r="34050" spans="31:31">
      <c r="AE34050" s="54"/>
    </row>
    <row r="34051" spans="31:31">
      <c r="AE34051" s="54"/>
    </row>
    <row r="34052" spans="31:31">
      <c r="AE34052" s="54"/>
    </row>
    <row r="34053" spans="31:31">
      <c r="AE34053" s="54"/>
    </row>
    <row r="34054" spans="31:31">
      <c r="AE34054" s="54"/>
    </row>
    <row r="34055" spans="31:31">
      <c r="AE34055" s="54"/>
    </row>
    <row r="34056" spans="31:31">
      <c r="AE34056" s="54"/>
    </row>
    <row r="34057" spans="31:31">
      <c r="AE34057" s="54"/>
    </row>
    <row r="34058" spans="31:31">
      <c r="AE34058" s="54"/>
    </row>
    <row r="34059" spans="31:31">
      <c r="AE34059" s="54"/>
    </row>
    <row r="34060" spans="31:31">
      <c r="AE34060" s="54"/>
    </row>
    <row r="34061" spans="31:31">
      <c r="AE34061" s="54"/>
    </row>
    <row r="34062" spans="31:31">
      <c r="AE34062" s="54"/>
    </row>
    <row r="34063" spans="31:31">
      <c r="AE34063" s="54"/>
    </row>
    <row r="34064" spans="31:31">
      <c r="AE34064" s="54"/>
    </row>
    <row r="34065" spans="31:31">
      <c r="AE34065" s="54"/>
    </row>
    <row r="34066" spans="31:31">
      <c r="AE34066" s="54"/>
    </row>
    <row r="34067" spans="31:31">
      <c r="AE34067" s="54"/>
    </row>
    <row r="34068" spans="31:31">
      <c r="AE34068" s="54"/>
    </row>
    <row r="34069" spans="31:31">
      <c r="AE34069" s="54"/>
    </row>
    <row r="34070" spans="31:31">
      <c r="AE34070" s="54"/>
    </row>
    <row r="34071" spans="31:31">
      <c r="AE34071" s="54"/>
    </row>
    <row r="34072" spans="31:31">
      <c r="AE34072" s="54"/>
    </row>
    <row r="34073" spans="31:31">
      <c r="AE34073" s="54"/>
    </row>
    <row r="34074" spans="31:31">
      <c r="AE34074" s="54"/>
    </row>
    <row r="34075" spans="31:31">
      <c r="AE34075" s="54"/>
    </row>
    <row r="34076" spans="31:31">
      <c r="AE34076" s="54"/>
    </row>
    <row r="34077" spans="31:31">
      <c r="AE34077" s="54"/>
    </row>
    <row r="34078" spans="31:31">
      <c r="AE34078" s="54"/>
    </row>
    <row r="34079" spans="31:31">
      <c r="AE34079" s="54"/>
    </row>
    <row r="34080" spans="31:31">
      <c r="AE34080" s="54"/>
    </row>
    <row r="34081" spans="31:31">
      <c r="AE34081" s="54"/>
    </row>
    <row r="34082" spans="31:31">
      <c r="AE34082" s="54"/>
    </row>
    <row r="34083" spans="31:31">
      <c r="AE34083" s="54"/>
    </row>
    <row r="34084" spans="31:31">
      <c r="AE34084" s="54"/>
    </row>
    <row r="34085" spans="31:31">
      <c r="AE34085" s="54"/>
    </row>
    <row r="34086" spans="31:31">
      <c r="AE34086" s="54"/>
    </row>
    <row r="34087" spans="31:31">
      <c r="AE34087" s="54"/>
    </row>
    <row r="34088" spans="31:31">
      <c r="AE34088" s="54"/>
    </row>
    <row r="34089" spans="31:31">
      <c r="AE34089" s="54"/>
    </row>
    <row r="34090" spans="31:31">
      <c r="AE34090" s="54"/>
    </row>
    <row r="34091" spans="31:31">
      <c r="AE34091" s="54"/>
    </row>
    <row r="34092" spans="31:31">
      <c r="AE34092" s="54"/>
    </row>
    <row r="34093" spans="31:31">
      <c r="AE34093" s="54"/>
    </row>
    <row r="34094" spans="31:31">
      <c r="AE34094" s="54"/>
    </row>
    <row r="34095" spans="31:31">
      <c r="AE34095" s="54"/>
    </row>
    <row r="34096" spans="31:31">
      <c r="AE34096" s="54"/>
    </row>
    <row r="34097" spans="31:31">
      <c r="AE34097" s="54"/>
    </row>
    <row r="34098" spans="31:31">
      <c r="AE34098" s="54"/>
    </row>
    <row r="34099" spans="31:31">
      <c r="AE34099" s="54"/>
    </row>
    <row r="34100" spans="31:31">
      <c r="AE34100" s="54"/>
    </row>
    <row r="34101" spans="31:31">
      <c r="AE34101" s="54"/>
    </row>
    <row r="34102" spans="31:31">
      <c r="AE34102" s="54"/>
    </row>
    <row r="34103" spans="31:31">
      <c r="AE34103" s="54"/>
    </row>
    <row r="34104" spans="31:31">
      <c r="AE34104" s="54"/>
    </row>
    <row r="34105" spans="31:31">
      <c r="AE34105" s="54"/>
    </row>
    <row r="34106" spans="31:31">
      <c r="AE34106" s="54"/>
    </row>
    <row r="34107" spans="31:31">
      <c r="AE34107" s="54"/>
    </row>
    <row r="34108" spans="31:31">
      <c r="AE34108" s="54"/>
    </row>
    <row r="34109" spans="31:31">
      <c r="AE34109" s="54"/>
    </row>
    <row r="34110" spans="31:31">
      <c r="AE34110" s="54"/>
    </row>
    <row r="34111" spans="31:31">
      <c r="AE34111" s="54"/>
    </row>
    <row r="34112" spans="31:31">
      <c r="AE34112" s="54"/>
    </row>
    <row r="34113" spans="31:31">
      <c r="AE34113" s="54"/>
    </row>
    <row r="34114" spans="31:31">
      <c r="AE34114" s="54"/>
    </row>
    <row r="34115" spans="31:31">
      <c r="AE34115" s="54"/>
    </row>
    <row r="34116" spans="31:31">
      <c r="AE34116" s="54"/>
    </row>
    <row r="34117" spans="31:31">
      <c r="AE34117" s="54"/>
    </row>
    <row r="34118" spans="31:31">
      <c r="AE34118" s="54"/>
    </row>
    <row r="34119" spans="31:31">
      <c r="AE34119" s="54"/>
    </row>
    <row r="34120" spans="31:31">
      <c r="AE34120" s="54"/>
    </row>
    <row r="34121" spans="31:31">
      <c r="AE34121" s="54"/>
    </row>
    <row r="34122" spans="31:31">
      <c r="AE34122" s="54"/>
    </row>
    <row r="34123" spans="31:31">
      <c r="AE34123" s="54"/>
    </row>
    <row r="34124" spans="31:31">
      <c r="AE34124" s="54"/>
    </row>
    <row r="34125" spans="31:31">
      <c r="AE34125" s="54"/>
    </row>
    <row r="34126" spans="31:31">
      <c r="AE34126" s="54"/>
    </row>
    <row r="34127" spans="31:31">
      <c r="AE34127" s="54"/>
    </row>
    <row r="34128" spans="31:31">
      <c r="AE34128" s="54"/>
    </row>
    <row r="34129" spans="31:31">
      <c r="AE34129" s="54"/>
    </row>
    <row r="34130" spans="31:31">
      <c r="AE34130" s="54"/>
    </row>
    <row r="34131" spans="31:31">
      <c r="AE34131" s="54"/>
    </row>
    <row r="34132" spans="31:31">
      <c r="AE34132" s="54"/>
    </row>
    <row r="34133" spans="31:31">
      <c r="AE34133" s="54"/>
    </row>
    <row r="34134" spans="31:31">
      <c r="AE34134" s="54"/>
    </row>
    <row r="34135" spans="31:31">
      <c r="AE34135" s="54"/>
    </row>
    <row r="34136" spans="31:31">
      <c r="AE34136" s="54"/>
    </row>
    <row r="34137" spans="31:31">
      <c r="AE34137" s="54"/>
    </row>
    <row r="34138" spans="31:31">
      <c r="AE34138" s="54"/>
    </row>
    <row r="34139" spans="31:31">
      <c r="AE34139" s="54"/>
    </row>
    <row r="34140" spans="31:31">
      <c r="AE34140" s="54"/>
    </row>
    <row r="34141" spans="31:31">
      <c r="AE34141" s="54"/>
    </row>
    <row r="34142" spans="31:31">
      <c r="AE34142" s="54"/>
    </row>
    <row r="34143" spans="31:31">
      <c r="AE34143" s="54"/>
    </row>
    <row r="34144" spans="31:31">
      <c r="AE34144" s="54"/>
    </row>
    <row r="34145" spans="31:31">
      <c r="AE34145" s="54"/>
    </row>
    <row r="34146" spans="31:31">
      <c r="AE34146" s="54"/>
    </row>
    <row r="34147" spans="31:31">
      <c r="AE34147" s="54"/>
    </row>
    <row r="34148" spans="31:31">
      <c r="AE34148" s="54"/>
    </row>
    <row r="34149" spans="31:31">
      <c r="AE34149" s="54"/>
    </row>
    <row r="34150" spans="31:31">
      <c r="AE34150" s="54"/>
    </row>
    <row r="34151" spans="31:31">
      <c r="AE34151" s="54"/>
    </row>
    <row r="34152" spans="31:31">
      <c r="AE34152" s="54"/>
    </row>
    <row r="34153" spans="31:31">
      <c r="AE34153" s="54"/>
    </row>
    <row r="34154" spans="31:31">
      <c r="AE34154" s="54"/>
    </row>
    <row r="34155" spans="31:31">
      <c r="AE34155" s="54"/>
    </row>
    <row r="34156" spans="31:31">
      <c r="AE34156" s="54"/>
    </row>
    <row r="34157" spans="31:31">
      <c r="AE34157" s="54"/>
    </row>
    <row r="34158" spans="31:31">
      <c r="AE34158" s="54"/>
    </row>
    <row r="34159" spans="31:31">
      <c r="AE34159" s="54"/>
    </row>
    <row r="34160" spans="31:31">
      <c r="AE34160" s="54"/>
    </row>
    <row r="34161" spans="31:31">
      <c r="AE34161" s="54"/>
    </row>
    <row r="34162" spans="31:31">
      <c r="AE34162" s="54"/>
    </row>
    <row r="34163" spans="31:31">
      <c r="AE34163" s="54"/>
    </row>
    <row r="34164" spans="31:31">
      <c r="AE34164" s="54"/>
    </row>
    <row r="34165" spans="31:31">
      <c r="AE34165" s="54"/>
    </row>
    <row r="34166" spans="31:31">
      <c r="AE34166" s="54"/>
    </row>
    <row r="34167" spans="31:31">
      <c r="AE34167" s="54"/>
    </row>
    <row r="34168" spans="31:31">
      <c r="AE34168" s="54"/>
    </row>
    <row r="34169" spans="31:31">
      <c r="AE34169" s="54"/>
    </row>
    <row r="34170" spans="31:31">
      <c r="AE34170" s="54"/>
    </row>
    <row r="34171" spans="31:31">
      <c r="AE34171" s="54"/>
    </row>
    <row r="34172" spans="31:31">
      <c r="AE34172" s="54"/>
    </row>
    <row r="34173" spans="31:31">
      <c r="AE34173" s="54"/>
    </row>
    <row r="34174" spans="31:31">
      <c r="AE34174" s="54"/>
    </row>
    <row r="34175" spans="31:31">
      <c r="AE34175" s="54"/>
    </row>
    <row r="34176" spans="31:31">
      <c r="AE34176" s="54"/>
    </row>
    <row r="34177" spans="31:31">
      <c r="AE34177" s="54"/>
    </row>
    <row r="34178" spans="31:31">
      <c r="AE34178" s="54"/>
    </row>
    <row r="34179" spans="31:31">
      <c r="AE34179" s="54"/>
    </row>
    <row r="34180" spans="31:31">
      <c r="AE34180" s="54"/>
    </row>
    <row r="34181" spans="31:31">
      <c r="AE34181" s="54"/>
    </row>
    <row r="34182" spans="31:31">
      <c r="AE34182" s="54"/>
    </row>
    <row r="34183" spans="31:31">
      <c r="AE34183" s="54"/>
    </row>
    <row r="34184" spans="31:31">
      <c r="AE34184" s="54"/>
    </row>
    <row r="34185" spans="31:31">
      <c r="AE34185" s="54"/>
    </row>
    <row r="34186" spans="31:31">
      <c r="AE34186" s="54"/>
    </row>
    <row r="34187" spans="31:31">
      <c r="AE34187" s="54"/>
    </row>
    <row r="34188" spans="31:31">
      <c r="AE34188" s="54"/>
    </row>
    <row r="34189" spans="31:31">
      <c r="AE34189" s="54"/>
    </row>
    <row r="34190" spans="31:31">
      <c r="AE34190" s="54"/>
    </row>
    <row r="34191" spans="31:31">
      <c r="AE34191" s="54"/>
    </row>
    <row r="34192" spans="31:31">
      <c r="AE34192" s="54"/>
    </row>
    <row r="34193" spans="31:31">
      <c r="AE34193" s="54"/>
    </row>
    <row r="34194" spans="31:31">
      <c r="AE34194" s="54"/>
    </row>
    <row r="34195" spans="31:31">
      <c r="AE34195" s="54"/>
    </row>
    <row r="34196" spans="31:31">
      <c r="AE34196" s="54"/>
    </row>
    <row r="34197" spans="31:31">
      <c r="AE34197" s="54"/>
    </row>
    <row r="34198" spans="31:31">
      <c r="AE34198" s="54"/>
    </row>
    <row r="34199" spans="31:31">
      <c r="AE34199" s="54"/>
    </row>
    <row r="34200" spans="31:31">
      <c r="AE34200" s="54"/>
    </row>
    <row r="34201" spans="31:31">
      <c r="AE34201" s="54"/>
    </row>
    <row r="34202" spans="31:31">
      <c r="AE34202" s="54"/>
    </row>
    <row r="34203" spans="31:31">
      <c r="AE34203" s="54"/>
    </row>
    <row r="34204" spans="31:31">
      <c r="AE34204" s="54"/>
    </row>
    <row r="34205" spans="31:31">
      <c r="AE34205" s="54"/>
    </row>
    <row r="34206" spans="31:31">
      <c r="AE34206" s="54"/>
    </row>
    <row r="34207" spans="31:31">
      <c r="AE34207" s="54"/>
    </row>
    <row r="34208" spans="31:31">
      <c r="AE34208" s="54"/>
    </row>
    <row r="34209" spans="31:31">
      <c r="AE34209" s="54"/>
    </row>
    <row r="34210" spans="31:31">
      <c r="AE34210" s="54"/>
    </row>
    <row r="34211" spans="31:31">
      <c r="AE34211" s="54"/>
    </row>
    <row r="34212" spans="31:31">
      <c r="AE34212" s="54"/>
    </row>
    <row r="34213" spans="31:31">
      <c r="AE34213" s="54"/>
    </row>
    <row r="34214" spans="31:31">
      <c r="AE34214" s="54"/>
    </row>
    <row r="34215" spans="31:31">
      <c r="AE34215" s="54"/>
    </row>
    <row r="34216" spans="31:31">
      <c r="AE34216" s="54"/>
    </row>
    <row r="34217" spans="31:31">
      <c r="AE34217" s="54"/>
    </row>
    <row r="34218" spans="31:31">
      <c r="AE34218" s="54"/>
    </row>
    <row r="34219" spans="31:31">
      <c r="AE34219" s="54"/>
    </row>
    <row r="34220" spans="31:31">
      <c r="AE34220" s="54"/>
    </row>
    <row r="34221" spans="31:31">
      <c r="AE34221" s="54"/>
    </row>
    <row r="34222" spans="31:31">
      <c r="AE34222" s="54"/>
    </row>
    <row r="34223" spans="31:31">
      <c r="AE34223" s="54"/>
    </row>
    <row r="34224" spans="31:31">
      <c r="AE34224" s="54"/>
    </row>
    <row r="34225" spans="31:31">
      <c r="AE34225" s="54"/>
    </row>
    <row r="34226" spans="31:31">
      <c r="AE34226" s="54"/>
    </row>
    <row r="34227" spans="31:31">
      <c r="AE34227" s="54"/>
    </row>
    <row r="34228" spans="31:31">
      <c r="AE34228" s="54"/>
    </row>
    <row r="34229" spans="31:31">
      <c r="AE34229" s="54"/>
    </row>
    <row r="34230" spans="31:31">
      <c r="AE34230" s="54"/>
    </row>
    <row r="34231" spans="31:31">
      <c r="AE34231" s="54"/>
    </row>
    <row r="34232" spans="31:31">
      <c r="AE34232" s="54"/>
    </row>
    <row r="34233" spans="31:31">
      <c r="AE34233" s="54"/>
    </row>
    <row r="34234" spans="31:31">
      <c r="AE34234" s="54"/>
    </row>
    <row r="34235" spans="31:31">
      <c r="AE34235" s="54"/>
    </row>
    <row r="34236" spans="31:31">
      <c r="AE34236" s="54"/>
    </row>
    <row r="34237" spans="31:31">
      <c r="AE34237" s="54"/>
    </row>
    <row r="34238" spans="31:31">
      <c r="AE34238" s="54"/>
    </row>
    <row r="34239" spans="31:31">
      <c r="AE34239" s="54"/>
    </row>
    <row r="34240" spans="31:31">
      <c r="AE34240" s="54"/>
    </row>
    <row r="34241" spans="31:31">
      <c r="AE34241" s="54"/>
    </row>
    <row r="34242" spans="31:31">
      <c r="AE34242" s="54"/>
    </row>
    <row r="34243" spans="31:31">
      <c r="AE34243" s="54"/>
    </row>
    <row r="34244" spans="31:31">
      <c r="AE34244" s="54"/>
    </row>
    <row r="34245" spans="31:31">
      <c r="AE34245" s="54"/>
    </row>
    <row r="34246" spans="31:31">
      <c r="AE34246" s="54"/>
    </row>
    <row r="34247" spans="31:31">
      <c r="AE34247" s="54"/>
    </row>
    <row r="34248" spans="31:31">
      <c r="AE34248" s="54"/>
    </row>
    <row r="34249" spans="31:31">
      <c r="AE34249" s="54"/>
    </row>
    <row r="34250" spans="31:31">
      <c r="AE34250" s="54"/>
    </row>
    <row r="34251" spans="31:31">
      <c r="AE34251" s="54"/>
    </row>
    <row r="34252" spans="31:31">
      <c r="AE34252" s="54"/>
    </row>
    <row r="34253" spans="31:31">
      <c r="AE34253" s="54"/>
    </row>
    <row r="34254" spans="31:31">
      <c r="AE34254" s="54"/>
    </row>
    <row r="34255" spans="31:31">
      <c r="AE34255" s="54"/>
    </row>
    <row r="34256" spans="31:31">
      <c r="AE34256" s="54"/>
    </row>
    <row r="34257" spans="31:31">
      <c r="AE34257" s="54"/>
    </row>
    <row r="34258" spans="31:31">
      <c r="AE34258" s="54"/>
    </row>
    <row r="34259" spans="31:31">
      <c r="AE34259" s="54"/>
    </row>
    <row r="34260" spans="31:31">
      <c r="AE34260" s="54"/>
    </row>
    <row r="34261" spans="31:31">
      <c r="AE34261" s="54"/>
    </row>
    <row r="34262" spans="31:31">
      <c r="AE34262" s="54"/>
    </row>
    <row r="34263" spans="31:31">
      <c r="AE34263" s="54"/>
    </row>
    <row r="34264" spans="31:31">
      <c r="AE34264" s="54"/>
    </row>
    <row r="34265" spans="31:31">
      <c r="AE34265" s="54"/>
    </row>
    <row r="34266" spans="31:31">
      <c r="AE34266" s="54"/>
    </row>
    <row r="34267" spans="31:31">
      <c r="AE34267" s="54"/>
    </row>
    <row r="34268" spans="31:31">
      <c r="AE34268" s="54"/>
    </row>
    <row r="34269" spans="31:31">
      <c r="AE34269" s="54"/>
    </row>
    <row r="34270" spans="31:31">
      <c r="AE34270" s="54"/>
    </row>
    <row r="34271" spans="31:31">
      <c r="AE34271" s="54"/>
    </row>
    <row r="34272" spans="31:31">
      <c r="AE34272" s="54"/>
    </row>
    <row r="34273" spans="31:31">
      <c r="AE34273" s="54"/>
    </row>
    <row r="34274" spans="31:31">
      <c r="AE34274" s="54"/>
    </row>
    <row r="34275" spans="31:31">
      <c r="AE34275" s="54"/>
    </row>
    <row r="34276" spans="31:31">
      <c r="AE34276" s="54"/>
    </row>
    <row r="34277" spans="31:31">
      <c r="AE34277" s="54"/>
    </row>
    <row r="34278" spans="31:31">
      <c r="AE34278" s="54"/>
    </row>
    <row r="34279" spans="31:31">
      <c r="AE34279" s="54"/>
    </row>
    <row r="34280" spans="31:31">
      <c r="AE34280" s="54"/>
    </row>
    <row r="34281" spans="31:31">
      <c r="AE34281" s="54"/>
    </row>
    <row r="34282" spans="31:31">
      <c r="AE34282" s="54"/>
    </row>
    <row r="34283" spans="31:31">
      <c r="AE34283" s="54"/>
    </row>
    <row r="34284" spans="31:31">
      <c r="AE34284" s="54"/>
    </row>
    <row r="34285" spans="31:31">
      <c r="AE34285" s="54"/>
    </row>
    <row r="34286" spans="31:31">
      <c r="AE34286" s="54"/>
    </row>
    <row r="34287" spans="31:31">
      <c r="AE34287" s="54"/>
    </row>
    <row r="34288" spans="31:31">
      <c r="AE34288" s="54"/>
    </row>
    <row r="34289" spans="31:31">
      <c r="AE34289" s="54"/>
    </row>
    <row r="34290" spans="31:31">
      <c r="AE34290" s="54"/>
    </row>
    <row r="34291" spans="31:31">
      <c r="AE34291" s="54"/>
    </row>
    <row r="34292" spans="31:31">
      <c r="AE34292" s="54"/>
    </row>
    <row r="34293" spans="31:31">
      <c r="AE34293" s="54"/>
    </row>
    <row r="34294" spans="31:31">
      <c r="AE34294" s="54"/>
    </row>
    <row r="34295" spans="31:31">
      <c r="AE34295" s="54"/>
    </row>
    <row r="34296" spans="31:31">
      <c r="AE34296" s="54"/>
    </row>
    <row r="34297" spans="31:31">
      <c r="AE34297" s="54"/>
    </row>
    <row r="34298" spans="31:31">
      <c r="AE34298" s="54"/>
    </row>
    <row r="34299" spans="31:31">
      <c r="AE34299" s="54"/>
    </row>
    <row r="34300" spans="31:31">
      <c r="AE34300" s="54"/>
    </row>
    <row r="34301" spans="31:31">
      <c r="AE34301" s="54"/>
    </row>
    <row r="34302" spans="31:31">
      <c r="AE34302" s="54"/>
    </row>
    <row r="34303" spans="31:31">
      <c r="AE34303" s="54"/>
    </row>
    <row r="34304" spans="31:31">
      <c r="AE34304" s="54"/>
    </row>
    <row r="34305" spans="31:31">
      <c r="AE34305" s="54"/>
    </row>
    <row r="34306" spans="31:31">
      <c r="AE34306" s="54"/>
    </row>
    <row r="34307" spans="31:31">
      <c r="AE34307" s="54"/>
    </row>
    <row r="34308" spans="31:31">
      <c r="AE34308" s="54"/>
    </row>
    <row r="34309" spans="31:31">
      <c r="AE34309" s="54"/>
    </row>
    <row r="34310" spans="31:31">
      <c r="AE34310" s="54"/>
    </row>
    <row r="34311" spans="31:31">
      <c r="AE34311" s="54"/>
    </row>
    <row r="34312" spans="31:31">
      <c r="AE34312" s="54"/>
    </row>
    <row r="34313" spans="31:31">
      <c r="AE34313" s="54"/>
    </row>
    <row r="34314" spans="31:31">
      <c r="AE34314" s="54"/>
    </row>
    <row r="34315" spans="31:31">
      <c r="AE34315" s="54"/>
    </row>
    <row r="34316" spans="31:31">
      <c r="AE34316" s="54"/>
    </row>
    <row r="34317" spans="31:31">
      <c r="AE34317" s="54"/>
    </row>
    <row r="34318" spans="31:31">
      <c r="AE34318" s="54"/>
    </row>
    <row r="34319" spans="31:31">
      <c r="AE34319" s="54"/>
    </row>
    <row r="34320" spans="31:31">
      <c r="AE34320" s="54"/>
    </row>
    <row r="34321" spans="31:31">
      <c r="AE34321" s="54"/>
    </row>
    <row r="34322" spans="31:31">
      <c r="AE34322" s="54"/>
    </row>
    <row r="34323" spans="31:31">
      <c r="AE34323" s="54"/>
    </row>
    <row r="34324" spans="31:31">
      <c r="AE34324" s="54"/>
    </row>
    <row r="34325" spans="31:31">
      <c r="AE34325" s="54"/>
    </row>
    <row r="34326" spans="31:31">
      <c r="AE34326" s="54"/>
    </row>
    <row r="34327" spans="31:31">
      <c r="AE34327" s="54"/>
    </row>
    <row r="34328" spans="31:31">
      <c r="AE34328" s="54"/>
    </row>
    <row r="34329" spans="31:31">
      <c r="AE34329" s="54"/>
    </row>
    <row r="34330" spans="31:31">
      <c r="AE34330" s="54"/>
    </row>
    <row r="34331" spans="31:31">
      <c r="AE34331" s="54"/>
    </row>
    <row r="34332" spans="31:31">
      <c r="AE34332" s="54"/>
    </row>
    <row r="34333" spans="31:31">
      <c r="AE34333" s="54"/>
    </row>
    <row r="34334" spans="31:31">
      <c r="AE34334" s="54"/>
    </row>
    <row r="34335" spans="31:31">
      <c r="AE34335" s="54"/>
    </row>
    <row r="34336" spans="31:31">
      <c r="AE34336" s="54"/>
    </row>
    <row r="34337" spans="31:31">
      <c r="AE34337" s="54"/>
    </row>
    <row r="34338" spans="31:31">
      <c r="AE34338" s="54"/>
    </row>
    <row r="34339" spans="31:31">
      <c r="AE34339" s="54"/>
    </row>
    <row r="34340" spans="31:31">
      <c r="AE34340" s="54"/>
    </row>
    <row r="34341" spans="31:31">
      <c r="AE34341" s="54"/>
    </row>
    <row r="34342" spans="31:31">
      <c r="AE34342" s="54"/>
    </row>
    <row r="34343" spans="31:31">
      <c r="AE34343" s="54"/>
    </row>
    <row r="34344" spans="31:31">
      <c r="AE34344" s="54"/>
    </row>
    <row r="34345" spans="31:31">
      <c r="AE34345" s="54"/>
    </row>
    <row r="34346" spans="31:31">
      <c r="AE34346" s="54"/>
    </row>
    <row r="34347" spans="31:31">
      <c r="AE34347" s="54"/>
    </row>
    <row r="34348" spans="31:31">
      <c r="AE34348" s="54"/>
    </row>
    <row r="34349" spans="31:31">
      <c r="AE34349" s="54"/>
    </row>
    <row r="34350" spans="31:31">
      <c r="AE34350" s="54"/>
    </row>
    <row r="34351" spans="31:31">
      <c r="AE34351" s="54"/>
    </row>
    <row r="34352" spans="31:31">
      <c r="AE34352" s="54"/>
    </row>
    <row r="34353" spans="31:31">
      <c r="AE34353" s="54"/>
    </row>
    <row r="34354" spans="31:31">
      <c r="AE34354" s="54"/>
    </row>
    <row r="34355" spans="31:31">
      <c r="AE34355" s="54"/>
    </row>
    <row r="34356" spans="31:31">
      <c r="AE34356" s="54"/>
    </row>
    <row r="34357" spans="31:31">
      <c r="AE34357" s="54"/>
    </row>
    <row r="34358" spans="31:31">
      <c r="AE34358" s="54"/>
    </row>
    <row r="34359" spans="31:31">
      <c r="AE34359" s="54"/>
    </row>
    <row r="34360" spans="31:31">
      <c r="AE34360" s="54"/>
    </row>
    <row r="34361" spans="31:31">
      <c r="AE34361" s="54"/>
    </row>
    <row r="34362" spans="31:31">
      <c r="AE34362" s="54"/>
    </row>
    <row r="34363" spans="31:31">
      <c r="AE34363" s="54"/>
    </row>
    <row r="34364" spans="31:31">
      <c r="AE34364" s="54"/>
    </row>
    <row r="34365" spans="31:31">
      <c r="AE34365" s="54"/>
    </row>
    <row r="34366" spans="31:31">
      <c r="AE34366" s="54"/>
    </row>
    <row r="34367" spans="31:31">
      <c r="AE34367" s="54"/>
    </row>
    <row r="34368" spans="31:31">
      <c r="AE34368" s="54"/>
    </row>
    <row r="34369" spans="31:31">
      <c r="AE34369" s="54"/>
    </row>
    <row r="34370" spans="31:31">
      <c r="AE34370" s="54"/>
    </row>
    <row r="34371" spans="31:31">
      <c r="AE34371" s="54"/>
    </row>
    <row r="34372" spans="31:31">
      <c r="AE34372" s="54"/>
    </row>
    <row r="34373" spans="31:31">
      <c r="AE34373" s="54"/>
    </row>
    <row r="34374" spans="31:31">
      <c r="AE34374" s="54"/>
    </row>
    <row r="34375" spans="31:31">
      <c r="AE34375" s="54"/>
    </row>
    <row r="34376" spans="31:31">
      <c r="AE34376" s="54"/>
    </row>
    <row r="34377" spans="31:31">
      <c r="AE34377" s="54"/>
    </row>
    <row r="34378" spans="31:31">
      <c r="AE34378" s="54"/>
    </row>
    <row r="34379" spans="31:31">
      <c r="AE34379" s="54"/>
    </row>
    <row r="34380" spans="31:31">
      <c r="AE34380" s="54"/>
    </row>
    <row r="34381" spans="31:31">
      <c r="AE34381" s="54"/>
    </row>
    <row r="34382" spans="31:31">
      <c r="AE34382" s="54"/>
    </row>
    <row r="34383" spans="31:31">
      <c r="AE34383" s="54"/>
    </row>
    <row r="34384" spans="31:31">
      <c r="AE34384" s="54"/>
    </row>
    <row r="34385" spans="31:31">
      <c r="AE34385" s="54"/>
    </row>
    <row r="34386" spans="31:31">
      <c r="AE34386" s="54"/>
    </row>
    <row r="34387" spans="31:31">
      <c r="AE34387" s="54"/>
    </row>
    <row r="34388" spans="31:31">
      <c r="AE34388" s="54"/>
    </row>
    <row r="34389" spans="31:31">
      <c r="AE34389" s="54"/>
    </row>
    <row r="34390" spans="31:31">
      <c r="AE34390" s="54"/>
    </row>
    <row r="34391" spans="31:31">
      <c r="AE34391" s="54"/>
    </row>
    <row r="34392" spans="31:31">
      <c r="AE34392" s="54"/>
    </row>
    <row r="34393" spans="31:31">
      <c r="AE34393" s="54"/>
    </row>
    <row r="34394" spans="31:31">
      <c r="AE34394" s="54"/>
    </row>
    <row r="34395" spans="31:31">
      <c r="AE34395" s="54"/>
    </row>
    <row r="34396" spans="31:31">
      <c r="AE34396" s="54"/>
    </row>
    <row r="34397" spans="31:31">
      <c r="AE34397" s="54"/>
    </row>
    <row r="34398" spans="31:31">
      <c r="AE34398" s="54"/>
    </row>
    <row r="34399" spans="31:31">
      <c r="AE34399" s="54"/>
    </row>
    <row r="34400" spans="31:31">
      <c r="AE34400" s="54"/>
    </row>
    <row r="34401" spans="31:31">
      <c r="AE34401" s="54"/>
    </row>
    <row r="34402" spans="31:31">
      <c r="AE34402" s="54"/>
    </row>
    <row r="34403" spans="31:31">
      <c r="AE34403" s="54"/>
    </row>
    <row r="34404" spans="31:31">
      <c r="AE34404" s="54"/>
    </row>
    <row r="34405" spans="31:31">
      <c r="AE34405" s="54"/>
    </row>
    <row r="34406" spans="31:31">
      <c r="AE34406" s="54"/>
    </row>
    <row r="34407" spans="31:31">
      <c r="AE34407" s="54"/>
    </row>
    <row r="34408" spans="31:31">
      <c r="AE34408" s="54"/>
    </row>
    <row r="34409" spans="31:31">
      <c r="AE34409" s="54"/>
    </row>
    <row r="34410" spans="31:31">
      <c r="AE34410" s="54"/>
    </row>
    <row r="34411" spans="31:31">
      <c r="AE34411" s="54"/>
    </row>
    <row r="34412" spans="31:31">
      <c r="AE34412" s="54"/>
    </row>
    <row r="34413" spans="31:31">
      <c r="AE34413" s="54"/>
    </row>
    <row r="34414" spans="31:31">
      <c r="AE34414" s="54"/>
    </row>
    <row r="34415" spans="31:31">
      <c r="AE34415" s="54"/>
    </row>
    <row r="34416" spans="31:31">
      <c r="AE34416" s="54"/>
    </row>
    <row r="34417" spans="31:31">
      <c r="AE34417" s="54"/>
    </row>
    <row r="34418" spans="31:31">
      <c r="AE34418" s="54"/>
    </row>
    <row r="34419" spans="31:31">
      <c r="AE34419" s="54"/>
    </row>
    <row r="34420" spans="31:31">
      <c r="AE34420" s="54"/>
    </row>
    <row r="34421" spans="31:31">
      <c r="AE34421" s="54"/>
    </row>
    <row r="34422" spans="31:31">
      <c r="AE34422" s="54"/>
    </row>
    <row r="34423" spans="31:31">
      <c r="AE34423" s="54"/>
    </row>
    <row r="34424" spans="31:31">
      <c r="AE34424" s="54"/>
    </row>
    <row r="34425" spans="31:31">
      <c r="AE34425" s="54"/>
    </row>
    <row r="34426" spans="31:31">
      <c r="AE34426" s="54"/>
    </row>
    <row r="34427" spans="31:31">
      <c r="AE34427" s="54"/>
    </row>
    <row r="34428" spans="31:31">
      <c r="AE34428" s="54"/>
    </row>
    <row r="34429" spans="31:31">
      <c r="AE34429" s="54"/>
    </row>
    <row r="34430" spans="31:31">
      <c r="AE34430" s="54"/>
    </row>
    <row r="34431" spans="31:31">
      <c r="AE34431" s="54"/>
    </row>
    <row r="34432" spans="31:31">
      <c r="AE34432" s="54"/>
    </row>
    <row r="34433" spans="31:31">
      <c r="AE34433" s="54"/>
    </row>
    <row r="34434" spans="31:31">
      <c r="AE34434" s="54"/>
    </row>
    <row r="34435" spans="31:31">
      <c r="AE34435" s="54"/>
    </row>
    <row r="34436" spans="31:31">
      <c r="AE34436" s="54"/>
    </row>
    <row r="34437" spans="31:31">
      <c r="AE34437" s="54"/>
    </row>
    <row r="34438" spans="31:31">
      <c r="AE34438" s="54"/>
    </row>
    <row r="34439" spans="31:31">
      <c r="AE34439" s="54"/>
    </row>
    <row r="34440" spans="31:31">
      <c r="AE34440" s="54"/>
    </row>
    <row r="34441" spans="31:31">
      <c r="AE34441" s="54"/>
    </row>
    <row r="34442" spans="31:31">
      <c r="AE34442" s="54"/>
    </row>
    <row r="34443" spans="31:31">
      <c r="AE34443" s="54"/>
    </row>
    <row r="34444" spans="31:31">
      <c r="AE34444" s="54"/>
    </row>
    <row r="34445" spans="31:31">
      <c r="AE34445" s="54"/>
    </row>
    <row r="34446" spans="31:31">
      <c r="AE34446" s="54"/>
    </row>
    <row r="34447" spans="31:31">
      <c r="AE34447" s="54"/>
    </row>
    <row r="34448" spans="31:31">
      <c r="AE34448" s="54"/>
    </row>
    <row r="34449" spans="31:31">
      <c r="AE34449" s="54"/>
    </row>
    <row r="34450" spans="31:31">
      <c r="AE34450" s="54"/>
    </row>
    <row r="34451" spans="31:31">
      <c r="AE34451" s="54"/>
    </row>
    <row r="34452" spans="31:31">
      <c r="AE34452" s="54"/>
    </row>
    <row r="34453" spans="31:31">
      <c r="AE34453" s="54"/>
    </row>
    <row r="34454" spans="31:31">
      <c r="AE34454" s="54"/>
    </row>
    <row r="34455" spans="31:31">
      <c r="AE34455" s="54"/>
    </row>
    <row r="34456" spans="31:31">
      <c r="AE34456" s="54"/>
    </row>
    <row r="34457" spans="31:31">
      <c r="AE34457" s="54"/>
    </row>
    <row r="34458" spans="31:31">
      <c r="AE34458" s="54"/>
    </row>
    <row r="34459" spans="31:31">
      <c r="AE34459" s="54"/>
    </row>
    <row r="34460" spans="31:31">
      <c r="AE34460" s="54"/>
    </row>
    <row r="34461" spans="31:31">
      <c r="AE34461" s="54"/>
    </row>
    <row r="34462" spans="31:31">
      <c r="AE34462" s="54"/>
    </row>
    <row r="34463" spans="31:31">
      <c r="AE34463" s="54"/>
    </row>
    <row r="34464" spans="31:31">
      <c r="AE34464" s="54"/>
    </row>
    <row r="34465" spans="31:31">
      <c r="AE34465" s="54"/>
    </row>
    <row r="34466" spans="31:31">
      <c r="AE34466" s="54"/>
    </row>
    <row r="34467" spans="31:31">
      <c r="AE34467" s="54"/>
    </row>
    <row r="34468" spans="31:31">
      <c r="AE34468" s="54"/>
    </row>
    <row r="34469" spans="31:31">
      <c r="AE34469" s="54"/>
    </row>
    <row r="34470" spans="31:31">
      <c r="AE34470" s="54"/>
    </row>
    <row r="34471" spans="31:31">
      <c r="AE34471" s="54"/>
    </row>
    <row r="34472" spans="31:31">
      <c r="AE34472" s="54"/>
    </row>
    <row r="34473" spans="31:31">
      <c r="AE34473" s="54"/>
    </row>
    <row r="34474" spans="31:31">
      <c r="AE34474" s="54"/>
    </row>
    <row r="34475" spans="31:31">
      <c r="AE34475" s="54"/>
    </row>
    <row r="34476" spans="31:31">
      <c r="AE34476" s="54"/>
    </row>
    <row r="34477" spans="31:31">
      <c r="AE34477" s="54"/>
    </row>
    <row r="34478" spans="31:31">
      <c r="AE34478" s="54"/>
    </row>
    <row r="34479" spans="31:31">
      <c r="AE34479" s="54"/>
    </row>
    <row r="34480" spans="31:31">
      <c r="AE34480" s="54"/>
    </row>
    <row r="34481" spans="31:31">
      <c r="AE34481" s="54"/>
    </row>
    <row r="34482" spans="31:31">
      <c r="AE34482" s="54"/>
    </row>
    <row r="34483" spans="31:31">
      <c r="AE34483" s="54"/>
    </row>
    <row r="34484" spans="31:31">
      <c r="AE34484" s="54"/>
    </row>
    <row r="34485" spans="31:31">
      <c r="AE34485" s="54"/>
    </row>
    <row r="34486" spans="31:31">
      <c r="AE34486" s="54"/>
    </row>
    <row r="34487" spans="31:31">
      <c r="AE34487" s="54"/>
    </row>
    <row r="34488" spans="31:31">
      <c r="AE34488" s="54"/>
    </row>
    <row r="34489" spans="31:31">
      <c r="AE34489" s="54"/>
    </row>
    <row r="34490" spans="31:31">
      <c r="AE34490" s="54"/>
    </row>
    <row r="34491" spans="31:31">
      <c r="AE34491" s="54"/>
    </row>
    <row r="34492" spans="31:31">
      <c r="AE34492" s="54"/>
    </row>
    <row r="34493" spans="31:31">
      <c r="AE34493" s="54"/>
    </row>
    <row r="34494" spans="31:31">
      <c r="AE34494" s="54"/>
    </row>
    <row r="34495" spans="31:31">
      <c r="AE34495" s="54"/>
    </row>
    <row r="34496" spans="31:31">
      <c r="AE34496" s="54"/>
    </row>
    <row r="34497" spans="31:31">
      <c r="AE34497" s="54"/>
    </row>
    <row r="34498" spans="31:31">
      <c r="AE34498" s="54"/>
    </row>
    <row r="34499" spans="31:31">
      <c r="AE34499" s="54"/>
    </row>
    <row r="34500" spans="31:31">
      <c r="AE34500" s="54"/>
    </row>
    <row r="34501" spans="31:31">
      <c r="AE34501" s="54"/>
    </row>
    <row r="34502" spans="31:31">
      <c r="AE34502" s="54"/>
    </row>
    <row r="34503" spans="31:31">
      <c r="AE34503" s="54"/>
    </row>
    <row r="34504" spans="31:31">
      <c r="AE34504" s="54"/>
    </row>
    <row r="34505" spans="31:31">
      <c r="AE34505" s="54"/>
    </row>
    <row r="34506" spans="31:31">
      <c r="AE34506" s="54"/>
    </row>
    <row r="34507" spans="31:31">
      <c r="AE34507" s="54"/>
    </row>
    <row r="34508" spans="31:31">
      <c r="AE34508" s="54"/>
    </row>
    <row r="34509" spans="31:31">
      <c r="AE34509" s="54"/>
    </row>
    <row r="34510" spans="31:31">
      <c r="AE34510" s="54"/>
    </row>
    <row r="34511" spans="31:31">
      <c r="AE34511" s="54"/>
    </row>
    <row r="34512" spans="31:31">
      <c r="AE34512" s="54"/>
    </row>
    <row r="34513" spans="31:31">
      <c r="AE34513" s="54"/>
    </row>
    <row r="34514" spans="31:31">
      <c r="AE34514" s="54"/>
    </row>
    <row r="34515" spans="31:31">
      <c r="AE34515" s="54"/>
    </row>
    <row r="34516" spans="31:31">
      <c r="AE34516" s="54"/>
    </row>
    <row r="34517" spans="31:31">
      <c r="AE34517" s="54"/>
    </row>
    <row r="34518" spans="31:31">
      <c r="AE34518" s="54"/>
    </row>
    <row r="34519" spans="31:31">
      <c r="AE34519" s="54"/>
    </row>
    <row r="34520" spans="31:31">
      <c r="AE34520" s="54"/>
    </row>
    <row r="34521" spans="31:31">
      <c r="AE34521" s="54"/>
    </row>
    <row r="34522" spans="31:31">
      <c r="AE34522" s="54"/>
    </row>
    <row r="34523" spans="31:31">
      <c r="AE34523" s="54"/>
    </row>
    <row r="34524" spans="31:31">
      <c r="AE34524" s="54"/>
    </row>
    <row r="34525" spans="31:31">
      <c r="AE34525" s="54"/>
    </row>
    <row r="34526" spans="31:31">
      <c r="AE34526" s="54"/>
    </row>
    <row r="34527" spans="31:31">
      <c r="AE34527" s="54"/>
    </row>
    <row r="34528" spans="31:31">
      <c r="AE34528" s="54"/>
    </row>
    <row r="34529" spans="31:31">
      <c r="AE34529" s="54"/>
    </row>
    <row r="34530" spans="31:31">
      <c r="AE34530" s="54"/>
    </row>
    <row r="34531" spans="31:31">
      <c r="AE34531" s="54"/>
    </row>
    <row r="34532" spans="31:31">
      <c r="AE34532" s="54"/>
    </row>
    <row r="34533" spans="31:31">
      <c r="AE34533" s="54"/>
    </row>
    <row r="34534" spans="31:31">
      <c r="AE34534" s="54"/>
    </row>
    <row r="34535" spans="31:31">
      <c r="AE34535" s="54"/>
    </row>
    <row r="34536" spans="31:31">
      <c r="AE34536" s="54"/>
    </row>
    <row r="34537" spans="31:31">
      <c r="AE34537" s="54"/>
    </row>
    <row r="34538" spans="31:31">
      <c r="AE34538" s="54"/>
    </row>
    <row r="34539" spans="31:31">
      <c r="AE34539" s="54"/>
    </row>
    <row r="34540" spans="31:31">
      <c r="AE34540" s="54"/>
    </row>
    <row r="34541" spans="31:31">
      <c r="AE34541" s="54"/>
    </row>
    <row r="34542" spans="31:31">
      <c r="AE34542" s="54"/>
    </row>
    <row r="34543" spans="31:31">
      <c r="AE34543" s="54"/>
    </row>
    <row r="34544" spans="31:31">
      <c r="AE34544" s="54"/>
    </row>
    <row r="34545" spans="31:31">
      <c r="AE34545" s="54"/>
    </row>
    <row r="34546" spans="31:31">
      <c r="AE34546" s="54"/>
    </row>
    <row r="34547" spans="31:31">
      <c r="AE34547" s="54"/>
    </row>
    <row r="34548" spans="31:31">
      <c r="AE34548" s="54"/>
    </row>
    <row r="34549" spans="31:31">
      <c r="AE34549" s="54"/>
    </row>
    <row r="34550" spans="31:31">
      <c r="AE34550" s="54"/>
    </row>
    <row r="34551" spans="31:31">
      <c r="AE34551" s="54"/>
    </row>
    <row r="34552" spans="31:31">
      <c r="AE34552" s="54"/>
    </row>
    <row r="34553" spans="31:31">
      <c r="AE34553" s="54"/>
    </row>
    <row r="34554" spans="31:31">
      <c r="AE34554" s="54"/>
    </row>
    <row r="34555" spans="31:31">
      <c r="AE34555" s="54"/>
    </row>
    <row r="34556" spans="31:31">
      <c r="AE34556" s="54"/>
    </row>
    <row r="34557" spans="31:31">
      <c r="AE34557" s="54"/>
    </row>
    <row r="34558" spans="31:31">
      <c r="AE34558" s="54"/>
    </row>
    <row r="34559" spans="31:31">
      <c r="AE34559" s="54"/>
    </row>
    <row r="34560" spans="31:31">
      <c r="AE34560" s="54"/>
    </row>
    <row r="34561" spans="31:31">
      <c r="AE34561" s="54"/>
    </row>
    <row r="34562" spans="31:31">
      <c r="AE34562" s="54"/>
    </row>
    <row r="34563" spans="31:31">
      <c r="AE34563" s="54"/>
    </row>
    <row r="34564" spans="31:31">
      <c r="AE34564" s="54"/>
    </row>
    <row r="34565" spans="31:31">
      <c r="AE34565" s="54"/>
    </row>
    <row r="34566" spans="31:31">
      <c r="AE34566" s="54"/>
    </row>
    <row r="34567" spans="31:31">
      <c r="AE34567" s="54"/>
    </row>
    <row r="34568" spans="31:31">
      <c r="AE34568" s="54"/>
    </row>
    <row r="34569" spans="31:31">
      <c r="AE34569" s="54"/>
    </row>
    <row r="34570" spans="31:31">
      <c r="AE34570" s="54"/>
    </row>
    <row r="34571" spans="31:31">
      <c r="AE34571" s="54"/>
    </row>
    <row r="34572" spans="31:31">
      <c r="AE34572" s="54"/>
    </row>
    <row r="34573" spans="31:31">
      <c r="AE34573" s="54"/>
    </row>
    <row r="34574" spans="31:31">
      <c r="AE34574" s="54"/>
    </row>
    <row r="34575" spans="31:31">
      <c r="AE34575" s="54"/>
    </row>
    <row r="34576" spans="31:31">
      <c r="AE34576" s="54"/>
    </row>
    <row r="34577" spans="31:31">
      <c r="AE34577" s="54"/>
    </row>
    <row r="34578" spans="31:31">
      <c r="AE34578" s="54"/>
    </row>
    <row r="34579" spans="31:31">
      <c r="AE34579" s="54"/>
    </row>
    <row r="34580" spans="31:31">
      <c r="AE34580" s="54"/>
    </row>
    <row r="34581" spans="31:31">
      <c r="AE34581" s="54"/>
    </row>
    <row r="34582" spans="31:31">
      <c r="AE34582" s="54"/>
    </row>
    <row r="34583" spans="31:31">
      <c r="AE34583" s="54"/>
    </row>
    <row r="34584" spans="31:31">
      <c r="AE34584" s="54"/>
    </row>
    <row r="34585" spans="31:31">
      <c r="AE34585" s="54"/>
    </row>
    <row r="34586" spans="31:31">
      <c r="AE34586" s="54"/>
    </row>
    <row r="34587" spans="31:31">
      <c r="AE34587" s="54"/>
    </row>
    <row r="34588" spans="31:31">
      <c r="AE34588" s="54"/>
    </row>
    <row r="34589" spans="31:31">
      <c r="AE34589" s="54"/>
    </row>
    <row r="34590" spans="31:31">
      <c r="AE34590" s="54"/>
    </row>
    <row r="34591" spans="31:31">
      <c r="AE34591" s="54"/>
    </row>
    <row r="34592" spans="31:31">
      <c r="AE34592" s="54"/>
    </row>
    <row r="34593" spans="31:31">
      <c r="AE34593" s="54"/>
    </row>
    <row r="34594" spans="31:31">
      <c r="AE34594" s="54"/>
    </row>
    <row r="34595" spans="31:31">
      <c r="AE34595" s="54"/>
    </row>
    <row r="34596" spans="31:31">
      <c r="AE34596" s="54"/>
    </row>
    <row r="34597" spans="31:31">
      <c r="AE34597" s="54"/>
    </row>
    <row r="34598" spans="31:31">
      <c r="AE34598" s="54"/>
    </row>
    <row r="34599" spans="31:31">
      <c r="AE34599" s="54"/>
    </row>
    <row r="34600" spans="31:31">
      <c r="AE34600" s="54"/>
    </row>
    <row r="34601" spans="31:31">
      <c r="AE34601" s="54"/>
    </row>
    <row r="34602" spans="31:31">
      <c r="AE34602" s="54"/>
    </row>
    <row r="34603" spans="31:31">
      <c r="AE34603" s="54"/>
    </row>
    <row r="34604" spans="31:31">
      <c r="AE34604" s="54"/>
    </row>
    <row r="34605" spans="31:31">
      <c r="AE34605" s="54"/>
    </row>
    <row r="34606" spans="31:31">
      <c r="AE34606" s="54"/>
    </row>
    <row r="34607" spans="31:31">
      <c r="AE34607" s="54"/>
    </row>
    <row r="34608" spans="31:31">
      <c r="AE34608" s="54"/>
    </row>
    <row r="34609" spans="31:31">
      <c r="AE34609" s="54"/>
    </row>
    <row r="34610" spans="31:31">
      <c r="AE34610" s="54"/>
    </row>
    <row r="34611" spans="31:31">
      <c r="AE34611" s="54"/>
    </row>
    <row r="34612" spans="31:31">
      <c r="AE34612" s="54"/>
    </row>
    <row r="34613" spans="31:31">
      <c r="AE34613" s="54"/>
    </row>
    <row r="34614" spans="31:31">
      <c r="AE34614" s="54"/>
    </row>
    <row r="34615" spans="31:31">
      <c r="AE34615" s="54"/>
    </row>
    <row r="34616" spans="31:31">
      <c r="AE34616" s="54"/>
    </row>
    <row r="34617" spans="31:31">
      <c r="AE34617" s="54"/>
    </row>
    <row r="34618" spans="31:31">
      <c r="AE34618" s="54"/>
    </row>
    <row r="34619" spans="31:31">
      <c r="AE34619" s="54"/>
    </row>
    <row r="34620" spans="31:31">
      <c r="AE34620" s="54"/>
    </row>
    <row r="34621" spans="31:31">
      <c r="AE34621" s="54"/>
    </row>
    <row r="34622" spans="31:31">
      <c r="AE34622" s="54"/>
    </row>
    <row r="34623" spans="31:31">
      <c r="AE34623" s="54"/>
    </row>
    <row r="34624" spans="31:31">
      <c r="AE34624" s="54"/>
    </row>
    <row r="34625" spans="31:31">
      <c r="AE34625" s="54"/>
    </row>
    <row r="34626" spans="31:31">
      <c r="AE34626" s="54"/>
    </row>
    <row r="34627" spans="31:31">
      <c r="AE34627" s="54"/>
    </row>
    <row r="34628" spans="31:31">
      <c r="AE34628" s="54"/>
    </row>
    <row r="34629" spans="31:31">
      <c r="AE34629" s="54"/>
    </row>
    <row r="34630" spans="31:31">
      <c r="AE34630" s="54"/>
    </row>
    <row r="34631" spans="31:31">
      <c r="AE34631" s="54"/>
    </row>
    <row r="34632" spans="31:31">
      <c r="AE34632" s="54"/>
    </row>
    <row r="34633" spans="31:31">
      <c r="AE34633" s="54"/>
    </row>
    <row r="34634" spans="31:31">
      <c r="AE34634" s="54"/>
    </row>
    <row r="34635" spans="31:31">
      <c r="AE34635" s="54"/>
    </row>
    <row r="34636" spans="31:31">
      <c r="AE34636" s="54"/>
    </row>
    <row r="34637" spans="31:31">
      <c r="AE34637" s="54"/>
    </row>
    <row r="34638" spans="31:31">
      <c r="AE34638" s="54"/>
    </row>
    <row r="34639" spans="31:31">
      <c r="AE34639" s="54"/>
    </row>
    <row r="34640" spans="31:31">
      <c r="AE34640" s="54"/>
    </row>
    <row r="34641" spans="31:31">
      <c r="AE34641" s="54"/>
    </row>
    <row r="34642" spans="31:31">
      <c r="AE34642" s="54"/>
    </row>
    <row r="34643" spans="31:31">
      <c r="AE34643" s="54"/>
    </row>
    <row r="34644" spans="31:31">
      <c r="AE34644" s="54"/>
    </row>
    <row r="34645" spans="31:31">
      <c r="AE34645" s="54"/>
    </row>
    <row r="34646" spans="31:31">
      <c r="AE34646" s="54"/>
    </row>
    <row r="34647" spans="31:31">
      <c r="AE34647" s="54"/>
    </row>
    <row r="34648" spans="31:31">
      <c r="AE34648" s="54"/>
    </row>
    <row r="34649" spans="31:31">
      <c r="AE34649" s="54"/>
    </row>
    <row r="34650" spans="31:31">
      <c r="AE34650" s="54"/>
    </row>
    <row r="34651" spans="31:31">
      <c r="AE34651" s="54"/>
    </row>
    <row r="34652" spans="31:31">
      <c r="AE34652" s="54"/>
    </row>
    <row r="34653" spans="31:31">
      <c r="AE34653" s="54"/>
    </row>
    <row r="34654" spans="31:31">
      <c r="AE34654" s="54"/>
    </row>
    <row r="34655" spans="31:31">
      <c r="AE34655" s="54"/>
    </row>
    <row r="34656" spans="31:31">
      <c r="AE34656" s="54"/>
    </row>
    <row r="34657" spans="31:31">
      <c r="AE34657" s="54"/>
    </row>
    <row r="34658" spans="31:31">
      <c r="AE34658" s="54"/>
    </row>
    <row r="34659" spans="31:31">
      <c r="AE34659" s="54"/>
    </row>
    <row r="34660" spans="31:31">
      <c r="AE34660" s="54"/>
    </row>
    <row r="34661" spans="31:31">
      <c r="AE34661" s="54"/>
    </row>
    <row r="34662" spans="31:31">
      <c r="AE34662" s="54"/>
    </row>
    <row r="34663" spans="31:31">
      <c r="AE34663" s="54"/>
    </row>
    <row r="34664" spans="31:31">
      <c r="AE34664" s="54"/>
    </row>
    <row r="34665" spans="31:31">
      <c r="AE34665" s="54"/>
    </row>
    <row r="34666" spans="31:31">
      <c r="AE34666" s="54"/>
    </row>
    <row r="34667" spans="31:31">
      <c r="AE34667" s="54"/>
    </row>
    <row r="34668" spans="31:31">
      <c r="AE34668" s="54"/>
    </row>
    <row r="34669" spans="31:31">
      <c r="AE34669" s="54"/>
    </row>
    <row r="34670" spans="31:31">
      <c r="AE34670" s="54"/>
    </row>
    <row r="34671" spans="31:31">
      <c r="AE34671" s="54"/>
    </row>
    <row r="34672" spans="31:31">
      <c r="AE34672" s="54"/>
    </row>
    <row r="34673" spans="31:31">
      <c r="AE34673" s="54"/>
    </row>
    <row r="34674" spans="31:31">
      <c r="AE34674" s="54"/>
    </row>
    <row r="34675" spans="31:31">
      <c r="AE34675" s="54"/>
    </row>
    <row r="34676" spans="31:31">
      <c r="AE34676" s="54"/>
    </row>
    <row r="34677" spans="31:31">
      <c r="AE34677" s="54"/>
    </row>
    <row r="34678" spans="31:31">
      <c r="AE34678" s="54"/>
    </row>
    <row r="34679" spans="31:31">
      <c r="AE34679" s="54"/>
    </row>
    <row r="34680" spans="31:31">
      <c r="AE34680" s="54"/>
    </row>
    <row r="34681" spans="31:31">
      <c r="AE34681" s="54"/>
    </row>
    <row r="34682" spans="31:31">
      <c r="AE34682" s="54"/>
    </row>
    <row r="34683" spans="31:31">
      <c r="AE34683" s="54"/>
    </row>
    <row r="34684" spans="31:31">
      <c r="AE34684" s="54"/>
    </row>
    <row r="34685" spans="31:31">
      <c r="AE34685" s="54"/>
    </row>
    <row r="34686" spans="31:31">
      <c r="AE34686" s="54"/>
    </row>
    <row r="34687" spans="31:31">
      <c r="AE34687" s="54"/>
    </row>
    <row r="34688" spans="31:31">
      <c r="AE34688" s="54"/>
    </row>
    <row r="34689" spans="31:31">
      <c r="AE34689" s="54"/>
    </row>
    <row r="34690" spans="31:31">
      <c r="AE34690" s="54"/>
    </row>
    <row r="34691" spans="31:31">
      <c r="AE34691" s="54"/>
    </row>
    <row r="34692" spans="31:31">
      <c r="AE34692" s="54"/>
    </row>
    <row r="34693" spans="31:31">
      <c r="AE34693" s="54"/>
    </row>
    <row r="34694" spans="31:31">
      <c r="AE34694" s="54"/>
    </row>
    <row r="34695" spans="31:31">
      <c r="AE34695" s="54"/>
    </row>
    <row r="34696" spans="31:31">
      <c r="AE34696" s="54"/>
    </row>
    <row r="34697" spans="31:31">
      <c r="AE34697" s="54"/>
    </row>
    <row r="34698" spans="31:31">
      <c r="AE34698" s="54"/>
    </row>
    <row r="34699" spans="31:31">
      <c r="AE34699" s="54"/>
    </row>
    <row r="34700" spans="31:31">
      <c r="AE34700" s="54"/>
    </row>
    <row r="34701" spans="31:31">
      <c r="AE34701" s="54"/>
    </row>
    <row r="34702" spans="31:31">
      <c r="AE34702" s="54"/>
    </row>
    <row r="34703" spans="31:31">
      <c r="AE34703" s="54"/>
    </row>
    <row r="34704" spans="31:31">
      <c r="AE34704" s="54"/>
    </row>
    <row r="34705" spans="31:31">
      <c r="AE34705" s="54"/>
    </row>
    <row r="34706" spans="31:31">
      <c r="AE34706" s="54"/>
    </row>
    <row r="34707" spans="31:31">
      <c r="AE34707" s="54"/>
    </row>
    <row r="34708" spans="31:31">
      <c r="AE34708" s="54"/>
    </row>
    <row r="34709" spans="31:31">
      <c r="AE34709" s="54"/>
    </row>
    <row r="34710" spans="31:31">
      <c r="AE34710" s="54"/>
    </row>
    <row r="34711" spans="31:31">
      <c r="AE34711" s="54"/>
    </row>
    <row r="34712" spans="31:31">
      <c r="AE34712" s="54"/>
    </row>
    <row r="34713" spans="31:31">
      <c r="AE34713" s="54"/>
    </row>
    <row r="34714" spans="31:31">
      <c r="AE34714" s="54"/>
    </row>
    <row r="34715" spans="31:31">
      <c r="AE34715" s="54"/>
    </row>
    <row r="34716" spans="31:31">
      <c r="AE34716" s="54"/>
    </row>
    <row r="34717" spans="31:31">
      <c r="AE34717" s="54"/>
    </row>
    <row r="34718" spans="31:31">
      <c r="AE34718" s="54"/>
    </row>
    <row r="34719" spans="31:31">
      <c r="AE34719" s="54"/>
    </row>
    <row r="34720" spans="31:31">
      <c r="AE34720" s="54"/>
    </row>
    <row r="34721" spans="31:31">
      <c r="AE34721" s="54"/>
    </row>
    <row r="34722" spans="31:31">
      <c r="AE34722" s="54"/>
    </row>
    <row r="34723" spans="31:31">
      <c r="AE34723" s="54"/>
    </row>
    <row r="34724" spans="31:31">
      <c r="AE34724" s="54"/>
    </row>
    <row r="34725" spans="31:31">
      <c r="AE34725" s="54"/>
    </row>
    <row r="34726" spans="31:31">
      <c r="AE34726" s="54"/>
    </row>
    <row r="34727" spans="31:31">
      <c r="AE34727" s="54"/>
    </row>
    <row r="34728" spans="31:31">
      <c r="AE34728" s="54"/>
    </row>
    <row r="34729" spans="31:31">
      <c r="AE34729" s="54"/>
    </row>
    <row r="34730" spans="31:31">
      <c r="AE34730" s="54"/>
    </row>
    <row r="34731" spans="31:31">
      <c r="AE34731" s="54"/>
    </row>
    <row r="34732" spans="31:31">
      <c r="AE34732" s="54"/>
    </row>
    <row r="34733" spans="31:31">
      <c r="AE34733" s="54"/>
    </row>
    <row r="34734" spans="31:31">
      <c r="AE34734" s="54"/>
    </row>
    <row r="34735" spans="31:31">
      <c r="AE34735" s="54"/>
    </row>
    <row r="34736" spans="31:31">
      <c r="AE34736" s="54"/>
    </row>
    <row r="34737" spans="31:31">
      <c r="AE34737" s="54"/>
    </row>
    <row r="34738" spans="31:31">
      <c r="AE34738" s="54"/>
    </row>
    <row r="34739" spans="31:31">
      <c r="AE34739" s="54"/>
    </row>
    <row r="34740" spans="31:31">
      <c r="AE34740" s="54"/>
    </row>
    <row r="34741" spans="31:31">
      <c r="AE34741" s="54"/>
    </row>
    <row r="34742" spans="31:31">
      <c r="AE34742" s="54"/>
    </row>
    <row r="34743" spans="31:31">
      <c r="AE34743" s="54"/>
    </row>
    <row r="34744" spans="31:31">
      <c r="AE34744" s="54"/>
    </row>
    <row r="34745" spans="31:31">
      <c r="AE34745" s="54"/>
    </row>
    <row r="34746" spans="31:31">
      <c r="AE34746" s="54"/>
    </row>
    <row r="34747" spans="31:31">
      <c r="AE34747" s="54"/>
    </row>
    <row r="34748" spans="31:31">
      <c r="AE34748" s="54"/>
    </row>
    <row r="34749" spans="31:31">
      <c r="AE34749" s="54"/>
    </row>
    <row r="34750" spans="31:31">
      <c r="AE34750" s="54"/>
    </row>
    <row r="34751" spans="31:31">
      <c r="AE34751" s="54"/>
    </row>
    <row r="34752" spans="31:31">
      <c r="AE34752" s="54"/>
    </row>
    <row r="34753" spans="31:31">
      <c r="AE34753" s="54"/>
    </row>
    <row r="34754" spans="31:31">
      <c r="AE34754" s="54"/>
    </row>
    <row r="34755" spans="31:31">
      <c r="AE34755" s="54"/>
    </row>
    <row r="34756" spans="31:31">
      <c r="AE34756" s="54"/>
    </row>
    <row r="34757" spans="31:31">
      <c r="AE34757" s="54"/>
    </row>
    <row r="34758" spans="31:31">
      <c r="AE34758" s="54"/>
    </row>
    <row r="34759" spans="31:31">
      <c r="AE34759" s="54"/>
    </row>
    <row r="34760" spans="31:31">
      <c r="AE34760" s="54"/>
    </row>
    <row r="34761" spans="31:31">
      <c r="AE34761" s="54"/>
    </row>
    <row r="34762" spans="31:31">
      <c r="AE34762" s="54"/>
    </row>
    <row r="34763" spans="31:31">
      <c r="AE34763" s="54"/>
    </row>
    <row r="34764" spans="31:31">
      <c r="AE34764" s="54"/>
    </row>
    <row r="34765" spans="31:31">
      <c r="AE34765" s="54"/>
    </row>
    <row r="34766" spans="31:31">
      <c r="AE34766" s="54"/>
    </row>
    <row r="34767" spans="31:31">
      <c r="AE34767" s="54"/>
    </row>
    <row r="34768" spans="31:31">
      <c r="AE34768" s="54"/>
    </row>
    <row r="34769" spans="31:31">
      <c r="AE34769" s="54"/>
    </row>
    <row r="34770" spans="31:31">
      <c r="AE34770" s="54"/>
    </row>
    <row r="34771" spans="31:31">
      <c r="AE34771" s="54"/>
    </row>
    <row r="34772" spans="31:31">
      <c r="AE34772" s="54"/>
    </row>
    <row r="34773" spans="31:31">
      <c r="AE34773" s="54"/>
    </row>
    <row r="34774" spans="31:31">
      <c r="AE34774" s="54"/>
    </row>
    <row r="34775" spans="31:31">
      <c r="AE34775" s="54"/>
    </row>
    <row r="34776" spans="31:31">
      <c r="AE34776" s="54"/>
    </row>
    <row r="34777" spans="31:31">
      <c r="AE34777" s="54"/>
    </row>
    <row r="34778" spans="31:31">
      <c r="AE34778" s="54"/>
    </row>
    <row r="34779" spans="31:31">
      <c r="AE34779" s="54"/>
    </row>
    <row r="34780" spans="31:31">
      <c r="AE34780" s="54"/>
    </row>
    <row r="34781" spans="31:31">
      <c r="AE34781" s="54"/>
    </row>
    <row r="34782" spans="31:31">
      <c r="AE34782" s="54"/>
    </row>
    <row r="34783" spans="31:31">
      <c r="AE34783" s="54"/>
    </row>
    <row r="34784" spans="31:31">
      <c r="AE34784" s="54"/>
    </row>
    <row r="34785" spans="31:31">
      <c r="AE34785" s="54"/>
    </row>
    <row r="34786" spans="31:31">
      <c r="AE34786" s="54"/>
    </row>
    <row r="34787" spans="31:31">
      <c r="AE34787" s="54"/>
    </row>
    <row r="34788" spans="31:31">
      <c r="AE34788" s="54"/>
    </row>
    <row r="34789" spans="31:31">
      <c r="AE34789" s="54"/>
    </row>
    <row r="34790" spans="31:31">
      <c r="AE34790" s="54"/>
    </row>
    <row r="34791" spans="31:31">
      <c r="AE34791" s="54"/>
    </row>
    <row r="34792" spans="31:31">
      <c r="AE34792" s="54"/>
    </row>
    <row r="34793" spans="31:31">
      <c r="AE34793" s="54"/>
    </row>
    <row r="34794" spans="31:31">
      <c r="AE34794" s="54"/>
    </row>
    <row r="34795" spans="31:31">
      <c r="AE34795" s="54"/>
    </row>
    <row r="34796" spans="31:31">
      <c r="AE34796" s="54"/>
    </row>
    <row r="34797" spans="31:31">
      <c r="AE34797" s="54"/>
    </row>
    <row r="34798" spans="31:31">
      <c r="AE34798" s="54"/>
    </row>
    <row r="34799" spans="31:31">
      <c r="AE34799" s="54"/>
    </row>
    <row r="34800" spans="31:31">
      <c r="AE34800" s="54"/>
    </row>
    <row r="34801" spans="31:31">
      <c r="AE34801" s="54"/>
    </row>
    <row r="34802" spans="31:31">
      <c r="AE34802" s="54"/>
    </row>
    <row r="34803" spans="31:31">
      <c r="AE34803" s="54"/>
    </row>
    <row r="34804" spans="31:31">
      <c r="AE34804" s="54"/>
    </row>
    <row r="34805" spans="31:31">
      <c r="AE34805" s="54"/>
    </row>
    <row r="34806" spans="31:31">
      <c r="AE34806" s="54"/>
    </row>
    <row r="34807" spans="31:31">
      <c r="AE34807" s="54"/>
    </row>
    <row r="34808" spans="31:31">
      <c r="AE34808" s="54"/>
    </row>
    <row r="34809" spans="31:31">
      <c r="AE34809" s="54"/>
    </row>
    <row r="34810" spans="31:31">
      <c r="AE34810" s="54"/>
    </row>
    <row r="34811" spans="31:31">
      <c r="AE34811" s="54"/>
    </row>
    <row r="34812" spans="31:31">
      <c r="AE34812" s="54"/>
    </row>
    <row r="34813" spans="31:31">
      <c r="AE34813" s="54"/>
    </row>
    <row r="34814" spans="31:31">
      <c r="AE34814" s="54"/>
    </row>
    <row r="34815" spans="31:31">
      <c r="AE34815" s="54"/>
    </row>
    <row r="34816" spans="31:31">
      <c r="AE34816" s="54"/>
    </row>
    <row r="34817" spans="31:31">
      <c r="AE34817" s="54"/>
    </row>
    <row r="34818" spans="31:31">
      <c r="AE34818" s="54"/>
    </row>
    <row r="34819" spans="31:31">
      <c r="AE34819" s="54"/>
    </row>
    <row r="34820" spans="31:31">
      <c r="AE34820" s="54"/>
    </row>
    <row r="34821" spans="31:31">
      <c r="AE34821" s="54"/>
    </row>
    <row r="34822" spans="31:31">
      <c r="AE34822" s="54"/>
    </row>
    <row r="34823" spans="31:31">
      <c r="AE34823" s="54"/>
    </row>
    <row r="34824" spans="31:31">
      <c r="AE34824" s="54"/>
    </row>
    <row r="34825" spans="31:31">
      <c r="AE34825" s="54"/>
    </row>
    <row r="34826" spans="31:31">
      <c r="AE34826" s="54"/>
    </row>
    <row r="34827" spans="31:31">
      <c r="AE34827" s="54"/>
    </row>
    <row r="34828" spans="31:31">
      <c r="AE34828" s="54"/>
    </row>
    <row r="34829" spans="31:31">
      <c r="AE34829" s="54"/>
    </row>
    <row r="34830" spans="31:31">
      <c r="AE34830" s="54"/>
    </row>
    <row r="34831" spans="31:31">
      <c r="AE34831" s="54"/>
    </row>
    <row r="34832" spans="31:31">
      <c r="AE34832" s="54"/>
    </row>
    <row r="34833" spans="31:31">
      <c r="AE34833" s="54"/>
    </row>
    <row r="34834" spans="31:31">
      <c r="AE34834" s="54"/>
    </row>
    <row r="34835" spans="31:31">
      <c r="AE34835" s="54"/>
    </row>
    <row r="34836" spans="31:31">
      <c r="AE34836" s="54"/>
    </row>
    <row r="34837" spans="31:31">
      <c r="AE34837" s="54"/>
    </row>
    <row r="34838" spans="31:31">
      <c r="AE34838" s="54"/>
    </row>
    <row r="34839" spans="31:31">
      <c r="AE34839" s="54"/>
    </row>
    <row r="34840" spans="31:31">
      <c r="AE34840" s="54"/>
    </row>
    <row r="34841" spans="31:31">
      <c r="AE34841" s="54"/>
    </row>
    <row r="34842" spans="31:31">
      <c r="AE34842" s="54"/>
    </row>
    <row r="34843" spans="31:31">
      <c r="AE34843" s="54"/>
    </row>
    <row r="34844" spans="31:31">
      <c r="AE34844" s="54"/>
    </row>
    <row r="34845" spans="31:31">
      <c r="AE34845" s="54"/>
    </row>
    <row r="34846" spans="31:31">
      <c r="AE34846" s="54"/>
    </row>
    <row r="34847" spans="31:31">
      <c r="AE34847" s="54"/>
    </row>
    <row r="34848" spans="31:31">
      <c r="AE34848" s="54"/>
    </row>
    <row r="34849" spans="31:31">
      <c r="AE34849" s="54"/>
    </row>
    <row r="34850" spans="31:31">
      <c r="AE34850" s="54"/>
    </row>
    <row r="34851" spans="31:31">
      <c r="AE34851" s="54"/>
    </row>
    <row r="34852" spans="31:31">
      <c r="AE34852" s="54"/>
    </row>
    <row r="34853" spans="31:31">
      <c r="AE34853" s="54"/>
    </row>
    <row r="34854" spans="31:31">
      <c r="AE34854" s="54"/>
    </row>
    <row r="34855" spans="31:31">
      <c r="AE34855" s="54"/>
    </row>
    <row r="34856" spans="31:31">
      <c r="AE34856" s="54"/>
    </row>
    <row r="34857" spans="31:31">
      <c r="AE34857" s="54"/>
    </row>
    <row r="34858" spans="31:31">
      <c r="AE34858" s="54"/>
    </row>
    <row r="34859" spans="31:31">
      <c r="AE34859" s="54"/>
    </row>
    <row r="34860" spans="31:31">
      <c r="AE34860" s="54"/>
    </row>
    <row r="34861" spans="31:31">
      <c r="AE34861" s="54"/>
    </row>
    <row r="34862" spans="31:31">
      <c r="AE34862" s="54"/>
    </row>
    <row r="34863" spans="31:31">
      <c r="AE34863" s="54"/>
    </row>
    <row r="34864" spans="31:31">
      <c r="AE34864" s="54"/>
    </row>
    <row r="34865" spans="31:31">
      <c r="AE34865" s="54"/>
    </row>
    <row r="34866" spans="31:31">
      <c r="AE34866" s="54"/>
    </row>
    <row r="34867" spans="31:31">
      <c r="AE34867" s="54"/>
    </row>
    <row r="34868" spans="31:31">
      <c r="AE34868" s="54"/>
    </row>
    <row r="34869" spans="31:31">
      <c r="AE34869" s="54"/>
    </row>
    <row r="34870" spans="31:31">
      <c r="AE34870" s="54"/>
    </row>
    <row r="34871" spans="31:31">
      <c r="AE34871" s="54"/>
    </row>
    <row r="34872" spans="31:31">
      <c r="AE34872" s="54"/>
    </row>
    <row r="34873" spans="31:31">
      <c r="AE34873" s="54"/>
    </row>
    <row r="34874" spans="31:31">
      <c r="AE34874" s="54"/>
    </row>
    <row r="34875" spans="31:31">
      <c r="AE34875" s="54"/>
    </row>
    <row r="34876" spans="31:31">
      <c r="AE34876" s="54"/>
    </row>
    <row r="34877" spans="31:31">
      <c r="AE34877" s="54"/>
    </row>
    <row r="34878" spans="31:31">
      <c r="AE34878" s="54"/>
    </row>
    <row r="34879" spans="31:31">
      <c r="AE34879" s="54"/>
    </row>
    <row r="34880" spans="31:31">
      <c r="AE34880" s="54"/>
    </row>
    <row r="34881" spans="31:31">
      <c r="AE34881" s="54"/>
    </row>
    <row r="34882" spans="31:31">
      <c r="AE34882" s="54"/>
    </row>
    <row r="34883" spans="31:31">
      <c r="AE34883" s="54"/>
    </row>
    <row r="34884" spans="31:31">
      <c r="AE34884" s="54"/>
    </row>
    <row r="34885" spans="31:31">
      <c r="AE34885" s="54"/>
    </row>
    <row r="34886" spans="31:31">
      <c r="AE34886" s="54"/>
    </row>
    <row r="34887" spans="31:31">
      <c r="AE34887" s="54"/>
    </row>
    <row r="34888" spans="31:31">
      <c r="AE34888" s="54"/>
    </row>
    <row r="34889" spans="31:31">
      <c r="AE34889" s="54"/>
    </row>
    <row r="34890" spans="31:31">
      <c r="AE34890" s="54"/>
    </row>
    <row r="34891" spans="31:31">
      <c r="AE34891" s="54"/>
    </row>
    <row r="34892" spans="31:31">
      <c r="AE34892" s="54"/>
    </row>
    <row r="34893" spans="31:31">
      <c r="AE34893" s="54"/>
    </row>
    <row r="34894" spans="31:31">
      <c r="AE34894" s="54"/>
    </row>
    <row r="34895" spans="31:31">
      <c r="AE34895" s="54"/>
    </row>
    <row r="34896" spans="31:31">
      <c r="AE34896" s="54"/>
    </row>
    <row r="34897" spans="31:31">
      <c r="AE34897" s="54"/>
    </row>
    <row r="34898" spans="31:31">
      <c r="AE34898" s="54"/>
    </row>
    <row r="34899" spans="31:31">
      <c r="AE34899" s="54"/>
    </row>
    <row r="34900" spans="31:31">
      <c r="AE34900" s="54"/>
    </row>
    <row r="34901" spans="31:31">
      <c r="AE34901" s="54"/>
    </row>
    <row r="34902" spans="31:31">
      <c r="AE34902" s="54"/>
    </row>
    <row r="34903" spans="31:31">
      <c r="AE34903" s="54"/>
    </row>
    <row r="34904" spans="31:31">
      <c r="AE34904" s="54"/>
    </row>
    <row r="34905" spans="31:31">
      <c r="AE34905" s="54"/>
    </row>
    <row r="34906" spans="31:31">
      <c r="AE34906" s="54"/>
    </row>
    <row r="34907" spans="31:31">
      <c r="AE34907" s="54"/>
    </row>
    <row r="34908" spans="31:31">
      <c r="AE34908" s="54"/>
    </row>
    <row r="34909" spans="31:31">
      <c r="AE34909" s="54"/>
    </row>
    <row r="34910" spans="31:31">
      <c r="AE34910" s="54"/>
    </row>
    <row r="34911" spans="31:31">
      <c r="AE34911" s="54"/>
    </row>
    <row r="34912" spans="31:31">
      <c r="AE34912" s="54"/>
    </row>
    <row r="34913" spans="31:31">
      <c r="AE34913" s="54"/>
    </row>
    <row r="34914" spans="31:31">
      <c r="AE34914" s="54"/>
    </row>
    <row r="34915" spans="31:31">
      <c r="AE34915" s="54"/>
    </row>
    <row r="34916" spans="31:31">
      <c r="AE34916" s="54"/>
    </row>
    <row r="34917" spans="31:31">
      <c r="AE34917" s="54"/>
    </row>
    <row r="34918" spans="31:31">
      <c r="AE34918" s="54"/>
    </row>
    <row r="34919" spans="31:31">
      <c r="AE34919" s="54"/>
    </row>
    <row r="34920" spans="31:31">
      <c r="AE34920" s="54"/>
    </row>
    <row r="34921" spans="31:31">
      <c r="AE34921" s="54"/>
    </row>
    <row r="34922" spans="31:31">
      <c r="AE34922" s="54"/>
    </row>
    <row r="34923" spans="31:31">
      <c r="AE34923" s="54"/>
    </row>
    <row r="34924" spans="31:31">
      <c r="AE34924" s="54"/>
    </row>
    <row r="34925" spans="31:31">
      <c r="AE34925" s="54"/>
    </row>
    <row r="34926" spans="31:31">
      <c r="AE34926" s="54"/>
    </row>
    <row r="34927" spans="31:31">
      <c r="AE34927" s="54"/>
    </row>
    <row r="34928" spans="31:31">
      <c r="AE34928" s="54"/>
    </row>
    <row r="34929" spans="31:31">
      <c r="AE34929" s="54"/>
    </row>
    <row r="34930" spans="31:31">
      <c r="AE34930" s="54"/>
    </row>
    <row r="34931" spans="31:31">
      <c r="AE34931" s="54"/>
    </row>
    <row r="34932" spans="31:31">
      <c r="AE34932" s="54"/>
    </row>
    <row r="34933" spans="31:31">
      <c r="AE34933" s="54"/>
    </row>
    <row r="34934" spans="31:31">
      <c r="AE34934" s="54"/>
    </row>
    <row r="34935" spans="31:31">
      <c r="AE34935" s="54"/>
    </row>
    <row r="34936" spans="31:31">
      <c r="AE34936" s="54"/>
    </row>
    <row r="34937" spans="31:31">
      <c r="AE34937" s="54"/>
    </row>
    <row r="34938" spans="31:31">
      <c r="AE34938" s="54"/>
    </row>
    <row r="34939" spans="31:31">
      <c r="AE34939" s="54"/>
    </row>
    <row r="34940" spans="31:31">
      <c r="AE34940" s="54"/>
    </row>
    <row r="34941" spans="31:31">
      <c r="AE34941" s="54"/>
    </row>
    <row r="34942" spans="31:31">
      <c r="AE34942" s="54"/>
    </row>
    <row r="34943" spans="31:31">
      <c r="AE34943" s="54"/>
    </row>
    <row r="34944" spans="31:31">
      <c r="AE34944" s="54"/>
    </row>
    <row r="34945" spans="31:31">
      <c r="AE34945" s="54"/>
    </row>
    <row r="34946" spans="31:31">
      <c r="AE34946" s="54"/>
    </row>
    <row r="34947" spans="31:31">
      <c r="AE34947" s="54"/>
    </row>
    <row r="34948" spans="31:31">
      <c r="AE34948" s="54"/>
    </row>
    <row r="34949" spans="31:31">
      <c r="AE34949" s="54"/>
    </row>
    <row r="34950" spans="31:31">
      <c r="AE34950" s="54"/>
    </row>
    <row r="34951" spans="31:31">
      <c r="AE34951" s="54"/>
    </row>
    <row r="34952" spans="31:31">
      <c r="AE34952" s="54"/>
    </row>
    <row r="34953" spans="31:31">
      <c r="AE34953" s="54"/>
    </row>
    <row r="34954" spans="31:31">
      <c r="AE34954" s="54"/>
    </row>
    <row r="34955" spans="31:31">
      <c r="AE34955" s="54"/>
    </row>
    <row r="34956" spans="31:31">
      <c r="AE34956" s="54"/>
    </row>
    <row r="34957" spans="31:31">
      <c r="AE34957" s="54"/>
    </row>
    <row r="34958" spans="31:31">
      <c r="AE34958" s="54"/>
    </row>
    <row r="34959" spans="31:31">
      <c r="AE34959" s="54"/>
    </row>
    <row r="34960" spans="31:31">
      <c r="AE34960" s="54"/>
    </row>
    <row r="34961" spans="31:31">
      <c r="AE34961" s="54"/>
    </row>
    <row r="34962" spans="31:31">
      <c r="AE34962" s="54"/>
    </row>
    <row r="34963" spans="31:31">
      <c r="AE34963" s="54"/>
    </row>
    <row r="34964" spans="31:31">
      <c r="AE34964" s="54"/>
    </row>
    <row r="34965" spans="31:31">
      <c r="AE34965" s="54"/>
    </row>
    <row r="34966" spans="31:31">
      <c r="AE34966" s="54"/>
    </row>
    <row r="34967" spans="31:31">
      <c r="AE34967" s="54"/>
    </row>
    <row r="34968" spans="31:31">
      <c r="AE34968" s="54"/>
    </row>
    <row r="34969" spans="31:31">
      <c r="AE34969" s="54"/>
    </row>
    <row r="34970" spans="31:31">
      <c r="AE34970" s="54"/>
    </row>
    <row r="34971" spans="31:31">
      <c r="AE34971" s="54"/>
    </row>
    <row r="34972" spans="31:31">
      <c r="AE34972" s="54"/>
    </row>
    <row r="34973" spans="31:31">
      <c r="AE34973" s="54"/>
    </row>
    <row r="34974" spans="31:31">
      <c r="AE34974" s="54"/>
    </row>
    <row r="34975" spans="31:31">
      <c r="AE34975" s="54"/>
    </row>
    <row r="34976" spans="31:31">
      <c r="AE34976" s="54"/>
    </row>
    <row r="34977" spans="31:31">
      <c r="AE34977" s="54"/>
    </row>
    <row r="34978" spans="31:31">
      <c r="AE34978" s="54"/>
    </row>
    <row r="34979" spans="31:31">
      <c r="AE34979" s="54"/>
    </row>
    <row r="34980" spans="31:31">
      <c r="AE34980" s="54"/>
    </row>
    <row r="34981" spans="31:31">
      <c r="AE34981" s="54"/>
    </row>
    <row r="34982" spans="31:31">
      <c r="AE34982" s="54"/>
    </row>
    <row r="34983" spans="31:31">
      <c r="AE34983" s="54"/>
    </row>
    <row r="34984" spans="31:31">
      <c r="AE34984" s="54"/>
    </row>
    <row r="34985" spans="31:31">
      <c r="AE34985" s="54"/>
    </row>
    <row r="34986" spans="31:31">
      <c r="AE34986" s="54"/>
    </row>
    <row r="34987" spans="31:31">
      <c r="AE34987" s="54"/>
    </row>
    <row r="34988" spans="31:31">
      <c r="AE34988" s="54"/>
    </row>
    <row r="34989" spans="31:31">
      <c r="AE34989" s="54"/>
    </row>
    <row r="34990" spans="31:31">
      <c r="AE34990" s="54"/>
    </row>
    <row r="34991" spans="31:31">
      <c r="AE34991" s="54"/>
    </row>
    <row r="34992" spans="31:31">
      <c r="AE34992" s="54"/>
    </row>
    <row r="34993" spans="31:31">
      <c r="AE34993" s="54"/>
    </row>
    <row r="34994" spans="31:31">
      <c r="AE34994" s="54"/>
    </row>
    <row r="34995" spans="31:31">
      <c r="AE34995" s="54"/>
    </row>
    <row r="34996" spans="31:31">
      <c r="AE34996" s="54"/>
    </row>
    <row r="34997" spans="31:31">
      <c r="AE34997" s="54"/>
    </row>
    <row r="34998" spans="31:31">
      <c r="AE34998" s="54"/>
    </row>
    <row r="34999" spans="31:31">
      <c r="AE34999" s="54"/>
    </row>
    <row r="35000" spans="31:31">
      <c r="AE35000" s="54"/>
    </row>
    <row r="35001" spans="31:31">
      <c r="AE35001" s="54"/>
    </row>
    <row r="35002" spans="31:31">
      <c r="AE35002" s="54"/>
    </row>
    <row r="35003" spans="31:31">
      <c r="AE35003" s="54"/>
    </row>
    <row r="35004" spans="31:31">
      <c r="AE35004" s="54"/>
    </row>
    <row r="35005" spans="31:31">
      <c r="AE35005" s="54"/>
    </row>
    <row r="35006" spans="31:31">
      <c r="AE35006" s="54"/>
    </row>
    <row r="35007" spans="31:31">
      <c r="AE35007" s="54"/>
    </row>
    <row r="35008" spans="31:31">
      <c r="AE35008" s="54"/>
    </row>
    <row r="35009" spans="31:31">
      <c r="AE35009" s="54"/>
    </row>
    <row r="35010" spans="31:31">
      <c r="AE35010" s="54"/>
    </row>
    <row r="35011" spans="31:31">
      <c r="AE35011" s="54"/>
    </row>
    <row r="35012" spans="31:31">
      <c r="AE35012" s="54"/>
    </row>
    <row r="35013" spans="31:31">
      <c r="AE35013" s="54"/>
    </row>
    <row r="35014" spans="31:31">
      <c r="AE35014" s="54"/>
    </row>
    <row r="35015" spans="31:31">
      <c r="AE35015" s="54"/>
    </row>
    <row r="35016" spans="31:31">
      <c r="AE35016" s="54"/>
    </row>
    <row r="35017" spans="31:31">
      <c r="AE35017" s="54"/>
    </row>
    <row r="35018" spans="31:31">
      <c r="AE35018" s="54"/>
    </row>
    <row r="35019" spans="31:31">
      <c r="AE35019" s="54"/>
    </row>
    <row r="35020" spans="31:31">
      <c r="AE35020" s="54"/>
    </row>
    <row r="35021" spans="31:31">
      <c r="AE35021" s="54"/>
    </row>
    <row r="35022" spans="31:31">
      <c r="AE35022" s="54"/>
    </row>
    <row r="35023" spans="31:31">
      <c r="AE35023" s="54"/>
    </row>
    <row r="35024" spans="31:31">
      <c r="AE35024" s="54"/>
    </row>
    <row r="35025" spans="31:31">
      <c r="AE35025" s="54"/>
    </row>
    <row r="35026" spans="31:31">
      <c r="AE35026" s="54"/>
    </row>
    <row r="35027" spans="31:31">
      <c r="AE35027" s="54"/>
    </row>
    <row r="35028" spans="31:31">
      <c r="AE35028" s="54"/>
    </row>
    <row r="35029" spans="31:31">
      <c r="AE35029" s="54"/>
    </row>
    <row r="35030" spans="31:31">
      <c r="AE35030" s="54"/>
    </row>
    <row r="35031" spans="31:31">
      <c r="AE35031" s="54"/>
    </row>
    <row r="35032" spans="31:31">
      <c r="AE35032" s="54"/>
    </row>
    <row r="35033" spans="31:31">
      <c r="AE35033" s="54"/>
    </row>
    <row r="35034" spans="31:31">
      <c r="AE35034" s="54"/>
    </row>
    <row r="35035" spans="31:31">
      <c r="AE35035" s="54"/>
    </row>
    <row r="35036" spans="31:31">
      <c r="AE35036" s="54"/>
    </row>
    <row r="35037" spans="31:31">
      <c r="AE35037" s="54"/>
    </row>
    <row r="35038" spans="31:31">
      <c r="AE35038" s="54"/>
    </row>
    <row r="35039" spans="31:31">
      <c r="AE35039" s="54"/>
    </row>
    <row r="35040" spans="31:31">
      <c r="AE35040" s="54"/>
    </row>
    <row r="35041" spans="31:31">
      <c r="AE35041" s="54"/>
    </row>
    <row r="35042" spans="31:31">
      <c r="AE35042" s="54"/>
    </row>
    <row r="35043" spans="31:31">
      <c r="AE35043" s="54"/>
    </row>
    <row r="35044" spans="31:31">
      <c r="AE35044" s="54"/>
    </row>
    <row r="35045" spans="31:31">
      <c r="AE35045" s="54"/>
    </row>
    <row r="35046" spans="31:31">
      <c r="AE35046" s="54"/>
    </row>
    <row r="35047" spans="31:31">
      <c r="AE35047" s="54"/>
    </row>
    <row r="35048" spans="31:31">
      <c r="AE35048" s="54"/>
    </row>
    <row r="35049" spans="31:31">
      <c r="AE35049" s="54"/>
    </row>
    <row r="35050" spans="31:31">
      <c r="AE35050" s="54"/>
    </row>
    <row r="35051" spans="31:31">
      <c r="AE35051" s="54"/>
    </row>
    <row r="35052" spans="31:31">
      <c r="AE35052" s="54"/>
    </row>
    <row r="35053" spans="31:31">
      <c r="AE35053" s="54"/>
    </row>
    <row r="35054" spans="31:31">
      <c r="AE35054" s="54"/>
    </row>
    <row r="35055" spans="31:31">
      <c r="AE35055" s="54"/>
    </row>
    <row r="35056" spans="31:31">
      <c r="AE35056" s="54"/>
    </row>
    <row r="35057" spans="31:31">
      <c r="AE35057" s="54"/>
    </row>
    <row r="35058" spans="31:31">
      <c r="AE35058" s="54"/>
    </row>
    <row r="35059" spans="31:31">
      <c r="AE35059" s="54"/>
    </row>
    <row r="35060" spans="31:31">
      <c r="AE35060" s="54"/>
    </row>
    <row r="35061" spans="31:31">
      <c r="AE35061" s="54"/>
    </row>
    <row r="35062" spans="31:31">
      <c r="AE35062" s="54"/>
    </row>
    <row r="35063" spans="31:31">
      <c r="AE35063" s="54"/>
    </row>
    <row r="35064" spans="31:31">
      <c r="AE35064" s="54"/>
    </row>
    <row r="35065" spans="31:31">
      <c r="AE35065" s="54"/>
    </row>
    <row r="35066" spans="31:31">
      <c r="AE35066" s="54"/>
    </row>
    <row r="35067" spans="31:31">
      <c r="AE35067" s="54"/>
    </row>
    <row r="35068" spans="31:31">
      <c r="AE35068" s="54"/>
    </row>
    <row r="35069" spans="31:31">
      <c r="AE35069" s="54"/>
    </row>
    <row r="35070" spans="31:31">
      <c r="AE35070" s="54"/>
    </row>
    <row r="35071" spans="31:31">
      <c r="AE35071" s="54"/>
    </row>
    <row r="35072" spans="31:31">
      <c r="AE35072" s="54"/>
    </row>
    <row r="35073" spans="31:31">
      <c r="AE35073" s="54"/>
    </row>
    <row r="35074" spans="31:31">
      <c r="AE35074" s="54"/>
    </row>
    <row r="35075" spans="31:31">
      <c r="AE35075" s="54"/>
    </row>
    <row r="35076" spans="31:31">
      <c r="AE35076" s="54"/>
    </row>
    <row r="35077" spans="31:31">
      <c r="AE35077" s="54"/>
    </row>
    <row r="35078" spans="31:31">
      <c r="AE35078" s="54"/>
    </row>
    <row r="35079" spans="31:31">
      <c r="AE35079" s="54"/>
    </row>
    <row r="35080" spans="31:31">
      <c r="AE35080" s="54"/>
    </row>
    <row r="35081" spans="31:31">
      <c r="AE35081" s="54"/>
    </row>
    <row r="35082" spans="31:31">
      <c r="AE35082" s="54"/>
    </row>
    <row r="35083" spans="31:31">
      <c r="AE35083" s="54"/>
    </row>
    <row r="35084" spans="31:31">
      <c r="AE35084" s="54"/>
    </row>
    <row r="35085" spans="31:31">
      <c r="AE35085" s="54"/>
    </row>
    <row r="35086" spans="31:31">
      <c r="AE35086" s="54"/>
    </row>
    <row r="35087" spans="31:31">
      <c r="AE35087" s="54"/>
    </row>
    <row r="35088" spans="31:31">
      <c r="AE35088" s="54"/>
    </row>
    <row r="35089" spans="31:31">
      <c r="AE35089" s="54"/>
    </row>
    <row r="35090" spans="31:31">
      <c r="AE35090" s="54"/>
    </row>
    <row r="35091" spans="31:31">
      <c r="AE35091" s="54"/>
    </row>
    <row r="35092" spans="31:31">
      <c r="AE35092" s="54"/>
    </row>
    <row r="35093" spans="31:31">
      <c r="AE35093" s="54"/>
    </row>
    <row r="35094" spans="31:31">
      <c r="AE35094" s="54"/>
    </row>
    <row r="35095" spans="31:31">
      <c r="AE35095" s="54"/>
    </row>
    <row r="35096" spans="31:31">
      <c r="AE35096" s="54"/>
    </row>
    <row r="35097" spans="31:31">
      <c r="AE35097" s="54"/>
    </row>
    <row r="35098" spans="31:31">
      <c r="AE35098" s="54"/>
    </row>
    <row r="35099" spans="31:31">
      <c r="AE35099" s="54"/>
    </row>
    <row r="35100" spans="31:31">
      <c r="AE35100" s="54"/>
    </row>
    <row r="35101" spans="31:31">
      <c r="AE35101" s="54"/>
    </row>
    <row r="35102" spans="31:31">
      <c r="AE35102" s="54"/>
    </row>
    <row r="35103" spans="31:31">
      <c r="AE35103" s="54"/>
    </row>
    <row r="35104" spans="31:31">
      <c r="AE35104" s="54"/>
    </row>
    <row r="35105" spans="31:31">
      <c r="AE35105" s="54"/>
    </row>
    <row r="35106" spans="31:31">
      <c r="AE35106" s="54"/>
    </row>
    <row r="35107" spans="31:31">
      <c r="AE35107" s="54"/>
    </row>
    <row r="35108" spans="31:31">
      <c r="AE35108" s="54"/>
    </row>
    <row r="35109" spans="31:31">
      <c r="AE35109" s="54"/>
    </row>
    <row r="35110" spans="31:31">
      <c r="AE35110" s="54"/>
    </row>
    <row r="35111" spans="31:31">
      <c r="AE35111" s="54"/>
    </row>
    <row r="35112" spans="31:31">
      <c r="AE35112" s="54"/>
    </row>
    <row r="35113" spans="31:31">
      <c r="AE35113" s="54"/>
    </row>
    <row r="35114" spans="31:31">
      <c r="AE35114" s="54"/>
    </row>
    <row r="35115" spans="31:31">
      <c r="AE35115" s="54"/>
    </row>
    <row r="35116" spans="31:31">
      <c r="AE35116" s="54"/>
    </row>
    <row r="35117" spans="31:31">
      <c r="AE35117" s="54"/>
    </row>
    <row r="35118" spans="31:31">
      <c r="AE35118" s="54"/>
    </row>
    <row r="35119" spans="31:31">
      <c r="AE35119" s="54"/>
    </row>
    <row r="35120" spans="31:31">
      <c r="AE35120" s="54"/>
    </row>
    <row r="35121" spans="31:31">
      <c r="AE35121" s="54"/>
    </row>
    <row r="35122" spans="31:31">
      <c r="AE35122" s="54"/>
    </row>
    <row r="35123" spans="31:31">
      <c r="AE35123" s="54"/>
    </row>
    <row r="35124" spans="31:31">
      <c r="AE35124" s="54"/>
    </row>
    <row r="35125" spans="31:31">
      <c r="AE35125" s="54"/>
    </row>
    <row r="35126" spans="31:31">
      <c r="AE35126" s="54"/>
    </row>
    <row r="35127" spans="31:31">
      <c r="AE35127" s="54"/>
    </row>
    <row r="35128" spans="31:31">
      <c r="AE35128" s="54"/>
    </row>
    <row r="35129" spans="31:31">
      <c r="AE35129" s="54"/>
    </row>
    <row r="35130" spans="31:31">
      <c r="AE35130" s="54"/>
    </row>
    <row r="35131" spans="31:31">
      <c r="AE35131" s="54"/>
    </row>
    <row r="35132" spans="31:31">
      <c r="AE35132" s="54"/>
    </row>
    <row r="35133" spans="31:31">
      <c r="AE35133" s="54"/>
    </row>
    <row r="35134" spans="31:31">
      <c r="AE35134" s="54"/>
    </row>
    <row r="35135" spans="31:31">
      <c r="AE35135" s="54"/>
    </row>
    <row r="35136" spans="31:31">
      <c r="AE35136" s="54"/>
    </row>
    <row r="35137" spans="31:31">
      <c r="AE35137" s="54"/>
    </row>
    <row r="35138" spans="31:31">
      <c r="AE35138" s="54"/>
    </row>
    <row r="35139" spans="31:31">
      <c r="AE35139" s="54"/>
    </row>
    <row r="35140" spans="31:31">
      <c r="AE35140" s="54"/>
    </row>
    <row r="35141" spans="31:31">
      <c r="AE35141" s="54"/>
    </row>
    <row r="35142" spans="31:31">
      <c r="AE35142" s="54"/>
    </row>
    <row r="35143" spans="31:31">
      <c r="AE35143" s="54"/>
    </row>
    <row r="35144" spans="31:31">
      <c r="AE35144" s="54"/>
    </row>
    <row r="35145" spans="31:31">
      <c r="AE35145" s="54"/>
    </row>
    <row r="35146" spans="31:31">
      <c r="AE35146" s="54"/>
    </row>
    <row r="35147" spans="31:31">
      <c r="AE35147" s="54"/>
    </row>
    <row r="35148" spans="31:31">
      <c r="AE35148" s="54"/>
    </row>
    <row r="35149" spans="31:31">
      <c r="AE35149" s="54"/>
    </row>
    <row r="35150" spans="31:31">
      <c r="AE35150" s="54"/>
    </row>
    <row r="35151" spans="31:31">
      <c r="AE35151" s="54"/>
    </row>
    <row r="35152" spans="31:31">
      <c r="AE35152" s="54"/>
    </row>
    <row r="35153" spans="31:31">
      <c r="AE35153" s="54"/>
    </row>
    <row r="35154" spans="31:31">
      <c r="AE35154" s="54"/>
    </row>
    <row r="35155" spans="31:31">
      <c r="AE35155" s="54"/>
    </row>
    <row r="35156" spans="31:31">
      <c r="AE35156" s="54"/>
    </row>
    <row r="35157" spans="31:31">
      <c r="AE35157" s="54"/>
    </row>
    <row r="35158" spans="31:31">
      <c r="AE35158" s="54"/>
    </row>
    <row r="35159" spans="31:31">
      <c r="AE35159" s="54"/>
    </row>
    <row r="35160" spans="31:31">
      <c r="AE35160" s="54"/>
    </row>
    <row r="35161" spans="31:31">
      <c r="AE35161" s="54"/>
    </row>
    <row r="35162" spans="31:31">
      <c r="AE35162" s="54"/>
    </row>
    <row r="35163" spans="31:31">
      <c r="AE35163" s="54"/>
    </row>
    <row r="35164" spans="31:31">
      <c r="AE35164" s="54"/>
    </row>
    <row r="35165" spans="31:31">
      <c r="AE35165" s="54"/>
    </row>
    <row r="35166" spans="31:31">
      <c r="AE35166" s="54"/>
    </row>
    <row r="35167" spans="31:31">
      <c r="AE35167" s="54"/>
    </row>
    <row r="35168" spans="31:31">
      <c r="AE35168" s="54"/>
    </row>
    <row r="35169" spans="31:31">
      <c r="AE35169" s="54"/>
    </row>
    <row r="35170" spans="31:31">
      <c r="AE35170" s="54"/>
    </row>
    <row r="35171" spans="31:31">
      <c r="AE35171" s="54"/>
    </row>
    <row r="35172" spans="31:31">
      <c r="AE35172" s="54"/>
    </row>
    <row r="35173" spans="31:31">
      <c r="AE35173" s="54"/>
    </row>
    <row r="35174" spans="31:31">
      <c r="AE35174" s="54"/>
    </row>
    <row r="35175" spans="31:31">
      <c r="AE35175" s="54"/>
    </row>
    <row r="35176" spans="31:31">
      <c r="AE35176" s="54"/>
    </row>
    <row r="35177" spans="31:31">
      <c r="AE35177" s="54"/>
    </row>
    <row r="35178" spans="31:31">
      <c r="AE35178" s="54"/>
    </row>
    <row r="35179" spans="31:31">
      <c r="AE35179" s="54"/>
    </row>
    <row r="35180" spans="31:31">
      <c r="AE35180" s="54"/>
    </row>
    <row r="35181" spans="31:31">
      <c r="AE35181" s="54"/>
    </row>
    <row r="35182" spans="31:31">
      <c r="AE35182" s="54"/>
    </row>
    <row r="35183" spans="31:31">
      <c r="AE35183" s="54"/>
    </row>
    <row r="35184" spans="31:31">
      <c r="AE35184" s="54"/>
    </row>
    <row r="35185" spans="31:31">
      <c r="AE35185" s="54"/>
    </row>
    <row r="35186" spans="31:31">
      <c r="AE35186" s="54"/>
    </row>
    <row r="35187" spans="31:31">
      <c r="AE35187" s="54"/>
    </row>
    <row r="35188" spans="31:31">
      <c r="AE35188" s="54"/>
    </row>
    <row r="35189" spans="31:31">
      <c r="AE35189" s="54"/>
    </row>
    <row r="35190" spans="31:31">
      <c r="AE35190" s="54"/>
    </row>
    <row r="35191" spans="31:31">
      <c r="AE35191" s="54"/>
    </row>
    <row r="35192" spans="31:31">
      <c r="AE35192" s="54"/>
    </row>
    <row r="35193" spans="31:31">
      <c r="AE35193" s="54"/>
    </row>
    <row r="35194" spans="31:31">
      <c r="AE35194" s="54"/>
    </row>
    <row r="35195" spans="31:31">
      <c r="AE35195" s="54"/>
    </row>
    <row r="35196" spans="31:31">
      <c r="AE35196" s="54"/>
    </row>
    <row r="35197" spans="31:31">
      <c r="AE35197" s="54"/>
    </row>
    <row r="35198" spans="31:31">
      <c r="AE35198" s="54"/>
    </row>
    <row r="35199" spans="31:31">
      <c r="AE35199" s="54"/>
    </row>
    <row r="35200" spans="31:31">
      <c r="AE35200" s="54"/>
    </row>
    <row r="35201" spans="31:31">
      <c r="AE35201" s="54"/>
    </row>
    <row r="35202" spans="31:31">
      <c r="AE35202" s="54"/>
    </row>
    <row r="35203" spans="31:31">
      <c r="AE35203" s="54"/>
    </row>
    <row r="35204" spans="31:31">
      <c r="AE35204" s="54"/>
    </row>
    <row r="35205" spans="31:31">
      <c r="AE35205" s="54"/>
    </row>
    <row r="35206" spans="31:31">
      <c r="AE35206" s="54"/>
    </row>
    <row r="35207" spans="31:31">
      <c r="AE35207" s="54"/>
    </row>
    <row r="35208" spans="31:31">
      <c r="AE35208" s="54"/>
    </row>
    <row r="35209" spans="31:31">
      <c r="AE35209" s="54"/>
    </row>
    <row r="35210" spans="31:31">
      <c r="AE35210" s="54"/>
    </row>
    <row r="35211" spans="31:31">
      <c r="AE35211" s="54"/>
    </row>
    <row r="35212" spans="31:31">
      <c r="AE35212" s="54"/>
    </row>
    <row r="35213" spans="31:31">
      <c r="AE35213" s="54"/>
    </row>
    <row r="35214" spans="31:31">
      <c r="AE35214" s="54"/>
    </row>
    <row r="35215" spans="31:31">
      <c r="AE35215" s="54"/>
    </row>
    <row r="35216" spans="31:31">
      <c r="AE35216" s="54"/>
    </row>
    <row r="35217" spans="31:31">
      <c r="AE35217" s="54"/>
    </row>
    <row r="35218" spans="31:31">
      <c r="AE35218" s="54"/>
    </row>
    <row r="35219" spans="31:31">
      <c r="AE35219" s="54"/>
    </row>
    <row r="35220" spans="31:31">
      <c r="AE35220" s="54"/>
    </row>
    <row r="35221" spans="31:31">
      <c r="AE35221" s="54"/>
    </row>
    <row r="35222" spans="31:31">
      <c r="AE35222" s="54"/>
    </row>
    <row r="35223" spans="31:31">
      <c r="AE35223" s="54"/>
    </row>
    <row r="35224" spans="31:31">
      <c r="AE35224" s="54"/>
    </row>
    <row r="35225" spans="31:31">
      <c r="AE35225" s="54"/>
    </row>
    <row r="35226" spans="31:31">
      <c r="AE35226" s="54"/>
    </row>
    <row r="35227" spans="31:31">
      <c r="AE35227" s="54"/>
    </row>
    <row r="35228" spans="31:31">
      <c r="AE35228" s="54"/>
    </row>
    <row r="35229" spans="31:31">
      <c r="AE35229" s="54"/>
    </row>
    <row r="35230" spans="31:31">
      <c r="AE35230" s="54"/>
    </row>
    <row r="35231" spans="31:31">
      <c r="AE35231" s="54"/>
    </row>
    <row r="35232" spans="31:31">
      <c r="AE35232" s="54"/>
    </row>
    <row r="35233" spans="31:31">
      <c r="AE35233" s="54"/>
    </row>
    <row r="35234" spans="31:31">
      <c r="AE35234" s="54"/>
    </row>
    <row r="35235" spans="31:31">
      <c r="AE35235" s="54"/>
    </row>
    <row r="35236" spans="31:31">
      <c r="AE35236" s="54"/>
    </row>
    <row r="35237" spans="31:31">
      <c r="AE35237" s="54"/>
    </row>
    <row r="35238" spans="31:31">
      <c r="AE35238" s="54"/>
    </row>
    <row r="35239" spans="31:31">
      <c r="AE35239" s="54"/>
    </row>
    <row r="35240" spans="31:31">
      <c r="AE35240" s="54"/>
    </row>
    <row r="35241" spans="31:31">
      <c r="AE35241" s="54"/>
    </row>
    <row r="35242" spans="31:31">
      <c r="AE35242" s="54"/>
    </row>
    <row r="35243" spans="31:31">
      <c r="AE35243" s="54"/>
    </row>
    <row r="35244" spans="31:31">
      <c r="AE35244" s="54"/>
    </row>
    <row r="35245" spans="31:31">
      <c r="AE35245" s="54"/>
    </row>
    <row r="35246" spans="31:31">
      <c r="AE35246" s="54"/>
    </row>
    <row r="35247" spans="31:31">
      <c r="AE35247" s="54"/>
    </row>
    <row r="35248" spans="31:31">
      <c r="AE35248" s="54"/>
    </row>
    <row r="35249" spans="31:31">
      <c r="AE35249" s="54"/>
    </row>
    <row r="35250" spans="31:31">
      <c r="AE35250" s="54"/>
    </row>
    <row r="35251" spans="31:31">
      <c r="AE35251" s="54"/>
    </row>
    <row r="35252" spans="31:31">
      <c r="AE35252" s="54"/>
    </row>
    <row r="35253" spans="31:31">
      <c r="AE35253" s="54"/>
    </row>
    <row r="35254" spans="31:31">
      <c r="AE35254" s="54"/>
    </row>
    <row r="35255" spans="31:31">
      <c r="AE35255" s="54"/>
    </row>
    <row r="35256" spans="31:31">
      <c r="AE35256" s="54"/>
    </row>
    <row r="35257" spans="31:31">
      <c r="AE35257" s="54"/>
    </row>
    <row r="35258" spans="31:31">
      <c r="AE35258" s="54"/>
    </row>
    <row r="35259" spans="31:31">
      <c r="AE35259" s="54"/>
    </row>
    <row r="35260" spans="31:31">
      <c r="AE35260" s="54"/>
    </row>
    <row r="35261" spans="31:31">
      <c r="AE35261" s="54"/>
    </row>
    <row r="35262" spans="31:31">
      <c r="AE35262" s="54"/>
    </row>
    <row r="35263" spans="31:31">
      <c r="AE35263" s="54"/>
    </row>
    <row r="35264" spans="31:31">
      <c r="AE35264" s="54"/>
    </row>
    <row r="35265" spans="31:31">
      <c r="AE35265" s="54"/>
    </row>
    <row r="35266" spans="31:31">
      <c r="AE35266" s="54"/>
    </row>
    <row r="35267" spans="31:31">
      <c r="AE35267" s="54"/>
    </row>
    <row r="35268" spans="31:31">
      <c r="AE35268" s="54"/>
    </row>
    <row r="35269" spans="31:31">
      <c r="AE35269" s="54"/>
    </row>
    <row r="35270" spans="31:31">
      <c r="AE35270" s="54"/>
    </row>
    <row r="35271" spans="31:31">
      <c r="AE35271" s="54"/>
    </row>
    <row r="35272" spans="31:31">
      <c r="AE35272" s="54"/>
    </row>
    <row r="35273" spans="31:31">
      <c r="AE35273" s="54"/>
    </row>
    <row r="35274" spans="31:31">
      <c r="AE35274" s="54"/>
    </row>
    <row r="35275" spans="31:31">
      <c r="AE35275" s="54"/>
    </row>
    <row r="35276" spans="31:31">
      <c r="AE35276" s="54"/>
    </row>
    <row r="35277" spans="31:31">
      <c r="AE35277" s="54"/>
    </row>
    <row r="35278" spans="31:31">
      <c r="AE35278" s="54"/>
    </row>
    <row r="35279" spans="31:31">
      <c r="AE35279" s="54"/>
    </row>
    <row r="35280" spans="31:31">
      <c r="AE35280" s="54"/>
    </row>
    <row r="35281" spans="31:31">
      <c r="AE35281" s="54"/>
    </row>
    <row r="35282" spans="31:31">
      <c r="AE35282" s="54"/>
    </row>
    <row r="35283" spans="31:31">
      <c r="AE35283" s="54"/>
    </row>
    <row r="35284" spans="31:31">
      <c r="AE35284" s="54"/>
    </row>
    <row r="35285" spans="31:31">
      <c r="AE35285" s="54"/>
    </row>
    <row r="35286" spans="31:31">
      <c r="AE35286" s="54"/>
    </row>
    <row r="35287" spans="31:31">
      <c r="AE35287" s="54"/>
    </row>
    <row r="35288" spans="31:31">
      <c r="AE35288" s="54"/>
    </row>
    <row r="35289" spans="31:31">
      <c r="AE35289" s="54"/>
    </row>
    <row r="35290" spans="31:31">
      <c r="AE35290" s="54"/>
    </row>
    <row r="35291" spans="31:31">
      <c r="AE35291" s="54"/>
    </row>
    <row r="35292" spans="31:31">
      <c r="AE35292" s="54"/>
    </row>
    <row r="35293" spans="31:31">
      <c r="AE35293" s="54"/>
    </row>
    <row r="35294" spans="31:31">
      <c r="AE35294" s="54"/>
    </row>
    <row r="35295" spans="31:31">
      <c r="AE35295" s="54"/>
    </row>
    <row r="35296" spans="31:31">
      <c r="AE35296" s="54"/>
    </row>
    <row r="35297" spans="31:31">
      <c r="AE35297" s="54"/>
    </row>
    <row r="35298" spans="31:31">
      <c r="AE35298" s="54"/>
    </row>
    <row r="35299" spans="31:31">
      <c r="AE35299" s="54"/>
    </row>
    <row r="35300" spans="31:31">
      <c r="AE35300" s="54"/>
    </row>
    <row r="35301" spans="31:31">
      <c r="AE35301" s="54"/>
    </row>
    <row r="35302" spans="31:31">
      <c r="AE35302" s="54"/>
    </row>
    <row r="35303" spans="31:31">
      <c r="AE35303" s="54"/>
    </row>
    <row r="35304" spans="31:31">
      <c r="AE35304" s="54"/>
    </row>
    <row r="35305" spans="31:31">
      <c r="AE35305" s="54"/>
    </row>
    <row r="35306" spans="31:31">
      <c r="AE35306" s="54"/>
    </row>
    <row r="35307" spans="31:31">
      <c r="AE35307" s="54"/>
    </row>
    <row r="35308" spans="31:31">
      <c r="AE35308" s="54"/>
    </row>
    <row r="35309" spans="31:31">
      <c r="AE35309" s="54"/>
    </row>
    <row r="35310" spans="31:31">
      <c r="AE35310" s="54"/>
    </row>
    <row r="35311" spans="31:31">
      <c r="AE35311" s="54"/>
    </row>
    <row r="35312" spans="31:31">
      <c r="AE35312" s="54"/>
    </row>
    <row r="35313" spans="31:31">
      <c r="AE35313" s="54"/>
    </row>
    <row r="35314" spans="31:31">
      <c r="AE35314" s="54"/>
    </row>
    <row r="35315" spans="31:31">
      <c r="AE35315" s="54"/>
    </row>
    <row r="35316" spans="31:31">
      <c r="AE35316" s="54"/>
    </row>
    <row r="35317" spans="31:31">
      <c r="AE35317" s="54"/>
    </row>
    <row r="35318" spans="31:31">
      <c r="AE35318" s="54"/>
    </row>
    <row r="35319" spans="31:31">
      <c r="AE35319" s="54"/>
    </row>
    <row r="35320" spans="31:31">
      <c r="AE35320" s="54"/>
    </row>
    <row r="35321" spans="31:31">
      <c r="AE35321" s="54"/>
    </row>
    <row r="35322" spans="31:31">
      <c r="AE35322" s="54"/>
    </row>
    <row r="35323" spans="31:31">
      <c r="AE35323" s="54"/>
    </row>
    <row r="35324" spans="31:31">
      <c r="AE35324" s="54"/>
    </row>
    <row r="35325" spans="31:31">
      <c r="AE35325" s="54"/>
    </row>
    <row r="35326" spans="31:31">
      <c r="AE35326" s="54"/>
    </row>
    <row r="35327" spans="31:31">
      <c r="AE35327" s="54"/>
    </row>
    <row r="35328" spans="31:31">
      <c r="AE35328" s="54"/>
    </row>
    <row r="35329" spans="31:31">
      <c r="AE35329" s="54"/>
    </row>
    <row r="35330" spans="31:31">
      <c r="AE35330" s="54"/>
    </row>
    <row r="35331" spans="31:31">
      <c r="AE35331" s="54"/>
    </row>
    <row r="35332" spans="31:31">
      <c r="AE35332" s="54"/>
    </row>
    <row r="35333" spans="31:31">
      <c r="AE35333" s="54"/>
    </row>
    <row r="35334" spans="31:31">
      <c r="AE35334" s="54"/>
    </row>
    <row r="35335" spans="31:31">
      <c r="AE35335" s="54"/>
    </row>
    <row r="35336" spans="31:31">
      <c r="AE35336" s="54"/>
    </row>
    <row r="35337" spans="31:31">
      <c r="AE35337" s="54"/>
    </row>
    <row r="35338" spans="31:31">
      <c r="AE35338" s="54"/>
    </row>
    <row r="35339" spans="31:31">
      <c r="AE35339" s="54"/>
    </row>
    <row r="35340" spans="31:31">
      <c r="AE35340" s="54"/>
    </row>
    <row r="35341" spans="31:31">
      <c r="AE35341" s="54"/>
    </row>
    <row r="35342" spans="31:31">
      <c r="AE35342" s="54"/>
    </row>
    <row r="35343" spans="31:31">
      <c r="AE35343" s="54"/>
    </row>
    <row r="35344" spans="31:31">
      <c r="AE35344" s="54"/>
    </row>
    <row r="35345" spans="31:31">
      <c r="AE35345" s="54"/>
    </row>
    <row r="35346" spans="31:31">
      <c r="AE35346" s="54"/>
    </row>
    <row r="35347" spans="31:31">
      <c r="AE35347" s="54"/>
    </row>
    <row r="35348" spans="31:31">
      <c r="AE35348" s="54"/>
    </row>
    <row r="35349" spans="31:31">
      <c r="AE35349" s="54"/>
    </row>
    <row r="35350" spans="31:31">
      <c r="AE35350" s="54"/>
    </row>
    <row r="35351" spans="31:31">
      <c r="AE35351" s="54"/>
    </row>
    <row r="35352" spans="31:31">
      <c r="AE35352" s="54"/>
    </row>
    <row r="35353" spans="31:31">
      <c r="AE35353" s="54"/>
    </row>
    <row r="35354" spans="31:31">
      <c r="AE35354" s="54"/>
    </row>
    <row r="35355" spans="31:31">
      <c r="AE35355" s="54"/>
    </row>
    <row r="35356" spans="31:31">
      <c r="AE35356" s="54"/>
    </row>
    <row r="35357" spans="31:31">
      <c r="AE35357" s="54"/>
    </row>
    <row r="35358" spans="31:31">
      <c r="AE35358" s="54"/>
    </row>
    <row r="35359" spans="31:31">
      <c r="AE35359" s="54"/>
    </row>
    <row r="35360" spans="31:31">
      <c r="AE35360" s="54"/>
    </row>
    <row r="35361" spans="31:31">
      <c r="AE35361" s="54"/>
    </row>
    <row r="35362" spans="31:31">
      <c r="AE35362" s="54"/>
    </row>
    <row r="35363" spans="31:31">
      <c r="AE35363" s="54"/>
    </row>
    <row r="35364" spans="31:31">
      <c r="AE35364" s="54"/>
    </row>
    <row r="35365" spans="31:31">
      <c r="AE35365" s="54"/>
    </row>
    <row r="35366" spans="31:31">
      <c r="AE35366" s="54"/>
    </row>
    <row r="35367" spans="31:31">
      <c r="AE35367" s="54"/>
    </row>
    <row r="35368" spans="31:31">
      <c r="AE35368" s="54"/>
    </row>
    <row r="35369" spans="31:31">
      <c r="AE35369" s="54"/>
    </row>
    <row r="35370" spans="31:31">
      <c r="AE35370" s="54"/>
    </row>
    <row r="35371" spans="31:31">
      <c r="AE35371" s="54"/>
    </row>
    <row r="35372" spans="31:31">
      <c r="AE35372" s="54"/>
    </row>
    <row r="35373" spans="31:31">
      <c r="AE35373" s="54"/>
    </row>
    <row r="35374" spans="31:31">
      <c r="AE35374" s="54"/>
    </row>
    <row r="35375" spans="31:31">
      <c r="AE35375" s="54"/>
    </row>
    <row r="35376" spans="31:31">
      <c r="AE35376" s="54"/>
    </row>
    <row r="35377" spans="31:31">
      <c r="AE35377" s="54"/>
    </row>
    <row r="35378" spans="31:31">
      <c r="AE35378" s="54"/>
    </row>
    <row r="35379" spans="31:31">
      <c r="AE35379" s="54"/>
    </row>
    <row r="35380" spans="31:31">
      <c r="AE35380" s="54"/>
    </row>
    <row r="35381" spans="31:31">
      <c r="AE35381" s="54"/>
    </row>
    <row r="35382" spans="31:31">
      <c r="AE35382" s="54"/>
    </row>
    <row r="35383" spans="31:31">
      <c r="AE35383" s="54"/>
    </row>
    <row r="35384" spans="31:31">
      <c r="AE35384" s="54"/>
    </row>
    <row r="35385" spans="31:31">
      <c r="AE35385" s="54"/>
    </row>
    <row r="35386" spans="31:31">
      <c r="AE35386" s="54"/>
    </row>
    <row r="35387" spans="31:31">
      <c r="AE35387" s="54"/>
    </row>
    <row r="35388" spans="31:31">
      <c r="AE35388" s="54"/>
    </row>
    <row r="35389" spans="31:31">
      <c r="AE35389" s="54"/>
    </row>
    <row r="35390" spans="31:31">
      <c r="AE35390" s="54"/>
    </row>
    <row r="35391" spans="31:31">
      <c r="AE35391" s="54"/>
    </row>
    <row r="35392" spans="31:31">
      <c r="AE35392" s="54"/>
    </row>
    <row r="35393" spans="31:31">
      <c r="AE35393" s="54"/>
    </row>
    <row r="35394" spans="31:31">
      <c r="AE35394" s="54"/>
    </row>
    <row r="35395" spans="31:31">
      <c r="AE35395" s="54"/>
    </row>
    <row r="35396" spans="31:31">
      <c r="AE35396" s="54"/>
    </row>
    <row r="35397" spans="31:31">
      <c r="AE35397" s="54"/>
    </row>
    <row r="35398" spans="31:31">
      <c r="AE35398" s="54"/>
    </row>
    <row r="35399" spans="31:31">
      <c r="AE35399" s="54"/>
    </row>
    <row r="35400" spans="31:31">
      <c r="AE35400" s="54"/>
    </row>
    <row r="35401" spans="31:31">
      <c r="AE35401" s="54"/>
    </row>
    <row r="35402" spans="31:31">
      <c r="AE35402" s="54"/>
    </row>
    <row r="35403" spans="31:31">
      <c r="AE35403" s="54"/>
    </row>
    <row r="35404" spans="31:31">
      <c r="AE35404" s="54"/>
    </row>
    <row r="35405" spans="31:31">
      <c r="AE35405" s="54"/>
    </row>
    <row r="35406" spans="31:31">
      <c r="AE35406" s="54"/>
    </row>
    <row r="35407" spans="31:31">
      <c r="AE35407" s="54"/>
    </row>
    <row r="35408" spans="31:31">
      <c r="AE35408" s="54"/>
    </row>
    <row r="35409" spans="31:31">
      <c r="AE35409" s="54"/>
    </row>
    <row r="35410" spans="31:31">
      <c r="AE35410" s="54"/>
    </row>
    <row r="35411" spans="31:31">
      <c r="AE35411" s="54"/>
    </row>
    <row r="35412" spans="31:31">
      <c r="AE35412" s="54"/>
    </row>
    <row r="35413" spans="31:31">
      <c r="AE35413" s="54"/>
    </row>
    <row r="35414" spans="31:31">
      <c r="AE35414" s="54"/>
    </row>
    <row r="35415" spans="31:31">
      <c r="AE35415" s="54"/>
    </row>
    <row r="35416" spans="31:31">
      <c r="AE35416" s="54"/>
    </row>
    <row r="35417" spans="31:31">
      <c r="AE35417" s="54"/>
    </row>
    <row r="35418" spans="31:31">
      <c r="AE35418" s="54"/>
    </row>
    <row r="35419" spans="31:31">
      <c r="AE35419" s="54"/>
    </row>
    <row r="35420" spans="31:31">
      <c r="AE35420" s="54"/>
    </row>
    <row r="35421" spans="31:31">
      <c r="AE35421" s="54"/>
    </row>
    <row r="35422" spans="31:31">
      <c r="AE35422" s="54"/>
    </row>
    <row r="35423" spans="31:31">
      <c r="AE35423" s="54"/>
    </row>
    <row r="35424" spans="31:31">
      <c r="AE35424" s="54"/>
    </row>
    <row r="35425" spans="31:31">
      <c r="AE35425" s="54"/>
    </row>
    <row r="35426" spans="31:31">
      <c r="AE35426" s="54"/>
    </row>
    <row r="35427" spans="31:31">
      <c r="AE35427" s="54"/>
    </row>
    <row r="35428" spans="31:31">
      <c r="AE35428" s="54"/>
    </row>
    <row r="35429" spans="31:31">
      <c r="AE35429" s="54"/>
    </row>
    <row r="35430" spans="31:31">
      <c r="AE35430" s="54"/>
    </row>
    <row r="35431" spans="31:31">
      <c r="AE35431" s="54"/>
    </row>
    <row r="35432" spans="31:31">
      <c r="AE35432" s="54"/>
    </row>
    <row r="35433" spans="31:31">
      <c r="AE35433" s="54"/>
    </row>
    <row r="35434" spans="31:31">
      <c r="AE35434" s="54"/>
    </row>
    <row r="35435" spans="31:31">
      <c r="AE35435" s="54"/>
    </row>
    <row r="35436" spans="31:31">
      <c r="AE35436" s="54"/>
    </row>
    <row r="35437" spans="31:31">
      <c r="AE35437" s="54"/>
    </row>
    <row r="35438" spans="31:31">
      <c r="AE35438" s="54"/>
    </row>
    <row r="35439" spans="31:31">
      <c r="AE35439" s="54"/>
    </row>
    <row r="35440" spans="31:31">
      <c r="AE35440" s="54"/>
    </row>
    <row r="35441" spans="31:31">
      <c r="AE35441" s="54"/>
    </row>
    <row r="35442" spans="31:31">
      <c r="AE35442" s="54"/>
    </row>
    <row r="35443" spans="31:31">
      <c r="AE35443" s="54"/>
    </row>
    <row r="35444" spans="31:31">
      <c r="AE35444" s="54"/>
    </row>
    <row r="35445" spans="31:31">
      <c r="AE35445" s="54"/>
    </row>
    <row r="35446" spans="31:31">
      <c r="AE35446" s="54"/>
    </row>
    <row r="35447" spans="31:31">
      <c r="AE35447" s="54"/>
    </row>
    <row r="35448" spans="31:31">
      <c r="AE35448" s="54"/>
    </row>
    <row r="35449" spans="31:31">
      <c r="AE35449" s="54"/>
    </row>
    <row r="35450" spans="31:31">
      <c r="AE35450" s="54"/>
    </row>
    <row r="35451" spans="31:31">
      <c r="AE35451" s="54"/>
    </row>
    <row r="35452" spans="31:31">
      <c r="AE35452" s="54"/>
    </row>
    <row r="35453" spans="31:31">
      <c r="AE35453" s="54"/>
    </row>
    <row r="35454" spans="31:31">
      <c r="AE35454" s="54"/>
    </row>
    <row r="35455" spans="31:31">
      <c r="AE35455" s="54"/>
    </row>
    <row r="35456" spans="31:31">
      <c r="AE35456" s="54"/>
    </row>
    <row r="35457" spans="31:31">
      <c r="AE35457" s="54"/>
    </row>
    <row r="35458" spans="31:31">
      <c r="AE35458" s="54"/>
    </row>
    <row r="35459" spans="31:31">
      <c r="AE35459" s="54"/>
    </row>
    <row r="35460" spans="31:31">
      <c r="AE35460" s="54"/>
    </row>
    <row r="35461" spans="31:31">
      <c r="AE35461" s="54"/>
    </row>
    <row r="35462" spans="31:31">
      <c r="AE35462" s="54"/>
    </row>
    <row r="35463" spans="31:31">
      <c r="AE35463" s="54"/>
    </row>
    <row r="35464" spans="31:31">
      <c r="AE35464" s="54"/>
    </row>
    <row r="35465" spans="31:31">
      <c r="AE35465" s="54"/>
    </row>
    <row r="35466" spans="31:31">
      <c r="AE35466" s="54"/>
    </row>
    <row r="35467" spans="31:31">
      <c r="AE35467" s="54"/>
    </row>
    <row r="35468" spans="31:31">
      <c r="AE35468" s="54"/>
    </row>
    <row r="35469" spans="31:31">
      <c r="AE35469" s="54"/>
    </row>
    <row r="35470" spans="31:31">
      <c r="AE35470" s="54"/>
    </row>
    <row r="35471" spans="31:31">
      <c r="AE35471" s="54"/>
    </row>
    <row r="35472" spans="31:31">
      <c r="AE35472" s="54"/>
    </row>
    <row r="35473" spans="31:31">
      <c r="AE35473" s="54"/>
    </row>
    <row r="35474" spans="31:31">
      <c r="AE35474" s="54"/>
    </row>
    <row r="35475" spans="31:31">
      <c r="AE35475" s="54"/>
    </row>
    <row r="35476" spans="31:31">
      <c r="AE35476" s="54"/>
    </row>
    <row r="35477" spans="31:31">
      <c r="AE35477" s="54"/>
    </row>
    <row r="35478" spans="31:31">
      <c r="AE35478" s="54"/>
    </row>
    <row r="35479" spans="31:31">
      <c r="AE35479" s="54"/>
    </row>
    <row r="35480" spans="31:31">
      <c r="AE35480" s="54"/>
    </row>
    <row r="35481" spans="31:31">
      <c r="AE35481" s="54"/>
    </row>
    <row r="35482" spans="31:31">
      <c r="AE35482" s="54"/>
    </row>
    <row r="35483" spans="31:31">
      <c r="AE35483" s="54"/>
    </row>
    <row r="35484" spans="31:31">
      <c r="AE35484" s="54"/>
    </row>
    <row r="35485" spans="31:31">
      <c r="AE35485" s="54"/>
    </row>
    <row r="35486" spans="31:31">
      <c r="AE35486" s="54"/>
    </row>
    <row r="35487" spans="31:31">
      <c r="AE35487" s="54"/>
    </row>
    <row r="35488" spans="31:31">
      <c r="AE35488" s="54"/>
    </row>
    <row r="35489" spans="31:31">
      <c r="AE35489" s="54"/>
    </row>
    <row r="35490" spans="31:31">
      <c r="AE35490" s="54"/>
    </row>
    <row r="35491" spans="31:31">
      <c r="AE35491" s="54"/>
    </row>
    <row r="35492" spans="31:31">
      <c r="AE35492" s="54"/>
    </row>
    <row r="35493" spans="31:31">
      <c r="AE35493" s="54"/>
    </row>
    <row r="35494" spans="31:31">
      <c r="AE35494" s="54"/>
    </row>
    <row r="35495" spans="31:31">
      <c r="AE35495" s="54"/>
    </row>
    <row r="35496" spans="31:31">
      <c r="AE35496" s="54"/>
    </row>
    <row r="35497" spans="31:31">
      <c r="AE35497" s="54"/>
    </row>
    <row r="35498" spans="31:31">
      <c r="AE35498" s="54"/>
    </row>
    <row r="35499" spans="31:31">
      <c r="AE35499" s="54"/>
    </row>
    <row r="35500" spans="31:31">
      <c r="AE35500" s="54"/>
    </row>
    <row r="35501" spans="31:31">
      <c r="AE35501" s="54"/>
    </row>
    <row r="35502" spans="31:31">
      <c r="AE35502" s="54"/>
    </row>
    <row r="35503" spans="31:31">
      <c r="AE35503" s="54"/>
    </row>
    <row r="35504" spans="31:31">
      <c r="AE35504" s="54"/>
    </row>
    <row r="35505" spans="31:31">
      <c r="AE35505" s="54"/>
    </row>
    <row r="35506" spans="31:31">
      <c r="AE35506" s="54"/>
    </row>
    <row r="35507" spans="31:31">
      <c r="AE35507" s="54"/>
    </row>
    <row r="35508" spans="31:31">
      <c r="AE35508" s="54"/>
    </row>
    <row r="35509" spans="31:31">
      <c r="AE35509" s="54"/>
    </row>
    <row r="35510" spans="31:31">
      <c r="AE35510" s="54"/>
    </row>
    <row r="35511" spans="31:31">
      <c r="AE35511" s="54"/>
    </row>
    <row r="35512" spans="31:31">
      <c r="AE35512" s="54"/>
    </row>
    <row r="35513" spans="31:31">
      <c r="AE35513" s="54"/>
    </row>
    <row r="35514" spans="31:31">
      <c r="AE35514" s="54"/>
    </row>
    <row r="35515" spans="31:31">
      <c r="AE35515" s="54"/>
    </row>
    <row r="35516" spans="31:31">
      <c r="AE35516" s="54"/>
    </row>
    <row r="35517" spans="31:31">
      <c r="AE35517" s="54"/>
    </row>
    <row r="35518" spans="31:31">
      <c r="AE35518" s="54"/>
    </row>
    <row r="35519" spans="31:31">
      <c r="AE35519" s="54"/>
    </row>
    <row r="35520" spans="31:31">
      <c r="AE35520" s="54"/>
    </row>
    <row r="35521" spans="31:31">
      <c r="AE35521" s="54"/>
    </row>
    <row r="35522" spans="31:31">
      <c r="AE35522" s="54"/>
    </row>
    <row r="35523" spans="31:31">
      <c r="AE35523" s="54"/>
    </row>
    <row r="35524" spans="31:31">
      <c r="AE35524" s="54"/>
    </row>
    <row r="35525" spans="31:31">
      <c r="AE35525" s="54"/>
    </row>
    <row r="35526" spans="31:31">
      <c r="AE35526" s="54"/>
    </row>
    <row r="35527" spans="31:31">
      <c r="AE35527" s="54"/>
    </row>
    <row r="35528" spans="31:31">
      <c r="AE35528" s="54"/>
    </row>
    <row r="35529" spans="31:31">
      <c r="AE35529" s="54"/>
    </row>
    <row r="35530" spans="31:31">
      <c r="AE35530" s="54"/>
    </row>
    <row r="35531" spans="31:31">
      <c r="AE35531" s="54"/>
    </row>
    <row r="35532" spans="31:31">
      <c r="AE35532" s="54"/>
    </row>
    <row r="35533" spans="31:31">
      <c r="AE35533" s="54"/>
    </row>
    <row r="35534" spans="31:31">
      <c r="AE35534" s="54"/>
    </row>
    <row r="35535" spans="31:31">
      <c r="AE35535" s="54"/>
    </row>
    <row r="35536" spans="31:31">
      <c r="AE35536" s="54"/>
    </row>
    <row r="35537" spans="31:31">
      <c r="AE35537" s="54"/>
    </row>
    <row r="35538" spans="31:31">
      <c r="AE35538" s="54"/>
    </row>
    <row r="35539" spans="31:31">
      <c r="AE35539" s="54"/>
    </row>
    <row r="35540" spans="31:31">
      <c r="AE35540" s="54"/>
    </row>
    <row r="35541" spans="31:31">
      <c r="AE35541" s="54"/>
    </row>
    <row r="35542" spans="31:31">
      <c r="AE35542" s="54"/>
    </row>
    <row r="35543" spans="31:31">
      <c r="AE35543" s="54"/>
    </row>
    <row r="35544" spans="31:31">
      <c r="AE35544" s="54"/>
    </row>
    <row r="35545" spans="31:31">
      <c r="AE35545" s="54"/>
    </row>
    <row r="35546" spans="31:31">
      <c r="AE35546" s="54"/>
    </row>
    <row r="35547" spans="31:31">
      <c r="AE35547" s="54"/>
    </row>
    <row r="35548" spans="31:31">
      <c r="AE35548" s="54"/>
    </row>
    <row r="35549" spans="31:31">
      <c r="AE35549" s="54"/>
    </row>
    <row r="35550" spans="31:31">
      <c r="AE35550" s="54"/>
    </row>
    <row r="35551" spans="31:31">
      <c r="AE35551" s="54"/>
    </row>
    <row r="35552" spans="31:31">
      <c r="AE35552" s="54"/>
    </row>
    <row r="35553" spans="31:31">
      <c r="AE35553" s="54"/>
    </row>
    <row r="35554" spans="31:31">
      <c r="AE35554" s="54"/>
    </row>
    <row r="35555" spans="31:31">
      <c r="AE35555" s="54"/>
    </row>
    <row r="35556" spans="31:31">
      <c r="AE35556" s="54"/>
    </row>
    <row r="35557" spans="31:31">
      <c r="AE35557" s="54"/>
    </row>
    <row r="35558" spans="31:31">
      <c r="AE35558" s="54"/>
    </row>
    <row r="35559" spans="31:31">
      <c r="AE35559" s="54"/>
    </row>
    <row r="35560" spans="31:31">
      <c r="AE35560" s="54"/>
    </row>
    <row r="35561" spans="31:31">
      <c r="AE35561" s="54"/>
    </row>
    <row r="35562" spans="31:31">
      <c r="AE35562" s="54"/>
    </row>
    <row r="35563" spans="31:31">
      <c r="AE35563" s="54"/>
    </row>
    <row r="35564" spans="31:31">
      <c r="AE35564" s="54"/>
    </row>
    <row r="35565" spans="31:31">
      <c r="AE35565" s="54"/>
    </row>
    <row r="35566" spans="31:31">
      <c r="AE35566" s="54"/>
    </row>
    <row r="35567" spans="31:31">
      <c r="AE35567" s="54"/>
    </row>
    <row r="35568" spans="31:31">
      <c r="AE35568" s="54"/>
    </row>
    <row r="35569" spans="31:31">
      <c r="AE35569" s="54"/>
    </row>
    <row r="35570" spans="31:31">
      <c r="AE35570" s="54"/>
    </row>
    <row r="35571" spans="31:31">
      <c r="AE35571" s="54"/>
    </row>
    <row r="35572" spans="31:31">
      <c r="AE35572" s="54"/>
    </row>
    <row r="35573" spans="31:31">
      <c r="AE35573" s="54"/>
    </row>
    <row r="35574" spans="31:31">
      <c r="AE35574" s="54"/>
    </row>
    <row r="35575" spans="31:31">
      <c r="AE35575" s="54"/>
    </row>
    <row r="35576" spans="31:31">
      <c r="AE35576" s="54"/>
    </row>
    <row r="35577" spans="31:31">
      <c r="AE35577" s="54"/>
    </row>
    <row r="35578" spans="31:31">
      <c r="AE35578" s="54"/>
    </row>
    <row r="35579" spans="31:31">
      <c r="AE35579" s="54"/>
    </row>
    <row r="35580" spans="31:31">
      <c r="AE35580" s="54"/>
    </row>
    <row r="35581" spans="31:31">
      <c r="AE35581" s="54"/>
    </row>
    <row r="35582" spans="31:31">
      <c r="AE35582" s="54"/>
    </row>
    <row r="35583" spans="31:31">
      <c r="AE35583" s="54"/>
    </row>
    <row r="35584" spans="31:31">
      <c r="AE35584" s="54"/>
    </row>
    <row r="35585" spans="31:31">
      <c r="AE35585" s="54"/>
    </row>
    <row r="35586" spans="31:31">
      <c r="AE35586" s="54"/>
    </row>
    <row r="35587" spans="31:31">
      <c r="AE35587" s="54"/>
    </row>
    <row r="35588" spans="31:31">
      <c r="AE35588" s="54"/>
    </row>
    <row r="35589" spans="31:31">
      <c r="AE35589" s="54"/>
    </row>
    <row r="35590" spans="31:31">
      <c r="AE35590" s="54"/>
    </row>
    <row r="35591" spans="31:31">
      <c r="AE35591" s="54"/>
    </row>
    <row r="35592" spans="31:31">
      <c r="AE35592" s="54"/>
    </row>
    <row r="35593" spans="31:31">
      <c r="AE35593" s="54"/>
    </row>
    <row r="35594" spans="31:31">
      <c r="AE35594" s="54"/>
    </row>
    <row r="35595" spans="31:31">
      <c r="AE35595" s="54"/>
    </row>
    <row r="35596" spans="31:31">
      <c r="AE35596" s="54"/>
    </row>
    <row r="35597" spans="31:31">
      <c r="AE35597" s="54"/>
    </row>
    <row r="35598" spans="31:31">
      <c r="AE35598" s="54"/>
    </row>
    <row r="35599" spans="31:31">
      <c r="AE35599" s="54"/>
    </row>
    <row r="35600" spans="31:31">
      <c r="AE35600" s="54"/>
    </row>
    <row r="35601" spans="31:31">
      <c r="AE35601" s="54"/>
    </row>
    <row r="35602" spans="31:31">
      <c r="AE35602" s="54"/>
    </row>
    <row r="35603" spans="31:31">
      <c r="AE35603" s="54"/>
    </row>
    <row r="35604" spans="31:31">
      <c r="AE35604" s="54"/>
    </row>
    <row r="35605" spans="31:31">
      <c r="AE35605" s="54"/>
    </row>
    <row r="35606" spans="31:31">
      <c r="AE35606" s="54"/>
    </row>
    <row r="35607" spans="31:31">
      <c r="AE35607" s="54"/>
    </row>
    <row r="35608" spans="31:31">
      <c r="AE35608" s="54"/>
    </row>
    <row r="35609" spans="31:31">
      <c r="AE35609" s="54"/>
    </row>
    <row r="35610" spans="31:31">
      <c r="AE35610" s="54"/>
    </row>
    <row r="35611" spans="31:31">
      <c r="AE35611" s="54"/>
    </row>
    <row r="35612" spans="31:31">
      <c r="AE35612" s="54"/>
    </row>
    <row r="35613" spans="31:31">
      <c r="AE35613" s="54"/>
    </row>
    <row r="35614" spans="31:31">
      <c r="AE35614" s="54"/>
    </row>
    <row r="35615" spans="31:31">
      <c r="AE35615" s="54"/>
    </row>
    <row r="35616" spans="31:31">
      <c r="AE35616" s="54"/>
    </row>
    <row r="35617" spans="31:31">
      <c r="AE35617" s="54"/>
    </row>
    <row r="35618" spans="31:31">
      <c r="AE35618" s="54"/>
    </row>
    <row r="35619" spans="31:31">
      <c r="AE35619" s="54"/>
    </row>
    <row r="35620" spans="31:31">
      <c r="AE35620" s="54"/>
    </row>
    <row r="35621" spans="31:31">
      <c r="AE35621" s="54"/>
    </row>
    <row r="35622" spans="31:31">
      <c r="AE35622" s="54"/>
    </row>
    <row r="35623" spans="31:31">
      <c r="AE35623" s="54"/>
    </row>
    <row r="35624" spans="31:31">
      <c r="AE35624" s="54"/>
    </row>
    <row r="35625" spans="31:31">
      <c r="AE35625" s="54"/>
    </row>
    <row r="35626" spans="31:31">
      <c r="AE35626" s="54"/>
    </row>
    <row r="35627" spans="31:31">
      <c r="AE35627" s="54"/>
    </row>
    <row r="35628" spans="31:31">
      <c r="AE35628" s="54"/>
    </row>
    <row r="35629" spans="31:31">
      <c r="AE35629" s="54"/>
    </row>
    <row r="35630" spans="31:31">
      <c r="AE35630" s="54"/>
    </row>
    <row r="35631" spans="31:31">
      <c r="AE35631" s="54"/>
    </row>
    <row r="35632" spans="31:31">
      <c r="AE35632" s="54"/>
    </row>
    <row r="35633" spans="31:31">
      <c r="AE35633" s="54"/>
    </row>
    <row r="35634" spans="31:31">
      <c r="AE35634" s="54"/>
    </row>
    <row r="35635" spans="31:31">
      <c r="AE35635" s="54"/>
    </row>
    <row r="35636" spans="31:31">
      <c r="AE35636" s="54"/>
    </row>
    <row r="35637" spans="31:31">
      <c r="AE35637" s="54"/>
    </row>
    <row r="35638" spans="31:31">
      <c r="AE35638" s="54"/>
    </row>
    <row r="35639" spans="31:31">
      <c r="AE35639" s="54"/>
    </row>
    <row r="35640" spans="31:31">
      <c r="AE35640" s="54"/>
    </row>
    <row r="35641" spans="31:31">
      <c r="AE35641" s="54"/>
    </row>
    <row r="35642" spans="31:31">
      <c r="AE35642" s="54"/>
    </row>
    <row r="35643" spans="31:31">
      <c r="AE35643" s="54"/>
    </row>
    <row r="35644" spans="31:31">
      <c r="AE35644" s="54"/>
    </row>
    <row r="35645" spans="31:31">
      <c r="AE35645" s="54"/>
    </row>
    <row r="35646" spans="31:31">
      <c r="AE35646" s="54"/>
    </row>
    <row r="35647" spans="31:31">
      <c r="AE35647" s="54"/>
    </row>
    <row r="35648" spans="31:31">
      <c r="AE35648" s="54"/>
    </row>
    <row r="35649" spans="31:31">
      <c r="AE35649" s="54"/>
    </row>
    <row r="35650" spans="31:31">
      <c r="AE35650" s="54"/>
    </row>
    <row r="35651" spans="31:31">
      <c r="AE35651" s="54"/>
    </row>
    <row r="35652" spans="31:31">
      <c r="AE35652" s="54"/>
    </row>
    <row r="35653" spans="31:31">
      <c r="AE35653" s="54"/>
    </row>
    <row r="35654" spans="31:31">
      <c r="AE35654" s="54"/>
    </row>
    <row r="35655" spans="31:31">
      <c r="AE35655" s="54"/>
    </row>
    <row r="35656" spans="31:31">
      <c r="AE35656" s="54"/>
    </row>
    <row r="35657" spans="31:31">
      <c r="AE35657" s="54"/>
    </row>
    <row r="35658" spans="31:31">
      <c r="AE35658" s="54"/>
    </row>
    <row r="35659" spans="31:31">
      <c r="AE35659" s="54"/>
    </row>
    <row r="35660" spans="31:31">
      <c r="AE35660" s="54"/>
    </row>
    <row r="35661" spans="31:31">
      <c r="AE35661" s="54"/>
    </row>
    <row r="35662" spans="31:31">
      <c r="AE35662" s="54"/>
    </row>
    <row r="35663" spans="31:31">
      <c r="AE35663" s="54"/>
    </row>
    <row r="35664" spans="31:31">
      <c r="AE35664" s="54"/>
    </row>
    <row r="35665" spans="31:31">
      <c r="AE35665" s="54"/>
    </row>
    <row r="35666" spans="31:31">
      <c r="AE35666" s="54"/>
    </row>
    <row r="35667" spans="31:31">
      <c r="AE35667" s="54"/>
    </row>
    <row r="35668" spans="31:31">
      <c r="AE35668" s="54"/>
    </row>
    <row r="35669" spans="31:31">
      <c r="AE35669" s="54"/>
    </row>
    <row r="35670" spans="31:31">
      <c r="AE35670" s="54"/>
    </row>
    <row r="35671" spans="31:31">
      <c r="AE35671" s="54"/>
    </row>
    <row r="35672" spans="31:31">
      <c r="AE35672" s="54"/>
    </row>
    <row r="35673" spans="31:31">
      <c r="AE35673" s="54"/>
    </row>
    <row r="35674" spans="31:31">
      <c r="AE35674" s="54"/>
    </row>
    <row r="35675" spans="31:31">
      <c r="AE35675" s="54"/>
    </row>
    <row r="35676" spans="31:31">
      <c r="AE35676" s="54"/>
    </row>
    <row r="35677" spans="31:31">
      <c r="AE35677" s="54"/>
    </row>
    <row r="35678" spans="31:31">
      <c r="AE35678" s="54"/>
    </row>
    <row r="35679" spans="31:31">
      <c r="AE35679" s="54"/>
    </row>
    <row r="35680" spans="31:31">
      <c r="AE35680" s="54"/>
    </row>
    <row r="35681" spans="31:31">
      <c r="AE35681" s="54"/>
    </row>
    <row r="35682" spans="31:31">
      <c r="AE35682" s="54"/>
    </row>
    <row r="35683" spans="31:31">
      <c r="AE35683" s="54"/>
    </row>
    <row r="35684" spans="31:31">
      <c r="AE35684" s="54"/>
    </row>
    <row r="35685" spans="31:31">
      <c r="AE35685" s="54"/>
    </row>
    <row r="35686" spans="31:31">
      <c r="AE35686" s="54"/>
    </row>
    <row r="35687" spans="31:31">
      <c r="AE35687" s="54"/>
    </row>
    <row r="35688" spans="31:31">
      <c r="AE35688" s="54"/>
    </row>
    <row r="35689" spans="31:31">
      <c r="AE35689" s="54"/>
    </row>
    <row r="35690" spans="31:31">
      <c r="AE35690" s="54"/>
    </row>
    <row r="35691" spans="31:31">
      <c r="AE35691" s="54"/>
    </row>
    <row r="35692" spans="31:31">
      <c r="AE35692" s="54"/>
    </row>
    <row r="35693" spans="31:31">
      <c r="AE35693" s="54"/>
    </row>
    <row r="35694" spans="31:31">
      <c r="AE35694" s="54"/>
    </row>
    <row r="35695" spans="31:31">
      <c r="AE35695" s="54"/>
    </row>
    <row r="35696" spans="31:31">
      <c r="AE35696" s="54"/>
    </row>
    <row r="35697" spans="31:31">
      <c r="AE35697" s="54"/>
    </row>
    <row r="35698" spans="31:31">
      <c r="AE35698" s="54"/>
    </row>
    <row r="35699" spans="31:31">
      <c r="AE35699" s="54"/>
    </row>
    <row r="35700" spans="31:31">
      <c r="AE35700" s="54"/>
    </row>
    <row r="35701" spans="31:31">
      <c r="AE35701" s="54"/>
    </row>
    <row r="35702" spans="31:31">
      <c r="AE35702" s="54"/>
    </row>
    <row r="35703" spans="31:31">
      <c r="AE35703" s="54"/>
    </row>
    <row r="35704" spans="31:31">
      <c r="AE35704" s="54"/>
    </row>
    <row r="35705" spans="31:31">
      <c r="AE35705" s="54"/>
    </row>
    <row r="35706" spans="31:31">
      <c r="AE35706" s="54"/>
    </row>
    <row r="35707" spans="31:31">
      <c r="AE35707" s="54"/>
    </row>
    <row r="35708" spans="31:31">
      <c r="AE35708" s="54"/>
    </row>
    <row r="35709" spans="31:31">
      <c r="AE35709" s="54"/>
    </row>
    <row r="35710" spans="31:31">
      <c r="AE35710" s="54"/>
    </row>
    <row r="35711" spans="31:31">
      <c r="AE35711" s="54"/>
    </row>
    <row r="35712" spans="31:31">
      <c r="AE35712" s="54"/>
    </row>
    <row r="35713" spans="31:31">
      <c r="AE35713" s="54"/>
    </row>
    <row r="35714" spans="31:31">
      <c r="AE35714" s="54"/>
    </row>
    <row r="35715" spans="31:31">
      <c r="AE35715" s="54"/>
    </row>
    <row r="35716" spans="31:31">
      <c r="AE35716" s="54"/>
    </row>
    <row r="35717" spans="31:31">
      <c r="AE35717" s="54"/>
    </row>
    <row r="35718" spans="31:31">
      <c r="AE35718" s="54"/>
    </row>
    <row r="35719" spans="31:31">
      <c r="AE35719" s="54"/>
    </row>
    <row r="35720" spans="31:31">
      <c r="AE35720" s="54"/>
    </row>
    <row r="35721" spans="31:31">
      <c r="AE35721" s="54"/>
    </row>
    <row r="35722" spans="31:31">
      <c r="AE35722" s="54"/>
    </row>
    <row r="35723" spans="31:31">
      <c r="AE35723" s="54"/>
    </row>
    <row r="35724" spans="31:31">
      <c r="AE35724" s="54"/>
    </row>
    <row r="35725" spans="31:31">
      <c r="AE35725" s="54"/>
    </row>
    <row r="35726" spans="31:31">
      <c r="AE35726" s="54"/>
    </row>
    <row r="35727" spans="31:31">
      <c r="AE35727" s="54"/>
    </row>
    <row r="35728" spans="31:31">
      <c r="AE35728" s="54"/>
    </row>
    <row r="35729" spans="31:31">
      <c r="AE35729" s="54"/>
    </row>
    <row r="35730" spans="31:31">
      <c r="AE35730" s="54"/>
    </row>
    <row r="35731" spans="31:31">
      <c r="AE35731" s="54"/>
    </row>
    <row r="35732" spans="31:31">
      <c r="AE35732" s="54"/>
    </row>
    <row r="35733" spans="31:31">
      <c r="AE35733" s="54"/>
    </row>
    <row r="35734" spans="31:31">
      <c r="AE35734" s="54"/>
    </row>
    <row r="35735" spans="31:31">
      <c r="AE35735" s="54"/>
    </row>
    <row r="35736" spans="31:31">
      <c r="AE35736" s="54"/>
    </row>
    <row r="35737" spans="31:31">
      <c r="AE35737" s="54"/>
    </row>
    <row r="35738" spans="31:31">
      <c r="AE35738" s="54"/>
    </row>
    <row r="35739" spans="31:31">
      <c r="AE35739" s="54"/>
    </row>
    <row r="35740" spans="31:31">
      <c r="AE35740" s="54"/>
    </row>
    <row r="35741" spans="31:31">
      <c r="AE35741" s="54"/>
    </row>
    <row r="35742" spans="31:31">
      <c r="AE35742" s="54"/>
    </row>
    <row r="35743" spans="31:31">
      <c r="AE35743" s="54"/>
    </row>
    <row r="35744" spans="31:31">
      <c r="AE35744" s="54"/>
    </row>
    <row r="35745" spans="31:31">
      <c r="AE35745" s="54"/>
    </row>
    <row r="35746" spans="31:31">
      <c r="AE35746" s="54"/>
    </row>
    <row r="35747" spans="31:31">
      <c r="AE35747" s="54"/>
    </row>
    <row r="35748" spans="31:31">
      <c r="AE35748" s="54"/>
    </row>
    <row r="35749" spans="31:31">
      <c r="AE35749" s="54"/>
    </row>
    <row r="35750" spans="31:31">
      <c r="AE35750" s="54"/>
    </row>
    <row r="35751" spans="31:31">
      <c r="AE35751" s="54"/>
    </row>
    <row r="35752" spans="31:31">
      <c r="AE35752" s="54"/>
    </row>
    <row r="35753" spans="31:31">
      <c r="AE35753" s="54"/>
    </row>
    <row r="35754" spans="31:31">
      <c r="AE35754" s="54"/>
    </row>
    <row r="35755" spans="31:31">
      <c r="AE35755" s="54"/>
    </row>
    <row r="35756" spans="31:31">
      <c r="AE35756" s="54"/>
    </row>
    <row r="35757" spans="31:31">
      <c r="AE35757" s="54"/>
    </row>
    <row r="35758" spans="31:31">
      <c r="AE35758" s="54"/>
    </row>
    <row r="35759" spans="31:31">
      <c r="AE35759" s="54"/>
    </row>
    <row r="35760" spans="31:31">
      <c r="AE35760" s="54"/>
    </row>
    <row r="35761" spans="31:31">
      <c r="AE35761" s="54"/>
    </row>
    <row r="35762" spans="31:31">
      <c r="AE35762" s="54"/>
    </row>
    <row r="35763" spans="31:31">
      <c r="AE35763" s="54"/>
    </row>
    <row r="35764" spans="31:31">
      <c r="AE35764" s="54"/>
    </row>
    <row r="35765" spans="31:31">
      <c r="AE35765" s="54"/>
    </row>
    <row r="35766" spans="31:31">
      <c r="AE35766" s="54"/>
    </row>
    <row r="35767" spans="31:31">
      <c r="AE35767" s="54"/>
    </row>
    <row r="35768" spans="31:31">
      <c r="AE35768" s="54"/>
    </row>
    <row r="35769" spans="31:31">
      <c r="AE35769" s="54"/>
    </row>
    <row r="35770" spans="31:31">
      <c r="AE35770" s="54"/>
    </row>
    <row r="35771" spans="31:31">
      <c r="AE35771" s="54"/>
    </row>
    <row r="35772" spans="31:31">
      <c r="AE35772" s="54"/>
    </row>
    <row r="35773" spans="31:31">
      <c r="AE35773" s="54"/>
    </row>
    <row r="35774" spans="31:31">
      <c r="AE35774" s="54"/>
    </row>
    <row r="35775" spans="31:31">
      <c r="AE35775" s="54"/>
    </row>
    <row r="35776" spans="31:31">
      <c r="AE35776" s="54"/>
    </row>
    <row r="35777" spans="31:31">
      <c r="AE35777" s="54"/>
    </row>
    <row r="35778" spans="31:31">
      <c r="AE35778" s="54"/>
    </row>
    <row r="35779" spans="31:31">
      <c r="AE35779" s="54"/>
    </row>
    <row r="35780" spans="31:31">
      <c r="AE35780" s="54"/>
    </row>
    <row r="35781" spans="31:31">
      <c r="AE35781" s="54"/>
    </row>
    <row r="35782" spans="31:31">
      <c r="AE35782" s="54"/>
    </row>
    <row r="35783" spans="31:31">
      <c r="AE35783" s="54"/>
    </row>
    <row r="35784" spans="31:31">
      <c r="AE35784" s="54"/>
    </row>
    <row r="35785" spans="31:31">
      <c r="AE35785" s="54"/>
    </row>
    <row r="35786" spans="31:31">
      <c r="AE35786" s="54"/>
    </row>
    <row r="35787" spans="31:31">
      <c r="AE35787" s="54"/>
    </row>
    <row r="35788" spans="31:31">
      <c r="AE35788" s="54"/>
    </row>
    <row r="35789" spans="31:31">
      <c r="AE35789" s="54"/>
    </row>
    <row r="35790" spans="31:31">
      <c r="AE35790" s="54"/>
    </row>
    <row r="35791" spans="31:31">
      <c r="AE35791" s="54"/>
    </row>
    <row r="35792" spans="31:31">
      <c r="AE35792" s="54"/>
    </row>
    <row r="35793" spans="31:31">
      <c r="AE35793" s="54"/>
    </row>
    <row r="35794" spans="31:31">
      <c r="AE35794" s="54"/>
    </row>
    <row r="35795" spans="31:31">
      <c r="AE35795" s="54"/>
    </row>
    <row r="35796" spans="31:31">
      <c r="AE35796" s="54"/>
    </row>
    <row r="35797" spans="31:31">
      <c r="AE35797" s="54"/>
    </row>
    <row r="35798" spans="31:31">
      <c r="AE35798" s="54"/>
    </row>
    <row r="35799" spans="31:31">
      <c r="AE35799" s="54"/>
    </row>
    <row r="35800" spans="31:31">
      <c r="AE35800" s="54"/>
    </row>
    <row r="35801" spans="31:31">
      <c r="AE35801" s="54"/>
    </row>
    <row r="35802" spans="31:31">
      <c r="AE35802" s="54"/>
    </row>
    <row r="35803" spans="31:31">
      <c r="AE35803" s="54"/>
    </row>
    <row r="35804" spans="31:31">
      <c r="AE35804" s="54"/>
    </row>
    <row r="35805" spans="31:31">
      <c r="AE35805" s="54"/>
    </row>
    <row r="35806" spans="31:31">
      <c r="AE35806" s="54"/>
    </row>
    <row r="35807" spans="31:31">
      <c r="AE35807" s="54"/>
    </row>
    <row r="35808" spans="31:31">
      <c r="AE35808" s="54"/>
    </row>
    <row r="35809" spans="31:31">
      <c r="AE35809" s="54"/>
    </row>
    <row r="35810" spans="31:31">
      <c r="AE35810" s="54"/>
    </row>
    <row r="35811" spans="31:31">
      <c r="AE35811" s="54"/>
    </row>
    <row r="35812" spans="31:31">
      <c r="AE35812" s="54"/>
    </row>
    <row r="35813" spans="31:31">
      <c r="AE35813" s="54"/>
    </row>
    <row r="35814" spans="31:31">
      <c r="AE35814" s="54"/>
    </row>
    <row r="35815" spans="31:31">
      <c r="AE35815" s="54"/>
    </row>
    <row r="35816" spans="31:31">
      <c r="AE35816" s="54"/>
    </row>
    <row r="35817" spans="31:31">
      <c r="AE35817" s="54"/>
    </row>
    <row r="35818" spans="31:31">
      <c r="AE35818" s="54"/>
    </row>
    <row r="35819" spans="31:31">
      <c r="AE35819" s="54"/>
    </row>
    <row r="35820" spans="31:31">
      <c r="AE35820" s="54"/>
    </row>
    <row r="35821" spans="31:31">
      <c r="AE35821" s="54"/>
    </row>
    <row r="35822" spans="31:31">
      <c r="AE35822" s="54"/>
    </row>
    <row r="35823" spans="31:31">
      <c r="AE35823" s="54"/>
    </row>
    <row r="35824" spans="31:31">
      <c r="AE35824" s="54"/>
    </row>
    <row r="35825" spans="31:31">
      <c r="AE35825" s="54"/>
    </row>
    <row r="35826" spans="31:31">
      <c r="AE35826" s="54"/>
    </row>
    <row r="35827" spans="31:31">
      <c r="AE35827" s="54"/>
    </row>
    <row r="35828" spans="31:31">
      <c r="AE35828" s="54"/>
    </row>
    <row r="35829" spans="31:31">
      <c r="AE35829" s="54"/>
    </row>
    <row r="35830" spans="31:31">
      <c r="AE35830" s="54"/>
    </row>
    <row r="35831" spans="31:31">
      <c r="AE35831" s="54"/>
    </row>
    <row r="35832" spans="31:31">
      <c r="AE35832" s="54"/>
    </row>
    <row r="35833" spans="31:31">
      <c r="AE35833" s="54"/>
    </row>
    <row r="35834" spans="31:31">
      <c r="AE35834" s="54"/>
    </row>
    <row r="35835" spans="31:31">
      <c r="AE35835" s="54"/>
    </row>
    <row r="35836" spans="31:31">
      <c r="AE35836" s="54"/>
    </row>
    <row r="35837" spans="31:31">
      <c r="AE35837" s="54"/>
    </row>
    <row r="35838" spans="31:31">
      <c r="AE35838" s="54"/>
    </row>
    <row r="35839" spans="31:31">
      <c r="AE35839" s="54"/>
    </row>
    <row r="35840" spans="31:31">
      <c r="AE35840" s="54"/>
    </row>
    <row r="35841" spans="31:31">
      <c r="AE35841" s="54"/>
    </row>
    <row r="35842" spans="31:31">
      <c r="AE35842" s="54"/>
    </row>
    <row r="35843" spans="31:31">
      <c r="AE35843" s="54"/>
    </row>
    <row r="35844" spans="31:31">
      <c r="AE35844" s="54"/>
    </row>
    <row r="35845" spans="31:31">
      <c r="AE35845" s="54"/>
    </row>
    <row r="35846" spans="31:31">
      <c r="AE35846" s="54"/>
    </row>
    <row r="35847" spans="31:31">
      <c r="AE35847" s="54"/>
    </row>
    <row r="35848" spans="31:31">
      <c r="AE35848" s="54"/>
    </row>
    <row r="35849" spans="31:31">
      <c r="AE35849" s="54"/>
    </row>
    <row r="35850" spans="31:31">
      <c r="AE35850" s="54"/>
    </row>
    <row r="35851" spans="31:31">
      <c r="AE35851" s="54"/>
    </row>
    <row r="35852" spans="31:31">
      <c r="AE35852" s="54"/>
    </row>
    <row r="35853" spans="31:31">
      <c r="AE35853" s="54"/>
    </row>
    <row r="35854" spans="31:31">
      <c r="AE35854" s="54"/>
    </row>
    <row r="35855" spans="31:31">
      <c r="AE35855" s="54"/>
    </row>
    <row r="35856" spans="31:31">
      <c r="AE35856" s="54"/>
    </row>
    <row r="35857" spans="31:31">
      <c r="AE35857" s="54"/>
    </row>
    <row r="35858" spans="31:31">
      <c r="AE35858" s="54"/>
    </row>
    <row r="35859" spans="31:31">
      <c r="AE35859" s="54"/>
    </row>
    <row r="35860" spans="31:31">
      <c r="AE35860" s="54"/>
    </row>
    <row r="35861" spans="31:31">
      <c r="AE35861" s="54"/>
    </row>
    <row r="35862" spans="31:31">
      <c r="AE35862" s="54"/>
    </row>
    <row r="35863" spans="31:31">
      <c r="AE35863" s="54"/>
    </row>
    <row r="35864" spans="31:31">
      <c r="AE35864" s="54"/>
    </row>
    <row r="35865" spans="31:31">
      <c r="AE35865" s="54"/>
    </row>
    <row r="35866" spans="31:31">
      <c r="AE35866" s="54"/>
    </row>
    <row r="35867" spans="31:31">
      <c r="AE35867" s="54"/>
    </row>
    <row r="35868" spans="31:31">
      <c r="AE35868" s="54"/>
    </row>
    <row r="35869" spans="31:31">
      <c r="AE35869" s="54"/>
    </row>
    <row r="35870" spans="31:31">
      <c r="AE35870" s="54"/>
    </row>
    <row r="35871" spans="31:31">
      <c r="AE35871" s="54"/>
    </row>
    <row r="35872" spans="31:31">
      <c r="AE35872" s="54"/>
    </row>
    <row r="35873" spans="31:31">
      <c r="AE35873" s="54"/>
    </row>
    <row r="35874" spans="31:31">
      <c r="AE35874" s="54"/>
    </row>
    <row r="35875" spans="31:31">
      <c r="AE35875" s="54"/>
    </row>
    <row r="35876" spans="31:31">
      <c r="AE35876" s="54"/>
    </row>
    <row r="35877" spans="31:31">
      <c r="AE35877" s="54"/>
    </row>
    <row r="35878" spans="31:31">
      <c r="AE35878" s="54"/>
    </row>
    <row r="35879" spans="31:31">
      <c r="AE35879" s="54"/>
    </row>
    <row r="35880" spans="31:31">
      <c r="AE35880" s="54"/>
    </row>
    <row r="35881" spans="31:31">
      <c r="AE35881" s="54"/>
    </row>
    <row r="35882" spans="31:31">
      <c r="AE35882" s="54"/>
    </row>
    <row r="35883" spans="31:31">
      <c r="AE35883" s="54"/>
    </row>
    <row r="35884" spans="31:31">
      <c r="AE35884" s="54"/>
    </row>
    <row r="35885" spans="31:31">
      <c r="AE35885" s="54"/>
    </row>
    <row r="35886" spans="31:31">
      <c r="AE35886" s="54"/>
    </row>
    <row r="35887" spans="31:31">
      <c r="AE35887" s="54"/>
    </row>
    <row r="35888" spans="31:31">
      <c r="AE35888" s="54"/>
    </row>
    <row r="35889" spans="31:31">
      <c r="AE35889" s="54"/>
    </row>
    <row r="35890" spans="31:31">
      <c r="AE35890" s="54"/>
    </row>
    <row r="35891" spans="31:31">
      <c r="AE35891" s="54"/>
    </row>
    <row r="35892" spans="31:31">
      <c r="AE35892" s="54"/>
    </row>
    <row r="35893" spans="31:31">
      <c r="AE35893" s="54"/>
    </row>
    <row r="35894" spans="31:31">
      <c r="AE35894" s="54"/>
    </row>
    <row r="35895" spans="31:31">
      <c r="AE35895" s="54"/>
    </row>
    <row r="35896" spans="31:31">
      <c r="AE35896" s="54"/>
    </row>
    <row r="35897" spans="31:31">
      <c r="AE35897" s="54"/>
    </row>
    <row r="35898" spans="31:31">
      <c r="AE35898" s="54"/>
    </row>
    <row r="35899" spans="31:31">
      <c r="AE35899" s="54"/>
    </row>
    <row r="35900" spans="31:31">
      <c r="AE35900" s="54"/>
    </row>
    <row r="35901" spans="31:31">
      <c r="AE35901" s="54"/>
    </row>
    <row r="35902" spans="31:31">
      <c r="AE35902" s="54"/>
    </row>
    <row r="35903" spans="31:31">
      <c r="AE35903" s="54"/>
    </row>
    <row r="35904" spans="31:31">
      <c r="AE35904" s="54"/>
    </row>
    <row r="35905" spans="31:31">
      <c r="AE35905" s="54"/>
    </row>
    <row r="35906" spans="31:31">
      <c r="AE35906" s="54"/>
    </row>
    <row r="35907" spans="31:31">
      <c r="AE35907" s="54"/>
    </row>
    <row r="35908" spans="31:31">
      <c r="AE35908" s="54"/>
    </row>
    <row r="35909" spans="31:31">
      <c r="AE35909" s="54"/>
    </row>
    <row r="35910" spans="31:31">
      <c r="AE35910" s="54"/>
    </row>
    <row r="35911" spans="31:31">
      <c r="AE35911" s="54"/>
    </row>
    <row r="35912" spans="31:31">
      <c r="AE35912" s="54"/>
    </row>
    <row r="35913" spans="31:31">
      <c r="AE35913" s="54"/>
    </row>
    <row r="35914" spans="31:31">
      <c r="AE35914" s="54"/>
    </row>
    <row r="35915" spans="31:31">
      <c r="AE35915" s="54"/>
    </row>
    <row r="35916" spans="31:31">
      <c r="AE35916" s="54"/>
    </row>
    <row r="35917" spans="31:31">
      <c r="AE35917" s="54"/>
    </row>
    <row r="35918" spans="31:31">
      <c r="AE35918" s="54"/>
    </row>
    <row r="35919" spans="31:31">
      <c r="AE35919" s="54"/>
    </row>
    <row r="35920" spans="31:31">
      <c r="AE35920" s="54"/>
    </row>
    <row r="35921" spans="31:31">
      <c r="AE35921" s="54"/>
    </row>
    <row r="35922" spans="31:31">
      <c r="AE35922" s="54"/>
    </row>
    <row r="35923" spans="31:31">
      <c r="AE35923" s="54"/>
    </row>
    <row r="35924" spans="31:31">
      <c r="AE35924" s="54"/>
    </row>
    <row r="35925" spans="31:31">
      <c r="AE35925" s="54"/>
    </row>
    <row r="35926" spans="31:31">
      <c r="AE35926" s="54"/>
    </row>
    <row r="35927" spans="31:31">
      <c r="AE35927" s="54"/>
    </row>
    <row r="35928" spans="31:31">
      <c r="AE35928" s="54"/>
    </row>
    <row r="35929" spans="31:31">
      <c r="AE35929" s="54"/>
    </row>
    <row r="35930" spans="31:31">
      <c r="AE35930" s="54"/>
    </row>
    <row r="35931" spans="31:31">
      <c r="AE35931" s="54"/>
    </row>
    <row r="35932" spans="31:31">
      <c r="AE35932" s="54"/>
    </row>
    <row r="35933" spans="31:31">
      <c r="AE35933" s="54"/>
    </row>
    <row r="35934" spans="31:31">
      <c r="AE35934" s="54"/>
    </row>
    <row r="35935" spans="31:31">
      <c r="AE35935" s="54"/>
    </row>
    <row r="35936" spans="31:31">
      <c r="AE35936" s="54"/>
    </row>
    <row r="35937" spans="31:31">
      <c r="AE35937" s="54"/>
    </row>
    <row r="35938" spans="31:31">
      <c r="AE35938" s="54"/>
    </row>
    <row r="35939" spans="31:31">
      <c r="AE35939" s="54"/>
    </row>
    <row r="35940" spans="31:31">
      <c r="AE35940" s="54"/>
    </row>
    <row r="35941" spans="31:31">
      <c r="AE35941" s="54"/>
    </row>
    <row r="35942" spans="31:31">
      <c r="AE35942" s="54"/>
    </row>
    <row r="35943" spans="31:31">
      <c r="AE35943" s="54"/>
    </row>
    <row r="35944" spans="31:31">
      <c r="AE35944" s="54"/>
    </row>
    <row r="35945" spans="31:31">
      <c r="AE35945" s="54"/>
    </row>
    <row r="35946" spans="31:31">
      <c r="AE35946" s="54"/>
    </row>
    <row r="35947" spans="31:31">
      <c r="AE35947" s="54"/>
    </row>
    <row r="35948" spans="31:31">
      <c r="AE35948" s="54"/>
    </row>
    <row r="35949" spans="31:31">
      <c r="AE35949" s="54"/>
    </row>
    <row r="35950" spans="31:31">
      <c r="AE35950" s="54"/>
    </row>
    <row r="35951" spans="31:31">
      <c r="AE35951" s="54"/>
    </row>
    <row r="35952" spans="31:31">
      <c r="AE35952" s="54"/>
    </row>
    <row r="35953" spans="31:31">
      <c r="AE35953" s="54"/>
    </row>
    <row r="35954" spans="31:31">
      <c r="AE35954" s="54"/>
    </row>
    <row r="35955" spans="31:31">
      <c r="AE35955" s="54"/>
    </row>
    <row r="35956" spans="31:31">
      <c r="AE35956" s="54"/>
    </row>
    <row r="35957" spans="31:31">
      <c r="AE35957" s="54"/>
    </row>
    <row r="35958" spans="31:31">
      <c r="AE35958" s="54"/>
    </row>
    <row r="35959" spans="31:31">
      <c r="AE35959" s="54"/>
    </row>
    <row r="35960" spans="31:31">
      <c r="AE35960" s="54"/>
    </row>
    <row r="35961" spans="31:31">
      <c r="AE35961" s="54"/>
    </row>
    <row r="35962" spans="31:31">
      <c r="AE35962" s="54"/>
    </row>
    <row r="35963" spans="31:31">
      <c r="AE35963" s="54"/>
    </row>
    <row r="35964" spans="31:31">
      <c r="AE35964" s="54"/>
    </row>
    <row r="35965" spans="31:31">
      <c r="AE35965" s="54"/>
    </row>
    <row r="35966" spans="31:31">
      <c r="AE35966" s="54"/>
    </row>
    <row r="35967" spans="31:31">
      <c r="AE35967" s="54"/>
    </row>
    <row r="35968" spans="31:31">
      <c r="AE35968" s="54"/>
    </row>
    <row r="35969" spans="31:31">
      <c r="AE35969" s="54"/>
    </row>
    <row r="35970" spans="31:31">
      <c r="AE35970" s="54"/>
    </row>
    <row r="35971" spans="31:31">
      <c r="AE35971" s="54"/>
    </row>
    <row r="35972" spans="31:31">
      <c r="AE35972" s="54"/>
    </row>
    <row r="35973" spans="31:31">
      <c r="AE35973" s="54"/>
    </row>
    <row r="35974" spans="31:31">
      <c r="AE35974" s="54"/>
    </row>
    <row r="35975" spans="31:31">
      <c r="AE35975" s="54"/>
    </row>
    <row r="35976" spans="31:31">
      <c r="AE35976" s="54"/>
    </row>
    <row r="35977" spans="31:31">
      <c r="AE35977" s="54"/>
    </row>
    <row r="35978" spans="31:31">
      <c r="AE35978" s="54"/>
    </row>
    <row r="35979" spans="31:31">
      <c r="AE35979" s="54"/>
    </row>
    <row r="35980" spans="31:31">
      <c r="AE35980" s="54"/>
    </row>
    <row r="35981" spans="31:31">
      <c r="AE35981" s="54"/>
    </row>
    <row r="35982" spans="31:31">
      <c r="AE35982" s="54"/>
    </row>
    <row r="35983" spans="31:31">
      <c r="AE35983" s="54"/>
    </row>
    <row r="35984" spans="31:31">
      <c r="AE35984" s="54"/>
    </row>
    <row r="35985" spans="31:31">
      <c r="AE35985" s="54"/>
    </row>
    <row r="35986" spans="31:31">
      <c r="AE35986" s="54"/>
    </row>
    <row r="35987" spans="31:31">
      <c r="AE35987" s="54"/>
    </row>
    <row r="35988" spans="31:31">
      <c r="AE35988" s="54"/>
    </row>
    <row r="35989" spans="31:31">
      <c r="AE35989" s="54"/>
    </row>
    <row r="35990" spans="31:31">
      <c r="AE35990" s="54"/>
    </row>
    <row r="35991" spans="31:31">
      <c r="AE35991" s="54"/>
    </row>
    <row r="35992" spans="31:31">
      <c r="AE35992" s="54"/>
    </row>
    <row r="35993" spans="31:31">
      <c r="AE35993" s="54"/>
    </row>
    <row r="35994" spans="31:31">
      <c r="AE35994" s="54"/>
    </row>
    <row r="35995" spans="31:31">
      <c r="AE35995" s="54"/>
    </row>
    <row r="35996" spans="31:31">
      <c r="AE35996" s="54"/>
    </row>
    <row r="35997" spans="31:31">
      <c r="AE35997" s="54"/>
    </row>
    <row r="35998" spans="31:31">
      <c r="AE35998" s="54"/>
    </row>
    <row r="35999" spans="31:31">
      <c r="AE35999" s="54"/>
    </row>
    <row r="36000" spans="31:31">
      <c r="AE36000" s="54"/>
    </row>
    <row r="36001" spans="31:31">
      <c r="AE36001" s="54"/>
    </row>
    <row r="36002" spans="31:31">
      <c r="AE36002" s="54"/>
    </row>
    <row r="36003" spans="31:31">
      <c r="AE36003" s="54"/>
    </row>
    <row r="36004" spans="31:31">
      <c r="AE36004" s="54"/>
    </row>
    <row r="36005" spans="31:31">
      <c r="AE36005" s="54"/>
    </row>
    <row r="36006" spans="31:31">
      <c r="AE36006" s="54"/>
    </row>
    <row r="36007" spans="31:31">
      <c r="AE36007" s="54"/>
    </row>
    <row r="36008" spans="31:31">
      <c r="AE36008" s="54"/>
    </row>
    <row r="36009" spans="31:31">
      <c r="AE36009" s="54"/>
    </row>
    <row r="36010" spans="31:31">
      <c r="AE36010" s="54"/>
    </row>
    <row r="36011" spans="31:31">
      <c r="AE36011" s="54"/>
    </row>
    <row r="36012" spans="31:31">
      <c r="AE36012" s="54"/>
    </row>
    <row r="36013" spans="31:31">
      <c r="AE36013" s="54"/>
    </row>
    <row r="36014" spans="31:31">
      <c r="AE36014" s="54"/>
    </row>
    <row r="36015" spans="31:31">
      <c r="AE36015" s="54"/>
    </row>
    <row r="36016" spans="31:31">
      <c r="AE36016" s="54"/>
    </row>
    <row r="36017" spans="31:31">
      <c r="AE36017" s="54"/>
    </row>
    <row r="36018" spans="31:31">
      <c r="AE36018" s="54"/>
    </row>
    <row r="36019" spans="31:31">
      <c r="AE36019" s="54"/>
    </row>
    <row r="36020" spans="31:31">
      <c r="AE36020" s="54"/>
    </row>
    <row r="36021" spans="31:31">
      <c r="AE36021" s="54"/>
    </row>
    <row r="36022" spans="31:31">
      <c r="AE36022" s="54"/>
    </row>
    <row r="36023" spans="31:31">
      <c r="AE36023" s="54"/>
    </row>
    <row r="36024" spans="31:31">
      <c r="AE36024" s="54"/>
    </row>
    <row r="36025" spans="31:31">
      <c r="AE36025" s="54"/>
    </row>
    <row r="36026" spans="31:31">
      <c r="AE36026" s="54"/>
    </row>
    <row r="36027" spans="31:31">
      <c r="AE36027" s="54"/>
    </row>
    <row r="36028" spans="31:31">
      <c r="AE36028" s="54"/>
    </row>
    <row r="36029" spans="31:31">
      <c r="AE36029" s="54"/>
    </row>
    <row r="36030" spans="31:31">
      <c r="AE36030" s="54"/>
    </row>
    <row r="36031" spans="31:31">
      <c r="AE36031" s="54"/>
    </row>
    <row r="36032" spans="31:31">
      <c r="AE36032" s="54"/>
    </row>
    <row r="36033" spans="31:31">
      <c r="AE36033" s="54"/>
    </row>
    <row r="36034" spans="31:31">
      <c r="AE36034" s="54"/>
    </row>
    <row r="36035" spans="31:31">
      <c r="AE36035" s="54"/>
    </row>
    <row r="36036" spans="31:31">
      <c r="AE36036" s="54"/>
    </row>
    <row r="36037" spans="31:31">
      <c r="AE36037" s="54"/>
    </row>
    <row r="36038" spans="31:31">
      <c r="AE36038" s="54"/>
    </row>
    <row r="36039" spans="31:31">
      <c r="AE36039" s="54"/>
    </row>
    <row r="36040" spans="31:31">
      <c r="AE36040" s="54"/>
    </row>
    <row r="36041" spans="31:31">
      <c r="AE36041" s="54"/>
    </row>
    <row r="36042" spans="31:31">
      <c r="AE36042" s="54"/>
    </row>
    <row r="36043" spans="31:31">
      <c r="AE36043" s="54"/>
    </row>
    <row r="36044" spans="31:31">
      <c r="AE36044" s="54"/>
    </row>
    <row r="36045" spans="31:31">
      <c r="AE36045" s="54"/>
    </row>
    <row r="36046" spans="31:31">
      <c r="AE36046" s="54"/>
    </row>
    <row r="36047" spans="31:31">
      <c r="AE36047" s="54"/>
    </row>
    <row r="36048" spans="31:31">
      <c r="AE36048" s="54"/>
    </row>
    <row r="36049" spans="31:31">
      <c r="AE36049" s="54"/>
    </row>
    <row r="36050" spans="31:31">
      <c r="AE36050" s="54"/>
    </row>
    <row r="36051" spans="31:31">
      <c r="AE36051" s="54"/>
    </row>
    <row r="36052" spans="31:31">
      <c r="AE36052" s="54"/>
    </row>
    <row r="36053" spans="31:31">
      <c r="AE36053" s="54"/>
    </row>
    <row r="36054" spans="31:31">
      <c r="AE36054" s="54"/>
    </row>
    <row r="36055" spans="31:31">
      <c r="AE36055" s="54"/>
    </row>
    <row r="36056" spans="31:31">
      <c r="AE36056" s="54"/>
    </row>
    <row r="36057" spans="31:31">
      <c r="AE36057" s="54"/>
    </row>
    <row r="36058" spans="31:31">
      <c r="AE36058" s="54"/>
    </row>
    <row r="36059" spans="31:31">
      <c r="AE36059" s="54"/>
    </row>
    <row r="36060" spans="31:31">
      <c r="AE36060" s="54"/>
    </row>
    <row r="36061" spans="31:31">
      <c r="AE36061" s="54"/>
    </row>
    <row r="36062" spans="31:31">
      <c r="AE36062" s="54"/>
    </row>
    <row r="36063" spans="31:31">
      <c r="AE36063" s="54"/>
    </row>
    <row r="36064" spans="31:31">
      <c r="AE36064" s="54"/>
    </row>
    <row r="36065" spans="31:31">
      <c r="AE36065" s="54"/>
    </row>
    <row r="36066" spans="31:31">
      <c r="AE36066" s="54"/>
    </row>
    <row r="36067" spans="31:31">
      <c r="AE36067" s="54"/>
    </row>
    <row r="36068" spans="31:31">
      <c r="AE36068" s="54"/>
    </row>
    <row r="36069" spans="31:31">
      <c r="AE36069" s="54"/>
    </row>
    <row r="36070" spans="31:31">
      <c r="AE36070" s="54"/>
    </row>
    <row r="36071" spans="31:31">
      <c r="AE36071" s="54"/>
    </row>
    <row r="36072" spans="31:31">
      <c r="AE36072" s="54"/>
    </row>
    <row r="36073" spans="31:31">
      <c r="AE36073" s="54"/>
    </row>
    <row r="36074" spans="31:31">
      <c r="AE36074" s="54"/>
    </row>
    <row r="36075" spans="31:31">
      <c r="AE36075" s="54"/>
    </row>
    <row r="36076" spans="31:31">
      <c r="AE36076" s="54"/>
    </row>
    <row r="36077" spans="31:31">
      <c r="AE36077" s="54"/>
    </row>
    <row r="36078" spans="31:31">
      <c r="AE36078" s="54"/>
    </row>
    <row r="36079" spans="31:31">
      <c r="AE36079" s="54"/>
    </row>
    <row r="36080" spans="31:31">
      <c r="AE36080" s="54"/>
    </row>
    <row r="36081" spans="31:31">
      <c r="AE36081" s="54"/>
    </row>
    <row r="36082" spans="31:31">
      <c r="AE36082" s="54"/>
    </row>
    <row r="36083" spans="31:31">
      <c r="AE36083" s="54"/>
    </row>
    <row r="36084" spans="31:31">
      <c r="AE36084" s="54"/>
    </row>
    <row r="36085" spans="31:31">
      <c r="AE36085" s="54"/>
    </row>
    <row r="36086" spans="31:31">
      <c r="AE36086" s="54"/>
    </row>
    <row r="36087" spans="31:31">
      <c r="AE36087" s="54"/>
    </row>
    <row r="36088" spans="31:31">
      <c r="AE36088" s="54"/>
    </row>
    <row r="36089" spans="31:31">
      <c r="AE36089" s="54"/>
    </row>
    <row r="36090" spans="31:31">
      <c r="AE36090" s="54"/>
    </row>
    <row r="36091" spans="31:31">
      <c r="AE36091" s="54"/>
    </row>
    <row r="36092" spans="31:31">
      <c r="AE36092" s="54"/>
    </row>
    <row r="36093" spans="31:31">
      <c r="AE36093" s="54"/>
    </row>
    <row r="36094" spans="31:31">
      <c r="AE36094" s="54"/>
    </row>
    <row r="36095" spans="31:31">
      <c r="AE36095" s="54"/>
    </row>
    <row r="36096" spans="31:31">
      <c r="AE36096" s="54"/>
    </row>
    <row r="36097" spans="31:31">
      <c r="AE36097" s="54"/>
    </row>
    <row r="36098" spans="31:31">
      <c r="AE36098" s="54"/>
    </row>
    <row r="36099" spans="31:31">
      <c r="AE36099" s="54"/>
    </row>
    <row r="36100" spans="31:31">
      <c r="AE36100" s="54"/>
    </row>
    <row r="36101" spans="31:31">
      <c r="AE36101" s="54"/>
    </row>
    <row r="36102" spans="31:31">
      <c r="AE36102" s="54"/>
    </row>
    <row r="36103" spans="31:31">
      <c r="AE36103" s="54"/>
    </row>
    <row r="36104" spans="31:31">
      <c r="AE36104" s="54"/>
    </row>
    <row r="36105" spans="31:31">
      <c r="AE36105" s="54"/>
    </row>
    <row r="36106" spans="31:31">
      <c r="AE36106" s="54"/>
    </row>
    <row r="36107" spans="31:31">
      <c r="AE36107" s="54"/>
    </row>
    <row r="36108" spans="31:31">
      <c r="AE36108" s="54"/>
    </row>
    <row r="36109" spans="31:31">
      <c r="AE36109" s="54"/>
    </row>
    <row r="36110" spans="31:31">
      <c r="AE36110" s="54"/>
    </row>
    <row r="36111" spans="31:31">
      <c r="AE36111" s="54"/>
    </row>
    <row r="36112" spans="31:31">
      <c r="AE36112" s="54"/>
    </row>
    <row r="36113" spans="31:31">
      <c r="AE36113" s="54"/>
    </row>
    <row r="36114" spans="31:31">
      <c r="AE36114" s="54"/>
    </row>
    <row r="36115" spans="31:31">
      <c r="AE36115" s="54"/>
    </row>
    <row r="36116" spans="31:31">
      <c r="AE36116" s="54"/>
    </row>
    <row r="36117" spans="31:31">
      <c r="AE36117" s="54"/>
    </row>
    <row r="36118" spans="31:31">
      <c r="AE36118" s="54"/>
    </row>
    <row r="36119" spans="31:31">
      <c r="AE36119" s="54"/>
    </row>
    <row r="36120" spans="31:31">
      <c r="AE36120" s="54"/>
    </row>
    <row r="36121" spans="31:31">
      <c r="AE36121" s="54"/>
    </row>
    <row r="36122" spans="31:31">
      <c r="AE36122" s="54"/>
    </row>
    <row r="36123" spans="31:31">
      <c r="AE36123" s="54"/>
    </row>
    <row r="36124" spans="31:31">
      <c r="AE36124" s="54"/>
    </row>
    <row r="36125" spans="31:31">
      <c r="AE36125" s="54"/>
    </row>
    <row r="36126" spans="31:31">
      <c r="AE36126" s="54"/>
    </row>
    <row r="36127" spans="31:31">
      <c r="AE36127" s="54"/>
    </row>
    <row r="36128" spans="31:31">
      <c r="AE36128" s="54"/>
    </row>
    <row r="36129" spans="31:31">
      <c r="AE36129" s="54"/>
    </row>
    <row r="36130" spans="31:31">
      <c r="AE36130" s="54"/>
    </row>
    <row r="36131" spans="31:31">
      <c r="AE36131" s="54"/>
    </row>
    <row r="36132" spans="31:31">
      <c r="AE36132" s="54"/>
    </row>
    <row r="36133" spans="31:31">
      <c r="AE36133" s="54"/>
    </row>
    <row r="36134" spans="31:31">
      <c r="AE36134" s="54"/>
    </row>
    <row r="36135" spans="31:31">
      <c r="AE36135" s="54"/>
    </row>
    <row r="36136" spans="31:31">
      <c r="AE36136" s="54"/>
    </row>
    <row r="36137" spans="31:31">
      <c r="AE36137" s="54"/>
    </row>
    <row r="36138" spans="31:31">
      <c r="AE36138" s="54"/>
    </row>
    <row r="36139" spans="31:31">
      <c r="AE36139" s="54"/>
    </row>
    <row r="36140" spans="31:31">
      <c r="AE36140" s="54"/>
    </row>
    <row r="36141" spans="31:31">
      <c r="AE36141" s="54"/>
    </row>
    <row r="36142" spans="31:31">
      <c r="AE36142" s="54"/>
    </row>
    <row r="36143" spans="31:31">
      <c r="AE36143" s="54"/>
    </row>
    <row r="36144" spans="31:31">
      <c r="AE36144" s="54"/>
    </row>
    <row r="36145" spans="31:31">
      <c r="AE36145" s="54"/>
    </row>
    <row r="36146" spans="31:31">
      <c r="AE36146" s="54"/>
    </row>
    <row r="36147" spans="31:31">
      <c r="AE36147" s="54"/>
    </row>
    <row r="36148" spans="31:31">
      <c r="AE36148" s="54"/>
    </row>
    <row r="36149" spans="31:31">
      <c r="AE36149" s="54"/>
    </row>
    <row r="36150" spans="31:31">
      <c r="AE36150" s="54"/>
    </row>
    <row r="36151" spans="31:31">
      <c r="AE36151" s="54"/>
    </row>
    <row r="36152" spans="31:31">
      <c r="AE36152" s="54"/>
    </row>
    <row r="36153" spans="31:31">
      <c r="AE36153" s="54"/>
    </row>
    <row r="36154" spans="31:31">
      <c r="AE36154" s="54"/>
    </row>
    <row r="36155" spans="31:31">
      <c r="AE36155" s="54"/>
    </row>
    <row r="36156" spans="31:31">
      <c r="AE36156" s="54"/>
    </row>
    <row r="36157" spans="31:31">
      <c r="AE36157" s="54"/>
    </row>
    <row r="36158" spans="31:31">
      <c r="AE36158" s="54"/>
    </row>
    <row r="36159" spans="31:31">
      <c r="AE36159" s="54"/>
    </row>
    <row r="36160" spans="31:31">
      <c r="AE36160" s="54"/>
    </row>
    <row r="36161" spans="31:31">
      <c r="AE36161" s="54"/>
    </row>
    <row r="36162" spans="31:31">
      <c r="AE36162" s="54"/>
    </row>
    <row r="36163" spans="31:31">
      <c r="AE36163" s="54"/>
    </row>
    <row r="36164" spans="31:31">
      <c r="AE36164" s="54"/>
    </row>
    <row r="36165" spans="31:31">
      <c r="AE36165" s="54"/>
    </row>
    <row r="36166" spans="31:31">
      <c r="AE36166" s="54"/>
    </row>
    <row r="36167" spans="31:31">
      <c r="AE36167" s="54"/>
    </row>
    <row r="36168" spans="31:31">
      <c r="AE36168" s="54"/>
    </row>
    <row r="36169" spans="31:31">
      <c r="AE36169" s="54"/>
    </row>
    <row r="36170" spans="31:31">
      <c r="AE36170" s="54"/>
    </row>
    <row r="36171" spans="31:31">
      <c r="AE36171" s="54"/>
    </row>
    <row r="36172" spans="31:31">
      <c r="AE36172" s="54"/>
    </row>
    <row r="36173" spans="31:31">
      <c r="AE36173" s="54"/>
    </row>
    <row r="36174" spans="31:31">
      <c r="AE36174" s="54"/>
    </row>
    <row r="36175" spans="31:31">
      <c r="AE36175" s="54"/>
    </row>
    <row r="36176" spans="31:31">
      <c r="AE36176" s="54"/>
    </row>
    <row r="36177" spans="31:31">
      <c r="AE36177" s="54"/>
    </row>
    <row r="36178" spans="31:31">
      <c r="AE36178" s="54"/>
    </row>
    <row r="36179" spans="31:31">
      <c r="AE36179" s="54"/>
    </row>
    <row r="36180" spans="31:31">
      <c r="AE36180" s="54"/>
    </row>
    <row r="36181" spans="31:31">
      <c r="AE36181" s="54"/>
    </row>
    <row r="36182" spans="31:31">
      <c r="AE36182" s="54"/>
    </row>
    <row r="36183" spans="31:31">
      <c r="AE36183" s="54"/>
    </row>
    <row r="36184" spans="31:31">
      <c r="AE36184" s="54"/>
    </row>
    <row r="36185" spans="31:31">
      <c r="AE36185" s="54"/>
    </row>
    <row r="36186" spans="31:31">
      <c r="AE36186" s="54"/>
    </row>
    <row r="36187" spans="31:31">
      <c r="AE36187" s="54"/>
    </row>
    <row r="36188" spans="31:31">
      <c r="AE36188" s="54"/>
    </row>
    <row r="36189" spans="31:31">
      <c r="AE36189" s="54"/>
    </row>
    <row r="36190" spans="31:31">
      <c r="AE36190" s="54"/>
    </row>
    <row r="36191" spans="31:31">
      <c r="AE36191" s="54"/>
    </row>
    <row r="36192" spans="31:31">
      <c r="AE36192" s="54"/>
    </row>
    <row r="36193" spans="31:31">
      <c r="AE36193" s="54"/>
    </row>
    <row r="36194" spans="31:31">
      <c r="AE36194" s="54"/>
    </row>
    <row r="36195" spans="31:31">
      <c r="AE36195" s="54"/>
    </row>
    <row r="36196" spans="31:31">
      <c r="AE36196" s="54"/>
    </row>
    <row r="36197" spans="31:31">
      <c r="AE36197" s="54"/>
    </row>
    <row r="36198" spans="31:31">
      <c r="AE36198" s="54"/>
    </row>
    <row r="36199" spans="31:31">
      <c r="AE36199" s="54"/>
    </row>
    <row r="36200" spans="31:31">
      <c r="AE36200" s="54"/>
    </row>
    <row r="36201" spans="31:31">
      <c r="AE36201" s="54"/>
    </row>
    <row r="36202" spans="31:31">
      <c r="AE36202" s="54"/>
    </row>
    <row r="36203" spans="31:31">
      <c r="AE36203" s="54"/>
    </row>
    <row r="36204" spans="31:31">
      <c r="AE36204" s="54"/>
    </row>
    <row r="36205" spans="31:31">
      <c r="AE36205" s="54"/>
    </row>
    <row r="36206" spans="31:31">
      <c r="AE36206" s="54"/>
    </row>
    <row r="36207" spans="31:31">
      <c r="AE36207" s="54"/>
    </row>
    <row r="36208" spans="31:31">
      <c r="AE36208" s="54"/>
    </row>
    <row r="36209" spans="31:31">
      <c r="AE36209" s="54"/>
    </row>
    <row r="36210" spans="31:31">
      <c r="AE36210" s="54"/>
    </row>
    <row r="36211" spans="31:31">
      <c r="AE36211" s="54"/>
    </row>
    <row r="36212" spans="31:31">
      <c r="AE36212" s="54"/>
    </row>
    <row r="36213" spans="31:31">
      <c r="AE36213" s="54"/>
    </row>
    <row r="36214" spans="31:31">
      <c r="AE36214" s="54"/>
    </row>
    <row r="36215" spans="31:31">
      <c r="AE36215" s="54"/>
    </row>
    <row r="36216" spans="31:31">
      <c r="AE36216" s="54"/>
    </row>
    <row r="36217" spans="31:31">
      <c r="AE36217" s="54"/>
    </row>
    <row r="36218" spans="31:31">
      <c r="AE36218" s="54"/>
    </row>
    <row r="36219" spans="31:31">
      <c r="AE36219" s="54"/>
    </row>
    <row r="36220" spans="31:31">
      <c r="AE36220" s="54"/>
    </row>
    <row r="36221" spans="31:31">
      <c r="AE36221" s="54"/>
    </row>
    <row r="36222" spans="31:31">
      <c r="AE36222" s="54"/>
    </row>
    <row r="36223" spans="31:31">
      <c r="AE36223" s="54"/>
    </row>
    <row r="36224" spans="31:31">
      <c r="AE36224" s="54"/>
    </row>
    <row r="36225" spans="31:31">
      <c r="AE36225" s="54"/>
    </row>
    <row r="36226" spans="31:31">
      <c r="AE36226" s="54"/>
    </row>
    <row r="36227" spans="31:31">
      <c r="AE36227" s="54"/>
    </row>
    <row r="36228" spans="31:31">
      <c r="AE36228" s="54"/>
    </row>
    <row r="36229" spans="31:31">
      <c r="AE36229" s="54"/>
    </row>
    <row r="36230" spans="31:31">
      <c r="AE36230" s="54"/>
    </row>
    <row r="36231" spans="31:31">
      <c r="AE36231" s="54"/>
    </row>
    <row r="36232" spans="31:31">
      <c r="AE36232" s="54"/>
    </row>
    <row r="36233" spans="31:31">
      <c r="AE36233" s="54"/>
    </row>
    <row r="36234" spans="31:31">
      <c r="AE36234" s="54"/>
    </row>
    <row r="36235" spans="31:31">
      <c r="AE36235" s="54"/>
    </row>
    <row r="36236" spans="31:31">
      <c r="AE36236" s="54"/>
    </row>
    <row r="36237" spans="31:31">
      <c r="AE36237" s="54"/>
    </row>
    <row r="36238" spans="31:31">
      <c r="AE36238" s="54"/>
    </row>
    <row r="36239" spans="31:31">
      <c r="AE36239" s="54"/>
    </row>
    <row r="36240" spans="31:31">
      <c r="AE36240" s="54"/>
    </row>
    <row r="36241" spans="31:31">
      <c r="AE36241" s="54"/>
    </row>
    <row r="36242" spans="31:31">
      <c r="AE36242" s="54"/>
    </row>
    <row r="36243" spans="31:31">
      <c r="AE36243" s="54"/>
    </row>
    <row r="36244" spans="31:31">
      <c r="AE36244" s="54"/>
    </row>
    <row r="36245" spans="31:31">
      <c r="AE36245" s="54"/>
    </row>
    <row r="36246" spans="31:31">
      <c r="AE36246" s="54"/>
    </row>
    <row r="36247" spans="31:31">
      <c r="AE36247" s="54"/>
    </row>
    <row r="36248" spans="31:31">
      <c r="AE36248" s="54"/>
    </row>
    <row r="36249" spans="31:31">
      <c r="AE36249" s="54"/>
    </row>
    <row r="36250" spans="31:31">
      <c r="AE36250" s="54"/>
    </row>
    <row r="36251" spans="31:31">
      <c r="AE36251" s="54"/>
    </row>
    <row r="36252" spans="31:31">
      <c r="AE36252" s="54"/>
    </row>
    <row r="36253" spans="31:31">
      <c r="AE36253" s="54"/>
    </row>
    <row r="36254" spans="31:31">
      <c r="AE36254" s="54"/>
    </row>
    <row r="36255" spans="31:31">
      <c r="AE36255" s="54"/>
    </row>
    <row r="36256" spans="31:31">
      <c r="AE36256" s="54"/>
    </row>
    <row r="36257" spans="31:31">
      <c r="AE36257" s="54"/>
    </row>
    <row r="36258" spans="31:31">
      <c r="AE36258" s="54"/>
    </row>
    <row r="36259" spans="31:31">
      <c r="AE36259" s="54"/>
    </row>
    <row r="36260" spans="31:31">
      <c r="AE36260" s="54"/>
    </row>
    <row r="36261" spans="31:31">
      <c r="AE36261" s="54"/>
    </row>
    <row r="36262" spans="31:31">
      <c r="AE36262" s="54"/>
    </row>
    <row r="36263" spans="31:31">
      <c r="AE36263" s="54"/>
    </row>
    <row r="36264" spans="31:31">
      <c r="AE36264" s="54"/>
    </row>
    <row r="36265" spans="31:31">
      <c r="AE36265" s="54"/>
    </row>
    <row r="36266" spans="31:31">
      <c r="AE36266" s="54"/>
    </row>
    <row r="36267" spans="31:31">
      <c r="AE36267" s="54"/>
    </row>
    <row r="36268" spans="31:31">
      <c r="AE36268" s="54"/>
    </row>
    <row r="36269" spans="31:31">
      <c r="AE36269" s="54"/>
    </row>
    <row r="36270" spans="31:31">
      <c r="AE36270" s="54"/>
    </row>
    <row r="36271" spans="31:31">
      <c r="AE36271" s="54"/>
    </row>
    <row r="36272" spans="31:31">
      <c r="AE36272" s="54"/>
    </row>
    <row r="36273" spans="31:31">
      <c r="AE36273" s="54"/>
    </row>
    <row r="36274" spans="31:31">
      <c r="AE36274" s="54"/>
    </row>
    <row r="36275" spans="31:31">
      <c r="AE36275" s="54"/>
    </row>
    <row r="36276" spans="31:31">
      <c r="AE36276" s="54"/>
    </row>
    <row r="36277" spans="31:31">
      <c r="AE36277" s="54"/>
    </row>
    <row r="36278" spans="31:31">
      <c r="AE36278" s="54"/>
    </row>
    <row r="36279" spans="31:31">
      <c r="AE36279" s="54"/>
    </row>
    <row r="36280" spans="31:31">
      <c r="AE36280" s="54"/>
    </row>
    <row r="36281" spans="31:31">
      <c r="AE36281" s="54"/>
    </row>
    <row r="36282" spans="31:31">
      <c r="AE36282" s="54"/>
    </row>
    <row r="36283" spans="31:31">
      <c r="AE36283" s="54"/>
    </row>
    <row r="36284" spans="31:31">
      <c r="AE36284" s="54"/>
    </row>
    <row r="36285" spans="31:31">
      <c r="AE36285" s="54"/>
    </row>
    <row r="36286" spans="31:31">
      <c r="AE36286" s="54"/>
    </row>
    <row r="36287" spans="31:31">
      <c r="AE36287" s="54"/>
    </row>
    <row r="36288" spans="31:31">
      <c r="AE36288" s="54"/>
    </row>
    <row r="36289" spans="31:31">
      <c r="AE36289" s="54"/>
    </row>
    <row r="36290" spans="31:31">
      <c r="AE36290" s="54"/>
    </row>
    <row r="36291" spans="31:31">
      <c r="AE36291" s="54"/>
    </row>
    <row r="36292" spans="31:31">
      <c r="AE36292" s="54"/>
    </row>
    <row r="36293" spans="31:31">
      <c r="AE36293" s="54"/>
    </row>
    <row r="36294" spans="31:31">
      <c r="AE36294" s="54"/>
    </row>
    <row r="36295" spans="31:31">
      <c r="AE36295" s="54"/>
    </row>
    <row r="36296" spans="31:31">
      <c r="AE36296" s="54"/>
    </row>
    <row r="36297" spans="31:31">
      <c r="AE36297" s="54"/>
    </row>
    <row r="36298" spans="31:31">
      <c r="AE36298" s="54"/>
    </row>
    <row r="36299" spans="31:31">
      <c r="AE36299" s="54"/>
    </row>
    <row r="36300" spans="31:31">
      <c r="AE36300" s="54"/>
    </row>
    <row r="36301" spans="31:31">
      <c r="AE36301" s="54"/>
    </row>
    <row r="36302" spans="31:31">
      <c r="AE36302" s="54"/>
    </row>
    <row r="36303" spans="31:31">
      <c r="AE36303" s="54"/>
    </row>
    <row r="36304" spans="31:31">
      <c r="AE36304" s="54"/>
    </row>
    <row r="36305" spans="31:31">
      <c r="AE36305" s="54"/>
    </row>
    <row r="36306" spans="31:31">
      <c r="AE36306" s="54"/>
    </row>
    <row r="36307" spans="31:31">
      <c r="AE36307" s="54"/>
    </row>
    <row r="36308" spans="31:31">
      <c r="AE36308" s="54"/>
    </row>
    <row r="36309" spans="31:31">
      <c r="AE36309" s="54"/>
    </row>
    <row r="36310" spans="31:31">
      <c r="AE36310" s="54"/>
    </row>
    <row r="36311" spans="31:31">
      <c r="AE36311" s="54"/>
    </row>
    <row r="36312" spans="31:31">
      <c r="AE36312" s="54"/>
    </row>
    <row r="36313" spans="31:31">
      <c r="AE36313" s="54"/>
    </row>
    <row r="36314" spans="31:31">
      <c r="AE36314" s="54"/>
    </row>
    <row r="36315" spans="31:31">
      <c r="AE36315" s="54"/>
    </row>
    <row r="36316" spans="31:31">
      <c r="AE36316" s="54"/>
    </row>
    <row r="36317" spans="31:31">
      <c r="AE36317" s="54"/>
    </row>
    <row r="36318" spans="31:31">
      <c r="AE36318" s="54"/>
    </row>
    <row r="36319" spans="31:31">
      <c r="AE36319" s="54"/>
    </row>
    <row r="36320" spans="31:31">
      <c r="AE36320" s="54"/>
    </row>
    <row r="36321" spans="31:31">
      <c r="AE36321" s="54"/>
    </row>
    <row r="36322" spans="31:31">
      <c r="AE36322" s="54"/>
    </row>
    <row r="36323" spans="31:31">
      <c r="AE36323" s="54"/>
    </row>
    <row r="36324" spans="31:31">
      <c r="AE36324" s="54"/>
    </row>
    <row r="36325" spans="31:31">
      <c r="AE36325" s="54"/>
    </row>
    <row r="36326" spans="31:31">
      <c r="AE36326" s="54"/>
    </row>
    <row r="36327" spans="31:31">
      <c r="AE36327" s="54"/>
    </row>
    <row r="36328" spans="31:31">
      <c r="AE36328" s="54"/>
    </row>
    <row r="36329" spans="31:31">
      <c r="AE36329" s="54"/>
    </row>
    <row r="36330" spans="31:31">
      <c r="AE36330" s="54"/>
    </row>
    <row r="36331" spans="31:31">
      <c r="AE36331" s="54"/>
    </row>
    <row r="36332" spans="31:31">
      <c r="AE36332" s="54"/>
    </row>
    <row r="36333" spans="31:31">
      <c r="AE36333" s="54"/>
    </row>
    <row r="36334" spans="31:31">
      <c r="AE36334" s="54"/>
    </row>
    <row r="36335" spans="31:31">
      <c r="AE36335" s="54"/>
    </row>
    <row r="36336" spans="31:31">
      <c r="AE36336" s="54"/>
    </row>
    <row r="36337" spans="31:31">
      <c r="AE36337" s="54"/>
    </row>
    <row r="36338" spans="31:31">
      <c r="AE36338" s="54"/>
    </row>
    <row r="36339" spans="31:31">
      <c r="AE36339" s="54"/>
    </row>
    <row r="36340" spans="31:31">
      <c r="AE36340" s="54"/>
    </row>
    <row r="36341" spans="31:31">
      <c r="AE36341" s="54"/>
    </row>
    <row r="36342" spans="31:31">
      <c r="AE36342" s="54"/>
    </row>
    <row r="36343" spans="31:31">
      <c r="AE36343" s="54"/>
    </row>
    <row r="36344" spans="31:31">
      <c r="AE36344" s="54"/>
    </row>
    <row r="36345" spans="31:31">
      <c r="AE36345" s="54"/>
    </row>
    <row r="36346" spans="31:31">
      <c r="AE36346" s="54"/>
    </row>
    <row r="36347" spans="31:31">
      <c r="AE36347" s="54"/>
    </row>
    <row r="36348" spans="31:31">
      <c r="AE36348" s="54"/>
    </row>
    <row r="36349" spans="31:31">
      <c r="AE36349" s="54"/>
    </row>
    <row r="36350" spans="31:31">
      <c r="AE36350" s="54"/>
    </row>
    <row r="36351" spans="31:31">
      <c r="AE36351" s="54"/>
    </row>
    <row r="36352" spans="31:31">
      <c r="AE36352" s="54"/>
    </row>
    <row r="36353" spans="31:31">
      <c r="AE36353" s="54"/>
    </row>
    <row r="36354" spans="31:31">
      <c r="AE36354" s="54"/>
    </row>
    <row r="36355" spans="31:31">
      <c r="AE36355" s="54"/>
    </row>
    <row r="36356" spans="31:31">
      <c r="AE36356" s="54"/>
    </row>
    <row r="36357" spans="31:31">
      <c r="AE36357" s="54"/>
    </row>
    <row r="36358" spans="31:31">
      <c r="AE36358" s="54"/>
    </row>
    <row r="36359" spans="31:31">
      <c r="AE36359" s="54"/>
    </row>
    <row r="36360" spans="31:31">
      <c r="AE36360" s="54"/>
    </row>
    <row r="36361" spans="31:31">
      <c r="AE36361" s="54"/>
    </row>
    <row r="36362" spans="31:31">
      <c r="AE36362" s="54"/>
    </row>
    <row r="36363" spans="31:31">
      <c r="AE36363" s="54"/>
    </row>
    <row r="36364" spans="31:31">
      <c r="AE36364" s="54"/>
    </row>
    <row r="36365" spans="31:31">
      <c r="AE36365" s="54"/>
    </row>
    <row r="36366" spans="31:31">
      <c r="AE36366" s="54"/>
    </row>
    <row r="36367" spans="31:31">
      <c r="AE36367" s="54"/>
    </row>
    <row r="36368" spans="31:31">
      <c r="AE36368" s="54"/>
    </row>
    <row r="36369" spans="31:31">
      <c r="AE36369" s="54"/>
    </row>
    <row r="36370" spans="31:31">
      <c r="AE36370" s="54"/>
    </row>
    <row r="36371" spans="31:31">
      <c r="AE36371" s="54"/>
    </row>
    <row r="36372" spans="31:31">
      <c r="AE36372" s="54"/>
    </row>
    <row r="36373" spans="31:31">
      <c r="AE36373" s="54"/>
    </row>
    <row r="36374" spans="31:31">
      <c r="AE36374" s="54"/>
    </row>
    <row r="36375" spans="31:31">
      <c r="AE36375" s="54"/>
    </row>
    <row r="36376" spans="31:31">
      <c r="AE36376" s="54"/>
    </row>
    <row r="36377" spans="31:31">
      <c r="AE36377" s="54"/>
    </row>
    <row r="36378" spans="31:31">
      <c r="AE36378" s="54"/>
    </row>
    <row r="36379" spans="31:31">
      <c r="AE36379" s="54"/>
    </row>
    <row r="36380" spans="31:31">
      <c r="AE36380" s="54"/>
    </row>
    <row r="36381" spans="31:31">
      <c r="AE36381" s="54"/>
    </row>
    <row r="36382" spans="31:31">
      <c r="AE36382" s="54"/>
    </row>
    <row r="36383" spans="31:31">
      <c r="AE36383" s="54"/>
    </row>
    <row r="36384" spans="31:31">
      <c r="AE36384" s="54"/>
    </row>
    <row r="36385" spans="31:31">
      <c r="AE36385" s="54"/>
    </row>
    <row r="36386" spans="31:31">
      <c r="AE36386" s="54"/>
    </row>
    <row r="36387" spans="31:31">
      <c r="AE36387" s="54"/>
    </row>
    <row r="36388" spans="31:31">
      <c r="AE36388" s="54"/>
    </row>
    <row r="36389" spans="31:31">
      <c r="AE36389" s="54"/>
    </row>
    <row r="36390" spans="31:31">
      <c r="AE36390" s="54"/>
    </row>
    <row r="36391" spans="31:31">
      <c r="AE36391" s="54"/>
    </row>
    <row r="36392" spans="31:31">
      <c r="AE36392" s="54"/>
    </row>
    <row r="36393" spans="31:31">
      <c r="AE36393" s="54"/>
    </row>
    <row r="36394" spans="31:31">
      <c r="AE36394" s="54"/>
    </row>
    <row r="36395" spans="31:31">
      <c r="AE36395" s="54"/>
    </row>
    <row r="36396" spans="31:31">
      <c r="AE36396" s="54"/>
    </row>
    <row r="36397" spans="31:31">
      <c r="AE36397" s="54"/>
    </row>
    <row r="36398" spans="31:31">
      <c r="AE36398" s="54"/>
    </row>
    <row r="36399" spans="31:31">
      <c r="AE36399" s="54"/>
    </row>
    <row r="36400" spans="31:31">
      <c r="AE36400" s="54"/>
    </row>
    <row r="36401" spans="31:31">
      <c r="AE36401" s="54"/>
    </row>
    <row r="36402" spans="31:31">
      <c r="AE36402" s="54"/>
    </row>
    <row r="36403" spans="31:31">
      <c r="AE36403" s="54"/>
    </row>
    <row r="36404" spans="31:31">
      <c r="AE36404" s="54"/>
    </row>
    <row r="36405" spans="31:31">
      <c r="AE36405" s="54"/>
    </row>
    <row r="36406" spans="31:31">
      <c r="AE36406" s="54"/>
    </row>
    <row r="36407" spans="31:31">
      <c r="AE36407" s="54"/>
    </row>
    <row r="36408" spans="31:31">
      <c r="AE36408" s="54"/>
    </row>
    <row r="36409" spans="31:31">
      <c r="AE36409" s="54"/>
    </row>
    <row r="36410" spans="31:31">
      <c r="AE36410" s="54"/>
    </row>
    <row r="36411" spans="31:31">
      <c r="AE36411" s="54"/>
    </row>
    <row r="36412" spans="31:31">
      <c r="AE36412" s="54"/>
    </row>
    <row r="36413" spans="31:31">
      <c r="AE36413" s="54"/>
    </row>
    <row r="36414" spans="31:31">
      <c r="AE36414" s="54"/>
    </row>
    <row r="36415" spans="31:31">
      <c r="AE36415" s="54"/>
    </row>
    <row r="36416" spans="31:31">
      <c r="AE36416" s="54"/>
    </row>
    <row r="36417" spans="31:31">
      <c r="AE36417" s="54"/>
    </row>
    <row r="36418" spans="31:31">
      <c r="AE36418" s="54"/>
    </row>
    <row r="36419" spans="31:31">
      <c r="AE36419" s="54"/>
    </row>
    <row r="36420" spans="31:31">
      <c r="AE36420" s="54"/>
    </row>
    <row r="36421" spans="31:31">
      <c r="AE36421" s="54"/>
    </row>
    <row r="36422" spans="31:31">
      <c r="AE36422" s="54"/>
    </row>
    <row r="36423" spans="31:31">
      <c r="AE36423" s="54"/>
    </row>
    <row r="36424" spans="31:31">
      <c r="AE36424" s="54"/>
    </row>
    <row r="36425" spans="31:31">
      <c r="AE36425" s="54"/>
    </row>
    <row r="36426" spans="31:31">
      <c r="AE36426" s="54"/>
    </row>
    <row r="36427" spans="31:31">
      <c r="AE36427" s="54"/>
    </row>
    <row r="36428" spans="31:31">
      <c r="AE36428" s="54"/>
    </row>
    <row r="36429" spans="31:31">
      <c r="AE36429" s="54"/>
    </row>
    <row r="36430" spans="31:31">
      <c r="AE36430" s="54"/>
    </row>
    <row r="36431" spans="31:31">
      <c r="AE36431" s="54"/>
    </row>
    <row r="36432" spans="31:31">
      <c r="AE36432" s="54"/>
    </row>
    <row r="36433" spans="31:31">
      <c r="AE36433" s="54"/>
    </row>
    <row r="36434" spans="31:31">
      <c r="AE36434" s="54"/>
    </row>
    <row r="36435" spans="31:31">
      <c r="AE36435" s="54"/>
    </row>
    <row r="36436" spans="31:31">
      <c r="AE36436" s="54"/>
    </row>
    <row r="36437" spans="31:31">
      <c r="AE36437" s="54"/>
    </row>
    <row r="36438" spans="31:31">
      <c r="AE36438" s="54"/>
    </row>
    <row r="36439" spans="31:31">
      <c r="AE36439" s="54"/>
    </row>
    <row r="36440" spans="31:31">
      <c r="AE36440" s="54"/>
    </row>
    <row r="36441" spans="31:31">
      <c r="AE36441" s="54"/>
    </row>
    <row r="36442" spans="31:31">
      <c r="AE36442" s="54"/>
    </row>
    <row r="36443" spans="31:31">
      <c r="AE36443" s="54"/>
    </row>
    <row r="36444" spans="31:31">
      <c r="AE36444" s="54"/>
    </row>
    <row r="36445" spans="31:31">
      <c r="AE36445" s="54"/>
    </row>
    <row r="36446" spans="31:31">
      <c r="AE36446" s="54"/>
    </row>
    <row r="36447" spans="31:31">
      <c r="AE36447" s="54"/>
    </row>
    <row r="36448" spans="31:31">
      <c r="AE36448" s="54"/>
    </row>
    <row r="36449" spans="31:31">
      <c r="AE36449" s="54"/>
    </row>
    <row r="36450" spans="31:31">
      <c r="AE36450" s="54"/>
    </row>
    <row r="36451" spans="31:31">
      <c r="AE36451" s="54"/>
    </row>
    <row r="36452" spans="31:31">
      <c r="AE36452" s="54"/>
    </row>
    <row r="36453" spans="31:31">
      <c r="AE36453" s="54"/>
    </row>
    <row r="36454" spans="31:31">
      <c r="AE36454" s="54"/>
    </row>
    <row r="36455" spans="31:31">
      <c r="AE36455" s="54"/>
    </row>
    <row r="36456" spans="31:31">
      <c r="AE36456" s="54"/>
    </row>
    <row r="36457" spans="31:31">
      <c r="AE36457" s="54"/>
    </row>
    <row r="36458" spans="31:31">
      <c r="AE36458" s="54"/>
    </row>
    <row r="36459" spans="31:31">
      <c r="AE36459" s="54"/>
    </row>
    <row r="36460" spans="31:31">
      <c r="AE36460" s="54"/>
    </row>
    <row r="36461" spans="31:31">
      <c r="AE36461" s="54"/>
    </row>
    <row r="36462" spans="31:31">
      <c r="AE36462" s="54"/>
    </row>
    <row r="36463" spans="31:31">
      <c r="AE36463" s="54"/>
    </row>
    <row r="36464" spans="31:31">
      <c r="AE36464" s="54"/>
    </row>
    <row r="36465" spans="31:31">
      <c r="AE36465" s="54"/>
    </row>
    <row r="36466" spans="31:31">
      <c r="AE36466" s="54"/>
    </row>
    <row r="36467" spans="31:31">
      <c r="AE36467" s="54"/>
    </row>
    <row r="36468" spans="31:31">
      <c r="AE36468" s="54"/>
    </row>
    <row r="36469" spans="31:31">
      <c r="AE36469" s="54"/>
    </row>
    <row r="36470" spans="31:31">
      <c r="AE36470" s="54"/>
    </row>
    <row r="36471" spans="31:31">
      <c r="AE36471" s="54"/>
    </row>
    <row r="36472" spans="31:31">
      <c r="AE36472" s="54"/>
    </row>
    <row r="36473" spans="31:31">
      <c r="AE36473" s="54"/>
    </row>
    <row r="36474" spans="31:31">
      <c r="AE36474" s="54"/>
    </row>
    <row r="36475" spans="31:31">
      <c r="AE36475" s="54"/>
    </row>
    <row r="36476" spans="31:31">
      <c r="AE36476" s="54"/>
    </row>
    <row r="36477" spans="31:31">
      <c r="AE36477" s="54"/>
    </row>
    <row r="36478" spans="31:31">
      <c r="AE36478" s="54"/>
    </row>
    <row r="36479" spans="31:31">
      <c r="AE36479" s="54"/>
    </row>
    <row r="36480" spans="31:31">
      <c r="AE36480" s="54"/>
    </row>
    <row r="36481" spans="31:31">
      <c r="AE36481" s="54"/>
    </row>
    <row r="36482" spans="31:31">
      <c r="AE36482" s="54"/>
    </row>
    <row r="36483" spans="31:31">
      <c r="AE36483" s="54"/>
    </row>
    <row r="36484" spans="31:31">
      <c r="AE36484" s="54"/>
    </row>
    <row r="36485" spans="31:31">
      <c r="AE36485" s="54"/>
    </row>
    <row r="36486" spans="31:31">
      <c r="AE36486" s="54"/>
    </row>
    <row r="36487" spans="31:31">
      <c r="AE36487" s="54"/>
    </row>
    <row r="36488" spans="31:31">
      <c r="AE36488" s="54"/>
    </row>
    <row r="36489" spans="31:31">
      <c r="AE36489" s="54"/>
    </row>
    <row r="36490" spans="31:31">
      <c r="AE36490" s="54"/>
    </row>
    <row r="36491" spans="31:31">
      <c r="AE36491" s="54"/>
    </row>
    <row r="36492" spans="31:31">
      <c r="AE36492" s="54"/>
    </row>
    <row r="36493" spans="31:31">
      <c r="AE36493" s="54"/>
    </row>
    <row r="36494" spans="31:31">
      <c r="AE36494" s="54"/>
    </row>
    <row r="36495" spans="31:31">
      <c r="AE36495" s="54"/>
    </row>
    <row r="36496" spans="31:31">
      <c r="AE36496" s="54"/>
    </row>
    <row r="36497" spans="31:31">
      <c r="AE36497" s="54"/>
    </row>
    <row r="36498" spans="31:31">
      <c r="AE36498" s="54"/>
    </row>
    <row r="36499" spans="31:31">
      <c r="AE36499" s="54"/>
    </row>
    <row r="36500" spans="31:31">
      <c r="AE36500" s="54"/>
    </row>
    <row r="36501" spans="31:31">
      <c r="AE36501" s="54"/>
    </row>
    <row r="36502" spans="31:31">
      <c r="AE36502" s="54"/>
    </row>
    <row r="36503" spans="31:31">
      <c r="AE36503" s="54"/>
    </row>
    <row r="36504" spans="31:31">
      <c r="AE36504" s="54"/>
    </row>
    <row r="36505" spans="31:31">
      <c r="AE36505" s="54"/>
    </row>
    <row r="36506" spans="31:31">
      <c r="AE36506" s="54"/>
    </row>
    <row r="36507" spans="31:31">
      <c r="AE36507" s="54"/>
    </row>
    <row r="36508" spans="31:31">
      <c r="AE36508" s="54"/>
    </row>
    <row r="36509" spans="31:31">
      <c r="AE36509" s="54"/>
    </row>
    <row r="36510" spans="31:31">
      <c r="AE36510" s="54"/>
    </row>
    <row r="36511" spans="31:31">
      <c r="AE36511" s="54"/>
    </row>
    <row r="36512" spans="31:31">
      <c r="AE36512" s="54"/>
    </row>
    <row r="36513" spans="31:31">
      <c r="AE36513" s="54"/>
    </row>
    <row r="36514" spans="31:31">
      <c r="AE36514" s="54"/>
    </row>
    <row r="36515" spans="31:31">
      <c r="AE36515" s="54"/>
    </row>
    <row r="36516" spans="31:31">
      <c r="AE36516" s="54"/>
    </row>
    <row r="36517" spans="31:31">
      <c r="AE36517" s="54"/>
    </row>
    <row r="36518" spans="31:31">
      <c r="AE36518" s="54"/>
    </row>
    <row r="36519" spans="31:31">
      <c r="AE36519" s="54"/>
    </row>
    <row r="36520" spans="31:31">
      <c r="AE36520" s="54"/>
    </row>
    <row r="36521" spans="31:31">
      <c r="AE36521" s="54"/>
    </row>
    <row r="36522" spans="31:31">
      <c r="AE36522" s="54"/>
    </row>
    <row r="36523" spans="31:31">
      <c r="AE36523" s="54"/>
    </row>
    <row r="36524" spans="31:31">
      <c r="AE36524" s="54"/>
    </row>
    <row r="36525" spans="31:31">
      <c r="AE36525" s="54"/>
    </row>
    <row r="36526" spans="31:31">
      <c r="AE36526" s="54"/>
    </row>
    <row r="36527" spans="31:31">
      <c r="AE36527" s="54"/>
    </row>
    <row r="36528" spans="31:31">
      <c r="AE36528" s="54"/>
    </row>
    <row r="36529" spans="31:31">
      <c r="AE36529" s="54"/>
    </row>
    <row r="36530" spans="31:31">
      <c r="AE36530" s="54"/>
    </row>
    <row r="36531" spans="31:31">
      <c r="AE36531" s="54"/>
    </row>
    <row r="36532" spans="31:31">
      <c r="AE36532" s="54"/>
    </row>
    <row r="36533" spans="31:31">
      <c r="AE36533" s="54"/>
    </row>
    <row r="36534" spans="31:31">
      <c r="AE36534" s="54"/>
    </row>
    <row r="36535" spans="31:31">
      <c r="AE36535" s="54"/>
    </row>
    <row r="36536" spans="31:31">
      <c r="AE36536" s="54"/>
    </row>
    <row r="36537" spans="31:31">
      <c r="AE36537" s="54"/>
    </row>
    <row r="36538" spans="31:31">
      <c r="AE36538" s="54"/>
    </row>
    <row r="36539" spans="31:31">
      <c r="AE36539" s="54"/>
    </row>
    <row r="36540" spans="31:31">
      <c r="AE36540" s="54"/>
    </row>
    <row r="36541" spans="31:31">
      <c r="AE36541" s="54"/>
    </row>
    <row r="36542" spans="31:31">
      <c r="AE36542" s="54"/>
    </row>
    <row r="36543" spans="31:31">
      <c r="AE36543" s="54"/>
    </row>
    <row r="36544" spans="31:31">
      <c r="AE36544" s="54"/>
    </row>
    <row r="36545" spans="31:31">
      <c r="AE36545" s="54"/>
    </row>
    <row r="36546" spans="31:31">
      <c r="AE36546" s="54"/>
    </row>
    <row r="36547" spans="31:31">
      <c r="AE36547" s="54"/>
    </row>
    <row r="36548" spans="31:31">
      <c r="AE36548" s="54"/>
    </row>
    <row r="36549" spans="31:31">
      <c r="AE36549" s="54"/>
    </row>
    <row r="36550" spans="31:31">
      <c r="AE36550" s="54"/>
    </row>
    <row r="36551" spans="31:31">
      <c r="AE36551" s="54"/>
    </row>
    <row r="36552" spans="31:31">
      <c r="AE36552" s="54"/>
    </row>
    <row r="36553" spans="31:31">
      <c r="AE36553" s="54"/>
    </row>
    <row r="36554" spans="31:31">
      <c r="AE36554" s="54"/>
    </row>
    <row r="36555" spans="31:31">
      <c r="AE36555" s="54"/>
    </row>
    <row r="36556" spans="31:31">
      <c r="AE36556" s="54"/>
    </row>
    <row r="36557" spans="31:31">
      <c r="AE36557" s="54"/>
    </row>
    <row r="36558" spans="31:31">
      <c r="AE36558" s="54"/>
    </row>
    <row r="36559" spans="31:31">
      <c r="AE36559" s="54"/>
    </row>
    <row r="36560" spans="31:31">
      <c r="AE36560" s="54"/>
    </row>
    <row r="36561" spans="31:31">
      <c r="AE36561" s="54"/>
    </row>
    <row r="36562" spans="31:31">
      <c r="AE36562" s="54"/>
    </row>
    <row r="36563" spans="31:31">
      <c r="AE36563" s="54"/>
    </row>
    <row r="36564" spans="31:31">
      <c r="AE36564" s="54"/>
    </row>
    <row r="36565" spans="31:31">
      <c r="AE36565" s="54"/>
    </row>
    <row r="36566" spans="31:31">
      <c r="AE36566" s="54"/>
    </row>
    <row r="36567" spans="31:31">
      <c r="AE36567" s="54"/>
    </row>
    <row r="36568" spans="31:31">
      <c r="AE36568" s="54"/>
    </row>
    <row r="36569" spans="31:31">
      <c r="AE36569" s="54"/>
    </row>
    <row r="36570" spans="31:31">
      <c r="AE36570" s="54"/>
    </row>
    <row r="36571" spans="31:31">
      <c r="AE36571" s="54"/>
    </row>
    <row r="36572" spans="31:31">
      <c r="AE36572" s="54"/>
    </row>
    <row r="36573" spans="31:31">
      <c r="AE36573" s="54"/>
    </row>
    <row r="36574" spans="31:31">
      <c r="AE36574" s="54"/>
    </row>
    <row r="36575" spans="31:31">
      <c r="AE36575" s="54"/>
    </row>
    <row r="36576" spans="31:31">
      <c r="AE36576" s="54"/>
    </row>
    <row r="36577" spans="31:31">
      <c r="AE36577" s="54"/>
    </row>
    <row r="36578" spans="31:31">
      <c r="AE36578" s="54"/>
    </row>
    <row r="36579" spans="31:31">
      <c r="AE36579" s="54"/>
    </row>
    <row r="36580" spans="31:31">
      <c r="AE36580" s="54"/>
    </row>
    <row r="36581" spans="31:31">
      <c r="AE36581" s="54"/>
    </row>
    <row r="36582" spans="31:31">
      <c r="AE36582" s="54"/>
    </row>
    <row r="36583" spans="31:31">
      <c r="AE36583" s="54"/>
    </row>
    <row r="36584" spans="31:31">
      <c r="AE36584" s="54"/>
    </row>
    <row r="36585" spans="31:31">
      <c r="AE36585" s="54"/>
    </row>
    <row r="36586" spans="31:31">
      <c r="AE36586" s="54"/>
    </row>
    <row r="36587" spans="31:31">
      <c r="AE36587" s="54"/>
    </row>
    <row r="36588" spans="31:31">
      <c r="AE36588" s="54"/>
    </row>
    <row r="36589" spans="31:31">
      <c r="AE36589" s="54"/>
    </row>
    <row r="36590" spans="31:31">
      <c r="AE36590" s="54"/>
    </row>
    <row r="36591" spans="31:31">
      <c r="AE36591" s="54"/>
    </row>
    <row r="36592" spans="31:31">
      <c r="AE36592" s="54"/>
    </row>
    <row r="36593" spans="31:31">
      <c r="AE36593" s="54"/>
    </row>
    <row r="36594" spans="31:31">
      <c r="AE36594" s="54"/>
    </row>
    <row r="36595" spans="31:31">
      <c r="AE36595" s="54"/>
    </row>
    <row r="36596" spans="31:31">
      <c r="AE36596" s="54"/>
    </row>
    <row r="36597" spans="31:31">
      <c r="AE36597" s="54"/>
    </row>
    <row r="36598" spans="31:31">
      <c r="AE36598" s="54"/>
    </row>
    <row r="36599" spans="31:31">
      <c r="AE36599" s="54"/>
    </row>
    <row r="36600" spans="31:31">
      <c r="AE36600" s="54"/>
    </row>
    <row r="36601" spans="31:31">
      <c r="AE36601" s="54"/>
    </row>
    <row r="36602" spans="31:31">
      <c r="AE36602" s="54"/>
    </row>
    <row r="36603" spans="31:31">
      <c r="AE36603" s="54"/>
    </row>
    <row r="36604" spans="31:31">
      <c r="AE36604" s="54"/>
    </row>
    <row r="36605" spans="31:31">
      <c r="AE36605" s="54"/>
    </row>
    <row r="36606" spans="31:31">
      <c r="AE36606" s="54"/>
    </row>
    <row r="36607" spans="31:31">
      <c r="AE36607" s="54"/>
    </row>
    <row r="36608" spans="31:31">
      <c r="AE36608" s="54"/>
    </row>
    <row r="36609" spans="31:31">
      <c r="AE36609" s="54"/>
    </row>
    <row r="36610" spans="31:31">
      <c r="AE36610" s="54"/>
    </row>
    <row r="36611" spans="31:31">
      <c r="AE36611" s="54"/>
    </row>
    <row r="36612" spans="31:31">
      <c r="AE36612" s="54"/>
    </row>
    <row r="36613" spans="31:31">
      <c r="AE36613" s="54"/>
    </row>
    <row r="36614" spans="31:31">
      <c r="AE36614" s="54"/>
    </row>
    <row r="36615" spans="31:31">
      <c r="AE36615" s="54"/>
    </row>
    <row r="36616" spans="31:31">
      <c r="AE36616" s="54"/>
    </row>
    <row r="36617" spans="31:31">
      <c r="AE36617" s="54"/>
    </row>
    <row r="36618" spans="31:31">
      <c r="AE36618" s="54"/>
    </row>
    <row r="36619" spans="31:31">
      <c r="AE36619" s="54"/>
    </row>
    <row r="36620" spans="31:31">
      <c r="AE36620" s="54"/>
    </row>
    <row r="36621" spans="31:31">
      <c r="AE36621" s="54"/>
    </row>
    <row r="36622" spans="31:31">
      <c r="AE36622" s="54"/>
    </row>
    <row r="36623" spans="31:31">
      <c r="AE36623" s="54"/>
    </row>
    <row r="36624" spans="31:31">
      <c r="AE36624" s="54"/>
    </row>
    <row r="36625" spans="31:31">
      <c r="AE36625" s="54"/>
    </row>
    <row r="36626" spans="31:31">
      <c r="AE36626" s="54"/>
    </row>
    <row r="36627" spans="31:31">
      <c r="AE36627" s="54"/>
    </row>
    <row r="36628" spans="31:31">
      <c r="AE36628" s="54"/>
    </row>
    <row r="36629" spans="31:31">
      <c r="AE36629" s="54"/>
    </row>
    <row r="36630" spans="31:31">
      <c r="AE36630" s="54"/>
    </row>
    <row r="36631" spans="31:31">
      <c r="AE36631" s="54"/>
    </row>
    <row r="36632" spans="31:31">
      <c r="AE36632" s="54"/>
    </row>
    <row r="36633" spans="31:31">
      <c r="AE36633" s="54"/>
    </row>
    <row r="36634" spans="31:31">
      <c r="AE36634" s="54"/>
    </row>
    <row r="36635" spans="31:31">
      <c r="AE36635" s="54"/>
    </row>
    <row r="36636" spans="31:31">
      <c r="AE36636" s="54"/>
    </row>
    <row r="36637" spans="31:31">
      <c r="AE36637" s="54"/>
    </row>
    <row r="36638" spans="31:31">
      <c r="AE36638" s="54"/>
    </row>
    <row r="36639" spans="31:31">
      <c r="AE36639" s="54"/>
    </row>
    <row r="36640" spans="31:31">
      <c r="AE36640" s="54"/>
    </row>
    <row r="36641" spans="31:31">
      <c r="AE36641" s="54"/>
    </row>
    <row r="36642" spans="31:31">
      <c r="AE36642" s="54"/>
    </row>
    <row r="36643" spans="31:31">
      <c r="AE36643" s="54"/>
    </row>
    <row r="36644" spans="31:31">
      <c r="AE36644" s="54"/>
    </row>
    <row r="36645" spans="31:31">
      <c r="AE36645" s="54"/>
    </row>
    <row r="36646" spans="31:31">
      <c r="AE36646" s="54"/>
    </row>
    <row r="36647" spans="31:31">
      <c r="AE36647" s="54"/>
    </row>
    <row r="36648" spans="31:31">
      <c r="AE36648" s="54"/>
    </row>
    <row r="36649" spans="31:31">
      <c r="AE36649" s="54"/>
    </row>
    <row r="36650" spans="31:31">
      <c r="AE36650" s="54"/>
    </row>
    <row r="36651" spans="31:31">
      <c r="AE36651" s="54"/>
    </row>
    <row r="36652" spans="31:31">
      <c r="AE36652" s="54"/>
    </row>
    <row r="36653" spans="31:31">
      <c r="AE36653" s="54"/>
    </row>
    <row r="36654" spans="31:31">
      <c r="AE36654" s="54"/>
    </row>
    <row r="36655" spans="31:31">
      <c r="AE36655" s="54"/>
    </row>
    <row r="36656" spans="31:31">
      <c r="AE36656" s="54"/>
    </row>
    <row r="36657" spans="31:31">
      <c r="AE36657" s="54"/>
    </row>
    <row r="36658" spans="31:31">
      <c r="AE36658" s="54"/>
    </row>
    <row r="36659" spans="31:31">
      <c r="AE36659" s="54"/>
    </row>
    <row r="36660" spans="31:31">
      <c r="AE36660" s="54"/>
    </row>
    <row r="36661" spans="31:31">
      <c r="AE36661" s="54"/>
    </row>
    <row r="36662" spans="31:31">
      <c r="AE36662" s="54"/>
    </row>
    <row r="36663" spans="31:31">
      <c r="AE36663" s="54"/>
    </row>
    <row r="36664" spans="31:31">
      <c r="AE36664" s="54"/>
    </row>
    <row r="36665" spans="31:31">
      <c r="AE36665" s="54"/>
    </row>
    <row r="36666" spans="31:31">
      <c r="AE36666" s="54"/>
    </row>
    <row r="36667" spans="31:31">
      <c r="AE36667" s="54"/>
    </row>
    <row r="36668" spans="31:31">
      <c r="AE36668" s="54"/>
    </row>
    <row r="36669" spans="31:31">
      <c r="AE36669" s="54"/>
    </row>
    <row r="36670" spans="31:31">
      <c r="AE36670" s="54"/>
    </row>
    <row r="36671" spans="31:31">
      <c r="AE36671" s="54"/>
    </row>
    <row r="36672" spans="31:31">
      <c r="AE36672" s="54"/>
    </row>
    <row r="36673" spans="31:31">
      <c r="AE36673" s="54"/>
    </row>
    <row r="36674" spans="31:31">
      <c r="AE36674" s="54"/>
    </row>
    <row r="36675" spans="31:31">
      <c r="AE36675" s="54"/>
    </row>
    <row r="36676" spans="31:31">
      <c r="AE36676" s="54"/>
    </row>
    <row r="36677" spans="31:31">
      <c r="AE36677" s="54"/>
    </row>
    <row r="36678" spans="31:31">
      <c r="AE36678" s="54"/>
    </row>
    <row r="36679" spans="31:31">
      <c r="AE36679" s="54"/>
    </row>
    <row r="36680" spans="31:31">
      <c r="AE36680" s="54"/>
    </row>
    <row r="36681" spans="31:31">
      <c r="AE36681" s="54"/>
    </row>
    <row r="36682" spans="31:31">
      <c r="AE36682" s="54"/>
    </row>
    <row r="36683" spans="31:31">
      <c r="AE36683" s="54"/>
    </row>
    <row r="36684" spans="31:31">
      <c r="AE36684" s="54"/>
    </row>
    <row r="36685" spans="31:31">
      <c r="AE36685" s="54"/>
    </row>
    <row r="36686" spans="31:31">
      <c r="AE36686" s="54"/>
    </row>
    <row r="36687" spans="31:31">
      <c r="AE36687" s="54"/>
    </row>
    <row r="36688" spans="31:31">
      <c r="AE36688" s="54"/>
    </row>
    <row r="36689" spans="31:31">
      <c r="AE36689" s="54"/>
    </row>
    <row r="36690" spans="31:31">
      <c r="AE36690" s="54"/>
    </row>
    <row r="36691" spans="31:31">
      <c r="AE36691" s="54"/>
    </row>
    <row r="36692" spans="31:31">
      <c r="AE36692" s="54"/>
    </row>
    <row r="36693" spans="31:31">
      <c r="AE36693" s="54"/>
    </row>
    <row r="36694" spans="31:31">
      <c r="AE36694" s="54"/>
    </row>
    <row r="36695" spans="31:31">
      <c r="AE36695" s="54"/>
    </row>
    <row r="36696" spans="31:31">
      <c r="AE36696" s="54"/>
    </row>
    <row r="36697" spans="31:31">
      <c r="AE36697" s="54"/>
    </row>
    <row r="36698" spans="31:31">
      <c r="AE36698" s="54"/>
    </row>
    <row r="36699" spans="31:31">
      <c r="AE36699" s="54"/>
    </row>
    <row r="36700" spans="31:31">
      <c r="AE36700" s="54"/>
    </row>
    <row r="36701" spans="31:31">
      <c r="AE36701" s="54"/>
    </row>
    <row r="36702" spans="31:31">
      <c r="AE36702" s="54"/>
    </row>
    <row r="36703" spans="31:31">
      <c r="AE36703" s="54"/>
    </row>
    <row r="36704" spans="31:31">
      <c r="AE36704" s="54"/>
    </row>
    <row r="36705" spans="31:31">
      <c r="AE36705" s="54"/>
    </row>
    <row r="36706" spans="31:31">
      <c r="AE36706" s="54"/>
    </row>
    <row r="36707" spans="31:31">
      <c r="AE36707" s="54"/>
    </row>
    <row r="36708" spans="31:31">
      <c r="AE36708" s="54"/>
    </row>
    <row r="36709" spans="31:31">
      <c r="AE36709" s="54"/>
    </row>
    <row r="36710" spans="31:31">
      <c r="AE36710" s="54"/>
    </row>
    <row r="36711" spans="31:31">
      <c r="AE36711" s="54"/>
    </row>
    <row r="36712" spans="31:31">
      <c r="AE36712" s="54"/>
    </row>
    <row r="36713" spans="31:31">
      <c r="AE36713" s="54"/>
    </row>
    <row r="36714" spans="31:31">
      <c r="AE36714" s="54"/>
    </row>
    <row r="36715" spans="31:31">
      <c r="AE36715" s="54"/>
    </row>
    <row r="36716" spans="31:31">
      <c r="AE36716" s="54"/>
    </row>
    <row r="36717" spans="31:31">
      <c r="AE36717" s="54"/>
    </row>
    <row r="36718" spans="31:31">
      <c r="AE36718" s="54"/>
    </row>
    <row r="36719" spans="31:31">
      <c r="AE36719" s="54"/>
    </row>
    <row r="36720" spans="31:31">
      <c r="AE36720" s="54"/>
    </row>
    <row r="36721" spans="31:31">
      <c r="AE36721" s="54"/>
    </row>
    <row r="36722" spans="31:31">
      <c r="AE36722" s="54"/>
    </row>
    <row r="36723" spans="31:31">
      <c r="AE36723" s="54"/>
    </row>
    <row r="36724" spans="31:31">
      <c r="AE36724" s="54"/>
    </row>
    <row r="36725" spans="31:31">
      <c r="AE36725" s="54"/>
    </row>
    <row r="36726" spans="31:31">
      <c r="AE36726" s="54"/>
    </row>
    <row r="36727" spans="31:31">
      <c r="AE36727" s="54"/>
    </row>
    <row r="36728" spans="31:31">
      <c r="AE36728" s="54"/>
    </row>
    <row r="36729" spans="31:31">
      <c r="AE36729" s="54"/>
    </row>
    <row r="36730" spans="31:31">
      <c r="AE36730" s="54"/>
    </row>
    <row r="36731" spans="31:31">
      <c r="AE36731" s="54"/>
    </row>
    <row r="36732" spans="31:31">
      <c r="AE36732" s="54"/>
    </row>
    <row r="36733" spans="31:31">
      <c r="AE36733" s="54"/>
    </row>
    <row r="36734" spans="31:31">
      <c r="AE36734" s="54"/>
    </row>
    <row r="36735" spans="31:31">
      <c r="AE36735" s="54"/>
    </row>
    <row r="36736" spans="31:31">
      <c r="AE36736" s="54"/>
    </row>
    <row r="36737" spans="31:31">
      <c r="AE36737" s="54"/>
    </row>
    <row r="36738" spans="31:31">
      <c r="AE36738" s="54"/>
    </row>
    <row r="36739" spans="31:31">
      <c r="AE36739" s="54"/>
    </row>
    <row r="36740" spans="31:31">
      <c r="AE36740" s="54"/>
    </row>
    <row r="36741" spans="31:31">
      <c r="AE36741" s="54"/>
    </row>
    <row r="36742" spans="31:31">
      <c r="AE36742" s="54"/>
    </row>
    <row r="36743" spans="31:31">
      <c r="AE36743" s="54"/>
    </row>
    <row r="36744" spans="31:31">
      <c r="AE36744" s="54"/>
    </row>
    <row r="36745" spans="31:31">
      <c r="AE36745" s="54"/>
    </row>
    <row r="36746" spans="31:31">
      <c r="AE36746" s="54"/>
    </row>
    <row r="36747" spans="31:31">
      <c r="AE36747" s="54"/>
    </row>
    <row r="36748" spans="31:31">
      <c r="AE36748" s="54"/>
    </row>
    <row r="36749" spans="31:31">
      <c r="AE36749" s="54"/>
    </row>
    <row r="36750" spans="31:31">
      <c r="AE36750" s="54"/>
    </row>
    <row r="36751" spans="31:31">
      <c r="AE36751" s="54"/>
    </row>
    <row r="36752" spans="31:31">
      <c r="AE36752" s="54"/>
    </row>
    <row r="36753" spans="31:31">
      <c r="AE36753" s="54"/>
    </row>
    <row r="36754" spans="31:31">
      <c r="AE36754" s="54"/>
    </row>
    <row r="36755" spans="31:31">
      <c r="AE36755" s="54"/>
    </row>
    <row r="36756" spans="31:31">
      <c r="AE36756" s="54"/>
    </row>
    <row r="36757" spans="31:31">
      <c r="AE36757" s="54"/>
    </row>
    <row r="36758" spans="31:31">
      <c r="AE36758" s="54"/>
    </row>
    <row r="36759" spans="31:31">
      <c r="AE36759" s="54"/>
    </row>
    <row r="36760" spans="31:31">
      <c r="AE36760" s="54"/>
    </row>
    <row r="36761" spans="31:31">
      <c r="AE36761" s="54"/>
    </row>
    <row r="36762" spans="31:31">
      <c r="AE36762" s="54"/>
    </row>
    <row r="36763" spans="31:31">
      <c r="AE36763" s="54"/>
    </row>
    <row r="36764" spans="31:31">
      <c r="AE36764" s="54"/>
    </row>
    <row r="36765" spans="31:31">
      <c r="AE36765" s="54"/>
    </row>
    <row r="36766" spans="31:31">
      <c r="AE36766" s="54"/>
    </row>
    <row r="36767" spans="31:31">
      <c r="AE36767" s="54"/>
    </row>
    <row r="36768" spans="31:31">
      <c r="AE36768" s="54"/>
    </row>
    <row r="36769" spans="31:31">
      <c r="AE36769" s="54"/>
    </row>
    <row r="36770" spans="31:31">
      <c r="AE36770" s="54"/>
    </row>
    <row r="36771" spans="31:31">
      <c r="AE36771" s="54"/>
    </row>
    <row r="36772" spans="31:31">
      <c r="AE36772" s="54"/>
    </row>
    <row r="36773" spans="31:31">
      <c r="AE36773" s="54"/>
    </row>
    <row r="36774" spans="31:31">
      <c r="AE36774" s="54"/>
    </row>
    <row r="36775" spans="31:31">
      <c r="AE36775" s="54"/>
    </row>
    <row r="36776" spans="31:31">
      <c r="AE36776" s="54"/>
    </row>
    <row r="36777" spans="31:31">
      <c r="AE36777" s="54"/>
    </row>
    <row r="36778" spans="31:31">
      <c r="AE36778" s="54"/>
    </row>
    <row r="36779" spans="31:31">
      <c r="AE36779" s="54"/>
    </row>
    <row r="36780" spans="31:31">
      <c r="AE36780" s="54"/>
    </row>
    <row r="36781" spans="31:31">
      <c r="AE36781" s="54"/>
    </row>
    <row r="36782" spans="31:31">
      <c r="AE36782" s="54"/>
    </row>
    <row r="36783" spans="31:31">
      <c r="AE36783" s="54"/>
    </row>
    <row r="36784" spans="31:31">
      <c r="AE36784" s="54"/>
    </row>
    <row r="36785" spans="31:31">
      <c r="AE36785" s="54"/>
    </row>
    <row r="36786" spans="31:31">
      <c r="AE36786" s="54"/>
    </row>
    <row r="36787" spans="31:31">
      <c r="AE36787" s="54"/>
    </row>
    <row r="36788" spans="31:31">
      <c r="AE36788" s="54"/>
    </row>
    <row r="36789" spans="31:31">
      <c r="AE36789" s="54"/>
    </row>
    <row r="36790" spans="31:31">
      <c r="AE36790" s="54"/>
    </row>
    <row r="36791" spans="31:31">
      <c r="AE36791" s="54"/>
    </row>
    <row r="36792" spans="31:31">
      <c r="AE36792" s="54"/>
    </row>
    <row r="36793" spans="31:31">
      <c r="AE36793" s="54"/>
    </row>
    <row r="36794" spans="31:31">
      <c r="AE36794" s="54"/>
    </row>
    <row r="36795" spans="31:31">
      <c r="AE36795" s="54"/>
    </row>
    <row r="36796" spans="31:31">
      <c r="AE36796" s="54"/>
    </row>
    <row r="36797" spans="31:31">
      <c r="AE36797" s="54"/>
    </row>
    <row r="36798" spans="31:31">
      <c r="AE36798" s="54"/>
    </row>
    <row r="36799" spans="31:31">
      <c r="AE36799" s="54"/>
    </row>
    <row r="36800" spans="31:31">
      <c r="AE36800" s="54"/>
    </row>
    <row r="36801" spans="31:31">
      <c r="AE36801" s="54"/>
    </row>
    <row r="36802" spans="31:31">
      <c r="AE36802" s="54"/>
    </row>
    <row r="36803" spans="31:31">
      <c r="AE36803" s="54"/>
    </row>
    <row r="36804" spans="31:31">
      <c r="AE36804" s="54"/>
    </row>
    <row r="36805" spans="31:31">
      <c r="AE36805" s="54"/>
    </row>
    <row r="36806" spans="31:31">
      <c r="AE36806" s="54"/>
    </row>
    <row r="36807" spans="31:31">
      <c r="AE36807" s="54"/>
    </row>
    <row r="36808" spans="31:31">
      <c r="AE36808" s="54"/>
    </row>
    <row r="36809" spans="31:31">
      <c r="AE36809" s="54"/>
    </row>
    <row r="36810" spans="31:31">
      <c r="AE36810" s="54"/>
    </row>
    <row r="36811" spans="31:31">
      <c r="AE36811" s="54"/>
    </row>
    <row r="36812" spans="31:31">
      <c r="AE36812" s="54"/>
    </row>
    <row r="36813" spans="31:31">
      <c r="AE36813" s="54"/>
    </row>
    <row r="36814" spans="31:31">
      <c r="AE36814" s="54"/>
    </row>
    <row r="36815" spans="31:31">
      <c r="AE36815" s="54"/>
    </row>
    <row r="36816" spans="31:31">
      <c r="AE36816" s="54"/>
    </row>
    <row r="36817" spans="31:31">
      <c r="AE36817" s="54"/>
    </row>
    <row r="36818" spans="31:31">
      <c r="AE36818" s="54"/>
    </row>
    <row r="36819" spans="31:31">
      <c r="AE36819" s="54"/>
    </row>
    <row r="36820" spans="31:31">
      <c r="AE36820" s="54"/>
    </row>
    <row r="36821" spans="31:31">
      <c r="AE36821" s="54"/>
    </row>
    <row r="36822" spans="31:31">
      <c r="AE36822" s="54"/>
    </row>
    <row r="36823" spans="31:31">
      <c r="AE36823" s="54"/>
    </row>
    <row r="36824" spans="31:31">
      <c r="AE36824" s="54"/>
    </row>
    <row r="36825" spans="31:31">
      <c r="AE36825" s="54"/>
    </row>
    <row r="36826" spans="31:31">
      <c r="AE36826" s="54"/>
    </row>
    <row r="36827" spans="31:31">
      <c r="AE36827" s="54"/>
    </row>
    <row r="36828" spans="31:31">
      <c r="AE36828" s="54"/>
    </row>
    <row r="36829" spans="31:31">
      <c r="AE36829" s="54"/>
    </row>
    <row r="36830" spans="31:31">
      <c r="AE36830" s="54"/>
    </row>
    <row r="36831" spans="31:31">
      <c r="AE36831" s="54"/>
    </row>
    <row r="36832" spans="31:31">
      <c r="AE36832" s="54"/>
    </row>
    <row r="36833" spans="31:31">
      <c r="AE36833" s="54"/>
    </row>
    <row r="36834" spans="31:31">
      <c r="AE36834" s="54"/>
    </row>
    <row r="36835" spans="31:31">
      <c r="AE36835" s="54"/>
    </row>
    <row r="36836" spans="31:31">
      <c r="AE36836" s="54"/>
    </row>
    <row r="36837" spans="31:31">
      <c r="AE36837" s="54"/>
    </row>
    <row r="36838" spans="31:31">
      <c r="AE36838" s="54"/>
    </row>
    <row r="36839" spans="31:31">
      <c r="AE36839" s="54"/>
    </row>
    <row r="36840" spans="31:31">
      <c r="AE36840" s="54"/>
    </row>
    <row r="36841" spans="31:31">
      <c r="AE36841" s="54"/>
    </row>
    <row r="36842" spans="31:31">
      <c r="AE36842" s="54"/>
    </row>
    <row r="36843" spans="31:31">
      <c r="AE36843" s="54"/>
    </row>
    <row r="36844" spans="31:31">
      <c r="AE36844" s="54"/>
    </row>
    <row r="36845" spans="31:31">
      <c r="AE36845" s="54"/>
    </row>
    <row r="36846" spans="31:31">
      <c r="AE36846" s="54"/>
    </row>
    <row r="36847" spans="31:31">
      <c r="AE36847" s="54"/>
    </row>
    <row r="36848" spans="31:31">
      <c r="AE36848" s="54"/>
    </row>
    <row r="36849" spans="31:31">
      <c r="AE36849" s="54"/>
    </row>
    <row r="36850" spans="31:31">
      <c r="AE36850" s="54"/>
    </row>
    <row r="36851" spans="31:31">
      <c r="AE36851" s="54"/>
    </row>
    <row r="36852" spans="31:31">
      <c r="AE36852" s="54"/>
    </row>
    <row r="36853" spans="31:31">
      <c r="AE36853" s="54"/>
    </row>
    <row r="36854" spans="31:31">
      <c r="AE36854" s="54"/>
    </row>
    <row r="36855" spans="31:31">
      <c r="AE36855" s="54"/>
    </row>
    <row r="36856" spans="31:31">
      <c r="AE36856" s="54"/>
    </row>
    <row r="36857" spans="31:31">
      <c r="AE36857" s="54"/>
    </row>
    <row r="36858" spans="31:31">
      <c r="AE36858" s="54"/>
    </row>
    <row r="36859" spans="31:31">
      <c r="AE36859" s="54"/>
    </row>
    <row r="36860" spans="31:31">
      <c r="AE36860" s="54"/>
    </row>
    <row r="36861" spans="31:31">
      <c r="AE36861" s="54"/>
    </row>
    <row r="36862" spans="31:31">
      <c r="AE36862" s="54"/>
    </row>
    <row r="36863" spans="31:31">
      <c r="AE36863" s="54"/>
    </row>
    <row r="36864" spans="31:31">
      <c r="AE36864" s="54"/>
    </row>
    <row r="36865" spans="31:31">
      <c r="AE36865" s="54"/>
    </row>
    <row r="36866" spans="31:31">
      <c r="AE36866" s="54"/>
    </row>
    <row r="36867" spans="31:31">
      <c r="AE36867" s="54"/>
    </row>
    <row r="36868" spans="31:31">
      <c r="AE36868" s="54"/>
    </row>
    <row r="36869" spans="31:31">
      <c r="AE36869" s="54"/>
    </row>
    <row r="36870" spans="31:31">
      <c r="AE36870" s="54"/>
    </row>
    <row r="36871" spans="31:31">
      <c r="AE36871" s="54"/>
    </row>
    <row r="36872" spans="31:31">
      <c r="AE36872" s="54"/>
    </row>
    <row r="36873" spans="31:31">
      <c r="AE36873" s="54"/>
    </row>
    <row r="36874" spans="31:31">
      <c r="AE36874" s="54"/>
    </row>
    <row r="36875" spans="31:31">
      <c r="AE36875" s="54"/>
    </row>
    <row r="36876" spans="31:31">
      <c r="AE36876" s="54"/>
    </row>
    <row r="36877" spans="31:31">
      <c r="AE36877" s="54"/>
    </row>
    <row r="36878" spans="31:31">
      <c r="AE36878" s="54"/>
    </row>
    <row r="36879" spans="31:31">
      <c r="AE36879" s="54"/>
    </row>
    <row r="36880" spans="31:31">
      <c r="AE36880" s="54"/>
    </row>
    <row r="36881" spans="31:31">
      <c r="AE36881" s="54"/>
    </row>
    <row r="36882" spans="31:31">
      <c r="AE36882" s="54"/>
    </row>
    <row r="36883" spans="31:31">
      <c r="AE36883" s="54"/>
    </row>
    <row r="36884" spans="31:31">
      <c r="AE36884" s="54"/>
    </row>
    <row r="36885" spans="31:31">
      <c r="AE36885" s="54"/>
    </row>
    <row r="36886" spans="31:31">
      <c r="AE36886" s="54"/>
    </row>
    <row r="36887" spans="31:31">
      <c r="AE36887" s="54"/>
    </row>
    <row r="36888" spans="31:31">
      <c r="AE36888" s="54"/>
    </row>
    <row r="36889" spans="31:31">
      <c r="AE36889" s="54"/>
    </row>
    <row r="36890" spans="31:31">
      <c r="AE36890" s="54"/>
    </row>
    <row r="36891" spans="31:31">
      <c r="AE36891" s="54"/>
    </row>
    <row r="36892" spans="31:31">
      <c r="AE36892" s="54"/>
    </row>
    <row r="36893" spans="31:31">
      <c r="AE36893" s="54"/>
    </row>
    <row r="36894" spans="31:31">
      <c r="AE36894" s="54"/>
    </row>
    <row r="36895" spans="31:31">
      <c r="AE36895" s="54"/>
    </row>
    <row r="36896" spans="31:31">
      <c r="AE36896" s="54"/>
    </row>
    <row r="36897" spans="31:31">
      <c r="AE36897" s="54"/>
    </row>
    <row r="36898" spans="31:31">
      <c r="AE36898" s="54"/>
    </row>
    <row r="36899" spans="31:31">
      <c r="AE36899" s="54"/>
    </row>
    <row r="36900" spans="31:31">
      <c r="AE36900" s="54"/>
    </row>
    <row r="36901" spans="31:31">
      <c r="AE36901" s="54"/>
    </row>
    <row r="36902" spans="31:31">
      <c r="AE36902" s="54"/>
    </row>
    <row r="36903" spans="31:31">
      <c r="AE36903" s="54"/>
    </row>
    <row r="36904" spans="31:31">
      <c r="AE36904" s="54"/>
    </row>
    <row r="36905" spans="31:31">
      <c r="AE36905" s="54"/>
    </row>
    <row r="36906" spans="31:31">
      <c r="AE36906" s="54"/>
    </row>
    <row r="36907" spans="31:31">
      <c r="AE36907" s="54"/>
    </row>
    <row r="36908" spans="31:31">
      <c r="AE36908" s="54"/>
    </row>
    <row r="36909" spans="31:31">
      <c r="AE36909" s="54"/>
    </row>
    <row r="36910" spans="31:31">
      <c r="AE36910" s="54"/>
    </row>
    <row r="36911" spans="31:31">
      <c r="AE36911" s="54"/>
    </row>
    <row r="36912" spans="31:31">
      <c r="AE36912" s="54"/>
    </row>
    <row r="36913" spans="31:31">
      <c r="AE36913" s="54"/>
    </row>
    <row r="36914" spans="31:31">
      <c r="AE36914" s="54"/>
    </row>
    <row r="36915" spans="31:31">
      <c r="AE36915" s="54"/>
    </row>
    <row r="36916" spans="31:31">
      <c r="AE36916" s="54"/>
    </row>
    <row r="36917" spans="31:31">
      <c r="AE36917" s="54"/>
    </row>
    <row r="36918" spans="31:31">
      <c r="AE36918" s="54"/>
    </row>
    <row r="36919" spans="31:31">
      <c r="AE36919" s="54"/>
    </row>
    <row r="36920" spans="31:31">
      <c r="AE36920" s="54"/>
    </row>
    <row r="36921" spans="31:31">
      <c r="AE36921" s="54"/>
    </row>
    <row r="36922" spans="31:31">
      <c r="AE36922" s="54"/>
    </row>
    <row r="36923" spans="31:31">
      <c r="AE36923" s="54"/>
    </row>
    <row r="36924" spans="31:31">
      <c r="AE36924" s="54"/>
    </row>
    <row r="36925" spans="31:31">
      <c r="AE36925" s="54"/>
    </row>
    <row r="36926" spans="31:31">
      <c r="AE36926" s="54"/>
    </row>
    <row r="36927" spans="31:31">
      <c r="AE36927" s="54"/>
    </row>
    <row r="36928" spans="31:31">
      <c r="AE36928" s="54"/>
    </row>
    <row r="36929" spans="31:31">
      <c r="AE36929" s="54"/>
    </row>
    <row r="36930" spans="31:31">
      <c r="AE36930" s="54"/>
    </row>
    <row r="36931" spans="31:31">
      <c r="AE36931" s="54"/>
    </row>
    <row r="36932" spans="31:31">
      <c r="AE36932" s="54"/>
    </row>
    <row r="36933" spans="31:31">
      <c r="AE36933" s="54"/>
    </row>
    <row r="36934" spans="31:31">
      <c r="AE36934" s="54"/>
    </row>
    <row r="36935" spans="31:31">
      <c r="AE36935" s="54"/>
    </row>
    <row r="36936" spans="31:31">
      <c r="AE36936" s="54"/>
    </row>
    <row r="36937" spans="31:31">
      <c r="AE36937" s="54"/>
    </row>
    <row r="36938" spans="31:31">
      <c r="AE36938" s="54"/>
    </row>
    <row r="36939" spans="31:31">
      <c r="AE36939" s="54"/>
    </row>
    <row r="36940" spans="31:31">
      <c r="AE36940" s="54"/>
    </row>
    <row r="36941" spans="31:31">
      <c r="AE36941" s="54"/>
    </row>
    <row r="36942" spans="31:31">
      <c r="AE36942" s="54"/>
    </row>
    <row r="36943" spans="31:31">
      <c r="AE36943" s="54"/>
    </row>
    <row r="36944" spans="31:31">
      <c r="AE36944" s="54"/>
    </row>
    <row r="36945" spans="31:31">
      <c r="AE36945" s="54"/>
    </row>
    <row r="36946" spans="31:31">
      <c r="AE36946" s="54"/>
    </row>
    <row r="36947" spans="31:31">
      <c r="AE36947" s="54"/>
    </row>
    <row r="36948" spans="31:31">
      <c r="AE36948" s="54"/>
    </row>
    <row r="36949" spans="31:31">
      <c r="AE36949" s="54"/>
    </row>
    <row r="36950" spans="31:31">
      <c r="AE36950" s="54"/>
    </row>
    <row r="36951" spans="31:31">
      <c r="AE36951" s="54"/>
    </row>
    <row r="36952" spans="31:31">
      <c r="AE36952" s="54"/>
    </row>
    <row r="36953" spans="31:31">
      <c r="AE36953" s="54"/>
    </row>
    <row r="36954" spans="31:31">
      <c r="AE36954" s="54"/>
    </row>
    <row r="36955" spans="31:31">
      <c r="AE36955" s="54"/>
    </row>
    <row r="36956" spans="31:31">
      <c r="AE36956" s="54"/>
    </row>
    <row r="36957" spans="31:31">
      <c r="AE36957" s="54"/>
    </row>
    <row r="36958" spans="31:31">
      <c r="AE36958" s="54"/>
    </row>
    <row r="36959" spans="31:31">
      <c r="AE36959" s="54"/>
    </row>
    <row r="36960" spans="31:31">
      <c r="AE36960" s="54"/>
    </row>
    <row r="36961" spans="31:31">
      <c r="AE36961" s="54"/>
    </row>
    <row r="36962" spans="31:31">
      <c r="AE36962" s="54"/>
    </row>
    <row r="36963" spans="31:31">
      <c r="AE36963" s="54"/>
    </row>
    <row r="36964" spans="31:31">
      <c r="AE36964" s="54"/>
    </row>
    <row r="36965" spans="31:31">
      <c r="AE36965" s="54"/>
    </row>
    <row r="36966" spans="31:31">
      <c r="AE36966" s="54"/>
    </row>
    <row r="36967" spans="31:31">
      <c r="AE36967" s="54"/>
    </row>
    <row r="36968" spans="31:31">
      <c r="AE36968" s="54"/>
    </row>
    <row r="36969" spans="31:31">
      <c r="AE36969" s="54"/>
    </row>
    <row r="36970" spans="31:31">
      <c r="AE36970" s="54"/>
    </row>
    <row r="36971" spans="31:31">
      <c r="AE36971" s="54"/>
    </row>
    <row r="36972" spans="31:31">
      <c r="AE36972" s="54"/>
    </row>
    <row r="36973" spans="31:31">
      <c r="AE36973" s="54"/>
    </row>
    <row r="36974" spans="31:31">
      <c r="AE36974" s="54"/>
    </row>
    <row r="36975" spans="31:31">
      <c r="AE36975" s="54"/>
    </row>
    <row r="36976" spans="31:31">
      <c r="AE36976" s="54"/>
    </row>
    <row r="36977" spans="31:31">
      <c r="AE36977" s="54"/>
    </row>
    <row r="36978" spans="31:31">
      <c r="AE36978" s="54"/>
    </row>
    <row r="36979" spans="31:31">
      <c r="AE36979" s="54"/>
    </row>
    <row r="36980" spans="31:31">
      <c r="AE36980" s="54"/>
    </row>
    <row r="36981" spans="31:31">
      <c r="AE36981" s="54"/>
    </row>
    <row r="36982" spans="31:31">
      <c r="AE36982" s="54"/>
    </row>
    <row r="36983" spans="31:31">
      <c r="AE36983" s="54"/>
    </row>
    <row r="36984" spans="31:31">
      <c r="AE36984" s="54"/>
    </row>
    <row r="36985" spans="31:31">
      <c r="AE36985" s="54"/>
    </row>
    <row r="36986" spans="31:31">
      <c r="AE36986" s="54"/>
    </row>
    <row r="36987" spans="31:31">
      <c r="AE36987" s="54"/>
    </row>
    <row r="36988" spans="31:31">
      <c r="AE36988" s="54"/>
    </row>
    <row r="36989" spans="31:31">
      <c r="AE36989" s="54"/>
    </row>
    <row r="36990" spans="31:31">
      <c r="AE36990" s="54"/>
    </row>
    <row r="36991" spans="31:31">
      <c r="AE36991" s="54"/>
    </row>
    <row r="36992" spans="31:31">
      <c r="AE36992" s="54"/>
    </row>
    <row r="36993" spans="31:31">
      <c r="AE36993" s="54"/>
    </row>
    <row r="36994" spans="31:31">
      <c r="AE36994" s="54"/>
    </row>
    <row r="36995" spans="31:31">
      <c r="AE36995" s="54"/>
    </row>
    <row r="36996" spans="31:31">
      <c r="AE36996" s="54"/>
    </row>
    <row r="36997" spans="31:31">
      <c r="AE36997" s="54"/>
    </row>
    <row r="36998" spans="31:31">
      <c r="AE36998" s="54"/>
    </row>
    <row r="36999" spans="31:31">
      <c r="AE36999" s="54"/>
    </row>
    <row r="37000" spans="31:31">
      <c r="AE37000" s="54"/>
    </row>
    <row r="37001" spans="31:31">
      <c r="AE37001" s="54"/>
    </row>
    <row r="37002" spans="31:31">
      <c r="AE37002" s="54"/>
    </row>
    <row r="37003" spans="31:31">
      <c r="AE37003" s="54"/>
    </row>
    <row r="37004" spans="31:31">
      <c r="AE37004" s="54"/>
    </row>
    <row r="37005" spans="31:31">
      <c r="AE37005" s="54"/>
    </row>
    <row r="37006" spans="31:31">
      <c r="AE37006" s="54"/>
    </row>
    <row r="37007" spans="31:31">
      <c r="AE37007" s="54"/>
    </row>
    <row r="37008" spans="31:31">
      <c r="AE37008" s="54"/>
    </row>
    <row r="37009" spans="31:31">
      <c r="AE37009" s="54"/>
    </row>
    <row r="37010" spans="31:31">
      <c r="AE37010" s="54"/>
    </row>
    <row r="37011" spans="31:31">
      <c r="AE37011" s="54"/>
    </row>
    <row r="37012" spans="31:31">
      <c r="AE37012" s="54"/>
    </row>
    <row r="37013" spans="31:31">
      <c r="AE37013" s="54"/>
    </row>
    <row r="37014" spans="31:31">
      <c r="AE37014" s="54"/>
    </row>
    <row r="37015" spans="31:31">
      <c r="AE37015" s="54"/>
    </row>
    <row r="37016" spans="31:31">
      <c r="AE37016" s="54"/>
    </row>
    <row r="37017" spans="31:31">
      <c r="AE37017" s="54"/>
    </row>
    <row r="37018" spans="31:31">
      <c r="AE37018" s="54"/>
    </row>
    <row r="37019" spans="31:31">
      <c r="AE37019" s="54"/>
    </row>
    <row r="37020" spans="31:31">
      <c r="AE37020" s="54"/>
    </row>
    <row r="37021" spans="31:31">
      <c r="AE37021" s="54"/>
    </row>
    <row r="37022" spans="31:31">
      <c r="AE37022" s="54"/>
    </row>
    <row r="37023" spans="31:31">
      <c r="AE37023" s="54"/>
    </row>
    <row r="37024" spans="31:31">
      <c r="AE37024" s="54"/>
    </row>
    <row r="37025" spans="31:31">
      <c r="AE37025" s="54"/>
    </row>
    <row r="37026" spans="31:31">
      <c r="AE37026" s="54"/>
    </row>
    <row r="37027" spans="31:31">
      <c r="AE37027" s="54"/>
    </row>
    <row r="37028" spans="31:31">
      <c r="AE37028" s="54"/>
    </row>
    <row r="37029" spans="31:31">
      <c r="AE37029" s="54"/>
    </row>
    <row r="37030" spans="31:31">
      <c r="AE37030" s="54"/>
    </row>
    <row r="37031" spans="31:31">
      <c r="AE37031" s="54"/>
    </row>
    <row r="37032" spans="31:31">
      <c r="AE37032" s="54"/>
    </row>
    <row r="37033" spans="31:31">
      <c r="AE37033" s="54"/>
    </row>
    <row r="37034" spans="31:31">
      <c r="AE37034" s="54"/>
    </row>
    <row r="37035" spans="31:31">
      <c r="AE37035" s="54"/>
    </row>
    <row r="37036" spans="31:31">
      <c r="AE37036" s="54"/>
    </row>
    <row r="37037" spans="31:31">
      <c r="AE37037" s="54"/>
    </row>
    <row r="37038" spans="31:31">
      <c r="AE37038" s="54"/>
    </row>
    <row r="37039" spans="31:31">
      <c r="AE37039" s="54"/>
    </row>
    <row r="37040" spans="31:31">
      <c r="AE37040" s="54"/>
    </row>
    <row r="37041" spans="31:31">
      <c r="AE37041" s="54"/>
    </row>
    <row r="37042" spans="31:31">
      <c r="AE37042" s="54"/>
    </row>
    <row r="37043" spans="31:31">
      <c r="AE37043" s="54"/>
    </row>
    <row r="37044" spans="31:31">
      <c r="AE37044" s="54"/>
    </row>
    <row r="37045" spans="31:31">
      <c r="AE37045" s="54"/>
    </row>
    <row r="37046" spans="31:31">
      <c r="AE37046" s="54"/>
    </row>
    <row r="37047" spans="31:31">
      <c r="AE37047" s="54"/>
    </row>
    <row r="37048" spans="31:31">
      <c r="AE37048" s="54"/>
    </row>
    <row r="37049" spans="31:31">
      <c r="AE37049" s="54"/>
    </row>
    <row r="37050" spans="31:31">
      <c r="AE37050" s="54"/>
    </row>
    <row r="37051" spans="31:31">
      <c r="AE37051" s="54"/>
    </row>
    <row r="37052" spans="31:31">
      <c r="AE37052" s="54"/>
    </row>
    <row r="37053" spans="31:31">
      <c r="AE37053" s="54"/>
    </row>
    <row r="37054" spans="31:31">
      <c r="AE37054" s="54"/>
    </row>
    <row r="37055" spans="31:31">
      <c r="AE37055" s="54"/>
    </row>
    <row r="37056" spans="31:31">
      <c r="AE37056" s="54"/>
    </row>
    <row r="37057" spans="31:31">
      <c r="AE37057" s="54"/>
    </row>
    <row r="37058" spans="31:31">
      <c r="AE37058" s="54"/>
    </row>
    <row r="37059" spans="31:31">
      <c r="AE37059" s="54"/>
    </row>
    <row r="37060" spans="31:31">
      <c r="AE37060" s="54"/>
    </row>
    <row r="37061" spans="31:31">
      <c r="AE37061" s="54"/>
    </row>
    <row r="37062" spans="31:31">
      <c r="AE37062" s="54"/>
    </row>
    <row r="37063" spans="31:31">
      <c r="AE37063" s="54"/>
    </row>
    <row r="37064" spans="31:31">
      <c r="AE37064" s="54"/>
    </row>
    <row r="37065" spans="31:31">
      <c r="AE37065" s="54"/>
    </row>
    <row r="37066" spans="31:31">
      <c r="AE37066" s="54"/>
    </row>
    <row r="37067" spans="31:31">
      <c r="AE37067" s="54"/>
    </row>
    <row r="37068" spans="31:31">
      <c r="AE37068" s="54"/>
    </row>
    <row r="37069" spans="31:31">
      <c r="AE37069" s="54"/>
    </row>
    <row r="37070" spans="31:31">
      <c r="AE37070" s="54"/>
    </row>
    <row r="37071" spans="31:31">
      <c r="AE37071" s="54"/>
    </row>
    <row r="37072" spans="31:31">
      <c r="AE37072" s="54"/>
    </row>
    <row r="37073" spans="31:31">
      <c r="AE37073" s="54"/>
    </row>
    <row r="37074" spans="31:31">
      <c r="AE37074" s="54"/>
    </row>
    <row r="37075" spans="31:31">
      <c r="AE37075" s="54"/>
    </row>
    <row r="37076" spans="31:31">
      <c r="AE37076" s="54"/>
    </row>
    <row r="37077" spans="31:31">
      <c r="AE37077" s="54"/>
    </row>
    <row r="37078" spans="31:31">
      <c r="AE37078" s="54"/>
    </row>
    <row r="37079" spans="31:31">
      <c r="AE37079" s="54"/>
    </row>
    <row r="37080" spans="31:31">
      <c r="AE37080" s="54"/>
    </row>
    <row r="37081" spans="31:31">
      <c r="AE37081" s="54"/>
    </row>
    <row r="37082" spans="31:31">
      <c r="AE37082" s="54"/>
    </row>
    <row r="37083" spans="31:31">
      <c r="AE37083" s="54"/>
    </row>
    <row r="37084" spans="31:31">
      <c r="AE37084" s="54"/>
    </row>
    <row r="37085" spans="31:31">
      <c r="AE37085" s="54"/>
    </row>
    <row r="37086" spans="31:31">
      <c r="AE37086" s="54"/>
    </row>
    <row r="37087" spans="31:31">
      <c r="AE37087" s="54"/>
    </row>
    <row r="37088" spans="31:31">
      <c r="AE37088" s="54"/>
    </row>
    <row r="37089" spans="31:31">
      <c r="AE37089" s="54"/>
    </row>
    <row r="37090" spans="31:31">
      <c r="AE37090" s="54"/>
    </row>
    <row r="37091" spans="31:31">
      <c r="AE37091" s="54"/>
    </row>
    <row r="37092" spans="31:31">
      <c r="AE37092" s="54"/>
    </row>
    <row r="37093" spans="31:31">
      <c r="AE37093" s="54"/>
    </row>
    <row r="37094" spans="31:31">
      <c r="AE37094" s="54"/>
    </row>
    <row r="37095" spans="31:31">
      <c r="AE37095" s="54"/>
    </row>
    <row r="37096" spans="31:31">
      <c r="AE37096" s="54"/>
    </row>
    <row r="37097" spans="31:31">
      <c r="AE37097" s="54"/>
    </row>
    <row r="37098" spans="31:31">
      <c r="AE37098" s="54"/>
    </row>
    <row r="37099" spans="31:31">
      <c r="AE37099" s="54"/>
    </row>
    <row r="37100" spans="31:31">
      <c r="AE37100" s="54"/>
    </row>
    <row r="37101" spans="31:31">
      <c r="AE37101" s="54"/>
    </row>
    <row r="37102" spans="31:31">
      <c r="AE37102" s="54"/>
    </row>
    <row r="37103" spans="31:31">
      <c r="AE37103" s="54"/>
    </row>
    <row r="37104" spans="31:31">
      <c r="AE37104" s="54"/>
    </row>
    <row r="37105" spans="31:31">
      <c r="AE37105" s="54"/>
    </row>
    <row r="37106" spans="31:31">
      <c r="AE37106" s="54"/>
    </row>
    <row r="37107" spans="31:31">
      <c r="AE37107" s="54"/>
    </row>
    <row r="37108" spans="31:31">
      <c r="AE37108" s="54"/>
    </row>
    <row r="37109" spans="31:31">
      <c r="AE37109" s="54"/>
    </row>
    <row r="37110" spans="31:31">
      <c r="AE37110" s="54"/>
    </row>
    <row r="37111" spans="31:31">
      <c r="AE37111" s="54"/>
    </row>
    <row r="37112" spans="31:31">
      <c r="AE37112" s="54"/>
    </row>
    <row r="37113" spans="31:31">
      <c r="AE37113" s="54"/>
    </row>
    <row r="37114" spans="31:31">
      <c r="AE37114" s="54"/>
    </row>
    <row r="37115" spans="31:31">
      <c r="AE37115" s="54"/>
    </row>
    <row r="37116" spans="31:31">
      <c r="AE37116" s="54"/>
    </row>
    <row r="37117" spans="31:31">
      <c r="AE37117" s="54"/>
    </row>
    <row r="37118" spans="31:31">
      <c r="AE37118" s="54"/>
    </row>
    <row r="37119" spans="31:31">
      <c r="AE37119" s="54"/>
    </row>
    <row r="37120" spans="31:31">
      <c r="AE37120" s="54"/>
    </row>
    <row r="37121" spans="31:31">
      <c r="AE37121" s="54"/>
    </row>
    <row r="37122" spans="31:31">
      <c r="AE37122" s="54"/>
    </row>
    <row r="37123" spans="31:31">
      <c r="AE37123" s="54"/>
    </row>
    <row r="37124" spans="31:31">
      <c r="AE37124" s="54"/>
    </row>
    <row r="37125" spans="31:31">
      <c r="AE37125" s="54"/>
    </row>
    <row r="37126" spans="31:31">
      <c r="AE37126" s="54"/>
    </row>
    <row r="37127" spans="31:31">
      <c r="AE37127" s="54"/>
    </row>
    <row r="37128" spans="31:31">
      <c r="AE37128" s="54"/>
    </row>
    <row r="37129" spans="31:31">
      <c r="AE37129" s="54"/>
    </row>
    <row r="37130" spans="31:31">
      <c r="AE37130" s="54"/>
    </row>
    <row r="37131" spans="31:31">
      <c r="AE37131" s="54"/>
    </row>
    <row r="37132" spans="31:31">
      <c r="AE37132" s="54"/>
    </row>
    <row r="37133" spans="31:31">
      <c r="AE37133" s="54"/>
    </row>
    <row r="37134" spans="31:31">
      <c r="AE37134" s="54"/>
    </row>
    <row r="37135" spans="31:31">
      <c r="AE37135" s="54"/>
    </row>
    <row r="37136" spans="31:31">
      <c r="AE37136" s="54"/>
    </row>
    <row r="37137" spans="31:31">
      <c r="AE37137" s="54"/>
    </row>
    <row r="37138" spans="31:31">
      <c r="AE37138" s="54"/>
    </row>
    <row r="37139" spans="31:31">
      <c r="AE37139" s="54"/>
    </row>
    <row r="37140" spans="31:31">
      <c r="AE37140" s="54"/>
    </row>
    <row r="37141" spans="31:31">
      <c r="AE37141" s="54"/>
    </row>
    <row r="37142" spans="31:31">
      <c r="AE37142" s="54"/>
    </row>
    <row r="37143" spans="31:31">
      <c r="AE37143" s="54"/>
    </row>
    <row r="37144" spans="31:31">
      <c r="AE37144" s="54"/>
    </row>
    <row r="37145" spans="31:31">
      <c r="AE37145" s="54"/>
    </row>
    <row r="37146" spans="31:31">
      <c r="AE37146" s="54"/>
    </row>
    <row r="37147" spans="31:31">
      <c r="AE37147" s="54"/>
    </row>
    <row r="37148" spans="31:31">
      <c r="AE37148" s="54"/>
    </row>
    <row r="37149" spans="31:31">
      <c r="AE37149" s="54"/>
    </row>
    <row r="37150" spans="31:31">
      <c r="AE37150" s="54"/>
    </row>
    <row r="37151" spans="31:31">
      <c r="AE37151" s="54"/>
    </row>
    <row r="37152" spans="31:31">
      <c r="AE37152" s="54"/>
    </row>
    <row r="37153" spans="31:31">
      <c r="AE37153" s="54"/>
    </row>
    <row r="37154" spans="31:31">
      <c r="AE37154" s="54"/>
    </row>
    <row r="37155" spans="31:31">
      <c r="AE37155" s="54"/>
    </row>
    <row r="37156" spans="31:31">
      <c r="AE37156" s="54"/>
    </row>
    <row r="37157" spans="31:31">
      <c r="AE37157" s="54"/>
    </row>
    <row r="37158" spans="31:31">
      <c r="AE37158" s="54"/>
    </row>
    <row r="37159" spans="31:31">
      <c r="AE37159" s="54"/>
    </row>
    <row r="37160" spans="31:31">
      <c r="AE37160" s="54"/>
    </row>
    <row r="37161" spans="31:31">
      <c r="AE37161" s="54"/>
    </row>
    <row r="37162" spans="31:31">
      <c r="AE37162" s="54"/>
    </row>
    <row r="37163" spans="31:31">
      <c r="AE37163" s="54"/>
    </row>
    <row r="37164" spans="31:31">
      <c r="AE37164" s="54"/>
    </row>
    <row r="37165" spans="31:31">
      <c r="AE37165" s="54"/>
    </row>
    <row r="37166" spans="31:31">
      <c r="AE37166" s="54"/>
    </row>
    <row r="37167" spans="31:31">
      <c r="AE37167" s="54"/>
    </row>
    <row r="37168" spans="31:31">
      <c r="AE37168" s="54"/>
    </row>
    <row r="37169" spans="31:31">
      <c r="AE37169" s="54"/>
    </row>
    <row r="37170" spans="31:31">
      <c r="AE37170" s="54"/>
    </row>
    <row r="37171" spans="31:31">
      <c r="AE37171" s="54"/>
    </row>
    <row r="37172" spans="31:31">
      <c r="AE37172" s="54"/>
    </row>
    <row r="37173" spans="31:31">
      <c r="AE37173" s="54"/>
    </row>
    <row r="37174" spans="31:31">
      <c r="AE37174" s="54"/>
    </row>
    <row r="37175" spans="31:31">
      <c r="AE37175" s="54"/>
    </row>
    <row r="37176" spans="31:31">
      <c r="AE37176" s="54"/>
    </row>
    <row r="37177" spans="31:31">
      <c r="AE37177" s="54"/>
    </row>
    <row r="37178" spans="31:31">
      <c r="AE37178" s="54"/>
    </row>
    <row r="37179" spans="31:31">
      <c r="AE37179" s="54"/>
    </row>
    <row r="37180" spans="31:31">
      <c r="AE37180" s="54"/>
    </row>
    <row r="37181" spans="31:31">
      <c r="AE37181" s="54"/>
    </row>
    <row r="37182" spans="31:31">
      <c r="AE37182" s="54"/>
    </row>
    <row r="37183" spans="31:31">
      <c r="AE37183" s="54"/>
    </row>
    <row r="37184" spans="31:31">
      <c r="AE37184" s="54"/>
    </row>
    <row r="37185" spans="31:31">
      <c r="AE37185" s="54"/>
    </row>
    <row r="37186" spans="31:31">
      <c r="AE37186" s="54"/>
    </row>
    <row r="37187" spans="31:31">
      <c r="AE37187" s="54"/>
    </row>
    <row r="37188" spans="31:31">
      <c r="AE37188" s="54"/>
    </row>
    <row r="37189" spans="31:31">
      <c r="AE37189" s="54"/>
    </row>
    <row r="37190" spans="31:31">
      <c r="AE37190" s="54"/>
    </row>
    <row r="37191" spans="31:31">
      <c r="AE37191" s="54"/>
    </row>
    <row r="37192" spans="31:31">
      <c r="AE37192" s="54"/>
    </row>
    <row r="37193" spans="31:31">
      <c r="AE37193" s="54"/>
    </row>
    <row r="37194" spans="31:31">
      <c r="AE37194" s="54"/>
    </row>
    <row r="37195" spans="31:31">
      <c r="AE37195" s="54"/>
    </row>
    <row r="37196" spans="31:31">
      <c r="AE37196" s="54"/>
    </row>
    <row r="37197" spans="31:31">
      <c r="AE37197" s="54"/>
    </row>
    <row r="37198" spans="31:31">
      <c r="AE37198" s="54"/>
    </row>
    <row r="37199" spans="31:31">
      <c r="AE37199" s="54"/>
    </row>
    <row r="37200" spans="31:31">
      <c r="AE37200" s="54"/>
    </row>
    <row r="37201" spans="31:31">
      <c r="AE37201" s="54"/>
    </row>
    <row r="37202" spans="31:31">
      <c r="AE37202" s="54"/>
    </row>
    <row r="37203" spans="31:31">
      <c r="AE37203" s="54"/>
    </row>
    <row r="37204" spans="31:31">
      <c r="AE37204" s="54"/>
    </row>
    <row r="37205" spans="31:31">
      <c r="AE37205" s="54"/>
    </row>
    <row r="37206" spans="31:31">
      <c r="AE37206" s="54"/>
    </row>
    <row r="37207" spans="31:31">
      <c r="AE37207" s="54"/>
    </row>
    <row r="37208" spans="31:31">
      <c r="AE37208" s="54"/>
    </row>
    <row r="37209" spans="31:31">
      <c r="AE37209" s="54"/>
    </row>
    <row r="37210" spans="31:31">
      <c r="AE37210" s="54"/>
    </row>
    <row r="37211" spans="31:31">
      <c r="AE37211" s="54"/>
    </row>
    <row r="37212" spans="31:31">
      <c r="AE37212" s="54"/>
    </row>
    <row r="37213" spans="31:31">
      <c r="AE37213" s="54"/>
    </row>
    <row r="37214" spans="31:31">
      <c r="AE37214" s="54"/>
    </row>
    <row r="37215" spans="31:31">
      <c r="AE37215" s="54"/>
    </row>
    <row r="37216" spans="31:31">
      <c r="AE37216" s="54"/>
    </row>
    <row r="37217" spans="31:31">
      <c r="AE37217" s="54"/>
    </row>
    <row r="37218" spans="31:31">
      <c r="AE37218" s="54"/>
    </row>
    <row r="37219" spans="31:31">
      <c r="AE37219" s="54"/>
    </row>
    <row r="37220" spans="31:31">
      <c r="AE37220" s="54"/>
    </row>
    <row r="37221" spans="31:31">
      <c r="AE37221" s="54"/>
    </row>
    <row r="37222" spans="31:31">
      <c r="AE37222" s="54"/>
    </row>
    <row r="37223" spans="31:31">
      <c r="AE37223" s="54"/>
    </row>
    <row r="37224" spans="31:31">
      <c r="AE37224" s="54"/>
    </row>
    <row r="37225" spans="31:31">
      <c r="AE37225" s="54"/>
    </row>
    <row r="37226" spans="31:31">
      <c r="AE37226" s="54"/>
    </row>
    <row r="37227" spans="31:31">
      <c r="AE37227" s="54"/>
    </row>
    <row r="37228" spans="31:31">
      <c r="AE37228" s="54"/>
    </row>
    <row r="37229" spans="31:31">
      <c r="AE37229" s="54"/>
    </row>
    <row r="37230" spans="31:31">
      <c r="AE37230" s="54"/>
    </row>
    <row r="37231" spans="31:31">
      <c r="AE37231" s="54"/>
    </row>
    <row r="37232" spans="31:31">
      <c r="AE37232" s="54"/>
    </row>
    <row r="37233" spans="31:31">
      <c r="AE37233" s="54"/>
    </row>
    <row r="37234" spans="31:31">
      <c r="AE37234" s="54"/>
    </row>
    <row r="37235" spans="31:31">
      <c r="AE37235" s="54"/>
    </row>
    <row r="37236" spans="31:31">
      <c r="AE37236" s="54"/>
    </row>
    <row r="37237" spans="31:31">
      <c r="AE37237" s="54"/>
    </row>
    <row r="37238" spans="31:31">
      <c r="AE37238" s="54"/>
    </row>
    <row r="37239" spans="31:31">
      <c r="AE37239" s="54"/>
    </row>
    <row r="37240" spans="31:31">
      <c r="AE37240" s="54"/>
    </row>
    <row r="37241" spans="31:31">
      <c r="AE37241" s="54"/>
    </row>
    <row r="37242" spans="31:31">
      <c r="AE37242" s="54"/>
    </row>
    <row r="37243" spans="31:31">
      <c r="AE37243" s="54"/>
    </row>
    <row r="37244" spans="31:31">
      <c r="AE37244" s="54"/>
    </row>
    <row r="37245" spans="31:31">
      <c r="AE37245" s="54"/>
    </row>
    <row r="37246" spans="31:31">
      <c r="AE37246" s="54"/>
    </row>
    <row r="37247" spans="31:31">
      <c r="AE37247" s="54"/>
    </row>
    <row r="37248" spans="31:31">
      <c r="AE37248" s="54"/>
    </row>
    <row r="37249" spans="31:31">
      <c r="AE37249" s="54"/>
    </row>
    <row r="37250" spans="31:31">
      <c r="AE37250" s="54"/>
    </row>
    <row r="37251" spans="31:31">
      <c r="AE37251" s="54"/>
    </row>
    <row r="37252" spans="31:31">
      <c r="AE37252" s="54"/>
    </row>
    <row r="37253" spans="31:31">
      <c r="AE37253" s="54"/>
    </row>
    <row r="37254" spans="31:31">
      <c r="AE37254" s="54"/>
    </row>
    <row r="37255" spans="31:31">
      <c r="AE37255" s="54"/>
    </row>
    <row r="37256" spans="31:31">
      <c r="AE37256" s="54"/>
    </row>
    <row r="37257" spans="31:31">
      <c r="AE37257" s="54"/>
    </row>
    <row r="37258" spans="31:31">
      <c r="AE37258" s="54"/>
    </row>
    <row r="37259" spans="31:31">
      <c r="AE37259" s="54"/>
    </row>
    <row r="37260" spans="31:31">
      <c r="AE37260" s="54"/>
    </row>
    <row r="37261" spans="31:31">
      <c r="AE37261" s="54"/>
    </row>
    <row r="37262" spans="31:31">
      <c r="AE37262" s="54"/>
    </row>
    <row r="37263" spans="31:31">
      <c r="AE37263" s="54"/>
    </row>
    <row r="37264" spans="31:31">
      <c r="AE37264" s="54"/>
    </row>
    <row r="37265" spans="31:31">
      <c r="AE37265" s="54"/>
    </row>
    <row r="37266" spans="31:31">
      <c r="AE37266" s="54"/>
    </row>
    <row r="37267" spans="31:31">
      <c r="AE37267" s="54"/>
    </row>
    <row r="37268" spans="31:31">
      <c r="AE37268" s="54"/>
    </row>
    <row r="37269" spans="31:31">
      <c r="AE37269" s="54"/>
    </row>
    <row r="37270" spans="31:31">
      <c r="AE37270" s="54"/>
    </row>
    <row r="37271" spans="31:31">
      <c r="AE37271" s="54"/>
    </row>
    <row r="37272" spans="31:31">
      <c r="AE37272" s="54"/>
    </row>
    <row r="37273" spans="31:31">
      <c r="AE37273" s="54"/>
    </row>
    <row r="37274" spans="31:31">
      <c r="AE37274" s="54"/>
    </row>
    <row r="37275" spans="31:31">
      <c r="AE37275" s="54"/>
    </row>
    <row r="37276" spans="31:31">
      <c r="AE37276" s="54"/>
    </row>
    <row r="37277" spans="31:31">
      <c r="AE37277" s="54"/>
    </row>
    <row r="37278" spans="31:31">
      <c r="AE37278" s="54"/>
    </row>
    <row r="37279" spans="31:31">
      <c r="AE37279" s="54"/>
    </row>
    <row r="37280" spans="31:31">
      <c r="AE37280" s="54"/>
    </row>
    <row r="37281" spans="31:31">
      <c r="AE37281" s="54"/>
    </row>
    <row r="37282" spans="31:31">
      <c r="AE37282" s="54"/>
    </row>
    <row r="37283" spans="31:31">
      <c r="AE37283" s="54"/>
    </row>
    <row r="37284" spans="31:31">
      <c r="AE37284" s="54"/>
    </row>
    <row r="37285" spans="31:31">
      <c r="AE37285" s="54"/>
    </row>
    <row r="37286" spans="31:31">
      <c r="AE37286" s="54"/>
    </row>
    <row r="37287" spans="31:31">
      <c r="AE37287" s="54"/>
    </row>
    <row r="37288" spans="31:31">
      <c r="AE37288" s="54"/>
    </row>
    <row r="37289" spans="31:31">
      <c r="AE37289" s="54"/>
    </row>
    <row r="37290" spans="31:31">
      <c r="AE37290" s="54"/>
    </row>
    <row r="37291" spans="31:31">
      <c r="AE37291" s="54"/>
    </row>
    <row r="37292" spans="31:31">
      <c r="AE37292" s="54"/>
    </row>
    <row r="37293" spans="31:31">
      <c r="AE37293" s="54"/>
    </row>
    <row r="37294" spans="31:31">
      <c r="AE37294" s="54"/>
    </row>
    <row r="37295" spans="31:31">
      <c r="AE37295" s="54"/>
    </row>
    <row r="37296" spans="31:31">
      <c r="AE37296" s="54"/>
    </row>
    <row r="37297" spans="31:31">
      <c r="AE37297" s="54"/>
    </row>
    <row r="37298" spans="31:31">
      <c r="AE37298" s="54"/>
    </row>
    <row r="37299" spans="31:31">
      <c r="AE37299" s="54"/>
    </row>
    <row r="37300" spans="31:31">
      <c r="AE37300" s="54"/>
    </row>
    <row r="37301" spans="31:31">
      <c r="AE37301" s="54"/>
    </row>
    <row r="37302" spans="31:31">
      <c r="AE37302" s="54"/>
    </row>
    <row r="37303" spans="31:31">
      <c r="AE37303" s="54"/>
    </row>
    <row r="37304" spans="31:31">
      <c r="AE37304" s="54"/>
    </row>
    <row r="37305" spans="31:31">
      <c r="AE37305" s="54"/>
    </row>
    <row r="37306" spans="31:31">
      <c r="AE37306" s="54"/>
    </row>
    <row r="37307" spans="31:31">
      <c r="AE37307" s="54"/>
    </row>
    <row r="37308" spans="31:31">
      <c r="AE37308" s="54"/>
    </row>
    <row r="37309" spans="31:31">
      <c r="AE37309" s="54"/>
    </row>
    <row r="37310" spans="31:31">
      <c r="AE37310" s="54"/>
    </row>
    <row r="37311" spans="31:31">
      <c r="AE37311" s="54"/>
    </row>
    <row r="37312" spans="31:31">
      <c r="AE37312" s="54"/>
    </row>
    <row r="37313" spans="31:31">
      <c r="AE37313" s="54"/>
    </row>
    <row r="37314" spans="31:31">
      <c r="AE37314" s="54"/>
    </row>
    <row r="37315" spans="31:31">
      <c r="AE37315" s="54"/>
    </row>
    <row r="37316" spans="31:31">
      <c r="AE37316" s="54"/>
    </row>
    <row r="37317" spans="31:31">
      <c r="AE37317" s="54"/>
    </row>
    <row r="37318" spans="31:31">
      <c r="AE37318" s="54"/>
    </row>
    <row r="37319" spans="31:31">
      <c r="AE37319" s="54"/>
    </row>
    <row r="37320" spans="31:31">
      <c r="AE37320" s="54"/>
    </row>
    <row r="37321" spans="31:31">
      <c r="AE37321" s="54"/>
    </row>
    <row r="37322" spans="31:31">
      <c r="AE37322" s="54"/>
    </row>
    <row r="37323" spans="31:31">
      <c r="AE37323" s="54"/>
    </row>
    <row r="37324" spans="31:31">
      <c r="AE37324" s="54"/>
    </row>
    <row r="37325" spans="31:31">
      <c r="AE37325" s="54"/>
    </row>
    <row r="37326" spans="31:31">
      <c r="AE37326" s="54"/>
    </row>
    <row r="37327" spans="31:31">
      <c r="AE37327" s="54"/>
    </row>
    <row r="37328" spans="31:31">
      <c r="AE37328" s="54"/>
    </row>
    <row r="37329" spans="31:31">
      <c r="AE37329" s="54"/>
    </row>
    <row r="37330" spans="31:31">
      <c r="AE37330" s="54"/>
    </row>
    <row r="37331" spans="31:31">
      <c r="AE37331" s="54"/>
    </row>
    <row r="37332" spans="31:31">
      <c r="AE37332" s="54"/>
    </row>
    <row r="37333" spans="31:31">
      <c r="AE37333" s="54"/>
    </row>
    <row r="37334" spans="31:31">
      <c r="AE37334" s="54"/>
    </row>
    <row r="37335" spans="31:31">
      <c r="AE37335" s="54"/>
    </row>
    <row r="37336" spans="31:31">
      <c r="AE37336" s="54"/>
    </row>
    <row r="37337" spans="31:31">
      <c r="AE37337" s="54"/>
    </row>
    <row r="37338" spans="31:31">
      <c r="AE37338" s="54"/>
    </row>
    <row r="37339" spans="31:31">
      <c r="AE37339" s="54"/>
    </row>
    <row r="37340" spans="31:31">
      <c r="AE37340" s="54"/>
    </row>
    <row r="37341" spans="31:31">
      <c r="AE37341" s="54"/>
    </row>
    <row r="37342" spans="31:31">
      <c r="AE37342" s="54"/>
    </row>
    <row r="37343" spans="31:31">
      <c r="AE37343" s="54"/>
    </row>
    <row r="37344" spans="31:31">
      <c r="AE37344" s="54"/>
    </row>
    <row r="37345" spans="31:31">
      <c r="AE37345" s="54"/>
    </row>
    <row r="37346" spans="31:31">
      <c r="AE37346" s="54"/>
    </row>
    <row r="37347" spans="31:31">
      <c r="AE37347" s="54"/>
    </row>
    <row r="37348" spans="31:31">
      <c r="AE37348" s="54"/>
    </row>
    <row r="37349" spans="31:31">
      <c r="AE37349" s="54"/>
    </row>
    <row r="37350" spans="31:31">
      <c r="AE37350" s="54"/>
    </row>
    <row r="37351" spans="31:31">
      <c r="AE37351" s="54"/>
    </row>
    <row r="37352" spans="31:31">
      <c r="AE37352" s="54"/>
    </row>
    <row r="37353" spans="31:31">
      <c r="AE37353" s="54"/>
    </row>
    <row r="37354" spans="31:31">
      <c r="AE37354" s="54"/>
    </row>
    <row r="37355" spans="31:31">
      <c r="AE37355" s="54"/>
    </row>
    <row r="37356" spans="31:31">
      <c r="AE37356" s="54"/>
    </row>
    <row r="37357" spans="31:31">
      <c r="AE37357" s="54"/>
    </row>
    <row r="37358" spans="31:31">
      <c r="AE37358" s="54"/>
    </row>
    <row r="37359" spans="31:31">
      <c r="AE37359" s="54"/>
    </row>
    <row r="37360" spans="31:31">
      <c r="AE37360" s="54"/>
    </row>
    <row r="37361" spans="31:31">
      <c r="AE37361" s="54"/>
    </row>
    <row r="37362" spans="31:31">
      <c r="AE37362" s="54"/>
    </row>
    <row r="37363" spans="31:31">
      <c r="AE37363" s="54"/>
    </row>
    <row r="37364" spans="31:31">
      <c r="AE37364" s="54"/>
    </row>
    <row r="37365" spans="31:31">
      <c r="AE37365" s="54"/>
    </row>
    <row r="37366" spans="31:31">
      <c r="AE37366" s="54"/>
    </row>
    <row r="37367" spans="31:31">
      <c r="AE37367" s="54"/>
    </row>
    <row r="37368" spans="31:31">
      <c r="AE37368" s="54"/>
    </row>
    <row r="37369" spans="31:31">
      <c r="AE37369" s="54"/>
    </row>
    <row r="37370" spans="31:31">
      <c r="AE37370" s="54"/>
    </row>
    <row r="37371" spans="31:31">
      <c r="AE37371" s="54"/>
    </row>
    <row r="37372" spans="31:31">
      <c r="AE37372" s="54"/>
    </row>
    <row r="37373" spans="31:31">
      <c r="AE37373" s="54"/>
    </row>
    <row r="37374" spans="31:31">
      <c r="AE37374" s="54"/>
    </row>
    <row r="37375" spans="31:31">
      <c r="AE37375" s="54"/>
    </row>
    <row r="37376" spans="31:31">
      <c r="AE37376" s="54"/>
    </row>
    <row r="37377" spans="31:31">
      <c r="AE37377" s="54"/>
    </row>
    <row r="37378" spans="31:31">
      <c r="AE37378" s="54"/>
    </row>
    <row r="37379" spans="31:31">
      <c r="AE37379" s="54"/>
    </row>
    <row r="37380" spans="31:31">
      <c r="AE37380" s="54"/>
    </row>
    <row r="37381" spans="31:31">
      <c r="AE37381" s="54"/>
    </row>
    <row r="37382" spans="31:31">
      <c r="AE37382" s="54"/>
    </row>
    <row r="37383" spans="31:31">
      <c r="AE37383" s="54"/>
    </row>
    <row r="37384" spans="31:31">
      <c r="AE37384" s="54"/>
    </row>
    <row r="37385" spans="31:31">
      <c r="AE37385" s="54"/>
    </row>
    <row r="37386" spans="31:31">
      <c r="AE37386" s="54"/>
    </row>
    <row r="37387" spans="31:31">
      <c r="AE37387" s="54"/>
    </row>
    <row r="37388" spans="31:31">
      <c r="AE37388" s="54"/>
    </row>
    <row r="37389" spans="31:31">
      <c r="AE37389" s="54"/>
    </row>
    <row r="37390" spans="31:31">
      <c r="AE37390" s="54"/>
    </row>
    <row r="37391" spans="31:31">
      <c r="AE37391" s="54"/>
    </row>
    <row r="37392" spans="31:31">
      <c r="AE37392" s="54"/>
    </row>
    <row r="37393" spans="31:31">
      <c r="AE37393" s="54"/>
    </row>
    <row r="37394" spans="31:31">
      <c r="AE37394" s="54"/>
    </row>
    <row r="37395" spans="31:31">
      <c r="AE37395" s="54"/>
    </row>
    <row r="37396" spans="31:31">
      <c r="AE37396" s="54"/>
    </row>
    <row r="37397" spans="31:31">
      <c r="AE37397" s="54"/>
    </row>
    <row r="37398" spans="31:31">
      <c r="AE37398" s="54"/>
    </row>
    <row r="37399" spans="31:31">
      <c r="AE37399" s="54"/>
    </row>
    <row r="37400" spans="31:31">
      <c r="AE37400" s="54"/>
    </row>
    <row r="37401" spans="31:31">
      <c r="AE37401" s="54"/>
    </row>
    <row r="37402" spans="31:31">
      <c r="AE37402" s="54"/>
    </row>
    <row r="37403" spans="31:31">
      <c r="AE37403" s="54"/>
    </row>
    <row r="37404" spans="31:31">
      <c r="AE37404" s="54"/>
    </row>
    <row r="37405" spans="31:31">
      <c r="AE37405" s="54"/>
    </row>
    <row r="37406" spans="31:31">
      <c r="AE37406" s="54"/>
    </row>
    <row r="37407" spans="31:31">
      <c r="AE37407" s="54"/>
    </row>
    <row r="37408" spans="31:31">
      <c r="AE37408" s="54"/>
    </row>
    <row r="37409" spans="31:31">
      <c r="AE37409" s="54"/>
    </row>
    <row r="37410" spans="31:31">
      <c r="AE37410" s="54"/>
    </row>
    <row r="37411" spans="31:31">
      <c r="AE37411" s="54"/>
    </row>
    <row r="37412" spans="31:31">
      <c r="AE37412" s="54"/>
    </row>
    <row r="37413" spans="31:31">
      <c r="AE37413" s="54"/>
    </row>
    <row r="37414" spans="31:31">
      <c r="AE37414" s="54"/>
    </row>
    <row r="37415" spans="31:31">
      <c r="AE37415" s="54"/>
    </row>
    <row r="37416" spans="31:31">
      <c r="AE37416" s="54"/>
    </row>
    <row r="37417" spans="31:31">
      <c r="AE37417" s="54"/>
    </row>
    <row r="37418" spans="31:31">
      <c r="AE37418" s="54"/>
    </row>
    <row r="37419" spans="31:31">
      <c r="AE37419" s="54"/>
    </row>
    <row r="37420" spans="31:31">
      <c r="AE37420" s="54"/>
    </row>
    <row r="37421" spans="31:31">
      <c r="AE37421" s="54"/>
    </row>
    <row r="37422" spans="31:31">
      <c r="AE37422" s="54"/>
    </row>
    <row r="37423" spans="31:31">
      <c r="AE37423" s="54"/>
    </row>
    <row r="37424" spans="31:31">
      <c r="AE37424" s="54"/>
    </row>
    <row r="37425" spans="31:31">
      <c r="AE37425" s="54"/>
    </row>
    <row r="37426" spans="31:31">
      <c r="AE37426" s="54"/>
    </row>
    <row r="37427" spans="31:31">
      <c r="AE37427" s="54"/>
    </row>
    <row r="37428" spans="31:31">
      <c r="AE37428" s="54"/>
    </row>
    <row r="37429" spans="31:31">
      <c r="AE37429" s="54"/>
    </row>
    <row r="37430" spans="31:31">
      <c r="AE37430" s="54"/>
    </row>
    <row r="37431" spans="31:31">
      <c r="AE37431" s="54"/>
    </row>
    <row r="37432" spans="31:31">
      <c r="AE37432" s="54"/>
    </row>
    <row r="37433" spans="31:31">
      <c r="AE37433" s="54"/>
    </row>
    <row r="37434" spans="31:31">
      <c r="AE37434" s="54"/>
    </row>
    <row r="37435" spans="31:31">
      <c r="AE37435" s="54"/>
    </row>
    <row r="37436" spans="31:31">
      <c r="AE37436" s="54"/>
    </row>
    <row r="37437" spans="31:31">
      <c r="AE37437" s="54"/>
    </row>
    <row r="37438" spans="31:31">
      <c r="AE37438" s="54"/>
    </row>
    <row r="37439" spans="31:31">
      <c r="AE37439" s="54"/>
    </row>
    <row r="37440" spans="31:31">
      <c r="AE37440" s="54"/>
    </row>
    <row r="37441" spans="31:31">
      <c r="AE37441" s="54"/>
    </row>
    <row r="37442" spans="31:31">
      <c r="AE37442" s="54"/>
    </row>
    <row r="37443" spans="31:31">
      <c r="AE37443" s="54"/>
    </row>
    <row r="37444" spans="31:31">
      <c r="AE37444" s="54"/>
    </row>
    <row r="37445" spans="31:31">
      <c r="AE37445" s="54"/>
    </row>
    <row r="37446" spans="31:31">
      <c r="AE37446" s="54"/>
    </row>
    <row r="37447" spans="31:31">
      <c r="AE37447" s="54"/>
    </row>
    <row r="37448" spans="31:31">
      <c r="AE37448" s="54"/>
    </row>
    <row r="37449" spans="31:31">
      <c r="AE37449" s="54"/>
    </row>
    <row r="37450" spans="31:31">
      <c r="AE37450" s="54"/>
    </row>
    <row r="37451" spans="31:31">
      <c r="AE37451" s="54"/>
    </row>
    <row r="37452" spans="31:31">
      <c r="AE37452" s="54"/>
    </row>
    <row r="37453" spans="31:31">
      <c r="AE37453" s="54"/>
    </row>
    <row r="37454" spans="31:31">
      <c r="AE37454" s="54"/>
    </row>
    <row r="37455" spans="31:31">
      <c r="AE37455" s="54"/>
    </row>
    <row r="37456" spans="31:31">
      <c r="AE37456" s="54"/>
    </row>
    <row r="37457" spans="31:31">
      <c r="AE37457" s="54"/>
    </row>
    <row r="37458" spans="31:31">
      <c r="AE37458" s="54"/>
    </row>
    <row r="37459" spans="31:31">
      <c r="AE37459" s="54"/>
    </row>
    <row r="37460" spans="31:31">
      <c r="AE37460" s="54"/>
    </row>
    <row r="37461" spans="31:31">
      <c r="AE37461" s="54"/>
    </row>
    <row r="37462" spans="31:31">
      <c r="AE37462" s="54"/>
    </row>
    <row r="37463" spans="31:31">
      <c r="AE37463" s="54"/>
    </row>
    <row r="37464" spans="31:31">
      <c r="AE37464" s="54"/>
    </row>
    <row r="37465" spans="31:31">
      <c r="AE37465" s="54"/>
    </row>
    <row r="37466" spans="31:31">
      <c r="AE37466" s="54"/>
    </row>
    <row r="37467" spans="31:31">
      <c r="AE37467" s="54"/>
    </row>
    <row r="37468" spans="31:31">
      <c r="AE37468" s="54"/>
    </row>
    <row r="37469" spans="31:31">
      <c r="AE37469" s="54"/>
    </row>
    <row r="37470" spans="31:31">
      <c r="AE37470" s="54"/>
    </row>
    <row r="37471" spans="31:31">
      <c r="AE37471" s="54"/>
    </row>
    <row r="37472" spans="31:31">
      <c r="AE37472" s="54"/>
    </row>
    <row r="37473" spans="31:31">
      <c r="AE37473" s="54"/>
    </row>
    <row r="37474" spans="31:31">
      <c r="AE37474" s="54"/>
    </row>
    <row r="37475" spans="31:31">
      <c r="AE37475" s="54"/>
    </row>
    <row r="37476" spans="31:31">
      <c r="AE37476" s="54"/>
    </row>
    <row r="37477" spans="31:31">
      <c r="AE37477" s="54"/>
    </row>
    <row r="37478" spans="31:31">
      <c r="AE37478" s="54"/>
    </row>
    <row r="37479" spans="31:31">
      <c r="AE37479" s="54"/>
    </row>
    <row r="37480" spans="31:31">
      <c r="AE37480" s="54"/>
    </row>
    <row r="37481" spans="31:31">
      <c r="AE37481" s="54"/>
    </row>
    <row r="37482" spans="31:31">
      <c r="AE37482" s="54"/>
    </row>
    <row r="37483" spans="31:31">
      <c r="AE37483" s="54"/>
    </row>
    <row r="37484" spans="31:31">
      <c r="AE37484" s="54"/>
    </row>
    <row r="37485" spans="31:31">
      <c r="AE37485" s="54"/>
    </row>
    <row r="37486" spans="31:31">
      <c r="AE37486" s="54"/>
    </row>
    <row r="37487" spans="31:31">
      <c r="AE37487" s="54"/>
    </row>
    <row r="37488" spans="31:31">
      <c r="AE37488" s="54"/>
    </row>
    <row r="37489" spans="31:31">
      <c r="AE37489" s="54"/>
    </row>
    <row r="37490" spans="31:31">
      <c r="AE37490" s="54"/>
    </row>
    <row r="37491" spans="31:31">
      <c r="AE37491" s="54"/>
    </row>
    <row r="37492" spans="31:31">
      <c r="AE37492" s="54"/>
    </row>
    <row r="37493" spans="31:31">
      <c r="AE37493" s="54"/>
    </row>
    <row r="37494" spans="31:31">
      <c r="AE37494" s="54"/>
    </row>
    <row r="37495" spans="31:31">
      <c r="AE37495" s="54"/>
    </row>
    <row r="37496" spans="31:31">
      <c r="AE37496" s="54"/>
    </row>
    <row r="37497" spans="31:31">
      <c r="AE37497" s="54"/>
    </row>
    <row r="37498" spans="31:31">
      <c r="AE37498" s="54"/>
    </row>
    <row r="37499" spans="31:31">
      <c r="AE37499" s="54"/>
    </row>
    <row r="37500" spans="31:31">
      <c r="AE37500" s="54"/>
    </row>
    <row r="37501" spans="31:31">
      <c r="AE37501" s="54"/>
    </row>
    <row r="37502" spans="31:31">
      <c r="AE37502" s="54"/>
    </row>
    <row r="37503" spans="31:31">
      <c r="AE37503" s="54"/>
    </row>
    <row r="37504" spans="31:31">
      <c r="AE37504" s="54"/>
    </row>
    <row r="37505" spans="31:31">
      <c r="AE37505" s="54"/>
    </row>
    <row r="37506" spans="31:31">
      <c r="AE37506" s="54"/>
    </row>
    <row r="37507" spans="31:31">
      <c r="AE37507" s="54"/>
    </row>
    <row r="37508" spans="31:31">
      <c r="AE37508" s="54"/>
    </row>
    <row r="37509" spans="31:31">
      <c r="AE37509" s="54"/>
    </row>
    <row r="37510" spans="31:31">
      <c r="AE37510" s="54"/>
    </row>
    <row r="37511" spans="31:31">
      <c r="AE37511" s="54"/>
    </row>
    <row r="37512" spans="31:31">
      <c r="AE37512" s="54"/>
    </row>
    <row r="37513" spans="31:31">
      <c r="AE37513" s="54"/>
    </row>
    <row r="37514" spans="31:31">
      <c r="AE37514" s="54"/>
    </row>
    <row r="37515" spans="31:31">
      <c r="AE37515" s="54"/>
    </row>
    <row r="37516" spans="31:31">
      <c r="AE37516" s="54"/>
    </row>
    <row r="37517" spans="31:31">
      <c r="AE37517" s="54"/>
    </row>
    <row r="37518" spans="31:31">
      <c r="AE37518" s="54"/>
    </row>
    <row r="37519" spans="31:31">
      <c r="AE37519" s="54"/>
    </row>
    <row r="37520" spans="31:31">
      <c r="AE37520" s="54"/>
    </row>
    <row r="37521" spans="31:31">
      <c r="AE37521" s="54"/>
    </row>
    <row r="37522" spans="31:31">
      <c r="AE37522" s="54"/>
    </row>
    <row r="37523" spans="31:31">
      <c r="AE37523" s="54"/>
    </row>
    <row r="37524" spans="31:31">
      <c r="AE37524" s="54"/>
    </row>
    <row r="37525" spans="31:31">
      <c r="AE37525" s="54"/>
    </row>
    <row r="37526" spans="31:31">
      <c r="AE37526" s="54"/>
    </row>
    <row r="37527" spans="31:31">
      <c r="AE37527" s="54"/>
    </row>
    <row r="37528" spans="31:31">
      <c r="AE37528" s="54"/>
    </row>
    <row r="37529" spans="31:31">
      <c r="AE37529" s="54"/>
    </row>
    <row r="37530" spans="31:31">
      <c r="AE37530" s="54"/>
    </row>
    <row r="37531" spans="31:31">
      <c r="AE37531" s="54"/>
    </row>
    <row r="37532" spans="31:31">
      <c r="AE37532" s="54"/>
    </row>
    <row r="37533" spans="31:31">
      <c r="AE37533" s="54"/>
    </row>
    <row r="37534" spans="31:31">
      <c r="AE37534" s="54"/>
    </row>
    <row r="37535" spans="31:31">
      <c r="AE37535" s="54"/>
    </row>
    <row r="37536" spans="31:31">
      <c r="AE37536" s="54"/>
    </row>
    <row r="37537" spans="31:31">
      <c r="AE37537" s="54"/>
    </row>
    <row r="37538" spans="31:31">
      <c r="AE37538" s="54"/>
    </row>
    <row r="37539" spans="31:31">
      <c r="AE37539" s="54"/>
    </row>
    <row r="37540" spans="31:31">
      <c r="AE37540" s="54"/>
    </row>
    <row r="37541" spans="31:31">
      <c r="AE37541" s="54"/>
    </row>
    <row r="37542" spans="31:31">
      <c r="AE37542" s="54"/>
    </row>
    <row r="37543" spans="31:31">
      <c r="AE37543" s="54"/>
    </row>
    <row r="37544" spans="31:31">
      <c r="AE37544" s="54"/>
    </row>
    <row r="37545" spans="31:31">
      <c r="AE37545" s="54"/>
    </row>
    <row r="37546" spans="31:31">
      <c r="AE37546" s="54"/>
    </row>
    <row r="37547" spans="31:31">
      <c r="AE37547" s="54"/>
    </row>
    <row r="37548" spans="31:31">
      <c r="AE37548" s="54"/>
    </row>
    <row r="37549" spans="31:31">
      <c r="AE37549" s="54"/>
    </row>
    <row r="37550" spans="31:31">
      <c r="AE37550" s="54"/>
    </row>
    <row r="37551" spans="31:31">
      <c r="AE37551" s="54"/>
    </row>
    <row r="37552" spans="31:31">
      <c r="AE37552" s="54"/>
    </row>
    <row r="37553" spans="31:31">
      <c r="AE37553" s="54"/>
    </row>
    <row r="37554" spans="31:31">
      <c r="AE37554" s="54"/>
    </row>
    <row r="37555" spans="31:31">
      <c r="AE37555" s="54"/>
    </row>
    <row r="37556" spans="31:31">
      <c r="AE37556" s="54"/>
    </row>
    <row r="37557" spans="31:31">
      <c r="AE37557" s="54"/>
    </row>
    <row r="37558" spans="31:31">
      <c r="AE37558" s="54"/>
    </row>
    <row r="37559" spans="31:31">
      <c r="AE37559" s="54"/>
    </row>
    <row r="37560" spans="31:31">
      <c r="AE37560" s="54"/>
    </row>
    <row r="37561" spans="31:31">
      <c r="AE37561" s="54"/>
    </row>
    <row r="37562" spans="31:31">
      <c r="AE37562" s="54"/>
    </row>
    <row r="37563" spans="31:31">
      <c r="AE37563" s="54"/>
    </row>
    <row r="37564" spans="31:31">
      <c r="AE37564" s="54"/>
    </row>
    <row r="37565" spans="31:31">
      <c r="AE37565" s="54"/>
    </row>
    <row r="37566" spans="31:31">
      <c r="AE37566" s="54"/>
    </row>
    <row r="37567" spans="31:31">
      <c r="AE37567" s="54"/>
    </row>
    <row r="37568" spans="31:31">
      <c r="AE37568" s="54"/>
    </row>
    <row r="37569" spans="31:31">
      <c r="AE37569" s="54"/>
    </row>
    <row r="37570" spans="31:31">
      <c r="AE37570" s="54"/>
    </row>
    <row r="37571" spans="31:31">
      <c r="AE37571" s="54"/>
    </row>
    <row r="37572" spans="31:31">
      <c r="AE37572" s="54"/>
    </row>
    <row r="37573" spans="31:31">
      <c r="AE37573" s="54"/>
    </row>
    <row r="37574" spans="31:31">
      <c r="AE37574" s="54"/>
    </row>
    <row r="37575" spans="31:31">
      <c r="AE37575" s="54"/>
    </row>
    <row r="37576" spans="31:31">
      <c r="AE37576" s="54"/>
    </row>
    <row r="37577" spans="31:31">
      <c r="AE37577" s="54"/>
    </row>
    <row r="37578" spans="31:31">
      <c r="AE37578" s="54"/>
    </row>
    <row r="37579" spans="31:31">
      <c r="AE37579" s="54"/>
    </row>
    <row r="37580" spans="31:31">
      <c r="AE37580" s="54"/>
    </row>
    <row r="37581" spans="31:31">
      <c r="AE37581" s="54"/>
    </row>
    <row r="37582" spans="31:31">
      <c r="AE37582" s="54"/>
    </row>
    <row r="37583" spans="31:31">
      <c r="AE37583" s="54"/>
    </row>
    <row r="37584" spans="31:31">
      <c r="AE37584" s="54"/>
    </row>
    <row r="37585" spans="31:31">
      <c r="AE37585" s="54"/>
    </row>
    <row r="37586" spans="31:31">
      <c r="AE37586" s="54"/>
    </row>
    <row r="37587" spans="31:31">
      <c r="AE37587" s="54"/>
    </row>
    <row r="37588" spans="31:31">
      <c r="AE37588" s="54"/>
    </row>
    <row r="37589" spans="31:31">
      <c r="AE37589" s="54"/>
    </row>
    <row r="37590" spans="31:31">
      <c r="AE37590" s="54"/>
    </row>
    <row r="37591" spans="31:31">
      <c r="AE37591" s="54"/>
    </row>
    <row r="37592" spans="31:31">
      <c r="AE37592" s="54"/>
    </row>
    <row r="37593" spans="31:31">
      <c r="AE37593" s="54"/>
    </row>
    <row r="37594" spans="31:31">
      <c r="AE37594" s="54"/>
    </row>
    <row r="37595" spans="31:31">
      <c r="AE37595" s="54"/>
    </row>
    <row r="37596" spans="31:31">
      <c r="AE37596" s="54"/>
    </row>
    <row r="37597" spans="31:31">
      <c r="AE37597" s="54"/>
    </row>
    <row r="37598" spans="31:31">
      <c r="AE37598" s="54"/>
    </row>
    <row r="37599" spans="31:31">
      <c r="AE37599" s="54"/>
    </row>
    <row r="37600" spans="31:31">
      <c r="AE37600" s="54"/>
    </row>
    <row r="37601" spans="31:31">
      <c r="AE37601" s="54"/>
    </row>
    <row r="37602" spans="31:31">
      <c r="AE37602" s="54"/>
    </row>
    <row r="37603" spans="31:31">
      <c r="AE37603" s="54"/>
    </row>
    <row r="37604" spans="31:31">
      <c r="AE37604" s="54"/>
    </row>
    <row r="37605" spans="31:31">
      <c r="AE37605" s="54"/>
    </row>
    <row r="37606" spans="31:31">
      <c r="AE37606" s="54"/>
    </row>
    <row r="37607" spans="31:31">
      <c r="AE37607" s="54"/>
    </row>
    <row r="37608" spans="31:31">
      <c r="AE37608" s="54"/>
    </row>
    <row r="37609" spans="31:31">
      <c r="AE37609" s="54"/>
    </row>
    <row r="37610" spans="31:31">
      <c r="AE37610" s="54"/>
    </row>
    <row r="37611" spans="31:31">
      <c r="AE37611" s="54"/>
    </row>
    <row r="37612" spans="31:31">
      <c r="AE37612" s="54"/>
    </row>
    <row r="37613" spans="31:31">
      <c r="AE37613" s="54"/>
    </row>
    <row r="37614" spans="31:31">
      <c r="AE37614" s="54"/>
    </row>
    <row r="37615" spans="31:31">
      <c r="AE37615" s="54"/>
    </row>
    <row r="37616" spans="31:31">
      <c r="AE37616" s="54"/>
    </row>
    <row r="37617" spans="31:31">
      <c r="AE37617" s="54"/>
    </row>
    <row r="37618" spans="31:31">
      <c r="AE37618" s="54"/>
    </row>
    <row r="37619" spans="31:31">
      <c r="AE37619" s="54"/>
    </row>
    <row r="37620" spans="31:31">
      <c r="AE37620" s="54"/>
    </row>
    <row r="37621" spans="31:31">
      <c r="AE37621" s="54"/>
    </row>
    <row r="37622" spans="31:31">
      <c r="AE37622" s="54"/>
    </row>
    <row r="37623" spans="31:31">
      <c r="AE37623" s="54"/>
    </row>
    <row r="37624" spans="31:31">
      <c r="AE37624" s="54"/>
    </row>
    <row r="37625" spans="31:31">
      <c r="AE37625" s="54"/>
    </row>
    <row r="37626" spans="31:31">
      <c r="AE37626" s="54"/>
    </row>
    <row r="37627" spans="31:31">
      <c r="AE37627" s="54"/>
    </row>
    <row r="37628" spans="31:31">
      <c r="AE37628" s="54"/>
    </row>
    <row r="37629" spans="31:31">
      <c r="AE37629" s="54"/>
    </row>
    <row r="37630" spans="31:31">
      <c r="AE37630" s="54"/>
    </row>
    <row r="37631" spans="31:31">
      <c r="AE37631" s="54"/>
    </row>
    <row r="37632" spans="31:31">
      <c r="AE37632" s="54"/>
    </row>
    <row r="37633" spans="31:31">
      <c r="AE37633" s="54"/>
    </row>
    <row r="37634" spans="31:31">
      <c r="AE37634" s="54"/>
    </row>
    <row r="37635" spans="31:31">
      <c r="AE37635" s="54"/>
    </row>
    <row r="37636" spans="31:31">
      <c r="AE37636" s="54"/>
    </row>
    <row r="37637" spans="31:31">
      <c r="AE37637" s="54"/>
    </row>
    <row r="37638" spans="31:31">
      <c r="AE37638" s="54"/>
    </row>
    <row r="37639" spans="31:31">
      <c r="AE37639" s="54"/>
    </row>
    <row r="37640" spans="31:31">
      <c r="AE37640" s="54"/>
    </row>
    <row r="37641" spans="31:31">
      <c r="AE37641" s="54"/>
    </row>
    <row r="37642" spans="31:31">
      <c r="AE37642" s="54"/>
    </row>
    <row r="37643" spans="31:31">
      <c r="AE37643" s="54"/>
    </row>
    <row r="37644" spans="31:31">
      <c r="AE37644" s="54"/>
    </row>
    <row r="37645" spans="31:31">
      <c r="AE37645" s="54"/>
    </row>
    <row r="37646" spans="31:31">
      <c r="AE37646" s="54"/>
    </row>
    <row r="37647" spans="31:31">
      <c r="AE37647" s="54"/>
    </row>
    <row r="37648" spans="31:31">
      <c r="AE37648" s="54"/>
    </row>
    <row r="37649" spans="31:31">
      <c r="AE37649" s="54"/>
    </row>
    <row r="37650" spans="31:31">
      <c r="AE37650" s="54"/>
    </row>
    <row r="37651" spans="31:31">
      <c r="AE37651" s="54"/>
    </row>
    <row r="37652" spans="31:31">
      <c r="AE37652" s="54"/>
    </row>
    <row r="37653" spans="31:31">
      <c r="AE37653" s="54"/>
    </row>
    <row r="37654" spans="31:31">
      <c r="AE37654" s="54"/>
    </row>
    <row r="37655" spans="31:31">
      <c r="AE37655" s="54"/>
    </row>
    <row r="37656" spans="31:31">
      <c r="AE37656" s="54"/>
    </row>
    <row r="37657" spans="31:31">
      <c r="AE37657" s="54"/>
    </row>
    <row r="37658" spans="31:31">
      <c r="AE37658" s="54"/>
    </row>
    <row r="37659" spans="31:31">
      <c r="AE37659" s="54"/>
    </row>
    <row r="37660" spans="31:31">
      <c r="AE37660" s="54"/>
    </row>
    <row r="37661" spans="31:31">
      <c r="AE37661" s="54"/>
    </row>
    <row r="37662" spans="31:31">
      <c r="AE37662" s="54"/>
    </row>
    <row r="37663" spans="31:31">
      <c r="AE37663" s="54"/>
    </row>
    <row r="37664" spans="31:31">
      <c r="AE37664" s="54"/>
    </row>
    <row r="37665" spans="31:31">
      <c r="AE37665" s="54"/>
    </row>
    <row r="37666" spans="31:31">
      <c r="AE37666" s="54"/>
    </row>
    <row r="37667" spans="31:31">
      <c r="AE37667" s="54"/>
    </row>
    <row r="37668" spans="31:31">
      <c r="AE37668" s="54"/>
    </row>
    <row r="37669" spans="31:31">
      <c r="AE37669" s="54"/>
    </row>
    <row r="37670" spans="31:31">
      <c r="AE37670" s="54"/>
    </row>
    <row r="37671" spans="31:31">
      <c r="AE37671" s="54"/>
    </row>
    <row r="37672" spans="31:31">
      <c r="AE37672" s="54"/>
    </row>
    <row r="37673" spans="31:31">
      <c r="AE37673" s="54"/>
    </row>
    <row r="37674" spans="31:31">
      <c r="AE37674" s="54"/>
    </row>
    <row r="37675" spans="31:31">
      <c r="AE37675" s="54"/>
    </row>
    <row r="37676" spans="31:31">
      <c r="AE37676" s="54"/>
    </row>
    <row r="37677" spans="31:31">
      <c r="AE37677" s="54"/>
    </row>
    <row r="37678" spans="31:31">
      <c r="AE37678" s="54"/>
    </row>
    <row r="37679" spans="31:31">
      <c r="AE37679" s="54"/>
    </row>
    <row r="37680" spans="31:31">
      <c r="AE37680" s="54"/>
    </row>
    <row r="37681" spans="31:31">
      <c r="AE37681" s="54"/>
    </row>
    <row r="37682" spans="31:31">
      <c r="AE37682" s="54"/>
    </row>
    <row r="37683" spans="31:31">
      <c r="AE37683" s="54"/>
    </row>
    <row r="37684" spans="31:31">
      <c r="AE37684" s="54"/>
    </row>
    <row r="37685" spans="31:31">
      <c r="AE37685" s="54"/>
    </row>
    <row r="37686" spans="31:31">
      <c r="AE37686" s="54"/>
    </row>
    <row r="37687" spans="31:31">
      <c r="AE37687" s="54"/>
    </row>
    <row r="37688" spans="31:31">
      <c r="AE37688" s="54"/>
    </row>
    <row r="37689" spans="31:31">
      <c r="AE37689" s="54"/>
    </row>
    <row r="37690" spans="31:31">
      <c r="AE37690" s="54"/>
    </row>
    <row r="37691" spans="31:31">
      <c r="AE37691" s="54"/>
    </row>
    <row r="37692" spans="31:31">
      <c r="AE37692" s="54"/>
    </row>
    <row r="37693" spans="31:31">
      <c r="AE37693" s="54"/>
    </row>
    <row r="37694" spans="31:31">
      <c r="AE37694" s="54"/>
    </row>
    <row r="37695" spans="31:31">
      <c r="AE37695" s="54"/>
    </row>
    <row r="37696" spans="31:31">
      <c r="AE37696" s="54"/>
    </row>
    <row r="37697" spans="31:31">
      <c r="AE37697" s="54"/>
    </row>
    <row r="37698" spans="31:31">
      <c r="AE37698" s="54"/>
    </row>
    <row r="37699" spans="31:31">
      <c r="AE37699" s="54"/>
    </row>
    <row r="37700" spans="31:31">
      <c r="AE37700" s="54"/>
    </row>
    <row r="37701" spans="31:31">
      <c r="AE37701" s="54"/>
    </row>
    <row r="37702" spans="31:31">
      <c r="AE37702" s="54"/>
    </row>
    <row r="37703" spans="31:31">
      <c r="AE37703" s="54"/>
    </row>
    <row r="37704" spans="31:31">
      <c r="AE37704" s="54"/>
    </row>
    <row r="37705" spans="31:31">
      <c r="AE37705" s="54"/>
    </row>
    <row r="37706" spans="31:31">
      <c r="AE37706" s="54"/>
    </row>
    <row r="37707" spans="31:31">
      <c r="AE37707" s="54"/>
    </row>
    <row r="37708" spans="31:31">
      <c r="AE37708" s="54"/>
    </row>
    <row r="37709" spans="31:31">
      <c r="AE37709" s="54"/>
    </row>
    <row r="37710" spans="31:31">
      <c r="AE37710" s="54"/>
    </row>
    <row r="37711" spans="31:31">
      <c r="AE37711" s="54"/>
    </row>
    <row r="37712" spans="31:31">
      <c r="AE37712" s="54"/>
    </row>
    <row r="37713" spans="31:31">
      <c r="AE37713" s="54"/>
    </row>
    <row r="37714" spans="31:31">
      <c r="AE37714" s="54"/>
    </row>
    <row r="37715" spans="31:31">
      <c r="AE37715" s="54"/>
    </row>
    <row r="37716" spans="31:31">
      <c r="AE37716" s="54"/>
    </row>
    <row r="37717" spans="31:31">
      <c r="AE37717" s="54"/>
    </row>
    <row r="37718" spans="31:31">
      <c r="AE37718" s="54"/>
    </row>
    <row r="37719" spans="31:31">
      <c r="AE37719" s="54"/>
    </row>
    <row r="37720" spans="31:31">
      <c r="AE37720" s="54"/>
    </row>
    <row r="37721" spans="31:31">
      <c r="AE37721" s="54"/>
    </row>
    <row r="37722" spans="31:31">
      <c r="AE37722" s="54"/>
    </row>
    <row r="37723" spans="31:31">
      <c r="AE37723" s="54"/>
    </row>
    <row r="37724" spans="31:31">
      <c r="AE37724" s="54"/>
    </row>
    <row r="37725" spans="31:31">
      <c r="AE37725" s="54"/>
    </row>
    <row r="37726" spans="31:31">
      <c r="AE37726" s="54"/>
    </row>
    <row r="37727" spans="31:31">
      <c r="AE37727" s="54"/>
    </row>
    <row r="37728" spans="31:31">
      <c r="AE37728" s="54"/>
    </row>
    <row r="37729" spans="31:31">
      <c r="AE37729" s="54"/>
    </row>
    <row r="37730" spans="31:31">
      <c r="AE37730" s="54"/>
    </row>
    <row r="37731" spans="31:31">
      <c r="AE37731" s="54"/>
    </row>
    <row r="37732" spans="31:31">
      <c r="AE37732" s="54"/>
    </row>
    <row r="37733" spans="31:31">
      <c r="AE37733" s="54"/>
    </row>
    <row r="37734" spans="31:31">
      <c r="AE37734" s="54"/>
    </row>
    <row r="37735" spans="31:31">
      <c r="AE37735" s="54"/>
    </row>
    <row r="37736" spans="31:31">
      <c r="AE37736" s="54"/>
    </row>
    <row r="37737" spans="31:31">
      <c r="AE37737" s="54"/>
    </row>
    <row r="37738" spans="31:31">
      <c r="AE37738" s="54"/>
    </row>
    <row r="37739" spans="31:31">
      <c r="AE37739" s="54"/>
    </row>
    <row r="37740" spans="31:31">
      <c r="AE37740" s="54"/>
    </row>
    <row r="37741" spans="31:31">
      <c r="AE37741" s="54"/>
    </row>
    <row r="37742" spans="31:31">
      <c r="AE37742" s="54"/>
    </row>
    <row r="37743" spans="31:31">
      <c r="AE37743" s="54"/>
    </row>
    <row r="37744" spans="31:31">
      <c r="AE37744" s="54"/>
    </row>
    <row r="37745" spans="31:31">
      <c r="AE37745" s="54"/>
    </row>
    <row r="37746" spans="31:31">
      <c r="AE37746" s="54"/>
    </row>
    <row r="37747" spans="31:31">
      <c r="AE37747" s="54"/>
    </row>
    <row r="37748" spans="31:31">
      <c r="AE37748" s="54"/>
    </row>
    <row r="37749" spans="31:31">
      <c r="AE37749" s="54"/>
    </row>
    <row r="37750" spans="31:31">
      <c r="AE37750" s="54"/>
    </row>
    <row r="37751" spans="31:31">
      <c r="AE37751" s="54"/>
    </row>
    <row r="37752" spans="31:31">
      <c r="AE37752" s="54"/>
    </row>
    <row r="37753" spans="31:31">
      <c r="AE37753" s="54"/>
    </row>
    <row r="37754" spans="31:31">
      <c r="AE37754" s="54"/>
    </row>
    <row r="37755" spans="31:31">
      <c r="AE37755" s="54"/>
    </row>
    <row r="37756" spans="31:31">
      <c r="AE37756" s="54"/>
    </row>
    <row r="37757" spans="31:31">
      <c r="AE37757" s="54"/>
    </row>
    <row r="37758" spans="31:31">
      <c r="AE37758" s="54"/>
    </row>
    <row r="37759" spans="31:31">
      <c r="AE37759" s="54"/>
    </row>
    <row r="37760" spans="31:31">
      <c r="AE37760" s="54"/>
    </row>
    <row r="37761" spans="31:31">
      <c r="AE37761" s="54"/>
    </row>
    <row r="37762" spans="31:31">
      <c r="AE37762" s="54"/>
    </row>
    <row r="37763" spans="31:31">
      <c r="AE37763" s="54"/>
    </row>
    <row r="37764" spans="31:31">
      <c r="AE37764" s="54"/>
    </row>
    <row r="37765" spans="31:31">
      <c r="AE37765" s="54"/>
    </row>
    <row r="37766" spans="31:31">
      <c r="AE37766" s="54"/>
    </row>
    <row r="37767" spans="31:31">
      <c r="AE37767" s="54"/>
    </row>
    <row r="37768" spans="31:31">
      <c r="AE37768" s="54"/>
    </row>
    <row r="37769" spans="31:31">
      <c r="AE37769" s="54"/>
    </row>
    <row r="37770" spans="31:31">
      <c r="AE37770" s="54"/>
    </row>
    <row r="37771" spans="31:31">
      <c r="AE37771" s="54"/>
    </row>
    <row r="37772" spans="31:31">
      <c r="AE37772" s="54"/>
    </row>
    <row r="37773" spans="31:31">
      <c r="AE37773" s="54"/>
    </row>
    <row r="37774" spans="31:31">
      <c r="AE37774" s="54"/>
    </row>
    <row r="37775" spans="31:31">
      <c r="AE37775" s="54"/>
    </row>
    <row r="37776" spans="31:31">
      <c r="AE37776" s="54"/>
    </row>
    <row r="37777" spans="31:31">
      <c r="AE37777" s="54"/>
    </row>
    <row r="37778" spans="31:31">
      <c r="AE37778" s="54"/>
    </row>
    <row r="37779" spans="31:31">
      <c r="AE37779" s="54"/>
    </row>
    <row r="37780" spans="31:31">
      <c r="AE37780" s="54"/>
    </row>
    <row r="37781" spans="31:31">
      <c r="AE37781" s="54"/>
    </row>
    <row r="37782" spans="31:31">
      <c r="AE37782" s="54"/>
    </row>
    <row r="37783" spans="31:31">
      <c r="AE37783" s="54"/>
    </row>
    <row r="37784" spans="31:31">
      <c r="AE37784" s="54"/>
    </row>
    <row r="37785" spans="31:31">
      <c r="AE37785" s="54"/>
    </row>
    <row r="37786" spans="31:31">
      <c r="AE37786" s="54"/>
    </row>
    <row r="37787" spans="31:31">
      <c r="AE37787" s="54"/>
    </row>
    <row r="37788" spans="31:31">
      <c r="AE37788" s="54"/>
    </row>
    <row r="37789" spans="31:31">
      <c r="AE37789" s="54"/>
    </row>
    <row r="37790" spans="31:31">
      <c r="AE37790" s="54"/>
    </row>
    <row r="37791" spans="31:31">
      <c r="AE37791" s="54"/>
    </row>
    <row r="37792" spans="31:31">
      <c r="AE37792" s="54"/>
    </row>
    <row r="37793" spans="31:31">
      <c r="AE37793" s="54"/>
    </row>
    <row r="37794" spans="31:31">
      <c r="AE37794" s="54"/>
    </row>
    <row r="37795" spans="31:31">
      <c r="AE37795" s="54"/>
    </row>
    <row r="37796" spans="31:31">
      <c r="AE37796" s="54"/>
    </row>
    <row r="37797" spans="31:31">
      <c r="AE37797" s="54"/>
    </row>
    <row r="37798" spans="31:31">
      <c r="AE37798" s="54"/>
    </row>
    <row r="37799" spans="31:31">
      <c r="AE37799" s="54"/>
    </row>
    <row r="37800" spans="31:31">
      <c r="AE37800" s="54"/>
    </row>
    <row r="37801" spans="31:31">
      <c r="AE37801" s="54"/>
    </row>
    <row r="37802" spans="31:31">
      <c r="AE37802" s="54"/>
    </row>
    <row r="37803" spans="31:31">
      <c r="AE37803" s="54"/>
    </row>
    <row r="37804" spans="31:31">
      <c r="AE37804" s="54"/>
    </row>
    <row r="37805" spans="31:31">
      <c r="AE37805" s="54"/>
    </row>
    <row r="37806" spans="31:31">
      <c r="AE37806" s="54"/>
    </row>
    <row r="37807" spans="31:31">
      <c r="AE37807" s="54"/>
    </row>
    <row r="37808" spans="31:31">
      <c r="AE37808" s="54"/>
    </row>
    <row r="37809" spans="31:31">
      <c r="AE37809" s="54"/>
    </row>
    <row r="37810" spans="31:31">
      <c r="AE37810" s="54"/>
    </row>
    <row r="37811" spans="31:31">
      <c r="AE37811" s="54"/>
    </row>
    <row r="37812" spans="31:31">
      <c r="AE37812" s="54"/>
    </row>
    <row r="37813" spans="31:31">
      <c r="AE37813" s="54"/>
    </row>
    <row r="37814" spans="31:31">
      <c r="AE37814" s="54"/>
    </row>
    <row r="37815" spans="31:31">
      <c r="AE37815" s="54"/>
    </row>
    <row r="37816" spans="31:31">
      <c r="AE37816" s="54"/>
    </row>
    <row r="37817" spans="31:31">
      <c r="AE37817" s="54"/>
    </row>
    <row r="37818" spans="31:31">
      <c r="AE37818" s="54"/>
    </row>
    <row r="37819" spans="31:31">
      <c r="AE37819" s="54"/>
    </row>
    <row r="37820" spans="31:31">
      <c r="AE37820" s="54"/>
    </row>
    <row r="37821" spans="31:31">
      <c r="AE37821" s="54"/>
    </row>
    <row r="37822" spans="31:31">
      <c r="AE37822" s="54"/>
    </row>
    <row r="37823" spans="31:31">
      <c r="AE37823" s="54"/>
    </row>
    <row r="37824" spans="31:31">
      <c r="AE37824" s="54"/>
    </row>
    <row r="37825" spans="31:31">
      <c r="AE37825" s="54"/>
    </row>
    <row r="37826" spans="31:31">
      <c r="AE37826" s="54"/>
    </row>
    <row r="37827" spans="31:31">
      <c r="AE37827" s="54"/>
    </row>
    <row r="37828" spans="31:31">
      <c r="AE37828" s="54"/>
    </row>
    <row r="37829" spans="31:31">
      <c r="AE37829" s="54"/>
    </row>
    <row r="37830" spans="31:31">
      <c r="AE37830" s="54"/>
    </row>
    <row r="37831" spans="31:31">
      <c r="AE37831" s="54"/>
    </row>
    <row r="37832" spans="31:31">
      <c r="AE37832" s="54"/>
    </row>
    <row r="37833" spans="31:31">
      <c r="AE37833" s="54"/>
    </row>
    <row r="37834" spans="31:31">
      <c r="AE37834" s="54"/>
    </row>
    <row r="37835" spans="31:31">
      <c r="AE37835" s="54"/>
    </row>
    <row r="37836" spans="31:31">
      <c r="AE37836" s="54"/>
    </row>
    <row r="37837" spans="31:31">
      <c r="AE37837" s="54"/>
    </row>
    <row r="37838" spans="31:31">
      <c r="AE37838" s="54"/>
    </row>
    <row r="37839" spans="31:31">
      <c r="AE37839" s="54"/>
    </row>
    <row r="37840" spans="31:31">
      <c r="AE37840" s="54"/>
    </row>
    <row r="37841" spans="31:31">
      <c r="AE37841" s="54"/>
    </row>
    <row r="37842" spans="31:31">
      <c r="AE37842" s="54"/>
    </row>
    <row r="37843" spans="31:31">
      <c r="AE37843" s="54"/>
    </row>
    <row r="37844" spans="31:31">
      <c r="AE37844" s="54"/>
    </row>
    <row r="37845" spans="31:31">
      <c r="AE37845" s="54"/>
    </row>
    <row r="37846" spans="31:31">
      <c r="AE37846" s="54"/>
    </row>
    <row r="37847" spans="31:31">
      <c r="AE37847" s="54"/>
    </row>
    <row r="37848" spans="31:31">
      <c r="AE37848" s="54"/>
    </row>
    <row r="37849" spans="31:31">
      <c r="AE37849" s="54"/>
    </row>
    <row r="37850" spans="31:31">
      <c r="AE37850" s="54"/>
    </row>
    <row r="37851" spans="31:31">
      <c r="AE37851" s="54"/>
    </row>
    <row r="37852" spans="31:31">
      <c r="AE37852" s="54"/>
    </row>
    <row r="37853" spans="31:31">
      <c r="AE37853" s="54"/>
    </row>
    <row r="37854" spans="31:31">
      <c r="AE37854" s="54"/>
    </row>
    <row r="37855" spans="31:31">
      <c r="AE37855" s="54"/>
    </row>
    <row r="37856" spans="31:31">
      <c r="AE37856" s="54"/>
    </row>
    <row r="37857" spans="31:31">
      <c r="AE37857" s="54"/>
    </row>
    <row r="37858" spans="31:31">
      <c r="AE37858" s="54"/>
    </row>
    <row r="37859" spans="31:31">
      <c r="AE37859" s="54"/>
    </row>
    <row r="37860" spans="31:31">
      <c r="AE37860" s="54"/>
    </row>
    <row r="37861" spans="31:31">
      <c r="AE37861" s="54"/>
    </row>
    <row r="37862" spans="31:31">
      <c r="AE37862" s="54"/>
    </row>
    <row r="37863" spans="31:31">
      <c r="AE37863" s="54"/>
    </row>
    <row r="37864" spans="31:31">
      <c r="AE37864" s="54"/>
    </row>
    <row r="37865" spans="31:31">
      <c r="AE37865" s="54"/>
    </row>
    <row r="37866" spans="31:31">
      <c r="AE37866" s="54"/>
    </row>
    <row r="37867" spans="31:31">
      <c r="AE37867" s="54"/>
    </row>
    <row r="37868" spans="31:31">
      <c r="AE37868" s="54"/>
    </row>
    <row r="37869" spans="31:31">
      <c r="AE37869" s="54"/>
    </row>
    <row r="37870" spans="31:31">
      <c r="AE37870" s="54"/>
    </row>
    <row r="37871" spans="31:31">
      <c r="AE37871" s="54"/>
    </row>
    <row r="37872" spans="31:31">
      <c r="AE37872" s="54"/>
    </row>
    <row r="37873" spans="31:31">
      <c r="AE37873" s="54"/>
    </row>
    <row r="37874" spans="31:31">
      <c r="AE37874" s="54"/>
    </row>
    <row r="37875" spans="31:31">
      <c r="AE37875" s="54"/>
    </row>
    <row r="37876" spans="31:31">
      <c r="AE37876" s="54"/>
    </row>
    <row r="37877" spans="31:31">
      <c r="AE37877" s="54"/>
    </row>
    <row r="37878" spans="31:31">
      <c r="AE37878" s="54"/>
    </row>
    <row r="37879" spans="31:31">
      <c r="AE37879" s="54"/>
    </row>
    <row r="37880" spans="31:31">
      <c r="AE37880" s="54"/>
    </row>
    <row r="37881" spans="31:31">
      <c r="AE37881" s="54"/>
    </row>
    <row r="37882" spans="31:31">
      <c r="AE37882" s="54"/>
    </row>
    <row r="37883" spans="31:31">
      <c r="AE37883" s="54"/>
    </row>
    <row r="37884" spans="31:31">
      <c r="AE37884" s="54"/>
    </row>
    <row r="37885" spans="31:31">
      <c r="AE37885" s="54"/>
    </row>
    <row r="37886" spans="31:31">
      <c r="AE37886" s="54"/>
    </row>
    <row r="37887" spans="31:31">
      <c r="AE37887" s="54"/>
    </row>
    <row r="37888" spans="31:31">
      <c r="AE37888" s="54"/>
    </row>
    <row r="37889" spans="31:31">
      <c r="AE37889" s="54"/>
    </row>
    <row r="37890" spans="31:31">
      <c r="AE37890" s="54"/>
    </row>
    <row r="37891" spans="31:31">
      <c r="AE37891" s="54"/>
    </row>
    <row r="37892" spans="31:31">
      <c r="AE37892" s="54"/>
    </row>
    <row r="37893" spans="31:31">
      <c r="AE37893" s="54"/>
    </row>
    <row r="37894" spans="31:31">
      <c r="AE37894" s="54"/>
    </row>
    <row r="37895" spans="31:31">
      <c r="AE37895" s="54"/>
    </row>
    <row r="37896" spans="31:31">
      <c r="AE37896" s="54"/>
    </row>
    <row r="37897" spans="31:31">
      <c r="AE37897" s="54"/>
    </row>
    <row r="37898" spans="31:31">
      <c r="AE37898" s="54"/>
    </row>
    <row r="37899" spans="31:31">
      <c r="AE37899" s="54"/>
    </row>
    <row r="37900" spans="31:31">
      <c r="AE37900" s="54"/>
    </row>
    <row r="37901" spans="31:31">
      <c r="AE37901" s="54"/>
    </row>
    <row r="37902" spans="31:31">
      <c r="AE37902" s="54"/>
    </row>
    <row r="37903" spans="31:31">
      <c r="AE37903" s="54"/>
    </row>
    <row r="37904" spans="31:31">
      <c r="AE37904" s="54"/>
    </row>
    <row r="37905" spans="31:31">
      <c r="AE37905" s="54"/>
    </row>
    <row r="37906" spans="31:31">
      <c r="AE37906" s="54"/>
    </row>
    <row r="37907" spans="31:31">
      <c r="AE37907" s="54"/>
    </row>
    <row r="37908" spans="31:31">
      <c r="AE37908" s="54"/>
    </row>
    <row r="37909" spans="31:31">
      <c r="AE37909" s="54"/>
    </row>
    <row r="37910" spans="31:31">
      <c r="AE37910" s="54"/>
    </row>
    <row r="37911" spans="31:31">
      <c r="AE37911" s="54"/>
    </row>
    <row r="37912" spans="31:31">
      <c r="AE37912" s="54"/>
    </row>
    <row r="37913" spans="31:31">
      <c r="AE37913" s="54"/>
    </row>
    <row r="37914" spans="31:31">
      <c r="AE37914" s="54"/>
    </row>
    <row r="37915" spans="31:31">
      <c r="AE37915" s="54"/>
    </row>
    <row r="37916" spans="31:31">
      <c r="AE37916" s="54"/>
    </row>
    <row r="37917" spans="31:31">
      <c r="AE37917" s="54"/>
    </row>
    <row r="37918" spans="31:31">
      <c r="AE37918" s="54"/>
    </row>
    <row r="37919" spans="31:31">
      <c r="AE37919" s="54"/>
    </row>
    <row r="37920" spans="31:31">
      <c r="AE37920" s="54"/>
    </row>
    <row r="37921" spans="31:31">
      <c r="AE37921" s="54"/>
    </row>
    <row r="37922" spans="31:31">
      <c r="AE37922" s="54"/>
    </row>
    <row r="37923" spans="31:31">
      <c r="AE37923" s="54"/>
    </row>
    <row r="37924" spans="31:31">
      <c r="AE37924" s="54"/>
    </row>
    <row r="37925" spans="31:31">
      <c r="AE37925" s="54"/>
    </row>
    <row r="37926" spans="31:31">
      <c r="AE37926" s="54"/>
    </row>
    <row r="37927" spans="31:31">
      <c r="AE37927" s="54"/>
    </row>
    <row r="37928" spans="31:31">
      <c r="AE37928" s="54"/>
    </row>
    <row r="37929" spans="31:31">
      <c r="AE37929" s="54"/>
    </row>
    <row r="37930" spans="31:31">
      <c r="AE37930" s="54"/>
    </row>
    <row r="37931" spans="31:31">
      <c r="AE37931" s="54"/>
    </row>
    <row r="37932" spans="31:31">
      <c r="AE37932" s="54"/>
    </row>
    <row r="37933" spans="31:31">
      <c r="AE37933" s="54"/>
    </row>
    <row r="37934" spans="31:31">
      <c r="AE37934" s="54"/>
    </row>
    <row r="37935" spans="31:31">
      <c r="AE37935" s="54"/>
    </row>
    <row r="37936" spans="31:31">
      <c r="AE37936" s="54"/>
    </row>
    <row r="37937" spans="31:31">
      <c r="AE37937" s="54"/>
    </row>
    <row r="37938" spans="31:31">
      <c r="AE37938" s="54"/>
    </row>
    <row r="37939" spans="31:31">
      <c r="AE37939" s="54"/>
    </row>
    <row r="37940" spans="31:31">
      <c r="AE37940" s="54"/>
    </row>
    <row r="37941" spans="31:31">
      <c r="AE37941" s="54"/>
    </row>
    <row r="37942" spans="31:31">
      <c r="AE37942" s="54"/>
    </row>
    <row r="37943" spans="31:31">
      <c r="AE37943" s="54"/>
    </row>
    <row r="37944" spans="31:31">
      <c r="AE37944" s="54"/>
    </row>
    <row r="37945" spans="31:31">
      <c r="AE37945" s="54"/>
    </row>
    <row r="37946" spans="31:31">
      <c r="AE37946" s="54"/>
    </row>
    <row r="37947" spans="31:31">
      <c r="AE37947" s="54"/>
    </row>
    <row r="37948" spans="31:31">
      <c r="AE37948" s="54"/>
    </row>
    <row r="37949" spans="31:31">
      <c r="AE37949" s="54"/>
    </row>
    <row r="37950" spans="31:31">
      <c r="AE37950" s="54"/>
    </row>
    <row r="37951" spans="31:31">
      <c r="AE37951" s="54"/>
    </row>
    <row r="37952" spans="31:31">
      <c r="AE37952" s="54"/>
    </row>
    <row r="37953" spans="31:31">
      <c r="AE37953" s="54"/>
    </row>
    <row r="37954" spans="31:31">
      <c r="AE37954" s="54"/>
    </row>
    <row r="37955" spans="31:31">
      <c r="AE37955" s="54"/>
    </row>
    <row r="37956" spans="31:31">
      <c r="AE37956" s="54"/>
    </row>
    <row r="37957" spans="31:31">
      <c r="AE37957" s="54"/>
    </row>
    <row r="37958" spans="31:31">
      <c r="AE37958" s="54"/>
    </row>
    <row r="37959" spans="31:31">
      <c r="AE37959" s="54"/>
    </row>
    <row r="37960" spans="31:31">
      <c r="AE37960" s="54"/>
    </row>
    <row r="37961" spans="31:31">
      <c r="AE37961" s="54"/>
    </row>
    <row r="37962" spans="31:31">
      <c r="AE37962" s="54"/>
    </row>
    <row r="37963" spans="31:31">
      <c r="AE37963" s="54"/>
    </row>
    <row r="37964" spans="31:31">
      <c r="AE37964" s="54"/>
    </row>
    <row r="37965" spans="31:31">
      <c r="AE37965" s="54"/>
    </row>
    <row r="37966" spans="31:31">
      <c r="AE37966" s="54"/>
    </row>
    <row r="37967" spans="31:31">
      <c r="AE37967" s="54"/>
    </row>
    <row r="37968" spans="31:31">
      <c r="AE37968" s="54"/>
    </row>
    <row r="37969" spans="31:31">
      <c r="AE37969" s="54"/>
    </row>
    <row r="37970" spans="31:31">
      <c r="AE37970" s="54"/>
    </row>
    <row r="37971" spans="31:31">
      <c r="AE37971" s="54"/>
    </row>
    <row r="37972" spans="31:31">
      <c r="AE37972" s="54"/>
    </row>
    <row r="37973" spans="31:31">
      <c r="AE37973" s="54"/>
    </row>
    <row r="37974" spans="31:31">
      <c r="AE37974" s="54"/>
    </row>
    <row r="37975" spans="31:31">
      <c r="AE37975" s="54"/>
    </row>
    <row r="37976" spans="31:31">
      <c r="AE37976" s="54"/>
    </row>
    <row r="37977" spans="31:31">
      <c r="AE37977" s="54"/>
    </row>
    <row r="37978" spans="31:31">
      <c r="AE37978" s="54"/>
    </row>
    <row r="37979" spans="31:31">
      <c r="AE37979" s="54"/>
    </row>
    <row r="37980" spans="31:31">
      <c r="AE37980" s="54"/>
    </row>
    <row r="37981" spans="31:31">
      <c r="AE37981" s="54"/>
    </row>
    <row r="37982" spans="31:31">
      <c r="AE37982" s="54"/>
    </row>
    <row r="37983" spans="31:31">
      <c r="AE37983" s="54"/>
    </row>
    <row r="37984" spans="31:31">
      <c r="AE37984" s="54"/>
    </row>
    <row r="37985" spans="31:31">
      <c r="AE37985" s="54"/>
    </row>
    <row r="37986" spans="31:31">
      <c r="AE37986" s="54"/>
    </row>
    <row r="37987" spans="31:31">
      <c r="AE37987" s="54"/>
    </row>
    <row r="37988" spans="31:31">
      <c r="AE37988" s="54"/>
    </row>
    <row r="37989" spans="31:31">
      <c r="AE37989" s="54"/>
    </row>
    <row r="37990" spans="31:31">
      <c r="AE37990" s="54"/>
    </row>
    <row r="37991" spans="31:31">
      <c r="AE37991" s="54"/>
    </row>
    <row r="37992" spans="31:31">
      <c r="AE37992" s="54"/>
    </row>
    <row r="37993" spans="31:31">
      <c r="AE37993" s="54"/>
    </row>
    <row r="37994" spans="31:31">
      <c r="AE37994" s="54"/>
    </row>
    <row r="37995" spans="31:31">
      <c r="AE37995" s="54"/>
    </row>
    <row r="37996" spans="31:31">
      <c r="AE37996" s="54"/>
    </row>
    <row r="37997" spans="31:31">
      <c r="AE37997" s="54"/>
    </row>
    <row r="37998" spans="31:31">
      <c r="AE37998" s="54"/>
    </row>
    <row r="37999" spans="31:31">
      <c r="AE37999" s="54"/>
    </row>
    <row r="38000" spans="31:31">
      <c r="AE38000" s="54"/>
    </row>
    <row r="38001" spans="31:31">
      <c r="AE38001" s="54"/>
    </row>
    <row r="38002" spans="31:31">
      <c r="AE38002" s="54"/>
    </row>
    <row r="38003" spans="31:31">
      <c r="AE38003" s="54"/>
    </row>
    <row r="38004" spans="31:31">
      <c r="AE38004" s="54"/>
    </row>
    <row r="38005" spans="31:31">
      <c r="AE38005" s="54"/>
    </row>
    <row r="38006" spans="31:31">
      <c r="AE38006" s="54"/>
    </row>
    <row r="38007" spans="31:31">
      <c r="AE38007" s="54"/>
    </row>
    <row r="38008" spans="31:31">
      <c r="AE38008" s="54"/>
    </row>
    <row r="38009" spans="31:31">
      <c r="AE38009" s="54"/>
    </row>
    <row r="38010" spans="31:31">
      <c r="AE38010" s="54"/>
    </row>
    <row r="38011" spans="31:31">
      <c r="AE38011" s="54"/>
    </row>
    <row r="38012" spans="31:31">
      <c r="AE38012" s="54"/>
    </row>
    <row r="38013" spans="31:31">
      <c r="AE38013" s="54"/>
    </row>
    <row r="38014" spans="31:31">
      <c r="AE38014" s="54"/>
    </row>
    <row r="38015" spans="31:31">
      <c r="AE38015" s="54"/>
    </row>
    <row r="38016" spans="31:31">
      <c r="AE38016" s="54"/>
    </row>
    <row r="38017" spans="31:31">
      <c r="AE38017" s="54"/>
    </row>
    <row r="38018" spans="31:31">
      <c r="AE38018" s="54"/>
    </row>
    <row r="38019" spans="31:31">
      <c r="AE38019" s="54"/>
    </row>
    <row r="38020" spans="31:31">
      <c r="AE38020" s="54"/>
    </row>
    <row r="38021" spans="31:31">
      <c r="AE38021" s="54"/>
    </row>
    <row r="38022" spans="31:31">
      <c r="AE38022" s="54"/>
    </row>
    <row r="38023" spans="31:31">
      <c r="AE38023" s="54"/>
    </row>
    <row r="38024" spans="31:31">
      <c r="AE38024" s="54"/>
    </row>
    <row r="38025" spans="31:31">
      <c r="AE38025" s="54"/>
    </row>
    <row r="38026" spans="31:31">
      <c r="AE38026" s="54"/>
    </row>
    <row r="38027" spans="31:31">
      <c r="AE38027" s="54"/>
    </row>
    <row r="38028" spans="31:31">
      <c r="AE38028" s="54"/>
    </row>
    <row r="38029" spans="31:31">
      <c r="AE38029" s="54"/>
    </row>
    <row r="38030" spans="31:31">
      <c r="AE38030" s="54"/>
    </row>
    <row r="38031" spans="31:31">
      <c r="AE38031" s="54"/>
    </row>
    <row r="38032" spans="31:31">
      <c r="AE38032" s="54"/>
    </row>
    <row r="38033" spans="31:31">
      <c r="AE38033" s="54"/>
    </row>
    <row r="38034" spans="31:31">
      <c r="AE38034" s="54"/>
    </row>
    <row r="38035" spans="31:31">
      <c r="AE38035" s="54"/>
    </row>
    <row r="38036" spans="31:31">
      <c r="AE38036" s="54"/>
    </row>
    <row r="38037" spans="31:31">
      <c r="AE38037" s="54"/>
    </row>
    <row r="38038" spans="31:31">
      <c r="AE38038" s="54"/>
    </row>
    <row r="38039" spans="31:31">
      <c r="AE38039" s="54"/>
    </row>
    <row r="38040" spans="31:31">
      <c r="AE38040" s="54"/>
    </row>
    <row r="38041" spans="31:31">
      <c r="AE38041" s="54"/>
    </row>
    <row r="38042" spans="31:31">
      <c r="AE38042" s="54"/>
    </row>
    <row r="38043" spans="31:31">
      <c r="AE38043" s="54"/>
    </row>
    <row r="38044" spans="31:31">
      <c r="AE38044" s="54"/>
    </row>
    <row r="38045" spans="31:31">
      <c r="AE38045" s="54"/>
    </row>
    <row r="38046" spans="31:31">
      <c r="AE38046" s="54"/>
    </row>
    <row r="38047" spans="31:31">
      <c r="AE38047" s="54"/>
    </row>
    <row r="38048" spans="31:31">
      <c r="AE38048" s="54"/>
    </row>
    <row r="38049" spans="31:31">
      <c r="AE38049" s="54"/>
    </row>
    <row r="38050" spans="31:31">
      <c r="AE38050" s="54"/>
    </row>
    <row r="38051" spans="31:31">
      <c r="AE38051" s="54"/>
    </row>
    <row r="38052" spans="31:31">
      <c r="AE38052" s="54"/>
    </row>
    <row r="38053" spans="31:31">
      <c r="AE38053" s="54"/>
    </row>
    <row r="38054" spans="31:31">
      <c r="AE38054" s="54"/>
    </row>
    <row r="38055" spans="31:31">
      <c r="AE38055" s="54"/>
    </row>
    <row r="38056" spans="31:31">
      <c r="AE38056" s="54"/>
    </row>
    <row r="38057" spans="31:31">
      <c r="AE38057" s="54"/>
    </row>
    <row r="38058" spans="31:31">
      <c r="AE38058" s="54"/>
    </row>
    <row r="38059" spans="31:31">
      <c r="AE38059" s="54"/>
    </row>
    <row r="38060" spans="31:31">
      <c r="AE38060" s="54"/>
    </row>
    <row r="38061" spans="31:31">
      <c r="AE38061" s="54"/>
    </row>
    <row r="38062" spans="31:31">
      <c r="AE38062" s="54"/>
    </row>
    <row r="38063" spans="31:31">
      <c r="AE38063" s="54"/>
    </row>
    <row r="38064" spans="31:31">
      <c r="AE38064" s="54"/>
    </row>
    <row r="38065" spans="31:31">
      <c r="AE38065" s="54"/>
    </row>
    <row r="38066" spans="31:31">
      <c r="AE38066" s="54"/>
    </row>
    <row r="38067" spans="31:31">
      <c r="AE38067" s="54"/>
    </row>
    <row r="38068" spans="31:31">
      <c r="AE38068" s="54"/>
    </row>
    <row r="38069" spans="31:31">
      <c r="AE38069" s="54"/>
    </row>
    <row r="38070" spans="31:31">
      <c r="AE38070" s="54"/>
    </row>
    <row r="38071" spans="31:31">
      <c r="AE38071" s="54"/>
    </row>
    <row r="38072" spans="31:31">
      <c r="AE38072" s="54"/>
    </row>
    <row r="38073" spans="31:31">
      <c r="AE38073" s="54"/>
    </row>
    <row r="38074" spans="31:31">
      <c r="AE38074" s="54"/>
    </row>
    <row r="38075" spans="31:31">
      <c r="AE38075" s="54"/>
    </row>
    <row r="38076" spans="31:31">
      <c r="AE38076" s="54"/>
    </row>
    <row r="38077" spans="31:31">
      <c r="AE38077" s="54"/>
    </row>
    <row r="38078" spans="31:31">
      <c r="AE38078" s="54"/>
    </row>
    <row r="38079" spans="31:31">
      <c r="AE38079" s="54"/>
    </row>
    <row r="38080" spans="31:31">
      <c r="AE38080" s="54"/>
    </row>
    <row r="38081" spans="31:31">
      <c r="AE38081" s="54"/>
    </row>
    <row r="38082" spans="31:31">
      <c r="AE38082" s="54"/>
    </row>
    <row r="38083" spans="31:31">
      <c r="AE38083" s="54"/>
    </row>
    <row r="38084" spans="31:31">
      <c r="AE38084" s="54"/>
    </row>
    <row r="38085" spans="31:31">
      <c r="AE38085" s="54"/>
    </row>
    <row r="38086" spans="31:31">
      <c r="AE38086" s="54"/>
    </row>
    <row r="38087" spans="31:31">
      <c r="AE38087" s="54"/>
    </row>
    <row r="38088" spans="31:31">
      <c r="AE38088" s="54"/>
    </row>
    <row r="38089" spans="31:31">
      <c r="AE38089" s="54"/>
    </row>
    <row r="38090" spans="31:31">
      <c r="AE38090" s="54"/>
    </row>
    <row r="38091" spans="31:31">
      <c r="AE38091" s="54"/>
    </row>
    <row r="38092" spans="31:31">
      <c r="AE38092" s="54"/>
    </row>
    <row r="38093" spans="31:31">
      <c r="AE38093" s="54"/>
    </row>
    <row r="38094" spans="31:31">
      <c r="AE38094" s="54"/>
    </row>
    <row r="38095" spans="31:31">
      <c r="AE38095" s="54"/>
    </row>
    <row r="38096" spans="31:31">
      <c r="AE38096" s="54"/>
    </row>
    <row r="38097" spans="31:31">
      <c r="AE38097" s="54"/>
    </row>
    <row r="38098" spans="31:31">
      <c r="AE38098" s="54"/>
    </row>
    <row r="38099" spans="31:31">
      <c r="AE38099" s="54"/>
    </row>
    <row r="38100" spans="31:31">
      <c r="AE38100" s="54"/>
    </row>
    <row r="38101" spans="31:31">
      <c r="AE38101" s="54"/>
    </row>
    <row r="38102" spans="31:31">
      <c r="AE38102" s="54"/>
    </row>
    <row r="38103" spans="31:31">
      <c r="AE38103" s="54"/>
    </row>
    <row r="38104" spans="31:31">
      <c r="AE38104" s="54"/>
    </row>
    <row r="38105" spans="31:31">
      <c r="AE38105" s="54"/>
    </row>
    <row r="38106" spans="31:31">
      <c r="AE38106" s="54"/>
    </row>
    <row r="38107" spans="31:31">
      <c r="AE38107" s="54"/>
    </row>
    <row r="38108" spans="31:31">
      <c r="AE38108" s="54"/>
    </row>
    <row r="38109" spans="31:31">
      <c r="AE38109" s="54"/>
    </row>
    <row r="38110" spans="31:31">
      <c r="AE38110" s="54"/>
    </row>
    <row r="38111" spans="31:31">
      <c r="AE38111" s="54"/>
    </row>
    <row r="38112" spans="31:31">
      <c r="AE38112" s="54"/>
    </row>
    <row r="38113" spans="31:31">
      <c r="AE38113" s="54"/>
    </row>
    <row r="38114" spans="31:31">
      <c r="AE38114" s="54"/>
    </row>
    <row r="38115" spans="31:31">
      <c r="AE38115" s="54"/>
    </row>
    <row r="38116" spans="31:31">
      <c r="AE38116" s="54"/>
    </row>
    <row r="38117" spans="31:31">
      <c r="AE38117" s="54"/>
    </row>
    <row r="38118" spans="31:31">
      <c r="AE38118" s="54"/>
    </row>
    <row r="38119" spans="31:31">
      <c r="AE38119" s="54"/>
    </row>
    <row r="38120" spans="31:31">
      <c r="AE38120" s="54"/>
    </row>
    <row r="38121" spans="31:31">
      <c r="AE38121" s="54"/>
    </row>
    <row r="38122" spans="31:31">
      <c r="AE38122" s="54"/>
    </row>
    <row r="38123" spans="31:31">
      <c r="AE38123" s="54"/>
    </row>
    <row r="38124" spans="31:31">
      <c r="AE38124" s="54"/>
    </row>
    <row r="38125" spans="31:31">
      <c r="AE38125" s="54"/>
    </row>
    <row r="38126" spans="31:31">
      <c r="AE38126" s="54"/>
    </row>
    <row r="38127" spans="31:31">
      <c r="AE38127" s="54"/>
    </row>
    <row r="38128" spans="31:31">
      <c r="AE38128" s="54"/>
    </row>
    <row r="38129" spans="31:31">
      <c r="AE38129" s="54"/>
    </row>
    <row r="38130" spans="31:31">
      <c r="AE38130" s="54"/>
    </row>
    <row r="38131" spans="31:31">
      <c r="AE38131" s="54"/>
    </row>
    <row r="38132" spans="31:31">
      <c r="AE38132" s="54"/>
    </row>
    <row r="38133" spans="31:31">
      <c r="AE38133" s="54"/>
    </row>
    <row r="38134" spans="31:31">
      <c r="AE38134" s="54"/>
    </row>
    <row r="38135" spans="31:31">
      <c r="AE38135" s="54"/>
    </row>
    <row r="38136" spans="31:31">
      <c r="AE38136" s="54"/>
    </row>
    <row r="38137" spans="31:31">
      <c r="AE38137" s="54"/>
    </row>
    <row r="38138" spans="31:31">
      <c r="AE38138" s="54"/>
    </row>
    <row r="38139" spans="31:31">
      <c r="AE38139" s="54"/>
    </row>
    <row r="38140" spans="31:31">
      <c r="AE38140" s="54"/>
    </row>
    <row r="38141" spans="31:31">
      <c r="AE38141" s="54"/>
    </row>
    <row r="38142" spans="31:31">
      <c r="AE38142" s="54"/>
    </row>
    <row r="38143" spans="31:31">
      <c r="AE38143" s="54"/>
    </row>
    <row r="38144" spans="31:31">
      <c r="AE38144" s="54"/>
    </row>
    <row r="38145" spans="31:31">
      <c r="AE38145" s="54"/>
    </row>
    <row r="38146" spans="31:31">
      <c r="AE38146" s="54"/>
    </row>
    <row r="38147" spans="31:31">
      <c r="AE38147" s="54"/>
    </row>
    <row r="38148" spans="31:31">
      <c r="AE38148" s="54"/>
    </row>
    <row r="38149" spans="31:31">
      <c r="AE38149" s="54"/>
    </row>
    <row r="38150" spans="31:31">
      <c r="AE38150" s="54"/>
    </row>
    <row r="38151" spans="31:31">
      <c r="AE38151" s="54"/>
    </row>
    <row r="38152" spans="31:31">
      <c r="AE38152" s="54"/>
    </row>
    <row r="38153" spans="31:31">
      <c r="AE38153" s="54"/>
    </row>
    <row r="38154" spans="31:31">
      <c r="AE38154" s="54"/>
    </row>
    <row r="38155" spans="31:31">
      <c r="AE38155" s="54"/>
    </row>
    <row r="38156" spans="31:31">
      <c r="AE38156" s="54"/>
    </row>
    <row r="38157" spans="31:31">
      <c r="AE38157" s="54"/>
    </row>
    <row r="38158" spans="31:31">
      <c r="AE38158" s="54"/>
    </row>
    <row r="38159" spans="31:31">
      <c r="AE38159" s="54"/>
    </row>
    <row r="38160" spans="31:31">
      <c r="AE38160" s="54"/>
    </row>
    <row r="38161" spans="31:31">
      <c r="AE38161" s="54"/>
    </row>
    <row r="38162" spans="31:31">
      <c r="AE38162" s="54"/>
    </row>
    <row r="38163" spans="31:31">
      <c r="AE38163" s="54"/>
    </row>
    <row r="38164" spans="31:31">
      <c r="AE38164" s="54"/>
    </row>
    <row r="38165" spans="31:31">
      <c r="AE38165" s="54"/>
    </row>
    <row r="38166" spans="31:31">
      <c r="AE38166" s="54"/>
    </row>
    <row r="38167" spans="31:31">
      <c r="AE38167" s="54"/>
    </row>
    <row r="38168" spans="31:31">
      <c r="AE38168" s="54"/>
    </row>
    <row r="38169" spans="31:31">
      <c r="AE38169" s="54"/>
    </row>
    <row r="38170" spans="31:31">
      <c r="AE38170" s="54"/>
    </row>
    <row r="38171" spans="31:31">
      <c r="AE38171" s="54"/>
    </row>
    <row r="38172" spans="31:31">
      <c r="AE38172" s="54"/>
    </row>
    <row r="38173" spans="31:31">
      <c r="AE38173" s="54"/>
    </row>
    <row r="38174" spans="31:31">
      <c r="AE38174" s="54"/>
    </row>
    <row r="38175" spans="31:31">
      <c r="AE38175" s="54"/>
    </row>
    <row r="38176" spans="31:31">
      <c r="AE38176" s="54"/>
    </row>
    <row r="38177" spans="31:31">
      <c r="AE38177" s="54"/>
    </row>
    <row r="38178" spans="31:31">
      <c r="AE38178" s="54"/>
    </row>
    <row r="38179" spans="31:31">
      <c r="AE38179" s="54"/>
    </row>
    <row r="38180" spans="31:31">
      <c r="AE38180" s="54"/>
    </row>
    <row r="38181" spans="31:31">
      <c r="AE38181" s="54"/>
    </row>
    <row r="38182" spans="31:31">
      <c r="AE38182" s="54"/>
    </row>
    <row r="38183" spans="31:31">
      <c r="AE38183" s="54"/>
    </row>
    <row r="38184" spans="31:31">
      <c r="AE38184" s="54"/>
    </row>
    <row r="38185" spans="31:31">
      <c r="AE38185" s="54"/>
    </row>
    <row r="38186" spans="31:31">
      <c r="AE38186" s="54"/>
    </row>
    <row r="38187" spans="31:31">
      <c r="AE38187" s="54"/>
    </row>
    <row r="38188" spans="31:31">
      <c r="AE38188" s="54"/>
    </row>
    <row r="38189" spans="31:31">
      <c r="AE38189" s="54"/>
    </row>
    <row r="38190" spans="31:31">
      <c r="AE38190" s="54"/>
    </row>
    <row r="38191" spans="31:31">
      <c r="AE38191" s="54"/>
    </row>
    <row r="38192" spans="31:31">
      <c r="AE38192" s="54"/>
    </row>
    <row r="38193" spans="31:31">
      <c r="AE38193" s="54"/>
    </row>
    <row r="38194" spans="31:31">
      <c r="AE38194" s="54"/>
    </row>
    <row r="38195" spans="31:31">
      <c r="AE38195" s="54"/>
    </row>
    <row r="38196" spans="31:31">
      <c r="AE38196" s="54"/>
    </row>
    <row r="38197" spans="31:31">
      <c r="AE38197" s="54"/>
    </row>
    <row r="38198" spans="31:31">
      <c r="AE38198" s="54"/>
    </row>
    <row r="38199" spans="31:31">
      <c r="AE38199" s="54"/>
    </row>
    <row r="38200" spans="31:31">
      <c r="AE38200" s="54"/>
    </row>
    <row r="38201" spans="31:31">
      <c r="AE38201" s="54"/>
    </row>
    <row r="38202" spans="31:31">
      <c r="AE38202" s="54"/>
    </row>
    <row r="38203" spans="31:31">
      <c r="AE38203" s="54"/>
    </row>
    <row r="38204" spans="31:31">
      <c r="AE38204" s="54"/>
    </row>
    <row r="38205" spans="31:31">
      <c r="AE38205" s="54"/>
    </row>
    <row r="38206" spans="31:31">
      <c r="AE38206" s="54"/>
    </row>
    <row r="38207" spans="31:31">
      <c r="AE38207" s="54"/>
    </row>
    <row r="38208" spans="31:31">
      <c r="AE38208" s="54"/>
    </row>
    <row r="38209" spans="31:31">
      <c r="AE38209" s="54"/>
    </row>
    <row r="38210" spans="31:31">
      <c r="AE38210" s="54"/>
    </row>
    <row r="38211" spans="31:31">
      <c r="AE38211" s="54"/>
    </row>
    <row r="38212" spans="31:31">
      <c r="AE38212" s="54"/>
    </row>
    <row r="38213" spans="31:31">
      <c r="AE38213" s="54"/>
    </row>
    <row r="38214" spans="31:31">
      <c r="AE38214" s="54"/>
    </row>
    <row r="38215" spans="31:31">
      <c r="AE38215" s="54"/>
    </row>
    <row r="38216" spans="31:31">
      <c r="AE38216" s="54"/>
    </row>
    <row r="38217" spans="31:31">
      <c r="AE38217" s="54"/>
    </row>
    <row r="38218" spans="31:31">
      <c r="AE38218" s="54"/>
    </row>
    <row r="38219" spans="31:31">
      <c r="AE38219" s="54"/>
    </row>
    <row r="38220" spans="31:31">
      <c r="AE38220" s="54"/>
    </row>
    <row r="38221" spans="31:31">
      <c r="AE38221" s="54"/>
    </row>
    <row r="38222" spans="31:31">
      <c r="AE38222" s="54"/>
    </row>
    <row r="38223" spans="31:31">
      <c r="AE38223" s="54"/>
    </row>
    <row r="38224" spans="31:31">
      <c r="AE38224" s="54"/>
    </row>
    <row r="38225" spans="31:31">
      <c r="AE38225" s="54"/>
    </row>
    <row r="38226" spans="31:31">
      <c r="AE38226" s="54"/>
    </row>
    <row r="38227" spans="31:31">
      <c r="AE38227" s="54"/>
    </row>
    <row r="38228" spans="31:31">
      <c r="AE38228" s="54"/>
    </row>
    <row r="38229" spans="31:31">
      <c r="AE38229" s="54"/>
    </row>
    <row r="38230" spans="31:31">
      <c r="AE38230" s="54"/>
    </row>
    <row r="38231" spans="31:31">
      <c r="AE38231" s="54"/>
    </row>
    <row r="38232" spans="31:31">
      <c r="AE38232" s="54"/>
    </row>
    <row r="38233" spans="31:31">
      <c r="AE38233" s="54"/>
    </row>
    <row r="38234" spans="31:31">
      <c r="AE38234" s="54"/>
    </row>
    <row r="38235" spans="31:31">
      <c r="AE38235" s="54"/>
    </row>
    <row r="38236" spans="31:31">
      <c r="AE38236" s="54"/>
    </row>
    <row r="38237" spans="31:31">
      <c r="AE38237" s="54"/>
    </row>
    <row r="38238" spans="31:31">
      <c r="AE38238" s="54"/>
    </row>
    <row r="38239" spans="31:31">
      <c r="AE38239" s="54"/>
    </row>
    <row r="38240" spans="31:31">
      <c r="AE38240" s="54"/>
    </row>
    <row r="38241" spans="31:31">
      <c r="AE38241" s="54"/>
    </row>
    <row r="38242" spans="31:31">
      <c r="AE38242" s="54"/>
    </row>
    <row r="38243" spans="31:31">
      <c r="AE38243" s="54"/>
    </row>
    <row r="38244" spans="31:31">
      <c r="AE38244" s="54"/>
    </row>
    <row r="38245" spans="31:31">
      <c r="AE38245" s="54"/>
    </row>
    <row r="38246" spans="31:31">
      <c r="AE38246" s="54"/>
    </row>
    <row r="38247" spans="31:31">
      <c r="AE38247" s="54"/>
    </row>
    <row r="38248" spans="31:31">
      <c r="AE38248" s="54"/>
    </row>
    <row r="38249" spans="31:31">
      <c r="AE38249" s="54"/>
    </row>
    <row r="38250" spans="31:31">
      <c r="AE38250" s="54"/>
    </row>
    <row r="38251" spans="31:31">
      <c r="AE38251" s="54"/>
    </row>
    <row r="38252" spans="31:31">
      <c r="AE38252" s="54"/>
    </row>
    <row r="38253" spans="31:31">
      <c r="AE38253" s="54"/>
    </row>
    <row r="38254" spans="31:31">
      <c r="AE38254" s="54"/>
    </row>
    <row r="38255" spans="31:31">
      <c r="AE38255" s="54"/>
    </row>
    <row r="38256" spans="31:31">
      <c r="AE38256" s="54"/>
    </row>
    <row r="38257" spans="31:31">
      <c r="AE38257" s="54"/>
    </row>
    <row r="38258" spans="31:31">
      <c r="AE38258" s="54"/>
    </row>
    <row r="38259" spans="31:31">
      <c r="AE38259" s="54"/>
    </row>
    <row r="38260" spans="31:31">
      <c r="AE38260" s="54"/>
    </row>
    <row r="38261" spans="31:31">
      <c r="AE38261" s="54"/>
    </row>
    <row r="38262" spans="31:31">
      <c r="AE38262" s="54"/>
    </row>
    <row r="38263" spans="31:31">
      <c r="AE38263" s="54"/>
    </row>
    <row r="38264" spans="31:31">
      <c r="AE38264" s="54"/>
    </row>
    <row r="38265" spans="31:31">
      <c r="AE38265" s="54"/>
    </row>
    <row r="38266" spans="31:31">
      <c r="AE38266" s="54"/>
    </row>
    <row r="38267" spans="31:31">
      <c r="AE38267" s="54"/>
    </row>
    <row r="38268" spans="31:31">
      <c r="AE38268" s="54"/>
    </row>
    <row r="38269" spans="31:31">
      <c r="AE38269" s="54"/>
    </row>
    <row r="38270" spans="31:31">
      <c r="AE38270" s="54"/>
    </row>
    <row r="38271" spans="31:31">
      <c r="AE38271" s="54"/>
    </row>
    <row r="38272" spans="31:31">
      <c r="AE38272" s="54"/>
    </row>
    <row r="38273" spans="31:31">
      <c r="AE38273" s="54"/>
    </row>
    <row r="38274" spans="31:31">
      <c r="AE38274" s="54"/>
    </row>
    <row r="38275" spans="31:31">
      <c r="AE38275" s="54"/>
    </row>
    <row r="38276" spans="31:31">
      <c r="AE38276" s="54"/>
    </row>
    <row r="38277" spans="31:31">
      <c r="AE38277" s="54"/>
    </row>
    <row r="38278" spans="31:31">
      <c r="AE38278" s="54"/>
    </row>
    <row r="38279" spans="31:31">
      <c r="AE38279" s="54"/>
    </row>
    <row r="38280" spans="31:31">
      <c r="AE38280" s="54"/>
    </row>
    <row r="38281" spans="31:31">
      <c r="AE38281" s="54"/>
    </row>
    <row r="38282" spans="31:31">
      <c r="AE38282" s="54"/>
    </row>
    <row r="38283" spans="31:31">
      <c r="AE38283" s="54"/>
    </row>
    <row r="38284" spans="31:31">
      <c r="AE38284" s="54"/>
    </row>
    <row r="38285" spans="31:31">
      <c r="AE38285" s="54"/>
    </row>
    <row r="38286" spans="31:31">
      <c r="AE38286" s="54"/>
    </row>
    <row r="38287" spans="31:31">
      <c r="AE38287" s="54"/>
    </row>
    <row r="38288" spans="31:31">
      <c r="AE38288" s="54"/>
    </row>
    <row r="38289" spans="31:31">
      <c r="AE38289" s="54"/>
    </row>
    <row r="38290" spans="31:31">
      <c r="AE38290" s="54"/>
    </row>
    <row r="38291" spans="31:31">
      <c r="AE38291" s="54"/>
    </row>
    <row r="38292" spans="31:31">
      <c r="AE38292" s="54"/>
    </row>
    <row r="38293" spans="31:31">
      <c r="AE38293" s="54"/>
    </row>
    <row r="38294" spans="31:31">
      <c r="AE38294" s="54"/>
    </row>
    <row r="38295" spans="31:31">
      <c r="AE38295" s="54"/>
    </row>
    <row r="38296" spans="31:31">
      <c r="AE38296" s="54"/>
    </row>
    <row r="38297" spans="31:31">
      <c r="AE38297" s="54"/>
    </row>
    <row r="38298" spans="31:31">
      <c r="AE38298" s="54"/>
    </row>
    <row r="38299" spans="31:31">
      <c r="AE38299" s="54"/>
    </row>
    <row r="38300" spans="31:31">
      <c r="AE38300" s="54"/>
    </row>
    <row r="38301" spans="31:31">
      <c r="AE38301" s="54"/>
    </row>
    <row r="38302" spans="31:31">
      <c r="AE38302" s="54"/>
    </row>
    <row r="38303" spans="31:31">
      <c r="AE38303" s="54"/>
    </row>
    <row r="38304" spans="31:31">
      <c r="AE38304" s="54"/>
    </row>
    <row r="38305" spans="31:31">
      <c r="AE38305" s="54"/>
    </row>
    <row r="38306" spans="31:31">
      <c r="AE38306" s="54"/>
    </row>
    <row r="38307" spans="31:31">
      <c r="AE38307" s="54"/>
    </row>
    <row r="38308" spans="31:31">
      <c r="AE38308" s="54"/>
    </row>
    <row r="38309" spans="31:31">
      <c r="AE38309" s="54"/>
    </row>
    <row r="38310" spans="31:31">
      <c r="AE38310" s="54"/>
    </row>
    <row r="38311" spans="31:31">
      <c r="AE38311" s="54"/>
    </row>
    <row r="38312" spans="31:31">
      <c r="AE38312" s="54"/>
    </row>
    <row r="38313" spans="31:31">
      <c r="AE38313" s="54"/>
    </row>
    <row r="38314" spans="31:31">
      <c r="AE38314" s="54"/>
    </row>
    <row r="38315" spans="31:31">
      <c r="AE38315" s="54"/>
    </row>
    <row r="38316" spans="31:31">
      <c r="AE38316" s="54"/>
    </row>
    <row r="38317" spans="31:31">
      <c r="AE38317" s="54"/>
    </row>
    <row r="38318" spans="31:31">
      <c r="AE38318" s="54"/>
    </row>
    <row r="38319" spans="31:31">
      <c r="AE38319" s="54"/>
    </row>
    <row r="38320" spans="31:31">
      <c r="AE38320" s="54"/>
    </row>
    <row r="38321" spans="31:31">
      <c r="AE38321" s="54"/>
    </row>
    <row r="38322" spans="31:31">
      <c r="AE38322" s="54"/>
    </row>
    <row r="38323" spans="31:31">
      <c r="AE38323" s="54"/>
    </row>
    <row r="38324" spans="31:31">
      <c r="AE38324" s="54"/>
    </row>
    <row r="38325" spans="31:31">
      <c r="AE38325" s="54"/>
    </row>
    <row r="38326" spans="31:31">
      <c r="AE38326" s="54"/>
    </row>
    <row r="38327" spans="31:31">
      <c r="AE38327" s="54"/>
    </row>
    <row r="38328" spans="31:31">
      <c r="AE38328" s="54"/>
    </row>
    <row r="38329" spans="31:31">
      <c r="AE38329" s="54"/>
    </row>
    <row r="38330" spans="31:31">
      <c r="AE38330" s="54"/>
    </row>
    <row r="38331" spans="31:31">
      <c r="AE38331" s="54"/>
    </row>
    <row r="38332" spans="31:31">
      <c r="AE38332" s="54"/>
    </row>
    <row r="38333" spans="31:31">
      <c r="AE38333" s="54"/>
    </row>
    <row r="38334" spans="31:31">
      <c r="AE38334" s="54"/>
    </row>
    <row r="38335" spans="31:31">
      <c r="AE38335" s="54"/>
    </row>
    <row r="38336" spans="31:31">
      <c r="AE38336" s="54"/>
    </row>
    <row r="38337" spans="31:31">
      <c r="AE38337" s="54"/>
    </row>
    <row r="38338" spans="31:31">
      <c r="AE38338" s="54"/>
    </row>
    <row r="38339" spans="31:31">
      <c r="AE38339" s="54"/>
    </row>
    <row r="38340" spans="31:31">
      <c r="AE38340" s="54"/>
    </row>
    <row r="38341" spans="31:31">
      <c r="AE38341" s="54"/>
    </row>
    <row r="38342" spans="31:31">
      <c r="AE38342" s="54"/>
    </row>
    <row r="38343" spans="31:31">
      <c r="AE38343" s="54"/>
    </row>
    <row r="38344" spans="31:31">
      <c r="AE38344" s="54"/>
    </row>
    <row r="38345" spans="31:31">
      <c r="AE38345" s="54"/>
    </row>
    <row r="38346" spans="31:31">
      <c r="AE38346" s="54"/>
    </row>
    <row r="38347" spans="31:31">
      <c r="AE38347" s="54"/>
    </row>
    <row r="38348" spans="31:31">
      <c r="AE38348" s="54"/>
    </row>
    <row r="38349" spans="31:31">
      <c r="AE38349" s="54"/>
    </row>
    <row r="38350" spans="31:31">
      <c r="AE38350" s="54"/>
    </row>
    <row r="38351" spans="31:31">
      <c r="AE38351" s="54"/>
    </row>
    <row r="38352" spans="31:31">
      <c r="AE38352" s="54"/>
    </row>
    <row r="38353" spans="31:31">
      <c r="AE38353" s="54"/>
    </row>
    <row r="38354" spans="31:31">
      <c r="AE38354" s="54"/>
    </row>
    <row r="38355" spans="31:31">
      <c r="AE38355" s="54"/>
    </row>
    <row r="38356" spans="31:31">
      <c r="AE38356" s="54"/>
    </row>
    <row r="38357" spans="31:31">
      <c r="AE38357" s="54"/>
    </row>
    <row r="38358" spans="31:31">
      <c r="AE38358" s="54"/>
    </row>
    <row r="38359" spans="31:31">
      <c r="AE38359" s="54"/>
    </row>
    <row r="38360" spans="31:31">
      <c r="AE38360" s="54"/>
    </row>
    <row r="38361" spans="31:31">
      <c r="AE38361" s="54"/>
    </row>
    <row r="38362" spans="31:31">
      <c r="AE38362" s="54"/>
    </row>
    <row r="38363" spans="31:31">
      <c r="AE38363" s="54"/>
    </row>
    <row r="38364" spans="31:31">
      <c r="AE38364" s="54"/>
    </row>
    <row r="38365" spans="31:31">
      <c r="AE38365" s="54"/>
    </row>
    <row r="38366" spans="31:31">
      <c r="AE38366" s="54"/>
    </row>
    <row r="38367" spans="31:31">
      <c r="AE38367" s="54"/>
    </row>
    <row r="38368" spans="31:31">
      <c r="AE38368" s="54"/>
    </row>
    <row r="38369" spans="31:31">
      <c r="AE38369" s="54"/>
    </row>
    <row r="38370" spans="31:31">
      <c r="AE38370" s="54"/>
    </row>
    <row r="38371" spans="31:31">
      <c r="AE38371" s="54"/>
    </row>
    <row r="38372" spans="31:31">
      <c r="AE38372" s="54"/>
    </row>
    <row r="38373" spans="31:31">
      <c r="AE38373" s="54"/>
    </row>
    <row r="38374" spans="31:31">
      <c r="AE38374" s="54"/>
    </row>
    <row r="38375" spans="31:31">
      <c r="AE38375" s="54"/>
    </row>
    <row r="38376" spans="31:31">
      <c r="AE38376" s="54"/>
    </row>
    <row r="38377" spans="31:31">
      <c r="AE38377" s="54"/>
    </row>
    <row r="38378" spans="31:31">
      <c r="AE38378" s="54"/>
    </row>
    <row r="38379" spans="31:31">
      <c r="AE38379" s="54"/>
    </row>
    <row r="38380" spans="31:31">
      <c r="AE38380" s="54"/>
    </row>
    <row r="38381" spans="31:31">
      <c r="AE38381" s="54"/>
    </row>
    <row r="38382" spans="31:31">
      <c r="AE38382" s="54"/>
    </row>
    <row r="38383" spans="31:31">
      <c r="AE38383" s="54"/>
    </row>
    <row r="38384" spans="31:31">
      <c r="AE38384" s="54"/>
    </row>
    <row r="38385" spans="31:31">
      <c r="AE38385" s="54"/>
    </row>
    <row r="38386" spans="31:31">
      <c r="AE38386" s="54"/>
    </row>
    <row r="38387" spans="31:31">
      <c r="AE38387" s="54"/>
    </row>
    <row r="38388" spans="31:31">
      <c r="AE38388" s="54"/>
    </row>
    <row r="38389" spans="31:31">
      <c r="AE38389" s="54"/>
    </row>
    <row r="38390" spans="31:31">
      <c r="AE38390" s="54"/>
    </row>
    <row r="38391" spans="31:31">
      <c r="AE38391" s="54"/>
    </row>
    <row r="38392" spans="31:31">
      <c r="AE38392" s="54"/>
    </row>
    <row r="38393" spans="31:31">
      <c r="AE38393" s="54"/>
    </row>
    <row r="38394" spans="31:31">
      <c r="AE38394" s="54"/>
    </row>
    <row r="38395" spans="31:31">
      <c r="AE38395" s="54"/>
    </row>
    <row r="38396" spans="31:31">
      <c r="AE38396" s="54"/>
    </row>
    <row r="38397" spans="31:31">
      <c r="AE38397" s="54"/>
    </row>
    <row r="38398" spans="31:31">
      <c r="AE38398" s="54"/>
    </row>
    <row r="38399" spans="31:31">
      <c r="AE38399" s="54"/>
    </row>
    <row r="38400" spans="31:31">
      <c r="AE38400" s="54"/>
    </row>
    <row r="38401" spans="31:31">
      <c r="AE38401" s="54"/>
    </row>
    <row r="38402" spans="31:31">
      <c r="AE38402" s="54"/>
    </row>
    <row r="38403" spans="31:31">
      <c r="AE38403" s="54"/>
    </row>
    <row r="38404" spans="31:31">
      <c r="AE38404" s="54"/>
    </row>
    <row r="38405" spans="31:31">
      <c r="AE38405" s="54"/>
    </row>
    <row r="38406" spans="31:31">
      <c r="AE38406" s="54"/>
    </row>
    <row r="38407" spans="31:31">
      <c r="AE38407" s="54"/>
    </row>
    <row r="38408" spans="31:31">
      <c r="AE38408" s="54"/>
    </row>
    <row r="38409" spans="31:31">
      <c r="AE38409" s="54"/>
    </row>
    <row r="38410" spans="31:31">
      <c r="AE38410" s="54"/>
    </row>
    <row r="38411" spans="31:31">
      <c r="AE38411" s="54"/>
    </row>
    <row r="38412" spans="31:31">
      <c r="AE38412" s="54"/>
    </row>
    <row r="38413" spans="31:31">
      <c r="AE38413" s="54"/>
    </row>
    <row r="38414" spans="31:31">
      <c r="AE38414" s="54"/>
    </row>
    <row r="38415" spans="31:31">
      <c r="AE38415" s="54"/>
    </row>
    <row r="38416" spans="31:31">
      <c r="AE38416" s="54"/>
    </row>
    <row r="38417" spans="31:31">
      <c r="AE38417" s="54"/>
    </row>
    <row r="38418" spans="31:31">
      <c r="AE38418" s="54"/>
    </row>
    <row r="38419" spans="31:31">
      <c r="AE38419" s="54"/>
    </row>
    <row r="38420" spans="31:31">
      <c r="AE38420" s="54"/>
    </row>
    <row r="38421" spans="31:31">
      <c r="AE38421" s="54"/>
    </row>
    <row r="38422" spans="31:31">
      <c r="AE38422" s="54"/>
    </row>
    <row r="38423" spans="31:31">
      <c r="AE38423" s="54"/>
    </row>
    <row r="38424" spans="31:31">
      <c r="AE38424" s="54"/>
    </row>
    <row r="38425" spans="31:31">
      <c r="AE38425" s="54"/>
    </row>
    <row r="38426" spans="31:31">
      <c r="AE38426" s="54"/>
    </row>
    <row r="38427" spans="31:31">
      <c r="AE38427" s="54"/>
    </row>
    <row r="38428" spans="31:31">
      <c r="AE38428" s="54"/>
    </row>
    <row r="38429" spans="31:31">
      <c r="AE38429" s="54"/>
    </row>
    <row r="38430" spans="31:31">
      <c r="AE38430" s="54"/>
    </row>
    <row r="38431" spans="31:31">
      <c r="AE38431" s="54"/>
    </row>
    <row r="38432" spans="31:31">
      <c r="AE38432" s="54"/>
    </row>
    <row r="38433" spans="31:31">
      <c r="AE38433" s="54"/>
    </row>
    <row r="38434" spans="31:31">
      <c r="AE38434" s="54"/>
    </row>
    <row r="38435" spans="31:31">
      <c r="AE38435" s="54"/>
    </row>
    <row r="38436" spans="31:31">
      <c r="AE38436" s="54"/>
    </row>
    <row r="38437" spans="31:31">
      <c r="AE38437" s="54"/>
    </row>
    <row r="38438" spans="31:31">
      <c r="AE38438" s="54"/>
    </row>
    <row r="38439" spans="31:31">
      <c r="AE38439" s="54"/>
    </row>
    <row r="38440" spans="31:31">
      <c r="AE38440" s="54"/>
    </row>
    <row r="38441" spans="31:31">
      <c r="AE38441" s="54"/>
    </row>
    <row r="38442" spans="31:31">
      <c r="AE38442" s="54"/>
    </row>
    <row r="38443" spans="31:31">
      <c r="AE38443" s="54"/>
    </row>
    <row r="38444" spans="31:31">
      <c r="AE38444" s="54"/>
    </row>
    <row r="38445" spans="31:31">
      <c r="AE38445" s="54"/>
    </row>
    <row r="38446" spans="31:31">
      <c r="AE38446" s="54"/>
    </row>
    <row r="38447" spans="31:31">
      <c r="AE38447" s="54"/>
    </row>
    <row r="38448" spans="31:31">
      <c r="AE38448" s="54"/>
    </row>
    <row r="38449" spans="31:31">
      <c r="AE38449" s="54"/>
    </row>
    <row r="38450" spans="31:31">
      <c r="AE38450" s="54"/>
    </row>
    <row r="38451" spans="31:31">
      <c r="AE38451" s="54"/>
    </row>
    <row r="38452" spans="31:31">
      <c r="AE38452" s="54"/>
    </row>
    <row r="38453" spans="31:31">
      <c r="AE38453" s="54"/>
    </row>
    <row r="38454" spans="31:31">
      <c r="AE38454" s="54"/>
    </row>
    <row r="38455" spans="31:31">
      <c r="AE38455" s="54"/>
    </row>
    <row r="38456" spans="31:31">
      <c r="AE38456" s="54"/>
    </row>
    <row r="38457" spans="31:31">
      <c r="AE38457" s="54"/>
    </row>
    <row r="38458" spans="31:31">
      <c r="AE38458" s="54"/>
    </row>
    <row r="38459" spans="31:31">
      <c r="AE38459" s="54"/>
    </row>
    <row r="38460" spans="31:31">
      <c r="AE38460" s="54"/>
    </row>
    <row r="38461" spans="31:31">
      <c r="AE38461" s="54"/>
    </row>
    <row r="38462" spans="31:31">
      <c r="AE38462" s="54"/>
    </row>
    <row r="38463" spans="31:31">
      <c r="AE38463" s="54"/>
    </row>
    <row r="38464" spans="31:31">
      <c r="AE38464" s="54"/>
    </row>
    <row r="38465" spans="31:31">
      <c r="AE38465" s="54"/>
    </row>
    <row r="38466" spans="31:31">
      <c r="AE38466" s="54"/>
    </row>
    <row r="38467" spans="31:31">
      <c r="AE38467" s="54"/>
    </row>
    <row r="38468" spans="31:31">
      <c r="AE38468" s="54"/>
    </row>
    <row r="38469" spans="31:31">
      <c r="AE38469" s="54"/>
    </row>
    <row r="38470" spans="31:31">
      <c r="AE38470" s="54"/>
    </row>
    <row r="38471" spans="31:31">
      <c r="AE38471" s="54"/>
    </row>
    <row r="38472" spans="31:31">
      <c r="AE38472" s="54"/>
    </row>
    <row r="38473" spans="31:31">
      <c r="AE38473" s="54"/>
    </row>
    <row r="38474" spans="31:31">
      <c r="AE38474" s="54"/>
    </row>
    <row r="38475" spans="31:31">
      <c r="AE38475" s="54"/>
    </row>
    <row r="38476" spans="31:31">
      <c r="AE38476" s="54"/>
    </row>
    <row r="38477" spans="31:31">
      <c r="AE38477" s="54"/>
    </row>
    <row r="38478" spans="31:31">
      <c r="AE38478" s="54"/>
    </row>
    <row r="38479" spans="31:31">
      <c r="AE38479" s="54"/>
    </row>
    <row r="38480" spans="31:31">
      <c r="AE38480" s="54"/>
    </row>
    <row r="38481" spans="31:31">
      <c r="AE38481" s="54"/>
    </row>
    <row r="38482" spans="31:31">
      <c r="AE38482" s="54"/>
    </row>
    <row r="38483" spans="31:31">
      <c r="AE38483" s="54"/>
    </row>
    <row r="38484" spans="31:31">
      <c r="AE38484" s="54"/>
    </row>
    <row r="38485" spans="31:31">
      <c r="AE38485" s="54"/>
    </row>
    <row r="38486" spans="31:31">
      <c r="AE38486" s="54"/>
    </row>
    <row r="38487" spans="31:31">
      <c r="AE38487" s="54"/>
    </row>
    <row r="38488" spans="31:31">
      <c r="AE38488" s="54"/>
    </row>
    <row r="38489" spans="31:31">
      <c r="AE38489" s="54"/>
    </row>
    <row r="38490" spans="31:31">
      <c r="AE38490" s="54"/>
    </row>
    <row r="38491" spans="31:31">
      <c r="AE38491" s="54"/>
    </row>
    <row r="38492" spans="31:31">
      <c r="AE38492" s="54"/>
    </row>
    <row r="38493" spans="31:31">
      <c r="AE38493" s="54"/>
    </row>
    <row r="38494" spans="31:31">
      <c r="AE38494" s="54"/>
    </row>
    <row r="38495" spans="31:31">
      <c r="AE38495" s="54"/>
    </row>
    <row r="38496" spans="31:31">
      <c r="AE38496" s="54"/>
    </row>
    <row r="38497" spans="31:31">
      <c r="AE38497" s="54"/>
    </row>
    <row r="38498" spans="31:31">
      <c r="AE38498" s="54"/>
    </row>
    <row r="38499" spans="31:31">
      <c r="AE38499" s="54"/>
    </row>
    <row r="38500" spans="31:31">
      <c r="AE38500" s="54"/>
    </row>
    <row r="38501" spans="31:31">
      <c r="AE38501" s="54"/>
    </row>
    <row r="38502" spans="31:31">
      <c r="AE38502" s="54"/>
    </row>
    <row r="38503" spans="31:31">
      <c r="AE38503" s="54"/>
    </row>
    <row r="38504" spans="31:31">
      <c r="AE38504" s="54"/>
    </row>
    <row r="38505" spans="31:31">
      <c r="AE38505" s="54"/>
    </row>
    <row r="38506" spans="31:31">
      <c r="AE38506" s="54"/>
    </row>
    <row r="38507" spans="31:31">
      <c r="AE38507" s="54"/>
    </row>
    <row r="38508" spans="31:31">
      <c r="AE38508" s="54"/>
    </row>
    <row r="38509" spans="31:31">
      <c r="AE38509" s="54"/>
    </row>
    <row r="38510" spans="31:31">
      <c r="AE38510" s="54"/>
    </row>
    <row r="38511" spans="31:31">
      <c r="AE38511" s="54"/>
    </row>
    <row r="38512" spans="31:31">
      <c r="AE38512" s="54"/>
    </row>
    <row r="38513" spans="31:31">
      <c r="AE38513" s="54"/>
    </row>
    <row r="38514" spans="31:31">
      <c r="AE38514" s="54"/>
    </row>
    <row r="38515" spans="31:31">
      <c r="AE38515" s="54"/>
    </row>
    <row r="38516" spans="31:31">
      <c r="AE38516" s="54"/>
    </row>
    <row r="38517" spans="31:31">
      <c r="AE38517" s="54"/>
    </row>
    <row r="38518" spans="31:31">
      <c r="AE38518" s="54"/>
    </row>
    <row r="38519" spans="31:31">
      <c r="AE38519" s="54"/>
    </row>
    <row r="38520" spans="31:31">
      <c r="AE38520" s="54"/>
    </row>
    <row r="38521" spans="31:31">
      <c r="AE38521" s="54"/>
    </row>
    <row r="38522" spans="31:31">
      <c r="AE38522" s="54"/>
    </row>
    <row r="38523" spans="31:31">
      <c r="AE38523" s="54"/>
    </row>
    <row r="38524" spans="31:31">
      <c r="AE38524" s="54"/>
    </row>
    <row r="38525" spans="31:31">
      <c r="AE38525" s="54"/>
    </row>
    <row r="38526" spans="31:31">
      <c r="AE38526" s="54"/>
    </row>
    <row r="38527" spans="31:31">
      <c r="AE38527" s="54"/>
    </row>
    <row r="38528" spans="31:31">
      <c r="AE38528" s="54"/>
    </row>
    <row r="38529" spans="31:31">
      <c r="AE38529" s="54"/>
    </row>
    <row r="38530" spans="31:31">
      <c r="AE38530" s="54"/>
    </row>
    <row r="38531" spans="31:31">
      <c r="AE38531" s="54"/>
    </row>
    <row r="38532" spans="31:31">
      <c r="AE38532" s="54"/>
    </row>
    <row r="38533" spans="31:31">
      <c r="AE38533" s="54"/>
    </row>
    <row r="38534" spans="31:31">
      <c r="AE38534" s="54"/>
    </row>
    <row r="38535" spans="31:31">
      <c r="AE38535" s="54"/>
    </row>
    <row r="38536" spans="31:31">
      <c r="AE38536" s="54"/>
    </row>
    <row r="38537" spans="31:31">
      <c r="AE38537" s="54"/>
    </row>
    <row r="38538" spans="31:31">
      <c r="AE38538" s="54"/>
    </row>
    <row r="38539" spans="31:31">
      <c r="AE38539" s="54"/>
    </row>
    <row r="38540" spans="31:31">
      <c r="AE38540" s="54"/>
    </row>
    <row r="38541" spans="31:31">
      <c r="AE38541" s="54"/>
    </row>
    <row r="38542" spans="31:31">
      <c r="AE38542" s="54"/>
    </row>
    <row r="38543" spans="31:31">
      <c r="AE38543" s="54"/>
    </row>
    <row r="38544" spans="31:31">
      <c r="AE38544" s="54"/>
    </row>
    <row r="38545" spans="31:31">
      <c r="AE38545" s="54"/>
    </row>
    <row r="38546" spans="31:31">
      <c r="AE38546" s="54"/>
    </row>
    <row r="38547" spans="31:31">
      <c r="AE38547" s="54"/>
    </row>
    <row r="38548" spans="31:31">
      <c r="AE38548" s="54"/>
    </row>
    <row r="38549" spans="31:31">
      <c r="AE38549" s="54"/>
    </row>
    <row r="38550" spans="31:31">
      <c r="AE38550" s="54"/>
    </row>
    <row r="38551" spans="31:31">
      <c r="AE38551" s="54"/>
    </row>
    <row r="38552" spans="31:31">
      <c r="AE38552" s="54"/>
    </row>
    <row r="38553" spans="31:31">
      <c r="AE38553" s="54"/>
    </row>
    <row r="38554" spans="31:31">
      <c r="AE38554" s="54"/>
    </row>
    <row r="38555" spans="31:31">
      <c r="AE38555" s="54"/>
    </row>
    <row r="38556" spans="31:31">
      <c r="AE38556" s="54"/>
    </row>
    <row r="38557" spans="31:31">
      <c r="AE38557" s="54"/>
    </row>
    <row r="38558" spans="31:31">
      <c r="AE38558" s="54"/>
    </row>
    <row r="38559" spans="31:31">
      <c r="AE38559" s="54"/>
    </row>
    <row r="38560" spans="31:31">
      <c r="AE38560" s="54"/>
    </row>
    <row r="38561" spans="31:31">
      <c r="AE38561" s="54"/>
    </row>
    <row r="38562" spans="31:31">
      <c r="AE38562" s="54"/>
    </row>
    <row r="38563" spans="31:31">
      <c r="AE38563" s="54"/>
    </row>
    <row r="38564" spans="31:31">
      <c r="AE38564" s="54"/>
    </row>
    <row r="38565" spans="31:31">
      <c r="AE38565" s="54"/>
    </row>
    <row r="38566" spans="31:31">
      <c r="AE38566" s="54"/>
    </row>
    <row r="38567" spans="31:31">
      <c r="AE38567" s="54"/>
    </row>
    <row r="38568" spans="31:31">
      <c r="AE38568" s="54"/>
    </row>
    <row r="38569" spans="31:31">
      <c r="AE38569" s="54"/>
    </row>
    <row r="38570" spans="31:31">
      <c r="AE38570" s="54"/>
    </row>
    <row r="38571" spans="31:31">
      <c r="AE38571" s="54"/>
    </row>
    <row r="38572" spans="31:31">
      <c r="AE38572" s="54"/>
    </row>
    <row r="38573" spans="31:31">
      <c r="AE38573" s="54"/>
    </row>
    <row r="38574" spans="31:31">
      <c r="AE38574" s="54"/>
    </row>
    <row r="38575" spans="31:31">
      <c r="AE38575" s="54"/>
    </row>
    <row r="38576" spans="31:31">
      <c r="AE38576" s="54"/>
    </row>
    <row r="38577" spans="31:31">
      <c r="AE38577" s="54"/>
    </row>
    <row r="38578" spans="31:31">
      <c r="AE38578" s="54"/>
    </row>
    <row r="38579" spans="31:31">
      <c r="AE38579" s="54"/>
    </row>
    <row r="38580" spans="31:31">
      <c r="AE38580" s="54"/>
    </row>
    <row r="38581" spans="31:31">
      <c r="AE38581" s="54"/>
    </row>
    <row r="38582" spans="31:31">
      <c r="AE38582" s="54"/>
    </row>
    <row r="38583" spans="31:31">
      <c r="AE38583" s="54"/>
    </row>
    <row r="38584" spans="31:31">
      <c r="AE38584" s="54"/>
    </row>
    <row r="38585" spans="31:31">
      <c r="AE38585" s="54"/>
    </row>
    <row r="38586" spans="31:31">
      <c r="AE38586" s="54"/>
    </row>
    <row r="38587" spans="31:31">
      <c r="AE38587" s="54"/>
    </row>
    <row r="38588" spans="31:31">
      <c r="AE38588" s="54"/>
    </row>
    <row r="38589" spans="31:31">
      <c r="AE38589" s="54"/>
    </row>
    <row r="38590" spans="31:31">
      <c r="AE38590" s="54"/>
    </row>
    <row r="38591" spans="31:31">
      <c r="AE38591" s="54"/>
    </row>
    <row r="38592" spans="31:31">
      <c r="AE38592" s="54"/>
    </row>
    <row r="38593" spans="31:31">
      <c r="AE38593" s="54"/>
    </row>
    <row r="38594" spans="31:31">
      <c r="AE38594" s="54"/>
    </row>
    <row r="38595" spans="31:31">
      <c r="AE38595" s="54"/>
    </row>
    <row r="38596" spans="31:31">
      <c r="AE38596" s="54"/>
    </row>
    <row r="38597" spans="31:31">
      <c r="AE38597" s="54"/>
    </row>
    <row r="38598" spans="31:31">
      <c r="AE38598" s="54"/>
    </row>
    <row r="38599" spans="31:31">
      <c r="AE38599" s="54"/>
    </row>
    <row r="38600" spans="31:31">
      <c r="AE38600" s="54"/>
    </row>
    <row r="38601" spans="31:31">
      <c r="AE38601" s="54"/>
    </row>
    <row r="38602" spans="31:31">
      <c r="AE38602" s="54"/>
    </row>
    <row r="38603" spans="31:31">
      <c r="AE38603" s="54"/>
    </row>
    <row r="38604" spans="31:31">
      <c r="AE38604" s="54"/>
    </row>
    <row r="38605" spans="31:31">
      <c r="AE38605" s="54"/>
    </row>
    <row r="38606" spans="31:31">
      <c r="AE38606" s="54"/>
    </row>
    <row r="38607" spans="31:31">
      <c r="AE38607" s="54"/>
    </row>
    <row r="38608" spans="31:31">
      <c r="AE38608" s="54"/>
    </row>
    <row r="38609" spans="31:31">
      <c r="AE38609" s="54"/>
    </row>
    <row r="38610" spans="31:31">
      <c r="AE38610" s="54"/>
    </row>
    <row r="38611" spans="31:31">
      <c r="AE38611" s="54"/>
    </row>
    <row r="38612" spans="31:31">
      <c r="AE38612" s="54"/>
    </row>
    <row r="38613" spans="31:31">
      <c r="AE38613" s="54"/>
    </row>
    <row r="38614" spans="31:31">
      <c r="AE38614" s="54"/>
    </row>
    <row r="38615" spans="31:31">
      <c r="AE38615" s="54"/>
    </row>
    <row r="38616" spans="31:31">
      <c r="AE38616" s="54"/>
    </row>
    <row r="38617" spans="31:31">
      <c r="AE38617" s="54"/>
    </row>
    <row r="38618" spans="31:31">
      <c r="AE38618" s="54"/>
    </row>
    <row r="38619" spans="31:31">
      <c r="AE38619" s="54"/>
    </row>
    <row r="38620" spans="31:31">
      <c r="AE38620" s="54"/>
    </row>
    <row r="38621" spans="31:31">
      <c r="AE38621" s="54"/>
    </row>
    <row r="38622" spans="31:31">
      <c r="AE38622" s="54"/>
    </row>
    <row r="38623" spans="31:31">
      <c r="AE38623" s="54"/>
    </row>
    <row r="38624" spans="31:31">
      <c r="AE38624" s="54"/>
    </row>
    <row r="38625" spans="31:31">
      <c r="AE38625" s="54"/>
    </row>
    <row r="38626" spans="31:31">
      <c r="AE38626" s="54"/>
    </row>
    <row r="38627" spans="31:31">
      <c r="AE38627" s="54"/>
    </row>
    <row r="38628" spans="31:31">
      <c r="AE38628" s="54"/>
    </row>
    <row r="38629" spans="31:31">
      <c r="AE38629" s="54"/>
    </row>
    <row r="38630" spans="31:31">
      <c r="AE38630" s="54"/>
    </row>
    <row r="38631" spans="31:31">
      <c r="AE38631" s="54"/>
    </row>
    <row r="38632" spans="31:31">
      <c r="AE38632" s="54"/>
    </row>
    <row r="38633" spans="31:31">
      <c r="AE38633" s="54"/>
    </row>
    <row r="38634" spans="31:31">
      <c r="AE38634" s="54"/>
    </row>
    <row r="38635" spans="31:31">
      <c r="AE38635" s="54"/>
    </row>
    <row r="38636" spans="31:31">
      <c r="AE38636" s="54"/>
    </row>
    <row r="38637" spans="31:31">
      <c r="AE38637" s="54"/>
    </row>
    <row r="38638" spans="31:31">
      <c r="AE38638" s="54"/>
    </row>
    <row r="38639" spans="31:31">
      <c r="AE38639" s="54"/>
    </row>
    <row r="38640" spans="31:31">
      <c r="AE38640" s="54"/>
    </row>
    <row r="38641" spans="31:31">
      <c r="AE38641" s="54"/>
    </row>
    <row r="38642" spans="31:31">
      <c r="AE38642" s="54"/>
    </row>
    <row r="38643" spans="31:31">
      <c r="AE38643" s="54"/>
    </row>
    <row r="38644" spans="31:31">
      <c r="AE38644" s="54"/>
    </row>
    <row r="38645" spans="31:31">
      <c r="AE38645" s="54"/>
    </row>
    <row r="38646" spans="31:31">
      <c r="AE38646" s="54"/>
    </row>
    <row r="38647" spans="31:31">
      <c r="AE38647" s="54"/>
    </row>
    <row r="38648" spans="31:31">
      <c r="AE38648" s="54"/>
    </row>
    <row r="38649" spans="31:31">
      <c r="AE38649" s="54"/>
    </row>
    <row r="38650" spans="31:31">
      <c r="AE38650" s="54"/>
    </row>
    <row r="38651" spans="31:31">
      <c r="AE38651" s="54"/>
    </row>
    <row r="38652" spans="31:31">
      <c r="AE38652" s="54"/>
    </row>
    <row r="38653" spans="31:31">
      <c r="AE38653" s="54"/>
    </row>
    <row r="38654" spans="31:31">
      <c r="AE38654" s="54"/>
    </row>
    <row r="38655" spans="31:31">
      <c r="AE38655" s="54"/>
    </row>
    <row r="38656" spans="31:31">
      <c r="AE38656" s="54"/>
    </row>
    <row r="38657" spans="31:31">
      <c r="AE38657" s="54"/>
    </row>
    <row r="38658" spans="31:31">
      <c r="AE38658" s="54"/>
    </row>
    <row r="38659" spans="31:31">
      <c r="AE38659" s="54"/>
    </row>
    <row r="38660" spans="31:31">
      <c r="AE38660" s="54"/>
    </row>
    <row r="38661" spans="31:31">
      <c r="AE38661" s="54"/>
    </row>
    <row r="38662" spans="31:31">
      <c r="AE38662" s="54"/>
    </row>
    <row r="38663" spans="31:31">
      <c r="AE38663" s="54"/>
    </row>
    <row r="38664" spans="31:31">
      <c r="AE38664" s="54"/>
    </row>
    <row r="38665" spans="31:31">
      <c r="AE38665" s="54"/>
    </row>
    <row r="38666" spans="31:31">
      <c r="AE38666" s="54"/>
    </row>
    <row r="38667" spans="31:31">
      <c r="AE38667" s="54"/>
    </row>
    <row r="38668" spans="31:31">
      <c r="AE38668" s="54"/>
    </row>
    <row r="38669" spans="31:31">
      <c r="AE38669" s="54"/>
    </row>
    <row r="38670" spans="31:31">
      <c r="AE38670" s="54"/>
    </row>
    <row r="38671" spans="31:31">
      <c r="AE38671" s="54"/>
    </row>
    <row r="38672" spans="31:31">
      <c r="AE38672" s="54"/>
    </row>
    <row r="38673" spans="31:31">
      <c r="AE38673" s="54"/>
    </row>
    <row r="38674" spans="31:31">
      <c r="AE38674" s="54"/>
    </row>
    <row r="38675" spans="31:31">
      <c r="AE38675" s="54"/>
    </row>
    <row r="38676" spans="31:31">
      <c r="AE38676" s="54"/>
    </row>
    <row r="38677" spans="31:31">
      <c r="AE38677" s="54"/>
    </row>
    <row r="38678" spans="31:31">
      <c r="AE38678" s="54"/>
    </row>
    <row r="38679" spans="31:31">
      <c r="AE38679" s="54"/>
    </row>
    <row r="38680" spans="31:31">
      <c r="AE38680" s="54"/>
    </row>
    <row r="38681" spans="31:31">
      <c r="AE38681" s="54"/>
    </row>
    <row r="38682" spans="31:31">
      <c r="AE38682" s="54"/>
    </row>
    <row r="38683" spans="31:31">
      <c r="AE38683" s="54"/>
    </row>
    <row r="38684" spans="31:31">
      <c r="AE38684" s="54"/>
    </row>
    <row r="38685" spans="31:31">
      <c r="AE38685" s="54"/>
    </row>
    <row r="38686" spans="31:31">
      <c r="AE38686" s="54"/>
    </row>
    <row r="38687" spans="31:31">
      <c r="AE38687" s="54"/>
    </row>
    <row r="38688" spans="31:31">
      <c r="AE38688" s="54"/>
    </row>
    <row r="38689" spans="31:31">
      <c r="AE38689" s="54"/>
    </row>
    <row r="38690" spans="31:31">
      <c r="AE38690" s="54"/>
    </row>
    <row r="38691" spans="31:31">
      <c r="AE38691" s="54"/>
    </row>
    <row r="38692" spans="31:31">
      <c r="AE38692" s="54"/>
    </row>
    <row r="38693" spans="31:31">
      <c r="AE38693" s="54"/>
    </row>
    <row r="38694" spans="31:31">
      <c r="AE38694" s="54"/>
    </row>
    <row r="38695" spans="31:31">
      <c r="AE38695" s="54"/>
    </row>
    <row r="38696" spans="31:31">
      <c r="AE38696" s="54"/>
    </row>
    <row r="38697" spans="31:31">
      <c r="AE38697" s="54"/>
    </row>
    <row r="38698" spans="31:31">
      <c r="AE38698" s="54"/>
    </row>
    <row r="38699" spans="31:31">
      <c r="AE38699" s="54"/>
    </row>
    <row r="38700" spans="31:31">
      <c r="AE38700" s="54"/>
    </row>
    <row r="38701" spans="31:31">
      <c r="AE38701" s="54"/>
    </row>
    <row r="38702" spans="31:31">
      <c r="AE38702" s="54"/>
    </row>
    <row r="38703" spans="31:31">
      <c r="AE38703" s="54"/>
    </row>
    <row r="38704" spans="31:31">
      <c r="AE38704" s="54"/>
    </row>
    <row r="38705" spans="31:31">
      <c r="AE38705" s="54"/>
    </row>
    <row r="38706" spans="31:31">
      <c r="AE38706" s="54"/>
    </row>
    <row r="38707" spans="31:31">
      <c r="AE38707" s="54"/>
    </row>
    <row r="38708" spans="31:31">
      <c r="AE38708" s="54"/>
    </row>
    <row r="38709" spans="31:31">
      <c r="AE38709" s="54"/>
    </row>
    <row r="38710" spans="31:31">
      <c r="AE38710" s="54"/>
    </row>
    <row r="38711" spans="31:31">
      <c r="AE38711" s="54"/>
    </row>
    <row r="38712" spans="31:31">
      <c r="AE38712" s="54"/>
    </row>
    <row r="38713" spans="31:31">
      <c r="AE38713" s="54"/>
    </row>
    <row r="38714" spans="31:31">
      <c r="AE38714" s="54"/>
    </row>
    <row r="38715" spans="31:31">
      <c r="AE38715" s="54"/>
    </row>
    <row r="38716" spans="31:31">
      <c r="AE38716" s="54"/>
    </row>
    <row r="38717" spans="31:31">
      <c r="AE38717" s="54"/>
    </row>
    <row r="38718" spans="31:31">
      <c r="AE38718" s="54"/>
    </row>
    <row r="38719" spans="31:31">
      <c r="AE38719" s="54"/>
    </row>
    <row r="38720" spans="31:31">
      <c r="AE38720" s="54"/>
    </row>
    <row r="38721" spans="31:31">
      <c r="AE38721" s="54"/>
    </row>
    <row r="38722" spans="31:31">
      <c r="AE38722" s="54"/>
    </row>
    <row r="38723" spans="31:31">
      <c r="AE38723" s="54"/>
    </row>
    <row r="38724" spans="31:31">
      <c r="AE38724" s="54"/>
    </row>
    <row r="38725" spans="31:31">
      <c r="AE38725" s="54"/>
    </row>
    <row r="38726" spans="31:31">
      <c r="AE38726" s="54"/>
    </row>
    <row r="38727" spans="31:31">
      <c r="AE38727" s="54"/>
    </row>
    <row r="38728" spans="31:31">
      <c r="AE38728" s="54"/>
    </row>
    <row r="38729" spans="31:31">
      <c r="AE38729" s="54"/>
    </row>
    <row r="38730" spans="31:31">
      <c r="AE38730" s="54"/>
    </row>
    <row r="38731" spans="31:31">
      <c r="AE38731" s="54"/>
    </row>
    <row r="38732" spans="31:31">
      <c r="AE38732" s="54"/>
    </row>
    <row r="38733" spans="31:31">
      <c r="AE38733" s="54"/>
    </row>
    <row r="38734" spans="31:31">
      <c r="AE38734" s="54"/>
    </row>
    <row r="38735" spans="31:31">
      <c r="AE38735" s="54"/>
    </row>
    <row r="38736" spans="31:31">
      <c r="AE38736" s="54"/>
    </row>
    <row r="38737" spans="31:31">
      <c r="AE38737" s="54"/>
    </row>
    <row r="38738" spans="31:31">
      <c r="AE38738" s="54"/>
    </row>
    <row r="38739" spans="31:31">
      <c r="AE38739" s="54"/>
    </row>
    <row r="38740" spans="31:31">
      <c r="AE38740" s="54"/>
    </row>
    <row r="38741" spans="31:31">
      <c r="AE38741" s="54"/>
    </row>
    <row r="38742" spans="31:31">
      <c r="AE38742" s="54"/>
    </row>
    <row r="38743" spans="31:31">
      <c r="AE38743" s="54"/>
    </row>
    <row r="38744" spans="31:31">
      <c r="AE38744" s="54"/>
    </row>
    <row r="38745" spans="31:31">
      <c r="AE38745" s="54"/>
    </row>
    <row r="38746" spans="31:31">
      <c r="AE38746" s="54"/>
    </row>
    <row r="38747" spans="31:31">
      <c r="AE38747" s="54"/>
    </row>
    <row r="38748" spans="31:31">
      <c r="AE38748" s="54"/>
    </row>
    <row r="38749" spans="31:31">
      <c r="AE38749" s="54"/>
    </row>
    <row r="38750" spans="31:31">
      <c r="AE38750" s="54"/>
    </row>
    <row r="38751" spans="31:31">
      <c r="AE38751" s="54"/>
    </row>
    <row r="38752" spans="31:31">
      <c r="AE38752" s="54"/>
    </row>
    <row r="38753" spans="31:31">
      <c r="AE38753" s="54"/>
    </row>
    <row r="38754" spans="31:31">
      <c r="AE38754" s="54"/>
    </row>
    <row r="38755" spans="31:31">
      <c r="AE38755" s="54"/>
    </row>
    <row r="38756" spans="31:31">
      <c r="AE38756" s="54"/>
    </row>
    <row r="38757" spans="31:31">
      <c r="AE38757" s="54"/>
    </row>
    <row r="38758" spans="31:31">
      <c r="AE38758" s="54"/>
    </row>
    <row r="38759" spans="31:31">
      <c r="AE38759" s="54"/>
    </row>
    <row r="38760" spans="31:31">
      <c r="AE38760" s="54"/>
    </row>
    <row r="38761" spans="31:31">
      <c r="AE38761" s="54"/>
    </row>
    <row r="38762" spans="31:31">
      <c r="AE38762" s="54"/>
    </row>
    <row r="38763" spans="31:31">
      <c r="AE38763" s="54"/>
    </row>
    <row r="38764" spans="31:31">
      <c r="AE38764" s="54"/>
    </row>
    <row r="38765" spans="31:31">
      <c r="AE38765" s="54"/>
    </row>
    <row r="38766" spans="31:31">
      <c r="AE38766" s="54"/>
    </row>
    <row r="38767" spans="31:31">
      <c r="AE38767" s="54"/>
    </row>
    <row r="38768" spans="31:31">
      <c r="AE38768" s="54"/>
    </row>
    <row r="38769" spans="31:31">
      <c r="AE38769" s="54"/>
    </row>
    <row r="38770" spans="31:31">
      <c r="AE38770" s="54"/>
    </row>
    <row r="38771" spans="31:31">
      <c r="AE38771" s="54"/>
    </row>
    <row r="38772" spans="31:31">
      <c r="AE38772" s="54"/>
    </row>
    <row r="38773" spans="31:31">
      <c r="AE38773" s="54"/>
    </row>
    <row r="38774" spans="31:31">
      <c r="AE38774" s="54"/>
    </row>
    <row r="38775" spans="31:31">
      <c r="AE38775" s="54"/>
    </row>
    <row r="38776" spans="31:31">
      <c r="AE38776" s="54"/>
    </row>
    <row r="38777" spans="31:31">
      <c r="AE38777" s="54"/>
    </row>
    <row r="38778" spans="31:31">
      <c r="AE38778" s="54"/>
    </row>
    <row r="38779" spans="31:31">
      <c r="AE38779" s="54"/>
    </row>
    <row r="38780" spans="31:31">
      <c r="AE38780" s="54"/>
    </row>
    <row r="38781" spans="31:31">
      <c r="AE38781" s="54"/>
    </row>
    <row r="38782" spans="31:31">
      <c r="AE38782" s="54"/>
    </row>
    <row r="38783" spans="31:31">
      <c r="AE38783" s="54"/>
    </row>
    <row r="38784" spans="31:31">
      <c r="AE38784" s="54"/>
    </row>
    <row r="38785" spans="31:31">
      <c r="AE38785" s="54"/>
    </row>
    <row r="38786" spans="31:31">
      <c r="AE38786" s="54"/>
    </row>
    <row r="38787" spans="31:31">
      <c r="AE38787" s="54"/>
    </row>
    <row r="38788" spans="31:31">
      <c r="AE38788" s="54"/>
    </row>
    <row r="38789" spans="31:31">
      <c r="AE38789" s="54"/>
    </row>
    <row r="38790" spans="31:31">
      <c r="AE38790" s="54"/>
    </row>
    <row r="38791" spans="31:31">
      <c r="AE38791" s="54"/>
    </row>
    <row r="38792" spans="31:31">
      <c r="AE38792" s="54"/>
    </row>
    <row r="38793" spans="31:31">
      <c r="AE38793" s="54"/>
    </row>
    <row r="38794" spans="31:31">
      <c r="AE38794" s="54"/>
    </row>
    <row r="38795" spans="31:31">
      <c r="AE38795" s="54"/>
    </row>
    <row r="38796" spans="31:31">
      <c r="AE38796" s="54"/>
    </row>
    <row r="38797" spans="31:31">
      <c r="AE38797" s="54"/>
    </row>
    <row r="38798" spans="31:31">
      <c r="AE38798" s="54"/>
    </row>
    <row r="38799" spans="31:31">
      <c r="AE38799" s="54"/>
    </row>
    <row r="38800" spans="31:31">
      <c r="AE38800" s="54"/>
    </row>
    <row r="38801" spans="31:31">
      <c r="AE38801" s="54"/>
    </row>
    <row r="38802" spans="31:31">
      <c r="AE38802" s="54"/>
    </row>
    <row r="38803" spans="31:31">
      <c r="AE38803" s="54"/>
    </row>
    <row r="38804" spans="31:31">
      <c r="AE38804" s="54"/>
    </row>
    <row r="38805" spans="31:31">
      <c r="AE38805" s="54"/>
    </row>
    <row r="38806" spans="31:31">
      <c r="AE38806" s="54"/>
    </row>
    <row r="38807" spans="31:31">
      <c r="AE38807" s="54"/>
    </row>
    <row r="38808" spans="31:31">
      <c r="AE38808" s="54"/>
    </row>
    <row r="38809" spans="31:31">
      <c r="AE38809" s="54"/>
    </row>
    <row r="38810" spans="31:31">
      <c r="AE38810" s="54"/>
    </row>
    <row r="38811" spans="31:31">
      <c r="AE38811" s="54"/>
    </row>
    <row r="38812" spans="31:31">
      <c r="AE38812" s="54"/>
    </row>
    <row r="38813" spans="31:31">
      <c r="AE38813" s="54"/>
    </row>
    <row r="38814" spans="31:31">
      <c r="AE38814" s="54"/>
    </row>
    <row r="38815" spans="31:31">
      <c r="AE38815" s="54"/>
    </row>
    <row r="38816" spans="31:31">
      <c r="AE38816" s="54"/>
    </row>
    <row r="38817" spans="31:31">
      <c r="AE38817" s="54"/>
    </row>
    <row r="38818" spans="31:31">
      <c r="AE38818" s="54"/>
    </row>
    <row r="38819" spans="31:31">
      <c r="AE38819" s="54"/>
    </row>
    <row r="38820" spans="31:31">
      <c r="AE38820" s="54"/>
    </row>
    <row r="38821" spans="31:31">
      <c r="AE38821" s="54"/>
    </row>
    <row r="38822" spans="31:31">
      <c r="AE38822" s="54"/>
    </row>
    <row r="38823" spans="31:31">
      <c r="AE38823" s="54"/>
    </row>
    <row r="38824" spans="31:31">
      <c r="AE38824" s="54"/>
    </row>
    <row r="38825" spans="31:31">
      <c r="AE38825" s="54"/>
    </row>
    <row r="38826" spans="31:31">
      <c r="AE38826" s="54"/>
    </row>
    <row r="38827" spans="31:31">
      <c r="AE38827" s="54"/>
    </row>
    <row r="38828" spans="31:31">
      <c r="AE38828" s="54"/>
    </row>
    <row r="38829" spans="31:31">
      <c r="AE38829" s="54"/>
    </row>
    <row r="38830" spans="31:31">
      <c r="AE38830" s="54"/>
    </row>
    <row r="38831" spans="31:31">
      <c r="AE38831" s="54"/>
    </row>
    <row r="38832" spans="31:31">
      <c r="AE38832" s="54"/>
    </row>
    <row r="38833" spans="31:31">
      <c r="AE38833" s="54"/>
    </row>
    <row r="38834" spans="31:31">
      <c r="AE38834" s="54"/>
    </row>
    <row r="38835" spans="31:31">
      <c r="AE38835" s="54"/>
    </row>
    <row r="38836" spans="31:31">
      <c r="AE38836" s="54"/>
    </row>
    <row r="38837" spans="31:31">
      <c r="AE38837" s="54"/>
    </row>
    <row r="38838" spans="31:31">
      <c r="AE38838" s="54"/>
    </row>
    <row r="38839" spans="31:31">
      <c r="AE38839" s="54"/>
    </row>
    <row r="38840" spans="31:31">
      <c r="AE38840" s="54"/>
    </row>
    <row r="38841" spans="31:31">
      <c r="AE38841" s="54"/>
    </row>
    <row r="38842" spans="31:31">
      <c r="AE38842" s="54"/>
    </row>
    <row r="38843" spans="31:31">
      <c r="AE38843" s="54"/>
    </row>
    <row r="38844" spans="31:31">
      <c r="AE38844" s="54"/>
    </row>
    <row r="38845" spans="31:31">
      <c r="AE38845" s="54"/>
    </row>
    <row r="38846" spans="31:31">
      <c r="AE38846" s="54"/>
    </row>
    <row r="38847" spans="31:31">
      <c r="AE38847" s="54"/>
    </row>
    <row r="38848" spans="31:31">
      <c r="AE38848" s="54"/>
    </row>
    <row r="38849" spans="31:31">
      <c r="AE38849" s="54"/>
    </row>
    <row r="38850" spans="31:31">
      <c r="AE38850" s="54"/>
    </row>
    <row r="38851" spans="31:31">
      <c r="AE38851" s="54"/>
    </row>
    <row r="38852" spans="31:31">
      <c r="AE38852" s="54"/>
    </row>
    <row r="38853" spans="31:31">
      <c r="AE38853" s="54"/>
    </row>
    <row r="38854" spans="31:31">
      <c r="AE38854" s="54"/>
    </row>
    <row r="38855" spans="31:31">
      <c r="AE38855" s="54"/>
    </row>
    <row r="38856" spans="31:31">
      <c r="AE38856" s="54"/>
    </row>
    <row r="38857" spans="31:31">
      <c r="AE38857" s="54"/>
    </row>
    <row r="38858" spans="31:31">
      <c r="AE38858" s="54"/>
    </row>
    <row r="38859" spans="31:31">
      <c r="AE38859" s="54"/>
    </row>
    <row r="38860" spans="31:31">
      <c r="AE38860" s="54"/>
    </row>
    <row r="38861" spans="31:31">
      <c r="AE38861" s="54"/>
    </row>
    <row r="38862" spans="31:31">
      <c r="AE38862" s="54"/>
    </row>
    <row r="38863" spans="31:31">
      <c r="AE38863" s="54"/>
    </row>
    <row r="38864" spans="31:31">
      <c r="AE38864" s="54"/>
    </row>
    <row r="38865" spans="31:31">
      <c r="AE38865" s="54"/>
    </row>
    <row r="38866" spans="31:31">
      <c r="AE38866" s="54"/>
    </row>
    <row r="38867" spans="31:31">
      <c r="AE38867" s="54"/>
    </row>
    <row r="38868" spans="31:31">
      <c r="AE38868" s="54"/>
    </row>
    <row r="38869" spans="31:31">
      <c r="AE38869" s="54"/>
    </row>
    <row r="38870" spans="31:31">
      <c r="AE38870" s="54"/>
    </row>
    <row r="38871" spans="31:31">
      <c r="AE38871" s="54"/>
    </row>
    <row r="38872" spans="31:31">
      <c r="AE38872" s="54"/>
    </row>
    <row r="38873" spans="31:31">
      <c r="AE38873" s="54"/>
    </row>
    <row r="38874" spans="31:31">
      <c r="AE38874" s="54"/>
    </row>
    <row r="38875" spans="31:31">
      <c r="AE38875" s="54"/>
    </row>
    <row r="38876" spans="31:31">
      <c r="AE38876" s="54"/>
    </row>
    <row r="38877" spans="31:31">
      <c r="AE38877" s="54"/>
    </row>
    <row r="38878" spans="31:31">
      <c r="AE38878" s="54"/>
    </row>
    <row r="38879" spans="31:31">
      <c r="AE38879" s="54"/>
    </row>
    <row r="38880" spans="31:31">
      <c r="AE38880" s="54"/>
    </row>
    <row r="38881" spans="31:31">
      <c r="AE38881" s="54"/>
    </row>
    <row r="38882" spans="31:31">
      <c r="AE38882" s="54"/>
    </row>
    <row r="38883" spans="31:31">
      <c r="AE38883" s="54"/>
    </row>
    <row r="38884" spans="31:31">
      <c r="AE38884" s="54"/>
    </row>
    <row r="38885" spans="31:31">
      <c r="AE38885" s="54"/>
    </row>
    <row r="38886" spans="31:31">
      <c r="AE38886" s="54"/>
    </row>
    <row r="38887" spans="31:31">
      <c r="AE38887" s="54"/>
    </row>
    <row r="38888" spans="31:31">
      <c r="AE38888" s="54"/>
    </row>
    <row r="38889" spans="31:31">
      <c r="AE38889" s="54"/>
    </row>
    <row r="38890" spans="31:31">
      <c r="AE38890" s="54"/>
    </row>
    <row r="38891" spans="31:31">
      <c r="AE38891" s="54"/>
    </row>
    <row r="38892" spans="31:31">
      <c r="AE38892" s="54"/>
    </row>
    <row r="38893" spans="31:31">
      <c r="AE38893" s="54"/>
    </row>
    <row r="38894" spans="31:31">
      <c r="AE38894" s="54"/>
    </row>
    <row r="38895" spans="31:31">
      <c r="AE38895" s="54"/>
    </row>
    <row r="38896" spans="31:31">
      <c r="AE38896" s="54"/>
    </row>
    <row r="38897" spans="31:31">
      <c r="AE38897" s="54"/>
    </row>
    <row r="38898" spans="31:31">
      <c r="AE38898" s="54"/>
    </row>
    <row r="38899" spans="31:31">
      <c r="AE38899" s="54"/>
    </row>
    <row r="38900" spans="31:31">
      <c r="AE38900" s="54"/>
    </row>
    <row r="38901" spans="31:31">
      <c r="AE38901" s="54"/>
    </row>
    <row r="38902" spans="31:31">
      <c r="AE38902" s="54"/>
    </row>
    <row r="38903" spans="31:31">
      <c r="AE38903" s="54"/>
    </row>
    <row r="38904" spans="31:31">
      <c r="AE38904" s="54"/>
    </row>
    <row r="38905" spans="31:31">
      <c r="AE38905" s="54"/>
    </row>
    <row r="38906" spans="31:31">
      <c r="AE38906" s="54"/>
    </row>
    <row r="38907" spans="31:31">
      <c r="AE38907" s="54"/>
    </row>
    <row r="38908" spans="31:31">
      <c r="AE38908" s="54"/>
    </row>
    <row r="38909" spans="31:31">
      <c r="AE38909" s="54"/>
    </row>
    <row r="38910" spans="31:31">
      <c r="AE38910" s="54"/>
    </row>
    <row r="38911" spans="31:31">
      <c r="AE38911" s="54"/>
    </row>
    <row r="38912" spans="31:31">
      <c r="AE38912" s="54"/>
    </row>
    <row r="38913" spans="31:31">
      <c r="AE38913" s="54"/>
    </row>
    <row r="38914" spans="31:31">
      <c r="AE38914" s="54"/>
    </row>
    <row r="38915" spans="31:31">
      <c r="AE38915" s="54"/>
    </row>
    <row r="38916" spans="31:31">
      <c r="AE38916" s="54"/>
    </row>
    <row r="38917" spans="31:31">
      <c r="AE38917" s="54"/>
    </row>
    <row r="38918" spans="31:31">
      <c r="AE38918" s="54"/>
    </row>
    <row r="38919" spans="31:31">
      <c r="AE38919" s="54"/>
    </row>
    <row r="38920" spans="31:31">
      <c r="AE38920" s="54"/>
    </row>
    <row r="38921" spans="31:31">
      <c r="AE38921" s="54"/>
    </row>
    <row r="38922" spans="31:31">
      <c r="AE38922" s="54"/>
    </row>
    <row r="38923" spans="31:31">
      <c r="AE38923" s="54"/>
    </row>
    <row r="38924" spans="31:31">
      <c r="AE38924" s="54"/>
    </row>
    <row r="38925" spans="31:31">
      <c r="AE38925" s="54"/>
    </row>
    <row r="38926" spans="31:31">
      <c r="AE38926" s="54"/>
    </row>
    <row r="38927" spans="31:31">
      <c r="AE38927" s="54"/>
    </row>
    <row r="38928" spans="31:31">
      <c r="AE38928" s="54"/>
    </row>
    <row r="38929" spans="31:31">
      <c r="AE38929" s="54"/>
    </row>
    <row r="38930" spans="31:31">
      <c r="AE38930" s="54"/>
    </row>
    <row r="38931" spans="31:31">
      <c r="AE38931" s="54"/>
    </row>
    <row r="38932" spans="31:31">
      <c r="AE38932" s="54"/>
    </row>
    <row r="38933" spans="31:31">
      <c r="AE38933" s="54"/>
    </row>
    <row r="38934" spans="31:31">
      <c r="AE38934" s="54"/>
    </row>
    <row r="38935" spans="31:31">
      <c r="AE38935" s="54"/>
    </row>
    <row r="38936" spans="31:31">
      <c r="AE38936" s="54"/>
    </row>
    <row r="38937" spans="31:31">
      <c r="AE38937" s="54"/>
    </row>
    <row r="38938" spans="31:31">
      <c r="AE38938" s="54"/>
    </row>
    <row r="38939" spans="31:31">
      <c r="AE38939" s="54"/>
    </row>
    <row r="38940" spans="31:31">
      <c r="AE38940" s="54"/>
    </row>
    <row r="38941" spans="31:31">
      <c r="AE38941" s="54"/>
    </row>
    <row r="38942" spans="31:31">
      <c r="AE38942" s="54"/>
    </row>
    <row r="38943" spans="31:31">
      <c r="AE38943" s="54"/>
    </row>
    <row r="38944" spans="31:31">
      <c r="AE38944" s="54"/>
    </row>
    <row r="38945" spans="31:31">
      <c r="AE38945" s="54"/>
    </row>
    <row r="38946" spans="31:31">
      <c r="AE38946" s="54"/>
    </row>
    <row r="38947" spans="31:31">
      <c r="AE38947" s="54"/>
    </row>
    <row r="38948" spans="31:31">
      <c r="AE38948" s="54"/>
    </row>
    <row r="38949" spans="31:31">
      <c r="AE38949" s="54"/>
    </row>
    <row r="38950" spans="31:31">
      <c r="AE38950" s="54"/>
    </row>
    <row r="38951" spans="31:31">
      <c r="AE38951" s="54"/>
    </row>
    <row r="38952" spans="31:31">
      <c r="AE38952" s="54"/>
    </row>
    <row r="38953" spans="31:31">
      <c r="AE38953" s="54"/>
    </row>
    <row r="38954" spans="31:31">
      <c r="AE38954" s="54"/>
    </row>
    <row r="38955" spans="31:31">
      <c r="AE38955" s="54"/>
    </row>
    <row r="38956" spans="31:31">
      <c r="AE38956" s="54"/>
    </row>
    <row r="38957" spans="31:31">
      <c r="AE38957" s="54"/>
    </row>
    <row r="38958" spans="31:31">
      <c r="AE38958" s="54"/>
    </row>
    <row r="38959" spans="31:31">
      <c r="AE38959" s="54"/>
    </row>
    <row r="38960" spans="31:31">
      <c r="AE38960" s="54"/>
    </row>
    <row r="38961" spans="31:31">
      <c r="AE38961" s="54"/>
    </row>
    <row r="38962" spans="31:31">
      <c r="AE38962" s="54"/>
    </row>
    <row r="38963" spans="31:31">
      <c r="AE38963" s="54"/>
    </row>
    <row r="38964" spans="31:31">
      <c r="AE38964" s="54"/>
    </row>
    <row r="38965" spans="31:31">
      <c r="AE38965" s="54"/>
    </row>
    <row r="38966" spans="31:31">
      <c r="AE38966" s="54"/>
    </row>
    <row r="38967" spans="31:31">
      <c r="AE38967" s="54"/>
    </row>
    <row r="38968" spans="31:31">
      <c r="AE38968" s="54"/>
    </row>
    <row r="38969" spans="31:31">
      <c r="AE38969" s="54"/>
    </row>
    <row r="38970" spans="31:31">
      <c r="AE38970" s="54"/>
    </row>
    <row r="38971" spans="31:31">
      <c r="AE38971" s="54"/>
    </row>
    <row r="38972" spans="31:31">
      <c r="AE38972" s="54"/>
    </row>
    <row r="38973" spans="31:31">
      <c r="AE38973" s="54"/>
    </row>
    <row r="38974" spans="31:31">
      <c r="AE38974" s="54"/>
    </row>
    <row r="38975" spans="31:31">
      <c r="AE38975" s="54"/>
    </row>
    <row r="38976" spans="31:31">
      <c r="AE38976" s="54"/>
    </row>
    <row r="38977" spans="31:31">
      <c r="AE38977" s="54"/>
    </row>
    <row r="38978" spans="31:31">
      <c r="AE38978" s="54"/>
    </row>
    <row r="38979" spans="31:31">
      <c r="AE38979" s="54"/>
    </row>
    <row r="38980" spans="31:31">
      <c r="AE38980" s="54"/>
    </row>
    <row r="38981" spans="31:31">
      <c r="AE38981" s="54"/>
    </row>
    <row r="38982" spans="31:31">
      <c r="AE38982" s="54"/>
    </row>
    <row r="38983" spans="31:31">
      <c r="AE38983" s="54"/>
    </row>
    <row r="38984" spans="31:31">
      <c r="AE38984" s="54"/>
    </row>
    <row r="38985" spans="31:31">
      <c r="AE38985" s="54"/>
    </row>
    <row r="38986" spans="31:31">
      <c r="AE38986" s="54"/>
    </row>
    <row r="38987" spans="31:31">
      <c r="AE38987" s="54"/>
    </row>
    <row r="38988" spans="31:31">
      <c r="AE38988" s="54"/>
    </row>
    <row r="38989" spans="31:31">
      <c r="AE38989" s="54"/>
    </row>
    <row r="38990" spans="31:31">
      <c r="AE38990" s="54"/>
    </row>
    <row r="38991" spans="31:31">
      <c r="AE38991" s="54"/>
    </row>
    <row r="38992" spans="31:31">
      <c r="AE38992" s="54"/>
    </row>
    <row r="38993" spans="31:31">
      <c r="AE38993" s="54"/>
    </row>
    <row r="38994" spans="31:31">
      <c r="AE38994" s="54"/>
    </row>
    <row r="38995" spans="31:31">
      <c r="AE38995" s="54"/>
    </row>
    <row r="38996" spans="31:31">
      <c r="AE38996" s="54"/>
    </row>
    <row r="38997" spans="31:31">
      <c r="AE38997" s="54"/>
    </row>
    <row r="38998" spans="31:31">
      <c r="AE38998" s="54"/>
    </row>
    <row r="38999" spans="31:31">
      <c r="AE38999" s="54"/>
    </row>
    <row r="39000" spans="31:31">
      <c r="AE39000" s="54"/>
    </row>
    <row r="39001" spans="31:31">
      <c r="AE39001" s="54"/>
    </row>
    <row r="39002" spans="31:31">
      <c r="AE39002" s="54"/>
    </row>
    <row r="39003" spans="31:31">
      <c r="AE39003" s="54"/>
    </row>
    <row r="39004" spans="31:31">
      <c r="AE39004" s="54"/>
    </row>
    <row r="39005" spans="31:31">
      <c r="AE39005" s="54"/>
    </row>
    <row r="39006" spans="31:31">
      <c r="AE39006" s="54"/>
    </row>
    <row r="39007" spans="31:31">
      <c r="AE39007" s="54"/>
    </row>
    <row r="39008" spans="31:31">
      <c r="AE39008" s="54"/>
    </row>
    <row r="39009" spans="31:31">
      <c r="AE39009" s="54"/>
    </row>
    <row r="39010" spans="31:31">
      <c r="AE39010" s="54"/>
    </row>
    <row r="39011" spans="31:31">
      <c r="AE39011" s="54"/>
    </row>
    <row r="39012" spans="31:31">
      <c r="AE39012" s="54"/>
    </row>
    <row r="39013" spans="31:31">
      <c r="AE39013" s="54"/>
    </row>
    <row r="39014" spans="31:31">
      <c r="AE39014" s="54"/>
    </row>
    <row r="39015" spans="31:31">
      <c r="AE39015" s="54"/>
    </row>
    <row r="39016" spans="31:31">
      <c r="AE39016" s="54"/>
    </row>
    <row r="39017" spans="31:31">
      <c r="AE39017" s="54"/>
    </row>
    <row r="39018" spans="31:31">
      <c r="AE39018" s="54"/>
    </row>
    <row r="39019" spans="31:31">
      <c r="AE39019" s="54"/>
    </row>
    <row r="39020" spans="31:31">
      <c r="AE39020" s="54"/>
    </row>
    <row r="39021" spans="31:31">
      <c r="AE39021" s="54"/>
    </row>
    <row r="39022" spans="31:31">
      <c r="AE39022" s="54"/>
    </row>
    <row r="39023" spans="31:31">
      <c r="AE39023" s="54"/>
    </row>
    <row r="39024" spans="31:31">
      <c r="AE39024" s="54"/>
    </row>
    <row r="39025" spans="31:31">
      <c r="AE39025" s="54"/>
    </row>
    <row r="39026" spans="31:31">
      <c r="AE39026" s="54"/>
    </row>
    <row r="39027" spans="31:31">
      <c r="AE39027" s="54"/>
    </row>
    <row r="39028" spans="31:31">
      <c r="AE39028" s="54"/>
    </row>
    <row r="39029" spans="31:31">
      <c r="AE39029" s="54"/>
    </row>
    <row r="39030" spans="31:31">
      <c r="AE39030" s="54"/>
    </row>
    <row r="39031" spans="31:31">
      <c r="AE39031" s="54"/>
    </row>
    <row r="39032" spans="31:31">
      <c r="AE39032" s="54"/>
    </row>
    <row r="39033" spans="31:31">
      <c r="AE39033" s="54"/>
    </row>
    <row r="39034" spans="31:31">
      <c r="AE39034" s="54"/>
    </row>
    <row r="39035" spans="31:31">
      <c r="AE39035" s="54"/>
    </row>
    <row r="39036" spans="31:31">
      <c r="AE39036" s="54"/>
    </row>
    <row r="39037" spans="31:31">
      <c r="AE39037" s="54"/>
    </row>
    <row r="39038" spans="31:31">
      <c r="AE39038" s="54"/>
    </row>
    <row r="39039" spans="31:31">
      <c r="AE39039" s="54"/>
    </row>
    <row r="39040" spans="31:31">
      <c r="AE39040" s="54"/>
    </row>
    <row r="39041" spans="31:31">
      <c r="AE39041" s="54"/>
    </row>
    <row r="39042" spans="31:31">
      <c r="AE39042" s="54"/>
    </row>
    <row r="39043" spans="31:31">
      <c r="AE39043" s="54"/>
    </row>
    <row r="39044" spans="31:31">
      <c r="AE39044" s="54"/>
    </row>
    <row r="39045" spans="31:31">
      <c r="AE39045" s="54"/>
    </row>
    <row r="39046" spans="31:31">
      <c r="AE39046" s="54"/>
    </row>
    <row r="39047" spans="31:31">
      <c r="AE39047" s="54"/>
    </row>
    <row r="39048" spans="31:31">
      <c r="AE39048" s="54"/>
    </row>
    <row r="39049" spans="31:31">
      <c r="AE39049" s="54"/>
    </row>
    <row r="39050" spans="31:31">
      <c r="AE39050" s="54"/>
    </row>
    <row r="39051" spans="31:31">
      <c r="AE39051" s="54"/>
    </row>
    <row r="39052" spans="31:31">
      <c r="AE39052" s="54"/>
    </row>
    <row r="39053" spans="31:31">
      <c r="AE39053" s="54"/>
    </row>
    <row r="39054" spans="31:31">
      <c r="AE39054" s="54"/>
    </row>
    <row r="39055" spans="31:31">
      <c r="AE39055" s="54"/>
    </row>
    <row r="39056" spans="31:31">
      <c r="AE39056" s="54"/>
    </row>
    <row r="39057" spans="31:31">
      <c r="AE39057" s="54"/>
    </row>
    <row r="39058" spans="31:31">
      <c r="AE39058" s="54"/>
    </row>
    <row r="39059" spans="31:31">
      <c r="AE39059" s="54"/>
    </row>
    <row r="39060" spans="31:31">
      <c r="AE39060" s="54"/>
    </row>
    <row r="39061" spans="31:31">
      <c r="AE39061" s="54"/>
    </row>
    <row r="39062" spans="31:31">
      <c r="AE39062" s="54"/>
    </row>
    <row r="39063" spans="31:31">
      <c r="AE39063" s="54"/>
    </row>
    <row r="39064" spans="31:31">
      <c r="AE39064" s="54"/>
    </row>
    <row r="39065" spans="31:31">
      <c r="AE39065" s="54"/>
    </row>
    <row r="39066" spans="31:31">
      <c r="AE39066" s="54"/>
    </row>
    <row r="39067" spans="31:31">
      <c r="AE39067" s="54"/>
    </row>
    <row r="39068" spans="31:31">
      <c r="AE39068" s="54"/>
    </row>
    <row r="39069" spans="31:31">
      <c r="AE39069" s="54"/>
    </row>
    <row r="39070" spans="31:31">
      <c r="AE39070" s="54"/>
    </row>
    <row r="39071" spans="31:31">
      <c r="AE39071" s="54"/>
    </row>
    <row r="39072" spans="31:31">
      <c r="AE39072" s="54"/>
    </row>
    <row r="39073" spans="31:31">
      <c r="AE39073" s="54"/>
    </row>
    <row r="39074" spans="31:31">
      <c r="AE39074" s="54"/>
    </row>
    <row r="39075" spans="31:31">
      <c r="AE39075" s="54"/>
    </row>
    <row r="39076" spans="31:31">
      <c r="AE39076" s="54"/>
    </row>
    <row r="39077" spans="31:31">
      <c r="AE39077" s="54"/>
    </row>
    <row r="39078" spans="31:31">
      <c r="AE39078" s="54"/>
    </row>
    <row r="39079" spans="31:31">
      <c r="AE39079" s="54"/>
    </row>
    <row r="39080" spans="31:31">
      <c r="AE39080" s="54"/>
    </row>
    <row r="39081" spans="31:31">
      <c r="AE39081" s="54"/>
    </row>
    <row r="39082" spans="31:31">
      <c r="AE39082" s="54"/>
    </row>
    <row r="39083" spans="31:31">
      <c r="AE39083" s="54"/>
    </row>
    <row r="39084" spans="31:31">
      <c r="AE39084" s="54"/>
    </row>
    <row r="39085" spans="31:31">
      <c r="AE39085" s="54"/>
    </row>
    <row r="39086" spans="31:31">
      <c r="AE39086" s="54"/>
    </row>
    <row r="39087" spans="31:31">
      <c r="AE39087" s="54"/>
    </row>
    <row r="39088" spans="31:31">
      <c r="AE39088" s="54"/>
    </row>
    <row r="39089" spans="31:31">
      <c r="AE39089" s="54"/>
    </row>
    <row r="39090" spans="31:31">
      <c r="AE39090" s="54"/>
    </row>
    <row r="39091" spans="31:31">
      <c r="AE39091" s="54"/>
    </row>
    <row r="39092" spans="31:31">
      <c r="AE39092" s="54"/>
    </row>
    <row r="39093" spans="31:31">
      <c r="AE39093" s="54"/>
    </row>
    <row r="39094" spans="31:31">
      <c r="AE39094" s="54"/>
    </row>
    <row r="39095" spans="31:31">
      <c r="AE39095" s="54"/>
    </row>
    <row r="39096" spans="31:31">
      <c r="AE39096" s="54"/>
    </row>
    <row r="39097" spans="31:31">
      <c r="AE39097" s="54"/>
    </row>
    <row r="39098" spans="31:31">
      <c r="AE39098" s="54"/>
    </row>
    <row r="39099" spans="31:31">
      <c r="AE39099" s="54"/>
    </row>
    <row r="39100" spans="31:31">
      <c r="AE39100" s="54"/>
    </row>
    <row r="39101" spans="31:31">
      <c r="AE39101" s="54"/>
    </row>
    <row r="39102" spans="31:31">
      <c r="AE39102" s="54"/>
    </row>
    <row r="39103" spans="31:31">
      <c r="AE39103" s="54"/>
    </row>
    <row r="39104" spans="31:31">
      <c r="AE39104" s="54"/>
    </row>
    <row r="39105" spans="31:31">
      <c r="AE39105" s="54"/>
    </row>
    <row r="39106" spans="31:31">
      <c r="AE39106" s="54"/>
    </row>
    <row r="39107" spans="31:31">
      <c r="AE39107" s="54"/>
    </row>
    <row r="39108" spans="31:31">
      <c r="AE39108" s="54"/>
    </row>
    <row r="39109" spans="31:31">
      <c r="AE39109" s="54"/>
    </row>
    <row r="39110" spans="31:31">
      <c r="AE39110" s="54"/>
    </row>
    <row r="39111" spans="31:31">
      <c r="AE39111" s="54"/>
    </row>
    <row r="39112" spans="31:31">
      <c r="AE39112" s="54"/>
    </row>
    <row r="39113" spans="31:31">
      <c r="AE39113" s="54"/>
    </row>
    <row r="39114" spans="31:31">
      <c r="AE39114" s="54"/>
    </row>
    <row r="39115" spans="31:31">
      <c r="AE39115" s="54"/>
    </row>
    <row r="39116" spans="31:31">
      <c r="AE39116" s="54"/>
    </row>
    <row r="39117" spans="31:31">
      <c r="AE39117" s="54"/>
    </row>
    <row r="39118" spans="31:31">
      <c r="AE39118" s="54"/>
    </row>
    <row r="39119" spans="31:31">
      <c r="AE39119" s="54"/>
    </row>
    <row r="39120" spans="31:31">
      <c r="AE39120" s="54"/>
    </row>
    <row r="39121" spans="31:31">
      <c r="AE39121" s="54"/>
    </row>
    <row r="39122" spans="31:31">
      <c r="AE39122" s="54"/>
    </row>
    <row r="39123" spans="31:31">
      <c r="AE39123" s="54"/>
    </row>
    <row r="39124" spans="31:31">
      <c r="AE39124" s="54"/>
    </row>
    <row r="39125" spans="31:31">
      <c r="AE39125" s="54"/>
    </row>
    <row r="39126" spans="31:31">
      <c r="AE39126" s="54"/>
    </row>
    <row r="39127" spans="31:31">
      <c r="AE39127" s="54"/>
    </row>
    <row r="39128" spans="31:31">
      <c r="AE39128" s="54"/>
    </row>
    <row r="39129" spans="31:31">
      <c r="AE39129" s="54"/>
    </row>
    <row r="39130" spans="31:31">
      <c r="AE39130" s="54"/>
    </row>
    <row r="39131" spans="31:31">
      <c r="AE39131" s="54"/>
    </row>
    <row r="39132" spans="31:31">
      <c r="AE39132" s="54"/>
    </row>
    <row r="39133" spans="31:31">
      <c r="AE39133" s="54"/>
    </row>
    <row r="39134" spans="31:31">
      <c r="AE39134" s="54"/>
    </row>
    <row r="39135" spans="31:31">
      <c r="AE39135" s="54"/>
    </row>
    <row r="39136" spans="31:31">
      <c r="AE39136" s="54"/>
    </row>
    <row r="39137" spans="31:31">
      <c r="AE39137" s="54"/>
    </row>
    <row r="39138" spans="31:31">
      <c r="AE39138" s="54"/>
    </row>
    <row r="39139" spans="31:31">
      <c r="AE39139" s="54"/>
    </row>
    <row r="39140" spans="31:31">
      <c r="AE39140" s="54"/>
    </row>
    <row r="39141" spans="31:31">
      <c r="AE39141" s="54"/>
    </row>
    <row r="39142" spans="31:31">
      <c r="AE39142" s="54"/>
    </row>
    <row r="39143" spans="31:31">
      <c r="AE39143" s="54"/>
    </row>
    <row r="39144" spans="31:31">
      <c r="AE39144" s="54"/>
    </row>
    <row r="39145" spans="31:31">
      <c r="AE39145" s="54"/>
    </row>
    <row r="39146" spans="31:31">
      <c r="AE39146" s="54"/>
    </row>
    <row r="39147" spans="31:31">
      <c r="AE39147" s="54"/>
    </row>
    <row r="39148" spans="31:31">
      <c r="AE39148" s="54"/>
    </row>
    <row r="39149" spans="31:31">
      <c r="AE39149" s="54"/>
    </row>
    <row r="39150" spans="31:31">
      <c r="AE39150" s="54"/>
    </row>
    <row r="39151" spans="31:31">
      <c r="AE39151" s="54"/>
    </row>
    <row r="39152" spans="31:31">
      <c r="AE39152" s="54"/>
    </row>
    <row r="39153" spans="31:31">
      <c r="AE39153" s="54"/>
    </row>
    <row r="39154" spans="31:31">
      <c r="AE39154" s="54"/>
    </row>
    <row r="39155" spans="31:31">
      <c r="AE39155" s="54"/>
    </row>
    <row r="39156" spans="31:31">
      <c r="AE39156" s="54"/>
    </row>
    <row r="39157" spans="31:31">
      <c r="AE39157" s="54"/>
    </row>
    <row r="39158" spans="31:31">
      <c r="AE39158" s="54"/>
    </row>
    <row r="39159" spans="31:31">
      <c r="AE39159" s="54"/>
    </row>
    <row r="39160" spans="31:31">
      <c r="AE39160" s="54"/>
    </row>
    <row r="39161" spans="31:31">
      <c r="AE39161" s="54"/>
    </row>
    <row r="39162" spans="31:31">
      <c r="AE39162" s="54"/>
    </row>
    <row r="39163" spans="31:31">
      <c r="AE39163" s="54"/>
    </row>
    <row r="39164" spans="31:31">
      <c r="AE39164" s="54"/>
    </row>
    <row r="39165" spans="31:31">
      <c r="AE39165" s="54"/>
    </row>
    <row r="39166" spans="31:31">
      <c r="AE39166" s="54"/>
    </row>
    <row r="39167" spans="31:31">
      <c r="AE39167" s="54"/>
    </row>
    <row r="39168" spans="31:31">
      <c r="AE39168" s="54"/>
    </row>
    <row r="39169" spans="31:31">
      <c r="AE39169" s="54"/>
    </row>
    <row r="39170" spans="31:31">
      <c r="AE39170" s="54"/>
    </row>
    <row r="39171" spans="31:31">
      <c r="AE39171" s="54"/>
    </row>
    <row r="39172" spans="31:31">
      <c r="AE39172" s="54"/>
    </row>
    <row r="39173" spans="31:31">
      <c r="AE39173" s="54"/>
    </row>
    <row r="39174" spans="31:31">
      <c r="AE39174" s="54"/>
    </row>
    <row r="39175" spans="31:31">
      <c r="AE39175" s="54"/>
    </row>
    <row r="39176" spans="31:31">
      <c r="AE39176" s="54"/>
    </row>
    <row r="39177" spans="31:31">
      <c r="AE39177" s="54"/>
    </row>
    <row r="39178" spans="31:31">
      <c r="AE39178" s="54"/>
    </row>
    <row r="39179" spans="31:31">
      <c r="AE39179" s="54"/>
    </row>
    <row r="39180" spans="31:31">
      <c r="AE39180" s="54"/>
    </row>
    <row r="39181" spans="31:31">
      <c r="AE39181" s="54"/>
    </row>
    <row r="39182" spans="31:31">
      <c r="AE39182" s="54"/>
    </row>
    <row r="39183" spans="31:31">
      <c r="AE39183" s="54"/>
    </row>
    <row r="39184" spans="31:31">
      <c r="AE39184" s="54"/>
    </row>
    <row r="39185" spans="31:31">
      <c r="AE39185" s="54"/>
    </row>
    <row r="39186" spans="31:31">
      <c r="AE39186" s="54"/>
    </row>
    <row r="39187" spans="31:31">
      <c r="AE39187" s="54"/>
    </row>
    <row r="39188" spans="31:31">
      <c r="AE39188" s="54"/>
    </row>
    <row r="39189" spans="31:31">
      <c r="AE39189" s="54"/>
    </row>
    <row r="39190" spans="31:31">
      <c r="AE39190" s="54"/>
    </row>
    <row r="39191" spans="31:31">
      <c r="AE39191" s="54"/>
    </row>
    <row r="39192" spans="31:31">
      <c r="AE39192" s="54"/>
    </row>
    <row r="39193" spans="31:31">
      <c r="AE39193" s="54"/>
    </row>
    <row r="39194" spans="31:31">
      <c r="AE39194" s="54"/>
    </row>
    <row r="39195" spans="31:31">
      <c r="AE39195" s="54"/>
    </row>
    <row r="39196" spans="31:31">
      <c r="AE39196" s="54"/>
    </row>
    <row r="39197" spans="31:31">
      <c r="AE39197" s="54"/>
    </row>
    <row r="39198" spans="31:31">
      <c r="AE39198" s="54"/>
    </row>
    <row r="39199" spans="31:31">
      <c r="AE39199" s="54"/>
    </row>
    <row r="39200" spans="31:31">
      <c r="AE39200" s="54"/>
    </row>
    <row r="39201" spans="31:31">
      <c r="AE39201" s="54"/>
    </row>
    <row r="39202" spans="31:31">
      <c r="AE39202" s="54"/>
    </row>
    <row r="39203" spans="31:31">
      <c r="AE39203" s="54"/>
    </row>
    <row r="39204" spans="31:31">
      <c r="AE39204" s="54"/>
    </row>
    <row r="39205" spans="31:31">
      <c r="AE39205" s="54"/>
    </row>
    <row r="39206" spans="31:31">
      <c r="AE39206" s="54"/>
    </row>
    <row r="39207" spans="31:31">
      <c r="AE39207" s="54"/>
    </row>
    <row r="39208" spans="31:31">
      <c r="AE39208" s="54"/>
    </row>
    <row r="39209" spans="31:31">
      <c r="AE39209" s="54"/>
    </row>
    <row r="39210" spans="31:31">
      <c r="AE39210" s="54"/>
    </row>
    <row r="39211" spans="31:31">
      <c r="AE39211" s="54"/>
    </row>
    <row r="39212" spans="31:31">
      <c r="AE39212" s="54"/>
    </row>
    <row r="39213" spans="31:31">
      <c r="AE39213" s="54"/>
    </row>
    <row r="39214" spans="31:31">
      <c r="AE39214" s="54"/>
    </row>
    <row r="39215" spans="31:31">
      <c r="AE39215" s="54"/>
    </row>
    <row r="39216" spans="31:31">
      <c r="AE39216" s="54"/>
    </row>
    <row r="39217" spans="31:31">
      <c r="AE39217" s="54"/>
    </row>
    <row r="39218" spans="31:31">
      <c r="AE39218" s="54"/>
    </row>
    <row r="39219" spans="31:31">
      <c r="AE39219" s="54"/>
    </row>
    <row r="39220" spans="31:31">
      <c r="AE39220" s="54"/>
    </row>
    <row r="39221" spans="31:31">
      <c r="AE39221" s="54"/>
    </row>
    <row r="39222" spans="31:31">
      <c r="AE39222" s="54"/>
    </row>
    <row r="39223" spans="31:31">
      <c r="AE39223" s="54"/>
    </row>
    <row r="39224" spans="31:31">
      <c r="AE39224" s="54"/>
    </row>
    <row r="39225" spans="31:31">
      <c r="AE39225" s="54"/>
    </row>
    <row r="39226" spans="31:31">
      <c r="AE39226" s="54"/>
    </row>
    <row r="39227" spans="31:31">
      <c r="AE39227" s="54"/>
    </row>
    <row r="39228" spans="31:31">
      <c r="AE39228" s="54"/>
    </row>
    <row r="39229" spans="31:31">
      <c r="AE39229" s="54"/>
    </row>
    <row r="39230" spans="31:31">
      <c r="AE39230" s="54"/>
    </row>
    <row r="39231" spans="31:31">
      <c r="AE39231" s="54"/>
    </row>
    <row r="39232" spans="31:31">
      <c r="AE39232" s="54"/>
    </row>
    <row r="39233" spans="31:31">
      <c r="AE39233" s="54"/>
    </row>
    <row r="39234" spans="31:31">
      <c r="AE39234" s="54"/>
    </row>
    <row r="39235" spans="31:31">
      <c r="AE39235" s="54"/>
    </row>
    <row r="39236" spans="31:31">
      <c r="AE39236" s="54"/>
    </row>
    <row r="39237" spans="31:31">
      <c r="AE39237" s="54"/>
    </row>
    <row r="39238" spans="31:31">
      <c r="AE39238" s="54"/>
    </row>
    <row r="39239" spans="31:31">
      <c r="AE39239" s="54"/>
    </row>
    <row r="39240" spans="31:31">
      <c r="AE39240" s="54"/>
    </row>
    <row r="39241" spans="31:31">
      <c r="AE39241" s="54"/>
    </row>
    <row r="39242" spans="31:31">
      <c r="AE39242" s="54"/>
    </row>
    <row r="39243" spans="31:31">
      <c r="AE39243" s="54"/>
    </row>
    <row r="39244" spans="31:31">
      <c r="AE39244" s="54"/>
    </row>
    <row r="39245" spans="31:31">
      <c r="AE39245" s="54"/>
    </row>
    <row r="39246" spans="31:31">
      <c r="AE39246" s="54"/>
    </row>
    <row r="39247" spans="31:31">
      <c r="AE39247" s="54"/>
    </row>
    <row r="39248" spans="31:31">
      <c r="AE39248" s="54"/>
    </row>
    <row r="39249" spans="31:31">
      <c r="AE39249" s="54"/>
    </row>
    <row r="39250" spans="31:31">
      <c r="AE39250" s="54"/>
    </row>
    <row r="39251" spans="31:31">
      <c r="AE39251" s="54"/>
    </row>
    <row r="39252" spans="31:31">
      <c r="AE39252" s="54"/>
    </row>
    <row r="39253" spans="31:31">
      <c r="AE39253" s="54"/>
    </row>
    <row r="39254" spans="31:31">
      <c r="AE39254" s="54"/>
    </row>
    <row r="39255" spans="31:31">
      <c r="AE39255" s="54"/>
    </row>
    <row r="39256" spans="31:31">
      <c r="AE39256" s="54"/>
    </row>
    <row r="39257" spans="31:31">
      <c r="AE39257" s="54"/>
    </row>
    <row r="39258" spans="31:31">
      <c r="AE39258" s="54"/>
    </row>
    <row r="39259" spans="31:31">
      <c r="AE39259" s="54"/>
    </row>
    <row r="39260" spans="31:31">
      <c r="AE39260" s="54"/>
    </row>
    <row r="39261" spans="31:31">
      <c r="AE39261" s="54"/>
    </row>
    <row r="39262" spans="31:31">
      <c r="AE39262" s="54"/>
    </row>
    <row r="39263" spans="31:31">
      <c r="AE39263" s="54"/>
    </row>
    <row r="39264" spans="31:31">
      <c r="AE39264" s="54"/>
    </row>
    <row r="39265" spans="31:31">
      <c r="AE39265" s="54"/>
    </row>
    <row r="39266" spans="31:31">
      <c r="AE39266" s="54"/>
    </row>
    <row r="39267" spans="31:31">
      <c r="AE39267" s="54"/>
    </row>
    <row r="39268" spans="31:31">
      <c r="AE39268" s="54"/>
    </row>
    <row r="39269" spans="31:31">
      <c r="AE39269" s="54"/>
    </row>
    <row r="39270" spans="31:31">
      <c r="AE39270" s="54"/>
    </row>
    <row r="39271" spans="31:31">
      <c r="AE39271" s="54"/>
    </row>
    <row r="39272" spans="31:31">
      <c r="AE39272" s="54"/>
    </row>
    <row r="39273" spans="31:31">
      <c r="AE39273" s="54"/>
    </row>
    <row r="39274" spans="31:31">
      <c r="AE39274" s="54"/>
    </row>
    <row r="39275" spans="31:31">
      <c r="AE39275" s="54"/>
    </row>
    <row r="39276" spans="31:31">
      <c r="AE39276" s="54"/>
    </row>
    <row r="39277" spans="31:31">
      <c r="AE39277" s="54"/>
    </row>
    <row r="39278" spans="31:31">
      <c r="AE39278" s="54"/>
    </row>
    <row r="39279" spans="31:31">
      <c r="AE39279" s="54"/>
    </row>
    <row r="39280" spans="31:31">
      <c r="AE39280" s="54"/>
    </row>
    <row r="39281" spans="31:31">
      <c r="AE39281" s="54"/>
    </row>
    <row r="39282" spans="31:31">
      <c r="AE39282" s="54"/>
    </row>
    <row r="39283" spans="31:31">
      <c r="AE39283" s="54"/>
    </row>
    <row r="39284" spans="31:31">
      <c r="AE39284" s="54"/>
    </row>
    <row r="39285" spans="31:31">
      <c r="AE39285" s="54"/>
    </row>
    <row r="39286" spans="31:31">
      <c r="AE39286" s="54"/>
    </row>
    <row r="39287" spans="31:31">
      <c r="AE39287" s="54"/>
    </row>
    <row r="39288" spans="31:31">
      <c r="AE39288" s="54"/>
    </row>
    <row r="39289" spans="31:31">
      <c r="AE39289" s="54"/>
    </row>
    <row r="39290" spans="31:31">
      <c r="AE39290" s="54"/>
    </row>
    <row r="39291" spans="31:31">
      <c r="AE39291" s="54"/>
    </row>
    <row r="39292" spans="31:31">
      <c r="AE39292" s="54"/>
    </row>
    <row r="39293" spans="31:31">
      <c r="AE39293" s="54"/>
    </row>
    <row r="39294" spans="31:31">
      <c r="AE39294" s="54"/>
    </row>
    <row r="39295" spans="31:31">
      <c r="AE39295" s="54"/>
    </row>
    <row r="39296" spans="31:31">
      <c r="AE39296" s="54"/>
    </row>
    <row r="39297" spans="31:31">
      <c r="AE39297" s="54"/>
    </row>
    <row r="39298" spans="31:31">
      <c r="AE39298" s="54"/>
    </row>
    <row r="39299" spans="31:31">
      <c r="AE39299" s="54"/>
    </row>
    <row r="39300" spans="31:31">
      <c r="AE39300" s="54"/>
    </row>
    <row r="39301" spans="31:31">
      <c r="AE39301" s="54"/>
    </row>
    <row r="39302" spans="31:31">
      <c r="AE39302" s="54"/>
    </row>
    <row r="39303" spans="31:31">
      <c r="AE39303" s="54"/>
    </row>
    <row r="39304" spans="31:31">
      <c r="AE39304" s="54"/>
    </row>
    <row r="39305" spans="31:31">
      <c r="AE39305" s="54"/>
    </row>
    <row r="39306" spans="31:31">
      <c r="AE39306" s="54"/>
    </row>
    <row r="39307" spans="31:31">
      <c r="AE39307" s="54"/>
    </row>
    <row r="39308" spans="31:31">
      <c r="AE39308" s="54"/>
    </row>
    <row r="39309" spans="31:31">
      <c r="AE39309" s="54"/>
    </row>
    <row r="39310" spans="31:31">
      <c r="AE39310" s="54"/>
    </row>
    <row r="39311" spans="31:31">
      <c r="AE39311" s="54"/>
    </row>
    <row r="39312" spans="31:31">
      <c r="AE39312" s="54"/>
    </row>
    <row r="39313" spans="31:31">
      <c r="AE39313" s="54"/>
    </row>
    <row r="39314" spans="31:31">
      <c r="AE39314" s="54"/>
    </row>
    <row r="39315" spans="31:31">
      <c r="AE39315" s="54"/>
    </row>
    <row r="39316" spans="31:31">
      <c r="AE39316" s="54"/>
    </row>
    <row r="39317" spans="31:31">
      <c r="AE39317" s="54"/>
    </row>
    <row r="39318" spans="31:31">
      <c r="AE39318" s="54"/>
    </row>
    <row r="39319" spans="31:31">
      <c r="AE39319" s="54"/>
    </row>
    <row r="39320" spans="31:31">
      <c r="AE39320" s="54"/>
    </row>
    <row r="39321" spans="31:31">
      <c r="AE39321" s="54"/>
    </row>
    <row r="39322" spans="31:31">
      <c r="AE39322" s="54"/>
    </row>
    <row r="39323" spans="31:31">
      <c r="AE39323" s="54"/>
    </row>
    <row r="39324" spans="31:31">
      <c r="AE39324" s="54"/>
    </row>
    <row r="39325" spans="31:31">
      <c r="AE39325" s="54"/>
    </row>
    <row r="39326" spans="31:31">
      <c r="AE39326" s="54"/>
    </row>
    <row r="39327" spans="31:31">
      <c r="AE39327" s="54"/>
    </row>
    <row r="39328" spans="31:31">
      <c r="AE39328" s="54"/>
    </row>
    <row r="39329" spans="31:31">
      <c r="AE39329" s="54"/>
    </row>
    <row r="39330" spans="31:31">
      <c r="AE39330" s="54"/>
    </row>
    <row r="39331" spans="31:31">
      <c r="AE39331" s="54"/>
    </row>
    <row r="39332" spans="31:31">
      <c r="AE39332" s="54"/>
    </row>
    <row r="39333" spans="31:31">
      <c r="AE39333" s="54"/>
    </row>
    <row r="39334" spans="31:31">
      <c r="AE39334" s="54"/>
    </row>
    <row r="39335" spans="31:31">
      <c r="AE39335" s="54"/>
    </row>
    <row r="39336" spans="31:31">
      <c r="AE39336" s="54"/>
    </row>
    <row r="39337" spans="31:31">
      <c r="AE39337" s="54"/>
    </row>
    <row r="39338" spans="31:31">
      <c r="AE39338" s="54"/>
    </row>
    <row r="39339" spans="31:31">
      <c r="AE39339" s="54"/>
    </row>
    <row r="39340" spans="31:31">
      <c r="AE39340" s="54"/>
    </row>
    <row r="39341" spans="31:31">
      <c r="AE39341" s="54"/>
    </row>
    <row r="39342" spans="31:31">
      <c r="AE39342" s="54"/>
    </row>
    <row r="39343" spans="31:31">
      <c r="AE39343" s="54"/>
    </row>
    <row r="39344" spans="31:31">
      <c r="AE39344" s="54"/>
    </row>
    <row r="39345" spans="31:31">
      <c r="AE39345" s="54"/>
    </row>
    <row r="39346" spans="31:31">
      <c r="AE39346" s="54"/>
    </row>
    <row r="39347" spans="31:31">
      <c r="AE39347" s="54"/>
    </row>
    <row r="39348" spans="31:31">
      <c r="AE39348" s="54"/>
    </row>
    <row r="39349" spans="31:31">
      <c r="AE39349" s="54"/>
    </row>
    <row r="39350" spans="31:31">
      <c r="AE39350" s="54"/>
    </row>
    <row r="39351" spans="31:31">
      <c r="AE39351" s="54"/>
    </row>
    <row r="39352" spans="31:31">
      <c r="AE39352" s="54"/>
    </row>
    <row r="39353" spans="31:31">
      <c r="AE39353" s="54"/>
    </row>
    <row r="39354" spans="31:31">
      <c r="AE39354" s="54"/>
    </row>
    <row r="39355" spans="31:31">
      <c r="AE39355" s="54"/>
    </row>
    <row r="39356" spans="31:31">
      <c r="AE39356" s="54"/>
    </row>
    <row r="39357" spans="31:31">
      <c r="AE39357" s="54"/>
    </row>
    <row r="39358" spans="31:31">
      <c r="AE39358" s="54"/>
    </row>
    <row r="39359" spans="31:31">
      <c r="AE39359" s="54"/>
    </row>
    <row r="39360" spans="31:31">
      <c r="AE39360" s="54"/>
    </row>
    <row r="39361" spans="31:31">
      <c r="AE39361" s="54"/>
    </row>
    <row r="39362" spans="31:31">
      <c r="AE39362" s="54"/>
    </row>
    <row r="39363" spans="31:31">
      <c r="AE39363" s="54"/>
    </row>
    <row r="39364" spans="31:31">
      <c r="AE39364" s="54"/>
    </row>
    <row r="39365" spans="31:31">
      <c r="AE39365" s="54"/>
    </row>
    <row r="39366" spans="31:31">
      <c r="AE39366" s="54"/>
    </row>
    <row r="39367" spans="31:31">
      <c r="AE39367" s="54"/>
    </row>
    <row r="39368" spans="31:31">
      <c r="AE39368" s="54"/>
    </row>
    <row r="39369" spans="31:31">
      <c r="AE39369" s="54"/>
    </row>
    <row r="39370" spans="31:31">
      <c r="AE39370" s="54"/>
    </row>
    <row r="39371" spans="31:31">
      <c r="AE39371" s="54"/>
    </row>
    <row r="39372" spans="31:31">
      <c r="AE39372" s="54"/>
    </row>
    <row r="39373" spans="31:31">
      <c r="AE39373" s="54"/>
    </row>
    <row r="39374" spans="31:31">
      <c r="AE39374" s="54"/>
    </row>
    <row r="39375" spans="31:31">
      <c r="AE39375" s="54"/>
    </row>
    <row r="39376" spans="31:31">
      <c r="AE39376" s="54"/>
    </row>
    <row r="39377" spans="31:31">
      <c r="AE39377" s="54"/>
    </row>
    <row r="39378" spans="31:31">
      <c r="AE39378" s="54"/>
    </row>
    <row r="39379" spans="31:31">
      <c r="AE39379" s="54"/>
    </row>
    <row r="39380" spans="31:31">
      <c r="AE39380" s="54"/>
    </row>
    <row r="39381" spans="31:31">
      <c r="AE39381" s="54"/>
    </row>
    <row r="39382" spans="31:31">
      <c r="AE39382" s="54"/>
    </row>
    <row r="39383" spans="31:31">
      <c r="AE39383" s="54"/>
    </row>
    <row r="39384" spans="31:31">
      <c r="AE39384" s="54"/>
    </row>
    <row r="39385" spans="31:31">
      <c r="AE39385" s="54"/>
    </row>
    <row r="39386" spans="31:31">
      <c r="AE39386" s="54"/>
    </row>
    <row r="39387" spans="31:31">
      <c r="AE39387" s="54"/>
    </row>
    <row r="39388" spans="31:31">
      <c r="AE39388" s="54"/>
    </row>
    <row r="39389" spans="31:31">
      <c r="AE39389" s="54"/>
    </row>
    <row r="39390" spans="31:31">
      <c r="AE39390" s="54"/>
    </row>
    <row r="39391" spans="31:31">
      <c r="AE39391" s="54"/>
    </row>
    <row r="39392" spans="31:31">
      <c r="AE39392" s="54"/>
    </row>
    <row r="39393" spans="31:31">
      <c r="AE39393" s="54"/>
    </row>
    <row r="39394" spans="31:31">
      <c r="AE39394" s="54"/>
    </row>
    <row r="39395" spans="31:31">
      <c r="AE39395" s="54"/>
    </row>
    <row r="39396" spans="31:31">
      <c r="AE39396" s="54"/>
    </row>
    <row r="39397" spans="31:31">
      <c r="AE39397" s="54"/>
    </row>
    <row r="39398" spans="31:31">
      <c r="AE39398" s="54"/>
    </row>
    <row r="39399" spans="31:31">
      <c r="AE39399" s="54"/>
    </row>
    <row r="39400" spans="31:31">
      <c r="AE39400" s="54"/>
    </row>
    <row r="39401" spans="31:31">
      <c r="AE39401" s="54"/>
    </row>
    <row r="39402" spans="31:31">
      <c r="AE39402" s="54"/>
    </row>
    <row r="39403" spans="31:31">
      <c r="AE39403" s="54"/>
    </row>
    <row r="39404" spans="31:31">
      <c r="AE39404" s="54"/>
    </row>
    <row r="39405" spans="31:31">
      <c r="AE39405" s="54"/>
    </row>
    <row r="39406" spans="31:31">
      <c r="AE39406" s="54"/>
    </row>
    <row r="39407" spans="31:31">
      <c r="AE39407" s="54"/>
    </row>
    <row r="39408" spans="31:31">
      <c r="AE39408" s="54"/>
    </row>
    <row r="39409" spans="31:31">
      <c r="AE39409" s="54"/>
    </row>
    <row r="39410" spans="31:31">
      <c r="AE39410" s="54"/>
    </row>
    <row r="39411" spans="31:31">
      <c r="AE39411" s="54"/>
    </row>
    <row r="39412" spans="31:31">
      <c r="AE39412" s="54"/>
    </row>
    <row r="39413" spans="31:31">
      <c r="AE39413" s="54"/>
    </row>
    <row r="39414" spans="31:31">
      <c r="AE39414" s="54"/>
    </row>
    <row r="39415" spans="31:31">
      <c r="AE39415" s="54"/>
    </row>
    <row r="39416" spans="31:31">
      <c r="AE39416" s="54"/>
    </row>
    <row r="39417" spans="31:31">
      <c r="AE39417" s="54"/>
    </row>
    <row r="39418" spans="31:31">
      <c r="AE39418" s="54"/>
    </row>
    <row r="39419" spans="31:31">
      <c r="AE39419" s="54"/>
    </row>
    <row r="39420" spans="31:31">
      <c r="AE39420" s="54"/>
    </row>
    <row r="39421" spans="31:31">
      <c r="AE39421" s="54"/>
    </row>
    <row r="39422" spans="31:31">
      <c r="AE39422" s="54"/>
    </row>
    <row r="39423" spans="31:31">
      <c r="AE39423" s="54"/>
    </row>
    <row r="39424" spans="31:31">
      <c r="AE39424" s="54"/>
    </row>
    <row r="39425" spans="31:31">
      <c r="AE39425" s="54"/>
    </row>
    <row r="39426" spans="31:31">
      <c r="AE39426" s="54"/>
    </row>
    <row r="39427" spans="31:31">
      <c r="AE39427" s="54"/>
    </row>
    <row r="39428" spans="31:31">
      <c r="AE39428" s="54"/>
    </row>
    <row r="39429" spans="31:31">
      <c r="AE39429" s="54"/>
    </row>
    <row r="39430" spans="31:31">
      <c r="AE39430" s="54"/>
    </row>
    <row r="39431" spans="31:31">
      <c r="AE39431" s="54"/>
    </row>
    <row r="39432" spans="31:31">
      <c r="AE39432" s="54"/>
    </row>
    <row r="39433" spans="31:31">
      <c r="AE39433" s="54"/>
    </row>
    <row r="39434" spans="31:31">
      <c r="AE39434" s="54"/>
    </row>
    <row r="39435" spans="31:31">
      <c r="AE39435" s="54"/>
    </row>
    <row r="39436" spans="31:31">
      <c r="AE39436" s="54"/>
    </row>
    <row r="39437" spans="31:31">
      <c r="AE39437" s="54"/>
    </row>
    <row r="39438" spans="31:31">
      <c r="AE39438" s="54"/>
    </row>
    <row r="39439" spans="31:31">
      <c r="AE39439" s="54"/>
    </row>
    <row r="39440" spans="31:31">
      <c r="AE39440" s="54"/>
    </row>
    <row r="39441" spans="31:31">
      <c r="AE39441" s="54"/>
    </row>
    <row r="39442" spans="31:31">
      <c r="AE39442" s="54"/>
    </row>
    <row r="39443" spans="31:31">
      <c r="AE39443" s="54"/>
    </row>
    <row r="39444" spans="31:31">
      <c r="AE39444" s="54"/>
    </row>
    <row r="39445" spans="31:31">
      <c r="AE39445" s="54"/>
    </row>
    <row r="39446" spans="31:31">
      <c r="AE39446" s="54"/>
    </row>
    <row r="39447" spans="31:31">
      <c r="AE39447" s="54"/>
    </row>
    <row r="39448" spans="31:31">
      <c r="AE39448" s="54"/>
    </row>
    <row r="39449" spans="31:31">
      <c r="AE39449" s="54"/>
    </row>
    <row r="39450" spans="31:31">
      <c r="AE39450" s="54"/>
    </row>
    <row r="39451" spans="31:31">
      <c r="AE39451" s="54"/>
    </row>
    <row r="39452" spans="31:31">
      <c r="AE39452" s="54"/>
    </row>
    <row r="39453" spans="31:31">
      <c r="AE39453" s="54"/>
    </row>
    <row r="39454" spans="31:31">
      <c r="AE39454" s="54"/>
    </row>
    <row r="39455" spans="31:31">
      <c r="AE39455" s="54"/>
    </row>
    <row r="39456" spans="31:31">
      <c r="AE39456" s="54"/>
    </row>
    <row r="39457" spans="31:31">
      <c r="AE39457" s="54"/>
    </row>
    <row r="39458" spans="31:31">
      <c r="AE39458" s="54"/>
    </row>
    <row r="39459" spans="31:31">
      <c r="AE39459" s="54"/>
    </row>
    <row r="39460" spans="31:31">
      <c r="AE39460" s="54"/>
    </row>
    <row r="39461" spans="31:31">
      <c r="AE39461" s="54"/>
    </row>
    <row r="39462" spans="31:31">
      <c r="AE39462" s="54"/>
    </row>
    <row r="39463" spans="31:31">
      <c r="AE39463" s="54"/>
    </row>
    <row r="39464" spans="31:31">
      <c r="AE39464" s="54"/>
    </row>
    <row r="39465" spans="31:31">
      <c r="AE39465" s="54"/>
    </row>
    <row r="39466" spans="31:31">
      <c r="AE39466" s="54"/>
    </row>
    <row r="39467" spans="31:31">
      <c r="AE39467" s="54"/>
    </row>
    <row r="39468" spans="31:31">
      <c r="AE39468" s="54"/>
    </row>
    <row r="39469" spans="31:31">
      <c r="AE39469" s="54"/>
    </row>
    <row r="39470" spans="31:31">
      <c r="AE39470" s="54"/>
    </row>
    <row r="39471" spans="31:31">
      <c r="AE39471" s="54"/>
    </row>
    <row r="39472" spans="31:31">
      <c r="AE39472" s="54"/>
    </row>
    <row r="39473" spans="31:31">
      <c r="AE39473" s="54"/>
    </row>
    <row r="39474" spans="31:31">
      <c r="AE39474" s="54"/>
    </row>
    <row r="39475" spans="31:31">
      <c r="AE39475" s="54"/>
    </row>
    <row r="39476" spans="31:31">
      <c r="AE39476" s="54"/>
    </row>
    <row r="39477" spans="31:31">
      <c r="AE39477" s="54"/>
    </row>
    <row r="39478" spans="31:31">
      <c r="AE39478" s="54"/>
    </row>
    <row r="39479" spans="31:31">
      <c r="AE39479" s="54"/>
    </row>
    <row r="39480" spans="31:31">
      <c r="AE39480" s="54"/>
    </row>
    <row r="39481" spans="31:31">
      <c r="AE39481" s="54"/>
    </row>
    <row r="39482" spans="31:31">
      <c r="AE39482" s="54"/>
    </row>
    <row r="39483" spans="31:31">
      <c r="AE39483" s="54"/>
    </row>
    <row r="39484" spans="31:31">
      <c r="AE39484" s="54"/>
    </row>
    <row r="39485" spans="31:31">
      <c r="AE39485" s="54"/>
    </row>
    <row r="39486" spans="31:31">
      <c r="AE39486" s="54"/>
    </row>
    <row r="39487" spans="31:31">
      <c r="AE39487" s="54"/>
    </row>
    <row r="39488" spans="31:31">
      <c r="AE39488" s="54"/>
    </row>
    <row r="39489" spans="31:31">
      <c r="AE39489" s="54"/>
    </row>
    <row r="39490" spans="31:31">
      <c r="AE39490" s="54"/>
    </row>
    <row r="39491" spans="31:31">
      <c r="AE39491" s="54"/>
    </row>
    <row r="39492" spans="31:31">
      <c r="AE39492" s="54"/>
    </row>
    <row r="39493" spans="31:31">
      <c r="AE39493" s="54"/>
    </row>
    <row r="39494" spans="31:31">
      <c r="AE39494" s="54"/>
    </row>
    <row r="39495" spans="31:31">
      <c r="AE39495" s="54"/>
    </row>
    <row r="39496" spans="31:31">
      <c r="AE39496" s="54"/>
    </row>
    <row r="39497" spans="31:31">
      <c r="AE39497" s="54"/>
    </row>
    <row r="39498" spans="31:31">
      <c r="AE39498" s="54"/>
    </row>
    <row r="39499" spans="31:31">
      <c r="AE39499" s="54"/>
    </row>
    <row r="39500" spans="31:31">
      <c r="AE39500" s="54"/>
    </row>
    <row r="39501" spans="31:31">
      <c r="AE39501" s="54"/>
    </row>
    <row r="39502" spans="31:31">
      <c r="AE39502" s="54"/>
    </row>
    <row r="39503" spans="31:31">
      <c r="AE39503" s="54"/>
    </row>
    <row r="39504" spans="31:31">
      <c r="AE39504" s="54"/>
    </row>
    <row r="39505" spans="31:31">
      <c r="AE39505" s="54"/>
    </row>
    <row r="39506" spans="31:31">
      <c r="AE39506" s="54"/>
    </row>
    <row r="39507" spans="31:31">
      <c r="AE39507" s="54"/>
    </row>
    <row r="39508" spans="31:31">
      <c r="AE39508" s="54"/>
    </row>
    <row r="39509" spans="31:31">
      <c r="AE39509" s="54"/>
    </row>
    <row r="39510" spans="31:31">
      <c r="AE39510" s="54"/>
    </row>
    <row r="39511" spans="31:31">
      <c r="AE39511" s="54"/>
    </row>
    <row r="39512" spans="31:31">
      <c r="AE39512" s="54"/>
    </row>
    <row r="39513" spans="31:31">
      <c r="AE39513" s="54"/>
    </row>
    <row r="39514" spans="31:31">
      <c r="AE39514" s="54"/>
    </row>
    <row r="39515" spans="31:31">
      <c r="AE39515" s="54"/>
    </row>
    <row r="39516" spans="31:31">
      <c r="AE39516" s="54"/>
    </row>
    <row r="39517" spans="31:31">
      <c r="AE39517" s="54"/>
    </row>
    <row r="39518" spans="31:31">
      <c r="AE39518" s="54"/>
    </row>
    <row r="39519" spans="31:31">
      <c r="AE39519" s="54"/>
    </row>
    <row r="39520" spans="31:31">
      <c r="AE39520" s="54"/>
    </row>
    <row r="39521" spans="31:31">
      <c r="AE39521" s="54"/>
    </row>
    <row r="39522" spans="31:31">
      <c r="AE39522" s="54"/>
    </row>
    <row r="39523" spans="31:31">
      <c r="AE39523" s="54"/>
    </row>
    <row r="39524" spans="31:31">
      <c r="AE39524" s="54"/>
    </row>
    <row r="39525" spans="31:31">
      <c r="AE39525" s="54"/>
    </row>
    <row r="39526" spans="31:31">
      <c r="AE39526" s="54"/>
    </row>
    <row r="39527" spans="31:31">
      <c r="AE39527" s="54"/>
    </row>
    <row r="39528" spans="31:31">
      <c r="AE39528" s="54"/>
    </row>
    <row r="39529" spans="31:31">
      <c r="AE39529" s="54"/>
    </row>
    <row r="39530" spans="31:31">
      <c r="AE39530" s="54"/>
    </row>
    <row r="39531" spans="31:31">
      <c r="AE39531" s="54"/>
    </row>
    <row r="39532" spans="31:31">
      <c r="AE39532" s="54"/>
    </row>
    <row r="39533" spans="31:31">
      <c r="AE39533" s="54"/>
    </row>
    <row r="39534" spans="31:31">
      <c r="AE39534" s="54"/>
    </row>
    <row r="39535" spans="31:31">
      <c r="AE39535" s="54"/>
    </row>
    <row r="39536" spans="31:31">
      <c r="AE39536" s="54"/>
    </row>
    <row r="39537" spans="31:31">
      <c r="AE39537" s="54"/>
    </row>
    <row r="39538" spans="31:31">
      <c r="AE39538" s="54"/>
    </row>
    <row r="39539" spans="31:31">
      <c r="AE39539" s="54"/>
    </row>
    <row r="39540" spans="31:31">
      <c r="AE39540" s="54"/>
    </row>
    <row r="39541" spans="31:31">
      <c r="AE39541" s="54"/>
    </row>
    <row r="39542" spans="31:31">
      <c r="AE39542" s="54"/>
    </row>
    <row r="39543" spans="31:31">
      <c r="AE39543" s="54"/>
    </row>
    <row r="39544" spans="31:31">
      <c r="AE39544" s="54"/>
    </row>
    <row r="39545" spans="31:31">
      <c r="AE39545" s="54"/>
    </row>
    <row r="39546" spans="31:31">
      <c r="AE39546" s="54"/>
    </row>
    <row r="39547" spans="31:31">
      <c r="AE39547" s="54"/>
    </row>
    <row r="39548" spans="31:31">
      <c r="AE39548" s="54"/>
    </row>
    <row r="39549" spans="31:31">
      <c r="AE39549" s="54"/>
    </row>
    <row r="39550" spans="31:31">
      <c r="AE39550" s="54"/>
    </row>
    <row r="39551" spans="31:31">
      <c r="AE39551" s="54"/>
    </row>
    <row r="39552" spans="31:31">
      <c r="AE39552" s="54"/>
    </row>
    <row r="39553" spans="31:31">
      <c r="AE39553" s="54"/>
    </row>
    <row r="39554" spans="31:31">
      <c r="AE39554" s="54"/>
    </row>
    <row r="39555" spans="31:31">
      <c r="AE39555" s="54"/>
    </row>
    <row r="39556" spans="31:31">
      <c r="AE39556" s="54"/>
    </row>
    <row r="39557" spans="31:31">
      <c r="AE39557" s="54"/>
    </row>
    <row r="39558" spans="31:31">
      <c r="AE39558" s="54"/>
    </row>
    <row r="39559" spans="31:31">
      <c r="AE39559" s="54"/>
    </row>
    <row r="39560" spans="31:31">
      <c r="AE39560" s="54"/>
    </row>
    <row r="39561" spans="31:31">
      <c r="AE39561" s="54"/>
    </row>
    <row r="39562" spans="31:31">
      <c r="AE39562" s="54"/>
    </row>
    <row r="39563" spans="31:31">
      <c r="AE39563" s="54"/>
    </row>
    <row r="39564" spans="31:31">
      <c r="AE39564" s="54"/>
    </row>
    <row r="39565" spans="31:31">
      <c r="AE39565" s="54"/>
    </row>
    <row r="39566" spans="31:31">
      <c r="AE39566" s="54"/>
    </row>
    <row r="39567" spans="31:31">
      <c r="AE39567" s="54"/>
    </row>
    <row r="39568" spans="31:31">
      <c r="AE39568" s="54"/>
    </row>
    <row r="39569" spans="31:31">
      <c r="AE39569" s="54"/>
    </row>
    <row r="39570" spans="31:31">
      <c r="AE39570" s="54"/>
    </row>
    <row r="39571" spans="31:31">
      <c r="AE39571" s="54"/>
    </row>
    <row r="39572" spans="31:31">
      <c r="AE39572" s="54"/>
    </row>
    <row r="39573" spans="31:31">
      <c r="AE39573" s="54"/>
    </row>
    <row r="39574" spans="31:31">
      <c r="AE39574" s="54"/>
    </row>
    <row r="39575" spans="31:31">
      <c r="AE39575" s="54"/>
    </row>
    <row r="39576" spans="31:31">
      <c r="AE39576" s="54"/>
    </row>
    <row r="39577" spans="31:31">
      <c r="AE39577" s="54"/>
    </row>
    <row r="39578" spans="31:31">
      <c r="AE39578" s="54"/>
    </row>
    <row r="39579" spans="31:31">
      <c r="AE39579" s="54"/>
    </row>
    <row r="39580" spans="31:31">
      <c r="AE39580" s="54"/>
    </row>
    <row r="39581" spans="31:31">
      <c r="AE39581" s="54"/>
    </row>
    <row r="39582" spans="31:31">
      <c r="AE39582" s="54"/>
    </row>
    <row r="39583" spans="31:31">
      <c r="AE39583" s="54"/>
    </row>
    <row r="39584" spans="31:31">
      <c r="AE39584" s="54"/>
    </row>
    <row r="39585" spans="31:31">
      <c r="AE39585" s="54"/>
    </row>
    <row r="39586" spans="31:31">
      <c r="AE39586" s="54"/>
    </row>
    <row r="39587" spans="31:31">
      <c r="AE39587" s="54"/>
    </row>
    <row r="39588" spans="31:31">
      <c r="AE39588" s="54"/>
    </row>
    <row r="39589" spans="31:31">
      <c r="AE39589" s="54"/>
    </row>
    <row r="39590" spans="31:31">
      <c r="AE39590" s="54"/>
    </row>
    <row r="39591" spans="31:31">
      <c r="AE39591" s="54"/>
    </row>
    <row r="39592" spans="31:31">
      <c r="AE39592" s="54"/>
    </row>
    <row r="39593" spans="31:31">
      <c r="AE39593" s="54"/>
    </row>
    <row r="39594" spans="31:31">
      <c r="AE39594" s="54"/>
    </row>
    <row r="39595" spans="31:31">
      <c r="AE39595" s="54"/>
    </row>
    <row r="39596" spans="31:31">
      <c r="AE39596" s="54"/>
    </row>
    <row r="39597" spans="31:31">
      <c r="AE39597" s="54"/>
    </row>
    <row r="39598" spans="31:31">
      <c r="AE39598" s="54"/>
    </row>
    <row r="39599" spans="31:31">
      <c r="AE39599" s="54"/>
    </row>
    <row r="39600" spans="31:31">
      <c r="AE39600" s="54"/>
    </row>
    <row r="39601" spans="31:31">
      <c r="AE39601" s="54"/>
    </row>
    <row r="39602" spans="31:31">
      <c r="AE39602" s="54"/>
    </row>
    <row r="39603" spans="31:31">
      <c r="AE39603" s="54"/>
    </row>
    <row r="39604" spans="31:31">
      <c r="AE39604" s="54"/>
    </row>
    <row r="39605" spans="31:31">
      <c r="AE39605" s="54"/>
    </row>
    <row r="39606" spans="31:31">
      <c r="AE39606" s="54"/>
    </row>
    <row r="39607" spans="31:31">
      <c r="AE39607" s="54"/>
    </row>
    <row r="39608" spans="31:31">
      <c r="AE39608" s="54"/>
    </row>
    <row r="39609" spans="31:31">
      <c r="AE39609" s="54"/>
    </row>
    <row r="39610" spans="31:31">
      <c r="AE39610" s="54"/>
    </row>
    <row r="39611" spans="31:31">
      <c r="AE39611" s="54"/>
    </row>
    <row r="39612" spans="31:31">
      <c r="AE39612" s="54"/>
    </row>
    <row r="39613" spans="31:31">
      <c r="AE39613" s="54"/>
    </row>
    <row r="39614" spans="31:31">
      <c r="AE39614" s="54"/>
    </row>
    <row r="39615" spans="31:31">
      <c r="AE39615" s="54"/>
    </row>
    <row r="39616" spans="31:31">
      <c r="AE39616" s="54"/>
    </row>
    <row r="39617" spans="31:31">
      <c r="AE39617" s="54"/>
    </row>
    <row r="39618" spans="31:31">
      <c r="AE39618" s="54"/>
    </row>
    <row r="39619" spans="31:31">
      <c r="AE39619" s="54"/>
    </row>
    <row r="39620" spans="31:31">
      <c r="AE39620" s="54"/>
    </row>
    <row r="39621" spans="31:31">
      <c r="AE39621" s="54"/>
    </row>
    <row r="39622" spans="31:31">
      <c r="AE39622" s="54"/>
    </row>
    <row r="39623" spans="31:31">
      <c r="AE39623" s="54"/>
    </row>
    <row r="39624" spans="31:31">
      <c r="AE39624" s="54"/>
    </row>
    <row r="39625" spans="31:31">
      <c r="AE39625" s="54"/>
    </row>
    <row r="39626" spans="31:31">
      <c r="AE39626" s="54"/>
    </row>
    <row r="39627" spans="31:31">
      <c r="AE39627" s="54"/>
    </row>
    <row r="39628" spans="31:31">
      <c r="AE39628" s="54"/>
    </row>
    <row r="39629" spans="31:31">
      <c r="AE39629" s="54"/>
    </row>
    <row r="39630" spans="31:31">
      <c r="AE39630" s="54"/>
    </row>
    <row r="39631" spans="31:31">
      <c r="AE39631" s="54"/>
    </row>
    <row r="39632" spans="31:31">
      <c r="AE39632" s="54"/>
    </row>
    <row r="39633" spans="31:31">
      <c r="AE39633" s="54"/>
    </row>
    <row r="39634" spans="31:31">
      <c r="AE39634" s="54"/>
    </row>
    <row r="39635" spans="31:31">
      <c r="AE39635" s="54"/>
    </row>
    <row r="39636" spans="31:31">
      <c r="AE39636" s="54"/>
    </row>
    <row r="39637" spans="31:31">
      <c r="AE39637" s="54"/>
    </row>
    <row r="39638" spans="31:31">
      <c r="AE39638" s="54"/>
    </row>
    <row r="39639" spans="31:31">
      <c r="AE39639" s="54"/>
    </row>
    <row r="39640" spans="31:31">
      <c r="AE39640" s="54"/>
    </row>
    <row r="39641" spans="31:31">
      <c r="AE39641" s="54"/>
    </row>
    <row r="39642" spans="31:31">
      <c r="AE39642" s="54"/>
    </row>
    <row r="39643" spans="31:31">
      <c r="AE39643" s="54"/>
    </row>
    <row r="39644" spans="31:31">
      <c r="AE39644" s="54"/>
    </row>
    <row r="39645" spans="31:31">
      <c r="AE39645" s="54"/>
    </row>
    <row r="39646" spans="31:31">
      <c r="AE39646" s="54"/>
    </row>
    <row r="39647" spans="31:31">
      <c r="AE39647" s="54"/>
    </row>
    <row r="39648" spans="31:31">
      <c r="AE39648" s="54"/>
    </row>
    <row r="39649" spans="31:31">
      <c r="AE39649" s="54"/>
    </row>
    <row r="39650" spans="31:31">
      <c r="AE39650" s="54"/>
    </row>
    <row r="39651" spans="31:31">
      <c r="AE39651" s="54"/>
    </row>
    <row r="39652" spans="31:31">
      <c r="AE39652" s="54"/>
    </row>
    <row r="39653" spans="31:31">
      <c r="AE39653" s="54"/>
    </row>
    <row r="39654" spans="31:31">
      <c r="AE39654" s="54"/>
    </row>
    <row r="39655" spans="31:31">
      <c r="AE39655" s="54"/>
    </row>
    <row r="39656" spans="31:31">
      <c r="AE39656" s="54"/>
    </row>
    <row r="39657" spans="31:31">
      <c r="AE39657" s="54"/>
    </row>
    <row r="39658" spans="31:31">
      <c r="AE39658" s="54"/>
    </row>
    <row r="39659" spans="31:31">
      <c r="AE39659" s="54"/>
    </row>
    <row r="39660" spans="31:31">
      <c r="AE39660" s="54"/>
    </row>
    <row r="39661" spans="31:31">
      <c r="AE39661" s="54"/>
    </row>
    <row r="39662" spans="31:31">
      <c r="AE39662" s="54"/>
    </row>
    <row r="39663" spans="31:31">
      <c r="AE39663" s="54"/>
    </row>
    <row r="39664" spans="31:31">
      <c r="AE39664" s="54"/>
    </row>
    <row r="39665" spans="31:31">
      <c r="AE39665" s="54"/>
    </row>
    <row r="39666" spans="31:31">
      <c r="AE39666" s="54"/>
    </row>
    <row r="39667" spans="31:31">
      <c r="AE39667" s="54"/>
    </row>
    <row r="39668" spans="31:31">
      <c r="AE39668" s="54"/>
    </row>
    <row r="39669" spans="31:31">
      <c r="AE39669" s="54"/>
    </row>
    <row r="39670" spans="31:31">
      <c r="AE39670" s="54"/>
    </row>
    <row r="39671" spans="31:31">
      <c r="AE39671" s="54"/>
    </row>
    <row r="39672" spans="31:31">
      <c r="AE39672" s="54"/>
    </row>
    <row r="39673" spans="31:31">
      <c r="AE39673" s="54"/>
    </row>
    <row r="39674" spans="31:31">
      <c r="AE39674" s="54"/>
    </row>
    <row r="39675" spans="31:31">
      <c r="AE39675" s="54"/>
    </row>
    <row r="39676" spans="31:31">
      <c r="AE39676" s="54"/>
    </row>
    <row r="39677" spans="31:31">
      <c r="AE39677" s="54"/>
    </row>
    <row r="39678" spans="31:31">
      <c r="AE39678" s="54"/>
    </row>
    <row r="39679" spans="31:31">
      <c r="AE39679" s="54"/>
    </row>
    <row r="39680" spans="31:31">
      <c r="AE39680" s="54"/>
    </row>
    <row r="39681" spans="31:31">
      <c r="AE39681" s="54"/>
    </row>
    <row r="39682" spans="31:31">
      <c r="AE39682" s="54"/>
    </row>
    <row r="39683" spans="31:31">
      <c r="AE39683" s="54"/>
    </row>
    <row r="39684" spans="31:31">
      <c r="AE39684" s="54"/>
    </row>
    <row r="39685" spans="31:31">
      <c r="AE39685" s="54"/>
    </row>
    <row r="39686" spans="31:31">
      <c r="AE39686" s="54"/>
    </row>
    <row r="39687" spans="31:31">
      <c r="AE39687" s="54"/>
    </row>
    <row r="39688" spans="31:31">
      <c r="AE39688" s="54"/>
    </row>
    <row r="39689" spans="31:31">
      <c r="AE39689" s="54"/>
    </row>
    <row r="39690" spans="31:31">
      <c r="AE39690" s="54"/>
    </row>
    <row r="39691" spans="31:31">
      <c r="AE39691" s="54"/>
    </row>
    <row r="39692" spans="31:31">
      <c r="AE39692" s="54"/>
    </row>
    <row r="39693" spans="31:31">
      <c r="AE39693" s="54"/>
    </row>
    <row r="39694" spans="31:31">
      <c r="AE39694" s="54"/>
    </row>
    <row r="39695" spans="31:31">
      <c r="AE39695" s="54"/>
    </row>
    <row r="39696" spans="31:31">
      <c r="AE39696" s="54"/>
    </row>
    <row r="39697" spans="31:31">
      <c r="AE39697" s="54"/>
    </row>
    <row r="39698" spans="31:31">
      <c r="AE39698" s="54"/>
    </row>
    <row r="39699" spans="31:31">
      <c r="AE39699" s="54"/>
    </row>
    <row r="39700" spans="31:31">
      <c r="AE39700" s="54"/>
    </row>
    <row r="39701" spans="31:31">
      <c r="AE39701" s="54"/>
    </row>
    <row r="39702" spans="31:31">
      <c r="AE39702" s="54"/>
    </row>
    <row r="39703" spans="31:31">
      <c r="AE39703" s="54"/>
    </row>
    <row r="39704" spans="31:31">
      <c r="AE39704" s="54"/>
    </row>
    <row r="39705" spans="31:31">
      <c r="AE39705" s="54"/>
    </row>
    <row r="39706" spans="31:31">
      <c r="AE39706" s="54"/>
    </row>
    <row r="39707" spans="31:31">
      <c r="AE39707" s="54"/>
    </row>
    <row r="39708" spans="31:31">
      <c r="AE39708" s="54"/>
    </row>
    <row r="39709" spans="31:31">
      <c r="AE39709" s="54"/>
    </row>
    <row r="39710" spans="31:31">
      <c r="AE39710" s="54"/>
    </row>
    <row r="39711" spans="31:31">
      <c r="AE39711" s="54"/>
    </row>
    <row r="39712" spans="31:31">
      <c r="AE39712" s="54"/>
    </row>
    <row r="39713" spans="31:31">
      <c r="AE39713" s="54"/>
    </row>
    <row r="39714" spans="31:31">
      <c r="AE39714" s="54"/>
    </row>
    <row r="39715" spans="31:31">
      <c r="AE39715" s="54"/>
    </row>
    <row r="39716" spans="31:31">
      <c r="AE39716" s="54"/>
    </row>
    <row r="39717" spans="31:31">
      <c r="AE39717" s="54"/>
    </row>
    <row r="39718" spans="31:31">
      <c r="AE39718" s="54"/>
    </row>
    <row r="39719" spans="31:31">
      <c r="AE39719" s="54"/>
    </row>
    <row r="39720" spans="31:31">
      <c r="AE39720" s="54"/>
    </row>
    <row r="39721" spans="31:31">
      <c r="AE39721" s="54"/>
    </row>
    <row r="39722" spans="31:31">
      <c r="AE39722" s="54"/>
    </row>
    <row r="39723" spans="31:31">
      <c r="AE39723" s="54"/>
    </row>
    <row r="39724" spans="31:31">
      <c r="AE39724" s="54"/>
    </row>
    <row r="39725" spans="31:31">
      <c r="AE39725" s="54"/>
    </row>
    <row r="39726" spans="31:31">
      <c r="AE39726" s="54"/>
    </row>
    <row r="39727" spans="31:31">
      <c r="AE39727" s="54"/>
    </row>
    <row r="39728" spans="31:31">
      <c r="AE39728" s="54"/>
    </row>
    <row r="39729" spans="31:31">
      <c r="AE39729" s="54"/>
    </row>
    <row r="39730" spans="31:31">
      <c r="AE39730" s="54"/>
    </row>
    <row r="39731" spans="31:31">
      <c r="AE39731" s="54"/>
    </row>
    <row r="39732" spans="31:31">
      <c r="AE39732" s="54"/>
    </row>
    <row r="39733" spans="31:31">
      <c r="AE39733" s="54"/>
    </row>
    <row r="39734" spans="31:31">
      <c r="AE39734" s="54"/>
    </row>
    <row r="39735" spans="31:31">
      <c r="AE39735" s="54"/>
    </row>
    <row r="39736" spans="31:31">
      <c r="AE39736" s="54"/>
    </row>
    <row r="39737" spans="31:31">
      <c r="AE39737" s="54"/>
    </row>
    <row r="39738" spans="31:31">
      <c r="AE39738" s="54"/>
    </row>
    <row r="39739" spans="31:31">
      <c r="AE39739" s="54"/>
    </row>
    <row r="39740" spans="31:31">
      <c r="AE39740" s="54"/>
    </row>
    <row r="39741" spans="31:31">
      <c r="AE39741" s="54"/>
    </row>
    <row r="39742" spans="31:31">
      <c r="AE39742" s="54"/>
    </row>
    <row r="39743" spans="31:31">
      <c r="AE39743" s="54"/>
    </row>
    <row r="39744" spans="31:31">
      <c r="AE39744" s="54"/>
    </row>
    <row r="39745" spans="31:31">
      <c r="AE39745" s="54"/>
    </row>
    <row r="39746" spans="31:31">
      <c r="AE39746" s="54"/>
    </row>
    <row r="39747" spans="31:31">
      <c r="AE39747" s="54"/>
    </row>
    <row r="39748" spans="31:31">
      <c r="AE39748" s="54"/>
    </row>
    <row r="39749" spans="31:31">
      <c r="AE39749" s="54"/>
    </row>
    <row r="39750" spans="31:31">
      <c r="AE39750" s="54"/>
    </row>
    <row r="39751" spans="31:31">
      <c r="AE39751" s="54"/>
    </row>
    <row r="39752" spans="31:31">
      <c r="AE39752" s="54"/>
    </row>
    <row r="39753" spans="31:31">
      <c r="AE39753" s="54"/>
    </row>
    <row r="39754" spans="31:31">
      <c r="AE39754" s="54"/>
    </row>
    <row r="39755" spans="31:31">
      <c r="AE39755" s="54"/>
    </row>
    <row r="39756" spans="31:31">
      <c r="AE39756" s="54"/>
    </row>
    <row r="39757" spans="31:31">
      <c r="AE39757" s="54"/>
    </row>
    <row r="39758" spans="31:31">
      <c r="AE39758" s="54"/>
    </row>
    <row r="39759" spans="31:31">
      <c r="AE39759" s="54"/>
    </row>
    <row r="39760" spans="31:31">
      <c r="AE39760" s="54"/>
    </row>
    <row r="39761" spans="31:31">
      <c r="AE39761" s="54"/>
    </row>
    <row r="39762" spans="31:31">
      <c r="AE39762" s="54"/>
    </row>
    <row r="39763" spans="31:31">
      <c r="AE39763" s="54"/>
    </row>
    <row r="39764" spans="31:31">
      <c r="AE39764" s="54"/>
    </row>
    <row r="39765" spans="31:31">
      <c r="AE39765" s="54"/>
    </row>
    <row r="39766" spans="31:31">
      <c r="AE39766" s="54"/>
    </row>
    <row r="39767" spans="31:31">
      <c r="AE39767" s="54"/>
    </row>
    <row r="39768" spans="31:31">
      <c r="AE39768" s="54"/>
    </row>
    <row r="39769" spans="31:31">
      <c r="AE39769" s="54"/>
    </row>
    <row r="39770" spans="31:31">
      <c r="AE39770" s="54"/>
    </row>
    <row r="39771" spans="31:31">
      <c r="AE39771" s="54"/>
    </row>
    <row r="39772" spans="31:31">
      <c r="AE39772" s="54"/>
    </row>
    <row r="39773" spans="31:31">
      <c r="AE39773" s="54"/>
    </row>
    <row r="39774" spans="31:31">
      <c r="AE39774" s="54"/>
    </row>
    <row r="39775" spans="31:31">
      <c r="AE39775" s="54"/>
    </row>
    <row r="39776" spans="31:31">
      <c r="AE39776" s="54"/>
    </row>
    <row r="39777" spans="31:31">
      <c r="AE39777" s="54"/>
    </row>
    <row r="39778" spans="31:31">
      <c r="AE39778" s="54"/>
    </row>
    <row r="39779" spans="31:31">
      <c r="AE39779" s="54"/>
    </row>
    <row r="39780" spans="31:31">
      <c r="AE39780" s="54"/>
    </row>
    <row r="39781" spans="31:31">
      <c r="AE39781" s="54"/>
    </row>
    <row r="39782" spans="31:31">
      <c r="AE39782" s="54"/>
    </row>
    <row r="39783" spans="31:31">
      <c r="AE39783" s="54"/>
    </row>
    <row r="39784" spans="31:31">
      <c r="AE39784" s="54"/>
    </row>
    <row r="39785" spans="31:31">
      <c r="AE39785" s="54"/>
    </row>
    <row r="39786" spans="31:31">
      <c r="AE39786" s="54"/>
    </row>
    <row r="39787" spans="31:31">
      <c r="AE39787" s="54"/>
    </row>
    <row r="39788" spans="31:31">
      <c r="AE39788" s="54"/>
    </row>
    <row r="39789" spans="31:31">
      <c r="AE39789" s="54"/>
    </row>
    <row r="39790" spans="31:31">
      <c r="AE39790" s="54"/>
    </row>
    <row r="39791" spans="31:31">
      <c r="AE39791" s="54"/>
    </row>
    <row r="39792" spans="31:31">
      <c r="AE39792" s="54"/>
    </row>
    <row r="39793" spans="31:31">
      <c r="AE39793" s="54"/>
    </row>
    <row r="39794" spans="31:31">
      <c r="AE39794" s="54"/>
    </row>
    <row r="39795" spans="31:31">
      <c r="AE39795" s="54"/>
    </row>
    <row r="39796" spans="31:31">
      <c r="AE39796" s="54"/>
    </row>
    <row r="39797" spans="31:31">
      <c r="AE39797" s="54"/>
    </row>
    <row r="39798" spans="31:31">
      <c r="AE39798" s="54"/>
    </row>
    <row r="39799" spans="31:31">
      <c r="AE39799" s="54"/>
    </row>
    <row r="39800" spans="31:31">
      <c r="AE39800" s="54"/>
    </row>
    <row r="39801" spans="31:31">
      <c r="AE39801" s="54"/>
    </row>
    <row r="39802" spans="31:31">
      <c r="AE39802" s="54"/>
    </row>
    <row r="39803" spans="31:31">
      <c r="AE39803" s="54"/>
    </row>
    <row r="39804" spans="31:31">
      <c r="AE39804" s="54"/>
    </row>
    <row r="39805" spans="31:31">
      <c r="AE39805" s="54"/>
    </row>
    <row r="39806" spans="31:31">
      <c r="AE39806" s="54"/>
    </row>
    <row r="39807" spans="31:31">
      <c r="AE39807" s="54"/>
    </row>
    <row r="39808" spans="31:31">
      <c r="AE39808" s="54"/>
    </row>
    <row r="39809" spans="31:31">
      <c r="AE39809" s="54"/>
    </row>
    <row r="39810" spans="31:31">
      <c r="AE39810" s="54"/>
    </row>
    <row r="39811" spans="31:31">
      <c r="AE39811" s="54"/>
    </row>
    <row r="39812" spans="31:31">
      <c r="AE39812" s="54"/>
    </row>
    <row r="39813" spans="31:31">
      <c r="AE39813" s="54"/>
    </row>
    <row r="39814" spans="31:31">
      <c r="AE39814" s="54"/>
    </row>
    <row r="39815" spans="31:31">
      <c r="AE39815" s="54"/>
    </row>
    <row r="39816" spans="31:31">
      <c r="AE39816" s="54"/>
    </row>
    <row r="39817" spans="31:31">
      <c r="AE39817" s="54"/>
    </row>
    <row r="39818" spans="31:31">
      <c r="AE39818" s="54"/>
    </row>
    <row r="39819" spans="31:31">
      <c r="AE39819" s="54"/>
    </row>
    <row r="39820" spans="31:31">
      <c r="AE39820" s="54"/>
    </row>
    <row r="39821" spans="31:31">
      <c r="AE39821" s="54"/>
    </row>
    <row r="39822" spans="31:31">
      <c r="AE39822" s="54"/>
    </row>
    <row r="39823" spans="31:31">
      <c r="AE39823" s="54"/>
    </row>
    <row r="39824" spans="31:31">
      <c r="AE39824" s="54"/>
    </row>
    <row r="39825" spans="31:31">
      <c r="AE39825" s="54"/>
    </row>
    <row r="39826" spans="31:31">
      <c r="AE39826" s="54"/>
    </row>
    <row r="39827" spans="31:31">
      <c r="AE39827" s="54"/>
    </row>
    <row r="39828" spans="31:31">
      <c r="AE39828" s="54"/>
    </row>
    <row r="39829" spans="31:31">
      <c r="AE39829" s="54"/>
    </row>
    <row r="39830" spans="31:31">
      <c r="AE39830" s="54"/>
    </row>
    <row r="39831" spans="31:31">
      <c r="AE39831" s="54"/>
    </row>
    <row r="39832" spans="31:31">
      <c r="AE39832" s="54"/>
    </row>
    <row r="39833" spans="31:31">
      <c r="AE39833" s="54"/>
    </row>
    <row r="39834" spans="31:31">
      <c r="AE39834" s="54"/>
    </row>
    <row r="39835" spans="31:31">
      <c r="AE39835" s="54"/>
    </row>
    <row r="39836" spans="31:31">
      <c r="AE39836" s="54"/>
    </row>
    <row r="39837" spans="31:31">
      <c r="AE39837" s="54"/>
    </row>
    <row r="39838" spans="31:31">
      <c r="AE39838" s="54"/>
    </row>
    <row r="39839" spans="31:31">
      <c r="AE39839" s="54"/>
    </row>
    <row r="39840" spans="31:31">
      <c r="AE39840" s="54"/>
    </row>
    <row r="39841" spans="31:31">
      <c r="AE39841" s="54"/>
    </row>
    <row r="39842" spans="31:31">
      <c r="AE39842" s="54"/>
    </row>
    <row r="39843" spans="31:31">
      <c r="AE39843" s="54"/>
    </row>
    <row r="39844" spans="31:31">
      <c r="AE39844" s="54"/>
    </row>
    <row r="39845" spans="31:31">
      <c r="AE39845" s="54"/>
    </row>
    <row r="39846" spans="31:31">
      <c r="AE39846" s="54"/>
    </row>
    <row r="39847" spans="31:31">
      <c r="AE39847" s="54"/>
    </row>
    <row r="39848" spans="31:31">
      <c r="AE39848" s="54"/>
    </row>
    <row r="39849" spans="31:31">
      <c r="AE39849" s="54"/>
    </row>
    <row r="39850" spans="31:31">
      <c r="AE39850" s="54"/>
    </row>
    <row r="39851" spans="31:31">
      <c r="AE39851" s="54"/>
    </row>
    <row r="39852" spans="31:31">
      <c r="AE39852" s="54"/>
    </row>
    <row r="39853" spans="31:31">
      <c r="AE39853" s="54"/>
    </row>
    <row r="39854" spans="31:31">
      <c r="AE39854" s="54"/>
    </row>
    <row r="39855" spans="31:31">
      <c r="AE39855" s="54"/>
    </row>
    <row r="39856" spans="31:31">
      <c r="AE39856" s="54"/>
    </row>
    <row r="39857" spans="31:31">
      <c r="AE39857" s="54"/>
    </row>
    <row r="39858" spans="31:31">
      <c r="AE39858" s="54"/>
    </row>
    <row r="39859" spans="31:31">
      <c r="AE39859" s="54"/>
    </row>
    <row r="39860" spans="31:31">
      <c r="AE39860" s="54"/>
    </row>
    <row r="39861" spans="31:31">
      <c r="AE39861" s="54"/>
    </row>
    <row r="39862" spans="31:31">
      <c r="AE39862" s="54"/>
    </row>
    <row r="39863" spans="31:31">
      <c r="AE39863" s="54"/>
    </row>
    <row r="39864" spans="31:31">
      <c r="AE39864" s="54"/>
    </row>
    <row r="39865" spans="31:31">
      <c r="AE39865" s="54"/>
    </row>
    <row r="39866" spans="31:31">
      <c r="AE39866" s="54"/>
    </row>
    <row r="39867" spans="31:31">
      <c r="AE39867" s="54"/>
    </row>
    <row r="39868" spans="31:31">
      <c r="AE39868" s="54"/>
    </row>
    <row r="39869" spans="31:31">
      <c r="AE39869" s="54"/>
    </row>
    <row r="39870" spans="31:31">
      <c r="AE39870" s="54"/>
    </row>
    <row r="39871" spans="31:31">
      <c r="AE39871" s="54"/>
    </row>
    <row r="39872" spans="31:31">
      <c r="AE39872" s="54"/>
    </row>
    <row r="39873" spans="31:31">
      <c r="AE39873" s="54"/>
    </row>
    <row r="39874" spans="31:31">
      <c r="AE39874" s="54"/>
    </row>
    <row r="39875" spans="31:31">
      <c r="AE39875" s="54"/>
    </row>
    <row r="39876" spans="31:31">
      <c r="AE39876" s="54"/>
    </row>
    <row r="39877" spans="31:31">
      <c r="AE39877" s="54"/>
    </row>
    <row r="39878" spans="31:31">
      <c r="AE39878" s="54"/>
    </row>
    <row r="39879" spans="31:31">
      <c r="AE39879" s="54"/>
    </row>
    <row r="39880" spans="31:31">
      <c r="AE39880" s="54"/>
    </row>
    <row r="39881" spans="31:31">
      <c r="AE39881" s="54"/>
    </row>
    <row r="39882" spans="31:31">
      <c r="AE39882" s="54"/>
    </row>
    <row r="39883" spans="31:31">
      <c r="AE39883" s="54"/>
    </row>
    <row r="39884" spans="31:31">
      <c r="AE39884" s="54"/>
    </row>
    <row r="39885" spans="31:31">
      <c r="AE39885" s="54"/>
    </row>
    <row r="39886" spans="31:31">
      <c r="AE39886" s="54"/>
    </row>
    <row r="39887" spans="31:31">
      <c r="AE39887" s="54"/>
    </row>
    <row r="39888" spans="31:31">
      <c r="AE39888" s="54"/>
    </row>
    <row r="39889" spans="31:31">
      <c r="AE39889" s="54"/>
    </row>
    <row r="39890" spans="31:31">
      <c r="AE39890" s="54"/>
    </row>
    <row r="39891" spans="31:31">
      <c r="AE39891" s="54"/>
    </row>
    <row r="39892" spans="31:31">
      <c r="AE39892" s="54"/>
    </row>
    <row r="39893" spans="31:31">
      <c r="AE39893" s="54"/>
    </row>
    <row r="39894" spans="31:31">
      <c r="AE39894" s="54"/>
    </row>
    <row r="39895" spans="31:31">
      <c r="AE39895" s="54"/>
    </row>
    <row r="39896" spans="31:31">
      <c r="AE39896" s="54"/>
    </row>
    <row r="39897" spans="31:31">
      <c r="AE39897" s="54"/>
    </row>
    <row r="39898" spans="31:31">
      <c r="AE39898" s="54"/>
    </row>
    <row r="39899" spans="31:31">
      <c r="AE39899" s="54"/>
    </row>
    <row r="39900" spans="31:31">
      <c r="AE39900" s="54"/>
    </row>
    <row r="39901" spans="31:31">
      <c r="AE39901" s="54"/>
    </row>
    <row r="39902" spans="31:31">
      <c r="AE39902" s="54"/>
    </row>
    <row r="39903" spans="31:31">
      <c r="AE39903" s="54"/>
    </row>
    <row r="39904" spans="31:31">
      <c r="AE39904" s="54"/>
    </row>
    <row r="39905" spans="31:31">
      <c r="AE39905" s="54"/>
    </row>
    <row r="39906" spans="31:31">
      <c r="AE39906" s="54"/>
    </row>
    <row r="39907" spans="31:31">
      <c r="AE39907" s="54"/>
    </row>
    <row r="39908" spans="31:31">
      <c r="AE39908" s="54"/>
    </row>
    <row r="39909" spans="31:31">
      <c r="AE39909" s="54"/>
    </row>
    <row r="39910" spans="31:31">
      <c r="AE39910" s="54"/>
    </row>
    <row r="39911" spans="31:31">
      <c r="AE39911" s="54"/>
    </row>
    <row r="39912" spans="31:31">
      <c r="AE39912" s="54"/>
    </row>
    <row r="39913" spans="31:31">
      <c r="AE39913" s="54"/>
    </row>
    <row r="39914" spans="31:31">
      <c r="AE39914" s="54"/>
    </row>
    <row r="39915" spans="31:31">
      <c r="AE39915" s="54"/>
    </row>
    <row r="39916" spans="31:31">
      <c r="AE39916" s="54"/>
    </row>
    <row r="39917" spans="31:31">
      <c r="AE39917" s="54"/>
    </row>
    <row r="39918" spans="31:31">
      <c r="AE39918" s="54"/>
    </row>
    <row r="39919" spans="31:31">
      <c r="AE39919" s="54"/>
    </row>
    <row r="39920" spans="31:31">
      <c r="AE39920" s="54"/>
    </row>
    <row r="39921" spans="31:31">
      <c r="AE39921" s="54"/>
    </row>
    <row r="39922" spans="31:31">
      <c r="AE39922" s="54"/>
    </row>
    <row r="39923" spans="31:31">
      <c r="AE39923" s="54"/>
    </row>
    <row r="39924" spans="31:31">
      <c r="AE39924" s="54"/>
    </row>
    <row r="39925" spans="31:31">
      <c r="AE39925" s="54"/>
    </row>
    <row r="39926" spans="31:31">
      <c r="AE39926" s="54"/>
    </row>
    <row r="39927" spans="31:31">
      <c r="AE39927" s="54"/>
    </row>
    <row r="39928" spans="31:31">
      <c r="AE39928" s="54"/>
    </row>
    <row r="39929" spans="31:31">
      <c r="AE39929" s="54"/>
    </row>
    <row r="39930" spans="31:31">
      <c r="AE39930" s="54"/>
    </row>
    <row r="39931" spans="31:31">
      <c r="AE39931" s="54"/>
    </row>
    <row r="39932" spans="31:31">
      <c r="AE39932" s="54"/>
    </row>
    <row r="39933" spans="31:31">
      <c r="AE39933" s="54"/>
    </row>
    <row r="39934" spans="31:31">
      <c r="AE39934" s="54"/>
    </row>
    <row r="39935" spans="31:31">
      <c r="AE39935" s="54"/>
    </row>
    <row r="39936" spans="31:31">
      <c r="AE39936" s="54"/>
    </row>
    <row r="39937" spans="31:31">
      <c r="AE39937" s="54"/>
    </row>
    <row r="39938" spans="31:31">
      <c r="AE39938" s="54"/>
    </row>
    <row r="39939" spans="31:31">
      <c r="AE39939" s="54"/>
    </row>
    <row r="39940" spans="31:31">
      <c r="AE39940" s="54"/>
    </row>
    <row r="39941" spans="31:31">
      <c r="AE39941" s="54"/>
    </row>
    <row r="39942" spans="31:31">
      <c r="AE39942" s="54"/>
    </row>
    <row r="39943" spans="31:31">
      <c r="AE39943" s="54"/>
    </row>
    <row r="39944" spans="31:31">
      <c r="AE39944" s="54"/>
    </row>
    <row r="39945" spans="31:31">
      <c r="AE39945" s="54"/>
    </row>
    <row r="39946" spans="31:31">
      <c r="AE39946" s="54"/>
    </row>
    <row r="39947" spans="31:31">
      <c r="AE39947" s="54"/>
    </row>
    <row r="39948" spans="31:31">
      <c r="AE39948" s="54"/>
    </row>
    <row r="39949" spans="31:31">
      <c r="AE39949" s="54"/>
    </row>
    <row r="39950" spans="31:31">
      <c r="AE39950" s="54"/>
    </row>
    <row r="39951" spans="31:31">
      <c r="AE39951" s="54"/>
    </row>
    <row r="39952" spans="31:31">
      <c r="AE39952" s="54"/>
    </row>
    <row r="39953" spans="31:31">
      <c r="AE39953" s="54"/>
    </row>
    <row r="39954" spans="31:31">
      <c r="AE39954" s="54"/>
    </row>
    <row r="39955" spans="31:31">
      <c r="AE39955" s="54"/>
    </row>
    <row r="39956" spans="31:31">
      <c r="AE39956" s="54"/>
    </row>
    <row r="39957" spans="31:31">
      <c r="AE39957" s="54"/>
    </row>
    <row r="39958" spans="31:31">
      <c r="AE39958" s="54"/>
    </row>
    <row r="39959" spans="31:31">
      <c r="AE39959" s="54"/>
    </row>
    <row r="39960" spans="31:31">
      <c r="AE39960" s="54"/>
    </row>
    <row r="39961" spans="31:31">
      <c r="AE39961" s="54"/>
    </row>
    <row r="39962" spans="31:31">
      <c r="AE39962" s="54"/>
    </row>
    <row r="39963" spans="31:31">
      <c r="AE39963" s="54"/>
    </row>
    <row r="39964" spans="31:31">
      <c r="AE39964" s="54"/>
    </row>
    <row r="39965" spans="31:31">
      <c r="AE39965" s="54"/>
    </row>
    <row r="39966" spans="31:31">
      <c r="AE39966" s="54"/>
    </row>
    <row r="39967" spans="31:31">
      <c r="AE39967" s="54"/>
    </row>
    <row r="39968" spans="31:31">
      <c r="AE39968" s="54"/>
    </row>
    <row r="39969" spans="31:31">
      <c r="AE39969" s="54"/>
    </row>
    <row r="39970" spans="31:31">
      <c r="AE39970" s="54"/>
    </row>
    <row r="39971" spans="31:31">
      <c r="AE39971" s="54"/>
    </row>
    <row r="39972" spans="31:31">
      <c r="AE39972" s="54"/>
    </row>
    <row r="39973" spans="31:31">
      <c r="AE39973" s="54"/>
    </row>
    <row r="39974" spans="31:31">
      <c r="AE39974" s="54"/>
    </row>
    <row r="39975" spans="31:31">
      <c r="AE39975" s="54"/>
    </row>
    <row r="39976" spans="31:31">
      <c r="AE39976" s="54"/>
    </row>
    <row r="39977" spans="31:31">
      <c r="AE39977" s="54"/>
    </row>
    <row r="39978" spans="31:31">
      <c r="AE39978" s="54"/>
    </row>
    <row r="39979" spans="31:31">
      <c r="AE39979" s="54"/>
    </row>
    <row r="39980" spans="31:31">
      <c r="AE39980" s="54"/>
    </row>
    <row r="39981" spans="31:31">
      <c r="AE39981" s="54"/>
    </row>
    <row r="39982" spans="31:31">
      <c r="AE39982" s="54"/>
    </row>
    <row r="39983" spans="31:31">
      <c r="AE39983" s="54"/>
    </row>
    <row r="39984" spans="31:31">
      <c r="AE39984" s="54"/>
    </row>
    <row r="39985" spans="31:31">
      <c r="AE39985" s="54"/>
    </row>
    <row r="39986" spans="31:31">
      <c r="AE39986" s="54"/>
    </row>
    <row r="39987" spans="31:31">
      <c r="AE39987" s="54"/>
    </row>
    <row r="39988" spans="31:31">
      <c r="AE39988" s="54"/>
    </row>
    <row r="39989" spans="31:31">
      <c r="AE39989" s="54"/>
    </row>
    <row r="39990" spans="31:31">
      <c r="AE39990" s="54"/>
    </row>
    <row r="39991" spans="31:31">
      <c r="AE39991" s="54"/>
    </row>
    <row r="39992" spans="31:31">
      <c r="AE39992" s="54"/>
    </row>
    <row r="39993" spans="31:31">
      <c r="AE39993" s="54"/>
    </row>
    <row r="39994" spans="31:31">
      <c r="AE39994" s="54"/>
    </row>
    <row r="39995" spans="31:31">
      <c r="AE39995" s="54"/>
    </row>
    <row r="39996" spans="31:31">
      <c r="AE39996" s="54"/>
    </row>
    <row r="39997" spans="31:31">
      <c r="AE39997" s="54"/>
    </row>
    <row r="39998" spans="31:31">
      <c r="AE39998" s="54"/>
    </row>
    <row r="39999" spans="31:31">
      <c r="AE39999" s="54"/>
    </row>
    <row r="40000" spans="31:31">
      <c r="AE40000" s="54"/>
    </row>
    <row r="40001" spans="31:31">
      <c r="AE40001" s="54"/>
    </row>
    <row r="40002" spans="31:31">
      <c r="AE40002" s="54"/>
    </row>
    <row r="40003" spans="31:31">
      <c r="AE40003" s="54"/>
    </row>
    <row r="40004" spans="31:31">
      <c r="AE40004" s="54"/>
    </row>
    <row r="40005" spans="31:31">
      <c r="AE40005" s="54"/>
    </row>
    <row r="40006" spans="31:31">
      <c r="AE40006" s="54"/>
    </row>
    <row r="40007" spans="31:31">
      <c r="AE40007" s="54"/>
    </row>
    <row r="40008" spans="31:31">
      <c r="AE40008" s="54"/>
    </row>
    <row r="40009" spans="31:31">
      <c r="AE40009" s="54"/>
    </row>
    <row r="40010" spans="31:31">
      <c r="AE40010" s="54"/>
    </row>
    <row r="40011" spans="31:31">
      <c r="AE40011" s="54"/>
    </row>
    <row r="40012" spans="31:31">
      <c r="AE40012" s="54"/>
    </row>
    <row r="40013" spans="31:31">
      <c r="AE40013" s="54"/>
    </row>
    <row r="40014" spans="31:31">
      <c r="AE40014" s="54"/>
    </row>
    <row r="40015" spans="31:31">
      <c r="AE40015" s="54"/>
    </row>
    <row r="40016" spans="31:31">
      <c r="AE40016" s="54"/>
    </row>
    <row r="40017" spans="31:31">
      <c r="AE40017" s="54"/>
    </row>
    <row r="40018" spans="31:31">
      <c r="AE40018" s="54"/>
    </row>
    <row r="40019" spans="31:31">
      <c r="AE40019" s="54"/>
    </row>
    <row r="40020" spans="31:31">
      <c r="AE40020" s="54"/>
    </row>
    <row r="40021" spans="31:31">
      <c r="AE40021" s="54"/>
    </row>
    <row r="40022" spans="31:31">
      <c r="AE40022" s="54"/>
    </row>
    <row r="40023" spans="31:31">
      <c r="AE40023" s="54"/>
    </row>
    <row r="40024" spans="31:31">
      <c r="AE40024" s="54"/>
    </row>
    <row r="40025" spans="31:31">
      <c r="AE40025" s="54"/>
    </row>
    <row r="40026" spans="31:31">
      <c r="AE40026" s="54"/>
    </row>
    <row r="40027" spans="31:31">
      <c r="AE40027" s="54"/>
    </row>
    <row r="40028" spans="31:31">
      <c r="AE40028" s="54"/>
    </row>
    <row r="40029" spans="31:31">
      <c r="AE40029" s="54"/>
    </row>
    <row r="40030" spans="31:31">
      <c r="AE40030" s="54"/>
    </row>
    <row r="40031" spans="31:31">
      <c r="AE40031" s="54"/>
    </row>
    <row r="40032" spans="31:31">
      <c r="AE40032" s="54"/>
    </row>
    <row r="40033" spans="31:31">
      <c r="AE40033" s="54"/>
    </row>
    <row r="40034" spans="31:31">
      <c r="AE40034" s="54"/>
    </row>
    <row r="40035" spans="31:31">
      <c r="AE40035" s="54"/>
    </row>
    <row r="40036" spans="31:31">
      <c r="AE40036" s="54"/>
    </row>
    <row r="40037" spans="31:31">
      <c r="AE40037" s="54"/>
    </row>
    <row r="40038" spans="31:31">
      <c r="AE40038" s="54"/>
    </row>
    <row r="40039" spans="31:31">
      <c r="AE40039" s="54"/>
    </row>
    <row r="40040" spans="31:31">
      <c r="AE40040" s="54"/>
    </row>
    <row r="40041" spans="31:31">
      <c r="AE40041" s="54"/>
    </row>
    <row r="40042" spans="31:31">
      <c r="AE40042" s="54"/>
    </row>
    <row r="40043" spans="31:31">
      <c r="AE40043" s="54"/>
    </row>
    <row r="40044" spans="31:31">
      <c r="AE40044" s="54"/>
    </row>
    <row r="40045" spans="31:31">
      <c r="AE40045" s="54"/>
    </row>
    <row r="40046" spans="31:31">
      <c r="AE40046" s="54"/>
    </row>
    <row r="40047" spans="31:31">
      <c r="AE40047" s="54"/>
    </row>
    <row r="40048" spans="31:31">
      <c r="AE40048" s="54"/>
    </row>
    <row r="40049" spans="31:31">
      <c r="AE40049" s="54"/>
    </row>
    <row r="40050" spans="31:31">
      <c r="AE40050" s="54"/>
    </row>
    <row r="40051" spans="31:31">
      <c r="AE40051" s="54"/>
    </row>
    <row r="40052" spans="31:31">
      <c r="AE40052" s="54"/>
    </row>
    <row r="40053" spans="31:31">
      <c r="AE40053" s="54"/>
    </row>
    <row r="40054" spans="31:31">
      <c r="AE40054" s="54"/>
    </row>
    <row r="40055" spans="31:31">
      <c r="AE40055" s="54"/>
    </row>
    <row r="40056" spans="31:31">
      <c r="AE40056" s="54"/>
    </row>
    <row r="40057" spans="31:31">
      <c r="AE40057" s="54"/>
    </row>
    <row r="40058" spans="31:31">
      <c r="AE40058" s="54"/>
    </row>
    <row r="40059" spans="31:31">
      <c r="AE40059" s="54"/>
    </row>
    <row r="40060" spans="31:31">
      <c r="AE40060" s="54"/>
    </row>
    <row r="40061" spans="31:31">
      <c r="AE40061" s="54"/>
    </row>
    <row r="40062" spans="31:31">
      <c r="AE40062" s="54"/>
    </row>
    <row r="40063" spans="31:31">
      <c r="AE40063" s="54"/>
    </row>
    <row r="40064" spans="31:31">
      <c r="AE40064" s="54"/>
    </row>
    <row r="40065" spans="31:31">
      <c r="AE40065" s="54"/>
    </row>
    <row r="40066" spans="31:31">
      <c r="AE40066" s="54"/>
    </row>
    <row r="40067" spans="31:31">
      <c r="AE40067" s="54"/>
    </row>
    <row r="40068" spans="31:31">
      <c r="AE40068" s="54"/>
    </row>
    <row r="40069" spans="31:31">
      <c r="AE40069" s="54"/>
    </row>
    <row r="40070" spans="31:31">
      <c r="AE40070" s="54"/>
    </row>
    <row r="40071" spans="31:31">
      <c r="AE40071" s="54"/>
    </row>
    <row r="40072" spans="31:31">
      <c r="AE40072" s="54"/>
    </row>
    <row r="40073" spans="31:31">
      <c r="AE40073" s="54"/>
    </row>
    <row r="40074" spans="31:31">
      <c r="AE40074" s="54"/>
    </row>
    <row r="40075" spans="31:31">
      <c r="AE40075" s="54"/>
    </row>
    <row r="40076" spans="31:31">
      <c r="AE40076" s="54"/>
    </row>
    <row r="40077" spans="31:31">
      <c r="AE40077" s="54"/>
    </row>
    <row r="40078" spans="31:31">
      <c r="AE40078" s="54"/>
    </row>
    <row r="40079" spans="31:31">
      <c r="AE40079" s="54"/>
    </row>
    <row r="40080" spans="31:31">
      <c r="AE40080" s="54"/>
    </row>
    <row r="40081" spans="31:31">
      <c r="AE40081" s="54"/>
    </row>
    <row r="40082" spans="31:31">
      <c r="AE40082" s="54"/>
    </row>
    <row r="40083" spans="31:31">
      <c r="AE40083" s="54"/>
    </row>
    <row r="40084" spans="31:31">
      <c r="AE40084" s="54"/>
    </row>
    <row r="40085" spans="31:31">
      <c r="AE40085" s="54"/>
    </row>
    <row r="40086" spans="31:31">
      <c r="AE40086" s="54"/>
    </row>
    <row r="40087" spans="31:31">
      <c r="AE40087" s="54"/>
    </row>
    <row r="40088" spans="31:31">
      <c r="AE40088" s="54"/>
    </row>
    <row r="40089" spans="31:31">
      <c r="AE40089" s="54"/>
    </row>
    <row r="40090" spans="31:31">
      <c r="AE40090" s="54"/>
    </row>
    <row r="40091" spans="31:31">
      <c r="AE40091" s="54"/>
    </row>
    <row r="40092" spans="31:31">
      <c r="AE40092" s="54"/>
    </row>
    <row r="40093" spans="31:31">
      <c r="AE40093" s="54"/>
    </row>
    <row r="40094" spans="31:31">
      <c r="AE40094" s="54"/>
    </row>
    <row r="40095" spans="31:31">
      <c r="AE40095" s="54"/>
    </row>
    <row r="40096" spans="31:31">
      <c r="AE40096" s="54"/>
    </row>
    <row r="40097" spans="31:31">
      <c r="AE40097" s="54"/>
    </row>
    <row r="40098" spans="31:31">
      <c r="AE40098" s="54"/>
    </row>
    <row r="40099" spans="31:31">
      <c r="AE40099" s="54"/>
    </row>
    <row r="40100" spans="31:31">
      <c r="AE40100" s="54"/>
    </row>
    <row r="40101" spans="31:31">
      <c r="AE40101" s="54"/>
    </row>
    <row r="40102" spans="31:31">
      <c r="AE40102" s="54"/>
    </row>
    <row r="40103" spans="31:31">
      <c r="AE40103" s="54"/>
    </row>
    <row r="40104" spans="31:31">
      <c r="AE40104" s="54"/>
    </row>
    <row r="40105" spans="31:31">
      <c r="AE40105" s="54"/>
    </row>
    <row r="40106" spans="31:31">
      <c r="AE40106" s="54"/>
    </row>
    <row r="40107" spans="31:31">
      <c r="AE40107" s="54"/>
    </row>
    <row r="40108" spans="31:31">
      <c r="AE40108" s="54"/>
    </row>
    <row r="40109" spans="31:31">
      <c r="AE40109" s="54"/>
    </row>
    <row r="40110" spans="31:31">
      <c r="AE40110" s="54"/>
    </row>
    <row r="40111" spans="31:31">
      <c r="AE40111" s="54"/>
    </row>
    <row r="40112" spans="31:31">
      <c r="AE40112" s="54"/>
    </row>
    <row r="40113" spans="31:31">
      <c r="AE40113" s="54"/>
    </row>
    <row r="40114" spans="31:31">
      <c r="AE40114" s="54"/>
    </row>
    <row r="40115" spans="31:31">
      <c r="AE40115" s="54"/>
    </row>
    <row r="40116" spans="31:31">
      <c r="AE40116" s="54"/>
    </row>
    <row r="40117" spans="31:31">
      <c r="AE40117" s="54"/>
    </row>
    <row r="40118" spans="31:31">
      <c r="AE40118" s="54"/>
    </row>
    <row r="40119" spans="31:31">
      <c r="AE40119" s="54"/>
    </row>
    <row r="40120" spans="31:31">
      <c r="AE40120" s="54"/>
    </row>
    <row r="40121" spans="31:31">
      <c r="AE40121" s="54"/>
    </row>
    <row r="40122" spans="31:31">
      <c r="AE40122" s="54"/>
    </row>
    <row r="40123" spans="31:31">
      <c r="AE40123" s="54"/>
    </row>
    <row r="40124" spans="31:31">
      <c r="AE40124" s="54"/>
    </row>
    <row r="40125" spans="31:31">
      <c r="AE40125" s="54"/>
    </row>
    <row r="40126" spans="31:31">
      <c r="AE40126" s="54"/>
    </row>
    <row r="40127" spans="31:31">
      <c r="AE40127" s="54"/>
    </row>
    <row r="40128" spans="31:31">
      <c r="AE40128" s="54"/>
    </row>
    <row r="40129" spans="31:31">
      <c r="AE40129" s="54"/>
    </row>
    <row r="40130" spans="31:31">
      <c r="AE40130" s="54"/>
    </row>
    <row r="40131" spans="31:31">
      <c r="AE40131" s="54"/>
    </row>
    <row r="40132" spans="31:31">
      <c r="AE40132" s="54"/>
    </row>
    <row r="40133" spans="31:31">
      <c r="AE40133" s="54"/>
    </row>
    <row r="40134" spans="31:31">
      <c r="AE40134" s="54"/>
    </row>
    <row r="40135" spans="31:31">
      <c r="AE40135" s="54"/>
    </row>
    <row r="40136" spans="31:31">
      <c r="AE40136" s="54"/>
    </row>
    <row r="40137" spans="31:31">
      <c r="AE40137" s="54"/>
    </row>
    <row r="40138" spans="31:31">
      <c r="AE40138" s="54"/>
    </row>
    <row r="40139" spans="31:31">
      <c r="AE40139" s="54"/>
    </row>
    <row r="40140" spans="31:31">
      <c r="AE40140" s="54"/>
    </row>
    <row r="40141" spans="31:31">
      <c r="AE40141" s="54"/>
    </row>
    <row r="40142" spans="31:31">
      <c r="AE40142" s="54"/>
    </row>
    <row r="40143" spans="31:31">
      <c r="AE40143" s="54"/>
    </row>
    <row r="40144" spans="31:31">
      <c r="AE40144" s="54"/>
    </row>
    <row r="40145" spans="31:31">
      <c r="AE40145" s="54"/>
    </row>
    <row r="40146" spans="31:31">
      <c r="AE40146" s="54"/>
    </row>
    <row r="40147" spans="31:31">
      <c r="AE40147" s="54"/>
    </row>
    <row r="40148" spans="31:31">
      <c r="AE40148" s="54"/>
    </row>
    <row r="40149" spans="31:31">
      <c r="AE40149" s="54"/>
    </row>
    <row r="40150" spans="31:31">
      <c r="AE40150" s="54"/>
    </row>
    <row r="40151" spans="31:31">
      <c r="AE40151" s="54"/>
    </row>
    <row r="40152" spans="31:31">
      <c r="AE40152" s="54"/>
    </row>
    <row r="40153" spans="31:31">
      <c r="AE40153" s="54"/>
    </row>
    <row r="40154" spans="31:31">
      <c r="AE40154" s="54"/>
    </row>
    <row r="40155" spans="31:31">
      <c r="AE40155" s="54"/>
    </row>
    <row r="40156" spans="31:31">
      <c r="AE40156" s="54"/>
    </row>
    <row r="40157" spans="31:31">
      <c r="AE40157" s="54"/>
    </row>
    <row r="40158" spans="31:31">
      <c r="AE40158" s="54"/>
    </row>
    <row r="40159" spans="31:31">
      <c r="AE40159" s="54"/>
    </row>
    <row r="40160" spans="31:31">
      <c r="AE40160" s="54"/>
    </row>
    <row r="40161" spans="31:31">
      <c r="AE40161" s="54"/>
    </row>
    <row r="40162" spans="31:31">
      <c r="AE40162" s="54"/>
    </row>
    <row r="40163" spans="31:31">
      <c r="AE40163" s="54"/>
    </row>
    <row r="40164" spans="31:31">
      <c r="AE40164" s="54"/>
    </row>
    <row r="40165" spans="31:31">
      <c r="AE40165" s="54"/>
    </row>
    <row r="40166" spans="31:31">
      <c r="AE40166" s="54"/>
    </row>
    <row r="40167" spans="31:31">
      <c r="AE40167" s="54"/>
    </row>
    <row r="40168" spans="31:31">
      <c r="AE40168" s="54"/>
    </row>
    <row r="40169" spans="31:31">
      <c r="AE40169" s="54"/>
    </row>
    <row r="40170" spans="31:31">
      <c r="AE40170" s="54"/>
    </row>
    <row r="40171" spans="31:31">
      <c r="AE40171" s="54"/>
    </row>
    <row r="40172" spans="31:31">
      <c r="AE40172" s="54"/>
    </row>
    <row r="40173" spans="31:31">
      <c r="AE40173" s="54"/>
    </row>
    <row r="40174" spans="31:31">
      <c r="AE40174" s="54"/>
    </row>
    <row r="40175" spans="31:31">
      <c r="AE40175" s="54"/>
    </row>
    <row r="40176" spans="31:31">
      <c r="AE40176" s="54"/>
    </row>
    <row r="40177" spans="31:31">
      <c r="AE40177" s="54"/>
    </row>
    <row r="40178" spans="31:31">
      <c r="AE40178" s="54"/>
    </row>
    <row r="40179" spans="31:31">
      <c r="AE40179" s="54"/>
    </row>
    <row r="40180" spans="31:31">
      <c r="AE40180" s="54"/>
    </row>
    <row r="40181" spans="31:31">
      <c r="AE40181" s="54"/>
    </row>
    <row r="40182" spans="31:31">
      <c r="AE40182" s="54"/>
    </row>
    <row r="40183" spans="31:31">
      <c r="AE40183" s="54"/>
    </row>
    <row r="40184" spans="31:31">
      <c r="AE40184" s="54"/>
    </row>
    <row r="40185" spans="31:31">
      <c r="AE40185" s="54"/>
    </row>
    <row r="40186" spans="31:31">
      <c r="AE40186" s="54"/>
    </row>
    <row r="40187" spans="31:31">
      <c r="AE40187" s="54"/>
    </row>
    <row r="40188" spans="31:31">
      <c r="AE40188" s="54"/>
    </row>
    <row r="40189" spans="31:31">
      <c r="AE40189" s="54"/>
    </row>
    <row r="40190" spans="31:31">
      <c r="AE40190" s="54"/>
    </row>
    <row r="40191" spans="31:31">
      <c r="AE40191" s="54"/>
    </row>
    <row r="40192" spans="31:31">
      <c r="AE40192" s="54"/>
    </row>
    <row r="40193" spans="31:31">
      <c r="AE40193" s="54"/>
    </row>
    <row r="40194" spans="31:31">
      <c r="AE40194" s="54"/>
    </row>
    <row r="40195" spans="31:31">
      <c r="AE40195" s="54"/>
    </row>
    <row r="40196" spans="31:31">
      <c r="AE40196" s="54"/>
    </row>
    <row r="40197" spans="31:31">
      <c r="AE40197" s="54"/>
    </row>
    <row r="40198" spans="31:31">
      <c r="AE40198" s="54"/>
    </row>
    <row r="40199" spans="31:31">
      <c r="AE40199" s="54"/>
    </row>
    <row r="40200" spans="31:31">
      <c r="AE40200" s="54"/>
    </row>
    <row r="40201" spans="31:31">
      <c r="AE40201" s="54"/>
    </row>
    <row r="40202" spans="31:31">
      <c r="AE40202" s="54"/>
    </row>
    <row r="40203" spans="31:31">
      <c r="AE40203" s="54"/>
    </row>
    <row r="40204" spans="31:31">
      <c r="AE40204" s="54"/>
    </row>
    <row r="40205" spans="31:31">
      <c r="AE40205" s="54"/>
    </row>
    <row r="40206" spans="31:31">
      <c r="AE40206" s="54"/>
    </row>
    <row r="40207" spans="31:31">
      <c r="AE40207" s="54"/>
    </row>
    <row r="40208" spans="31:31">
      <c r="AE40208" s="54"/>
    </row>
    <row r="40209" spans="31:31">
      <c r="AE40209" s="54"/>
    </row>
    <row r="40210" spans="31:31">
      <c r="AE40210" s="54"/>
    </row>
    <row r="40211" spans="31:31">
      <c r="AE40211" s="54"/>
    </row>
    <row r="40212" spans="31:31">
      <c r="AE40212" s="54"/>
    </row>
    <row r="40213" spans="31:31">
      <c r="AE40213" s="54"/>
    </row>
    <row r="40214" spans="31:31">
      <c r="AE40214" s="54"/>
    </row>
    <row r="40215" spans="31:31">
      <c r="AE40215" s="54"/>
    </row>
    <row r="40216" spans="31:31">
      <c r="AE40216" s="54"/>
    </row>
    <row r="40217" spans="31:31">
      <c r="AE40217" s="54"/>
    </row>
    <row r="40218" spans="31:31">
      <c r="AE40218" s="54"/>
    </row>
    <row r="40219" spans="31:31">
      <c r="AE40219" s="54"/>
    </row>
    <row r="40220" spans="31:31">
      <c r="AE40220" s="54"/>
    </row>
    <row r="40221" spans="31:31">
      <c r="AE40221" s="54"/>
    </row>
    <row r="40222" spans="31:31">
      <c r="AE40222" s="54"/>
    </row>
    <row r="40223" spans="31:31">
      <c r="AE40223" s="54"/>
    </row>
    <row r="40224" spans="31:31">
      <c r="AE40224" s="54"/>
    </row>
    <row r="40225" spans="31:31">
      <c r="AE40225" s="54"/>
    </row>
    <row r="40226" spans="31:31">
      <c r="AE40226" s="54"/>
    </row>
    <row r="40227" spans="31:31">
      <c r="AE40227" s="54"/>
    </row>
    <row r="40228" spans="31:31">
      <c r="AE40228" s="54"/>
    </row>
    <row r="40229" spans="31:31">
      <c r="AE40229" s="54"/>
    </row>
    <row r="40230" spans="31:31">
      <c r="AE40230" s="54"/>
    </row>
    <row r="40231" spans="31:31">
      <c r="AE40231" s="54"/>
    </row>
    <row r="40232" spans="31:31">
      <c r="AE40232" s="54"/>
    </row>
    <row r="40233" spans="31:31">
      <c r="AE40233" s="54"/>
    </row>
    <row r="40234" spans="31:31">
      <c r="AE40234" s="54"/>
    </row>
    <row r="40235" spans="31:31">
      <c r="AE40235" s="54"/>
    </row>
    <row r="40236" spans="31:31">
      <c r="AE40236" s="54"/>
    </row>
    <row r="40237" spans="31:31">
      <c r="AE40237" s="54"/>
    </row>
    <row r="40238" spans="31:31">
      <c r="AE40238" s="54"/>
    </row>
    <row r="40239" spans="31:31">
      <c r="AE40239" s="54"/>
    </row>
    <row r="40240" spans="31:31">
      <c r="AE40240" s="54"/>
    </row>
    <row r="40241" spans="31:31">
      <c r="AE40241" s="54"/>
    </row>
    <row r="40242" spans="31:31">
      <c r="AE40242" s="54"/>
    </row>
    <row r="40243" spans="31:31">
      <c r="AE40243" s="54"/>
    </row>
    <row r="40244" spans="31:31">
      <c r="AE40244" s="54"/>
    </row>
    <row r="40245" spans="31:31">
      <c r="AE40245" s="54"/>
    </row>
    <row r="40246" spans="31:31">
      <c r="AE40246" s="54"/>
    </row>
    <row r="40247" spans="31:31">
      <c r="AE40247" s="54"/>
    </row>
    <row r="40248" spans="31:31">
      <c r="AE40248" s="54"/>
    </row>
    <row r="40249" spans="31:31">
      <c r="AE40249" s="54"/>
    </row>
    <row r="40250" spans="31:31">
      <c r="AE40250" s="54"/>
    </row>
    <row r="40251" spans="31:31">
      <c r="AE40251" s="54"/>
    </row>
    <row r="40252" spans="31:31">
      <c r="AE40252" s="54"/>
    </row>
    <row r="40253" spans="31:31">
      <c r="AE40253" s="54"/>
    </row>
    <row r="40254" spans="31:31">
      <c r="AE40254" s="54"/>
    </row>
    <row r="40255" spans="31:31">
      <c r="AE40255" s="54"/>
    </row>
    <row r="40256" spans="31:31">
      <c r="AE40256" s="54"/>
    </row>
    <row r="40257" spans="31:31">
      <c r="AE40257" s="54"/>
    </row>
    <row r="40258" spans="31:31">
      <c r="AE40258" s="54"/>
    </row>
    <row r="40259" spans="31:31">
      <c r="AE40259" s="54"/>
    </row>
    <row r="40260" spans="31:31">
      <c r="AE40260" s="54"/>
    </row>
    <row r="40261" spans="31:31">
      <c r="AE40261" s="54"/>
    </row>
    <row r="40262" spans="31:31">
      <c r="AE40262" s="54"/>
    </row>
    <row r="40263" spans="31:31">
      <c r="AE40263" s="54"/>
    </row>
    <row r="40264" spans="31:31">
      <c r="AE40264" s="54"/>
    </row>
    <row r="40265" spans="31:31">
      <c r="AE40265" s="54"/>
    </row>
    <row r="40266" spans="31:31">
      <c r="AE40266" s="54"/>
    </row>
    <row r="40267" spans="31:31">
      <c r="AE40267" s="54"/>
    </row>
    <row r="40268" spans="31:31">
      <c r="AE40268" s="54"/>
    </row>
    <row r="40269" spans="31:31">
      <c r="AE40269" s="54"/>
    </row>
    <row r="40270" spans="31:31">
      <c r="AE40270" s="54"/>
    </row>
    <row r="40271" spans="31:31">
      <c r="AE40271" s="54"/>
    </row>
    <row r="40272" spans="31:31">
      <c r="AE40272" s="54"/>
    </row>
    <row r="40273" spans="31:31">
      <c r="AE40273" s="54"/>
    </row>
    <row r="40274" spans="31:31">
      <c r="AE40274" s="54"/>
    </row>
    <row r="40275" spans="31:31">
      <c r="AE40275" s="54"/>
    </row>
    <row r="40276" spans="31:31">
      <c r="AE40276" s="54"/>
    </row>
    <row r="40277" spans="31:31">
      <c r="AE40277" s="54"/>
    </row>
    <row r="40278" spans="31:31">
      <c r="AE40278" s="54"/>
    </row>
    <row r="40279" spans="31:31">
      <c r="AE40279" s="54"/>
    </row>
    <row r="40280" spans="31:31">
      <c r="AE40280" s="54"/>
    </row>
    <row r="40281" spans="31:31">
      <c r="AE40281" s="54"/>
    </row>
    <row r="40282" spans="31:31">
      <c r="AE40282" s="54"/>
    </row>
    <row r="40283" spans="31:31">
      <c r="AE40283" s="54"/>
    </row>
    <row r="40284" spans="31:31">
      <c r="AE40284" s="54"/>
    </row>
    <row r="40285" spans="31:31">
      <c r="AE40285" s="54"/>
    </row>
    <row r="40286" spans="31:31">
      <c r="AE40286" s="54"/>
    </row>
    <row r="40287" spans="31:31">
      <c r="AE40287" s="54"/>
    </row>
    <row r="40288" spans="31:31">
      <c r="AE40288" s="54"/>
    </row>
    <row r="40289" spans="31:31">
      <c r="AE40289" s="54"/>
    </row>
    <row r="40290" spans="31:31">
      <c r="AE40290" s="54"/>
    </row>
    <row r="40291" spans="31:31">
      <c r="AE40291" s="54"/>
    </row>
    <row r="40292" spans="31:31">
      <c r="AE40292" s="54"/>
    </row>
    <row r="40293" spans="31:31">
      <c r="AE40293" s="54"/>
    </row>
    <row r="40294" spans="31:31">
      <c r="AE40294" s="54"/>
    </row>
    <row r="40295" spans="31:31">
      <c r="AE40295" s="54"/>
    </row>
    <row r="40296" spans="31:31">
      <c r="AE40296" s="54"/>
    </row>
    <row r="40297" spans="31:31">
      <c r="AE40297" s="54"/>
    </row>
    <row r="40298" spans="31:31">
      <c r="AE40298" s="54"/>
    </row>
    <row r="40299" spans="31:31">
      <c r="AE40299" s="54"/>
    </row>
    <row r="40300" spans="31:31">
      <c r="AE40300" s="54"/>
    </row>
    <row r="40301" spans="31:31">
      <c r="AE40301" s="54"/>
    </row>
    <row r="40302" spans="31:31">
      <c r="AE40302" s="54"/>
    </row>
    <row r="40303" spans="31:31">
      <c r="AE40303" s="54"/>
    </row>
    <row r="40304" spans="31:31">
      <c r="AE40304" s="54"/>
    </row>
    <row r="40305" spans="31:31">
      <c r="AE40305" s="54"/>
    </row>
    <row r="40306" spans="31:31">
      <c r="AE40306" s="54"/>
    </row>
    <row r="40307" spans="31:31">
      <c r="AE40307" s="54"/>
    </row>
    <row r="40308" spans="31:31">
      <c r="AE40308" s="54"/>
    </row>
    <row r="40309" spans="31:31">
      <c r="AE40309" s="54"/>
    </row>
    <row r="40310" spans="31:31">
      <c r="AE40310" s="54"/>
    </row>
    <row r="40311" spans="31:31">
      <c r="AE40311" s="54"/>
    </row>
    <row r="40312" spans="31:31">
      <c r="AE40312" s="54"/>
    </row>
    <row r="40313" spans="31:31">
      <c r="AE40313" s="54"/>
    </row>
    <row r="40314" spans="31:31">
      <c r="AE40314" s="54"/>
    </row>
    <row r="40315" spans="31:31">
      <c r="AE40315" s="54"/>
    </row>
    <row r="40316" spans="31:31">
      <c r="AE40316" s="54"/>
    </row>
    <row r="40317" spans="31:31">
      <c r="AE40317" s="54"/>
    </row>
    <row r="40318" spans="31:31">
      <c r="AE40318" s="54"/>
    </row>
    <row r="40319" spans="31:31">
      <c r="AE40319" s="54"/>
    </row>
    <row r="40320" spans="31:31">
      <c r="AE40320" s="54"/>
    </row>
    <row r="40321" spans="31:31">
      <c r="AE40321" s="54"/>
    </row>
    <row r="40322" spans="31:31">
      <c r="AE40322" s="54"/>
    </row>
    <row r="40323" spans="31:31">
      <c r="AE40323" s="54"/>
    </row>
    <row r="40324" spans="31:31">
      <c r="AE40324" s="54"/>
    </row>
    <row r="40325" spans="31:31">
      <c r="AE40325" s="54"/>
    </row>
    <row r="40326" spans="31:31">
      <c r="AE40326" s="54"/>
    </row>
    <row r="40327" spans="31:31">
      <c r="AE40327" s="54"/>
    </row>
    <row r="40328" spans="31:31">
      <c r="AE40328" s="54"/>
    </row>
    <row r="40329" spans="31:31">
      <c r="AE40329" s="54"/>
    </row>
    <row r="40330" spans="31:31">
      <c r="AE40330" s="54"/>
    </row>
    <row r="40331" spans="31:31">
      <c r="AE40331" s="54"/>
    </row>
    <row r="40332" spans="31:31">
      <c r="AE40332" s="54"/>
    </row>
    <row r="40333" spans="31:31">
      <c r="AE40333" s="54"/>
    </row>
    <row r="40334" spans="31:31">
      <c r="AE40334" s="54"/>
    </row>
    <row r="40335" spans="31:31">
      <c r="AE40335" s="54"/>
    </row>
    <row r="40336" spans="31:31">
      <c r="AE40336" s="54"/>
    </row>
    <row r="40337" spans="31:31">
      <c r="AE40337" s="54"/>
    </row>
    <row r="40338" spans="31:31">
      <c r="AE40338" s="54"/>
    </row>
    <row r="40339" spans="31:31">
      <c r="AE40339" s="54"/>
    </row>
    <row r="40340" spans="31:31">
      <c r="AE40340" s="54"/>
    </row>
    <row r="40341" spans="31:31">
      <c r="AE40341" s="54"/>
    </row>
    <row r="40342" spans="31:31">
      <c r="AE40342" s="54"/>
    </row>
    <row r="40343" spans="31:31">
      <c r="AE40343" s="54"/>
    </row>
    <row r="40344" spans="31:31">
      <c r="AE40344" s="54"/>
    </row>
    <row r="40345" spans="31:31">
      <c r="AE40345" s="54"/>
    </row>
    <row r="40346" spans="31:31">
      <c r="AE40346" s="54"/>
    </row>
    <row r="40347" spans="31:31">
      <c r="AE40347" s="54"/>
    </row>
    <row r="40348" spans="31:31">
      <c r="AE40348" s="54"/>
    </row>
    <row r="40349" spans="31:31">
      <c r="AE40349" s="54"/>
    </row>
    <row r="40350" spans="31:31">
      <c r="AE40350" s="54"/>
    </row>
    <row r="40351" spans="31:31">
      <c r="AE40351" s="54"/>
    </row>
    <row r="40352" spans="31:31">
      <c r="AE40352" s="54"/>
    </row>
    <row r="40353" spans="31:31">
      <c r="AE40353" s="54"/>
    </row>
    <row r="40354" spans="31:31">
      <c r="AE40354" s="54"/>
    </row>
    <row r="40355" spans="31:31">
      <c r="AE40355" s="54"/>
    </row>
    <row r="40356" spans="31:31">
      <c r="AE40356" s="54"/>
    </row>
    <row r="40357" spans="31:31">
      <c r="AE40357" s="54"/>
    </row>
    <row r="40358" spans="31:31">
      <c r="AE40358" s="54"/>
    </row>
    <row r="40359" spans="31:31">
      <c r="AE40359" s="54"/>
    </row>
    <row r="40360" spans="31:31">
      <c r="AE40360" s="54"/>
    </row>
    <row r="40361" spans="31:31">
      <c r="AE40361" s="54"/>
    </row>
    <row r="40362" spans="31:31">
      <c r="AE40362" s="54"/>
    </row>
    <row r="40363" spans="31:31">
      <c r="AE40363" s="54"/>
    </row>
    <row r="40364" spans="31:31">
      <c r="AE40364" s="54"/>
    </row>
    <row r="40365" spans="31:31">
      <c r="AE40365" s="54"/>
    </row>
    <row r="40366" spans="31:31">
      <c r="AE40366" s="54"/>
    </row>
    <row r="40367" spans="31:31">
      <c r="AE40367" s="54"/>
    </row>
    <row r="40368" spans="31:31">
      <c r="AE40368" s="54"/>
    </row>
    <row r="40369" spans="31:31">
      <c r="AE40369" s="54"/>
    </row>
    <row r="40370" spans="31:31">
      <c r="AE40370" s="54"/>
    </row>
    <row r="40371" spans="31:31">
      <c r="AE40371" s="54"/>
    </row>
    <row r="40372" spans="31:31">
      <c r="AE40372" s="54"/>
    </row>
    <row r="40373" spans="31:31">
      <c r="AE40373" s="54"/>
    </row>
    <row r="40374" spans="31:31">
      <c r="AE40374" s="54"/>
    </row>
    <row r="40375" spans="31:31">
      <c r="AE40375" s="54"/>
    </row>
    <row r="40376" spans="31:31">
      <c r="AE40376" s="54"/>
    </row>
    <row r="40377" spans="31:31">
      <c r="AE40377" s="54"/>
    </row>
    <row r="40378" spans="31:31">
      <c r="AE40378" s="54"/>
    </row>
    <row r="40379" spans="31:31">
      <c r="AE40379" s="54"/>
    </row>
    <row r="40380" spans="31:31">
      <c r="AE40380" s="54"/>
    </row>
    <row r="40381" spans="31:31">
      <c r="AE40381" s="54"/>
    </row>
    <row r="40382" spans="31:31">
      <c r="AE40382" s="54"/>
    </row>
    <row r="40383" spans="31:31">
      <c r="AE40383" s="54"/>
    </row>
    <row r="40384" spans="31:31">
      <c r="AE40384" s="54"/>
    </row>
    <row r="40385" spans="31:31">
      <c r="AE40385" s="54"/>
    </row>
    <row r="40386" spans="31:31">
      <c r="AE40386" s="54"/>
    </row>
    <row r="40387" spans="31:31">
      <c r="AE40387" s="54"/>
    </row>
    <row r="40388" spans="31:31">
      <c r="AE40388" s="54"/>
    </row>
    <row r="40389" spans="31:31">
      <c r="AE40389" s="54"/>
    </row>
    <row r="40390" spans="31:31">
      <c r="AE40390" s="54"/>
    </row>
    <row r="40391" spans="31:31">
      <c r="AE40391" s="54"/>
    </row>
    <row r="40392" spans="31:31">
      <c r="AE40392" s="54"/>
    </row>
    <row r="40393" spans="31:31">
      <c r="AE40393" s="54"/>
    </row>
    <row r="40394" spans="31:31">
      <c r="AE40394" s="54"/>
    </row>
    <row r="40395" spans="31:31">
      <c r="AE40395" s="54"/>
    </row>
    <row r="40396" spans="31:31">
      <c r="AE40396" s="54"/>
    </row>
    <row r="40397" spans="31:31">
      <c r="AE40397" s="54"/>
    </row>
    <row r="40398" spans="31:31">
      <c r="AE40398" s="54"/>
    </row>
    <row r="40399" spans="31:31">
      <c r="AE40399" s="54"/>
    </row>
    <row r="40400" spans="31:31">
      <c r="AE40400" s="54"/>
    </row>
    <row r="40401" spans="31:31">
      <c r="AE40401" s="54"/>
    </row>
    <row r="40402" spans="31:31">
      <c r="AE40402" s="54"/>
    </row>
    <row r="40403" spans="31:31">
      <c r="AE40403" s="54"/>
    </row>
    <row r="40404" spans="31:31">
      <c r="AE40404" s="54"/>
    </row>
    <row r="40405" spans="31:31">
      <c r="AE40405" s="54"/>
    </row>
    <row r="40406" spans="31:31">
      <c r="AE40406" s="54"/>
    </row>
    <row r="40407" spans="31:31">
      <c r="AE40407" s="54"/>
    </row>
    <row r="40408" spans="31:31">
      <c r="AE40408" s="54"/>
    </row>
    <row r="40409" spans="31:31">
      <c r="AE40409" s="54"/>
    </row>
    <row r="40410" spans="31:31">
      <c r="AE40410" s="54"/>
    </row>
    <row r="40411" spans="31:31">
      <c r="AE40411" s="54"/>
    </row>
    <row r="40412" spans="31:31">
      <c r="AE40412" s="54"/>
    </row>
    <row r="40413" spans="31:31">
      <c r="AE40413" s="54"/>
    </row>
    <row r="40414" spans="31:31">
      <c r="AE40414" s="54"/>
    </row>
    <row r="40415" spans="31:31">
      <c r="AE40415" s="54"/>
    </row>
    <row r="40416" spans="31:31">
      <c r="AE40416" s="54"/>
    </row>
    <row r="40417" spans="31:31">
      <c r="AE40417" s="54"/>
    </row>
    <row r="40418" spans="31:31">
      <c r="AE40418" s="54"/>
    </row>
    <row r="40419" spans="31:31">
      <c r="AE40419" s="54"/>
    </row>
    <row r="40420" spans="31:31">
      <c r="AE40420" s="54"/>
    </row>
    <row r="40421" spans="31:31">
      <c r="AE40421" s="54"/>
    </row>
    <row r="40422" spans="31:31">
      <c r="AE40422" s="54"/>
    </row>
    <row r="40423" spans="31:31">
      <c r="AE40423" s="54"/>
    </row>
    <row r="40424" spans="31:31">
      <c r="AE40424" s="54"/>
    </row>
    <row r="40425" spans="31:31">
      <c r="AE40425" s="54"/>
    </row>
    <row r="40426" spans="31:31">
      <c r="AE40426" s="54"/>
    </row>
    <row r="40427" spans="31:31">
      <c r="AE40427" s="54"/>
    </row>
    <row r="40428" spans="31:31">
      <c r="AE40428" s="54"/>
    </row>
    <row r="40429" spans="31:31">
      <c r="AE40429" s="54"/>
    </row>
    <row r="40430" spans="31:31">
      <c r="AE40430" s="54"/>
    </row>
    <row r="40431" spans="31:31">
      <c r="AE40431" s="54"/>
    </row>
    <row r="40432" spans="31:31">
      <c r="AE40432" s="54"/>
    </row>
    <row r="40433" spans="31:31">
      <c r="AE40433" s="54"/>
    </row>
    <row r="40434" spans="31:31">
      <c r="AE40434" s="54"/>
    </row>
    <row r="40435" spans="31:31">
      <c r="AE40435" s="54"/>
    </row>
    <row r="40436" spans="31:31">
      <c r="AE40436" s="54"/>
    </row>
    <row r="40437" spans="31:31">
      <c r="AE40437" s="54"/>
    </row>
    <row r="40438" spans="31:31">
      <c r="AE40438" s="54"/>
    </row>
    <row r="40439" spans="31:31">
      <c r="AE40439" s="54"/>
    </row>
    <row r="40440" spans="31:31">
      <c r="AE40440" s="54"/>
    </row>
    <row r="40441" spans="31:31">
      <c r="AE40441" s="54"/>
    </row>
    <row r="40442" spans="31:31">
      <c r="AE40442" s="54"/>
    </row>
    <row r="40443" spans="31:31">
      <c r="AE40443" s="54"/>
    </row>
    <row r="40444" spans="31:31">
      <c r="AE40444" s="54"/>
    </row>
    <row r="40445" spans="31:31">
      <c r="AE40445" s="54"/>
    </row>
    <row r="40446" spans="31:31">
      <c r="AE40446" s="54"/>
    </row>
    <row r="40447" spans="31:31">
      <c r="AE40447" s="54"/>
    </row>
    <row r="40448" spans="31:31">
      <c r="AE40448" s="54"/>
    </row>
    <row r="40449" spans="31:31">
      <c r="AE40449" s="54"/>
    </row>
    <row r="40450" spans="31:31">
      <c r="AE40450" s="54"/>
    </row>
    <row r="40451" spans="31:31">
      <c r="AE40451" s="54"/>
    </row>
    <row r="40452" spans="31:31">
      <c r="AE40452" s="54"/>
    </row>
    <row r="40453" spans="31:31">
      <c r="AE40453" s="54"/>
    </row>
    <row r="40454" spans="31:31">
      <c r="AE40454" s="54"/>
    </row>
    <row r="40455" spans="31:31">
      <c r="AE40455" s="54"/>
    </row>
    <row r="40456" spans="31:31">
      <c r="AE40456" s="54"/>
    </row>
    <row r="40457" spans="31:31">
      <c r="AE40457" s="54"/>
    </row>
    <row r="40458" spans="31:31">
      <c r="AE40458" s="54"/>
    </row>
    <row r="40459" spans="31:31">
      <c r="AE40459" s="54"/>
    </row>
    <row r="40460" spans="31:31">
      <c r="AE40460" s="54"/>
    </row>
    <row r="40461" spans="31:31">
      <c r="AE40461" s="54"/>
    </row>
    <row r="40462" spans="31:31">
      <c r="AE40462" s="54"/>
    </row>
    <row r="40463" spans="31:31">
      <c r="AE40463" s="54"/>
    </row>
    <row r="40464" spans="31:31">
      <c r="AE40464" s="54"/>
    </row>
    <row r="40465" spans="31:31">
      <c r="AE40465" s="54"/>
    </row>
    <row r="40466" spans="31:31">
      <c r="AE40466" s="54"/>
    </row>
    <row r="40467" spans="31:31">
      <c r="AE40467" s="54"/>
    </row>
    <row r="40468" spans="31:31">
      <c r="AE40468" s="54"/>
    </row>
    <row r="40469" spans="31:31">
      <c r="AE40469" s="54"/>
    </row>
    <row r="40470" spans="31:31">
      <c r="AE40470" s="54"/>
    </row>
    <row r="40471" spans="31:31">
      <c r="AE40471" s="54"/>
    </row>
    <row r="40472" spans="31:31">
      <c r="AE40472" s="54"/>
    </row>
    <row r="40473" spans="31:31">
      <c r="AE40473" s="54"/>
    </row>
    <row r="40474" spans="31:31">
      <c r="AE40474" s="54"/>
    </row>
    <row r="40475" spans="31:31">
      <c r="AE40475" s="54"/>
    </row>
    <row r="40476" spans="31:31">
      <c r="AE40476" s="54"/>
    </row>
    <row r="40477" spans="31:31">
      <c r="AE40477" s="54"/>
    </row>
    <row r="40478" spans="31:31">
      <c r="AE40478" s="54"/>
    </row>
    <row r="40479" spans="31:31">
      <c r="AE40479" s="54"/>
    </row>
    <row r="40480" spans="31:31">
      <c r="AE40480" s="54"/>
    </row>
    <row r="40481" spans="31:31">
      <c r="AE40481" s="54"/>
    </row>
    <row r="40482" spans="31:31">
      <c r="AE40482" s="54"/>
    </row>
    <row r="40483" spans="31:31">
      <c r="AE40483" s="54"/>
    </row>
    <row r="40484" spans="31:31">
      <c r="AE40484" s="54"/>
    </row>
    <row r="40485" spans="31:31">
      <c r="AE40485" s="54"/>
    </row>
    <row r="40486" spans="31:31">
      <c r="AE40486" s="54"/>
    </row>
    <row r="40487" spans="31:31">
      <c r="AE40487" s="54"/>
    </row>
    <row r="40488" spans="31:31">
      <c r="AE40488" s="54"/>
    </row>
    <row r="40489" spans="31:31">
      <c r="AE40489" s="54"/>
    </row>
    <row r="40490" spans="31:31">
      <c r="AE40490" s="54"/>
    </row>
    <row r="40491" spans="31:31">
      <c r="AE40491" s="54"/>
    </row>
    <row r="40492" spans="31:31">
      <c r="AE40492" s="54"/>
    </row>
    <row r="40493" spans="31:31">
      <c r="AE40493" s="54"/>
    </row>
    <row r="40494" spans="31:31">
      <c r="AE40494" s="54"/>
    </row>
    <row r="40495" spans="31:31">
      <c r="AE40495" s="54"/>
    </row>
    <row r="40496" spans="31:31">
      <c r="AE40496" s="54"/>
    </row>
    <row r="40497" spans="31:31">
      <c r="AE40497" s="54"/>
    </row>
    <row r="40498" spans="31:31">
      <c r="AE40498" s="54"/>
    </row>
    <row r="40499" spans="31:31">
      <c r="AE40499" s="54"/>
    </row>
    <row r="40500" spans="31:31">
      <c r="AE40500" s="54"/>
    </row>
    <row r="40501" spans="31:31">
      <c r="AE40501" s="54"/>
    </row>
    <row r="40502" spans="31:31">
      <c r="AE40502" s="54"/>
    </row>
    <row r="40503" spans="31:31">
      <c r="AE40503" s="54"/>
    </row>
    <row r="40504" spans="31:31">
      <c r="AE40504" s="54"/>
    </row>
    <row r="40505" spans="31:31">
      <c r="AE40505" s="54"/>
    </row>
    <row r="40506" spans="31:31">
      <c r="AE40506" s="54"/>
    </row>
    <row r="40507" spans="31:31">
      <c r="AE40507" s="54"/>
    </row>
    <row r="40508" spans="31:31">
      <c r="AE40508" s="54"/>
    </row>
    <row r="40509" spans="31:31">
      <c r="AE40509" s="54"/>
    </row>
    <row r="40510" spans="31:31">
      <c r="AE40510" s="54"/>
    </row>
    <row r="40511" spans="31:31">
      <c r="AE40511" s="54"/>
    </row>
    <row r="40512" spans="31:31">
      <c r="AE40512" s="54"/>
    </row>
    <row r="40513" spans="31:31">
      <c r="AE40513" s="54"/>
    </row>
    <row r="40514" spans="31:31">
      <c r="AE40514" s="54"/>
    </row>
    <row r="40515" spans="31:31">
      <c r="AE40515" s="54"/>
    </row>
    <row r="40516" spans="31:31">
      <c r="AE40516" s="54"/>
    </row>
    <row r="40517" spans="31:31">
      <c r="AE40517" s="54"/>
    </row>
    <row r="40518" spans="31:31">
      <c r="AE40518" s="54"/>
    </row>
    <row r="40519" spans="31:31">
      <c r="AE40519" s="54"/>
    </row>
    <row r="40520" spans="31:31">
      <c r="AE40520" s="54"/>
    </row>
    <row r="40521" spans="31:31">
      <c r="AE40521" s="54"/>
    </row>
    <row r="40522" spans="31:31">
      <c r="AE40522" s="54"/>
    </row>
    <row r="40523" spans="31:31">
      <c r="AE40523" s="54"/>
    </row>
    <row r="40524" spans="31:31">
      <c r="AE40524" s="54"/>
    </row>
    <row r="40525" spans="31:31">
      <c r="AE40525" s="54"/>
    </row>
    <row r="40526" spans="31:31">
      <c r="AE40526" s="54"/>
    </row>
    <row r="40527" spans="31:31">
      <c r="AE40527" s="54"/>
    </row>
    <row r="40528" spans="31:31">
      <c r="AE40528" s="54"/>
    </row>
    <row r="40529" spans="31:31">
      <c r="AE40529" s="54"/>
    </row>
    <row r="40530" spans="31:31">
      <c r="AE40530" s="54"/>
    </row>
    <row r="40531" spans="31:31">
      <c r="AE40531" s="54"/>
    </row>
    <row r="40532" spans="31:31">
      <c r="AE40532" s="54"/>
    </row>
    <row r="40533" spans="31:31">
      <c r="AE40533" s="54"/>
    </row>
    <row r="40534" spans="31:31">
      <c r="AE40534" s="54"/>
    </row>
    <row r="40535" spans="31:31">
      <c r="AE40535" s="54"/>
    </row>
    <row r="40536" spans="31:31">
      <c r="AE40536" s="54"/>
    </row>
    <row r="40537" spans="31:31">
      <c r="AE40537" s="54"/>
    </row>
    <row r="40538" spans="31:31">
      <c r="AE40538" s="54"/>
    </row>
    <row r="40539" spans="31:31">
      <c r="AE40539" s="54"/>
    </row>
    <row r="40540" spans="31:31">
      <c r="AE40540" s="54"/>
    </row>
    <row r="40541" spans="31:31">
      <c r="AE40541" s="54"/>
    </row>
    <row r="40542" spans="31:31">
      <c r="AE40542" s="54"/>
    </row>
    <row r="40543" spans="31:31">
      <c r="AE40543" s="54"/>
    </row>
    <row r="40544" spans="31:31">
      <c r="AE40544" s="54"/>
    </row>
    <row r="40545" spans="31:31">
      <c r="AE40545" s="54"/>
    </row>
    <row r="40546" spans="31:31">
      <c r="AE40546" s="54"/>
    </row>
    <row r="40547" spans="31:31">
      <c r="AE40547" s="54"/>
    </row>
    <row r="40548" spans="31:31">
      <c r="AE40548" s="54"/>
    </row>
    <row r="40549" spans="31:31">
      <c r="AE40549" s="54"/>
    </row>
    <row r="40550" spans="31:31">
      <c r="AE40550" s="54"/>
    </row>
    <row r="40551" spans="31:31">
      <c r="AE40551" s="54"/>
    </row>
    <row r="40552" spans="31:31">
      <c r="AE40552" s="54"/>
    </row>
    <row r="40553" spans="31:31">
      <c r="AE40553" s="54"/>
    </row>
    <row r="40554" spans="31:31">
      <c r="AE40554" s="54"/>
    </row>
    <row r="40555" spans="31:31">
      <c r="AE40555" s="54"/>
    </row>
    <row r="40556" spans="31:31">
      <c r="AE40556" s="54"/>
    </row>
    <row r="40557" spans="31:31">
      <c r="AE40557" s="54"/>
    </row>
    <row r="40558" spans="31:31">
      <c r="AE40558" s="54"/>
    </row>
    <row r="40559" spans="31:31">
      <c r="AE40559" s="54"/>
    </row>
    <row r="40560" spans="31:31">
      <c r="AE40560" s="54"/>
    </row>
    <row r="40561" spans="31:31">
      <c r="AE40561" s="54"/>
    </row>
    <row r="40562" spans="31:31">
      <c r="AE40562" s="54"/>
    </row>
    <row r="40563" spans="31:31">
      <c r="AE40563" s="54"/>
    </row>
    <row r="40564" spans="31:31">
      <c r="AE40564" s="54"/>
    </row>
    <row r="40565" spans="31:31">
      <c r="AE40565" s="54"/>
    </row>
    <row r="40566" spans="31:31">
      <c r="AE40566" s="54"/>
    </row>
    <row r="40567" spans="31:31">
      <c r="AE40567" s="54"/>
    </row>
    <row r="40568" spans="31:31">
      <c r="AE40568" s="54"/>
    </row>
    <row r="40569" spans="31:31">
      <c r="AE40569" s="54"/>
    </row>
    <row r="40570" spans="31:31">
      <c r="AE40570" s="54"/>
    </row>
    <row r="40571" spans="31:31">
      <c r="AE40571" s="54"/>
    </row>
    <row r="40572" spans="31:31">
      <c r="AE40572" s="54"/>
    </row>
    <row r="40573" spans="31:31">
      <c r="AE40573" s="54"/>
    </row>
    <row r="40574" spans="31:31">
      <c r="AE40574" s="54"/>
    </row>
    <row r="40575" spans="31:31">
      <c r="AE40575" s="54"/>
    </row>
    <row r="40576" spans="31:31">
      <c r="AE40576" s="54"/>
    </row>
    <row r="40577" spans="31:31">
      <c r="AE40577" s="54"/>
    </row>
    <row r="40578" spans="31:31">
      <c r="AE40578" s="54"/>
    </row>
    <row r="40579" spans="31:31">
      <c r="AE40579" s="54"/>
    </row>
    <row r="40580" spans="31:31">
      <c r="AE40580" s="54"/>
    </row>
    <row r="40581" spans="31:31">
      <c r="AE40581" s="54"/>
    </row>
    <row r="40582" spans="31:31">
      <c r="AE40582" s="54"/>
    </row>
    <row r="40583" spans="31:31">
      <c r="AE40583" s="54"/>
    </row>
    <row r="40584" spans="31:31">
      <c r="AE40584" s="54"/>
    </row>
    <row r="40585" spans="31:31">
      <c r="AE40585" s="54"/>
    </row>
    <row r="40586" spans="31:31">
      <c r="AE40586" s="54"/>
    </row>
    <row r="40587" spans="31:31">
      <c r="AE40587" s="54"/>
    </row>
    <row r="40588" spans="31:31">
      <c r="AE40588" s="54"/>
    </row>
    <row r="40589" spans="31:31">
      <c r="AE40589" s="54"/>
    </row>
    <row r="40590" spans="31:31">
      <c r="AE40590" s="54"/>
    </row>
    <row r="40591" spans="31:31">
      <c r="AE40591" s="54"/>
    </row>
    <row r="40592" spans="31:31">
      <c r="AE40592" s="54"/>
    </row>
    <row r="40593" spans="31:31">
      <c r="AE40593" s="54"/>
    </row>
    <row r="40594" spans="31:31">
      <c r="AE40594" s="54"/>
    </row>
    <row r="40595" spans="31:31">
      <c r="AE40595" s="54"/>
    </row>
    <row r="40596" spans="31:31">
      <c r="AE40596" s="54"/>
    </row>
    <row r="40597" spans="31:31">
      <c r="AE40597" s="54"/>
    </row>
    <row r="40598" spans="31:31">
      <c r="AE40598" s="54"/>
    </row>
    <row r="40599" spans="31:31">
      <c r="AE40599" s="54"/>
    </row>
    <row r="40600" spans="31:31">
      <c r="AE40600" s="54"/>
    </row>
    <row r="40601" spans="31:31">
      <c r="AE40601" s="54"/>
    </row>
    <row r="40602" spans="31:31">
      <c r="AE40602" s="54"/>
    </row>
    <row r="40603" spans="31:31">
      <c r="AE40603" s="54"/>
    </row>
    <row r="40604" spans="31:31">
      <c r="AE40604" s="54"/>
    </row>
    <row r="40605" spans="31:31">
      <c r="AE40605" s="54"/>
    </row>
    <row r="40606" spans="31:31">
      <c r="AE40606" s="54"/>
    </row>
    <row r="40607" spans="31:31">
      <c r="AE40607" s="54"/>
    </row>
    <row r="40608" spans="31:31">
      <c r="AE40608" s="54"/>
    </row>
    <row r="40609" spans="31:31">
      <c r="AE40609" s="54"/>
    </row>
    <row r="40610" spans="31:31">
      <c r="AE40610" s="54"/>
    </row>
    <row r="40611" spans="31:31">
      <c r="AE40611" s="54"/>
    </row>
    <row r="40612" spans="31:31">
      <c r="AE40612" s="54"/>
    </row>
    <row r="40613" spans="31:31">
      <c r="AE40613" s="54"/>
    </row>
    <row r="40614" spans="31:31">
      <c r="AE40614" s="54"/>
    </row>
    <row r="40615" spans="31:31">
      <c r="AE40615" s="54"/>
    </row>
    <row r="40616" spans="31:31">
      <c r="AE40616" s="54"/>
    </row>
    <row r="40617" spans="31:31">
      <c r="AE40617" s="54"/>
    </row>
    <row r="40618" spans="31:31">
      <c r="AE40618" s="54"/>
    </row>
    <row r="40619" spans="31:31">
      <c r="AE40619" s="54"/>
    </row>
    <row r="40620" spans="31:31">
      <c r="AE40620" s="54"/>
    </row>
    <row r="40621" spans="31:31">
      <c r="AE40621" s="54"/>
    </row>
    <row r="40622" spans="31:31">
      <c r="AE40622" s="54"/>
    </row>
    <row r="40623" spans="31:31">
      <c r="AE40623" s="54"/>
    </row>
    <row r="40624" spans="31:31">
      <c r="AE40624" s="54"/>
    </row>
    <row r="40625" spans="31:31">
      <c r="AE40625" s="54"/>
    </row>
    <row r="40626" spans="31:31">
      <c r="AE40626" s="54"/>
    </row>
    <row r="40627" spans="31:31">
      <c r="AE40627" s="54"/>
    </row>
    <row r="40628" spans="31:31">
      <c r="AE40628" s="54"/>
    </row>
    <row r="40629" spans="31:31">
      <c r="AE40629" s="54"/>
    </row>
    <row r="40630" spans="31:31">
      <c r="AE40630" s="54"/>
    </row>
    <row r="40631" spans="31:31">
      <c r="AE40631" s="54"/>
    </row>
    <row r="40632" spans="31:31">
      <c r="AE40632" s="54"/>
    </row>
    <row r="40633" spans="31:31">
      <c r="AE40633" s="54"/>
    </row>
    <row r="40634" spans="31:31">
      <c r="AE40634" s="54"/>
    </row>
    <row r="40635" spans="31:31">
      <c r="AE40635" s="54"/>
    </row>
    <row r="40636" spans="31:31">
      <c r="AE40636" s="54"/>
    </row>
    <row r="40637" spans="31:31">
      <c r="AE40637" s="54"/>
    </row>
    <row r="40638" spans="31:31">
      <c r="AE40638" s="54"/>
    </row>
    <row r="40639" spans="31:31">
      <c r="AE40639" s="54"/>
    </row>
    <row r="40640" spans="31:31">
      <c r="AE40640" s="54"/>
    </row>
    <row r="40641" spans="31:31">
      <c r="AE40641" s="54"/>
    </row>
    <row r="40642" spans="31:31">
      <c r="AE40642" s="54"/>
    </row>
    <row r="40643" spans="31:31">
      <c r="AE40643" s="54"/>
    </row>
    <row r="40644" spans="31:31">
      <c r="AE40644" s="54"/>
    </row>
    <row r="40645" spans="31:31">
      <c r="AE40645" s="54"/>
    </row>
    <row r="40646" spans="31:31">
      <c r="AE40646" s="54"/>
    </row>
    <row r="40647" spans="31:31">
      <c r="AE40647" s="54"/>
    </row>
    <row r="40648" spans="31:31">
      <c r="AE40648" s="54"/>
    </row>
    <row r="40649" spans="31:31">
      <c r="AE40649" s="54"/>
    </row>
    <row r="40650" spans="31:31">
      <c r="AE40650" s="54"/>
    </row>
    <row r="40651" spans="31:31">
      <c r="AE40651" s="54"/>
    </row>
    <row r="40652" spans="31:31">
      <c r="AE40652" s="54"/>
    </row>
    <row r="40653" spans="31:31">
      <c r="AE40653" s="54"/>
    </row>
    <row r="40654" spans="31:31">
      <c r="AE40654" s="54"/>
    </row>
    <row r="40655" spans="31:31">
      <c r="AE40655" s="54"/>
    </row>
    <row r="40656" spans="31:31">
      <c r="AE40656" s="54"/>
    </row>
    <row r="40657" spans="31:31">
      <c r="AE40657" s="54"/>
    </row>
    <row r="40658" spans="31:31">
      <c r="AE40658" s="54"/>
    </row>
    <row r="40659" spans="31:31">
      <c r="AE40659" s="54"/>
    </row>
    <row r="40660" spans="31:31">
      <c r="AE40660" s="54"/>
    </row>
    <row r="40661" spans="31:31">
      <c r="AE40661" s="54"/>
    </row>
    <row r="40662" spans="31:31">
      <c r="AE40662" s="54"/>
    </row>
    <row r="40663" spans="31:31">
      <c r="AE40663" s="54"/>
    </row>
    <row r="40664" spans="31:31">
      <c r="AE40664" s="54"/>
    </row>
    <row r="40665" spans="31:31">
      <c r="AE40665" s="54"/>
    </row>
    <row r="40666" spans="31:31">
      <c r="AE40666" s="54"/>
    </row>
    <row r="40667" spans="31:31">
      <c r="AE40667" s="54"/>
    </row>
    <row r="40668" spans="31:31">
      <c r="AE40668" s="54"/>
    </row>
    <row r="40669" spans="31:31">
      <c r="AE40669" s="54"/>
    </row>
    <row r="40670" spans="31:31">
      <c r="AE40670" s="54"/>
    </row>
    <row r="40671" spans="31:31">
      <c r="AE40671" s="54"/>
    </row>
    <row r="40672" spans="31:31">
      <c r="AE40672" s="54"/>
    </row>
    <row r="40673" spans="31:31">
      <c r="AE40673" s="54"/>
    </row>
    <row r="40674" spans="31:31">
      <c r="AE40674" s="54"/>
    </row>
    <row r="40675" spans="31:31">
      <c r="AE40675" s="54"/>
    </row>
    <row r="40676" spans="31:31">
      <c r="AE40676" s="54"/>
    </row>
    <row r="40677" spans="31:31">
      <c r="AE40677" s="54"/>
    </row>
    <row r="40678" spans="31:31">
      <c r="AE40678" s="54"/>
    </row>
    <row r="40679" spans="31:31">
      <c r="AE40679" s="54"/>
    </row>
    <row r="40680" spans="31:31">
      <c r="AE40680" s="54"/>
    </row>
    <row r="40681" spans="31:31">
      <c r="AE40681" s="54"/>
    </row>
    <row r="40682" spans="31:31">
      <c r="AE40682" s="54"/>
    </row>
    <row r="40683" spans="31:31">
      <c r="AE40683" s="54"/>
    </row>
    <row r="40684" spans="31:31">
      <c r="AE40684" s="54"/>
    </row>
    <row r="40685" spans="31:31">
      <c r="AE40685" s="54"/>
    </row>
    <row r="40686" spans="31:31">
      <c r="AE40686" s="54"/>
    </row>
    <row r="40687" spans="31:31">
      <c r="AE40687" s="54"/>
    </row>
    <row r="40688" spans="31:31">
      <c r="AE40688" s="54"/>
    </row>
    <row r="40689" spans="31:31">
      <c r="AE40689" s="54"/>
    </row>
    <row r="40690" spans="31:31">
      <c r="AE40690" s="54"/>
    </row>
    <row r="40691" spans="31:31">
      <c r="AE40691" s="54"/>
    </row>
    <row r="40692" spans="31:31">
      <c r="AE40692" s="54"/>
    </row>
    <row r="40693" spans="31:31">
      <c r="AE40693" s="54"/>
    </row>
    <row r="40694" spans="31:31">
      <c r="AE40694" s="54"/>
    </row>
    <row r="40695" spans="31:31">
      <c r="AE40695" s="54"/>
    </row>
    <row r="40696" spans="31:31">
      <c r="AE40696" s="54"/>
    </row>
    <row r="40697" spans="31:31">
      <c r="AE40697" s="54"/>
    </row>
    <row r="40698" spans="31:31">
      <c r="AE40698" s="54"/>
    </row>
    <row r="40699" spans="31:31">
      <c r="AE40699" s="54"/>
    </row>
    <row r="40700" spans="31:31">
      <c r="AE40700" s="54"/>
    </row>
    <row r="40701" spans="31:31">
      <c r="AE40701" s="54"/>
    </row>
    <row r="40702" spans="31:31">
      <c r="AE40702" s="54"/>
    </row>
    <row r="40703" spans="31:31">
      <c r="AE40703" s="54"/>
    </row>
    <row r="40704" spans="31:31">
      <c r="AE40704" s="54"/>
    </row>
    <row r="40705" spans="31:31">
      <c r="AE40705" s="54"/>
    </row>
    <row r="40706" spans="31:31">
      <c r="AE40706" s="54"/>
    </row>
    <row r="40707" spans="31:31">
      <c r="AE40707" s="54"/>
    </row>
    <row r="40708" spans="31:31">
      <c r="AE40708" s="54"/>
    </row>
    <row r="40709" spans="31:31">
      <c r="AE40709" s="54"/>
    </row>
    <row r="40710" spans="31:31">
      <c r="AE40710" s="54"/>
    </row>
    <row r="40711" spans="31:31">
      <c r="AE40711" s="54"/>
    </row>
    <row r="40712" spans="31:31">
      <c r="AE40712" s="54"/>
    </row>
    <row r="40713" spans="31:31">
      <c r="AE40713" s="54"/>
    </row>
    <row r="40714" spans="31:31">
      <c r="AE40714" s="54"/>
    </row>
    <row r="40715" spans="31:31">
      <c r="AE40715" s="54"/>
    </row>
    <row r="40716" spans="31:31">
      <c r="AE40716" s="54"/>
    </row>
    <row r="40717" spans="31:31">
      <c r="AE40717" s="54"/>
    </row>
    <row r="40718" spans="31:31">
      <c r="AE40718" s="54"/>
    </row>
    <row r="40719" spans="31:31">
      <c r="AE40719" s="54"/>
    </row>
    <row r="40720" spans="31:31">
      <c r="AE40720" s="54"/>
    </row>
    <row r="40721" spans="31:31">
      <c r="AE40721" s="54"/>
    </row>
    <row r="40722" spans="31:31">
      <c r="AE40722" s="54"/>
    </row>
    <row r="40723" spans="31:31">
      <c r="AE40723" s="54"/>
    </row>
    <row r="40724" spans="31:31">
      <c r="AE40724" s="54"/>
    </row>
    <row r="40725" spans="31:31">
      <c r="AE40725" s="54"/>
    </row>
    <row r="40726" spans="31:31">
      <c r="AE40726" s="54"/>
    </row>
    <row r="40727" spans="31:31">
      <c r="AE40727" s="54"/>
    </row>
    <row r="40728" spans="31:31">
      <c r="AE40728" s="54"/>
    </row>
    <row r="40729" spans="31:31">
      <c r="AE40729" s="54"/>
    </row>
    <row r="40730" spans="31:31">
      <c r="AE40730" s="54"/>
    </row>
    <row r="40731" spans="31:31">
      <c r="AE40731" s="54"/>
    </row>
    <row r="40732" spans="31:31">
      <c r="AE40732" s="54"/>
    </row>
    <row r="40733" spans="31:31">
      <c r="AE40733" s="54"/>
    </row>
    <row r="40734" spans="31:31">
      <c r="AE40734" s="54"/>
    </row>
    <row r="40735" spans="31:31">
      <c r="AE40735" s="54"/>
    </row>
    <row r="40736" spans="31:31">
      <c r="AE40736" s="54"/>
    </row>
    <row r="40737" spans="31:31">
      <c r="AE40737" s="54"/>
    </row>
    <row r="40738" spans="31:31">
      <c r="AE40738" s="54"/>
    </row>
    <row r="40739" spans="31:31">
      <c r="AE40739" s="54"/>
    </row>
    <row r="40740" spans="31:31">
      <c r="AE40740" s="54"/>
    </row>
    <row r="40741" spans="31:31">
      <c r="AE40741" s="54"/>
    </row>
    <row r="40742" spans="31:31">
      <c r="AE40742" s="54"/>
    </row>
    <row r="40743" spans="31:31">
      <c r="AE40743" s="54"/>
    </row>
    <row r="40744" spans="31:31">
      <c r="AE40744" s="54"/>
    </row>
    <row r="40745" spans="31:31">
      <c r="AE40745" s="54"/>
    </row>
    <row r="40746" spans="31:31">
      <c r="AE40746" s="54"/>
    </row>
    <row r="40747" spans="31:31">
      <c r="AE40747" s="54"/>
    </row>
    <row r="40748" spans="31:31">
      <c r="AE40748" s="54"/>
    </row>
    <row r="40749" spans="31:31">
      <c r="AE40749" s="54"/>
    </row>
    <row r="40750" spans="31:31">
      <c r="AE40750" s="54"/>
    </row>
    <row r="40751" spans="31:31">
      <c r="AE40751" s="54"/>
    </row>
    <row r="40752" spans="31:31">
      <c r="AE40752" s="54"/>
    </row>
    <row r="40753" spans="31:31">
      <c r="AE40753" s="54"/>
    </row>
    <row r="40754" spans="31:31">
      <c r="AE40754" s="54"/>
    </row>
    <row r="40755" spans="31:31">
      <c r="AE40755" s="54"/>
    </row>
    <row r="40756" spans="31:31">
      <c r="AE40756" s="54"/>
    </row>
    <row r="40757" spans="31:31">
      <c r="AE40757" s="54"/>
    </row>
    <row r="40758" spans="31:31">
      <c r="AE40758" s="54"/>
    </row>
    <row r="40759" spans="31:31">
      <c r="AE40759" s="54"/>
    </row>
    <row r="40760" spans="31:31">
      <c r="AE40760" s="54"/>
    </row>
    <row r="40761" spans="31:31">
      <c r="AE40761" s="54"/>
    </row>
    <row r="40762" spans="31:31">
      <c r="AE40762" s="54"/>
    </row>
    <row r="40763" spans="31:31">
      <c r="AE40763" s="54"/>
    </row>
    <row r="40764" spans="31:31">
      <c r="AE40764" s="54"/>
    </row>
    <row r="40765" spans="31:31">
      <c r="AE40765" s="54"/>
    </row>
    <row r="40766" spans="31:31">
      <c r="AE40766" s="54"/>
    </row>
    <row r="40767" spans="31:31">
      <c r="AE40767" s="54"/>
    </row>
    <row r="40768" spans="31:31">
      <c r="AE40768" s="54"/>
    </row>
    <row r="40769" spans="31:31">
      <c r="AE40769" s="54"/>
    </row>
    <row r="40770" spans="31:31">
      <c r="AE40770" s="54"/>
    </row>
    <row r="40771" spans="31:31">
      <c r="AE40771" s="54"/>
    </row>
    <row r="40772" spans="31:31">
      <c r="AE40772" s="54"/>
    </row>
    <row r="40773" spans="31:31">
      <c r="AE40773" s="54"/>
    </row>
    <row r="40774" spans="31:31">
      <c r="AE40774" s="54"/>
    </row>
    <row r="40775" spans="31:31">
      <c r="AE40775" s="54"/>
    </row>
    <row r="40776" spans="31:31">
      <c r="AE40776" s="54"/>
    </row>
    <row r="40777" spans="31:31">
      <c r="AE40777" s="54"/>
    </row>
    <row r="40778" spans="31:31">
      <c r="AE40778" s="54"/>
    </row>
    <row r="40779" spans="31:31">
      <c r="AE40779" s="54"/>
    </row>
    <row r="40780" spans="31:31">
      <c r="AE40780" s="54"/>
    </row>
    <row r="40781" spans="31:31">
      <c r="AE40781" s="54"/>
    </row>
    <row r="40782" spans="31:31">
      <c r="AE40782" s="54"/>
    </row>
    <row r="40783" spans="31:31">
      <c r="AE40783" s="54"/>
    </row>
    <row r="40784" spans="31:31">
      <c r="AE40784" s="54"/>
    </row>
    <row r="40785" spans="31:31">
      <c r="AE40785" s="54"/>
    </row>
    <row r="40786" spans="31:31">
      <c r="AE40786" s="54"/>
    </row>
    <row r="40787" spans="31:31">
      <c r="AE40787" s="54"/>
    </row>
    <row r="40788" spans="31:31">
      <c r="AE40788" s="54"/>
    </row>
    <row r="40789" spans="31:31">
      <c r="AE40789" s="54"/>
    </row>
    <row r="40790" spans="31:31">
      <c r="AE40790" s="54"/>
    </row>
    <row r="40791" spans="31:31">
      <c r="AE40791" s="54"/>
    </row>
    <row r="40792" spans="31:31">
      <c r="AE40792" s="54"/>
    </row>
    <row r="40793" spans="31:31">
      <c r="AE40793" s="54"/>
    </row>
    <row r="40794" spans="31:31">
      <c r="AE40794" s="54"/>
    </row>
    <row r="40795" spans="31:31">
      <c r="AE40795" s="54"/>
    </row>
    <row r="40796" spans="31:31">
      <c r="AE40796" s="54"/>
    </row>
    <row r="40797" spans="31:31">
      <c r="AE40797" s="54"/>
    </row>
    <row r="40798" spans="31:31">
      <c r="AE40798" s="54"/>
    </row>
    <row r="40799" spans="31:31">
      <c r="AE40799" s="54"/>
    </row>
    <row r="40800" spans="31:31">
      <c r="AE40800" s="54"/>
    </row>
    <row r="40801" spans="31:31">
      <c r="AE40801" s="54"/>
    </row>
    <row r="40802" spans="31:31">
      <c r="AE40802" s="54"/>
    </row>
    <row r="40803" spans="31:31">
      <c r="AE40803" s="54"/>
    </row>
    <row r="40804" spans="31:31">
      <c r="AE40804" s="54"/>
    </row>
    <row r="40805" spans="31:31">
      <c r="AE40805" s="54"/>
    </row>
    <row r="40806" spans="31:31">
      <c r="AE40806" s="54"/>
    </row>
    <row r="40807" spans="31:31">
      <c r="AE40807" s="54"/>
    </row>
    <row r="40808" spans="31:31">
      <c r="AE40808" s="54"/>
    </row>
    <row r="40809" spans="31:31">
      <c r="AE40809" s="54"/>
    </row>
    <row r="40810" spans="31:31">
      <c r="AE40810" s="54"/>
    </row>
    <row r="40811" spans="31:31">
      <c r="AE40811" s="54"/>
    </row>
    <row r="40812" spans="31:31">
      <c r="AE40812" s="54"/>
    </row>
    <row r="40813" spans="31:31">
      <c r="AE40813" s="54"/>
    </row>
    <row r="40814" spans="31:31">
      <c r="AE40814" s="54"/>
    </row>
    <row r="40815" spans="31:31">
      <c r="AE40815" s="54"/>
    </row>
    <row r="40816" spans="31:31">
      <c r="AE40816" s="54"/>
    </row>
    <row r="40817" spans="31:31">
      <c r="AE40817" s="54"/>
    </row>
    <row r="40818" spans="31:31">
      <c r="AE40818" s="54"/>
    </row>
    <row r="40819" spans="31:31">
      <c r="AE40819" s="54"/>
    </row>
    <row r="40820" spans="31:31">
      <c r="AE40820" s="54"/>
    </row>
    <row r="40821" spans="31:31">
      <c r="AE40821" s="54"/>
    </row>
    <row r="40822" spans="31:31">
      <c r="AE40822" s="54"/>
    </row>
    <row r="40823" spans="31:31">
      <c r="AE40823" s="54"/>
    </row>
    <row r="40824" spans="31:31">
      <c r="AE40824" s="54"/>
    </row>
    <row r="40825" spans="31:31">
      <c r="AE40825" s="54"/>
    </row>
    <row r="40826" spans="31:31">
      <c r="AE40826" s="54"/>
    </row>
    <row r="40827" spans="31:31">
      <c r="AE40827" s="54"/>
    </row>
    <row r="40828" spans="31:31">
      <c r="AE40828" s="54"/>
    </row>
    <row r="40829" spans="31:31">
      <c r="AE40829" s="54"/>
    </row>
    <row r="40830" spans="31:31">
      <c r="AE40830" s="54"/>
    </row>
    <row r="40831" spans="31:31">
      <c r="AE40831" s="54"/>
    </row>
    <row r="40832" spans="31:31">
      <c r="AE40832" s="54"/>
    </row>
    <row r="40833" spans="31:31">
      <c r="AE40833" s="54"/>
    </row>
    <row r="40834" spans="31:31">
      <c r="AE40834" s="54"/>
    </row>
    <row r="40835" spans="31:31">
      <c r="AE40835" s="54"/>
    </row>
    <row r="40836" spans="31:31">
      <c r="AE40836" s="54"/>
    </row>
    <row r="40837" spans="31:31">
      <c r="AE40837" s="54"/>
    </row>
    <row r="40838" spans="31:31">
      <c r="AE40838" s="54"/>
    </row>
    <row r="40839" spans="31:31">
      <c r="AE40839" s="54"/>
    </row>
    <row r="40840" spans="31:31">
      <c r="AE40840" s="54"/>
    </row>
    <row r="40841" spans="31:31">
      <c r="AE40841" s="54"/>
    </row>
    <row r="40842" spans="31:31">
      <c r="AE40842" s="54"/>
    </row>
    <row r="40843" spans="31:31">
      <c r="AE40843" s="54"/>
    </row>
    <row r="40844" spans="31:31">
      <c r="AE40844" s="54"/>
    </row>
    <row r="40845" spans="31:31">
      <c r="AE40845" s="54"/>
    </row>
    <row r="40846" spans="31:31">
      <c r="AE40846" s="54"/>
    </row>
    <row r="40847" spans="31:31">
      <c r="AE40847" s="54"/>
    </row>
    <row r="40848" spans="31:31">
      <c r="AE40848" s="54"/>
    </row>
    <row r="40849" spans="31:31">
      <c r="AE40849" s="54"/>
    </row>
    <row r="40850" spans="31:31">
      <c r="AE40850" s="54"/>
    </row>
    <row r="40851" spans="31:31">
      <c r="AE40851" s="54"/>
    </row>
    <row r="40852" spans="31:31">
      <c r="AE40852" s="54"/>
    </row>
    <row r="40853" spans="31:31">
      <c r="AE40853" s="54"/>
    </row>
    <row r="40854" spans="31:31">
      <c r="AE40854" s="54"/>
    </row>
    <row r="40855" spans="31:31">
      <c r="AE40855" s="54"/>
    </row>
    <row r="40856" spans="31:31">
      <c r="AE40856" s="54"/>
    </row>
    <row r="40857" spans="31:31">
      <c r="AE40857" s="54"/>
    </row>
    <row r="40858" spans="31:31">
      <c r="AE40858" s="54"/>
    </row>
    <row r="40859" spans="31:31">
      <c r="AE40859" s="54"/>
    </row>
    <row r="40860" spans="31:31">
      <c r="AE40860" s="54"/>
    </row>
    <row r="40861" spans="31:31">
      <c r="AE40861" s="54"/>
    </row>
    <row r="40862" spans="31:31">
      <c r="AE40862" s="54"/>
    </row>
    <row r="40863" spans="31:31">
      <c r="AE40863" s="54"/>
    </row>
    <row r="40864" spans="31:31">
      <c r="AE40864" s="54"/>
    </row>
    <row r="40865" spans="31:31">
      <c r="AE40865" s="54"/>
    </row>
    <row r="40866" spans="31:31">
      <c r="AE40866" s="54"/>
    </row>
    <row r="40867" spans="31:31">
      <c r="AE40867" s="54"/>
    </row>
    <row r="40868" spans="31:31">
      <c r="AE40868" s="54"/>
    </row>
    <row r="40869" spans="31:31">
      <c r="AE40869" s="54"/>
    </row>
    <row r="40870" spans="31:31">
      <c r="AE40870" s="54"/>
    </row>
    <row r="40871" spans="31:31">
      <c r="AE40871" s="54"/>
    </row>
    <row r="40872" spans="31:31">
      <c r="AE40872" s="54"/>
    </row>
    <row r="40873" spans="31:31">
      <c r="AE40873" s="54"/>
    </row>
    <row r="40874" spans="31:31">
      <c r="AE40874" s="54"/>
    </row>
    <row r="40875" spans="31:31">
      <c r="AE40875" s="54"/>
    </row>
    <row r="40876" spans="31:31">
      <c r="AE40876" s="54"/>
    </row>
    <row r="40877" spans="31:31">
      <c r="AE40877" s="54"/>
    </row>
    <row r="40878" spans="31:31">
      <c r="AE40878" s="54"/>
    </row>
    <row r="40879" spans="31:31">
      <c r="AE40879" s="54"/>
    </row>
    <row r="40880" spans="31:31">
      <c r="AE40880" s="54"/>
    </row>
    <row r="40881" spans="31:31">
      <c r="AE40881" s="54"/>
    </row>
    <row r="40882" spans="31:31">
      <c r="AE40882" s="54"/>
    </row>
    <row r="40883" spans="31:31">
      <c r="AE40883" s="54"/>
    </row>
    <row r="40884" spans="31:31">
      <c r="AE40884" s="54"/>
    </row>
    <row r="40885" spans="31:31">
      <c r="AE40885" s="54"/>
    </row>
    <row r="40886" spans="31:31">
      <c r="AE40886" s="54"/>
    </row>
    <row r="40887" spans="31:31">
      <c r="AE40887" s="54"/>
    </row>
    <row r="40888" spans="31:31">
      <c r="AE40888" s="54"/>
    </row>
    <row r="40889" spans="31:31">
      <c r="AE40889" s="54"/>
    </row>
    <row r="40890" spans="31:31">
      <c r="AE40890" s="54"/>
    </row>
    <row r="40891" spans="31:31">
      <c r="AE40891" s="54"/>
    </row>
    <row r="40892" spans="31:31">
      <c r="AE40892" s="54"/>
    </row>
    <row r="40893" spans="31:31">
      <c r="AE40893" s="54"/>
    </row>
    <row r="40894" spans="31:31">
      <c r="AE40894" s="54"/>
    </row>
    <row r="40895" spans="31:31">
      <c r="AE40895" s="54"/>
    </row>
    <row r="40896" spans="31:31">
      <c r="AE40896" s="54"/>
    </row>
    <row r="40897" spans="31:31">
      <c r="AE40897" s="54"/>
    </row>
    <row r="40898" spans="31:31">
      <c r="AE40898" s="54"/>
    </row>
    <row r="40899" spans="31:31">
      <c r="AE40899" s="54"/>
    </row>
    <row r="40900" spans="31:31">
      <c r="AE40900" s="54"/>
    </row>
    <row r="40901" spans="31:31">
      <c r="AE40901" s="54"/>
    </row>
    <row r="40902" spans="31:31">
      <c r="AE40902" s="54"/>
    </row>
    <row r="40903" spans="31:31">
      <c r="AE40903" s="54"/>
    </row>
    <row r="40904" spans="31:31">
      <c r="AE40904" s="54"/>
    </row>
    <row r="40905" spans="31:31">
      <c r="AE40905" s="54"/>
    </row>
    <row r="40906" spans="31:31">
      <c r="AE40906" s="54"/>
    </row>
    <row r="40907" spans="31:31">
      <c r="AE40907" s="54"/>
    </row>
    <row r="40908" spans="31:31">
      <c r="AE40908" s="54"/>
    </row>
    <row r="40909" spans="31:31">
      <c r="AE40909" s="54"/>
    </row>
    <row r="40910" spans="31:31">
      <c r="AE40910" s="54"/>
    </row>
    <row r="40911" spans="31:31">
      <c r="AE40911" s="54"/>
    </row>
    <row r="40912" spans="31:31">
      <c r="AE40912" s="54"/>
    </row>
    <row r="40913" spans="31:31">
      <c r="AE40913" s="54"/>
    </row>
    <row r="40914" spans="31:31">
      <c r="AE40914" s="54"/>
    </row>
    <row r="40915" spans="31:31">
      <c r="AE40915" s="54"/>
    </row>
    <row r="40916" spans="31:31">
      <c r="AE40916" s="54"/>
    </row>
    <row r="40917" spans="31:31">
      <c r="AE40917" s="54"/>
    </row>
    <row r="40918" spans="31:31">
      <c r="AE40918" s="54"/>
    </row>
    <row r="40919" spans="31:31">
      <c r="AE40919" s="54"/>
    </row>
    <row r="40920" spans="31:31">
      <c r="AE40920" s="54"/>
    </row>
    <row r="40921" spans="31:31">
      <c r="AE40921" s="54"/>
    </row>
    <row r="40922" spans="31:31">
      <c r="AE40922" s="54"/>
    </row>
    <row r="40923" spans="31:31">
      <c r="AE40923" s="54"/>
    </row>
    <row r="40924" spans="31:31">
      <c r="AE40924" s="54"/>
    </row>
    <row r="40925" spans="31:31">
      <c r="AE40925" s="54"/>
    </row>
    <row r="40926" spans="31:31">
      <c r="AE40926" s="54"/>
    </row>
    <row r="40927" spans="31:31">
      <c r="AE40927" s="54"/>
    </row>
    <row r="40928" spans="31:31">
      <c r="AE40928" s="54"/>
    </row>
    <row r="40929" spans="31:31">
      <c r="AE40929" s="54"/>
    </row>
    <row r="40930" spans="31:31">
      <c r="AE40930" s="54"/>
    </row>
    <row r="40931" spans="31:31">
      <c r="AE40931" s="54"/>
    </row>
    <row r="40932" spans="31:31">
      <c r="AE40932" s="54"/>
    </row>
    <row r="40933" spans="31:31">
      <c r="AE40933" s="54"/>
    </row>
    <row r="40934" spans="31:31">
      <c r="AE40934" s="54"/>
    </row>
    <row r="40935" spans="31:31">
      <c r="AE40935" s="54"/>
    </row>
    <row r="40936" spans="31:31">
      <c r="AE40936" s="54"/>
    </row>
    <row r="40937" spans="31:31">
      <c r="AE40937" s="54"/>
    </row>
    <row r="40938" spans="31:31">
      <c r="AE40938" s="54"/>
    </row>
    <row r="40939" spans="31:31">
      <c r="AE40939" s="54"/>
    </row>
    <row r="40940" spans="31:31">
      <c r="AE40940" s="54"/>
    </row>
    <row r="40941" spans="31:31">
      <c r="AE40941" s="54"/>
    </row>
    <row r="40942" spans="31:31">
      <c r="AE40942" s="54"/>
    </row>
    <row r="40943" spans="31:31">
      <c r="AE40943" s="54"/>
    </row>
    <row r="40944" spans="31:31">
      <c r="AE40944" s="54"/>
    </row>
    <row r="40945" spans="31:31">
      <c r="AE40945" s="54"/>
    </row>
    <row r="40946" spans="31:31">
      <c r="AE40946" s="54"/>
    </row>
    <row r="40947" spans="31:31">
      <c r="AE40947" s="54"/>
    </row>
    <row r="40948" spans="31:31">
      <c r="AE40948" s="54"/>
    </row>
    <row r="40949" spans="31:31">
      <c r="AE40949" s="54"/>
    </row>
    <row r="40950" spans="31:31">
      <c r="AE40950" s="54"/>
    </row>
    <row r="40951" spans="31:31">
      <c r="AE40951" s="54"/>
    </row>
    <row r="40952" spans="31:31">
      <c r="AE40952" s="54"/>
    </row>
    <row r="40953" spans="31:31">
      <c r="AE40953" s="54"/>
    </row>
    <row r="40954" spans="31:31">
      <c r="AE40954" s="54"/>
    </row>
    <row r="40955" spans="31:31">
      <c r="AE40955" s="54"/>
    </row>
    <row r="40956" spans="31:31">
      <c r="AE40956" s="54"/>
    </row>
    <row r="40957" spans="31:31">
      <c r="AE40957" s="54"/>
    </row>
    <row r="40958" spans="31:31">
      <c r="AE40958" s="54"/>
    </row>
    <row r="40959" spans="31:31">
      <c r="AE40959" s="54"/>
    </row>
    <row r="40960" spans="31:31">
      <c r="AE40960" s="54"/>
    </row>
    <row r="40961" spans="31:31">
      <c r="AE40961" s="54"/>
    </row>
    <row r="40962" spans="31:31">
      <c r="AE40962" s="54"/>
    </row>
    <row r="40963" spans="31:31">
      <c r="AE40963" s="54"/>
    </row>
    <row r="40964" spans="31:31">
      <c r="AE40964" s="54"/>
    </row>
    <row r="40965" spans="31:31">
      <c r="AE40965" s="54"/>
    </row>
    <row r="40966" spans="31:31">
      <c r="AE40966" s="54"/>
    </row>
    <row r="40967" spans="31:31">
      <c r="AE40967" s="54"/>
    </row>
    <row r="40968" spans="31:31">
      <c r="AE40968" s="54"/>
    </row>
    <row r="40969" spans="31:31">
      <c r="AE40969" s="54"/>
    </row>
    <row r="40970" spans="31:31">
      <c r="AE40970" s="54"/>
    </row>
    <row r="40971" spans="31:31">
      <c r="AE40971" s="54"/>
    </row>
    <row r="40972" spans="31:31">
      <c r="AE40972" s="54"/>
    </row>
    <row r="40973" spans="31:31">
      <c r="AE40973" s="54"/>
    </row>
    <row r="40974" spans="31:31">
      <c r="AE40974" s="54"/>
    </row>
    <row r="40975" spans="31:31">
      <c r="AE40975" s="54"/>
    </row>
    <row r="40976" spans="31:31">
      <c r="AE40976" s="54"/>
    </row>
    <row r="40977" spans="31:31">
      <c r="AE40977" s="54"/>
    </row>
    <row r="40978" spans="31:31">
      <c r="AE40978" s="54"/>
    </row>
    <row r="40979" spans="31:31">
      <c r="AE40979" s="54"/>
    </row>
    <row r="40980" spans="31:31">
      <c r="AE40980" s="54"/>
    </row>
    <row r="40981" spans="31:31">
      <c r="AE40981" s="54"/>
    </row>
    <row r="40982" spans="31:31">
      <c r="AE40982" s="54"/>
    </row>
    <row r="40983" spans="31:31">
      <c r="AE40983" s="54"/>
    </row>
    <row r="40984" spans="31:31">
      <c r="AE40984" s="54"/>
    </row>
    <row r="40985" spans="31:31">
      <c r="AE40985" s="54"/>
    </row>
    <row r="40986" spans="31:31">
      <c r="AE40986" s="54"/>
    </row>
    <row r="40987" spans="31:31">
      <c r="AE40987" s="54"/>
    </row>
    <row r="40988" spans="31:31">
      <c r="AE40988" s="54"/>
    </row>
    <row r="40989" spans="31:31">
      <c r="AE40989" s="54"/>
    </row>
    <row r="40990" spans="31:31">
      <c r="AE40990" s="54"/>
    </row>
    <row r="40991" spans="31:31">
      <c r="AE40991" s="54"/>
    </row>
    <row r="40992" spans="31:31">
      <c r="AE40992" s="54"/>
    </row>
    <row r="40993" spans="31:31">
      <c r="AE40993" s="54"/>
    </row>
    <row r="40994" spans="31:31">
      <c r="AE40994" s="54"/>
    </row>
    <row r="40995" spans="31:31">
      <c r="AE40995" s="54"/>
    </row>
    <row r="40996" spans="31:31">
      <c r="AE40996" s="54"/>
    </row>
    <row r="40997" spans="31:31">
      <c r="AE40997" s="54"/>
    </row>
    <row r="40998" spans="31:31">
      <c r="AE40998" s="54"/>
    </row>
    <row r="40999" spans="31:31">
      <c r="AE40999" s="54"/>
    </row>
    <row r="41000" spans="31:31">
      <c r="AE41000" s="54"/>
    </row>
    <row r="41001" spans="31:31">
      <c r="AE41001" s="54"/>
    </row>
    <row r="41002" spans="31:31">
      <c r="AE41002" s="54"/>
    </row>
    <row r="41003" spans="31:31">
      <c r="AE41003" s="54"/>
    </row>
    <row r="41004" spans="31:31">
      <c r="AE41004" s="54"/>
    </row>
    <row r="41005" spans="31:31">
      <c r="AE41005" s="54"/>
    </row>
    <row r="41006" spans="31:31">
      <c r="AE41006" s="54"/>
    </row>
    <row r="41007" spans="31:31">
      <c r="AE41007" s="54"/>
    </row>
    <row r="41008" spans="31:31">
      <c r="AE41008" s="54"/>
    </row>
    <row r="41009" spans="31:31">
      <c r="AE41009" s="54"/>
    </row>
    <row r="41010" spans="31:31">
      <c r="AE41010" s="54"/>
    </row>
    <row r="41011" spans="31:31">
      <c r="AE41011" s="54"/>
    </row>
    <row r="41012" spans="31:31">
      <c r="AE41012" s="54"/>
    </row>
    <row r="41013" spans="31:31">
      <c r="AE41013" s="54"/>
    </row>
    <row r="41014" spans="31:31">
      <c r="AE41014" s="54"/>
    </row>
    <row r="41015" spans="31:31">
      <c r="AE41015" s="54"/>
    </row>
    <row r="41016" spans="31:31">
      <c r="AE41016" s="54"/>
    </row>
    <row r="41017" spans="31:31">
      <c r="AE41017" s="54"/>
    </row>
    <row r="41018" spans="31:31">
      <c r="AE41018" s="54"/>
    </row>
    <row r="41019" spans="31:31">
      <c r="AE41019" s="54"/>
    </row>
    <row r="41020" spans="31:31">
      <c r="AE41020" s="54"/>
    </row>
    <row r="41021" spans="31:31">
      <c r="AE41021" s="54"/>
    </row>
    <row r="41022" spans="31:31">
      <c r="AE41022" s="54"/>
    </row>
    <row r="41023" spans="31:31">
      <c r="AE41023" s="54"/>
    </row>
    <row r="41024" spans="31:31">
      <c r="AE41024" s="54"/>
    </row>
    <row r="41025" spans="31:31">
      <c r="AE41025" s="54"/>
    </row>
    <row r="41026" spans="31:31">
      <c r="AE41026" s="54"/>
    </row>
    <row r="41027" spans="31:31">
      <c r="AE41027" s="54"/>
    </row>
    <row r="41028" spans="31:31">
      <c r="AE41028" s="54"/>
    </row>
    <row r="41029" spans="31:31">
      <c r="AE41029" s="54"/>
    </row>
    <row r="41030" spans="31:31">
      <c r="AE41030" s="54"/>
    </row>
    <row r="41031" spans="31:31">
      <c r="AE41031" s="54"/>
    </row>
    <row r="41032" spans="31:31">
      <c r="AE41032" s="54"/>
    </row>
    <row r="41033" spans="31:31">
      <c r="AE41033" s="54"/>
    </row>
    <row r="41034" spans="31:31">
      <c r="AE41034" s="54"/>
    </row>
    <row r="41035" spans="31:31">
      <c r="AE41035" s="54"/>
    </row>
    <row r="41036" spans="31:31">
      <c r="AE41036" s="54"/>
    </row>
    <row r="41037" spans="31:31">
      <c r="AE41037" s="54"/>
    </row>
    <row r="41038" spans="31:31">
      <c r="AE41038" s="54"/>
    </row>
    <row r="41039" spans="31:31">
      <c r="AE41039" s="54"/>
    </row>
    <row r="41040" spans="31:31">
      <c r="AE41040" s="54"/>
    </row>
    <row r="41041" spans="31:31">
      <c r="AE41041" s="54"/>
    </row>
    <row r="41042" spans="31:31">
      <c r="AE41042" s="54"/>
    </row>
    <row r="41043" spans="31:31">
      <c r="AE41043" s="54"/>
    </row>
    <row r="41044" spans="31:31">
      <c r="AE41044" s="54"/>
    </row>
    <row r="41045" spans="31:31">
      <c r="AE41045" s="54"/>
    </row>
    <row r="41046" spans="31:31">
      <c r="AE41046" s="54"/>
    </row>
    <row r="41047" spans="31:31">
      <c r="AE41047" s="54"/>
    </row>
    <row r="41048" spans="31:31">
      <c r="AE41048" s="54"/>
    </row>
    <row r="41049" spans="31:31">
      <c r="AE41049" s="54"/>
    </row>
    <row r="41050" spans="31:31">
      <c r="AE41050" s="54"/>
    </row>
    <row r="41051" spans="31:31">
      <c r="AE41051" s="54"/>
    </row>
    <row r="41052" spans="31:31">
      <c r="AE41052" s="54"/>
    </row>
    <row r="41053" spans="31:31">
      <c r="AE41053" s="54"/>
    </row>
    <row r="41054" spans="31:31">
      <c r="AE41054" s="54"/>
    </row>
    <row r="41055" spans="31:31">
      <c r="AE41055" s="54"/>
    </row>
    <row r="41056" spans="31:31">
      <c r="AE41056" s="54"/>
    </row>
    <row r="41057" spans="31:31">
      <c r="AE41057" s="54"/>
    </row>
    <row r="41058" spans="31:31">
      <c r="AE41058" s="54"/>
    </row>
    <row r="41059" spans="31:31">
      <c r="AE41059" s="54"/>
    </row>
    <row r="41060" spans="31:31">
      <c r="AE41060" s="54"/>
    </row>
    <row r="41061" spans="31:31">
      <c r="AE41061" s="54"/>
    </row>
    <row r="41062" spans="31:31">
      <c r="AE41062" s="54"/>
    </row>
    <row r="41063" spans="31:31">
      <c r="AE41063" s="54"/>
    </row>
    <row r="41064" spans="31:31">
      <c r="AE41064" s="54"/>
    </row>
    <row r="41065" spans="31:31">
      <c r="AE41065" s="54"/>
    </row>
    <row r="41066" spans="31:31">
      <c r="AE41066" s="54"/>
    </row>
    <row r="41067" spans="31:31">
      <c r="AE41067" s="54"/>
    </row>
    <row r="41068" spans="31:31">
      <c r="AE41068" s="54"/>
    </row>
    <row r="41069" spans="31:31">
      <c r="AE41069" s="54"/>
    </row>
    <row r="41070" spans="31:31">
      <c r="AE41070" s="54"/>
    </row>
    <row r="41071" spans="31:31">
      <c r="AE41071" s="54"/>
    </row>
    <row r="41072" spans="31:31">
      <c r="AE41072" s="54"/>
    </row>
    <row r="41073" spans="31:31">
      <c r="AE41073" s="54"/>
    </row>
    <row r="41074" spans="31:31">
      <c r="AE41074" s="54"/>
    </row>
    <row r="41075" spans="31:31">
      <c r="AE41075" s="54"/>
    </row>
    <row r="41076" spans="31:31">
      <c r="AE41076" s="54"/>
    </row>
    <row r="41077" spans="31:31">
      <c r="AE41077" s="54"/>
    </row>
    <row r="41078" spans="31:31">
      <c r="AE41078" s="54"/>
    </row>
    <row r="41079" spans="31:31">
      <c r="AE41079" s="54"/>
    </row>
    <row r="41080" spans="31:31">
      <c r="AE41080" s="54"/>
    </row>
    <row r="41081" spans="31:31">
      <c r="AE41081" s="54"/>
    </row>
    <row r="41082" spans="31:31">
      <c r="AE41082" s="54"/>
    </row>
    <row r="41083" spans="31:31">
      <c r="AE41083" s="54"/>
    </row>
    <row r="41084" spans="31:31">
      <c r="AE41084" s="54"/>
    </row>
    <row r="41085" spans="31:31">
      <c r="AE41085" s="54"/>
    </row>
    <row r="41086" spans="31:31">
      <c r="AE41086" s="54"/>
    </row>
    <row r="41087" spans="31:31">
      <c r="AE41087" s="54"/>
    </row>
    <row r="41088" spans="31:31">
      <c r="AE41088" s="54"/>
    </row>
    <row r="41089" spans="31:31">
      <c r="AE41089" s="54"/>
    </row>
    <row r="41090" spans="31:31">
      <c r="AE41090" s="54"/>
    </row>
    <row r="41091" spans="31:31">
      <c r="AE41091" s="54"/>
    </row>
    <row r="41092" spans="31:31">
      <c r="AE41092" s="54"/>
    </row>
    <row r="41093" spans="31:31">
      <c r="AE41093" s="54"/>
    </row>
    <row r="41094" spans="31:31">
      <c r="AE41094" s="54"/>
    </row>
    <row r="41095" spans="31:31">
      <c r="AE41095" s="54"/>
    </row>
    <row r="41096" spans="31:31">
      <c r="AE41096" s="54"/>
    </row>
    <row r="41097" spans="31:31">
      <c r="AE41097" s="54"/>
    </row>
    <row r="41098" spans="31:31">
      <c r="AE41098" s="54"/>
    </row>
    <row r="41099" spans="31:31">
      <c r="AE41099" s="54"/>
    </row>
    <row r="41100" spans="31:31">
      <c r="AE41100" s="54"/>
    </row>
    <row r="41101" spans="31:31">
      <c r="AE41101" s="54"/>
    </row>
    <row r="41102" spans="31:31">
      <c r="AE41102" s="54"/>
    </row>
    <row r="41103" spans="31:31">
      <c r="AE41103" s="54"/>
    </row>
    <row r="41104" spans="31:31">
      <c r="AE41104" s="54"/>
    </row>
    <row r="41105" spans="31:31">
      <c r="AE41105" s="54"/>
    </row>
    <row r="41106" spans="31:31">
      <c r="AE41106" s="54"/>
    </row>
    <row r="41107" spans="31:31">
      <c r="AE41107" s="54"/>
    </row>
    <row r="41108" spans="31:31">
      <c r="AE41108" s="54"/>
    </row>
    <row r="41109" spans="31:31">
      <c r="AE41109" s="54"/>
    </row>
    <row r="41110" spans="31:31">
      <c r="AE41110" s="54"/>
    </row>
    <row r="41111" spans="31:31">
      <c r="AE41111" s="54"/>
    </row>
    <row r="41112" spans="31:31">
      <c r="AE41112" s="54"/>
    </row>
    <row r="41113" spans="31:31">
      <c r="AE41113" s="54"/>
    </row>
    <row r="41114" spans="31:31">
      <c r="AE41114" s="54"/>
    </row>
    <row r="41115" spans="31:31">
      <c r="AE41115" s="54"/>
    </row>
    <row r="41116" spans="31:31">
      <c r="AE41116" s="54"/>
    </row>
    <row r="41117" spans="31:31">
      <c r="AE41117" s="54"/>
    </row>
    <row r="41118" spans="31:31">
      <c r="AE41118" s="54"/>
    </row>
    <row r="41119" spans="31:31">
      <c r="AE41119" s="54"/>
    </row>
    <row r="41120" spans="31:31">
      <c r="AE41120" s="54"/>
    </row>
    <row r="41121" spans="31:31">
      <c r="AE41121" s="54"/>
    </row>
    <row r="41122" spans="31:31">
      <c r="AE41122" s="54"/>
    </row>
    <row r="41123" spans="31:31">
      <c r="AE41123" s="54"/>
    </row>
    <row r="41124" spans="31:31">
      <c r="AE41124" s="54"/>
    </row>
    <row r="41125" spans="31:31">
      <c r="AE41125" s="54"/>
    </row>
    <row r="41126" spans="31:31">
      <c r="AE41126" s="54"/>
    </row>
    <row r="41127" spans="31:31">
      <c r="AE41127" s="54"/>
    </row>
    <row r="41128" spans="31:31">
      <c r="AE41128" s="54"/>
    </row>
    <row r="41129" spans="31:31">
      <c r="AE41129" s="54"/>
    </row>
    <row r="41130" spans="31:31">
      <c r="AE41130" s="54"/>
    </row>
    <row r="41131" spans="31:31">
      <c r="AE41131" s="54"/>
    </row>
    <row r="41132" spans="31:31">
      <c r="AE41132" s="54"/>
    </row>
    <row r="41133" spans="31:31">
      <c r="AE41133" s="54"/>
    </row>
    <row r="41134" spans="31:31">
      <c r="AE41134" s="54"/>
    </row>
    <row r="41135" spans="31:31">
      <c r="AE41135" s="54"/>
    </row>
    <row r="41136" spans="31:31">
      <c r="AE41136" s="54"/>
    </row>
    <row r="41137" spans="31:31">
      <c r="AE41137" s="54"/>
    </row>
    <row r="41138" spans="31:31">
      <c r="AE41138" s="54"/>
    </row>
    <row r="41139" spans="31:31">
      <c r="AE41139" s="54"/>
    </row>
    <row r="41140" spans="31:31">
      <c r="AE41140" s="54"/>
    </row>
    <row r="41141" spans="31:31">
      <c r="AE41141" s="54"/>
    </row>
    <row r="41142" spans="31:31">
      <c r="AE41142" s="54"/>
    </row>
    <row r="41143" spans="31:31">
      <c r="AE41143" s="54"/>
    </row>
    <row r="41144" spans="31:31">
      <c r="AE41144" s="54"/>
    </row>
    <row r="41145" spans="31:31">
      <c r="AE41145" s="54"/>
    </row>
    <row r="41146" spans="31:31">
      <c r="AE41146" s="54"/>
    </row>
    <row r="41147" spans="31:31">
      <c r="AE41147" s="54"/>
    </row>
    <row r="41148" spans="31:31">
      <c r="AE41148" s="54"/>
    </row>
    <row r="41149" spans="31:31">
      <c r="AE41149" s="54"/>
    </row>
    <row r="41150" spans="31:31">
      <c r="AE41150" s="54"/>
    </row>
    <row r="41151" spans="31:31">
      <c r="AE41151" s="54"/>
    </row>
    <row r="41152" spans="31:31">
      <c r="AE41152" s="54"/>
    </row>
    <row r="41153" spans="31:31">
      <c r="AE41153" s="54"/>
    </row>
    <row r="41154" spans="31:31">
      <c r="AE41154" s="54"/>
    </row>
    <row r="41155" spans="31:31">
      <c r="AE41155" s="54"/>
    </row>
    <row r="41156" spans="31:31">
      <c r="AE41156" s="54"/>
    </row>
    <row r="41157" spans="31:31">
      <c r="AE41157" s="54"/>
    </row>
    <row r="41158" spans="31:31">
      <c r="AE41158" s="54"/>
    </row>
    <row r="41159" spans="31:31">
      <c r="AE41159" s="54"/>
    </row>
    <row r="41160" spans="31:31">
      <c r="AE41160" s="54"/>
    </row>
    <row r="41161" spans="31:31">
      <c r="AE41161" s="54"/>
    </row>
    <row r="41162" spans="31:31">
      <c r="AE41162" s="54"/>
    </row>
    <row r="41163" spans="31:31">
      <c r="AE41163" s="54"/>
    </row>
    <row r="41164" spans="31:31">
      <c r="AE41164" s="54"/>
    </row>
    <row r="41165" spans="31:31">
      <c r="AE41165" s="54"/>
    </row>
    <row r="41166" spans="31:31">
      <c r="AE41166" s="54"/>
    </row>
    <row r="41167" spans="31:31">
      <c r="AE41167" s="54"/>
    </row>
    <row r="41168" spans="31:31">
      <c r="AE41168" s="54"/>
    </row>
    <row r="41169" spans="31:31">
      <c r="AE41169" s="54"/>
    </row>
    <row r="41170" spans="31:31">
      <c r="AE41170" s="54"/>
    </row>
    <row r="41171" spans="31:31">
      <c r="AE41171" s="54"/>
    </row>
    <row r="41172" spans="31:31">
      <c r="AE41172" s="54"/>
    </row>
    <row r="41173" spans="31:31">
      <c r="AE41173" s="54"/>
    </row>
    <row r="41174" spans="31:31">
      <c r="AE41174" s="54"/>
    </row>
    <row r="41175" spans="31:31">
      <c r="AE41175" s="54"/>
    </row>
    <row r="41176" spans="31:31">
      <c r="AE41176" s="54"/>
    </row>
    <row r="41177" spans="31:31">
      <c r="AE41177" s="54"/>
    </row>
    <row r="41178" spans="31:31">
      <c r="AE41178" s="54"/>
    </row>
    <row r="41179" spans="31:31">
      <c r="AE41179" s="54"/>
    </row>
    <row r="41180" spans="31:31">
      <c r="AE41180" s="54"/>
    </row>
    <row r="41181" spans="31:31">
      <c r="AE41181" s="54"/>
    </row>
    <row r="41182" spans="31:31">
      <c r="AE41182" s="54"/>
    </row>
    <row r="41183" spans="31:31">
      <c r="AE41183" s="54"/>
    </row>
    <row r="41184" spans="31:31">
      <c r="AE41184" s="54"/>
    </row>
    <row r="41185" spans="31:31">
      <c r="AE41185" s="54"/>
    </row>
    <row r="41186" spans="31:31">
      <c r="AE41186" s="54"/>
    </row>
    <row r="41187" spans="31:31">
      <c r="AE41187" s="54"/>
    </row>
    <row r="41188" spans="31:31">
      <c r="AE41188" s="54"/>
    </row>
    <row r="41189" spans="31:31">
      <c r="AE41189" s="54"/>
    </row>
    <row r="41190" spans="31:31">
      <c r="AE41190" s="54"/>
    </row>
    <row r="41191" spans="31:31">
      <c r="AE41191" s="54"/>
    </row>
    <row r="41192" spans="31:31">
      <c r="AE41192" s="54"/>
    </row>
    <row r="41193" spans="31:31">
      <c r="AE41193" s="54"/>
    </row>
    <row r="41194" spans="31:31">
      <c r="AE41194" s="54"/>
    </row>
    <row r="41195" spans="31:31">
      <c r="AE41195" s="54"/>
    </row>
    <row r="41196" spans="31:31">
      <c r="AE41196" s="54"/>
    </row>
    <row r="41197" spans="31:31">
      <c r="AE41197" s="54"/>
    </row>
    <row r="41198" spans="31:31">
      <c r="AE41198" s="54"/>
    </row>
    <row r="41199" spans="31:31">
      <c r="AE41199" s="54"/>
    </row>
    <row r="41200" spans="31:31">
      <c r="AE41200" s="54"/>
    </row>
    <row r="41201" spans="31:31">
      <c r="AE41201" s="54"/>
    </row>
    <row r="41202" spans="31:31">
      <c r="AE41202" s="54"/>
    </row>
    <row r="41203" spans="31:31">
      <c r="AE41203" s="54"/>
    </row>
    <row r="41204" spans="31:31">
      <c r="AE41204" s="54"/>
    </row>
    <row r="41205" spans="31:31">
      <c r="AE41205" s="54"/>
    </row>
    <row r="41206" spans="31:31">
      <c r="AE41206" s="54"/>
    </row>
    <row r="41207" spans="31:31">
      <c r="AE41207" s="54"/>
    </row>
    <row r="41208" spans="31:31">
      <c r="AE41208" s="54"/>
    </row>
    <row r="41209" spans="31:31">
      <c r="AE41209" s="54"/>
    </row>
    <row r="41210" spans="31:31">
      <c r="AE41210" s="54"/>
    </row>
    <row r="41211" spans="31:31">
      <c r="AE41211" s="54"/>
    </row>
    <row r="41212" spans="31:31">
      <c r="AE41212" s="54"/>
    </row>
    <row r="41213" spans="31:31">
      <c r="AE41213" s="54"/>
    </row>
    <row r="41214" spans="31:31">
      <c r="AE41214" s="54"/>
    </row>
    <row r="41215" spans="31:31">
      <c r="AE41215" s="54"/>
    </row>
    <row r="41216" spans="31:31">
      <c r="AE41216" s="54"/>
    </row>
    <row r="41217" spans="31:31">
      <c r="AE41217" s="54"/>
    </row>
    <row r="41218" spans="31:31">
      <c r="AE41218" s="54"/>
    </row>
    <row r="41219" spans="31:31">
      <c r="AE41219" s="54"/>
    </row>
    <row r="41220" spans="31:31">
      <c r="AE41220" s="54"/>
    </row>
    <row r="41221" spans="31:31">
      <c r="AE41221" s="54"/>
    </row>
    <row r="41222" spans="31:31">
      <c r="AE41222" s="54"/>
    </row>
    <row r="41223" spans="31:31">
      <c r="AE41223" s="54"/>
    </row>
    <row r="41224" spans="31:31">
      <c r="AE41224" s="54"/>
    </row>
    <row r="41225" spans="31:31">
      <c r="AE41225" s="54"/>
    </row>
    <row r="41226" spans="31:31">
      <c r="AE41226" s="54"/>
    </row>
    <row r="41227" spans="31:31">
      <c r="AE41227" s="54"/>
    </row>
    <row r="41228" spans="31:31">
      <c r="AE41228" s="54"/>
    </row>
    <row r="41229" spans="31:31">
      <c r="AE41229" s="54"/>
    </row>
    <row r="41230" spans="31:31">
      <c r="AE41230" s="54"/>
    </row>
    <row r="41231" spans="31:31">
      <c r="AE41231" s="54"/>
    </row>
    <row r="41232" spans="31:31">
      <c r="AE41232" s="54"/>
    </row>
    <row r="41233" spans="31:31">
      <c r="AE41233" s="54"/>
    </row>
    <row r="41234" spans="31:31">
      <c r="AE41234" s="54"/>
    </row>
    <row r="41235" spans="31:31">
      <c r="AE41235" s="54"/>
    </row>
    <row r="41236" spans="31:31">
      <c r="AE41236" s="54"/>
    </row>
    <row r="41237" spans="31:31">
      <c r="AE41237" s="54"/>
    </row>
    <row r="41238" spans="31:31">
      <c r="AE41238" s="54"/>
    </row>
    <row r="41239" spans="31:31">
      <c r="AE41239" s="54"/>
    </row>
    <row r="41240" spans="31:31">
      <c r="AE41240" s="54"/>
    </row>
    <row r="41241" spans="31:31">
      <c r="AE41241" s="54"/>
    </row>
    <row r="41242" spans="31:31">
      <c r="AE41242" s="54"/>
    </row>
    <row r="41243" spans="31:31">
      <c r="AE41243" s="54"/>
    </row>
    <row r="41244" spans="31:31">
      <c r="AE41244" s="54"/>
    </row>
    <row r="41245" spans="31:31">
      <c r="AE41245" s="54"/>
    </row>
    <row r="41246" spans="31:31">
      <c r="AE41246" s="54"/>
    </row>
    <row r="41247" spans="31:31">
      <c r="AE41247" s="54"/>
    </row>
    <row r="41248" spans="31:31">
      <c r="AE41248" s="54"/>
    </row>
    <row r="41249" spans="31:31">
      <c r="AE41249" s="54"/>
    </row>
    <row r="41250" spans="31:31">
      <c r="AE41250" s="54"/>
    </row>
    <row r="41251" spans="31:31">
      <c r="AE41251" s="54"/>
    </row>
    <row r="41252" spans="31:31">
      <c r="AE41252" s="54"/>
    </row>
    <row r="41253" spans="31:31">
      <c r="AE41253" s="54"/>
    </row>
    <row r="41254" spans="31:31">
      <c r="AE41254" s="54"/>
    </row>
    <row r="41255" spans="31:31">
      <c r="AE41255" s="54"/>
    </row>
    <row r="41256" spans="31:31">
      <c r="AE41256" s="54"/>
    </row>
    <row r="41257" spans="31:31">
      <c r="AE41257" s="54"/>
    </row>
    <row r="41258" spans="31:31">
      <c r="AE41258" s="54"/>
    </row>
    <row r="41259" spans="31:31">
      <c r="AE41259" s="54"/>
    </row>
    <row r="41260" spans="31:31">
      <c r="AE41260" s="54"/>
    </row>
    <row r="41261" spans="31:31">
      <c r="AE41261" s="54"/>
    </row>
    <row r="41262" spans="31:31">
      <c r="AE41262" s="54"/>
    </row>
    <row r="41263" spans="31:31">
      <c r="AE41263" s="54"/>
    </row>
    <row r="41264" spans="31:31">
      <c r="AE41264" s="54"/>
    </row>
    <row r="41265" spans="31:31">
      <c r="AE41265" s="54"/>
    </row>
    <row r="41266" spans="31:31">
      <c r="AE41266" s="54"/>
    </row>
    <row r="41267" spans="31:31">
      <c r="AE41267" s="54"/>
    </row>
    <row r="41268" spans="31:31">
      <c r="AE41268" s="54"/>
    </row>
    <row r="41269" spans="31:31">
      <c r="AE41269" s="54"/>
    </row>
    <row r="41270" spans="31:31">
      <c r="AE41270" s="54"/>
    </row>
    <row r="41271" spans="31:31">
      <c r="AE41271" s="54"/>
    </row>
    <row r="41272" spans="31:31">
      <c r="AE41272" s="54"/>
    </row>
    <row r="41273" spans="31:31">
      <c r="AE41273" s="54"/>
    </row>
    <row r="41274" spans="31:31">
      <c r="AE41274" s="54"/>
    </row>
    <row r="41275" spans="31:31">
      <c r="AE41275" s="54"/>
    </row>
    <row r="41276" spans="31:31">
      <c r="AE41276" s="54"/>
    </row>
    <row r="41277" spans="31:31">
      <c r="AE41277" s="54"/>
    </row>
    <row r="41278" spans="31:31">
      <c r="AE41278" s="54"/>
    </row>
    <row r="41279" spans="31:31">
      <c r="AE41279" s="54"/>
    </row>
    <row r="41280" spans="31:31">
      <c r="AE41280" s="54"/>
    </row>
    <row r="41281" spans="31:31">
      <c r="AE41281" s="54"/>
    </row>
    <row r="41282" spans="31:31">
      <c r="AE41282" s="54"/>
    </row>
    <row r="41283" spans="31:31">
      <c r="AE41283" s="54"/>
    </row>
    <row r="41284" spans="31:31">
      <c r="AE41284" s="54"/>
    </row>
    <row r="41285" spans="31:31">
      <c r="AE41285" s="54"/>
    </row>
    <row r="41286" spans="31:31">
      <c r="AE41286" s="54"/>
    </row>
    <row r="41287" spans="31:31">
      <c r="AE41287" s="54"/>
    </row>
    <row r="41288" spans="31:31">
      <c r="AE41288" s="54"/>
    </row>
    <row r="41289" spans="31:31">
      <c r="AE41289" s="54"/>
    </row>
    <row r="41290" spans="31:31">
      <c r="AE41290" s="54"/>
    </row>
    <row r="41291" spans="31:31">
      <c r="AE41291" s="54"/>
    </row>
    <row r="41292" spans="31:31">
      <c r="AE41292" s="54"/>
    </row>
    <row r="41293" spans="31:31">
      <c r="AE41293" s="54"/>
    </row>
    <row r="41294" spans="31:31">
      <c r="AE41294" s="54"/>
    </row>
    <row r="41295" spans="31:31">
      <c r="AE41295" s="54"/>
    </row>
    <row r="41296" spans="31:31">
      <c r="AE41296" s="54"/>
    </row>
    <row r="41297" spans="31:31">
      <c r="AE41297" s="54"/>
    </row>
    <row r="41298" spans="31:31">
      <c r="AE41298" s="54"/>
    </row>
    <row r="41299" spans="31:31">
      <c r="AE41299" s="54"/>
    </row>
    <row r="41300" spans="31:31">
      <c r="AE41300" s="54"/>
    </row>
    <row r="41301" spans="31:31">
      <c r="AE41301" s="54"/>
    </row>
    <row r="41302" spans="31:31">
      <c r="AE41302" s="54"/>
    </row>
    <row r="41303" spans="31:31">
      <c r="AE41303" s="54"/>
    </row>
    <row r="41304" spans="31:31">
      <c r="AE41304" s="54"/>
    </row>
    <row r="41305" spans="31:31">
      <c r="AE41305" s="54"/>
    </row>
    <row r="41306" spans="31:31">
      <c r="AE41306" s="54"/>
    </row>
    <row r="41307" spans="31:31">
      <c r="AE41307" s="54"/>
    </row>
    <row r="41308" spans="31:31">
      <c r="AE41308" s="54"/>
    </row>
    <row r="41309" spans="31:31">
      <c r="AE41309" s="54"/>
    </row>
    <row r="41310" spans="31:31">
      <c r="AE41310" s="54"/>
    </row>
    <row r="41311" spans="31:31">
      <c r="AE41311" s="54"/>
    </row>
    <row r="41312" spans="31:31">
      <c r="AE41312" s="54"/>
    </row>
    <row r="41313" spans="31:31">
      <c r="AE41313" s="54"/>
    </row>
    <row r="41314" spans="31:31">
      <c r="AE41314" s="54"/>
    </row>
    <row r="41315" spans="31:31">
      <c r="AE41315" s="54"/>
    </row>
    <row r="41316" spans="31:31">
      <c r="AE41316" s="54"/>
    </row>
    <row r="41317" spans="31:31">
      <c r="AE41317" s="54"/>
    </row>
    <row r="41318" spans="31:31">
      <c r="AE41318" s="54"/>
    </row>
    <row r="41319" spans="31:31">
      <c r="AE41319" s="54"/>
    </row>
    <row r="41320" spans="31:31">
      <c r="AE41320" s="54"/>
    </row>
    <row r="41321" spans="31:31">
      <c r="AE41321" s="54"/>
    </row>
    <row r="41322" spans="31:31">
      <c r="AE41322" s="54"/>
    </row>
    <row r="41323" spans="31:31">
      <c r="AE41323" s="54"/>
    </row>
    <row r="41324" spans="31:31">
      <c r="AE41324" s="54"/>
    </row>
    <row r="41325" spans="31:31">
      <c r="AE41325" s="54"/>
    </row>
    <row r="41326" spans="31:31">
      <c r="AE41326" s="54"/>
    </row>
    <row r="41327" spans="31:31">
      <c r="AE41327" s="54"/>
    </row>
    <row r="41328" spans="31:31">
      <c r="AE41328" s="54"/>
    </row>
    <row r="41329" spans="31:31">
      <c r="AE41329" s="54"/>
    </row>
    <row r="41330" spans="31:31">
      <c r="AE41330" s="54"/>
    </row>
    <row r="41331" spans="31:31">
      <c r="AE41331" s="54"/>
    </row>
    <row r="41332" spans="31:31">
      <c r="AE41332" s="54"/>
    </row>
    <row r="41333" spans="31:31">
      <c r="AE41333" s="54"/>
    </row>
    <row r="41334" spans="31:31">
      <c r="AE41334" s="54"/>
    </row>
    <row r="41335" spans="31:31">
      <c r="AE41335" s="54"/>
    </row>
    <row r="41336" spans="31:31">
      <c r="AE41336" s="54"/>
    </row>
    <row r="41337" spans="31:31">
      <c r="AE41337" s="54"/>
    </row>
    <row r="41338" spans="31:31">
      <c r="AE41338" s="54"/>
    </row>
    <row r="41339" spans="31:31">
      <c r="AE41339" s="54"/>
    </row>
    <row r="41340" spans="31:31">
      <c r="AE41340" s="54"/>
    </row>
    <row r="41341" spans="31:31">
      <c r="AE41341" s="54"/>
    </row>
    <row r="41342" spans="31:31">
      <c r="AE41342" s="54"/>
    </row>
    <row r="41343" spans="31:31">
      <c r="AE41343" s="54"/>
    </row>
    <row r="41344" spans="31:31">
      <c r="AE41344" s="54"/>
    </row>
    <row r="41345" spans="31:31">
      <c r="AE41345" s="54"/>
    </row>
    <row r="41346" spans="31:31">
      <c r="AE41346" s="54"/>
    </row>
    <row r="41347" spans="31:31">
      <c r="AE41347" s="54"/>
    </row>
    <row r="41348" spans="31:31">
      <c r="AE41348" s="54"/>
    </row>
    <row r="41349" spans="31:31">
      <c r="AE41349" s="54"/>
    </row>
    <row r="41350" spans="31:31">
      <c r="AE41350" s="54"/>
    </row>
    <row r="41351" spans="31:31">
      <c r="AE41351" s="54"/>
    </row>
    <row r="41352" spans="31:31">
      <c r="AE41352" s="54"/>
    </row>
    <row r="41353" spans="31:31">
      <c r="AE41353" s="54"/>
    </row>
    <row r="41354" spans="31:31">
      <c r="AE41354" s="54"/>
    </row>
    <row r="41355" spans="31:31">
      <c r="AE41355" s="54"/>
    </row>
    <row r="41356" spans="31:31">
      <c r="AE41356" s="54"/>
    </row>
    <row r="41357" spans="31:31">
      <c r="AE41357" s="54"/>
    </row>
    <row r="41358" spans="31:31">
      <c r="AE41358" s="54"/>
    </row>
    <row r="41359" spans="31:31">
      <c r="AE41359" s="54"/>
    </row>
    <row r="41360" spans="31:31">
      <c r="AE41360" s="54"/>
    </row>
    <row r="41361" spans="31:31">
      <c r="AE41361" s="54"/>
    </row>
    <row r="41362" spans="31:31">
      <c r="AE41362" s="54"/>
    </row>
    <row r="41363" spans="31:31">
      <c r="AE41363" s="54"/>
    </row>
    <row r="41364" spans="31:31">
      <c r="AE41364" s="54"/>
    </row>
    <row r="41365" spans="31:31">
      <c r="AE41365" s="54"/>
    </row>
    <row r="41366" spans="31:31">
      <c r="AE41366" s="54"/>
    </row>
    <row r="41367" spans="31:31">
      <c r="AE41367" s="54"/>
    </row>
    <row r="41368" spans="31:31">
      <c r="AE41368" s="54"/>
    </row>
    <row r="41369" spans="31:31">
      <c r="AE41369" s="54"/>
    </row>
    <row r="41370" spans="31:31">
      <c r="AE41370" s="54"/>
    </row>
    <row r="41371" spans="31:31">
      <c r="AE41371" s="54"/>
    </row>
    <row r="41372" spans="31:31">
      <c r="AE41372" s="54"/>
    </row>
    <row r="41373" spans="31:31">
      <c r="AE41373" s="54"/>
    </row>
    <row r="41374" spans="31:31">
      <c r="AE41374" s="54"/>
    </row>
    <row r="41375" spans="31:31">
      <c r="AE41375" s="54"/>
    </row>
    <row r="41376" spans="31:31">
      <c r="AE41376" s="54"/>
    </row>
    <row r="41377" spans="31:31">
      <c r="AE41377" s="54"/>
    </row>
    <row r="41378" spans="31:31">
      <c r="AE41378" s="54"/>
    </row>
    <row r="41379" spans="31:31">
      <c r="AE41379" s="54"/>
    </row>
    <row r="41380" spans="31:31">
      <c r="AE41380" s="54"/>
    </row>
    <row r="41381" spans="31:31">
      <c r="AE41381" s="54"/>
    </row>
    <row r="41382" spans="31:31">
      <c r="AE41382" s="54"/>
    </row>
    <row r="41383" spans="31:31">
      <c r="AE41383" s="54"/>
    </row>
    <row r="41384" spans="31:31">
      <c r="AE41384" s="54"/>
    </row>
    <row r="41385" spans="31:31">
      <c r="AE41385" s="54"/>
    </row>
    <row r="41386" spans="31:31">
      <c r="AE41386" s="54"/>
    </row>
    <row r="41387" spans="31:31">
      <c r="AE41387" s="54"/>
    </row>
    <row r="41388" spans="31:31">
      <c r="AE41388" s="54"/>
    </row>
    <row r="41389" spans="31:31">
      <c r="AE41389" s="54"/>
    </row>
    <row r="41390" spans="31:31">
      <c r="AE41390" s="54"/>
    </row>
    <row r="41391" spans="31:31">
      <c r="AE41391" s="54"/>
    </row>
    <row r="41392" spans="31:31">
      <c r="AE41392" s="54"/>
    </row>
    <row r="41393" spans="31:31">
      <c r="AE41393" s="54"/>
    </row>
    <row r="41394" spans="31:31">
      <c r="AE41394" s="54"/>
    </row>
    <row r="41395" spans="31:31">
      <c r="AE41395" s="54"/>
    </row>
    <row r="41396" spans="31:31">
      <c r="AE41396" s="54"/>
    </row>
    <row r="41397" spans="31:31">
      <c r="AE41397" s="54"/>
    </row>
    <row r="41398" spans="31:31">
      <c r="AE41398" s="54"/>
    </row>
    <row r="41399" spans="31:31">
      <c r="AE41399" s="54"/>
    </row>
    <row r="41400" spans="31:31">
      <c r="AE41400" s="54"/>
    </row>
    <row r="41401" spans="31:31">
      <c r="AE41401" s="54"/>
    </row>
    <row r="41402" spans="31:31">
      <c r="AE41402" s="54"/>
    </row>
    <row r="41403" spans="31:31">
      <c r="AE41403" s="54"/>
    </row>
    <row r="41404" spans="31:31">
      <c r="AE41404" s="54"/>
    </row>
    <row r="41405" spans="31:31">
      <c r="AE41405" s="54"/>
    </row>
    <row r="41406" spans="31:31">
      <c r="AE41406" s="54"/>
    </row>
    <row r="41407" spans="31:31">
      <c r="AE41407" s="54"/>
    </row>
    <row r="41408" spans="31:31">
      <c r="AE41408" s="54"/>
    </row>
    <row r="41409" spans="31:31">
      <c r="AE41409" s="54"/>
    </row>
    <row r="41410" spans="31:31">
      <c r="AE41410" s="54"/>
    </row>
    <row r="41411" spans="31:31">
      <c r="AE41411" s="54"/>
    </row>
    <row r="41412" spans="31:31">
      <c r="AE41412" s="54"/>
    </row>
    <row r="41413" spans="31:31">
      <c r="AE41413" s="54"/>
    </row>
    <row r="41414" spans="31:31">
      <c r="AE41414" s="54"/>
    </row>
    <row r="41415" spans="31:31">
      <c r="AE41415" s="54"/>
    </row>
    <row r="41416" spans="31:31">
      <c r="AE41416" s="54"/>
    </row>
    <row r="41417" spans="31:31">
      <c r="AE41417" s="54"/>
    </row>
    <row r="41418" spans="31:31">
      <c r="AE41418" s="54"/>
    </row>
    <row r="41419" spans="31:31">
      <c r="AE41419" s="54"/>
    </row>
    <row r="41420" spans="31:31">
      <c r="AE41420" s="54"/>
    </row>
    <row r="41421" spans="31:31">
      <c r="AE41421" s="54"/>
    </row>
    <row r="41422" spans="31:31">
      <c r="AE41422" s="54"/>
    </row>
    <row r="41423" spans="31:31">
      <c r="AE41423" s="54"/>
    </row>
    <row r="41424" spans="31:31">
      <c r="AE41424" s="54"/>
    </row>
    <row r="41425" spans="31:31">
      <c r="AE41425" s="54"/>
    </row>
    <row r="41426" spans="31:31">
      <c r="AE41426" s="54"/>
    </row>
    <row r="41427" spans="31:31">
      <c r="AE41427" s="54"/>
    </row>
    <row r="41428" spans="31:31">
      <c r="AE41428" s="54"/>
    </row>
    <row r="41429" spans="31:31">
      <c r="AE41429" s="54"/>
    </row>
    <row r="41430" spans="31:31">
      <c r="AE41430" s="54"/>
    </row>
    <row r="41431" spans="31:31">
      <c r="AE41431" s="54"/>
    </row>
    <row r="41432" spans="31:31">
      <c r="AE41432" s="54"/>
    </row>
    <row r="41433" spans="31:31">
      <c r="AE41433" s="54"/>
    </row>
    <row r="41434" spans="31:31">
      <c r="AE41434" s="54"/>
    </row>
    <row r="41435" spans="31:31">
      <c r="AE41435" s="54"/>
    </row>
    <row r="41436" spans="31:31">
      <c r="AE41436" s="54"/>
    </row>
    <row r="41437" spans="31:31">
      <c r="AE41437" s="54"/>
    </row>
    <row r="41438" spans="31:31">
      <c r="AE41438" s="54"/>
    </row>
    <row r="41439" spans="31:31">
      <c r="AE41439" s="54"/>
    </row>
    <row r="41440" spans="31:31">
      <c r="AE41440" s="54"/>
    </row>
    <row r="41441" spans="31:31">
      <c r="AE41441" s="54"/>
    </row>
    <row r="41442" spans="31:31">
      <c r="AE41442" s="54"/>
    </row>
    <row r="41443" spans="31:31">
      <c r="AE41443" s="54"/>
    </row>
    <row r="41444" spans="31:31">
      <c r="AE41444" s="54"/>
    </row>
    <row r="41445" spans="31:31">
      <c r="AE41445" s="54"/>
    </row>
    <row r="41446" spans="31:31">
      <c r="AE41446" s="54"/>
    </row>
    <row r="41447" spans="31:31">
      <c r="AE41447" s="54"/>
    </row>
    <row r="41448" spans="31:31">
      <c r="AE41448" s="54"/>
    </row>
    <row r="41449" spans="31:31">
      <c r="AE41449" s="54"/>
    </row>
    <row r="41450" spans="31:31">
      <c r="AE41450" s="54"/>
    </row>
    <row r="41451" spans="31:31">
      <c r="AE41451" s="54"/>
    </row>
    <row r="41452" spans="31:31">
      <c r="AE41452" s="54"/>
    </row>
    <row r="41453" spans="31:31">
      <c r="AE41453" s="54"/>
    </row>
    <row r="41454" spans="31:31">
      <c r="AE41454" s="54"/>
    </row>
    <row r="41455" spans="31:31">
      <c r="AE41455" s="54"/>
    </row>
    <row r="41456" spans="31:31">
      <c r="AE41456" s="54"/>
    </row>
    <row r="41457" spans="31:31">
      <c r="AE41457" s="54"/>
    </row>
    <row r="41458" spans="31:31">
      <c r="AE41458" s="54"/>
    </row>
    <row r="41459" spans="31:31">
      <c r="AE41459" s="54"/>
    </row>
    <row r="41460" spans="31:31">
      <c r="AE41460" s="54"/>
    </row>
    <row r="41461" spans="31:31">
      <c r="AE41461" s="54"/>
    </row>
    <row r="41462" spans="31:31">
      <c r="AE41462" s="54"/>
    </row>
    <row r="41463" spans="31:31">
      <c r="AE41463" s="54"/>
    </row>
    <row r="41464" spans="31:31">
      <c r="AE41464" s="54"/>
    </row>
    <row r="41465" spans="31:31">
      <c r="AE41465" s="54"/>
    </row>
    <row r="41466" spans="31:31">
      <c r="AE41466" s="54"/>
    </row>
    <row r="41467" spans="31:31">
      <c r="AE41467" s="54"/>
    </row>
    <row r="41468" spans="31:31">
      <c r="AE41468" s="54"/>
    </row>
    <row r="41469" spans="31:31">
      <c r="AE41469" s="54"/>
    </row>
    <row r="41470" spans="31:31">
      <c r="AE41470" s="54"/>
    </row>
    <row r="41471" spans="31:31">
      <c r="AE41471" s="54"/>
    </row>
    <row r="41472" spans="31:31">
      <c r="AE41472" s="54"/>
    </row>
    <row r="41473" spans="31:31">
      <c r="AE41473" s="54"/>
    </row>
    <row r="41474" spans="31:31">
      <c r="AE41474" s="54"/>
    </row>
    <row r="41475" spans="31:31">
      <c r="AE41475" s="54"/>
    </row>
    <row r="41476" spans="31:31">
      <c r="AE41476" s="54"/>
    </row>
    <row r="41477" spans="31:31">
      <c r="AE41477" s="54"/>
    </row>
    <row r="41478" spans="31:31">
      <c r="AE41478" s="54"/>
    </row>
    <row r="41479" spans="31:31">
      <c r="AE41479" s="54"/>
    </row>
    <row r="41480" spans="31:31">
      <c r="AE41480" s="54"/>
    </row>
    <row r="41481" spans="31:31">
      <c r="AE41481" s="54"/>
    </row>
    <row r="41482" spans="31:31">
      <c r="AE41482" s="54"/>
    </row>
    <row r="41483" spans="31:31">
      <c r="AE41483" s="54"/>
    </row>
    <row r="41484" spans="31:31">
      <c r="AE41484" s="54"/>
    </row>
    <row r="41485" spans="31:31">
      <c r="AE41485" s="54"/>
    </row>
    <row r="41486" spans="31:31">
      <c r="AE41486" s="54"/>
    </row>
    <row r="41487" spans="31:31">
      <c r="AE41487" s="54"/>
    </row>
    <row r="41488" spans="31:31">
      <c r="AE41488" s="54"/>
    </row>
    <row r="41489" spans="31:31">
      <c r="AE41489" s="54"/>
    </row>
    <row r="41490" spans="31:31">
      <c r="AE41490" s="54"/>
    </row>
    <row r="41491" spans="31:31">
      <c r="AE41491" s="54"/>
    </row>
    <row r="41492" spans="31:31">
      <c r="AE41492" s="54"/>
    </row>
    <row r="41493" spans="31:31">
      <c r="AE41493" s="54"/>
    </row>
    <row r="41494" spans="31:31">
      <c r="AE41494" s="54"/>
    </row>
    <row r="41495" spans="31:31">
      <c r="AE41495" s="54"/>
    </row>
    <row r="41496" spans="31:31">
      <c r="AE41496" s="54"/>
    </row>
    <row r="41497" spans="31:31">
      <c r="AE41497" s="54"/>
    </row>
    <row r="41498" spans="31:31">
      <c r="AE41498" s="54"/>
    </row>
    <row r="41499" spans="31:31">
      <c r="AE41499" s="54"/>
    </row>
    <row r="41500" spans="31:31">
      <c r="AE41500" s="54"/>
    </row>
    <row r="41501" spans="31:31">
      <c r="AE41501" s="54"/>
    </row>
    <row r="41502" spans="31:31">
      <c r="AE41502" s="54"/>
    </row>
    <row r="41503" spans="31:31">
      <c r="AE41503" s="54"/>
    </row>
    <row r="41504" spans="31:31">
      <c r="AE41504" s="54"/>
    </row>
    <row r="41505" spans="31:31">
      <c r="AE41505" s="54"/>
    </row>
    <row r="41506" spans="31:31">
      <c r="AE41506" s="54"/>
    </row>
    <row r="41507" spans="31:31">
      <c r="AE41507" s="54"/>
    </row>
    <row r="41508" spans="31:31">
      <c r="AE41508" s="54"/>
    </row>
    <row r="41509" spans="31:31">
      <c r="AE41509" s="54"/>
    </row>
    <row r="41510" spans="31:31">
      <c r="AE41510" s="54"/>
    </row>
    <row r="41511" spans="31:31">
      <c r="AE41511" s="54"/>
    </row>
    <row r="41512" spans="31:31">
      <c r="AE41512" s="54"/>
    </row>
    <row r="41513" spans="31:31">
      <c r="AE41513" s="54"/>
    </row>
    <row r="41514" spans="31:31">
      <c r="AE41514" s="54"/>
    </row>
    <row r="41515" spans="31:31">
      <c r="AE41515" s="54"/>
    </row>
    <row r="41516" spans="31:31">
      <c r="AE41516" s="54"/>
    </row>
    <row r="41517" spans="31:31">
      <c r="AE41517" s="54"/>
    </row>
    <row r="41518" spans="31:31">
      <c r="AE41518" s="54"/>
    </row>
    <row r="41519" spans="31:31">
      <c r="AE41519" s="54"/>
    </row>
    <row r="41520" spans="31:31">
      <c r="AE41520" s="54"/>
    </row>
    <row r="41521" spans="31:31">
      <c r="AE41521" s="54"/>
    </row>
    <row r="41522" spans="31:31">
      <c r="AE41522" s="54"/>
    </row>
    <row r="41523" spans="31:31">
      <c r="AE41523" s="54"/>
    </row>
    <row r="41524" spans="31:31">
      <c r="AE41524" s="54"/>
    </row>
    <row r="41525" spans="31:31">
      <c r="AE41525" s="54"/>
    </row>
    <row r="41526" spans="31:31">
      <c r="AE41526" s="54"/>
    </row>
    <row r="41527" spans="31:31">
      <c r="AE41527" s="54"/>
    </row>
    <row r="41528" spans="31:31">
      <c r="AE41528" s="54"/>
    </row>
    <row r="41529" spans="31:31">
      <c r="AE41529" s="54"/>
    </row>
    <row r="41530" spans="31:31">
      <c r="AE41530" s="54"/>
    </row>
    <row r="41531" spans="31:31">
      <c r="AE41531" s="54"/>
    </row>
    <row r="41532" spans="31:31">
      <c r="AE41532" s="54"/>
    </row>
    <row r="41533" spans="31:31">
      <c r="AE41533" s="54"/>
    </row>
    <row r="41534" spans="31:31">
      <c r="AE41534" s="54"/>
    </row>
    <row r="41535" spans="31:31">
      <c r="AE41535" s="54"/>
    </row>
    <row r="41536" spans="31:31">
      <c r="AE41536" s="54"/>
    </row>
    <row r="41537" spans="31:31">
      <c r="AE41537" s="54"/>
    </row>
    <row r="41538" spans="31:31">
      <c r="AE41538" s="54"/>
    </row>
    <row r="41539" spans="31:31">
      <c r="AE41539" s="54"/>
    </row>
    <row r="41540" spans="31:31">
      <c r="AE41540" s="54"/>
    </row>
    <row r="41541" spans="31:31">
      <c r="AE41541" s="54"/>
    </row>
    <row r="41542" spans="31:31">
      <c r="AE41542" s="54"/>
    </row>
    <row r="41543" spans="31:31">
      <c r="AE41543" s="54"/>
    </row>
    <row r="41544" spans="31:31">
      <c r="AE41544" s="54"/>
    </row>
    <row r="41545" spans="31:31">
      <c r="AE41545" s="54"/>
    </row>
    <row r="41546" spans="31:31">
      <c r="AE41546" s="54"/>
    </row>
    <row r="41547" spans="31:31">
      <c r="AE41547" s="54"/>
    </row>
    <row r="41548" spans="31:31">
      <c r="AE41548" s="54"/>
    </row>
    <row r="41549" spans="31:31">
      <c r="AE41549" s="54"/>
    </row>
    <row r="41550" spans="31:31">
      <c r="AE41550" s="54"/>
    </row>
    <row r="41551" spans="31:31">
      <c r="AE41551" s="54"/>
    </row>
    <row r="41552" spans="31:31">
      <c r="AE41552" s="54"/>
    </row>
    <row r="41553" spans="31:31">
      <c r="AE41553" s="54"/>
    </row>
    <row r="41554" spans="31:31">
      <c r="AE41554" s="54"/>
    </row>
    <row r="41555" spans="31:31">
      <c r="AE41555" s="54"/>
    </row>
    <row r="41556" spans="31:31">
      <c r="AE41556" s="54"/>
    </row>
    <row r="41557" spans="31:31">
      <c r="AE41557" s="54"/>
    </row>
    <row r="41558" spans="31:31">
      <c r="AE41558" s="54"/>
    </row>
    <row r="41559" spans="31:31">
      <c r="AE41559" s="54"/>
    </row>
    <row r="41560" spans="31:31">
      <c r="AE41560" s="54"/>
    </row>
    <row r="41561" spans="31:31">
      <c r="AE41561" s="54"/>
    </row>
    <row r="41562" spans="31:31">
      <c r="AE41562" s="54"/>
    </row>
    <row r="41563" spans="31:31">
      <c r="AE41563" s="54"/>
    </row>
    <row r="41564" spans="31:31">
      <c r="AE41564" s="54"/>
    </row>
    <row r="41565" spans="31:31">
      <c r="AE41565" s="54"/>
    </row>
    <row r="41566" spans="31:31">
      <c r="AE41566" s="54"/>
    </row>
    <row r="41567" spans="31:31">
      <c r="AE41567" s="54"/>
    </row>
    <row r="41568" spans="31:31">
      <c r="AE41568" s="54"/>
    </row>
    <row r="41569" spans="31:31">
      <c r="AE41569" s="54"/>
    </row>
    <row r="41570" spans="31:31">
      <c r="AE41570" s="54"/>
    </row>
    <row r="41571" spans="31:31">
      <c r="AE41571" s="54"/>
    </row>
    <row r="41572" spans="31:31">
      <c r="AE41572" s="54"/>
    </row>
    <row r="41573" spans="31:31">
      <c r="AE41573" s="54"/>
    </row>
    <row r="41574" spans="31:31">
      <c r="AE41574" s="54"/>
    </row>
    <row r="41575" spans="31:31">
      <c r="AE41575" s="54"/>
    </row>
    <row r="41576" spans="31:31">
      <c r="AE41576" s="54"/>
    </row>
    <row r="41577" spans="31:31">
      <c r="AE41577" s="54"/>
    </row>
    <row r="41578" spans="31:31">
      <c r="AE41578" s="54"/>
    </row>
    <row r="41579" spans="31:31">
      <c r="AE41579" s="54"/>
    </row>
    <row r="41580" spans="31:31">
      <c r="AE41580" s="54"/>
    </row>
    <row r="41581" spans="31:31">
      <c r="AE41581" s="54"/>
    </row>
    <row r="41582" spans="31:31">
      <c r="AE41582" s="54"/>
    </row>
    <row r="41583" spans="31:31">
      <c r="AE41583" s="54"/>
    </row>
    <row r="41584" spans="31:31">
      <c r="AE41584" s="54"/>
    </row>
    <row r="41585" spans="31:31">
      <c r="AE41585" s="54"/>
    </row>
    <row r="41586" spans="31:31">
      <c r="AE41586" s="54"/>
    </row>
    <row r="41587" spans="31:31">
      <c r="AE41587" s="54"/>
    </row>
    <row r="41588" spans="31:31">
      <c r="AE41588" s="54"/>
    </row>
    <row r="41589" spans="31:31">
      <c r="AE41589" s="54"/>
    </row>
    <row r="41590" spans="31:31">
      <c r="AE41590" s="54"/>
    </row>
    <row r="41591" spans="31:31">
      <c r="AE41591" s="54"/>
    </row>
    <row r="41592" spans="31:31">
      <c r="AE41592" s="54"/>
    </row>
    <row r="41593" spans="31:31">
      <c r="AE41593" s="54"/>
    </row>
    <row r="41594" spans="31:31">
      <c r="AE41594" s="54"/>
    </row>
    <row r="41595" spans="31:31">
      <c r="AE41595" s="54"/>
    </row>
    <row r="41596" spans="31:31">
      <c r="AE41596" s="54"/>
    </row>
    <row r="41597" spans="31:31">
      <c r="AE41597" s="54"/>
    </row>
    <row r="41598" spans="31:31">
      <c r="AE41598" s="54"/>
    </row>
    <row r="41599" spans="31:31">
      <c r="AE41599" s="54"/>
    </row>
    <row r="41600" spans="31:31">
      <c r="AE41600" s="54"/>
    </row>
    <row r="41601" spans="31:31">
      <c r="AE41601" s="54"/>
    </row>
    <row r="41602" spans="31:31">
      <c r="AE41602" s="54"/>
    </row>
    <row r="41603" spans="31:31">
      <c r="AE41603" s="54"/>
    </row>
    <row r="41604" spans="31:31">
      <c r="AE41604" s="54"/>
    </row>
    <row r="41605" spans="31:31">
      <c r="AE41605" s="54"/>
    </row>
    <row r="41606" spans="31:31">
      <c r="AE41606" s="54"/>
    </row>
    <row r="41607" spans="31:31">
      <c r="AE41607" s="54"/>
    </row>
    <row r="41608" spans="31:31">
      <c r="AE41608" s="54"/>
    </row>
    <row r="41609" spans="31:31">
      <c r="AE41609" s="54"/>
    </row>
    <row r="41610" spans="31:31">
      <c r="AE41610" s="54"/>
    </row>
    <row r="41611" spans="31:31">
      <c r="AE41611" s="54"/>
    </row>
    <row r="41612" spans="31:31">
      <c r="AE41612" s="54"/>
    </row>
    <row r="41613" spans="31:31">
      <c r="AE41613" s="54"/>
    </row>
    <row r="41614" spans="31:31">
      <c r="AE41614" s="54"/>
    </row>
    <row r="41615" spans="31:31">
      <c r="AE41615" s="54"/>
    </row>
    <row r="41616" spans="31:31">
      <c r="AE41616" s="54"/>
    </row>
    <row r="41617" spans="31:31">
      <c r="AE41617" s="54"/>
    </row>
    <row r="41618" spans="31:31">
      <c r="AE41618" s="54"/>
    </row>
    <row r="41619" spans="31:31">
      <c r="AE41619" s="54"/>
    </row>
    <row r="41620" spans="31:31">
      <c r="AE41620" s="54"/>
    </row>
    <row r="41621" spans="31:31">
      <c r="AE41621" s="54"/>
    </row>
    <row r="41622" spans="31:31">
      <c r="AE41622" s="54"/>
    </row>
    <row r="41623" spans="31:31">
      <c r="AE41623" s="54"/>
    </row>
    <row r="41624" spans="31:31">
      <c r="AE41624" s="54"/>
    </row>
    <row r="41625" spans="31:31">
      <c r="AE41625" s="54"/>
    </row>
    <row r="41626" spans="31:31">
      <c r="AE41626" s="54"/>
    </row>
    <row r="41627" spans="31:31">
      <c r="AE41627" s="54"/>
    </row>
    <row r="41628" spans="31:31">
      <c r="AE41628" s="54"/>
    </row>
    <row r="41629" spans="31:31">
      <c r="AE41629" s="54"/>
    </row>
    <row r="41630" spans="31:31">
      <c r="AE41630" s="54"/>
    </row>
    <row r="41631" spans="31:31">
      <c r="AE41631" s="54"/>
    </row>
    <row r="41632" spans="31:31">
      <c r="AE41632" s="54"/>
    </row>
    <row r="41633" spans="31:31">
      <c r="AE41633" s="54"/>
    </row>
    <row r="41634" spans="31:31">
      <c r="AE41634" s="54"/>
    </row>
    <row r="41635" spans="31:31">
      <c r="AE41635" s="54"/>
    </row>
    <row r="41636" spans="31:31">
      <c r="AE41636" s="54"/>
    </row>
    <row r="41637" spans="31:31">
      <c r="AE41637" s="54"/>
    </row>
    <row r="41638" spans="31:31">
      <c r="AE41638" s="54"/>
    </row>
    <row r="41639" spans="31:31">
      <c r="AE41639" s="54"/>
    </row>
    <row r="41640" spans="31:31">
      <c r="AE41640" s="54"/>
    </row>
    <row r="41641" spans="31:31">
      <c r="AE41641" s="54"/>
    </row>
    <row r="41642" spans="31:31">
      <c r="AE41642" s="54"/>
    </row>
    <row r="41643" spans="31:31">
      <c r="AE41643" s="54"/>
    </row>
    <row r="41644" spans="31:31">
      <c r="AE41644" s="54"/>
    </row>
    <row r="41645" spans="31:31">
      <c r="AE41645" s="54"/>
    </row>
    <row r="41646" spans="31:31">
      <c r="AE41646" s="54"/>
    </row>
    <row r="41647" spans="31:31">
      <c r="AE41647" s="54"/>
    </row>
    <row r="41648" spans="31:31">
      <c r="AE41648" s="54"/>
    </row>
    <row r="41649" spans="31:31">
      <c r="AE41649" s="54"/>
    </row>
    <row r="41650" spans="31:31">
      <c r="AE41650" s="54"/>
    </row>
    <row r="41651" spans="31:31">
      <c r="AE41651" s="54"/>
    </row>
    <row r="41652" spans="31:31">
      <c r="AE41652" s="54"/>
    </row>
    <row r="41653" spans="31:31">
      <c r="AE41653" s="54"/>
    </row>
    <row r="41654" spans="31:31">
      <c r="AE41654" s="54"/>
    </row>
    <row r="41655" spans="31:31">
      <c r="AE41655" s="54"/>
    </row>
    <row r="41656" spans="31:31">
      <c r="AE41656" s="54"/>
    </row>
    <row r="41657" spans="31:31">
      <c r="AE41657" s="54"/>
    </row>
    <row r="41658" spans="31:31">
      <c r="AE41658" s="54"/>
    </row>
    <row r="41659" spans="31:31">
      <c r="AE41659" s="54"/>
    </row>
    <row r="41660" spans="31:31">
      <c r="AE41660" s="54"/>
    </row>
    <row r="41661" spans="31:31">
      <c r="AE41661" s="54"/>
    </row>
    <row r="41662" spans="31:31">
      <c r="AE41662" s="54"/>
    </row>
    <row r="41663" spans="31:31">
      <c r="AE41663" s="54"/>
    </row>
    <row r="41664" spans="31:31">
      <c r="AE41664" s="54"/>
    </row>
    <row r="41665" spans="31:31">
      <c r="AE41665" s="54"/>
    </row>
    <row r="41666" spans="31:31">
      <c r="AE41666" s="54"/>
    </row>
    <row r="41667" spans="31:31">
      <c r="AE41667" s="54"/>
    </row>
    <row r="41668" spans="31:31">
      <c r="AE41668" s="54"/>
    </row>
    <row r="41669" spans="31:31">
      <c r="AE41669" s="54"/>
    </row>
    <row r="41670" spans="31:31">
      <c r="AE41670" s="54"/>
    </row>
    <row r="41671" spans="31:31">
      <c r="AE41671" s="54"/>
    </row>
    <row r="41672" spans="31:31">
      <c r="AE41672" s="54"/>
    </row>
    <row r="41673" spans="31:31">
      <c r="AE41673" s="54"/>
    </row>
    <row r="41674" spans="31:31">
      <c r="AE41674" s="54"/>
    </row>
    <row r="41675" spans="31:31">
      <c r="AE41675" s="54"/>
    </row>
    <row r="41676" spans="31:31">
      <c r="AE41676" s="54"/>
    </row>
    <row r="41677" spans="31:31">
      <c r="AE41677" s="54"/>
    </row>
    <row r="41678" spans="31:31">
      <c r="AE41678" s="54"/>
    </row>
    <row r="41679" spans="31:31">
      <c r="AE41679" s="54"/>
    </row>
    <row r="41680" spans="31:31">
      <c r="AE41680" s="54"/>
    </row>
    <row r="41681" spans="31:31">
      <c r="AE41681" s="54"/>
    </row>
    <row r="41682" spans="31:31">
      <c r="AE41682" s="54"/>
    </row>
    <row r="41683" spans="31:31">
      <c r="AE41683" s="54"/>
    </row>
    <row r="41684" spans="31:31">
      <c r="AE41684" s="54"/>
    </row>
    <row r="41685" spans="31:31">
      <c r="AE41685" s="54"/>
    </row>
    <row r="41686" spans="31:31">
      <c r="AE41686" s="54"/>
    </row>
    <row r="41687" spans="31:31">
      <c r="AE41687" s="54"/>
    </row>
    <row r="41688" spans="31:31">
      <c r="AE41688" s="54"/>
    </row>
    <row r="41689" spans="31:31">
      <c r="AE41689" s="54"/>
    </row>
    <row r="41690" spans="31:31">
      <c r="AE41690" s="54"/>
    </row>
    <row r="41691" spans="31:31">
      <c r="AE41691" s="54"/>
    </row>
    <row r="41692" spans="31:31">
      <c r="AE41692" s="54"/>
    </row>
    <row r="41693" spans="31:31">
      <c r="AE41693" s="54"/>
    </row>
    <row r="41694" spans="31:31">
      <c r="AE41694" s="54"/>
    </row>
    <row r="41695" spans="31:31">
      <c r="AE41695" s="54"/>
    </row>
    <row r="41696" spans="31:31">
      <c r="AE41696" s="54"/>
    </row>
    <row r="41697" spans="31:31">
      <c r="AE41697" s="54"/>
    </row>
    <row r="41698" spans="31:31">
      <c r="AE41698" s="54"/>
    </row>
    <row r="41699" spans="31:31">
      <c r="AE41699" s="54"/>
    </row>
    <row r="41700" spans="31:31">
      <c r="AE41700" s="54"/>
    </row>
    <row r="41701" spans="31:31">
      <c r="AE41701" s="54"/>
    </row>
    <row r="41702" spans="31:31">
      <c r="AE41702" s="54"/>
    </row>
    <row r="41703" spans="31:31">
      <c r="AE41703" s="54"/>
    </row>
    <row r="41704" spans="31:31">
      <c r="AE41704" s="54"/>
    </row>
    <row r="41705" spans="31:31">
      <c r="AE41705" s="54"/>
    </row>
    <row r="41706" spans="31:31">
      <c r="AE41706" s="54"/>
    </row>
    <row r="41707" spans="31:31">
      <c r="AE41707" s="54"/>
    </row>
    <row r="41708" spans="31:31">
      <c r="AE41708" s="54"/>
    </row>
    <row r="41709" spans="31:31">
      <c r="AE41709" s="54"/>
    </row>
    <row r="41710" spans="31:31">
      <c r="AE41710" s="54"/>
    </row>
    <row r="41711" spans="31:31">
      <c r="AE41711" s="54"/>
    </row>
    <row r="41712" spans="31:31">
      <c r="AE41712" s="54"/>
    </row>
    <row r="41713" spans="31:31">
      <c r="AE41713" s="54"/>
    </row>
    <row r="41714" spans="31:31">
      <c r="AE41714" s="54"/>
    </row>
    <row r="41715" spans="31:31">
      <c r="AE41715" s="54"/>
    </row>
    <row r="41716" spans="31:31">
      <c r="AE41716" s="54"/>
    </row>
    <row r="41717" spans="31:31">
      <c r="AE41717" s="54"/>
    </row>
    <row r="41718" spans="31:31">
      <c r="AE41718" s="54"/>
    </row>
    <row r="41719" spans="31:31">
      <c r="AE41719" s="54"/>
    </row>
    <row r="41720" spans="31:31">
      <c r="AE41720" s="54"/>
    </row>
    <row r="41721" spans="31:31">
      <c r="AE41721" s="54"/>
    </row>
    <row r="41722" spans="31:31">
      <c r="AE41722" s="54"/>
    </row>
    <row r="41723" spans="31:31">
      <c r="AE41723" s="54"/>
    </row>
    <row r="41724" spans="31:31">
      <c r="AE41724" s="54"/>
    </row>
    <row r="41725" spans="31:31">
      <c r="AE41725" s="54"/>
    </row>
    <row r="41726" spans="31:31">
      <c r="AE41726" s="54"/>
    </row>
    <row r="41727" spans="31:31">
      <c r="AE41727" s="54"/>
    </row>
    <row r="41728" spans="31:31">
      <c r="AE41728" s="54"/>
    </row>
    <row r="41729" spans="31:31">
      <c r="AE41729" s="54"/>
    </row>
    <row r="41730" spans="31:31">
      <c r="AE41730" s="54"/>
    </row>
    <row r="41731" spans="31:31">
      <c r="AE41731" s="54"/>
    </row>
    <row r="41732" spans="31:31">
      <c r="AE41732" s="54"/>
    </row>
    <row r="41733" spans="31:31">
      <c r="AE41733" s="54"/>
    </row>
    <row r="41734" spans="31:31">
      <c r="AE41734" s="54"/>
    </row>
    <row r="41735" spans="31:31">
      <c r="AE41735" s="54"/>
    </row>
    <row r="41736" spans="31:31">
      <c r="AE41736" s="54"/>
    </row>
    <row r="41737" spans="31:31">
      <c r="AE41737" s="54"/>
    </row>
    <row r="41738" spans="31:31">
      <c r="AE41738" s="54"/>
    </row>
    <row r="41739" spans="31:31">
      <c r="AE41739" s="54"/>
    </row>
    <row r="41740" spans="31:31">
      <c r="AE41740" s="54"/>
    </row>
    <row r="41741" spans="31:31">
      <c r="AE41741" s="54"/>
    </row>
    <row r="41742" spans="31:31">
      <c r="AE41742" s="54"/>
    </row>
    <row r="41743" spans="31:31">
      <c r="AE41743" s="54"/>
    </row>
    <row r="41744" spans="31:31">
      <c r="AE41744" s="54"/>
    </row>
    <row r="41745" spans="31:31">
      <c r="AE41745" s="54"/>
    </row>
    <row r="41746" spans="31:31">
      <c r="AE41746" s="54"/>
    </row>
    <row r="41747" spans="31:31">
      <c r="AE41747" s="54"/>
    </row>
    <row r="41748" spans="31:31">
      <c r="AE41748" s="54"/>
    </row>
    <row r="41749" spans="31:31">
      <c r="AE41749" s="54"/>
    </row>
    <row r="41750" spans="31:31">
      <c r="AE41750" s="54"/>
    </row>
    <row r="41751" spans="31:31">
      <c r="AE41751" s="54"/>
    </row>
    <row r="41752" spans="31:31">
      <c r="AE41752" s="54"/>
    </row>
    <row r="41753" spans="31:31">
      <c r="AE41753" s="54"/>
    </row>
    <row r="41754" spans="31:31">
      <c r="AE41754" s="54"/>
    </row>
    <row r="41755" spans="31:31">
      <c r="AE41755" s="54"/>
    </row>
    <row r="41756" spans="31:31">
      <c r="AE41756" s="54"/>
    </row>
    <row r="41757" spans="31:31">
      <c r="AE41757" s="54"/>
    </row>
    <row r="41758" spans="31:31">
      <c r="AE41758" s="54"/>
    </row>
    <row r="41759" spans="31:31">
      <c r="AE41759" s="54"/>
    </row>
    <row r="41760" spans="31:31">
      <c r="AE41760" s="54"/>
    </row>
    <row r="41761" spans="31:31">
      <c r="AE41761" s="54"/>
    </row>
    <row r="41762" spans="31:31">
      <c r="AE41762" s="54"/>
    </row>
    <row r="41763" spans="31:31">
      <c r="AE41763" s="54"/>
    </row>
    <row r="41764" spans="31:31">
      <c r="AE41764" s="54"/>
    </row>
    <row r="41765" spans="31:31">
      <c r="AE41765" s="54"/>
    </row>
    <row r="41766" spans="31:31">
      <c r="AE41766" s="54"/>
    </row>
    <row r="41767" spans="31:31">
      <c r="AE41767" s="54"/>
    </row>
    <row r="41768" spans="31:31">
      <c r="AE41768" s="54"/>
    </row>
    <row r="41769" spans="31:31">
      <c r="AE41769" s="54"/>
    </row>
    <row r="41770" spans="31:31">
      <c r="AE41770" s="54"/>
    </row>
    <row r="41771" spans="31:31">
      <c r="AE41771" s="54"/>
    </row>
    <row r="41772" spans="31:31">
      <c r="AE41772" s="54"/>
    </row>
    <row r="41773" spans="31:31">
      <c r="AE41773" s="54"/>
    </row>
    <row r="41774" spans="31:31">
      <c r="AE41774" s="54"/>
    </row>
    <row r="41775" spans="31:31">
      <c r="AE41775" s="54"/>
    </row>
    <row r="41776" spans="31:31">
      <c r="AE41776" s="54"/>
    </row>
    <row r="41777" spans="31:31">
      <c r="AE41777" s="54"/>
    </row>
    <row r="41778" spans="31:31">
      <c r="AE41778" s="54"/>
    </row>
    <row r="41779" spans="31:31">
      <c r="AE41779" s="54"/>
    </row>
    <row r="41780" spans="31:31">
      <c r="AE41780" s="54"/>
    </row>
    <row r="41781" spans="31:31">
      <c r="AE41781" s="54"/>
    </row>
    <row r="41782" spans="31:31">
      <c r="AE41782" s="54"/>
    </row>
    <row r="41783" spans="31:31">
      <c r="AE41783" s="54"/>
    </row>
    <row r="41784" spans="31:31">
      <c r="AE41784" s="54"/>
    </row>
    <row r="41785" spans="31:31">
      <c r="AE41785" s="54"/>
    </row>
    <row r="41786" spans="31:31">
      <c r="AE41786" s="54"/>
    </row>
    <row r="41787" spans="31:31">
      <c r="AE41787" s="54"/>
    </row>
    <row r="41788" spans="31:31">
      <c r="AE41788" s="54"/>
    </row>
    <row r="41789" spans="31:31">
      <c r="AE41789" s="54"/>
    </row>
    <row r="41790" spans="31:31">
      <c r="AE41790" s="54"/>
    </row>
    <row r="41791" spans="31:31">
      <c r="AE41791" s="54"/>
    </row>
    <row r="41792" spans="31:31">
      <c r="AE41792" s="54"/>
    </row>
    <row r="41793" spans="31:31">
      <c r="AE41793" s="54"/>
    </row>
    <row r="41794" spans="31:31">
      <c r="AE41794" s="54"/>
    </row>
    <row r="41795" spans="31:31">
      <c r="AE41795" s="54"/>
    </row>
    <row r="41796" spans="31:31">
      <c r="AE41796" s="54"/>
    </row>
    <row r="41797" spans="31:31">
      <c r="AE41797" s="54"/>
    </row>
    <row r="41798" spans="31:31">
      <c r="AE41798" s="54"/>
    </row>
    <row r="41799" spans="31:31">
      <c r="AE41799" s="54"/>
    </row>
    <row r="41800" spans="31:31">
      <c r="AE41800" s="54"/>
    </row>
    <row r="41801" spans="31:31">
      <c r="AE41801" s="54"/>
    </row>
    <row r="41802" spans="31:31">
      <c r="AE41802" s="54"/>
    </row>
    <row r="41803" spans="31:31">
      <c r="AE41803" s="54"/>
    </row>
    <row r="41804" spans="31:31">
      <c r="AE41804" s="54"/>
    </row>
    <row r="41805" spans="31:31">
      <c r="AE41805" s="54"/>
    </row>
    <row r="41806" spans="31:31">
      <c r="AE41806" s="54"/>
    </row>
    <row r="41807" spans="31:31">
      <c r="AE41807" s="54"/>
    </row>
    <row r="41808" spans="31:31">
      <c r="AE41808" s="54"/>
    </row>
    <row r="41809" spans="31:31">
      <c r="AE41809" s="54"/>
    </row>
    <row r="41810" spans="31:31">
      <c r="AE41810" s="54"/>
    </row>
    <row r="41811" spans="31:31">
      <c r="AE41811" s="54"/>
    </row>
    <row r="41812" spans="31:31">
      <c r="AE41812" s="54"/>
    </row>
    <row r="41813" spans="31:31">
      <c r="AE41813" s="54"/>
    </row>
    <row r="41814" spans="31:31">
      <c r="AE41814" s="54"/>
    </row>
    <row r="41815" spans="31:31">
      <c r="AE41815" s="54"/>
    </row>
    <row r="41816" spans="31:31">
      <c r="AE41816" s="54"/>
    </row>
    <row r="41817" spans="31:31">
      <c r="AE41817" s="54"/>
    </row>
    <row r="41818" spans="31:31">
      <c r="AE41818" s="54"/>
    </row>
    <row r="41819" spans="31:31">
      <c r="AE41819" s="54"/>
    </row>
    <row r="41820" spans="31:31">
      <c r="AE41820" s="54"/>
    </row>
    <row r="41821" spans="31:31">
      <c r="AE41821" s="54"/>
    </row>
    <row r="41822" spans="31:31">
      <c r="AE41822" s="54"/>
    </row>
    <row r="41823" spans="31:31">
      <c r="AE41823" s="54"/>
    </row>
    <row r="41824" spans="31:31">
      <c r="AE41824" s="54"/>
    </row>
    <row r="41825" spans="31:31">
      <c r="AE41825" s="54"/>
    </row>
    <row r="41826" spans="31:31">
      <c r="AE41826" s="54"/>
    </row>
    <row r="41827" spans="31:31">
      <c r="AE41827" s="54"/>
    </row>
    <row r="41828" spans="31:31">
      <c r="AE41828" s="54"/>
    </row>
    <row r="41829" spans="31:31">
      <c r="AE41829" s="54"/>
    </row>
    <row r="41830" spans="31:31">
      <c r="AE41830" s="54"/>
    </row>
    <row r="41831" spans="31:31">
      <c r="AE41831" s="54"/>
    </row>
    <row r="41832" spans="31:31">
      <c r="AE41832" s="54"/>
    </row>
    <row r="41833" spans="31:31">
      <c r="AE41833" s="54"/>
    </row>
    <row r="41834" spans="31:31">
      <c r="AE41834" s="54"/>
    </row>
    <row r="41835" spans="31:31">
      <c r="AE41835" s="54"/>
    </row>
    <row r="41836" spans="31:31">
      <c r="AE41836" s="54"/>
    </row>
    <row r="41837" spans="31:31">
      <c r="AE41837" s="54"/>
    </row>
    <row r="41838" spans="31:31">
      <c r="AE41838" s="54"/>
    </row>
    <row r="41839" spans="31:31">
      <c r="AE41839" s="54"/>
    </row>
    <row r="41840" spans="31:31">
      <c r="AE41840" s="54"/>
    </row>
    <row r="41841" spans="31:31">
      <c r="AE41841" s="54"/>
    </row>
    <row r="41842" spans="31:31">
      <c r="AE41842" s="54"/>
    </row>
    <row r="41843" spans="31:31">
      <c r="AE41843" s="54"/>
    </row>
    <row r="41844" spans="31:31">
      <c r="AE41844" s="54"/>
    </row>
    <row r="41845" spans="31:31">
      <c r="AE41845" s="54"/>
    </row>
    <row r="41846" spans="31:31">
      <c r="AE41846" s="54"/>
    </row>
    <row r="41847" spans="31:31">
      <c r="AE41847" s="54"/>
    </row>
    <row r="41848" spans="31:31">
      <c r="AE41848" s="54"/>
    </row>
    <row r="41849" spans="31:31">
      <c r="AE41849" s="54"/>
    </row>
    <row r="41850" spans="31:31">
      <c r="AE41850" s="54"/>
    </row>
    <row r="41851" spans="31:31">
      <c r="AE41851" s="54"/>
    </row>
    <row r="41852" spans="31:31">
      <c r="AE41852" s="54"/>
    </row>
    <row r="41853" spans="31:31">
      <c r="AE41853" s="54"/>
    </row>
    <row r="41854" spans="31:31">
      <c r="AE41854" s="54"/>
    </row>
    <row r="41855" spans="31:31">
      <c r="AE41855" s="54"/>
    </row>
    <row r="41856" spans="31:31">
      <c r="AE41856" s="54"/>
    </row>
    <row r="41857" spans="31:31">
      <c r="AE41857" s="54"/>
    </row>
    <row r="41858" spans="31:31">
      <c r="AE41858" s="54"/>
    </row>
    <row r="41859" spans="31:31">
      <c r="AE41859" s="54"/>
    </row>
    <row r="41860" spans="31:31">
      <c r="AE41860" s="54"/>
    </row>
    <row r="41861" spans="31:31">
      <c r="AE41861" s="54"/>
    </row>
    <row r="41862" spans="31:31">
      <c r="AE41862" s="54"/>
    </row>
    <row r="41863" spans="31:31">
      <c r="AE41863" s="54"/>
    </row>
    <row r="41864" spans="31:31">
      <c r="AE41864" s="54"/>
    </row>
    <row r="41865" spans="31:31">
      <c r="AE41865" s="54"/>
    </row>
    <row r="41866" spans="31:31">
      <c r="AE41866" s="54"/>
    </row>
    <row r="41867" spans="31:31">
      <c r="AE41867" s="54"/>
    </row>
    <row r="41868" spans="31:31">
      <c r="AE41868" s="54"/>
    </row>
    <row r="41869" spans="31:31">
      <c r="AE41869" s="54"/>
    </row>
    <row r="41870" spans="31:31">
      <c r="AE41870" s="54"/>
    </row>
    <row r="41871" spans="31:31">
      <c r="AE41871" s="54"/>
    </row>
    <row r="41872" spans="31:31">
      <c r="AE41872" s="54"/>
    </row>
    <row r="41873" spans="31:31">
      <c r="AE41873" s="54"/>
    </row>
    <row r="41874" spans="31:31">
      <c r="AE41874" s="54"/>
    </row>
    <row r="41875" spans="31:31">
      <c r="AE41875" s="54"/>
    </row>
    <row r="41876" spans="31:31">
      <c r="AE41876" s="54"/>
    </row>
    <row r="41877" spans="31:31">
      <c r="AE41877" s="54"/>
    </row>
    <row r="41878" spans="31:31">
      <c r="AE41878" s="54"/>
    </row>
    <row r="41879" spans="31:31">
      <c r="AE41879" s="54"/>
    </row>
    <row r="41880" spans="31:31">
      <c r="AE41880" s="54"/>
    </row>
    <row r="41881" spans="31:31">
      <c r="AE41881" s="54"/>
    </row>
    <row r="41882" spans="31:31">
      <c r="AE41882" s="54"/>
    </row>
    <row r="41883" spans="31:31">
      <c r="AE41883" s="54"/>
    </row>
    <row r="41884" spans="31:31">
      <c r="AE41884" s="54"/>
    </row>
    <row r="41885" spans="31:31">
      <c r="AE41885" s="54"/>
    </row>
    <row r="41886" spans="31:31">
      <c r="AE41886" s="54"/>
    </row>
    <row r="41887" spans="31:31">
      <c r="AE41887" s="54"/>
    </row>
    <row r="41888" spans="31:31">
      <c r="AE41888" s="54"/>
    </row>
    <row r="41889" spans="31:31">
      <c r="AE41889" s="54"/>
    </row>
    <row r="41890" spans="31:31">
      <c r="AE41890" s="54"/>
    </row>
    <row r="41891" spans="31:31">
      <c r="AE41891" s="54"/>
    </row>
    <row r="41892" spans="31:31">
      <c r="AE41892" s="54"/>
    </row>
    <row r="41893" spans="31:31">
      <c r="AE41893" s="54"/>
    </row>
    <row r="41894" spans="31:31">
      <c r="AE41894" s="54"/>
    </row>
    <row r="41895" spans="31:31">
      <c r="AE41895" s="54"/>
    </row>
    <row r="41896" spans="31:31">
      <c r="AE41896" s="54"/>
    </row>
    <row r="41897" spans="31:31">
      <c r="AE41897" s="54"/>
    </row>
    <row r="41898" spans="31:31">
      <c r="AE41898" s="54"/>
    </row>
    <row r="41899" spans="31:31">
      <c r="AE41899" s="54"/>
    </row>
    <row r="41900" spans="31:31">
      <c r="AE41900" s="54"/>
    </row>
    <row r="41901" spans="31:31">
      <c r="AE41901" s="54"/>
    </row>
    <row r="41902" spans="31:31">
      <c r="AE41902" s="54"/>
    </row>
    <row r="41903" spans="31:31">
      <c r="AE41903" s="54"/>
    </row>
    <row r="41904" spans="31:31">
      <c r="AE41904" s="54"/>
    </row>
    <row r="41905" spans="31:31">
      <c r="AE41905" s="54"/>
    </row>
    <row r="41906" spans="31:31">
      <c r="AE41906" s="54"/>
    </row>
    <row r="41907" spans="31:31">
      <c r="AE41907" s="54"/>
    </row>
    <row r="41908" spans="31:31">
      <c r="AE41908" s="54"/>
    </row>
    <row r="41909" spans="31:31">
      <c r="AE41909" s="54"/>
    </row>
    <row r="41910" spans="31:31">
      <c r="AE41910" s="54"/>
    </row>
    <row r="41911" spans="31:31">
      <c r="AE41911" s="54"/>
    </row>
    <row r="41912" spans="31:31">
      <c r="AE41912" s="54"/>
    </row>
    <row r="41913" spans="31:31">
      <c r="AE41913" s="54"/>
    </row>
    <row r="41914" spans="31:31">
      <c r="AE41914" s="54"/>
    </row>
    <row r="41915" spans="31:31">
      <c r="AE41915" s="54"/>
    </row>
    <row r="41916" spans="31:31">
      <c r="AE41916" s="54"/>
    </row>
    <row r="41917" spans="31:31">
      <c r="AE41917" s="54"/>
    </row>
    <row r="41918" spans="31:31">
      <c r="AE41918" s="54"/>
    </row>
    <row r="41919" spans="31:31">
      <c r="AE41919" s="54"/>
    </row>
    <row r="41920" spans="31:31">
      <c r="AE41920" s="54"/>
    </row>
    <row r="41921" spans="31:31">
      <c r="AE41921" s="54"/>
    </row>
    <row r="41922" spans="31:31">
      <c r="AE41922" s="54"/>
    </row>
    <row r="41923" spans="31:31">
      <c r="AE41923" s="54"/>
    </row>
    <row r="41924" spans="31:31">
      <c r="AE41924" s="54"/>
    </row>
    <row r="41925" spans="31:31">
      <c r="AE41925" s="54"/>
    </row>
    <row r="41926" spans="31:31">
      <c r="AE41926" s="54"/>
    </row>
    <row r="41927" spans="31:31">
      <c r="AE41927" s="54"/>
    </row>
    <row r="41928" spans="31:31">
      <c r="AE41928" s="54"/>
    </row>
    <row r="41929" spans="31:31">
      <c r="AE41929" s="54"/>
    </row>
    <row r="41930" spans="31:31">
      <c r="AE41930" s="54"/>
    </row>
    <row r="41931" spans="31:31">
      <c r="AE41931" s="54"/>
    </row>
    <row r="41932" spans="31:31">
      <c r="AE41932" s="54"/>
    </row>
    <row r="41933" spans="31:31">
      <c r="AE41933" s="54"/>
    </row>
    <row r="41934" spans="31:31">
      <c r="AE41934" s="54"/>
    </row>
    <row r="41935" spans="31:31">
      <c r="AE41935" s="54"/>
    </row>
    <row r="41936" spans="31:31">
      <c r="AE41936" s="54"/>
    </row>
    <row r="41937" spans="31:31">
      <c r="AE41937" s="54"/>
    </row>
    <row r="41938" spans="31:31">
      <c r="AE41938" s="54"/>
    </row>
    <row r="41939" spans="31:31">
      <c r="AE41939" s="54"/>
    </row>
    <row r="41940" spans="31:31">
      <c r="AE41940" s="54"/>
    </row>
    <row r="41941" spans="31:31">
      <c r="AE41941" s="54"/>
    </row>
    <row r="41942" spans="31:31">
      <c r="AE41942" s="54"/>
    </row>
    <row r="41943" spans="31:31">
      <c r="AE41943" s="54"/>
    </row>
    <row r="41944" spans="31:31">
      <c r="AE41944" s="54"/>
    </row>
    <row r="41945" spans="31:31">
      <c r="AE41945" s="54"/>
    </row>
    <row r="41946" spans="31:31">
      <c r="AE41946" s="54"/>
    </row>
    <row r="41947" spans="31:31">
      <c r="AE41947" s="54"/>
    </row>
    <row r="41948" spans="31:31">
      <c r="AE41948" s="54"/>
    </row>
    <row r="41949" spans="31:31">
      <c r="AE41949" s="54"/>
    </row>
    <row r="41950" spans="31:31">
      <c r="AE41950" s="54"/>
    </row>
    <row r="41951" spans="31:31">
      <c r="AE41951" s="54"/>
    </row>
    <row r="41952" spans="31:31">
      <c r="AE41952" s="54"/>
    </row>
    <row r="41953" spans="31:31">
      <c r="AE41953" s="54"/>
    </row>
    <row r="41954" spans="31:31">
      <c r="AE41954" s="54"/>
    </row>
    <row r="41955" spans="31:31">
      <c r="AE41955" s="54"/>
    </row>
    <row r="41956" spans="31:31">
      <c r="AE41956" s="54"/>
    </row>
    <row r="41957" spans="31:31">
      <c r="AE41957" s="54"/>
    </row>
    <row r="41958" spans="31:31">
      <c r="AE41958" s="54"/>
    </row>
    <row r="41959" spans="31:31">
      <c r="AE41959" s="54"/>
    </row>
    <row r="41960" spans="31:31">
      <c r="AE41960" s="54"/>
    </row>
    <row r="41961" spans="31:31">
      <c r="AE41961" s="54"/>
    </row>
    <row r="41962" spans="31:31">
      <c r="AE41962" s="54"/>
    </row>
    <row r="41963" spans="31:31">
      <c r="AE41963" s="54"/>
    </row>
    <row r="41964" spans="31:31">
      <c r="AE41964" s="54"/>
    </row>
    <row r="41965" spans="31:31">
      <c r="AE41965" s="54"/>
    </row>
    <row r="41966" spans="31:31">
      <c r="AE41966" s="54"/>
    </row>
    <row r="41967" spans="31:31">
      <c r="AE41967" s="54"/>
    </row>
    <row r="41968" spans="31:31">
      <c r="AE41968" s="54"/>
    </row>
    <row r="41969" spans="31:31">
      <c r="AE41969" s="54"/>
    </row>
    <row r="41970" spans="31:31">
      <c r="AE41970" s="54"/>
    </row>
    <row r="41971" spans="31:31">
      <c r="AE41971" s="54"/>
    </row>
    <row r="41972" spans="31:31">
      <c r="AE41972" s="54"/>
    </row>
    <row r="41973" spans="31:31">
      <c r="AE41973" s="54"/>
    </row>
    <row r="41974" spans="31:31">
      <c r="AE41974" s="54"/>
    </row>
    <row r="41975" spans="31:31">
      <c r="AE41975" s="54"/>
    </row>
    <row r="41976" spans="31:31">
      <c r="AE41976" s="54"/>
    </row>
    <row r="41977" spans="31:31">
      <c r="AE41977" s="54"/>
    </row>
    <row r="41978" spans="31:31">
      <c r="AE41978" s="54"/>
    </row>
    <row r="41979" spans="31:31">
      <c r="AE41979" s="54"/>
    </row>
    <row r="41980" spans="31:31">
      <c r="AE41980" s="54"/>
    </row>
    <row r="41981" spans="31:31">
      <c r="AE41981" s="54"/>
    </row>
    <row r="41982" spans="31:31">
      <c r="AE41982" s="54"/>
    </row>
    <row r="41983" spans="31:31">
      <c r="AE41983" s="54"/>
    </row>
    <row r="41984" spans="31:31">
      <c r="AE41984" s="54"/>
    </row>
    <row r="41985" spans="31:31">
      <c r="AE41985" s="54"/>
    </row>
    <row r="41986" spans="31:31">
      <c r="AE41986" s="54"/>
    </row>
    <row r="41987" spans="31:31">
      <c r="AE41987" s="54"/>
    </row>
    <row r="41988" spans="31:31">
      <c r="AE41988" s="54"/>
    </row>
    <row r="41989" spans="31:31">
      <c r="AE41989" s="54"/>
    </row>
    <row r="41990" spans="31:31">
      <c r="AE41990" s="54"/>
    </row>
    <row r="41991" spans="31:31">
      <c r="AE41991" s="54"/>
    </row>
    <row r="41992" spans="31:31">
      <c r="AE41992" s="54"/>
    </row>
    <row r="41993" spans="31:31">
      <c r="AE41993" s="54"/>
    </row>
    <row r="41994" spans="31:31">
      <c r="AE41994" s="54"/>
    </row>
    <row r="41995" spans="31:31">
      <c r="AE41995" s="54"/>
    </row>
    <row r="41996" spans="31:31">
      <c r="AE41996" s="54"/>
    </row>
    <row r="41997" spans="31:31">
      <c r="AE41997" s="54"/>
    </row>
    <row r="41998" spans="31:31">
      <c r="AE41998" s="54"/>
    </row>
    <row r="41999" spans="31:31">
      <c r="AE41999" s="54"/>
    </row>
    <row r="42000" spans="31:31">
      <c r="AE42000" s="54"/>
    </row>
    <row r="42001" spans="31:31">
      <c r="AE42001" s="54"/>
    </row>
    <row r="42002" spans="31:31">
      <c r="AE42002" s="54"/>
    </row>
    <row r="42003" spans="31:31">
      <c r="AE42003" s="54"/>
    </row>
    <row r="42004" spans="31:31">
      <c r="AE42004" s="54"/>
    </row>
    <row r="42005" spans="31:31">
      <c r="AE42005" s="54"/>
    </row>
    <row r="42006" spans="31:31">
      <c r="AE42006" s="54"/>
    </row>
    <row r="42007" spans="31:31">
      <c r="AE42007" s="54"/>
    </row>
    <row r="42008" spans="31:31">
      <c r="AE42008" s="54"/>
    </row>
    <row r="42009" spans="31:31">
      <c r="AE42009" s="54"/>
    </row>
    <row r="42010" spans="31:31">
      <c r="AE42010" s="54"/>
    </row>
    <row r="42011" spans="31:31">
      <c r="AE42011" s="54"/>
    </row>
    <row r="42012" spans="31:31">
      <c r="AE42012" s="54"/>
    </row>
    <row r="42013" spans="31:31">
      <c r="AE42013" s="54"/>
    </row>
    <row r="42014" spans="31:31">
      <c r="AE42014" s="54"/>
    </row>
    <row r="42015" spans="31:31">
      <c r="AE42015" s="54"/>
    </row>
    <row r="42016" spans="31:31">
      <c r="AE42016" s="54"/>
    </row>
    <row r="42017" spans="31:31">
      <c r="AE42017" s="54"/>
    </row>
    <row r="42018" spans="31:31">
      <c r="AE42018" s="54"/>
    </row>
    <row r="42019" spans="31:31">
      <c r="AE42019" s="54"/>
    </row>
    <row r="42020" spans="31:31">
      <c r="AE42020" s="54"/>
    </row>
    <row r="42021" spans="31:31">
      <c r="AE42021" s="54"/>
    </row>
    <row r="42022" spans="31:31">
      <c r="AE42022" s="54"/>
    </row>
    <row r="42023" spans="31:31">
      <c r="AE42023" s="54"/>
    </row>
    <row r="42024" spans="31:31">
      <c r="AE42024" s="54"/>
    </row>
    <row r="42025" spans="31:31">
      <c r="AE42025" s="54"/>
    </row>
    <row r="42026" spans="31:31">
      <c r="AE42026" s="54"/>
    </row>
    <row r="42027" spans="31:31">
      <c r="AE42027" s="54"/>
    </row>
    <row r="42028" spans="31:31">
      <c r="AE42028" s="54"/>
    </row>
    <row r="42029" spans="31:31">
      <c r="AE42029" s="54"/>
    </row>
    <row r="42030" spans="31:31">
      <c r="AE42030" s="54"/>
    </row>
    <row r="42031" spans="31:31">
      <c r="AE42031" s="54"/>
    </row>
    <row r="42032" spans="31:31">
      <c r="AE42032" s="54"/>
    </row>
    <row r="42033" spans="31:31">
      <c r="AE42033" s="54"/>
    </row>
    <row r="42034" spans="31:31">
      <c r="AE42034" s="54"/>
    </row>
    <row r="42035" spans="31:31">
      <c r="AE42035" s="54"/>
    </row>
    <row r="42036" spans="31:31">
      <c r="AE42036" s="54"/>
    </row>
    <row r="42037" spans="31:31">
      <c r="AE42037" s="54"/>
    </row>
    <row r="42038" spans="31:31">
      <c r="AE42038" s="54"/>
    </row>
    <row r="42039" spans="31:31">
      <c r="AE42039" s="54"/>
    </row>
    <row r="42040" spans="31:31">
      <c r="AE42040" s="54"/>
    </row>
    <row r="42041" spans="31:31">
      <c r="AE42041" s="54"/>
    </row>
    <row r="42042" spans="31:31">
      <c r="AE42042" s="54"/>
    </row>
    <row r="42043" spans="31:31">
      <c r="AE42043" s="54"/>
    </row>
    <row r="42044" spans="31:31">
      <c r="AE42044" s="54"/>
    </row>
    <row r="42045" spans="31:31">
      <c r="AE42045" s="54"/>
    </row>
    <row r="42046" spans="31:31">
      <c r="AE42046" s="54"/>
    </row>
    <row r="42047" spans="31:31">
      <c r="AE42047" s="54"/>
    </row>
    <row r="42048" spans="31:31">
      <c r="AE42048" s="54"/>
    </row>
    <row r="42049" spans="31:31">
      <c r="AE42049" s="54"/>
    </row>
    <row r="42050" spans="31:31">
      <c r="AE42050" s="54"/>
    </row>
    <row r="42051" spans="31:31">
      <c r="AE42051" s="54"/>
    </row>
    <row r="42052" spans="31:31">
      <c r="AE42052" s="54"/>
    </row>
    <row r="42053" spans="31:31">
      <c r="AE42053" s="54"/>
    </row>
    <row r="42054" spans="31:31">
      <c r="AE42054" s="54"/>
    </row>
    <row r="42055" spans="31:31">
      <c r="AE42055" s="54"/>
    </row>
    <row r="42056" spans="31:31">
      <c r="AE42056" s="54"/>
    </row>
    <row r="42057" spans="31:31">
      <c r="AE42057" s="54"/>
    </row>
    <row r="42058" spans="31:31">
      <c r="AE42058" s="54"/>
    </row>
    <row r="42059" spans="31:31">
      <c r="AE42059" s="54"/>
    </row>
    <row r="42060" spans="31:31">
      <c r="AE42060" s="54"/>
    </row>
    <row r="42061" spans="31:31">
      <c r="AE42061" s="54"/>
    </row>
    <row r="42062" spans="31:31">
      <c r="AE42062" s="54"/>
    </row>
    <row r="42063" spans="31:31">
      <c r="AE42063" s="54"/>
    </row>
    <row r="42064" spans="31:31">
      <c r="AE42064" s="54"/>
    </row>
    <row r="42065" spans="31:31">
      <c r="AE42065" s="54"/>
    </row>
    <row r="42066" spans="31:31">
      <c r="AE42066" s="54"/>
    </row>
    <row r="42067" spans="31:31">
      <c r="AE42067" s="54"/>
    </row>
    <row r="42068" spans="31:31">
      <c r="AE42068" s="54"/>
    </row>
    <row r="42069" spans="31:31">
      <c r="AE42069" s="54"/>
    </row>
    <row r="42070" spans="31:31">
      <c r="AE42070" s="54"/>
    </row>
    <row r="42071" spans="31:31">
      <c r="AE42071" s="54"/>
    </row>
    <row r="42072" spans="31:31">
      <c r="AE42072" s="54"/>
    </row>
    <row r="42073" spans="31:31">
      <c r="AE42073" s="54"/>
    </row>
    <row r="42074" spans="31:31">
      <c r="AE42074" s="54"/>
    </row>
    <row r="42075" spans="31:31">
      <c r="AE42075" s="54"/>
    </row>
    <row r="42076" spans="31:31">
      <c r="AE42076" s="54"/>
    </row>
    <row r="42077" spans="31:31">
      <c r="AE42077" s="54"/>
    </row>
    <row r="42078" spans="31:31">
      <c r="AE42078" s="54"/>
    </row>
    <row r="42079" spans="31:31">
      <c r="AE42079" s="54"/>
    </row>
    <row r="42080" spans="31:31">
      <c r="AE42080" s="54"/>
    </row>
    <row r="42081" spans="31:31">
      <c r="AE42081" s="54"/>
    </row>
    <row r="42082" spans="31:31">
      <c r="AE42082" s="54"/>
    </row>
    <row r="42083" spans="31:31">
      <c r="AE42083" s="54"/>
    </row>
    <row r="42084" spans="31:31">
      <c r="AE42084" s="54"/>
    </row>
    <row r="42085" spans="31:31">
      <c r="AE42085" s="54"/>
    </row>
    <row r="42086" spans="31:31">
      <c r="AE42086" s="54"/>
    </row>
    <row r="42087" spans="31:31">
      <c r="AE42087" s="54"/>
    </row>
    <row r="42088" spans="31:31">
      <c r="AE42088" s="54"/>
    </row>
    <row r="42089" spans="31:31">
      <c r="AE42089" s="54"/>
    </row>
    <row r="42090" spans="31:31">
      <c r="AE42090" s="54"/>
    </row>
    <row r="42091" spans="31:31">
      <c r="AE42091" s="54"/>
    </row>
    <row r="42092" spans="31:31">
      <c r="AE42092" s="54"/>
    </row>
    <row r="42093" spans="31:31">
      <c r="AE42093" s="54"/>
    </row>
    <row r="42094" spans="31:31">
      <c r="AE42094" s="54"/>
    </row>
    <row r="42095" spans="31:31">
      <c r="AE42095" s="54"/>
    </row>
    <row r="42096" spans="31:31">
      <c r="AE42096" s="54"/>
    </row>
    <row r="42097" spans="31:31">
      <c r="AE42097" s="54"/>
    </row>
    <row r="42098" spans="31:31">
      <c r="AE42098" s="54"/>
    </row>
    <row r="42099" spans="31:31">
      <c r="AE42099" s="54"/>
    </row>
    <row r="42100" spans="31:31">
      <c r="AE42100" s="54"/>
    </row>
    <row r="42101" spans="31:31">
      <c r="AE42101" s="54"/>
    </row>
    <row r="42102" spans="31:31">
      <c r="AE42102" s="54"/>
    </row>
    <row r="42103" spans="31:31">
      <c r="AE42103" s="54"/>
    </row>
    <row r="42104" spans="31:31">
      <c r="AE42104" s="54"/>
    </row>
    <row r="42105" spans="31:31">
      <c r="AE42105" s="54"/>
    </row>
    <row r="42106" spans="31:31">
      <c r="AE42106" s="54"/>
    </row>
    <row r="42107" spans="31:31">
      <c r="AE42107" s="54"/>
    </row>
    <row r="42108" spans="31:31">
      <c r="AE42108" s="54"/>
    </row>
    <row r="42109" spans="31:31">
      <c r="AE42109" s="54"/>
    </row>
    <row r="42110" spans="31:31">
      <c r="AE42110" s="54"/>
    </row>
    <row r="42111" spans="31:31">
      <c r="AE42111" s="54"/>
    </row>
    <row r="42112" spans="31:31">
      <c r="AE42112" s="54"/>
    </row>
    <row r="42113" spans="31:31">
      <c r="AE42113" s="54"/>
    </row>
    <row r="42114" spans="31:31">
      <c r="AE42114" s="54"/>
    </row>
    <row r="42115" spans="31:31">
      <c r="AE42115" s="54"/>
    </row>
    <row r="42116" spans="31:31">
      <c r="AE42116" s="54"/>
    </row>
    <row r="42117" spans="31:31">
      <c r="AE42117" s="54"/>
    </row>
    <row r="42118" spans="31:31">
      <c r="AE42118" s="54"/>
    </row>
    <row r="42119" spans="31:31">
      <c r="AE42119" s="54"/>
    </row>
    <row r="42120" spans="31:31">
      <c r="AE42120" s="54"/>
    </row>
    <row r="42121" spans="31:31">
      <c r="AE42121" s="54"/>
    </row>
    <row r="42122" spans="31:31">
      <c r="AE42122" s="54"/>
    </row>
    <row r="42123" spans="31:31">
      <c r="AE42123" s="54"/>
    </row>
    <row r="42124" spans="31:31">
      <c r="AE42124" s="54"/>
    </row>
    <row r="42125" spans="31:31">
      <c r="AE42125" s="54"/>
    </row>
    <row r="42126" spans="31:31">
      <c r="AE42126" s="54"/>
    </row>
    <row r="42127" spans="31:31">
      <c r="AE42127" s="54"/>
    </row>
    <row r="42128" spans="31:31">
      <c r="AE42128" s="54"/>
    </row>
    <row r="42129" spans="31:31">
      <c r="AE42129" s="54"/>
    </row>
    <row r="42130" spans="31:31">
      <c r="AE42130" s="54"/>
    </row>
    <row r="42131" spans="31:31">
      <c r="AE42131" s="54"/>
    </row>
    <row r="42132" spans="31:31">
      <c r="AE42132" s="54"/>
    </row>
    <row r="42133" spans="31:31">
      <c r="AE42133" s="54"/>
    </row>
    <row r="42134" spans="31:31">
      <c r="AE42134" s="54"/>
    </row>
    <row r="42135" spans="31:31">
      <c r="AE42135" s="54"/>
    </row>
    <row r="42136" spans="31:31">
      <c r="AE42136" s="54"/>
    </row>
    <row r="42137" spans="31:31">
      <c r="AE42137" s="54"/>
    </row>
    <row r="42138" spans="31:31">
      <c r="AE42138" s="54"/>
    </row>
    <row r="42139" spans="31:31">
      <c r="AE42139" s="54"/>
    </row>
    <row r="42140" spans="31:31">
      <c r="AE42140" s="54"/>
    </row>
    <row r="42141" spans="31:31">
      <c r="AE42141" s="54"/>
    </row>
    <row r="42142" spans="31:31">
      <c r="AE42142" s="54"/>
    </row>
    <row r="42143" spans="31:31">
      <c r="AE42143" s="54"/>
    </row>
    <row r="42144" spans="31:31">
      <c r="AE42144" s="54"/>
    </row>
    <row r="42145" spans="31:31">
      <c r="AE42145" s="54"/>
    </row>
    <row r="42146" spans="31:31">
      <c r="AE42146" s="54"/>
    </row>
    <row r="42147" spans="31:31">
      <c r="AE42147" s="54"/>
    </row>
    <row r="42148" spans="31:31">
      <c r="AE42148" s="54"/>
    </row>
    <row r="42149" spans="31:31">
      <c r="AE42149" s="54"/>
    </row>
    <row r="42150" spans="31:31">
      <c r="AE42150" s="54"/>
    </row>
    <row r="42151" spans="31:31">
      <c r="AE42151" s="54"/>
    </row>
    <row r="42152" spans="31:31">
      <c r="AE42152" s="54"/>
    </row>
    <row r="42153" spans="31:31">
      <c r="AE42153" s="54"/>
    </row>
    <row r="42154" spans="31:31">
      <c r="AE42154" s="54"/>
    </row>
    <row r="42155" spans="31:31">
      <c r="AE42155" s="54"/>
    </row>
    <row r="42156" spans="31:31">
      <c r="AE42156" s="54"/>
    </row>
    <row r="42157" spans="31:31">
      <c r="AE42157" s="54"/>
    </row>
    <row r="42158" spans="31:31">
      <c r="AE42158" s="54"/>
    </row>
    <row r="42159" spans="31:31">
      <c r="AE42159" s="54"/>
    </row>
    <row r="42160" spans="31:31">
      <c r="AE42160" s="54"/>
    </row>
    <row r="42161" spans="31:31">
      <c r="AE42161" s="54"/>
    </row>
    <row r="42162" spans="31:31">
      <c r="AE42162" s="54"/>
    </row>
    <row r="42163" spans="31:31">
      <c r="AE42163" s="54"/>
    </row>
    <row r="42164" spans="31:31">
      <c r="AE42164" s="54"/>
    </row>
    <row r="42165" spans="31:31">
      <c r="AE42165" s="54"/>
    </row>
    <row r="42166" spans="31:31">
      <c r="AE42166" s="54"/>
    </row>
    <row r="42167" spans="31:31">
      <c r="AE42167" s="54"/>
    </row>
    <row r="42168" spans="31:31">
      <c r="AE42168" s="54"/>
    </row>
    <row r="42169" spans="31:31">
      <c r="AE42169" s="54"/>
    </row>
    <row r="42170" spans="31:31">
      <c r="AE42170" s="54"/>
    </row>
    <row r="42171" spans="31:31">
      <c r="AE42171" s="54"/>
    </row>
    <row r="42172" spans="31:31">
      <c r="AE42172" s="54"/>
    </row>
    <row r="42173" spans="31:31">
      <c r="AE42173" s="54"/>
    </row>
    <row r="42174" spans="31:31">
      <c r="AE42174" s="54"/>
    </row>
    <row r="42175" spans="31:31">
      <c r="AE42175" s="54"/>
    </row>
    <row r="42176" spans="31:31">
      <c r="AE42176" s="54"/>
    </row>
    <row r="42177" spans="31:31">
      <c r="AE42177" s="54"/>
    </row>
    <row r="42178" spans="31:31">
      <c r="AE42178" s="54"/>
    </row>
    <row r="42179" spans="31:31">
      <c r="AE42179" s="54"/>
    </row>
    <row r="42180" spans="31:31">
      <c r="AE42180" s="54"/>
    </row>
    <row r="42181" spans="31:31">
      <c r="AE42181" s="54"/>
    </row>
    <row r="42182" spans="31:31">
      <c r="AE42182" s="54"/>
    </row>
    <row r="42183" spans="31:31">
      <c r="AE42183" s="54"/>
    </row>
    <row r="42184" spans="31:31">
      <c r="AE42184" s="54"/>
    </row>
    <row r="42185" spans="31:31">
      <c r="AE42185" s="54"/>
    </row>
    <row r="42186" spans="31:31">
      <c r="AE42186" s="54"/>
    </row>
    <row r="42187" spans="31:31">
      <c r="AE42187" s="54"/>
    </row>
    <row r="42188" spans="31:31">
      <c r="AE42188" s="54"/>
    </row>
    <row r="42189" spans="31:31">
      <c r="AE42189" s="54"/>
    </row>
    <row r="42190" spans="31:31">
      <c r="AE42190" s="54"/>
    </row>
    <row r="42191" spans="31:31">
      <c r="AE42191" s="54"/>
    </row>
    <row r="42192" spans="31:31">
      <c r="AE42192" s="54"/>
    </row>
    <row r="42193" spans="31:31">
      <c r="AE42193" s="54"/>
    </row>
    <row r="42194" spans="31:31">
      <c r="AE42194" s="54"/>
    </row>
    <row r="42195" spans="31:31">
      <c r="AE42195" s="54"/>
    </row>
    <row r="42196" spans="31:31">
      <c r="AE42196" s="54"/>
    </row>
    <row r="42197" spans="31:31">
      <c r="AE42197" s="54"/>
    </row>
    <row r="42198" spans="31:31">
      <c r="AE42198" s="54"/>
    </row>
    <row r="42199" spans="31:31">
      <c r="AE42199" s="54"/>
    </row>
    <row r="42200" spans="31:31">
      <c r="AE42200" s="54"/>
    </row>
    <row r="42201" spans="31:31">
      <c r="AE42201" s="54"/>
    </row>
    <row r="42202" spans="31:31">
      <c r="AE42202" s="54"/>
    </row>
    <row r="42203" spans="31:31">
      <c r="AE42203" s="54"/>
    </row>
    <row r="42204" spans="31:31">
      <c r="AE42204" s="54"/>
    </row>
    <row r="42205" spans="31:31">
      <c r="AE42205" s="54"/>
    </row>
    <row r="42206" spans="31:31">
      <c r="AE42206" s="54"/>
    </row>
    <row r="42207" spans="31:31">
      <c r="AE42207" s="54"/>
    </row>
    <row r="42208" spans="31:31">
      <c r="AE42208" s="54"/>
    </row>
    <row r="42209" spans="31:31">
      <c r="AE42209" s="54"/>
    </row>
    <row r="42210" spans="31:31">
      <c r="AE42210" s="54"/>
    </row>
    <row r="42211" spans="31:31">
      <c r="AE42211" s="54"/>
    </row>
    <row r="42212" spans="31:31">
      <c r="AE42212" s="54"/>
    </row>
    <row r="42213" spans="31:31">
      <c r="AE42213" s="54"/>
    </row>
    <row r="42214" spans="31:31">
      <c r="AE42214" s="54"/>
    </row>
    <row r="42215" spans="31:31">
      <c r="AE42215" s="54"/>
    </row>
    <row r="42216" spans="31:31">
      <c r="AE42216" s="54"/>
    </row>
    <row r="42217" spans="31:31">
      <c r="AE42217" s="54"/>
    </row>
    <row r="42218" spans="31:31">
      <c r="AE42218" s="54"/>
    </row>
    <row r="42219" spans="31:31">
      <c r="AE42219" s="54"/>
    </row>
    <row r="42220" spans="31:31">
      <c r="AE42220" s="54"/>
    </row>
    <row r="42221" spans="31:31">
      <c r="AE42221" s="54"/>
    </row>
    <row r="42222" spans="31:31">
      <c r="AE42222" s="54"/>
    </row>
    <row r="42223" spans="31:31">
      <c r="AE42223" s="54"/>
    </row>
    <row r="42224" spans="31:31">
      <c r="AE42224" s="54"/>
    </row>
    <row r="42225" spans="31:31">
      <c r="AE42225" s="54"/>
    </row>
    <row r="42226" spans="31:31">
      <c r="AE42226" s="54"/>
    </row>
    <row r="42227" spans="31:31">
      <c r="AE42227" s="54"/>
    </row>
    <row r="42228" spans="31:31">
      <c r="AE42228" s="54"/>
    </row>
    <row r="42229" spans="31:31">
      <c r="AE42229" s="54"/>
    </row>
    <row r="42230" spans="31:31">
      <c r="AE42230" s="54"/>
    </row>
    <row r="42231" spans="31:31">
      <c r="AE42231" s="54"/>
    </row>
    <row r="42232" spans="31:31">
      <c r="AE42232" s="54"/>
    </row>
    <row r="42233" spans="31:31">
      <c r="AE42233" s="54"/>
    </row>
    <row r="42234" spans="31:31">
      <c r="AE42234" s="54"/>
    </row>
    <row r="42235" spans="31:31">
      <c r="AE42235" s="54"/>
    </row>
    <row r="42236" spans="31:31">
      <c r="AE42236" s="54"/>
    </row>
    <row r="42237" spans="31:31">
      <c r="AE42237" s="54"/>
    </row>
    <row r="42238" spans="31:31">
      <c r="AE42238" s="54"/>
    </row>
    <row r="42239" spans="31:31">
      <c r="AE42239" s="54"/>
    </row>
    <row r="42240" spans="31:31">
      <c r="AE42240" s="54"/>
    </row>
    <row r="42241" spans="31:31">
      <c r="AE42241" s="54"/>
    </row>
    <row r="42242" spans="31:31">
      <c r="AE42242" s="54"/>
    </row>
    <row r="42243" spans="31:31">
      <c r="AE42243" s="54"/>
    </row>
    <row r="42244" spans="31:31">
      <c r="AE42244" s="54"/>
    </row>
    <row r="42245" spans="31:31">
      <c r="AE42245" s="54"/>
    </row>
    <row r="42246" spans="31:31">
      <c r="AE42246" s="54"/>
    </row>
    <row r="42247" spans="31:31">
      <c r="AE42247" s="54"/>
    </row>
    <row r="42248" spans="31:31">
      <c r="AE42248" s="54"/>
    </row>
    <row r="42249" spans="31:31">
      <c r="AE42249" s="54"/>
    </row>
    <row r="42250" spans="31:31">
      <c r="AE42250" s="54"/>
    </row>
    <row r="42251" spans="31:31">
      <c r="AE42251" s="54"/>
    </row>
    <row r="42252" spans="31:31">
      <c r="AE42252" s="54"/>
    </row>
    <row r="42253" spans="31:31">
      <c r="AE42253" s="54"/>
    </row>
    <row r="42254" spans="31:31">
      <c r="AE42254" s="54"/>
    </row>
    <row r="42255" spans="31:31">
      <c r="AE42255" s="54"/>
    </row>
    <row r="42256" spans="31:31">
      <c r="AE42256" s="54"/>
    </row>
    <row r="42257" spans="31:31">
      <c r="AE42257" s="54"/>
    </row>
    <row r="42258" spans="31:31">
      <c r="AE42258" s="54"/>
    </row>
    <row r="42259" spans="31:31">
      <c r="AE42259" s="54"/>
    </row>
    <row r="42260" spans="31:31">
      <c r="AE42260" s="54"/>
    </row>
    <row r="42261" spans="31:31">
      <c r="AE42261" s="54"/>
    </row>
    <row r="42262" spans="31:31">
      <c r="AE42262" s="54"/>
    </row>
    <row r="42263" spans="31:31">
      <c r="AE42263" s="54"/>
    </row>
    <row r="42264" spans="31:31">
      <c r="AE42264" s="54"/>
    </row>
    <row r="42265" spans="31:31">
      <c r="AE42265" s="54"/>
    </row>
    <row r="42266" spans="31:31">
      <c r="AE42266" s="54"/>
    </row>
    <row r="42267" spans="31:31">
      <c r="AE42267" s="54"/>
    </row>
    <row r="42268" spans="31:31">
      <c r="AE42268" s="54"/>
    </row>
    <row r="42269" spans="31:31">
      <c r="AE42269" s="54"/>
    </row>
    <row r="42270" spans="31:31">
      <c r="AE42270" s="54"/>
    </row>
    <row r="42271" spans="31:31">
      <c r="AE42271" s="54"/>
    </row>
    <row r="42272" spans="31:31">
      <c r="AE42272" s="54"/>
    </row>
    <row r="42273" spans="31:31">
      <c r="AE42273" s="54"/>
    </row>
    <row r="42274" spans="31:31">
      <c r="AE42274" s="54"/>
    </row>
    <row r="42275" spans="31:31">
      <c r="AE42275" s="54"/>
    </row>
    <row r="42276" spans="31:31">
      <c r="AE42276" s="54"/>
    </row>
    <row r="42277" spans="31:31">
      <c r="AE42277" s="54"/>
    </row>
    <row r="42278" spans="31:31">
      <c r="AE42278" s="54"/>
    </row>
    <row r="42279" spans="31:31">
      <c r="AE42279" s="54"/>
    </row>
    <row r="42280" spans="31:31">
      <c r="AE42280" s="54"/>
    </row>
    <row r="42281" spans="31:31">
      <c r="AE42281" s="54"/>
    </row>
    <row r="42282" spans="31:31">
      <c r="AE42282" s="54"/>
    </row>
    <row r="42283" spans="31:31">
      <c r="AE42283" s="54"/>
    </row>
    <row r="42284" spans="31:31">
      <c r="AE42284" s="54"/>
    </row>
    <row r="42285" spans="31:31">
      <c r="AE42285" s="54"/>
    </row>
    <row r="42286" spans="31:31">
      <c r="AE42286" s="54"/>
    </row>
    <row r="42287" spans="31:31">
      <c r="AE42287" s="54"/>
    </row>
    <row r="42288" spans="31:31">
      <c r="AE42288" s="54"/>
    </row>
    <row r="42289" spans="31:31">
      <c r="AE42289" s="54"/>
    </row>
    <row r="42290" spans="31:31">
      <c r="AE42290" s="54"/>
    </row>
    <row r="42291" spans="31:31">
      <c r="AE42291" s="54"/>
    </row>
    <row r="42292" spans="31:31">
      <c r="AE42292" s="54"/>
    </row>
    <row r="42293" spans="31:31">
      <c r="AE42293" s="54"/>
    </row>
    <row r="42294" spans="31:31">
      <c r="AE42294" s="54"/>
    </row>
    <row r="42295" spans="31:31">
      <c r="AE42295" s="54"/>
    </row>
    <row r="42296" spans="31:31">
      <c r="AE42296" s="54"/>
    </row>
    <row r="42297" spans="31:31">
      <c r="AE42297" s="54"/>
    </row>
    <row r="42298" spans="31:31">
      <c r="AE42298" s="54"/>
    </row>
    <row r="42299" spans="31:31">
      <c r="AE42299" s="54"/>
    </row>
    <row r="42300" spans="31:31">
      <c r="AE42300" s="54"/>
    </row>
    <row r="42301" spans="31:31">
      <c r="AE42301" s="54"/>
    </row>
    <row r="42302" spans="31:31">
      <c r="AE42302" s="54"/>
    </row>
    <row r="42303" spans="31:31">
      <c r="AE42303" s="54"/>
    </row>
    <row r="42304" spans="31:31">
      <c r="AE42304" s="54"/>
    </row>
    <row r="42305" spans="31:31">
      <c r="AE42305" s="54"/>
    </row>
    <row r="42306" spans="31:31">
      <c r="AE42306" s="54"/>
    </row>
    <row r="42307" spans="31:31">
      <c r="AE42307" s="54"/>
    </row>
    <row r="42308" spans="31:31">
      <c r="AE42308" s="54"/>
    </row>
    <row r="42309" spans="31:31">
      <c r="AE42309" s="54"/>
    </row>
    <row r="42310" spans="31:31">
      <c r="AE42310" s="54"/>
    </row>
    <row r="42311" spans="31:31">
      <c r="AE42311" s="54"/>
    </row>
    <row r="42312" spans="31:31">
      <c r="AE42312" s="54"/>
    </row>
    <row r="42313" spans="31:31">
      <c r="AE42313" s="54"/>
    </row>
    <row r="42314" spans="31:31">
      <c r="AE42314" s="54"/>
    </row>
    <row r="42315" spans="31:31">
      <c r="AE42315" s="54"/>
    </row>
    <row r="42316" spans="31:31">
      <c r="AE42316" s="54"/>
    </row>
    <row r="42317" spans="31:31">
      <c r="AE42317" s="54"/>
    </row>
    <row r="42318" spans="31:31">
      <c r="AE42318" s="54"/>
    </row>
    <row r="42319" spans="31:31">
      <c r="AE42319" s="54"/>
    </row>
    <row r="42320" spans="31:31">
      <c r="AE42320" s="54"/>
    </row>
    <row r="42321" spans="31:31">
      <c r="AE42321" s="54"/>
    </row>
    <row r="42322" spans="31:31">
      <c r="AE42322" s="54"/>
    </row>
    <row r="42323" spans="31:31">
      <c r="AE42323" s="54"/>
    </row>
    <row r="42324" spans="31:31">
      <c r="AE42324" s="54"/>
    </row>
    <row r="42325" spans="31:31">
      <c r="AE42325" s="54"/>
    </row>
    <row r="42326" spans="31:31">
      <c r="AE42326" s="54"/>
    </row>
    <row r="42327" spans="31:31">
      <c r="AE42327" s="54"/>
    </row>
    <row r="42328" spans="31:31">
      <c r="AE42328" s="54"/>
    </row>
    <row r="42329" spans="31:31">
      <c r="AE42329" s="54"/>
    </row>
    <row r="42330" spans="31:31">
      <c r="AE42330" s="54"/>
    </row>
    <row r="42331" spans="31:31">
      <c r="AE42331" s="54"/>
    </row>
    <row r="42332" spans="31:31">
      <c r="AE42332" s="54"/>
    </row>
    <row r="42333" spans="31:31">
      <c r="AE42333" s="54"/>
    </row>
    <row r="42334" spans="31:31">
      <c r="AE42334" s="54"/>
    </row>
    <row r="42335" spans="31:31">
      <c r="AE42335" s="54"/>
    </row>
    <row r="42336" spans="31:31">
      <c r="AE42336" s="54"/>
    </row>
    <row r="42337" spans="31:31">
      <c r="AE42337" s="54"/>
    </row>
    <row r="42338" spans="31:31">
      <c r="AE42338" s="54"/>
    </row>
    <row r="42339" spans="31:31">
      <c r="AE42339" s="54"/>
    </row>
    <row r="42340" spans="31:31">
      <c r="AE42340" s="54"/>
    </row>
    <row r="42341" spans="31:31">
      <c r="AE42341" s="54"/>
    </row>
    <row r="42342" spans="31:31">
      <c r="AE42342" s="54"/>
    </row>
    <row r="42343" spans="31:31">
      <c r="AE42343" s="54"/>
    </row>
    <row r="42344" spans="31:31">
      <c r="AE42344" s="54"/>
    </row>
    <row r="42345" spans="31:31">
      <c r="AE42345" s="54"/>
    </row>
    <row r="42346" spans="31:31">
      <c r="AE42346" s="54"/>
    </row>
    <row r="42347" spans="31:31">
      <c r="AE42347" s="54"/>
    </row>
    <row r="42348" spans="31:31">
      <c r="AE42348" s="54"/>
    </row>
    <row r="42349" spans="31:31">
      <c r="AE42349" s="54"/>
    </row>
    <row r="42350" spans="31:31">
      <c r="AE42350" s="54"/>
    </row>
    <row r="42351" spans="31:31">
      <c r="AE42351" s="54"/>
    </row>
    <row r="42352" spans="31:31">
      <c r="AE42352" s="54"/>
    </row>
    <row r="42353" spans="31:31">
      <c r="AE42353" s="54"/>
    </row>
    <row r="42354" spans="31:31">
      <c r="AE42354" s="54"/>
    </row>
    <row r="42355" spans="31:31">
      <c r="AE42355" s="54"/>
    </row>
    <row r="42356" spans="31:31">
      <c r="AE42356" s="54"/>
    </row>
    <row r="42357" spans="31:31">
      <c r="AE42357" s="54"/>
    </row>
    <row r="42358" spans="31:31">
      <c r="AE42358" s="54"/>
    </row>
    <row r="42359" spans="31:31">
      <c r="AE42359" s="54"/>
    </row>
    <row r="42360" spans="31:31">
      <c r="AE42360" s="54"/>
    </row>
    <row r="42361" spans="31:31">
      <c r="AE42361" s="54"/>
    </row>
    <row r="42362" spans="31:31">
      <c r="AE42362" s="54"/>
    </row>
    <row r="42363" spans="31:31">
      <c r="AE42363" s="54"/>
    </row>
    <row r="42364" spans="31:31">
      <c r="AE42364" s="54"/>
    </row>
    <row r="42365" spans="31:31">
      <c r="AE42365" s="54"/>
    </row>
    <row r="42366" spans="31:31">
      <c r="AE42366" s="54"/>
    </row>
    <row r="42367" spans="31:31">
      <c r="AE42367" s="54"/>
    </row>
    <row r="42368" spans="31:31">
      <c r="AE42368" s="54"/>
    </row>
    <row r="42369" spans="31:31">
      <c r="AE42369" s="54"/>
    </row>
    <row r="42370" spans="31:31">
      <c r="AE42370" s="54"/>
    </row>
    <row r="42371" spans="31:31">
      <c r="AE42371" s="54"/>
    </row>
    <row r="42372" spans="31:31">
      <c r="AE42372" s="54"/>
    </row>
    <row r="42373" spans="31:31">
      <c r="AE42373" s="54"/>
    </row>
    <row r="42374" spans="31:31">
      <c r="AE42374" s="54"/>
    </row>
    <row r="42375" spans="31:31">
      <c r="AE42375" s="54"/>
    </row>
    <row r="42376" spans="31:31">
      <c r="AE42376" s="54"/>
    </row>
    <row r="42377" spans="31:31">
      <c r="AE42377" s="54"/>
    </row>
    <row r="42378" spans="31:31">
      <c r="AE42378" s="54"/>
    </row>
    <row r="42379" spans="31:31">
      <c r="AE42379" s="54"/>
    </row>
    <row r="42380" spans="31:31">
      <c r="AE42380" s="54"/>
    </row>
    <row r="42381" spans="31:31">
      <c r="AE42381" s="54"/>
    </row>
    <row r="42382" spans="31:31">
      <c r="AE42382" s="54"/>
    </row>
    <row r="42383" spans="31:31">
      <c r="AE42383" s="54"/>
    </row>
    <row r="42384" spans="31:31">
      <c r="AE42384" s="54"/>
    </row>
    <row r="42385" spans="31:31">
      <c r="AE42385" s="54"/>
    </row>
    <row r="42386" spans="31:31">
      <c r="AE42386" s="54"/>
    </row>
    <row r="42387" spans="31:31">
      <c r="AE42387" s="54"/>
    </row>
    <row r="42388" spans="31:31">
      <c r="AE42388" s="54"/>
    </row>
    <row r="42389" spans="31:31">
      <c r="AE42389" s="54"/>
    </row>
    <row r="42390" spans="31:31">
      <c r="AE42390" s="54"/>
    </row>
    <row r="42391" spans="31:31">
      <c r="AE42391" s="54"/>
    </row>
    <row r="42392" spans="31:31">
      <c r="AE42392" s="54"/>
    </row>
    <row r="42393" spans="31:31">
      <c r="AE42393" s="54"/>
    </row>
    <row r="42394" spans="31:31">
      <c r="AE42394" s="54"/>
    </row>
    <row r="42395" spans="31:31">
      <c r="AE42395" s="54"/>
    </row>
    <row r="42396" spans="31:31">
      <c r="AE42396" s="54"/>
    </row>
    <row r="42397" spans="31:31">
      <c r="AE42397" s="54"/>
    </row>
    <row r="42398" spans="31:31">
      <c r="AE42398" s="54"/>
    </row>
    <row r="42399" spans="31:31">
      <c r="AE42399" s="54"/>
    </row>
    <row r="42400" spans="31:31">
      <c r="AE42400" s="54"/>
    </row>
    <row r="42401" spans="31:31">
      <c r="AE42401" s="54"/>
    </row>
    <row r="42402" spans="31:31">
      <c r="AE42402" s="54"/>
    </row>
    <row r="42403" spans="31:31">
      <c r="AE42403" s="54"/>
    </row>
    <row r="42404" spans="31:31">
      <c r="AE42404" s="54"/>
    </row>
    <row r="42405" spans="31:31">
      <c r="AE42405" s="54"/>
    </row>
    <row r="42406" spans="31:31">
      <c r="AE42406" s="54"/>
    </row>
    <row r="42407" spans="31:31">
      <c r="AE42407" s="54"/>
    </row>
    <row r="42408" spans="31:31">
      <c r="AE42408" s="54"/>
    </row>
    <row r="42409" spans="31:31">
      <c r="AE42409" s="54"/>
    </row>
    <row r="42410" spans="31:31">
      <c r="AE42410" s="54"/>
    </row>
    <row r="42411" spans="31:31">
      <c r="AE42411" s="54"/>
    </row>
    <row r="42412" spans="31:31">
      <c r="AE42412" s="54"/>
    </row>
    <row r="42413" spans="31:31">
      <c r="AE42413" s="54"/>
    </row>
    <row r="42414" spans="31:31">
      <c r="AE42414" s="54"/>
    </row>
    <row r="42415" spans="31:31">
      <c r="AE42415" s="54"/>
    </row>
    <row r="42416" spans="31:31">
      <c r="AE42416" s="54"/>
    </row>
    <row r="42417" spans="31:31">
      <c r="AE42417" s="54"/>
    </row>
    <row r="42418" spans="31:31">
      <c r="AE42418" s="54"/>
    </row>
    <row r="42419" spans="31:31">
      <c r="AE42419" s="54"/>
    </row>
    <row r="42420" spans="31:31">
      <c r="AE42420" s="54"/>
    </row>
    <row r="42421" spans="31:31">
      <c r="AE42421" s="54"/>
    </row>
    <row r="42422" spans="31:31">
      <c r="AE42422" s="54"/>
    </row>
    <row r="42423" spans="31:31">
      <c r="AE42423" s="54"/>
    </row>
    <row r="42424" spans="31:31">
      <c r="AE42424" s="54"/>
    </row>
    <row r="42425" spans="31:31">
      <c r="AE42425" s="54"/>
    </row>
    <row r="42426" spans="31:31">
      <c r="AE42426" s="54"/>
    </row>
    <row r="42427" spans="31:31">
      <c r="AE42427" s="54"/>
    </row>
    <row r="42428" spans="31:31">
      <c r="AE42428" s="54"/>
    </row>
    <row r="42429" spans="31:31">
      <c r="AE42429" s="54"/>
    </row>
    <row r="42430" spans="31:31">
      <c r="AE42430" s="54"/>
    </row>
    <row r="42431" spans="31:31">
      <c r="AE42431" s="54"/>
    </row>
    <row r="42432" spans="31:31">
      <c r="AE42432" s="54"/>
    </row>
    <row r="42433" spans="31:31">
      <c r="AE42433" s="54"/>
    </row>
    <row r="42434" spans="31:31">
      <c r="AE42434" s="54"/>
    </row>
    <row r="42435" spans="31:31">
      <c r="AE42435" s="54"/>
    </row>
    <row r="42436" spans="31:31">
      <c r="AE42436" s="54"/>
    </row>
    <row r="42437" spans="31:31">
      <c r="AE42437" s="54"/>
    </row>
    <row r="42438" spans="31:31">
      <c r="AE42438" s="54"/>
    </row>
    <row r="42439" spans="31:31">
      <c r="AE42439" s="54"/>
    </row>
    <row r="42440" spans="31:31">
      <c r="AE42440" s="54"/>
    </row>
    <row r="42441" spans="31:31">
      <c r="AE42441" s="54"/>
    </row>
    <row r="42442" spans="31:31">
      <c r="AE42442" s="54"/>
    </row>
    <row r="42443" spans="31:31">
      <c r="AE42443" s="54"/>
    </row>
    <row r="42444" spans="31:31">
      <c r="AE42444" s="54"/>
    </row>
    <row r="42445" spans="31:31">
      <c r="AE42445" s="54"/>
    </row>
    <row r="42446" spans="31:31">
      <c r="AE42446" s="54"/>
    </row>
    <row r="42447" spans="31:31">
      <c r="AE42447" s="54"/>
    </row>
    <row r="42448" spans="31:31">
      <c r="AE42448" s="54"/>
    </row>
    <row r="42449" spans="31:31">
      <c r="AE42449" s="54"/>
    </row>
    <row r="42450" spans="31:31">
      <c r="AE42450" s="54"/>
    </row>
    <row r="42451" spans="31:31">
      <c r="AE42451" s="54"/>
    </row>
    <row r="42452" spans="31:31">
      <c r="AE42452" s="54"/>
    </row>
    <row r="42453" spans="31:31">
      <c r="AE42453" s="54"/>
    </row>
    <row r="42454" spans="31:31">
      <c r="AE42454" s="54"/>
    </row>
    <row r="42455" spans="31:31">
      <c r="AE42455" s="54"/>
    </row>
    <row r="42456" spans="31:31">
      <c r="AE42456" s="54"/>
    </row>
    <row r="42457" spans="31:31">
      <c r="AE42457" s="54"/>
    </row>
    <row r="42458" spans="31:31">
      <c r="AE42458" s="54"/>
    </row>
    <row r="42459" spans="31:31">
      <c r="AE42459" s="54"/>
    </row>
    <row r="42460" spans="31:31">
      <c r="AE42460" s="54"/>
    </row>
    <row r="42461" spans="31:31">
      <c r="AE42461" s="54"/>
    </row>
    <row r="42462" spans="31:31">
      <c r="AE42462" s="54"/>
    </row>
    <row r="42463" spans="31:31">
      <c r="AE42463" s="54"/>
    </row>
    <row r="42464" spans="31:31">
      <c r="AE42464" s="54"/>
    </row>
    <row r="42465" spans="31:31">
      <c r="AE42465" s="54"/>
    </row>
    <row r="42466" spans="31:31">
      <c r="AE42466" s="54"/>
    </row>
    <row r="42467" spans="31:31">
      <c r="AE42467" s="54"/>
    </row>
    <row r="42468" spans="31:31">
      <c r="AE42468" s="54"/>
    </row>
    <row r="42469" spans="31:31">
      <c r="AE42469" s="54"/>
    </row>
    <row r="42470" spans="31:31">
      <c r="AE42470" s="54"/>
    </row>
    <row r="42471" spans="31:31">
      <c r="AE42471" s="54"/>
    </row>
    <row r="42472" spans="31:31">
      <c r="AE42472" s="54"/>
    </row>
    <row r="42473" spans="31:31">
      <c r="AE42473" s="54"/>
    </row>
    <row r="42474" spans="31:31">
      <c r="AE42474" s="54"/>
    </row>
    <row r="42475" spans="31:31">
      <c r="AE42475" s="54"/>
    </row>
    <row r="42476" spans="31:31">
      <c r="AE42476" s="54"/>
    </row>
    <row r="42477" spans="31:31">
      <c r="AE42477" s="54"/>
    </row>
    <row r="42478" spans="31:31">
      <c r="AE42478" s="54"/>
    </row>
    <row r="42479" spans="31:31">
      <c r="AE42479" s="54"/>
    </row>
    <row r="42480" spans="31:31">
      <c r="AE42480" s="54"/>
    </row>
    <row r="42481" spans="31:31">
      <c r="AE42481" s="54"/>
    </row>
    <row r="42482" spans="31:31">
      <c r="AE42482" s="54"/>
    </row>
    <row r="42483" spans="31:31">
      <c r="AE42483" s="54"/>
    </row>
    <row r="42484" spans="31:31">
      <c r="AE42484" s="54"/>
    </row>
    <row r="42485" spans="31:31">
      <c r="AE42485" s="54"/>
    </row>
    <row r="42486" spans="31:31">
      <c r="AE42486" s="54"/>
    </row>
    <row r="42487" spans="31:31">
      <c r="AE42487" s="54"/>
    </row>
    <row r="42488" spans="31:31">
      <c r="AE42488" s="54"/>
    </row>
    <row r="42489" spans="31:31">
      <c r="AE42489" s="54"/>
    </row>
    <row r="42490" spans="31:31">
      <c r="AE42490" s="54"/>
    </row>
    <row r="42491" spans="31:31">
      <c r="AE42491" s="54"/>
    </row>
    <row r="42492" spans="31:31">
      <c r="AE42492" s="54"/>
    </row>
    <row r="42493" spans="31:31">
      <c r="AE42493" s="54"/>
    </row>
    <row r="42494" spans="31:31">
      <c r="AE42494" s="54"/>
    </row>
    <row r="42495" spans="31:31">
      <c r="AE42495" s="54"/>
    </row>
    <row r="42496" spans="31:31">
      <c r="AE42496" s="54"/>
    </row>
    <row r="42497" spans="31:31">
      <c r="AE42497" s="54"/>
    </row>
    <row r="42498" spans="31:31">
      <c r="AE42498" s="54"/>
    </row>
    <row r="42499" spans="31:31">
      <c r="AE42499" s="54"/>
    </row>
    <row r="42500" spans="31:31">
      <c r="AE42500" s="54"/>
    </row>
    <row r="42501" spans="31:31">
      <c r="AE42501" s="54"/>
    </row>
    <row r="42502" spans="31:31">
      <c r="AE42502" s="54"/>
    </row>
    <row r="42503" spans="31:31">
      <c r="AE42503" s="54"/>
    </row>
    <row r="42504" spans="31:31">
      <c r="AE42504" s="54"/>
    </row>
    <row r="42505" spans="31:31">
      <c r="AE42505" s="54"/>
    </row>
    <row r="42506" spans="31:31">
      <c r="AE42506" s="54"/>
    </row>
    <row r="42507" spans="31:31">
      <c r="AE42507" s="54"/>
    </row>
    <row r="42508" spans="31:31">
      <c r="AE42508" s="54"/>
    </row>
    <row r="42509" spans="31:31">
      <c r="AE42509" s="54"/>
    </row>
    <row r="42510" spans="31:31">
      <c r="AE42510" s="54"/>
    </row>
    <row r="42511" spans="31:31">
      <c r="AE42511" s="54"/>
    </row>
    <row r="42512" spans="31:31">
      <c r="AE42512" s="54"/>
    </row>
    <row r="42513" spans="31:31">
      <c r="AE42513" s="54"/>
    </row>
    <row r="42514" spans="31:31">
      <c r="AE42514" s="54"/>
    </row>
    <row r="42515" spans="31:31">
      <c r="AE42515" s="54"/>
    </row>
    <row r="42516" spans="31:31">
      <c r="AE42516" s="54"/>
    </row>
    <row r="42517" spans="31:31">
      <c r="AE42517" s="54"/>
    </row>
    <row r="42518" spans="31:31">
      <c r="AE42518" s="54"/>
    </row>
    <row r="42519" spans="31:31">
      <c r="AE42519" s="54"/>
    </row>
    <row r="42520" spans="31:31">
      <c r="AE42520" s="54"/>
    </row>
    <row r="42521" spans="31:31">
      <c r="AE42521" s="54"/>
    </row>
    <row r="42522" spans="31:31">
      <c r="AE42522" s="54"/>
    </row>
    <row r="42523" spans="31:31">
      <c r="AE42523" s="54"/>
    </row>
    <row r="42524" spans="31:31">
      <c r="AE42524" s="54"/>
    </row>
    <row r="42525" spans="31:31">
      <c r="AE42525" s="54"/>
    </row>
    <row r="42526" spans="31:31">
      <c r="AE42526" s="54"/>
    </row>
    <row r="42527" spans="31:31">
      <c r="AE42527" s="54"/>
    </row>
    <row r="42528" spans="31:31">
      <c r="AE42528" s="54"/>
    </row>
    <row r="42529" spans="31:31">
      <c r="AE42529" s="54"/>
    </row>
    <row r="42530" spans="31:31">
      <c r="AE42530" s="54"/>
    </row>
    <row r="42531" spans="31:31">
      <c r="AE42531" s="54"/>
    </row>
    <row r="42532" spans="31:31">
      <c r="AE42532" s="54"/>
    </row>
    <row r="42533" spans="31:31">
      <c r="AE42533" s="54"/>
    </row>
    <row r="42534" spans="31:31">
      <c r="AE42534" s="54"/>
    </row>
    <row r="42535" spans="31:31">
      <c r="AE42535" s="54"/>
    </row>
    <row r="42536" spans="31:31">
      <c r="AE42536" s="54"/>
    </row>
    <row r="42537" spans="31:31">
      <c r="AE42537" s="54"/>
    </row>
    <row r="42538" spans="31:31">
      <c r="AE42538" s="54"/>
    </row>
    <row r="42539" spans="31:31">
      <c r="AE42539" s="54"/>
    </row>
    <row r="42540" spans="31:31">
      <c r="AE42540" s="54"/>
    </row>
    <row r="42541" spans="31:31">
      <c r="AE42541" s="54"/>
    </row>
    <row r="42542" spans="31:31">
      <c r="AE42542" s="54"/>
    </row>
    <row r="42543" spans="31:31">
      <c r="AE42543" s="54"/>
    </row>
    <row r="42544" spans="31:31">
      <c r="AE42544" s="54"/>
    </row>
    <row r="42545" spans="31:31">
      <c r="AE42545" s="54"/>
    </row>
    <row r="42546" spans="31:31">
      <c r="AE42546" s="54"/>
    </row>
    <row r="42547" spans="31:31">
      <c r="AE42547" s="54"/>
    </row>
    <row r="42548" spans="31:31">
      <c r="AE42548" s="54"/>
    </row>
    <row r="42549" spans="31:31">
      <c r="AE42549" s="54"/>
    </row>
    <row r="42550" spans="31:31">
      <c r="AE42550" s="54"/>
    </row>
    <row r="42551" spans="31:31">
      <c r="AE42551" s="54"/>
    </row>
    <row r="42552" spans="31:31">
      <c r="AE42552" s="54"/>
    </row>
    <row r="42553" spans="31:31">
      <c r="AE42553" s="54"/>
    </row>
    <row r="42554" spans="31:31">
      <c r="AE42554" s="54"/>
    </row>
    <row r="42555" spans="31:31">
      <c r="AE42555" s="54"/>
    </row>
    <row r="42556" spans="31:31">
      <c r="AE42556" s="54"/>
    </row>
    <row r="42557" spans="31:31">
      <c r="AE42557" s="54"/>
    </row>
    <row r="42558" spans="31:31">
      <c r="AE42558" s="54"/>
    </row>
    <row r="42559" spans="31:31">
      <c r="AE42559" s="54"/>
    </row>
    <row r="42560" spans="31:31">
      <c r="AE42560" s="54"/>
    </row>
    <row r="42561" spans="31:31">
      <c r="AE42561" s="54"/>
    </row>
    <row r="42562" spans="31:31">
      <c r="AE42562" s="54"/>
    </row>
    <row r="42563" spans="31:31">
      <c r="AE42563" s="54"/>
    </row>
    <row r="42564" spans="31:31">
      <c r="AE42564" s="54"/>
    </row>
    <row r="42565" spans="31:31">
      <c r="AE42565" s="54"/>
    </row>
    <row r="42566" spans="31:31">
      <c r="AE42566" s="54"/>
    </row>
    <row r="42567" spans="31:31">
      <c r="AE42567" s="54"/>
    </row>
    <row r="42568" spans="31:31">
      <c r="AE42568" s="54"/>
    </row>
    <row r="42569" spans="31:31">
      <c r="AE42569" s="54"/>
    </row>
    <row r="42570" spans="31:31">
      <c r="AE42570" s="54"/>
    </row>
    <row r="42571" spans="31:31">
      <c r="AE42571" s="54"/>
    </row>
    <row r="42572" spans="31:31">
      <c r="AE42572" s="54"/>
    </row>
    <row r="42573" spans="31:31">
      <c r="AE42573" s="54"/>
    </row>
    <row r="42574" spans="31:31">
      <c r="AE42574" s="54"/>
    </row>
    <row r="42575" spans="31:31">
      <c r="AE42575" s="54"/>
    </row>
    <row r="42576" spans="31:31">
      <c r="AE42576" s="54"/>
    </row>
    <row r="42577" spans="31:31">
      <c r="AE42577" s="54"/>
    </row>
    <row r="42578" spans="31:31">
      <c r="AE42578" s="54"/>
    </row>
    <row r="42579" spans="31:31">
      <c r="AE42579" s="54"/>
    </row>
    <row r="42580" spans="31:31">
      <c r="AE42580" s="54"/>
    </row>
    <row r="42581" spans="31:31">
      <c r="AE42581" s="54"/>
    </row>
    <row r="42582" spans="31:31">
      <c r="AE42582" s="54"/>
    </row>
    <row r="42583" spans="31:31">
      <c r="AE42583" s="54"/>
    </row>
    <row r="42584" spans="31:31">
      <c r="AE42584" s="54"/>
    </row>
    <row r="42585" spans="31:31">
      <c r="AE42585" s="54"/>
    </row>
    <row r="42586" spans="31:31">
      <c r="AE42586" s="54"/>
    </row>
    <row r="42587" spans="31:31">
      <c r="AE42587" s="54"/>
    </row>
    <row r="42588" spans="31:31">
      <c r="AE42588" s="54"/>
    </row>
    <row r="42589" spans="31:31">
      <c r="AE42589" s="54"/>
    </row>
    <row r="42590" spans="31:31">
      <c r="AE42590" s="54"/>
    </row>
    <row r="42591" spans="31:31">
      <c r="AE42591" s="54"/>
    </row>
    <row r="42592" spans="31:31">
      <c r="AE42592" s="54"/>
    </row>
    <row r="42593" spans="31:31">
      <c r="AE42593" s="54"/>
    </row>
    <row r="42594" spans="31:31">
      <c r="AE42594" s="54"/>
    </row>
    <row r="42595" spans="31:31">
      <c r="AE42595" s="54"/>
    </row>
    <row r="42596" spans="31:31">
      <c r="AE42596" s="54"/>
    </row>
    <row r="42597" spans="31:31">
      <c r="AE42597" s="54"/>
    </row>
    <row r="42598" spans="31:31">
      <c r="AE42598" s="54"/>
    </row>
    <row r="42599" spans="31:31">
      <c r="AE42599" s="54"/>
    </row>
    <row r="42600" spans="31:31">
      <c r="AE42600" s="54"/>
    </row>
    <row r="42601" spans="31:31">
      <c r="AE42601" s="54"/>
    </row>
    <row r="42602" spans="31:31">
      <c r="AE42602" s="54"/>
    </row>
    <row r="42603" spans="31:31">
      <c r="AE42603" s="54"/>
    </row>
    <row r="42604" spans="31:31">
      <c r="AE42604" s="54"/>
    </row>
    <row r="42605" spans="31:31">
      <c r="AE42605" s="54"/>
    </row>
    <row r="42606" spans="31:31">
      <c r="AE42606" s="54"/>
    </row>
    <row r="42607" spans="31:31">
      <c r="AE42607" s="54"/>
    </row>
    <row r="42608" spans="31:31">
      <c r="AE42608" s="54"/>
    </row>
    <row r="42609" spans="31:31">
      <c r="AE42609" s="54"/>
    </row>
    <row r="42610" spans="31:31">
      <c r="AE42610" s="54"/>
    </row>
    <row r="42611" spans="31:31">
      <c r="AE42611" s="54"/>
    </row>
    <row r="42612" spans="31:31">
      <c r="AE42612" s="54"/>
    </row>
    <row r="42613" spans="31:31">
      <c r="AE42613" s="54"/>
    </row>
    <row r="42614" spans="31:31">
      <c r="AE42614" s="54"/>
    </row>
    <row r="42615" spans="31:31">
      <c r="AE42615" s="54"/>
    </row>
    <row r="42616" spans="31:31">
      <c r="AE42616" s="54"/>
    </row>
    <row r="42617" spans="31:31">
      <c r="AE42617" s="54"/>
    </row>
    <row r="42618" spans="31:31">
      <c r="AE42618" s="54"/>
    </row>
    <row r="42619" spans="31:31">
      <c r="AE42619" s="54"/>
    </row>
    <row r="42620" spans="31:31">
      <c r="AE42620" s="54"/>
    </row>
    <row r="42621" spans="31:31">
      <c r="AE42621" s="54"/>
    </row>
    <row r="42622" spans="31:31">
      <c r="AE42622" s="54"/>
    </row>
    <row r="42623" spans="31:31">
      <c r="AE42623" s="54"/>
    </row>
    <row r="42624" spans="31:31">
      <c r="AE42624" s="54"/>
    </row>
    <row r="42625" spans="31:31">
      <c r="AE42625" s="54"/>
    </row>
    <row r="42626" spans="31:31">
      <c r="AE42626" s="54"/>
    </row>
    <row r="42627" spans="31:31">
      <c r="AE42627" s="54"/>
    </row>
    <row r="42628" spans="31:31">
      <c r="AE42628" s="54"/>
    </row>
    <row r="42629" spans="31:31">
      <c r="AE42629" s="54"/>
    </row>
    <row r="42630" spans="31:31">
      <c r="AE42630" s="54"/>
    </row>
    <row r="42631" spans="31:31">
      <c r="AE42631" s="54"/>
    </row>
    <row r="42632" spans="31:31">
      <c r="AE42632" s="54"/>
    </row>
    <row r="42633" spans="31:31">
      <c r="AE42633" s="54"/>
    </row>
    <row r="42634" spans="31:31">
      <c r="AE42634" s="54"/>
    </row>
    <row r="42635" spans="31:31">
      <c r="AE42635" s="54"/>
    </row>
    <row r="42636" spans="31:31">
      <c r="AE42636" s="54"/>
    </row>
    <row r="42637" spans="31:31">
      <c r="AE42637" s="54"/>
    </row>
    <row r="42638" spans="31:31">
      <c r="AE42638" s="54"/>
    </row>
    <row r="42639" spans="31:31">
      <c r="AE42639" s="54"/>
    </row>
    <row r="42640" spans="31:31">
      <c r="AE42640" s="54"/>
    </row>
    <row r="42641" spans="31:31">
      <c r="AE42641" s="54"/>
    </row>
    <row r="42642" spans="31:31">
      <c r="AE42642" s="54"/>
    </row>
    <row r="42643" spans="31:31">
      <c r="AE42643" s="54"/>
    </row>
    <row r="42644" spans="31:31">
      <c r="AE42644" s="54"/>
    </row>
    <row r="42645" spans="31:31">
      <c r="AE42645" s="54"/>
    </row>
    <row r="42646" spans="31:31">
      <c r="AE42646" s="54"/>
    </row>
    <row r="42647" spans="31:31">
      <c r="AE42647" s="54"/>
    </row>
    <row r="42648" spans="31:31">
      <c r="AE42648" s="54"/>
    </row>
    <row r="42649" spans="31:31">
      <c r="AE42649" s="54"/>
    </row>
    <row r="42650" spans="31:31">
      <c r="AE42650" s="54"/>
    </row>
    <row r="42651" spans="31:31">
      <c r="AE42651" s="54"/>
    </row>
    <row r="42652" spans="31:31">
      <c r="AE42652" s="54"/>
    </row>
    <row r="42653" spans="31:31">
      <c r="AE42653" s="54"/>
    </row>
    <row r="42654" spans="31:31">
      <c r="AE42654" s="54"/>
    </row>
    <row r="42655" spans="31:31">
      <c r="AE42655" s="54"/>
    </row>
    <row r="42656" spans="31:31">
      <c r="AE42656" s="54"/>
    </row>
    <row r="42657" spans="31:31">
      <c r="AE42657" s="54"/>
    </row>
    <row r="42658" spans="31:31">
      <c r="AE42658" s="54"/>
    </row>
    <row r="42659" spans="31:31">
      <c r="AE42659" s="54"/>
    </row>
    <row r="42660" spans="31:31">
      <c r="AE42660" s="54"/>
    </row>
    <row r="42661" spans="31:31">
      <c r="AE42661" s="54"/>
    </row>
    <row r="42662" spans="31:31">
      <c r="AE42662" s="54"/>
    </row>
    <row r="42663" spans="31:31">
      <c r="AE42663" s="54"/>
    </row>
    <row r="42664" spans="31:31">
      <c r="AE42664" s="54"/>
    </row>
    <row r="42665" spans="31:31">
      <c r="AE42665" s="54"/>
    </row>
    <row r="42666" spans="31:31">
      <c r="AE42666" s="54"/>
    </row>
    <row r="42667" spans="31:31">
      <c r="AE42667" s="54"/>
    </row>
    <row r="42668" spans="31:31">
      <c r="AE42668" s="54"/>
    </row>
    <row r="42669" spans="31:31">
      <c r="AE42669" s="54"/>
    </row>
    <row r="42670" spans="31:31">
      <c r="AE42670" s="54"/>
    </row>
    <row r="42671" spans="31:31">
      <c r="AE42671" s="54"/>
    </row>
    <row r="42672" spans="31:31">
      <c r="AE42672" s="54"/>
    </row>
    <row r="42673" spans="31:31">
      <c r="AE42673" s="54"/>
    </row>
    <row r="42674" spans="31:31">
      <c r="AE42674" s="54"/>
    </row>
    <row r="42675" spans="31:31">
      <c r="AE42675" s="54"/>
    </row>
    <row r="42676" spans="31:31">
      <c r="AE42676" s="54"/>
    </row>
    <row r="42677" spans="31:31">
      <c r="AE42677" s="54"/>
    </row>
    <row r="42678" spans="31:31">
      <c r="AE42678" s="54"/>
    </row>
    <row r="42679" spans="31:31">
      <c r="AE42679" s="54"/>
    </row>
    <row r="42680" spans="31:31">
      <c r="AE42680" s="54"/>
    </row>
    <row r="42681" spans="31:31">
      <c r="AE42681" s="54"/>
    </row>
    <row r="42682" spans="31:31">
      <c r="AE42682" s="54"/>
    </row>
    <row r="42683" spans="31:31">
      <c r="AE42683" s="54"/>
    </row>
    <row r="42684" spans="31:31">
      <c r="AE42684" s="54"/>
    </row>
    <row r="42685" spans="31:31">
      <c r="AE42685" s="54"/>
    </row>
    <row r="42686" spans="31:31">
      <c r="AE42686" s="54"/>
    </row>
    <row r="42687" spans="31:31">
      <c r="AE42687" s="54"/>
    </row>
    <row r="42688" spans="31:31">
      <c r="AE42688" s="54"/>
    </row>
    <row r="42689" spans="31:31">
      <c r="AE42689" s="54"/>
    </row>
    <row r="42690" spans="31:31">
      <c r="AE42690" s="54"/>
    </row>
    <row r="42691" spans="31:31">
      <c r="AE42691" s="54"/>
    </row>
    <row r="42692" spans="31:31">
      <c r="AE42692" s="54"/>
    </row>
    <row r="42693" spans="31:31">
      <c r="AE42693" s="54"/>
    </row>
    <row r="42694" spans="31:31">
      <c r="AE42694" s="54"/>
    </row>
    <row r="42695" spans="31:31">
      <c r="AE42695" s="54"/>
    </row>
    <row r="42696" spans="31:31">
      <c r="AE42696" s="54"/>
    </row>
    <row r="42697" spans="31:31">
      <c r="AE42697" s="54"/>
    </row>
    <row r="42698" spans="31:31">
      <c r="AE42698" s="54"/>
    </row>
    <row r="42699" spans="31:31">
      <c r="AE42699" s="54"/>
    </row>
    <row r="42700" spans="31:31">
      <c r="AE42700" s="54"/>
    </row>
    <row r="42701" spans="31:31">
      <c r="AE42701" s="54"/>
    </row>
    <row r="42702" spans="31:31">
      <c r="AE42702" s="54"/>
    </row>
    <row r="42703" spans="31:31">
      <c r="AE42703" s="54"/>
    </row>
    <row r="42704" spans="31:31">
      <c r="AE42704" s="54"/>
    </row>
    <row r="42705" spans="31:31">
      <c r="AE42705" s="54"/>
    </row>
    <row r="42706" spans="31:31">
      <c r="AE42706" s="54"/>
    </row>
    <row r="42707" spans="31:31">
      <c r="AE42707" s="54"/>
    </row>
    <row r="42708" spans="31:31">
      <c r="AE42708" s="54"/>
    </row>
    <row r="42709" spans="31:31">
      <c r="AE42709" s="54"/>
    </row>
    <row r="42710" spans="31:31">
      <c r="AE42710" s="54"/>
    </row>
    <row r="42711" spans="31:31">
      <c r="AE42711" s="54"/>
    </row>
    <row r="42712" spans="31:31">
      <c r="AE42712" s="54"/>
    </row>
    <row r="42713" spans="31:31">
      <c r="AE42713" s="54"/>
    </row>
    <row r="42714" spans="31:31">
      <c r="AE42714" s="54"/>
    </row>
    <row r="42715" spans="31:31">
      <c r="AE42715" s="54"/>
    </row>
    <row r="42716" spans="31:31">
      <c r="AE42716" s="54"/>
    </row>
    <row r="42717" spans="31:31">
      <c r="AE42717" s="54"/>
    </row>
    <row r="42718" spans="31:31">
      <c r="AE42718" s="54"/>
    </row>
    <row r="42719" spans="31:31">
      <c r="AE42719" s="54"/>
    </row>
    <row r="42720" spans="31:31">
      <c r="AE42720" s="54"/>
    </row>
    <row r="42721" spans="31:31">
      <c r="AE42721" s="54"/>
    </row>
    <row r="42722" spans="31:31">
      <c r="AE42722" s="54"/>
    </row>
    <row r="42723" spans="31:31">
      <c r="AE42723" s="54"/>
    </row>
    <row r="42724" spans="31:31">
      <c r="AE42724" s="54"/>
    </row>
    <row r="42725" spans="31:31">
      <c r="AE42725" s="54"/>
    </row>
    <row r="42726" spans="31:31">
      <c r="AE42726" s="54"/>
    </row>
    <row r="42727" spans="31:31">
      <c r="AE42727" s="54"/>
    </row>
    <row r="42728" spans="31:31">
      <c r="AE42728" s="54"/>
    </row>
    <row r="42729" spans="31:31">
      <c r="AE42729" s="54"/>
    </row>
    <row r="42730" spans="31:31">
      <c r="AE42730" s="54"/>
    </row>
    <row r="42731" spans="31:31">
      <c r="AE42731" s="54"/>
    </row>
    <row r="42732" spans="31:31">
      <c r="AE42732" s="54"/>
    </row>
    <row r="42733" spans="31:31">
      <c r="AE42733" s="54"/>
    </row>
    <row r="42734" spans="31:31">
      <c r="AE42734" s="54"/>
    </row>
    <row r="42735" spans="31:31">
      <c r="AE42735" s="54"/>
    </row>
    <row r="42736" spans="31:31">
      <c r="AE42736" s="54"/>
    </row>
    <row r="42737" spans="31:31">
      <c r="AE42737" s="54"/>
    </row>
    <row r="42738" spans="31:31">
      <c r="AE42738" s="54"/>
    </row>
    <row r="42739" spans="31:31">
      <c r="AE42739" s="54"/>
    </row>
    <row r="42740" spans="31:31">
      <c r="AE42740" s="54"/>
    </row>
    <row r="42741" spans="31:31">
      <c r="AE42741" s="54"/>
    </row>
    <row r="42742" spans="31:31">
      <c r="AE42742" s="54"/>
    </row>
    <row r="42743" spans="31:31">
      <c r="AE42743" s="54"/>
    </row>
    <row r="42744" spans="31:31">
      <c r="AE42744" s="54"/>
    </row>
    <row r="42745" spans="31:31">
      <c r="AE42745" s="54"/>
    </row>
    <row r="42746" spans="31:31">
      <c r="AE42746" s="54"/>
    </row>
    <row r="42747" spans="31:31">
      <c r="AE42747" s="54"/>
    </row>
    <row r="42748" spans="31:31">
      <c r="AE42748" s="54"/>
    </row>
    <row r="42749" spans="31:31">
      <c r="AE42749" s="54"/>
    </row>
    <row r="42750" spans="31:31">
      <c r="AE42750" s="54"/>
    </row>
    <row r="42751" spans="31:31">
      <c r="AE42751" s="54"/>
    </row>
    <row r="42752" spans="31:31">
      <c r="AE42752" s="54"/>
    </row>
    <row r="42753" spans="31:31">
      <c r="AE42753" s="54"/>
    </row>
    <row r="42754" spans="31:31">
      <c r="AE42754" s="54"/>
    </row>
    <row r="42755" spans="31:31">
      <c r="AE42755" s="54"/>
    </row>
    <row r="42756" spans="31:31">
      <c r="AE42756" s="54"/>
    </row>
    <row r="42757" spans="31:31">
      <c r="AE42757" s="54"/>
    </row>
    <row r="42758" spans="31:31">
      <c r="AE42758" s="54"/>
    </row>
    <row r="42759" spans="31:31">
      <c r="AE42759" s="54"/>
    </row>
    <row r="42760" spans="31:31">
      <c r="AE42760" s="54"/>
    </row>
    <row r="42761" spans="31:31">
      <c r="AE42761" s="54"/>
    </row>
    <row r="42762" spans="31:31">
      <c r="AE42762" s="54"/>
    </row>
    <row r="42763" spans="31:31">
      <c r="AE42763" s="54"/>
    </row>
    <row r="42764" spans="31:31">
      <c r="AE42764" s="54"/>
    </row>
    <row r="42765" spans="31:31">
      <c r="AE42765" s="54"/>
    </row>
    <row r="42766" spans="31:31">
      <c r="AE42766" s="54"/>
    </row>
    <row r="42767" spans="31:31">
      <c r="AE42767" s="54"/>
    </row>
    <row r="42768" spans="31:31">
      <c r="AE42768" s="54"/>
    </row>
    <row r="42769" spans="31:31">
      <c r="AE42769" s="54"/>
    </row>
    <row r="42770" spans="31:31">
      <c r="AE42770" s="54"/>
    </row>
    <row r="42771" spans="31:31">
      <c r="AE42771" s="54"/>
    </row>
    <row r="42772" spans="31:31">
      <c r="AE42772" s="54"/>
    </row>
    <row r="42773" spans="31:31">
      <c r="AE42773" s="54"/>
    </row>
    <row r="42774" spans="31:31">
      <c r="AE42774" s="54"/>
    </row>
    <row r="42775" spans="31:31">
      <c r="AE42775" s="54"/>
    </row>
    <row r="42776" spans="31:31">
      <c r="AE42776" s="54"/>
    </row>
    <row r="42777" spans="31:31">
      <c r="AE42777" s="54"/>
    </row>
    <row r="42778" spans="31:31">
      <c r="AE42778" s="54"/>
    </row>
    <row r="42779" spans="31:31">
      <c r="AE42779" s="54"/>
    </row>
    <row r="42780" spans="31:31">
      <c r="AE42780" s="54"/>
    </row>
    <row r="42781" spans="31:31">
      <c r="AE42781" s="54"/>
    </row>
    <row r="42782" spans="31:31">
      <c r="AE42782" s="54"/>
    </row>
    <row r="42783" spans="31:31">
      <c r="AE42783" s="54"/>
    </row>
    <row r="42784" spans="31:31">
      <c r="AE42784" s="54"/>
    </row>
    <row r="42785" spans="31:31">
      <c r="AE42785" s="54"/>
    </row>
    <row r="42786" spans="31:31">
      <c r="AE42786" s="54"/>
    </row>
    <row r="42787" spans="31:31">
      <c r="AE42787" s="54"/>
    </row>
    <row r="42788" spans="31:31">
      <c r="AE42788" s="54"/>
    </row>
    <row r="42789" spans="31:31">
      <c r="AE42789" s="54"/>
    </row>
    <row r="42790" spans="31:31">
      <c r="AE42790" s="54"/>
    </row>
    <row r="42791" spans="31:31">
      <c r="AE42791" s="54"/>
    </row>
    <row r="42792" spans="31:31">
      <c r="AE42792" s="54"/>
    </row>
    <row r="42793" spans="31:31">
      <c r="AE42793" s="54"/>
    </row>
    <row r="42794" spans="31:31">
      <c r="AE42794" s="54"/>
    </row>
    <row r="42795" spans="31:31">
      <c r="AE42795" s="54"/>
    </row>
    <row r="42796" spans="31:31">
      <c r="AE42796" s="54"/>
    </row>
    <row r="42797" spans="31:31">
      <c r="AE42797" s="54"/>
    </row>
    <row r="42798" spans="31:31">
      <c r="AE42798" s="54"/>
    </row>
    <row r="42799" spans="31:31">
      <c r="AE42799" s="54"/>
    </row>
    <row r="42800" spans="31:31">
      <c r="AE42800" s="54"/>
    </row>
    <row r="42801" spans="31:31">
      <c r="AE42801" s="54"/>
    </row>
    <row r="42802" spans="31:31">
      <c r="AE42802" s="54"/>
    </row>
    <row r="42803" spans="31:31">
      <c r="AE42803" s="54"/>
    </row>
    <row r="42804" spans="31:31">
      <c r="AE42804" s="54"/>
    </row>
    <row r="42805" spans="31:31">
      <c r="AE42805" s="54"/>
    </row>
    <row r="42806" spans="31:31">
      <c r="AE42806" s="54"/>
    </row>
    <row r="42807" spans="31:31">
      <c r="AE42807" s="54"/>
    </row>
    <row r="42808" spans="31:31">
      <c r="AE42808" s="54"/>
    </row>
    <row r="42809" spans="31:31">
      <c r="AE42809" s="54"/>
    </row>
    <row r="42810" spans="31:31">
      <c r="AE42810" s="54"/>
    </row>
    <row r="42811" spans="31:31">
      <c r="AE42811" s="54"/>
    </row>
    <row r="42812" spans="31:31">
      <c r="AE42812" s="54"/>
    </row>
    <row r="42813" spans="31:31">
      <c r="AE42813" s="54"/>
    </row>
    <row r="42814" spans="31:31">
      <c r="AE42814" s="54"/>
    </row>
    <row r="42815" spans="31:31">
      <c r="AE42815" s="54"/>
    </row>
    <row r="42816" spans="31:31">
      <c r="AE42816" s="54"/>
    </row>
    <row r="42817" spans="31:31">
      <c r="AE42817" s="54"/>
    </row>
    <row r="42818" spans="31:31">
      <c r="AE42818" s="54"/>
    </row>
    <row r="42819" spans="31:31">
      <c r="AE42819" s="54"/>
    </row>
    <row r="42820" spans="31:31">
      <c r="AE42820" s="54"/>
    </row>
    <row r="42821" spans="31:31">
      <c r="AE42821" s="54"/>
    </row>
    <row r="42822" spans="31:31">
      <c r="AE42822" s="54"/>
    </row>
    <row r="42823" spans="31:31">
      <c r="AE42823" s="54"/>
    </row>
    <row r="42824" spans="31:31">
      <c r="AE42824" s="54"/>
    </row>
    <row r="42825" spans="31:31">
      <c r="AE42825" s="54"/>
    </row>
    <row r="42826" spans="31:31">
      <c r="AE42826" s="54"/>
    </row>
    <row r="42827" spans="31:31">
      <c r="AE42827" s="54"/>
    </row>
    <row r="42828" spans="31:31">
      <c r="AE42828" s="54"/>
    </row>
    <row r="42829" spans="31:31">
      <c r="AE42829" s="54"/>
    </row>
    <row r="42830" spans="31:31">
      <c r="AE42830" s="54"/>
    </row>
    <row r="42831" spans="31:31">
      <c r="AE42831" s="54"/>
    </row>
    <row r="42832" spans="31:31">
      <c r="AE42832" s="54"/>
    </row>
    <row r="42833" spans="31:31">
      <c r="AE42833" s="54"/>
    </row>
    <row r="42834" spans="31:31">
      <c r="AE42834" s="54"/>
    </row>
    <row r="42835" spans="31:31">
      <c r="AE42835" s="54"/>
    </row>
    <row r="42836" spans="31:31">
      <c r="AE42836" s="54"/>
    </row>
    <row r="42837" spans="31:31">
      <c r="AE42837" s="54"/>
    </row>
    <row r="42838" spans="31:31">
      <c r="AE42838" s="54"/>
    </row>
    <row r="42839" spans="31:31">
      <c r="AE42839" s="54"/>
    </row>
    <row r="42840" spans="31:31">
      <c r="AE42840" s="54"/>
    </row>
    <row r="42841" spans="31:31">
      <c r="AE42841" s="54"/>
    </row>
    <row r="42842" spans="31:31">
      <c r="AE42842" s="54"/>
    </row>
    <row r="42843" spans="31:31">
      <c r="AE42843" s="54"/>
    </row>
    <row r="42844" spans="31:31">
      <c r="AE42844" s="54"/>
    </row>
    <row r="42845" spans="31:31">
      <c r="AE42845" s="54"/>
    </row>
    <row r="42846" spans="31:31">
      <c r="AE42846" s="54"/>
    </row>
    <row r="42847" spans="31:31">
      <c r="AE42847" s="54"/>
    </row>
    <row r="42848" spans="31:31">
      <c r="AE42848" s="54"/>
    </row>
    <row r="42849" spans="31:31">
      <c r="AE42849" s="54"/>
    </row>
    <row r="42850" spans="31:31">
      <c r="AE42850" s="54"/>
    </row>
    <row r="42851" spans="31:31">
      <c r="AE42851" s="54"/>
    </row>
    <row r="42852" spans="31:31">
      <c r="AE42852" s="54"/>
    </row>
    <row r="42853" spans="31:31">
      <c r="AE42853" s="54"/>
    </row>
    <row r="42854" spans="31:31">
      <c r="AE42854" s="54"/>
    </row>
    <row r="42855" spans="31:31">
      <c r="AE42855" s="54"/>
    </row>
    <row r="42856" spans="31:31">
      <c r="AE42856" s="54"/>
    </row>
    <row r="42857" spans="31:31">
      <c r="AE42857" s="54"/>
    </row>
    <row r="42858" spans="31:31">
      <c r="AE42858" s="54"/>
    </row>
    <row r="42859" spans="31:31">
      <c r="AE42859" s="54"/>
    </row>
    <row r="42860" spans="31:31">
      <c r="AE42860" s="54"/>
    </row>
    <row r="42861" spans="31:31">
      <c r="AE42861" s="54"/>
    </row>
    <row r="42862" spans="31:31">
      <c r="AE42862" s="54"/>
    </row>
    <row r="42863" spans="31:31">
      <c r="AE42863" s="54"/>
    </row>
    <row r="42864" spans="31:31">
      <c r="AE42864" s="54"/>
    </row>
    <row r="42865" spans="31:31">
      <c r="AE42865" s="54"/>
    </row>
    <row r="42866" spans="31:31">
      <c r="AE42866" s="54"/>
    </row>
    <row r="42867" spans="31:31">
      <c r="AE42867" s="54"/>
    </row>
    <row r="42868" spans="31:31">
      <c r="AE42868" s="54"/>
    </row>
    <row r="42869" spans="31:31">
      <c r="AE42869" s="54"/>
    </row>
    <row r="42870" spans="31:31">
      <c r="AE42870" s="54"/>
    </row>
    <row r="42871" spans="31:31">
      <c r="AE42871" s="54"/>
    </row>
    <row r="42872" spans="31:31">
      <c r="AE42872" s="54"/>
    </row>
    <row r="42873" spans="31:31">
      <c r="AE42873" s="54"/>
    </row>
    <row r="42874" spans="31:31">
      <c r="AE42874" s="54"/>
    </row>
    <row r="42875" spans="31:31">
      <c r="AE42875" s="54"/>
    </row>
    <row r="42876" spans="31:31">
      <c r="AE42876" s="54"/>
    </row>
    <row r="42877" spans="31:31">
      <c r="AE42877" s="54"/>
    </row>
    <row r="42878" spans="31:31">
      <c r="AE42878" s="54"/>
    </row>
    <row r="42879" spans="31:31">
      <c r="AE42879" s="54"/>
    </row>
    <row r="42880" spans="31:31">
      <c r="AE42880" s="54"/>
    </row>
    <row r="42881" spans="31:31">
      <c r="AE42881" s="54"/>
    </row>
    <row r="42882" spans="31:31">
      <c r="AE42882" s="54"/>
    </row>
    <row r="42883" spans="31:31">
      <c r="AE42883" s="54"/>
    </row>
    <row r="42884" spans="31:31">
      <c r="AE42884" s="54"/>
    </row>
    <row r="42885" spans="31:31">
      <c r="AE42885" s="54"/>
    </row>
    <row r="42886" spans="31:31">
      <c r="AE42886" s="54"/>
    </row>
    <row r="42887" spans="31:31">
      <c r="AE42887" s="54"/>
    </row>
    <row r="42888" spans="31:31">
      <c r="AE42888" s="54"/>
    </row>
    <row r="42889" spans="31:31">
      <c r="AE42889" s="54"/>
    </row>
    <row r="42890" spans="31:31">
      <c r="AE42890" s="54"/>
    </row>
    <row r="42891" spans="31:31">
      <c r="AE42891" s="54"/>
    </row>
    <row r="42892" spans="31:31">
      <c r="AE42892" s="54"/>
    </row>
    <row r="42893" spans="31:31">
      <c r="AE42893" s="54"/>
    </row>
    <row r="42894" spans="31:31">
      <c r="AE42894" s="54"/>
    </row>
    <row r="42895" spans="31:31">
      <c r="AE42895" s="54"/>
    </row>
    <row r="42896" spans="31:31">
      <c r="AE42896" s="54"/>
    </row>
    <row r="42897" spans="31:31">
      <c r="AE42897" s="54"/>
    </row>
    <row r="42898" spans="31:31">
      <c r="AE42898" s="54"/>
    </row>
    <row r="42899" spans="31:31">
      <c r="AE42899" s="54"/>
    </row>
    <row r="42900" spans="31:31">
      <c r="AE42900" s="54"/>
    </row>
    <row r="42901" spans="31:31">
      <c r="AE42901" s="54"/>
    </row>
    <row r="42902" spans="31:31">
      <c r="AE42902" s="54"/>
    </row>
    <row r="42903" spans="31:31">
      <c r="AE42903" s="54"/>
    </row>
    <row r="42904" spans="31:31">
      <c r="AE42904" s="54"/>
    </row>
    <row r="42905" spans="31:31">
      <c r="AE42905" s="54"/>
    </row>
    <row r="42906" spans="31:31">
      <c r="AE42906" s="54"/>
    </row>
    <row r="42907" spans="31:31">
      <c r="AE42907" s="54"/>
    </row>
    <row r="42908" spans="31:31">
      <c r="AE42908" s="54"/>
    </row>
    <row r="42909" spans="31:31">
      <c r="AE42909" s="54"/>
    </row>
    <row r="42910" spans="31:31">
      <c r="AE42910" s="54"/>
    </row>
    <row r="42911" spans="31:31">
      <c r="AE42911" s="54"/>
    </row>
    <row r="42912" spans="31:31">
      <c r="AE42912" s="54"/>
    </row>
    <row r="42913" spans="31:31">
      <c r="AE42913" s="54"/>
    </row>
    <row r="42914" spans="31:31">
      <c r="AE42914" s="54"/>
    </row>
    <row r="42915" spans="31:31">
      <c r="AE42915" s="54"/>
    </row>
    <row r="42916" spans="31:31">
      <c r="AE42916" s="54"/>
    </row>
    <row r="42917" spans="31:31">
      <c r="AE42917" s="54"/>
    </row>
    <row r="42918" spans="31:31">
      <c r="AE42918" s="54"/>
    </row>
    <row r="42919" spans="31:31">
      <c r="AE42919" s="54"/>
    </row>
    <row r="42920" spans="31:31">
      <c r="AE42920" s="54"/>
    </row>
    <row r="42921" spans="31:31">
      <c r="AE42921" s="54"/>
    </row>
    <row r="42922" spans="31:31">
      <c r="AE42922" s="54"/>
    </row>
    <row r="42923" spans="31:31">
      <c r="AE42923" s="54"/>
    </row>
    <row r="42924" spans="31:31">
      <c r="AE42924" s="54"/>
    </row>
    <row r="42925" spans="31:31">
      <c r="AE42925" s="54"/>
    </row>
    <row r="42926" spans="31:31">
      <c r="AE42926" s="54"/>
    </row>
    <row r="42927" spans="31:31">
      <c r="AE42927" s="54"/>
    </row>
    <row r="42928" spans="31:31">
      <c r="AE42928" s="54"/>
    </row>
    <row r="42929" spans="31:31">
      <c r="AE42929" s="54"/>
    </row>
    <row r="42930" spans="31:31">
      <c r="AE42930" s="54"/>
    </row>
    <row r="42931" spans="31:31">
      <c r="AE42931" s="54"/>
    </row>
    <row r="42932" spans="31:31">
      <c r="AE42932" s="54"/>
    </row>
    <row r="42933" spans="31:31">
      <c r="AE42933" s="54"/>
    </row>
    <row r="42934" spans="31:31">
      <c r="AE42934" s="54"/>
    </row>
    <row r="42935" spans="31:31">
      <c r="AE42935" s="54"/>
    </row>
    <row r="42936" spans="31:31">
      <c r="AE42936" s="54"/>
    </row>
    <row r="42937" spans="31:31">
      <c r="AE42937" s="54"/>
    </row>
    <row r="42938" spans="31:31">
      <c r="AE42938" s="54"/>
    </row>
    <row r="42939" spans="31:31">
      <c r="AE42939" s="54"/>
    </row>
    <row r="42940" spans="31:31">
      <c r="AE42940" s="54"/>
    </row>
    <row r="42941" spans="31:31">
      <c r="AE42941" s="54"/>
    </row>
    <row r="42942" spans="31:31">
      <c r="AE42942" s="54"/>
    </row>
    <row r="42943" spans="31:31">
      <c r="AE42943" s="54"/>
    </row>
    <row r="42944" spans="31:31">
      <c r="AE42944" s="54"/>
    </row>
    <row r="42945" spans="31:31">
      <c r="AE42945" s="54"/>
    </row>
    <row r="42946" spans="31:31">
      <c r="AE42946" s="54"/>
    </row>
    <row r="42947" spans="31:31">
      <c r="AE42947" s="54"/>
    </row>
    <row r="42948" spans="31:31">
      <c r="AE42948" s="54"/>
    </row>
    <row r="42949" spans="31:31">
      <c r="AE42949" s="54"/>
    </row>
    <row r="42950" spans="31:31">
      <c r="AE42950" s="54"/>
    </row>
    <row r="42951" spans="31:31">
      <c r="AE42951" s="54"/>
    </row>
    <row r="42952" spans="31:31">
      <c r="AE42952" s="54"/>
    </row>
    <row r="42953" spans="31:31">
      <c r="AE42953" s="54"/>
    </row>
    <row r="42954" spans="31:31">
      <c r="AE42954" s="54"/>
    </row>
    <row r="42955" spans="31:31">
      <c r="AE42955" s="54"/>
    </row>
    <row r="42956" spans="31:31">
      <c r="AE42956" s="54"/>
    </row>
    <row r="42957" spans="31:31">
      <c r="AE42957" s="54"/>
    </row>
    <row r="42958" spans="31:31">
      <c r="AE42958" s="54"/>
    </row>
    <row r="42959" spans="31:31">
      <c r="AE42959" s="54"/>
    </row>
    <row r="42960" spans="31:31">
      <c r="AE42960" s="54"/>
    </row>
    <row r="42961" spans="31:31">
      <c r="AE42961" s="54"/>
    </row>
    <row r="42962" spans="31:31">
      <c r="AE42962" s="54"/>
    </row>
    <row r="42963" spans="31:31">
      <c r="AE42963" s="54"/>
    </row>
    <row r="42964" spans="31:31">
      <c r="AE42964" s="54"/>
    </row>
    <row r="42965" spans="31:31">
      <c r="AE42965" s="54"/>
    </row>
    <row r="42966" spans="31:31">
      <c r="AE42966" s="54"/>
    </row>
    <row r="42967" spans="31:31">
      <c r="AE42967" s="54"/>
    </row>
    <row r="42968" spans="31:31">
      <c r="AE42968" s="54"/>
    </row>
    <row r="42969" spans="31:31">
      <c r="AE42969" s="54"/>
    </row>
    <row r="42970" spans="31:31">
      <c r="AE42970" s="54"/>
    </row>
    <row r="42971" spans="31:31">
      <c r="AE42971" s="54"/>
    </row>
    <row r="42972" spans="31:31">
      <c r="AE42972" s="54"/>
    </row>
    <row r="42973" spans="31:31">
      <c r="AE42973" s="54"/>
    </row>
    <row r="42974" spans="31:31">
      <c r="AE42974" s="54"/>
    </row>
    <row r="42975" spans="31:31">
      <c r="AE42975" s="54"/>
    </row>
    <row r="42976" spans="31:31">
      <c r="AE42976" s="54"/>
    </row>
    <row r="42977" spans="31:31">
      <c r="AE42977" s="54"/>
    </row>
    <row r="42978" spans="31:31">
      <c r="AE42978" s="54"/>
    </row>
    <row r="42979" spans="31:31">
      <c r="AE42979" s="54"/>
    </row>
    <row r="42980" spans="31:31">
      <c r="AE42980" s="54"/>
    </row>
    <row r="42981" spans="31:31">
      <c r="AE42981" s="54"/>
    </row>
    <row r="42982" spans="31:31">
      <c r="AE42982" s="54"/>
    </row>
    <row r="42983" spans="31:31">
      <c r="AE42983" s="54"/>
    </row>
    <row r="42984" spans="31:31">
      <c r="AE42984" s="54"/>
    </row>
    <row r="42985" spans="31:31">
      <c r="AE42985" s="54"/>
    </row>
    <row r="42986" spans="31:31">
      <c r="AE42986" s="54"/>
    </row>
    <row r="42987" spans="31:31">
      <c r="AE42987" s="54"/>
    </row>
    <row r="42988" spans="31:31">
      <c r="AE42988" s="54"/>
    </row>
    <row r="42989" spans="31:31">
      <c r="AE42989" s="54"/>
    </row>
    <row r="42990" spans="31:31">
      <c r="AE42990" s="54"/>
    </row>
    <row r="42991" spans="31:31">
      <c r="AE42991" s="54"/>
    </row>
    <row r="42992" spans="31:31">
      <c r="AE42992" s="54"/>
    </row>
    <row r="42993" spans="31:31">
      <c r="AE42993" s="54"/>
    </row>
    <row r="42994" spans="31:31">
      <c r="AE42994" s="54"/>
    </row>
    <row r="42995" spans="31:31">
      <c r="AE42995" s="54"/>
    </row>
    <row r="42996" spans="31:31">
      <c r="AE42996" s="54"/>
    </row>
    <row r="42997" spans="31:31">
      <c r="AE42997" s="54"/>
    </row>
    <row r="42998" spans="31:31">
      <c r="AE42998" s="54"/>
    </row>
    <row r="42999" spans="31:31">
      <c r="AE42999" s="54"/>
    </row>
    <row r="43000" spans="31:31">
      <c r="AE43000" s="54"/>
    </row>
    <row r="43001" spans="31:31">
      <c r="AE43001" s="54"/>
    </row>
    <row r="43002" spans="31:31">
      <c r="AE43002" s="54"/>
    </row>
    <row r="43003" spans="31:31">
      <c r="AE43003" s="54"/>
    </row>
    <row r="43004" spans="31:31">
      <c r="AE43004" s="54"/>
    </row>
    <row r="43005" spans="31:31">
      <c r="AE43005" s="54"/>
    </row>
    <row r="43006" spans="31:31">
      <c r="AE43006" s="54"/>
    </row>
    <row r="43007" spans="31:31">
      <c r="AE43007" s="54"/>
    </row>
    <row r="43008" spans="31:31">
      <c r="AE43008" s="54"/>
    </row>
    <row r="43009" spans="31:31">
      <c r="AE43009" s="54"/>
    </row>
    <row r="43010" spans="31:31">
      <c r="AE43010" s="54"/>
    </row>
    <row r="43011" spans="31:31">
      <c r="AE43011" s="54"/>
    </row>
    <row r="43012" spans="31:31">
      <c r="AE43012" s="54"/>
    </row>
    <row r="43013" spans="31:31">
      <c r="AE43013" s="54"/>
    </row>
    <row r="43014" spans="31:31">
      <c r="AE43014" s="54"/>
    </row>
    <row r="43015" spans="31:31">
      <c r="AE43015" s="54"/>
    </row>
    <row r="43016" spans="31:31">
      <c r="AE43016" s="54"/>
    </row>
    <row r="43017" spans="31:31">
      <c r="AE43017" s="54"/>
    </row>
    <row r="43018" spans="31:31">
      <c r="AE43018" s="54"/>
    </row>
    <row r="43019" spans="31:31">
      <c r="AE43019" s="54"/>
    </row>
    <row r="43020" spans="31:31">
      <c r="AE43020" s="54"/>
    </row>
    <row r="43021" spans="31:31">
      <c r="AE43021" s="54"/>
    </row>
    <row r="43022" spans="31:31">
      <c r="AE43022" s="54"/>
    </row>
    <row r="43023" spans="31:31">
      <c r="AE43023" s="54"/>
    </row>
    <row r="43024" spans="31:31">
      <c r="AE43024" s="54"/>
    </row>
    <row r="43025" spans="31:31">
      <c r="AE43025" s="54"/>
    </row>
    <row r="43026" spans="31:31">
      <c r="AE43026" s="54"/>
    </row>
    <row r="43027" spans="31:31">
      <c r="AE43027" s="54"/>
    </row>
    <row r="43028" spans="31:31">
      <c r="AE43028" s="54"/>
    </row>
    <row r="43029" spans="31:31">
      <c r="AE43029" s="54"/>
    </row>
    <row r="43030" spans="31:31">
      <c r="AE43030" s="54"/>
    </row>
    <row r="43031" spans="31:31">
      <c r="AE43031" s="54"/>
    </row>
    <row r="43032" spans="31:31">
      <c r="AE43032" s="54"/>
    </row>
    <row r="43033" spans="31:31">
      <c r="AE43033" s="54"/>
    </row>
    <row r="43034" spans="31:31">
      <c r="AE43034" s="54"/>
    </row>
    <row r="43035" spans="31:31">
      <c r="AE43035" s="54"/>
    </row>
    <row r="43036" spans="31:31">
      <c r="AE43036" s="54"/>
    </row>
    <row r="43037" spans="31:31">
      <c r="AE43037" s="54"/>
    </row>
    <row r="43038" spans="31:31">
      <c r="AE43038" s="54"/>
    </row>
    <row r="43039" spans="31:31">
      <c r="AE43039" s="54"/>
    </row>
    <row r="43040" spans="31:31">
      <c r="AE43040" s="54"/>
    </row>
    <row r="43041" spans="31:31">
      <c r="AE43041" s="54"/>
    </row>
    <row r="43042" spans="31:31">
      <c r="AE43042" s="54"/>
    </row>
    <row r="43043" spans="31:31">
      <c r="AE43043" s="54"/>
    </row>
    <row r="43044" spans="31:31">
      <c r="AE43044" s="54"/>
    </row>
    <row r="43045" spans="31:31">
      <c r="AE43045" s="54"/>
    </row>
    <row r="43046" spans="31:31">
      <c r="AE43046" s="54"/>
    </row>
    <row r="43047" spans="31:31">
      <c r="AE43047" s="54"/>
    </row>
    <row r="43048" spans="31:31">
      <c r="AE43048" s="54"/>
    </row>
    <row r="43049" spans="31:31">
      <c r="AE43049" s="54"/>
    </row>
    <row r="43050" spans="31:31">
      <c r="AE43050" s="54"/>
    </row>
    <row r="43051" spans="31:31">
      <c r="AE43051" s="54"/>
    </row>
    <row r="43052" spans="31:31">
      <c r="AE43052" s="54"/>
    </row>
    <row r="43053" spans="31:31">
      <c r="AE43053" s="54"/>
    </row>
    <row r="43054" spans="31:31">
      <c r="AE43054" s="54"/>
    </row>
    <row r="43055" spans="31:31">
      <c r="AE43055" s="54"/>
    </row>
    <row r="43056" spans="31:31">
      <c r="AE43056" s="54"/>
    </row>
    <row r="43057" spans="31:31">
      <c r="AE43057" s="54"/>
    </row>
    <row r="43058" spans="31:31">
      <c r="AE43058" s="54"/>
    </row>
    <row r="43059" spans="31:31">
      <c r="AE43059" s="54"/>
    </row>
    <row r="43060" spans="31:31">
      <c r="AE43060" s="54"/>
    </row>
    <row r="43061" spans="31:31">
      <c r="AE43061" s="54"/>
    </row>
    <row r="43062" spans="31:31">
      <c r="AE43062" s="54"/>
    </row>
    <row r="43063" spans="31:31">
      <c r="AE43063" s="54"/>
    </row>
    <row r="43064" spans="31:31">
      <c r="AE43064" s="54"/>
    </row>
    <row r="43065" spans="31:31">
      <c r="AE43065" s="54"/>
    </row>
    <row r="43066" spans="31:31">
      <c r="AE43066" s="54"/>
    </row>
    <row r="43067" spans="31:31">
      <c r="AE43067" s="54"/>
    </row>
    <row r="43068" spans="31:31">
      <c r="AE43068" s="54"/>
    </row>
    <row r="43069" spans="31:31">
      <c r="AE43069" s="54"/>
    </row>
    <row r="43070" spans="31:31">
      <c r="AE43070" s="54"/>
    </row>
    <row r="43071" spans="31:31">
      <c r="AE43071" s="54"/>
    </row>
    <row r="43072" spans="31:31">
      <c r="AE43072" s="54"/>
    </row>
    <row r="43073" spans="31:31">
      <c r="AE43073" s="54"/>
    </row>
    <row r="43074" spans="31:31">
      <c r="AE43074" s="54"/>
    </row>
    <row r="43075" spans="31:31">
      <c r="AE43075" s="54"/>
    </row>
    <row r="43076" spans="31:31">
      <c r="AE43076" s="54"/>
    </row>
    <row r="43077" spans="31:31">
      <c r="AE43077" s="54"/>
    </row>
    <row r="43078" spans="31:31">
      <c r="AE43078" s="54"/>
    </row>
    <row r="43079" spans="31:31">
      <c r="AE43079" s="54"/>
    </row>
    <row r="43080" spans="31:31">
      <c r="AE43080" s="54"/>
    </row>
    <row r="43081" spans="31:31">
      <c r="AE43081" s="54"/>
    </row>
    <row r="43082" spans="31:31">
      <c r="AE43082" s="54"/>
    </row>
    <row r="43083" spans="31:31">
      <c r="AE43083" s="54"/>
    </row>
    <row r="43084" spans="31:31">
      <c r="AE43084" s="54"/>
    </row>
    <row r="43085" spans="31:31">
      <c r="AE43085" s="54"/>
    </row>
    <row r="43086" spans="31:31">
      <c r="AE43086" s="54"/>
    </row>
    <row r="43087" spans="31:31">
      <c r="AE43087" s="54"/>
    </row>
    <row r="43088" spans="31:31">
      <c r="AE43088" s="54"/>
    </row>
    <row r="43089" spans="31:31">
      <c r="AE43089" s="54"/>
    </row>
    <row r="43090" spans="31:31">
      <c r="AE43090" s="54"/>
    </row>
    <row r="43091" spans="31:31">
      <c r="AE43091" s="54"/>
    </row>
    <row r="43092" spans="31:31">
      <c r="AE43092" s="54"/>
    </row>
    <row r="43093" spans="31:31">
      <c r="AE43093" s="54"/>
    </row>
    <row r="43094" spans="31:31">
      <c r="AE43094" s="54"/>
    </row>
    <row r="43095" spans="31:31">
      <c r="AE43095" s="54"/>
    </row>
    <row r="43096" spans="31:31">
      <c r="AE43096" s="54"/>
    </row>
    <row r="43097" spans="31:31">
      <c r="AE43097" s="54"/>
    </row>
    <row r="43098" spans="31:31">
      <c r="AE43098" s="54"/>
    </row>
    <row r="43099" spans="31:31">
      <c r="AE43099" s="54"/>
    </row>
    <row r="43100" spans="31:31">
      <c r="AE43100" s="54"/>
    </row>
    <row r="43101" spans="31:31">
      <c r="AE43101" s="54"/>
    </row>
    <row r="43102" spans="31:31">
      <c r="AE43102" s="54"/>
    </row>
    <row r="43103" spans="31:31">
      <c r="AE43103" s="54"/>
    </row>
    <row r="43104" spans="31:31">
      <c r="AE43104" s="54"/>
    </row>
    <row r="43105" spans="31:31">
      <c r="AE43105" s="54"/>
    </row>
    <row r="43106" spans="31:31">
      <c r="AE43106" s="54"/>
    </row>
    <row r="43107" spans="31:31">
      <c r="AE43107" s="54"/>
    </row>
    <row r="43108" spans="31:31">
      <c r="AE43108" s="54"/>
    </row>
    <row r="43109" spans="31:31">
      <c r="AE43109" s="54"/>
    </row>
    <row r="43110" spans="31:31">
      <c r="AE43110" s="54"/>
    </row>
    <row r="43111" spans="31:31">
      <c r="AE43111" s="54"/>
    </row>
    <row r="43112" spans="31:31">
      <c r="AE43112" s="54"/>
    </row>
    <row r="43113" spans="31:31">
      <c r="AE43113" s="54"/>
    </row>
    <row r="43114" spans="31:31">
      <c r="AE43114" s="54"/>
    </row>
    <row r="43115" spans="31:31">
      <c r="AE43115" s="54"/>
    </row>
    <row r="43116" spans="31:31">
      <c r="AE43116" s="54"/>
    </row>
    <row r="43117" spans="31:31">
      <c r="AE43117" s="54"/>
    </row>
    <row r="43118" spans="31:31">
      <c r="AE43118" s="54"/>
    </row>
    <row r="43119" spans="31:31">
      <c r="AE43119" s="54"/>
    </row>
    <row r="43120" spans="31:31">
      <c r="AE43120" s="54"/>
    </row>
    <row r="43121" spans="31:31">
      <c r="AE43121" s="54"/>
    </row>
    <row r="43122" spans="31:31">
      <c r="AE43122" s="54"/>
    </row>
    <row r="43123" spans="31:31">
      <c r="AE43123" s="54"/>
    </row>
    <row r="43124" spans="31:31">
      <c r="AE43124" s="54"/>
    </row>
    <row r="43125" spans="31:31">
      <c r="AE43125" s="54"/>
    </row>
    <row r="43126" spans="31:31">
      <c r="AE43126" s="54"/>
    </row>
    <row r="43127" spans="31:31">
      <c r="AE43127" s="54"/>
    </row>
    <row r="43128" spans="31:31">
      <c r="AE43128" s="54"/>
    </row>
    <row r="43129" spans="31:31">
      <c r="AE43129" s="54"/>
    </row>
    <row r="43130" spans="31:31">
      <c r="AE43130" s="54"/>
    </row>
    <row r="43131" spans="31:31">
      <c r="AE43131" s="54"/>
    </row>
    <row r="43132" spans="31:31">
      <c r="AE43132" s="54"/>
    </row>
    <row r="43133" spans="31:31">
      <c r="AE43133" s="54"/>
    </row>
    <row r="43134" spans="31:31">
      <c r="AE43134" s="54"/>
    </row>
    <row r="43135" spans="31:31">
      <c r="AE43135" s="54"/>
    </row>
    <row r="43136" spans="31:31">
      <c r="AE43136" s="54"/>
    </row>
    <row r="43137" spans="31:31">
      <c r="AE43137" s="54"/>
    </row>
    <row r="43138" spans="31:31">
      <c r="AE43138" s="54"/>
    </row>
    <row r="43139" spans="31:31">
      <c r="AE43139" s="54"/>
    </row>
    <row r="43140" spans="31:31">
      <c r="AE43140" s="54"/>
    </row>
    <row r="43141" spans="31:31">
      <c r="AE43141" s="54"/>
    </row>
    <row r="43142" spans="31:31">
      <c r="AE43142" s="54"/>
    </row>
    <row r="43143" spans="31:31">
      <c r="AE43143" s="54"/>
    </row>
    <row r="43144" spans="31:31">
      <c r="AE43144" s="54"/>
    </row>
    <row r="43145" spans="31:31">
      <c r="AE43145" s="54"/>
    </row>
    <row r="43146" spans="31:31">
      <c r="AE43146" s="54"/>
    </row>
    <row r="43147" spans="31:31">
      <c r="AE43147" s="54"/>
    </row>
    <row r="43148" spans="31:31">
      <c r="AE43148" s="54"/>
    </row>
    <row r="43149" spans="31:31">
      <c r="AE43149" s="54"/>
    </row>
    <row r="43150" spans="31:31">
      <c r="AE43150" s="54"/>
    </row>
    <row r="43151" spans="31:31">
      <c r="AE43151" s="54"/>
    </row>
    <row r="43152" spans="31:31">
      <c r="AE43152" s="54"/>
    </row>
    <row r="43153" spans="31:31">
      <c r="AE43153" s="54"/>
    </row>
    <row r="43154" spans="31:31">
      <c r="AE43154" s="54"/>
    </row>
    <row r="43155" spans="31:31">
      <c r="AE43155" s="54"/>
    </row>
    <row r="43156" spans="31:31">
      <c r="AE43156" s="54"/>
    </row>
    <row r="43157" spans="31:31">
      <c r="AE43157" s="54"/>
    </row>
    <row r="43158" spans="31:31">
      <c r="AE43158" s="54"/>
    </row>
    <row r="43159" spans="31:31">
      <c r="AE43159" s="54"/>
    </row>
    <row r="43160" spans="31:31">
      <c r="AE43160" s="54"/>
    </row>
    <row r="43161" spans="31:31">
      <c r="AE43161" s="54"/>
    </row>
    <row r="43162" spans="31:31">
      <c r="AE43162" s="54"/>
    </row>
    <row r="43163" spans="31:31">
      <c r="AE43163" s="54"/>
    </row>
    <row r="43164" spans="31:31">
      <c r="AE43164" s="54"/>
    </row>
    <row r="43165" spans="31:31">
      <c r="AE43165" s="54"/>
    </row>
    <row r="43166" spans="31:31">
      <c r="AE43166" s="54"/>
    </row>
    <row r="43167" spans="31:31">
      <c r="AE43167" s="54"/>
    </row>
    <row r="43168" spans="31:31">
      <c r="AE43168" s="54"/>
    </row>
    <row r="43169" spans="31:31">
      <c r="AE43169" s="54"/>
    </row>
    <row r="43170" spans="31:31">
      <c r="AE43170" s="54"/>
    </row>
    <row r="43171" spans="31:31">
      <c r="AE43171" s="54"/>
    </row>
    <row r="43172" spans="31:31">
      <c r="AE43172" s="54"/>
    </row>
    <row r="43173" spans="31:31">
      <c r="AE43173" s="54"/>
    </row>
    <row r="43174" spans="31:31">
      <c r="AE43174" s="54"/>
    </row>
    <row r="43175" spans="31:31">
      <c r="AE43175" s="54"/>
    </row>
    <row r="43176" spans="31:31">
      <c r="AE43176" s="54"/>
    </row>
    <row r="43177" spans="31:31">
      <c r="AE43177" s="54"/>
    </row>
    <row r="43178" spans="31:31">
      <c r="AE43178" s="54"/>
    </row>
    <row r="43179" spans="31:31">
      <c r="AE43179" s="54"/>
    </row>
    <row r="43180" spans="31:31">
      <c r="AE43180" s="54"/>
    </row>
    <row r="43181" spans="31:31">
      <c r="AE43181" s="54"/>
    </row>
    <row r="43182" spans="31:31">
      <c r="AE43182" s="54"/>
    </row>
    <row r="43183" spans="31:31">
      <c r="AE43183" s="54"/>
    </row>
    <row r="43184" spans="31:31">
      <c r="AE43184" s="54"/>
    </row>
    <row r="43185" spans="31:31">
      <c r="AE43185" s="54"/>
    </row>
    <row r="43186" spans="31:31">
      <c r="AE43186" s="54"/>
    </row>
    <row r="43187" spans="31:31">
      <c r="AE43187" s="54"/>
    </row>
    <row r="43188" spans="31:31">
      <c r="AE43188" s="54"/>
    </row>
    <row r="43189" spans="31:31">
      <c r="AE43189" s="54"/>
    </row>
    <row r="43190" spans="31:31">
      <c r="AE43190" s="54"/>
    </row>
    <row r="43191" spans="31:31">
      <c r="AE43191" s="54"/>
    </row>
    <row r="43192" spans="31:31">
      <c r="AE43192" s="54"/>
    </row>
    <row r="43193" spans="31:31">
      <c r="AE43193" s="54"/>
    </row>
    <row r="43194" spans="31:31">
      <c r="AE43194" s="54"/>
    </row>
    <row r="43195" spans="31:31">
      <c r="AE43195" s="54"/>
    </row>
    <row r="43196" spans="31:31">
      <c r="AE43196" s="54"/>
    </row>
    <row r="43197" spans="31:31">
      <c r="AE43197" s="54"/>
    </row>
    <row r="43198" spans="31:31">
      <c r="AE43198" s="54"/>
    </row>
    <row r="43199" spans="31:31">
      <c r="AE43199" s="54"/>
    </row>
    <row r="43200" spans="31:31">
      <c r="AE43200" s="54"/>
    </row>
    <row r="43201" spans="31:31">
      <c r="AE43201" s="54"/>
    </row>
    <row r="43202" spans="31:31">
      <c r="AE43202" s="54"/>
    </row>
    <row r="43203" spans="31:31">
      <c r="AE43203" s="54"/>
    </row>
    <row r="43204" spans="31:31">
      <c r="AE43204" s="54"/>
    </row>
    <row r="43205" spans="31:31">
      <c r="AE43205" s="54"/>
    </row>
    <row r="43206" spans="31:31">
      <c r="AE43206" s="54"/>
    </row>
    <row r="43207" spans="31:31">
      <c r="AE43207" s="54"/>
    </row>
    <row r="43208" spans="31:31">
      <c r="AE43208" s="54"/>
    </row>
    <row r="43209" spans="31:31">
      <c r="AE43209" s="54"/>
    </row>
    <row r="43210" spans="31:31">
      <c r="AE43210" s="54"/>
    </row>
    <row r="43211" spans="31:31">
      <c r="AE43211" s="54"/>
    </row>
    <row r="43212" spans="31:31">
      <c r="AE43212" s="54"/>
    </row>
    <row r="43213" spans="31:31">
      <c r="AE43213" s="54"/>
    </row>
    <row r="43214" spans="31:31">
      <c r="AE43214" s="54"/>
    </row>
    <row r="43215" spans="31:31">
      <c r="AE43215" s="54"/>
    </row>
    <row r="43216" spans="31:31">
      <c r="AE43216" s="54"/>
    </row>
    <row r="43217" spans="31:31">
      <c r="AE43217" s="54"/>
    </row>
    <row r="43218" spans="31:31">
      <c r="AE43218" s="54"/>
    </row>
    <row r="43219" spans="31:31">
      <c r="AE43219" s="54"/>
    </row>
    <row r="43220" spans="31:31">
      <c r="AE43220" s="54"/>
    </row>
    <row r="43221" spans="31:31">
      <c r="AE43221" s="54"/>
    </row>
    <row r="43222" spans="31:31">
      <c r="AE43222" s="54"/>
    </row>
    <row r="43223" spans="31:31">
      <c r="AE43223" s="54"/>
    </row>
    <row r="43224" spans="31:31">
      <c r="AE43224" s="54"/>
    </row>
    <row r="43225" spans="31:31">
      <c r="AE43225" s="54"/>
    </row>
    <row r="43226" spans="31:31">
      <c r="AE43226" s="54"/>
    </row>
    <row r="43227" spans="31:31">
      <c r="AE43227" s="54"/>
    </row>
    <row r="43228" spans="31:31">
      <c r="AE43228" s="54"/>
    </row>
    <row r="43229" spans="31:31">
      <c r="AE43229" s="54"/>
    </row>
    <row r="43230" spans="31:31">
      <c r="AE43230" s="54"/>
    </row>
    <row r="43231" spans="31:31">
      <c r="AE43231" s="54"/>
    </row>
    <row r="43232" spans="31:31">
      <c r="AE43232" s="54"/>
    </row>
    <row r="43233" spans="31:31">
      <c r="AE43233" s="54"/>
    </row>
    <row r="43234" spans="31:31">
      <c r="AE43234" s="54"/>
    </row>
    <row r="43235" spans="31:31">
      <c r="AE43235" s="54"/>
    </row>
    <row r="43236" spans="31:31">
      <c r="AE43236" s="54"/>
    </row>
    <row r="43237" spans="31:31">
      <c r="AE43237" s="54"/>
    </row>
    <row r="43238" spans="31:31">
      <c r="AE43238" s="54"/>
    </row>
    <row r="43239" spans="31:31">
      <c r="AE43239" s="54"/>
    </row>
    <row r="43240" spans="31:31">
      <c r="AE43240" s="54"/>
    </row>
    <row r="43241" spans="31:31">
      <c r="AE43241" s="54"/>
    </row>
    <row r="43242" spans="31:31">
      <c r="AE43242" s="54"/>
    </row>
    <row r="43243" spans="31:31">
      <c r="AE43243" s="54"/>
    </row>
    <row r="43244" spans="31:31">
      <c r="AE43244" s="54"/>
    </row>
    <row r="43245" spans="31:31">
      <c r="AE43245" s="54"/>
    </row>
    <row r="43246" spans="31:31">
      <c r="AE43246" s="54"/>
    </row>
    <row r="43247" spans="31:31">
      <c r="AE43247" s="54"/>
    </row>
    <row r="43248" spans="31:31">
      <c r="AE43248" s="54"/>
    </row>
    <row r="43249" spans="31:31">
      <c r="AE43249" s="54"/>
    </row>
    <row r="43250" spans="31:31">
      <c r="AE43250" s="54"/>
    </row>
    <row r="43251" spans="31:31">
      <c r="AE43251" s="54"/>
    </row>
    <row r="43252" spans="31:31">
      <c r="AE43252" s="54"/>
    </row>
    <row r="43253" spans="31:31">
      <c r="AE43253" s="54"/>
    </row>
    <row r="43254" spans="31:31">
      <c r="AE43254" s="54"/>
    </row>
    <row r="43255" spans="31:31">
      <c r="AE43255" s="54"/>
    </row>
    <row r="43256" spans="31:31">
      <c r="AE43256" s="54"/>
    </row>
    <row r="43257" spans="31:31">
      <c r="AE43257" s="54"/>
    </row>
    <row r="43258" spans="31:31">
      <c r="AE43258" s="54"/>
    </row>
    <row r="43259" spans="31:31">
      <c r="AE43259" s="54"/>
    </row>
    <row r="43260" spans="31:31">
      <c r="AE43260" s="54"/>
    </row>
    <row r="43261" spans="31:31">
      <c r="AE43261" s="54"/>
    </row>
    <row r="43262" spans="31:31">
      <c r="AE43262" s="54"/>
    </row>
    <row r="43263" spans="31:31">
      <c r="AE43263" s="54"/>
    </row>
    <row r="43264" spans="31:31">
      <c r="AE43264" s="54"/>
    </row>
    <row r="43265" spans="31:31">
      <c r="AE43265" s="54"/>
    </row>
    <row r="43266" spans="31:31">
      <c r="AE43266" s="54"/>
    </row>
    <row r="43267" spans="31:31">
      <c r="AE43267" s="54"/>
    </row>
    <row r="43268" spans="31:31">
      <c r="AE43268" s="54"/>
    </row>
    <row r="43269" spans="31:31">
      <c r="AE43269" s="54"/>
    </row>
    <row r="43270" spans="31:31">
      <c r="AE43270" s="54"/>
    </row>
    <row r="43271" spans="31:31">
      <c r="AE43271" s="54"/>
    </row>
    <row r="43272" spans="31:31">
      <c r="AE43272" s="54"/>
    </row>
    <row r="43273" spans="31:31">
      <c r="AE43273" s="54"/>
    </row>
    <row r="43274" spans="31:31">
      <c r="AE43274" s="54"/>
    </row>
    <row r="43275" spans="31:31">
      <c r="AE43275" s="54"/>
    </row>
    <row r="43276" spans="31:31">
      <c r="AE43276" s="54"/>
    </row>
    <row r="43277" spans="31:31">
      <c r="AE43277" s="54"/>
    </row>
    <row r="43278" spans="31:31">
      <c r="AE43278" s="54"/>
    </row>
    <row r="43279" spans="31:31">
      <c r="AE43279" s="54"/>
    </row>
    <row r="43280" spans="31:31">
      <c r="AE43280" s="54"/>
    </row>
    <row r="43281" spans="31:31">
      <c r="AE43281" s="54"/>
    </row>
    <row r="43282" spans="31:31">
      <c r="AE43282" s="54"/>
    </row>
    <row r="43283" spans="31:31">
      <c r="AE43283" s="54"/>
    </row>
    <row r="43284" spans="31:31">
      <c r="AE43284" s="54"/>
    </row>
    <row r="43285" spans="31:31">
      <c r="AE43285" s="54"/>
    </row>
    <row r="43286" spans="31:31">
      <c r="AE43286" s="54"/>
    </row>
    <row r="43287" spans="31:31">
      <c r="AE43287" s="54"/>
    </row>
    <row r="43288" spans="31:31">
      <c r="AE43288" s="54"/>
    </row>
    <row r="43289" spans="31:31">
      <c r="AE43289" s="54"/>
    </row>
    <row r="43290" spans="31:31">
      <c r="AE43290" s="54"/>
    </row>
    <row r="43291" spans="31:31">
      <c r="AE43291" s="54"/>
    </row>
    <row r="43292" spans="31:31">
      <c r="AE43292" s="54"/>
    </row>
    <row r="43293" spans="31:31">
      <c r="AE43293" s="54"/>
    </row>
    <row r="43294" spans="31:31">
      <c r="AE43294" s="54"/>
    </row>
    <row r="43295" spans="31:31">
      <c r="AE43295" s="54"/>
    </row>
    <row r="43296" spans="31:31">
      <c r="AE43296" s="54"/>
    </row>
    <row r="43297" spans="31:31">
      <c r="AE43297" s="54"/>
    </row>
    <row r="43298" spans="31:31">
      <c r="AE43298" s="54"/>
    </row>
    <row r="43299" spans="31:31">
      <c r="AE43299" s="54"/>
    </row>
    <row r="43300" spans="31:31">
      <c r="AE43300" s="54"/>
    </row>
    <row r="43301" spans="31:31">
      <c r="AE43301" s="54"/>
    </row>
    <row r="43302" spans="31:31">
      <c r="AE43302" s="54"/>
    </row>
    <row r="43303" spans="31:31">
      <c r="AE43303" s="54"/>
    </row>
    <row r="43304" spans="31:31">
      <c r="AE43304" s="54"/>
    </row>
    <row r="43305" spans="31:31">
      <c r="AE43305" s="54"/>
    </row>
    <row r="43306" spans="31:31">
      <c r="AE43306" s="54"/>
    </row>
    <row r="43307" spans="31:31">
      <c r="AE43307" s="54"/>
    </row>
    <row r="43308" spans="31:31">
      <c r="AE43308" s="54"/>
    </row>
    <row r="43309" spans="31:31">
      <c r="AE43309" s="54"/>
    </row>
    <row r="43310" spans="31:31">
      <c r="AE43310" s="54"/>
    </row>
    <row r="43311" spans="31:31">
      <c r="AE43311" s="54"/>
    </row>
    <row r="43312" spans="31:31">
      <c r="AE43312" s="54"/>
    </row>
    <row r="43313" spans="31:31">
      <c r="AE43313" s="54"/>
    </row>
    <row r="43314" spans="31:31">
      <c r="AE43314" s="54"/>
    </row>
    <row r="43315" spans="31:31">
      <c r="AE43315" s="54"/>
    </row>
    <row r="43316" spans="31:31">
      <c r="AE43316" s="54"/>
    </row>
    <row r="43317" spans="31:31">
      <c r="AE43317" s="54"/>
    </row>
    <row r="43318" spans="31:31">
      <c r="AE43318" s="54"/>
    </row>
    <row r="43319" spans="31:31">
      <c r="AE43319" s="54"/>
    </row>
    <row r="43320" spans="31:31">
      <c r="AE43320" s="54"/>
    </row>
    <row r="43321" spans="31:31">
      <c r="AE43321" s="54"/>
    </row>
    <row r="43322" spans="31:31">
      <c r="AE43322" s="54"/>
    </row>
    <row r="43323" spans="31:31">
      <c r="AE43323" s="54"/>
    </row>
    <row r="43324" spans="31:31">
      <c r="AE43324" s="54"/>
    </row>
    <row r="43325" spans="31:31">
      <c r="AE43325" s="54"/>
    </row>
    <row r="43326" spans="31:31">
      <c r="AE43326" s="54"/>
    </row>
    <row r="43327" spans="31:31">
      <c r="AE43327" s="54"/>
    </row>
    <row r="43328" spans="31:31">
      <c r="AE43328" s="54"/>
    </row>
    <row r="43329" spans="31:31">
      <c r="AE43329" s="54"/>
    </row>
    <row r="43330" spans="31:31">
      <c r="AE43330" s="54"/>
    </row>
    <row r="43331" spans="31:31">
      <c r="AE43331" s="54"/>
    </row>
    <row r="43332" spans="31:31">
      <c r="AE43332" s="54"/>
    </row>
    <row r="43333" spans="31:31">
      <c r="AE43333" s="54"/>
    </row>
    <row r="43334" spans="31:31">
      <c r="AE43334" s="54"/>
    </row>
    <row r="43335" spans="31:31">
      <c r="AE43335" s="54"/>
    </row>
    <row r="43336" spans="31:31">
      <c r="AE43336" s="54"/>
    </row>
    <row r="43337" spans="31:31">
      <c r="AE43337" s="54"/>
    </row>
    <row r="43338" spans="31:31">
      <c r="AE43338" s="54"/>
    </row>
    <row r="43339" spans="31:31">
      <c r="AE43339" s="54"/>
    </row>
    <row r="43340" spans="31:31">
      <c r="AE43340" s="54"/>
    </row>
    <row r="43341" spans="31:31">
      <c r="AE43341" s="54"/>
    </row>
    <row r="43342" spans="31:31">
      <c r="AE43342" s="54"/>
    </row>
    <row r="43343" spans="31:31">
      <c r="AE43343" s="54"/>
    </row>
    <row r="43344" spans="31:31">
      <c r="AE43344" s="54"/>
    </row>
    <row r="43345" spans="31:31">
      <c r="AE43345" s="54"/>
    </row>
    <row r="43346" spans="31:31">
      <c r="AE43346" s="54"/>
    </row>
    <row r="43347" spans="31:31">
      <c r="AE43347" s="54"/>
    </row>
    <row r="43348" spans="31:31">
      <c r="AE43348" s="54"/>
    </row>
    <row r="43349" spans="31:31">
      <c r="AE43349" s="54"/>
    </row>
    <row r="43350" spans="31:31">
      <c r="AE43350" s="54"/>
    </row>
    <row r="43351" spans="31:31">
      <c r="AE43351" s="54"/>
    </row>
    <row r="43352" spans="31:31">
      <c r="AE43352" s="54"/>
    </row>
    <row r="43353" spans="31:31">
      <c r="AE43353" s="54"/>
    </row>
    <row r="43354" spans="31:31">
      <c r="AE43354" s="54"/>
    </row>
    <row r="43355" spans="31:31">
      <c r="AE43355" s="54"/>
    </row>
    <row r="43356" spans="31:31">
      <c r="AE43356" s="54"/>
    </row>
    <row r="43357" spans="31:31">
      <c r="AE43357" s="54"/>
    </row>
    <row r="43358" spans="31:31">
      <c r="AE43358" s="54"/>
    </row>
    <row r="43359" spans="31:31">
      <c r="AE43359" s="54"/>
    </row>
    <row r="43360" spans="31:31">
      <c r="AE43360" s="54"/>
    </row>
    <row r="43361" spans="31:31">
      <c r="AE43361" s="54"/>
    </row>
    <row r="43362" spans="31:31">
      <c r="AE43362" s="54"/>
    </row>
    <row r="43363" spans="31:31">
      <c r="AE43363" s="54"/>
    </row>
    <row r="43364" spans="31:31">
      <c r="AE43364" s="54"/>
    </row>
    <row r="43365" spans="31:31">
      <c r="AE43365" s="54"/>
    </row>
    <row r="43366" spans="31:31">
      <c r="AE43366" s="54"/>
    </row>
    <row r="43367" spans="31:31">
      <c r="AE43367" s="54"/>
    </row>
    <row r="43368" spans="31:31">
      <c r="AE43368" s="54"/>
    </row>
    <row r="43369" spans="31:31">
      <c r="AE43369" s="54"/>
    </row>
    <row r="43370" spans="31:31">
      <c r="AE43370" s="54"/>
    </row>
    <row r="43371" spans="31:31">
      <c r="AE43371" s="54"/>
    </row>
    <row r="43372" spans="31:31">
      <c r="AE43372" s="54"/>
    </row>
    <row r="43373" spans="31:31">
      <c r="AE43373" s="54"/>
    </row>
    <row r="43374" spans="31:31">
      <c r="AE43374" s="54"/>
    </row>
    <row r="43375" spans="31:31">
      <c r="AE43375" s="54"/>
    </row>
    <row r="43376" spans="31:31">
      <c r="AE43376" s="54"/>
    </row>
    <row r="43377" spans="31:31">
      <c r="AE43377" s="54"/>
    </row>
    <row r="43378" spans="31:31">
      <c r="AE43378" s="54"/>
    </row>
    <row r="43379" spans="31:31">
      <c r="AE43379" s="54"/>
    </row>
    <row r="43380" spans="31:31">
      <c r="AE43380" s="54"/>
    </row>
    <row r="43381" spans="31:31">
      <c r="AE43381" s="54"/>
    </row>
    <row r="43382" spans="31:31">
      <c r="AE43382" s="54"/>
    </row>
    <row r="43383" spans="31:31">
      <c r="AE43383" s="54"/>
    </row>
    <row r="43384" spans="31:31">
      <c r="AE43384" s="54"/>
    </row>
    <row r="43385" spans="31:31">
      <c r="AE43385" s="54"/>
    </row>
    <row r="43386" spans="31:31">
      <c r="AE43386" s="54"/>
    </row>
    <row r="43387" spans="31:31">
      <c r="AE43387" s="54"/>
    </row>
    <row r="43388" spans="31:31">
      <c r="AE43388" s="54"/>
    </row>
    <row r="43389" spans="31:31">
      <c r="AE43389" s="54"/>
    </row>
    <row r="43390" spans="31:31">
      <c r="AE43390" s="54"/>
    </row>
    <row r="43391" spans="31:31">
      <c r="AE43391" s="54"/>
    </row>
    <row r="43392" spans="31:31">
      <c r="AE43392" s="54"/>
    </row>
    <row r="43393" spans="31:31">
      <c r="AE43393" s="54"/>
    </row>
    <row r="43394" spans="31:31">
      <c r="AE43394" s="54"/>
    </row>
    <row r="43395" spans="31:31">
      <c r="AE43395" s="54"/>
    </row>
    <row r="43396" spans="31:31">
      <c r="AE43396" s="54"/>
    </row>
    <row r="43397" spans="31:31">
      <c r="AE43397" s="54"/>
    </row>
    <row r="43398" spans="31:31">
      <c r="AE43398" s="54"/>
    </row>
    <row r="43399" spans="31:31">
      <c r="AE43399" s="54"/>
    </row>
    <row r="43400" spans="31:31">
      <c r="AE43400" s="54"/>
    </row>
    <row r="43401" spans="31:31">
      <c r="AE43401" s="54"/>
    </row>
    <row r="43402" spans="31:31">
      <c r="AE43402" s="54"/>
    </row>
    <row r="43403" spans="31:31">
      <c r="AE43403" s="54"/>
    </row>
    <row r="43404" spans="31:31">
      <c r="AE43404" s="54"/>
    </row>
    <row r="43405" spans="31:31">
      <c r="AE43405" s="54"/>
    </row>
    <row r="43406" spans="31:31">
      <c r="AE43406" s="54"/>
    </row>
    <row r="43407" spans="31:31">
      <c r="AE43407" s="54"/>
    </row>
    <row r="43408" spans="31:31">
      <c r="AE43408" s="54"/>
    </row>
    <row r="43409" spans="31:31">
      <c r="AE43409" s="54"/>
    </row>
    <row r="43410" spans="31:31">
      <c r="AE43410" s="54"/>
    </row>
    <row r="43411" spans="31:31">
      <c r="AE43411" s="54"/>
    </row>
    <row r="43412" spans="31:31">
      <c r="AE43412" s="54"/>
    </row>
    <row r="43413" spans="31:31">
      <c r="AE43413" s="54"/>
    </row>
    <row r="43414" spans="31:31">
      <c r="AE43414" s="54"/>
    </row>
    <row r="43415" spans="31:31">
      <c r="AE43415" s="54"/>
    </row>
    <row r="43416" spans="31:31">
      <c r="AE43416" s="54"/>
    </row>
    <row r="43417" spans="31:31">
      <c r="AE43417" s="54"/>
    </row>
    <row r="43418" spans="31:31">
      <c r="AE43418" s="54"/>
    </row>
    <row r="43419" spans="31:31">
      <c r="AE43419" s="54"/>
    </row>
    <row r="43420" spans="31:31">
      <c r="AE43420" s="54"/>
    </row>
    <row r="43421" spans="31:31">
      <c r="AE43421" s="54"/>
    </row>
    <row r="43422" spans="31:31">
      <c r="AE43422" s="54"/>
    </row>
    <row r="43423" spans="31:31">
      <c r="AE43423" s="54"/>
    </row>
    <row r="43424" spans="31:31">
      <c r="AE43424" s="54"/>
    </row>
    <row r="43425" spans="31:31">
      <c r="AE43425" s="54"/>
    </row>
    <row r="43426" spans="31:31">
      <c r="AE43426" s="54"/>
    </row>
    <row r="43427" spans="31:31">
      <c r="AE43427" s="54"/>
    </row>
    <row r="43428" spans="31:31">
      <c r="AE43428" s="54"/>
    </row>
    <row r="43429" spans="31:31">
      <c r="AE43429" s="54"/>
    </row>
    <row r="43430" spans="31:31">
      <c r="AE43430" s="54"/>
    </row>
    <row r="43431" spans="31:31">
      <c r="AE43431" s="54"/>
    </row>
    <row r="43432" spans="31:31">
      <c r="AE43432" s="54"/>
    </row>
    <row r="43433" spans="31:31">
      <c r="AE43433" s="54"/>
    </row>
    <row r="43434" spans="31:31">
      <c r="AE43434" s="54"/>
    </row>
    <row r="43435" spans="31:31">
      <c r="AE43435" s="54"/>
    </row>
    <row r="43436" spans="31:31">
      <c r="AE43436" s="54"/>
    </row>
    <row r="43437" spans="31:31">
      <c r="AE43437" s="54"/>
    </row>
    <row r="43438" spans="31:31">
      <c r="AE43438" s="54"/>
    </row>
    <row r="43439" spans="31:31">
      <c r="AE43439" s="54"/>
    </row>
    <row r="43440" spans="31:31">
      <c r="AE43440" s="54"/>
    </row>
    <row r="43441" spans="31:31">
      <c r="AE43441" s="54"/>
    </row>
    <row r="43442" spans="31:31">
      <c r="AE43442" s="54"/>
    </row>
    <row r="43443" spans="31:31">
      <c r="AE43443" s="54"/>
    </row>
    <row r="43444" spans="31:31">
      <c r="AE43444" s="54"/>
    </row>
    <row r="43445" spans="31:31">
      <c r="AE43445" s="54"/>
    </row>
    <row r="43446" spans="31:31">
      <c r="AE43446" s="54"/>
    </row>
    <row r="43447" spans="31:31">
      <c r="AE43447" s="54"/>
    </row>
    <row r="43448" spans="31:31">
      <c r="AE43448" s="54"/>
    </row>
    <row r="43449" spans="31:31">
      <c r="AE43449" s="54"/>
    </row>
    <row r="43450" spans="31:31">
      <c r="AE43450" s="54"/>
    </row>
    <row r="43451" spans="31:31">
      <c r="AE43451" s="54"/>
    </row>
    <row r="43452" spans="31:31">
      <c r="AE43452" s="54"/>
    </row>
    <row r="43453" spans="31:31">
      <c r="AE43453" s="54"/>
    </row>
    <row r="43454" spans="31:31">
      <c r="AE43454" s="54"/>
    </row>
    <row r="43455" spans="31:31">
      <c r="AE43455" s="54"/>
    </row>
    <row r="43456" spans="31:31">
      <c r="AE43456" s="54"/>
    </row>
    <row r="43457" spans="31:31">
      <c r="AE43457" s="54"/>
    </row>
    <row r="43458" spans="31:31">
      <c r="AE43458" s="54"/>
    </row>
    <row r="43459" spans="31:31">
      <c r="AE43459" s="54"/>
    </row>
    <row r="43460" spans="31:31">
      <c r="AE43460" s="54"/>
    </row>
    <row r="43461" spans="31:31">
      <c r="AE43461" s="54"/>
    </row>
    <row r="43462" spans="31:31">
      <c r="AE43462" s="54"/>
    </row>
    <row r="43463" spans="31:31">
      <c r="AE43463" s="54"/>
    </row>
    <row r="43464" spans="31:31">
      <c r="AE43464" s="54"/>
    </row>
    <row r="43465" spans="31:31">
      <c r="AE43465" s="54"/>
    </row>
    <row r="43466" spans="31:31">
      <c r="AE43466" s="54"/>
    </row>
    <row r="43467" spans="31:31">
      <c r="AE43467" s="54"/>
    </row>
    <row r="43468" spans="31:31">
      <c r="AE43468" s="54"/>
    </row>
    <row r="43469" spans="31:31">
      <c r="AE43469" s="54"/>
    </row>
    <row r="43470" spans="31:31">
      <c r="AE43470" s="54"/>
    </row>
    <row r="43471" spans="31:31">
      <c r="AE43471" s="54"/>
    </row>
    <row r="43472" spans="31:31">
      <c r="AE43472" s="54"/>
    </row>
    <row r="43473" spans="31:31">
      <c r="AE43473" s="54"/>
    </row>
    <row r="43474" spans="31:31">
      <c r="AE43474" s="54"/>
    </row>
    <row r="43475" spans="31:31">
      <c r="AE43475" s="54"/>
    </row>
    <row r="43476" spans="31:31">
      <c r="AE43476" s="54"/>
    </row>
    <row r="43477" spans="31:31">
      <c r="AE43477" s="54"/>
    </row>
    <row r="43478" spans="31:31">
      <c r="AE43478" s="54"/>
    </row>
    <row r="43479" spans="31:31">
      <c r="AE43479" s="54"/>
    </row>
    <row r="43480" spans="31:31">
      <c r="AE43480" s="54"/>
    </row>
    <row r="43481" spans="31:31">
      <c r="AE43481" s="54"/>
    </row>
    <row r="43482" spans="31:31">
      <c r="AE43482" s="54"/>
    </row>
    <row r="43483" spans="31:31">
      <c r="AE43483" s="54"/>
    </row>
    <row r="43484" spans="31:31">
      <c r="AE43484" s="54"/>
    </row>
    <row r="43485" spans="31:31">
      <c r="AE43485" s="54"/>
    </row>
    <row r="43486" spans="31:31">
      <c r="AE43486" s="54"/>
    </row>
    <row r="43487" spans="31:31">
      <c r="AE43487" s="54"/>
    </row>
    <row r="43488" spans="31:31">
      <c r="AE43488" s="54"/>
    </row>
    <row r="43489" spans="31:31">
      <c r="AE43489" s="54"/>
    </row>
    <row r="43490" spans="31:31">
      <c r="AE43490" s="54"/>
    </row>
    <row r="43491" spans="31:31">
      <c r="AE43491" s="54"/>
    </row>
    <row r="43492" spans="31:31">
      <c r="AE43492" s="54"/>
    </row>
    <row r="43493" spans="31:31">
      <c r="AE43493" s="54"/>
    </row>
    <row r="43494" spans="31:31">
      <c r="AE43494" s="54"/>
    </row>
    <row r="43495" spans="31:31">
      <c r="AE43495" s="54"/>
    </row>
    <row r="43496" spans="31:31">
      <c r="AE43496" s="54"/>
    </row>
    <row r="43497" spans="31:31">
      <c r="AE43497" s="54"/>
    </row>
    <row r="43498" spans="31:31">
      <c r="AE43498" s="54"/>
    </row>
    <row r="43499" spans="31:31">
      <c r="AE43499" s="54"/>
    </row>
    <row r="43500" spans="31:31">
      <c r="AE43500" s="54"/>
    </row>
    <row r="43501" spans="31:31">
      <c r="AE43501" s="54"/>
    </row>
    <row r="43502" spans="31:31">
      <c r="AE43502" s="54"/>
    </row>
    <row r="43503" spans="31:31">
      <c r="AE43503" s="54"/>
    </row>
    <row r="43504" spans="31:31">
      <c r="AE43504" s="54"/>
    </row>
    <row r="43505" spans="31:31">
      <c r="AE43505" s="54"/>
    </row>
    <row r="43506" spans="31:31">
      <c r="AE43506" s="54"/>
    </row>
    <row r="43507" spans="31:31">
      <c r="AE43507" s="54"/>
    </row>
    <row r="43508" spans="31:31">
      <c r="AE43508" s="54"/>
    </row>
    <row r="43509" spans="31:31">
      <c r="AE43509" s="54"/>
    </row>
    <row r="43510" spans="31:31">
      <c r="AE43510" s="54"/>
    </row>
    <row r="43511" spans="31:31">
      <c r="AE43511" s="54"/>
    </row>
    <row r="43512" spans="31:31">
      <c r="AE43512" s="54"/>
    </row>
    <row r="43513" spans="31:31">
      <c r="AE43513" s="54"/>
    </row>
    <row r="43514" spans="31:31">
      <c r="AE43514" s="54"/>
    </row>
    <row r="43515" spans="31:31">
      <c r="AE43515" s="54"/>
    </row>
    <row r="43516" spans="31:31">
      <c r="AE43516" s="54"/>
    </row>
    <row r="43517" spans="31:31">
      <c r="AE43517" s="54"/>
    </row>
    <row r="43518" spans="31:31">
      <c r="AE43518" s="54"/>
    </row>
    <row r="43519" spans="31:31">
      <c r="AE43519" s="54"/>
    </row>
    <row r="43520" spans="31:31">
      <c r="AE43520" s="54"/>
    </row>
    <row r="43521" spans="31:31">
      <c r="AE43521" s="54"/>
    </row>
    <row r="43522" spans="31:31">
      <c r="AE43522" s="54"/>
    </row>
    <row r="43523" spans="31:31">
      <c r="AE43523" s="54"/>
    </row>
    <row r="43524" spans="31:31">
      <c r="AE43524" s="54"/>
    </row>
    <row r="43525" spans="31:31">
      <c r="AE43525" s="54"/>
    </row>
    <row r="43526" spans="31:31">
      <c r="AE43526" s="54"/>
    </row>
    <row r="43527" spans="31:31">
      <c r="AE43527" s="54"/>
    </row>
    <row r="43528" spans="31:31">
      <c r="AE43528" s="54"/>
    </row>
    <row r="43529" spans="31:31">
      <c r="AE43529" s="54"/>
    </row>
    <row r="43530" spans="31:31">
      <c r="AE43530" s="54"/>
    </row>
    <row r="43531" spans="31:31">
      <c r="AE43531" s="54"/>
    </row>
    <row r="43532" spans="31:31">
      <c r="AE43532" s="54"/>
    </row>
    <row r="43533" spans="31:31">
      <c r="AE43533" s="54"/>
    </row>
    <row r="43534" spans="31:31">
      <c r="AE43534" s="54"/>
    </row>
    <row r="43535" spans="31:31">
      <c r="AE43535" s="54"/>
    </row>
    <row r="43536" spans="31:31">
      <c r="AE43536" s="54"/>
    </row>
    <row r="43537" spans="31:31">
      <c r="AE43537" s="54"/>
    </row>
    <row r="43538" spans="31:31">
      <c r="AE43538" s="54"/>
    </row>
    <row r="43539" spans="31:31">
      <c r="AE43539" s="54"/>
    </row>
    <row r="43540" spans="31:31">
      <c r="AE43540" s="54"/>
    </row>
    <row r="43541" spans="31:31">
      <c r="AE43541" s="54"/>
    </row>
    <row r="43542" spans="31:31">
      <c r="AE43542" s="54"/>
    </row>
    <row r="43543" spans="31:31">
      <c r="AE43543" s="54"/>
    </row>
    <row r="43544" spans="31:31">
      <c r="AE43544" s="54"/>
    </row>
    <row r="43545" spans="31:31">
      <c r="AE43545" s="54"/>
    </row>
    <row r="43546" spans="31:31">
      <c r="AE43546" s="54"/>
    </row>
    <row r="43547" spans="31:31">
      <c r="AE43547" s="54"/>
    </row>
    <row r="43548" spans="31:31">
      <c r="AE43548" s="54"/>
    </row>
    <row r="43549" spans="31:31">
      <c r="AE43549" s="54"/>
    </row>
    <row r="43550" spans="31:31">
      <c r="AE43550" s="54"/>
    </row>
    <row r="43551" spans="31:31">
      <c r="AE43551" s="54"/>
    </row>
    <row r="43552" spans="31:31">
      <c r="AE43552" s="54"/>
    </row>
    <row r="43553" spans="31:31">
      <c r="AE43553" s="54"/>
    </row>
    <row r="43554" spans="31:31">
      <c r="AE43554" s="54"/>
    </row>
    <row r="43555" spans="31:31">
      <c r="AE43555" s="54"/>
    </row>
    <row r="43556" spans="31:31">
      <c r="AE43556" s="54"/>
    </row>
    <row r="43557" spans="31:31">
      <c r="AE43557" s="54"/>
    </row>
    <row r="43558" spans="31:31">
      <c r="AE43558" s="54"/>
    </row>
    <row r="43559" spans="31:31">
      <c r="AE43559" s="54"/>
    </row>
    <row r="43560" spans="31:31">
      <c r="AE43560" s="54"/>
    </row>
    <row r="43561" spans="31:31">
      <c r="AE43561" s="54"/>
    </row>
    <row r="43562" spans="31:31">
      <c r="AE43562" s="54"/>
    </row>
    <row r="43563" spans="31:31">
      <c r="AE43563" s="54"/>
    </row>
    <row r="43564" spans="31:31">
      <c r="AE43564" s="54"/>
    </row>
    <row r="43565" spans="31:31">
      <c r="AE43565" s="54"/>
    </row>
    <row r="43566" spans="31:31">
      <c r="AE43566" s="54"/>
    </row>
    <row r="43567" spans="31:31">
      <c r="AE43567" s="54"/>
    </row>
    <row r="43568" spans="31:31">
      <c r="AE43568" s="54"/>
    </row>
    <row r="43569" spans="31:31">
      <c r="AE43569" s="54"/>
    </row>
    <row r="43570" spans="31:31">
      <c r="AE43570" s="54"/>
    </row>
    <row r="43571" spans="31:31">
      <c r="AE43571" s="54"/>
    </row>
    <row r="43572" spans="31:31">
      <c r="AE43572" s="54"/>
    </row>
    <row r="43573" spans="31:31">
      <c r="AE43573" s="54"/>
    </row>
    <row r="43574" spans="31:31">
      <c r="AE43574" s="54"/>
    </row>
    <row r="43575" spans="31:31">
      <c r="AE43575" s="54"/>
    </row>
    <row r="43576" spans="31:31">
      <c r="AE43576" s="54"/>
    </row>
    <row r="43577" spans="31:31">
      <c r="AE43577" s="54"/>
    </row>
    <row r="43578" spans="31:31">
      <c r="AE43578" s="54"/>
    </row>
    <row r="43579" spans="31:31">
      <c r="AE43579" s="54"/>
    </row>
    <row r="43580" spans="31:31">
      <c r="AE43580" s="54"/>
    </row>
    <row r="43581" spans="31:31">
      <c r="AE43581" s="54"/>
    </row>
    <row r="43582" spans="31:31">
      <c r="AE43582" s="54"/>
    </row>
    <row r="43583" spans="31:31">
      <c r="AE43583" s="54"/>
    </row>
    <row r="43584" spans="31:31">
      <c r="AE43584" s="54"/>
    </row>
    <row r="43585" spans="31:31">
      <c r="AE43585" s="54"/>
    </row>
    <row r="43586" spans="31:31">
      <c r="AE43586" s="54"/>
    </row>
    <row r="43587" spans="31:31">
      <c r="AE43587" s="54"/>
    </row>
    <row r="43588" spans="31:31">
      <c r="AE43588" s="54"/>
    </row>
    <row r="43589" spans="31:31">
      <c r="AE43589" s="54"/>
    </row>
    <row r="43590" spans="31:31">
      <c r="AE43590" s="54"/>
    </row>
    <row r="43591" spans="31:31">
      <c r="AE43591" s="54"/>
    </row>
    <row r="43592" spans="31:31">
      <c r="AE43592" s="54"/>
    </row>
    <row r="43593" spans="31:31">
      <c r="AE43593" s="54"/>
    </row>
    <row r="43594" spans="31:31">
      <c r="AE43594" s="54"/>
    </row>
    <row r="43595" spans="31:31">
      <c r="AE43595" s="54"/>
    </row>
    <row r="43596" spans="31:31">
      <c r="AE43596" s="54"/>
    </row>
    <row r="43597" spans="31:31">
      <c r="AE43597" s="54"/>
    </row>
    <row r="43598" spans="31:31">
      <c r="AE43598" s="54"/>
    </row>
    <row r="43599" spans="31:31">
      <c r="AE43599" s="54"/>
    </row>
    <row r="43600" spans="31:31">
      <c r="AE43600" s="54"/>
    </row>
    <row r="43601" spans="31:31">
      <c r="AE43601" s="54"/>
    </row>
    <row r="43602" spans="31:31">
      <c r="AE43602" s="54"/>
    </row>
    <row r="43603" spans="31:31">
      <c r="AE43603" s="54"/>
    </row>
    <row r="43604" spans="31:31">
      <c r="AE43604" s="54"/>
    </row>
    <row r="43605" spans="31:31">
      <c r="AE43605" s="54"/>
    </row>
    <row r="43606" spans="31:31">
      <c r="AE43606" s="54"/>
    </row>
    <row r="43607" spans="31:31">
      <c r="AE43607" s="54"/>
    </row>
    <row r="43608" spans="31:31">
      <c r="AE43608" s="54"/>
    </row>
    <row r="43609" spans="31:31">
      <c r="AE43609" s="54"/>
    </row>
    <row r="43610" spans="31:31">
      <c r="AE43610" s="54"/>
    </row>
    <row r="43611" spans="31:31">
      <c r="AE43611" s="54"/>
    </row>
    <row r="43612" spans="31:31">
      <c r="AE43612" s="54"/>
    </row>
    <row r="43613" spans="31:31">
      <c r="AE43613" s="54"/>
    </row>
    <row r="43614" spans="31:31">
      <c r="AE43614" s="54"/>
    </row>
    <row r="43615" spans="31:31">
      <c r="AE43615" s="54"/>
    </row>
    <row r="43616" spans="31:31">
      <c r="AE43616" s="54"/>
    </row>
    <row r="43617" spans="31:31">
      <c r="AE43617" s="54"/>
    </row>
    <row r="43618" spans="31:31">
      <c r="AE43618" s="54"/>
    </row>
    <row r="43619" spans="31:31">
      <c r="AE43619" s="54"/>
    </row>
    <row r="43620" spans="31:31">
      <c r="AE43620" s="54"/>
    </row>
    <row r="43621" spans="31:31">
      <c r="AE43621" s="54"/>
    </row>
    <row r="43622" spans="31:31">
      <c r="AE43622" s="54"/>
    </row>
    <row r="43623" spans="31:31">
      <c r="AE43623" s="54"/>
    </row>
    <row r="43624" spans="31:31">
      <c r="AE43624" s="54"/>
    </row>
    <row r="43625" spans="31:31">
      <c r="AE43625" s="54"/>
    </row>
    <row r="43626" spans="31:31">
      <c r="AE43626" s="54"/>
    </row>
    <row r="43627" spans="31:31">
      <c r="AE43627" s="54"/>
    </row>
    <row r="43628" spans="31:31">
      <c r="AE43628" s="54"/>
    </row>
    <row r="43629" spans="31:31">
      <c r="AE43629" s="54"/>
    </row>
    <row r="43630" spans="31:31">
      <c r="AE43630" s="54"/>
    </row>
    <row r="43631" spans="31:31">
      <c r="AE43631" s="54"/>
    </row>
    <row r="43632" spans="31:31">
      <c r="AE43632" s="54"/>
    </row>
    <row r="43633" spans="31:31">
      <c r="AE43633" s="54"/>
    </row>
    <row r="43634" spans="31:31">
      <c r="AE43634" s="54"/>
    </row>
    <row r="43635" spans="31:31">
      <c r="AE43635" s="54"/>
    </row>
    <row r="43636" spans="31:31">
      <c r="AE43636" s="54"/>
    </row>
    <row r="43637" spans="31:31">
      <c r="AE43637" s="54"/>
    </row>
    <row r="43638" spans="31:31">
      <c r="AE43638" s="54"/>
    </row>
    <row r="43639" spans="31:31">
      <c r="AE43639" s="54"/>
    </row>
    <row r="43640" spans="31:31">
      <c r="AE43640" s="54"/>
    </row>
    <row r="43641" spans="31:31">
      <c r="AE43641" s="54"/>
    </row>
    <row r="43642" spans="31:31">
      <c r="AE43642" s="54"/>
    </row>
    <row r="43643" spans="31:31">
      <c r="AE43643" s="54"/>
    </row>
    <row r="43644" spans="31:31">
      <c r="AE43644" s="54"/>
    </row>
    <row r="43645" spans="31:31">
      <c r="AE43645" s="54"/>
    </row>
    <row r="43646" spans="31:31">
      <c r="AE43646" s="54"/>
    </row>
    <row r="43647" spans="31:31">
      <c r="AE43647" s="54"/>
    </row>
    <row r="43648" spans="31:31">
      <c r="AE43648" s="54"/>
    </row>
    <row r="43649" spans="31:31">
      <c r="AE43649" s="54"/>
    </row>
    <row r="43650" spans="31:31">
      <c r="AE43650" s="54"/>
    </row>
    <row r="43651" spans="31:31">
      <c r="AE43651" s="54"/>
    </row>
    <row r="43652" spans="31:31">
      <c r="AE43652" s="54"/>
    </row>
    <row r="43653" spans="31:31">
      <c r="AE43653" s="54"/>
    </row>
    <row r="43654" spans="31:31">
      <c r="AE43654" s="54"/>
    </row>
    <row r="43655" spans="31:31">
      <c r="AE43655" s="54"/>
    </row>
    <row r="43656" spans="31:31">
      <c r="AE43656" s="54"/>
    </row>
    <row r="43657" spans="31:31">
      <c r="AE43657" s="54"/>
    </row>
    <row r="43658" spans="31:31">
      <c r="AE43658" s="54"/>
    </row>
    <row r="43659" spans="31:31">
      <c r="AE43659" s="54"/>
    </row>
    <row r="43660" spans="31:31">
      <c r="AE43660" s="54"/>
    </row>
    <row r="43661" spans="31:31">
      <c r="AE43661" s="54"/>
    </row>
    <row r="43662" spans="31:31">
      <c r="AE43662" s="54"/>
    </row>
    <row r="43663" spans="31:31">
      <c r="AE43663" s="54"/>
    </row>
    <row r="43664" spans="31:31">
      <c r="AE43664" s="54"/>
    </row>
    <row r="43665" spans="31:31">
      <c r="AE43665" s="54"/>
    </row>
    <row r="43666" spans="31:31">
      <c r="AE43666" s="54"/>
    </row>
    <row r="43667" spans="31:31">
      <c r="AE43667" s="54"/>
    </row>
    <row r="43668" spans="31:31">
      <c r="AE43668" s="54"/>
    </row>
    <row r="43669" spans="31:31">
      <c r="AE43669" s="54"/>
    </row>
    <row r="43670" spans="31:31">
      <c r="AE43670" s="54"/>
    </row>
    <row r="43671" spans="31:31">
      <c r="AE43671" s="54"/>
    </row>
    <row r="43672" spans="31:31">
      <c r="AE43672" s="54"/>
    </row>
    <row r="43673" spans="31:31">
      <c r="AE43673" s="54"/>
    </row>
    <row r="43674" spans="31:31">
      <c r="AE43674" s="54"/>
    </row>
    <row r="43675" spans="31:31">
      <c r="AE43675" s="54"/>
    </row>
    <row r="43676" spans="31:31">
      <c r="AE43676" s="54"/>
    </row>
    <row r="43677" spans="31:31">
      <c r="AE43677" s="54"/>
    </row>
    <row r="43678" spans="31:31">
      <c r="AE43678" s="54"/>
    </row>
    <row r="43679" spans="31:31">
      <c r="AE43679" s="54"/>
    </row>
    <row r="43680" spans="31:31">
      <c r="AE43680" s="54"/>
    </row>
    <row r="43681" spans="31:31">
      <c r="AE43681" s="54"/>
    </row>
    <row r="43682" spans="31:31">
      <c r="AE43682" s="54"/>
    </row>
    <row r="43683" spans="31:31">
      <c r="AE43683" s="54"/>
    </row>
    <row r="43684" spans="31:31">
      <c r="AE43684" s="54"/>
    </row>
    <row r="43685" spans="31:31">
      <c r="AE43685" s="54"/>
    </row>
    <row r="43686" spans="31:31">
      <c r="AE43686" s="54"/>
    </row>
    <row r="43687" spans="31:31">
      <c r="AE43687" s="54"/>
    </row>
    <row r="43688" spans="31:31">
      <c r="AE43688" s="54"/>
    </row>
    <row r="43689" spans="31:31">
      <c r="AE43689" s="54"/>
    </row>
    <row r="43690" spans="31:31">
      <c r="AE43690" s="54"/>
    </row>
    <row r="43691" spans="31:31">
      <c r="AE43691" s="54"/>
    </row>
    <row r="43692" spans="31:31">
      <c r="AE43692" s="54"/>
    </row>
    <row r="43693" spans="31:31">
      <c r="AE43693" s="54"/>
    </row>
    <row r="43694" spans="31:31">
      <c r="AE43694" s="54"/>
    </row>
    <row r="43695" spans="31:31">
      <c r="AE43695" s="54"/>
    </row>
    <row r="43696" spans="31:31">
      <c r="AE43696" s="54"/>
    </row>
    <row r="43697" spans="31:31">
      <c r="AE43697" s="54"/>
    </row>
    <row r="43698" spans="31:31">
      <c r="AE43698" s="54"/>
    </row>
    <row r="43699" spans="31:31">
      <c r="AE43699" s="54"/>
    </row>
    <row r="43700" spans="31:31">
      <c r="AE43700" s="54"/>
    </row>
    <row r="43701" spans="31:31">
      <c r="AE43701" s="54"/>
    </row>
    <row r="43702" spans="31:31">
      <c r="AE43702" s="54"/>
    </row>
    <row r="43703" spans="31:31">
      <c r="AE43703" s="54"/>
    </row>
    <row r="43704" spans="31:31">
      <c r="AE43704" s="54"/>
    </row>
    <row r="43705" spans="31:31">
      <c r="AE43705" s="54"/>
    </row>
    <row r="43706" spans="31:31">
      <c r="AE43706" s="54"/>
    </row>
    <row r="43707" spans="31:31">
      <c r="AE43707" s="54"/>
    </row>
    <row r="43708" spans="31:31">
      <c r="AE43708" s="54"/>
    </row>
    <row r="43709" spans="31:31">
      <c r="AE43709" s="54"/>
    </row>
    <row r="43710" spans="31:31">
      <c r="AE43710" s="54"/>
    </row>
    <row r="43711" spans="31:31">
      <c r="AE43711" s="54"/>
    </row>
    <row r="43712" spans="31:31">
      <c r="AE43712" s="54"/>
    </row>
    <row r="43713" spans="31:31">
      <c r="AE43713" s="54"/>
    </row>
    <row r="43714" spans="31:31">
      <c r="AE43714" s="54"/>
    </row>
    <row r="43715" spans="31:31">
      <c r="AE43715" s="54"/>
    </row>
    <row r="43716" spans="31:31">
      <c r="AE43716" s="54"/>
    </row>
    <row r="43717" spans="31:31">
      <c r="AE43717" s="54"/>
    </row>
    <row r="43718" spans="31:31">
      <c r="AE43718" s="54"/>
    </row>
    <row r="43719" spans="31:31">
      <c r="AE43719" s="54"/>
    </row>
    <row r="43720" spans="31:31">
      <c r="AE43720" s="54"/>
    </row>
    <row r="43721" spans="31:31">
      <c r="AE43721" s="54"/>
    </row>
    <row r="43722" spans="31:31">
      <c r="AE43722" s="54"/>
    </row>
    <row r="43723" spans="31:31">
      <c r="AE43723" s="54"/>
    </row>
    <row r="43724" spans="31:31">
      <c r="AE43724" s="54"/>
    </row>
    <row r="43725" spans="31:31">
      <c r="AE43725" s="54"/>
    </row>
    <row r="43726" spans="31:31">
      <c r="AE43726" s="54"/>
    </row>
    <row r="43727" spans="31:31">
      <c r="AE43727" s="54"/>
    </row>
    <row r="43728" spans="31:31">
      <c r="AE43728" s="54"/>
    </row>
    <row r="43729" spans="31:31">
      <c r="AE43729" s="54"/>
    </row>
    <row r="43730" spans="31:31">
      <c r="AE43730" s="54"/>
    </row>
    <row r="43731" spans="31:31">
      <c r="AE43731" s="54"/>
    </row>
    <row r="43732" spans="31:31">
      <c r="AE43732" s="54"/>
    </row>
    <row r="43733" spans="31:31">
      <c r="AE43733" s="54"/>
    </row>
    <row r="43734" spans="31:31">
      <c r="AE43734" s="54"/>
    </row>
    <row r="43735" spans="31:31">
      <c r="AE43735" s="54"/>
    </row>
    <row r="43736" spans="31:31">
      <c r="AE43736" s="54"/>
    </row>
    <row r="43737" spans="31:31">
      <c r="AE43737" s="54"/>
    </row>
    <row r="43738" spans="31:31">
      <c r="AE43738" s="54"/>
    </row>
    <row r="43739" spans="31:31">
      <c r="AE43739" s="54"/>
    </row>
    <row r="43740" spans="31:31">
      <c r="AE43740" s="54"/>
    </row>
    <row r="43741" spans="31:31">
      <c r="AE43741" s="54"/>
    </row>
    <row r="43742" spans="31:31">
      <c r="AE43742" s="54"/>
    </row>
    <row r="43743" spans="31:31">
      <c r="AE43743" s="54"/>
    </row>
    <row r="43744" spans="31:31">
      <c r="AE43744" s="54"/>
    </row>
    <row r="43745" spans="31:31">
      <c r="AE43745" s="54"/>
    </row>
    <row r="43746" spans="31:31">
      <c r="AE43746" s="54"/>
    </row>
    <row r="43747" spans="31:31">
      <c r="AE43747" s="54"/>
    </row>
    <row r="43748" spans="31:31">
      <c r="AE43748" s="54"/>
    </row>
    <row r="43749" spans="31:31">
      <c r="AE43749" s="54"/>
    </row>
    <row r="43750" spans="31:31">
      <c r="AE43750" s="54"/>
    </row>
    <row r="43751" spans="31:31">
      <c r="AE43751" s="54"/>
    </row>
    <row r="43752" spans="31:31">
      <c r="AE43752" s="54"/>
    </row>
    <row r="43753" spans="31:31">
      <c r="AE43753" s="54"/>
    </row>
    <row r="43754" spans="31:31">
      <c r="AE43754" s="54"/>
    </row>
    <row r="43755" spans="31:31">
      <c r="AE43755" s="54"/>
    </row>
    <row r="43756" spans="31:31">
      <c r="AE43756" s="54"/>
    </row>
    <row r="43757" spans="31:31">
      <c r="AE43757" s="54"/>
    </row>
    <row r="43758" spans="31:31">
      <c r="AE43758" s="54"/>
    </row>
    <row r="43759" spans="31:31">
      <c r="AE43759" s="54"/>
    </row>
    <row r="43760" spans="31:31">
      <c r="AE43760" s="54"/>
    </row>
    <row r="43761" spans="31:31">
      <c r="AE43761" s="54"/>
    </row>
    <row r="43762" spans="31:31">
      <c r="AE43762" s="54"/>
    </row>
    <row r="43763" spans="31:31">
      <c r="AE43763" s="54"/>
    </row>
    <row r="43764" spans="31:31">
      <c r="AE43764" s="54"/>
    </row>
    <row r="43765" spans="31:31">
      <c r="AE43765" s="54"/>
    </row>
    <row r="43766" spans="31:31">
      <c r="AE43766" s="54"/>
    </row>
    <row r="43767" spans="31:31">
      <c r="AE43767" s="54"/>
    </row>
    <row r="43768" spans="31:31">
      <c r="AE43768" s="54"/>
    </row>
    <row r="43769" spans="31:31">
      <c r="AE43769" s="54"/>
    </row>
    <row r="43770" spans="31:31">
      <c r="AE43770" s="54"/>
    </row>
    <row r="43771" spans="31:31">
      <c r="AE43771" s="54"/>
    </row>
    <row r="43772" spans="31:31">
      <c r="AE43772" s="54"/>
    </row>
    <row r="43773" spans="31:31">
      <c r="AE43773" s="54"/>
    </row>
    <row r="43774" spans="31:31">
      <c r="AE43774" s="54"/>
    </row>
    <row r="43775" spans="31:31">
      <c r="AE43775" s="54"/>
    </row>
    <row r="43776" spans="31:31">
      <c r="AE43776" s="54"/>
    </row>
    <row r="43777" spans="31:31">
      <c r="AE43777" s="54"/>
    </row>
    <row r="43778" spans="31:31">
      <c r="AE43778" s="54"/>
    </row>
    <row r="43779" spans="31:31">
      <c r="AE43779" s="54"/>
    </row>
    <row r="43780" spans="31:31">
      <c r="AE43780" s="54"/>
    </row>
    <row r="43781" spans="31:31">
      <c r="AE43781" s="54"/>
    </row>
    <row r="43782" spans="31:31">
      <c r="AE43782" s="54"/>
    </row>
    <row r="43783" spans="31:31">
      <c r="AE43783" s="54"/>
    </row>
    <row r="43784" spans="31:31">
      <c r="AE43784" s="54"/>
    </row>
    <row r="43785" spans="31:31">
      <c r="AE43785" s="54"/>
    </row>
    <row r="43786" spans="31:31">
      <c r="AE43786" s="54"/>
    </row>
    <row r="43787" spans="31:31">
      <c r="AE43787" s="54"/>
    </row>
    <row r="43788" spans="31:31">
      <c r="AE43788" s="54"/>
    </row>
    <row r="43789" spans="31:31">
      <c r="AE43789" s="54"/>
    </row>
    <row r="43790" spans="31:31">
      <c r="AE43790" s="54"/>
    </row>
    <row r="43791" spans="31:31">
      <c r="AE43791" s="54"/>
    </row>
    <row r="43792" spans="31:31">
      <c r="AE43792" s="54"/>
    </row>
    <row r="43793" spans="31:31">
      <c r="AE43793" s="54"/>
    </row>
    <row r="43794" spans="31:31">
      <c r="AE43794" s="54"/>
    </row>
    <row r="43795" spans="31:31">
      <c r="AE43795" s="54"/>
    </row>
    <row r="43796" spans="31:31">
      <c r="AE43796" s="54"/>
    </row>
    <row r="43797" spans="31:31">
      <c r="AE43797" s="54"/>
    </row>
    <row r="43798" spans="31:31">
      <c r="AE43798" s="54"/>
    </row>
    <row r="43799" spans="31:31">
      <c r="AE43799" s="54"/>
    </row>
    <row r="43800" spans="31:31">
      <c r="AE43800" s="54"/>
    </row>
    <row r="43801" spans="31:31">
      <c r="AE43801" s="54"/>
    </row>
    <row r="43802" spans="31:31">
      <c r="AE43802" s="54"/>
    </row>
    <row r="43803" spans="31:31">
      <c r="AE43803" s="54"/>
    </row>
    <row r="43804" spans="31:31">
      <c r="AE43804" s="54"/>
    </row>
    <row r="43805" spans="31:31">
      <c r="AE43805" s="54"/>
    </row>
    <row r="43806" spans="31:31">
      <c r="AE43806" s="54"/>
    </row>
    <row r="43807" spans="31:31">
      <c r="AE43807" s="54"/>
    </row>
    <row r="43808" spans="31:31">
      <c r="AE43808" s="54"/>
    </row>
    <row r="43809" spans="31:31">
      <c r="AE43809" s="54"/>
    </row>
    <row r="43810" spans="31:31">
      <c r="AE43810" s="54"/>
    </row>
    <row r="43811" spans="31:31">
      <c r="AE43811" s="54"/>
    </row>
    <row r="43812" spans="31:31">
      <c r="AE43812" s="54"/>
    </row>
    <row r="43813" spans="31:31">
      <c r="AE43813" s="54"/>
    </row>
    <row r="43814" spans="31:31">
      <c r="AE43814" s="54"/>
    </row>
    <row r="43815" spans="31:31">
      <c r="AE43815" s="54"/>
    </row>
    <row r="43816" spans="31:31">
      <c r="AE43816" s="54"/>
    </row>
    <row r="43817" spans="31:31">
      <c r="AE43817" s="54"/>
    </row>
    <row r="43818" spans="31:31">
      <c r="AE43818" s="54"/>
    </row>
    <row r="43819" spans="31:31">
      <c r="AE43819" s="54"/>
    </row>
    <row r="43820" spans="31:31">
      <c r="AE43820" s="54"/>
    </row>
    <row r="43821" spans="31:31">
      <c r="AE43821" s="54"/>
    </row>
    <row r="43822" spans="31:31">
      <c r="AE43822" s="54"/>
    </row>
    <row r="43823" spans="31:31">
      <c r="AE43823" s="54"/>
    </row>
    <row r="43824" spans="31:31">
      <c r="AE43824" s="54"/>
    </row>
    <row r="43825" spans="31:31">
      <c r="AE43825" s="54"/>
    </row>
    <row r="43826" spans="31:31">
      <c r="AE43826" s="54"/>
    </row>
    <row r="43827" spans="31:31">
      <c r="AE43827" s="54"/>
    </row>
    <row r="43828" spans="31:31">
      <c r="AE43828" s="54"/>
    </row>
    <row r="43829" spans="31:31">
      <c r="AE43829" s="54"/>
    </row>
    <row r="43830" spans="31:31">
      <c r="AE43830" s="54"/>
    </row>
    <row r="43831" spans="31:31">
      <c r="AE43831" s="54"/>
    </row>
    <row r="43832" spans="31:31">
      <c r="AE43832" s="54"/>
    </row>
    <row r="43833" spans="31:31">
      <c r="AE43833" s="54"/>
    </row>
    <row r="43834" spans="31:31">
      <c r="AE43834" s="54"/>
    </row>
    <row r="43835" spans="31:31">
      <c r="AE43835" s="54"/>
    </row>
    <row r="43836" spans="31:31">
      <c r="AE43836" s="54"/>
    </row>
    <row r="43837" spans="31:31">
      <c r="AE43837" s="54"/>
    </row>
    <row r="43838" spans="31:31">
      <c r="AE43838" s="54"/>
    </row>
    <row r="43839" spans="31:31">
      <c r="AE43839" s="54"/>
    </row>
    <row r="43840" spans="31:31">
      <c r="AE43840" s="54"/>
    </row>
    <row r="43841" spans="31:31">
      <c r="AE43841" s="54"/>
    </row>
    <row r="43842" spans="31:31">
      <c r="AE43842" s="54"/>
    </row>
    <row r="43843" spans="31:31">
      <c r="AE43843" s="54"/>
    </row>
    <row r="43844" spans="31:31">
      <c r="AE43844" s="54"/>
    </row>
    <row r="43845" spans="31:31">
      <c r="AE43845" s="54"/>
    </row>
    <row r="43846" spans="31:31">
      <c r="AE43846" s="54"/>
    </row>
    <row r="43847" spans="31:31">
      <c r="AE43847" s="54"/>
    </row>
    <row r="43848" spans="31:31">
      <c r="AE43848" s="54"/>
    </row>
    <row r="43849" spans="31:31">
      <c r="AE43849" s="54"/>
    </row>
    <row r="43850" spans="31:31">
      <c r="AE43850" s="54"/>
    </row>
    <row r="43851" spans="31:31">
      <c r="AE43851" s="54"/>
    </row>
    <row r="43852" spans="31:31">
      <c r="AE43852" s="54"/>
    </row>
    <row r="43853" spans="31:31">
      <c r="AE43853" s="54"/>
    </row>
    <row r="43854" spans="31:31">
      <c r="AE43854" s="54"/>
    </row>
    <row r="43855" spans="31:31">
      <c r="AE43855" s="54"/>
    </row>
    <row r="43856" spans="31:31">
      <c r="AE43856" s="54"/>
    </row>
    <row r="43857" spans="31:31">
      <c r="AE43857" s="54"/>
    </row>
    <row r="43858" spans="31:31">
      <c r="AE43858" s="54"/>
    </row>
    <row r="43859" spans="31:31">
      <c r="AE43859" s="54"/>
    </row>
    <row r="43860" spans="31:31">
      <c r="AE43860" s="54"/>
    </row>
    <row r="43861" spans="31:31">
      <c r="AE43861" s="54"/>
    </row>
    <row r="43862" spans="31:31">
      <c r="AE43862" s="54"/>
    </row>
    <row r="43863" spans="31:31">
      <c r="AE43863" s="54"/>
    </row>
    <row r="43864" spans="31:31">
      <c r="AE43864" s="54"/>
    </row>
    <row r="43865" spans="31:31">
      <c r="AE43865" s="54"/>
    </row>
    <row r="43866" spans="31:31">
      <c r="AE43866" s="54"/>
    </row>
    <row r="43867" spans="31:31">
      <c r="AE43867" s="54"/>
    </row>
    <row r="43868" spans="31:31">
      <c r="AE43868" s="54"/>
    </row>
    <row r="43869" spans="31:31">
      <c r="AE43869" s="54"/>
    </row>
    <row r="43870" spans="31:31">
      <c r="AE43870" s="54"/>
    </row>
    <row r="43871" spans="31:31">
      <c r="AE43871" s="54"/>
    </row>
    <row r="43872" spans="31:31">
      <c r="AE43872" s="54"/>
    </row>
    <row r="43873" spans="31:31">
      <c r="AE43873" s="54"/>
    </row>
    <row r="43874" spans="31:31">
      <c r="AE43874" s="54"/>
    </row>
    <row r="43875" spans="31:31">
      <c r="AE43875" s="54"/>
    </row>
    <row r="43876" spans="31:31">
      <c r="AE43876" s="54"/>
    </row>
    <row r="43877" spans="31:31">
      <c r="AE43877" s="54"/>
    </row>
    <row r="43878" spans="31:31">
      <c r="AE43878" s="54"/>
    </row>
    <row r="43879" spans="31:31">
      <c r="AE43879" s="54"/>
    </row>
    <row r="43880" spans="31:31">
      <c r="AE43880" s="54"/>
    </row>
    <row r="43881" spans="31:31">
      <c r="AE43881" s="54"/>
    </row>
    <row r="43882" spans="31:31">
      <c r="AE43882" s="54"/>
    </row>
    <row r="43883" spans="31:31">
      <c r="AE43883" s="54"/>
    </row>
    <row r="43884" spans="31:31">
      <c r="AE43884" s="54"/>
    </row>
    <row r="43885" spans="31:31">
      <c r="AE43885" s="54"/>
    </row>
    <row r="43886" spans="31:31">
      <c r="AE43886" s="54"/>
    </row>
    <row r="43887" spans="31:31">
      <c r="AE43887" s="54"/>
    </row>
    <row r="43888" spans="31:31">
      <c r="AE43888" s="54"/>
    </row>
    <row r="43889" spans="31:31">
      <c r="AE43889" s="54"/>
    </row>
    <row r="43890" spans="31:31">
      <c r="AE43890" s="54"/>
    </row>
    <row r="43891" spans="31:31">
      <c r="AE43891" s="54"/>
    </row>
    <row r="43892" spans="31:31">
      <c r="AE43892" s="54"/>
    </row>
    <row r="43893" spans="31:31">
      <c r="AE43893" s="54"/>
    </row>
    <row r="43894" spans="31:31">
      <c r="AE43894" s="54"/>
    </row>
    <row r="43895" spans="31:31">
      <c r="AE43895" s="54"/>
    </row>
    <row r="43896" spans="31:31">
      <c r="AE43896" s="54"/>
    </row>
    <row r="43897" spans="31:31">
      <c r="AE43897" s="54"/>
    </row>
    <row r="43898" spans="31:31">
      <c r="AE43898" s="54"/>
    </row>
    <row r="43899" spans="31:31">
      <c r="AE43899" s="54"/>
    </row>
    <row r="43900" spans="31:31">
      <c r="AE43900" s="54"/>
    </row>
    <row r="43901" spans="31:31">
      <c r="AE43901" s="54"/>
    </row>
    <row r="43902" spans="31:31">
      <c r="AE43902" s="54"/>
    </row>
    <row r="43903" spans="31:31">
      <c r="AE43903" s="54"/>
    </row>
    <row r="43904" spans="31:31">
      <c r="AE43904" s="54"/>
    </row>
    <row r="43905" spans="31:31">
      <c r="AE43905" s="54"/>
    </row>
    <row r="43906" spans="31:31">
      <c r="AE43906" s="54"/>
    </row>
    <row r="43907" spans="31:31">
      <c r="AE43907" s="54"/>
    </row>
    <row r="43908" spans="31:31">
      <c r="AE43908" s="54"/>
    </row>
    <row r="43909" spans="31:31">
      <c r="AE43909" s="54"/>
    </row>
    <row r="43910" spans="31:31">
      <c r="AE43910" s="54"/>
    </row>
    <row r="43911" spans="31:31">
      <c r="AE43911" s="54"/>
    </row>
    <row r="43912" spans="31:31">
      <c r="AE43912" s="54"/>
    </row>
    <row r="43913" spans="31:31">
      <c r="AE43913" s="54"/>
    </row>
    <row r="43914" spans="31:31">
      <c r="AE43914" s="54"/>
    </row>
    <row r="43915" spans="31:31">
      <c r="AE43915" s="54"/>
    </row>
    <row r="43916" spans="31:31">
      <c r="AE43916" s="54"/>
    </row>
    <row r="43917" spans="31:31">
      <c r="AE43917" s="54"/>
    </row>
    <row r="43918" spans="31:31">
      <c r="AE43918" s="54"/>
    </row>
    <row r="43919" spans="31:31">
      <c r="AE43919" s="54"/>
    </row>
    <row r="43920" spans="31:31">
      <c r="AE43920" s="54"/>
    </row>
    <row r="43921" spans="31:31">
      <c r="AE43921" s="54"/>
    </row>
    <row r="43922" spans="31:31">
      <c r="AE43922" s="54"/>
    </row>
    <row r="43923" spans="31:31">
      <c r="AE43923" s="54"/>
    </row>
    <row r="43924" spans="31:31">
      <c r="AE43924" s="54"/>
    </row>
    <row r="43925" spans="31:31">
      <c r="AE43925" s="54"/>
    </row>
    <row r="43926" spans="31:31">
      <c r="AE43926" s="54"/>
    </row>
    <row r="43927" spans="31:31">
      <c r="AE43927" s="54"/>
    </row>
    <row r="43928" spans="31:31">
      <c r="AE43928" s="54"/>
    </row>
    <row r="43929" spans="31:31">
      <c r="AE43929" s="54"/>
    </row>
    <row r="43930" spans="31:31">
      <c r="AE43930" s="54"/>
    </row>
    <row r="43931" spans="31:31">
      <c r="AE43931" s="54"/>
    </row>
    <row r="43932" spans="31:31">
      <c r="AE43932" s="54"/>
    </row>
    <row r="43933" spans="31:31">
      <c r="AE43933" s="54"/>
    </row>
    <row r="43934" spans="31:31">
      <c r="AE43934" s="54"/>
    </row>
    <row r="43935" spans="31:31">
      <c r="AE43935" s="54"/>
    </row>
    <row r="43936" spans="31:31">
      <c r="AE43936" s="54"/>
    </row>
    <row r="43937" spans="31:31">
      <c r="AE43937" s="54"/>
    </row>
    <row r="43938" spans="31:31">
      <c r="AE43938" s="54"/>
    </row>
    <row r="43939" spans="31:31">
      <c r="AE43939" s="54"/>
    </row>
    <row r="43940" spans="31:31">
      <c r="AE43940" s="54"/>
    </row>
    <row r="43941" spans="31:31">
      <c r="AE43941" s="54"/>
    </row>
    <row r="43942" spans="31:31">
      <c r="AE43942" s="54"/>
    </row>
    <row r="43943" spans="31:31">
      <c r="AE43943" s="54"/>
    </row>
    <row r="43944" spans="31:31">
      <c r="AE43944" s="54"/>
    </row>
    <row r="43945" spans="31:31">
      <c r="AE43945" s="54"/>
    </row>
    <row r="43946" spans="31:31">
      <c r="AE43946" s="54"/>
    </row>
    <row r="43947" spans="31:31">
      <c r="AE43947" s="54"/>
    </row>
    <row r="43948" spans="31:31">
      <c r="AE43948" s="54"/>
    </row>
    <row r="43949" spans="31:31">
      <c r="AE43949" s="54"/>
    </row>
    <row r="43950" spans="31:31">
      <c r="AE43950" s="54"/>
    </row>
    <row r="43951" spans="31:31">
      <c r="AE43951" s="54"/>
    </row>
    <row r="43952" spans="31:31">
      <c r="AE43952" s="54"/>
    </row>
    <row r="43953" spans="31:31">
      <c r="AE43953" s="54"/>
    </row>
    <row r="43954" spans="31:31">
      <c r="AE43954" s="54"/>
    </row>
    <row r="43955" spans="31:31">
      <c r="AE43955" s="54"/>
    </row>
    <row r="43956" spans="31:31">
      <c r="AE43956" s="54"/>
    </row>
    <row r="43957" spans="31:31">
      <c r="AE43957" s="54"/>
    </row>
    <row r="43958" spans="31:31">
      <c r="AE43958" s="54"/>
    </row>
    <row r="43959" spans="31:31">
      <c r="AE43959" s="54"/>
    </row>
    <row r="43960" spans="31:31">
      <c r="AE43960" s="54"/>
    </row>
    <row r="43961" spans="31:31">
      <c r="AE43961" s="54"/>
    </row>
    <row r="43962" spans="31:31">
      <c r="AE43962" s="54"/>
    </row>
    <row r="43963" spans="31:31">
      <c r="AE43963" s="54"/>
    </row>
    <row r="43964" spans="31:31">
      <c r="AE43964" s="54"/>
    </row>
    <row r="43965" spans="31:31">
      <c r="AE43965" s="54"/>
    </row>
    <row r="43966" spans="31:31">
      <c r="AE43966" s="54"/>
    </row>
    <row r="43967" spans="31:31">
      <c r="AE43967" s="54"/>
    </row>
    <row r="43968" spans="31:31">
      <c r="AE43968" s="54"/>
    </row>
    <row r="43969" spans="31:31">
      <c r="AE43969" s="54"/>
    </row>
    <row r="43970" spans="31:31">
      <c r="AE43970" s="54"/>
    </row>
    <row r="43971" spans="31:31">
      <c r="AE43971" s="54"/>
    </row>
    <row r="43972" spans="31:31">
      <c r="AE43972" s="54"/>
    </row>
    <row r="43973" spans="31:31">
      <c r="AE43973" s="54"/>
    </row>
    <row r="43974" spans="31:31">
      <c r="AE43974" s="54"/>
    </row>
    <row r="43975" spans="31:31">
      <c r="AE43975" s="54"/>
    </row>
    <row r="43976" spans="31:31">
      <c r="AE43976" s="54"/>
    </row>
    <row r="43977" spans="31:31">
      <c r="AE43977" s="54"/>
    </row>
    <row r="43978" spans="31:31">
      <c r="AE43978" s="54"/>
    </row>
    <row r="43979" spans="31:31">
      <c r="AE43979" s="54"/>
    </row>
    <row r="43980" spans="31:31">
      <c r="AE43980" s="54"/>
    </row>
    <row r="43981" spans="31:31">
      <c r="AE43981" s="54"/>
    </row>
    <row r="43982" spans="31:31">
      <c r="AE43982" s="54"/>
    </row>
    <row r="43983" spans="31:31">
      <c r="AE43983" s="54"/>
    </row>
    <row r="43984" spans="31:31">
      <c r="AE43984" s="54"/>
    </row>
    <row r="43985" spans="31:31">
      <c r="AE43985" s="54"/>
    </row>
    <row r="43986" spans="31:31">
      <c r="AE43986" s="54"/>
    </row>
    <row r="43987" spans="31:31">
      <c r="AE43987" s="54"/>
    </row>
    <row r="43988" spans="31:31">
      <c r="AE43988" s="54"/>
    </row>
    <row r="43989" spans="31:31">
      <c r="AE43989" s="54"/>
    </row>
    <row r="43990" spans="31:31">
      <c r="AE43990" s="54"/>
    </row>
    <row r="43991" spans="31:31">
      <c r="AE43991" s="54"/>
    </row>
    <row r="43992" spans="31:31">
      <c r="AE43992" s="54"/>
    </row>
    <row r="43993" spans="31:31">
      <c r="AE43993" s="54"/>
    </row>
    <row r="43994" spans="31:31">
      <c r="AE43994" s="54"/>
    </row>
    <row r="43995" spans="31:31">
      <c r="AE43995" s="54"/>
    </row>
    <row r="43996" spans="31:31">
      <c r="AE43996" s="54"/>
    </row>
    <row r="43997" spans="31:31">
      <c r="AE43997" s="54"/>
    </row>
    <row r="43998" spans="31:31">
      <c r="AE43998" s="54"/>
    </row>
    <row r="43999" spans="31:31">
      <c r="AE43999" s="54"/>
    </row>
    <row r="44000" spans="31:31">
      <c r="AE44000" s="54"/>
    </row>
    <row r="44001" spans="31:31">
      <c r="AE44001" s="54"/>
    </row>
    <row r="44002" spans="31:31">
      <c r="AE44002" s="54"/>
    </row>
    <row r="44003" spans="31:31">
      <c r="AE44003" s="54"/>
    </row>
    <row r="44004" spans="31:31">
      <c r="AE44004" s="54"/>
    </row>
    <row r="44005" spans="31:31">
      <c r="AE44005" s="54"/>
    </row>
    <row r="44006" spans="31:31">
      <c r="AE44006" s="54"/>
    </row>
    <row r="44007" spans="31:31">
      <c r="AE44007" s="54"/>
    </row>
    <row r="44008" spans="31:31">
      <c r="AE44008" s="54"/>
    </row>
    <row r="44009" spans="31:31">
      <c r="AE44009" s="54"/>
    </row>
    <row r="44010" spans="31:31">
      <c r="AE44010" s="54"/>
    </row>
    <row r="44011" spans="31:31">
      <c r="AE44011" s="54"/>
    </row>
    <row r="44012" spans="31:31">
      <c r="AE44012" s="54"/>
    </row>
    <row r="44013" spans="31:31">
      <c r="AE44013" s="54"/>
    </row>
    <row r="44014" spans="31:31">
      <c r="AE44014" s="54"/>
    </row>
    <row r="44015" spans="31:31">
      <c r="AE44015" s="54"/>
    </row>
    <row r="44016" spans="31:31">
      <c r="AE44016" s="54"/>
    </row>
    <row r="44017" spans="31:31">
      <c r="AE44017" s="54"/>
    </row>
    <row r="44018" spans="31:31">
      <c r="AE44018" s="54"/>
    </row>
    <row r="44019" spans="31:31">
      <c r="AE44019" s="54"/>
    </row>
    <row r="44020" spans="31:31">
      <c r="AE44020" s="54"/>
    </row>
    <row r="44021" spans="31:31">
      <c r="AE44021" s="54"/>
    </row>
    <row r="44022" spans="31:31">
      <c r="AE44022" s="54"/>
    </row>
    <row r="44023" spans="31:31">
      <c r="AE44023" s="54"/>
    </row>
    <row r="44024" spans="31:31">
      <c r="AE44024" s="54"/>
    </row>
    <row r="44025" spans="31:31">
      <c r="AE44025" s="54"/>
    </row>
    <row r="44026" spans="31:31">
      <c r="AE44026" s="54"/>
    </row>
    <row r="44027" spans="31:31">
      <c r="AE44027" s="54"/>
    </row>
    <row r="44028" spans="31:31">
      <c r="AE44028" s="54"/>
    </row>
    <row r="44029" spans="31:31">
      <c r="AE44029" s="54"/>
    </row>
    <row r="44030" spans="31:31">
      <c r="AE44030" s="54"/>
    </row>
    <row r="44031" spans="31:31">
      <c r="AE44031" s="54"/>
    </row>
    <row r="44032" spans="31:31">
      <c r="AE44032" s="54"/>
    </row>
    <row r="44033" spans="31:31">
      <c r="AE44033" s="54"/>
    </row>
    <row r="44034" spans="31:31">
      <c r="AE44034" s="54"/>
    </row>
    <row r="44035" spans="31:31">
      <c r="AE44035" s="54"/>
    </row>
    <row r="44036" spans="31:31">
      <c r="AE44036" s="54"/>
    </row>
    <row r="44037" spans="31:31">
      <c r="AE44037" s="54"/>
    </row>
    <row r="44038" spans="31:31">
      <c r="AE44038" s="54"/>
    </row>
    <row r="44039" spans="31:31">
      <c r="AE44039" s="54"/>
    </row>
    <row r="44040" spans="31:31">
      <c r="AE44040" s="54"/>
    </row>
    <row r="44041" spans="31:31">
      <c r="AE44041" s="54"/>
    </row>
    <row r="44042" spans="31:31">
      <c r="AE44042" s="54"/>
    </row>
    <row r="44043" spans="31:31">
      <c r="AE44043" s="54"/>
    </row>
    <row r="44044" spans="31:31">
      <c r="AE44044" s="54"/>
    </row>
    <row r="44045" spans="31:31">
      <c r="AE44045" s="54"/>
    </row>
    <row r="44046" spans="31:31">
      <c r="AE44046" s="54"/>
    </row>
    <row r="44047" spans="31:31">
      <c r="AE44047" s="54"/>
    </row>
    <row r="44048" spans="31:31">
      <c r="AE44048" s="54"/>
    </row>
    <row r="44049" spans="31:31">
      <c r="AE44049" s="54"/>
    </row>
    <row r="44050" spans="31:31">
      <c r="AE44050" s="54"/>
    </row>
    <row r="44051" spans="31:31">
      <c r="AE44051" s="54"/>
    </row>
    <row r="44052" spans="31:31">
      <c r="AE44052" s="54"/>
    </row>
    <row r="44053" spans="31:31">
      <c r="AE44053" s="54"/>
    </row>
    <row r="44054" spans="31:31">
      <c r="AE44054" s="54"/>
    </row>
    <row r="44055" spans="31:31">
      <c r="AE44055" s="54"/>
    </row>
    <row r="44056" spans="31:31">
      <c r="AE44056" s="54"/>
    </row>
    <row r="44057" spans="31:31">
      <c r="AE44057" s="54"/>
    </row>
    <row r="44058" spans="31:31">
      <c r="AE44058" s="54"/>
    </row>
    <row r="44059" spans="31:31">
      <c r="AE44059" s="54"/>
    </row>
    <row r="44060" spans="31:31">
      <c r="AE44060" s="54"/>
    </row>
    <row r="44061" spans="31:31">
      <c r="AE44061" s="54"/>
    </row>
    <row r="44062" spans="31:31">
      <c r="AE44062" s="54"/>
    </row>
    <row r="44063" spans="31:31">
      <c r="AE44063" s="54"/>
    </row>
    <row r="44064" spans="31:31">
      <c r="AE44064" s="54"/>
    </row>
    <row r="44065" spans="31:31">
      <c r="AE44065" s="54"/>
    </row>
    <row r="44066" spans="31:31">
      <c r="AE44066" s="54"/>
    </row>
    <row r="44067" spans="31:31">
      <c r="AE44067" s="54"/>
    </row>
    <row r="44068" spans="31:31">
      <c r="AE44068" s="54"/>
    </row>
    <row r="44069" spans="31:31">
      <c r="AE44069" s="54"/>
    </row>
    <row r="44070" spans="31:31">
      <c r="AE44070" s="54"/>
    </row>
    <row r="44071" spans="31:31">
      <c r="AE44071" s="54"/>
    </row>
    <row r="44072" spans="31:31">
      <c r="AE44072" s="54"/>
    </row>
    <row r="44073" spans="31:31">
      <c r="AE44073" s="54"/>
    </row>
    <row r="44074" spans="31:31">
      <c r="AE44074" s="54"/>
    </row>
    <row r="44075" spans="31:31">
      <c r="AE44075" s="54"/>
    </row>
    <row r="44076" spans="31:31">
      <c r="AE44076" s="54"/>
    </row>
    <row r="44077" spans="31:31">
      <c r="AE44077" s="54"/>
    </row>
    <row r="44078" spans="31:31">
      <c r="AE44078" s="54"/>
    </row>
    <row r="44079" spans="31:31">
      <c r="AE44079" s="54"/>
    </row>
    <row r="44080" spans="31:31">
      <c r="AE44080" s="54"/>
    </row>
    <row r="44081" spans="31:31">
      <c r="AE44081" s="54"/>
    </row>
    <row r="44082" spans="31:31">
      <c r="AE44082" s="54"/>
    </row>
    <row r="44083" spans="31:31">
      <c r="AE44083" s="54"/>
    </row>
    <row r="44084" spans="31:31">
      <c r="AE44084" s="54"/>
    </row>
    <row r="44085" spans="31:31">
      <c r="AE44085" s="54"/>
    </row>
    <row r="44086" spans="31:31">
      <c r="AE44086" s="54"/>
    </row>
    <row r="44087" spans="31:31">
      <c r="AE44087" s="54"/>
    </row>
    <row r="44088" spans="31:31">
      <c r="AE44088" s="54"/>
    </row>
    <row r="44089" spans="31:31">
      <c r="AE44089" s="54"/>
    </row>
    <row r="44090" spans="31:31">
      <c r="AE44090" s="54"/>
    </row>
    <row r="44091" spans="31:31">
      <c r="AE44091" s="54"/>
    </row>
    <row r="44092" spans="31:31">
      <c r="AE44092" s="54"/>
    </row>
    <row r="44093" spans="31:31">
      <c r="AE44093" s="54"/>
    </row>
    <row r="44094" spans="31:31">
      <c r="AE44094" s="54"/>
    </row>
    <row r="44095" spans="31:31">
      <c r="AE44095" s="54"/>
    </row>
    <row r="44096" spans="31:31">
      <c r="AE44096" s="54"/>
    </row>
    <row r="44097" spans="31:31">
      <c r="AE44097" s="54"/>
    </row>
    <row r="44098" spans="31:31">
      <c r="AE44098" s="54"/>
    </row>
    <row r="44099" spans="31:31">
      <c r="AE44099" s="54"/>
    </row>
    <row r="44100" spans="31:31">
      <c r="AE44100" s="54"/>
    </row>
    <row r="44101" spans="31:31">
      <c r="AE44101" s="54"/>
    </row>
    <row r="44102" spans="31:31">
      <c r="AE44102" s="54"/>
    </row>
    <row r="44103" spans="31:31">
      <c r="AE44103" s="54"/>
    </row>
    <row r="44104" spans="31:31">
      <c r="AE44104" s="54"/>
    </row>
    <row r="44105" spans="31:31">
      <c r="AE44105" s="54"/>
    </row>
    <row r="44106" spans="31:31">
      <c r="AE44106" s="54"/>
    </row>
    <row r="44107" spans="31:31">
      <c r="AE44107" s="54"/>
    </row>
    <row r="44108" spans="31:31">
      <c r="AE44108" s="54"/>
    </row>
    <row r="44109" spans="31:31">
      <c r="AE44109" s="54"/>
    </row>
    <row r="44110" spans="31:31">
      <c r="AE44110" s="54"/>
    </row>
    <row r="44111" spans="31:31">
      <c r="AE44111" s="54"/>
    </row>
    <row r="44112" spans="31:31">
      <c r="AE44112" s="54"/>
    </row>
    <row r="44113" spans="31:31">
      <c r="AE44113" s="54"/>
    </row>
    <row r="44114" spans="31:31">
      <c r="AE44114" s="54"/>
    </row>
    <row r="44115" spans="31:31">
      <c r="AE44115" s="54"/>
    </row>
    <row r="44116" spans="31:31">
      <c r="AE44116" s="54"/>
    </row>
    <row r="44117" spans="31:31">
      <c r="AE44117" s="54"/>
    </row>
    <row r="44118" spans="31:31">
      <c r="AE44118" s="54"/>
    </row>
    <row r="44119" spans="31:31">
      <c r="AE44119" s="54"/>
    </row>
    <row r="44120" spans="31:31">
      <c r="AE44120" s="54"/>
    </row>
    <row r="44121" spans="31:31">
      <c r="AE44121" s="54"/>
    </row>
    <row r="44122" spans="31:31">
      <c r="AE44122" s="54"/>
    </row>
    <row r="44123" spans="31:31">
      <c r="AE44123" s="54"/>
    </row>
    <row r="44124" spans="31:31">
      <c r="AE44124" s="54"/>
    </row>
    <row r="44125" spans="31:31">
      <c r="AE44125" s="54"/>
    </row>
    <row r="44126" spans="31:31">
      <c r="AE44126" s="54"/>
    </row>
    <row r="44127" spans="31:31">
      <c r="AE44127" s="54"/>
    </row>
    <row r="44128" spans="31:31">
      <c r="AE44128" s="54"/>
    </row>
    <row r="44129" spans="31:31">
      <c r="AE44129" s="54"/>
    </row>
    <row r="44130" spans="31:31">
      <c r="AE44130" s="54"/>
    </row>
    <row r="44131" spans="31:31">
      <c r="AE44131" s="54"/>
    </row>
    <row r="44132" spans="31:31">
      <c r="AE44132" s="54"/>
    </row>
    <row r="44133" spans="31:31">
      <c r="AE44133" s="54"/>
    </row>
    <row r="44134" spans="31:31">
      <c r="AE44134" s="54"/>
    </row>
    <row r="44135" spans="31:31">
      <c r="AE44135" s="54"/>
    </row>
    <row r="44136" spans="31:31">
      <c r="AE44136" s="54"/>
    </row>
    <row r="44137" spans="31:31">
      <c r="AE44137" s="54"/>
    </row>
    <row r="44138" spans="31:31">
      <c r="AE44138" s="54"/>
    </row>
    <row r="44139" spans="31:31">
      <c r="AE44139" s="54"/>
    </row>
    <row r="44140" spans="31:31">
      <c r="AE44140" s="54"/>
    </row>
    <row r="44141" spans="31:31">
      <c r="AE44141" s="54"/>
    </row>
    <row r="44142" spans="31:31">
      <c r="AE44142" s="54"/>
    </row>
    <row r="44143" spans="31:31">
      <c r="AE44143" s="54"/>
    </row>
    <row r="44144" spans="31:31">
      <c r="AE44144" s="54"/>
    </row>
    <row r="44145" spans="31:31">
      <c r="AE44145" s="54"/>
    </row>
    <row r="44146" spans="31:31">
      <c r="AE44146" s="54"/>
    </row>
    <row r="44147" spans="31:31">
      <c r="AE44147" s="54"/>
    </row>
    <row r="44148" spans="31:31">
      <c r="AE44148" s="54"/>
    </row>
    <row r="44149" spans="31:31">
      <c r="AE44149" s="54"/>
    </row>
    <row r="44150" spans="31:31">
      <c r="AE44150" s="54"/>
    </row>
    <row r="44151" spans="31:31">
      <c r="AE44151" s="54"/>
    </row>
    <row r="44152" spans="31:31">
      <c r="AE44152" s="54"/>
    </row>
    <row r="44153" spans="31:31">
      <c r="AE44153" s="54"/>
    </row>
    <row r="44154" spans="31:31">
      <c r="AE44154" s="54"/>
    </row>
    <row r="44155" spans="31:31">
      <c r="AE44155" s="54"/>
    </row>
    <row r="44156" spans="31:31">
      <c r="AE44156" s="54"/>
    </row>
    <row r="44157" spans="31:31">
      <c r="AE44157" s="54"/>
    </row>
    <row r="44158" spans="31:31">
      <c r="AE44158" s="54"/>
    </row>
    <row r="44159" spans="31:31">
      <c r="AE44159" s="54"/>
    </row>
    <row r="44160" spans="31:31">
      <c r="AE44160" s="54"/>
    </row>
    <row r="44161" spans="31:31">
      <c r="AE44161" s="54"/>
    </row>
    <row r="44162" spans="31:31">
      <c r="AE44162" s="54"/>
    </row>
    <row r="44163" spans="31:31">
      <c r="AE44163" s="54"/>
    </row>
    <row r="44164" spans="31:31">
      <c r="AE44164" s="54"/>
    </row>
    <row r="44165" spans="31:31">
      <c r="AE44165" s="54"/>
    </row>
    <row r="44166" spans="31:31">
      <c r="AE44166" s="54"/>
    </row>
    <row r="44167" spans="31:31">
      <c r="AE44167" s="54"/>
    </row>
    <row r="44168" spans="31:31">
      <c r="AE44168" s="54"/>
    </row>
    <row r="44169" spans="31:31">
      <c r="AE44169" s="54"/>
    </row>
    <row r="44170" spans="31:31">
      <c r="AE44170" s="54"/>
    </row>
    <row r="44171" spans="31:31">
      <c r="AE44171" s="54"/>
    </row>
    <row r="44172" spans="31:31">
      <c r="AE44172" s="54"/>
    </row>
    <row r="44173" spans="31:31">
      <c r="AE44173" s="54"/>
    </row>
    <row r="44174" spans="31:31">
      <c r="AE44174" s="54"/>
    </row>
    <row r="44175" spans="31:31">
      <c r="AE44175" s="54"/>
    </row>
    <row r="44176" spans="31:31">
      <c r="AE44176" s="54"/>
    </row>
    <row r="44177" spans="31:31">
      <c r="AE44177" s="54"/>
    </row>
    <row r="44178" spans="31:31">
      <c r="AE44178" s="54"/>
    </row>
    <row r="44179" spans="31:31">
      <c r="AE44179" s="54"/>
    </row>
    <row r="44180" spans="31:31">
      <c r="AE44180" s="54"/>
    </row>
    <row r="44181" spans="31:31">
      <c r="AE44181" s="54"/>
    </row>
    <row r="44182" spans="31:31">
      <c r="AE44182" s="54"/>
    </row>
    <row r="44183" spans="31:31">
      <c r="AE44183" s="54"/>
    </row>
    <row r="44184" spans="31:31">
      <c r="AE44184" s="54"/>
    </row>
    <row r="44185" spans="31:31">
      <c r="AE44185" s="54"/>
    </row>
    <row r="44186" spans="31:31">
      <c r="AE44186" s="54"/>
    </row>
    <row r="44187" spans="31:31">
      <c r="AE44187" s="54"/>
    </row>
    <row r="44188" spans="31:31">
      <c r="AE44188" s="54"/>
    </row>
    <row r="44189" spans="31:31">
      <c r="AE44189" s="54"/>
    </row>
    <row r="44190" spans="31:31">
      <c r="AE44190" s="54"/>
    </row>
    <row r="44191" spans="31:31">
      <c r="AE44191" s="54"/>
    </row>
    <row r="44192" spans="31:31">
      <c r="AE44192" s="54"/>
    </row>
    <row r="44193" spans="31:31">
      <c r="AE44193" s="54"/>
    </row>
    <row r="44194" spans="31:31">
      <c r="AE44194" s="54"/>
    </row>
    <row r="44195" spans="31:31">
      <c r="AE44195" s="54"/>
    </row>
    <row r="44196" spans="31:31">
      <c r="AE44196" s="54"/>
    </row>
    <row r="44197" spans="31:31">
      <c r="AE44197" s="54"/>
    </row>
    <row r="44198" spans="31:31">
      <c r="AE44198" s="54"/>
    </row>
    <row r="44199" spans="31:31">
      <c r="AE44199" s="54"/>
    </row>
    <row r="44200" spans="31:31">
      <c r="AE44200" s="54"/>
    </row>
    <row r="44201" spans="31:31">
      <c r="AE44201" s="54"/>
    </row>
    <row r="44202" spans="31:31">
      <c r="AE44202" s="54"/>
    </row>
    <row r="44203" spans="31:31">
      <c r="AE44203" s="54"/>
    </row>
    <row r="44204" spans="31:31">
      <c r="AE44204" s="54"/>
    </row>
    <row r="44205" spans="31:31">
      <c r="AE44205" s="54"/>
    </row>
    <row r="44206" spans="31:31">
      <c r="AE44206" s="54"/>
    </row>
    <row r="44207" spans="31:31">
      <c r="AE44207" s="54"/>
    </row>
    <row r="44208" spans="31:31">
      <c r="AE44208" s="54"/>
    </row>
    <row r="44209" spans="31:31">
      <c r="AE44209" s="54"/>
    </row>
    <row r="44210" spans="31:31">
      <c r="AE44210" s="54"/>
    </row>
    <row r="44211" spans="31:31">
      <c r="AE44211" s="54"/>
    </row>
    <row r="44212" spans="31:31">
      <c r="AE44212" s="54"/>
    </row>
    <row r="44213" spans="31:31">
      <c r="AE44213" s="54"/>
    </row>
    <row r="44214" spans="31:31">
      <c r="AE44214" s="54"/>
    </row>
    <row r="44215" spans="31:31">
      <c r="AE44215" s="54"/>
    </row>
    <row r="44216" spans="31:31">
      <c r="AE44216" s="54"/>
    </row>
    <row r="44217" spans="31:31">
      <c r="AE44217" s="54"/>
    </row>
    <row r="44218" spans="31:31">
      <c r="AE44218" s="54"/>
    </row>
    <row r="44219" spans="31:31">
      <c r="AE44219" s="54"/>
    </row>
    <row r="44220" spans="31:31">
      <c r="AE44220" s="54"/>
    </row>
    <row r="44221" spans="31:31">
      <c r="AE44221" s="54"/>
    </row>
    <row r="44222" spans="31:31">
      <c r="AE44222" s="54"/>
    </row>
    <row r="44223" spans="31:31">
      <c r="AE44223" s="54"/>
    </row>
    <row r="44224" spans="31:31">
      <c r="AE44224" s="54"/>
    </row>
    <row r="44225" spans="31:31">
      <c r="AE44225" s="54"/>
    </row>
    <row r="44226" spans="31:31">
      <c r="AE44226" s="54"/>
    </row>
    <row r="44227" spans="31:31">
      <c r="AE44227" s="54"/>
    </row>
    <row r="44228" spans="31:31">
      <c r="AE44228" s="54"/>
    </row>
    <row r="44229" spans="31:31">
      <c r="AE44229" s="54"/>
    </row>
    <row r="44230" spans="31:31">
      <c r="AE44230" s="54"/>
    </row>
    <row r="44231" spans="31:31">
      <c r="AE44231" s="54"/>
    </row>
    <row r="44232" spans="31:31">
      <c r="AE44232" s="54"/>
    </row>
    <row r="44233" spans="31:31">
      <c r="AE44233" s="54"/>
    </row>
    <row r="44234" spans="31:31">
      <c r="AE44234" s="54"/>
    </row>
    <row r="44235" spans="31:31">
      <c r="AE44235" s="54"/>
    </row>
    <row r="44236" spans="31:31">
      <c r="AE44236" s="54"/>
    </row>
    <row r="44237" spans="31:31">
      <c r="AE44237" s="54"/>
    </row>
    <row r="44238" spans="31:31">
      <c r="AE44238" s="54"/>
    </row>
    <row r="44239" spans="31:31">
      <c r="AE44239" s="54"/>
    </row>
    <row r="44240" spans="31:31">
      <c r="AE44240" s="54"/>
    </row>
    <row r="44241" spans="31:31">
      <c r="AE44241" s="54"/>
    </row>
    <row r="44242" spans="31:31">
      <c r="AE44242" s="54"/>
    </row>
    <row r="44243" spans="31:31">
      <c r="AE44243" s="54"/>
    </row>
    <row r="44244" spans="31:31">
      <c r="AE44244" s="54"/>
    </row>
    <row r="44245" spans="31:31">
      <c r="AE44245" s="54"/>
    </row>
    <row r="44246" spans="31:31">
      <c r="AE44246" s="54"/>
    </row>
    <row r="44247" spans="31:31">
      <c r="AE44247" s="54"/>
    </row>
    <row r="44248" spans="31:31">
      <c r="AE44248" s="54"/>
    </row>
    <row r="44249" spans="31:31">
      <c r="AE44249" s="54"/>
    </row>
    <row r="44250" spans="31:31">
      <c r="AE44250" s="54"/>
    </row>
    <row r="44251" spans="31:31">
      <c r="AE44251" s="54"/>
    </row>
    <row r="44252" spans="31:31">
      <c r="AE44252" s="54"/>
    </row>
    <row r="44253" spans="31:31">
      <c r="AE44253" s="54"/>
    </row>
    <row r="44254" spans="31:31">
      <c r="AE44254" s="54"/>
    </row>
    <row r="44255" spans="31:31">
      <c r="AE44255" s="54"/>
    </row>
    <row r="44256" spans="31:31">
      <c r="AE44256" s="54"/>
    </row>
    <row r="44257" spans="31:31">
      <c r="AE44257" s="54"/>
    </row>
    <row r="44258" spans="31:31">
      <c r="AE44258" s="54"/>
    </row>
    <row r="44259" spans="31:31">
      <c r="AE44259" s="54"/>
    </row>
    <row r="44260" spans="31:31">
      <c r="AE44260" s="54"/>
    </row>
    <row r="44261" spans="31:31">
      <c r="AE44261" s="54"/>
    </row>
    <row r="44262" spans="31:31">
      <c r="AE44262" s="54"/>
    </row>
    <row r="44263" spans="31:31">
      <c r="AE44263" s="54"/>
    </row>
    <row r="44264" spans="31:31">
      <c r="AE44264" s="54"/>
    </row>
    <row r="44265" spans="31:31">
      <c r="AE44265" s="54"/>
    </row>
    <row r="44266" spans="31:31">
      <c r="AE44266" s="54"/>
    </row>
    <row r="44267" spans="31:31">
      <c r="AE44267" s="54"/>
    </row>
    <row r="44268" spans="31:31">
      <c r="AE44268" s="54"/>
    </row>
    <row r="44269" spans="31:31">
      <c r="AE44269" s="54"/>
    </row>
    <row r="44270" spans="31:31">
      <c r="AE44270" s="54"/>
    </row>
    <row r="44271" spans="31:31">
      <c r="AE44271" s="54"/>
    </row>
    <row r="44272" spans="31:31">
      <c r="AE44272" s="54"/>
    </row>
    <row r="44273" spans="31:31">
      <c r="AE44273" s="54"/>
    </row>
    <row r="44274" spans="31:31">
      <c r="AE44274" s="54"/>
    </row>
    <row r="44275" spans="31:31">
      <c r="AE44275" s="54"/>
    </row>
    <row r="44276" spans="31:31">
      <c r="AE44276" s="54"/>
    </row>
    <row r="44277" spans="31:31">
      <c r="AE44277" s="54"/>
    </row>
    <row r="44278" spans="31:31">
      <c r="AE44278" s="54"/>
    </row>
    <row r="44279" spans="31:31">
      <c r="AE44279" s="54"/>
    </row>
    <row r="44280" spans="31:31">
      <c r="AE44280" s="54"/>
    </row>
    <row r="44281" spans="31:31">
      <c r="AE44281" s="54"/>
    </row>
    <row r="44282" spans="31:31">
      <c r="AE44282" s="54"/>
    </row>
    <row r="44283" spans="31:31">
      <c r="AE44283" s="54"/>
    </row>
    <row r="44284" spans="31:31">
      <c r="AE44284" s="54"/>
    </row>
    <row r="44285" spans="31:31">
      <c r="AE44285" s="54"/>
    </row>
    <row r="44286" spans="31:31">
      <c r="AE44286" s="54"/>
    </row>
    <row r="44287" spans="31:31">
      <c r="AE44287" s="54"/>
    </row>
    <row r="44288" spans="31:31">
      <c r="AE44288" s="54"/>
    </row>
    <row r="44289" spans="31:31">
      <c r="AE44289" s="54"/>
    </row>
    <row r="44290" spans="31:31">
      <c r="AE44290" s="54"/>
    </row>
    <row r="44291" spans="31:31">
      <c r="AE44291" s="54"/>
    </row>
    <row r="44292" spans="31:31">
      <c r="AE44292" s="54"/>
    </row>
    <row r="44293" spans="31:31">
      <c r="AE44293" s="54"/>
    </row>
    <row r="44294" spans="31:31">
      <c r="AE44294" s="54"/>
    </row>
    <row r="44295" spans="31:31">
      <c r="AE44295" s="54"/>
    </row>
    <row r="44296" spans="31:31">
      <c r="AE44296" s="54"/>
    </row>
    <row r="44297" spans="31:31">
      <c r="AE44297" s="54"/>
    </row>
    <row r="44298" spans="31:31">
      <c r="AE44298" s="54"/>
    </row>
    <row r="44299" spans="31:31">
      <c r="AE44299" s="54"/>
    </row>
    <row r="44300" spans="31:31">
      <c r="AE44300" s="54"/>
    </row>
    <row r="44301" spans="31:31">
      <c r="AE44301" s="54"/>
    </row>
    <row r="44302" spans="31:31">
      <c r="AE44302" s="54"/>
    </row>
    <row r="44303" spans="31:31">
      <c r="AE44303" s="54"/>
    </row>
    <row r="44304" spans="31:31">
      <c r="AE44304" s="54"/>
    </row>
    <row r="44305" spans="31:31">
      <c r="AE44305" s="54"/>
    </row>
    <row r="44306" spans="31:31">
      <c r="AE44306" s="54"/>
    </row>
    <row r="44307" spans="31:31">
      <c r="AE44307" s="54"/>
    </row>
    <row r="44308" spans="31:31">
      <c r="AE44308" s="54"/>
    </row>
    <row r="44309" spans="31:31">
      <c r="AE44309" s="54"/>
    </row>
    <row r="44310" spans="31:31">
      <c r="AE44310" s="54"/>
    </row>
    <row r="44311" spans="31:31">
      <c r="AE44311" s="54"/>
    </row>
    <row r="44312" spans="31:31">
      <c r="AE44312" s="54"/>
    </row>
    <row r="44313" spans="31:31">
      <c r="AE44313" s="54"/>
    </row>
    <row r="44314" spans="31:31">
      <c r="AE44314" s="54"/>
    </row>
    <row r="44315" spans="31:31">
      <c r="AE44315" s="54"/>
    </row>
    <row r="44316" spans="31:31">
      <c r="AE44316" s="54"/>
    </row>
    <row r="44317" spans="31:31">
      <c r="AE44317" s="54"/>
    </row>
    <row r="44318" spans="31:31">
      <c r="AE44318" s="54"/>
    </row>
    <row r="44319" spans="31:31">
      <c r="AE44319" s="54"/>
    </row>
    <row r="44320" spans="31:31">
      <c r="AE44320" s="54"/>
    </row>
    <row r="44321" spans="31:31">
      <c r="AE44321" s="54"/>
    </row>
    <row r="44322" spans="31:31">
      <c r="AE44322" s="54"/>
    </row>
    <row r="44323" spans="31:31">
      <c r="AE44323" s="54"/>
    </row>
    <row r="44324" spans="31:31">
      <c r="AE44324" s="54"/>
    </row>
    <row r="44325" spans="31:31">
      <c r="AE44325" s="54"/>
    </row>
    <row r="44326" spans="31:31">
      <c r="AE44326" s="54"/>
    </row>
    <row r="44327" spans="31:31">
      <c r="AE44327" s="54"/>
    </row>
    <row r="44328" spans="31:31">
      <c r="AE44328" s="54"/>
    </row>
    <row r="44329" spans="31:31">
      <c r="AE44329" s="54"/>
    </row>
    <row r="44330" spans="31:31">
      <c r="AE44330" s="54"/>
    </row>
    <row r="44331" spans="31:31">
      <c r="AE44331" s="54"/>
    </row>
    <row r="44332" spans="31:31">
      <c r="AE44332" s="54"/>
    </row>
    <row r="44333" spans="31:31">
      <c r="AE44333" s="54"/>
    </row>
    <row r="44334" spans="31:31">
      <c r="AE44334" s="54"/>
    </row>
    <row r="44335" spans="31:31">
      <c r="AE44335" s="54"/>
    </row>
    <row r="44336" spans="31:31">
      <c r="AE44336" s="54"/>
    </row>
    <row r="44337" spans="31:31">
      <c r="AE44337" s="54"/>
    </row>
    <row r="44338" spans="31:31">
      <c r="AE44338" s="54"/>
    </row>
    <row r="44339" spans="31:31">
      <c r="AE44339" s="54"/>
    </row>
    <row r="44340" spans="31:31">
      <c r="AE44340" s="54"/>
    </row>
    <row r="44341" spans="31:31">
      <c r="AE44341" s="54"/>
    </row>
    <row r="44342" spans="31:31">
      <c r="AE44342" s="54"/>
    </row>
    <row r="44343" spans="31:31">
      <c r="AE44343" s="54"/>
    </row>
    <row r="44344" spans="31:31">
      <c r="AE44344" s="54"/>
    </row>
    <row r="44345" spans="31:31">
      <c r="AE44345" s="54"/>
    </row>
    <row r="44346" spans="31:31">
      <c r="AE44346" s="54"/>
    </row>
    <row r="44347" spans="31:31">
      <c r="AE44347" s="54"/>
    </row>
    <row r="44348" spans="31:31">
      <c r="AE44348" s="54"/>
    </row>
    <row r="44349" spans="31:31">
      <c r="AE44349" s="54"/>
    </row>
    <row r="44350" spans="31:31">
      <c r="AE44350" s="54"/>
    </row>
    <row r="44351" spans="31:31">
      <c r="AE44351" s="54"/>
    </row>
    <row r="44352" spans="31:31">
      <c r="AE44352" s="54"/>
    </row>
    <row r="44353" spans="31:31">
      <c r="AE44353" s="54"/>
    </row>
    <row r="44354" spans="31:31">
      <c r="AE44354" s="54"/>
    </row>
    <row r="44355" spans="31:31">
      <c r="AE44355" s="54"/>
    </row>
    <row r="44356" spans="31:31">
      <c r="AE44356" s="54"/>
    </row>
    <row r="44357" spans="31:31">
      <c r="AE44357" s="54"/>
    </row>
    <row r="44358" spans="31:31">
      <c r="AE44358" s="54"/>
    </row>
    <row r="44359" spans="31:31">
      <c r="AE44359" s="54"/>
    </row>
    <row r="44360" spans="31:31">
      <c r="AE44360" s="54"/>
    </row>
    <row r="44361" spans="31:31">
      <c r="AE44361" s="54"/>
    </row>
    <row r="44362" spans="31:31">
      <c r="AE44362" s="54"/>
    </row>
    <row r="44363" spans="31:31">
      <c r="AE44363" s="54"/>
    </row>
    <row r="44364" spans="31:31">
      <c r="AE44364" s="54"/>
    </row>
    <row r="44365" spans="31:31">
      <c r="AE44365" s="54"/>
    </row>
    <row r="44366" spans="31:31">
      <c r="AE44366" s="54"/>
    </row>
    <row r="44367" spans="31:31">
      <c r="AE44367" s="54"/>
    </row>
    <row r="44368" spans="31:31">
      <c r="AE44368" s="54"/>
    </row>
    <row r="44369" spans="31:31">
      <c r="AE44369" s="54"/>
    </row>
    <row r="44370" spans="31:31">
      <c r="AE44370" s="54"/>
    </row>
    <row r="44371" spans="31:31">
      <c r="AE44371" s="54"/>
    </row>
    <row r="44372" spans="31:31">
      <c r="AE44372" s="54"/>
    </row>
    <row r="44373" spans="31:31">
      <c r="AE44373" s="54"/>
    </row>
    <row r="44374" spans="31:31">
      <c r="AE44374" s="54"/>
    </row>
    <row r="44375" spans="31:31">
      <c r="AE44375" s="54"/>
    </row>
    <row r="44376" spans="31:31">
      <c r="AE44376" s="54"/>
    </row>
    <row r="44377" spans="31:31">
      <c r="AE44377" s="54"/>
    </row>
    <row r="44378" spans="31:31">
      <c r="AE44378" s="54"/>
    </row>
    <row r="44379" spans="31:31">
      <c r="AE44379" s="54"/>
    </row>
    <row r="44380" spans="31:31">
      <c r="AE44380" s="54"/>
    </row>
    <row r="44381" spans="31:31">
      <c r="AE44381" s="54"/>
    </row>
    <row r="44382" spans="31:31">
      <c r="AE44382" s="54"/>
    </row>
    <row r="44383" spans="31:31">
      <c r="AE44383" s="54"/>
    </row>
    <row r="44384" spans="31:31">
      <c r="AE44384" s="54"/>
    </row>
    <row r="44385" spans="31:31">
      <c r="AE44385" s="54"/>
    </row>
    <row r="44386" spans="31:31">
      <c r="AE44386" s="54"/>
    </row>
    <row r="44387" spans="31:31">
      <c r="AE44387" s="54"/>
    </row>
    <row r="44388" spans="31:31">
      <c r="AE44388" s="54"/>
    </row>
    <row r="44389" spans="31:31">
      <c r="AE44389" s="54"/>
    </row>
    <row r="44390" spans="31:31">
      <c r="AE44390" s="54"/>
    </row>
    <row r="44391" spans="31:31">
      <c r="AE44391" s="54"/>
    </row>
    <row r="44392" spans="31:31">
      <c r="AE44392" s="54"/>
    </row>
    <row r="44393" spans="31:31">
      <c r="AE44393" s="54"/>
    </row>
    <row r="44394" spans="31:31">
      <c r="AE44394" s="54"/>
    </row>
    <row r="44395" spans="31:31">
      <c r="AE44395" s="54"/>
    </row>
    <row r="44396" spans="31:31">
      <c r="AE44396" s="54"/>
    </row>
    <row r="44397" spans="31:31">
      <c r="AE44397" s="54"/>
    </row>
    <row r="44398" spans="31:31">
      <c r="AE44398" s="54"/>
    </row>
    <row r="44399" spans="31:31">
      <c r="AE44399" s="54"/>
    </row>
    <row r="44400" spans="31:31">
      <c r="AE44400" s="54"/>
    </row>
    <row r="44401" spans="31:31">
      <c r="AE44401" s="54"/>
    </row>
    <row r="44402" spans="31:31">
      <c r="AE44402" s="54"/>
    </row>
    <row r="44403" spans="31:31">
      <c r="AE44403" s="54"/>
    </row>
    <row r="44404" spans="31:31">
      <c r="AE44404" s="54"/>
    </row>
    <row r="44405" spans="31:31">
      <c r="AE44405" s="54"/>
    </row>
    <row r="44406" spans="31:31">
      <c r="AE44406" s="54"/>
    </row>
    <row r="44407" spans="31:31">
      <c r="AE44407" s="54"/>
    </row>
    <row r="44408" spans="31:31">
      <c r="AE44408" s="54"/>
    </row>
    <row r="44409" spans="31:31">
      <c r="AE44409" s="54"/>
    </row>
    <row r="44410" spans="31:31">
      <c r="AE44410" s="54"/>
    </row>
    <row r="44411" spans="31:31">
      <c r="AE44411" s="54"/>
    </row>
    <row r="44412" spans="31:31">
      <c r="AE44412" s="54"/>
    </row>
    <row r="44413" spans="31:31">
      <c r="AE44413" s="54"/>
    </row>
    <row r="44414" spans="31:31">
      <c r="AE44414" s="54"/>
    </row>
    <row r="44415" spans="31:31">
      <c r="AE44415" s="54"/>
    </row>
    <row r="44416" spans="31:31">
      <c r="AE44416" s="54"/>
    </row>
    <row r="44417" spans="31:31">
      <c r="AE44417" s="54"/>
    </row>
    <row r="44418" spans="31:31">
      <c r="AE44418" s="54"/>
    </row>
    <row r="44419" spans="31:31">
      <c r="AE44419" s="54"/>
    </row>
    <row r="44420" spans="31:31">
      <c r="AE44420" s="54"/>
    </row>
    <row r="44421" spans="31:31">
      <c r="AE44421" s="54"/>
    </row>
    <row r="44422" spans="31:31">
      <c r="AE44422" s="54"/>
    </row>
    <row r="44423" spans="31:31">
      <c r="AE44423" s="54"/>
    </row>
    <row r="44424" spans="31:31">
      <c r="AE44424" s="54"/>
    </row>
    <row r="44425" spans="31:31">
      <c r="AE44425" s="54"/>
    </row>
    <row r="44426" spans="31:31">
      <c r="AE44426" s="54"/>
    </row>
    <row r="44427" spans="31:31">
      <c r="AE44427" s="54"/>
    </row>
    <row r="44428" spans="31:31">
      <c r="AE44428" s="54"/>
    </row>
    <row r="44429" spans="31:31">
      <c r="AE44429" s="54"/>
    </row>
    <row r="44430" spans="31:31">
      <c r="AE44430" s="54"/>
    </row>
    <row r="44431" spans="31:31">
      <c r="AE44431" s="54"/>
    </row>
    <row r="44432" spans="31:31">
      <c r="AE44432" s="54"/>
    </row>
    <row r="44433" spans="31:31">
      <c r="AE44433" s="54"/>
    </row>
    <row r="44434" spans="31:31">
      <c r="AE44434" s="54"/>
    </row>
    <row r="44435" spans="31:31">
      <c r="AE44435" s="54"/>
    </row>
    <row r="44436" spans="31:31">
      <c r="AE44436" s="54"/>
    </row>
    <row r="44437" spans="31:31">
      <c r="AE44437" s="54"/>
    </row>
    <row r="44438" spans="31:31">
      <c r="AE44438" s="54"/>
    </row>
    <row r="44439" spans="31:31">
      <c r="AE44439" s="54"/>
    </row>
    <row r="44440" spans="31:31">
      <c r="AE44440" s="54"/>
    </row>
    <row r="44441" spans="31:31">
      <c r="AE44441" s="54"/>
    </row>
    <row r="44442" spans="31:31">
      <c r="AE44442" s="54"/>
    </row>
    <row r="44443" spans="31:31">
      <c r="AE44443" s="54"/>
    </row>
    <row r="44444" spans="31:31">
      <c r="AE44444" s="54"/>
    </row>
    <row r="44445" spans="31:31">
      <c r="AE44445" s="54"/>
    </row>
    <row r="44446" spans="31:31">
      <c r="AE44446" s="54"/>
    </row>
    <row r="44447" spans="31:31">
      <c r="AE44447" s="54"/>
    </row>
    <row r="44448" spans="31:31">
      <c r="AE44448" s="54"/>
    </row>
    <row r="44449" spans="31:31">
      <c r="AE44449" s="54"/>
    </row>
    <row r="44450" spans="31:31">
      <c r="AE44450" s="54"/>
    </row>
    <row r="44451" spans="31:31">
      <c r="AE44451" s="54"/>
    </row>
    <row r="44452" spans="31:31">
      <c r="AE44452" s="54"/>
    </row>
    <row r="44453" spans="31:31">
      <c r="AE44453" s="54"/>
    </row>
    <row r="44454" spans="31:31">
      <c r="AE44454" s="54"/>
    </row>
    <row r="44455" spans="31:31">
      <c r="AE44455" s="54"/>
    </row>
    <row r="44456" spans="31:31">
      <c r="AE44456" s="54"/>
    </row>
    <row r="44457" spans="31:31">
      <c r="AE44457" s="54"/>
    </row>
    <row r="44458" spans="31:31">
      <c r="AE44458" s="54"/>
    </row>
    <row r="44459" spans="31:31">
      <c r="AE44459" s="54"/>
    </row>
    <row r="44460" spans="31:31">
      <c r="AE44460" s="54"/>
    </row>
    <row r="44461" spans="31:31">
      <c r="AE44461" s="54"/>
    </row>
    <row r="44462" spans="31:31">
      <c r="AE44462" s="54"/>
    </row>
    <row r="44463" spans="31:31">
      <c r="AE44463" s="54"/>
    </row>
    <row r="44464" spans="31:31">
      <c r="AE44464" s="54"/>
    </row>
    <row r="44465" spans="31:31">
      <c r="AE44465" s="54"/>
    </row>
    <row r="44466" spans="31:31">
      <c r="AE44466" s="54"/>
    </row>
    <row r="44467" spans="31:31">
      <c r="AE44467" s="54"/>
    </row>
    <row r="44468" spans="31:31">
      <c r="AE44468" s="54"/>
    </row>
    <row r="44469" spans="31:31">
      <c r="AE44469" s="54"/>
    </row>
    <row r="44470" spans="31:31">
      <c r="AE44470" s="54"/>
    </row>
    <row r="44471" spans="31:31">
      <c r="AE44471" s="54"/>
    </row>
    <row r="44472" spans="31:31">
      <c r="AE44472" s="54"/>
    </row>
    <row r="44473" spans="31:31">
      <c r="AE44473" s="54"/>
    </row>
    <row r="44474" spans="31:31">
      <c r="AE44474" s="54"/>
    </row>
    <row r="44475" spans="31:31">
      <c r="AE44475" s="54"/>
    </row>
    <row r="44476" spans="31:31">
      <c r="AE44476" s="54"/>
    </row>
    <row r="44477" spans="31:31">
      <c r="AE44477" s="54"/>
    </row>
    <row r="44478" spans="31:31">
      <c r="AE44478" s="54"/>
    </row>
    <row r="44479" spans="31:31">
      <c r="AE44479" s="54"/>
    </row>
    <row r="44480" spans="31:31">
      <c r="AE44480" s="54"/>
    </row>
    <row r="44481" spans="31:31">
      <c r="AE44481" s="54"/>
    </row>
    <row r="44482" spans="31:31">
      <c r="AE44482" s="54"/>
    </row>
    <row r="44483" spans="31:31">
      <c r="AE44483" s="54"/>
    </row>
    <row r="44484" spans="31:31">
      <c r="AE44484" s="54"/>
    </row>
    <row r="44485" spans="31:31">
      <c r="AE44485" s="54"/>
    </row>
    <row r="44486" spans="31:31">
      <c r="AE44486" s="54"/>
    </row>
    <row r="44487" spans="31:31">
      <c r="AE44487" s="54"/>
    </row>
    <row r="44488" spans="31:31">
      <c r="AE44488" s="54"/>
    </row>
    <row r="44489" spans="31:31">
      <c r="AE44489" s="54"/>
    </row>
    <row r="44490" spans="31:31">
      <c r="AE44490" s="54"/>
    </row>
    <row r="44491" spans="31:31">
      <c r="AE44491" s="54"/>
    </row>
    <row r="44492" spans="31:31">
      <c r="AE44492" s="54"/>
    </row>
    <row r="44493" spans="31:31">
      <c r="AE44493" s="54"/>
    </row>
    <row r="44494" spans="31:31">
      <c r="AE44494" s="54"/>
    </row>
    <row r="44495" spans="31:31">
      <c r="AE44495" s="54"/>
    </row>
    <row r="44496" spans="31:31">
      <c r="AE44496" s="54"/>
    </row>
    <row r="44497" spans="31:31">
      <c r="AE44497" s="54"/>
    </row>
    <row r="44498" spans="31:31">
      <c r="AE44498" s="54"/>
    </row>
    <row r="44499" spans="31:31">
      <c r="AE44499" s="54"/>
    </row>
    <row r="44500" spans="31:31">
      <c r="AE44500" s="54"/>
    </row>
    <row r="44501" spans="31:31">
      <c r="AE44501" s="54"/>
    </row>
    <row r="44502" spans="31:31">
      <c r="AE44502" s="54"/>
    </row>
    <row r="44503" spans="31:31">
      <c r="AE44503" s="54"/>
    </row>
    <row r="44504" spans="31:31">
      <c r="AE44504" s="54"/>
    </row>
    <row r="44505" spans="31:31">
      <c r="AE44505" s="54"/>
    </row>
    <row r="44506" spans="31:31">
      <c r="AE44506" s="54"/>
    </row>
    <row r="44507" spans="31:31">
      <c r="AE44507" s="54"/>
    </row>
    <row r="44508" spans="31:31">
      <c r="AE44508" s="54"/>
    </row>
    <row r="44509" spans="31:31">
      <c r="AE44509" s="54"/>
    </row>
    <row r="44510" spans="31:31">
      <c r="AE44510" s="54"/>
    </row>
    <row r="44511" spans="31:31">
      <c r="AE44511" s="54"/>
    </row>
    <row r="44512" spans="31:31">
      <c r="AE44512" s="54"/>
    </row>
    <row r="44513" spans="31:31">
      <c r="AE44513" s="54"/>
    </row>
    <row r="44514" spans="31:31">
      <c r="AE44514" s="54"/>
    </row>
    <row r="44515" spans="31:31">
      <c r="AE44515" s="54"/>
    </row>
    <row r="44516" spans="31:31">
      <c r="AE44516" s="54"/>
    </row>
    <row r="44517" spans="31:31">
      <c r="AE44517" s="54"/>
    </row>
    <row r="44518" spans="31:31">
      <c r="AE44518" s="54"/>
    </row>
    <row r="44519" spans="31:31">
      <c r="AE44519" s="54"/>
    </row>
    <row r="44520" spans="31:31">
      <c r="AE44520" s="54"/>
    </row>
    <row r="44521" spans="31:31">
      <c r="AE44521" s="54"/>
    </row>
    <row r="44522" spans="31:31">
      <c r="AE44522" s="54"/>
    </row>
    <row r="44523" spans="31:31">
      <c r="AE44523" s="54"/>
    </row>
    <row r="44524" spans="31:31">
      <c r="AE44524" s="54"/>
    </row>
    <row r="44525" spans="31:31">
      <c r="AE44525" s="54"/>
    </row>
    <row r="44526" spans="31:31">
      <c r="AE44526" s="54"/>
    </row>
    <row r="44527" spans="31:31">
      <c r="AE44527" s="54"/>
    </row>
    <row r="44528" spans="31:31">
      <c r="AE44528" s="54"/>
    </row>
    <row r="44529" spans="31:31">
      <c r="AE44529" s="54"/>
    </row>
    <row r="44530" spans="31:31">
      <c r="AE44530" s="54"/>
    </row>
    <row r="44531" spans="31:31">
      <c r="AE44531" s="54"/>
    </row>
    <row r="44532" spans="31:31">
      <c r="AE44532" s="54"/>
    </row>
    <row r="44533" spans="31:31">
      <c r="AE44533" s="54"/>
    </row>
    <row r="44534" spans="31:31">
      <c r="AE44534" s="54"/>
    </row>
    <row r="44535" spans="31:31">
      <c r="AE44535" s="54"/>
    </row>
    <row r="44536" spans="31:31">
      <c r="AE44536" s="54"/>
    </row>
    <row r="44537" spans="31:31">
      <c r="AE44537" s="54"/>
    </row>
    <row r="44538" spans="31:31">
      <c r="AE44538" s="54"/>
    </row>
    <row r="44539" spans="31:31">
      <c r="AE44539" s="54"/>
    </row>
    <row r="44540" spans="31:31">
      <c r="AE44540" s="54"/>
    </row>
    <row r="44541" spans="31:31">
      <c r="AE44541" s="54"/>
    </row>
    <row r="44542" spans="31:31">
      <c r="AE44542" s="54"/>
    </row>
    <row r="44543" spans="31:31">
      <c r="AE44543" s="54"/>
    </row>
    <row r="44544" spans="31:31">
      <c r="AE44544" s="54"/>
    </row>
    <row r="44545" spans="31:31">
      <c r="AE44545" s="54"/>
    </row>
    <row r="44546" spans="31:31">
      <c r="AE44546" s="54"/>
    </row>
    <row r="44547" spans="31:31">
      <c r="AE44547" s="54"/>
    </row>
    <row r="44548" spans="31:31">
      <c r="AE44548" s="54"/>
    </row>
    <row r="44549" spans="31:31">
      <c r="AE44549" s="54"/>
    </row>
    <row r="44550" spans="31:31">
      <c r="AE44550" s="54"/>
    </row>
    <row r="44551" spans="31:31">
      <c r="AE44551" s="54"/>
    </row>
    <row r="44552" spans="31:31">
      <c r="AE44552" s="54"/>
    </row>
    <row r="44553" spans="31:31">
      <c r="AE44553" s="54"/>
    </row>
    <row r="44554" spans="31:31">
      <c r="AE44554" s="54"/>
    </row>
    <row r="44555" spans="31:31">
      <c r="AE44555" s="54"/>
    </row>
    <row r="44556" spans="31:31">
      <c r="AE44556" s="54"/>
    </row>
    <row r="44557" spans="31:31">
      <c r="AE44557" s="54"/>
    </row>
    <row r="44558" spans="31:31">
      <c r="AE44558" s="54"/>
    </row>
    <row r="44559" spans="31:31">
      <c r="AE44559" s="54"/>
    </row>
    <row r="44560" spans="31:31">
      <c r="AE44560" s="54"/>
    </row>
    <row r="44561" spans="31:31">
      <c r="AE44561" s="54"/>
    </row>
    <row r="44562" spans="31:31">
      <c r="AE44562" s="54"/>
    </row>
    <row r="44563" spans="31:31">
      <c r="AE44563" s="54"/>
    </row>
    <row r="44564" spans="31:31">
      <c r="AE44564" s="54"/>
    </row>
    <row r="44565" spans="31:31">
      <c r="AE44565" s="54"/>
    </row>
    <row r="44566" spans="31:31">
      <c r="AE44566" s="54"/>
    </row>
    <row r="44567" spans="31:31">
      <c r="AE44567" s="54"/>
    </row>
    <row r="44568" spans="31:31">
      <c r="AE44568" s="54"/>
    </row>
    <row r="44569" spans="31:31">
      <c r="AE44569" s="54"/>
    </row>
    <row r="44570" spans="31:31">
      <c r="AE44570" s="54"/>
    </row>
    <row r="44571" spans="31:31">
      <c r="AE44571" s="54"/>
    </row>
    <row r="44572" spans="31:31">
      <c r="AE44572" s="54"/>
    </row>
    <row r="44573" spans="31:31">
      <c r="AE44573" s="54"/>
    </row>
    <row r="44574" spans="31:31">
      <c r="AE44574" s="54"/>
    </row>
    <row r="44575" spans="31:31">
      <c r="AE44575" s="54"/>
    </row>
    <row r="44576" spans="31:31">
      <c r="AE44576" s="54"/>
    </row>
    <row r="44577" spans="31:31">
      <c r="AE44577" s="54"/>
    </row>
    <row r="44578" spans="31:31">
      <c r="AE44578" s="54"/>
    </row>
    <row r="44579" spans="31:31">
      <c r="AE44579" s="54"/>
    </row>
    <row r="44580" spans="31:31">
      <c r="AE44580" s="54"/>
    </row>
    <row r="44581" spans="31:31">
      <c r="AE44581" s="54"/>
    </row>
    <row r="44582" spans="31:31">
      <c r="AE44582" s="54"/>
    </row>
    <row r="44583" spans="31:31">
      <c r="AE44583" s="54"/>
    </row>
    <row r="44584" spans="31:31">
      <c r="AE44584" s="54"/>
    </row>
    <row r="44585" spans="31:31">
      <c r="AE44585" s="54"/>
    </row>
    <row r="44586" spans="31:31">
      <c r="AE44586" s="54"/>
    </row>
    <row r="44587" spans="31:31">
      <c r="AE44587" s="54"/>
    </row>
    <row r="44588" spans="31:31">
      <c r="AE44588" s="54"/>
    </row>
    <row r="44589" spans="31:31">
      <c r="AE44589" s="54"/>
    </row>
    <row r="44590" spans="31:31">
      <c r="AE44590" s="54"/>
    </row>
    <row r="44591" spans="31:31">
      <c r="AE44591" s="54"/>
    </row>
    <row r="44592" spans="31:31">
      <c r="AE44592" s="54"/>
    </row>
    <row r="44593" spans="31:31">
      <c r="AE44593" s="54"/>
    </row>
    <row r="44594" spans="31:31">
      <c r="AE44594" s="54"/>
    </row>
    <row r="44595" spans="31:31">
      <c r="AE44595" s="54"/>
    </row>
    <row r="44596" spans="31:31">
      <c r="AE44596" s="54"/>
    </row>
    <row r="44597" spans="31:31">
      <c r="AE44597" s="54"/>
    </row>
    <row r="44598" spans="31:31">
      <c r="AE44598" s="54"/>
    </row>
    <row r="44599" spans="31:31">
      <c r="AE44599" s="54"/>
    </row>
    <row r="44600" spans="31:31">
      <c r="AE44600" s="54"/>
    </row>
    <row r="44601" spans="31:31">
      <c r="AE44601" s="54"/>
    </row>
    <row r="44602" spans="31:31">
      <c r="AE44602" s="54"/>
    </row>
    <row r="44603" spans="31:31">
      <c r="AE44603" s="54"/>
    </row>
    <row r="44604" spans="31:31">
      <c r="AE44604" s="54"/>
    </row>
    <row r="44605" spans="31:31">
      <c r="AE44605" s="54"/>
    </row>
    <row r="44606" spans="31:31">
      <c r="AE44606" s="54"/>
    </row>
    <row r="44607" spans="31:31">
      <c r="AE44607" s="54"/>
    </row>
    <row r="44608" spans="31:31">
      <c r="AE44608" s="54"/>
    </row>
    <row r="44609" spans="31:31">
      <c r="AE44609" s="54"/>
    </row>
    <row r="44610" spans="31:31">
      <c r="AE44610" s="54"/>
    </row>
    <row r="44611" spans="31:31">
      <c r="AE44611" s="54"/>
    </row>
    <row r="44612" spans="31:31">
      <c r="AE44612" s="54"/>
    </row>
    <row r="44613" spans="31:31">
      <c r="AE44613" s="54"/>
    </row>
    <row r="44614" spans="31:31">
      <c r="AE44614" s="54"/>
    </row>
    <row r="44615" spans="31:31">
      <c r="AE44615" s="54"/>
    </row>
    <row r="44616" spans="31:31">
      <c r="AE44616" s="54"/>
    </row>
    <row r="44617" spans="31:31">
      <c r="AE44617" s="54"/>
    </row>
    <row r="44618" spans="31:31">
      <c r="AE44618" s="54"/>
    </row>
    <row r="44619" spans="31:31">
      <c r="AE44619" s="54"/>
    </row>
    <row r="44620" spans="31:31">
      <c r="AE44620" s="54"/>
    </row>
    <row r="44621" spans="31:31">
      <c r="AE44621" s="54"/>
    </row>
    <row r="44622" spans="31:31">
      <c r="AE44622" s="54"/>
    </row>
    <row r="44623" spans="31:31">
      <c r="AE44623" s="54"/>
    </row>
    <row r="44624" spans="31:31">
      <c r="AE44624" s="54"/>
    </row>
    <row r="44625" spans="31:31">
      <c r="AE44625" s="54"/>
    </row>
    <row r="44626" spans="31:31">
      <c r="AE44626" s="54"/>
    </row>
    <row r="44627" spans="31:31">
      <c r="AE44627" s="54"/>
    </row>
    <row r="44628" spans="31:31">
      <c r="AE44628" s="54"/>
    </row>
    <row r="44629" spans="31:31">
      <c r="AE44629" s="54"/>
    </row>
    <row r="44630" spans="31:31">
      <c r="AE44630" s="54"/>
    </row>
    <row r="44631" spans="31:31">
      <c r="AE44631" s="54"/>
    </row>
    <row r="44632" spans="31:31">
      <c r="AE44632" s="54"/>
    </row>
    <row r="44633" spans="31:31">
      <c r="AE44633" s="54"/>
    </row>
    <row r="44634" spans="31:31">
      <c r="AE44634" s="54"/>
    </row>
    <row r="44635" spans="31:31">
      <c r="AE44635" s="54"/>
    </row>
    <row r="44636" spans="31:31">
      <c r="AE44636" s="54"/>
    </row>
    <row r="44637" spans="31:31">
      <c r="AE44637" s="54"/>
    </row>
    <row r="44638" spans="31:31">
      <c r="AE44638" s="54"/>
    </row>
    <row r="44639" spans="31:31">
      <c r="AE44639" s="54"/>
    </row>
    <row r="44640" spans="31:31">
      <c r="AE44640" s="54"/>
    </row>
    <row r="44641" spans="31:31">
      <c r="AE44641" s="54"/>
    </row>
    <row r="44642" spans="31:31">
      <c r="AE44642" s="54"/>
    </row>
    <row r="44643" spans="31:31">
      <c r="AE44643" s="54"/>
    </row>
    <row r="44644" spans="31:31">
      <c r="AE44644" s="54"/>
    </row>
    <row r="44645" spans="31:31">
      <c r="AE44645" s="54"/>
    </row>
    <row r="44646" spans="31:31">
      <c r="AE44646" s="54"/>
    </row>
    <row r="44647" spans="31:31">
      <c r="AE44647" s="54"/>
    </row>
    <row r="44648" spans="31:31">
      <c r="AE44648" s="54"/>
    </row>
    <row r="44649" spans="31:31">
      <c r="AE44649" s="54"/>
    </row>
    <row r="44650" spans="31:31">
      <c r="AE44650" s="54"/>
    </row>
    <row r="44651" spans="31:31">
      <c r="AE44651" s="54"/>
    </row>
    <row r="44652" spans="31:31">
      <c r="AE44652" s="54"/>
    </row>
    <row r="44653" spans="31:31">
      <c r="AE44653" s="54"/>
    </row>
    <row r="44654" spans="31:31">
      <c r="AE44654" s="54"/>
    </row>
    <row r="44655" spans="31:31">
      <c r="AE44655" s="54"/>
    </row>
    <row r="44656" spans="31:31">
      <c r="AE44656" s="54"/>
    </row>
    <row r="44657" spans="31:31">
      <c r="AE44657" s="54"/>
    </row>
    <row r="44658" spans="31:31">
      <c r="AE44658" s="54"/>
    </row>
    <row r="44659" spans="31:31">
      <c r="AE44659" s="54"/>
    </row>
    <row r="44660" spans="31:31">
      <c r="AE44660" s="54"/>
    </row>
    <row r="44661" spans="31:31">
      <c r="AE44661" s="54"/>
    </row>
    <row r="44662" spans="31:31">
      <c r="AE44662" s="54"/>
    </row>
    <row r="44663" spans="31:31">
      <c r="AE44663" s="54"/>
    </row>
    <row r="44664" spans="31:31">
      <c r="AE44664" s="54"/>
    </row>
    <row r="44665" spans="31:31">
      <c r="AE44665" s="54"/>
    </row>
    <row r="44666" spans="31:31">
      <c r="AE44666" s="54"/>
    </row>
    <row r="44667" spans="31:31">
      <c r="AE44667" s="54"/>
    </row>
    <row r="44668" spans="31:31">
      <c r="AE44668" s="54"/>
    </row>
    <row r="44669" spans="31:31">
      <c r="AE44669" s="54"/>
    </row>
    <row r="44670" spans="31:31">
      <c r="AE44670" s="54"/>
    </row>
    <row r="44671" spans="31:31">
      <c r="AE44671" s="54"/>
    </row>
    <row r="44672" spans="31:31">
      <c r="AE44672" s="54"/>
    </row>
    <row r="44673" spans="31:31">
      <c r="AE44673" s="54"/>
    </row>
    <row r="44674" spans="31:31">
      <c r="AE44674" s="54"/>
    </row>
    <row r="44675" spans="31:31">
      <c r="AE44675" s="54"/>
    </row>
    <row r="44676" spans="31:31">
      <c r="AE44676" s="54"/>
    </row>
    <row r="44677" spans="31:31">
      <c r="AE44677" s="54"/>
    </row>
    <row r="44678" spans="31:31">
      <c r="AE44678" s="54"/>
    </row>
    <row r="44679" spans="31:31">
      <c r="AE44679" s="54"/>
    </row>
    <row r="44680" spans="31:31">
      <c r="AE44680" s="54"/>
    </row>
    <row r="44681" spans="31:31">
      <c r="AE44681" s="54"/>
    </row>
    <row r="44682" spans="31:31">
      <c r="AE44682" s="54"/>
    </row>
    <row r="44683" spans="31:31">
      <c r="AE44683" s="54"/>
    </row>
    <row r="44684" spans="31:31">
      <c r="AE44684" s="54"/>
    </row>
    <row r="44685" spans="31:31">
      <c r="AE44685" s="54"/>
    </row>
    <row r="44686" spans="31:31">
      <c r="AE44686" s="54"/>
    </row>
    <row r="44687" spans="31:31">
      <c r="AE44687" s="54"/>
    </row>
    <row r="44688" spans="31:31">
      <c r="AE44688" s="54"/>
    </row>
    <row r="44689" spans="31:31">
      <c r="AE44689" s="54"/>
    </row>
    <row r="44690" spans="31:31">
      <c r="AE44690" s="54"/>
    </row>
    <row r="44691" spans="31:31">
      <c r="AE44691" s="54"/>
    </row>
    <row r="44692" spans="31:31">
      <c r="AE44692" s="54"/>
    </row>
    <row r="44693" spans="31:31">
      <c r="AE44693" s="54"/>
    </row>
    <row r="44694" spans="31:31">
      <c r="AE44694" s="54"/>
    </row>
    <row r="44695" spans="31:31">
      <c r="AE44695" s="54"/>
    </row>
    <row r="44696" spans="31:31">
      <c r="AE44696" s="54"/>
    </row>
    <row r="44697" spans="31:31">
      <c r="AE44697" s="54"/>
    </row>
    <row r="44698" spans="31:31">
      <c r="AE44698" s="54"/>
    </row>
    <row r="44699" spans="31:31">
      <c r="AE44699" s="54"/>
    </row>
    <row r="44700" spans="31:31">
      <c r="AE44700" s="54"/>
    </row>
    <row r="44701" spans="31:31">
      <c r="AE44701" s="54"/>
    </row>
    <row r="44702" spans="31:31">
      <c r="AE44702" s="54"/>
    </row>
    <row r="44703" spans="31:31">
      <c r="AE44703" s="54"/>
    </row>
    <row r="44704" spans="31:31">
      <c r="AE44704" s="54"/>
    </row>
    <row r="44705" spans="31:31">
      <c r="AE44705" s="54"/>
    </row>
    <row r="44706" spans="31:31">
      <c r="AE44706" s="54"/>
    </row>
    <row r="44707" spans="31:31">
      <c r="AE44707" s="54"/>
    </row>
    <row r="44708" spans="31:31">
      <c r="AE44708" s="54"/>
    </row>
    <row r="44709" spans="31:31">
      <c r="AE44709" s="54"/>
    </row>
    <row r="44710" spans="31:31">
      <c r="AE44710" s="54"/>
    </row>
    <row r="44711" spans="31:31">
      <c r="AE44711" s="54"/>
    </row>
    <row r="44712" spans="31:31">
      <c r="AE44712" s="54"/>
    </row>
    <row r="44713" spans="31:31">
      <c r="AE44713" s="54"/>
    </row>
    <row r="44714" spans="31:31">
      <c r="AE44714" s="54"/>
    </row>
    <row r="44715" spans="31:31">
      <c r="AE44715" s="54"/>
    </row>
    <row r="44716" spans="31:31">
      <c r="AE44716" s="54"/>
    </row>
    <row r="44717" spans="31:31">
      <c r="AE44717" s="54"/>
    </row>
    <row r="44718" spans="31:31">
      <c r="AE44718" s="54"/>
    </row>
    <row r="44719" spans="31:31">
      <c r="AE44719" s="54"/>
    </row>
    <row r="44720" spans="31:31">
      <c r="AE44720" s="54"/>
    </row>
    <row r="44721" spans="31:31">
      <c r="AE44721" s="54"/>
    </row>
    <row r="44722" spans="31:31">
      <c r="AE44722" s="54"/>
    </row>
    <row r="44723" spans="31:31">
      <c r="AE44723" s="54"/>
    </row>
    <row r="44724" spans="31:31">
      <c r="AE44724" s="54"/>
    </row>
    <row r="44725" spans="31:31">
      <c r="AE44725" s="54"/>
    </row>
    <row r="44726" spans="31:31">
      <c r="AE44726" s="54"/>
    </row>
    <row r="44727" spans="31:31">
      <c r="AE44727" s="54"/>
    </row>
    <row r="44728" spans="31:31">
      <c r="AE44728" s="54"/>
    </row>
    <row r="44729" spans="31:31">
      <c r="AE44729" s="54"/>
    </row>
    <row r="44730" spans="31:31">
      <c r="AE44730" s="54"/>
    </row>
    <row r="44731" spans="31:31">
      <c r="AE44731" s="54"/>
    </row>
    <row r="44732" spans="31:31">
      <c r="AE44732" s="54"/>
    </row>
    <row r="44733" spans="31:31">
      <c r="AE44733" s="54"/>
    </row>
    <row r="44734" spans="31:31">
      <c r="AE44734" s="54"/>
    </row>
    <row r="44735" spans="31:31">
      <c r="AE44735" s="54"/>
    </row>
    <row r="44736" spans="31:31">
      <c r="AE44736" s="54"/>
    </row>
    <row r="44737" spans="31:31">
      <c r="AE44737" s="54"/>
    </row>
    <row r="44738" spans="31:31">
      <c r="AE44738" s="54"/>
    </row>
    <row r="44739" spans="31:31">
      <c r="AE44739" s="54"/>
    </row>
    <row r="44740" spans="31:31">
      <c r="AE44740" s="54"/>
    </row>
    <row r="44741" spans="31:31">
      <c r="AE44741" s="54"/>
    </row>
    <row r="44742" spans="31:31">
      <c r="AE44742" s="54"/>
    </row>
    <row r="44743" spans="31:31">
      <c r="AE44743" s="54"/>
    </row>
    <row r="44744" spans="31:31">
      <c r="AE44744" s="54"/>
    </row>
    <row r="44745" spans="31:31">
      <c r="AE44745" s="54"/>
    </row>
    <row r="44746" spans="31:31">
      <c r="AE44746" s="54"/>
    </row>
    <row r="44747" spans="31:31">
      <c r="AE44747" s="54"/>
    </row>
    <row r="44748" spans="31:31">
      <c r="AE44748" s="54"/>
    </row>
    <row r="44749" spans="31:31">
      <c r="AE44749" s="54"/>
    </row>
    <row r="44750" spans="31:31">
      <c r="AE44750" s="54"/>
    </row>
    <row r="44751" spans="31:31">
      <c r="AE44751" s="54"/>
    </row>
    <row r="44752" spans="31:31">
      <c r="AE44752" s="54"/>
    </row>
    <row r="44753" spans="31:31">
      <c r="AE44753" s="54"/>
    </row>
    <row r="44754" spans="31:31">
      <c r="AE44754" s="54"/>
    </row>
    <row r="44755" spans="31:31">
      <c r="AE44755" s="54"/>
    </row>
    <row r="44756" spans="31:31">
      <c r="AE44756" s="54"/>
    </row>
    <row r="44757" spans="31:31">
      <c r="AE44757" s="54"/>
    </row>
    <row r="44758" spans="31:31">
      <c r="AE44758" s="54"/>
    </row>
    <row r="44759" spans="31:31">
      <c r="AE44759" s="54"/>
    </row>
    <row r="44760" spans="31:31">
      <c r="AE44760" s="54"/>
    </row>
    <row r="44761" spans="31:31">
      <c r="AE44761" s="54"/>
    </row>
    <row r="44762" spans="31:31">
      <c r="AE44762" s="54"/>
    </row>
    <row r="44763" spans="31:31">
      <c r="AE44763" s="54"/>
    </row>
    <row r="44764" spans="31:31">
      <c r="AE44764" s="54"/>
    </row>
    <row r="44765" spans="31:31">
      <c r="AE44765" s="54"/>
    </row>
    <row r="44766" spans="31:31">
      <c r="AE44766" s="54"/>
    </row>
    <row r="44767" spans="31:31">
      <c r="AE44767" s="54"/>
    </row>
    <row r="44768" spans="31:31">
      <c r="AE44768" s="54"/>
    </row>
    <row r="44769" spans="31:31">
      <c r="AE44769" s="54"/>
    </row>
    <row r="44770" spans="31:31">
      <c r="AE44770" s="54"/>
    </row>
    <row r="44771" spans="31:31">
      <c r="AE44771" s="54"/>
    </row>
    <row r="44772" spans="31:31">
      <c r="AE44772" s="54"/>
    </row>
    <row r="44773" spans="31:31">
      <c r="AE44773" s="54"/>
    </row>
    <row r="44774" spans="31:31">
      <c r="AE44774" s="54"/>
    </row>
    <row r="44775" spans="31:31">
      <c r="AE44775" s="54"/>
    </row>
    <row r="44776" spans="31:31">
      <c r="AE44776" s="54"/>
    </row>
    <row r="44777" spans="31:31">
      <c r="AE44777" s="54"/>
    </row>
    <row r="44778" spans="31:31">
      <c r="AE44778" s="54"/>
    </row>
    <row r="44779" spans="31:31">
      <c r="AE44779" s="54"/>
    </row>
    <row r="44780" spans="31:31">
      <c r="AE44780" s="54"/>
    </row>
    <row r="44781" spans="31:31">
      <c r="AE44781" s="54"/>
    </row>
    <row r="44782" spans="31:31">
      <c r="AE44782" s="54"/>
    </row>
    <row r="44783" spans="31:31">
      <c r="AE44783" s="54"/>
    </row>
    <row r="44784" spans="31:31">
      <c r="AE44784" s="54"/>
    </row>
    <row r="44785" spans="31:31">
      <c r="AE44785" s="54"/>
    </row>
    <row r="44786" spans="31:31">
      <c r="AE44786" s="54"/>
    </row>
    <row r="44787" spans="31:31">
      <c r="AE44787" s="54"/>
    </row>
    <row r="44788" spans="31:31">
      <c r="AE44788" s="54"/>
    </row>
    <row r="44789" spans="31:31">
      <c r="AE44789" s="54"/>
    </row>
    <row r="44790" spans="31:31">
      <c r="AE44790" s="54"/>
    </row>
    <row r="44791" spans="31:31">
      <c r="AE44791" s="54"/>
    </row>
    <row r="44792" spans="31:31">
      <c r="AE44792" s="54"/>
    </row>
    <row r="44793" spans="31:31">
      <c r="AE44793" s="54"/>
    </row>
    <row r="44794" spans="31:31">
      <c r="AE44794" s="54"/>
    </row>
    <row r="44795" spans="31:31">
      <c r="AE44795" s="54"/>
    </row>
    <row r="44796" spans="31:31">
      <c r="AE44796" s="54"/>
    </row>
    <row r="44797" spans="31:31">
      <c r="AE44797" s="54"/>
    </row>
    <row r="44798" spans="31:31">
      <c r="AE44798" s="54"/>
    </row>
    <row r="44799" spans="31:31">
      <c r="AE44799" s="54"/>
    </row>
    <row r="44800" spans="31:31">
      <c r="AE44800" s="54"/>
    </row>
    <row r="44801" spans="31:31">
      <c r="AE44801" s="54"/>
    </row>
    <row r="44802" spans="31:31">
      <c r="AE44802" s="54"/>
    </row>
    <row r="44803" spans="31:31">
      <c r="AE44803" s="54"/>
    </row>
    <row r="44804" spans="31:31">
      <c r="AE44804" s="54"/>
    </row>
    <row r="44805" spans="31:31">
      <c r="AE44805" s="54"/>
    </row>
    <row r="44806" spans="31:31">
      <c r="AE44806" s="54"/>
    </row>
    <row r="44807" spans="31:31">
      <c r="AE44807" s="54"/>
    </row>
    <row r="44808" spans="31:31">
      <c r="AE44808" s="54"/>
    </row>
    <row r="44809" spans="31:31">
      <c r="AE44809" s="54"/>
    </row>
    <row r="44810" spans="31:31">
      <c r="AE44810" s="54"/>
    </row>
    <row r="44811" spans="31:31">
      <c r="AE44811" s="54"/>
    </row>
    <row r="44812" spans="31:31">
      <c r="AE44812" s="54"/>
    </row>
    <row r="44813" spans="31:31">
      <c r="AE44813" s="54"/>
    </row>
    <row r="44814" spans="31:31">
      <c r="AE44814" s="54"/>
    </row>
    <row r="44815" spans="31:31">
      <c r="AE44815" s="54"/>
    </row>
    <row r="44816" spans="31:31">
      <c r="AE44816" s="54"/>
    </row>
    <row r="44817" spans="31:31">
      <c r="AE44817" s="54"/>
    </row>
    <row r="44818" spans="31:31">
      <c r="AE44818" s="54"/>
    </row>
    <row r="44819" spans="31:31">
      <c r="AE44819" s="54"/>
    </row>
    <row r="44820" spans="31:31">
      <c r="AE44820" s="54"/>
    </row>
    <row r="44821" spans="31:31">
      <c r="AE44821" s="54"/>
    </row>
    <row r="44822" spans="31:31">
      <c r="AE44822" s="54"/>
    </row>
    <row r="44823" spans="31:31">
      <c r="AE44823" s="54"/>
    </row>
    <row r="44824" spans="31:31">
      <c r="AE44824" s="54"/>
    </row>
    <row r="44825" spans="31:31">
      <c r="AE44825" s="54"/>
    </row>
    <row r="44826" spans="31:31">
      <c r="AE44826" s="54"/>
    </row>
    <row r="44827" spans="31:31">
      <c r="AE44827" s="54"/>
    </row>
    <row r="44828" spans="31:31">
      <c r="AE44828" s="54"/>
    </row>
    <row r="44829" spans="31:31">
      <c r="AE44829" s="54"/>
    </row>
    <row r="44830" spans="31:31">
      <c r="AE44830" s="54"/>
    </row>
    <row r="44831" spans="31:31">
      <c r="AE44831" s="54"/>
    </row>
    <row r="44832" spans="31:31">
      <c r="AE44832" s="54"/>
    </row>
    <row r="44833" spans="31:31">
      <c r="AE44833" s="54"/>
    </row>
    <row r="44834" spans="31:31">
      <c r="AE44834" s="54"/>
    </row>
    <row r="44835" spans="31:31">
      <c r="AE44835" s="54"/>
    </row>
    <row r="44836" spans="31:31">
      <c r="AE44836" s="54"/>
    </row>
    <row r="44837" spans="31:31">
      <c r="AE44837" s="54"/>
    </row>
    <row r="44838" spans="31:31">
      <c r="AE44838" s="54"/>
    </row>
    <row r="44839" spans="31:31">
      <c r="AE44839" s="54"/>
    </row>
    <row r="44840" spans="31:31">
      <c r="AE44840" s="54"/>
    </row>
    <row r="44841" spans="31:31">
      <c r="AE44841" s="54"/>
    </row>
    <row r="44842" spans="31:31">
      <c r="AE44842" s="54"/>
    </row>
    <row r="44843" spans="31:31">
      <c r="AE44843" s="54"/>
    </row>
    <row r="44844" spans="31:31">
      <c r="AE44844" s="54"/>
    </row>
    <row r="44845" spans="31:31">
      <c r="AE44845" s="54"/>
    </row>
    <row r="44846" spans="31:31">
      <c r="AE44846" s="54"/>
    </row>
    <row r="44847" spans="31:31">
      <c r="AE44847" s="54"/>
    </row>
    <row r="44848" spans="31:31">
      <c r="AE44848" s="54"/>
    </row>
    <row r="44849" spans="31:31">
      <c r="AE44849" s="54"/>
    </row>
    <row r="44850" spans="31:31">
      <c r="AE44850" s="54"/>
    </row>
    <row r="44851" spans="31:31">
      <c r="AE44851" s="54"/>
    </row>
    <row r="44852" spans="31:31">
      <c r="AE44852" s="54"/>
    </row>
    <row r="44853" spans="31:31">
      <c r="AE44853" s="54"/>
    </row>
    <row r="44854" spans="31:31">
      <c r="AE44854" s="54"/>
    </row>
    <row r="44855" spans="31:31">
      <c r="AE44855" s="54"/>
    </row>
    <row r="44856" spans="31:31">
      <c r="AE44856" s="54"/>
    </row>
    <row r="44857" spans="31:31">
      <c r="AE44857" s="54"/>
    </row>
    <row r="44858" spans="31:31">
      <c r="AE44858" s="54"/>
    </row>
    <row r="44859" spans="31:31">
      <c r="AE44859" s="54"/>
    </row>
    <row r="44860" spans="31:31">
      <c r="AE44860" s="54"/>
    </row>
    <row r="44861" spans="31:31">
      <c r="AE44861" s="54"/>
    </row>
    <row r="44862" spans="31:31">
      <c r="AE44862" s="54"/>
    </row>
    <row r="44863" spans="31:31">
      <c r="AE44863" s="54"/>
    </row>
    <row r="44864" spans="31:31">
      <c r="AE44864" s="54"/>
    </row>
    <row r="44865" spans="31:31">
      <c r="AE44865" s="54"/>
    </row>
    <row r="44866" spans="31:31">
      <c r="AE44866" s="54"/>
    </row>
    <row r="44867" spans="31:31">
      <c r="AE44867" s="54"/>
    </row>
    <row r="44868" spans="31:31">
      <c r="AE44868" s="54"/>
    </row>
    <row r="44869" spans="31:31">
      <c r="AE44869" s="54"/>
    </row>
    <row r="44870" spans="31:31">
      <c r="AE44870" s="54"/>
    </row>
    <row r="44871" spans="31:31">
      <c r="AE44871" s="54"/>
    </row>
    <row r="44872" spans="31:31">
      <c r="AE44872" s="54"/>
    </row>
    <row r="44873" spans="31:31">
      <c r="AE44873" s="54"/>
    </row>
    <row r="44874" spans="31:31">
      <c r="AE44874" s="54"/>
    </row>
    <row r="44875" spans="31:31">
      <c r="AE44875" s="54"/>
    </row>
    <row r="44876" spans="31:31">
      <c r="AE44876" s="54"/>
    </row>
    <row r="44877" spans="31:31">
      <c r="AE44877" s="54"/>
    </row>
    <row r="44878" spans="31:31">
      <c r="AE44878" s="54"/>
    </row>
    <row r="44879" spans="31:31">
      <c r="AE44879" s="54"/>
    </row>
    <row r="44880" spans="31:31">
      <c r="AE44880" s="54"/>
    </row>
    <row r="44881" spans="31:31">
      <c r="AE44881" s="54"/>
    </row>
    <row r="44882" spans="31:31">
      <c r="AE44882" s="54"/>
    </row>
    <row r="44883" spans="31:31">
      <c r="AE44883" s="54"/>
    </row>
    <row r="44884" spans="31:31">
      <c r="AE44884" s="54"/>
    </row>
    <row r="44885" spans="31:31">
      <c r="AE44885" s="54"/>
    </row>
    <row r="44886" spans="31:31">
      <c r="AE44886" s="54"/>
    </row>
    <row r="44887" spans="31:31">
      <c r="AE44887" s="54"/>
    </row>
    <row r="44888" spans="31:31">
      <c r="AE44888" s="54"/>
    </row>
    <row r="44889" spans="31:31">
      <c r="AE44889" s="54"/>
    </row>
    <row r="44890" spans="31:31">
      <c r="AE44890" s="54"/>
    </row>
    <row r="44891" spans="31:31">
      <c r="AE44891" s="54"/>
    </row>
    <row r="44892" spans="31:31">
      <c r="AE44892" s="54"/>
    </row>
    <row r="44893" spans="31:31">
      <c r="AE44893" s="54"/>
    </row>
    <row r="44894" spans="31:31">
      <c r="AE44894" s="54"/>
    </row>
    <row r="44895" spans="31:31">
      <c r="AE44895" s="54"/>
    </row>
    <row r="44896" spans="31:31">
      <c r="AE44896" s="54"/>
    </row>
    <row r="44897" spans="31:31">
      <c r="AE44897" s="54"/>
    </row>
    <row r="44898" spans="31:31">
      <c r="AE44898" s="54"/>
    </row>
    <row r="44899" spans="31:31">
      <c r="AE44899" s="54"/>
    </row>
    <row r="44900" spans="31:31">
      <c r="AE44900" s="54"/>
    </row>
    <row r="44901" spans="31:31">
      <c r="AE44901" s="54"/>
    </row>
    <row r="44902" spans="31:31">
      <c r="AE44902" s="54"/>
    </row>
    <row r="44903" spans="31:31">
      <c r="AE44903" s="54"/>
    </row>
    <row r="44904" spans="31:31">
      <c r="AE44904" s="54"/>
    </row>
    <row r="44905" spans="31:31">
      <c r="AE44905" s="54"/>
    </row>
    <row r="44906" spans="31:31">
      <c r="AE44906" s="54"/>
    </row>
    <row r="44907" spans="31:31">
      <c r="AE44907" s="54"/>
    </row>
    <row r="44908" spans="31:31">
      <c r="AE44908" s="54"/>
    </row>
    <row r="44909" spans="31:31">
      <c r="AE44909" s="54"/>
    </row>
    <row r="44910" spans="31:31">
      <c r="AE44910" s="54"/>
    </row>
    <row r="44911" spans="31:31">
      <c r="AE44911" s="54"/>
    </row>
    <row r="44912" spans="31:31">
      <c r="AE44912" s="54"/>
    </row>
    <row r="44913" spans="31:31">
      <c r="AE44913" s="54"/>
    </row>
    <row r="44914" spans="31:31">
      <c r="AE44914" s="54"/>
    </row>
    <row r="44915" spans="31:31">
      <c r="AE44915" s="54"/>
    </row>
    <row r="44916" spans="31:31">
      <c r="AE44916" s="54"/>
    </row>
    <row r="44917" spans="31:31">
      <c r="AE44917" s="54"/>
    </row>
    <row r="44918" spans="31:31">
      <c r="AE44918" s="54"/>
    </row>
    <row r="44919" spans="31:31">
      <c r="AE44919" s="54"/>
    </row>
    <row r="44920" spans="31:31">
      <c r="AE44920" s="54"/>
    </row>
    <row r="44921" spans="31:31">
      <c r="AE44921" s="54"/>
    </row>
    <row r="44922" spans="31:31">
      <c r="AE44922" s="54"/>
    </row>
    <row r="44923" spans="31:31">
      <c r="AE44923" s="54"/>
    </row>
    <row r="44924" spans="31:31">
      <c r="AE44924" s="54"/>
    </row>
    <row r="44925" spans="31:31">
      <c r="AE44925" s="54"/>
    </row>
    <row r="44926" spans="31:31">
      <c r="AE44926" s="54"/>
    </row>
    <row r="44927" spans="31:31">
      <c r="AE44927" s="54"/>
    </row>
    <row r="44928" spans="31:31">
      <c r="AE44928" s="54"/>
    </row>
    <row r="44929" spans="31:31">
      <c r="AE44929" s="54"/>
    </row>
    <row r="44930" spans="31:31">
      <c r="AE44930" s="54"/>
    </row>
    <row r="44931" spans="31:31">
      <c r="AE44931" s="54"/>
    </row>
    <row r="44932" spans="31:31">
      <c r="AE44932" s="54"/>
    </row>
    <row r="44933" spans="31:31">
      <c r="AE44933" s="54"/>
    </row>
    <row r="44934" spans="31:31">
      <c r="AE44934" s="54"/>
    </row>
    <row r="44935" spans="31:31">
      <c r="AE44935" s="54"/>
    </row>
    <row r="44936" spans="31:31">
      <c r="AE44936" s="54"/>
    </row>
    <row r="44937" spans="31:31">
      <c r="AE44937" s="54"/>
    </row>
    <row r="44938" spans="31:31">
      <c r="AE44938" s="54"/>
    </row>
    <row r="44939" spans="31:31">
      <c r="AE44939" s="54"/>
    </row>
    <row r="44940" spans="31:31">
      <c r="AE44940" s="54"/>
    </row>
    <row r="44941" spans="31:31">
      <c r="AE44941" s="54"/>
    </row>
    <row r="44942" spans="31:31">
      <c r="AE44942" s="54"/>
    </row>
    <row r="44943" spans="31:31">
      <c r="AE44943" s="54"/>
    </row>
    <row r="44944" spans="31:31">
      <c r="AE44944" s="54"/>
    </row>
    <row r="44945" spans="31:31">
      <c r="AE44945" s="54"/>
    </row>
    <row r="44946" spans="31:31">
      <c r="AE44946" s="54"/>
    </row>
    <row r="44947" spans="31:31">
      <c r="AE44947" s="54"/>
    </row>
    <row r="44948" spans="31:31">
      <c r="AE44948" s="54"/>
    </row>
    <row r="44949" spans="31:31">
      <c r="AE44949" s="54"/>
    </row>
    <row r="44950" spans="31:31">
      <c r="AE44950" s="54"/>
    </row>
    <row r="44951" spans="31:31">
      <c r="AE44951" s="54"/>
    </row>
    <row r="44952" spans="31:31">
      <c r="AE44952" s="54"/>
    </row>
    <row r="44953" spans="31:31">
      <c r="AE44953" s="54"/>
    </row>
    <row r="44954" spans="31:31">
      <c r="AE44954" s="54"/>
    </row>
    <row r="44955" spans="31:31">
      <c r="AE44955" s="54"/>
    </row>
    <row r="44956" spans="31:31">
      <c r="AE44956" s="54"/>
    </row>
    <row r="44957" spans="31:31">
      <c r="AE44957" s="54"/>
    </row>
    <row r="44958" spans="31:31">
      <c r="AE44958" s="54"/>
    </row>
    <row r="44959" spans="31:31">
      <c r="AE44959" s="54"/>
    </row>
    <row r="44960" spans="31:31">
      <c r="AE44960" s="54"/>
    </row>
    <row r="44961" spans="31:31">
      <c r="AE44961" s="54"/>
    </row>
    <row r="44962" spans="31:31">
      <c r="AE44962" s="54"/>
    </row>
    <row r="44963" spans="31:31">
      <c r="AE44963" s="54"/>
    </row>
    <row r="44964" spans="31:31">
      <c r="AE44964" s="54"/>
    </row>
    <row r="44965" spans="31:31">
      <c r="AE44965" s="54"/>
    </row>
    <row r="44966" spans="31:31">
      <c r="AE44966" s="54"/>
    </row>
    <row r="44967" spans="31:31">
      <c r="AE44967" s="54"/>
    </row>
    <row r="44968" spans="31:31">
      <c r="AE44968" s="54"/>
    </row>
    <row r="44969" spans="31:31">
      <c r="AE44969" s="54"/>
    </row>
    <row r="44970" spans="31:31">
      <c r="AE44970" s="54"/>
    </row>
    <row r="44971" spans="31:31">
      <c r="AE44971" s="54"/>
    </row>
    <row r="44972" spans="31:31">
      <c r="AE44972" s="54"/>
    </row>
    <row r="44973" spans="31:31">
      <c r="AE44973" s="54"/>
    </row>
    <row r="44974" spans="31:31">
      <c r="AE44974" s="54"/>
    </row>
    <row r="44975" spans="31:31">
      <c r="AE44975" s="54"/>
    </row>
    <row r="44976" spans="31:31">
      <c r="AE44976" s="54"/>
    </row>
    <row r="44977" spans="31:31">
      <c r="AE44977" s="54"/>
    </row>
    <row r="44978" spans="31:31">
      <c r="AE44978" s="54"/>
    </row>
    <row r="44979" spans="31:31">
      <c r="AE44979" s="54"/>
    </row>
    <row r="44980" spans="31:31">
      <c r="AE44980" s="54"/>
    </row>
    <row r="44981" spans="31:31">
      <c r="AE44981" s="54"/>
    </row>
    <row r="44982" spans="31:31">
      <c r="AE44982" s="54"/>
    </row>
    <row r="44983" spans="31:31">
      <c r="AE44983" s="54"/>
    </row>
    <row r="44984" spans="31:31">
      <c r="AE44984" s="54"/>
    </row>
    <row r="44985" spans="31:31">
      <c r="AE44985" s="54"/>
    </row>
    <row r="44986" spans="31:31">
      <c r="AE44986" s="54"/>
    </row>
    <row r="44987" spans="31:31">
      <c r="AE44987" s="54"/>
    </row>
    <row r="44988" spans="31:31">
      <c r="AE44988" s="54"/>
    </row>
    <row r="44989" spans="31:31">
      <c r="AE44989" s="54"/>
    </row>
    <row r="44990" spans="31:31">
      <c r="AE44990" s="54"/>
    </row>
    <row r="44991" spans="31:31">
      <c r="AE44991" s="54"/>
    </row>
    <row r="44992" spans="31:31">
      <c r="AE44992" s="54"/>
    </row>
    <row r="44993" spans="31:31">
      <c r="AE44993" s="54"/>
    </row>
    <row r="44994" spans="31:31">
      <c r="AE44994" s="54"/>
    </row>
    <row r="44995" spans="31:31">
      <c r="AE44995" s="54"/>
    </row>
    <row r="44996" spans="31:31">
      <c r="AE44996" s="54"/>
    </row>
    <row r="44997" spans="31:31">
      <c r="AE44997" s="54"/>
    </row>
    <row r="44998" spans="31:31">
      <c r="AE44998" s="54"/>
    </row>
    <row r="44999" spans="31:31">
      <c r="AE44999" s="54"/>
    </row>
    <row r="45000" spans="31:31">
      <c r="AE45000" s="54"/>
    </row>
    <row r="45001" spans="31:31">
      <c r="AE45001" s="54"/>
    </row>
    <row r="45002" spans="31:31">
      <c r="AE45002" s="54"/>
    </row>
    <row r="45003" spans="31:31">
      <c r="AE45003" s="54"/>
    </row>
    <row r="45004" spans="31:31">
      <c r="AE45004" s="54"/>
    </row>
    <row r="45005" spans="31:31">
      <c r="AE45005" s="54"/>
    </row>
    <row r="45006" spans="31:31">
      <c r="AE45006" s="54"/>
    </row>
    <row r="45007" spans="31:31">
      <c r="AE45007" s="54"/>
    </row>
    <row r="45008" spans="31:31">
      <c r="AE45008" s="54"/>
    </row>
    <row r="45009" spans="31:31">
      <c r="AE45009" s="54"/>
    </row>
    <row r="45010" spans="31:31">
      <c r="AE45010" s="54"/>
    </row>
    <row r="45011" spans="31:31">
      <c r="AE45011" s="54"/>
    </row>
    <row r="45012" spans="31:31">
      <c r="AE45012" s="54"/>
    </row>
    <row r="45013" spans="31:31">
      <c r="AE45013" s="54"/>
    </row>
    <row r="45014" spans="31:31">
      <c r="AE45014" s="54"/>
    </row>
    <row r="45015" spans="31:31">
      <c r="AE45015" s="54"/>
    </row>
    <row r="45016" spans="31:31">
      <c r="AE45016" s="54"/>
    </row>
    <row r="45017" spans="31:31">
      <c r="AE45017" s="54"/>
    </row>
    <row r="45018" spans="31:31">
      <c r="AE45018" s="54"/>
    </row>
    <row r="45019" spans="31:31">
      <c r="AE45019" s="54"/>
    </row>
    <row r="45020" spans="31:31">
      <c r="AE45020" s="54"/>
    </row>
    <row r="45021" spans="31:31">
      <c r="AE45021" s="54"/>
    </row>
    <row r="45022" spans="31:31">
      <c r="AE45022" s="54"/>
    </row>
    <row r="45023" spans="31:31">
      <c r="AE45023" s="54"/>
    </row>
    <row r="45024" spans="31:31">
      <c r="AE45024" s="54"/>
    </row>
    <row r="45025" spans="31:31">
      <c r="AE45025" s="54"/>
    </row>
    <row r="45026" spans="31:31">
      <c r="AE45026" s="54"/>
    </row>
    <row r="45027" spans="31:31">
      <c r="AE45027" s="54"/>
    </row>
    <row r="45028" spans="31:31">
      <c r="AE45028" s="54"/>
    </row>
    <row r="45029" spans="31:31">
      <c r="AE45029" s="54"/>
    </row>
    <row r="45030" spans="31:31">
      <c r="AE45030" s="54"/>
    </row>
    <row r="45031" spans="31:31">
      <c r="AE45031" s="54"/>
    </row>
    <row r="45032" spans="31:31">
      <c r="AE45032" s="54"/>
    </row>
    <row r="45033" spans="31:31">
      <c r="AE45033" s="54"/>
    </row>
    <row r="45034" spans="31:31">
      <c r="AE45034" s="54"/>
    </row>
    <row r="45035" spans="31:31">
      <c r="AE45035" s="54"/>
    </row>
    <row r="45036" spans="31:31">
      <c r="AE45036" s="54"/>
    </row>
    <row r="45037" spans="31:31">
      <c r="AE45037" s="54"/>
    </row>
    <row r="45038" spans="31:31">
      <c r="AE45038" s="54"/>
    </row>
    <row r="45039" spans="31:31">
      <c r="AE45039" s="54"/>
    </row>
    <row r="45040" spans="31:31">
      <c r="AE45040" s="54"/>
    </row>
    <row r="45041" spans="31:31">
      <c r="AE45041" s="54"/>
    </row>
    <row r="45042" spans="31:31">
      <c r="AE45042" s="54"/>
    </row>
    <row r="45043" spans="31:31">
      <c r="AE45043" s="54"/>
    </row>
    <row r="45044" spans="31:31">
      <c r="AE45044" s="54"/>
    </row>
    <row r="45045" spans="31:31">
      <c r="AE45045" s="54"/>
    </row>
    <row r="45046" spans="31:31">
      <c r="AE45046" s="54"/>
    </row>
    <row r="45047" spans="31:31">
      <c r="AE45047" s="54"/>
    </row>
    <row r="45048" spans="31:31">
      <c r="AE45048" s="54"/>
    </row>
    <row r="45049" spans="31:31">
      <c r="AE45049" s="54"/>
    </row>
    <row r="45050" spans="31:31">
      <c r="AE45050" s="54"/>
    </row>
    <row r="45051" spans="31:31">
      <c r="AE45051" s="54"/>
    </row>
    <row r="45052" spans="31:31">
      <c r="AE45052" s="54"/>
    </row>
    <row r="45053" spans="31:31">
      <c r="AE45053" s="54"/>
    </row>
    <row r="45054" spans="31:31">
      <c r="AE45054" s="54"/>
    </row>
    <row r="45055" spans="31:31">
      <c r="AE45055" s="54"/>
    </row>
    <row r="45056" spans="31:31">
      <c r="AE45056" s="54"/>
    </row>
    <row r="45057" spans="31:31">
      <c r="AE45057" s="54"/>
    </row>
    <row r="45058" spans="31:31">
      <c r="AE45058" s="54"/>
    </row>
    <row r="45059" spans="31:31">
      <c r="AE45059" s="54"/>
    </row>
    <row r="45060" spans="31:31">
      <c r="AE45060" s="54"/>
    </row>
    <row r="45061" spans="31:31">
      <c r="AE45061" s="54"/>
    </row>
    <row r="45062" spans="31:31">
      <c r="AE45062" s="54"/>
    </row>
    <row r="45063" spans="31:31">
      <c r="AE45063" s="54"/>
    </row>
    <row r="45064" spans="31:31">
      <c r="AE45064" s="54"/>
    </row>
    <row r="45065" spans="31:31">
      <c r="AE45065" s="54"/>
    </row>
    <row r="45066" spans="31:31">
      <c r="AE45066" s="54"/>
    </row>
    <row r="45067" spans="31:31">
      <c r="AE45067" s="54"/>
    </row>
    <row r="45068" spans="31:31">
      <c r="AE45068" s="54"/>
    </row>
    <row r="45069" spans="31:31">
      <c r="AE45069" s="54"/>
    </row>
    <row r="45070" spans="31:31">
      <c r="AE45070" s="54"/>
    </row>
    <row r="45071" spans="31:31">
      <c r="AE45071" s="54"/>
    </row>
    <row r="45072" spans="31:31">
      <c r="AE45072" s="54"/>
    </row>
    <row r="45073" spans="31:31">
      <c r="AE45073" s="54"/>
    </row>
    <row r="45074" spans="31:31">
      <c r="AE45074" s="54"/>
    </row>
    <row r="45075" spans="31:31">
      <c r="AE45075" s="54"/>
    </row>
    <row r="45076" spans="31:31">
      <c r="AE45076" s="54"/>
    </row>
    <row r="45077" spans="31:31">
      <c r="AE45077" s="54"/>
    </row>
    <row r="45078" spans="31:31">
      <c r="AE45078" s="54"/>
    </row>
    <row r="45079" spans="31:31">
      <c r="AE45079" s="54"/>
    </row>
    <row r="45080" spans="31:31">
      <c r="AE45080" s="54"/>
    </row>
    <row r="45081" spans="31:31">
      <c r="AE45081" s="54"/>
    </row>
    <row r="45082" spans="31:31">
      <c r="AE45082" s="54"/>
    </row>
    <row r="45083" spans="31:31">
      <c r="AE45083" s="54"/>
    </row>
    <row r="45084" spans="31:31">
      <c r="AE45084" s="54"/>
    </row>
    <row r="45085" spans="31:31">
      <c r="AE45085" s="54"/>
    </row>
    <row r="45086" spans="31:31">
      <c r="AE45086" s="54"/>
    </row>
    <row r="45087" spans="31:31">
      <c r="AE45087" s="54"/>
    </row>
    <row r="45088" spans="31:31">
      <c r="AE45088" s="54"/>
    </row>
    <row r="45089" spans="31:31">
      <c r="AE45089" s="54"/>
    </row>
    <row r="45090" spans="31:31">
      <c r="AE45090" s="54"/>
    </row>
    <row r="45091" spans="31:31">
      <c r="AE45091" s="54"/>
    </row>
    <row r="45092" spans="31:31">
      <c r="AE45092" s="54"/>
    </row>
    <row r="45093" spans="31:31">
      <c r="AE45093" s="54"/>
    </row>
    <row r="45094" spans="31:31">
      <c r="AE45094" s="54"/>
    </row>
    <row r="45095" spans="31:31">
      <c r="AE45095" s="54"/>
    </row>
    <row r="45096" spans="31:31">
      <c r="AE45096" s="54"/>
    </row>
    <row r="45097" spans="31:31">
      <c r="AE45097" s="54"/>
    </row>
    <row r="45098" spans="31:31">
      <c r="AE45098" s="54"/>
    </row>
    <row r="45099" spans="31:31">
      <c r="AE45099" s="54"/>
    </row>
    <row r="45100" spans="31:31">
      <c r="AE45100" s="54"/>
    </row>
    <row r="45101" spans="31:31">
      <c r="AE45101" s="54"/>
    </row>
    <row r="45102" spans="31:31">
      <c r="AE45102" s="54"/>
    </row>
    <row r="45103" spans="31:31">
      <c r="AE45103" s="54"/>
    </row>
    <row r="45104" spans="31:31">
      <c r="AE45104" s="54"/>
    </row>
    <row r="45105" spans="31:31">
      <c r="AE45105" s="54"/>
    </row>
    <row r="45106" spans="31:31">
      <c r="AE45106" s="54"/>
    </row>
    <row r="45107" spans="31:31">
      <c r="AE45107" s="54"/>
    </row>
    <row r="45108" spans="31:31">
      <c r="AE45108" s="54"/>
    </row>
    <row r="45109" spans="31:31">
      <c r="AE45109" s="54"/>
    </row>
    <row r="45110" spans="31:31">
      <c r="AE45110" s="54"/>
    </row>
    <row r="45111" spans="31:31">
      <c r="AE45111" s="54"/>
    </row>
    <row r="45112" spans="31:31">
      <c r="AE45112" s="54"/>
    </row>
    <row r="45113" spans="31:31">
      <c r="AE45113" s="54"/>
    </row>
    <row r="45114" spans="31:31">
      <c r="AE45114" s="54"/>
    </row>
    <row r="45115" spans="31:31">
      <c r="AE45115" s="54"/>
    </row>
    <row r="45116" spans="31:31">
      <c r="AE45116" s="54"/>
    </row>
    <row r="45117" spans="31:31">
      <c r="AE45117" s="54"/>
    </row>
    <row r="45118" spans="31:31">
      <c r="AE45118" s="54"/>
    </row>
    <row r="45119" spans="31:31">
      <c r="AE45119" s="54"/>
    </row>
    <row r="45120" spans="31:31">
      <c r="AE45120" s="54"/>
    </row>
    <row r="45121" spans="31:31">
      <c r="AE45121" s="54"/>
    </row>
    <row r="45122" spans="31:31">
      <c r="AE45122" s="54"/>
    </row>
    <row r="45123" spans="31:31">
      <c r="AE45123" s="54"/>
    </row>
    <row r="45124" spans="31:31">
      <c r="AE45124" s="54"/>
    </row>
    <row r="45125" spans="31:31">
      <c r="AE45125" s="54"/>
    </row>
    <row r="45126" spans="31:31">
      <c r="AE45126" s="54"/>
    </row>
    <row r="45127" spans="31:31">
      <c r="AE45127" s="54"/>
    </row>
    <row r="45128" spans="31:31">
      <c r="AE45128" s="54"/>
    </row>
    <row r="45129" spans="31:31">
      <c r="AE45129" s="54"/>
    </row>
    <row r="45130" spans="31:31">
      <c r="AE45130" s="54"/>
    </row>
    <row r="45131" spans="31:31">
      <c r="AE45131" s="54"/>
    </row>
    <row r="45132" spans="31:31">
      <c r="AE45132" s="54"/>
    </row>
    <row r="45133" spans="31:31">
      <c r="AE45133" s="54"/>
    </row>
    <row r="45134" spans="31:31">
      <c r="AE45134" s="54"/>
    </row>
    <row r="45135" spans="31:31">
      <c r="AE45135" s="54"/>
    </row>
    <row r="45136" spans="31:31">
      <c r="AE45136" s="54"/>
    </row>
    <row r="45137" spans="31:31">
      <c r="AE45137" s="54"/>
    </row>
    <row r="45138" spans="31:31">
      <c r="AE45138" s="54"/>
    </row>
    <row r="45139" spans="31:31">
      <c r="AE45139" s="54"/>
    </row>
    <row r="45140" spans="31:31">
      <c r="AE45140" s="54"/>
    </row>
    <row r="45141" spans="31:31">
      <c r="AE45141" s="54"/>
    </row>
    <row r="45142" spans="31:31">
      <c r="AE45142" s="54"/>
    </row>
    <row r="45143" spans="31:31">
      <c r="AE45143" s="54"/>
    </row>
    <row r="45144" spans="31:31">
      <c r="AE45144" s="54"/>
    </row>
    <row r="45145" spans="31:31">
      <c r="AE45145" s="54"/>
    </row>
    <row r="45146" spans="31:31">
      <c r="AE45146" s="54"/>
    </row>
    <row r="45147" spans="31:31">
      <c r="AE45147" s="54"/>
    </row>
    <row r="45148" spans="31:31">
      <c r="AE45148" s="54"/>
    </row>
    <row r="45149" spans="31:31">
      <c r="AE45149" s="54"/>
    </row>
    <row r="45150" spans="31:31">
      <c r="AE45150" s="54"/>
    </row>
    <row r="45151" spans="31:31">
      <c r="AE45151" s="54"/>
    </row>
    <row r="45152" spans="31:31">
      <c r="AE45152" s="54"/>
    </row>
    <row r="45153" spans="31:31">
      <c r="AE45153" s="54"/>
    </row>
    <row r="45154" spans="31:31">
      <c r="AE45154" s="54"/>
    </row>
    <row r="45155" spans="31:31">
      <c r="AE45155" s="54"/>
    </row>
    <row r="45156" spans="31:31">
      <c r="AE45156" s="54"/>
    </row>
    <row r="45157" spans="31:31">
      <c r="AE45157" s="54"/>
    </row>
    <row r="45158" spans="31:31">
      <c r="AE45158" s="54"/>
    </row>
    <row r="45159" spans="31:31">
      <c r="AE45159" s="54"/>
    </row>
    <row r="45160" spans="31:31">
      <c r="AE45160" s="54"/>
    </row>
    <row r="45161" spans="31:31">
      <c r="AE45161" s="54"/>
    </row>
    <row r="45162" spans="31:31">
      <c r="AE45162" s="54"/>
    </row>
    <row r="45163" spans="31:31">
      <c r="AE45163" s="54"/>
    </row>
    <row r="45164" spans="31:31">
      <c r="AE45164" s="54"/>
    </row>
    <row r="45165" spans="31:31">
      <c r="AE45165" s="54"/>
    </row>
    <row r="45166" spans="31:31">
      <c r="AE45166" s="54"/>
    </row>
    <row r="45167" spans="31:31">
      <c r="AE45167" s="54"/>
    </row>
    <row r="45168" spans="31:31">
      <c r="AE45168" s="54"/>
    </row>
    <row r="45169" spans="31:31">
      <c r="AE45169" s="54"/>
    </row>
    <row r="45170" spans="31:31">
      <c r="AE45170" s="54"/>
    </row>
    <row r="45171" spans="31:31">
      <c r="AE45171" s="54"/>
    </row>
    <row r="45172" spans="31:31">
      <c r="AE45172" s="54"/>
    </row>
    <row r="45173" spans="31:31">
      <c r="AE45173" s="54"/>
    </row>
    <row r="45174" spans="31:31">
      <c r="AE45174" s="54"/>
    </row>
    <row r="45175" spans="31:31">
      <c r="AE45175" s="54"/>
    </row>
    <row r="45176" spans="31:31">
      <c r="AE45176" s="54"/>
    </row>
    <row r="45177" spans="31:31">
      <c r="AE45177" s="54"/>
    </row>
    <row r="45178" spans="31:31">
      <c r="AE45178" s="54"/>
    </row>
    <row r="45179" spans="31:31">
      <c r="AE45179" s="54"/>
    </row>
    <row r="45180" spans="31:31">
      <c r="AE45180" s="54"/>
    </row>
    <row r="45181" spans="31:31">
      <c r="AE45181" s="54"/>
    </row>
    <row r="45182" spans="31:31">
      <c r="AE45182" s="54"/>
    </row>
    <row r="45183" spans="31:31">
      <c r="AE45183" s="54"/>
    </row>
    <row r="45184" spans="31:31">
      <c r="AE45184" s="54"/>
    </row>
    <row r="45185" spans="31:31">
      <c r="AE45185" s="54"/>
    </row>
    <row r="45186" spans="31:31">
      <c r="AE45186" s="54"/>
    </row>
    <row r="45187" spans="31:31">
      <c r="AE45187" s="54"/>
    </row>
    <row r="45188" spans="31:31">
      <c r="AE45188" s="54"/>
    </row>
    <row r="45189" spans="31:31">
      <c r="AE45189" s="54"/>
    </row>
    <row r="45190" spans="31:31">
      <c r="AE45190" s="54"/>
    </row>
    <row r="45191" spans="31:31">
      <c r="AE45191" s="54"/>
    </row>
    <row r="45192" spans="31:31">
      <c r="AE45192" s="54"/>
    </row>
    <row r="45193" spans="31:31">
      <c r="AE45193" s="54"/>
    </row>
    <row r="45194" spans="31:31">
      <c r="AE45194" s="54"/>
    </row>
    <row r="45195" spans="31:31">
      <c r="AE45195" s="54"/>
    </row>
    <row r="45196" spans="31:31">
      <c r="AE45196" s="54"/>
    </row>
    <row r="45197" spans="31:31">
      <c r="AE45197" s="54"/>
    </row>
    <row r="45198" spans="31:31">
      <c r="AE45198" s="54"/>
    </row>
    <row r="45199" spans="31:31">
      <c r="AE45199" s="54"/>
    </row>
    <row r="45200" spans="31:31">
      <c r="AE45200" s="54"/>
    </row>
    <row r="45201" spans="31:31">
      <c r="AE45201" s="54"/>
    </row>
    <row r="45202" spans="31:31">
      <c r="AE45202" s="54"/>
    </row>
    <row r="45203" spans="31:31">
      <c r="AE45203" s="54"/>
    </row>
    <row r="45204" spans="31:31">
      <c r="AE45204" s="54"/>
    </row>
    <row r="45205" spans="31:31">
      <c r="AE45205" s="54"/>
    </row>
    <row r="45206" spans="31:31">
      <c r="AE45206" s="54"/>
    </row>
    <row r="45207" spans="31:31">
      <c r="AE45207" s="54"/>
    </row>
    <row r="45208" spans="31:31">
      <c r="AE45208" s="54"/>
    </row>
    <row r="45209" spans="31:31">
      <c r="AE45209" s="54"/>
    </row>
    <row r="45210" spans="31:31">
      <c r="AE45210" s="54"/>
    </row>
    <row r="45211" spans="31:31">
      <c r="AE45211" s="54"/>
    </row>
    <row r="45212" spans="31:31">
      <c r="AE45212" s="54"/>
    </row>
    <row r="45213" spans="31:31">
      <c r="AE45213" s="54"/>
    </row>
    <row r="45214" spans="31:31">
      <c r="AE45214" s="54"/>
    </row>
    <row r="45215" spans="31:31">
      <c r="AE45215" s="54"/>
    </row>
    <row r="45216" spans="31:31">
      <c r="AE45216" s="54"/>
    </row>
    <row r="45217" spans="31:31">
      <c r="AE45217" s="54"/>
    </row>
    <row r="45218" spans="31:31">
      <c r="AE45218" s="54"/>
    </row>
    <row r="45219" spans="31:31">
      <c r="AE45219" s="54"/>
    </row>
    <row r="45220" spans="31:31">
      <c r="AE45220" s="54"/>
    </row>
    <row r="45221" spans="31:31">
      <c r="AE45221" s="54"/>
    </row>
    <row r="45222" spans="31:31">
      <c r="AE45222" s="54"/>
    </row>
    <row r="45223" spans="31:31">
      <c r="AE45223" s="54"/>
    </row>
    <row r="45224" spans="31:31">
      <c r="AE45224" s="54"/>
    </row>
    <row r="45225" spans="31:31">
      <c r="AE45225" s="54"/>
    </row>
    <row r="45226" spans="31:31">
      <c r="AE45226" s="54"/>
    </row>
    <row r="45227" spans="31:31">
      <c r="AE45227" s="54"/>
    </row>
    <row r="45228" spans="31:31">
      <c r="AE45228" s="54"/>
    </row>
    <row r="45229" spans="31:31">
      <c r="AE45229" s="54"/>
    </row>
    <row r="45230" spans="31:31">
      <c r="AE45230" s="54"/>
    </row>
    <row r="45231" spans="31:31">
      <c r="AE45231" s="54"/>
    </row>
    <row r="45232" spans="31:31">
      <c r="AE45232" s="54"/>
    </row>
    <row r="45233" spans="31:31">
      <c r="AE45233" s="54"/>
    </row>
    <row r="45234" spans="31:31">
      <c r="AE45234" s="54"/>
    </row>
    <row r="45235" spans="31:31">
      <c r="AE45235" s="54"/>
    </row>
    <row r="45236" spans="31:31">
      <c r="AE45236" s="54"/>
    </row>
    <row r="45237" spans="31:31">
      <c r="AE45237" s="54"/>
    </row>
    <row r="45238" spans="31:31">
      <c r="AE45238" s="54"/>
    </row>
    <row r="45239" spans="31:31">
      <c r="AE45239" s="54"/>
    </row>
    <row r="45240" spans="31:31">
      <c r="AE45240" s="54"/>
    </row>
    <row r="45241" spans="31:31">
      <c r="AE45241" s="54"/>
    </row>
    <row r="45242" spans="31:31">
      <c r="AE45242" s="54"/>
    </row>
    <row r="45243" spans="31:31">
      <c r="AE45243" s="54"/>
    </row>
    <row r="45244" spans="31:31">
      <c r="AE45244" s="54"/>
    </row>
    <row r="45245" spans="31:31">
      <c r="AE45245" s="54"/>
    </row>
    <row r="45246" spans="31:31">
      <c r="AE45246" s="54"/>
    </row>
    <row r="45247" spans="31:31">
      <c r="AE45247" s="54"/>
    </row>
    <row r="45248" spans="31:31">
      <c r="AE45248" s="54"/>
    </row>
    <row r="45249" spans="31:31">
      <c r="AE45249" s="54"/>
    </row>
    <row r="45250" spans="31:31">
      <c r="AE45250" s="54"/>
    </row>
    <row r="45251" spans="31:31">
      <c r="AE45251" s="54"/>
    </row>
    <row r="45252" spans="31:31">
      <c r="AE45252" s="54"/>
    </row>
    <row r="45253" spans="31:31">
      <c r="AE45253" s="54"/>
    </row>
    <row r="45254" spans="31:31">
      <c r="AE45254" s="54"/>
    </row>
    <row r="45255" spans="31:31">
      <c r="AE45255" s="54"/>
    </row>
    <row r="45256" spans="31:31">
      <c r="AE45256" s="54"/>
    </row>
    <row r="45257" spans="31:31">
      <c r="AE45257" s="54"/>
    </row>
    <row r="45258" spans="31:31">
      <c r="AE45258" s="54"/>
    </row>
    <row r="45259" spans="31:31">
      <c r="AE45259" s="54"/>
    </row>
    <row r="45260" spans="31:31">
      <c r="AE45260" s="54"/>
    </row>
    <row r="45261" spans="31:31">
      <c r="AE45261" s="54"/>
    </row>
    <row r="45262" spans="31:31">
      <c r="AE45262" s="54"/>
    </row>
    <row r="45263" spans="31:31">
      <c r="AE45263" s="54"/>
    </row>
    <row r="45264" spans="31:31">
      <c r="AE45264" s="54"/>
    </row>
    <row r="45265" spans="31:31">
      <c r="AE45265" s="54"/>
    </row>
    <row r="45266" spans="31:31">
      <c r="AE45266" s="54"/>
    </row>
    <row r="45267" spans="31:31">
      <c r="AE45267" s="54"/>
    </row>
    <row r="45268" spans="31:31">
      <c r="AE45268" s="54"/>
    </row>
    <row r="45269" spans="31:31">
      <c r="AE45269" s="54"/>
    </row>
    <row r="45270" spans="31:31">
      <c r="AE45270" s="54"/>
    </row>
    <row r="45271" spans="31:31">
      <c r="AE45271" s="54"/>
    </row>
    <row r="45272" spans="31:31">
      <c r="AE45272" s="54"/>
    </row>
    <row r="45273" spans="31:31">
      <c r="AE45273" s="54"/>
    </row>
    <row r="45274" spans="31:31">
      <c r="AE45274" s="54"/>
    </row>
    <row r="45275" spans="31:31">
      <c r="AE45275" s="54"/>
    </row>
    <row r="45276" spans="31:31">
      <c r="AE45276" s="54"/>
    </row>
    <row r="45277" spans="31:31">
      <c r="AE45277" s="54"/>
    </row>
    <row r="45278" spans="31:31">
      <c r="AE45278" s="54"/>
    </row>
    <row r="45279" spans="31:31">
      <c r="AE45279" s="54"/>
    </row>
    <row r="45280" spans="31:31">
      <c r="AE45280" s="54"/>
    </row>
    <row r="45281" spans="31:31">
      <c r="AE45281" s="54"/>
    </row>
    <row r="45282" spans="31:31">
      <c r="AE45282" s="54"/>
    </row>
    <row r="45283" spans="31:31">
      <c r="AE45283" s="54"/>
    </row>
    <row r="45284" spans="31:31">
      <c r="AE45284" s="54"/>
    </row>
    <row r="45285" spans="31:31">
      <c r="AE45285" s="54"/>
    </row>
    <row r="45286" spans="31:31">
      <c r="AE45286" s="54"/>
    </row>
    <row r="45287" spans="31:31">
      <c r="AE45287" s="54"/>
    </row>
    <row r="45288" spans="31:31">
      <c r="AE45288" s="54"/>
    </row>
    <row r="45289" spans="31:31">
      <c r="AE45289" s="54"/>
    </row>
    <row r="45290" spans="31:31">
      <c r="AE45290" s="54"/>
    </row>
    <row r="45291" spans="31:31">
      <c r="AE45291" s="54"/>
    </row>
    <row r="45292" spans="31:31">
      <c r="AE45292" s="54"/>
    </row>
    <row r="45293" spans="31:31">
      <c r="AE45293" s="54"/>
    </row>
    <row r="45294" spans="31:31">
      <c r="AE45294" s="54"/>
    </row>
    <row r="45295" spans="31:31">
      <c r="AE45295" s="54"/>
    </row>
    <row r="45296" spans="31:31">
      <c r="AE45296" s="54"/>
    </row>
    <row r="45297" spans="31:31">
      <c r="AE45297" s="54"/>
    </row>
    <row r="45298" spans="31:31">
      <c r="AE45298" s="54"/>
    </row>
    <row r="45299" spans="31:31">
      <c r="AE45299" s="54"/>
    </row>
    <row r="45300" spans="31:31">
      <c r="AE45300" s="54"/>
    </row>
    <row r="45301" spans="31:31">
      <c r="AE45301" s="54"/>
    </row>
    <row r="45302" spans="31:31">
      <c r="AE45302" s="54"/>
    </row>
    <row r="45303" spans="31:31">
      <c r="AE45303" s="54"/>
    </row>
    <row r="45304" spans="31:31">
      <c r="AE45304" s="54"/>
    </row>
    <row r="45305" spans="31:31">
      <c r="AE45305" s="54"/>
    </row>
    <row r="45306" spans="31:31">
      <c r="AE45306" s="54"/>
    </row>
    <row r="45307" spans="31:31">
      <c r="AE45307" s="54"/>
    </row>
    <row r="45308" spans="31:31">
      <c r="AE45308" s="54"/>
    </row>
    <row r="45309" spans="31:31">
      <c r="AE45309" s="54"/>
    </row>
    <row r="45310" spans="31:31">
      <c r="AE45310" s="54"/>
    </row>
    <row r="45311" spans="31:31">
      <c r="AE45311" s="54"/>
    </row>
    <row r="45312" spans="31:31">
      <c r="AE45312" s="54"/>
    </row>
    <row r="45313" spans="31:31">
      <c r="AE45313" s="54"/>
    </row>
    <row r="45314" spans="31:31">
      <c r="AE45314" s="54"/>
    </row>
    <row r="45315" spans="31:31">
      <c r="AE45315" s="54"/>
    </row>
    <row r="45316" spans="31:31">
      <c r="AE45316" s="54"/>
    </row>
    <row r="45317" spans="31:31">
      <c r="AE45317" s="54"/>
    </row>
    <row r="45318" spans="31:31">
      <c r="AE45318" s="54"/>
    </row>
    <row r="45319" spans="31:31">
      <c r="AE45319" s="54"/>
    </row>
    <row r="45320" spans="31:31">
      <c r="AE45320" s="54"/>
    </row>
    <row r="45321" spans="31:31">
      <c r="AE45321" s="54"/>
    </row>
    <row r="45322" spans="31:31">
      <c r="AE45322" s="54"/>
    </row>
    <row r="45323" spans="31:31">
      <c r="AE45323" s="54"/>
    </row>
    <row r="45324" spans="31:31">
      <c r="AE45324" s="54"/>
    </row>
    <row r="45325" spans="31:31">
      <c r="AE45325" s="54"/>
    </row>
    <row r="45326" spans="31:31">
      <c r="AE45326" s="54"/>
    </row>
    <row r="45327" spans="31:31">
      <c r="AE45327" s="54"/>
    </row>
    <row r="45328" spans="31:31">
      <c r="AE45328" s="54"/>
    </row>
    <row r="45329" spans="31:31">
      <c r="AE45329" s="54"/>
    </row>
    <row r="45330" spans="31:31">
      <c r="AE45330" s="54"/>
    </row>
    <row r="45331" spans="31:31">
      <c r="AE45331" s="54"/>
    </row>
    <row r="45332" spans="31:31">
      <c r="AE45332" s="54"/>
    </row>
    <row r="45333" spans="31:31">
      <c r="AE45333" s="54"/>
    </row>
    <row r="45334" spans="31:31">
      <c r="AE45334" s="54"/>
    </row>
    <row r="45335" spans="31:31">
      <c r="AE45335" s="54"/>
    </row>
    <row r="45336" spans="31:31">
      <c r="AE45336" s="54"/>
    </row>
    <row r="45337" spans="31:31">
      <c r="AE45337" s="54"/>
    </row>
    <row r="45338" spans="31:31">
      <c r="AE45338" s="54"/>
    </row>
    <row r="45339" spans="31:31">
      <c r="AE45339" s="54"/>
    </row>
    <row r="45340" spans="31:31">
      <c r="AE45340" s="54"/>
    </row>
    <row r="45341" spans="31:31">
      <c r="AE45341" s="54"/>
    </row>
    <row r="45342" spans="31:31">
      <c r="AE45342" s="54"/>
    </row>
    <row r="45343" spans="31:31">
      <c r="AE45343" s="54"/>
    </row>
    <row r="45344" spans="31:31">
      <c r="AE45344" s="54"/>
    </row>
    <row r="45345" spans="31:31">
      <c r="AE45345" s="54"/>
    </row>
    <row r="45346" spans="31:31">
      <c r="AE45346" s="54"/>
    </row>
    <row r="45347" spans="31:31">
      <c r="AE45347" s="54"/>
    </row>
    <row r="45348" spans="31:31">
      <c r="AE45348" s="54"/>
    </row>
    <row r="45349" spans="31:31">
      <c r="AE45349" s="54"/>
    </row>
    <row r="45350" spans="31:31">
      <c r="AE45350" s="54"/>
    </row>
    <row r="45351" spans="31:31">
      <c r="AE45351" s="54"/>
    </row>
    <row r="45352" spans="31:31">
      <c r="AE45352" s="54"/>
    </row>
    <row r="45353" spans="31:31">
      <c r="AE45353" s="54"/>
    </row>
    <row r="45354" spans="31:31">
      <c r="AE45354" s="54"/>
    </row>
    <row r="45355" spans="31:31">
      <c r="AE45355" s="54"/>
    </row>
    <row r="45356" spans="31:31">
      <c r="AE45356" s="54"/>
    </row>
    <row r="45357" spans="31:31">
      <c r="AE45357" s="54"/>
    </row>
    <row r="45358" spans="31:31">
      <c r="AE45358" s="54"/>
    </row>
    <row r="45359" spans="31:31">
      <c r="AE45359" s="54"/>
    </row>
    <row r="45360" spans="31:31">
      <c r="AE45360" s="54"/>
    </row>
    <row r="45361" spans="31:31">
      <c r="AE45361" s="54"/>
    </row>
    <row r="45362" spans="31:31">
      <c r="AE45362" s="54"/>
    </row>
    <row r="45363" spans="31:31">
      <c r="AE45363" s="54"/>
    </row>
    <row r="45364" spans="31:31">
      <c r="AE45364" s="54"/>
    </row>
    <row r="45365" spans="31:31">
      <c r="AE45365" s="54"/>
    </row>
    <row r="45366" spans="31:31">
      <c r="AE45366" s="54"/>
    </row>
    <row r="45367" spans="31:31">
      <c r="AE45367" s="54"/>
    </row>
    <row r="45368" spans="31:31">
      <c r="AE45368" s="54"/>
    </row>
    <row r="45369" spans="31:31">
      <c r="AE45369" s="54"/>
    </row>
    <row r="45370" spans="31:31">
      <c r="AE45370" s="54"/>
    </row>
    <row r="45371" spans="31:31">
      <c r="AE45371" s="54"/>
    </row>
    <row r="45372" spans="31:31">
      <c r="AE45372" s="54"/>
    </row>
    <row r="45373" spans="31:31">
      <c r="AE45373" s="54"/>
    </row>
    <row r="45374" spans="31:31">
      <c r="AE45374" s="54"/>
    </row>
    <row r="45375" spans="31:31">
      <c r="AE45375" s="54"/>
    </row>
    <row r="45376" spans="31:31">
      <c r="AE45376" s="54"/>
    </row>
    <row r="45377" spans="31:31">
      <c r="AE45377" s="54"/>
    </row>
    <row r="45378" spans="31:31">
      <c r="AE45378" s="54"/>
    </row>
    <row r="45379" spans="31:31">
      <c r="AE45379" s="54"/>
    </row>
    <row r="45380" spans="31:31">
      <c r="AE45380" s="54"/>
    </row>
    <row r="45381" spans="31:31">
      <c r="AE45381" s="54"/>
    </row>
    <row r="45382" spans="31:31">
      <c r="AE45382" s="54"/>
    </row>
    <row r="45383" spans="31:31">
      <c r="AE45383" s="54"/>
    </row>
    <row r="45384" spans="31:31">
      <c r="AE45384" s="54"/>
    </row>
    <row r="45385" spans="31:31">
      <c r="AE45385" s="54"/>
    </row>
    <row r="45386" spans="31:31">
      <c r="AE45386" s="54"/>
    </row>
    <row r="45387" spans="31:31">
      <c r="AE45387" s="54"/>
    </row>
    <row r="45388" spans="31:31">
      <c r="AE45388" s="54"/>
    </row>
    <row r="45389" spans="31:31">
      <c r="AE45389" s="54"/>
    </row>
    <row r="45390" spans="31:31">
      <c r="AE45390" s="54"/>
    </row>
    <row r="45391" spans="31:31">
      <c r="AE45391" s="54"/>
    </row>
    <row r="45392" spans="31:31">
      <c r="AE45392" s="54"/>
    </row>
    <row r="45393" spans="31:31">
      <c r="AE45393" s="54"/>
    </row>
    <row r="45394" spans="31:31">
      <c r="AE45394" s="54"/>
    </row>
    <row r="45395" spans="31:31">
      <c r="AE45395" s="54"/>
    </row>
    <row r="45396" spans="31:31">
      <c r="AE45396" s="54"/>
    </row>
    <row r="45397" spans="31:31">
      <c r="AE45397" s="54"/>
    </row>
    <row r="45398" spans="31:31">
      <c r="AE45398" s="54"/>
    </row>
    <row r="45399" spans="31:31">
      <c r="AE45399" s="54"/>
    </row>
    <row r="45400" spans="31:31">
      <c r="AE45400" s="54"/>
    </row>
    <row r="45401" spans="31:31">
      <c r="AE45401" s="54"/>
    </row>
    <row r="45402" spans="31:31">
      <c r="AE45402" s="54"/>
    </row>
    <row r="45403" spans="31:31">
      <c r="AE45403" s="54"/>
    </row>
    <row r="45404" spans="31:31">
      <c r="AE45404" s="54"/>
    </row>
    <row r="45405" spans="31:31">
      <c r="AE45405" s="54"/>
    </row>
    <row r="45406" spans="31:31">
      <c r="AE45406" s="54"/>
    </row>
    <row r="45407" spans="31:31">
      <c r="AE45407" s="54"/>
    </row>
    <row r="45408" spans="31:31">
      <c r="AE45408" s="54"/>
    </row>
    <row r="45409" spans="31:31">
      <c r="AE45409" s="54"/>
    </row>
    <row r="45410" spans="31:31">
      <c r="AE45410" s="54"/>
    </row>
    <row r="45411" spans="31:31">
      <c r="AE45411" s="54"/>
    </row>
    <row r="45412" spans="31:31">
      <c r="AE45412" s="54"/>
    </row>
    <row r="45413" spans="31:31">
      <c r="AE45413" s="54"/>
    </row>
    <row r="45414" spans="31:31">
      <c r="AE45414" s="54"/>
    </row>
    <row r="45415" spans="31:31">
      <c r="AE45415" s="54"/>
    </row>
    <row r="45416" spans="31:31">
      <c r="AE45416" s="54"/>
    </row>
    <row r="45417" spans="31:31">
      <c r="AE45417" s="54"/>
    </row>
    <row r="45418" spans="31:31">
      <c r="AE45418" s="54"/>
    </row>
    <row r="45419" spans="31:31">
      <c r="AE45419" s="54"/>
    </row>
    <row r="45420" spans="31:31">
      <c r="AE45420" s="54"/>
    </row>
    <row r="45421" spans="31:31">
      <c r="AE45421" s="54"/>
    </row>
    <row r="45422" spans="31:31">
      <c r="AE45422" s="54"/>
    </row>
    <row r="45423" spans="31:31">
      <c r="AE45423" s="54"/>
    </row>
    <row r="45424" spans="31:31">
      <c r="AE45424" s="54"/>
    </row>
    <row r="45425" spans="31:31">
      <c r="AE45425" s="54"/>
    </row>
    <row r="45426" spans="31:31">
      <c r="AE45426" s="54"/>
    </row>
    <row r="45427" spans="31:31">
      <c r="AE45427" s="54"/>
    </row>
    <row r="45428" spans="31:31">
      <c r="AE45428" s="54"/>
    </row>
    <row r="45429" spans="31:31">
      <c r="AE45429" s="54"/>
    </row>
    <row r="45430" spans="31:31">
      <c r="AE45430" s="54"/>
    </row>
    <row r="45431" spans="31:31">
      <c r="AE45431" s="54"/>
    </row>
    <row r="45432" spans="31:31">
      <c r="AE45432" s="54"/>
    </row>
    <row r="45433" spans="31:31">
      <c r="AE45433" s="54"/>
    </row>
    <row r="45434" spans="31:31">
      <c r="AE45434" s="54"/>
    </row>
    <row r="45435" spans="31:31">
      <c r="AE45435" s="54"/>
    </row>
    <row r="45436" spans="31:31">
      <c r="AE45436" s="54"/>
    </row>
    <row r="45437" spans="31:31">
      <c r="AE45437" s="54"/>
    </row>
    <row r="45438" spans="31:31">
      <c r="AE45438" s="54"/>
    </row>
    <row r="45439" spans="31:31">
      <c r="AE45439" s="54"/>
    </row>
    <row r="45440" spans="31:31">
      <c r="AE45440" s="54"/>
    </row>
    <row r="45441" spans="31:31">
      <c r="AE45441" s="54"/>
    </row>
    <row r="45442" spans="31:31">
      <c r="AE45442" s="54"/>
    </row>
    <row r="45443" spans="31:31">
      <c r="AE45443" s="54"/>
    </row>
    <row r="45444" spans="31:31">
      <c r="AE45444" s="54"/>
    </row>
    <row r="45445" spans="31:31">
      <c r="AE45445" s="54"/>
    </row>
    <row r="45446" spans="31:31">
      <c r="AE45446" s="54"/>
    </row>
    <row r="45447" spans="31:31">
      <c r="AE45447" s="54"/>
    </row>
    <row r="45448" spans="31:31">
      <c r="AE45448" s="54"/>
    </row>
    <row r="45449" spans="31:31">
      <c r="AE45449" s="54"/>
    </row>
    <row r="45450" spans="31:31">
      <c r="AE45450" s="54"/>
    </row>
    <row r="45451" spans="31:31">
      <c r="AE45451" s="54"/>
    </row>
    <row r="45452" spans="31:31">
      <c r="AE45452" s="54"/>
    </row>
    <row r="45453" spans="31:31">
      <c r="AE45453" s="54"/>
    </row>
    <row r="45454" spans="31:31">
      <c r="AE45454" s="54"/>
    </row>
    <row r="45455" spans="31:31">
      <c r="AE45455" s="54"/>
    </row>
    <row r="45456" spans="31:31">
      <c r="AE45456" s="54"/>
    </row>
    <row r="45457" spans="31:31">
      <c r="AE45457" s="54"/>
    </row>
    <row r="45458" spans="31:31">
      <c r="AE45458" s="54"/>
    </row>
    <row r="45459" spans="31:31">
      <c r="AE45459" s="54"/>
    </row>
    <row r="45460" spans="31:31">
      <c r="AE45460" s="54"/>
    </row>
    <row r="45461" spans="31:31">
      <c r="AE45461" s="54"/>
    </row>
    <row r="45462" spans="31:31">
      <c r="AE45462" s="54"/>
    </row>
    <row r="45463" spans="31:31">
      <c r="AE45463" s="54"/>
    </row>
    <row r="45464" spans="31:31">
      <c r="AE45464" s="54"/>
    </row>
    <row r="45465" spans="31:31">
      <c r="AE45465" s="54"/>
    </row>
    <row r="45466" spans="31:31">
      <c r="AE45466" s="54"/>
    </row>
    <row r="45467" spans="31:31">
      <c r="AE45467" s="54"/>
    </row>
    <row r="45468" spans="31:31">
      <c r="AE45468" s="54"/>
    </row>
    <row r="45469" spans="31:31">
      <c r="AE45469" s="54"/>
    </row>
    <row r="45470" spans="31:31">
      <c r="AE45470" s="54"/>
    </row>
    <row r="45471" spans="31:31">
      <c r="AE45471" s="54"/>
    </row>
    <row r="45472" spans="31:31">
      <c r="AE45472" s="54"/>
    </row>
    <row r="45473" spans="31:31">
      <c r="AE45473" s="54"/>
    </row>
    <row r="45474" spans="31:31">
      <c r="AE45474" s="54"/>
    </row>
    <row r="45475" spans="31:31">
      <c r="AE45475" s="54"/>
    </row>
    <row r="45476" spans="31:31">
      <c r="AE45476" s="54"/>
    </row>
    <row r="45477" spans="31:31">
      <c r="AE45477" s="54"/>
    </row>
    <row r="45478" spans="31:31">
      <c r="AE45478" s="54"/>
    </row>
    <row r="45479" spans="31:31">
      <c r="AE45479" s="54"/>
    </row>
    <row r="45480" spans="31:31">
      <c r="AE45480" s="54"/>
    </row>
    <row r="45481" spans="31:31">
      <c r="AE45481" s="54"/>
    </row>
    <row r="45482" spans="31:31">
      <c r="AE45482" s="54"/>
    </row>
    <row r="45483" spans="31:31">
      <c r="AE45483" s="54"/>
    </row>
    <row r="45484" spans="31:31">
      <c r="AE45484" s="54"/>
    </row>
    <row r="45485" spans="31:31">
      <c r="AE45485" s="54"/>
    </row>
    <row r="45486" spans="31:31">
      <c r="AE45486" s="54"/>
    </row>
    <row r="45487" spans="31:31">
      <c r="AE45487" s="54"/>
    </row>
    <row r="45488" spans="31:31">
      <c r="AE45488" s="54"/>
    </row>
    <row r="45489" spans="31:31">
      <c r="AE45489" s="54"/>
    </row>
    <row r="45490" spans="31:31">
      <c r="AE45490" s="54"/>
    </row>
    <row r="45491" spans="31:31">
      <c r="AE45491" s="54"/>
    </row>
    <row r="45492" spans="31:31">
      <c r="AE45492" s="54"/>
    </row>
    <row r="45493" spans="31:31">
      <c r="AE45493" s="54"/>
    </row>
    <row r="45494" spans="31:31">
      <c r="AE45494" s="54"/>
    </row>
    <row r="45495" spans="31:31">
      <c r="AE45495" s="54"/>
    </row>
    <row r="45496" spans="31:31">
      <c r="AE45496" s="54"/>
    </row>
    <row r="45497" spans="31:31">
      <c r="AE45497" s="54"/>
    </row>
    <row r="45498" spans="31:31">
      <c r="AE45498" s="54"/>
    </row>
    <row r="45499" spans="31:31">
      <c r="AE45499" s="54"/>
    </row>
    <row r="45500" spans="31:31">
      <c r="AE45500" s="54"/>
    </row>
    <row r="45501" spans="31:31">
      <c r="AE45501" s="54"/>
    </row>
    <row r="45502" spans="31:31">
      <c r="AE45502" s="54"/>
    </row>
    <row r="45503" spans="31:31">
      <c r="AE45503" s="54"/>
    </row>
    <row r="45504" spans="31:31">
      <c r="AE45504" s="54"/>
    </row>
    <row r="45505" spans="31:31">
      <c r="AE45505" s="54"/>
    </row>
    <row r="45506" spans="31:31">
      <c r="AE45506" s="54"/>
    </row>
    <row r="45507" spans="31:31">
      <c r="AE45507" s="54"/>
    </row>
    <row r="45508" spans="31:31">
      <c r="AE45508" s="54"/>
    </row>
    <row r="45509" spans="31:31">
      <c r="AE45509" s="54"/>
    </row>
    <row r="45510" spans="31:31">
      <c r="AE45510" s="54"/>
    </row>
    <row r="45511" spans="31:31">
      <c r="AE45511" s="54"/>
    </row>
    <row r="45512" spans="31:31">
      <c r="AE45512" s="54"/>
    </row>
    <row r="45513" spans="31:31">
      <c r="AE45513" s="54"/>
    </row>
    <row r="45514" spans="31:31">
      <c r="AE45514" s="54"/>
    </row>
    <row r="45515" spans="31:31">
      <c r="AE45515" s="54"/>
    </row>
    <row r="45516" spans="31:31">
      <c r="AE45516" s="54"/>
    </row>
    <row r="45517" spans="31:31">
      <c r="AE45517" s="54"/>
    </row>
    <row r="45518" spans="31:31">
      <c r="AE45518" s="54"/>
    </row>
    <row r="45519" spans="31:31">
      <c r="AE45519" s="54"/>
    </row>
    <row r="45520" spans="31:31">
      <c r="AE45520" s="54"/>
    </row>
    <row r="45521" spans="31:31">
      <c r="AE45521" s="54"/>
    </row>
    <row r="45522" spans="31:31">
      <c r="AE45522" s="54"/>
    </row>
    <row r="45523" spans="31:31">
      <c r="AE45523" s="54"/>
    </row>
    <row r="45524" spans="31:31">
      <c r="AE45524" s="54"/>
    </row>
    <row r="45525" spans="31:31">
      <c r="AE45525" s="54"/>
    </row>
    <row r="45526" spans="31:31">
      <c r="AE45526" s="54"/>
    </row>
    <row r="45527" spans="31:31">
      <c r="AE45527" s="54"/>
    </row>
    <row r="45528" spans="31:31">
      <c r="AE45528" s="54"/>
    </row>
    <row r="45529" spans="31:31">
      <c r="AE45529" s="54"/>
    </row>
    <row r="45530" spans="31:31">
      <c r="AE45530" s="54"/>
    </row>
    <row r="45531" spans="31:31">
      <c r="AE45531" s="54"/>
    </row>
    <row r="45532" spans="31:31">
      <c r="AE45532" s="54"/>
    </row>
    <row r="45533" spans="31:31">
      <c r="AE45533" s="54"/>
    </row>
    <row r="45534" spans="31:31">
      <c r="AE45534" s="54"/>
    </row>
    <row r="45535" spans="31:31">
      <c r="AE45535" s="54"/>
    </row>
    <row r="45536" spans="31:31">
      <c r="AE45536" s="54"/>
    </row>
    <row r="45537" spans="31:31">
      <c r="AE45537" s="54"/>
    </row>
    <row r="45538" spans="31:31">
      <c r="AE45538" s="54"/>
    </row>
    <row r="45539" spans="31:31">
      <c r="AE45539" s="54"/>
    </row>
    <row r="45540" spans="31:31">
      <c r="AE45540" s="54"/>
    </row>
    <row r="45541" spans="31:31">
      <c r="AE45541" s="54"/>
    </row>
    <row r="45542" spans="31:31">
      <c r="AE45542" s="54"/>
    </row>
    <row r="45543" spans="31:31">
      <c r="AE45543" s="54"/>
    </row>
    <row r="45544" spans="31:31">
      <c r="AE45544" s="54"/>
    </row>
    <row r="45545" spans="31:31">
      <c r="AE45545" s="54"/>
    </row>
    <row r="45546" spans="31:31">
      <c r="AE45546" s="54"/>
    </row>
    <row r="45547" spans="31:31">
      <c r="AE45547" s="54"/>
    </row>
    <row r="45548" spans="31:31">
      <c r="AE45548" s="54"/>
    </row>
    <row r="45549" spans="31:31">
      <c r="AE45549" s="54"/>
    </row>
    <row r="45550" spans="31:31">
      <c r="AE45550" s="54"/>
    </row>
    <row r="45551" spans="31:31">
      <c r="AE45551" s="54"/>
    </row>
    <row r="45552" spans="31:31">
      <c r="AE45552" s="54"/>
    </row>
    <row r="45553" spans="31:31">
      <c r="AE45553" s="54"/>
    </row>
    <row r="45554" spans="31:31">
      <c r="AE45554" s="54"/>
    </row>
    <row r="45555" spans="31:31">
      <c r="AE45555" s="54"/>
    </row>
    <row r="45556" spans="31:31">
      <c r="AE45556" s="54"/>
    </row>
    <row r="45557" spans="31:31">
      <c r="AE45557" s="54"/>
    </row>
    <row r="45558" spans="31:31">
      <c r="AE45558" s="54"/>
    </row>
    <row r="45559" spans="31:31">
      <c r="AE45559" s="54"/>
    </row>
    <row r="45560" spans="31:31">
      <c r="AE45560" s="54"/>
    </row>
    <row r="45561" spans="31:31">
      <c r="AE45561" s="54"/>
    </row>
    <row r="45562" spans="31:31">
      <c r="AE45562" s="54"/>
    </row>
    <row r="45563" spans="31:31">
      <c r="AE45563" s="54"/>
    </row>
    <row r="45564" spans="31:31">
      <c r="AE45564" s="54"/>
    </row>
    <row r="45565" spans="31:31">
      <c r="AE45565" s="54"/>
    </row>
    <row r="45566" spans="31:31">
      <c r="AE45566" s="54"/>
    </row>
    <row r="45567" spans="31:31">
      <c r="AE45567" s="54"/>
    </row>
    <row r="45568" spans="31:31">
      <c r="AE45568" s="54"/>
    </row>
    <row r="45569" spans="31:31">
      <c r="AE45569" s="54"/>
    </row>
    <row r="45570" spans="31:31">
      <c r="AE45570" s="54"/>
    </row>
    <row r="45571" spans="31:31">
      <c r="AE45571" s="54"/>
    </row>
    <row r="45572" spans="31:31">
      <c r="AE45572" s="54"/>
    </row>
    <row r="45573" spans="31:31">
      <c r="AE45573" s="54"/>
    </row>
    <row r="45574" spans="31:31">
      <c r="AE45574" s="54"/>
    </row>
    <row r="45575" spans="31:31">
      <c r="AE45575" s="54"/>
    </row>
    <row r="45576" spans="31:31">
      <c r="AE45576" s="54"/>
    </row>
    <row r="45577" spans="31:31">
      <c r="AE45577" s="54"/>
    </row>
    <row r="45578" spans="31:31">
      <c r="AE45578" s="54"/>
    </row>
    <row r="45579" spans="31:31">
      <c r="AE45579" s="54"/>
    </row>
    <row r="45580" spans="31:31">
      <c r="AE45580" s="54"/>
    </row>
    <row r="45581" spans="31:31">
      <c r="AE45581" s="54"/>
    </row>
    <row r="45582" spans="31:31">
      <c r="AE45582" s="54"/>
    </row>
    <row r="45583" spans="31:31">
      <c r="AE45583" s="54"/>
    </row>
    <row r="45584" spans="31:31">
      <c r="AE45584" s="54"/>
    </row>
    <row r="45585" spans="31:31">
      <c r="AE45585" s="54"/>
    </row>
    <row r="45586" spans="31:31">
      <c r="AE45586" s="54"/>
    </row>
    <row r="45587" spans="31:31">
      <c r="AE45587" s="54"/>
    </row>
    <row r="45588" spans="31:31">
      <c r="AE45588" s="54"/>
    </row>
    <row r="45589" spans="31:31">
      <c r="AE45589" s="54"/>
    </row>
    <row r="45590" spans="31:31">
      <c r="AE45590" s="54"/>
    </row>
    <row r="45591" spans="31:31">
      <c r="AE45591" s="54"/>
    </row>
    <row r="45592" spans="31:31">
      <c r="AE45592" s="54"/>
    </row>
    <row r="45593" spans="31:31">
      <c r="AE45593" s="54"/>
    </row>
    <row r="45594" spans="31:31">
      <c r="AE45594" s="54"/>
    </row>
    <row r="45595" spans="31:31">
      <c r="AE45595" s="54"/>
    </row>
    <row r="45596" spans="31:31">
      <c r="AE45596" s="54"/>
    </row>
    <row r="45597" spans="31:31">
      <c r="AE45597" s="54"/>
    </row>
    <row r="45598" spans="31:31">
      <c r="AE45598" s="54"/>
    </row>
    <row r="45599" spans="31:31">
      <c r="AE45599" s="54"/>
    </row>
    <row r="45600" spans="31:31">
      <c r="AE45600" s="54"/>
    </row>
    <row r="45601" spans="31:31">
      <c r="AE45601" s="54"/>
    </row>
    <row r="45602" spans="31:31">
      <c r="AE45602" s="54"/>
    </row>
    <row r="45603" spans="31:31">
      <c r="AE45603" s="54"/>
    </row>
    <row r="45604" spans="31:31">
      <c r="AE45604" s="54"/>
    </row>
    <row r="45605" spans="31:31">
      <c r="AE45605" s="54"/>
    </row>
    <row r="45606" spans="31:31">
      <c r="AE45606" s="54"/>
    </row>
    <row r="45607" spans="31:31">
      <c r="AE45607" s="54"/>
    </row>
    <row r="45608" spans="31:31">
      <c r="AE45608" s="54"/>
    </row>
    <row r="45609" spans="31:31">
      <c r="AE45609" s="54"/>
    </row>
    <row r="45610" spans="31:31">
      <c r="AE45610" s="54"/>
    </row>
    <row r="45611" spans="31:31">
      <c r="AE45611" s="54"/>
    </row>
    <row r="45612" spans="31:31">
      <c r="AE45612" s="54"/>
    </row>
    <row r="45613" spans="31:31">
      <c r="AE45613" s="54"/>
    </row>
    <row r="45614" spans="31:31">
      <c r="AE45614" s="54"/>
    </row>
    <row r="45615" spans="31:31">
      <c r="AE45615" s="54"/>
    </row>
    <row r="45616" spans="31:31">
      <c r="AE45616" s="54"/>
    </row>
    <row r="45617" spans="31:31">
      <c r="AE45617" s="54"/>
    </row>
    <row r="45618" spans="31:31">
      <c r="AE45618" s="54"/>
    </row>
    <row r="45619" spans="31:31">
      <c r="AE45619" s="54"/>
    </row>
    <row r="45620" spans="31:31">
      <c r="AE45620" s="54"/>
    </row>
    <row r="45621" spans="31:31">
      <c r="AE45621" s="54"/>
    </row>
    <row r="45622" spans="31:31">
      <c r="AE45622" s="54"/>
    </row>
    <row r="45623" spans="31:31">
      <c r="AE45623" s="54"/>
    </row>
    <row r="45624" spans="31:31">
      <c r="AE45624" s="54"/>
    </row>
    <row r="45625" spans="31:31">
      <c r="AE45625" s="54"/>
    </row>
    <row r="45626" spans="31:31">
      <c r="AE45626" s="54"/>
    </row>
    <row r="45627" spans="31:31">
      <c r="AE45627" s="54"/>
    </row>
    <row r="45628" spans="31:31">
      <c r="AE45628" s="54"/>
    </row>
    <row r="45629" spans="31:31">
      <c r="AE45629" s="54"/>
    </row>
    <row r="45630" spans="31:31">
      <c r="AE45630" s="54"/>
    </row>
    <row r="45631" spans="31:31">
      <c r="AE45631" s="54"/>
    </row>
    <row r="45632" spans="31:31">
      <c r="AE45632" s="54"/>
    </row>
    <row r="45633" spans="31:31">
      <c r="AE45633" s="54"/>
    </row>
    <row r="45634" spans="31:31">
      <c r="AE45634" s="54"/>
    </row>
    <row r="45635" spans="31:31">
      <c r="AE45635" s="54"/>
    </row>
    <row r="45636" spans="31:31">
      <c r="AE45636" s="54"/>
    </row>
    <row r="45637" spans="31:31">
      <c r="AE45637" s="54"/>
    </row>
    <row r="45638" spans="31:31">
      <c r="AE45638" s="54"/>
    </row>
    <row r="45639" spans="31:31">
      <c r="AE45639" s="54"/>
    </row>
    <row r="45640" spans="31:31">
      <c r="AE45640" s="54"/>
    </row>
    <row r="45641" spans="31:31">
      <c r="AE45641" s="54"/>
    </row>
    <row r="45642" spans="31:31">
      <c r="AE45642" s="54"/>
    </row>
    <row r="45643" spans="31:31">
      <c r="AE45643" s="54"/>
    </row>
    <row r="45644" spans="31:31">
      <c r="AE45644" s="54"/>
    </row>
    <row r="45645" spans="31:31">
      <c r="AE45645" s="54"/>
    </row>
    <row r="45646" spans="31:31">
      <c r="AE45646" s="54"/>
    </row>
    <row r="45647" spans="31:31">
      <c r="AE45647" s="54"/>
    </row>
    <row r="45648" spans="31:31">
      <c r="AE45648" s="54"/>
    </row>
    <row r="45649" spans="31:31">
      <c r="AE45649" s="54"/>
    </row>
    <row r="45650" spans="31:31">
      <c r="AE45650" s="54"/>
    </row>
    <row r="45651" spans="31:31">
      <c r="AE45651" s="54"/>
    </row>
    <row r="45652" spans="31:31">
      <c r="AE45652" s="54"/>
    </row>
    <row r="45653" spans="31:31">
      <c r="AE45653" s="54"/>
    </row>
    <row r="45654" spans="31:31">
      <c r="AE45654" s="54"/>
    </row>
    <row r="45655" spans="31:31">
      <c r="AE45655" s="54"/>
    </row>
    <row r="45656" spans="31:31">
      <c r="AE45656" s="54"/>
    </row>
    <row r="45657" spans="31:31">
      <c r="AE45657" s="54"/>
    </row>
    <row r="45658" spans="31:31">
      <c r="AE45658" s="54"/>
    </row>
    <row r="45659" spans="31:31">
      <c r="AE45659" s="54"/>
    </row>
    <row r="45660" spans="31:31">
      <c r="AE45660" s="54"/>
    </row>
    <row r="45661" spans="31:31">
      <c r="AE45661" s="54"/>
    </row>
    <row r="45662" spans="31:31">
      <c r="AE45662" s="54"/>
    </row>
    <row r="45663" spans="31:31">
      <c r="AE45663" s="54"/>
    </row>
    <row r="45664" spans="31:31">
      <c r="AE45664" s="54"/>
    </row>
    <row r="45665" spans="31:31">
      <c r="AE45665" s="54"/>
    </row>
    <row r="45666" spans="31:31">
      <c r="AE45666" s="54"/>
    </row>
    <row r="45667" spans="31:31">
      <c r="AE45667" s="54"/>
    </row>
    <row r="45668" spans="31:31">
      <c r="AE45668" s="54"/>
    </row>
    <row r="45669" spans="31:31">
      <c r="AE45669" s="54"/>
    </row>
    <row r="45670" spans="31:31">
      <c r="AE45670" s="54"/>
    </row>
    <row r="45671" spans="31:31">
      <c r="AE45671" s="54"/>
    </row>
    <row r="45672" spans="31:31">
      <c r="AE45672" s="54"/>
    </row>
    <row r="45673" spans="31:31">
      <c r="AE45673" s="54"/>
    </row>
    <row r="45674" spans="31:31">
      <c r="AE45674" s="54"/>
    </row>
    <row r="45675" spans="31:31">
      <c r="AE45675" s="54"/>
    </row>
    <row r="45676" spans="31:31">
      <c r="AE45676" s="54"/>
    </row>
    <row r="45677" spans="31:31">
      <c r="AE45677" s="54"/>
    </row>
    <row r="45678" spans="31:31">
      <c r="AE45678" s="54"/>
    </row>
    <row r="45679" spans="31:31">
      <c r="AE45679" s="54"/>
    </row>
    <row r="45680" spans="31:31">
      <c r="AE45680" s="54"/>
    </row>
    <row r="45681" spans="31:31">
      <c r="AE45681" s="54"/>
    </row>
    <row r="45682" spans="31:31">
      <c r="AE45682" s="54"/>
    </row>
    <row r="45683" spans="31:31">
      <c r="AE45683" s="54"/>
    </row>
    <row r="45684" spans="31:31">
      <c r="AE45684" s="54"/>
    </row>
    <row r="45685" spans="31:31">
      <c r="AE45685" s="54"/>
    </row>
    <row r="45686" spans="31:31">
      <c r="AE45686" s="54"/>
    </row>
    <row r="45687" spans="31:31">
      <c r="AE45687" s="54"/>
    </row>
    <row r="45688" spans="31:31">
      <c r="AE45688" s="54"/>
    </row>
    <row r="45689" spans="31:31">
      <c r="AE45689" s="54"/>
    </row>
    <row r="45690" spans="31:31">
      <c r="AE45690" s="54"/>
    </row>
    <row r="45691" spans="31:31">
      <c r="AE45691" s="54"/>
    </row>
    <row r="45692" spans="31:31">
      <c r="AE45692" s="54"/>
    </row>
    <row r="45693" spans="31:31">
      <c r="AE45693" s="54"/>
    </row>
    <row r="45694" spans="31:31">
      <c r="AE45694" s="54"/>
    </row>
    <row r="45695" spans="31:31">
      <c r="AE45695" s="54"/>
    </row>
    <row r="45696" spans="31:31">
      <c r="AE45696" s="54"/>
    </row>
    <row r="45697" spans="31:31">
      <c r="AE45697" s="54"/>
    </row>
    <row r="45698" spans="31:31">
      <c r="AE45698" s="54"/>
    </row>
    <row r="45699" spans="31:31">
      <c r="AE45699" s="54"/>
    </row>
    <row r="45700" spans="31:31">
      <c r="AE45700" s="54"/>
    </row>
    <row r="45701" spans="31:31">
      <c r="AE45701" s="54"/>
    </row>
    <row r="45702" spans="31:31">
      <c r="AE45702" s="54"/>
    </row>
    <row r="45703" spans="31:31">
      <c r="AE45703" s="54"/>
    </row>
    <row r="45704" spans="31:31">
      <c r="AE45704" s="54"/>
    </row>
    <row r="45705" spans="31:31">
      <c r="AE45705" s="54"/>
    </row>
    <row r="45706" spans="31:31">
      <c r="AE45706" s="54"/>
    </row>
    <row r="45707" spans="31:31">
      <c r="AE45707" s="54"/>
    </row>
    <row r="45708" spans="31:31">
      <c r="AE45708" s="54"/>
    </row>
    <row r="45709" spans="31:31">
      <c r="AE45709" s="54"/>
    </row>
    <row r="45710" spans="31:31">
      <c r="AE45710" s="54"/>
    </row>
    <row r="45711" spans="31:31">
      <c r="AE45711" s="54"/>
    </row>
    <row r="45712" spans="31:31">
      <c r="AE45712" s="54"/>
    </row>
    <row r="45713" spans="31:31">
      <c r="AE45713" s="54"/>
    </row>
    <row r="45714" spans="31:31">
      <c r="AE45714" s="54"/>
    </row>
    <row r="45715" spans="31:31">
      <c r="AE45715" s="54"/>
    </row>
    <row r="45716" spans="31:31">
      <c r="AE45716" s="54"/>
    </row>
    <row r="45717" spans="31:31">
      <c r="AE45717" s="54"/>
    </row>
    <row r="45718" spans="31:31">
      <c r="AE45718" s="54"/>
    </row>
    <row r="45719" spans="31:31">
      <c r="AE45719" s="54"/>
    </row>
    <row r="45720" spans="31:31">
      <c r="AE45720" s="54"/>
    </row>
    <row r="45721" spans="31:31">
      <c r="AE45721" s="54"/>
    </row>
    <row r="45722" spans="31:31">
      <c r="AE45722" s="54"/>
    </row>
    <row r="45723" spans="31:31">
      <c r="AE45723" s="54"/>
    </row>
    <row r="45724" spans="31:31">
      <c r="AE45724" s="54"/>
    </row>
    <row r="45725" spans="31:31">
      <c r="AE45725" s="54"/>
    </row>
    <row r="45726" spans="31:31">
      <c r="AE45726" s="54"/>
    </row>
    <row r="45727" spans="31:31">
      <c r="AE45727" s="54"/>
    </row>
    <row r="45728" spans="31:31">
      <c r="AE45728" s="54"/>
    </row>
    <row r="45729" spans="31:31">
      <c r="AE45729" s="54"/>
    </row>
    <row r="45730" spans="31:31">
      <c r="AE45730" s="54"/>
    </row>
    <row r="45731" spans="31:31">
      <c r="AE45731" s="54"/>
    </row>
    <row r="45732" spans="31:31">
      <c r="AE45732" s="54"/>
    </row>
    <row r="45733" spans="31:31">
      <c r="AE45733" s="54"/>
    </row>
    <row r="45734" spans="31:31">
      <c r="AE45734" s="54"/>
    </row>
    <row r="45735" spans="31:31">
      <c r="AE45735" s="54"/>
    </row>
    <row r="45736" spans="31:31">
      <c r="AE45736" s="54"/>
    </row>
    <row r="45737" spans="31:31">
      <c r="AE45737" s="54"/>
    </row>
    <row r="45738" spans="31:31">
      <c r="AE45738" s="54"/>
    </row>
    <row r="45739" spans="31:31">
      <c r="AE45739" s="54"/>
    </row>
    <row r="45740" spans="31:31">
      <c r="AE45740" s="54"/>
    </row>
    <row r="45741" spans="31:31">
      <c r="AE45741" s="54"/>
    </row>
    <row r="45742" spans="31:31">
      <c r="AE45742" s="54"/>
    </row>
    <row r="45743" spans="31:31">
      <c r="AE45743" s="54"/>
    </row>
    <row r="45744" spans="31:31">
      <c r="AE45744" s="54"/>
    </row>
    <row r="45745" spans="31:31">
      <c r="AE45745" s="54"/>
    </row>
    <row r="45746" spans="31:31">
      <c r="AE45746" s="54"/>
    </row>
    <row r="45747" spans="31:31">
      <c r="AE45747" s="54"/>
    </row>
    <row r="45748" spans="31:31">
      <c r="AE45748" s="54"/>
    </row>
    <row r="45749" spans="31:31">
      <c r="AE45749" s="54"/>
    </row>
    <row r="45750" spans="31:31">
      <c r="AE45750" s="54"/>
    </row>
    <row r="45751" spans="31:31">
      <c r="AE45751" s="54"/>
    </row>
    <row r="45752" spans="31:31">
      <c r="AE45752" s="54"/>
    </row>
    <row r="45753" spans="31:31">
      <c r="AE45753" s="54"/>
    </row>
    <row r="45754" spans="31:31">
      <c r="AE45754" s="54"/>
    </row>
    <row r="45755" spans="31:31">
      <c r="AE45755" s="54"/>
    </row>
    <row r="45756" spans="31:31">
      <c r="AE45756" s="54"/>
    </row>
    <row r="45757" spans="31:31">
      <c r="AE45757" s="54"/>
    </row>
    <row r="45758" spans="31:31">
      <c r="AE45758" s="54"/>
    </row>
    <row r="45759" spans="31:31">
      <c r="AE45759" s="54"/>
    </row>
    <row r="45760" spans="31:31">
      <c r="AE45760" s="54"/>
    </row>
    <row r="45761" spans="31:31">
      <c r="AE45761" s="54"/>
    </row>
    <row r="45762" spans="31:31">
      <c r="AE45762" s="54"/>
    </row>
    <row r="45763" spans="31:31">
      <c r="AE45763" s="54"/>
    </row>
    <row r="45764" spans="31:31">
      <c r="AE45764" s="54"/>
    </row>
    <row r="45765" spans="31:31">
      <c r="AE45765" s="54"/>
    </row>
    <row r="45766" spans="31:31">
      <c r="AE45766" s="54"/>
    </row>
    <row r="45767" spans="31:31">
      <c r="AE45767" s="54"/>
    </row>
    <row r="45768" spans="31:31">
      <c r="AE45768" s="54"/>
    </row>
    <row r="45769" spans="31:31">
      <c r="AE45769" s="54"/>
    </row>
    <row r="45770" spans="31:31">
      <c r="AE45770" s="54"/>
    </row>
    <row r="45771" spans="31:31">
      <c r="AE45771" s="54"/>
    </row>
    <row r="45772" spans="31:31">
      <c r="AE45772" s="54"/>
    </row>
    <row r="45773" spans="31:31">
      <c r="AE45773" s="54"/>
    </row>
    <row r="45774" spans="31:31">
      <c r="AE45774" s="54"/>
    </row>
    <row r="45775" spans="31:31">
      <c r="AE45775" s="54"/>
    </row>
    <row r="45776" spans="31:31">
      <c r="AE45776" s="54"/>
    </row>
    <row r="45777" spans="31:31">
      <c r="AE45777" s="54"/>
    </row>
    <row r="45778" spans="31:31">
      <c r="AE45778" s="54"/>
    </row>
    <row r="45779" spans="31:31">
      <c r="AE45779" s="54"/>
    </row>
    <row r="45780" spans="31:31">
      <c r="AE45780" s="54"/>
    </row>
    <row r="45781" spans="31:31">
      <c r="AE45781" s="54"/>
    </row>
    <row r="45782" spans="31:31">
      <c r="AE45782" s="54"/>
    </row>
    <row r="45783" spans="31:31">
      <c r="AE45783" s="54"/>
    </row>
    <row r="45784" spans="31:31">
      <c r="AE45784" s="54"/>
    </row>
    <row r="45785" spans="31:31">
      <c r="AE45785" s="54"/>
    </row>
    <row r="45786" spans="31:31">
      <c r="AE45786" s="54"/>
    </row>
    <row r="45787" spans="31:31">
      <c r="AE45787" s="54"/>
    </row>
    <row r="45788" spans="31:31">
      <c r="AE45788" s="54"/>
    </row>
    <row r="45789" spans="31:31">
      <c r="AE45789" s="54"/>
    </row>
    <row r="45790" spans="31:31">
      <c r="AE45790" s="54"/>
    </row>
    <row r="45791" spans="31:31">
      <c r="AE45791" s="54"/>
    </row>
    <row r="45792" spans="31:31">
      <c r="AE45792" s="54"/>
    </row>
    <row r="45793" spans="31:31">
      <c r="AE45793" s="54"/>
    </row>
    <row r="45794" spans="31:31">
      <c r="AE45794" s="54"/>
    </row>
    <row r="45795" spans="31:31">
      <c r="AE45795" s="54"/>
    </row>
    <row r="45796" spans="31:31">
      <c r="AE45796" s="54"/>
    </row>
    <row r="45797" spans="31:31">
      <c r="AE45797" s="54"/>
    </row>
    <row r="45798" spans="31:31">
      <c r="AE45798" s="54"/>
    </row>
    <row r="45799" spans="31:31">
      <c r="AE45799" s="54"/>
    </row>
    <row r="45800" spans="31:31">
      <c r="AE45800" s="54"/>
    </row>
    <row r="45801" spans="31:31">
      <c r="AE45801" s="54"/>
    </row>
    <row r="45802" spans="31:31">
      <c r="AE45802" s="54"/>
    </row>
    <row r="45803" spans="31:31">
      <c r="AE45803" s="54"/>
    </row>
    <row r="45804" spans="31:31">
      <c r="AE45804" s="54"/>
    </row>
    <row r="45805" spans="31:31">
      <c r="AE45805" s="54"/>
    </row>
    <row r="45806" spans="31:31">
      <c r="AE45806" s="54"/>
    </row>
    <row r="45807" spans="31:31">
      <c r="AE45807" s="54"/>
    </row>
    <row r="45808" spans="31:31">
      <c r="AE45808" s="54"/>
    </row>
    <row r="45809" spans="31:31">
      <c r="AE45809" s="54"/>
    </row>
    <row r="45810" spans="31:31">
      <c r="AE45810" s="54"/>
    </row>
    <row r="45811" spans="31:31">
      <c r="AE45811" s="54"/>
    </row>
    <row r="45812" spans="31:31">
      <c r="AE45812" s="54"/>
    </row>
    <row r="45813" spans="31:31">
      <c r="AE45813" s="54"/>
    </row>
    <row r="45814" spans="31:31">
      <c r="AE45814" s="54"/>
    </row>
    <row r="45815" spans="31:31">
      <c r="AE45815" s="54"/>
    </row>
    <row r="45816" spans="31:31">
      <c r="AE45816" s="54"/>
    </row>
    <row r="45817" spans="31:31">
      <c r="AE45817" s="54"/>
    </row>
    <row r="45818" spans="31:31">
      <c r="AE45818" s="54"/>
    </row>
    <row r="45819" spans="31:31">
      <c r="AE45819" s="54"/>
    </row>
    <row r="45820" spans="31:31">
      <c r="AE45820" s="54"/>
    </row>
    <row r="45821" spans="31:31">
      <c r="AE45821" s="54"/>
    </row>
    <row r="45822" spans="31:31">
      <c r="AE45822" s="54"/>
    </row>
    <row r="45823" spans="31:31">
      <c r="AE45823" s="54"/>
    </row>
    <row r="45824" spans="31:31">
      <c r="AE45824" s="54"/>
    </row>
    <row r="45825" spans="31:31">
      <c r="AE45825" s="54"/>
    </row>
    <row r="45826" spans="31:31">
      <c r="AE45826" s="54"/>
    </row>
    <row r="45827" spans="31:31">
      <c r="AE45827" s="54"/>
    </row>
    <row r="45828" spans="31:31">
      <c r="AE45828" s="54"/>
    </row>
    <row r="45829" spans="31:31">
      <c r="AE45829" s="54"/>
    </row>
    <row r="45830" spans="31:31">
      <c r="AE45830" s="54"/>
    </row>
    <row r="45831" spans="31:31">
      <c r="AE45831" s="54"/>
    </row>
    <row r="45832" spans="31:31">
      <c r="AE45832" s="54"/>
    </row>
    <row r="45833" spans="31:31">
      <c r="AE45833" s="54"/>
    </row>
    <row r="45834" spans="31:31">
      <c r="AE45834" s="54"/>
    </row>
    <row r="45835" spans="31:31">
      <c r="AE45835" s="54"/>
    </row>
    <row r="45836" spans="31:31">
      <c r="AE45836" s="54"/>
    </row>
    <row r="45837" spans="31:31">
      <c r="AE45837" s="54"/>
    </row>
    <row r="45838" spans="31:31">
      <c r="AE45838" s="54"/>
    </row>
    <row r="45839" spans="31:31">
      <c r="AE45839" s="54"/>
    </row>
    <row r="45840" spans="31:31">
      <c r="AE45840" s="54"/>
    </row>
    <row r="45841" spans="31:31">
      <c r="AE45841" s="54"/>
    </row>
    <row r="45842" spans="31:31">
      <c r="AE45842" s="54"/>
    </row>
    <row r="45843" spans="31:31">
      <c r="AE45843" s="54"/>
    </row>
    <row r="45844" spans="31:31">
      <c r="AE45844" s="54"/>
    </row>
    <row r="45845" spans="31:31">
      <c r="AE45845" s="54"/>
    </row>
    <row r="45846" spans="31:31">
      <c r="AE45846" s="54"/>
    </row>
    <row r="45847" spans="31:31">
      <c r="AE45847" s="54"/>
    </row>
    <row r="45848" spans="31:31">
      <c r="AE45848" s="54"/>
    </row>
    <row r="45849" spans="31:31">
      <c r="AE45849" s="54"/>
    </row>
    <row r="45850" spans="31:31">
      <c r="AE45850" s="54"/>
    </row>
    <row r="45851" spans="31:31">
      <c r="AE45851" s="54"/>
    </row>
    <row r="45852" spans="31:31">
      <c r="AE45852" s="54"/>
    </row>
    <row r="45853" spans="31:31">
      <c r="AE45853" s="54"/>
    </row>
    <row r="45854" spans="31:31">
      <c r="AE45854" s="54"/>
    </row>
    <row r="45855" spans="31:31">
      <c r="AE45855" s="54"/>
    </row>
    <row r="45856" spans="31:31">
      <c r="AE45856" s="54"/>
    </row>
    <row r="45857" spans="31:31">
      <c r="AE45857" s="54"/>
    </row>
    <row r="45858" spans="31:31">
      <c r="AE45858" s="54"/>
    </row>
    <row r="45859" spans="31:31">
      <c r="AE45859" s="54"/>
    </row>
    <row r="45860" spans="31:31">
      <c r="AE45860" s="54"/>
    </row>
    <row r="45861" spans="31:31">
      <c r="AE45861" s="54"/>
    </row>
    <row r="45862" spans="31:31">
      <c r="AE45862" s="54"/>
    </row>
    <row r="45863" spans="31:31">
      <c r="AE45863" s="54"/>
    </row>
    <row r="45864" spans="31:31">
      <c r="AE45864" s="54"/>
    </row>
    <row r="45865" spans="31:31">
      <c r="AE45865" s="54"/>
    </row>
    <row r="45866" spans="31:31">
      <c r="AE45866" s="54"/>
    </row>
    <row r="45867" spans="31:31">
      <c r="AE45867" s="54"/>
    </row>
    <row r="45868" spans="31:31">
      <c r="AE45868" s="54"/>
    </row>
    <row r="45869" spans="31:31">
      <c r="AE45869" s="54"/>
    </row>
    <row r="45870" spans="31:31">
      <c r="AE45870" s="54"/>
    </row>
    <row r="45871" spans="31:31">
      <c r="AE45871" s="54"/>
    </row>
    <row r="45872" spans="31:31">
      <c r="AE45872" s="54"/>
    </row>
    <row r="45873" spans="31:31">
      <c r="AE45873" s="54"/>
    </row>
    <row r="45874" spans="31:31">
      <c r="AE45874" s="54"/>
    </row>
    <row r="45875" spans="31:31">
      <c r="AE45875" s="54"/>
    </row>
    <row r="45876" spans="31:31">
      <c r="AE45876" s="54"/>
    </row>
    <row r="45877" spans="31:31">
      <c r="AE45877" s="54"/>
    </row>
    <row r="45878" spans="31:31">
      <c r="AE45878" s="54"/>
    </row>
    <row r="45879" spans="31:31">
      <c r="AE45879" s="54"/>
    </row>
    <row r="45880" spans="31:31">
      <c r="AE45880" s="54"/>
    </row>
    <row r="45881" spans="31:31">
      <c r="AE45881" s="54"/>
    </row>
    <row r="45882" spans="31:31">
      <c r="AE45882" s="54"/>
    </row>
    <row r="45883" spans="31:31">
      <c r="AE45883" s="54"/>
    </row>
    <row r="45884" spans="31:31">
      <c r="AE45884" s="54"/>
    </row>
    <row r="45885" spans="31:31">
      <c r="AE45885" s="54"/>
    </row>
    <row r="45886" spans="31:31">
      <c r="AE45886" s="54"/>
    </row>
    <row r="45887" spans="31:31">
      <c r="AE45887" s="54"/>
    </row>
    <row r="45888" spans="31:31">
      <c r="AE45888" s="54"/>
    </row>
    <row r="45889" spans="31:31">
      <c r="AE45889" s="54"/>
    </row>
    <row r="45890" spans="31:31">
      <c r="AE45890" s="54"/>
    </row>
    <row r="45891" spans="31:31">
      <c r="AE45891" s="54"/>
    </row>
    <row r="45892" spans="31:31">
      <c r="AE45892" s="54"/>
    </row>
    <row r="45893" spans="31:31">
      <c r="AE45893" s="54"/>
    </row>
    <row r="45894" spans="31:31">
      <c r="AE45894" s="54"/>
    </row>
    <row r="45895" spans="31:31">
      <c r="AE45895" s="54"/>
    </row>
    <row r="45896" spans="31:31">
      <c r="AE45896" s="54"/>
    </row>
    <row r="45897" spans="31:31">
      <c r="AE45897" s="54"/>
    </row>
    <row r="45898" spans="31:31">
      <c r="AE45898" s="54"/>
    </row>
    <row r="45899" spans="31:31">
      <c r="AE45899" s="54"/>
    </row>
    <row r="45900" spans="31:31">
      <c r="AE45900" s="54"/>
    </row>
    <row r="45901" spans="31:31">
      <c r="AE45901" s="54"/>
    </row>
    <row r="45902" spans="31:31">
      <c r="AE45902" s="54"/>
    </row>
    <row r="45903" spans="31:31">
      <c r="AE45903" s="54"/>
    </row>
    <row r="45904" spans="31:31">
      <c r="AE45904" s="54"/>
    </row>
    <row r="45905" spans="31:31">
      <c r="AE45905" s="54"/>
    </row>
    <row r="45906" spans="31:31">
      <c r="AE45906" s="54"/>
    </row>
    <row r="45907" spans="31:31">
      <c r="AE45907" s="54"/>
    </row>
    <row r="45908" spans="31:31">
      <c r="AE45908" s="54"/>
    </row>
    <row r="45909" spans="31:31">
      <c r="AE45909" s="54"/>
    </row>
    <row r="45910" spans="31:31">
      <c r="AE45910" s="54"/>
    </row>
    <row r="45911" spans="31:31">
      <c r="AE45911" s="54"/>
    </row>
    <row r="45912" spans="31:31">
      <c r="AE45912" s="54"/>
    </row>
    <row r="45913" spans="31:31">
      <c r="AE45913" s="54"/>
    </row>
    <row r="45914" spans="31:31">
      <c r="AE45914" s="54"/>
    </row>
    <row r="45915" spans="31:31">
      <c r="AE45915" s="54"/>
    </row>
    <row r="45916" spans="31:31">
      <c r="AE45916" s="54"/>
    </row>
    <row r="45917" spans="31:31">
      <c r="AE45917" s="54"/>
    </row>
    <row r="45918" spans="31:31">
      <c r="AE45918" s="54"/>
    </row>
    <row r="45919" spans="31:31">
      <c r="AE45919" s="54"/>
    </row>
    <row r="45920" spans="31:31">
      <c r="AE45920" s="54"/>
    </row>
    <row r="45921" spans="31:31">
      <c r="AE45921" s="54"/>
    </row>
    <row r="45922" spans="31:31">
      <c r="AE45922" s="54"/>
    </row>
    <row r="45923" spans="31:31">
      <c r="AE45923" s="54"/>
    </row>
    <row r="45924" spans="31:31">
      <c r="AE45924" s="54"/>
    </row>
    <row r="45925" spans="31:31">
      <c r="AE45925" s="54"/>
    </row>
    <row r="45926" spans="31:31">
      <c r="AE45926" s="54"/>
    </row>
    <row r="45927" spans="31:31">
      <c r="AE45927" s="54"/>
    </row>
    <row r="45928" spans="31:31">
      <c r="AE45928" s="54"/>
    </row>
    <row r="45929" spans="31:31">
      <c r="AE45929" s="54"/>
    </row>
    <row r="45930" spans="31:31">
      <c r="AE45930" s="54"/>
    </row>
    <row r="45931" spans="31:31">
      <c r="AE45931" s="54"/>
    </row>
    <row r="45932" spans="31:31">
      <c r="AE45932" s="54"/>
    </row>
    <row r="45933" spans="31:31">
      <c r="AE45933" s="54"/>
    </row>
    <row r="45934" spans="31:31">
      <c r="AE45934" s="54"/>
    </row>
    <row r="45935" spans="31:31">
      <c r="AE45935" s="54"/>
    </row>
    <row r="45936" spans="31:31">
      <c r="AE45936" s="54"/>
    </row>
    <row r="45937" spans="31:31">
      <c r="AE45937" s="54"/>
    </row>
    <row r="45938" spans="31:31">
      <c r="AE45938" s="54"/>
    </row>
    <row r="45939" spans="31:31">
      <c r="AE45939" s="54"/>
    </row>
    <row r="45940" spans="31:31">
      <c r="AE45940" s="54"/>
    </row>
    <row r="45941" spans="31:31">
      <c r="AE45941" s="54"/>
    </row>
    <row r="45942" spans="31:31">
      <c r="AE45942" s="54"/>
    </row>
    <row r="45943" spans="31:31">
      <c r="AE45943" s="54"/>
    </row>
    <row r="45944" spans="31:31">
      <c r="AE45944" s="54"/>
    </row>
    <row r="45945" spans="31:31">
      <c r="AE45945" s="54"/>
    </row>
    <row r="45946" spans="31:31">
      <c r="AE45946" s="54"/>
    </row>
    <row r="45947" spans="31:31">
      <c r="AE45947" s="54"/>
    </row>
    <row r="45948" spans="31:31">
      <c r="AE45948" s="54"/>
    </row>
    <row r="45949" spans="31:31">
      <c r="AE45949" s="54"/>
    </row>
    <row r="45950" spans="31:31">
      <c r="AE45950" s="54"/>
    </row>
    <row r="45951" spans="31:31">
      <c r="AE45951" s="54"/>
    </row>
    <row r="45952" spans="31:31">
      <c r="AE45952" s="54"/>
    </row>
    <row r="45953" spans="31:31">
      <c r="AE45953" s="54"/>
    </row>
    <row r="45954" spans="31:31">
      <c r="AE45954" s="54"/>
    </row>
    <row r="45955" spans="31:31">
      <c r="AE45955" s="54"/>
    </row>
    <row r="45956" spans="31:31">
      <c r="AE45956" s="54"/>
    </row>
    <row r="45957" spans="31:31">
      <c r="AE45957" s="54"/>
    </row>
    <row r="45958" spans="31:31">
      <c r="AE45958" s="54"/>
    </row>
    <row r="45959" spans="31:31">
      <c r="AE45959" s="54"/>
    </row>
    <row r="45960" spans="31:31">
      <c r="AE45960" s="54"/>
    </row>
    <row r="45961" spans="31:31">
      <c r="AE45961" s="54"/>
    </row>
    <row r="45962" spans="31:31">
      <c r="AE45962" s="54"/>
    </row>
    <row r="45963" spans="31:31">
      <c r="AE45963" s="54"/>
    </row>
    <row r="45964" spans="31:31">
      <c r="AE45964" s="54"/>
    </row>
    <row r="45965" spans="31:31">
      <c r="AE45965" s="54"/>
    </row>
    <row r="45966" spans="31:31">
      <c r="AE45966" s="54"/>
    </row>
    <row r="45967" spans="31:31">
      <c r="AE45967" s="54"/>
    </row>
    <row r="45968" spans="31:31">
      <c r="AE45968" s="54"/>
    </row>
    <row r="45969" spans="31:31">
      <c r="AE45969" s="54"/>
    </row>
    <row r="45970" spans="31:31">
      <c r="AE45970" s="54"/>
    </row>
    <row r="45971" spans="31:31">
      <c r="AE45971" s="54"/>
    </row>
    <row r="45972" spans="31:31">
      <c r="AE45972" s="54"/>
    </row>
    <row r="45973" spans="31:31">
      <c r="AE45973" s="54"/>
    </row>
    <row r="45974" spans="31:31">
      <c r="AE45974" s="54"/>
    </row>
    <row r="45975" spans="31:31">
      <c r="AE45975" s="54"/>
    </row>
    <row r="45976" spans="31:31">
      <c r="AE45976" s="54"/>
    </row>
    <row r="45977" spans="31:31">
      <c r="AE45977" s="54"/>
    </row>
    <row r="45978" spans="31:31">
      <c r="AE45978" s="54"/>
    </row>
    <row r="45979" spans="31:31">
      <c r="AE45979" s="54"/>
    </row>
    <row r="45980" spans="31:31">
      <c r="AE45980" s="54"/>
    </row>
    <row r="45981" spans="31:31">
      <c r="AE45981" s="54"/>
    </row>
    <row r="45982" spans="31:31">
      <c r="AE45982" s="54"/>
    </row>
    <row r="45983" spans="31:31">
      <c r="AE45983" s="54"/>
    </row>
    <row r="45984" spans="31:31">
      <c r="AE45984" s="54"/>
    </row>
    <row r="45985" spans="31:31">
      <c r="AE45985" s="54"/>
    </row>
    <row r="45986" spans="31:31">
      <c r="AE45986" s="54"/>
    </row>
    <row r="45987" spans="31:31">
      <c r="AE45987" s="54"/>
    </row>
    <row r="45988" spans="31:31">
      <c r="AE45988" s="54"/>
    </row>
    <row r="45989" spans="31:31">
      <c r="AE45989" s="54"/>
    </row>
    <row r="45990" spans="31:31">
      <c r="AE45990" s="54"/>
    </row>
    <row r="45991" spans="31:31">
      <c r="AE45991" s="54"/>
    </row>
    <row r="45992" spans="31:31">
      <c r="AE45992" s="54"/>
    </row>
    <row r="45993" spans="31:31">
      <c r="AE45993" s="54"/>
    </row>
    <row r="45994" spans="31:31">
      <c r="AE45994" s="54"/>
    </row>
    <row r="45995" spans="31:31">
      <c r="AE45995" s="54"/>
    </row>
    <row r="45996" spans="31:31">
      <c r="AE45996" s="54"/>
    </row>
    <row r="45997" spans="31:31">
      <c r="AE45997" s="54"/>
    </row>
    <row r="45998" spans="31:31">
      <c r="AE45998" s="54"/>
    </row>
    <row r="45999" spans="31:31">
      <c r="AE45999" s="54"/>
    </row>
    <row r="46000" spans="31:31">
      <c r="AE46000" s="54"/>
    </row>
    <row r="46001" spans="31:31">
      <c r="AE46001" s="54"/>
    </row>
    <row r="46002" spans="31:31">
      <c r="AE46002" s="54"/>
    </row>
    <row r="46003" spans="31:31">
      <c r="AE46003" s="54"/>
    </row>
    <row r="46004" spans="31:31">
      <c r="AE46004" s="54"/>
    </row>
    <row r="46005" spans="31:31">
      <c r="AE46005" s="54"/>
    </row>
    <row r="46006" spans="31:31">
      <c r="AE46006" s="54"/>
    </row>
    <row r="46007" spans="31:31">
      <c r="AE46007" s="54"/>
    </row>
    <row r="46008" spans="31:31">
      <c r="AE46008" s="54"/>
    </row>
    <row r="46009" spans="31:31">
      <c r="AE46009" s="54"/>
    </row>
    <row r="46010" spans="31:31">
      <c r="AE46010" s="54"/>
    </row>
    <row r="46011" spans="31:31">
      <c r="AE46011" s="54"/>
    </row>
    <row r="46012" spans="31:31">
      <c r="AE46012" s="54"/>
    </row>
    <row r="46013" spans="31:31">
      <c r="AE46013" s="54"/>
    </row>
    <row r="46014" spans="31:31">
      <c r="AE46014" s="54"/>
    </row>
    <row r="46015" spans="31:31">
      <c r="AE46015" s="54"/>
    </row>
    <row r="46016" spans="31:31">
      <c r="AE46016" s="54"/>
    </row>
    <row r="46017" spans="31:31">
      <c r="AE46017" s="54"/>
    </row>
    <row r="46018" spans="31:31">
      <c r="AE46018" s="54"/>
    </row>
    <row r="46019" spans="31:31">
      <c r="AE46019" s="54"/>
    </row>
    <row r="46020" spans="31:31">
      <c r="AE46020" s="54"/>
    </row>
    <row r="46021" spans="31:31">
      <c r="AE46021" s="54"/>
    </row>
    <row r="46022" spans="31:31">
      <c r="AE46022" s="54"/>
    </row>
    <row r="46023" spans="31:31">
      <c r="AE46023" s="54"/>
    </row>
    <row r="46024" spans="31:31">
      <c r="AE46024" s="54"/>
    </row>
    <row r="46025" spans="31:31">
      <c r="AE46025" s="54"/>
    </row>
    <row r="46026" spans="31:31">
      <c r="AE46026" s="54"/>
    </row>
    <row r="46027" spans="31:31">
      <c r="AE46027" s="54"/>
    </row>
    <row r="46028" spans="31:31">
      <c r="AE46028" s="54"/>
    </row>
    <row r="46029" spans="31:31">
      <c r="AE46029" s="54"/>
    </row>
    <row r="46030" spans="31:31">
      <c r="AE46030" s="54"/>
    </row>
    <row r="46031" spans="31:31">
      <c r="AE46031" s="54"/>
    </row>
    <row r="46032" spans="31:31">
      <c r="AE46032" s="54"/>
    </row>
    <row r="46033" spans="31:31">
      <c r="AE46033" s="54"/>
    </row>
    <row r="46034" spans="31:31">
      <c r="AE46034" s="54"/>
    </row>
    <row r="46035" spans="31:31">
      <c r="AE46035" s="54"/>
    </row>
    <row r="46036" spans="31:31">
      <c r="AE46036" s="54"/>
    </row>
    <row r="46037" spans="31:31">
      <c r="AE46037" s="54"/>
    </row>
    <row r="46038" spans="31:31">
      <c r="AE46038" s="54"/>
    </row>
    <row r="46039" spans="31:31">
      <c r="AE46039" s="54"/>
    </row>
    <row r="46040" spans="31:31">
      <c r="AE46040" s="54"/>
    </row>
    <row r="46041" spans="31:31">
      <c r="AE46041" s="54"/>
    </row>
    <row r="46042" spans="31:31">
      <c r="AE46042" s="54"/>
    </row>
    <row r="46043" spans="31:31">
      <c r="AE46043" s="54"/>
    </row>
    <row r="46044" spans="31:31">
      <c r="AE46044" s="54"/>
    </row>
    <row r="46045" spans="31:31">
      <c r="AE46045" s="54"/>
    </row>
    <row r="46046" spans="31:31">
      <c r="AE46046" s="54"/>
    </row>
    <row r="46047" spans="31:31">
      <c r="AE46047" s="54"/>
    </row>
    <row r="46048" spans="31:31">
      <c r="AE46048" s="54"/>
    </row>
    <row r="46049" spans="31:31">
      <c r="AE46049" s="54"/>
    </row>
    <row r="46050" spans="31:31">
      <c r="AE46050" s="54"/>
    </row>
    <row r="46051" spans="31:31">
      <c r="AE46051" s="54"/>
    </row>
    <row r="46052" spans="31:31">
      <c r="AE46052" s="54"/>
    </row>
    <row r="46053" spans="31:31">
      <c r="AE46053" s="54"/>
    </row>
    <row r="46054" spans="31:31">
      <c r="AE46054" s="54"/>
    </row>
    <row r="46055" spans="31:31">
      <c r="AE46055" s="54"/>
    </row>
    <row r="46056" spans="31:31">
      <c r="AE46056" s="54"/>
    </row>
    <row r="46057" spans="31:31">
      <c r="AE46057" s="54"/>
    </row>
    <row r="46058" spans="31:31">
      <c r="AE46058" s="54"/>
    </row>
    <row r="46059" spans="31:31">
      <c r="AE46059" s="54"/>
    </row>
    <row r="46060" spans="31:31">
      <c r="AE46060" s="54"/>
    </row>
    <row r="46061" spans="31:31">
      <c r="AE46061" s="54"/>
    </row>
    <row r="46062" spans="31:31">
      <c r="AE46062" s="54"/>
    </row>
    <row r="46063" spans="31:31">
      <c r="AE46063" s="54"/>
    </row>
    <row r="46064" spans="31:31">
      <c r="AE46064" s="54"/>
    </row>
    <row r="46065" spans="31:31">
      <c r="AE46065" s="54"/>
    </row>
    <row r="46066" spans="31:31">
      <c r="AE46066" s="54"/>
    </row>
    <row r="46067" spans="31:31">
      <c r="AE46067" s="54"/>
    </row>
    <row r="46068" spans="31:31">
      <c r="AE46068" s="54"/>
    </row>
    <row r="46069" spans="31:31">
      <c r="AE46069" s="54"/>
    </row>
    <row r="46070" spans="31:31">
      <c r="AE46070" s="54"/>
    </row>
    <row r="46071" spans="31:31">
      <c r="AE46071" s="54"/>
    </row>
    <row r="46072" spans="31:31">
      <c r="AE46072" s="54"/>
    </row>
    <row r="46073" spans="31:31">
      <c r="AE46073" s="54"/>
    </row>
    <row r="46074" spans="31:31">
      <c r="AE46074" s="54"/>
    </row>
    <row r="46075" spans="31:31">
      <c r="AE46075" s="54"/>
    </row>
    <row r="46076" spans="31:31">
      <c r="AE46076" s="54"/>
    </row>
    <row r="46077" spans="31:31">
      <c r="AE46077" s="54"/>
    </row>
    <row r="46078" spans="31:31">
      <c r="AE46078" s="54"/>
    </row>
    <row r="46079" spans="31:31">
      <c r="AE46079" s="54"/>
    </row>
    <row r="46080" spans="31:31">
      <c r="AE46080" s="54"/>
    </row>
    <row r="46081" spans="31:31">
      <c r="AE46081" s="54"/>
    </row>
    <row r="46082" spans="31:31">
      <c r="AE46082" s="54"/>
    </row>
    <row r="46083" spans="31:31">
      <c r="AE46083" s="54"/>
    </row>
    <row r="46084" spans="31:31">
      <c r="AE46084" s="54"/>
    </row>
    <row r="46085" spans="31:31">
      <c r="AE46085" s="54"/>
    </row>
    <row r="46086" spans="31:31">
      <c r="AE46086" s="54"/>
    </row>
    <row r="46087" spans="31:31">
      <c r="AE46087" s="54"/>
    </row>
    <row r="46088" spans="31:31">
      <c r="AE46088" s="54"/>
    </row>
    <row r="46089" spans="31:31">
      <c r="AE46089" s="54"/>
    </row>
    <row r="46090" spans="31:31">
      <c r="AE46090" s="54"/>
    </row>
    <row r="46091" spans="31:31">
      <c r="AE46091" s="54"/>
    </row>
    <row r="46092" spans="31:31">
      <c r="AE46092" s="54"/>
    </row>
    <row r="46093" spans="31:31">
      <c r="AE46093" s="54"/>
    </row>
    <row r="46094" spans="31:31">
      <c r="AE46094" s="54"/>
    </row>
    <row r="46095" spans="31:31">
      <c r="AE46095" s="54"/>
    </row>
    <row r="46096" spans="31:31">
      <c r="AE46096" s="54"/>
    </row>
    <row r="46097" spans="31:31">
      <c r="AE46097" s="54"/>
    </row>
    <row r="46098" spans="31:31">
      <c r="AE46098" s="54"/>
    </row>
    <row r="46099" spans="31:31">
      <c r="AE46099" s="54"/>
    </row>
    <row r="46100" spans="31:31">
      <c r="AE46100" s="54"/>
    </row>
    <row r="46101" spans="31:31">
      <c r="AE46101" s="54"/>
    </row>
    <row r="46102" spans="31:31">
      <c r="AE46102" s="54"/>
    </row>
    <row r="46103" spans="31:31">
      <c r="AE46103" s="54"/>
    </row>
    <row r="46104" spans="31:31">
      <c r="AE46104" s="54"/>
    </row>
    <row r="46105" spans="31:31">
      <c r="AE46105" s="54"/>
    </row>
    <row r="46106" spans="31:31">
      <c r="AE46106" s="54"/>
    </row>
    <row r="46107" spans="31:31">
      <c r="AE46107" s="54"/>
    </row>
    <row r="46108" spans="31:31">
      <c r="AE46108" s="54"/>
    </row>
    <row r="46109" spans="31:31">
      <c r="AE46109" s="54"/>
    </row>
    <row r="46110" spans="31:31">
      <c r="AE46110" s="54"/>
    </row>
    <row r="46111" spans="31:31">
      <c r="AE46111" s="54"/>
    </row>
    <row r="46112" spans="31:31">
      <c r="AE46112" s="54"/>
    </row>
    <row r="46113" spans="31:31">
      <c r="AE46113" s="54"/>
    </row>
    <row r="46114" spans="31:31">
      <c r="AE46114" s="54"/>
    </row>
    <row r="46115" spans="31:31">
      <c r="AE46115" s="54"/>
    </row>
    <row r="46116" spans="31:31">
      <c r="AE46116" s="54"/>
    </row>
    <row r="46117" spans="31:31">
      <c r="AE46117" s="54"/>
    </row>
    <row r="46118" spans="31:31">
      <c r="AE46118" s="54"/>
    </row>
    <row r="46119" spans="31:31">
      <c r="AE46119" s="54"/>
    </row>
    <row r="46120" spans="31:31">
      <c r="AE46120" s="54"/>
    </row>
    <row r="46121" spans="31:31">
      <c r="AE46121" s="54"/>
    </row>
    <row r="46122" spans="31:31">
      <c r="AE46122" s="54"/>
    </row>
    <row r="46123" spans="31:31">
      <c r="AE46123" s="54"/>
    </row>
    <row r="46124" spans="31:31">
      <c r="AE46124" s="54"/>
    </row>
    <row r="46125" spans="31:31">
      <c r="AE46125" s="54"/>
    </row>
    <row r="46126" spans="31:31">
      <c r="AE46126" s="54"/>
    </row>
    <row r="46127" spans="31:31">
      <c r="AE46127" s="54"/>
    </row>
    <row r="46128" spans="31:31">
      <c r="AE46128" s="54"/>
    </row>
    <row r="46129" spans="31:31">
      <c r="AE46129" s="54"/>
    </row>
    <row r="46130" spans="31:31">
      <c r="AE46130" s="54"/>
    </row>
    <row r="46131" spans="31:31">
      <c r="AE46131" s="54"/>
    </row>
    <row r="46132" spans="31:31">
      <c r="AE46132" s="54"/>
    </row>
    <row r="46133" spans="31:31">
      <c r="AE46133" s="54"/>
    </row>
    <row r="46134" spans="31:31">
      <c r="AE46134" s="54"/>
    </row>
    <row r="46135" spans="31:31">
      <c r="AE46135" s="54"/>
    </row>
    <row r="46136" spans="31:31">
      <c r="AE46136" s="54"/>
    </row>
    <row r="46137" spans="31:31">
      <c r="AE46137" s="54"/>
    </row>
    <row r="46138" spans="31:31">
      <c r="AE46138" s="54"/>
    </row>
    <row r="46139" spans="31:31">
      <c r="AE46139" s="54"/>
    </row>
    <row r="46140" spans="31:31">
      <c r="AE46140" s="54"/>
    </row>
    <row r="46141" spans="31:31">
      <c r="AE46141" s="54"/>
    </row>
    <row r="46142" spans="31:31">
      <c r="AE46142" s="54"/>
    </row>
    <row r="46143" spans="31:31">
      <c r="AE46143" s="54"/>
    </row>
    <row r="46144" spans="31:31">
      <c r="AE46144" s="54"/>
    </row>
    <row r="46145" spans="31:31">
      <c r="AE46145" s="54"/>
    </row>
    <row r="46146" spans="31:31">
      <c r="AE46146" s="54"/>
    </row>
    <row r="46147" spans="31:31">
      <c r="AE46147" s="54"/>
    </row>
    <row r="46148" spans="31:31">
      <c r="AE46148" s="54"/>
    </row>
    <row r="46149" spans="31:31">
      <c r="AE46149" s="54"/>
    </row>
    <row r="46150" spans="31:31">
      <c r="AE46150" s="54"/>
    </row>
    <row r="46151" spans="31:31">
      <c r="AE46151" s="54"/>
    </row>
    <row r="46152" spans="31:31">
      <c r="AE46152" s="54"/>
    </row>
    <row r="46153" spans="31:31">
      <c r="AE46153" s="54"/>
    </row>
    <row r="46154" spans="31:31">
      <c r="AE46154" s="54"/>
    </row>
    <row r="46155" spans="31:31">
      <c r="AE46155" s="54"/>
    </row>
    <row r="46156" spans="31:31">
      <c r="AE46156" s="54"/>
    </row>
    <row r="46157" spans="31:31">
      <c r="AE46157" s="54"/>
    </row>
    <row r="46158" spans="31:31">
      <c r="AE46158" s="54"/>
    </row>
    <row r="46159" spans="31:31">
      <c r="AE46159" s="54"/>
    </row>
    <row r="46160" spans="31:31">
      <c r="AE46160" s="54"/>
    </row>
    <row r="46161" spans="31:31">
      <c r="AE46161" s="54"/>
    </row>
    <row r="46162" spans="31:31">
      <c r="AE46162" s="54"/>
    </row>
    <row r="46163" spans="31:31">
      <c r="AE46163" s="54"/>
    </row>
    <row r="46164" spans="31:31">
      <c r="AE46164" s="54"/>
    </row>
    <row r="46165" spans="31:31">
      <c r="AE46165" s="54"/>
    </row>
    <row r="46166" spans="31:31">
      <c r="AE46166" s="54"/>
    </row>
    <row r="46167" spans="31:31">
      <c r="AE46167" s="54"/>
    </row>
    <row r="46168" spans="31:31">
      <c r="AE46168" s="54"/>
    </row>
    <row r="46169" spans="31:31">
      <c r="AE46169" s="54"/>
    </row>
    <row r="46170" spans="31:31">
      <c r="AE46170" s="54"/>
    </row>
    <row r="46171" spans="31:31">
      <c r="AE46171" s="54"/>
    </row>
    <row r="46172" spans="31:31">
      <c r="AE46172" s="54"/>
    </row>
    <row r="46173" spans="31:31">
      <c r="AE46173" s="54"/>
    </row>
    <row r="46174" spans="31:31">
      <c r="AE46174" s="54"/>
    </row>
    <row r="46175" spans="31:31">
      <c r="AE46175" s="54"/>
    </row>
    <row r="46176" spans="31:31">
      <c r="AE46176" s="54"/>
    </row>
    <row r="46177" spans="31:31">
      <c r="AE46177" s="54"/>
    </row>
    <row r="46178" spans="31:31">
      <c r="AE46178" s="54"/>
    </row>
    <row r="46179" spans="31:31">
      <c r="AE46179" s="54"/>
    </row>
    <row r="46180" spans="31:31">
      <c r="AE46180" s="54"/>
    </row>
    <row r="46181" spans="31:31">
      <c r="AE46181" s="54"/>
    </row>
    <row r="46182" spans="31:31">
      <c r="AE46182" s="54"/>
    </row>
    <row r="46183" spans="31:31">
      <c r="AE46183" s="54"/>
    </row>
    <row r="46184" spans="31:31">
      <c r="AE46184" s="54"/>
    </row>
    <row r="46185" spans="31:31">
      <c r="AE46185" s="54"/>
    </row>
    <row r="46186" spans="31:31">
      <c r="AE46186" s="54"/>
    </row>
    <row r="46187" spans="31:31">
      <c r="AE46187" s="54"/>
    </row>
    <row r="46188" spans="31:31">
      <c r="AE46188" s="54"/>
    </row>
    <row r="46189" spans="31:31">
      <c r="AE46189" s="54"/>
    </row>
    <row r="46190" spans="31:31">
      <c r="AE46190" s="54"/>
    </row>
    <row r="46191" spans="31:31">
      <c r="AE46191" s="54"/>
    </row>
    <row r="46192" spans="31:31">
      <c r="AE46192" s="54"/>
    </row>
    <row r="46193" spans="31:31">
      <c r="AE46193" s="54"/>
    </row>
    <row r="46194" spans="31:31">
      <c r="AE46194" s="54"/>
    </row>
    <row r="46195" spans="31:31">
      <c r="AE46195" s="54"/>
    </row>
    <row r="46196" spans="31:31">
      <c r="AE46196" s="54"/>
    </row>
    <row r="46197" spans="31:31">
      <c r="AE46197" s="54"/>
    </row>
    <row r="46198" spans="31:31">
      <c r="AE46198" s="54"/>
    </row>
    <row r="46199" spans="31:31">
      <c r="AE46199" s="54"/>
    </row>
    <row r="46200" spans="31:31">
      <c r="AE46200" s="54"/>
    </row>
    <row r="46201" spans="31:31">
      <c r="AE46201" s="54"/>
    </row>
    <row r="46202" spans="31:31">
      <c r="AE46202" s="54"/>
    </row>
    <row r="46203" spans="31:31">
      <c r="AE46203" s="54"/>
    </row>
    <row r="46204" spans="31:31">
      <c r="AE46204" s="54"/>
    </row>
    <row r="46205" spans="31:31">
      <c r="AE46205" s="54"/>
    </row>
    <row r="46206" spans="31:31">
      <c r="AE46206" s="54"/>
    </row>
    <row r="46207" spans="31:31">
      <c r="AE46207" s="54"/>
    </row>
    <row r="46208" spans="31:31">
      <c r="AE46208" s="54"/>
    </row>
    <row r="46209" spans="31:31">
      <c r="AE46209" s="54"/>
    </row>
    <row r="46210" spans="31:31">
      <c r="AE46210" s="54"/>
    </row>
    <row r="46211" spans="31:31">
      <c r="AE46211" s="54"/>
    </row>
    <row r="46212" spans="31:31">
      <c r="AE46212" s="54"/>
    </row>
    <row r="46213" spans="31:31">
      <c r="AE46213" s="54"/>
    </row>
    <row r="46214" spans="31:31">
      <c r="AE46214" s="54"/>
    </row>
    <row r="46215" spans="31:31">
      <c r="AE46215" s="54"/>
    </row>
    <row r="46216" spans="31:31">
      <c r="AE46216" s="54"/>
    </row>
    <row r="46217" spans="31:31">
      <c r="AE46217" s="54"/>
    </row>
    <row r="46218" spans="31:31">
      <c r="AE46218" s="54"/>
    </row>
    <row r="46219" spans="31:31">
      <c r="AE46219" s="54"/>
    </row>
    <row r="46220" spans="31:31">
      <c r="AE46220" s="54"/>
    </row>
    <row r="46221" spans="31:31">
      <c r="AE46221" s="54"/>
    </row>
    <row r="46222" spans="31:31">
      <c r="AE46222" s="54"/>
    </row>
    <row r="46223" spans="31:31">
      <c r="AE46223" s="54"/>
    </row>
    <row r="46224" spans="31:31">
      <c r="AE46224" s="54"/>
    </row>
    <row r="46225" spans="31:31">
      <c r="AE46225" s="54"/>
    </row>
    <row r="46226" spans="31:31">
      <c r="AE46226" s="54"/>
    </row>
    <row r="46227" spans="31:31">
      <c r="AE46227" s="54"/>
    </row>
    <row r="46228" spans="31:31">
      <c r="AE46228" s="54"/>
    </row>
    <row r="46229" spans="31:31">
      <c r="AE46229" s="54"/>
    </row>
    <row r="46230" spans="31:31">
      <c r="AE46230" s="54"/>
    </row>
    <row r="46231" spans="31:31">
      <c r="AE46231" s="54"/>
    </row>
    <row r="46232" spans="31:31">
      <c r="AE46232" s="54"/>
    </row>
    <row r="46233" spans="31:31">
      <c r="AE46233" s="54"/>
    </row>
    <row r="46234" spans="31:31">
      <c r="AE46234" s="54"/>
    </row>
    <row r="46235" spans="31:31">
      <c r="AE46235" s="54"/>
    </row>
    <row r="46236" spans="31:31">
      <c r="AE46236" s="54"/>
    </row>
    <row r="46237" spans="31:31">
      <c r="AE46237" s="54"/>
    </row>
    <row r="46238" spans="31:31">
      <c r="AE46238" s="54"/>
    </row>
    <row r="46239" spans="31:31">
      <c r="AE46239" s="54"/>
    </row>
    <row r="46240" spans="31:31">
      <c r="AE46240" s="54"/>
    </row>
    <row r="46241" spans="31:31">
      <c r="AE46241" s="54"/>
    </row>
    <row r="46242" spans="31:31">
      <c r="AE46242" s="54"/>
    </row>
    <row r="46243" spans="31:31">
      <c r="AE46243" s="54"/>
    </row>
    <row r="46244" spans="31:31">
      <c r="AE46244" s="54"/>
    </row>
    <row r="46245" spans="31:31">
      <c r="AE46245" s="54"/>
    </row>
    <row r="46246" spans="31:31">
      <c r="AE46246" s="54"/>
    </row>
    <row r="46247" spans="31:31">
      <c r="AE46247" s="54"/>
    </row>
    <row r="46248" spans="31:31">
      <c r="AE46248" s="54"/>
    </row>
    <row r="46249" spans="31:31">
      <c r="AE46249" s="54"/>
    </row>
    <row r="46250" spans="31:31">
      <c r="AE46250" s="54"/>
    </row>
    <row r="46251" spans="31:31">
      <c r="AE46251" s="54"/>
    </row>
    <row r="46252" spans="31:31">
      <c r="AE46252" s="54"/>
    </row>
    <row r="46253" spans="31:31">
      <c r="AE46253" s="54"/>
    </row>
    <row r="46254" spans="31:31">
      <c r="AE46254" s="54"/>
    </row>
    <row r="46255" spans="31:31">
      <c r="AE46255" s="54"/>
    </row>
    <row r="46256" spans="31:31">
      <c r="AE46256" s="54"/>
    </row>
    <row r="46257" spans="31:31">
      <c r="AE46257" s="54"/>
    </row>
    <row r="46258" spans="31:31">
      <c r="AE46258" s="54"/>
    </row>
    <row r="46259" spans="31:31">
      <c r="AE46259" s="54"/>
    </row>
    <row r="46260" spans="31:31">
      <c r="AE46260" s="54"/>
    </row>
    <row r="46261" spans="31:31">
      <c r="AE46261" s="54"/>
    </row>
    <row r="46262" spans="31:31">
      <c r="AE46262" s="54"/>
    </row>
    <row r="46263" spans="31:31">
      <c r="AE46263" s="54"/>
    </row>
    <row r="46264" spans="31:31">
      <c r="AE46264" s="54"/>
    </row>
    <row r="46265" spans="31:31">
      <c r="AE46265" s="54"/>
    </row>
    <row r="46266" spans="31:31">
      <c r="AE46266" s="54"/>
    </row>
    <row r="46267" spans="31:31">
      <c r="AE46267" s="54"/>
    </row>
    <row r="46268" spans="31:31">
      <c r="AE46268" s="54"/>
    </row>
    <row r="46269" spans="31:31">
      <c r="AE46269" s="54"/>
    </row>
    <row r="46270" spans="31:31">
      <c r="AE46270" s="54"/>
    </row>
    <row r="46271" spans="31:31">
      <c r="AE46271" s="54"/>
    </row>
    <row r="46272" spans="31:31">
      <c r="AE46272" s="54"/>
    </row>
    <row r="46273" spans="31:31">
      <c r="AE46273" s="54"/>
    </row>
    <row r="46274" spans="31:31">
      <c r="AE46274" s="54"/>
    </row>
    <row r="46275" spans="31:31">
      <c r="AE46275" s="54"/>
    </row>
    <row r="46276" spans="31:31">
      <c r="AE46276" s="54"/>
    </row>
    <row r="46277" spans="31:31">
      <c r="AE46277" s="54"/>
    </row>
    <row r="46278" spans="31:31">
      <c r="AE46278" s="54"/>
    </row>
    <row r="46279" spans="31:31">
      <c r="AE46279" s="54"/>
    </row>
    <row r="46280" spans="31:31">
      <c r="AE46280" s="54"/>
    </row>
    <row r="46281" spans="31:31">
      <c r="AE46281" s="54"/>
    </row>
    <row r="46282" spans="31:31">
      <c r="AE46282" s="54"/>
    </row>
    <row r="46283" spans="31:31">
      <c r="AE46283" s="54"/>
    </row>
    <row r="46284" spans="31:31">
      <c r="AE46284" s="54"/>
    </row>
    <row r="46285" spans="31:31">
      <c r="AE46285" s="54"/>
    </row>
    <row r="46286" spans="31:31">
      <c r="AE46286" s="54"/>
    </row>
    <row r="46287" spans="31:31">
      <c r="AE46287" s="54"/>
    </row>
    <row r="46288" spans="31:31">
      <c r="AE46288" s="54"/>
    </row>
    <row r="46289" spans="31:31">
      <c r="AE46289" s="54"/>
    </row>
    <row r="46290" spans="31:31">
      <c r="AE46290" s="54"/>
    </row>
    <row r="46291" spans="31:31">
      <c r="AE46291" s="54"/>
    </row>
    <row r="46292" spans="31:31">
      <c r="AE46292" s="54"/>
    </row>
    <row r="46293" spans="31:31">
      <c r="AE46293" s="54"/>
    </row>
    <row r="46294" spans="31:31">
      <c r="AE46294" s="54"/>
    </row>
    <row r="46295" spans="31:31">
      <c r="AE46295" s="54"/>
    </row>
    <row r="46296" spans="31:31">
      <c r="AE46296" s="54"/>
    </row>
    <row r="46297" spans="31:31">
      <c r="AE46297" s="54"/>
    </row>
    <row r="46298" spans="31:31">
      <c r="AE46298" s="54"/>
    </row>
    <row r="46299" spans="31:31">
      <c r="AE46299" s="54"/>
    </row>
    <row r="46300" spans="31:31">
      <c r="AE46300" s="54"/>
    </row>
    <row r="46301" spans="31:31">
      <c r="AE46301" s="54"/>
    </row>
    <row r="46302" spans="31:31">
      <c r="AE46302" s="54"/>
    </row>
    <row r="46303" spans="31:31">
      <c r="AE46303" s="54"/>
    </row>
    <row r="46304" spans="31:31">
      <c r="AE46304" s="54"/>
    </row>
    <row r="46305" spans="31:31">
      <c r="AE46305" s="54"/>
    </row>
    <row r="46306" spans="31:31">
      <c r="AE46306" s="54"/>
    </row>
    <row r="46307" spans="31:31">
      <c r="AE46307" s="54"/>
    </row>
    <row r="46308" spans="31:31">
      <c r="AE46308" s="54"/>
    </row>
    <row r="46309" spans="31:31">
      <c r="AE46309" s="54"/>
    </row>
    <row r="46310" spans="31:31">
      <c r="AE46310" s="54"/>
    </row>
    <row r="46311" spans="31:31">
      <c r="AE46311" s="54"/>
    </row>
    <row r="46312" spans="31:31">
      <c r="AE46312" s="54"/>
    </row>
    <row r="46313" spans="31:31">
      <c r="AE46313" s="54"/>
    </row>
    <row r="46314" spans="31:31">
      <c r="AE46314" s="54"/>
    </row>
    <row r="46315" spans="31:31">
      <c r="AE46315" s="54"/>
    </row>
    <row r="46316" spans="31:31">
      <c r="AE46316" s="54"/>
    </row>
    <row r="46317" spans="31:31">
      <c r="AE46317" s="54"/>
    </row>
    <row r="46318" spans="31:31">
      <c r="AE46318" s="54"/>
    </row>
    <row r="46319" spans="31:31">
      <c r="AE46319" s="54"/>
    </row>
    <row r="46320" spans="31:31">
      <c r="AE46320" s="54"/>
    </row>
    <row r="46321" spans="31:31">
      <c r="AE46321" s="54"/>
    </row>
    <row r="46322" spans="31:31">
      <c r="AE46322" s="54"/>
    </row>
    <row r="46323" spans="31:31">
      <c r="AE46323" s="54"/>
    </row>
    <row r="46324" spans="31:31">
      <c r="AE46324" s="54"/>
    </row>
    <row r="46325" spans="31:31">
      <c r="AE46325" s="54"/>
    </row>
    <row r="46326" spans="31:31">
      <c r="AE46326" s="54"/>
    </row>
    <row r="46327" spans="31:31">
      <c r="AE46327" s="54"/>
    </row>
    <row r="46328" spans="31:31">
      <c r="AE46328" s="54"/>
    </row>
    <row r="46329" spans="31:31">
      <c r="AE46329" s="54"/>
    </row>
    <row r="46330" spans="31:31">
      <c r="AE46330" s="54"/>
    </row>
    <row r="46331" spans="31:31">
      <c r="AE46331" s="54"/>
    </row>
    <row r="46332" spans="31:31">
      <c r="AE46332" s="54"/>
    </row>
    <row r="46333" spans="31:31">
      <c r="AE46333" s="54"/>
    </row>
    <row r="46334" spans="31:31">
      <c r="AE46334" s="54"/>
    </row>
    <row r="46335" spans="31:31">
      <c r="AE46335" s="54"/>
    </row>
    <row r="46336" spans="31:31">
      <c r="AE46336" s="54"/>
    </row>
    <row r="46337" spans="31:31">
      <c r="AE46337" s="54"/>
    </row>
    <row r="46338" spans="31:31">
      <c r="AE46338" s="54"/>
    </row>
    <row r="46339" spans="31:31">
      <c r="AE46339" s="54"/>
    </row>
    <row r="46340" spans="31:31">
      <c r="AE46340" s="54"/>
    </row>
    <row r="46341" spans="31:31">
      <c r="AE46341" s="54"/>
    </row>
    <row r="46342" spans="31:31">
      <c r="AE46342" s="54"/>
    </row>
    <row r="46343" spans="31:31">
      <c r="AE46343" s="54"/>
    </row>
    <row r="46344" spans="31:31">
      <c r="AE46344" s="54"/>
    </row>
    <row r="46345" spans="31:31">
      <c r="AE46345" s="54"/>
    </row>
    <row r="46346" spans="31:31">
      <c r="AE46346" s="54"/>
    </row>
    <row r="46347" spans="31:31">
      <c r="AE46347" s="54"/>
    </row>
    <row r="46348" spans="31:31">
      <c r="AE46348" s="54"/>
    </row>
    <row r="46349" spans="31:31">
      <c r="AE46349" s="54"/>
    </row>
    <row r="46350" spans="31:31">
      <c r="AE46350" s="54"/>
    </row>
    <row r="46351" spans="31:31">
      <c r="AE46351" s="54"/>
    </row>
    <row r="46352" spans="31:31">
      <c r="AE46352" s="54"/>
    </row>
    <row r="46353" spans="31:31">
      <c r="AE46353" s="54"/>
    </row>
    <row r="46354" spans="31:31">
      <c r="AE46354" s="54"/>
    </row>
    <row r="46355" spans="31:31">
      <c r="AE46355" s="54"/>
    </row>
    <row r="46356" spans="31:31">
      <c r="AE46356" s="54"/>
    </row>
    <row r="46357" spans="31:31">
      <c r="AE46357" s="54"/>
    </row>
    <row r="46358" spans="31:31">
      <c r="AE46358" s="54"/>
    </row>
    <row r="46359" spans="31:31">
      <c r="AE46359" s="54"/>
    </row>
    <row r="46360" spans="31:31">
      <c r="AE46360" s="54"/>
    </row>
    <row r="46361" spans="31:31">
      <c r="AE46361" s="54"/>
    </row>
    <row r="46362" spans="31:31">
      <c r="AE46362" s="54"/>
    </row>
    <row r="46363" spans="31:31">
      <c r="AE46363" s="54"/>
    </row>
    <row r="46364" spans="31:31">
      <c r="AE46364" s="54"/>
    </row>
    <row r="46365" spans="31:31">
      <c r="AE46365" s="54"/>
    </row>
    <row r="46366" spans="31:31">
      <c r="AE46366" s="54"/>
    </row>
    <row r="46367" spans="31:31">
      <c r="AE46367" s="54"/>
    </row>
    <row r="46368" spans="31:31">
      <c r="AE46368" s="54"/>
    </row>
    <row r="46369" spans="31:31">
      <c r="AE46369" s="54"/>
    </row>
    <row r="46370" spans="31:31">
      <c r="AE46370" s="54"/>
    </row>
    <row r="46371" spans="31:31">
      <c r="AE46371" s="54"/>
    </row>
    <row r="46372" spans="31:31">
      <c r="AE46372" s="54"/>
    </row>
    <row r="46373" spans="31:31">
      <c r="AE46373" s="54"/>
    </row>
    <row r="46374" spans="31:31">
      <c r="AE46374" s="54"/>
    </row>
    <row r="46375" spans="31:31">
      <c r="AE46375" s="54"/>
    </row>
    <row r="46376" spans="31:31">
      <c r="AE46376" s="54"/>
    </row>
    <row r="46377" spans="31:31">
      <c r="AE46377" s="54"/>
    </row>
    <row r="46378" spans="31:31">
      <c r="AE46378" s="54"/>
    </row>
    <row r="46379" spans="31:31">
      <c r="AE46379" s="54"/>
    </row>
    <row r="46380" spans="31:31">
      <c r="AE46380" s="54"/>
    </row>
    <row r="46381" spans="31:31">
      <c r="AE46381" s="54"/>
    </row>
    <row r="46382" spans="31:31">
      <c r="AE46382" s="54"/>
    </row>
    <row r="46383" spans="31:31">
      <c r="AE46383" s="54"/>
    </row>
    <row r="46384" spans="31:31">
      <c r="AE46384" s="54"/>
    </row>
    <row r="46385" spans="31:31">
      <c r="AE46385" s="54"/>
    </row>
    <row r="46386" spans="31:31">
      <c r="AE46386" s="54"/>
    </row>
    <row r="46387" spans="31:31">
      <c r="AE46387" s="54"/>
    </row>
    <row r="46388" spans="31:31">
      <c r="AE46388" s="54"/>
    </row>
    <row r="46389" spans="31:31">
      <c r="AE46389" s="54"/>
    </row>
    <row r="46390" spans="31:31">
      <c r="AE46390" s="54"/>
    </row>
    <row r="46391" spans="31:31">
      <c r="AE46391" s="54"/>
    </row>
    <row r="46392" spans="31:31">
      <c r="AE46392" s="54"/>
    </row>
    <row r="46393" spans="31:31">
      <c r="AE46393" s="54"/>
    </row>
    <row r="46394" spans="31:31">
      <c r="AE46394" s="54"/>
    </row>
    <row r="46395" spans="31:31">
      <c r="AE46395" s="54"/>
    </row>
    <row r="46396" spans="31:31">
      <c r="AE46396" s="54"/>
    </row>
    <row r="46397" spans="31:31">
      <c r="AE46397" s="54"/>
    </row>
    <row r="46398" spans="31:31">
      <c r="AE46398" s="54"/>
    </row>
    <row r="46399" spans="31:31">
      <c r="AE46399" s="54"/>
    </row>
    <row r="46400" spans="31:31">
      <c r="AE46400" s="54"/>
    </row>
    <row r="46401" spans="31:31">
      <c r="AE46401" s="54"/>
    </row>
    <row r="46402" spans="31:31">
      <c r="AE46402" s="54"/>
    </row>
    <row r="46403" spans="31:31">
      <c r="AE46403" s="54"/>
    </row>
    <row r="46404" spans="31:31">
      <c r="AE46404" s="54"/>
    </row>
    <row r="46405" spans="31:31">
      <c r="AE46405" s="54"/>
    </row>
    <row r="46406" spans="31:31">
      <c r="AE46406" s="54"/>
    </row>
    <row r="46407" spans="31:31">
      <c r="AE46407" s="54"/>
    </row>
    <row r="46408" spans="31:31">
      <c r="AE46408" s="54"/>
    </row>
    <row r="46409" spans="31:31">
      <c r="AE46409" s="54"/>
    </row>
    <row r="46410" spans="31:31">
      <c r="AE46410" s="54"/>
    </row>
    <row r="46411" spans="31:31">
      <c r="AE46411" s="54"/>
    </row>
    <row r="46412" spans="31:31">
      <c r="AE46412" s="54"/>
    </row>
    <row r="46413" spans="31:31">
      <c r="AE46413" s="54"/>
    </row>
    <row r="46414" spans="31:31">
      <c r="AE46414" s="54"/>
    </row>
    <row r="46415" spans="31:31">
      <c r="AE46415" s="54"/>
    </row>
    <row r="46416" spans="31:31">
      <c r="AE46416" s="54"/>
    </row>
    <row r="46417" spans="31:31">
      <c r="AE46417" s="54"/>
    </row>
    <row r="46418" spans="31:31">
      <c r="AE46418" s="54"/>
    </row>
    <row r="46419" spans="31:31">
      <c r="AE46419" s="54"/>
    </row>
    <row r="46420" spans="31:31">
      <c r="AE46420" s="54"/>
    </row>
    <row r="46421" spans="31:31">
      <c r="AE46421" s="54"/>
    </row>
    <row r="46422" spans="31:31">
      <c r="AE46422" s="54"/>
    </row>
    <row r="46423" spans="31:31">
      <c r="AE46423" s="54"/>
    </row>
    <row r="46424" spans="31:31">
      <c r="AE46424" s="54"/>
    </row>
    <row r="46425" spans="31:31">
      <c r="AE46425" s="54"/>
    </row>
    <row r="46426" spans="31:31">
      <c r="AE46426" s="54"/>
    </row>
    <row r="46427" spans="31:31">
      <c r="AE46427" s="54"/>
    </row>
    <row r="46428" spans="31:31">
      <c r="AE46428" s="54"/>
    </row>
    <row r="46429" spans="31:31">
      <c r="AE46429" s="54"/>
    </row>
    <row r="46430" spans="31:31">
      <c r="AE46430" s="54"/>
    </row>
    <row r="46431" spans="31:31">
      <c r="AE46431" s="54"/>
    </row>
    <row r="46432" spans="31:31">
      <c r="AE46432" s="54"/>
    </row>
    <row r="46433" spans="31:31">
      <c r="AE46433" s="54"/>
    </row>
    <row r="46434" spans="31:31">
      <c r="AE46434" s="54"/>
    </row>
    <row r="46435" spans="31:31">
      <c r="AE46435" s="54"/>
    </row>
    <row r="46436" spans="31:31">
      <c r="AE46436" s="54"/>
    </row>
    <row r="46437" spans="31:31">
      <c r="AE46437" s="54"/>
    </row>
    <row r="46438" spans="31:31">
      <c r="AE46438" s="54"/>
    </row>
    <row r="46439" spans="31:31">
      <c r="AE46439" s="54"/>
    </row>
    <row r="46440" spans="31:31">
      <c r="AE46440" s="54"/>
    </row>
    <row r="46441" spans="31:31">
      <c r="AE46441" s="54"/>
    </row>
    <row r="46442" spans="31:31">
      <c r="AE46442" s="54"/>
    </row>
    <row r="46443" spans="31:31">
      <c r="AE46443" s="54"/>
    </row>
    <row r="46444" spans="31:31">
      <c r="AE46444" s="54"/>
    </row>
    <row r="46445" spans="31:31">
      <c r="AE46445" s="54"/>
    </row>
    <row r="46446" spans="31:31">
      <c r="AE46446" s="54"/>
    </row>
    <row r="46447" spans="31:31">
      <c r="AE46447" s="54"/>
    </row>
    <row r="46448" spans="31:31">
      <c r="AE46448" s="54"/>
    </row>
    <row r="46449" spans="31:31">
      <c r="AE46449" s="54"/>
    </row>
    <row r="46450" spans="31:31">
      <c r="AE46450" s="54"/>
    </row>
    <row r="46451" spans="31:31">
      <c r="AE46451" s="54"/>
    </row>
    <row r="46452" spans="31:31">
      <c r="AE46452" s="54"/>
    </row>
    <row r="46453" spans="31:31">
      <c r="AE46453" s="54"/>
    </row>
    <row r="46454" spans="31:31">
      <c r="AE46454" s="54"/>
    </row>
    <row r="46455" spans="31:31">
      <c r="AE46455" s="54"/>
    </row>
    <row r="46456" spans="31:31">
      <c r="AE46456" s="54"/>
    </row>
    <row r="46457" spans="31:31">
      <c r="AE46457" s="54"/>
    </row>
    <row r="46458" spans="31:31">
      <c r="AE46458" s="54"/>
    </row>
    <row r="46459" spans="31:31">
      <c r="AE46459" s="54"/>
    </row>
    <row r="46460" spans="31:31">
      <c r="AE46460" s="54"/>
    </row>
    <row r="46461" spans="31:31">
      <c r="AE46461" s="54"/>
    </row>
    <row r="46462" spans="31:31">
      <c r="AE46462" s="54"/>
    </row>
    <row r="46463" spans="31:31">
      <c r="AE46463" s="54"/>
    </row>
    <row r="46464" spans="31:31">
      <c r="AE46464" s="54"/>
    </row>
    <row r="46465" spans="31:31">
      <c r="AE46465" s="54"/>
    </row>
    <row r="46466" spans="31:31">
      <c r="AE46466" s="54"/>
    </row>
    <row r="46467" spans="31:31">
      <c r="AE46467" s="54"/>
    </row>
    <row r="46468" spans="31:31">
      <c r="AE46468" s="54"/>
    </row>
    <row r="46469" spans="31:31">
      <c r="AE46469" s="54"/>
    </row>
    <row r="46470" spans="31:31">
      <c r="AE46470" s="54"/>
    </row>
    <row r="46471" spans="31:31">
      <c r="AE46471" s="54"/>
    </row>
    <row r="46472" spans="31:31">
      <c r="AE46472" s="54"/>
    </row>
    <row r="46473" spans="31:31">
      <c r="AE46473" s="54"/>
    </row>
    <row r="46474" spans="31:31">
      <c r="AE46474" s="54"/>
    </row>
    <row r="46475" spans="31:31">
      <c r="AE46475" s="54"/>
    </row>
    <row r="46476" spans="31:31">
      <c r="AE46476" s="54"/>
    </row>
    <row r="46477" spans="31:31">
      <c r="AE46477" s="54"/>
    </row>
    <row r="46478" spans="31:31">
      <c r="AE46478" s="54"/>
    </row>
    <row r="46479" spans="31:31">
      <c r="AE46479" s="54"/>
    </row>
    <row r="46480" spans="31:31">
      <c r="AE46480" s="54"/>
    </row>
    <row r="46481" spans="31:31">
      <c r="AE46481" s="54"/>
    </row>
    <row r="46482" spans="31:31">
      <c r="AE46482" s="54"/>
    </row>
    <row r="46483" spans="31:31">
      <c r="AE46483" s="54"/>
    </row>
    <row r="46484" spans="31:31">
      <c r="AE46484" s="54"/>
    </row>
    <row r="46485" spans="31:31">
      <c r="AE46485" s="54"/>
    </row>
    <row r="46486" spans="31:31">
      <c r="AE46486" s="54"/>
    </row>
    <row r="46487" spans="31:31">
      <c r="AE46487" s="54"/>
    </row>
    <row r="46488" spans="31:31">
      <c r="AE46488" s="54"/>
    </row>
    <row r="46489" spans="31:31">
      <c r="AE46489" s="54"/>
    </row>
    <row r="46490" spans="31:31">
      <c r="AE46490" s="54"/>
    </row>
    <row r="46491" spans="31:31">
      <c r="AE46491" s="54"/>
    </row>
    <row r="46492" spans="31:31">
      <c r="AE46492" s="54"/>
    </row>
    <row r="46493" spans="31:31">
      <c r="AE46493" s="54"/>
    </row>
    <row r="46494" spans="31:31">
      <c r="AE46494" s="54"/>
    </row>
    <row r="46495" spans="31:31">
      <c r="AE46495" s="54"/>
    </row>
    <row r="46496" spans="31:31">
      <c r="AE46496" s="54"/>
    </row>
    <row r="46497" spans="31:31">
      <c r="AE46497" s="54"/>
    </row>
    <row r="46498" spans="31:31">
      <c r="AE46498" s="54"/>
    </row>
    <row r="46499" spans="31:31">
      <c r="AE46499" s="54"/>
    </row>
    <row r="46500" spans="31:31">
      <c r="AE46500" s="54"/>
    </row>
    <row r="46501" spans="31:31">
      <c r="AE46501" s="54"/>
    </row>
    <row r="46502" spans="31:31">
      <c r="AE46502" s="54"/>
    </row>
    <row r="46503" spans="31:31">
      <c r="AE46503" s="54"/>
    </row>
    <row r="46504" spans="31:31">
      <c r="AE46504" s="54"/>
    </row>
    <row r="46505" spans="31:31">
      <c r="AE46505" s="54"/>
    </row>
    <row r="46506" spans="31:31">
      <c r="AE46506" s="54"/>
    </row>
    <row r="46507" spans="31:31">
      <c r="AE46507" s="54"/>
    </row>
    <row r="46508" spans="31:31">
      <c r="AE46508" s="54"/>
    </row>
    <row r="46509" spans="31:31">
      <c r="AE46509" s="54"/>
    </row>
    <row r="46510" spans="31:31">
      <c r="AE46510" s="54"/>
    </row>
    <row r="46511" spans="31:31">
      <c r="AE46511" s="54"/>
    </row>
    <row r="46512" spans="31:31">
      <c r="AE46512" s="54"/>
    </row>
    <row r="46513" spans="31:31">
      <c r="AE46513" s="54"/>
    </row>
    <row r="46514" spans="31:31">
      <c r="AE46514" s="54"/>
    </row>
    <row r="46515" spans="31:31">
      <c r="AE46515" s="54"/>
    </row>
    <row r="46516" spans="31:31">
      <c r="AE46516" s="54"/>
    </row>
    <row r="46517" spans="31:31">
      <c r="AE46517" s="54"/>
    </row>
    <row r="46518" spans="31:31">
      <c r="AE46518" s="54"/>
    </row>
    <row r="46519" spans="31:31">
      <c r="AE46519" s="54"/>
    </row>
    <row r="46520" spans="31:31">
      <c r="AE46520" s="54"/>
    </row>
    <row r="46521" spans="31:31">
      <c r="AE46521" s="54"/>
    </row>
    <row r="46522" spans="31:31">
      <c r="AE46522" s="54"/>
    </row>
    <row r="46523" spans="31:31">
      <c r="AE46523" s="54"/>
    </row>
    <row r="46524" spans="31:31">
      <c r="AE46524" s="54"/>
    </row>
    <row r="46525" spans="31:31">
      <c r="AE46525" s="54"/>
    </row>
    <row r="46526" spans="31:31">
      <c r="AE46526" s="54"/>
    </row>
    <row r="46527" spans="31:31">
      <c r="AE46527" s="54"/>
    </row>
    <row r="46528" spans="31:31">
      <c r="AE46528" s="54"/>
    </row>
    <row r="46529" spans="31:31">
      <c r="AE46529" s="54"/>
    </row>
    <row r="46530" spans="31:31">
      <c r="AE46530" s="54"/>
    </row>
    <row r="46531" spans="31:31">
      <c r="AE46531" s="54"/>
    </row>
    <row r="46532" spans="31:31">
      <c r="AE46532" s="54"/>
    </row>
    <row r="46533" spans="31:31">
      <c r="AE46533" s="54"/>
    </row>
    <row r="46534" spans="31:31">
      <c r="AE46534" s="54"/>
    </row>
    <row r="46535" spans="31:31">
      <c r="AE46535" s="54"/>
    </row>
    <row r="46536" spans="31:31">
      <c r="AE46536" s="54"/>
    </row>
    <row r="46537" spans="31:31">
      <c r="AE46537" s="54"/>
    </row>
    <row r="46538" spans="31:31">
      <c r="AE46538" s="54"/>
    </row>
    <row r="46539" spans="31:31">
      <c r="AE46539" s="54"/>
    </row>
    <row r="46540" spans="31:31">
      <c r="AE46540" s="54"/>
    </row>
    <row r="46541" spans="31:31">
      <c r="AE46541" s="54"/>
    </row>
    <row r="46542" spans="31:31">
      <c r="AE46542" s="54"/>
    </row>
    <row r="46543" spans="31:31">
      <c r="AE46543" s="54"/>
    </row>
    <row r="46544" spans="31:31">
      <c r="AE46544" s="54"/>
    </row>
    <row r="46545" spans="31:31">
      <c r="AE46545" s="54"/>
    </row>
    <row r="46546" spans="31:31">
      <c r="AE46546" s="54"/>
    </row>
    <row r="46547" spans="31:31">
      <c r="AE46547" s="54"/>
    </row>
    <row r="46548" spans="31:31">
      <c r="AE46548" s="54"/>
    </row>
    <row r="46549" spans="31:31">
      <c r="AE46549" s="54"/>
    </row>
    <row r="46550" spans="31:31">
      <c r="AE46550" s="54"/>
    </row>
    <row r="46551" spans="31:31">
      <c r="AE46551" s="54"/>
    </row>
    <row r="46552" spans="31:31">
      <c r="AE46552" s="54"/>
    </row>
    <row r="46553" spans="31:31">
      <c r="AE46553" s="54"/>
    </row>
    <row r="46554" spans="31:31">
      <c r="AE46554" s="54"/>
    </row>
    <row r="46555" spans="31:31">
      <c r="AE46555" s="54"/>
    </row>
    <row r="46556" spans="31:31">
      <c r="AE46556" s="54"/>
    </row>
    <row r="46557" spans="31:31">
      <c r="AE46557" s="54"/>
    </row>
    <row r="46558" spans="31:31">
      <c r="AE46558" s="54"/>
    </row>
    <row r="46559" spans="31:31">
      <c r="AE46559" s="54"/>
    </row>
    <row r="46560" spans="31:31">
      <c r="AE46560" s="54"/>
    </row>
    <row r="46561" spans="31:31">
      <c r="AE46561" s="54"/>
    </row>
    <row r="46562" spans="31:31">
      <c r="AE46562" s="54"/>
    </row>
    <row r="46563" spans="31:31">
      <c r="AE46563" s="54"/>
    </row>
    <row r="46564" spans="31:31">
      <c r="AE46564" s="54"/>
    </row>
    <row r="46565" spans="31:31">
      <c r="AE46565" s="54"/>
    </row>
    <row r="46566" spans="31:31">
      <c r="AE46566" s="54"/>
    </row>
    <row r="46567" spans="31:31">
      <c r="AE46567" s="54"/>
    </row>
    <row r="46568" spans="31:31">
      <c r="AE46568" s="54"/>
    </row>
    <row r="46569" spans="31:31">
      <c r="AE46569" s="54"/>
    </row>
    <row r="46570" spans="31:31">
      <c r="AE46570" s="54"/>
    </row>
    <row r="46571" spans="31:31">
      <c r="AE46571" s="54"/>
    </row>
    <row r="46572" spans="31:31">
      <c r="AE46572" s="54"/>
    </row>
    <row r="46573" spans="31:31">
      <c r="AE46573" s="54"/>
    </row>
    <row r="46574" spans="31:31">
      <c r="AE46574" s="54"/>
    </row>
    <row r="46575" spans="31:31">
      <c r="AE46575" s="54"/>
    </row>
    <row r="46576" spans="31:31">
      <c r="AE46576" s="54"/>
    </row>
    <row r="46577" spans="31:31">
      <c r="AE46577" s="54"/>
    </row>
    <row r="46578" spans="31:31">
      <c r="AE46578" s="54"/>
    </row>
    <row r="46579" spans="31:31">
      <c r="AE46579" s="54"/>
    </row>
    <row r="46580" spans="31:31">
      <c r="AE46580" s="54"/>
    </row>
    <row r="46581" spans="31:31">
      <c r="AE46581" s="54"/>
    </row>
    <row r="46582" spans="31:31">
      <c r="AE46582" s="54"/>
    </row>
    <row r="46583" spans="31:31">
      <c r="AE46583" s="54"/>
    </row>
    <row r="46584" spans="31:31">
      <c r="AE46584" s="54"/>
    </row>
    <row r="46585" spans="31:31">
      <c r="AE46585" s="54"/>
    </row>
    <row r="46586" spans="31:31">
      <c r="AE46586" s="54"/>
    </row>
    <row r="46587" spans="31:31">
      <c r="AE46587" s="54"/>
    </row>
    <row r="46588" spans="31:31">
      <c r="AE46588" s="54"/>
    </row>
    <row r="46589" spans="31:31">
      <c r="AE46589" s="54"/>
    </row>
    <row r="46590" spans="31:31">
      <c r="AE46590" s="54"/>
    </row>
    <row r="46591" spans="31:31">
      <c r="AE46591" s="54"/>
    </row>
    <row r="46592" spans="31:31">
      <c r="AE46592" s="54"/>
    </row>
    <row r="46593" spans="31:31">
      <c r="AE46593" s="54"/>
    </row>
    <row r="46594" spans="31:31">
      <c r="AE46594" s="54"/>
    </row>
    <row r="46595" spans="31:31">
      <c r="AE46595" s="54"/>
    </row>
    <row r="46596" spans="31:31">
      <c r="AE46596" s="54"/>
    </row>
    <row r="46597" spans="31:31">
      <c r="AE46597" s="54"/>
    </row>
    <row r="46598" spans="31:31">
      <c r="AE46598" s="54"/>
    </row>
    <row r="46599" spans="31:31">
      <c r="AE46599" s="54"/>
    </row>
    <row r="46600" spans="31:31">
      <c r="AE46600" s="54"/>
    </row>
    <row r="46601" spans="31:31">
      <c r="AE46601" s="54"/>
    </row>
    <row r="46602" spans="31:31">
      <c r="AE46602" s="54"/>
    </row>
    <row r="46603" spans="31:31">
      <c r="AE46603" s="54"/>
    </row>
    <row r="46604" spans="31:31">
      <c r="AE46604" s="54"/>
    </row>
    <row r="46605" spans="31:31">
      <c r="AE46605" s="54"/>
    </row>
    <row r="46606" spans="31:31">
      <c r="AE46606" s="54"/>
    </row>
    <row r="46607" spans="31:31">
      <c r="AE46607" s="54"/>
    </row>
    <row r="46608" spans="31:31">
      <c r="AE46608" s="54"/>
    </row>
    <row r="46609" spans="31:31">
      <c r="AE46609" s="54"/>
    </row>
    <row r="46610" spans="31:31">
      <c r="AE46610" s="54"/>
    </row>
    <row r="46611" spans="31:31">
      <c r="AE46611" s="54"/>
    </row>
    <row r="46612" spans="31:31">
      <c r="AE46612" s="54"/>
    </row>
    <row r="46613" spans="31:31">
      <c r="AE46613" s="54"/>
    </row>
    <row r="46614" spans="31:31">
      <c r="AE46614" s="54"/>
    </row>
    <row r="46615" spans="31:31">
      <c r="AE46615" s="54"/>
    </row>
    <row r="46616" spans="31:31">
      <c r="AE46616" s="54"/>
    </row>
    <row r="46617" spans="31:31">
      <c r="AE46617" s="54"/>
    </row>
    <row r="46618" spans="31:31">
      <c r="AE46618" s="54"/>
    </row>
    <row r="46619" spans="31:31">
      <c r="AE46619" s="54"/>
    </row>
    <row r="46620" spans="31:31">
      <c r="AE46620" s="54"/>
    </row>
    <row r="46621" spans="31:31">
      <c r="AE46621" s="54"/>
    </row>
    <row r="46622" spans="31:31">
      <c r="AE46622" s="54"/>
    </row>
    <row r="46623" spans="31:31">
      <c r="AE46623" s="54"/>
    </row>
    <row r="46624" spans="31:31">
      <c r="AE46624" s="54"/>
    </row>
    <row r="46625" spans="31:31">
      <c r="AE46625" s="54"/>
    </row>
    <row r="46626" spans="31:31">
      <c r="AE46626" s="54"/>
    </row>
    <row r="46627" spans="31:31">
      <c r="AE46627" s="54"/>
    </row>
    <row r="46628" spans="31:31">
      <c r="AE46628" s="54"/>
    </row>
    <row r="46629" spans="31:31">
      <c r="AE46629" s="54"/>
    </row>
    <row r="46630" spans="31:31">
      <c r="AE46630" s="54"/>
    </row>
    <row r="46631" spans="31:31">
      <c r="AE46631" s="54"/>
    </row>
    <row r="46632" spans="31:31">
      <c r="AE46632" s="54"/>
    </row>
    <row r="46633" spans="31:31">
      <c r="AE46633" s="54"/>
    </row>
    <row r="46634" spans="31:31">
      <c r="AE46634" s="54"/>
    </row>
    <row r="46635" spans="31:31">
      <c r="AE46635" s="54"/>
    </row>
    <row r="46636" spans="31:31">
      <c r="AE46636" s="54"/>
    </row>
    <row r="46637" spans="31:31">
      <c r="AE46637" s="54"/>
    </row>
    <row r="46638" spans="31:31">
      <c r="AE46638" s="54"/>
    </row>
    <row r="46639" spans="31:31">
      <c r="AE46639" s="54"/>
    </row>
    <row r="46640" spans="31:31">
      <c r="AE46640" s="54"/>
    </row>
    <row r="46641" spans="31:31">
      <c r="AE46641" s="54"/>
    </row>
    <row r="46642" spans="31:31">
      <c r="AE46642" s="54"/>
    </row>
    <row r="46643" spans="31:31">
      <c r="AE46643" s="54"/>
    </row>
    <row r="46644" spans="31:31">
      <c r="AE46644" s="54"/>
    </row>
    <row r="46645" spans="31:31">
      <c r="AE46645" s="54"/>
    </row>
    <row r="46646" spans="31:31">
      <c r="AE46646" s="54"/>
    </row>
    <row r="46647" spans="31:31">
      <c r="AE46647" s="54"/>
    </row>
    <row r="46648" spans="31:31">
      <c r="AE46648" s="54"/>
    </row>
    <row r="46649" spans="31:31">
      <c r="AE46649" s="54"/>
    </row>
    <row r="46650" spans="31:31">
      <c r="AE46650" s="54"/>
    </row>
    <row r="46651" spans="31:31">
      <c r="AE46651" s="54"/>
    </row>
    <row r="46652" spans="31:31">
      <c r="AE46652" s="54"/>
    </row>
    <row r="46653" spans="31:31">
      <c r="AE46653" s="54"/>
    </row>
    <row r="46654" spans="31:31">
      <c r="AE46654" s="54"/>
    </row>
    <row r="46655" spans="31:31">
      <c r="AE46655" s="54"/>
    </row>
    <row r="46656" spans="31:31">
      <c r="AE46656" s="54"/>
    </row>
    <row r="46657" spans="31:31">
      <c r="AE46657" s="54"/>
    </row>
    <row r="46658" spans="31:31">
      <c r="AE46658" s="54"/>
    </row>
    <row r="46659" spans="31:31">
      <c r="AE46659" s="54"/>
    </row>
    <row r="46660" spans="31:31">
      <c r="AE46660" s="54"/>
    </row>
    <row r="46661" spans="31:31">
      <c r="AE46661" s="54"/>
    </row>
    <row r="46662" spans="31:31">
      <c r="AE46662" s="54"/>
    </row>
    <row r="46663" spans="31:31">
      <c r="AE46663" s="54"/>
    </row>
    <row r="46664" spans="31:31">
      <c r="AE46664" s="54"/>
    </row>
    <row r="46665" spans="31:31">
      <c r="AE46665" s="54"/>
    </row>
    <row r="46666" spans="31:31">
      <c r="AE46666" s="54"/>
    </row>
    <row r="46667" spans="31:31">
      <c r="AE46667" s="54"/>
    </row>
    <row r="46668" spans="31:31">
      <c r="AE46668" s="54"/>
    </row>
    <row r="46669" spans="31:31">
      <c r="AE46669" s="54"/>
    </row>
    <row r="46670" spans="31:31">
      <c r="AE46670" s="54"/>
    </row>
    <row r="46671" spans="31:31">
      <c r="AE46671" s="54"/>
    </row>
    <row r="46672" spans="31:31">
      <c r="AE46672" s="54"/>
    </row>
    <row r="46673" spans="31:31">
      <c r="AE46673" s="54"/>
    </row>
    <row r="46674" spans="31:31">
      <c r="AE46674" s="54"/>
    </row>
    <row r="46675" spans="31:31">
      <c r="AE46675" s="54"/>
    </row>
    <row r="46676" spans="31:31">
      <c r="AE46676" s="54"/>
    </row>
    <row r="46677" spans="31:31">
      <c r="AE46677" s="54"/>
    </row>
    <row r="46678" spans="31:31">
      <c r="AE46678" s="54"/>
    </row>
    <row r="46679" spans="31:31">
      <c r="AE46679" s="54"/>
    </row>
    <row r="46680" spans="31:31">
      <c r="AE46680" s="54"/>
    </row>
    <row r="46681" spans="31:31">
      <c r="AE46681" s="54"/>
    </row>
    <row r="46682" spans="31:31">
      <c r="AE46682" s="54"/>
    </row>
    <row r="46683" spans="31:31">
      <c r="AE46683" s="54"/>
    </row>
    <row r="46684" spans="31:31">
      <c r="AE46684" s="54"/>
    </row>
    <row r="46685" spans="31:31">
      <c r="AE46685" s="54"/>
    </row>
    <row r="46686" spans="31:31">
      <c r="AE46686" s="54"/>
    </row>
    <row r="46687" spans="31:31">
      <c r="AE46687" s="54"/>
    </row>
    <row r="46688" spans="31:31">
      <c r="AE46688" s="54"/>
    </row>
    <row r="46689" spans="31:31">
      <c r="AE46689" s="54"/>
    </row>
    <row r="46690" spans="31:31">
      <c r="AE46690" s="54"/>
    </row>
    <row r="46691" spans="31:31">
      <c r="AE46691" s="54"/>
    </row>
    <row r="46692" spans="31:31">
      <c r="AE46692" s="54"/>
    </row>
    <row r="46693" spans="31:31">
      <c r="AE46693" s="54"/>
    </row>
    <row r="46694" spans="31:31">
      <c r="AE46694" s="54"/>
    </row>
    <row r="46695" spans="31:31">
      <c r="AE46695" s="54"/>
    </row>
    <row r="46696" spans="31:31">
      <c r="AE46696" s="54"/>
    </row>
    <row r="46697" spans="31:31">
      <c r="AE46697" s="54"/>
    </row>
    <row r="46698" spans="31:31">
      <c r="AE46698" s="54"/>
    </row>
    <row r="46699" spans="31:31">
      <c r="AE46699" s="54"/>
    </row>
    <row r="46700" spans="31:31">
      <c r="AE46700" s="54"/>
    </row>
    <row r="46701" spans="31:31">
      <c r="AE46701" s="54"/>
    </row>
    <row r="46702" spans="31:31">
      <c r="AE46702" s="54"/>
    </row>
    <row r="46703" spans="31:31">
      <c r="AE46703" s="54"/>
    </row>
    <row r="46704" spans="31:31">
      <c r="AE46704" s="54"/>
    </row>
    <row r="46705" spans="31:31">
      <c r="AE46705" s="54"/>
    </row>
    <row r="46706" spans="31:31">
      <c r="AE46706" s="54"/>
    </row>
    <row r="46707" spans="31:31">
      <c r="AE46707" s="54"/>
    </row>
    <row r="46708" spans="31:31">
      <c r="AE46708" s="54"/>
    </row>
    <row r="46709" spans="31:31">
      <c r="AE46709" s="54"/>
    </row>
    <row r="46710" spans="31:31">
      <c r="AE46710" s="54"/>
    </row>
    <row r="46711" spans="31:31">
      <c r="AE46711" s="54"/>
    </row>
    <row r="46712" spans="31:31">
      <c r="AE46712" s="54"/>
    </row>
    <row r="46713" spans="31:31">
      <c r="AE46713" s="54"/>
    </row>
    <row r="46714" spans="31:31">
      <c r="AE46714" s="54"/>
    </row>
    <row r="46715" spans="31:31">
      <c r="AE46715" s="54"/>
    </row>
    <row r="46716" spans="31:31">
      <c r="AE46716" s="54"/>
    </row>
    <row r="46717" spans="31:31">
      <c r="AE46717" s="54"/>
    </row>
    <row r="46718" spans="31:31">
      <c r="AE46718" s="54"/>
    </row>
    <row r="46719" spans="31:31">
      <c r="AE46719" s="54"/>
    </row>
    <row r="46720" spans="31:31">
      <c r="AE46720" s="54"/>
    </row>
    <row r="46721" spans="31:31">
      <c r="AE46721" s="54"/>
    </row>
    <row r="46722" spans="31:31">
      <c r="AE46722" s="54"/>
    </row>
    <row r="46723" spans="31:31">
      <c r="AE46723" s="54"/>
    </row>
    <row r="46724" spans="31:31">
      <c r="AE46724" s="54"/>
    </row>
    <row r="46725" spans="31:31">
      <c r="AE46725" s="54"/>
    </row>
    <row r="46726" spans="31:31">
      <c r="AE46726" s="54"/>
    </row>
    <row r="46727" spans="31:31">
      <c r="AE46727" s="54"/>
    </row>
    <row r="46728" spans="31:31">
      <c r="AE46728" s="54"/>
    </row>
    <row r="46729" spans="31:31">
      <c r="AE46729" s="54"/>
    </row>
    <row r="46730" spans="31:31">
      <c r="AE46730" s="54"/>
    </row>
    <row r="46731" spans="31:31">
      <c r="AE46731" s="54"/>
    </row>
    <row r="46732" spans="31:31">
      <c r="AE46732" s="54"/>
    </row>
    <row r="46733" spans="31:31">
      <c r="AE46733" s="54"/>
    </row>
    <row r="46734" spans="31:31">
      <c r="AE46734" s="54"/>
    </row>
    <row r="46735" spans="31:31">
      <c r="AE46735" s="54"/>
    </row>
    <row r="46736" spans="31:31">
      <c r="AE46736" s="54"/>
    </row>
    <row r="46737" spans="31:31">
      <c r="AE46737" s="54"/>
    </row>
    <row r="46738" spans="31:31">
      <c r="AE46738" s="54"/>
    </row>
    <row r="46739" spans="31:31">
      <c r="AE46739" s="54"/>
    </row>
    <row r="46740" spans="31:31">
      <c r="AE46740" s="54"/>
    </row>
    <row r="46741" spans="31:31">
      <c r="AE46741" s="54"/>
    </row>
    <row r="46742" spans="31:31">
      <c r="AE46742" s="54"/>
    </row>
    <row r="46743" spans="31:31">
      <c r="AE46743" s="54"/>
    </row>
    <row r="46744" spans="31:31">
      <c r="AE46744" s="54"/>
    </row>
    <row r="46745" spans="31:31">
      <c r="AE46745" s="54"/>
    </row>
    <row r="46746" spans="31:31">
      <c r="AE46746" s="54"/>
    </row>
    <row r="46747" spans="31:31">
      <c r="AE46747" s="54"/>
    </row>
    <row r="46748" spans="31:31">
      <c r="AE46748" s="54"/>
    </row>
    <row r="46749" spans="31:31">
      <c r="AE46749" s="54"/>
    </row>
    <row r="46750" spans="31:31">
      <c r="AE46750" s="54"/>
    </row>
    <row r="46751" spans="31:31">
      <c r="AE46751" s="54"/>
    </row>
    <row r="46752" spans="31:31">
      <c r="AE46752" s="54"/>
    </row>
    <row r="46753" spans="31:31">
      <c r="AE46753" s="54"/>
    </row>
    <row r="46754" spans="31:31">
      <c r="AE46754" s="54"/>
    </row>
    <row r="46755" spans="31:31">
      <c r="AE46755" s="54"/>
    </row>
    <row r="46756" spans="31:31">
      <c r="AE46756" s="54"/>
    </row>
    <row r="46757" spans="31:31">
      <c r="AE46757" s="54"/>
    </row>
    <row r="46758" spans="31:31">
      <c r="AE46758" s="54"/>
    </row>
    <row r="46759" spans="31:31">
      <c r="AE46759" s="54"/>
    </row>
    <row r="46760" spans="31:31">
      <c r="AE46760" s="54"/>
    </row>
    <row r="46761" spans="31:31">
      <c r="AE46761" s="54"/>
    </row>
    <row r="46762" spans="31:31">
      <c r="AE46762" s="54"/>
    </row>
    <row r="46763" spans="31:31">
      <c r="AE46763" s="54"/>
    </row>
    <row r="46764" spans="31:31">
      <c r="AE46764" s="54"/>
    </row>
    <row r="46765" spans="31:31">
      <c r="AE46765" s="54"/>
    </row>
    <row r="46766" spans="31:31">
      <c r="AE46766" s="54"/>
    </row>
    <row r="46767" spans="31:31">
      <c r="AE46767" s="54"/>
    </row>
    <row r="46768" spans="31:31">
      <c r="AE46768" s="54"/>
    </row>
    <row r="46769" spans="31:31">
      <c r="AE46769" s="54"/>
    </row>
    <row r="46770" spans="31:31">
      <c r="AE46770" s="54"/>
    </row>
    <row r="46771" spans="31:31">
      <c r="AE46771" s="54"/>
    </row>
    <row r="46772" spans="31:31">
      <c r="AE46772" s="54"/>
    </row>
    <row r="46773" spans="31:31">
      <c r="AE46773" s="54"/>
    </row>
    <row r="46774" spans="31:31">
      <c r="AE46774" s="54"/>
    </row>
    <row r="46775" spans="31:31">
      <c r="AE46775" s="54"/>
    </row>
    <row r="46776" spans="31:31">
      <c r="AE46776" s="54"/>
    </row>
    <row r="46777" spans="31:31">
      <c r="AE46777" s="54"/>
    </row>
    <row r="46778" spans="31:31">
      <c r="AE46778" s="54"/>
    </row>
    <row r="46779" spans="31:31">
      <c r="AE46779" s="54"/>
    </row>
    <row r="46780" spans="31:31">
      <c r="AE46780" s="54"/>
    </row>
    <row r="46781" spans="31:31">
      <c r="AE46781" s="54"/>
    </row>
    <row r="46782" spans="31:31">
      <c r="AE46782" s="54"/>
    </row>
    <row r="46783" spans="31:31">
      <c r="AE46783" s="54"/>
    </row>
    <row r="46784" spans="31:31">
      <c r="AE46784" s="54"/>
    </row>
    <row r="46785" spans="31:31">
      <c r="AE46785" s="54"/>
    </row>
    <row r="46786" spans="31:31">
      <c r="AE46786" s="54"/>
    </row>
    <row r="46787" spans="31:31">
      <c r="AE46787" s="54"/>
    </row>
    <row r="46788" spans="31:31">
      <c r="AE46788" s="54"/>
    </row>
    <row r="46789" spans="31:31">
      <c r="AE46789" s="54"/>
    </row>
    <row r="46790" spans="31:31">
      <c r="AE46790" s="54"/>
    </row>
    <row r="46791" spans="31:31">
      <c r="AE46791" s="54"/>
    </row>
    <row r="46792" spans="31:31">
      <c r="AE46792" s="54"/>
    </row>
    <row r="46793" spans="31:31">
      <c r="AE46793" s="54"/>
    </row>
    <row r="46794" spans="31:31">
      <c r="AE46794" s="54"/>
    </row>
    <row r="46795" spans="31:31">
      <c r="AE46795" s="54"/>
    </row>
    <row r="46796" spans="31:31">
      <c r="AE46796" s="54"/>
    </row>
    <row r="46797" spans="31:31">
      <c r="AE46797" s="54"/>
    </row>
    <row r="46798" spans="31:31">
      <c r="AE46798" s="54"/>
    </row>
    <row r="46799" spans="31:31">
      <c r="AE46799" s="54"/>
    </row>
    <row r="46800" spans="31:31">
      <c r="AE46800" s="54"/>
    </row>
    <row r="46801" spans="31:31">
      <c r="AE46801" s="54"/>
    </row>
    <row r="46802" spans="31:31">
      <c r="AE46802" s="54"/>
    </row>
    <row r="46803" spans="31:31">
      <c r="AE46803" s="54"/>
    </row>
    <row r="46804" spans="31:31">
      <c r="AE46804" s="54"/>
    </row>
    <row r="46805" spans="31:31">
      <c r="AE46805" s="54"/>
    </row>
    <row r="46806" spans="31:31">
      <c r="AE46806" s="54"/>
    </row>
    <row r="46807" spans="31:31">
      <c r="AE46807" s="54"/>
    </row>
    <row r="46808" spans="31:31">
      <c r="AE46808" s="54"/>
    </row>
    <row r="46809" spans="31:31">
      <c r="AE46809" s="54"/>
    </row>
    <row r="46810" spans="31:31">
      <c r="AE46810" s="54"/>
    </row>
    <row r="46811" spans="31:31">
      <c r="AE46811" s="54"/>
    </row>
    <row r="46812" spans="31:31">
      <c r="AE46812" s="54"/>
    </row>
    <row r="46813" spans="31:31">
      <c r="AE46813" s="54"/>
    </row>
    <row r="46814" spans="31:31">
      <c r="AE46814" s="54"/>
    </row>
    <row r="46815" spans="31:31">
      <c r="AE46815" s="54"/>
    </row>
    <row r="46816" spans="31:31">
      <c r="AE46816" s="54"/>
    </row>
    <row r="46817" spans="31:31">
      <c r="AE46817" s="54"/>
    </row>
    <row r="46818" spans="31:31">
      <c r="AE46818" s="54"/>
    </row>
    <row r="46819" spans="31:31">
      <c r="AE46819" s="54"/>
    </row>
    <row r="46820" spans="31:31">
      <c r="AE46820" s="54"/>
    </row>
    <row r="46821" spans="31:31">
      <c r="AE46821" s="54"/>
    </row>
    <row r="46822" spans="31:31">
      <c r="AE46822" s="54"/>
    </row>
    <row r="46823" spans="31:31">
      <c r="AE46823" s="54"/>
    </row>
    <row r="46824" spans="31:31">
      <c r="AE46824" s="54"/>
    </row>
    <row r="46825" spans="31:31">
      <c r="AE46825" s="54"/>
    </row>
    <row r="46826" spans="31:31">
      <c r="AE46826" s="54"/>
    </row>
    <row r="46827" spans="31:31">
      <c r="AE46827" s="54"/>
    </row>
    <row r="46828" spans="31:31">
      <c r="AE46828" s="54"/>
    </row>
    <row r="46829" spans="31:31">
      <c r="AE46829" s="54"/>
    </row>
    <row r="46830" spans="31:31">
      <c r="AE46830" s="54"/>
    </row>
    <row r="46831" spans="31:31">
      <c r="AE46831" s="54"/>
    </row>
    <row r="46832" spans="31:31">
      <c r="AE46832" s="54"/>
    </row>
    <row r="46833" spans="31:31">
      <c r="AE46833" s="54"/>
    </row>
    <row r="46834" spans="31:31">
      <c r="AE46834" s="54"/>
    </row>
    <row r="46835" spans="31:31">
      <c r="AE46835" s="54"/>
    </row>
    <row r="46836" spans="31:31">
      <c r="AE46836" s="54"/>
    </row>
    <row r="46837" spans="31:31">
      <c r="AE46837" s="54"/>
    </row>
    <row r="46838" spans="31:31">
      <c r="AE46838" s="54"/>
    </row>
    <row r="46839" spans="31:31">
      <c r="AE46839" s="54"/>
    </row>
    <row r="46840" spans="31:31">
      <c r="AE46840" s="54"/>
    </row>
    <row r="46841" spans="31:31">
      <c r="AE46841" s="54"/>
    </row>
    <row r="46842" spans="31:31">
      <c r="AE46842" s="54"/>
    </row>
    <row r="46843" spans="31:31">
      <c r="AE46843" s="54"/>
    </row>
    <row r="46844" spans="31:31">
      <c r="AE46844" s="54"/>
    </row>
    <row r="46845" spans="31:31">
      <c r="AE46845" s="54"/>
    </row>
    <row r="46846" spans="31:31">
      <c r="AE46846" s="54"/>
    </row>
    <row r="46847" spans="31:31">
      <c r="AE46847" s="54"/>
    </row>
    <row r="46848" spans="31:31">
      <c r="AE46848" s="54"/>
    </row>
    <row r="46849" spans="31:31">
      <c r="AE46849" s="54"/>
    </row>
    <row r="46850" spans="31:31">
      <c r="AE46850" s="54"/>
    </row>
    <row r="46851" spans="31:31">
      <c r="AE46851" s="54"/>
    </row>
    <row r="46852" spans="31:31">
      <c r="AE46852" s="54"/>
    </row>
    <row r="46853" spans="31:31">
      <c r="AE46853" s="54"/>
    </row>
    <row r="46854" spans="31:31">
      <c r="AE46854" s="54"/>
    </row>
    <row r="46855" spans="31:31">
      <c r="AE46855" s="54"/>
    </row>
    <row r="46856" spans="31:31">
      <c r="AE46856" s="54"/>
    </row>
    <row r="46857" spans="31:31">
      <c r="AE46857" s="54"/>
    </row>
    <row r="46858" spans="31:31">
      <c r="AE46858" s="54"/>
    </row>
    <row r="46859" spans="31:31">
      <c r="AE46859" s="54"/>
    </row>
    <row r="46860" spans="31:31">
      <c r="AE46860" s="54"/>
    </row>
    <row r="46861" spans="31:31">
      <c r="AE46861" s="54"/>
    </row>
    <row r="46862" spans="31:31">
      <c r="AE46862" s="54"/>
    </row>
    <row r="46863" spans="31:31">
      <c r="AE46863" s="54"/>
    </row>
    <row r="46864" spans="31:31">
      <c r="AE46864" s="54"/>
    </row>
    <row r="46865" spans="31:31">
      <c r="AE46865" s="54"/>
    </row>
    <row r="46866" spans="31:31">
      <c r="AE46866" s="54"/>
    </row>
    <row r="46867" spans="31:31">
      <c r="AE46867" s="54"/>
    </row>
    <row r="46868" spans="31:31">
      <c r="AE46868" s="54"/>
    </row>
    <row r="46869" spans="31:31">
      <c r="AE46869" s="54"/>
    </row>
    <row r="46870" spans="31:31">
      <c r="AE46870" s="54"/>
    </row>
    <row r="46871" spans="31:31">
      <c r="AE46871" s="54"/>
    </row>
    <row r="46872" spans="31:31">
      <c r="AE46872" s="54"/>
    </row>
    <row r="46873" spans="31:31">
      <c r="AE46873" s="54"/>
    </row>
    <row r="46874" spans="31:31">
      <c r="AE46874" s="54"/>
    </row>
    <row r="46875" spans="31:31">
      <c r="AE46875" s="54"/>
    </row>
    <row r="46876" spans="31:31">
      <c r="AE46876" s="54"/>
    </row>
    <row r="46877" spans="31:31">
      <c r="AE46877" s="54"/>
    </row>
    <row r="46878" spans="31:31">
      <c r="AE46878" s="54"/>
    </row>
    <row r="46879" spans="31:31">
      <c r="AE46879" s="54"/>
    </row>
    <row r="46880" spans="31:31">
      <c r="AE46880" s="54"/>
    </row>
    <row r="46881" spans="31:31">
      <c r="AE46881" s="54"/>
    </row>
    <row r="46882" spans="31:31">
      <c r="AE46882" s="54"/>
    </row>
    <row r="46883" spans="31:31">
      <c r="AE46883" s="54"/>
    </row>
    <row r="46884" spans="31:31">
      <c r="AE46884" s="54"/>
    </row>
    <row r="46885" spans="31:31">
      <c r="AE46885" s="54"/>
    </row>
    <row r="46886" spans="31:31">
      <c r="AE46886" s="54"/>
    </row>
    <row r="46887" spans="31:31">
      <c r="AE46887" s="54"/>
    </row>
    <row r="46888" spans="31:31">
      <c r="AE46888" s="54"/>
    </row>
    <row r="46889" spans="31:31">
      <c r="AE46889" s="54"/>
    </row>
    <row r="46890" spans="31:31">
      <c r="AE46890" s="54"/>
    </row>
    <row r="46891" spans="31:31">
      <c r="AE46891" s="54"/>
    </row>
    <row r="46892" spans="31:31">
      <c r="AE46892" s="54"/>
    </row>
    <row r="46893" spans="31:31">
      <c r="AE46893" s="54"/>
    </row>
    <row r="46894" spans="31:31">
      <c r="AE46894" s="54"/>
    </row>
    <row r="46895" spans="31:31">
      <c r="AE46895" s="54"/>
    </row>
    <row r="46896" spans="31:31">
      <c r="AE46896" s="54"/>
    </row>
    <row r="46897" spans="31:31">
      <c r="AE46897" s="54"/>
    </row>
    <row r="46898" spans="31:31">
      <c r="AE46898" s="54"/>
    </row>
    <row r="46899" spans="31:31">
      <c r="AE46899" s="54"/>
    </row>
    <row r="46900" spans="31:31">
      <c r="AE46900" s="54"/>
    </row>
    <row r="46901" spans="31:31">
      <c r="AE46901" s="54"/>
    </row>
    <row r="46902" spans="31:31">
      <c r="AE46902" s="54"/>
    </row>
    <row r="46903" spans="31:31">
      <c r="AE46903" s="54"/>
    </row>
    <row r="46904" spans="31:31">
      <c r="AE46904" s="54"/>
    </row>
    <row r="46905" spans="31:31">
      <c r="AE46905" s="54"/>
    </row>
    <row r="46906" spans="31:31">
      <c r="AE46906" s="54"/>
    </row>
    <row r="46907" spans="31:31">
      <c r="AE46907" s="54"/>
    </row>
    <row r="46908" spans="31:31">
      <c r="AE46908" s="54"/>
    </row>
    <row r="46909" spans="31:31">
      <c r="AE46909" s="54"/>
    </row>
    <row r="46910" spans="31:31">
      <c r="AE46910" s="54"/>
    </row>
    <row r="46911" spans="31:31">
      <c r="AE46911" s="54"/>
    </row>
    <row r="46912" spans="31:31">
      <c r="AE46912" s="54"/>
    </row>
    <row r="46913" spans="31:31">
      <c r="AE46913" s="54"/>
    </row>
    <row r="46914" spans="31:31">
      <c r="AE46914" s="54"/>
    </row>
    <row r="46915" spans="31:31">
      <c r="AE46915" s="54"/>
    </row>
    <row r="46916" spans="31:31">
      <c r="AE46916" s="54"/>
    </row>
    <row r="46917" spans="31:31">
      <c r="AE46917" s="54"/>
    </row>
    <row r="46918" spans="31:31">
      <c r="AE46918" s="54"/>
    </row>
    <row r="46919" spans="31:31">
      <c r="AE46919" s="54"/>
    </row>
    <row r="46920" spans="31:31">
      <c r="AE46920" s="54"/>
    </row>
    <row r="46921" spans="31:31">
      <c r="AE46921" s="54"/>
    </row>
    <row r="46922" spans="31:31">
      <c r="AE46922" s="54"/>
    </row>
    <row r="46923" spans="31:31">
      <c r="AE46923" s="54"/>
    </row>
    <row r="46924" spans="31:31">
      <c r="AE46924" s="54"/>
    </row>
    <row r="46925" spans="31:31">
      <c r="AE46925" s="54"/>
    </row>
    <row r="46926" spans="31:31">
      <c r="AE46926" s="54"/>
    </row>
    <row r="46927" spans="31:31">
      <c r="AE46927" s="54"/>
    </row>
    <row r="46928" spans="31:31">
      <c r="AE46928" s="54"/>
    </row>
    <row r="46929" spans="31:31">
      <c r="AE46929" s="54"/>
    </row>
    <row r="46930" spans="31:31">
      <c r="AE46930" s="54"/>
    </row>
    <row r="46931" spans="31:31">
      <c r="AE46931" s="54"/>
    </row>
    <row r="46932" spans="31:31">
      <c r="AE46932" s="54"/>
    </row>
    <row r="46933" spans="31:31">
      <c r="AE46933" s="54"/>
    </row>
    <row r="46934" spans="31:31">
      <c r="AE46934" s="54"/>
    </row>
    <row r="46935" spans="31:31">
      <c r="AE46935" s="54"/>
    </row>
    <row r="46936" spans="31:31">
      <c r="AE46936" s="54"/>
    </row>
    <row r="46937" spans="31:31">
      <c r="AE46937" s="54"/>
    </row>
    <row r="46938" spans="31:31">
      <c r="AE46938" s="54"/>
    </row>
    <row r="46939" spans="31:31">
      <c r="AE46939" s="54"/>
    </row>
    <row r="46940" spans="31:31">
      <c r="AE46940" s="54"/>
    </row>
    <row r="46941" spans="31:31">
      <c r="AE46941" s="54"/>
    </row>
    <row r="46942" spans="31:31">
      <c r="AE46942" s="54"/>
    </row>
    <row r="46943" spans="31:31">
      <c r="AE46943" s="54"/>
    </row>
    <row r="46944" spans="31:31">
      <c r="AE46944" s="54"/>
    </row>
    <row r="46945" spans="31:31">
      <c r="AE46945" s="54"/>
    </row>
    <row r="46946" spans="31:31">
      <c r="AE46946" s="54"/>
    </row>
    <row r="46947" spans="31:31">
      <c r="AE46947" s="54"/>
    </row>
    <row r="46948" spans="31:31">
      <c r="AE46948" s="54"/>
    </row>
    <row r="46949" spans="31:31">
      <c r="AE46949" s="54"/>
    </row>
    <row r="46950" spans="31:31">
      <c r="AE46950" s="54"/>
    </row>
    <row r="46951" spans="31:31">
      <c r="AE46951" s="54"/>
    </row>
    <row r="46952" spans="31:31">
      <c r="AE46952" s="54"/>
    </row>
    <row r="46953" spans="31:31">
      <c r="AE46953" s="54"/>
    </row>
    <row r="46954" spans="31:31">
      <c r="AE46954" s="54"/>
    </row>
    <row r="46955" spans="31:31">
      <c r="AE46955" s="54"/>
    </row>
    <row r="46956" spans="31:31">
      <c r="AE46956" s="54"/>
    </row>
    <row r="46957" spans="31:31">
      <c r="AE46957" s="54"/>
    </row>
    <row r="46958" spans="31:31">
      <c r="AE46958" s="54"/>
    </row>
    <row r="46959" spans="31:31">
      <c r="AE46959" s="54"/>
    </row>
    <row r="46960" spans="31:31">
      <c r="AE46960" s="54"/>
    </row>
    <row r="46961" spans="31:31">
      <c r="AE46961" s="54"/>
    </row>
    <row r="46962" spans="31:31">
      <c r="AE46962" s="54"/>
    </row>
    <row r="46963" spans="31:31">
      <c r="AE46963" s="54"/>
    </row>
    <row r="46964" spans="31:31">
      <c r="AE46964" s="54"/>
    </row>
    <row r="46965" spans="31:31">
      <c r="AE46965" s="54"/>
    </row>
    <row r="46966" spans="31:31">
      <c r="AE46966" s="54"/>
    </row>
    <row r="46967" spans="31:31">
      <c r="AE46967" s="54"/>
    </row>
    <row r="46968" spans="31:31">
      <c r="AE46968" s="54"/>
    </row>
    <row r="46969" spans="31:31">
      <c r="AE46969" s="54"/>
    </row>
    <row r="46970" spans="31:31">
      <c r="AE46970" s="54"/>
    </row>
    <row r="46971" spans="31:31">
      <c r="AE46971" s="54"/>
    </row>
    <row r="46972" spans="31:31">
      <c r="AE46972" s="54"/>
    </row>
    <row r="46973" spans="31:31">
      <c r="AE46973" s="54"/>
    </row>
    <row r="46974" spans="31:31">
      <c r="AE46974" s="54"/>
    </row>
    <row r="46975" spans="31:31">
      <c r="AE46975" s="54"/>
    </row>
    <row r="46976" spans="31:31">
      <c r="AE46976" s="54"/>
    </row>
    <row r="46977" spans="31:31">
      <c r="AE46977" s="54"/>
    </row>
    <row r="46978" spans="31:31">
      <c r="AE46978" s="54"/>
    </row>
    <row r="46979" spans="31:31">
      <c r="AE46979" s="54"/>
    </row>
    <row r="46980" spans="31:31">
      <c r="AE46980" s="54"/>
    </row>
    <row r="46981" spans="31:31">
      <c r="AE46981" s="54"/>
    </row>
    <row r="46982" spans="31:31">
      <c r="AE46982" s="54"/>
    </row>
    <row r="46983" spans="31:31">
      <c r="AE46983" s="54"/>
    </row>
    <row r="46984" spans="31:31">
      <c r="AE46984" s="54"/>
    </row>
    <row r="46985" spans="31:31">
      <c r="AE46985" s="54"/>
    </row>
    <row r="46986" spans="31:31">
      <c r="AE46986" s="54"/>
    </row>
    <row r="46987" spans="31:31">
      <c r="AE46987" s="54"/>
    </row>
    <row r="46988" spans="31:31">
      <c r="AE46988" s="54"/>
    </row>
    <row r="46989" spans="31:31">
      <c r="AE46989" s="54"/>
    </row>
    <row r="46990" spans="31:31">
      <c r="AE46990" s="54"/>
    </row>
    <row r="46991" spans="31:31">
      <c r="AE46991" s="54"/>
    </row>
    <row r="46992" spans="31:31">
      <c r="AE46992" s="54"/>
    </row>
    <row r="46993" spans="31:31">
      <c r="AE46993" s="54"/>
    </row>
    <row r="46994" spans="31:31">
      <c r="AE46994" s="54"/>
    </row>
    <row r="46995" spans="31:31">
      <c r="AE46995" s="54"/>
    </row>
    <row r="46996" spans="31:31">
      <c r="AE46996" s="54"/>
    </row>
    <row r="46997" spans="31:31">
      <c r="AE46997" s="54"/>
    </row>
    <row r="46998" spans="31:31">
      <c r="AE46998" s="54"/>
    </row>
    <row r="46999" spans="31:31">
      <c r="AE46999" s="54"/>
    </row>
    <row r="47000" spans="31:31">
      <c r="AE47000" s="54"/>
    </row>
    <row r="47001" spans="31:31">
      <c r="AE47001" s="54"/>
    </row>
    <row r="47002" spans="31:31">
      <c r="AE47002" s="54"/>
    </row>
    <row r="47003" spans="31:31">
      <c r="AE47003" s="54"/>
    </row>
    <row r="47004" spans="31:31">
      <c r="AE47004" s="54"/>
    </row>
    <row r="47005" spans="31:31">
      <c r="AE47005" s="54"/>
    </row>
    <row r="47006" spans="31:31">
      <c r="AE47006" s="54"/>
    </row>
    <row r="47007" spans="31:31">
      <c r="AE47007" s="54"/>
    </row>
    <row r="47008" spans="31:31">
      <c r="AE47008" s="54"/>
    </row>
    <row r="47009" spans="31:31">
      <c r="AE47009" s="54"/>
    </row>
    <row r="47010" spans="31:31">
      <c r="AE47010" s="54"/>
    </row>
    <row r="47011" spans="31:31">
      <c r="AE47011" s="54"/>
    </row>
    <row r="47012" spans="31:31">
      <c r="AE47012" s="54"/>
    </row>
    <row r="47013" spans="31:31">
      <c r="AE47013" s="54"/>
    </row>
    <row r="47014" spans="31:31">
      <c r="AE47014" s="54"/>
    </row>
    <row r="47015" spans="31:31">
      <c r="AE47015" s="54"/>
    </row>
    <row r="47016" spans="31:31">
      <c r="AE47016" s="54"/>
    </row>
    <row r="47017" spans="31:31">
      <c r="AE47017" s="54"/>
    </row>
    <row r="47018" spans="31:31">
      <c r="AE47018" s="54"/>
    </row>
    <row r="47019" spans="31:31">
      <c r="AE47019" s="54"/>
    </row>
    <row r="47020" spans="31:31">
      <c r="AE47020" s="54"/>
    </row>
    <row r="47021" spans="31:31">
      <c r="AE47021" s="54"/>
    </row>
    <row r="47022" spans="31:31">
      <c r="AE47022" s="54"/>
    </row>
    <row r="47023" spans="31:31">
      <c r="AE47023" s="54"/>
    </row>
    <row r="47024" spans="31:31">
      <c r="AE47024" s="54"/>
    </row>
    <row r="47025" spans="31:31">
      <c r="AE47025" s="54"/>
    </row>
    <row r="47026" spans="31:31">
      <c r="AE47026" s="54"/>
    </row>
    <row r="47027" spans="31:31">
      <c r="AE47027" s="54"/>
    </row>
    <row r="47028" spans="31:31">
      <c r="AE47028" s="54"/>
    </row>
    <row r="47029" spans="31:31">
      <c r="AE47029" s="54"/>
    </row>
    <row r="47030" spans="31:31">
      <c r="AE47030" s="54"/>
    </row>
    <row r="47031" spans="31:31">
      <c r="AE47031" s="54"/>
    </row>
    <row r="47032" spans="31:31">
      <c r="AE47032" s="54"/>
    </row>
    <row r="47033" spans="31:31">
      <c r="AE47033" s="54"/>
    </row>
    <row r="47034" spans="31:31">
      <c r="AE47034" s="54"/>
    </row>
    <row r="47035" spans="31:31">
      <c r="AE47035" s="54"/>
    </row>
    <row r="47036" spans="31:31">
      <c r="AE47036" s="54"/>
    </row>
    <row r="47037" spans="31:31">
      <c r="AE47037" s="54"/>
    </row>
    <row r="47038" spans="31:31">
      <c r="AE47038" s="54"/>
    </row>
    <row r="47039" spans="31:31">
      <c r="AE47039" s="54"/>
    </row>
    <row r="47040" spans="31:31">
      <c r="AE47040" s="54"/>
    </row>
    <row r="47041" spans="31:31">
      <c r="AE47041" s="54"/>
    </row>
    <row r="47042" spans="31:31">
      <c r="AE47042" s="54"/>
    </row>
    <row r="47043" spans="31:31">
      <c r="AE47043" s="54"/>
    </row>
    <row r="47044" spans="31:31">
      <c r="AE47044" s="54"/>
    </row>
    <row r="47045" spans="31:31">
      <c r="AE47045" s="54"/>
    </row>
    <row r="47046" spans="31:31">
      <c r="AE47046" s="54"/>
    </row>
    <row r="47047" spans="31:31">
      <c r="AE47047" s="54"/>
    </row>
    <row r="47048" spans="31:31">
      <c r="AE47048" s="54"/>
    </row>
    <row r="47049" spans="31:31">
      <c r="AE47049" s="54"/>
    </row>
    <row r="47050" spans="31:31">
      <c r="AE47050" s="54"/>
    </row>
    <row r="47051" spans="31:31">
      <c r="AE47051" s="54"/>
    </row>
    <row r="47052" spans="31:31">
      <c r="AE47052" s="54"/>
    </row>
    <row r="47053" spans="31:31">
      <c r="AE47053" s="54"/>
    </row>
    <row r="47054" spans="31:31">
      <c r="AE47054" s="54"/>
    </row>
    <row r="47055" spans="31:31">
      <c r="AE47055" s="54"/>
    </row>
    <row r="47056" spans="31:31">
      <c r="AE47056" s="54"/>
    </row>
    <row r="47057" spans="31:31">
      <c r="AE47057" s="54"/>
    </row>
    <row r="47058" spans="31:31">
      <c r="AE47058" s="54"/>
    </row>
    <row r="47059" spans="31:31">
      <c r="AE47059" s="54"/>
    </row>
    <row r="47060" spans="31:31">
      <c r="AE47060" s="54"/>
    </row>
    <row r="47061" spans="31:31">
      <c r="AE47061" s="54"/>
    </row>
    <row r="47062" spans="31:31">
      <c r="AE47062" s="54"/>
    </row>
    <row r="47063" spans="31:31">
      <c r="AE47063" s="54"/>
    </row>
    <row r="47064" spans="31:31">
      <c r="AE47064" s="54"/>
    </row>
    <row r="47065" spans="31:31">
      <c r="AE47065" s="54"/>
    </row>
    <row r="47066" spans="31:31">
      <c r="AE47066" s="54"/>
    </row>
    <row r="47067" spans="31:31">
      <c r="AE47067" s="54"/>
    </row>
    <row r="47068" spans="31:31">
      <c r="AE47068" s="54"/>
    </row>
    <row r="47069" spans="31:31">
      <c r="AE47069" s="54"/>
    </row>
    <row r="47070" spans="31:31">
      <c r="AE47070" s="54"/>
    </row>
    <row r="47071" spans="31:31">
      <c r="AE47071" s="54"/>
    </row>
    <row r="47072" spans="31:31">
      <c r="AE47072" s="54"/>
    </row>
    <row r="47073" spans="31:31">
      <c r="AE47073" s="54"/>
    </row>
    <row r="47074" spans="31:31">
      <c r="AE47074" s="54"/>
    </row>
    <row r="47075" spans="31:31">
      <c r="AE47075" s="54"/>
    </row>
    <row r="47076" spans="31:31">
      <c r="AE47076" s="54"/>
    </row>
    <row r="47077" spans="31:31">
      <c r="AE47077" s="54"/>
    </row>
    <row r="47078" spans="31:31">
      <c r="AE47078" s="54"/>
    </row>
    <row r="47079" spans="31:31">
      <c r="AE47079" s="54"/>
    </row>
    <row r="47080" spans="31:31">
      <c r="AE47080" s="54"/>
    </row>
    <row r="47081" spans="31:31">
      <c r="AE47081" s="54"/>
    </row>
    <row r="47082" spans="31:31">
      <c r="AE47082" s="54"/>
    </row>
    <row r="47083" spans="31:31">
      <c r="AE47083" s="54"/>
    </row>
    <row r="47084" spans="31:31">
      <c r="AE47084" s="54"/>
    </row>
    <row r="47085" spans="31:31">
      <c r="AE47085" s="54"/>
    </row>
    <row r="47086" spans="31:31">
      <c r="AE47086" s="54"/>
    </row>
    <row r="47087" spans="31:31">
      <c r="AE47087" s="54"/>
    </row>
    <row r="47088" spans="31:31">
      <c r="AE47088" s="54"/>
    </row>
    <row r="47089" spans="31:31">
      <c r="AE47089" s="54"/>
    </row>
    <row r="47090" spans="31:31">
      <c r="AE47090" s="54"/>
    </row>
    <row r="47091" spans="31:31">
      <c r="AE47091" s="54"/>
    </row>
    <row r="47092" spans="31:31">
      <c r="AE47092" s="54"/>
    </row>
    <row r="47093" spans="31:31">
      <c r="AE47093" s="54"/>
    </row>
    <row r="47094" spans="31:31">
      <c r="AE47094" s="54"/>
    </row>
    <row r="47095" spans="31:31">
      <c r="AE47095" s="54"/>
    </row>
    <row r="47096" spans="31:31">
      <c r="AE47096" s="54"/>
    </row>
    <row r="47097" spans="31:31">
      <c r="AE47097" s="54"/>
    </row>
    <row r="47098" spans="31:31">
      <c r="AE47098" s="54"/>
    </row>
    <row r="47099" spans="31:31">
      <c r="AE47099" s="54"/>
    </row>
    <row r="47100" spans="31:31">
      <c r="AE47100" s="54"/>
    </row>
    <row r="47101" spans="31:31">
      <c r="AE47101" s="54"/>
    </row>
    <row r="47102" spans="31:31">
      <c r="AE47102" s="54"/>
    </row>
    <row r="47103" spans="31:31">
      <c r="AE47103" s="54"/>
    </row>
    <row r="47104" spans="31:31">
      <c r="AE47104" s="54"/>
    </row>
    <row r="47105" spans="31:31">
      <c r="AE47105" s="54"/>
    </row>
    <row r="47106" spans="31:31">
      <c r="AE47106" s="54"/>
    </row>
    <row r="47107" spans="31:31">
      <c r="AE47107" s="54"/>
    </row>
    <row r="47108" spans="31:31">
      <c r="AE47108" s="54"/>
    </row>
    <row r="47109" spans="31:31">
      <c r="AE47109" s="54"/>
    </row>
    <row r="47110" spans="31:31">
      <c r="AE47110" s="54"/>
    </row>
    <row r="47111" spans="31:31">
      <c r="AE47111" s="54"/>
    </row>
    <row r="47112" spans="31:31">
      <c r="AE47112" s="54"/>
    </row>
    <row r="47113" spans="31:31">
      <c r="AE47113" s="54"/>
    </row>
    <row r="47114" spans="31:31">
      <c r="AE47114" s="54"/>
    </row>
    <row r="47115" spans="31:31">
      <c r="AE47115" s="54"/>
    </row>
    <row r="47116" spans="31:31">
      <c r="AE47116" s="54"/>
    </row>
    <row r="47117" spans="31:31">
      <c r="AE47117" s="54"/>
    </row>
    <row r="47118" spans="31:31">
      <c r="AE47118" s="54"/>
    </row>
    <row r="47119" spans="31:31">
      <c r="AE47119" s="54"/>
    </row>
    <row r="47120" spans="31:31">
      <c r="AE47120" s="54"/>
    </row>
    <row r="47121" spans="31:31">
      <c r="AE47121" s="54"/>
    </row>
    <row r="47122" spans="31:31">
      <c r="AE47122" s="54"/>
    </row>
    <row r="47123" spans="31:31">
      <c r="AE47123" s="54"/>
    </row>
    <row r="47124" spans="31:31">
      <c r="AE47124" s="54"/>
    </row>
    <row r="47125" spans="31:31">
      <c r="AE47125" s="54"/>
    </row>
    <row r="47126" spans="31:31">
      <c r="AE47126" s="54"/>
    </row>
    <row r="47127" spans="31:31">
      <c r="AE47127" s="54"/>
    </row>
    <row r="47128" spans="31:31">
      <c r="AE47128" s="54"/>
    </row>
    <row r="47129" spans="31:31">
      <c r="AE47129" s="54"/>
    </row>
    <row r="47130" spans="31:31">
      <c r="AE47130" s="54"/>
    </row>
    <row r="47131" spans="31:31">
      <c r="AE47131" s="54"/>
    </row>
    <row r="47132" spans="31:31">
      <c r="AE47132" s="54"/>
    </row>
    <row r="47133" spans="31:31">
      <c r="AE47133" s="54"/>
    </row>
    <row r="47134" spans="31:31">
      <c r="AE47134" s="54"/>
    </row>
    <row r="47135" spans="31:31">
      <c r="AE47135" s="54"/>
    </row>
    <row r="47136" spans="31:31">
      <c r="AE47136" s="54"/>
    </row>
    <row r="47137" spans="31:31">
      <c r="AE47137" s="54"/>
    </row>
    <row r="47138" spans="31:31">
      <c r="AE47138" s="54"/>
    </row>
    <row r="47139" spans="31:31">
      <c r="AE47139" s="54"/>
    </row>
    <row r="47140" spans="31:31">
      <c r="AE47140" s="54"/>
    </row>
    <row r="47141" spans="31:31">
      <c r="AE47141" s="54"/>
    </row>
    <row r="47142" spans="31:31">
      <c r="AE47142" s="54"/>
    </row>
    <row r="47143" spans="31:31">
      <c r="AE47143" s="54"/>
    </row>
    <row r="47144" spans="31:31">
      <c r="AE47144" s="54"/>
    </row>
    <row r="47145" spans="31:31">
      <c r="AE47145" s="54"/>
    </row>
    <row r="47146" spans="31:31">
      <c r="AE47146" s="54"/>
    </row>
    <row r="47147" spans="31:31">
      <c r="AE47147" s="54"/>
    </row>
    <row r="47148" spans="31:31">
      <c r="AE47148" s="54"/>
    </row>
    <row r="47149" spans="31:31">
      <c r="AE47149" s="54"/>
    </row>
    <row r="47150" spans="31:31">
      <c r="AE47150" s="54"/>
    </row>
    <row r="47151" spans="31:31">
      <c r="AE47151" s="54"/>
    </row>
    <row r="47152" spans="31:31">
      <c r="AE47152" s="54"/>
    </row>
    <row r="47153" spans="31:31">
      <c r="AE47153" s="54"/>
    </row>
    <row r="47154" spans="31:31">
      <c r="AE47154" s="54"/>
    </row>
    <row r="47155" spans="31:31">
      <c r="AE47155" s="54"/>
    </row>
    <row r="47156" spans="31:31">
      <c r="AE47156" s="54"/>
    </row>
    <row r="47157" spans="31:31">
      <c r="AE47157" s="54"/>
    </row>
    <row r="47158" spans="31:31">
      <c r="AE47158" s="54"/>
    </row>
    <row r="47159" spans="31:31">
      <c r="AE47159" s="54"/>
    </row>
    <row r="47160" spans="31:31">
      <c r="AE47160" s="54"/>
    </row>
    <row r="47161" spans="31:31">
      <c r="AE47161" s="54"/>
    </row>
    <row r="47162" spans="31:31">
      <c r="AE47162" s="54"/>
    </row>
    <row r="47163" spans="31:31">
      <c r="AE47163" s="54"/>
    </row>
    <row r="47164" spans="31:31">
      <c r="AE47164" s="54"/>
    </row>
    <row r="47165" spans="31:31">
      <c r="AE47165" s="54"/>
    </row>
    <row r="47166" spans="31:31">
      <c r="AE47166" s="54"/>
    </row>
    <row r="47167" spans="31:31">
      <c r="AE47167" s="54"/>
    </row>
    <row r="47168" spans="31:31">
      <c r="AE47168" s="54"/>
    </row>
    <row r="47169" spans="31:31">
      <c r="AE47169" s="54"/>
    </row>
    <row r="47170" spans="31:31">
      <c r="AE47170" s="54"/>
    </row>
    <row r="47171" spans="31:31">
      <c r="AE47171" s="54"/>
    </row>
    <row r="47172" spans="31:31">
      <c r="AE47172" s="54"/>
    </row>
    <row r="47173" spans="31:31">
      <c r="AE47173" s="54"/>
    </row>
    <row r="47174" spans="31:31">
      <c r="AE47174" s="54"/>
    </row>
    <row r="47175" spans="31:31">
      <c r="AE47175" s="54"/>
    </row>
    <row r="47176" spans="31:31">
      <c r="AE47176" s="54"/>
    </row>
    <row r="47177" spans="31:31">
      <c r="AE47177" s="54"/>
    </row>
    <row r="47178" spans="31:31">
      <c r="AE47178" s="54"/>
    </row>
    <row r="47179" spans="31:31">
      <c r="AE47179" s="54"/>
    </row>
    <row r="47180" spans="31:31">
      <c r="AE47180" s="54"/>
    </row>
    <row r="47181" spans="31:31">
      <c r="AE47181" s="54"/>
    </row>
    <row r="47182" spans="31:31">
      <c r="AE47182" s="54"/>
    </row>
    <row r="47183" spans="31:31">
      <c r="AE47183" s="54"/>
    </row>
    <row r="47184" spans="31:31">
      <c r="AE47184" s="54"/>
    </row>
    <row r="47185" spans="31:31">
      <c r="AE47185" s="54"/>
    </row>
    <row r="47186" spans="31:31">
      <c r="AE47186" s="54"/>
    </row>
    <row r="47187" spans="31:31">
      <c r="AE47187" s="54"/>
    </row>
    <row r="47188" spans="31:31">
      <c r="AE47188" s="54"/>
    </row>
    <row r="47189" spans="31:31">
      <c r="AE47189" s="54"/>
    </row>
    <row r="47190" spans="31:31">
      <c r="AE47190" s="54"/>
    </row>
    <row r="47191" spans="31:31">
      <c r="AE47191" s="54"/>
    </row>
    <row r="47192" spans="31:31">
      <c r="AE47192" s="54"/>
    </row>
    <row r="47193" spans="31:31">
      <c r="AE47193" s="54"/>
    </row>
    <row r="47194" spans="31:31">
      <c r="AE47194" s="54"/>
    </row>
    <row r="47195" spans="31:31">
      <c r="AE47195" s="54"/>
    </row>
    <row r="47196" spans="31:31">
      <c r="AE47196" s="54"/>
    </row>
    <row r="47197" spans="31:31">
      <c r="AE47197" s="54"/>
    </row>
    <row r="47198" spans="31:31">
      <c r="AE47198" s="54"/>
    </row>
    <row r="47199" spans="31:31">
      <c r="AE47199" s="54"/>
    </row>
    <row r="47200" spans="31:31">
      <c r="AE47200" s="54"/>
    </row>
    <row r="47201" spans="31:31">
      <c r="AE47201" s="54"/>
    </row>
    <row r="47202" spans="31:31">
      <c r="AE47202" s="54"/>
    </row>
    <row r="47203" spans="31:31">
      <c r="AE47203" s="54"/>
    </row>
    <row r="47204" spans="31:31">
      <c r="AE47204" s="54"/>
    </row>
    <row r="47205" spans="31:31">
      <c r="AE47205" s="54"/>
    </row>
    <row r="47206" spans="31:31">
      <c r="AE47206" s="54"/>
    </row>
    <row r="47207" spans="31:31">
      <c r="AE47207" s="54"/>
    </row>
    <row r="47208" spans="31:31">
      <c r="AE47208" s="54"/>
    </row>
    <row r="47209" spans="31:31">
      <c r="AE47209" s="54"/>
    </row>
    <row r="47210" spans="31:31">
      <c r="AE47210" s="54"/>
    </row>
    <row r="47211" spans="31:31">
      <c r="AE47211" s="54"/>
    </row>
    <row r="47212" spans="31:31">
      <c r="AE47212" s="54"/>
    </row>
    <row r="47213" spans="31:31">
      <c r="AE47213" s="54"/>
    </row>
    <row r="47214" spans="31:31">
      <c r="AE47214" s="54"/>
    </row>
    <row r="47215" spans="31:31">
      <c r="AE47215" s="54"/>
    </row>
    <row r="47216" spans="31:31">
      <c r="AE47216" s="54"/>
    </row>
    <row r="47217" spans="31:31">
      <c r="AE47217" s="54"/>
    </row>
    <row r="47218" spans="31:31">
      <c r="AE47218" s="54"/>
    </row>
    <row r="47219" spans="31:31">
      <c r="AE47219" s="54"/>
    </row>
    <row r="47220" spans="31:31">
      <c r="AE47220" s="54"/>
    </row>
    <row r="47221" spans="31:31">
      <c r="AE47221" s="54"/>
    </row>
    <row r="47222" spans="31:31">
      <c r="AE47222" s="54"/>
    </row>
    <row r="47223" spans="31:31">
      <c r="AE47223" s="54"/>
    </row>
    <row r="47224" spans="31:31">
      <c r="AE47224" s="54"/>
    </row>
    <row r="47225" spans="31:31">
      <c r="AE47225" s="54"/>
    </row>
    <row r="47226" spans="31:31">
      <c r="AE47226" s="54"/>
    </row>
    <row r="47227" spans="31:31">
      <c r="AE47227" s="54"/>
    </row>
    <row r="47228" spans="31:31">
      <c r="AE47228" s="54"/>
    </row>
    <row r="47229" spans="31:31">
      <c r="AE47229" s="54"/>
    </row>
    <row r="47230" spans="31:31">
      <c r="AE47230" s="54"/>
    </row>
    <row r="47231" spans="31:31">
      <c r="AE47231" s="54"/>
    </row>
    <row r="47232" spans="31:31">
      <c r="AE47232" s="54"/>
    </row>
    <row r="47233" spans="31:31">
      <c r="AE47233" s="54"/>
    </row>
    <row r="47234" spans="31:31">
      <c r="AE47234" s="54"/>
    </row>
    <row r="47235" spans="31:31">
      <c r="AE47235" s="54"/>
    </row>
    <row r="47236" spans="31:31">
      <c r="AE47236" s="54"/>
    </row>
    <row r="47237" spans="31:31">
      <c r="AE47237" s="54"/>
    </row>
    <row r="47238" spans="31:31">
      <c r="AE47238" s="54"/>
    </row>
    <row r="47239" spans="31:31">
      <c r="AE47239" s="54"/>
    </row>
    <row r="47240" spans="31:31">
      <c r="AE47240" s="54"/>
    </row>
    <row r="47241" spans="31:31">
      <c r="AE47241" s="54"/>
    </row>
    <row r="47242" spans="31:31">
      <c r="AE47242" s="54"/>
    </row>
    <row r="47243" spans="31:31">
      <c r="AE47243" s="54"/>
    </row>
    <row r="47244" spans="31:31">
      <c r="AE47244" s="54"/>
    </row>
    <row r="47245" spans="31:31">
      <c r="AE47245" s="54"/>
    </row>
    <row r="47246" spans="31:31">
      <c r="AE47246" s="54"/>
    </row>
    <row r="47247" spans="31:31">
      <c r="AE47247" s="54"/>
    </row>
    <row r="47248" spans="31:31">
      <c r="AE47248" s="54"/>
    </row>
    <row r="47249" spans="31:31">
      <c r="AE47249" s="54"/>
    </row>
    <row r="47250" spans="31:31">
      <c r="AE47250" s="54"/>
    </row>
    <row r="47251" spans="31:31">
      <c r="AE47251" s="54"/>
    </row>
    <row r="47252" spans="31:31">
      <c r="AE47252" s="54"/>
    </row>
    <row r="47253" spans="31:31">
      <c r="AE47253" s="54"/>
    </row>
    <row r="47254" spans="31:31">
      <c r="AE47254" s="54"/>
    </row>
    <row r="47255" spans="31:31">
      <c r="AE47255" s="54"/>
    </row>
    <row r="47256" spans="31:31">
      <c r="AE47256" s="54"/>
    </row>
    <row r="47257" spans="31:31">
      <c r="AE47257" s="54"/>
    </row>
    <row r="47258" spans="31:31">
      <c r="AE47258" s="54"/>
    </row>
    <row r="47259" spans="31:31">
      <c r="AE47259" s="54"/>
    </row>
    <row r="47260" spans="31:31">
      <c r="AE47260" s="54"/>
    </row>
    <row r="47261" spans="31:31">
      <c r="AE47261" s="54"/>
    </row>
    <row r="47262" spans="31:31">
      <c r="AE47262" s="54"/>
    </row>
    <row r="47263" spans="31:31">
      <c r="AE47263" s="54"/>
    </row>
    <row r="47264" spans="31:31">
      <c r="AE47264" s="54"/>
    </row>
    <row r="47265" spans="31:31">
      <c r="AE47265" s="54"/>
    </row>
    <row r="47266" spans="31:31">
      <c r="AE47266" s="54"/>
    </row>
    <row r="47267" spans="31:31">
      <c r="AE47267" s="54"/>
    </row>
    <row r="47268" spans="31:31">
      <c r="AE47268" s="54"/>
    </row>
    <row r="47269" spans="31:31">
      <c r="AE47269" s="54"/>
    </row>
    <row r="47270" spans="31:31">
      <c r="AE47270" s="54"/>
    </row>
    <row r="47271" spans="31:31">
      <c r="AE47271" s="54"/>
    </row>
    <row r="47272" spans="31:31">
      <c r="AE47272" s="54"/>
    </row>
    <row r="47273" spans="31:31">
      <c r="AE47273" s="54"/>
    </row>
    <row r="47274" spans="31:31">
      <c r="AE47274" s="54"/>
    </row>
    <row r="47275" spans="31:31">
      <c r="AE47275" s="54"/>
    </row>
    <row r="47276" spans="31:31">
      <c r="AE47276" s="54"/>
    </row>
    <row r="47277" spans="31:31">
      <c r="AE47277" s="54"/>
    </row>
    <row r="47278" spans="31:31">
      <c r="AE47278" s="54"/>
    </row>
    <row r="47279" spans="31:31">
      <c r="AE47279" s="54"/>
    </row>
    <row r="47280" spans="31:31">
      <c r="AE47280" s="54"/>
    </row>
    <row r="47281" spans="31:31">
      <c r="AE47281" s="54"/>
    </row>
    <row r="47282" spans="31:31">
      <c r="AE47282" s="54"/>
    </row>
    <row r="47283" spans="31:31">
      <c r="AE47283" s="54"/>
    </row>
    <row r="47284" spans="31:31">
      <c r="AE47284" s="54"/>
    </row>
    <row r="47285" spans="31:31">
      <c r="AE47285" s="54"/>
    </row>
    <row r="47286" spans="31:31">
      <c r="AE47286" s="54"/>
    </row>
    <row r="47287" spans="31:31">
      <c r="AE47287" s="54"/>
    </row>
    <row r="47288" spans="31:31">
      <c r="AE47288" s="54"/>
    </row>
    <row r="47289" spans="31:31">
      <c r="AE47289" s="54"/>
    </row>
    <row r="47290" spans="31:31">
      <c r="AE47290" s="54"/>
    </row>
    <row r="47291" spans="31:31">
      <c r="AE47291" s="54"/>
    </row>
    <row r="47292" spans="31:31">
      <c r="AE47292" s="54"/>
    </row>
    <row r="47293" spans="31:31">
      <c r="AE47293" s="54"/>
    </row>
    <row r="47294" spans="31:31">
      <c r="AE47294" s="54"/>
    </row>
    <row r="47295" spans="31:31">
      <c r="AE47295" s="54"/>
    </row>
    <row r="47296" spans="31:31">
      <c r="AE47296" s="54"/>
    </row>
    <row r="47297" spans="31:31">
      <c r="AE47297" s="54"/>
    </row>
    <row r="47298" spans="31:31">
      <c r="AE47298" s="54"/>
    </row>
    <row r="47299" spans="31:31">
      <c r="AE47299" s="54"/>
    </row>
    <row r="47300" spans="31:31">
      <c r="AE47300" s="54"/>
    </row>
    <row r="47301" spans="31:31">
      <c r="AE47301" s="54"/>
    </row>
    <row r="47302" spans="31:31">
      <c r="AE47302" s="54"/>
    </row>
    <row r="47303" spans="31:31">
      <c r="AE47303" s="54"/>
    </row>
    <row r="47304" spans="31:31">
      <c r="AE47304" s="54"/>
    </row>
    <row r="47305" spans="31:31">
      <c r="AE47305" s="54"/>
    </row>
    <row r="47306" spans="31:31">
      <c r="AE47306" s="54"/>
    </row>
    <row r="47307" spans="31:31">
      <c r="AE47307" s="54"/>
    </row>
    <row r="47308" spans="31:31">
      <c r="AE47308" s="54"/>
    </row>
    <row r="47309" spans="31:31">
      <c r="AE47309" s="54"/>
    </row>
    <row r="47310" spans="31:31">
      <c r="AE47310" s="54"/>
    </row>
    <row r="47311" spans="31:31">
      <c r="AE47311" s="54"/>
    </row>
    <row r="47312" spans="31:31">
      <c r="AE47312" s="54"/>
    </row>
    <row r="47313" spans="31:31">
      <c r="AE47313" s="54"/>
    </row>
    <row r="47314" spans="31:31">
      <c r="AE47314" s="54"/>
    </row>
    <row r="47315" spans="31:31">
      <c r="AE47315" s="54"/>
    </row>
    <row r="47316" spans="31:31">
      <c r="AE47316" s="54"/>
    </row>
    <row r="47317" spans="31:31">
      <c r="AE47317" s="54"/>
    </row>
    <row r="47318" spans="31:31">
      <c r="AE47318" s="54"/>
    </row>
    <row r="47319" spans="31:31">
      <c r="AE47319" s="54"/>
    </row>
    <row r="47320" spans="31:31">
      <c r="AE47320" s="54"/>
    </row>
    <row r="47321" spans="31:31">
      <c r="AE47321" s="54"/>
    </row>
    <row r="47322" spans="31:31">
      <c r="AE47322" s="54"/>
    </row>
    <row r="47323" spans="31:31">
      <c r="AE47323" s="54"/>
    </row>
    <row r="47324" spans="31:31">
      <c r="AE47324" s="54"/>
    </row>
    <row r="47325" spans="31:31">
      <c r="AE47325" s="54"/>
    </row>
    <row r="47326" spans="31:31">
      <c r="AE47326" s="54"/>
    </row>
    <row r="47327" spans="31:31">
      <c r="AE47327" s="54"/>
    </row>
    <row r="47328" spans="31:31">
      <c r="AE47328" s="54"/>
    </row>
    <row r="47329" spans="31:31">
      <c r="AE47329" s="54"/>
    </row>
    <row r="47330" spans="31:31">
      <c r="AE47330" s="54"/>
    </row>
    <row r="47331" spans="31:31">
      <c r="AE47331" s="54"/>
    </row>
    <row r="47332" spans="31:31">
      <c r="AE47332" s="54"/>
    </row>
    <row r="47333" spans="31:31">
      <c r="AE47333" s="54"/>
    </row>
    <row r="47334" spans="31:31">
      <c r="AE47334" s="54"/>
    </row>
    <row r="47335" spans="31:31">
      <c r="AE47335" s="54"/>
    </row>
    <row r="47336" spans="31:31">
      <c r="AE47336" s="54"/>
    </row>
    <row r="47337" spans="31:31">
      <c r="AE47337" s="54"/>
    </row>
    <row r="47338" spans="31:31">
      <c r="AE47338" s="54"/>
    </row>
    <row r="47339" spans="31:31">
      <c r="AE47339" s="54"/>
    </row>
    <row r="47340" spans="31:31">
      <c r="AE47340" s="54"/>
    </row>
    <row r="47341" spans="31:31">
      <c r="AE47341" s="54"/>
    </row>
    <row r="47342" spans="31:31">
      <c r="AE47342" s="54"/>
    </row>
    <row r="47343" spans="31:31">
      <c r="AE47343" s="54"/>
    </row>
    <row r="47344" spans="31:31">
      <c r="AE47344" s="54"/>
    </row>
    <row r="47345" spans="31:31">
      <c r="AE47345" s="54"/>
    </row>
    <row r="47346" spans="31:31">
      <c r="AE47346" s="54"/>
    </row>
    <row r="47347" spans="31:31">
      <c r="AE47347" s="54"/>
    </row>
    <row r="47348" spans="31:31">
      <c r="AE47348" s="54"/>
    </row>
    <row r="47349" spans="31:31">
      <c r="AE47349" s="54"/>
    </row>
    <row r="47350" spans="31:31">
      <c r="AE47350" s="54"/>
    </row>
    <row r="47351" spans="31:31">
      <c r="AE47351" s="54"/>
    </row>
    <row r="47352" spans="31:31">
      <c r="AE47352" s="54"/>
    </row>
    <row r="47353" spans="31:31">
      <c r="AE47353" s="54"/>
    </row>
    <row r="47354" spans="31:31">
      <c r="AE47354" s="54"/>
    </row>
    <row r="47355" spans="31:31">
      <c r="AE47355" s="54"/>
    </row>
    <row r="47356" spans="31:31">
      <c r="AE47356" s="54"/>
    </row>
    <row r="47357" spans="31:31">
      <c r="AE47357" s="54"/>
    </row>
    <row r="47358" spans="31:31">
      <c r="AE47358" s="54"/>
    </row>
    <row r="47359" spans="31:31">
      <c r="AE47359" s="54"/>
    </row>
    <row r="47360" spans="31:31">
      <c r="AE47360" s="54"/>
    </row>
    <row r="47361" spans="31:31">
      <c r="AE47361" s="54"/>
    </row>
    <row r="47362" spans="31:31">
      <c r="AE47362" s="54"/>
    </row>
    <row r="47363" spans="31:31">
      <c r="AE47363" s="54"/>
    </row>
    <row r="47364" spans="31:31">
      <c r="AE47364" s="54"/>
    </row>
    <row r="47365" spans="31:31">
      <c r="AE47365" s="54"/>
    </row>
    <row r="47366" spans="31:31">
      <c r="AE47366" s="54"/>
    </row>
    <row r="47367" spans="31:31">
      <c r="AE47367" s="54"/>
    </row>
    <row r="47368" spans="31:31">
      <c r="AE47368" s="54"/>
    </row>
    <row r="47369" spans="31:31">
      <c r="AE47369" s="54"/>
    </row>
    <row r="47370" spans="31:31">
      <c r="AE47370" s="54"/>
    </row>
    <row r="47371" spans="31:31">
      <c r="AE47371" s="54"/>
    </row>
    <row r="47372" spans="31:31">
      <c r="AE47372" s="54"/>
    </row>
    <row r="47373" spans="31:31">
      <c r="AE47373" s="54"/>
    </row>
    <row r="47374" spans="31:31">
      <c r="AE47374" s="54"/>
    </row>
    <row r="47375" spans="31:31">
      <c r="AE47375" s="54"/>
    </row>
    <row r="47376" spans="31:31">
      <c r="AE47376" s="54"/>
    </row>
    <row r="47377" spans="31:31">
      <c r="AE47377" s="54"/>
    </row>
    <row r="47378" spans="31:31">
      <c r="AE47378" s="54"/>
    </row>
    <row r="47379" spans="31:31">
      <c r="AE47379" s="54"/>
    </row>
    <row r="47380" spans="31:31">
      <c r="AE47380" s="54"/>
    </row>
    <row r="47381" spans="31:31">
      <c r="AE47381" s="54"/>
    </row>
    <row r="47382" spans="31:31">
      <c r="AE47382" s="54"/>
    </row>
    <row r="47383" spans="31:31">
      <c r="AE47383" s="54"/>
    </row>
    <row r="47384" spans="31:31">
      <c r="AE47384" s="54"/>
    </row>
    <row r="47385" spans="31:31">
      <c r="AE47385" s="54"/>
    </row>
    <row r="47386" spans="31:31">
      <c r="AE47386" s="54"/>
    </row>
    <row r="47387" spans="31:31">
      <c r="AE47387" s="54"/>
    </row>
    <row r="47388" spans="31:31">
      <c r="AE47388" s="54"/>
    </row>
    <row r="47389" spans="31:31">
      <c r="AE47389" s="54"/>
    </row>
    <row r="47390" spans="31:31">
      <c r="AE47390" s="54"/>
    </row>
    <row r="47391" spans="31:31">
      <c r="AE47391" s="54"/>
    </row>
    <row r="47392" spans="31:31">
      <c r="AE47392" s="54"/>
    </row>
    <row r="47393" spans="31:31">
      <c r="AE47393" s="54"/>
    </row>
    <row r="47394" spans="31:31">
      <c r="AE47394" s="54"/>
    </row>
    <row r="47395" spans="31:31">
      <c r="AE47395" s="54"/>
    </row>
    <row r="47396" spans="31:31">
      <c r="AE47396" s="54"/>
    </row>
    <row r="47397" spans="31:31">
      <c r="AE47397" s="54"/>
    </row>
    <row r="47398" spans="31:31">
      <c r="AE47398" s="54"/>
    </row>
    <row r="47399" spans="31:31">
      <c r="AE47399" s="54"/>
    </row>
    <row r="47400" spans="31:31">
      <c r="AE47400" s="54"/>
    </row>
    <row r="47401" spans="31:31">
      <c r="AE47401" s="54"/>
    </row>
    <row r="47402" spans="31:31">
      <c r="AE47402" s="54"/>
    </row>
    <row r="47403" spans="31:31">
      <c r="AE47403" s="54"/>
    </row>
    <row r="47404" spans="31:31">
      <c r="AE47404" s="54"/>
    </row>
    <row r="47405" spans="31:31">
      <c r="AE47405" s="54"/>
    </row>
    <row r="47406" spans="31:31">
      <c r="AE47406" s="54"/>
    </row>
    <row r="47407" spans="31:31">
      <c r="AE47407" s="54"/>
    </row>
    <row r="47408" spans="31:31">
      <c r="AE47408" s="54"/>
    </row>
    <row r="47409" spans="31:31">
      <c r="AE47409" s="54"/>
    </row>
    <row r="47410" spans="31:31">
      <c r="AE47410" s="54"/>
    </row>
    <row r="47411" spans="31:31">
      <c r="AE47411" s="54"/>
    </row>
    <row r="47412" spans="31:31">
      <c r="AE47412" s="54"/>
    </row>
    <row r="47413" spans="31:31">
      <c r="AE47413" s="54"/>
    </row>
    <row r="47414" spans="31:31">
      <c r="AE47414" s="54"/>
    </row>
    <row r="47415" spans="31:31">
      <c r="AE47415" s="54"/>
    </row>
    <row r="47416" spans="31:31">
      <c r="AE47416" s="54"/>
    </row>
    <row r="47417" spans="31:31">
      <c r="AE47417" s="54"/>
    </row>
    <row r="47418" spans="31:31">
      <c r="AE47418" s="54"/>
    </row>
    <row r="47419" spans="31:31">
      <c r="AE47419" s="54"/>
    </row>
    <row r="47420" spans="31:31">
      <c r="AE47420" s="54"/>
    </row>
    <row r="47421" spans="31:31">
      <c r="AE47421" s="54"/>
    </row>
    <row r="47422" spans="31:31">
      <c r="AE47422" s="54"/>
    </row>
    <row r="47423" spans="31:31">
      <c r="AE47423" s="54"/>
    </row>
    <row r="47424" spans="31:31">
      <c r="AE47424" s="54"/>
    </row>
    <row r="47425" spans="31:31">
      <c r="AE47425" s="54"/>
    </row>
    <row r="47426" spans="31:31">
      <c r="AE47426" s="54"/>
    </row>
    <row r="47427" spans="31:31">
      <c r="AE47427" s="54"/>
    </row>
    <row r="47428" spans="31:31">
      <c r="AE47428" s="54"/>
    </row>
    <row r="47429" spans="31:31">
      <c r="AE47429" s="54"/>
    </row>
    <row r="47430" spans="31:31">
      <c r="AE47430" s="54"/>
    </row>
    <row r="47431" spans="31:31">
      <c r="AE47431" s="54"/>
    </row>
    <row r="47432" spans="31:31">
      <c r="AE47432" s="54"/>
    </row>
    <row r="47433" spans="31:31">
      <c r="AE47433" s="54"/>
    </row>
    <row r="47434" spans="31:31">
      <c r="AE47434" s="54"/>
    </row>
    <row r="47435" spans="31:31">
      <c r="AE47435" s="54"/>
    </row>
    <row r="47436" spans="31:31">
      <c r="AE47436" s="54"/>
    </row>
    <row r="47437" spans="31:31">
      <c r="AE47437" s="54"/>
    </row>
    <row r="47438" spans="31:31">
      <c r="AE47438" s="54"/>
    </row>
    <row r="47439" spans="31:31">
      <c r="AE47439" s="54"/>
    </row>
    <row r="47440" spans="31:31">
      <c r="AE47440" s="54"/>
    </row>
    <row r="47441" spans="31:31">
      <c r="AE47441" s="54"/>
    </row>
    <row r="47442" spans="31:31">
      <c r="AE47442" s="54"/>
    </row>
    <row r="47443" spans="31:31">
      <c r="AE47443" s="54"/>
    </row>
    <row r="47444" spans="31:31">
      <c r="AE47444" s="54"/>
    </row>
    <row r="47445" spans="31:31">
      <c r="AE47445" s="54"/>
    </row>
    <row r="47446" spans="31:31">
      <c r="AE47446" s="54"/>
    </row>
    <row r="47447" spans="31:31">
      <c r="AE47447" s="54"/>
    </row>
    <row r="47448" spans="31:31">
      <c r="AE47448" s="54"/>
    </row>
    <row r="47449" spans="31:31">
      <c r="AE47449" s="54"/>
    </row>
    <row r="47450" spans="31:31">
      <c r="AE47450" s="54"/>
    </row>
    <row r="47451" spans="31:31">
      <c r="AE47451" s="54"/>
    </row>
    <row r="47452" spans="31:31">
      <c r="AE47452" s="54"/>
    </row>
    <row r="47453" spans="31:31">
      <c r="AE47453" s="54"/>
    </row>
    <row r="47454" spans="31:31">
      <c r="AE47454" s="54"/>
    </row>
    <row r="47455" spans="31:31">
      <c r="AE47455" s="54"/>
    </row>
    <row r="47456" spans="31:31">
      <c r="AE47456" s="54"/>
    </row>
    <row r="47457" spans="31:31">
      <c r="AE47457" s="54"/>
    </row>
    <row r="47458" spans="31:31">
      <c r="AE47458" s="54"/>
    </row>
    <row r="47459" spans="31:31">
      <c r="AE47459" s="54"/>
    </row>
    <row r="47460" spans="31:31">
      <c r="AE47460" s="54"/>
    </row>
    <row r="47461" spans="31:31">
      <c r="AE47461" s="54"/>
    </row>
    <row r="47462" spans="31:31">
      <c r="AE47462" s="54"/>
    </row>
    <row r="47463" spans="31:31">
      <c r="AE47463" s="54"/>
    </row>
    <row r="47464" spans="31:31">
      <c r="AE47464" s="54"/>
    </row>
    <row r="47465" spans="31:31">
      <c r="AE47465" s="54"/>
    </row>
    <row r="47466" spans="31:31">
      <c r="AE47466" s="54"/>
    </row>
    <row r="47467" spans="31:31">
      <c r="AE47467" s="54"/>
    </row>
    <row r="47468" spans="31:31">
      <c r="AE47468" s="54"/>
    </row>
    <row r="47469" spans="31:31">
      <c r="AE47469" s="54"/>
    </row>
    <row r="47470" spans="31:31">
      <c r="AE47470" s="54"/>
    </row>
    <row r="47471" spans="31:31">
      <c r="AE47471" s="54"/>
    </row>
    <row r="47472" spans="31:31">
      <c r="AE47472" s="54"/>
    </row>
    <row r="47473" spans="31:31">
      <c r="AE47473" s="54"/>
    </row>
    <row r="47474" spans="31:31">
      <c r="AE47474" s="54"/>
    </row>
    <row r="47475" spans="31:31">
      <c r="AE47475" s="54"/>
    </row>
    <row r="47476" spans="31:31">
      <c r="AE47476" s="54"/>
    </row>
    <row r="47477" spans="31:31">
      <c r="AE47477" s="54"/>
    </row>
    <row r="47478" spans="31:31">
      <c r="AE47478" s="54"/>
    </row>
    <row r="47479" spans="31:31">
      <c r="AE47479" s="54"/>
    </row>
    <row r="47480" spans="31:31">
      <c r="AE47480" s="54"/>
    </row>
    <row r="47481" spans="31:31">
      <c r="AE47481" s="54"/>
    </row>
    <row r="47482" spans="31:31">
      <c r="AE47482" s="54"/>
    </row>
    <row r="47483" spans="31:31">
      <c r="AE47483" s="54"/>
    </row>
    <row r="47484" spans="31:31">
      <c r="AE47484" s="54"/>
    </row>
    <row r="47485" spans="31:31">
      <c r="AE47485" s="54"/>
    </row>
    <row r="47486" spans="31:31">
      <c r="AE47486" s="54"/>
    </row>
    <row r="47487" spans="31:31">
      <c r="AE47487" s="54"/>
    </row>
    <row r="47488" spans="31:31">
      <c r="AE47488" s="54"/>
    </row>
    <row r="47489" spans="31:31">
      <c r="AE47489" s="54"/>
    </row>
    <row r="47490" spans="31:31">
      <c r="AE47490" s="54"/>
    </row>
    <row r="47491" spans="31:31">
      <c r="AE47491" s="54"/>
    </row>
    <row r="47492" spans="31:31">
      <c r="AE47492" s="54"/>
    </row>
    <row r="47493" spans="31:31">
      <c r="AE47493" s="54"/>
    </row>
    <row r="47494" spans="31:31">
      <c r="AE47494" s="54"/>
    </row>
    <row r="47495" spans="31:31">
      <c r="AE47495" s="54"/>
    </row>
    <row r="47496" spans="31:31">
      <c r="AE47496" s="54"/>
    </row>
    <row r="47497" spans="31:31">
      <c r="AE47497" s="54"/>
    </row>
    <row r="47498" spans="31:31">
      <c r="AE47498" s="54"/>
    </row>
    <row r="47499" spans="31:31">
      <c r="AE47499" s="54"/>
    </row>
    <row r="47500" spans="31:31">
      <c r="AE47500" s="54"/>
    </row>
    <row r="47501" spans="31:31">
      <c r="AE47501" s="54"/>
    </row>
    <row r="47502" spans="31:31">
      <c r="AE47502" s="54"/>
    </row>
    <row r="47503" spans="31:31">
      <c r="AE47503" s="54"/>
    </row>
    <row r="47504" spans="31:31">
      <c r="AE47504" s="54"/>
    </row>
    <row r="47505" spans="31:31">
      <c r="AE47505" s="54"/>
    </row>
    <row r="47506" spans="31:31">
      <c r="AE47506" s="54"/>
    </row>
    <row r="47507" spans="31:31">
      <c r="AE47507" s="54"/>
    </row>
    <row r="47508" spans="31:31">
      <c r="AE47508" s="54"/>
    </row>
    <row r="47509" spans="31:31">
      <c r="AE47509" s="54"/>
    </row>
    <row r="47510" spans="31:31">
      <c r="AE47510" s="54"/>
    </row>
    <row r="47511" spans="31:31">
      <c r="AE47511" s="54"/>
    </row>
    <row r="47512" spans="31:31">
      <c r="AE47512" s="54"/>
    </row>
    <row r="47513" spans="31:31">
      <c r="AE47513" s="54"/>
    </row>
    <row r="47514" spans="31:31">
      <c r="AE47514" s="54"/>
    </row>
    <row r="47515" spans="31:31">
      <c r="AE47515" s="54"/>
    </row>
    <row r="47516" spans="31:31">
      <c r="AE47516" s="54"/>
    </row>
    <row r="47517" spans="31:31">
      <c r="AE47517" s="54"/>
    </row>
    <row r="47518" spans="31:31">
      <c r="AE47518" s="54"/>
    </row>
    <row r="47519" spans="31:31">
      <c r="AE47519" s="54"/>
    </row>
    <row r="47520" spans="31:31">
      <c r="AE47520" s="54"/>
    </row>
    <row r="47521" spans="31:31">
      <c r="AE47521" s="54"/>
    </row>
    <row r="47522" spans="31:31">
      <c r="AE47522" s="54"/>
    </row>
    <row r="47523" spans="31:31">
      <c r="AE47523" s="54"/>
    </row>
    <row r="47524" spans="31:31">
      <c r="AE47524" s="54"/>
    </row>
    <row r="47525" spans="31:31">
      <c r="AE47525" s="54"/>
    </row>
    <row r="47526" spans="31:31">
      <c r="AE47526" s="54"/>
    </row>
    <row r="47527" spans="31:31">
      <c r="AE47527" s="54"/>
    </row>
    <row r="47528" spans="31:31">
      <c r="AE47528" s="54"/>
    </row>
    <row r="47529" spans="31:31">
      <c r="AE47529" s="54"/>
    </row>
    <row r="47530" spans="31:31">
      <c r="AE47530" s="54"/>
    </row>
    <row r="47531" spans="31:31">
      <c r="AE47531" s="54"/>
    </row>
    <row r="47532" spans="31:31">
      <c r="AE47532" s="54"/>
    </row>
    <row r="47533" spans="31:31">
      <c r="AE47533" s="54"/>
    </row>
    <row r="47534" spans="31:31">
      <c r="AE47534" s="54"/>
    </row>
    <row r="47535" spans="31:31">
      <c r="AE47535" s="54"/>
    </row>
    <row r="47536" spans="31:31">
      <c r="AE47536" s="54"/>
    </row>
    <row r="47537" spans="31:31">
      <c r="AE47537" s="54"/>
    </row>
    <row r="47538" spans="31:31">
      <c r="AE47538" s="54"/>
    </row>
    <row r="47539" spans="31:31">
      <c r="AE47539" s="54"/>
    </row>
    <row r="47540" spans="31:31">
      <c r="AE47540" s="54"/>
    </row>
    <row r="47541" spans="31:31">
      <c r="AE47541" s="54"/>
    </row>
    <row r="47542" spans="31:31">
      <c r="AE47542" s="54"/>
    </row>
    <row r="47543" spans="31:31">
      <c r="AE47543" s="54"/>
    </row>
    <row r="47544" spans="31:31">
      <c r="AE47544" s="54"/>
    </row>
    <row r="47545" spans="31:31">
      <c r="AE47545" s="54"/>
    </row>
    <row r="47546" spans="31:31">
      <c r="AE47546" s="54"/>
    </row>
    <row r="47547" spans="31:31">
      <c r="AE47547" s="54"/>
    </row>
    <row r="47548" spans="31:31">
      <c r="AE47548" s="54"/>
    </row>
    <row r="47549" spans="31:31">
      <c r="AE47549" s="54"/>
    </row>
    <row r="47550" spans="31:31">
      <c r="AE47550" s="54"/>
    </row>
    <row r="47551" spans="31:31">
      <c r="AE47551" s="54"/>
    </row>
    <row r="47552" spans="31:31">
      <c r="AE47552" s="54"/>
    </row>
    <row r="47553" spans="31:31">
      <c r="AE47553" s="54"/>
    </row>
    <row r="47554" spans="31:31">
      <c r="AE47554" s="54"/>
    </row>
    <row r="47555" spans="31:31">
      <c r="AE47555" s="54"/>
    </row>
    <row r="47556" spans="31:31">
      <c r="AE47556" s="54"/>
    </row>
    <row r="47557" spans="31:31">
      <c r="AE47557" s="54"/>
    </row>
    <row r="47558" spans="31:31">
      <c r="AE47558" s="54"/>
    </row>
    <row r="47559" spans="31:31">
      <c r="AE47559" s="54"/>
    </row>
    <row r="47560" spans="31:31">
      <c r="AE47560" s="54"/>
    </row>
    <row r="47561" spans="31:31">
      <c r="AE47561" s="54"/>
    </row>
    <row r="47562" spans="31:31">
      <c r="AE47562" s="54"/>
    </row>
    <row r="47563" spans="31:31">
      <c r="AE47563" s="54"/>
    </row>
    <row r="47564" spans="31:31">
      <c r="AE47564" s="54"/>
    </row>
    <row r="47565" spans="31:31">
      <c r="AE47565" s="54"/>
    </row>
    <row r="47566" spans="31:31">
      <c r="AE47566" s="54"/>
    </row>
    <row r="47567" spans="31:31">
      <c r="AE47567" s="54"/>
    </row>
    <row r="47568" spans="31:31">
      <c r="AE47568" s="54"/>
    </row>
    <row r="47569" spans="31:31">
      <c r="AE47569" s="54"/>
    </row>
    <row r="47570" spans="31:31">
      <c r="AE47570" s="54"/>
    </row>
    <row r="47571" spans="31:31">
      <c r="AE47571" s="54"/>
    </row>
    <row r="47572" spans="31:31">
      <c r="AE47572" s="54"/>
    </row>
    <row r="47573" spans="31:31">
      <c r="AE47573" s="54"/>
    </row>
    <row r="47574" spans="31:31">
      <c r="AE47574" s="54"/>
    </row>
    <row r="47575" spans="31:31">
      <c r="AE47575" s="54"/>
    </row>
    <row r="47576" spans="31:31">
      <c r="AE47576" s="54"/>
    </row>
    <row r="47577" spans="31:31">
      <c r="AE47577" s="54"/>
    </row>
    <row r="47578" spans="31:31">
      <c r="AE47578" s="54"/>
    </row>
    <row r="47579" spans="31:31">
      <c r="AE47579" s="54"/>
    </row>
    <row r="47580" spans="31:31">
      <c r="AE47580" s="54"/>
    </row>
    <row r="47581" spans="31:31">
      <c r="AE47581" s="54"/>
    </row>
    <row r="47582" spans="31:31">
      <c r="AE47582" s="54"/>
    </row>
    <row r="47583" spans="31:31">
      <c r="AE47583" s="54"/>
    </row>
    <row r="47584" spans="31:31">
      <c r="AE47584" s="54"/>
    </row>
    <row r="47585" spans="31:31">
      <c r="AE47585" s="54"/>
    </row>
    <row r="47586" spans="31:31">
      <c r="AE47586" s="54"/>
    </row>
    <row r="47587" spans="31:31">
      <c r="AE47587" s="54"/>
    </row>
    <row r="47588" spans="31:31">
      <c r="AE47588" s="54"/>
    </row>
    <row r="47589" spans="31:31">
      <c r="AE47589" s="54"/>
    </row>
    <row r="47590" spans="31:31">
      <c r="AE47590" s="54"/>
    </row>
    <row r="47591" spans="31:31">
      <c r="AE47591" s="54"/>
    </row>
    <row r="47592" spans="31:31">
      <c r="AE47592" s="54"/>
    </row>
    <row r="47593" spans="31:31">
      <c r="AE47593" s="54"/>
    </row>
    <row r="47594" spans="31:31">
      <c r="AE47594" s="54"/>
    </row>
    <row r="47595" spans="31:31">
      <c r="AE47595" s="54"/>
    </row>
    <row r="47596" spans="31:31">
      <c r="AE47596" s="54"/>
    </row>
    <row r="47597" spans="31:31">
      <c r="AE47597" s="54"/>
    </row>
    <row r="47598" spans="31:31">
      <c r="AE47598" s="54"/>
    </row>
    <row r="47599" spans="31:31">
      <c r="AE47599" s="54"/>
    </row>
    <row r="47600" spans="31:31">
      <c r="AE47600" s="54"/>
    </row>
    <row r="47601" spans="31:31">
      <c r="AE47601" s="54"/>
    </row>
    <row r="47602" spans="31:31">
      <c r="AE47602" s="54"/>
    </row>
    <row r="47603" spans="31:31">
      <c r="AE47603" s="54"/>
    </row>
    <row r="47604" spans="31:31">
      <c r="AE47604" s="54"/>
    </row>
    <row r="47605" spans="31:31">
      <c r="AE47605" s="54"/>
    </row>
    <row r="47606" spans="31:31">
      <c r="AE47606" s="54"/>
    </row>
    <row r="47607" spans="31:31">
      <c r="AE47607" s="54"/>
    </row>
    <row r="47608" spans="31:31">
      <c r="AE47608" s="54"/>
    </row>
    <row r="47609" spans="31:31">
      <c r="AE47609" s="54"/>
    </row>
    <row r="47610" spans="31:31">
      <c r="AE47610" s="54"/>
    </row>
    <row r="47611" spans="31:31">
      <c r="AE47611" s="54"/>
    </row>
    <row r="47612" spans="31:31">
      <c r="AE47612" s="54"/>
    </row>
    <row r="47613" spans="31:31">
      <c r="AE47613" s="54"/>
    </row>
    <row r="47614" spans="31:31">
      <c r="AE47614" s="54"/>
    </row>
    <row r="47615" spans="31:31">
      <c r="AE47615" s="54"/>
    </row>
    <row r="47616" spans="31:31">
      <c r="AE47616" s="54"/>
    </row>
    <row r="47617" spans="31:31">
      <c r="AE47617" s="54"/>
    </row>
    <row r="47618" spans="31:31">
      <c r="AE47618" s="54"/>
    </row>
    <row r="47619" spans="31:31">
      <c r="AE47619" s="54"/>
    </row>
    <row r="47620" spans="31:31">
      <c r="AE47620" s="54"/>
    </row>
    <row r="47621" spans="31:31">
      <c r="AE47621" s="54"/>
    </row>
    <row r="47622" spans="31:31">
      <c r="AE47622" s="54"/>
    </row>
    <row r="47623" spans="31:31">
      <c r="AE47623" s="54"/>
    </row>
    <row r="47624" spans="31:31">
      <c r="AE47624" s="54"/>
    </row>
    <row r="47625" spans="31:31">
      <c r="AE47625" s="54"/>
    </row>
    <row r="47626" spans="31:31">
      <c r="AE47626" s="54"/>
    </row>
    <row r="47627" spans="31:31">
      <c r="AE47627" s="54"/>
    </row>
    <row r="47628" spans="31:31">
      <c r="AE47628" s="54"/>
    </row>
    <row r="47629" spans="31:31">
      <c r="AE47629" s="54"/>
    </row>
    <row r="47630" spans="31:31">
      <c r="AE47630" s="54"/>
    </row>
    <row r="47631" spans="31:31">
      <c r="AE47631" s="54"/>
    </row>
    <row r="47632" spans="31:31">
      <c r="AE47632" s="54"/>
    </row>
    <row r="47633" spans="31:31">
      <c r="AE47633" s="54"/>
    </row>
    <row r="47634" spans="31:31">
      <c r="AE47634" s="54"/>
    </row>
    <row r="47635" spans="31:31">
      <c r="AE47635" s="54"/>
    </row>
    <row r="47636" spans="31:31">
      <c r="AE47636" s="54"/>
    </row>
    <row r="47637" spans="31:31">
      <c r="AE47637" s="54"/>
    </row>
    <row r="47638" spans="31:31">
      <c r="AE47638" s="54"/>
    </row>
    <row r="47639" spans="31:31">
      <c r="AE47639" s="54"/>
    </row>
    <row r="47640" spans="31:31">
      <c r="AE47640" s="54"/>
    </row>
    <row r="47641" spans="31:31">
      <c r="AE47641" s="54"/>
    </row>
    <row r="47642" spans="31:31">
      <c r="AE47642" s="54"/>
    </row>
    <row r="47643" spans="31:31">
      <c r="AE47643" s="54"/>
    </row>
    <row r="47644" spans="31:31">
      <c r="AE47644" s="54"/>
    </row>
    <row r="47645" spans="31:31">
      <c r="AE47645" s="54"/>
    </row>
    <row r="47646" spans="31:31">
      <c r="AE47646" s="54"/>
    </row>
    <row r="47647" spans="31:31">
      <c r="AE47647" s="54"/>
    </row>
    <row r="47648" spans="31:31">
      <c r="AE47648" s="54"/>
    </row>
    <row r="47649" spans="31:31">
      <c r="AE47649" s="54"/>
    </row>
    <row r="47650" spans="31:31">
      <c r="AE47650" s="54"/>
    </row>
    <row r="47651" spans="31:31">
      <c r="AE47651" s="54"/>
    </row>
    <row r="47652" spans="31:31">
      <c r="AE47652" s="54"/>
    </row>
    <row r="47653" spans="31:31">
      <c r="AE47653" s="54"/>
    </row>
    <row r="47654" spans="31:31">
      <c r="AE47654" s="54"/>
    </row>
    <row r="47655" spans="31:31">
      <c r="AE47655" s="54"/>
    </row>
    <row r="47656" spans="31:31">
      <c r="AE47656" s="54"/>
    </row>
    <row r="47657" spans="31:31">
      <c r="AE47657" s="54"/>
    </row>
    <row r="47658" spans="31:31">
      <c r="AE47658" s="54"/>
    </row>
    <row r="47659" spans="31:31">
      <c r="AE47659" s="54"/>
    </row>
    <row r="47660" spans="31:31">
      <c r="AE47660" s="54"/>
    </row>
    <row r="47661" spans="31:31">
      <c r="AE47661" s="54"/>
    </row>
    <row r="47662" spans="31:31">
      <c r="AE47662" s="54"/>
    </row>
    <row r="47663" spans="31:31">
      <c r="AE47663" s="54"/>
    </row>
    <row r="47664" spans="31:31">
      <c r="AE47664" s="54"/>
    </row>
    <row r="47665" spans="31:31">
      <c r="AE47665" s="54"/>
    </row>
    <row r="47666" spans="31:31">
      <c r="AE47666" s="54"/>
    </row>
    <row r="47667" spans="31:31">
      <c r="AE47667" s="54"/>
    </row>
    <row r="47668" spans="31:31">
      <c r="AE47668" s="54"/>
    </row>
    <row r="47669" spans="31:31">
      <c r="AE47669" s="54"/>
    </row>
    <row r="47670" spans="31:31">
      <c r="AE47670" s="54"/>
    </row>
    <row r="47671" spans="31:31">
      <c r="AE47671" s="54"/>
    </row>
    <row r="47672" spans="31:31">
      <c r="AE47672" s="54"/>
    </row>
    <row r="47673" spans="31:31">
      <c r="AE47673" s="54"/>
    </row>
    <row r="47674" spans="31:31">
      <c r="AE47674" s="54"/>
    </row>
    <row r="47675" spans="31:31">
      <c r="AE47675" s="54"/>
    </row>
    <row r="47676" spans="31:31">
      <c r="AE47676" s="54"/>
    </row>
    <row r="47677" spans="31:31">
      <c r="AE47677" s="54"/>
    </row>
    <row r="47678" spans="31:31">
      <c r="AE47678" s="54"/>
    </row>
    <row r="47679" spans="31:31">
      <c r="AE47679" s="54"/>
    </row>
    <row r="47680" spans="31:31">
      <c r="AE47680" s="54"/>
    </row>
    <row r="47681" spans="31:31">
      <c r="AE47681" s="54"/>
    </row>
    <row r="47682" spans="31:31">
      <c r="AE47682" s="54"/>
    </row>
    <row r="47683" spans="31:31">
      <c r="AE47683" s="54"/>
    </row>
    <row r="47684" spans="31:31">
      <c r="AE47684" s="54"/>
    </row>
    <row r="47685" spans="31:31">
      <c r="AE47685" s="54"/>
    </row>
    <row r="47686" spans="31:31">
      <c r="AE47686" s="54"/>
    </row>
    <row r="47687" spans="31:31">
      <c r="AE47687" s="54"/>
    </row>
    <row r="47688" spans="31:31">
      <c r="AE47688" s="54"/>
    </row>
    <row r="47689" spans="31:31">
      <c r="AE47689" s="54"/>
    </row>
    <row r="47690" spans="31:31">
      <c r="AE47690" s="54"/>
    </row>
    <row r="47691" spans="31:31">
      <c r="AE47691" s="54"/>
    </row>
    <row r="47692" spans="31:31">
      <c r="AE47692" s="54"/>
    </row>
    <row r="47693" spans="31:31">
      <c r="AE47693" s="54"/>
    </row>
    <row r="47694" spans="31:31">
      <c r="AE47694" s="54"/>
    </row>
    <row r="47695" spans="31:31">
      <c r="AE47695" s="54"/>
    </row>
    <row r="47696" spans="31:31">
      <c r="AE47696" s="54"/>
    </row>
    <row r="47697" spans="31:31">
      <c r="AE47697" s="54"/>
    </row>
    <row r="47698" spans="31:31">
      <c r="AE47698" s="54"/>
    </row>
    <row r="47699" spans="31:31">
      <c r="AE47699" s="54"/>
    </row>
    <row r="47700" spans="31:31">
      <c r="AE47700" s="54"/>
    </row>
    <row r="47701" spans="31:31">
      <c r="AE47701" s="54"/>
    </row>
    <row r="47702" spans="31:31">
      <c r="AE47702" s="54"/>
    </row>
    <row r="47703" spans="31:31">
      <c r="AE47703" s="54"/>
    </row>
    <row r="47704" spans="31:31">
      <c r="AE47704" s="54"/>
    </row>
    <row r="47705" spans="31:31">
      <c r="AE47705" s="54"/>
    </row>
    <row r="47706" spans="31:31">
      <c r="AE47706" s="54"/>
    </row>
    <row r="47707" spans="31:31">
      <c r="AE47707" s="54"/>
    </row>
    <row r="47708" spans="31:31">
      <c r="AE47708" s="54"/>
    </row>
    <row r="47709" spans="31:31">
      <c r="AE47709" s="54"/>
    </row>
    <row r="47710" spans="31:31">
      <c r="AE47710" s="54"/>
    </row>
    <row r="47711" spans="31:31">
      <c r="AE47711" s="54"/>
    </row>
    <row r="47712" spans="31:31">
      <c r="AE47712" s="54"/>
    </row>
    <row r="47713" spans="31:31">
      <c r="AE47713" s="54"/>
    </row>
    <row r="47714" spans="31:31">
      <c r="AE47714" s="54"/>
    </row>
    <row r="47715" spans="31:31">
      <c r="AE47715" s="54"/>
    </row>
    <row r="47716" spans="31:31">
      <c r="AE47716" s="54"/>
    </row>
    <row r="47717" spans="31:31">
      <c r="AE47717" s="54"/>
    </row>
    <row r="47718" spans="31:31">
      <c r="AE47718" s="54"/>
    </row>
    <row r="47719" spans="31:31">
      <c r="AE47719" s="54"/>
    </row>
    <row r="47720" spans="31:31">
      <c r="AE47720" s="54"/>
    </row>
    <row r="47721" spans="31:31">
      <c r="AE47721" s="54"/>
    </row>
    <row r="47722" spans="31:31">
      <c r="AE47722" s="54"/>
    </row>
    <row r="47723" spans="31:31">
      <c r="AE47723" s="54"/>
    </row>
    <row r="47724" spans="31:31">
      <c r="AE47724" s="54"/>
    </row>
    <row r="47725" spans="31:31">
      <c r="AE47725" s="54"/>
    </row>
    <row r="47726" spans="31:31">
      <c r="AE47726" s="54"/>
    </row>
    <row r="47727" spans="31:31">
      <c r="AE47727" s="54"/>
    </row>
    <row r="47728" spans="31:31">
      <c r="AE47728" s="54"/>
    </row>
    <row r="47729" spans="31:31">
      <c r="AE47729" s="54"/>
    </row>
    <row r="47730" spans="31:31">
      <c r="AE47730" s="54"/>
    </row>
    <row r="47731" spans="31:31">
      <c r="AE47731" s="54"/>
    </row>
    <row r="47732" spans="31:31">
      <c r="AE47732" s="54"/>
    </row>
    <row r="47733" spans="31:31">
      <c r="AE47733" s="54"/>
    </row>
    <row r="47734" spans="31:31">
      <c r="AE47734" s="54"/>
    </row>
    <row r="47735" spans="31:31">
      <c r="AE47735" s="54"/>
    </row>
    <row r="47736" spans="31:31">
      <c r="AE47736" s="54"/>
    </row>
    <row r="47737" spans="31:31">
      <c r="AE47737" s="54"/>
    </row>
    <row r="47738" spans="31:31">
      <c r="AE47738" s="54"/>
    </row>
    <row r="47739" spans="31:31">
      <c r="AE47739" s="54"/>
    </row>
    <row r="47740" spans="31:31">
      <c r="AE47740" s="54"/>
    </row>
    <row r="47741" spans="31:31">
      <c r="AE47741" s="54"/>
    </row>
    <row r="47742" spans="31:31">
      <c r="AE47742" s="54"/>
    </row>
    <row r="47743" spans="31:31">
      <c r="AE47743" s="54"/>
    </row>
    <row r="47744" spans="31:31">
      <c r="AE47744" s="54"/>
    </row>
    <row r="47745" spans="31:31">
      <c r="AE47745" s="54"/>
    </row>
    <row r="47746" spans="31:31">
      <c r="AE47746" s="54"/>
    </row>
    <row r="47747" spans="31:31">
      <c r="AE47747" s="54"/>
    </row>
    <row r="47748" spans="31:31">
      <c r="AE47748" s="54"/>
    </row>
    <row r="47749" spans="31:31">
      <c r="AE47749" s="54"/>
    </row>
    <row r="47750" spans="31:31">
      <c r="AE47750" s="54"/>
    </row>
    <row r="47751" spans="31:31">
      <c r="AE47751" s="54"/>
    </row>
    <row r="47752" spans="31:31">
      <c r="AE47752" s="54"/>
    </row>
    <row r="47753" spans="31:31">
      <c r="AE47753" s="54"/>
    </row>
    <row r="47754" spans="31:31">
      <c r="AE47754" s="54"/>
    </row>
    <row r="47755" spans="31:31">
      <c r="AE47755" s="54"/>
    </row>
    <row r="47756" spans="31:31">
      <c r="AE47756" s="54"/>
    </row>
    <row r="47757" spans="31:31">
      <c r="AE47757" s="54"/>
    </row>
    <row r="47758" spans="31:31">
      <c r="AE47758" s="54"/>
    </row>
    <row r="47759" spans="31:31">
      <c r="AE47759" s="54"/>
    </row>
    <row r="47760" spans="31:31">
      <c r="AE47760" s="54"/>
    </row>
    <row r="47761" spans="31:31">
      <c r="AE47761" s="54"/>
    </row>
    <row r="47762" spans="31:31">
      <c r="AE47762" s="54"/>
    </row>
    <row r="47763" spans="31:31">
      <c r="AE47763" s="54"/>
    </row>
    <row r="47764" spans="31:31">
      <c r="AE47764" s="54"/>
    </row>
    <row r="47765" spans="31:31">
      <c r="AE47765" s="54"/>
    </row>
    <row r="47766" spans="31:31">
      <c r="AE47766" s="54"/>
    </row>
    <row r="47767" spans="31:31">
      <c r="AE47767" s="54"/>
    </row>
    <row r="47768" spans="31:31">
      <c r="AE47768" s="54"/>
    </row>
    <row r="47769" spans="31:31">
      <c r="AE47769" s="54"/>
    </row>
    <row r="47770" spans="31:31">
      <c r="AE47770" s="54"/>
    </row>
    <row r="47771" spans="31:31">
      <c r="AE47771" s="54"/>
    </row>
    <row r="47772" spans="31:31">
      <c r="AE47772" s="54"/>
    </row>
    <row r="47773" spans="31:31">
      <c r="AE47773" s="54"/>
    </row>
    <row r="47774" spans="31:31">
      <c r="AE47774" s="54"/>
    </row>
    <row r="47775" spans="31:31">
      <c r="AE47775" s="54"/>
    </row>
    <row r="47776" spans="31:31">
      <c r="AE47776" s="54"/>
    </row>
    <row r="47777" spans="31:31">
      <c r="AE47777" s="54"/>
    </row>
    <row r="47778" spans="31:31">
      <c r="AE47778" s="54"/>
    </row>
    <row r="47779" spans="31:31">
      <c r="AE47779" s="54"/>
    </row>
    <row r="47780" spans="31:31">
      <c r="AE47780" s="54"/>
    </row>
    <row r="47781" spans="31:31">
      <c r="AE47781" s="54"/>
    </row>
    <row r="47782" spans="31:31">
      <c r="AE47782" s="54"/>
    </row>
    <row r="47783" spans="31:31">
      <c r="AE47783" s="54"/>
    </row>
    <row r="47784" spans="31:31">
      <c r="AE47784" s="54"/>
    </row>
    <row r="47785" spans="31:31">
      <c r="AE47785" s="54"/>
    </row>
    <row r="47786" spans="31:31">
      <c r="AE47786" s="54"/>
    </row>
    <row r="47787" spans="31:31">
      <c r="AE47787" s="54"/>
    </row>
    <row r="47788" spans="31:31">
      <c r="AE47788" s="54"/>
    </row>
    <row r="47789" spans="31:31">
      <c r="AE47789" s="54"/>
    </row>
    <row r="47790" spans="31:31">
      <c r="AE47790" s="54"/>
    </row>
    <row r="47791" spans="31:31">
      <c r="AE47791" s="54"/>
    </row>
    <row r="47792" spans="31:31">
      <c r="AE47792" s="54"/>
    </row>
    <row r="47793" spans="31:31">
      <c r="AE47793" s="54"/>
    </row>
    <row r="47794" spans="31:31">
      <c r="AE47794" s="54"/>
    </row>
    <row r="47795" spans="31:31">
      <c r="AE47795" s="54"/>
    </row>
    <row r="47796" spans="31:31">
      <c r="AE47796" s="54"/>
    </row>
    <row r="47797" spans="31:31">
      <c r="AE47797" s="54"/>
    </row>
    <row r="47798" spans="31:31">
      <c r="AE47798" s="54"/>
    </row>
    <row r="47799" spans="31:31">
      <c r="AE47799" s="54"/>
    </row>
    <row r="47800" spans="31:31">
      <c r="AE47800" s="54"/>
    </row>
    <row r="47801" spans="31:31">
      <c r="AE47801" s="54"/>
    </row>
    <row r="47802" spans="31:31">
      <c r="AE47802" s="54"/>
    </row>
    <row r="47803" spans="31:31">
      <c r="AE47803" s="54"/>
    </row>
    <row r="47804" spans="31:31">
      <c r="AE47804" s="54"/>
    </row>
    <row r="47805" spans="31:31">
      <c r="AE47805" s="54"/>
    </row>
    <row r="47806" spans="31:31">
      <c r="AE47806" s="54"/>
    </row>
    <row r="47807" spans="31:31">
      <c r="AE47807" s="54"/>
    </row>
    <row r="47808" spans="31:31">
      <c r="AE47808" s="54"/>
    </row>
    <row r="47809" spans="31:31">
      <c r="AE47809" s="54"/>
    </row>
    <row r="47810" spans="31:31">
      <c r="AE47810" s="54"/>
    </row>
    <row r="47811" spans="31:31">
      <c r="AE47811" s="54"/>
    </row>
    <row r="47812" spans="31:31">
      <c r="AE47812" s="54"/>
    </row>
    <row r="47813" spans="31:31">
      <c r="AE47813" s="54"/>
    </row>
    <row r="47814" spans="31:31">
      <c r="AE47814" s="54"/>
    </row>
    <row r="47815" spans="31:31">
      <c r="AE47815" s="54"/>
    </row>
    <row r="47816" spans="31:31">
      <c r="AE47816" s="54"/>
    </row>
    <row r="47817" spans="31:31">
      <c r="AE47817" s="54"/>
    </row>
    <row r="47818" spans="31:31">
      <c r="AE47818" s="54"/>
    </row>
    <row r="47819" spans="31:31">
      <c r="AE47819" s="54"/>
    </row>
    <row r="47820" spans="31:31">
      <c r="AE47820" s="54"/>
    </row>
    <row r="47821" spans="31:31">
      <c r="AE47821" s="54"/>
    </row>
    <row r="47822" spans="31:31">
      <c r="AE47822" s="54"/>
    </row>
    <row r="47823" spans="31:31">
      <c r="AE47823" s="54"/>
    </row>
    <row r="47824" spans="31:31">
      <c r="AE47824" s="54"/>
    </row>
    <row r="47825" spans="31:31">
      <c r="AE47825" s="54"/>
    </row>
    <row r="47826" spans="31:31">
      <c r="AE47826" s="54"/>
    </row>
    <row r="47827" spans="31:31">
      <c r="AE47827" s="54"/>
    </row>
    <row r="47828" spans="31:31">
      <c r="AE47828" s="54"/>
    </row>
    <row r="47829" spans="31:31">
      <c r="AE47829" s="54"/>
    </row>
    <row r="47830" spans="31:31">
      <c r="AE47830" s="54"/>
    </row>
    <row r="47831" spans="31:31">
      <c r="AE47831" s="54"/>
    </row>
    <row r="47832" spans="31:31">
      <c r="AE47832" s="54"/>
    </row>
    <row r="47833" spans="31:31">
      <c r="AE47833" s="54"/>
    </row>
    <row r="47834" spans="31:31">
      <c r="AE47834" s="54"/>
    </row>
    <row r="47835" spans="31:31">
      <c r="AE47835" s="54"/>
    </row>
    <row r="47836" spans="31:31">
      <c r="AE47836" s="54"/>
    </row>
    <row r="47837" spans="31:31">
      <c r="AE47837" s="54"/>
    </row>
    <row r="47838" spans="31:31">
      <c r="AE47838" s="54"/>
    </row>
    <row r="47839" spans="31:31">
      <c r="AE47839" s="54"/>
    </row>
    <row r="47840" spans="31:31">
      <c r="AE47840" s="54"/>
    </row>
    <row r="47841" spans="31:31">
      <c r="AE47841" s="54"/>
    </row>
    <row r="47842" spans="31:31">
      <c r="AE47842" s="54"/>
    </row>
    <row r="47843" spans="31:31">
      <c r="AE47843" s="54"/>
    </row>
    <row r="47844" spans="31:31">
      <c r="AE47844" s="54"/>
    </row>
    <row r="47845" spans="31:31">
      <c r="AE47845" s="54"/>
    </row>
    <row r="47846" spans="31:31">
      <c r="AE47846" s="54"/>
    </row>
    <row r="47847" spans="31:31">
      <c r="AE47847" s="54"/>
    </row>
    <row r="47848" spans="31:31">
      <c r="AE47848" s="54"/>
    </row>
    <row r="47849" spans="31:31">
      <c r="AE47849" s="54"/>
    </row>
    <row r="47850" spans="31:31">
      <c r="AE47850" s="54"/>
    </row>
    <row r="47851" spans="31:31">
      <c r="AE47851" s="54"/>
    </row>
    <row r="47852" spans="31:31">
      <c r="AE47852" s="54"/>
    </row>
    <row r="47853" spans="31:31">
      <c r="AE47853" s="54"/>
    </row>
    <row r="47854" spans="31:31">
      <c r="AE47854" s="54"/>
    </row>
    <row r="47855" spans="31:31">
      <c r="AE47855" s="54"/>
    </row>
    <row r="47856" spans="31:31">
      <c r="AE47856" s="54"/>
    </row>
    <row r="47857" spans="31:31">
      <c r="AE47857" s="54"/>
    </row>
    <row r="47858" spans="31:31">
      <c r="AE47858" s="54"/>
    </row>
    <row r="47859" spans="31:31">
      <c r="AE47859" s="54"/>
    </row>
    <row r="47860" spans="31:31">
      <c r="AE47860" s="54"/>
    </row>
    <row r="47861" spans="31:31">
      <c r="AE47861" s="54"/>
    </row>
    <row r="47862" spans="31:31">
      <c r="AE47862" s="54"/>
    </row>
    <row r="47863" spans="31:31">
      <c r="AE47863" s="54"/>
    </row>
    <row r="47864" spans="31:31">
      <c r="AE47864" s="54"/>
    </row>
    <row r="47865" spans="31:31">
      <c r="AE47865" s="54"/>
    </row>
    <row r="47866" spans="31:31">
      <c r="AE47866" s="54"/>
    </row>
    <row r="47867" spans="31:31">
      <c r="AE47867" s="54"/>
    </row>
    <row r="47868" spans="31:31">
      <c r="AE47868" s="54"/>
    </row>
    <row r="47869" spans="31:31">
      <c r="AE47869" s="54"/>
    </row>
    <row r="47870" spans="31:31">
      <c r="AE47870" s="54"/>
    </row>
    <row r="47871" spans="31:31">
      <c r="AE47871" s="54"/>
    </row>
    <row r="47872" spans="31:31">
      <c r="AE47872" s="54"/>
    </row>
    <row r="47873" spans="31:31">
      <c r="AE47873" s="54"/>
    </row>
    <row r="47874" spans="31:31">
      <c r="AE47874" s="54"/>
    </row>
    <row r="47875" spans="31:31">
      <c r="AE47875" s="54"/>
    </row>
    <row r="47876" spans="31:31">
      <c r="AE47876" s="54"/>
    </row>
    <row r="47877" spans="31:31">
      <c r="AE47877" s="54"/>
    </row>
    <row r="47878" spans="31:31">
      <c r="AE47878" s="54"/>
    </row>
    <row r="47879" spans="31:31">
      <c r="AE47879" s="54"/>
    </row>
    <row r="47880" spans="31:31">
      <c r="AE47880" s="54"/>
    </row>
    <row r="47881" spans="31:31">
      <c r="AE47881" s="54"/>
    </row>
    <row r="47882" spans="31:31">
      <c r="AE47882" s="54"/>
    </row>
    <row r="47883" spans="31:31">
      <c r="AE47883" s="54"/>
    </row>
    <row r="47884" spans="31:31">
      <c r="AE47884" s="54"/>
    </row>
    <row r="47885" spans="31:31">
      <c r="AE47885" s="54"/>
    </row>
    <row r="47886" spans="31:31">
      <c r="AE47886" s="54"/>
    </row>
    <row r="47887" spans="31:31">
      <c r="AE47887" s="54"/>
    </row>
    <row r="47888" spans="31:31">
      <c r="AE47888" s="54"/>
    </row>
    <row r="47889" spans="31:31">
      <c r="AE47889" s="54"/>
    </row>
    <row r="47890" spans="31:31">
      <c r="AE47890" s="54"/>
    </row>
    <row r="47891" spans="31:31">
      <c r="AE47891" s="54"/>
    </row>
    <row r="47892" spans="31:31">
      <c r="AE47892" s="54"/>
    </row>
    <row r="47893" spans="31:31">
      <c r="AE47893" s="54"/>
    </row>
    <row r="47894" spans="31:31">
      <c r="AE47894" s="54"/>
    </row>
    <row r="47895" spans="31:31">
      <c r="AE47895" s="54"/>
    </row>
    <row r="47896" spans="31:31">
      <c r="AE47896" s="54"/>
    </row>
    <row r="47897" spans="31:31">
      <c r="AE47897" s="54"/>
    </row>
    <row r="47898" spans="31:31">
      <c r="AE47898" s="54"/>
    </row>
    <row r="47899" spans="31:31">
      <c r="AE47899" s="54"/>
    </row>
    <row r="47900" spans="31:31">
      <c r="AE47900" s="54"/>
    </row>
    <row r="47901" spans="31:31">
      <c r="AE47901" s="54"/>
    </row>
    <row r="47902" spans="31:31">
      <c r="AE47902" s="54"/>
    </row>
    <row r="47903" spans="31:31">
      <c r="AE47903" s="54"/>
    </row>
    <row r="47904" spans="31:31">
      <c r="AE47904" s="54"/>
    </row>
    <row r="47905" spans="31:31">
      <c r="AE47905" s="54"/>
    </row>
    <row r="47906" spans="31:31">
      <c r="AE47906" s="54"/>
    </row>
    <row r="47907" spans="31:31">
      <c r="AE47907" s="54"/>
    </row>
    <row r="47908" spans="31:31">
      <c r="AE47908" s="54"/>
    </row>
    <row r="47909" spans="31:31">
      <c r="AE47909" s="54"/>
    </row>
    <row r="47910" spans="31:31">
      <c r="AE47910" s="54"/>
    </row>
    <row r="47911" spans="31:31">
      <c r="AE47911" s="54"/>
    </row>
    <row r="47912" spans="31:31">
      <c r="AE47912" s="54"/>
    </row>
    <row r="47913" spans="31:31">
      <c r="AE47913" s="54"/>
    </row>
    <row r="47914" spans="31:31">
      <c r="AE47914" s="54"/>
    </row>
    <row r="47915" spans="31:31">
      <c r="AE47915" s="54"/>
    </row>
    <row r="47916" spans="31:31">
      <c r="AE47916" s="54"/>
    </row>
    <row r="47917" spans="31:31">
      <c r="AE47917" s="54"/>
    </row>
    <row r="47918" spans="31:31">
      <c r="AE47918" s="54"/>
    </row>
    <row r="47919" spans="31:31">
      <c r="AE47919" s="54"/>
    </row>
    <row r="47920" spans="31:31">
      <c r="AE47920" s="54"/>
    </row>
    <row r="47921" spans="31:31">
      <c r="AE47921" s="54"/>
    </row>
    <row r="47922" spans="31:31">
      <c r="AE47922" s="54"/>
    </row>
    <row r="47923" spans="31:31">
      <c r="AE47923" s="54"/>
    </row>
    <row r="47924" spans="31:31">
      <c r="AE47924" s="54"/>
    </row>
    <row r="47925" spans="31:31">
      <c r="AE47925" s="54"/>
    </row>
    <row r="47926" spans="31:31">
      <c r="AE47926" s="54"/>
    </row>
    <row r="47927" spans="31:31">
      <c r="AE47927" s="54"/>
    </row>
    <row r="47928" spans="31:31">
      <c r="AE47928" s="54"/>
    </row>
    <row r="47929" spans="31:31">
      <c r="AE47929" s="54"/>
    </row>
    <row r="47930" spans="31:31">
      <c r="AE47930" s="54"/>
    </row>
    <row r="47931" spans="31:31">
      <c r="AE47931" s="54"/>
    </row>
    <row r="47932" spans="31:31">
      <c r="AE47932" s="54"/>
    </row>
    <row r="47933" spans="31:31">
      <c r="AE47933" s="54"/>
    </row>
    <row r="47934" spans="31:31">
      <c r="AE47934" s="54"/>
    </row>
    <row r="47935" spans="31:31">
      <c r="AE47935" s="54"/>
    </row>
    <row r="47936" spans="31:31">
      <c r="AE47936" s="54"/>
    </row>
    <row r="47937" spans="31:31">
      <c r="AE47937" s="54"/>
    </row>
    <row r="47938" spans="31:31">
      <c r="AE47938" s="54"/>
    </row>
    <row r="47939" spans="31:31">
      <c r="AE47939" s="54"/>
    </row>
    <row r="47940" spans="31:31">
      <c r="AE47940" s="54"/>
    </row>
    <row r="47941" spans="31:31">
      <c r="AE47941" s="54"/>
    </row>
    <row r="47942" spans="31:31">
      <c r="AE47942" s="54"/>
    </row>
    <row r="47943" spans="31:31">
      <c r="AE47943" s="54"/>
    </row>
    <row r="47944" spans="31:31">
      <c r="AE47944" s="54"/>
    </row>
    <row r="47945" spans="31:31">
      <c r="AE47945" s="54"/>
    </row>
    <row r="47946" spans="31:31">
      <c r="AE47946" s="54"/>
    </row>
    <row r="47947" spans="31:31">
      <c r="AE47947" s="54"/>
    </row>
    <row r="47948" spans="31:31">
      <c r="AE47948" s="54"/>
    </row>
    <row r="47949" spans="31:31">
      <c r="AE47949" s="54"/>
    </row>
    <row r="47950" spans="31:31">
      <c r="AE47950" s="54"/>
    </row>
    <row r="47951" spans="31:31">
      <c r="AE47951" s="54"/>
    </row>
    <row r="47952" spans="31:31">
      <c r="AE47952" s="54"/>
    </row>
    <row r="47953" spans="31:31">
      <c r="AE47953" s="54"/>
    </row>
    <row r="47954" spans="31:31">
      <c r="AE47954" s="54"/>
    </row>
    <row r="47955" spans="31:31">
      <c r="AE47955" s="54"/>
    </row>
    <row r="47956" spans="31:31">
      <c r="AE47956" s="54"/>
    </row>
    <row r="47957" spans="31:31">
      <c r="AE47957" s="54"/>
    </row>
    <row r="47958" spans="31:31">
      <c r="AE47958" s="54"/>
    </row>
    <row r="47959" spans="31:31">
      <c r="AE47959" s="54"/>
    </row>
    <row r="47960" spans="31:31">
      <c r="AE47960" s="54"/>
    </row>
    <row r="47961" spans="31:31">
      <c r="AE47961" s="54"/>
    </row>
    <row r="47962" spans="31:31">
      <c r="AE47962" s="54"/>
    </row>
    <row r="47963" spans="31:31">
      <c r="AE47963" s="54"/>
    </row>
    <row r="47964" spans="31:31">
      <c r="AE47964" s="54"/>
    </row>
    <row r="47965" spans="31:31">
      <c r="AE47965" s="54"/>
    </row>
    <row r="47966" spans="31:31">
      <c r="AE47966" s="54"/>
    </row>
    <row r="47967" spans="31:31">
      <c r="AE47967" s="54"/>
    </row>
    <row r="47968" spans="31:31">
      <c r="AE47968" s="54"/>
    </row>
    <row r="47969" spans="31:31">
      <c r="AE47969" s="54"/>
    </row>
    <row r="47970" spans="31:31">
      <c r="AE47970" s="54"/>
    </row>
    <row r="47971" spans="31:31">
      <c r="AE47971" s="54"/>
    </row>
    <row r="47972" spans="31:31">
      <c r="AE47972" s="54"/>
    </row>
    <row r="47973" spans="31:31">
      <c r="AE47973" s="54"/>
    </row>
    <row r="47974" spans="31:31">
      <c r="AE47974" s="54"/>
    </row>
    <row r="47975" spans="31:31">
      <c r="AE47975" s="54"/>
    </row>
    <row r="47976" spans="31:31">
      <c r="AE47976" s="54"/>
    </row>
    <row r="47977" spans="31:31">
      <c r="AE47977" s="54"/>
    </row>
    <row r="47978" spans="31:31">
      <c r="AE47978" s="54"/>
    </row>
    <row r="47979" spans="31:31">
      <c r="AE47979" s="54"/>
    </row>
    <row r="47980" spans="31:31">
      <c r="AE47980" s="54"/>
    </row>
    <row r="47981" spans="31:31">
      <c r="AE47981" s="54"/>
    </row>
    <row r="47982" spans="31:31">
      <c r="AE47982" s="54"/>
    </row>
    <row r="47983" spans="31:31">
      <c r="AE47983" s="54"/>
    </row>
    <row r="47984" spans="31:31">
      <c r="AE47984" s="54"/>
    </row>
    <row r="47985" spans="31:31">
      <c r="AE47985" s="54"/>
    </row>
    <row r="47986" spans="31:31">
      <c r="AE47986" s="54"/>
    </row>
    <row r="47987" spans="31:31">
      <c r="AE47987" s="54"/>
    </row>
    <row r="47988" spans="31:31">
      <c r="AE47988" s="54"/>
    </row>
    <row r="47989" spans="31:31">
      <c r="AE47989" s="54"/>
    </row>
    <row r="47990" spans="31:31">
      <c r="AE47990" s="54"/>
    </row>
    <row r="47991" spans="31:31">
      <c r="AE47991" s="54"/>
    </row>
    <row r="47992" spans="31:31">
      <c r="AE47992" s="54"/>
    </row>
    <row r="47993" spans="31:31">
      <c r="AE47993" s="54"/>
    </row>
    <row r="47994" spans="31:31">
      <c r="AE47994" s="54"/>
    </row>
    <row r="47995" spans="31:31">
      <c r="AE47995" s="54"/>
    </row>
    <row r="47996" spans="31:31">
      <c r="AE47996" s="54"/>
    </row>
    <row r="47997" spans="31:31">
      <c r="AE47997" s="54"/>
    </row>
    <row r="47998" spans="31:31">
      <c r="AE47998" s="54"/>
    </row>
    <row r="47999" spans="31:31">
      <c r="AE47999" s="54"/>
    </row>
    <row r="48000" spans="31:31">
      <c r="AE48000" s="54"/>
    </row>
    <row r="48001" spans="31:31">
      <c r="AE48001" s="54"/>
    </row>
    <row r="48002" spans="31:31">
      <c r="AE48002" s="54"/>
    </row>
    <row r="48003" spans="31:31">
      <c r="AE48003" s="54"/>
    </row>
    <row r="48004" spans="31:31">
      <c r="AE48004" s="54"/>
    </row>
    <row r="48005" spans="31:31">
      <c r="AE48005" s="54"/>
    </row>
    <row r="48006" spans="31:31">
      <c r="AE48006" s="54"/>
    </row>
    <row r="48007" spans="31:31">
      <c r="AE48007" s="54"/>
    </row>
    <row r="48008" spans="31:31">
      <c r="AE48008" s="54"/>
    </row>
    <row r="48009" spans="31:31">
      <c r="AE48009" s="54"/>
    </row>
    <row r="48010" spans="31:31">
      <c r="AE48010" s="54"/>
    </row>
    <row r="48011" spans="31:31">
      <c r="AE48011" s="54"/>
    </row>
    <row r="48012" spans="31:31">
      <c r="AE48012" s="54"/>
    </row>
    <row r="48013" spans="31:31">
      <c r="AE48013" s="54"/>
    </row>
    <row r="48014" spans="31:31">
      <c r="AE48014" s="54"/>
    </row>
    <row r="48015" spans="31:31">
      <c r="AE48015" s="54"/>
    </row>
    <row r="48016" spans="31:31">
      <c r="AE48016" s="54"/>
    </row>
    <row r="48017" spans="31:31">
      <c r="AE48017" s="54"/>
    </row>
    <row r="48018" spans="31:31">
      <c r="AE48018" s="54"/>
    </row>
    <row r="48019" spans="31:31">
      <c r="AE48019" s="54"/>
    </row>
    <row r="48020" spans="31:31">
      <c r="AE48020" s="54"/>
    </row>
    <row r="48021" spans="31:31">
      <c r="AE48021" s="54"/>
    </row>
    <row r="48022" spans="31:31">
      <c r="AE48022" s="54"/>
    </row>
    <row r="48023" spans="31:31">
      <c r="AE48023" s="54"/>
    </row>
    <row r="48024" spans="31:31">
      <c r="AE48024" s="54"/>
    </row>
    <row r="48025" spans="31:31">
      <c r="AE48025" s="54"/>
    </row>
    <row r="48026" spans="31:31">
      <c r="AE48026" s="54"/>
    </row>
    <row r="48027" spans="31:31">
      <c r="AE48027" s="54"/>
    </row>
    <row r="48028" spans="31:31">
      <c r="AE48028" s="54"/>
    </row>
    <row r="48029" spans="31:31">
      <c r="AE48029" s="54"/>
    </row>
    <row r="48030" spans="31:31">
      <c r="AE48030" s="54"/>
    </row>
    <row r="48031" spans="31:31">
      <c r="AE48031" s="54"/>
    </row>
    <row r="48032" spans="31:31">
      <c r="AE48032" s="54"/>
    </row>
    <row r="48033" spans="31:31">
      <c r="AE48033" s="54"/>
    </row>
    <row r="48034" spans="31:31">
      <c r="AE48034" s="54"/>
    </row>
    <row r="48035" spans="31:31">
      <c r="AE48035" s="54"/>
    </row>
    <row r="48036" spans="31:31">
      <c r="AE48036" s="54"/>
    </row>
    <row r="48037" spans="31:31">
      <c r="AE48037" s="54"/>
    </row>
    <row r="48038" spans="31:31">
      <c r="AE48038" s="54"/>
    </row>
    <row r="48039" spans="31:31">
      <c r="AE48039" s="54"/>
    </row>
    <row r="48040" spans="31:31">
      <c r="AE48040" s="54"/>
    </row>
    <row r="48041" spans="31:31">
      <c r="AE48041" s="54"/>
    </row>
    <row r="48042" spans="31:31">
      <c r="AE48042" s="54"/>
    </row>
    <row r="48043" spans="31:31">
      <c r="AE48043" s="54"/>
    </row>
    <row r="48044" spans="31:31">
      <c r="AE48044" s="54"/>
    </row>
    <row r="48045" spans="31:31">
      <c r="AE48045" s="54"/>
    </row>
    <row r="48046" spans="31:31">
      <c r="AE48046" s="54"/>
    </row>
    <row r="48047" spans="31:31">
      <c r="AE48047" s="54"/>
    </row>
    <row r="48048" spans="31:31">
      <c r="AE48048" s="54"/>
    </row>
    <row r="48049" spans="31:31">
      <c r="AE48049" s="54"/>
    </row>
    <row r="48050" spans="31:31">
      <c r="AE48050" s="54"/>
    </row>
    <row r="48051" spans="31:31">
      <c r="AE48051" s="54"/>
    </row>
    <row r="48052" spans="31:31">
      <c r="AE48052" s="54"/>
    </row>
    <row r="48053" spans="31:31">
      <c r="AE48053" s="54"/>
    </row>
    <row r="48054" spans="31:31">
      <c r="AE48054" s="54"/>
    </row>
    <row r="48055" spans="31:31">
      <c r="AE48055" s="54"/>
    </row>
    <row r="48056" spans="31:31">
      <c r="AE48056" s="54"/>
    </row>
    <row r="48057" spans="31:31">
      <c r="AE48057" s="54"/>
    </row>
    <row r="48058" spans="31:31">
      <c r="AE48058" s="54"/>
    </row>
    <row r="48059" spans="31:31">
      <c r="AE48059" s="54"/>
    </row>
    <row r="48060" spans="31:31">
      <c r="AE48060" s="54"/>
    </row>
    <row r="48061" spans="31:31">
      <c r="AE48061" s="54"/>
    </row>
    <row r="48062" spans="31:31">
      <c r="AE48062" s="54"/>
    </row>
    <row r="48063" spans="31:31">
      <c r="AE48063" s="54"/>
    </row>
    <row r="48064" spans="31:31">
      <c r="AE48064" s="54"/>
    </row>
    <row r="48065" spans="31:31">
      <c r="AE48065" s="54"/>
    </row>
    <row r="48066" spans="31:31">
      <c r="AE48066" s="54"/>
    </row>
    <row r="48067" spans="31:31">
      <c r="AE48067" s="54"/>
    </row>
    <row r="48068" spans="31:31">
      <c r="AE48068" s="54"/>
    </row>
    <row r="48069" spans="31:31">
      <c r="AE48069" s="54"/>
    </row>
    <row r="48070" spans="31:31">
      <c r="AE48070" s="54"/>
    </row>
    <row r="48071" spans="31:31">
      <c r="AE48071" s="54"/>
    </row>
    <row r="48072" spans="31:31">
      <c r="AE48072" s="54"/>
    </row>
    <row r="48073" spans="31:31">
      <c r="AE48073" s="54"/>
    </row>
    <row r="48074" spans="31:31">
      <c r="AE48074" s="54"/>
    </row>
    <row r="48075" spans="31:31">
      <c r="AE48075" s="54"/>
    </row>
    <row r="48076" spans="31:31">
      <c r="AE48076" s="54"/>
    </row>
    <row r="48077" spans="31:31">
      <c r="AE48077" s="54"/>
    </row>
    <row r="48078" spans="31:31">
      <c r="AE48078" s="54"/>
    </row>
    <row r="48079" spans="31:31">
      <c r="AE48079" s="54"/>
    </row>
    <row r="48080" spans="31:31">
      <c r="AE48080" s="54"/>
    </row>
    <row r="48081" spans="31:31">
      <c r="AE48081" s="54"/>
    </row>
    <row r="48082" spans="31:31">
      <c r="AE48082" s="54"/>
    </row>
    <row r="48083" spans="31:31">
      <c r="AE48083" s="54"/>
    </row>
    <row r="48084" spans="31:31">
      <c r="AE48084" s="54"/>
    </row>
    <row r="48085" spans="31:31">
      <c r="AE48085" s="54"/>
    </row>
    <row r="48086" spans="31:31">
      <c r="AE48086" s="54"/>
    </row>
    <row r="48087" spans="31:31">
      <c r="AE48087" s="54"/>
    </row>
    <row r="48088" spans="31:31">
      <c r="AE48088" s="54"/>
    </row>
    <row r="48089" spans="31:31">
      <c r="AE48089" s="54"/>
    </row>
    <row r="48090" spans="31:31">
      <c r="AE48090" s="54"/>
    </row>
    <row r="48091" spans="31:31">
      <c r="AE48091" s="54"/>
    </row>
    <row r="48092" spans="31:31">
      <c r="AE48092" s="54"/>
    </row>
    <row r="48093" spans="31:31">
      <c r="AE48093" s="54"/>
    </row>
    <row r="48094" spans="31:31">
      <c r="AE48094" s="54"/>
    </row>
    <row r="48095" spans="31:31">
      <c r="AE48095" s="54"/>
    </row>
    <row r="48096" spans="31:31">
      <c r="AE48096" s="54"/>
    </row>
    <row r="48097" spans="31:31">
      <c r="AE48097" s="54"/>
    </row>
    <row r="48098" spans="31:31">
      <c r="AE48098" s="54"/>
    </row>
    <row r="48099" spans="31:31">
      <c r="AE48099" s="54"/>
    </row>
    <row r="48100" spans="31:31">
      <c r="AE48100" s="54"/>
    </row>
    <row r="48101" spans="31:31">
      <c r="AE48101" s="54"/>
    </row>
    <row r="48102" spans="31:31">
      <c r="AE48102" s="54"/>
    </row>
    <row r="48103" spans="31:31">
      <c r="AE48103" s="54"/>
    </row>
    <row r="48104" spans="31:31">
      <c r="AE48104" s="54"/>
    </row>
    <row r="48105" spans="31:31">
      <c r="AE48105" s="54"/>
    </row>
    <row r="48106" spans="31:31">
      <c r="AE48106" s="54"/>
    </row>
    <row r="48107" spans="31:31">
      <c r="AE48107" s="54"/>
    </row>
    <row r="48108" spans="31:31">
      <c r="AE48108" s="54"/>
    </row>
    <row r="48109" spans="31:31">
      <c r="AE48109" s="54"/>
    </row>
    <row r="48110" spans="31:31">
      <c r="AE48110" s="54"/>
    </row>
    <row r="48111" spans="31:31">
      <c r="AE48111" s="54"/>
    </row>
    <row r="48112" spans="31:31">
      <c r="AE48112" s="54"/>
    </row>
    <row r="48113" spans="31:31">
      <c r="AE48113" s="54"/>
    </row>
    <row r="48114" spans="31:31">
      <c r="AE48114" s="54"/>
    </row>
    <row r="48115" spans="31:31">
      <c r="AE48115" s="54"/>
    </row>
    <row r="48116" spans="31:31">
      <c r="AE48116" s="54"/>
    </row>
    <row r="48117" spans="31:31">
      <c r="AE48117" s="54"/>
    </row>
    <row r="48118" spans="31:31">
      <c r="AE48118" s="54"/>
    </row>
    <row r="48119" spans="31:31">
      <c r="AE48119" s="54"/>
    </row>
    <row r="48120" spans="31:31">
      <c r="AE48120" s="54"/>
    </row>
    <row r="48121" spans="31:31">
      <c r="AE48121" s="54"/>
    </row>
    <row r="48122" spans="31:31">
      <c r="AE48122" s="54"/>
    </row>
    <row r="48123" spans="31:31">
      <c r="AE48123" s="54"/>
    </row>
    <row r="48124" spans="31:31">
      <c r="AE48124" s="54"/>
    </row>
    <row r="48125" spans="31:31">
      <c r="AE48125" s="54"/>
    </row>
    <row r="48126" spans="31:31">
      <c r="AE48126" s="54"/>
    </row>
    <row r="48127" spans="31:31">
      <c r="AE48127" s="54"/>
    </row>
    <row r="48128" spans="31:31">
      <c r="AE48128" s="54"/>
    </row>
    <row r="48129" spans="31:31">
      <c r="AE48129" s="54"/>
    </row>
    <row r="48130" spans="31:31">
      <c r="AE48130" s="54"/>
    </row>
    <row r="48131" spans="31:31">
      <c r="AE48131" s="54"/>
    </row>
    <row r="48132" spans="31:31">
      <c r="AE48132" s="54"/>
    </row>
    <row r="48133" spans="31:31">
      <c r="AE48133" s="54"/>
    </row>
    <row r="48134" spans="31:31">
      <c r="AE48134" s="54"/>
    </row>
    <row r="48135" spans="31:31">
      <c r="AE48135" s="54"/>
    </row>
    <row r="48136" spans="31:31">
      <c r="AE48136" s="54"/>
    </row>
    <row r="48137" spans="31:31">
      <c r="AE48137" s="54"/>
    </row>
    <row r="48138" spans="31:31">
      <c r="AE48138" s="54"/>
    </row>
    <row r="48139" spans="31:31">
      <c r="AE48139" s="54"/>
    </row>
    <row r="48140" spans="31:31">
      <c r="AE48140" s="54"/>
    </row>
    <row r="48141" spans="31:31">
      <c r="AE48141" s="54"/>
    </row>
    <row r="48142" spans="31:31">
      <c r="AE48142" s="54"/>
    </row>
    <row r="48143" spans="31:31">
      <c r="AE48143" s="54"/>
    </row>
    <row r="48144" spans="31:31">
      <c r="AE48144" s="54"/>
    </row>
    <row r="48145" spans="31:31">
      <c r="AE48145" s="54"/>
    </row>
    <row r="48146" spans="31:31">
      <c r="AE48146" s="54"/>
    </row>
    <row r="48147" spans="31:31">
      <c r="AE48147" s="54"/>
    </row>
    <row r="48148" spans="31:31">
      <c r="AE48148" s="54"/>
    </row>
    <row r="48149" spans="31:31">
      <c r="AE48149" s="54"/>
    </row>
    <row r="48150" spans="31:31">
      <c r="AE48150" s="54"/>
    </row>
    <row r="48151" spans="31:31">
      <c r="AE48151" s="54"/>
    </row>
    <row r="48152" spans="31:31">
      <c r="AE48152" s="54"/>
    </row>
    <row r="48153" spans="31:31">
      <c r="AE48153" s="54"/>
    </row>
    <row r="48154" spans="31:31">
      <c r="AE48154" s="54"/>
    </row>
    <row r="48155" spans="31:31">
      <c r="AE48155" s="54"/>
    </row>
    <row r="48156" spans="31:31">
      <c r="AE48156" s="54"/>
    </row>
    <row r="48157" spans="31:31">
      <c r="AE48157" s="54"/>
    </row>
    <row r="48158" spans="31:31">
      <c r="AE48158" s="54"/>
    </row>
    <row r="48159" spans="31:31">
      <c r="AE48159" s="54"/>
    </row>
    <row r="48160" spans="31:31">
      <c r="AE48160" s="54"/>
    </row>
    <row r="48161" spans="31:31">
      <c r="AE48161" s="54"/>
    </row>
    <row r="48162" spans="31:31">
      <c r="AE48162" s="54"/>
    </row>
    <row r="48163" spans="31:31">
      <c r="AE48163" s="54"/>
    </row>
    <row r="48164" spans="31:31">
      <c r="AE48164" s="54"/>
    </row>
    <row r="48165" spans="31:31">
      <c r="AE48165" s="54"/>
    </row>
    <row r="48166" spans="31:31">
      <c r="AE48166" s="54"/>
    </row>
    <row r="48167" spans="31:31">
      <c r="AE48167" s="54"/>
    </row>
    <row r="48168" spans="31:31">
      <c r="AE48168" s="54"/>
    </row>
    <row r="48169" spans="31:31">
      <c r="AE48169" s="54"/>
    </row>
    <row r="48170" spans="31:31">
      <c r="AE48170" s="54"/>
    </row>
    <row r="48171" spans="31:31">
      <c r="AE48171" s="54"/>
    </row>
    <row r="48172" spans="31:31">
      <c r="AE48172" s="54"/>
    </row>
    <row r="48173" spans="31:31">
      <c r="AE48173" s="54"/>
    </row>
    <row r="48174" spans="31:31">
      <c r="AE48174" s="54"/>
    </row>
    <row r="48175" spans="31:31">
      <c r="AE48175" s="54"/>
    </row>
    <row r="48176" spans="31:31">
      <c r="AE48176" s="54"/>
    </row>
    <row r="48177" spans="31:31">
      <c r="AE48177" s="54"/>
    </row>
    <row r="48178" spans="31:31">
      <c r="AE48178" s="54"/>
    </row>
    <row r="48179" spans="31:31">
      <c r="AE48179" s="54"/>
    </row>
    <row r="48180" spans="31:31">
      <c r="AE48180" s="54"/>
    </row>
    <row r="48181" spans="31:31">
      <c r="AE48181" s="54"/>
    </row>
    <row r="48182" spans="31:31">
      <c r="AE48182" s="54"/>
    </row>
    <row r="48183" spans="31:31">
      <c r="AE48183" s="54"/>
    </row>
    <row r="48184" spans="31:31">
      <c r="AE48184" s="54"/>
    </row>
    <row r="48185" spans="31:31">
      <c r="AE48185" s="54"/>
    </row>
    <row r="48186" spans="31:31">
      <c r="AE48186" s="54"/>
    </row>
    <row r="48187" spans="31:31">
      <c r="AE48187" s="54"/>
    </row>
    <row r="48188" spans="31:31">
      <c r="AE48188" s="54"/>
    </row>
    <row r="48189" spans="31:31">
      <c r="AE48189" s="54"/>
    </row>
    <row r="48190" spans="31:31">
      <c r="AE48190" s="54"/>
    </row>
    <row r="48191" spans="31:31">
      <c r="AE48191" s="54"/>
    </row>
    <row r="48192" spans="31:31">
      <c r="AE48192" s="54"/>
    </row>
    <row r="48193" spans="31:31">
      <c r="AE48193" s="54"/>
    </row>
    <row r="48194" spans="31:31">
      <c r="AE48194" s="54"/>
    </row>
    <row r="48195" spans="31:31">
      <c r="AE48195" s="54"/>
    </row>
    <row r="48196" spans="31:31">
      <c r="AE48196" s="54"/>
    </row>
    <row r="48197" spans="31:31">
      <c r="AE48197" s="54"/>
    </row>
    <row r="48198" spans="31:31">
      <c r="AE48198" s="54"/>
    </row>
    <row r="48199" spans="31:31">
      <c r="AE48199" s="54"/>
    </row>
    <row r="48200" spans="31:31">
      <c r="AE48200" s="54"/>
    </row>
    <row r="48201" spans="31:31">
      <c r="AE48201" s="54"/>
    </row>
    <row r="48202" spans="31:31">
      <c r="AE48202" s="54"/>
    </row>
    <row r="48203" spans="31:31">
      <c r="AE48203" s="54"/>
    </row>
    <row r="48204" spans="31:31">
      <c r="AE48204" s="54"/>
    </row>
    <row r="48205" spans="31:31">
      <c r="AE48205" s="54"/>
    </row>
    <row r="48206" spans="31:31">
      <c r="AE48206" s="54"/>
    </row>
    <row r="48207" spans="31:31">
      <c r="AE48207" s="54"/>
    </row>
    <row r="48208" spans="31:31">
      <c r="AE48208" s="54"/>
    </row>
    <row r="48209" spans="31:31">
      <c r="AE48209" s="54"/>
    </row>
    <row r="48210" spans="31:31">
      <c r="AE48210" s="54"/>
    </row>
    <row r="48211" spans="31:31">
      <c r="AE48211" s="54"/>
    </row>
    <row r="48212" spans="31:31">
      <c r="AE48212" s="54"/>
    </row>
    <row r="48213" spans="31:31">
      <c r="AE48213" s="54"/>
    </row>
    <row r="48214" spans="31:31">
      <c r="AE48214" s="54"/>
    </row>
    <row r="48215" spans="31:31">
      <c r="AE48215" s="54"/>
    </row>
    <row r="48216" spans="31:31">
      <c r="AE48216" s="54"/>
    </row>
    <row r="48217" spans="31:31">
      <c r="AE48217" s="54"/>
    </row>
    <row r="48218" spans="31:31">
      <c r="AE48218" s="54"/>
    </row>
    <row r="48219" spans="31:31">
      <c r="AE48219" s="54"/>
    </row>
    <row r="48220" spans="31:31">
      <c r="AE48220" s="54"/>
    </row>
    <row r="48221" spans="31:31">
      <c r="AE48221" s="54"/>
    </row>
    <row r="48222" spans="31:31">
      <c r="AE48222" s="54"/>
    </row>
    <row r="48223" spans="31:31">
      <c r="AE48223" s="54"/>
    </row>
    <row r="48224" spans="31:31">
      <c r="AE48224" s="54"/>
    </row>
    <row r="48225" spans="31:31">
      <c r="AE48225" s="54"/>
    </row>
    <row r="48226" spans="31:31">
      <c r="AE48226" s="54"/>
    </row>
    <row r="48227" spans="31:31">
      <c r="AE48227" s="54"/>
    </row>
    <row r="48228" spans="31:31">
      <c r="AE48228" s="54"/>
    </row>
    <row r="48229" spans="31:31">
      <c r="AE48229" s="54"/>
    </row>
    <row r="48230" spans="31:31">
      <c r="AE48230" s="54"/>
    </row>
    <row r="48231" spans="31:31">
      <c r="AE48231" s="54"/>
    </row>
    <row r="48232" spans="31:31">
      <c r="AE48232" s="54"/>
    </row>
    <row r="48233" spans="31:31">
      <c r="AE48233" s="54"/>
    </row>
    <row r="48234" spans="31:31">
      <c r="AE48234" s="54"/>
    </row>
    <row r="48235" spans="31:31">
      <c r="AE48235" s="54"/>
    </row>
    <row r="48236" spans="31:31">
      <c r="AE48236" s="54"/>
    </row>
    <row r="48237" spans="31:31">
      <c r="AE48237" s="54"/>
    </row>
    <row r="48238" spans="31:31">
      <c r="AE48238" s="54"/>
    </row>
    <row r="48239" spans="31:31">
      <c r="AE48239" s="54"/>
    </row>
    <row r="48240" spans="31:31">
      <c r="AE48240" s="54"/>
    </row>
    <row r="48241" spans="31:31">
      <c r="AE48241" s="54"/>
    </row>
    <row r="48242" spans="31:31">
      <c r="AE48242" s="54"/>
    </row>
    <row r="48243" spans="31:31">
      <c r="AE48243" s="54"/>
    </row>
    <row r="48244" spans="31:31">
      <c r="AE48244" s="54"/>
    </row>
    <row r="48245" spans="31:31">
      <c r="AE48245" s="54"/>
    </row>
    <row r="48246" spans="31:31">
      <c r="AE48246" s="54"/>
    </row>
    <row r="48247" spans="31:31">
      <c r="AE48247" s="54"/>
    </row>
    <row r="48248" spans="31:31">
      <c r="AE48248" s="54"/>
    </row>
    <row r="48249" spans="31:31">
      <c r="AE48249" s="54"/>
    </row>
    <row r="48250" spans="31:31">
      <c r="AE48250" s="54"/>
    </row>
    <row r="48251" spans="31:31">
      <c r="AE48251" s="54"/>
    </row>
    <row r="48252" spans="31:31">
      <c r="AE48252" s="54"/>
    </row>
    <row r="48253" spans="31:31">
      <c r="AE48253" s="54"/>
    </row>
    <row r="48254" spans="31:31">
      <c r="AE48254" s="54"/>
    </row>
    <row r="48255" spans="31:31">
      <c r="AE48255" s="54"/>
    </row>
    <row r="48256" spans="31:31">
      <c r="AE48256" s="54"/>
    </row>
    <row r="48257" spans="31:31">
      <c r="AE48257" s="54"/>
    </row>
    <row r="48258" spans="31:31">
      <c r="AE48258" s="54"/>
    </row>
    <row r="48259" spans="31:31">
      <c r="AE48259" s="54"/>
    </row>
    <row r="48260" spans="31:31">
      <c r="AE48260" s="54"/>
    </row>
    <row r="48261" spans="31:31">
      <c r="AE48261" s="54"/>
    </row>
    <row r="48262" spans="31:31">
      <c r="AE48262" s="54"/>
    </row>
    <row r="48263" spans="31:31">
      <c r="AE48263" s="54"/>
    </row>
    <row r="48264" spans="31:31">
      <c r="AE48264" s="54"/>
    </row>
    <row r="48265" spans="31:31">
      <c r="AE48265" s="54"/>
    </row>
    <row r="48266" spans="31:31">
      <c r="AE48266" s="54"/>
    </row>
    <row r="48267" spans="31:31">
      <c r="AE48267" s="54"/>
    </row>
    <row r="48268" spans="31:31">
      <c r="AE48268" s="54"/>
    </row>
    <row r="48269" spans="31:31">
      <c r="AE48269" s="54"/>
    </row>
    <row r="48270" spans="31:31">
      <c r="AE48270" s="54"/>
    </row>
    <row r="48271" spans="31:31">
      <c r="AE48271" s="54"/>
    </row>
    <row r="48272" spans="31:31">
      <c r="AE48272" s="54"/>
    </row>
    <row r="48273" spans="31:31">
      <c r="AE48273" s="54"/>
    </row>
    <row r="48274" spans="31:31">
      <c r="AE48274" s="54"/>
    </row>
    <row r="48275" spans="31:31">
      <c r="AE48275" s="54"/>
    </row>
    <row r="48276" spans="31:31">
      <c r="AE48276" s="54"/>
    </row>
    <row r="48277" spans="31:31">
      <c r="AE48277" s="54"/>
    </row>
    <row r="48278" spans="31:31">
      <c r="AE48278" s="54"/>
    </row>
    <row r="48279" spans="31:31">
      <c r="AE48279" s="54"/>
    </row>
    <row r="48280" spans="31:31">
      <c r="AE48280" s="54"/>
    </row>
    <row r="48281" spans="31:31">
      <c r="AE48281" s="54"/>
    </row>
    <row r="48282" spans="31:31">
      <c r="AE48282" s="54"/>
    </row>
    <row r="48283" spans="31:31">
      <c r="AE48283" s="54"/>
    </row>
    <row r="48284" spans="31:31">
      <c r="AE48284" s="54"/>
    </row>
    <row r="48285" spans="31:31">
      <c r="AE48285" s="54"/>
    </row>
    <row r="48286" spans="31:31">
      <c r="AE48286" s="54"/>
    </row>
    <row r="48287" spans="31:31">
      <c r="AE48287" s="54"/>
    </row>
    <row r="48288" spans="31:31">
      <c r="AE48288" s="54"/>
    </row>
    <row r="48289" spans="31:31">
      <c r="AE48289" s="54"/>
    </row>
    <row r="48290" spans="31:31">
      <c r="AE48290" s="54"/>
    </row>
    <row r="48291" spans="31:31">
      <c r="AE48291" s="54"/>
    </row>
    <row r="48292" spans="31:31">
      <c r="AE48292" s="54"/>
    </row>
    <row r="48293" spans="31:31">
      <c r="AE48293" s="54"/>
    </row>
    <row r="48294" spans="31:31">
      <c r="AE48294" s="54"/>
    </row>
    <row r="48295" spans="31:31">
      <c r="AE48295" s="54"/>
    </row>
    <row r="48296" spans="31:31">
      <c r="AE48296" s="54"/>
    </row>
    <row r="48297" spans="31:31">
      <c r="AE48297" s="54"/>
    </row>
    <row r="48298" spans="31:31">
      <c r="AE48298" s="54"/>
    </row>
    <row r="48299" spans="31:31">
      <c r="AE48299" s="54"/>
    </row>
    <row r="48300" spans="31:31">
      <c r="AE48300" s="54"/>
    </row>
    <row r="48301" spans="31:31">
      <c r="AE48301" s="54"/>
    </row>
    <row r="48302" spans="31:31">
      <c r="AE48302" s="54"/>
    </row>
    <row r="48303" spans="31:31">
      <c r="AE48303" s="54"/>
    </row>
    <row r="48304" spans="31:31">
      <c r="AE48304" s="54"/>
    </row>
    <row r="48305" spans="31:31">
      <c r="AE48305" s="54"/>
    </row>
    <row r="48306" spans="31:31">
      <c r="AE48306" s="54"/>
    </row>
    <row r="48307" spans="31:31">
      <c r="AE48307" s="54"/>
    </row>
    <row r="48308" spans="31:31">
      <c r="AE48308" s="54"/>
    </row>
    <row r="48309" spans="31:31">
      <c r="AE48309" s="54"/>
    </row>
    <row r="48310" spans="31:31">
      <c r="AE48310" s="54"/>
    </row>
    <row r="48311" spans="31:31">
      <c r="AE48311" s="54"/>
    </row>
    <row r="48312" spans="31:31">
      <c r="AE48312" s="54"/>
    </row>
    <row r="48313" spans="31:31">
      <c r="AE48313" s="54"/>
    </row>
    <row r="48314" spans="31:31">
      <c r="AE48314" s="54"/>
    </row>
    <row r="48315" spans="31:31">
      <c r="AE48315" s="54"/>
    </row>
    <row r="48316" spans="31:31">
      <c r="AE48316" s="54"/>
    </row>
    <row r="48317" spans="31:31">
      <c r="AE48317" s="54"/>
    </row>
    <row r="48318" spans="31:31">
      <c r="AE48318" s="54"/>
    </row>
    <row r="48319" spans="31:31">
      <c r="AE48319" s="54"/>
    </row>
    <row r="48320" spans="31:31">
      <c r="AE48320" s="54"/>
    </row>
    <row r="48321" spans="31:31">
      <c r="AE48321" s="54"/>
    </row>
    <row r="48322" spans="31:31">
      <c r="AE48322" s="54"/>
    </row>
    <row r="48323" spans="31:31">
      <c r="AE48323" s="54"/>
    </row>
    <row r="48324" spans="31:31">
      <c r="AE48324" s="54"/>
    </row>
    <row r="48325" spans="31:31">
      <c r="AE48325" s="54"/>
    </row>
    <row r="48326" spans="31:31">
      <c r="AE48326" s="54"/>
    </row>
    <row r="48327" spans="31:31">
      <c r="AE48327" s="54"/>
    </row>
    <row r="48328" spans="31:31">
      <c r="AE48328" s="54"/>
    </row>
    <row r="48329" spans="31:31">
      <c r="AE48329" s="54"/>
    </row>
    <row r="48330" spans="31:31">
      <c r="AE48330" s="54"/>
    </row>
    <row r="48331" spans="31:31">
      <c r="AE48331" s="54"/>
    </row>
    <row r="48332" spans="31:31">
      <c r="AE48332" s="54"/>
    </row>
    <row r="48333" spans="31:31">
      <c r="AE48333" s="54"/>
    </row>
    <row r="48334" spans="31:31">
      <c r="AE48334" s="54"/>
    </row>
    <row r="48335" spans="31:31">
      <c r="AE48335" s="54"/>
    </row>
    <row r="48336" spans="31:31">
      <c r="AE48336" s="54"/>
    </row>
    <row r="48337" spans="31:31">
      <c r="AE48337" s="54"/>
    </row>
    <row r="48338" spans="31:31">
      <c r="AE48338" s="54"/>
    </row>
    <row r="48339" spans="31:31">
      <c r="AE48339" s="54"/>
    </row>
    <row r="48340" spans="31:31">
      <c r="AE48340" s="54"/>
    </row>
    <row r="48341" spans="31:31">
      <c r="AE48341" s="54"/>
    </row>
    <row r="48342" spans="31:31">
      <c r="AE48342" s="54"/>
    </row>
    <row r="48343" spans="31:31">
      <c r="AE48343" s="54"/>
    </row>
    <row r="48344" spans="31:31">
      <c r="AE48344" s="54"/>
    </row>
    <row r="48345" spans="31:31">
      <c r="AE48345" s="54"/>
    </row>
    <row r="48346" spans="31:31">
      <c r="AE48346" s="54"/>
    </row>
    <row r="48347" spans="31:31">
      <c r="AE48347" s="54"/>
    </row>
    <row r="48348" spans="31:31">
      <c r="AE48348" s="54"/>
    </row>
    <row r="48349" spans="31:31">
      <c r="AE48349" s="54"/>
    </row>
    <row r="48350" spans="31:31">
      <c r="AE48350" s="54"/>
    </row>
    <row r="48351" spans="31:31">
      <c r="AE48351" s="54"/>
    </row>
    <row r="48352" spans="31:31">
      <c r="AE48352" s="54"/>
    </row>
    <row r="48353" spans="31:31">
      <c r="AE48353" s="54"/>
    </row>
    <row r="48354" spans="31:31">
      <c r="AE48354" s="54"/>
    </row>
    <row r="48355" spans="31:31">
      <c r="AE48355" s="54"/>
    </row>
    <row r="48356" spans="31:31">
      <c r="AE48356" s="54"/>
    </row>
    <row r="48357" spans="31:31">
      <c r="AE48357" s="54"/>
    </row>
    <row r="48358" spans="31:31">
      <c r="AE48358" s="54"/>
    </row>
    <row r="48359" spans="31:31">
      <c r="AE48359" s="54"/>
    </row>
    <row r="48360" spans="31:31">
      <c r="AE48360" s="54"/>
    </row>
    <row r="48361" spans="31:31">
      <c r="AE48361" s="54"/>
    </row>
    <row r="48362" spans="31:31">
      <c r="AE48362" s="54"/>
    </row>
    <row r="48363" spans="31:31">
      <c r="AE48363" s="54"/>
    </row>
    <row r="48364" spans="31:31">
      <c r="AE48364" s="54"/>
    </row>
    <row r="48365" spans="31:31">
      <c r="AE48365" s="54"/>
    </row>
    <row r="48366" spans="31:31">
      <c r="AE48366" s="54"/>
    </row>
    <row r="48367" spans="31:31">
      <c r="AE48367" s="54"/>
    </row>
    <row r="48368" spans="31:31">
      <c r="AE48368" s="54"/>
    </row>
    <row r="48369" spans="31:31">
      <c r="AE48369" s="54"/>
    </row>
    <row r="48370" spans="31:31">
      <c r="AE48370" s="54"/>
    </row>
    <row r="48371" spans="31:31">
      <c r="AE48371" s="54"/>
    </row>
    <row r="48372" spans="31:31">
      <c r="AE48372" s="54"/>
    </row>
    <row r="48373" spans="31:31">
      <c r="AE48373" s="54"/>
    </row>
    <row r="48374" spans="31:31">
      <c r="AE48374" s="54"/>
    </row>
    <row r="48375" spans="31:31">
      <c r="AE48375" s="54"/>
    </row>
    <row r="48376" spans="31:31">
      <c r="AE48376" s="54"/>
    </row>
    <row r="48377" spans="31:31">
      <c r="AE48377" s="54"/>
    </row>
    <row r="48378" spans="31:31">
      <c r="AE48378" s="54"/>
    </row>
    <row r="48379" spans="31:31">
      <c r="AE48379" s="54"/>
    </row>
    <row r="48380" spans="31:31">
      <c r="AE48380" s="54"/>
    </row>
    <row r="48381" spans="31:31">
      <c r="AE48381" s="54"/>
    </row>
    <row r="48382" spans="31:31">
      <c r="AE48382" s="54"/>
    </row>
    <row r="48383" spans="31:31">
      <c r="AE48383" s="54"/>
    </row>
    <row r="48384" spans="31:31">
      <c r="AE48384" s="54"/>
    </row>
    <row r="48385" spans="31:31">
      <c r="AE48385" s="54"/>
    </row>
    <row r="48386" spans="31:31">
      <c r="AE48386" s="54"/>
    </row>
    <row r="48387" spans="31:31">
      <c r="AE48387" s="54"/>
    </row>
    <row r="48388" spans="31:31">
      <c r="AE48388" s="54"/>
    </row>
    <row r="48389" spans="31:31">
      <c r="AE48389" s="54"/>
    </row>
    <row r="48390" spans="31:31">
      <c r="AE48390" s="54"/>
    </row>
    <row r="48391" spans="31:31">
      <c r="AE48391" s="54"/>
    </row>
    <row r="48392" spans="31:31">
      <c r="AE48392" s="54"/>
    </row>
    <row r="48393" spans="31:31">
      <c r="AE48393" s="54"/>
    </row>
    <row r="48394" spans="31:31">
      <c r="AE48394" s="54"/>
    </row>
    <row r="48395" spans="31:31">
      <c r="AE48395" s="54"/>
    </row>
    <row r="48396" spans="31:31">
      <c r="AE48396" s="54"/>
    </row>
    <row r="48397" spans="31:31">
      <c r="AE48397" s="54"/>
    </row>
    <row r="48398" spans="31:31">
      <c r="AE48398" s="54"/>
    </row>
    <row r="48399" spans="31:31">
      <c r="AE48399" s="54"/>
    </row>
    <row r="48400" spans="31:31">
      <c r="AE48400" s="54"/>
    </row>
    <row r="48401" spans="31:31">
      <c r="AE48401" s="54"/>
    </row>
    <row r="48402" spans="31:31">
      <c r="AE48402" s="54"/>
    </row>
    <row r="48403" spans="31:31">
      <c r="AE48403" s="54"/>
    </row>
    <row r="48404" spans="31:31">
      <c r="AE48404" s="54"/>
    </row>
    <row r="48405" spans="31:31">
      <c r="AE48405" s="54"/>
    </row>
    <row r="48406" spans="31:31">
      <c r="AE48406" s="54"/>
    </row>
    <row r="48407" spans="31:31">
      <c r="AE48407" s="54"/>
    </row>
    <row r="48408" spans="31:31">
      <c r="AE48408" s="54"/>
    </row>
    <row r="48409" spans="31:31">
      <c r="AE48409" s="54"/>
    </row>
    <row r="48410" spans="31:31">
      <c r="AE48410" s="54"/>
    </row>
    <row r="48411" spans="31:31">
      <c r="AE48411" s="54"/>
    </row>
    <row r="48412" spans="31:31">
      <c r="AE48412" s="54"/>
    </row>
    <row r="48413" spans="31:31">
      <c r="AE48413" s="54"/>
    </row>
    <row r="48414" spans="31:31">
      <c r="AE48414" s="54"/>
    </row>
    <row r="48415" spans="31:31">
      <c r="AE48415" s="54"/>
    </row>
    <row r="48416" spans="31:31">
      <c r="AE48416" s="54"/>
    </row>
    <row r="48417" spans="31:31">
      <c r="AE48417" s="54"/>
    </row>
    <row r="48418" spans="31:31">
      <c r="AE48418" s="54"/>
    </row>
    <row r="48419" spans="31:31">
      <c r="AE48419" s="54"/>
    </row>
    <row r="48420" spans="31:31">
      <c r="AE48420" s="54"/>
    </row>
    <row r="48421" spans="31:31">
      <c r="AE48421" s="54"/>
    </row>
    <row r="48422" spans="31:31">
      <c r="AE48422" s="54"/>
    </row>
    <row r="48423" spans="31:31">
      <c r="AE48423" s="54"/>
    </row>
    <row r="48424" spans="31:31">
      <c r="AE48424" s="54"/>
    </row>
    <row r="48425" spans="31:31">
      <c r="AE48425" s="54"/>
    </row>
    <row r="48426" spans="31:31">
      <c r="AE48426" s="54"/>
    </row>
    <row r="48427" spans="31:31">
      <c r="AE48427" s="54"/>
    </row>
    <row r="48428" spans="31:31">
      <c r="AE48428" s="54"/>
    </row>
    <row r="48429" spans="31:31">
      <c r="AE48429" s="54"/>
    </row>
    <row r="48430" spans="31:31">
      <c r="AE48430" s="54"/>
    </row>
    <row r="48431" spans="31:31">
      <c r="AE48431" s="54"/>
    </row>
    <row r="48432" spans="31:31">
      <c r="AE48432" s="54"/>
    </row>
    <row r="48433" spans="31:31">
      <c r="AE48433" s="54"/>
    </row>
    <row r="48434" spans="31:31">
      <c r="AE48434" s="54"/>
    </row>
    <row r="48435" spans="31:31">
      <c r="AE48435" s="54"/>
    </row>
    <row r="48436" spans="31:31">
      <c r="AE48436" s="54"/>
    </row>
    <row r="48437" spans="31:31">
      <c r="AE48437" s="54"/>
    </row>
    <row r="48438" spans="31:31">
      <c r="AE48438" s="54"/>
    </row>
    <row r="48439" spans="31:31">
      <c r="AE48439" s="54"/>
    </row>
    <row r="48440" spans="31:31">
      <c r="AE48440" s="54"/>
    </row>
    <row r="48441" spans="31:31">
      <c r="AE48441" s="54"/>
    </row>
    <row r="48442" spans="31:31">
      <c r="AE48442" s="54"/>
    </row>
    <row r="48443" spans="31:31">
      <c r="AE48443" s="54"/>
    </row>
    <row r="48444" spans="31:31">
      <c r="AE48444" s="54"/>
    </row>
    <row r="48445" spans="31:31">
      <c r="AE48445" s="54"/>
    </row>
    <row r="48446" spans="31:31">
      <c r="AE48446" s="54"/>
    </row>
    <row r="48447" spans="31:31">
      <c r="AE48447" s="54"/>
    </row>
    <row r="48448" spans="31:31">
      <c r="AE48448" s="54"/>
    </row>
    <row r="48449" spans="31:31">
      <c r="AE48449" s="54"/>
    </row>
    <row r="48450" spans="31:31">
      <c r="AE48450" s="54"/>
    </row>
    <row r="48451" spans="31:31">
      <c r="AE48451" s="54"/>
    </row>
    <row r="48452" spans="31:31">
      <c r="AE48452" s="54"/>
    </row>
    <row r="48453" spans="31:31">
      <c r="AE48453" s="54"/>
    </row>
    <row r="48454" spans="31:31">
      <c r="AE48454" s="54"/>
    </row>
    <row r="48455" spans="31:31">
      <c r="AE48455" s="54"/>
    </row>
    <row r="48456" spans="31:31">
      <c r="AE48456" s="54"/>
    </row>
    <row r="48457" spans="31:31">
      <c r="AE48457" s="54"/>
    </row>
    <row r="48458" spans="31:31">
      <c r="AE48458" s="54"/>
    </row>
    <row r="48459" spans="31:31">
      <c r="AE48459" s="54"/>
    </row>
    <row r="48460" spans="31:31">
      <c r="AE48460" s="54"/>
    </row>
    <row r="48461" spans="31:31">
      <c r="AE48461" s="54"/>
    </row>
    <row r="48462" spans="31:31">
      <c r="AE48462" s="54"/>
    </row>
    <row r="48463" spans="31:31">
      <c r="AE48463" s="54"/>
    </row>
    <row r="48464" spans="31:31">
      <c r="AE48464" s="54"/>
    </row>
    <row r="48465" spans="31:31">
      <c r="AE48465" s="54"/>
    </row>
    <row r="48466" spans="31:31">
      <c r="AE48466" s="54"/>
    </row>
    <row r="48467" spans="31:31">
      <c r="AE48467" s="54"/>
    </row>
    <row r="48468" spans="31:31">
      <c r="AE48468" s="54"/>
    </row>
    <row r="48469" spans="31:31">
      <c r="AE48469" s="54"/>
    </row>
    <row r="48470" spans="31:31">
      <c r="AE48470" s="54"/>
    </row>
    <row r="48471" spans="31:31">
      <c r="AE48471" s="54"/>
    </row>
    <row r="48472" spans="31:31">
      <c r="AE48472" s="54"/>
    </row>
    <row r="48473" spans="31:31">
      <c r="AE48473" s="54"/>
    </row>
    <row r="48474" spans="31:31">
      <c r="AE48474" s="54"/>
    </row>
    <row r="48475" spans="31:31">
      <c r="AE48475" s="54"/>
    </row>
    <row r="48476" spans="31:31">
      <c r="AE48476" s="54"/>
    </row>
    <row r="48477" spans="31:31">
      <c r="AE48477" s="54"/>
    </row>
    <row r="48478" spans="31:31">
      <c r="AE48478" s="54"/>
    </row>
    <row r="48479" spans="31:31">
      <c r="AE48479" s="54"/>
    </row>
    <row r="48480" spans="31:31">
      <c r="AE48480" s="54"/>
    </row>
    <row r="48481" spans="31:31">
      <c r="AE48481" s="54"/>
    </row>
    <row r="48482" spans="31:31">
      <c r="AE48482" s="54"/>
    </row>
    <row r="48483" spans="31:31">
      <c r="AE48483" s="54"/>
    </row>
    <row r="48484" spans="31:31">
      <c r="AE48484" s="54"/>
    </row>
    <row r="48485" spans="31:31">
      <c r="AE48485" s="54"/>
    </row>
    <row r="48486" spans="31:31">
      <c r="AE48486" s="54"/>
    </row>
    <row r="48487" spans="31:31">
      <c r="AE48487" s="54"/>
    </row>
    <row r="48488" spans="31:31">
      <c r="AE48488" s="54"/>
    </row>
    <row r="48489" spans="31:31">
      <c r="AE48489" s="54"/>
    </row>
    <row r="48490" spans="31:31">
      <c r="AE48490" s="54"/>
    </row>
    <row r="48491" spans="31:31">
      <c r="AE48491" s="54"/>
    </row>
    <row r="48492" spans="31:31">
      <c r="AE48492" s="54"/>
    </row>
    <row r="48493" spans="31:31">
      <c r="AE48493" s="54"/>
    </row>
    <row r="48494" spans="31:31">
      <c r="AE48494" s="54"/>
    </row>
    <row r="48495" spans="31:31">
      <c r="AE48495" s="54"/>
    </row>
    <row r="48496" spans="31:31">
      <c r="AE48496" s="54"/>
    </row>
    <row r="48497" spans="31:31">
      <c r="AE48497" s="54"/>
    </row>
    <row r="48498" spans="31:31">
      <c r="AE48498" s="54"/>
    </row>
    <row r="48499" spans="31:31">
      <c r="AE48499" s="54"/>
    </row>
    <row r="48500" spans="31:31">
      <c r="AE48500" s="54"/>
    </row>
    <row r="48501" spans="31:31">
      <c r="AE48501" s="54"/>
    </row>
    <row r="48502" spans="31:31">
      <c r="AE48502" s="54"/>
    </row>
    <row r="48503" spans="31:31">
      <c r="AE48503" s="54"/>
    </row>
    <row r="48504" spans="31:31">
      <c r="AE48504" s="54"/>
    </row>
    <row r="48505" spans="31:31">
      <c r="AE48505" s="54"/>
    </row>
    <row r="48506" spans="31:31">
      <c r="AE48506" s="54"/>
    </row>
    <row r="48507" spans="31:31">
      <c r="AE48507" s="54"/>
    </row>
    <row r="48508" spans="31:31">
      <c r="AE48508" s="54"/>
    </row>
    <row r="48509" spans="31:31">
      <c r="AE48509" s="54"/>
    </row>
    <row r="48510" spans="31:31">
      <c r="AE48510" s="54"/>
    </row>
    <row r="48511" spans="31:31">
      <c r="AE48511" s="54"/>
    </row>
    <row r="48512" spans="31:31">
      <c r="AE48512" s="54"/>
    </row>
    <row r="48513" spans="31:31">
      <c r="AE48513" s="54"/>
    </row>
    <row r="48514" spans="31:31">
      <c r="AE48514" s="54"/>
    </row>
    <row r="48515" spans="31:31">
      <c r="AE48515" s="54"/>
    </row>
    <row r="48516" spans="31:31">
      <c r="AE48516" s="54"/>
    </row>
    <row r="48517" spans="31:31">
      <c r="AE48517" s="54"/>
    </row>
    <row r="48518" spans="31:31">
      <c r="AE48518" s="54"/>
    </row>
    <row r="48519" spans="31:31">
      <c r="AE48519" s="54"/>
    </row>
    <row r="48520" spans="31:31">
      <c r="AE48520" s="54"/>
    </row>
    <row r="48521" spans="31:31">
      <c r="AE48521" s="54"/>
    </row>
    <row r="48522" spans="31:31">
      <c r="AE48522" s="54"/>
    </row>
    <row r="48523" spans="31:31">
      <c r="AE48523" s="54"/>
    </row>
    <row r="48524" spans="31:31">
      <c r="AE48524" s="54"/>
    </row>
    <row r="48525" spans="31:31">
      <c r="AE48525" s="54"/>
    </row>
    <row r="48526" spans="31:31">
      <c r="AE48526" s="54"/>
    </row>
    <row r="48527" spans="31:31">
      <c r="AE48527" s="54"/>
    </row>
    <row r="48528" spans="31:31">
      <c r="AE48528" s="54"/>
    </row>
    <row r="48529" spans="31:31">
      <c r="AE48529" s="54"/>
    </row>
    <row r="48530" spans="31:31">
      <c r="AE48530" s="54"/>
    </row>
    <row r="48531" spans="31:31">
      <c r="AE48531" s="54"/>
    </row>
    <row r="48532" spans="31:31">
      <c r="AE48532" s="54"/>
    </row>
    <row r="48533" spans="31:31">
      <c r="AE48533" s="54"/>
    </row>
    <row r="48534" spans="31:31">
      <c r="AE48534" s="54"/>
    </row>
    <row r="48535" spans="31:31">
      <c r="AE48535" s="54"/>
    </row>
    <row r="48536" spans="31:31">
      <c r="AE48536" s="54"/>
    </row>
    <row r="48537" spans="31:31">
      <c r="AE48537" s="54"/>
    </row>
    <row r="48538" spans="31:31">
      <c r="AE48538" s="54"/>
    </row>
    <row r="48539" spans="31:31">
      <c r="AE48539" s="54"/>
    </row>
    <row r="48540" spans="31:31">
      <c r="AE48540" s="54"/>
    </row>
    <row r="48541" spans="31:31">
      <c r="AE48541" s="54"/>
    </row>
    <row r="48542" spans="31:31">
      <c r="AE48542" s="54"/>
    </row>
    <row r="48543" spans="31:31">
      <c r="AE48543" s="54"/>
    </row>
    <row r="48544" spans="31:31">
      <c r="AE48544" s="54"/>
    </row>
    <row r="48545" spans="31:31">
      <c r="AE48545" s="54"/>
    </row>
    <row r="48546" spans="31:31">
      <c r="AE48546" s="54"/>
    </row>
    <row r="48547" spans="31:31">
      <c r="AE48547" s="54"/>
    </row>
    <row r="48548" spans="31:31">
      <c r="AE48548" s="54"/>
    </row>
    <row r="48549" spans="31:31">
      <c r="AE48549" s="54"/>
    </row>
    <row r="48550" spans="31:31">
      <c r="AE48550" s="54"/>
    </row>
    <row r="48551" spans="31:31">
      <c r="AE48551" s="54"/>
    </row>
    <row r="48552" spans="31:31">
      <c r="AE48552" s="54"/>
    </row>
    <row r="48553" spans="31:31">
      <c r="AE48553" s="54"/>
    </row>
    <row r="48554" spans="31:31">
      <c r="AE48554" s="54"/>
    </row>
    <row r="48555" spans="31:31">
      <c r="AE48555" s="54"/>
    </row>
    <row r="48556" spans="31:31">
      <c r="AE48556" s="54"/>
    </row>
    <row r="48557" spans="31:31">
      <c r="AE48557" s="54"/>
    </row>
    <row r="48558" spans="31:31">
      <c r="AE48558" s="54"/>
    </row>
    <row r="48559" spans="31:31">
      <c r="AE48559" s="54"/>
    </row>
    <row r="48560" spans="31:31">
      <c r="AE48560" s="54"/>
    </row>
    <row r="48561" spans="31:31">
      <c r="AE48561" s="54"/>
    </row>
    <row r="48562" spans="31:31">
      <c r="AE48562" s="54"/>
    </row>
    <row r="48563" spans="31:31">
      <c r="AE48563" s="54"/>
    </row>
    <row r="48564" spans="31:31">
      <c r="AE48564" s="54"/>
    </row>
    <row r="48565" spans="31:31">
      <c r="AE48565" s="54"/>
    </row>
    <row r="48566" spans="31:31">
      <c r="AE48566" s="54"/>
    </row>
    <row r="48567" spans="31:31">
      <c r="AE48567" s="54"/>
    </row>
    <row r="48568" spans="31:31">
      <c r="AE48568" s="54"/>
    </row>
    <row r="48569" spans="31:31">
      <c r="AE48569" s="54"/>
    </row>
    <row r="48570" spans="31:31">
      <c r="AE48570" s="54"/>
    </row>
    <row r="48571" spans="31:31">
      <c r="AE48571" s="54"/>
    </row>
    <row r="48572" spans="31:31">
      <c r="AE48572" s="54"/>
    </row>
    <row r="48573" spans="31:31">
      <c r="AE48573" s="54"/>
    </row>
    <row r="48574" spans="31:31">
      <c r="AE48574" s="54"/>
    </row>
    <row r="48575" spans="31:31">
      <c r="AE48575" s="54"/>
    </row>
    <row r="48576" spans="31:31">
      <c r="AE48576" s="54"/>
    </row>
    <row r="48577" spans="31:31">
      <c r="AE48577" s="54"/>
    </row>
    <row r="48578" spans="31:31">
      <c r="AE48578" s="54"/>
    </row>
    <row r="48579" spans="31:31">
      <c r="AE48579" s="54"/>
    </row>
    <row r="48580" spans="31:31">
      <c r="AE48580" s="54"/>
    </row>
    <row r="48581" spans="31:31">
      <c r="AE48581" s="54"/>
    </row>
    <row r="48582" spans="31:31">
      <c r="AE48582" s="54"/>
    </row>
    <row r="48583" spans="31:31">
      <c r="AE48583" s="54"/>
    </row>
    <row r="48584" spans="31:31">
      <c r="AE48584" s="54"/>
    </row>
    <row r="48585" spans="31:31">
      <c r="AE48585" s="54"/>
    </row>
    <row r="48586" spans="31:31">
      <c r="AE48586" s="54"/>
    </row>
    <row r="48587" spans="31:31">
      <c r="AE48587" s="54"/>
    </row>
    <row r="48588" spans="31:31">
      <c r="AE48588" s="54"/>
    </row>
    <row r="48589" spans="31:31">
      <c r="AE48589" s="54"/>
    </row>
    <row r="48590" spans="31:31">
      <c r="AE48590" s="54"/>
    </row>
    <row r="48591" spans="31:31">
      <c r="AE48591" s="54"/>
    </row>
    <row r="48592" spans="31:31">
      <c r="AE48592" s="54"/>
    </row>
    <row r="48593" spans="31:31">
      <c r="AE48593" s="54"/>
    </row>
    <row r="48594" spans="31:31">
      <c r="AE48594" s="54"/>
    </row>
    <row r="48595" spans="31:31">
      <c r="AE48595" s="54"/>
    </row>
    <row r="48596" spans="31:31">
      <c r="AE48596" s="54"/>
    </row>
    <row r="48597" spans="31:31">
      <c r="AE48597" s="54"/>
    </row>
    <row r="48598" spans="31:31">
      <c r="AE48598" s="54"/>
    </row>
    <row r="48599" spans="31:31">
      <c r="AE48599" s="54"/>
    </row>
    <row r="48600" spans="31:31">
      <c r="AE48600" s="54"/>
    </row>
    <row r="48601" spans="31:31">
      <c r="AE48601" s="54"/>
    </row>
    <row r="48602" spans="31:31">
      <c r="AE48602" s="54"/>
    </row>
    <row r="48603" spans="31:31">
      <c r="AE48603" s="54"/>
    </row>
    <row r="48604" spans="31:31">
      <c r="AE48604" s="54"/>
    </row>
    <row r="48605" spans="31:31">
      <c r="AE48605" s="54"/>
    </row>
    <row r="48606" spans="31:31">
      <c r="AE48606" s="54"/>
    </row>
    <row r="48607" spans="31:31">
      <c r="AE48607" s="54"/>
    </row>
    <row r="48608" spans="31:31">
      <c r="AE48608" s="54"/>
    </row>
    <row r="48609" spans="31:31">
      <c r="AE48609" s="54"/>
    </row>
    <row r="48610" spans="31:31">
      <c r="AE48610" s="54"/>
    </row>
    <row r="48611" spans="31:31">
      <c r="AE48611" s="54"/>
    </row>
    <row r="48612" spans="31:31">
      <c r="AE48612" s="54"/>
    </row>
    <row r="48613" spans="31:31">
      <c r="AE48613" s="54"/>
    </row>
    <row r="48614" spans="31:31">
      <c r="AE48614" s="54"/>
    </row>
    <row r="48615" spans="31:31">
      <c r="AE48615" s="54"/>
    </row>
    <row r="48616" spans="31:31">
      <c r="AE48616" s="54"/>
    </row>
    <row r="48617" spans="31:31">
      <c r="AE48617" s="54"/>
    </row>
    <row r="48618" spans="31:31">
      <c r="AE48618" s="54"/>
    </row>
    <row r="48619" spans="31:31">
      <c r="AE48619" s="54"/>
    </row>
    <row r="48620" spans="31:31">
      <c r="AE48620" s="54"/>
    </row>
    <row r="48621" spans="31:31">
      <c r="AE48621" s="54"/>
    </row>
    <row r="48622" spans="31:31">
      <c r="AE48622" s="54"/>
    </row>
    <row r="48623" spans="31:31">
      <c r="AE48623" s="54"/>
    </row>
    <row r="48624" spans="31:31">
      <c r="AE48624" s="54"/>
    </row>
    <row r="48625" spans="31:31">
      <c r="AE48625" s="54"/>
    </row>
    <row r="48626" spans="31:31">
      <c r="AE48626" s="54"/>
    </row>
    <row r="48627" spans="31:31">
      <c r="AE48627" s="54"/>
    </row>
    <row r="48628" spans="31:31">
      <c r="AE48628" s="54"/>
    </row>
    <row r="48629" spans="31:31">
      <c r="AE48629" s="54"/>
    </row>
    <row r="48630" spans="31:31">
      <c r="AE48630" s="54"/>
    </row>
    <row r="48631" spans="31:31">
      <c r="AE48631" s="54"/>
    </row>
    <row r="48632" spans="31:31">
      <c r="AE48632" s="54"/>
    </row>
    <row r="48633" spans="31:31">
      <c r="AE48633" s="54"/>
    </row>
    <row r="48634" spans="31:31">
      <c r="AE48634" s="54"/>
    </row>
    <row r="48635" spans="31:31">
      <c r="AE48635" s="54"/>
    </row>
    <row r="48636" spans="31:31">
      <c r="AE48636" s="54"/>
    </row>
    <row r="48637" spans="31:31">
      <c r="AE48637" s="54"/>
    </row>
    <row r="48638" spans="31:31">
      <c r="AE48638" s="54"/>
    </row>
    <row r="48639" spans="31:31">
      <c r="AE48639" s="54"/>
    </row>
    <row r="48640" spans="31:31">
      <c r="AE48640" s="54"/>
    </row>
    <row r="48641" spans="31:31">
      <c r="AE48641" s="54"/>
    </row>
    <row r="48642" spans="31:31">
      <c r="AE48642" s="54"/>
    </row>
    <row r="48643" spans="31:31">
      <c r="AE48643" s="54"/>
    </row>
    <row r="48644" spans="31:31">
      <c r="AE48644" s="54"/>
    </row>
    <row r="48645" spans="31:31">
      <c r="AE48645" s="54"/>
    </row>
    <row r="48646" spans="31:31">
      <c r="AE48646" s="54"/>
    </row>
    <row r="48647" spans="31:31">
      <c r="AE48647" s="54"/>
    </row>
    <row r="48648" spans="31:31">
      <c r="AE48648" s="54"/>
    </row>
    <row r="48649" spans="31:31">
      <c r="AE48649" s="54"/>
    </row>
    <row r="48650" spans="31:31">
      <c r="AE48650" s="54"/>
    </row>
    <row r="48651" spans="31:31">
      <c r="AE48651" s="54"/>
    </row>
    <row r="48652" spans="31:31">
      <c r="AE48652" s="54"/>
    </row>
    <row r="48653" spans="31:31">
      <c r="AE48653" s="54"/>
    </row>
    <row r="48654" spans="31:31">
      <c r="AE48654" s="54"/>
    </row>
    <row r="48655" spans="31:31">
      <c r="AE48655" s="54"/>
    </row>
    <row r="48656" spans="31:31">
      <c r="AE48656" s="54"/>
    </row>
    <row r="48657" spans="31:31">
      <c r="AE48657" s="54"/>
    </row>
    <row r="48658" spans="31:31">
      <c r="AE48658" s="54"/>
    </row>
    <row r="48659" spans="31:31">
      <c r="AE48659" s="54"/>
    </row>
    <row r="48660" spans="31:31">
      <c r="AE48660" s="54"/>
    </row>
    <row r="48661" spans="31:31">
      <c r="AE48661" s="54"/>
    </row>
    <row r="48662" spans="31:31">
      <c r="AE48662" s="54"/>
    </row>
    <row r="48663" spans="31:31">
      <c r="AE48663" s="54"/>
    </row>
    <row r="48664" spans="31:31">
      <c r="AE48664" s="54"/>
    </row>
    <row r="48665" spans="31:31">
      <c r="AE48665" s="54"/>
    </row>
    <row r="48666" spans="31:31">
      <c r="AE48666" s="54"/>
    </row>
    <row r="48667" spans="31:31">
      <c r="AE48667" s="54"/>
    </row>
    <row r="48668" spans="31:31">
      <c r="AE48668" s="54"/>
    </row>
    <row r="48669" spans="31:31">
      <c r="AE48669" s="54"/>
    </row>
    <row r="48670" spans="31:31">
      <c r="AE48670" s="54"/>
    </row>
    <row r="48671" spans="31:31">
      <c r="AE48671" s="54"/>
    </row>
    <row r="48672" spans="31:31">
      <c r="AE48672" s="54"/>
    </row>
    <row r="48673" spans="31:31">
      <c r="AE48673" s="54"/>
    </row>
    <row r="48674" spans="31:31">
      <c r="AE48674" s="54"/>
    </row>
    <row r="48675" spans="31:31">
      <c r="AE48675" s="54"/>
    </row>
    <row r="48676" spans="31:31">
      <c r="AE48676" s="54"/>
    </row>
    <row r="48677" spans="31:31">
      <c r="AE48677" s="54"/>
    </row>
    <row r="48678" spans="31:31">
      <c r="AE48678" s="54"/>
    </row>
    <row r="48679" spans="31:31">
      <c r="AE48679" s="54"/>
    </row>
    <row r="48680" spans="31:31">
      <c r="AE48680" s="54"/>
    </row>
    <row r="48681" spans="31:31">
      <c r="AE48681" s="54"/>
    </row>
    <row r="48682" spans="31:31">
      <c r="AE48682" s="54"/>
    </row>
    <row r="48683" spans="31:31">
      <c r="AE48683" s="54"/>
    </row>
    <row r="48684" spans="31:31">
      <c r="AE48684" s="54"/>
    </row>
    <row r="48685" spans="31:31">
      <c r="AE48685" s="54"/>
    </row>
    <row r="48686" spans="31:31">
      <c r="AE48686" s="54"/>
    </row>
    <row r="48687" spans="31:31">
      <c r="AE48687" s="54"/>
    </row>
    <row r="48688" spans="31:31">
      <c r="AE48688" s="54"/>
    </row>
    <row r="48689" spans="31:31">
      <c r="AE48689" s="54"/>
    </row>
    <row r="48690" spans="31:31">
      <c r="AE48690" s="54"/>
    </row>
    <row r="48691" spans="31:31">
      <c r="AE48691" s="54"/>
    </row>
    <row r="48692" spans="31:31">
      <c r="AE48692" s="54"/>
    </row>
    <row r="48693" spans="31:31">
      <c r="AE48693" s="54"/>
    </row>
    <row r="48694" spans="31:31">
      <c r="AE48694" s="54"/>
    </row>
    <row r="48695" spans="31:31">
      <c r="AE48695" s="54"/>
    </row>
    <row r="48696" spans="31:31">
      <c r="AE48696" s="54"/>
    </row>
    <row r="48697" spans="31:31">
      <c r="AE48697" s="54"/>
    </row>
    <row r="48698" spans="31:31">
      <c r="AE48698" s="54"/>
    </row>
    <row r="48699" spans="31:31">
      <c r="AE48699" s="54"/>
    </row>
    <row r="48700" spans="31:31">
      <c r="AE48700" s="54"/>
    </row>
    <row r="48701" spans="31:31">
      <c r="AE48701" s="54"/>
    </row>
    <row r="48702" spans="31:31">
      <c r="AE48702" s="54"/>
    </row>
    <row r="48703" spans="31:31">
      <c r="AE48703" s="54"/>
    </row>
    <row r="48704" spans="31:31">
      <c r="AE48704" s="54"/>
    </row>
    <row r="48705" spans="31:31">
      <c r="AE48705" s="54"/>
    </row>
    <row r="48706" spans="31:31">
      <c r="AE48706" s="54"/>
    </row>
    <row r="48707" spans="31:31">
      <c r="AE48707" s="54"/>
    </row>
    <row r="48708" spans="31:31">
      <c r="AE48708" s="54"/>
    </row>
    <row r="48709" spans="31:31">
      <c r="AE48709" s="54"/>
    </row>
    <row r="48710" spans="31:31">
      <c r="AE48710" s="54"/>
    </row>
    <row r="48711" spans="31:31">
      <c r="AE48711" s="54"/>
    </row>
    <row r="48712" spans="31:31">
      <c r="AE48712" s="54"/>
    </row>
    <row r="48713" spans="31:31">
      <c r="AE48713" s="54"/>
    </row>
    <row r="48714" spans="31:31">
      <c r="AE48714" s="54"/>
    </row>
    <row r="48715" spans="31:31">
      <c r="AE48715" s="54"/>
    </row>
    <row r="48716" spans="31:31">
      <c r="AE48716" s="54"/>
    </row>
    <row r="48717" spans="31:31">
      <c r="AE48717" s="54"/>
    </row>
    <row r="48718" spans="31:31">
      <c r="AE48718" s="54"/>
    </row>
    <row r="48719" spans="31:31">
      <c r="AE48719" s="54"/>
    </row>
    <row r="48720" spans="31:31">
      <c r="AE48720" s="54"/>
    </row>
    <row r="48721" spans="31:31">
      <c r="AE48721" s="54"/>
    </row>
    <row r="48722" spans="31:31">
      <c r="AE48722" s="54"/>
    </row>
    <row r="48723" spans="31:31">
      <c r="AE48723" s="54"/>
    </row>
    <row r="48724" spans="31:31">
      <c r="AE48724" s="54"/>
    </row>
    <row r="48725" spans="31:31">
      <c r="AE48725" s="54"/>
    </row>
    <row r="48726" spans="31:31">
      <c r="AE48726" s="54"/>
    </row>
    <row r="48727" spans="31:31">
      <c r="AE48727" s="54"/>
    </row>
    <row r="48728" spans="31:31">
      <c r="AE48728" s="54"/>
    </row>
    <row r="48729" spans="31:31">
      <c r="AE48729" s="54"/>
    </row>
    <row r="48730" spans="31:31">
      <c r="AE48730" s="54"/>
    </row>
    <row r="48731" spans="31:31">
      <c r="AE48731" s="54"/>
    </row>
    <row r="48732" spans="31:31">
      <c r="AE48732" s="54"/>
    </row>
    <row r="48733" spans="31:31">
      <c r="AE48733" s="54"/>
    </row>
    <row r="48734" spans="31:31">
      <c r="AE48734" s="54"/>
    </row>
    <row r="48735" spans="31:31">
      <c r="AE48735" s="54"/>
    </row>
    <row r="48736" spans="31:31">
      <c r="AE48736" s="54"/>
    </row>
    <row r="48737" spans="31:31">
      <c r="AE48737" s="54"/>
    </row>
    <row r="48738" spans="31:31">
      <c r="AE48738" s="54"/>
    </row>
    <row r="48739" spans="31:31">
      <c r="AE48739" s="54"/>
    </row>
    <row r="48740" spans="31:31">
      <c r="AE48740" s="54"/>
    </row>
    <row r="48741" spans="31:31">
      <c r="AE48741" s="54"/>
    </row>
    <row r="48742" spans="31:31">
      <c r="AE48742" s="54"/>
    </row>
    <row r="48743" spans="31:31">
      <c r="AE48743" s="54"/>
    </row>
    <row r="48744" spans="31:31">
      <c r="AE48744" s="54"/>
    </row>
    <row r="48745" spans="31:31">
      <c r="AE48745" s="54"/>
    </row>
    <row r="48746" spans="31:31">
      <c r="AE48746" s="54"/>
    </row>
    <row r="48747" spans="31:31">
      <c r="AE48747" s="54"/>
    </row>
    <row r="48748" spans="31:31">
      <c r="AE48748" s="54"/>
    </row>
    <row r="48749" spans="31:31">
      <c r="AE48749" s="54"/>
    </row>
    <row r="48750" spans="31:31">
      <c r="AE48750" s="54"/>
    </row>
    <row r="48751" spans="31:31">
      <c r="AE48751" s="54"/>
    </row>
    <row r="48752" spans="31:31">
      <c r="AE48752" s="54"/>
    </row>
    <row r="48753" spans="31:31">
      <c r="AE48753" s="54"/>
    </row>
    <row r="48754" spans="31:31">
      <c r="AE48754" s="54"/>
    </row>
    <row r="48755" spans="31:31">
      <c r="AE48755" s="54"/>
    </row>
    <row r="48756" spans="31:31">
      <c r="AE48756" s="54"/>
    </row>
    <row r="48757" spans="31:31">
      <c r="AE48757" s="54"/>
    </row>
    <row r="48758" spans="31:31">
      <c r="AE48758" s="54"/>
    </row>
    <row r="48759" spans="31:31">
      <c r="AE48759" s="54"/>
    </row>
    <row r="48760" spans="31:31">
      <c r="AE48760" s="54"/>
    </row>
    <row r="48761" spans="31:31">
      <c r="AE48761" s="54"/>
    </row>
    <row r="48762" spans="31:31">
      <c r="AE48762" s="54"/>
    </row>
    <row r="48763" spans="31:31">
      <c r="AE48763" s="54"/>
    </row>
    <row r="48764" spans="31:31">
      <c r="AE48764" s="54"/>
    </row>
    <row r="48765" spans="31:31">
      <c r="AE48765" s="54"/>
    </row>
    <row r="48766" spans="31:31">
      <c r="AE48766" s="54"/>
    </row>
    <row r="48767" spans="31:31">
      <c r="AE48767" s="54"/>
    </row>
    <row r="48768" spans="31:31">
      <c r="AE48768" s="54"/>
    </row>
    <row r="48769" spans="31:31">
      <c r="AE48769" s="54"/>
    </row>
    <row r="48770" spans="31:31">
      <c r="AE48770" s="54"/>
    </row>
    <row r="48771" spans="31:31">
      <c r="AE48771" s="54"/>
    </row>
    <row r="48772" spans="31:31">
      <c r="AE48772" s="54"/>
    </row>
    <row r="48773" spans="31:31">
      <c r="AE48773" s="54"/>
    </row>
    <row r="48774" spans="31:31">
      <c r="AE48774" s="54"/>
    </row>
    <row r="48775" spans="31:31">
      <c r="AE48775" s="54"/>
    </row>
    <row r="48776" spans="31:31">
      <c r="AE48776" s="54"/>
    </row>
    <row r="48777" spans="31:31">
      <c r="AE48777" s="54"/>
    </row>
    <row r="48778" spans="31:31">
      <c r="AE48778" s="54"/>
    </row>
    <row r="48779" spans="31:31">
      <c r="AE48779" s="54"/>
    </row>
    <row r="48780" spans="31:31">
      <c r="AE48780" s="54"/>
    </row>
    <row r="48781" spans="31:31">
      <c r="AE48781" s="54"/>
    </row>
    <row r="48782" spans="31:31">
      <c r="AE48782" s="54"/>
    </row>
    <row r="48783" spans="31:31">
      <c r="AE48783" s="54"/>
    </row>
    <row r="48784" spans="31:31">
      <c r="AE48784" s="54"/>
    </row>
    <row r="48785" spans="31:31">
      <c r="AE48785" s="54"/>
    </row>
    <row r="48786" spans="31:31">
      <c r="AE48786" s="54"/>
    </row>
    <row r="48787" spans="31:31">
      <c r="AE48787" s="54"/>
    </row>
    <row r="48788" spans="31:31">
      <c r="AE48788" s="54"/>
    </row>
    <row r="48789" spans="31:31">
      <c r="AE48789" s="54"/>
    </row>
    <row r="48790" spans="31:31">
      <c r="AE48790" s="54"/>
    </row>
    <row r="48791" spans="31:31">
      <c r="AE48791" s="54"/>
    </row>
    <row r="48792" spans="31:31">
      <c r="AE48792" s="54"/>
    </row>
    <row r="48793" spans="31:31">
      <c r="AE48793" s="54"/>
    </row>
    <row r="48794" spans="31:31">
      <c r="AE48794" s="54"/>
    </row>
    <row r="48795" spans="31:31">
      <c r="AE48795" s="54"/>
    </row>
    <row r="48796" spans="31:31">
      <c r="AE48796" s="54"/>
    </row>
    <row r="48797" spans="31:31">
      <c r="AE48797" s="54"/>
    </row>
    <row r="48798" spans="31:31">
      <c r="AE48798" s="54"/>
    </row>
    <row r="48799" spans="31:31">
      <c r="AE48799" s="54"/>
    </row>
    <row r="48800" spans="31:31">
      <c r="AE48800" s="54"/>
    </row>
    <row r="48801" spans="31:31">
      <c r="AE48801" s="54"/>
    </row>
    <row r="48802" spans="31:31">
      <c r="AE48802" s="54"/>
    </row>
    <row r="48803" spans="31:31">
      <c r="AE48803" s="54"/>
    </row>
    <row r="48804" spans="31:31">
      <c r="AE48804" s="54"/>
    </row>
    <row r="48805" spans="31:31">
      <c r="AE48805" s="54"/>
    </row>
    <row r="48806" spans="31:31">
      <c r="AE48806" s="54"/>
    </row>
    <row r="48807" spans="31:31">
      <c r="AE48807" s="54"/>
    </row>
    <row r="48808" spans="31:31">
      <c r="AE48808" s="54"/>
    </row>
    <row r="48809" spans="31:31">
      <c r="AE48809" s="54"/>
    </row>
    <row r="48810" spans="31:31">
      <c r="AE48810" s="54"/>
    </row>
    <row r="48811" spans="31:31">
      <c r="AE48811" s="54"/>
    </row>
    <row r="48812" spans="31:31">
      <c r="AE48812" s="54"/>
    </row>
    <row r="48813" spans="31:31">
      <c r="AE48813" s="54"/>
    </row>
    <row r="48814" spans="31:31">
      <c r="AE48814" s="54"/>
    </row>
    <row r="48815" spans="31:31">
      <c r="AE48815" s="54"/>
    </row>
    <row r="48816" spans="31:31">
      <c r="AE48816" s="54"/>
    </row>
    <row r="48817" spans="31:31">
      <c r="AE48817" s="54"/>
    </row>
    <row r="48818" spans="31:31">
      <c r="AE48818" s="54"/>
    </row>
    <row r="48819" spans="31:31">
      <c r="AE48819" s="54"/>
    </row>
    <row r="48820" spans="31:31">
      <c r="AE48820" s="54"/>
    </row>
    <row r="48821" spans="31:31">
      <c r="AE48821" s="54"/>
    </row>
    <row r="48822" spans="31:31">
      <c r="AE48822" s="54"/>
    </row>
    <row r="48823" spans="31:31">
      <c r="AE48823" s="54"/>
    </row>
    <row r="48824" spans="31:31">
      <c r="AE48824" s="54"/>
    </row>
    <row r="48825" spans="31:31">
      <c r="AE48825" s="54"/>
    </row>
    <row r="48826" spans="31:31">
      <c r="AE48826" s="54"/>
    </row>
    <row r="48827" spans="31:31">
      <c r="AE48827" s="54"/>
    </row>
    <row r="48828" spans="31:31">
      <c r="AE48828" s="54"/>
    </row>
    <row r="48829" spans="31:31">
      <c r="AE48829" s="54"/>
    </row>
    <row r="48830" spans="31:31">
      <c r="AE48830" s="54"/>
    </row>
    <row r="48831" spans="31:31">
      <c r="AE48831" s="54"/>
    </row>
    <row r="48832" spans="31:31">
      <c r="AE48832" s="54"/>
    </row>
    <row r="48833" spans="31:31">
      <c r="AE48833" s="54"/>
    </row>
    <row r="48834" spans="31:31">
      <c r="AE48834" s="54"/>
    </row>
    <row r="48835" spans="31:31">
      <c r="AE48835" s="54"/>
    </row>
    <row r="48836" spans="31:31">
      <c r="AE48836" s="54"/>
    </row>
    <row r="48837" spans="31:31">
      <c r="AE48837" s="54"/>
    </row>
    <row r="48838" spans="31:31">
      <c r="AE48838" s="54"/>
    </row>
    <row r="48839" spans="31:31">
      <c r="AE48839" s="54"/>
    </row>
    <row r="48840" spans="31:31">
      <c r="AE48840" s="54"/>
    </row>
    <row r="48841" spans="31:31">
      <c r="AE48841" s="54"/>
    </row>
    <row r="48842" spans="31:31">
      <c r="AE48842" s="54"/>
    </row>
    <row r="48843" spans="31:31">
      <c r="AE48843" s="54"/>
    </row>
    <row r="48844" spans="31:31">
      <c r="AE48844" s="54"/>
    </row>
    <row r="48845" spans="31:31">
      <c r="AE48845" s="54"/>
    </row>
    <row r="48846" spans="31:31">
      <c r="AE48846" s="54"/>
    </row>
    <row r="48847" spans="31:31">
      <c r="AE48847" s="54"/>
    </row>
    <row r="48848" spans="31:31">
      <c r="AE48848" s="54"/>
    </row>
    <row r="48849" spans="31:31">
      <c r="AE48849" s="54"/>
    </row>
    <row r="48850" spans="31:31">
      <c r="AE48850" s="54"/>
    </row>
    <row r="48851" spans="31:31">
      <c r="AE48851" s="54"/>
    </row>
    <row r="48852" spans="31:31">
      <c r="AE48852" s="54"/>
    </row>
    <row r="48853" spans="31:31">
      <c r="AE48853" s="54"/>
    </row>
    <row r="48854" spans="31:31">
      <c r="AE48854" s="54"/>
    </row>
    <row r="48855" spans="31:31">
      <c r="AE48855" s="54"/>
    </row>
    <row r="48856" spans="31:31">
      <c r="AE48856" s="54"/>
    </row>
    <row r="48857" spans="31:31">
      <c r="AE48857" s="54"/>
    </row>
    <row r="48858" spans="31:31">
      <c r="AE48858" s="54"/>
    </row>
    <row r="48859" spans="31:31">
      <c r="AE48859" s="54"/>
    </row>
    <row r="48860" spans="31:31">
      <c r="AE48860" s="54"/>
    </row>
    <row r="48861" spans="31:31">
      <c r="AE48861" s="54"/>
    </row>
    <row r="48862" spans="31:31">
      <c r="AE48862" s="54"/>
    </row>
    <row r="48863" spans="31:31">
      <c r="AE48863" s="54"/>
    </row>
    <row r="48864" spans="31:31">
      <c r="AE48864" s="54"/>
    </row>
    <row r="48865" spans="31:31">
      <c r="AE48865" s="54"/>
    </row>
    <row r="48866" spans="31:31">
      <c r="AE48866" s="54"/>
    </row>
    <row r="48867" spans="31:31">
      <c r="AE48867" s="54"/>
    </row>
    <row r="48868" spans="31:31">
      <c r="AE48868" s="54"/>
    </row>
    <row r="48869" spans="31:31">
      <c r="AE48869" s="54"/>
    </row>
    <row r="48870" spans="31:31">
      <c r="AE48870" s="54"/>
    </row>
    <row r="48871" spans="31:31">
      <c r="AE48871" s="54"/>
    </row>
    <row r="48872" spans="31:31">
      <c r="AE48872" s="54"/>
    </row>
    <row r="48873" spans="31:31">
      <c r="AE48873" s="54"/>
    </row>
    <row r="48874" spans="31:31">
      <c r="AE48874" s="54"/>
    </row>
    <row r="48875" spans="31:31">
      <c r="AE48875" s="54"/>
    </row>
    <row r="48876" spans="31:31">
      <c r="AE48876" s="54"/>
    </row>
    <row r="48877" spans="31:31">
      <c r="AE48877" s="54"/>
    </row>
    <row r="48878" spans="31:31">
      <c r="AE48878" s="54"/>
    </row>
    <row r="48879" spans="31:31">
      <c r="AE48879" s="54"/>
    </row>
    <row r="48880" spans="31:31">
      <c r="AE48880" s="54"/>
    </row>
    <row r="48881" spans="31:31">
      <c r="AE48881" s="54"/>
    </row>
    <row r="48882" spans="31:31">
      <c r="AE48882" s="54"/>
    </row>
    <row r="48883" spans="31:31">
      <c r="AE48883" s="54"/>
    </row>
    <row r="48884" spans="31:31">
      <c r="AE48884" s="54"/>
    </row>
    <row r="48885" spans="31:31">
      <c r="AE48885" s="54"/>
    </row>
    <row r="48886" spans="31:31">
      <c r="AE48886" s="54"/>
    </row>
    <row r="48887" spans="31:31">
      <c r="AE48887" s="54"/>
    </row>
    <row r="48888" spans="31:31">
      <c r="AE48888" s="54"/>
    </row>
    <row r="48889" spans="31:31">
      <c r="AE48889" s="54"/>
    </row>
    <row r="48890" spans="31:31">
      <c r="AE48890" s="54"/>
    </row>
    <row r="48891" spans="31:31">
      <c r="AE48891" s="54"/>
    </row>
    <row r="48892" spans="31:31">
      <c r="AE48892" s="54"/>
    </row>
    <row r="48893" spans="31:31">
      <c r="AE48893" s="54"/>
    </row>
    <row r="48894" spans="31:31">
      <c r="AE48894" s="54"/>
    </row>
    <row r="48895" spans="31:31">
      <c r="AE48895" s="54"/>
    </row>
    <row r="48896" spans="31:31">
      <c r="AE48896" s="54"/>
    </row>
    <row r="48897" spans="31:31">
      <c r="AE48897" s="54"/>
    </row>
    <row r="48898" spans="31:31">
      <c r="AE48898" s="54"/>
    </row>
    <row r="48899" spans="31:31">
      <c r="AE48899" s="54"/>
    </row>
    <row r="48900" spans="31:31">
      <c r="AE48900" s="54"/>
    </row>
    <row r="48901" spans="31:31">
      <c r="AE48901" s="54"/>
    </row>
    <row r="48902" spans="31:31">
      <c r="AE48902" s="54"/>
    </row>
    <row r="48903" spans="31:31">
      <c r="AE48903" s="54"/>
    </row>
    <row r="48904" spans="31:31">
      <c r="AE48904" s="54"/>
    </row>
    <row r="48905" spans="31:31">
      <c r="AE48905" s="54"/>
    </row>
    <row r="48906" spans="31:31">
      <c r="AE48906" s="54"/>
    </row>
    <row r="48907" spans="31:31">
      <c r="AE48907" s="54"/>
    </row>
    <row r="48908" spans="31:31">
      <c r="AE48908" s="54"/>
    </row>
    <row r="48909" spans="31:31">
      <c r="AE48909" s="54"/>
    </row>
    <row r="48910" spans="31:31">
      <c r="AE48910" s="54"/>
    </row>
    <row r="48911" spans="31:31">
      <c r="AE48911" s="54"/>
    </row>
    <row r="48912" spans="31:31">
      <c r="AE48912" s="54"/>
    </row>
    <row r="48913" spans="31:31">
      <c r="AE48913" s="54"/>
    </row>
    <row r="48914" spans="31:31">
      <c r="AE48914" s="54"/>
    </row>
    <row r="48915" spans="31:31">
      <c r="AE48915" s="54"/>
    </row>
    <row r="48916" spans="31:31">
      <c r="AE48916" s="54"/>
    </row>
    <row r="48917" spans="31:31">
      <c r="AE48917" s="54"/>
    </row>
    <row r="48918" spans="31:31">
      <c r="AE48918" s="54"/>
    </row>
    <row r="48919" spans="31:31">
      <c r="AE48919" s="54"/>
    </row>
    <row r="48920" spans="31:31">
      <c r="AE48920" s="54"/>
    </row>
    <row r="48921" spans="31:31">
      <c r="AE48921" s="54"/>
    </row>
    <row r="48922" spans="31:31">
      <c r="AE48922" s="54"/>
    </row>
    <row r="48923" spans="31:31">
      <c r="AE48923" s="54"/>
    </row>
    <row r="48924" spans="31:31">
      <c r="AE48924" s="54"/>
    </row>
    <row r="48925" spans="31:31">
      <c r="AE48925" s="54"/>
    </row>
    <row r="48926" spans="31:31">
      <c r="AE48926" s="54"/>
    </row>
    <row r="48927" spans="31:31">
      <c r="AE48927" s="54"/>
    </row>
    <row r="48928" spans="31:31">
      <c r="AE48928" s="54"/>
    </row>
    <row r="48929" spans="31:31">
      <c r="AE48929" s="54"/>
    </row>
    <row r="48930" spans="31:31">
      <c r="AE48930" s="54"/>
    </row>
    <row r="48931" spans="31:31">
      <c r="AE48931" s="54"/>
    </row>
    <row r="48932" spans="31:31">
      <c r="AE48932" s="54"/>
    </row>
    <row r="48933" spans="31:31">
      <c r="AE48933" s="54"/>
    </row>
    <row r="48934" spans="31:31">
      <c r="AE48934" s="54"/>
    </row>
    <row r="48935" spans="31:31">
      <c r="AE48935" s="54"/>
    </row>
    <row r="48936" spans="31:31">
      <c r="AE48936" s="54"/>
    </row>
    <row r="48937" spans="31:31">
      <c r="AE48937" s="54"/>
    </row>
    <row r="48938" spans="31:31">
      <c r="AE48938" s="54"/>
    </row>
    <row r="48939" spans="31:31">
      <c r="AE48939" s="54"/>
    </row>
    <row r="48940" spans="31:31">
      <c r="AE48940" s="54"/>
    </row>
    <row r="48941" spans="31:31">
      <c r="AE48941" s="54"/>
    </row>
    <row r="48942" spans="31:31">
      <c r="AE48942" s="54"/>
    </row>
    <row r="48943" spans="31:31">
      <c r="AE48943" s="54"/>
    </row>
    <row r="48944" spans="31:31">
      <c r="AE48944" s="54"/>
    </row>
    <row r="48945" spans="31:31">
      <c r="AE48945" s="54"/>
    </row>
    <row r="48946" spans="31:31">
      <c r="AE48946" s="54"/>
    </row>
    <row r="48947" spans="31:31">
      <c r="AE48947" s="54"/>
    </row>
    <row r="48948" spans="31:31">
      <c r="AE48948" s="54"/>
    </row>
    <row r="48949" spans="31:31">
      <c r="AE48949" s="54"/>
    </row>
    <row r="48950" spans="31:31">
      <c r="AE48950" s="54"/>
    </row>
    <row r="48951" spans="31:31">
      <c r="AE48951" s="54"/>
    </row>
    <row r="48952" spans="31:31">
      <c r="AE48952" s="54"/>
    </row>
    <row r="48953" spans="31:31">
      <c r="AE48953" s="54"/>
    </row>
    <row r="48954" spans="31:31">
      <c r="AE48954" s="54"/>
    </row>
    <row r="48955" spans="31:31">
      <c r="AE48955" s="54"/>
    </row>
    <row r="48956" spans="31:31">
      <c r="AE48956" s="54"/>
    </row>
    <row r="48957" spans="31:31">
      <c r="AE48957" s="54"/>
    </row>
    <row r="48958" spans="31:31">
      <c r="AE48958" s="54"/>
    </row>
    <row r="48959" spans="31:31">
      <c r="AE48959" s="54"/>
    </row>
    <row r="48960" spans="31:31">
      <c r="AE48960" s="54"/>
    </row>
    <row r="48961" spans="31:31">
      <c r="AE48961" s="54"/>
    </row>
    <row r="48962" spans="31:31">
      <c r="AE48962" s="54"/>
    </row>
    <row r="48963" spans="31:31">
      <c r="AE48963" s="54"/>
    </row>
    <row r="48964" spans="31:31">
      <c r="AE48964" s="54"/>
    </row>
    <row r="48965" spans="31:31">
      <c r="AE48965" s="54"/>
    </row>
    <row r="48966" spans="31:31">
      <c r="AE48966" s="54"/>
    </row>
    <row r="48967" spans="31:31">
      <c r="AE48967" s="54"/>
    </row>
    <row r="48968" spans="31:31">
      <c r="AE48968" s="54"/>
    </row>
    <row r="48969" spans="31:31">
      <c r="AE48969" s="54"/>
    </row>
    <row r="48970" spans="31:31">
      <c r="AE48970" s="54"/>
    </row>
    <row r="48971" spans="31:31">
      <c r="AE48971" s="54"/>
    </row>
    <row r="48972" spans="31:31">
      <c r="AE48972" s="54"/>
    </row>
    <row r="48973" spans="31:31">
      <c r="AE48973" s="54"/>
    </row>
    <row r="48974" spans="31:31">
      <c r="AE48974" s="54"/>
    </row>
    <row r="48975" spans="31:31">
      <c r="AE48975" s="54"/>
    </row>
    <row r="48976" spans="31:31">
      <c r="AE48976" s="54"/>
    </row>
    <row r="48977" spans="31:31">
      <c r="AE48977" s="54"/>
    </row>
    <row r="48978" spans="31:31">
      <c r="AE48978" s="54"/>
    </row>
    <row r="48979" spans="31:31">
      <c r="AE48979" s="54"/>
    </row>
    <row r="48980" spans="31:31">
      <c r="AE48980" s="54"/>
    </row>
    <row r="48981" spans="31:31">
      <c r="AE48981" s="54"/>
    </row>
    <row r="48982" spans="31:31">
      <c r="AE48982" s="54"/>
    </row>
    <row r="48983" spans="31:31">
      <c r="AE48983" s="54"/>
    </row>
    <row r="48984" spans="31:31">
      <c r="AE48984" s="54"/>
    </row>
    <row r="48985" spans="31:31">
      <c r="AE48985" s="54"/>
    </row>
    <row r="48986" spans="31:31">
      <c r="AE48986" s="54"/>
    </row>
    <row r="48987" spans="31:31">
      <c r="AE48987" s="54"/>
    </row>
    <row r="48988" spans="31:31">
      <c r="AE48988" s="54"/>
    </row>
    <row r="48989" spans="31:31">
      <c r="AE48989" s="54"/>
    </row>
    <row r="48990" spans="31:31">
      <c r="AE48990" s="54"/>
    </row>
    <row r="48991" spans="31:31">
      <c r="AE48991" s="54"/>
    </row>
    <row r="48992" spans="31:31">
      <c r="AE48992" s="54"/>
    </row>
    <row r="48993" spans="31:31">
      <c r="AE48993" s="54"/>
    </row>
    <row r="48994" spans="31:31">
      <c r="AE48994" s="54"/>
    </row>
    <row r="48995" spans="31:31">
      <c r="AE48995" s="54"/>
    </row>
    <row r="48996" spans="31:31">
      <c r="AE48996" s="54"/>
    </row>
    <row r="48997" spans="31:31">
      <c r="AE48997" s="54"/>
    </row>
    <row r="48998" spans="31:31">
      <c r="AE48998" s="54"/>
    </row>
    <row r="48999" spans="31:31">
      <c r="AE48999" s="54"/>
    </row>
    <row r="49000" spans="31:31">
      <c r="AE49000" s="54"/>
    </row>
    <row r="49001" spans="31:31">
      <c r="AE49001" s="54"/>
    </row>
    <row r="49002" spans="31:31">
      <c r="AE49002" s="54"/>
    </row>
    <row r="49003" spans="31:31">
      <c r="AE49003" s="54"/>
    </row>
    <row r="49004" spans="31:31">
      <c r="AE49004" s="54"/>
    </row>
    <row r="49005" spans="31:31">
      <c r="AE49005" s="54"/>
    </row>
    <row r="49006" spans="31:31">
      <c r="AE49006" s="54"/>
    </row>
    <row r="49007" spans="31:31">
      <c r="AE49007" s="54"/>
    </row>
    <row r="49008" spans="31:31">
      <c r="AE49008" s="54"/>
    </row>
    <row r="49009" spans="31:31">
      <c r="AE49009" s="54"/>
    </row>
    <row r="49010" spans="31:31">
      <c r="AE49010" s="54"/>
    </row>
    <row r="49011" spans="31:31">
      <c r="AE49011" s="54"/>
    </row>
    <row r="49012" spans="31:31">
      <c r="AE49012" s="54"/>
    </row>
    <row r="49013" spans="31:31">
      <c r="AE49013" s="54"/>
    </row>
    <row r="49014" spans="31:31">
      <c r="AE49014" s="54"/>
    </row>
    <row r="49015" spans="31:31">
      <c r="AE49015" s="54"/>
    </row>
    <row r="49016" spans="31:31">
      <c r="AE49016" s="54"/>
    </row>
    <row r="49017" spans="31:31">
      <c r="AE49017" s="54"/>
    </row>
    <row r="49018" spans="31:31">
      <c r="AE49018" s="54"/>
    </row>
    <row r="49019" spans="31:31">
      <c r="AE49019" s="54"/>
    </row>
    <row r="49020" spans="31:31">
      <c r="AE49020" s="54"/>
    </row>
    <row r="49021" spans="31:31">
      <c r="AE49021" s="54"/>
    </row>
    <row r="49022" spans="31:31">
      <c r="AE49022" s="54"/>
    </row>
    <row r="49023" spans="31:31">
      <c r="AE49023" s="54"/>
    </row>
    <row r="49024" spans="31:31">
      <c r="AE49024" s="54"/>
    </row>
    <row r="49025" spans="31:31">
      <c r="AE49025" s="54"/>
    </row>
    <row r="49026" spans="31:31">
      <c r="AE49026" s="54"/>
    </row>
    <row r="49027" spans="31:31">
      <c r="AE49027" s="54"/>
    </row>
    <row r="49028" spans="31:31">
      <c r="AE49028" s="54"/>
    </row>
    <row r="49029" spans="31:31">
      <c r="AE49029" s="54"/>
    </row>
    <row r="49030" spans="31:31">
      <c r="AE49030" s="54"/>
    </row>
    <row r="49031" spans="31:31">
      <c r="AE49031" s="54"/>
    </row>
    <row r="49032" spans="31:31">
      <c r="AE49032" s="54"/>
    </row>
    <row r="49033" spans="31:31">
      <c r="AE49033" s="54"/>
    </row>
    <row r="49034" spans="31:31">
      <c r="AE49034" s="54"/>
    </row>
    <row r="49035" spans="31:31">
      <c r="AE49035" s="54"/>
    </row>
    <row r="49036" spans="31:31">
      <c r="AE49036" s="54"/>
    </row>
    <row r="49037" spans="31:31">
      <c r="AE49037" s="54"/>
    </row>
    <row r="49038" spans="31:31">
      <c r="AE49038" s="54"/>
    </row>
    <row r="49039" spans="31:31">
      <c r="AE49039" s="54"/>
    </row>
    <row r="49040" spans="31:31">
      <c r="AE49040" s="54"/>
    </row>
    <row r="49041" spans="31:31">
      <c r="AE49041" s="54"/>
    </row>
    <row r="49042" spans="31:31">
      <c r="AE49042" s="54"/>
    </row>
    <row r="49043" spans="31:31">
      <c r="AE49043" s="54"/>
    </row>
    <row r="49044" spans="31:31">
      <c r="AE49044" s="54"/>
    </row>
    <row r="49045" spans="31:31">
      <c r="AE49045" s="54"/>
    </row>
    <row r="49046" spans="31:31">
      <c r="AE49046" s="54"/>
    </row>
    <row r="49047" spans="31:31">
      <c r="AE49047" s="54"/>
    </row>
    <row r="49048" spans="31:31">
      <c r="AE49048" s="54"/>
    </row>
    <row r="49049" spans="31:31">
      <c r="AE49049" s="54"/>
    </row>
    <row r="49050" spans="31:31">
      <c r="AE49050" s="54"/>
    </row>
    <row r="49051" spans="31:31">
      <c r="AE49051" s="54"/>
    </row>
    <row r="49052" spans="31:31">
      <c r="AE49052" s="54"/>
    </row>
    <row r="49053" spans="31:31">
      <c r="AE49053" s="54"/>
    </row>
    <row r="49054" spans="31:31">
      <c r="AE49054" s="54"/>
    </row>
    <row r="49055" spans="31:31">
      <c r="AE49055" s="54"/>
    </row>
    <row r="49056" spans="31:31">
      <c r="AE49056" s="54"/>
    </row>
    <row r="49057" spans="31:31">
      <c r="AE49057" s="54"/>
    </row>
    <row r="49058" spans="31:31">
      <c r="AE49058" s="54"/>
    </row>
    <row r="49059" spans="31:31">
      <c r="AE49059" s="54"/>
    </row>
    <row r="49060" spans="31:31">
      <c r="AE49060" s="54"/>
    </row>
    <row r="49061" spans="31:31">
      <c r="AE49061" s="54"/>
    </row>
    <row r="49062" spans="31:31">
      <c r="AE49062" s="54"/>
    </row>
    <row r="49063" spans="31:31">
      <c r="AE49063" s="54"/>
    </row>
    <row r="49064" spans="31:31">
      <c r="AE49064" s="54"/>
    </row>
    <row r="49065" spans="31:31">
      <c r="AE49065" s="54"/>
    </row>
    <row r="49066" spans="31:31">
      <c r="AE49066" s="54"/>
    </row>
    <row r="49067" spans="31:31">
      <c r="AE49067" s="54"/>
    </row>
    <row r="49068" spans="31:31">
      <c r="AE49068" s="54"/>
    </row>
    <row r="49069" spans="31:31">
      <c r="AE49069" s="54"/>
    </row>
    <row r="49070" spans="31:31">
      <c r="AE49070" s="54"/>
    </row>
    <row r="49071" spans="31:31">
      <c r="AE49071" s="54"/>
    </row>
    <row r="49072" spans="31:31">
      <c r="AE49072" s="54"/>
    </row>
    <row r="49073" spans="31:31">
      <c r="AE49073" s="54"/>
    </row>
    <row r="49074" spans="31:31">
      <c r="AE49074" s="54"/>
    </row>
    <row r="49075" spans="31:31">
      <c r="AE49075" s="54"/>
    </row>
    <row r="49076" spans="31:31">
      <c r="AE49076" s="54"/>
    </row>
    <row r="49077" spans="31:31">
      <c r="AE49077" s="54"/>
    </row>
    <row r="49078" spans="31:31">
      <c r="AE49078" s="54"/>
    </row>
    <row r="49079" spans="31:31">
      <c r="AE49079" s="54"/>
    </row>
    <row r="49080" spans="31:31">
      <c r="AE49080" s="54"/>
    </row>
    <row r="49081" spans="31:31">
      <c r="AE49081" s="54"/>
    </row>
    <row r="49082" spans="31:31">
      <c r="AE49082" s="54"/>
    </row>
    <row r="49083" spans="31:31">
      <c r="AE49083" s="54"/>
    </row>
    <row r="49084" spans="31:31">
      <c r="AE49084" s="54"/>
    </row>
    <row r="49085" spans="31:31">
      <c r="AE49085" s="54"/>
    </row>
    <row r="49086" spans="31:31">
      <c r="AE49086" s="54"/>
    </row>
    <row r="49087" spans="31:31">
      <c r="AE49087" s="54"/>
    </row>
    <row r="49088" spans="31:31">
      <c r="AE49088" s="54"/>
    </row>
    <row r="49089" spans="31:31">
      <c r="AE49089" s="54"/>
    </row>
    <row r="49090" spans="31:31">
      <c r="AE49090" s="54"/>
    </row>
    <row r="49091" spans="31:31">
      <c r="AE49091" s="54"/>
    </row>
    <row r="49092" spans="31:31">
      <c r="AE49092" s="54"/>
    </row>
    <row r="49093" spans="31:31">
      <c r="AE49093" s="54"/>
    </row>
    <row r="49094" spans="31:31">
      <c r="AE49094" s="54"/>
    </row>
    <row r="49095" spans="31:31">
      <c r="AE49095" s="54"/>
    </row>
    <row r="49096" spans="31:31">
      <c r="AE49096" s="54"/>
    </row>
    <row r="49097" spans="31:31">
      <c r="AE49097" s="54"/>
    </row>
    <row r="49098" spans="31:31">
      <c r="AE49098" s="54"/>
    </row>
    <row r="49099" spans="31:31">
      <c r="AE49099" s="54"/>
    </row>
    <row r="49100" spans="31:31">
      <c r="AE49100" s="54"/>
    </row>
    <row r="49101" spans="31:31">
      <c r="AE49101" s="54"/>
    </row>
    <row r="49102" spans="31:31">
      <c r="AE49102" s="54"/>
    </row>
    <row r="49103" spans="31:31">
      <c r="AE49103" s="54"/>
    </row>
    <row r="49104" spans="31:31">
      <c r="AE49104" s="54"/>
    </row>
    <row r="49105" spans="31:31">
      <c r="AE49105" s="54"/>
    </row>
    <row r="49106" spans="31:31">
      <c r="AE49106" s="54"/>
    </row>
    <row r="49107" spans="31:31">
      <c r="AE49107" s="54"/>
    </row>
    <row r="49108" spans="31:31">
      <c r="AE49108" s="54"/>
    </row>
    <row r="49109" spans="31:31">
      <c r="AE49109" s="54"/>
    </row>
    <row r="49110" spans="31:31">
      <c r="AE49110" s="54"/>
    </row>
    <row r="49111" spans="31:31">
      <c r="AE49111" s="54"/>
    </row>
    <row r="49112" spans="31:31">
      <c r="AE49112" s="54"/>
    </row>
    <row r="49113" spans="31:31">
      <c r="AE49113" s="54"/>
    </row>
    <row r="49114" spans="31:31">
      <c r="AE49114" s="54"/>
    </row>
    <row r="49115" spans="31:31">
      <c r="AE49115" s="54"/>
    </row>
    <row r="49116" spans="31:31">
      <c r="AE49116" s="54"/>
    </row>
    <row r="49117" spans="31:31">
      <c r="AE49117" s="54"/>
    </row>
    <row r="49118" spans="31:31">
      <c r="AE49118" s="54"/>
    </row>
    <row r="49119" spans="31:31">
      <c r="AE49119" s="54"/>
    </row>
    <row r="49120" spans="31:31">
      <c r="AE49120" s="54"/>
    </row>
    <row r="49121" spans="31:31">
      <c r="AE49121" s="54"/>
    </row>
    <row r="49122" spans="31:31">
      <c r="AE49122" s="54"/>
    </row>
    <row r="49123" spans="31:31">
      <c r="AE49123" s="54"/>
    </row>
    <row r="49124" spans="31:31">
      <c r="AE49124" s="54"/>
    </row>
    <row r="49125" spans="31:31">
      <c r="AE49125" s="54"/>
    </row>
    <row r="49126" spans="31:31">
      <c r="AE49126" s="54"/>
    </row>
    <row r="49127" spans="31:31">
      <c r="AE49127" s="54"/>
    </row>
    <row r="49128" spans="31:31">
      <c r="AE49128" s="54"/>
    </row>
    <row r="49129" spans="31:31">
      <c r="AE49129" s="54"/>
    </row>
    <row r="49130" spans="31:31">
      <c r="AE49130" s="54"/>
    </row>
    <row r="49131" spans="31:31">
      <c r="AE49131" s="54"/>
    </row>
    <row r="49132" spans="31:31">
      <c r="AE49132" s="54"/>
    </row>
    <row r="49133" spans="31:31">
      <c r="AE49133" s="54"/>
    </row>
    <row r="49134" spans="31:31">
      <c r="AE49134" s="54"/>
    </row>
    <row r="49135" spans="31:31">
      <c r="AE49135" s="54"/>
    </row>
    <row r="49136" spans="31:31">
      <c r="AE49136" s="54"/>
    </row>
    <row r="49137" spans="31:31">
      <c r="AE49137" s="54"/>
    </row>
    <row r="49138" spans="31:31">
      <c r="AE49138" s="54"/>
    </row>
    <row r="49139" spans="31:31">
      <c r="AE49139" s="54"/>
    </row>
    <row r="49140" spans="31:31">
      <c r="AE49140" s="54"/>
    </row>
    <row r="49141" spans="31:31">
      <c r="AE49141" s="54"/>
    </row>
    <row r="49142" spans="31:31">
      <c r="AE49142" s="54"/>
    </row>
    <row r="49143" spans="31:31">
      <c r="AE49143" s="54"/>
    </row>
    <row r="49144" spans="31:31">
      <c r="AE49144" s="54"/>
    </row>
    <row r="49145" spans="31:31">
      <c r="AE49145" s="54"/>
    </row>
    <row r="49146" spans="31:31">
      <c r="AE49146" s="54"/>
    </row>
    <row r="49147" spans="31:31">
      <c r="AE49147" s="54"/>
    </row>
    <row r="49148" spans="31:31">
      <c r="AE49148" s="54"/>
    </row>
    <row r="49149" spans="31:31">
      <c r="AE49149" s="54"/>
    </row>
    <row r="49150" spans="31:31">
      <c r="AE49150" s="54"/>
    </row>
    <row r="49151" spans="31:31">
      <c r="AE49151" s="54"/>
    </row>
    <row r="49152" spans="31:31">
      <c r="AE49152" s="54"/>
    </row>
    <row r="49153" spans="31:31">
      <c r="AE49153" s="54"/>
    </row>
    <row r="49154" spans="31:31">
      <c r="AE49154" s="54"/>
    </row>
    <row r="49155" spans="31:31">
      <c r="AE49155" s="54"/>
    </row>
    <row r="49156" spans="31:31">
      <c r="AE49156" s="54"/>
    </row>
    <row r="49157" spans="31:31">
      <c r="AE49157" s="54"/>
    </row>
    <row r="49158" spans="31:31">
      <c r="AE49158" s="54"/>
    </row>
    <row r="49159" spans="31:31">
      <c r="AE49159" s="54"/>
    </row>
    <row r="49160" spans="31:31">
      <c r="AE49160" s="54"/>
    </row>
    <row r="49161" spans="31:31">
      <c r="AE49161" s="54"/>
    </row>
    <row r="49162" spans="31:31">
      <c r="AE49162" s="54"/>
    </row>
    <row r="49163" spans="31:31">
      <c r="AE49163" s="54"/>
    </row>
    <row r="49164" spans="31:31">
      <c r="AE49164" s="54"/>
    </row>
    <row r="49165" spans="31:31">
      <c r="AE49165" s="54"/>
    </row>
    <row r="49166" spans="31:31">
      <c r="AE49166" s="54"/>
    </row>
    <row r="49167" spans="31:31">
      <c r="AE49167" s="54"/>
    </row>
    <row r="49168" spans="31:31">
      <c r="AE49168" s="54"/>
    </row>
    <row r="49169" spans="31:31">
      <c r="AE49169" s="54"/>
    </row>
    <row r="49170" spans="31:31">
      <c r="AE49170" s="54"/>
    </row>
    <row r="49171" spans="31:31">
      <c r="AE49171" s="54"/>
    </row>
    <row r="49172" spans="31:31">
      <c r="AE49172" s="54"/>
    </row>
    <row r="49173" spans="31:31">
      <c r="AE49173" s="54"/>
    </row>
    <row r="49174" spans="31:31">
      <c r="AE49174" s="54"/>
    </row>
    <row r="49175" spans="31:31">
      <c r="AE49175" s="54"/>
    </row>
    <row r="49176" spans="31:31">
      <c r="AE49176" s="54"/>
    </row>
    <row r="49177" spans="31:31">
      <c r="AE49177" s="54"/>
    </row>
    <row r="49178" spans="31:31">
      <c r="AE49178" s="54"/>
    </row>
    <row r="49179" spans="31:31">
      <c r="AE49179" s="54"/>
    </row>
    <row r="49180" spans="31:31">
      <c r="AE49180" s="54"/>
    </row>
    <row r="49181" spans="31:31">
      <c r="AE49181" s="54"/>
    </row>
    <row r="49182" spans="31:31">
      <c r="AE49182" s="54"/>
    </row>
    <row r="49183" spans="31:31">
      <c r="AE49183" s="54"/>
    </row>
    <row r="49184" spans="31:31">
      <c r="AE49184" s="54"/>
    </row>
    <row r="49185" spans="31:31">
      <c r="AE49185" s="54"/>
    </row>
    <row r="49186" spans="31:31">
      <c r="AE49186" s="54"/>
    </row>
    <row r="49187" spans="31:31">
      <c r="AE49187" s="54"/>
    </row>
    <row r="49188" spans="31:31">
      <c r="AE49188" s="54"/>
    </row>
    <row r="49189" spans="31:31">
      <c r="AE49189" s="54"/>
    </row>
    <row r="49190" spans="31:31">
      <c r="AE49190" s="54"/>
    </row>
    <row r="49191" spans="31:31">
      <c r="AE49191" s="54"/>
    </row>
    <row r="49192" spans="31:31">
      <c r="AE49192" s="54"/>
    </row>
    <row r="49193" spans="31:31">
      <c r="AE49193" s="54"/>
    </row>
    <row r="49194" spans="31:31">
      <c r="AE49194" s="54"/>
    </row>
    <row r="49195" spans="31:31">
      <c r="AE49195" s="54"/>
    </row>
    <row r="49196" spans="31:31">
      <c r="AE49196" s="54"/>
    </row>
    <row r="49197" spans="31:31">
      <c r="AE49197" s="54"/>
    </row>
    <row r="49198" spans="31:31">
      <c r="AE49198" s="54"/>
    </row>
    <row r="49199" spans="31:31">
      <c r="AE49199" s="54"/>
    </row>
    <row r="49200" spans="31:31">
      <c r="AE49200" s="54"/>
    </row>
    <row r="49201" spans="31:31">
      <c r="AE49201" s="54"/>
    </row>
    <row r="49202" spans="31:31">
      <c r="AE49202" s="54"/>
    </row>
    <row r="49203" spans="31:31">
      <c r="AE49203" s="54"/>
    </row>
    <row r="49204" spans="31:31">
      <c r="AE49204" s="54"/>
    </row>
    <row r="49205" spans="31:31">
      <c r="AE49205" s="54"/>
    </row>
    <row r="49206" spans="31:31">
      <c r="AE49206" s="54"/>
    </row>
    <row r="49207" spans="31:31">
      <c r="AE49207" s="54"/>
    </row>
    <row r="49208" spans="31:31">
      <c r="AE49208" s="54"/>
    </row>
    <row r="49209" spans="31:31">
      <c r="AE49209" s="54"/>
    </row>
    <row r="49210" spans="31:31">
      <c r="AE49210" s="54"/>
    </row>
    <row r="49211" spans="31:31">
      <c r="AE49211" s="54"/>
    </row>
    <row r="49212" spans="31:31">
      <c r="AE49212" s="54"/>
    </row>
    <row r="49213" spans="31:31">
      <c r="AE49213" s="54"/>
    </row>
    <row r="49214" spans="31:31">
      <c r="AE49214" s="54"/>
    </row>
    <row r="49215" spans="31:31">
      <c r="AE49215" s="54"/>
    </row>
    <row r="49216" spans="31:31">
      <c r="AE49216" s="54"/>
    </row>
    <row r="49217" spans="31:31">
      <c r="AE49217" s="54"/>
    </row>
    <row r="49218" spans="31:31">
      <c r="AE49218" s="54"/>
    </row>
    <row r="49219" spans="31:31">
      <c r="AE49219" s="54"/>
    </row>
    <row r="49220" spans="31:31">
      <c r="AE49220" s="54"/>
    </row>
    <row r="49221" spans="31:31">
      <c r="AE49221" s="54"/>
    </row>
    <row r="49222" spans="31:31">
      <c r="AE49222" s="54"/>
    </row>
    <row r="49223" spans="31:31">
      <c r="AE49223" s="54"/>
    </row>
    <row r="49224" spans="31:31">
      <c r="AE49224" s="54"/>
    </row>
    <row r="49225" spans="31:31">
      <c r="AE49225" s="54"/>
    </row>
    <row r="49226" spans="31:31">
      <c r="AE49226" s="54"/>
    </row>
    <row r="49227" spans="31:31">
      <c r="AE49227" s="54"/>
    </row>
    <row r="49228" spans="31:31">
      <c r="AE49228" s="54"/>
    </row>
    <row r="49229" spans="31:31">
      <c r="AE49229" s="54"/>
    </row>
    <row r="49230" spans="31:31">
      <c r="AE49230" s="54"/>
    </row>
    <row r="49231" spans="31:31">
      <c r="AE49231" s="54"/>
    </row>
    <row r="49232" spans="31:31">
      <c r="AE49232" s="54"/>
    </row>
    <row r="49233" spans="31:31">
      <c r="AE49233" s="54"/>
    </row>
    <row r="49234" spans="31:31">
      <c r="AE49234" s="54"/>
    </row>
    <row r="49235" spans="31:31">
      <c r="AE49235" s="54"/>
    </row>
    <row r="49236" spans="31:31">
      <c r="AE49236" s="54"/>
    </row>
    <row r="49237" spans="31:31">
      <c r="AE49237" s="54"/>
    </row>
    <row r="49238" spans="31:31">
      <c r="AE49238" s="54"/>
    </row>
    <row r="49239" spans="31:31">
      <c r="AE49239" s="54"/>
    </row>
    <row r="49240" spans="31:31">
      <c r="AE49240" s="54"/>
    </row>
    <row r="49241" spans="31:31">
      <c r="AE49241" s="54"/>
    </row>
    <row r="49242" spans="31:31">
      <c r="AE49242" s="54"/>
    </row>
    <row r="49243" spans="31:31">
      <c r="AE49243" s="54"/>
    </row>
    <row r="49244" spans="31:31">
      <c r="AE49244" s="54"/>
    </row>
    <row r="49245" spans="31:31">
      <c r="AE49245" s="54"/>
    </row>
    <row r="49246" spans="31:31">
      <c r="AE49246" s="54"/>
    </row>
    <row r="49247" spans="31:31">
      <c r="AE49247" s="54"/>
    </row>
    <row r="49248" spans="31:31">
      <c r="AE49248" s="54"/>
    </row>
    <row r="49249" spans="31:31">
      <c r="AE49249" s="54"/>
    </row>
    <row r="49250" spans="31:31">
      <c r="AE49250" s="54"/>
    </row>
    <row r="49251" spans="31:31">
      <c r="AE49251" s="54"/>
    </row>
    <row r="49252" spans="31:31">
      <c r="AE49252" s="54"/>
    </row>
    <row r="49253" spans="31:31">
      <c r="AE49253" s="54"/>
    </row>
    <row r="49254" spans="31:31">
      <c r="AE49254" s="54"/>
    </row>
    <row r="49255" spans="31:31">
      <c r="AE49255" s="54"/>
    </row>
    <row r="49256" spans="31:31">
      <c r="AE49256" s="54"/>
    </row>
    <row r="49257" spans="31:31">
      <c r="AE49257" s="54"/>
    </row>
    <row r="49258" spans="31:31">
      <c r="AE49258" s="54"/>
    </row>
    <row r="49259" spans="31:31">
      <c r="AE49259" s="54"/>
    </row>
    <row r="49260" spans="31:31">
      <c r="AE49260" s="54"/>
    </row>
    <row r="49261" spans="31:31">
      <c r="AE49261" s="54"/>
    </row>
    <row r="49262" spans="31:31">
      <c r="AE49262" s="54"/>
    </row>
    <row r="49263" spans="31:31">
      <c r="AE49263" s="54"/>
    </row>
    <row r="49264" spans="31:31">
      <c r="AE49264" s="54"/>
    </row>
    <row r="49265" spans="31:31">
      <c r="AE49265" s="54"/>
    </row>
    <row r="49266" spans="31:31">
      <c r="AE49266" s="54"/>
    </row>
    <row r="49267" spans="31:31">
      <c r="AE49267" s="54"/>
    </row>
    <row r="49268" spans="31:31">
      <c r="AE49268" s="54"/>
    </row>
    <row r="49269" spans="31:31">
      <c r="AE49269" s="54"/>
    </row>
    <row r="49270" spans="31:31">
      <c r="AE49270" s="54"/>
    </row>
    <row r="49271" spans="31:31">
      <c r="AE49271" s="54"/>
    </row>
    <row r="49272" spans="31:31">
      <c r="AE49272" s="54"/>
    </row>
    <row r="49273" spans="31:31">
      <c r="AE49273" s="54"/>
    </row>
    <row r="49274" spans="31:31">
      <c r="AE49274" s="54"/>
    </row>
    <row r="49275" spans="31:31">
      <c r="AE49275" s="54"/>
    </row>
    <row r="49276" spans="31:31">
      <c r="AE49276" s="54"/>
    </row>
    <row r="49277" spans="31:31">
      <c r="AE49277" s="54"/>
    </row>
    <row r="49278" spans="31:31">
      <c r="AE49278" s="54"/>
    </row>
    <row r="49279" spans="31:31">
      <c r="AE49279" s="54"/>
    </row>
    <row r="49280" spans="31:31">
      <c r="AE49280" s="54"/>
    </row>
    <row r="49281" spans="31:31">
      <c r="AE49281" s="54"/>
    </row>
    <row r="49282" spans="31:31">
      <c r="AE49282" s="54"/>
    </row>
    <row r="49283" spans="31:31">
      <c r="AE49283" s="54"/>
    </row>
    <row r="49284" spans="31:31">
      <c r="AE49284" s="54"/>
    </row>
    <row r="49285" spans="31:31">
      <c r="AE49285" s="54"/>
    </row>
    <row r="49286" spans="31:31">
      <c r="AE49286" s="54"/>
    </row>
    <row r="49287" spans="31:31">
      <c r="AE49287" s="54"/>
    </row>
    <row r="49288" spans="31:31">
      <c r="AE49288" s="54"/>
    </row>
    <row r="49289" spans="31:31">
      <c r="AE49289" s="54"/>
    </row>
    <row r="49290" spans="31:31">
      <c r="AE49290" s="54"/>
    </row>
    <row r="49291" spans="31:31">
      <c r="AE49291" s="54"/>
    </row>
    <row r="49292" spans="31:31">
      <c r="AE49292" s="54"/>
    </row>
    <row r="49293" spans="31:31">
      <c r="AE49293" s="54"/>
    </row>
    <row r="49294" spans="31:31">
      <c r="AE49294" s="54"/>
    </row>
    <row r="49295" spans="31:31">
      <c r="AE49295" s="54"/>
    </row>
    <row r="49296" spans="31:31">
      <c r="AE49296" s="54"/>
    </row>
    <row r="49297" spans="31:31">
      <c r="AE49297" s="54"/>
    </row>
    <row r="49298" spans="31:31">
      <c r="AE49298" s="54"/>
    </row>
    <row r="49299" spans="31:31">
      <c r="AE49299" s="54"/>
    </row>
    <row r="49300" spans="31:31">
      <c r="AE49300" s="54"/>
    </row>
    <row r="49301" spans="31:31">
      <c r="AE49301" s="54"/>
    </row>
    <row r="49302" spans="31:31">
      <c r="AE49302" s="54"/>
    </row>
    <row r="49303" spans="31:31">
      <c r="AE49303" s="54"/>
    </row>
    <row r="49304" spans="31:31">
      <c r="AE49304" s="54"/>
    </row>
    <row r="49305" spans="31:31">
      <c r="AE49305" s="54"/>
    </row>
    <row r="49306" spans="31:31">
      <c r="AE49306" s="54"/>
    </row>
    <row r="49307" spans="31:31">
      <c r="AE49307" s="54"/>
    </row>
    <row r="49308" spans="31:31">
      <c r="AE49308" s="54"/>
    </row>
    <row r="49309" spans="31:31">
      <c r="AE49309" s="54"/>
    </row>
    <row r="49310" spans="31:31">
      <c r="AE49310" s="54"/>
    </row>
    <row r="49311" spans="31:31">
      <c r="AE49311" s="54"/>
    </row>
    <row r="49312" spans="31:31">
      <c r="AE49312" s="54"/>
    </row>
    <row r="49313" spans="31:31">
      <c r="AE49313" s="54"/>
    </row>
    <row r="49314" spans="31:31">
      <c r="AE49314" s="54"/>
    </row>
    <row r="49315" spans="31:31">
      <c r="AE49315" s="54"/>
    </row>
    <row r="49316" spans="31:31">
      <c r="AE49316" s="54"/>
    </row>
    <row r="49317" spans="31:31">
      <c r="AE49317" s="54"/>
    </row>
    <row r="49318" spans="31:31">
      <c r="AE49318" s="54"/>
    </row>
    <row r="49319" spans="31:31">
      <c r="AE49319" s="54"/>
    </row>
    <row r="49320" spans="31:31">
      <c r="AE49320" s="54"/>
    </row>
    <row r="49321" spans="31:31">
      <c r="AE49321" s="54"/>
    </row>
    <row r="49322" spans="31:31">
      <c r="AE49322" s="54"/>
    </row>
    <row r="49323" spans="31:31">
      <c r="AE49323" s="54"/>
    </row>
    <row r="49324" spans="31:31">
      <c r="AE49324" s="54"/>
    </row>
    <row r="49325" spans="31:31">
      <c r="AE49325" s="54"/>
    </row>
    <row r="49326" spans="31:31">
      <c r="AE49326" s="54"/>
    </row>
    <row r="49327" spans="31:31">
      <c r="AE49327" s="54"/>
    </row>
    <row r="49328" spans="31:31">
      <c r="AE49328" s="54"/>
    </row>
    <row r="49329" spans="31:31">
      <c r="AE49329" s="54"/>
    </row>
    <row r="49330" spans="31:31">
      <c r="AE49330" s="54"/>
    </row>
    <row r="49331" spans="31:31">
      <c r="AE49331" s="54"/>
    </row>
    <row r="49332" spans="31:31">
      <c r="AE49332" s="54"/>
    </row>
    <row r="49333" spans="31:31">
      <c r="AE49333" s="54"/>
    </row>
    <row r="49334" spans="31:31">
      <c r="AE49334" s="54"/>
    </row>
    <row r="49335" spans="31:31">
      <c r="AE49335" s="54"/>
    </row>
    <row r="49336" spans="31:31">
      <c r="AE49336" s="54"/>
    </row>
    <row r="49337" spans="31:31">
      <c r="AE49337" s="54"/>
    </row>
    <row r="49338" spans="31:31">
      <c r="AE49338" s="54"/>
    </row>
    <row r="49339" spans="31:31">
      <c r="AE49339" s="54"/>
    </row>
    <row r="49340" spans="31:31">
      <c r="AE49340" s="54"/>
    </row>
    <row r="49341" spans="31:31">
      <c r="AE49341" s="54"/>
    </row>
    <row r="49342" spans="31:31">
      <c r="AE49342" s="54"/>
    </row>
    <row r="49343" spans="31:31">
      <c r="AE49343" s="54"/>
    </row>
    <row r="49344" spans="31:31">
      <c r="AE49344" s="54"/>
    </row>
    <row r="49345" spans="31:31">
      <c r="AE49345" s="54"/>
    </row>
    <row r="49346" spans="31:31">
      <c r="AE49346" s="54"/>
    </row>
    <row r="49347" spans="31:31">
      <c r="AE49347" s="54"/>
    </row>
    <row r="49348" spans="31:31">
      <c r="AE49348" s="54"/>
    </row>
    <row r="49349" spans="31:31">
      <c r="AE49349" s="54"/>
    </row>
    <row r="49350" spans="31:31">
      <c r="AE49350" s="54"/>
    </row>
    <row r="49351" spans="31:31">
      <c r="AE49351" s="54"/>
    </row>
    <row r="49352" spans="31:31">
      <c r="AE49352" s="54"/>
    </row>
    <row r="49353" spans="31:31">
      <c r="AE49353" s="54"/>
    </row>
    <row r="49354" spans="31:31">
      <c r="AE49354" s="54"/>
    </row>
    <row r="49355" spans="31:31">
      <c r="AE49355" s="54"/>
    </row>
    <row r="49356" spans="31:31">
      <c r="AE49356" s="54"/>
    </row>
    <row r="49357" spans="31:31">
      <c r="AE49357" s="54"/>
    </row>
    <row r="49358" spans="31:31">
      <c r="AE49358" s="54"/>
    </row>
    <row r="49359" spans="31:31">
      <c r="AE49359" s="54"/>
    </row>
    <row r="49360" spans="31:31">
      <c r="AE49360" s="54"/>
    </row>
    <row r="49361" spans="31:31">
      <c r="AE49361" s="54"/>
    </row>
    <row r="49362" spans="31:31">
      <c r="AE49362" s="54"/>
    </row>
    <row r="49363" spans="31:31">
      <c r="AE49363" s="54"/>
    </row>
    <row r="49364" spans="31:31">
      <c r="AE49364" s="54"/>
    </row>
    <row r="49365" spans="31:31">
      <c r="AE49365" s="54"/>
    </row>
    <row r="49366" spans="31:31">
      <c r="AE49366" s="54"/>
    </row>
    <row r="49367" spans="31:31">
      <c r="AE49367" s="54"/>
    </row>
    <row r="49368" spans="31:31">
      <c r="AE49368" s="54"/>
    </row>
    <row r="49369" spans="31:31">
      <c r="AE49369" s="54"/>
    </row>
    <row r="49370" spans="31:31">
      <c r="AE49370" s="54"/>
    </row>
    <row r="49371" spans="31:31">
      <c r="AE49371" s="54"/>
    </row>
    <row r="49372" spans="31:31">
      <c r="AE49372" s="54"/>
    </row>
    <row r="49373" spans="31:31">
      <c r="AE49373" s="54"/>
    </row>
    <row r="49374" spans="31:31">
      <c r="AE49374" s="54"/>
    </row>
    <row r="49375" spans="31:31">
      <c r="AE49375" s="54"/>
    </row>
    <row r="49376" spans="31:31">
      <c r="AE49376" s="54"/>
    </row>
    <row r="49377" spans="31:31">
      <c r="AE49377" s="54"/>
    </row>
    <row r="49378" spans="31:31">
      <c r="AE49378" s="54"/>
    </row>
    <row r="49379" spans="31:31">
      <c r="AE49379" s="54"/>
    </row>
    <row r="49380" spans="31:31">
      <c r="AE49380" s="54"/>
    </row>
    <row r="49381" spans="31:31">
      <c r="AE49381" s="54"/>
    </row>
    <row r="49382" spans="31:31">
      <c r="AE49382" s="54"/>
    </row>
    <row r="49383" spans="31:31">
      <c r="AE49383" s="54"/>
    </row>
    <row r="49384" spans="31:31">
      <c r="AE49384" s="54"/>
    </row>
    <row r="49385" spans="31:31">
      <c r="AE49385" s="54"/>
    </row>
    <row r="49386" spans="31:31">
      <c r="AE49386" s="54"/>
    </row>
    <row r="49387" spans="31:31">
      <c r="AE49387" s="54"/>
    </row>
    <row r="49388" spans="31:31">
      <c r="AE49388" s="54"/>
    </row>
    <row r="49389" spans="31:31">
      <c r="AE49389" s="54"/>
    </row>
    <row r="49390" spans="31:31">
      <c r="AE49390" s="54"/>
    </row>
    <row r="49391" spans="31:31">
      <c r="AE49391" s="54"/>
    </row>
    <row r="49392" spans="31:31">
      <c r="AE49392" s="54"/>
    </row>
    <row r="49393" spans="31:31">
      <c r="AE49393" s="54"/>
    </row>
    <row r="49394" spans="31:31">
      <c r="AE49394" s="54"/>
    </row>
    <row r="49395" spans="31:31">
      <c r="AE49395" s="54"/>
    </row>
    <row r="49396" spans="31:31">
      <c r="AE49396" s="54"/>
    </row>
    <row r="49397" spans="31:31">
      <c r="AE49397" s="54"/>
    </row>
    <row r="49398" spans="31:31">
      <c r="AE49398" s="54"/>
    </row>
    <row r="49399" spans="31:31">
      <c r="AE49399" s="54"/>
    </row>
    <row r="49400" spans="31:31">
      <c r="AE49400" s="54"/>
    </row>
    <row r="49401" spans="31:31">
      <c r="AE49401" s="54"/>
    </row>
    <row r="49402" spans="31:31">
      <c r="AE49402" s="54"/>
    </row>
    <row r="49403" spans="31:31">
      <c r="AE49403" s="54"/>
    </row>
    <row r="49404" spans="31:31">
      <c r="AE49404" s="54"/>
    </row>
    <row r="49405" spans="31:31">
      <c r="AE49405" s="54"/>
    </row>
    <row r="49406" spans="31:31">
      <c r="AE49406" s="54"/>
    </row>
    <row r="49407" spans="31:31">
      <c r="AE49407" s="54"/>
    </row>
    <row r="49408" spans="31:31">
      <c r="AE49408" s="54"/>
    </row>
    <row r="49409" spans="31:31">
      <c r="AE49409" s="54"/>
    </row>
    <row r="49410" spans="31:31">
      <c r="AE49410" s="54"/>
    </row>
    <row r="49411" spans="31:31">
      <c r="AE49411" s="54"/>
    </row>
    <row r="49412" spans="31:31">
      <c r="AE49412" s="54"/>
    </row>
    <row r="49413" spans="31:31">
      <c r="AE49413" s="54"/>
    </row>
    <row r="49414" spans="31:31">
      <c r="AE49414" s="54"/>
    </row>
    <row r="49415" spans="31:31">
      <c r="AE49415" s="54"/>
    </row>
    <row r="49416" spans="31:31">
      <c r="AE49416" s="54"/>
    </row>
    <row r="49417" spans="31:31">
      <c r="AE49417" s="54"/>
    </row>
    <row r="49418" spans="31:31">
      <c r="AE49418" s="54"/>
    </row>
    <row r="49419" spans="31:31">
      <c r="AE49419" s="54"/>
    </row>
    <row r="49420" spans="31:31">
      <c r="AE49420" s="54"/>
    </row>
    <row r="49421" spans="31:31">
      <c r="AE49421" s="54"/>
    </row>
    <row r="49422" spans="31:31">
      <c r="AE49422" s="54"/>
    </row>
    <row r="49423" spans="31:31">
      <c r="AE49423" s="54"/>
    </row>
    <row r="49424" spans="31:31">
      <c r="AE49424" s="54"/>
    </row>
    <row r="49425" spans="31:31">
      <c r="AE49425" s="54"/>
    </row>
    <row r="49426" spans="31:31">
      <c r="AE49426" s="54"/>
    </row>
    <row r="49427" spans="31:31">
      <c r="AE49427" s="54"/>
    </row>
    <row r="49428" spans="31:31">
      <c r="AE49428" s="54"/>
    </row>
    <row r="49429" spans="31:31">
      <c r="AE49429" s="54"/>
    </row>
    <row r="49430" spans="31:31">
      <c r="AE49430" s="54"/>
    </row>
    <row r="49431" spans="31:31">
      <c r="AE49431" s="54"/>
    </row>
    <row r="49432" spans="31:31">
      <c r="AE49432" s="54"/>
    </row>
    <row r="49433" spans="31:31">
      <c r="AE49433" s="54"/>
    </row>
    <row r="49434" spans="31:31">
      <c r="AE49434" s="54"/>
    </row>
    <row r="49435" spans="31:31">
      <c r="AE49435" s="54"/>
    </row>
    <row r="49436" spans="31:31">
      <c r="AE49436" s="54"/>
    </row>
    <row r="49437" spans="31:31">
      <c r="AE49437" s="54"/>
    </row>
    <row r="49438" spans="31:31">
      <c r="AE49438" s="54"/>
    </row>
    <row r="49439" spans="31:31">
      <c r="AE49439" s="54"/>
    </row>
    <row r="49440" spans="31:31">
      <c r="AE49440" s="54"/>
    </row>
    <row r="49441" spans="31:31">
      <c r="AE49441" s="54"/>
    </row>
    <row r="49442" spans="31:31">
      <c r="AE49442" s="54"/>
    </row>
    <row r="49443" spans="31:31">
      <c r="AE49443" s="54"/>
    </row>
    <row r="49444" spans="31:31">
      <c r="AE49444" s="54"/>
    </row>
    <row r="49445" spans="31:31">
      <c r="AE49445" s="54"/>
    </row>
    <row r="49446" spans="31:31">
      <c r="AE49446" s="54"/>
    </row>
    <row r="49447" spans="31:31">
      <c r="AE49447" s="54"/>
    </row>
    <row r="49448" spans="31:31">
      <c r="AE49448" s="54"/>
    </row>
    <row r="49449" spans="31:31">
      <c r="AE49449" s="54"/>
    </row>
    <row r="49450" spans="31:31">
      <c r="AE49450" s="54"/>
    </row>
    <row r="49451" spans="31:31">
      <c r="AE49451" s="54"/>
    </row>
    <row r="49452" spans="31:31">
      <c r="AE49452" s="54"/>
    </row>
    <row r="49453" spans="31:31">
      <c r="AE49453" s="54"/>
    </row>
    <row r="49454" spans="31:31">
      <c r="AE49454" s="54"/>
    </row>
    <row r="49455" spans="31:31">
      <c r="AE49455" s="54"/>
    </row>
    <row r="49456" spans="31:31">
      <c r="AE49456" s="54"/>
    </row>
    <row r="49457" spans="31:31">
      <c r="AE49457" s="54"/>
    </row>
    <row r="49458" spans="31:31">
      <c r="AE49458" s="54"/>
    </row>
    <row r="49459" spans="31:31">
      <c r="AE49459" s="54"/>
    </row>
    <row r="49460" spans="31:31">
      <c r="AE49460" s="54"/>
    </row>
    <row r="49461" spans="31:31">
      <c r="AE49461" s="54"/>
    </row>
    <row r="49462" spans="31:31">
      <c r="AE49462" s="54"/>
    </row>
    <row r="49463" spans="31:31">
      <c r="AE49463" s="54"/>
    </row>
    <row r="49464" spans="31:31">
      <c r="AE49464" s="54"/>
    </row>
    <row r="49465" spans="31:31">
      <c r="AE49465" s="54"/>
    </row>
    <row r="49466" spans="31:31">
      <c r="AE49466" s="54"/>
    </row>
    <row r="49467" spans="31:31">
      <c r="AE49467" s="54"/>
    </row>
    <row r="49468" spans="31:31">
      <c r="AE49468" s="54"/>
    </row>
    <row r="49469" spans="31:31">
      <c r="AE49469" s="54"/>
    </row>
    <row r="49470" spans="31:31">
      <c r="AE49470" s="54"/>
    </row>
    <row r="49471" spans="31:31">
      <c r="AE49471" s="54"/>
    </row>
    <row r="49472" spans="31:31">
      <c r="AE49472" s="54"/>
    </row>
    <row r="49473" spans="31:31">
      <c r="AE49473" s="54"/>
    </row>
    <row r="49474" spans="31:31">
      <c r="AE49474" s="54"/>
    </row>
    <row r="49475" spans="31:31">
      <c r="AE49475" s="54"/>
    </row>
    <row r="49476" spans="31:31">
      <c r="AE49476" s="54"/>
    </row>
    <row r="49477" spans="31:31">
      <c r="AE49477" s="54"/>
    </row>
    <row r="49478" spans="31:31">
      <c r="AE49478" s="54"/>
    </row>
    <row r="49479" spans="31:31">
      <c r="AE49479" s="54"/>
    </row>
    <row r="49480" spans="31:31">
      <c r="AE49480" s="54"/>
    </row>
    <row r="49481" spans="31:31">
      <c r="AE49481" s="54"/>
    </row>
    <row r="49482" spans="31:31">
      <c r="AE49482" s="54"/>
    </row>
    <row r="49483" spans="31:31">
      <c r="AE49483" s="54"/>
    </row>
    <row r="49484" spans="31:31">
      <c r="AE49484" s="54"/>
    </row>
    <row r="49485" spans="31:31">
      <c r="AE49485" s="54"/>
    </row>
    <row r="49486" spans="31:31">
      <c r="AE49486" s="54"/>
    </row>
    <row r="49487" spans="31:31">
      <c r="AE49487" s="54"/>
    </row>
    <row r="49488" spans="31:31">
      <c r="AE49488" s="54"/>
    </row>
    <row r="49489" spans="31:31">
      <c r="AE49489" s="54"/>
    </row>
    <row r="49490" spans="31:31">
      <c r="AE49490" s="54"/>
    </row>
    <row r="49491" spans="31:31">
      <c r="AE49491" s="54"/>
    </row>
    <row r="49492" spans="31:31">
      <c r="AE49492" s="54"/>
    </row>
    <row r="49493" spans="31:31">
      <c r="AE49493" s="54"/>
    </row>
    <row r="49494" spans="31:31">
      <c r="AE49494" s="54"/>
    </row>
    <row r="49495" spans="31:31">
      <c r="AE49495" s="54"/>
    </row>
    <row r="49496" spans="31:31">
      <c r="AE49496" s="54"/>
    </row>
    <row r="49497" spans="31:31">
      <c r="AE49497" s="54"/>
    </row>
    <row r="49498" spans="31:31">
      <c r="AE49498" s="54"/>
    </row>
    <row r="49499" spans="31:31">
      <c r="AE49499" s="54"/>
    </row>
    <row r="49500" spans="31:31">
      <c r="AE49500" s="54"/>
    </row>
    <row r="49501" spans="31:31">
      <c r="AE49501" s="54"/>
    </row>
    <row r="49502" spans="31:31">
      <c r="AE49502" s="54"/>
    </row>
    <row r="49503" spans="31:31">
      <c r="AE49503" s="54"/>
    </row>
    <row r="49504" spans="31:31">
      <c r="AE49504" s="54"/>
    </row>
    <row r="49505" spans="31:31">
      <c r="AE49505" s="54"/>
    </row>
    <row r="49506" spans="31:31">
      <c r="AE49506" s="54"/>
    </row>
    <row r="49507" spans="31:31">
      <c r="AE49507" s="54"/>
    </row>
    <row r="49508" spans="31:31">
      <c r="AE49508" s="54"/>
    </row>
    <row r="49509" spans="31:31">
      <c r="AE49509" s="54"/>
    </row>
    <row r="49510" spans="31:31">
      <c r="AE49510" s="54"/>
    </row>
    <row r="49511" spans="31:31">
      <c r="AE49511" s="54"/>
    </row>
    <row r="49512" spans="31:31">
      <c r="AE49512" s="54"/>
    </row>
    <row r="49513" spans="31:31">
      <c r="AE49513" s="54"/>
    </row>
    <row r="49514" spans="31:31">
      <c r="AE49514" s="54"/>
    </row>
    <row r="49515" spans="31:31">
      <c r="AE49515" s="54"/>
    </row>
    <row r="49516" spans="31:31">
      <c r="AE49516" s="54"/>
    </row>
    <row r="49517" spans="31:31">
      <c r="AE49517" s="54"/>
    </row>
    <row r="49518" spans="31:31">
      <c r="AE49518" s="54"/>
    </row>
    <row r="49519" spans="31:31">
      <c r="AE49519" s="54"/>
    </row>
    <row r="49520" spans="31:31">
      <c r="AE49520" s="54"/>
    </row>
    <row r="49521" spans="31:31">
      <c r="AE49521" s="54"/>
    </row>
    <row r="49522" spans="31:31">
      <c r="AE49522" s="54"/>
    </row>
    <row r="49523" spans="31:31">
      <c r="AE49523" s="54"/>
    </row>
    <row r="49524" spans="31:31">
      <c r="AE49524" s="54"/>
    </row>
    <row r="49525" spans="31:31">
      <c r="AE49525" s="54"/>
    </row>
    <row r="49526" spans="31:31">
      <c r="AE49526" s="54"/>
    </row>
    <row r="49527" spans="31:31">
      <c r="AE49527" s="54"/>
    </row>
    <row r="49528" spans="31:31">
      <c r="AE49528" s="54"/>
    </row>
    <row r="49529" spans="31:31">
      <c r="AE49529" s="54"/>
    </row>
    <row r="49530" spans="31:31">
      <c r="AE49530" s="54"/>
    </row>
    <row r="49531" spans="31:31">
      <c r="AE49531" s="54"/>
    </row>
    <row r="49532" spans="31:31">
      <c r="AE49532" s="54"/>
    </row>
    <row r="49533" spans="31:31">
      <c r="AE49533" s="54"/>
    </row>
    <row r="49534" spans="31:31">
      <c r="AE49534" s="54"/>
    </row>
    <row r="49535" spans="31:31">
      <c r="AE49535" s="54"/>
    </row>
    <row r="49536" spans="31:31">
      <c r="AE49536" s="54"/>
    </row>
    <row r="49537" spans="31:31">
      <c r="AE49537" s="54"/>
    </row>
    <row r="49538" spans="31:31">
      <c r="AE49538" s="54"/>
    </row>
    <row r="49539" spans="31:31">
      <c r="AE49539" s="54"/>
    </row>
    <row r="49540" spans="31:31">
      <c r="AE49540" s="54"/>
    </row>
    <row r="49541" spans="31:31">
      <c r="AE49541" s="54"/>
    </row>
    <row r="49542" spans="31:31">
      <c r="AE49542" s="54"/>
    </row>
    <row r="49543" spans="31:31">
      <c r="AE49543" s="54"/>
    </row>
    <row r="49544" spans="31:31">
      <c r="AE49544" s="54"/>
    </row>
    <row r="49545" spans="31:31">
      <c r="AE49545" s="54"/>
    </row>
    <row r="49546" spans="31:31">
      <c r="AE49546" s="54"/>
    </row>
    <row r="49547" spans="31:31">
      <c r="AE49547" s="54"/>
    </row>
    <row r="49548" spans="31:31">
      <c r="AE49548" s="54"/>
    </row>
    <row r="49549" spans="31:31">
      <c r="AE49549" s="54"/>
    </row>
    <row r="49550" spans="31:31">
      <c r="AE49550" s="54"/>
    </row>
    <row r="49551" spans="31:31">
      <c r="AE49551" s="54"/>
    </row>
    <row r="49552" spans="31:31">
      <c r="AE49552" s="54"/>
    </row>
    <row r="49553" spans="31:31">
      <c r="AE49553" s="54"/>
    </row>
    <row r="49554" spans="31:31">
      <c r="AE49554" s="54"/>
    </row>
    <row r="49555" spans="31:31">
      <c r="AE49555" s="54"/>
    </row>
    <row r="49556" spans="31:31">
      <c r="AE49556" s="54"/>
    </row>
    <row r="49557" spans="31:31">
      <c r="AE49557" s="54"/>
    </row>
    <row r="49558" spans="31:31">
      <c r="AE49558" s="54"/>
    </row>
    <row r="49559" spans="31:31">
      <c r="AE49559" s="54"/>
    </row>
    <row r="49560" spans="31:31">
      <c r="AE49560" s="54"/>
    </row>
    <row r="49561" spans="31:31">
      <c r="AE49561" s="54"/>
    </row>
    <row r="49562" spans="31:31">
      <c r="AE49562" s="54"/>
    </row>
    <row r="49563" spans="31:31">
      <c r="AE49563" s="54"/>
    </row>
    <row r="49564" spans="31:31">
      <c r="AE49564" s="54"/>
    </row>
    <row r="49565" spans="31:31">
      <c r="AE49565" s="54"/>
    </row>
    <row r="49566" spans="31:31">
      <c r="AE49566" s="54"/>
    </row>
    <row r="49567" spans="31:31">
      <c r="AE49567" s="54"/>
    </row>
    <row r="49568" spans="31:31">
      <c r="AE49568" s="54"/>
    </row>
    <row r="49569" spans="31:31">
      <c r="AE49569" s="54"/>
    </row>
    <row r="49570" spans="31:31">
      <c r="AE49570" s="54"/>
    </row>
    <row r="49571" spans="31:31">
      <c r="AE49571" s="54"/>
    </row>
    <row r="49572" spans="31:31">
      <c r="AE49572" s="54"/>
    </row>
    <row r="49573" spans="31:31">
      <c r="AE49573" s="54"/>
    </row>
    <row r="49574" spans="31:31">
      <c r="AE49574" s="54"/>
    </row>
    <row r="49575" spans="31:31">
      <c r="AE49575" s="54"/>
    </row>
    <row r="49576" spans="31:31">
      <c r="AE49576" s="54"/>
    </row>
    <row r="49577" spans="31:31">
      <c r="AE49577" s="54"/>
    </row>
    <row r="49578" spans="31:31">
      <c r="AE49578" s="54"/>
    </row>
    <row r="49579" spans="31:31">
      <c r="AE49579" s="54"/>
    </row>
    <row r="49580" spans="31:31">
      <c r="AE49580" s="54"/>
    </row>
    <row r="49581" spans="31:31">
      <c r="AE49581" s="54"/>
    </row>
    <row r="49582" spans="31:31">
      <c r="AE49582" s="54"/>
    </row>
    <row r="49583" spans="31:31">
      <c r="AE49583" s="54"/>
    </row>
    <row r="49584" spans="31:31">
      <c r="AE49584" s="54"/>
    </row>
    <row r="49585" spans="31:31">
      <c r="AE49585" s="54"/>
    </row>
    <row r="49586" spans="31:31">
      <c r="AE49586" s="54"/>
    </row>
    <row r="49587" spans="31:31">
      <c r="AE49587" s="54"/>
    </row>
    <row r="49588" spans="31:31">
      <c r="AE49588" s="54"/>
    </row>
    <row r="49589" spans="31:31">
      <c r="AE49589" s="54"/>
    </row>
    <row r="49590" spans="31:31">
      <c r="AE49590" s="54"/>
    </row>
    <row r="49591" spans="31:31">
      <c r="AE49591" s="54"/>
    </row>
    <row r="49592" spans="31:31">
      <c r="AE49592" s="54"/>
    </row>
    <row r="49593" spans="31:31">
      <c r="AE49593" s="54"/>
    </row>
    <row r="49594" spans="31:31">
      <c r="AE49594" s="54"/>
    </row>
    <row r="49595" spans="31:31">
      <c r="AE49595" s="54"/>
    </row>
    <row r="49596" spans="31:31">
      <c r="AE49596" s="54"/>
    </row>
    <row r="49597" spans="31:31">
      <c r="AE49597" s="54"/>
    </row>
    <row r="49598" spans="31:31">
      <c r="AE49598" s="54"/>
    </row>
    <row r="49599" spans="31:31">
      <c r="AE49599" s="54"/>
    </row>
    <row r="49600" spans="31:31">
      <c r="AE49600" s="54"/>
    </row>
    <row r="49601" spans="31:31">
      <c r="AE49601" s="54"/>
    </row>
    <row r="49602" spans="31:31">
      <c r="AE49602" s="54"/>
    </row>
    <row r="49603" spans="31:31">
      <c r="AE49603" s="54"/>
    </row>
    <row r="49604" spans="31:31">
      <c r="AE49604" s="54"/>
    </row>
    <row r="49605" spans="31:31">
      <c r="AE49605" s="54"/>
    </row>
    <row r="49606" spans="31:31">
      <c r="AE49606" s="54"/>
    </row>
    <row r="49607" spans="31:31">
      <c r="AE49607" s="54"/>
    </row>
    <row r="49608" spans="31:31">
      <c r="AE49608" s="54"/>
    </row>
    <row r="49609" spans="31:31">
      <c r="AE49609" s="54"/>
    </row>
    <row r="49610" spans="31:31">
      <c r="AE49610" s="54"/>
    </row>
    <row r="49611" spans="31:31">
      <c r="AE49611" s="54"/>
    </row>
    <row r="49612" spans="31:31">
      <c r="AE49612" s="54"/>
    </row>
    <row r="49613" spans="31:31">
      <c r="AE49613" s="54"/>
    </row>
    <row r="49614" spans="31:31">
      <c r="AE49614" s="54"/>
    </row>
    <row r="49615" spans="31:31">
      <c r="AE49615" s="54"/>
    </row>
    <row r="49616" spans="31:31">
      <c r="AE49616" s="54"/>
    </row>
    <row r="49617" spans="31:31">
      <c r="AE49617" s="54"/>
    </row>
    <row r="49618" spans="31:31">
      <c r="AE49618" s="54"/>
    </row>
    <row r="49619" spans="31:31">
      <c r="AE49619" s="54"/>
    </row>
    <row r="49620" spans="31:31">
      <c r="AE49620" s="54"/>
    </row>
    <row r="49621" spans="31:31">
      <c r="AE49621" s="54"/>
    </row>
    <row r="49622" spans="31:31">
      <c r="AE49622" s="54"/>
    </row>
    <row r="49623" spans="31:31">
      <c r="AE49623" s="54"/>
    </row>
    <row r="49624" spans="31:31">
      <c r="AE49624" s="54"/>
    </row>
    <row r="49625" spans="31:31">
      <c r="AE49625" s="54"/>
    </row>
    <row r="49626" spans="31:31">
      <c r="AE49626" s="54"/>
    </row>
    <row r="49627" spans="31:31">
      <c r="AE49627" s="54"/>
    </row>
    <row r="49628" spans="31:31">
      <c r="AE49628" s="54"/>
    </row>
    <row r="49629" spans="31:31">
      <c r="AE49629" s="54"/>
    </row>
    <row r="49630" spans="31:31">
      <c r="AE49630" s="54"/>
    </row>
    <row r="49631" spans="31:31">
      <c r="AE49631" s="54"/>
    </row>
    <row r="49632" spans="31:31">
      <c r="AE49632" s="54"/>
    </row>
    <row r="49633" spans="31:31">
      <c r="AE49633" s="54"/>
    </row>
    <row r="49634" spans="31:31">
      <c r="AE49634" s="54"/>
    </row>
    <row r="49635" spans="31:31">
      <c r="AE49635" s="54"/>
    </row>
    <row r="49636" spans="31:31">
      <c r="AE49636" s="54"/>
    </row>
    <row r="49637" spans="31:31">
      <c r="AE49637" s="54"/>
    </row>
    <row r="49638" spans="31:31">
      <c r="AE49638" s="54"/>
    </row>
    <row r="49639" spans="31:31">
      <c r="AE49639" s="54"/>
    </row>
    <row r="49640" spans="31:31">
      <c r="AE49640" s="54"/>
    </row>
    <row r="49641" spans="31:31">
      <c r="AE49641" s="54"/>
    </row>
    <row r="49642" spans="31:31">
      <c r="AE49642" s="54"/>
    </row>
    <row r="49643" spans="31:31">
      <c r="AE49643" s="54"/>
    </row>
    <row r="49644" spans="31:31">
      <c r="AE49644" s="54"/>
    </row>
    <row r="49645" spans="31:31">
      <c r="AE49645" s="54"/>
    </row>
    <row r="49646" spans="31:31">
      <c r="AE49646" s="54"/>
    </row>
    <row r="49647" spans="31:31">
      <c r="AE49647" s="54"/>
    </row>
    <row r="49648" spans="31:31">
      <c r="AE49648" s="54"/>
    </row>
    <row r="49649" spans="31:31">
      <c r="AE49649" s="54"/>
    </row>
    <row r="49650" spans="31:31">
      <c r="AE49650" s="54"/>
    </row>
    <row r="49651" spans="31:31">
      <c r="AE49651" s="54"/>
    </row>
    <row r="49652" spans="31:31">
      <c r="AE49652" s="54"/>
    </row>
    <row r="49653" spans="31:31">
      <c r="AE49653" s="54"/>
    </row>
    <row r="49654" spans="31:31">
      <c r="AE49654" s="54"/>
    </row>
    <row r="49655" spans="31:31">
      <c r="AE49655" s="54"/>
    </row>
    <row r="49656" spans="31:31">
      <c r="AE49656" s="54"/>
    </row>
    <row r="49657" spans="31:31">
      <c r="AE49657" s="54"/>
    </row>
    <row r="49658" spans="31:31">
      <c r="AE49658" s="54"/>
    </row>
    <row r="49659" spans="31:31">
      <c r="AE49659" s="54"/>
    </row>
    <row r="49660" spans="31:31">
      <c r="AE49660" s="54"/>
    </row>
    <row r="49661" spans="31:31">
      <c r="AE49661" s="54"/>
    </row>
    <row r="49662" spans="31:31">
      <c r="AE49662" s="54"/>
    </row>
    <row r="49663" spans="31:31">
      <c r="AE49663" s="54"/>
    </row>
    <row r="49664" spans="31:31">
      <c r="AE49664" s="54"/>
    </row>
    <row r="49665" spans="31:31">
      <c r="AE49665" s="54"/>
    </row>
    <row r="49666" spans="31:31">
      <c r="AE49666" s="54"/>
    </row>
    <row r="49667" spans="31:31">
      <c r="AE49667" s="54"/>
    </row>
    <row r="49668" spans="31:31">
      <c r="AE49668" s="54"/>
    </row>
    <row r="49669" spans="31:31">
      <c r="AE49669" s="54"/>
    </row>
    <row r="49670" spans="31:31">
      <c r="AE49670" s="54"/>
    </row>
    <row r="49671" spans="31:31">
      <c r="AE49671" s="54"/>
    </row>
    <row r="49672" spans="31:31">
      <c r="AE49672" s="54"/>
    </row>
    <row r="49673" spans="31:31">
      <c r="AE49673" s="54"/>
    </row>
    <row r="49674" spans="31:31">
      <c r="AE49674" s="54"/>
    </row>
    <row r="49675" spans="31:31">
      <c r="AE49675" s="54"/>
    </row>
    <row r="49676" spans="31:31">
      <c r="AE49676" s="54"/>
    </row>
    <row r="49677" spans="31:31">
      <c r="AE49677" s="54"/>
    </row>
    <row r="49678" spans="31:31">
      <c r="AE49678" s="54"/>
    </row>
    <row r="49679" spans="31:31">
      <c r="AE49679" s="54"/>
    </row>
    <row r="49680" spans="31:31">
      <c r="AE49680" s="54"/>
    </row>
    <row r="49681" spans="31:31">
      <c r="AE49681" s="54"/>
    </row>
    <row r="49682" spans="31:31">
      <c r="AE49682" s="54"/>
    </row>
    <row r="49683" spans="31:31">
      <c r="AE49683" s="54"/>
    </row>
    <row r="49684" spans="31:31">
      <c r="AE49684" s="54"/>
    </row>
    <row r="49685" spans="31:31">
      <c r="AE49685" s="54"/>
    </row>
    <row r="49686" spans="31:31">
      <c r="AE49686" s="54"/>
    </row>
    <row r="49687" spans="31:31">
      <c r="AE49687" s="54"/>
    </row>
    <row r="49688" spans="31:31">
      <c r="AE49688" s="54"/>
    </row>
    <row r="49689" spans="31:31">
      <c r="AE49689" s="54"/>
    </row>
    <row r="49690" spans="31:31">
      <c r="AE49690" s="54"/>
    </row>
    <row r="49691" spans="31:31">
      <c r="AE49691" s="54"/>
    </row>
    <row r="49692" spans="31:31">
      <c r="AE49692" s="54"/>
    </row>
    <row r="49693" spans="31:31">
      <c r="AE49693" s="54"/>
    </row>
    <row r="49694" spans="31:31">
      <c r="AE49694" s="54"/>
    </row>
    <row r="49695" spans="31:31">
      <c r="AE49695" s="54"/>
    </row>
    <row r="49696" spans="31:31">
      <c r="AE49696" s="54"/>
    </row>
    <row r="49697" spans="31:31">
      <c r="AE49697" s="54"/>
    </row>
    <row r="49698" spans="31:31">
      <c r="AE49698" s="54"/>
    </row>
    <row r="49699" spans="31:31">
      <c r="AE49699" s="54"/>
    </row>
    <row r="49700" spans="31:31">
      <c r="AE49700" s="54"/>
    </row>
    <row r="49701" spans="31:31">
      <c r="AE49701" s="54"/>
    </row>
    <row r="49702" spans="31:31">
      <c r="AE49702" s="54"/>
    </row>
    <row r="49703" spans="31:31">
      <c r="AE49703" s="54"/>
    </row>
    <row r="49704" spans="31:31">
      <c r="AE49704" s="54"/>
    </row>
    <row r="49705" spans="31:31">
      <c r="AE49705" s="54"/>
    </row>
    <row r="49706" spans="31:31">
      <c r="AE49706" s="54"/>
    </row>
    <row r="49707" spans="31:31">
      <c r="AE49707" s="54"/>
    </row>
    <row r="49708" spans="31:31">
      <c r="AE49708" s="54"/>
    </row>
    <row r="49709" spans="31:31">
      <c r="AE49709" s="54"/>
    </row>
    <row r="49710" spans="31:31">
      <c r="AE49710" s="54"/>
    </row>
    <row r="49711" spans="31:31">
      <c r="AE49711" s="54"/>
    </row>
    <row r="49712" spans="31:31">
      <c r="AE49712" s="54"/>
    </row>
    <row r="49713" spans="31:31">
      <c r="AE49713" s="54"/>
    </row>
    <row r="49714" spans="31:31">
      <c r="AE49714" s="54"/>
    </row>
    <row r="49715" spans="31:31">
      <c r="AE49715" s="54"/>
    </row>
    <row r="49716" spans="31:31">
      <c r="AE49716" s="54"/>
    </row>
    <row r="49717" spans="31:31">
      <c r="AE49717" s="54"/>
    </row>
    <row r="49718" spans="31:31">
      <c r="AE49718" s="54"/>
    </row>
    <row r="49719" spans="31:31">
      <c r="AE49719" s="54"/>
    </row>
    <row r="49720" spans="31:31">
      <c r="AE49720" s="54"/>
    </row>
    <row r="49721" spans="31:31">
      <c r="AE49721" s="54"/>
    </row>
    <row r="49722" spans="31:31">
      <c r="AE49722" s="54"/>
    </row>
    <row r="49723" spans="31:31">
      <c r="AE49723" s="54"/>
    </row>
    <row r="49724" spans="31:31">
      <c r="AE49724" s="54"/>
    </row>
    <row r="49725" spans="31:31">
      <c r="AE49725" s="54"/>
    </row>
    <row r="49726" spans="31:31">
      <c r="AE49726" s="54"/>
    </row>
    <row r="49727" spans="31:31">
      <c r="AE49727" s="54"/>
    </row>
    <row r="49728" spans="31:31">
      <c r="AE49728" s="54"/>
    </row>
    <row r="49729" spans="31:31">
      <c r="AE49729" s="54"/>
    </row>
    <row r="49730" spans="31:31">
      <c r="AE49730" s="54"/>
    </row>
    <row r="49731" spans="31:31">
      <c r="AE49731" s="54"/>
    </row>
    <row r="49732" spans="31:31">
      <c r="AE49732" s="54"/>
    </row>
    <row r="49733" spans="31:31">
      <c r="AE49733" s="54"/>
    </row>
    <row r="49734" spans="31:31">
      <c r="AE49734" s="54"/>
    </row>
    <row r="49735" spans="31:31">
      <c r="AE49735" s="54"/>
    </row>
    <row r="49736" spans="31:31">
      <c r="AE49736" s="54"/>
    </row>
    <row r="49737" spans="31:31">
      <c r="AE49737" s="54"/>
    </row>
    <row r="49738" spans="31:31">
      <c r="AE49738" s="54"/>
    </row>
    <row r="49739" spans="31:31">
      <c r="AE49739" s="54"/>
    </row>
    <row r="49740" spans="31:31">
      <c r="AE49740" s="54"/>
    </row>
    <row r="49741" spans="31:31">
      <c r="AE49741" s="54"/>
    </row>
    <row r="49742" spans="31:31">
      <c r="AE49742" s="54"/>
    </row>
    <row r="49743" spans="31:31">
      <c r="AE49743" s="54"/>
    </row>
    <row r="49744" spans="31:31">
      <c r="AE49744" s="54"/>
    </row>
    <row r="49745" spans="31:31">
      <c r="AE49745" s="54"/>
    </row>
    <row r="49746" spans="31:31">
      <c r="AE49746" s="54"/>
    </row>
    <row r="49747" spans="31:31">
      <c r="AE49747" s="54"/>
    </row>
    <row r="49748" spans="31:31">
      <c r="AE49748" s="54"/>
    </row>
    <row r="49749" spans="31:31">
      <c r="AE49749" s="54"/>
    </row>
    <row r="49750" spans="31:31">
      <c r="AE49750" s="54"/>
    </row>
    <row r="49751" spans="31:31">
      <c r="AE49751" s="54"/>
    </row>
    <row r="49752" spans="31:31">
      <c r="AE49752" s="54"/>
    </row>
    <row r="49753" spans="31:31">
      <c r="AE49753" s="54"/>
    </row>
    <row r="49754" spans="31:31">
      <c r="AE49754" s="54"/>
    </row>
    <row r="49755" spans="31:31">
      <c r="AE49755" s="54"/>
    </row>
    <row r="49756" spans="31:31">
      <c r="AE49756" s="54"/>
    </row>
    <row r="49757" spans="31:31">
      <c r="AE49757" s="54"/>
    </row>
    <row r="49758" spans="31:31">
      <c r="AE49758" s="54"/>
    </row>
    <row r="49759" spans="31:31">
      <c r="AE49759" s="54"/>
    </row>
    <row r="49760" spans="31:31">
      <c r="AE49760" s="54"/>
    </row>
    <row r="49761" spans="31:31">
      <c r="AE49761" s="54"/>
    </row>
    <row r="49762" spans="31:31">
      <c r="AE49762" s="54"/>
    </row>
    <row r="49763" spans="31:31">
      <c r="AE49763" s="54"/>
    </row>
    <row r="49764" spans="31:31">
      <c r="AE49764" s="54"/>
    </row>
    <row r="49765" spans="31:31">
      <c r="AE49765" s="54"/>
    </row>
    <row r="49766" spans="31:31">
      <c r="AE49766" s="54"/>
    </row>
    <row r="49767" spans="31:31">
      <c r="AE49767" s="54"/>
    </row>
    <row r="49768" spans="31:31">
      <c r="AE49768" s="54"/>
    </row>
    <row r="49769" spans="31:31">
      <c r="AE49769" s="54"/>
    </row>
    <row r="49770" spans="31:31">
      <c r="AE49770" s="54"/>
    </row>
    <row r="49771" spans="31:31">
      <c r="AE49771" s="54"/>
    </row>
    <row r="49772" spans="31:31">
      <c r="AE49772" s="54"/>
    </row>
    <row r="49773" spans="31:31">
      <c r="AE49773" s="54"/>
    </row>
    <row r="49774" spans="31:31">
      <c r="AE49774" s="54"/>
    </row>
    <row r="49775" spans="31:31">
      <c r="AE49775" s="54"/>
    </row>
    <row r="49776" spans="31:31">
      <c r="AE49776" s="54"/>
    </row>
    <row r="49777" spans="31:31">
      <c r="AE49777" s="54"/>
    </row>
    <row r="49778" spans="31:31">
      <c r="AE49778" s="54"/>
    </row>
    <row r="49779" spans="31:31">
      <c r="AE49779" s="54"/>
    </row>
    <row r="49780" spans="31:31">
      <c r="AE49780" s="54"/>
    </row>
    <row r="49781" spans="31:31">
      <c r="AE49781" s="54"/>
    </row>
    <row r="49782" spans="31:31">
      <c r="AE49782" s="54"/>
    </row>
    <row r="49783" spans="31:31">
      <c r="AE49783" s="54"/>
    </row>
    <row r="49784" spans="31:31">
      <c r="AE49784" s="54"/>
    </row>
    <row r="49785" spans="31:31">
      <c r="AE49785" s="54"/>
    </row>
    <row r="49786" spans="31:31">
      <c r="AE49786" s="54"/>
    </row>
    <row r="49787" spans="31:31">
      <c r="AE49787" s="54"/>
    </row>
    <row r="49788" spans="31:31">
      <c r="AE49788" s="54"/>
    </row>
    <row r="49789" spans="31:31">
      <c r="AE49789" s="54"/>
    </row>
    <row r="49790" spans="31:31">
      <c r="AE49790" s="54"/>
    </row>
    <row r="49791" spans="31:31">
      <c r="AE49791" s="54"/>
    </row>
    <row r="49792" spans="31:31">
      <c r="AE49792" s="54"/>
    </row>
    <row r="49793" spans="31:31">
      <c r="AE49793" s="54"/>
    </row>
    <row r="49794" spans="31:31">
      <c r="AE49794" s="54"/>
    </row>
    <row r="49795" spans="31:31">
      <c r="AE49795" s="54"/>
    </row>
    <row r="49796" spans="31:31">
      <c r="AE49796" s="54"/>
    </row>
    <row r="49797" spans="31:31">
      <c r="AE49797" s="54"/>
    </row>
    <row r="49798" spans="31:31">
      <c r="AE49798" s="54"/>
    </row>
    <row r="49799" spans="31:31">
      <c r="AE49799" s="54"/>
    </row>
    <row r="49800" spans="31:31">
      <c r="AE49800" s="54"/>
    </row>
    <row r="49801" spans="31:31">
      <c r="AE49801" s="54"/>
    </row>
    <row r="49802" spans="31:31">
      <c r="AE49802" s="54"/>
    </row>
    <row r="49803" spans="31:31">
      <c r="AE49803" s="54"/>
    </row>
    <row r="49804" spans="31:31">
      <c r="AE49804" s="54"/>
    </row>
    <row r="49805" spans="31:31">
      <c r="AE49805" s="54"/>
    </row>
    <row r="49806" spans="31:31">
      <c r="AE49806" s="54"/>
    </row>
    <row r="49807" spans="31:31">
      <c r="AE49807" s="54"/>
    </row>
    <row r="49808" spans="31:31">
      <c r="AE49808" s="54"/>
    </row>
    <row r="49809" spans="31:31">
      <c r="AE49809" s="54"/>
    </row>
    <row r="49810" spans="31:31">
      <c r="AE49810" s="54"/>
    </row>
    <row r="49811" spans="31:31">
      <c r="AE49811" s="54"/>
    </row>
    <row r="49812" spans="31:31">
      <c r="AE49812" s="54"/>
    </row>
    <row r="49813" spans="31:31">
      <c r="AE49813" s="54"/>
    </row>
    <row r="49814" spans="31:31">
      <c r="AE49814" s="54"/>
    </row>
    <row r="49815" spans="31:31">
      <c r="AE49815" s="54"/>
    </row>
    <row r="49816" spans="31:31">
      <c r="AE49816" s="54"/>
    </row>
    <row r="49817" spans="31:31">
      <c r="AE49817" s="54"/>
    </row>
    <row r="49818" spans="31:31">
      <c r="AE49818" s="54"/>
    </row>
    <row r="49819" spans="31:31">
      <c r="AE49819" s="54"/>
    </row>
    <row r="49820" spans="31:31">
      <c r="AE49820" s="54"/>
    </row>
    <row r="49821" spans="31:31">
      <c r="AE49821" s="54"/>
    </row>
    <row r="49822" spans="31:31">
      <c r="AE49822" s="54"/>
    </row>
    <row r="49823" spans="31:31">
      <c r="AE49823" s="54"/>
    </row>
    <row r="49824" spans="31:31">
      <c r="AE49824" s="54"/>
    </row>
    <row r="49825" spans="31:31">
      <c r="AE49825" s="54"/>
    </row>
    <row r="49826" spans="31:31">
      <c r="AE49826" s="54"/>
    </row>
    <row r="49827" spans="31:31">
      <c r="AE49827" s="54"/>
    </row>
    <row r="49828" spans="31:31">
      <c r="AE49828" s="54"/>
    </row>
    <row r="49829" spans="31:31">
      <c r="AE49829" s="54"/>
    </row>
    <row r="49830" spans="31:31">
      <c r="AE49830" s="54"/>
    </row>
    <row r="49831" spans="31:31">
      <c r="AE49831" s="54"/>
    </row>
    <row r="49832" spans="31:31">
      <c r="AE49832" s="54"/>
    </row>
    <row r="49833" spans="31:31">
      <c r="AE49833" s="54"/>
    </row>
    <row r="49834" spans="31:31">
      <c r="AE49834" s="54"/>
    </row>
    <row r="49835" spans="31:31">
      <c r="AE49835" s="54"/>
    </row>
    <row r="49836" spans="31:31">
      <c r="AE49836" s="54"/>
    </row>
    <row r="49837" spans="31:31">
      <c r="AE49837" s="54"/>
    </row>
    <row r="49838" spans="31:31">
      <c r="AE49838" s="54"/>
    </row>
    <row r="49839" spans="31:31">
      <c r="AE49839" s="54"/>
    </row>
    <row r="49840" spans="31:31">
      <c r="AE49840" s="54"/>
    </row>
    <row r="49841" spans="31:31">
      <c r="AE49841" s="54"/>
    </row>
    <row r="49842" spans="31:31">
      <c r="AE49842" s="54"/>
    </row>
    <row r="49843" spans="31:31">
      <c r="AE49843" s="54"/>
    </row>
    <row r="49844" spans="31:31">
      <c r="AE49844" s="54"/>
    </row>
    <row r="49845" spans="31:31">
      <c r="AE49845" s="54"/>
    </row>
    <row r="49846" spans="31:31">
      <c r="AE49846" s="54"/>
    </row>
    <row r="49847" spans="31:31">
      <c r="AE49847" s="54"/>
    </row>
    <row r="49848" spans="31:31">
      <c r="AE49848" s="54"/>
    </row>
    <row r="49849" spans="31:31">
      <c r="AE49849" s="54"/>
    </row>
    <row r="49850" spans="31:31">
      <c r="AE49850" s="54"/>
    </row>
    <row r="49851" spans="31:31">
      <c r="AE49851" s="54"/>
    </row>
    <row r="49852" spans="31:31">
      <c r="AE49852" s="54"/>
    </row>
    <row r="49853" spans="31:31">
      <c r="AE49853" s="54"/>
    </row>
    <row r="49854" spans="31:31">
      <c r="AE49854" s="54"/>
    </row>
    <row r="49855" spans="31:31">
      <c r="AE49855" s="54"/>
    </row>
    <row r="49856" spans="31:31">
      <c r="AE49856" s="54"/>
    </row>
    <row r="49857" spans="31:31">
      <c r="AE49857" s="54"/>
    </row>
    <row r="49858" spans="31:31">
      <c r="AE49858" s="54"/>
    </row>
    <row r="49859" spans="31:31">
      <c r="AE49859" s="54"/>
    </row>
    <row r="49860" spans="31:31">
      <c r="AE49860" s="54"/>
    </row>
    <row r="49861" spans="31:31">
      <c r="AE49861" s="54"/>
    </row>
    <row r="49862" spans="31:31">
      <c r="AE49862" s="54"/>
    </row>
    <row r="49863" spans="31:31">
      <c r="AE49863" s="54"/>
    </row>
    <row r="49864" spans="31:31">
      <c r="AE49864" s="54"/>
    </row>
    <row r="49865" spans="31:31">
      <c r="AE49865" s="54"/>
    </row>
    <row r="49866" spans="31:31">
      <c r="AE49866" s="54"/>
    </row>
    <row r="49867" spans="31:31">
      <c r="AE49867" s="54"/>
    </row>
    <row r="49868" spans="31:31">
      <c r="AE49868" s="54"/>
    </row>
    <row r="49869" spans="31:31">
      <c r="AE49869" s="54"/>
    </row>
    <row r="49870" spans="31:31">
      <c r="AE49870" s="54"/>
    </row>
    <row r="49871" spans="31:31">
      <c r="AE49871" s="54"/>
    </row>
    <row r="49872" spans="31:31">
      <c r="AE49872" s="54"/>
    </row>
    <row r="49873" spans="31:31">
      <c r="AE49873" s="54"/>
    </row>
    <row r="49874" spans="31:31">
      <c r="AE49874" s="54"/>
    </row>
    <row r="49875" spans="31:31">
      <c r="AE49875" s="54"/>
    </row>
    <row r="49876" spans="31:31">
      <c r="AE49876" s="54"/>
    </row>
    <row r="49877" spans="31:31">
      <c r="AE49877" s="54"/>
    </row>
    <row r="49878" spans="31:31">
      <c r="AE49878" s="54"/>
    </row>
    <row r="49879" spans="31:31">
      <c r="AE49879" s="54"/>
    </row>
    <row r="49880" spans="31:31">
      <c r="AE49880" s="54"/>
    </row>
    <row r="49881" spans="31:31">
      <c r="AE49881" s="54"/>
    </row>
    <row r="49882" spans="31:31">
      <c r="AE49882" s="54"/>
    </row>
    <row r="49883" spans="31:31">
      <c r="AE49883" s="54"/>
    </row>
    <row r="49884" spans="31:31">
      <c r="AE49884" s="54"/>
    </row>
    <row r="49885" spans="31:31">
      <c r="AE49885" s="54"/>
    </row>
    <row r="49886" spans="31:31">
      <c r="AE49886" s="54"/>
    </row>
    <row r="49887" spans="31:31">
      <c r="AE49887" s="54"/>
    </row>
    <row r="49888" spans="31:31">
      <c r="AE49888" s="54"/>
    </row>
    <row r="49889" spans="31:31">
      <c r="AE49889" s="54"/>
    </row>
    <row r="49890" spans="31:31">
      <c r="AE49890" s="54"/>
    </row>
    <row r="49891" spans="31:31">
      <c r="AE49891" s="54"/>
    </row>
    <row r="49892" spans="31:31">
      <c r="AE49892" s="54"/>
    </row>
    <row r="49893" spans="31:31">
      <c r="AE49893" s="54"/>
    </row>
    <row r="49894" spans="31:31">
      <c r="AE49894" s="54"/>
    </row>
    <row r="49895" spans="31:31">
      <c r="AE49895" s="54"/>
    </row>
    <row r="49896" spans="31:31">
      <c r="AE49896" s="54"/>
    </row>
    <row r="49897" spans="31:31">
      <c r="AE49897" s="54"/>
    </row>
    <row r="49898" spans="31:31">
      <c r="AE49898" s="54"/>
    </row>
    <row r="49899" spans="31:31">
      <c r="AE49899" s="54"/>
    </row>
    <row r="49900" spans="31:31">
      <c r="AE49900" s="54"/>
    </row>
    <row r="49901" spans="31:31">
      <c r="AE49901" s="54"/>
    </row>
    <row r="49902" spans="31:31">
      <c r="AE49902" s="54"/>
    </row>
    <row r="49903" spans="31:31">
      <c r="AE49903" s="54"/>
    </row>
    <row r="49904" spans="31:31">
      <c r="AE49904" s="54"/>
    </row>
    <row r="49905" spans="31:31">
      <c r="AE49905" s="54"/>
    </row>
    <row r="49906" spans="31:31">
      <c r="AE49906" s="54"/>
    </row>
    <row r="49907" spans="31:31">
      <c r="AE49907" s="54"/>
    </row>
    <row r="49908" spans="31:31">
      <c r="AE49908" s="54"/>
    </row>
    <row r="49909" spans="31:31">
      <c r="AE49909" s="54"/>
    </row>
    <row r="49910" spans="31:31">
      <c r="AE49910" s="54"/>
    </row>
    <row r="49911" spans="31:31">
      <c r="AE49911" s="54"/>
    </row>
    <row r="49912" spans="31:31">
      <c r="AE49912" s="54"/>
    </row>
    <row r="49913" spans="31:31">
      <c r="AE49913" s="54"/>
    </row>
    <row r="49914" spans="31:31">
      <c r="AE49914" s="54"/>
    </row>
    <row r="49915" spans="31:31">
      <c r="AE49915" s="54"/>
    </row>
    <row r="49916" spans="31:31">
      <c r="AE49916" s="54"/>
    </row>
    <row r="49917" spans="31:31">
      <c r="AE49917" s="54"/>
    </row>
    <row r="49918" spans="31:31">
      <c r="AE49918" s="54"/>
    </row>
    <row r="49919" spans="31:31">
      <c r="AE49919" s="54"/>
    </row>
    <row r="49920" spans="31:31">
      <c r="AE49920" s="54"/>
    </row>
    <row r="49921" spans="31:31">
      <c r="AE49921" s="54"/>
    </row>
    <row r="49922" spans="31:31">
      <c r="AE49922" s="54"/>
    </row>
    <row r="49923" spans="31:31">
      <c r="AE49923" s="54"/>
    </row>
    <row r="49924" spans="31:31">
      <c r="AE49924" s="54"/>
    </row>
    <row r="49925" spans="31:31">
      <c r="AE49925" s="54"/>
    </row>
    <row r="49926" spans="31:31">
      <c r="AE49926" s="54"/>
    </row>
    <row r="49927" spans="31:31">
      <c r="AE49927" s="54"/>
    </row>
    <row r="49928" spans="31:31">
      <c r="AE49928" s="54"/>
    </row>
    <row r="49929" spans="31:31">
      <c r="AE49929" s="54"/>
    </row>
    <row r="49930" spans="31:31">
      <c r="AE49930" s="54"/>
    </row>
    <row r="49931" spans="31:31">
      <c r="AE49931" s="54"/>
    </row>
    <row r="49932" spans="31:31">
      <c r="AE49932" s="54"/>
    </row>
    <row r="49933" spans="31:31">
      <c r="AE49933" s="54"/>
    </row>
    <row r="49934" spans="31:31">
      <c r="AE49934" s="54"/>
    </row>
    <row r="49935" spans="31:31">
      <c r="AE49935" s="54"/>
    </row>
    <row r="49936" spans="31:31">
      <c r="AE49936" s="54"/>
    </row>
    <row r="49937" spans="31:31">
      <c r="AE49937" s="54"/>
    </row>
    <row r="49938" spans="31:31">
      <c r="AE49938" s="54"/>
    </row>
    <row r="49939" spans="31:31">
      <c r="AE49939" s="54"/>
    </row>
    <row r="49940" spans="31:31">
      <c r="AE49940" s="54"/>
    </row>
    <row r="49941" spans="31:31">
      <c r="AE49941" s="54"/>
    </row>
    <row r="49942" spans="31:31">
      <c r="AE49942" s="54"/>
    </row>
    <row r="49943" spans="31:31">
      <c r="AE49943" s="54"/>
    </row>
    <row r="49944" spans="31:31">
      <c r="AE49944" s="54"/>
    </row>
    <row r="49945" spans="31:31">
      <c r="AE49945" s="54"/>
    </row>
    <row r="49946" spans="31:31">
      <c r="AE49946" s="54"/>
    </row>
    <row r="49947" spans="31:31">
      <c r="AE49947" s="54"/>
    </row>
    <row r="49948" spans="31:31">
      <c r="AE49948" s="54"/>
    </row>
    <row r="49949" spans="31:31">
      <c r="AE49949" s="54"/>
    </row>
    <row r="49950" spans="31:31">
      <c r="AE49950" s="54"/>
    </row>
    <row r="49951" spans="31:31">
      <c r="AE49951" s="54"/>
    </row>
    <row r="49952" spans="31:31">
      <c r="AE49952" s="54"/>
    </row>
    <row r="49953" spans="31:31">
      <c r="AE49953" s="54"/>
    </row>
    <row r="49954" spans="31:31">
      <c r="AE49954" s="54"/>
    </row>
    <row r="49955" spans="31:31">
      <c r="AE49955" s="54"/>
    </row>
    <row r="49956" spans="31:31">
      <c r="AE49956" s="54"/>
    </row>
    <row r="49957" spans="31:31">
      <c r="AE49957" s="54"/>
    </row>
    <row r="49958" spans="31:31">
      <c r="AE49958" s="54"/>
    </row>
    <row r="49959" spans="31:31">
      <c r="AE49959" s="54"/>
    </row>
    <row r="49960" spans="31:31">
      <c r="AE49960" s="54"/>
    </row>
    <row r="49961" spans="31:31">
      <c r="AE49961" s="54"/>
    </row>
    <row r="49962" spans="31:31">
      <c r="AE49962" s="54"/>
    </row>
    <row r="49963" spans="31:31">
      <c r="AE49963" s="54"/>
    </row>
    <row r="49964" spans="31:31">
      <c r="AE49964" s="54"/>
    </row>
    <row r="49965" spans="31:31">
      <c r="AE49965" s="54"/>
    </row>
    <row r="49966" spans="31:31">
      <c r="AE49966" s="54"/>
    </row>
    <row r="49967" spans="31:31">
      <c r="AE49967" s="54"/>
    </row>
    <row r="49968" spans="31:31">
      <c r="AE49968" s="54"/>
    </row>
    <row r="49969" spans="31:31">
      <c r="AE49969" s="54"/>
    </row>
    <row r="49970" spans="31:31">
      <c r="AE49970" s="54"/>
    </row>
    <row r="49971" spans="31:31">
      <c r="AE49971" s="54"/>
    </row>
    <row r="49972" spans="31:31">
      <c r="AE49972" s="54"/>
    </row>
    <row r="49973" spans="31:31">
      <c r="AE49973" s="54"/>
    </row>
    <row r="49974" spans="31:31">
      <c r="AE49974" s="54"/>
    </row>
    <row r="49975" spans="31:31">
      <c r="AE49975" s="54"/>
    </row>
    <row r="49976" spans="31:31">
      <c r="AE49976" s="54"/>
    </row>
    <row r="49977" spans="31:31">
      <c r="AE49977" s="54"/>
    </row>
    <row r="49978" spans="31:31">
      <c r="AE49978" s="54"/>
    </row>
    <row r="49979" spans="31:31">
      <c r="AE49979" s="54"/>
    </row>
    <row r="49980" spans="31:31">
      <c r="AE49980" s="54"/>
    </row>
    <row r="49981" spans="31:31">
      <c r="AE49981" s="54"/>
    </row>
    <row r="49982" spans="31:31">
      <c r="AE49982" s="54"/>
    </row>
    <row r="49983" spans="31:31">
      <c r="AE49983" s="54"/>
    </row>
    <row r="49984" spans="31:31">
      <c r="AE49984" s="54"/>
    </row>
    <row r="49985" spans="31:31">
      <c r="AE49985" s="54"/>
    </row>
    <row r="49986" spans="31:31">
      <c r="AE49986" s="54"/>
    </row>
    <row r="49987" spans="31:31">
      <c r="AE49987" s="54"/>
    </row>
    <row r="49988" spans="31:31">
      <c r="AE49988" s="54"/>
    </row>
    <row r="49989" spans="31:31">
      <c r="AE49989" s="54"/>
    </row>
    <row r="49990" spans="31:31">
      <c r="AE49990" s="54"/>
    </row>
    <row r="49991" spans="31:31">
      <c r="AE49991" s="54"/>
    </row>
    <row r="49992" spans="31:31">
      <c r="AE49992" s="54"/>
    </row>
    <row r="49993" spans="31:31">
      <c r="AE49993" s="54"/>
    </row>
    <row r="49994" spans="31:31">
      <c r="AE49994" s="54"/>
    </row>
    <row r="49995" spans="31:31">
      <c r="AE49995" s="54"/>
    </row>
    <row r="49996" spans="31:31">
      <c r="AE49996" s="54"/>
    </row>
    <row r="49997" spans="31:31">
      <c r="AE49997" s="54"/>
    </row>
    <row r="49998" spans="31:31">
      <c r="AE49998" s="54"/>
    </row>
    <row r="49999" spans="31:31">
      <c r="AE49999" s="54"/>
    </row>
    <row r="50000" spans="31:31">
      <c r="AE50000" s="54"/>
    </row>
    <row r="50001" spans="31:31">
      <c r="AE50001" s="54"/>
    </row>
    <row r="50002" spans="31:31">
      <c r="AE50002" s="54"/>
    </row>
    <row r="50003" spans="31:31">
      <c r="AE50003" s="54"/>
    </row>
    <row r="50004" spans="31:31">
      <c r="AE50004" s="54"/>
    </row>
    <row r="50005" spans="31:31">
      <c r="AE50005" s="54"/>
    </row>
    <row r="50006" spans="31:31">
      <c r="AE50006" s="54"/>
    </row>
    <row r="50007" spans="31:31">
      <c r="AE50007" s="54"/>
    </row>
    <row r="50008" spans="31:31">
      <c r="AE50008" s="54"/>
    </row>
    <row r="50009" spans="31:31">
      <c r="AE50009" s="54"/>
    </row>
    <row r="50010" spans="31:31">
      <c r="AE50010" s="54"/>
    </row>
    <row r="50011" spans="31:31">
      <c r="AE50011" s="54"/>
    </row>
    <row r="50012" spans="31:31">
      <c r="AE50012" s="54"/>
    </row>
    <row r="50013" spans="31:31">
      <c r="AE50013" s="54"/>
    </row>
    <row r="50014" spans="31:31">
      <c r="AE50014" s="54"/>
    </row>
    <row r="50015" spans="31:31">
      <c r="AE50015" s="54"/>
    </row>
    <row r="50016" spans="31:31">
      <c r="AE50016" s="54"/>
    </row>
    <row r="50017" spans="31:31">
      <c r="AE50017" s="54"/>
    </row>
    <row r="50018" spans="31:31">
      <c r="AE50018" s="54"/>
    </row>
    <row r="50019" spans="31:31">
      <c r="AE50019" s="54"/>
    </row>
    <row r="50020" spans="31:31">
      <c r="AE50020" s="54"/>
    </row>
    <row r="50021" spans="31:31">
      <c r="AE50021" s="54"/>
    </row>
    <row r="50022" spans="31:31">
      <c r="AE50022" s="54"/>
    </row>
    <row r="50023" spans="31:31">
      <c r="AE50023" s="54"/>
    </row>
    <row r="50024" spans="31:31">
      <c r="AE50024" s="54"/>
    </row>
    <row r="50025" spans="31:31">
      <c r="AE50025" s="54"/>
    </row>
    <row r="50026" spans="31:31">
      <c r="AE50026" s="54"/>
    </row>
    <row r="50027" spans="31:31">
      <c r="AE50027" s="54"/>
    </row>
    <row r="50028" spans="31:31">
      <c r="AE50028" s="54"/>
    </row>
    <row r="50029" spans="31:31">
      <c r="AE50029" s="54"/>
    </row>
    <row r="50030" spans="31:31">
      <c r="AE50030" s="54"/>
    </row>
    <row r="50031" spans="31:31">
      <c r="AE50031" s="54"/>
    </row>
    <row r="50032" spans="31:31">
      <c r="AE50032" s="54"/>
    </row>
    <row r="50033" spans="31:31">
      <c r="AE50033" s="54"/>
    </row>
    <row r="50034" spans="31:31">
      <c r="AE50034" s="54"/>
    </row>
    <row r="50035" spans="31:31">
      <c r="AE50035" s="54"/>
    </row>
    <row r="50036" spans="31:31">
      <c r="AE50036" s="54"/>
    </row>
    <row r="50037" spans="31:31">
      <c r="AE50037" s="54"/>
    </row>
    <row r="50038" spans="31:31">
      <c r="AE50038" s="54"/>
    </row>
    <row r="50039" spans="31:31">
      <c r="AE50039" s="54"/>
    </row>
    <row r="50040" spans="31:31">
      <c r="AE50040" s="54"/>
    </row>
    <row r="50041" spans="31:31">
      <c r="AE50041" s="54"/>
    </row>
    <row r="50042" spans="31:31">
      <c r="AE50042" s="54"/>
    </row>
    <row r="50043" spans="31:31">
      <c r="AE50043" s="54"/>
    </row>
    <row r="50044" spans="31:31">
      <c r="AE50044" s="54"/>
    </row>
    <row r="50045" spans="31:31">
      <c r="AE50045" s="54"/>
    </row>
    <row r="50046" spans="31:31">
      <c r="AE50046" s="54"/>
    </row>
    <row r="50047" spans="31:31">
      <c r="AE50047" s="54"/>
    </row>
    <row r="50048" spans="31:31">
      <c r="AE50048" s="54"/>
    </row>
    <row r="50049" spans="31:31">
      <c r="AE50049" s="54"/>
    </row>
    <row r="50050" spans="31:31">
      <c r="AE50050" s="54"/>
    </row>
    <row r="50051" spans="31:31">
      <c r="AE50051" s="54"/>
    </row>
    <row r="50052" spans="31:31">
      <c r="AE50052" s="54"/>
    </row>
    <row r="50053" spans="31:31">
      <c r="AE50053" s="54"/>
    </row>
    <row r="50054" spans="31:31">
      <c r="AE50054" s="54"/>
    </row>
    <row r="50055" spans="31:31">
      <c r="AE50055" s="54"/>
    </row>
    <row r="50056" spans="31:31">
      <c r="AE50056" s="54"/>
    </row>
    <row r="50057" spans="31:31">
      <c r="AE50057" s="54"/>
    </row>
    <row r="50058" spans="31:31">
      <c r="AE50058" s="54"/>
    </row>
    <row r="50059" spans="31:31">
      <c r="AE50059" s="54"/>
    </row>
    <row r="50060" spans="31:31">
      <c r="AE50060" s="54"/>
    </row>
    <row r="50061" spans="31:31">
      <c r="AE50061" s="54"/>
    </row>
    <row r="50062" spans="31:31">
      <c r="AE50062" s="54"/>
    </row>
    <row r="50063" spans="31:31">
      <c r="AE50063" s="54"/>
    </row>
    <row r="50064" spans="31:31">
      <c r="AE50064" s="54"/>
    </row>
    <row r="50065" spans="31:31">
      <c r="AE50065" s="54"/>
    </row>
    <row r="50066" spans="31:31">
      <c r="AE50066" s="54"/>
    </row>
    <row r="50067" spans="31:31">
      <c r="AE50067" s="54"/>
    </row>
    <row r="50068" spans="31:31">
      <c r="AE50068" s="54"/>
    </row>
    <row r="50069" spans="31:31">
      <c r="AE50069" s="54"/>
    </row>
    <row r="50070" spans="31:31">
      <c r="AE50070" s="54"/>
    </row>
    <row r="50071" spans="31:31">
      <c r="AE50071" s="54"/>
    </row>
    <row r="50072" spans="31:31">
      <c r="AE50072" s="54"/>
    </row>
    <row r="50073" spans="31:31">
      <c r="AE50073" s="54"/>
    </row>
    <row r="50074" spans="31:31">
      <c r="AE50074" s="54"/>
    </row>
    <row r="50075" spans="31:31">
      <c r="AE50075" s="54"/>
    </row>
    <row r="50076" spans="31:31">
      <c r="AE50076" s="54"/>
    </row>
    <row r="50077" spans="31:31">
      <c r="AE50077" s="54"/>
    </row>
    <row r="50078" spans="31:31">
      <c r="AE50078" s="54"/>
    </row>
    <row r="50079" spans="31:31">
      <c r="AE50079" s="54"/>
    </row>
    <row r="50080" spans="31:31">
      <c r="AE50080" s="54"/>
    </row>
    <row r="50081" spans="31:31">
      <c r="AE50081" s="54"/>
    </row>
    <row r="50082" spans="31:31">
      <c r="AE50082" s="54"/>
    </row>
    <row r="50083" spans="31:31">
      <c r="AE50083" s="54"/>
    </row>
    <row r="50084" spans="31:31">
      <c r="AE50084" s="54"/>
    </row>
    <row r="50085" spans="31:31">
      <c r="AE50085" s="54"/>
    </row>
    <row r="50086" spans="31:31">
      <c r="AE50086" s="54"/>
    </row>
    <row r="50087" spans="31:31">
      <c r="AE50087" s="54"/>
    </row>
    <row r="50088" spans="31:31">
      <c r="AE50088" s="54"/>
    </row>
    <row r="50089" spans="31:31">
      <c r="AE50089" s="54"/>
    </row>
    <row r="50090" spans="31:31">
      <c r="AE50090" s="54"/>
    </row>
    <row r="50091" spans="31:31">
      <c r="AE50091" s="54"/>
    </row>
    <row r="50092" spans="31:31">
      <c r="AE50092" s="54"/>
    </row>
    <row r="50093" spans="31:31">
      <c r="AE50093" s="54"/>
    </row>
    <row r="50094" spans="31:31">
      <c r="AE50094" s="54"/>
    </row>
    <row r="50095" spans="31:31">
      <c r="AE50095" s="54"/>
    </row>
    <row r="50096" spans="31:31">
      <c r="AE50096" s="54"/>
    </row>
    <row r="50097" spans="31:31">
      <c r="AE50097" s="54"/>
    </row>
    <row r="50098" spans="31:31">
      <c r="AE50098" s="54"/>
    </row>
    <row r="50099" spans="31:31">
      <c r="AE50099" s="54"/>
    </row>
    <row r="50100" spans="31:31">
      <c r="AE50100" s="54"/>
    </row>
    <row r="50101" spans="31:31">
      <c r="AE50101" s="54"/>
    </row>
    <row r="50102" spans="31:31">
      <c r="AE50102" s="54"/>
    </row>
    <row r="50103" spans="31:31">
      <c r="AE50103" s="54"/>
    </row>
    <row r="50104" spans="31:31">
      <c r="AE50104" s="54"/>
    </row>
    <row r="50105" spans="31:31">
      <c r="AE50105" s="54"/>
    </row>
    <row r="50106" spans="31:31">
      <c r="AE50106" s="54"/>
    </row>
    <row r="50107" spans="31:31">
      <c r="AE50107" s="54"/>
    </row>
    <row r="50108" spans="31:31">
      <c r="AE50108" s="54"/>
    </row>
    <row r="50109" spans="31:31">
      <c r="AE50109" s="54"/>
    </row>
    <row r="50110" spans="31:31">
      <c r="AE50110" s="54"/>
    </row>
    <row r="50111" spans="31:31">
      <c r="AE50111" s="54"/>
    </row>
    <row r="50112" spans="31:31">
      <c r="AE50112" s="54"/>
    </row>
    <row r="50113" spans="31:31">
      <c r="AE50113" s="54"/>
    </row>
    <row r="50114" spans="31:31">
      <c r="AE50114" s="54"/>
    </row>
    <row r="50115" spans="31:31">
      <c r="AE50115" s="54"/>
    </row>
    <row r="50116" spans="31:31">
      <c r="AE50116" s="54"/>
    </row>
    <row r="50117" spans="31:31">
      <c r="AE50117" s="54"/>
    </row>
    <row r="50118" spans="31:31">
      <c r="AE50118" s="54"/>
    </row>
    <row r="50119" spans="31:31">
      <c r="AE50119" s="54"/>
    </row>
    <row r="50120" spans="31:31">
      <c r="AE50120" s="54"/>
    </row>
    <row r="50121" spans="31:31">
      <c r="AE50121" s="54"/>
    </row>
    <row r="50122" spans="31:31">
      <c r="AE50122" s="54"/>
    </row>
    <row r="50123" spans="31:31">
      <c r="AE50123" s="54"/>
    </row>
    <row r="50124" spans="31:31">
      <c r="AE50124" s="54"/>
    </row>
    <row r="50125" spans="31:31">
      <c r="AE50125" s="54"/>
    </row>
    <row r="50126" spans="31:31">
      <c r="AE50126" s="54"/>
    </row>
    <row r="50127" spans="31:31">
      <c r="AE50127" s="54"/>
    </row>
    <row r="50128" spans="31:31">
      <c r="AE50128" s="54"/>
    </row>
    <row r="50129" spans="31:31">
      <c r="AE50129" s="54"/>
    </row>
    <row r="50130" spans="31:31">
      <c r="AE50130" s="54"/>
    </row>
    <row r="50131" spans="31:31">
      <c r="AE50131" s="54"/>
    </row>
    <row r="50132" spans="31:31">
      <c r="AE50132" s="54"/>
    </row>
    <row r="50133" spans="31:31">
      <c r="AE50133" s="54"/>
    </row>
    <row r="50134" spans="31:31">
      <c r="AE50134" s="54"/>
    </row>
    <row r="50135" spans="31:31">
      <c r="AE50135" s="54"/>
    </row>
    <row r="50136" spans="31:31">
      <c r="AE50136" s="54"/>
    </row>
    <row r="50137" spans="31:31">
      <c r="AE50137" s="54"/>
    </row>
    <row r="50138" spans="31:31">
      <c r="AE50138" s="54"/>
    </row>
    <row r="50139" spans="31:31">
      <c r="AE50139" s="54"/>
    </row>
    <row r="50140" spans="31:31">
      <c r="AE50140" s="54"/>
    </row>
    <row r="50141" spans="31:31">
      <c r="AE50141" s="54"/>
    </row>
    <row r="50142" spans="31:31">
      <c r="AE50142" s="54"/>
    </row>
    <row r="50143" spans="31:31">
      <c r="AE50143" s="54"/>
    </row>
    <row r="50144" spans="31:31">
      <c r="AE50144" s="54"/>
    </row>
    <row r="50145" spans="31:31">
      <c r="AE50145" s="54"/>
    </row>
    <row r="50146" spans="31:31">
      <c r="AE50146" s="54"/>
    </row>
    <row r="50147" spans="31:31">
      <c r="AE50147" s="54"/>
    </row>
    <row r="50148" spans="31:31">
      <c r="AE50148" s="54"/>
    </row>
    <row r="50149" spans="31:31">
      <c r="AE50149" s="54"/>
    </row>
    <row r="50150" spans="31:31">
      <c r="AE50150" s="54"/>
    </row>
    <row r="50151" spans="31:31">
      <c r="AE50151" s="54"/>
    </row>
    <row r="50152" spans="31:31">
      <c r="AE50152" s="54"/>
    </row>
    <row r="50153" spans="31:31">
      <c r="AE50153" s="54"/>
    </row>
    <row r="50154" spans="31:31">
      <c r="AE50154" s="54"/>
    </row>
    <row r="50155" spans="31:31">
      <c r="AE50155" s="54"/>
    </row>
    <row r="50156" spans="31:31">
      <c r="AE50156" s="54"/>
    </row>
    <row r="50157" spans="31:31">
      <c r="AE50157" s="54"/>
    </row>
    <row r="50158" spans="31:31">
      <c r="AE50158" s="54"/>
    </row>
    <row r="50159" spans="31:31">
      <c r="AE50159" s="54"/>
    </row>
    <row r="50160" spans="31:31">
      <c r="AE50160" s="54"/>
    </row>
    <row r="50161" spans="31:31">
      <c r="AE50161" s="54"/>
    </row>
    <row r="50162" spans="31:31">
      <c r="AE50162" s="54"/>
    </row>
    <row r="50163" spans="31:31">
      <c r="AE50163" s="54"/>
    </row>
    <row r="50164" spans="31:31">
      <c r="AE50164" s="54"/>
    </row>
    <row r="50165" spans="31:31">
      <c r="AE50165" s="54"/>
    </row>
    <row r="50166" spans="31:31">
      <c r="AE50166" s="54"/>
    </row>
    <row r="50167" spans="31:31">
      <c r="AE50167" s="54"/>
    </row>
    <row r="50168" spans="31:31">
      <c r="AE50168" s="54"/>
    </row>
    <row r="50169" spans="31:31">
      <c r="AE50169" s="54"/>
    </row>
    <row r="50170" spans="31:31">
      <c r="AE50170" s="54"/>
    </row>
    <row r="50171" spans="31:31">
      <c r="AE50171" s="54"/>
    </row>
    <row r="50172" spans="31:31">
      <c r="AE50172" s="54"/>
    </row>
    <row r="50173" spans="31:31">
      <c r="AE50173" s="54"/>
    </row>
    <row r="50174" spans="31:31">
      <c r="AE50174" s="54"/>
    </row>
    <row r="50175" spans="31:31">
      <c r="AE50175" s="54"/>
    </row>
    <row r="50176" spans="31:31">
      <c r="AE50176" s="54"/>
    </row>
    <row r="50177" spans="31:31">
      <c r="AE50177" s="54"/>
    </row>
    <row r="50178" spans="31:31">
      <c r="AE50178" s="54"/>
    </row>
    <row r="50179" spans="31:31">
      <c r="AE50179" s="54"/>
    </row>
    <row r="50180" spans="31:31">
      <c r="AE50180" s="54"/>
    </row>
    <row r="50181" spans="31:31">
      <c r="AE50181" s="54"/>
    </row>
    <row r="50182" spans="31:31">
      <c r="AE50182" s="54"/>
    </row>
    <row r="50183" spans="31:31">
      <c r="AE50183" s="54"/>
    </row>
    <row r="50184" spans="31:31">
      <c r="AE50184" s="54"/>
    </row>
    <row r="50185" spans="31:31">
      <c r="AE50185" s="54"/>
    </row>
    <row r="50186" spans="31:31">
      <c r="AE50186" s="54"/>
    </row>
    <row r="50187" spans="31:31">
      <c r="AE50187" s="54"/>
    </row>
    <row r="50188" spans="31:31">
      <c r="AE50188" s="54"/>
    </row>
    <row r="50189" spans="31:31">
      <c r="AE50189" s="54"/>
    </row>
    <row r="50190" spans="31:31">
      <c r="AE50190" s="54"/>
    </row>
    <row r="50191" spans="31:31">
      <c r="AE50191" s="54"/>
    </row>
    <row r="50192" spans="31:31">
      <c r="AE50192" s="54"/>
    </row>
    <row r="50193" spans="31:31">
      <c r="AE50193" s="54"/>
    </row>
    <row r="50194" spans="31:31">
      <c r="AE50194" s="54"/>
    </row>
    <row r="50195" spans="31:31">
      <c r="AE50195" s="54"/>
    </row>
    <row r="50196" spans="31:31">
      <c r="AE50196" s="54"/>
    </row>
    <row r="50197" spans="31:31">
      <c r="AE50197" s="54"/>
    </row>
    <row r="50198" spans="31:31">
      <c r="AE50198" s="54"/>
    </row>
    <row r="50199" spans="31:31">
      <c r="AE50199" s="54"/>
    </row>
    <row r="50200" spans="31:31">
      <c r="AE50200" s="54"/>
    </row>
    <row r="50201" spans="31:31">
      <c r="AE50201" s="54"/>
    </row>
    <row r="50202" spans="31:31">
      <c r="AE50202" s="54"/>
    </row>
    <row r="50203" spans="31:31">
      <c r="AE50203" s="54"/>
    </row>
    <row r="50204" spans="31:31">
      <c r="AE50204" s="54"/>
    </row>
    <row r="50205" spans="31:31">
      <c r="AE50205" s="54"/>
    </row>
    <row r="50206" spans="31:31">
      <c r="AE50206" s="54"/>
    </row>
    <row r="50207" spans="31:31">
      <c r="AE50207" s="54"/>
    </row>
    <row r="50208" spans="31:31">
      <c r="AE50208" s="54"/>
    </row>
    <row r="50209" spans="31:31">
      <c r="AE50209" s="54"/>
    </row>
    <row r="50210" spans="31:31">
      <c r="AE50210" s="54"/>
    </row>
    <row r="50211" spans="31:31">
      <c r="AE50211" s="54"/>
    </row>
    <row r="50212" spans="31:31">
      <c r="AE50212" s="54"/>
    </row>
    <row r="50213" spans="31:31">
      <c r="AE50213" s="54"/>
    </row>
    <row r="50214" spans="31:31">
      <c r="AE50214" s="54"/>
    </row>
    <row r="50215" spans="31:31">
      <c r="AE50215" s="54"/>
    </row>
    <row r="50216" spans="31:31">
      <c r="AE50216" s="54"/>
    </row>
    <row r="50217" spans="31:31">
      <c r="AE50217" s="54"/>
    </row>
    <row r="50218" spans="31:31">
      <c r="AE50218" s="54"/>
    </row>
    <row r="50219" spans="31:31">
      <c r="AE50219" s="54"/>
    </row>
    <row r="50220" spans="31:31">
      <c r="AE50220" s="54"/>
    </row>
    <row r="50221" spans="31:31">
      <c r="AE50221" s="54"/>
    </row>
    <row r="50222" spans="31:31">
      <c r="AE50222" s="54"/>
    </row>
    <row r="50223" spans="31:31">
      <c r="AE50223" s="54"/>
    </row>
    <row r="50224" spans="31:31">
      <c r="AE50224" s="54"/>
    </row>
    <row r="50225" spans="31:31">
      <c r="AE50225" s="54"/>
    </row>
    <row r="50226" spans="31:31">
      <c r="AE50226" s="54"/>
    </row>
    <row r="50227" spans="31:31">
      <c r="AE50227" s="54"/>
    </row>
    <row r="50228" spans="31:31">
      <c r="AE50228" s="54"/>
    </row>
    <row r="50229" spans="31:31">
      <c r="AE50229" s="54"/>
    </row>
    <row r="50230" spans="31:31">
      <c r="AE50230" s="54"/>
    </row>
    <row r="50231" spans="31:31">
      <c r="AE50231" s="54"/>
    </row>
    <row r="50232" spans="31:31">
      <c r="AE50232" s="54"/>
    </row>
    <row r="50233" spans="31:31">
      <c r="AE50233" s="54"/>
    </row>
    <row r="50234" spans="31:31">
      <c r="AE50234" s="54"/>
    </row>
    <row r="50235" spans="31:31">
      <c r="AE50235" s="54"/>
    </row>
    <row r="50236" spans="31:31">
      <c r="AE50236" s="54"/>
    </row>
    <row r="50237" spans="31:31">
      <c r="AE50237" s="54"/>
    </row>
    <row r="50238" spans="31:31">
      <c r="AE50238" s="54"/>
    </row>
    <row r="50239" spans="31:31">
      <c r="AE50239" s="54"/>
    </row>
    <row r="50240" spans="31:31">
      <c r="AE50240" s="54"/>
    </row>
    <row r="50241" spans="31:31">
      <c r="AE50241" s="54"/>
    </row>
    <row r="50242" spans="31:31">
      <c r="AE50242" s="54"/>
    </row>
    <row r="50243" spans="31:31">
      <c r="AE50243" s="54"/>
    </row>
    <row r="50244" spans="31:31">
      <c r="AE50244" s="54"/>
    </row>
    <row r="50245" spans="31:31">
      <c r="AE50245" s="54"/>
    </row>
    <row r="50246" spans="31:31">
      <c r="AE50246" s="54"/>
    </row>
    <row r="50247" spans="31:31">
      <c r="AE50247" s="54"/>
    </row>
    <row r="50248" spans="31:31">
      <c r="AE50248" s="54"/>
    </row>
    <row r="50249" spans="31:31">
      <c r="AE50249" s="54"/>
    </row>
    <row r="50250" spans="31:31">
      <c r="AE50250" s="54"/>
    </row>
    <row r="50251" spans="31:31">
      <c r="AE50251" s="54"/>
    </row>
    <row r="50252" spans="31:31">
      <c r="AE50252" s="54"/>
    </row>
    <row r="50253" spans="31:31">
      <c r="AE50253" s="54"/>
    </row>
    <row r="50254" spans="31:31">
      <c r="AE50254" s="54"/>
    </row>
    <row r="50255" spans="31:31">
      <c r="AE50255" s="54"/>
    </row>
    <row r="50256" spans="31:31">
      <c r="AE50256" s="54"/>
    </row>
    <row r="50257" spans="31:31">
      <c r="AE50257" s="54"/>
    </row>
    <row r="50258" spans="31:31">
      <c r="AE50258" s="54"/>
    </row>
    <row r="50259" spans="31:31">
      <c r="AE50259" s="54"/>
    </row>
    <row r="50260" spans="31:31">
      <c r="AE50260" s="54"/>
    </row>
    <row r="50261" spans="31:31">
      <c r="AE50261" s="54"/>
    </row>
    <row r="50262" spans="31:31">
      <c r="AE50262" s="54"/>
    </row>
    <row r="50263" spans="31:31">
      <c r="AE50263" s="54"/>
    </row>
    <row r="50264" spans="31:31">
      <c r="AE50264" s="54"/>
    </row>
    <row r="50265" spans="31:31">
      <c r="AE50265" s="54"/>
    </row>
    <row r="50266" spans="31:31">
      <c r="AE50266" s="54"/>
    </row>
    <row r="50267" spans="31:31">
      <c r="AE50267" s="54"/>
    </row>
    <row r="50268" spans="31:31">
      <c r="AE50268" s="54"/>
    </row>
    <row r="50269" spans="31:31">
      <c r="AE50269" s="54"/>
    </row>
    <row r="50270" spans="31:31">
      <c r="AE50270" s="54"/>
    </row>
    <row r="50271" spans="31:31">
      <c r="AE50271" s="54"/>
    </row>
    <row r="50272" spans="31:31">
      <c r="AE50272" s="54"/>
    </row>
    <row r="50273" spans="31:31">
      <c r="AE50273" s="54"/>
    </row>
    <row r="50274" spans="31:31">
      <c r="AE50274" s="54"/>
    </row>
    <row r="50275" spans="31:31">
      <c r="AE50275" s="54"/>
    </row>
    <row r="50276" spans="31:31">
      <c r="AE50276" s="54"/>
    </row>
    <row r="50277" spans="31:31">
      <c r="AE50277" s="54"/>
    </row>
    <row r="50278" spans="31:31">
      <c r="AE50278" s="54"/>
    </row>
    <row r="50279" spans="31:31">
      <c r="AE50279" s="54"/>
    </row>
    <row r="50280" spans="31:31">
      <c r="AE50280" s="54"/>
    </row>
    <row r="50281" spans="31:31">
      <c r="AE50281" s="54"/>
    </row>
    <row r="50282" spans="31:31">
      <c r="AE50282" s="54"/>
    </row>
    <row r="50283" spans="31:31">
      <c r="AE50283" s="54"/>
    </row>
    <row r="50284" spans="31:31">
      <c r="AE50284" s="54"/>
    </row>
    <row r="50285" spans="31:31">
      <c r="AE50285" s="54"/>
    </row>
    <row r="50286" spans="31:31">
      <c r="AE50286" s="54"/>
    </row>
    <row r="50287" spans="31:31">
      <c r="AE50287" s="54"/>
    </row>
    <row r="50288" spans="31:31">
      <c r="AE50288" s="54"/>
    </row>
    <row r="50289" spans="31:31">
      <c r="AE50289" s="54"/>
    </row>
    <row r="50290" spans="31:31">
      <c r="AE50290" s="54"/>
    </row>
    <row r="50291" spans="31:31">
      <c r="AE50291" s="54"/>
    </row>
    <row r="50292" spans="31:31">
      <c r="AE50292" s="54"/>
    </row>
    <row r="50293" spans="31:31">
      <c r="AE50293" s="54"/>
    </row>
    <row r="50294" spans="31:31">
      <c r="AE50294" s="54"/>
    </row>
    <row r="50295" spans="31:31">
      <c r="AE50295" s="54"/>
    </row>
    <row r="50296" spans="31:31">
      <c r="AE50296" s="54"/>
    </row>
    <row r="50297" spans="31:31">
      <c r="AE50297" s="54"/>
    </row>
    <row r="50298" spans="31:31">
      <c r="AE50298" s="54"/>
    </row>
    <row r="50299" spans="31:31">
      <c r="AE50299" s="54"/>
    </row>
    <row r="50300" spans="31:31">
      <c r="AE50300" s="54"/>
    </row>
    <row r="50301" spans="31:31">
      <c r="AE50301" s="54"/>
    </row>
    <row r="50302" spans="31:31">
      <c r="AE50302" s="54"/>
    </row>
    <row r="50303" spans="31:31">
      <c r="AE50303" s="54"/>
    </row>
    <row r="50304" spans="31:31">
      <c r="AE50304" s="54"/>
    </row>
    <row r="50305" spans="31:31">
      <c r="AE50305" s="54"/>
    </row>
    <row r="50306" spans="31:31">
      <c r="AE50306" s="54"/>
    </row>
    <row r="50307" spans="31:31">
      <c r="AE50307" s="54"/>
    </row>
    <row r="50308" spans="31:31">
      <c r="AE50308" s="54"/>
    </row>
    <row r="50309" spans="31:31">
      <c r="AE50309" s="54"/>
    </row>
    <row r="50310" spans="31:31">
      <c r="AE50310" s="54"/>
    </row>
    <row r="50311" spans="31:31">
      <c r="AE50311" s="54"/>
    </row>
    <row r="50312" spans="31:31">
      <c r="AE50312" s="54"/>
    </row>
    <row r="50313" spans="31:31">
      <c r="AE50313" s="54"/>
    </row>
    <row r="50314" spans="31:31">
      <c r="AE50314" s="54"/>
    </row>
    <row r="50315" spans="31:31">
      <c r="AE50315" s="54"/>
    </row>
    <row r="50316" spans="31:31">
      <c r="AE50316" s="54"/>
    </row>
    <row r="50317" spans="31:31">
      <c r="AE50317" s="54"/>
    </row>
    <row r="50318" spans="31:31">
      <c r="AE50318" s="54"/>
    </row>
    <row r="50319" spans="31:31">
      <c r="AE50319" s="54"/>
    </row>
    <row r="50320" spans="31:31">
      <c r="AE50320" s="54"/>
    </row>
    <row r="50321" spans="31:31">
      <c r="AE50321" s="54"/>
    </row>
    <row r="50322" spans="31:31">
      <c r="AE50322" s="54"/>
    </row>
    <row r="50323" spans="31:31">
      <c r="AE50323" s="54"/>
    </row>
    <row r="50324" spans="31:31">
      <c r="AE50324" s="54"/>
    </row>
    <row r="50325" spans="31:31">
      <c r="AE50325" s="54"/>
    </row>
    <row r="50326" spans="31:31">
      <c r="AE50326" s="54"/>
    </row>
    <row r="50327" spans="31:31">
      <c r="AE50327" s="54"/>
    </row>
    <row r="50328" spans="31:31">
      <c r="AE50328" s="54"/>
    </row>
    <row r="50329" spans="31:31">
      <c r="AE50329" s="54"/>
    </row>
    <row r="50330" spans="31:31">
      <c r="AE50330" s="54"/>
    </row>
    <row r="50331" spans="31:31">
      <c r="AE50331" s="54"/>
    </row>
    <row r="50332" spans="31:31">
      <c r="AE50332" s="54"/>
    </row>
    <row r="50333" spans="31:31">
      <c r="AE50333" s="54"/>
    </row>
    <row r="50334" spans="31:31">
      <c r="AE50334" s="54"/>
    </row>
    <row r="50335" spans="31:31">
      <c r="AE50335" s="54"/>
    </row>
    <row r="50336" spans="31:31">
      <c r="AE50336" s="54"/>
    </row>
    <row r="50337" spans="31:31">
      <c r="AE50337" s="54"/>
    </row>
    <row r="50338" spans="31:31">
      <c r="AE50338" s="54"/>
    </row>
    <row r="50339" spans="31:31">
      <c r="AE50339" s="54"/>
    </row>
    <row r="50340" spans="31:31">
      <c r="AE50340" s="54"/>
    </row>
    <row r="50341" spans="31:31">
      <c r="AE50341" s="54"/>
    </row>
    <row r="50342" spans="31:31">
      <c r="AE50342" s="54"/>
    </row>
    <row r="50343" spans="31:31">
      <c r="AE50343" s="54"/>
    </row>
    <row r="50344" spans="31:31">
      <c r="AE50344" s="54"/>
    </row>
    <row r="50345" spans="31:31">
      <c r="AE50345" s="54"/>
    </row>
    <row r="50346" spans="31:31">
      <c r="AE50346" s="54"/>
    </row>
    <row r="50347" spans="31:31">
      <c r="AE50347" s="54"/>
    </row>
    <row r="50348" spans="31:31">
      <c r="AE50348" s="54"/>
    </row>
    <row r="50349" spans="31:31">
      <c r="AE50349" s="54"/>
    </row>
    <row r="50350" spans="31:31">
      <c r="AE50350" s="54"/>
    </row>
    <row r="50351" spans="31:31">
      <c r="AE50351" s="54"/>
    </row>
    <row r="50352" spans="31:31">
      <c r="AE50352" s="54"/>
    </row>
    <row r="50353" spans="31:31">
      <c r="AE50353" s="54"/>
    </row>
    <row r="50354" spans="31:31">
      <c r="AE50354" s="54"/>
    </row>
    <row r="50355" spans="31:31">
      <c r="AE50355" s="54"/>
    </row>
    <row r="50356" spans="31:31">
      <c r="AE50356" s="54"/>
    </row>
    <row r="50357" spans="31:31">
      <c r="AE50357" s="54"/>
    </row>
    <row r="50358" spans="31:31">
      <c r="AE50358" s="54"/>
    </row>
    <row r="50359" spans="31:31">
      <c r="AE50359" s="54"/>
    </row>
    <row r="50360" spans="31:31">
      <c r="AE50360" s="54"/>
    </row>
    <row r="50361" spans="31:31">
      <c r="AE50361" s="54"/>
    </row>
    <row r="50362" spans="31:31">
      <c r="AE50362" s="54"/>
    </row>
    <row r="50363" spans="31:31">
      <c r="AE50363" s="54"/>
    </row>
    <row r="50364" spans="31:31">
      <c r="AE50364" s="54"/>
    </row>
    <row r="50365" spans="31:31">
      <c r="AE50365" s="54"/>
    </row>
    <row r="50366" spans="31:31">
      <c r="AE50366" s="54"/>
    </row>
    <row r="50367" spans="31:31">
      <c r="AE50367" s="54"/>
    </row>
    <row r="50368" spans="31:31">
      <c r="AE50368" s="54"/>
    </row>
    <row r="50369" spans="31:31">
      <c r="AE50369" s="54"/>
    </row>
    <row r="50370" spans="31:31">
      <c r="AE50370" s="54"/>
    </row>
    <row r="50371" spans="31:31">
      <c r="AE50371" s="54"/>
    </row>
    <row r="50372" spans="31:31">
      <c r="AE50372" s="54"/>
    </row>
    <row r="50373" spans="31:31">
      <c r="AE50373" s="54"/>
    </row>
    <row r="50374" spans="31:31">
      <c r="AE50374" s="54"/>
    </row>
    <row r="50375" spans="31:31">
      <c r="AE50375" s="54"/>
    </row>
    <row r="50376" spans="31:31">
      <c r="AE50376" s="54"/>
    </row>
    <row r="50377" spans="31:31">
      <c r="AE50377" s="54"/>
    </row>
    <row r="50378" spans="31:31">
      <c r="AE50378" s="54"/>
    </row>
    <row r="50379" spans="31:31">
      <c r="AE50379" s="54"/>
    </row>
    <row r="50380" spans="31:31">
      <c r="AE50380" s="54"/>
    </row>
    <row r="50381" spans="31:31">
      <c r="AE50381" s="54"/>
    </row>
    <row r="50382" spans="31:31">
      <c r="AE50382" s="54"/>
    </row>
    <row r="50383" spans="31:31">
      <c r="AE50383" s="54"/>
    </row>
    <row r="50384" spans="31:31">
      <c r="AE50384" s="54"/>
    </row>
    <row r="50385" spans="31:31">
      <c r="AE50385" s="54"/>
    </row>
    <row r="50386" spans="31:31">
      <c r="AE50386" s="54"/>
    </row>
    <row r="50387" spans="31:31">
      <c r="AE50387" s="54"/>
    </row>
    <row r="50388" spans="31:31">
      <c r="AE50388" s="54"/>
    </row>
    <row r="50389" spans="31:31">
      <c r="AE50389" s="54"/>
    </row>
    <row r="50390" spans="31:31">
      <c r="AE50390" s="54"/>
    </row>
    <row r="50391" spans="31:31">
      <c r="AE50391" s="54"/>
    </row>
    <row r="50392" spans="31:31">
      <c r="AE50392" s="54"/>
    </row>
    <row r="50393" spans="31:31">
      <c r="AE50393" s="54"/>
    </row>
    <row r="50394" spans="31:31">
      <c r="AE50394" s="54"/>
    </row>
    <row r="50395" spans="31:31">
      <c r="AE50395" s="54"/>
    </row>
    <row r="50396" spans="31:31">
      <c r="AE50396" s="54"/>
    </row>
    <row r="50397" spans="31:31">
      <c r="AE50397" s="54"/>
    </row>
    <row r="50398" spans="31:31">
      <c r="AE50398" s="54"/>
    </row>
    <row r="50399" spans="31:31">
      <c r="AE50399" s="54"/>
    </row>
    <row r="50400" spans="31:31">
      <c r="AE50400" s="54"/>
    </row>
    <row r="50401" spans="31:31">
      <c r="AE50401" s="54"/>
    </row>
    <row r="50402" spans="31:31">
      <c r="AE50402" s="54"/>
    </row>
    <row r="50403" spans="31:31">
      <c r="AE50403" s="54"/>
    </row>
    <row r="50404" spans="31:31">
      <c r="AE50404" s="54"/>
    </row>
    <row r="50405" spans="31:31">
      <c r="AE50405" s="54"/>
    </row>
    <row r="50406" spans="31:31">
      <c r="AE50406" s="54"/>
    </row>
    <row r="50407" spans="31:31">
      <c r="AE50407" s="54"/>
    </row>
    <row r="50408" spans="31:31">
      <c r="AE50408" s="54"/>
    </row>
    <row r="50409" spans="31:31">
      <c r="AE50409" s="54"/>
    </row>
    <row r="50410" spans="31:31">
      <c r="AE50410" s="54"/>
    </row>
    <row r="50411" spans="31:31">
      <c r="AE50411" s="54"/>
    </row>
    <row r="50412" spans="31:31">
      <c r="AE50412" s="54"/>
    </row>
    <row r="50413" spans="31:31">
      <c r="AE50413" s="54"/>
    </row>
    <row r="50414" spans="31:31">
      <c r="AE50414" s="54"/>
    </row>
    <row r="50415" spans="31:31">
      <c r="AE50415" s="54"/>
    </row>
    <row r="50416" spans="31:31">
      <c r="AE50416" s="54"/>
    </row>
    <row r="50417" spans="31:31">
      <c r="AE50417" s="54"/>
    </row>
    <row r="50418" spans="31:31">
      <c r="AE50418" s="54"/>
    </row>
    <row r="50419" spans="31:31">
      <c r="AE50419" s="54"/>
    </row>
    <row r="50420" spans="31:31">
      <c r="AE50420" s="54"/>
    </row>
    <row r="50421" spans="31:31">
      <c r="AE50421" s="54"/>
    </row>
    <row r="50422" spans="31:31">
      <c r="AE50422" s="54"/>
    </row>
    <row r="50423" spans="31:31">
      <c r="AE50423" s="54"/>
    </row>
    <row r="50424" spans="31:31">
      <c r="AE50424" s="54"/>
    </row>
    <row r="50425" spans="31:31">
      <c r="AE50425" s="54"/>
    </row>
    <row r="50426" spans="31:31">
      <c r="AE50426" s="54"/>
    </row>
    <row r="50427" spans="31:31">
      <c r="AE50427" s="54"/>
    </row>
    <row r="50428" spans="31:31">
      <c r="AE50428" s="54"/>
    </row>
    <row r="50429" spans="31:31">
      <c r="AE50429" s="54"/>
    </row>
    <row r="50430" spans="31:31">
      <c r="AE50430" s="54"/>
    </row>
    <row r="50431" spans="31:31">
      <c r="AE50431" s="54"/>
    </row>
    <row r="50432" spans="31:31">
      <c r="AE50432" s="54"/>
    </row>
    <row r="50433" spans="31:31">
      <c r="AE50433" s="54"/>
    </row>
    <row r="50434" spans="31:31">
      <c r="AE50434" s="54"/>
    </row>
    <row r="50435" spans="31:31">
      <c r="AE50435" s="54"/>
    </row>
    <row r="50436" spans="31:31">
      <c r="AE50436" s="54"/>
    </row>
    <row r="50437" spans="31:31">
      <c r="AE50437" s="54"/>
    </row>
    <row r="50438" spans="31:31">
      <c r="AE50438" s="54"/>
    </row>
    <row r="50439" spans="31:31">
      <c r="AE50439" s="54"/>
    </row>
    <row r="50440" spans="31:31">
      <c r="AE50440" s="54"/>
    </row>
    <row r="50441" spans="31:31">
      <c r="AE50441" s="54"/>
    </row>
    <row r="50442" spans="31:31">
      <c r="AE50442" s="54"/>
    </row>
    <row r="50443" spans="31:31">
      <c r="AE50443" s="54"/>
    </row>
    <row r="50444" spans="31:31">
      <c r="AE50444" s="54"/>
    </row>
    <row r="50445" spans="31:31">
      <c r="AE50445" s="54"/>
    </row>
    <row r="50446" spans="31:31">
      <c r="AE50446" s="54"/>
    </row>
    <row r="50447" spans="31:31">
      <c r="AE50447" s="54"/>
    </row>
    <row r="50448" spans="31:31">
      <c r="AE50448" s="54"/>
    </row>
    <row r="50449" spans="31:31">
      <c r="AE50449" s="54"/>
    </row>
    <row r="50450" spans="31:31">
      <c r="AE50450" s="54"/>
    </row>
    <row r="50451" spans="31:31">
      <c r="AE50451" s="54"/>
    </row>
    <row r="50452" spans="31:31">
      <c r="AE50452" s="54"/>
    </row>
    <row r="50453" spans="31:31">
      <c r="AE50453" s="54"/>
    </row>
    <row r="50454" spans="31:31">
      <c r="AE50454" s="54"/>
    </row>
    <row r="50455" spans="31:31">
      <c r="AE50455" s="54"/>
    </row>
    <row r="50456" spans="31:31">
      <c r="AE50456" s="54"/>
    </row>
    <row r="50457" spans="31:31">
      <c r="AE50457" s="54"/>
    </row>
    <row r="50458" spans="31:31">
      <c r="AE50458" s="54"/>
    </row>
    <row r="50459" spans="31:31">
      <c r="AE50459" s="54"/>
    </row>
    <row r="50460" spans="31:31">
      <c r="AE50460" s="54"/>
    </row>
    <row r="50461" spans="31:31">
      <c r="AE50461" s="54"/>
    </row>
    <row r="50462" spans="31:31">
      <c r="AE50462" s="54"/>
    </row>
    <row r="50463" spans="31:31">
      <c r="AE50463" s="54"/>
    </row>
    <row r="50464" spans="31:31">
      <c r="AE50464" s="54"/>
    </row>
    <row r="50465" spans="31:31">
      <c r="AE50465" s="54"/>
    </row>
    <row r="50466" spans="31:31">
      <c r="AE50466" s="54"/>
    </row>
    <row r="50467" spans="31:31">
      <c r="AE50467" s="54"/>
    </row>
    <row r="50468" spans="31:31">
      <c r="AE50468" s="54"/>
    </row>
    <row r="50469" spans="31:31">
      <c r="AE50469" s="54"/>
    </row>
    <row r="50470" spans="31:31">
      <c r="AE50470" s="54"/>
    </row>
    <row r="50471" spans="31:31">
      <c r="AE50471" s="54"/>
    </row>
    <row r="50472" spans="31:31">
      <c r="AE50472" s="54"/>
    </row>
    <row r="50473" spans="31:31">
      <c r="AE50473" s="54"/>
    </row>
    <row r="50474" spans="31:31">
      <c r="AE50474" s="54"/>
    </row>
    <row r="50475" spans="31:31">
      <c r="AE50475" s="54"/>
    </row>
    <row r="50476" spans="31:31">
      <c r="AE50476" s="54"/>
    </row>
    <row r="50477" spans="31:31">
      <c r="AE50477" s="54"/>
    </row>
    <row r="50478" spans="31:31">
      <c r="AE50478" s="54"/>
    </row>
    <row r="50479" spans="31:31">
      <c r="AE50479" s="54"/>
    </row>
    <row r="50480" spans="31:31">
      <c r="AE50480" s="54"/>
    </row>
    <row r="50481" spans="31:31">
      <c r="AE50481" s="54"/>
    </row>
    <row r="50482" spans="31:31">
      <c r="AE50482" s="54"/>
    </row>
    <row r="50483" spans="31:31">
      <c r="AE50483" s="54"/>
    </row>
    <row r="50484" spans="31:31">
      <c r="AE50484" s="54"/>
    </row>
    <row r="50485" spans="31:31">
      <c r="AE50485" s="54"/>
    </row>
    <row r="50486" spans="31:31">
      <c r="AE50486" s="54"/>
    </row>
    <row r="50487" spans="31:31">
      <c r="AE50487" s="54"/>
    </row>
    <row r="50488" spans="31:31">
      <c r="AE50488" s="54"/>
    </row>
    <row r="50489" spans="31:31">
      <c r="AE50489" s="54"/>
    </row>
    <row r="50490" spans="31:31">
      <c r="AE50490" s="54"/>
    </row>
    <row r="50491" spans="31:31">
      <c r="AE50491" s="54"/>
    </row>
    <row r="50492" spans="31:31">
      <c r="AE50492" s="54"/>
    </row>
    <row r="50493" spans="31:31">
      <c r="AE50493" s="54"/>
    </row>
    <row r="50494" spans="31:31">
      <c r="AE50494" s="54"/>
    </row>
    <row r="50495" spans="31:31">
      <c r="AE50495" s="54"/>
    </row>
    <row r="50496" spans="31:31">
      <c r="AE50496" s="54"/>
    </row>
    <row r="50497" spans="31:31">
      <c r="AE50497" s="54"/>
    </row>
    <row r="50498" spans="31:31">
      <c r="AE50498" s="54"/>
    </row>
    <row r="50499" spans="31:31">
      <c r="AE50499" s="54"/>
    </row>
    <row r="50500" spans="31:31">
      <c r="AE50500" s="54"/>
    </row>
    <row r="50501" spans="31:31">
      <c r="AE50501" s="54"/>
    </row>
    <row r="50502" spans="31:31">
      <c r="AE50502" s="54"/>
    </row>
    <row r="50503" spans="31:31">
      <c r="AE50503" s="54"/>
    </row>
    <row r="50504" spans="31:31">
      <c r="AE50504" s="54"/>
    </row>
    <row r="50505" spans="31:31">
      <c r="AE50505" s="54"/>
    </row>
    <row r="50506" spans="31:31">
      <c r="AE50506" s="54"/>
    </row>
    <row r="50507" spans="31:31">
      <c r="AE50507" s="54"/>
    </row>
    <row r="50508" spans="31:31">
      <c r="AE50508" s="54"/>
    </row>
    <row r="50509" spans="31:31">
      <c r="AE50509" s="54"/>
    </row>
    <row r="50510" spans="31:31">
      <c r="AE50510" s="54"/>
    </row>
    <row r="50511" spans="31:31">
      <c r="AE50511" s="54"/>
    </row>
    <row r="50512" spans="31:31">
      <c r="AE50512" s="54"/>
    </row>
    <row r="50513" spans="31:31">
      <c r="AE50513" s="54"/>
    </row>
    <row r="50514" spans="31:31">
      <c r="AE50514" s="54"/>
    </row>
    <row r="50515" spans="31:31">
      <c r="AE50515" s="54"/>
    </row>
    <row r="50516" spans="31:31">
      <c r="AE50516" s="54"/>
    </row>
    <row r="50517" spans="31:31">
      <c r="AE50517" s="54"/>
    </row>
    <row r="50518" spans="31:31">
      <c r="AE50518" s="54"/>
    </row>
    <row r="50519" spans="31:31">
      <c r="AE50519" s="54"/>
    </row>
    <row r="50520" spans="31:31">
      <c r="AE50520" s="54"/>
    </row>
    <row r="50521" spans="31:31">
      <c r="AE50521" s="54"/>
    </row>
    <row r="50522" spans="31:31">
      <c r="AE50522" s="54"/>
    </row>
    <row r="50523" spans="31:31">
      <c r="AE50523" s="54"/>
    </row>
    <row r="50524" spans="31:31">
      <c r="AE50524" s="54"/>
    </row>
    <row r="50525" spans="31:31">
      <c r="AE50525" s="54"/>
    </row>
    <row r="50526" spans="31:31">
      <c r="AE50526" s="54"/>
    </row>
    <row r="50527" spans="31:31">
      <c r="AE50527" s="54"/>
    </row>
    <row r="50528" spans="31:31">
      <c r="AE50528" s="54"/>
    </row>
    <row r="50529" spans="31:31">
      <c r="AE50529" s="54"/>
    </row>
    <row r="50530" spans="31:31">
      <c r="AE50530" s="54"/>
    </row>
    <row r="50531" spans="31:31">
      <c r="AE50531" s="54"/>
    </row>
    <row r="50532" spans="31:31">
      <c r="AE50532" s="54"/>
    </row>
    <row r="50533" spans="31:31">
      <c r="AE50533" s="54"/>
    </row>
    <row r="50534" spans="31:31">
      <c r="AE50534" s="54"/>
    </row>
    <row r="50535" spans="31:31">
      <c r="AE50535" s="54"/>
    </row>
    <row r="50536" spans="31:31">
      <c r="AE50536" s="54"/>
    </row>
    <row r="50537" spans="31:31">
      <c r="AE50537" s="54"/>
    </row>
    <row r="50538" spans="31:31">
      <c r="AE50538" s="54"/>
    </row>
    <row r="50539" spans="31:31">
      <c r="AE50539" s="54"/>
    </row>
    <row r="50540" spans="31:31">
      <c r="AE50540" s="54"/>
    </row>
    <row r="50541" spans="31:31">
      <c r="AE50541" s="54"/>
    </row>
    <row r="50542" spans="31:31">
      <c r="AE50542" s="54"/>
    </row>
    <row r="50543" spans="31:31">
      <c r="AE50543" s="54"/>
    </row>
    <row r="50544" spans="31:31">
      <c r="AE50544" s="54"/>
    </row>
    <row r="50545" spans="31:31">
      <c r="AE50545" s="54"/>
    </row>
    <row r="50546" spans="31:31">
      <c r="AE50546" s="54"/>
    </row>
    <row r="50547" spans="31:31">
      <c r="AE50547" s="54"/>
    </row>
    <row r="50548" spans="31:31">
      <c r="AE50548" s="54"/>
    </row>
    <row r="50549" spans="31:31">
      <c r="AE50549" s="54"/>
    </row>
    <row r="50550" spans="31:31">
      <c r="AE50550" s="54"/>
    </row>
    <row r="50551" spans="31:31">
      <c r="AE50551" s="54"/>
    </row>
    <row r="50552" spans="31:31">
      <c r="AE50552" s="54"/>
    </row>
    <row r="50553" spans="31:31">
      <c r="AE50553" s="54"/>
    </row>
    <row r="50554" spans="31:31">
      <c r="AE50554" s="54"/>
    </row>
    <row r="50555" spans="31:31">
      <c r="AE50555" s="54"/>
    </row>
    <row r="50556" spans="31:31">
      <c r="AE50556" s="54"/>
    </row>
    <row r="50557" spans="31:31">
      <c r="AE50557" s="54"/>
    </row>
    <row r="50558" spans="31:31">
      <c r="AE50558" s="54"/>
    </row>
    <row r="50559" spans="31:31">
      <c r="AE50559" s="54"/>
    </row>
    <row r="50560" spans="31:31">
      <c r="AE50560" s="54"/>
    </row>
    <row r="50561" spans="31:31">
      <c r="AE50561" s="54"/>
    </row>
    <row r="50562" spans="31:31">
      <c r="AE50562" s="54"/>
    </row>
    <row r="50563" spans="31:31">
      <c r="AE50563" s="54"/>
    </row>
    <row r="50564" spans="31:31">
      <c r="AE50564" s="54"/>
    </row>
    <row r="50565" spans="31:31">
      <c r="AE50565" s="54"/>
    </row>
    <row r="50566" spans="31:31">
      <c r="AE50566" s="54"/>
    </row>
    <row r="50567" spans="31:31">
      <c r="AE50567" s="54"/>
    </row>
    <row r="50568" spans="31:31">
      <c r="AE50568" s="54"/>
    </row>
    <row r="50569" spans="31:31">
      <c r="AE50569" s="54"/>
    </row>
    <row r="50570" spans="31:31">
      <c r="AE50570" s="54"/>
    </row>
    <row r="50571" spans="31:31">
      <c r="AE50571" s="54"/>
    </row>
    <row r="50572" spans="31:31">
      <c r="AE50572" s="54"/>
    </row>
    <row r="50573" spans="31:31">
      <c r="AE50573" s="54"/>
    </row>
    <row r="50574" spans="31:31">
      <c r="AE50574" s="54"/>
    </row>
    <row r="50575" spans="31:31">
      <c r="AE50575" s="54"/>
    </row>
    <row r="50576" spans="31:31">
      <c r="AE50576" s="54"/>
    </row>
    <row r="50577" spans="31:31">
      <c r="AE50577" s="54"/>
    </row>
    <row r="50578" spans="31:31">
      <c r="AE50578" s="54"/>
    </row>
    <row r="50579" spans="31:31">
      <c r="AE50579" s="54"/>
    </row>
    <row r="50580" spans="31:31">
      <c r="AE50580" s="54"/>
    </row>
    <row r="50581" spans="31:31">
      <c r="AE50581" s="54"/>
    </row>
    <row r="50582" spans="31:31">
      <c r="AE50582" s="54"/>
    </row>
    <row r="50583" spans="31:31">
      <c r="AE50583" s="54"/>
    </row>
    <row r="50584" spans="31:31">
      <c r="AE50584" s="54"/>
    </row>
    <row r="50585" spans="31:31">
      <c r="AE50585" s="54"/>
    </row>
    <row r="50586" spans="31:31">
      <c r="AE50586" s="54"/>
    </row>
    <row r="50587" spans="31:31">
      <c r="AE50587" s="54"/>
    </row>
    <row r="50588" spans="31:31">
      <c r="AE50588" s="54"/>
    </row>
    <row r="50589" spans="31:31">
      <c r="AE50589" s="54"/>
    </row>
    <row r="50590" spans="31:31">
      <c r="AE50590" s="54"/>
    </row>
    <row r="50591" spans="31:31">
      <c r="AE50591" s="54"/>
    </row>
    <row r="50592" spans="31:31">
      <c r="AE50592" s="54"/>
    </row>
    <row r="50593" spans="31:31">
      <c r="AE50593" s="54"/>
    </row>
    <row r="50594" spans="31:31">
      <c r="AE50594" s="54"/>
    </row>
    <row r="50595" spans="31:31">
      <c r="AE50595" s="54"/>
    </row>
    <row r="50596" spans="31:31">
      <c r="AE50596" s="54"/>
    </row>
    <row r="50597" spans="31:31">
      <c r="AE50597" s="54"/>
    </row>
    <row r="50598" spans="31:31">
      <c r="AE50598" s="54"/>
    </row>
    <row r="50599" spans="31:31">
      <c r="AE50599" s="54"/>
    </row>
    <row r="50600" spans="31:31">
      <c r="AE50600" s="54"/>
    </row>
    <row r="50601" spans="31:31">
      <c r="AE50601" s="54"/>
    </row>
    <row r="50602" spans="31:31">
      <c r="AE50602" s="54"/>
    </row>
    <row r="50603" spans="31:31">
      <c r="AE50603" s="54"/>
    </row>
    <row r="50604" spans="31:31">
      <c r="AE50604" s="54"/>
    </row>
    <row r="50605" spans="31:31">
      <c r="AE50605" s="54"/>
    </row>
    <row r="50606" spans="31:31">
      <c r="AE50606" s="54"/>
    </row>
    <row r="50607" spans="31:31">
      <c r="AE50607" s="54"/>
    </row>
    <row r="50608" spans="31:31">
      <c r="AE50608" s="54"/>
    </row>
    <row r="50609" spans="31:31">
      <c r="AE50609" s="54"/>
    </row>
    <row r="50610" spans="31:31">
      <c r="AE50610" s="54"/>
    </row>
    <row r="50611" spans="31:31">
      <c r="AE50611" s="54"/>
    </row>
    <row r="50612" spans="31:31">
      <c r="AE50612" s="54"/>
    </row>
    <row r="50613" spans="31:31">
      <c r="AE50613" s="54"/>
    </row>
    <row r="50614" spans="31:31">
      <c r="AE50614" s="54"/>
    </row>
    <row r="50615" spans="31:31">
      <c r="AE50615" s="54"/>
    </row>
    <row r="50616" spans="31:31">
      <c r="AE50616" s="54"/>
    </row>
    <row r="50617" spans="31:31">
      <c r="AE50617" s="54"/>
    </row>
    <row r="50618" spans="31:31">
      <c r="AE50618" s="54"/>
    </row>
    <row r="50619" spans="31:31">
      <c r="AE50619" s="54"/>
    </row>
    <row r="50620" spans="31:31">
      <c r="AE50620" s="54"/>
    </row>
    <row r="50621" spans="31:31">
      <c r="AE50621" s="54"/>
    </row>
    <row r="50622" spans="31:31">
      <c r="AE50622" s="54"/>
    </row>
    <row r="50623" spans="31:31">
      <c r="AE50623" s="54"/>
    </row>
    <row r="50624" spans="31:31">
      <c r="AE50624" s="54"/>
    </row>
    <row r="50625" spans="31:31">
      <c r="AE50625" s="54"/>
    </row>
    <row r="50626" spans="31:31">
      <c r="AE50626" s="54"/>
    </row>
    <row r="50627" spans="31:31">
      <c r="AE50627" s="54"/>
    </row>
    <row r="50628" spans="31:31">
      <c r="AE50628" s="54"/>
    </row>
    <row r="50629" spans="31:31">
      <c r="AE50629" s="54"/>
    </row>
    <row r="50630" spans="31:31">
      <c r="AE50630" s="54"/>
    </row>
    <row r="50631" spans="31:31">
      <c r="AE50631" s="54"/>
    </row>
    <row r="50632" spans="31:31">
      <c r="AE50632" s="54"/>
    </row>
    <row r="50633" spans="31:31">
      <c r="AE50633" s="54"/>
    </row>
    <row r="50634" spans="31:31">
      <c r="AE50634" s="54"/>
    </row>
    <row r="50635" spans="31:31">
      <c r="AE50635" s="54"/>
    </row>
    <row r="50636" spans="31:31">
      <c r="AE50636" s="54"/>
    </row>
    <row r="50637" spans="31:31">
      <c r="AE50637" s="54"/>
    </row>
    <row r="50638" spans="31:31">
      <c r="AE50638" s="54"/>
    </row>
    <row r="50639" spans="31:31">
      <c r="AE50639" s="54"/>
    </row>
    <row r="50640" spans="31:31">
      <c r="AE50640" s="54"/>
    </row>
    <row r="50641" spans="31:31">
      <c r="AE50641" s="54"/>
    </row>
    <row r="50642" spans="31:31">
      <c r="AE50642" s="54"/>
    </row>
    <row r="50643" spans="31:31">
      <c r="AE50643" s="54"/>
    </row>
    <row r="50644" spans="31:31">
      <c r="AE50644" s="54"/>
    </row>
    <row r="50645" spans="31:31">
      <c r="AE50645" s="54"/>
    </row>
    <row r="50646" spans="31:31">
      <c r="AE50646" s="54"/>
    </row>
    <row r="50647" spans="31:31">
      <c r="AE50647" s="54"/>
    </row>
    <row r="50648" spans="31:31">
      <c r="AE50648" s="54"/>
    </row>
    <row r="50649" spans="31:31">
      <c r="AE50649" s="54"/>
    </row>
    <row r="50650" spans="31:31">
      <c r="AE50650" s="54"/>
    </row>
    <row r="50651" spans="31:31">
      <c r="AE50651" s="54"/>
    </row>
    <row r="50652" spans="31:31">
      <c r="AE50652" s="54"/>
    </row>
    <row r="50653" spans="31:31">
      <c r="AE50653" s="54"/>
    </row>
    <row r="50654" spans="31:31">
      <c r="AE50654" s="54"/>
    </row>
    <row r="50655" spans="31:31">
      <c r="AE50655" s="54"/>
    </row>
    <row r="50656" spans="31:31">
      <c r="AE50656" s="54"/>
    </row>
    <row r="50657" spans="31:31">
      <c r="AE50657" s="54"/>
    </row>
    <row r="50658" spans="31:31">
      <c r="AE50658" s="54"/>
    </row>
    <row r="50659" spans="31:31">
      <c r="AE50659" s="54"/>
    </row>
    <row r="50660" spans="31:31">
      <c r="AE50660" s="54"/>
    </row>
    <row r="50661" spans="31:31">
      <c r="AE50661" s="54"/>
    </row>
    <row r="50662" spans="31:31">
      <c r="AE50662" s="54"/>
    </row>
    <row r="50663" spans="31:31">
      <c r="AE50663" s="54"/>
    </row>
    <row r="50664" spans="31:31">
      <c r="AE50664" s="54"/>
    </row>
    <row r="50665" spans="31:31">
      <c r="AE50665" s="54"/>
    </row>
    <row r="50666" spans="31:31">
      <c r="AE50666" s="54"/>
    </row>
    <row r="50667" spans="31:31">
      <c r="AE50667" s="54"/>
    </row>
    <row r="50668" spans="31:31">
      <c r="AE50668" s="54"/>
    </row>
    <row r="50669" spans="31:31">
      <c r="AE50669" s="54"/>
    </row>
    <row r="50670" spans="31:31">
      <c r="AE50670" s="54"/>
    </row>
    <row r="50671" spans="31:31">
      <c r="AE50671" s="54"/>
    </row>
    <row r="50672" spans="31:31">
      <c r="AE50672" s="54"/>
    </row>
    <row r="50673" spans="31:31">
      <c r="AE50673" s="54"/>
    </row>
    <row r="50674" spans="31:31">
      <c r="AE50674" s="54"/>
    </row>
    <row r="50675" spans="31:31">
      <c r="AE50675" s="54"/>
    </row>
    <row r="50676" spans="31:31">
      <c r="AE50676" s="54"/>
    </row>
    <row r="50677" spans="31:31">
      <c r="AE50677" s="54"/>
    </row>
    <row r="50678" spans="31:31">
      <c r="AE50678" s="54"/>
    </row>
    <row r="50679" spans="31:31">
      <c r="AE50679" s="54"/>
    </row>
    <row r="50680" spans="31:31">
      <c r="AE50680" s="54"/>
    </row>
    <row r="50681" spans="31:31">
      <c r="AE50681" s="54"/>
    </row>
    <row r="50682" spans="31:31">
      <c r="AE50682" s="54"/>
    </row>
    <row r="50683" spans="31:31">
      <c r="AE50683" s="54"/>
    </row>
    <row r="50684" spans="31:31">
      <c r="AE50684" s="54"/>
    </row>
    <row r="50685" spans="31:31">
      <c r="AE50685" s="54"/>
    </row>
    <row r="50686" spans="31:31">
      <c r="AE50686" s="54"/>
    </row>
    <row r="50687" spans="31:31">
      <c r="AE50687" s="54"/>
    </row>
    <row r="50688" spans="31:31">
      <c r="AE50688" s="54"/>
    </row>
    <row r="50689" spans="31:31">
      <c r="AE50689" s="54"/>
    </row>
    <row r="50690" spans="31:31">
      <c r="AE50690" s="54"/>
    </row>
    <row r="50691" spans="31:31">
      <c r="AE50691" s="54"/>
    </row>
    <row r="50692" spans="31:31">
      <c r="AE50692" s="54"/>
    </row>
    <row r="50693" spans="31:31">
      <c r="AE50693" s="54"/>
    </row>
    <row r="50694" spans="31:31">
      <c r="AE50694" s="54"/>
    </row>
    <row r="50695" spans="31:31">
      <c r="AE50695" s="54"/>
    </row>
    <row r="50696" spans="31:31">
      <c r="AE50696" s="54"/>
    </row>
    <row r="50697" spans="31:31">
      <c r="AE50697" s="54"/>
    </row>
    <row r="50698" spans="31:31">
      <c r="AE50698" s="54"/>
    </row>
    <row r="50699" spans="31:31">
      <c r="AE50699" s="54"/>
    </row>
    <row r="50700" spans="31:31">
      <c r="AE50700" s="54"/>
    </row>
    <row r="50701" spans="31:31">
      <c r="AE50701" s="54"/>
    </row>
    <row r="50702" spans="31:31">
      <c r="AE50702" s="54"/>
    </row>
    <row r="50703" spans="31:31">
      <c r="AE50703" s="54"/>
    </row>
    <row r="50704" spans="31:31">
      <c r="AE50704" s="54"/>
    </row>
    <row r="50705" spans="31:31">
      <c r="AE50705" s="54"/>
    </row>
    <row r="50706" spans="31:31">
      <c r="AE50706" s="54"/>
    </row>
    <row r="50707" spans="31:31">
      <c r="AE50707" s="54"/>
    </row>
    <row r="50708" spans="31:31">
      <c r="AE50708" s="54"/>
    </row>
    <row r="50709" spans="31:31">
      <c r="AE50709" s="54"/>
    </row>
    <row r="50710" spans="31:31">
      <c r="AE50710" s="54"/>
    </row>
    <row r="50711" spans="31:31">
      <c r="AE50711" s="54"/>
    </row>
    <row r="50712" spans="31:31">
      <c r="AE50712" s="54"/>
    </row>
    <row r="50713" spans="31:31">
      <c r="AE50713" s="54"/>
    </row>
    <row r="50714" spans="31:31">
      <c r="AE50714" s="54"/>
    </row>
    <row r="50715" spans="31:31">
      <c r="AE50715" s="54"/>
    </row>
    <row r="50716" spans="31:31">
      <c r="AE50716" s="54"/>
    </row>
    <row r="50717" spans="31:31">
      <c r="AE50717" s="54"/>
    </row>
    <row r="50718" spans="31:31">
      <c r="AE50718" s="54"/>
    </row>
    <row r="50719" spans="31:31">
      <c r="AE50719" s="54"/>
    </row>
    <row r="50720" spans="31:31">
      <c r="AE50720" s="54"/>
    </row>
    <row r="50721" spans="31:31">
      <c r="AE50721" s="54"/>
    </row>
    <row r="50722" spans="31:31">
      <c r="AE50722" s="54"/>
    </row>
    <row r="50723" spans="31:31">
      <c r="AE50723" s="54"/>
    </row>
    <row r="50724" spans="31:31">
      <c r="AE50724" s="54"/>
    </row>
    <row r="50725" spans="31:31">
      <c r="AE50725" s="54"/>
    </row>
    <row r="50726" spans="31:31">
      <c r="AE50726" s="54"/>
    </row>
    <row r="50727" spans="31:31">
      <c r="AE50727" s="54"/>
    </row>
    <row r="50728" spans="31:31">
      <c r="AE50728" s="54"/>
    </row>
    <row r="50729" spans="31:31">
      <c r="AE50729" s="54"/>
    </row>
    <row r="50730" spans="31:31">
      <c r="AE50730" s="54"/>
    </row>
    <row r="50731" spans="31:31">
      <c r="AE50731" s="54"/>
    </row>
    <row r="50732" spans="31:31">
      <c r="AE50732" s="54"/>
    </row>
    <row r="50733" spans="31:31">
      <c r="AE50733" s="54"/>
    </row>
    <row r="50734" spans="31:31">
      <c r="AE50734" s="54"/>
    </row>
    <row r="50735" spans="31:31">
      <c r="AE50735" s="54"/>
    </row>
    <row r="50736" spans="31:31">
      <c r="AE50736" s="54"/>
    </row>
    <row r="50737" spans="31:31">
      <c r="AE50737" s="54"/>
    </row>
    <row r="50738" spans="31:31">
      <c r="AE50738" s="54"/>
    </row>
    <row r="50739" spans="31:31">
      <c r="AE50739" s="54"/>
    </row>
    <row r="50740" spans="31:31">
      <c r="AE50740" s="54"/>
    </row>
    <row r="50741" spans="31:31">
      <c r="AE50741" s="54"/>
    </row>
    <row r="50742" spans="31:31">
      <c r="AE50742" s="54"/>
    </row>
    <row r="50743" spans="31:31">
      <c r="AE50743" s="54"/>
    </row>
    <row r="50744" spans="31:31">
      <c r="AE50744" s="54"/>
    </row>
    <row r="50745" spans="31:31">
      <c r="AE50745" s="54"/>
    </row>
    <row r="50746" spans="31:31">
      <c r="AE50746" s="54"/>
    </row>
    <row r="50747" spans="31:31">
      <c r="AE50747" s="54"/>
    </row>
    <row r="50748" spans="31:31">
      <c r="AE50748" s="54"/>
    </row>
    <row r="50749" spans="31:31">
      <c r="AE50749" s="54"/>
    </row>
    <row r="50750" spans="31:31">
      <c r="AE50750" s="54"/>
    </row>
    <row r="50751" spans="31:31">
      <c r="AE50751" s="54"/>
    </row>
    <row r="50752" spans="31:31">
      <c r="AE50752" s="54"/>
    </row>
    <row r="50753" spans="31:31">
      <c r="AE50753" s="54"/>
    </row>
    <row r="50754" spans="31:31">
      <c r="AE50754" s="54"/>
    </row>
    <row r="50755" spans="31:31">
      <c r="AE50755" s="54"/>
    </row>
    <row r="50756" spans="31:31">
      <c r="AE50756" s="54"/>
    </row>
    <row r="50757" spans="31:31">
      <c r="AE50757" s="54"/>
    </row>
    <row r="50758" spans="31:31">
      <c r="AE50758" s="54"/>
    </row>
    <row r="50759" spans="31:31">
      <c r="AE50759" s="54"/>
    </row>
    <row r="50760" spans="31:31">
      <c r="AE50760" s="54"/>
    </row>
    <row r="50761" spans="31:31">
      <c r="AE50761" s="54"/>
    </row>
    <row r="50762" spans="31:31">
      <c r="AE50762" s="54"/>
    </row>
    <row r="50763" spans="31:31">
      <c r="AE50763" s="54"/>
    </row>
    <row r="50764" spans="31:31">
      <c r="AE50764" s="54"/>
    </row>
    <row r="50765" spans="31:31">
      <c r="AE50765" s="54"/>
    </row>
    <row r="50766" spans="31:31">
      <c r="AE50766" s="54"/>
    </row>
    <row r="50767" spans="31:31">
      <c r="AE50767" s="54"/>
    </row>
    <row r="50768" spans="31:31">
      <c r="AE50768" s="54"/>
    </row>
    <row r="50769" spans="31:31">
      <c r="AE50769" s="54"/>
    </row>
    <row r="50770" spans="31:31">
      <c r="AE50770" s="54"/>
    </row>
    <row r="50771" spans="31:31">
      <c r="AE50771" s="54"/>
    </row>
    <row r="50772" spans="31:31">
      <c r="AE50772" s="54"/>
    </row>
    <row r="50773" spans="31:31">
      <c r="AE50773" s="54"/>
    </row>
    <row r="50774" spans="31:31">
      <c r="AE50774" s="54"/>
    </row>
    <row r="50775" spans="31:31">
      <c r="AE50775" s="54"/>
    </row>
    <row r="50776" spans="31:31">
      <c r="AE50776" s="54"/>
    </row>
    <row r="50777" spans="31:31">
      <c r="AE50777" s="54"/>
    </row>
    <row r="50778" spans="31:31">
      <c r="AE50778" s="54"/>
    </row>
    <row r="50779" spans="31:31">
      <c r="AE50779" s="54"/>
    </row>
    <row r="50780" spans="31:31">
      <c r="AE50780" s="54"/>
    </row>
    <row r="50781" spans="31:31">
      <c r="AE50781" s="54"/>
    </row>
    <row r="50782" spans="31:31">
      <c r="AE50782" s="54"/>
    </row>
    <row r="50783" spans="31:31">
      <c r="AE50783" s="54"/>
    </row>
    <row r="50784" spans="31:31">
      <c r="AE50784" s="54"/>
    </row>
    <row r="50785" spans="31:31">
      <c r="AE50785" s="54"/>
    </row>
    <row r="50786" spans="31:31">
      <c r="AE50786" s="54"/>
    </row>
    <row r="50787" spans="31:31">
      <c r="AE50787" s="54"/>
    </row>
    <row r="50788" spans="31:31">
      <c r="AE50788" s="54"/>
    </row>
    <row r="50789" spans="31:31">
      <c r="AE50789" s="54"/>
    </row>
    <row r="50790" spans="31:31">
      <c r="AE50790" s="54"/>
    </row>
    <row r="50791" spans="31:31">
      <c r="AE50791" s="54"/>
    </row>
    <row r="50792" spans="31:31">
      <c r="AE50792" s="54"/>
    </row>
    <row r="50793" spans="31:31">
      <c r="AE50793" s="54"/>
    </row>
    <row r="50794" spans="31:31">
      <c r="AE50794" s="54"/>
    </row>
    <row r="50795" spans="31:31">
      <c r="AE50795" s="54"/>
    </row>
    <row r="50796" spans="31:31">
      <c r="AE50796" s="54"/>
    </row>
    <row r="50797" spans="31:31">
      <c r="AE50797" s="54"/>
    </row>
    <row r="50798" spans="31:31">
      <c r="AE50798" s="54"/>
    </row>
    <row r="50799" spans="31:31">
      <c r="AE50799" s="54"/>
    </row>
    <row r="50800" spans="31:31">
      <c r="AE50800" s="54"/>
    </row>
    <row r="50801" spans="31:31">
      <c r="AE50801" s="54"/>
    </row>
    <row r="50802" spans="31:31">
      <c r="AE50802" s="54"/>
    </row>
    <row r="50803" spans="31:31">
      <c r="AE50803" s="54"/>
    </row>
    <row r="50804" spans="31:31">
      <c r="AE50804" s="54"/>
    </row>
    <row r="50805" spans="31:31">
      <c r="AE50805" s="54"/>
    </row>
    <row r="50806" spans="31:31">
      <c r="AE50806" s="54"/>
    </row>
    <row r="50807" spans="31:31">
      <c r="AE50807" s="54"/>
    </row>
    <row r="50808" spans="31:31">
      <c r="AE50808" s="54"/>
    </row>
    <row r="50809" spans="31:31">
      <c r="AE50809" s="54"/>
    </row>
    <row r="50810" spans="31:31">
      <c r="AE50810" s="54"/>
    </row>
    <row r="50811" spans="31:31">
      <c r="AE50811" s="54"/>
    </row>
    <row r="50812" spans="31:31">
      <c r="AE50812" s="54"/>
    </row>
    <row r="50813" spans="31:31">
      <c r="AE50813" s="54"/>
    </row>
    <row r="50814" spans="31:31">
      <c r="AE50814" s="54"/>
    </row>
    <row r="50815" spans="31:31">
      <c r="AE50815" s="54"/>
    </row>
    <row r="50816" spans="31:31">
      <c r="AE50816" s="54"/>
    </row>
    <row r="50817" spans="31:31">
      <c r="AE50817" s="54"/>
    </row>
    <row r="50818" spans="31:31">
      <c r="AE50818" s="54"/>
    </row>
    <row r="50819" spans="31:31">
      <c r="AE50819" s="54"/>
    </row>
    <row r="50820" spans="31:31">
      <c r="AE50820" s="54"/>
    </row>
    <row r="50821" spans="31:31">
      <c r="AE50821" s="54"/>
    </row>
    <row r="50822" spans="31:31">
      <c r="AE50822" s="54"/>
    </row>
    <row r="50823" spans="31:31">
      <c r="AE50823" s="54"/>
    </row>
    <row r="50824" spans="31:31">
      <c r="AE50824" s="54"/>
    </row>
    <row r="50825" spans="31:31">
      <c r="AE50825" s="54"/>
    </row>
    <row r="50826" spans="31:31">
      <c r="AE50826" s="54"/>
    </row>
    <row r="50827" spans="31:31">
      <c r="AE50827" s="54"/>
    </row>
    <row r="50828" spans="31:31">
      <c r="AE50828" s="54"/>
    </row>
    <row r="50829" spans="31:31">
      <c r="AE50829" s="54"/>
    </row>
    <row r="50830" spans="31:31">
      <c r="AE50830" s="54"/>
    </row>
    <row r="50831" spans="31:31">
      <c r="AE50831" s="54"/>
    </row>
    <row r="50832" spans="31:31">
      <c r="AE50832" s="54"/>
    </row>
    <row r="50833" spans="31:31">
      <c r="AE50833" s="54"/>
    </row>
    <row r="50834" spans="31:31">
      <c r="AE50834" s="54"/>
    </row>
    <row r="50835" spans="31:31">
      <c r="AE50835" s="54"/>
    </row>
    <row r="50836" spans="31:31">
      <c r="AE50836" s="54"/>
    </row>
    <row r="50837" spans="31:31">
      <c r="AE50837" s="54"/>
    </row>
    <row r="50838" spans="31:31">
      <c r="AE50838" s="54"/>
    </row>
    <row r="50839" spans="31:31">
      <c r="AE50839" s="54"/>
    </row>
    <row r="50840" spans="31:31">
      <c r="AE50840" s="54"/>
    </row>
    <row r="50841" spans="31:31">
      <c r="AE50841" s="54"/>
    </row>
    <row r="50842" spans="31:31">
      <c r="AE50842" s="54"/>
    </row>
    <row r="50843" spans="31:31">
      <c r="AE50843" s="54"/>
    </row>
    <row r="50844" spans="31:31">
      <c r="AE50844" s="54"/>
    </row>
    <row r="50845" spans="31:31">
      <c r="AE50845" s="54"/>
    </row>
    <row r="50846" spans="31:31">
      <c r="AE50846" s="54"/>
    </row>
    <row r="50847" spans="31:31">
      <c r="AE50847" s="54"/>
    </row>
    <row r="50848" spans="31:31">
      <c r="AE50848" s="54"/>
    </row>
    <row r="50849" spans="31:31">
      <c r="AE50849" s="54"/>
    </row>
    <row r="50850" spans="31:31">
      <c r="AE50850" s="54"/>
    </row>
    <row r="50851" spans="31:31">
      <c r="AE50851" s="54"/>
    </row>
    <row r="50852" spans="31:31">
      <c r="AE50852" s="54"/>
    </row>
    <row r="50853" spans="31:31">
      <c r="AE50853" s="54"/>
    </row>
    <row r="50854" spans="31:31">
      <c r="AE50854" s="54"/>
    </row>
    <row r="50855" spans="31:31">
      <c r="AE50855" s="54"/>
    </row>
    <row r="50856" spans="31:31">
      <c r="AE50856" s="54"/>
    </row>
    <row r="50857" spans="31:31">
      <c r="AE50857" s="54"/>
    </row>
    <row r="50858" spans="31:31">
      <c r="AE50858" s="54"/>
    </row>
    <row r="50859" spans="31:31">
      <c r="AE50859" s="54"/>
    </row>
    <row r="50860" spans="31:31">
      <c r="AE50860" s="54"/>
    </row>
    <row r="50861" spans="31:31">
      <c r="AE50861" s="54"/>
    </row>
    <row r="50862" spans="31:31">
      <c r="AE50862" s="54"/>
    </row>
    <row r="50863" spans="31:31">
      <c r="AE50863" s="54"/>
    </row>
    <row r="50864" spans="31:31">
      <c r="AE50864" s="54"/>
    </row>
    <row r="50865" spans="31:31">
      <c r="AE50865" s="54"/>
    </row>
    <row r="50866" spans="31:31">
      <c r="AE50866" s="54"/>
    </row>
    <row r="50867" spans="31:31">
      <c r="AE50867" s="54"/>
    </row>
    <row r="50868" spans="31:31">
      <c r="AE50868" s="54"/>
    </row>
    <row r="50869" spans="31:31">
      <c r="AE50869" s="54"/>
    </row>
    <row r="50870" spans="31:31">
      <c r="AE50870" s="54"/>
    </row>
    <row r="50871" spans="31:31">
      <c r="AE50871" s="54"/>
    </row>
    <row r="50872" spans="31:31">
      <c r="AE50872" s="54"/>
    </row>
    <row r="50873" spans="31:31">
      <c r="AE50873" s="54"/>
    </row>
    <row r="50874" spans="31:31">
      <c r="AE50874" s="54"/>
    </row>
    <row r="50875" spans="31:31">
      <c r="AE50875" s="54"/>
    </row>
    <row r="50876" spans="31:31">
      <c r="AE50876" s="54"/>
    </row>
    <row r="50877" spans="31:31">
      <c r="AE50877" s="54"/>
    </row>
    <row r="50878" spans="31:31">
      <c r="AE50878" s="54"/>
    </row>
    <row r="50879" spans="31:31">
      <c r="AE50879" s="54"/>
    </row>
    <row r="50880" spans="31:31">
      <c r="AE50880" s="54"/>
    </row>
    <row r="50881" spans="31:31">
      <c r="AE50881" s="54"/>
    </row>
    <row r="50882" spans="31:31">
      <c r="AE50882" s="54"/>
    </row>
    <row r="50883" spans="31:31">
      <c r="AE50883" s="54"/>
    </row>
    <row r="50884" spans="31:31">
      <c r="AE50884" s="54"/>
    </row>
    <row r="50885" spans="31:31">
      <c r="AE50885" s="54"/>
    </row>
    <row r="50886" spans="31:31">
      <c r="AE50886" s="54"/>
    </row>
    <row r="50887" spans="31:31">
      <c r="AE50887" s="54"/>
    </row>
    <row r="50888" spans="31:31">
      <c r="AE50888" s="54"/>
    </row>
    <row r="50889" spans="31:31">
      <c r="AE50889" s="54"/>
    </row>
    <row r="50890" spans="31:31">
      <c r="AE50890" s="54"/>
    </row>
    <row r="50891" spans="31:31">
      <c r="AE50891" s="54"/>
    </row>
    <row r="50892" spans="31:31">
      <c r="AE50892" s="54"/>
    </row>
    <row r="50893" spans="31:31">
      <c r="AE50893" s="54"/>
    </row>
    <row r="50894" spans="31:31">
      <c r="AE50894" s="54"/>
    </row>
    <row r="50895" spans="31:31">
      <c r="AE50895" s="54"/>
    </row>
    <row r="50896" spans="31:31">
      <c r="AE50896" s="54"/>
    </row>
    <row r="50897" spans="31:31">
      <c r="AE50897" s="54"/>
    </row>
    <row r="50898" spans="31:31">
      <c r="AE50898" s="54"/>
    </row>
    <row r="50899" spans="31:31">
      <c r="AE50899" s="54"/>
    </row>
    <row r="50900" spans="31:31">
      <c r="AE50900" s="54"/>
    </row>
    <row r="50901" spans="31:31">
      <c r="AE50901" s="54"/>
    </row>
    <row r="50902" spans="31:31">
      <c r="AE50902" s="54"/>
    </row>
    <row r="50903" spans="31:31">
      <c r="AE50903" s="54"/>
    </row>
    <row r="50904" spans="31:31">
      <c r="AE50904" s="54"/>
    </row>
    <row r="50905" spans="31:31">
      <c r="AE50905" s="54"/>
    </row>
    <row r="50906" spans="31:31">
      <c r="AE50906" s="54"/>
    </row>
    <row r="50907" spans="31:31">
      <c r="AE50907" s="54"/>
    </row>
    <row r="50908" spans="31:31">
      <c r="AE50908" s="54"/>
    </row>
    <row r="50909" spans="31:31">
      <c r="AE50909" s="54"/>
    </row>
    <row r="50910" spans="31:31">
      <c r="AE50910" s="54"/>
    </row>
    <row r="50911" spans="31:31">
      <c r="AE50911" s="54"/>
    </row>
    <row r="50912" spans="31:31">
      <c r="AE50912" s="54"/>
    </row>
    <row r="50913" spans="31:31">
      <c r="AE50913" s="54"/>
    </row>
    <row r="50914" spans="31:31">
      <c r="AE50914" s="54"/>
    </row>
    <row r="50915" spans="31:31">
      <c r="AE50915" s="54"/>
    </row>
    <row r="50916" spans="31:31">
      <c r="AE50916" s="54"/>
    </row>
    <row r="50917" spans="31:31">
      <c r="AE50917" s="54"/>
    </row>
    <row r="50918" spans="31:31">
      <c r="AE50918" s="54"/>
    </row>
    <row r="50919" spans="31:31">
      <c r="AE50919" s="54"/>
    </row>
    <row r="50920" spans="31:31">
      <c r="AE50920" s="54"/>
    </row>
    <row r="50921" spans="31:31">
      <c r="AE50921" s="54"/>
    </row>
    <row r="50922" spans="31:31">
      <c r="AE50922" s="54"/>
    </row>
    <row r="50923" spans="31:31">
      <c r="AE50923" s="54"/>
    </row>
    <row r="50924" spans="31:31">
      <c r="AE50924" s="54"/>
    </row>
    <row r="50925" spans="31:31">
      <c r="AE50925" s="54"/>
    </row>
    <row r="50926" spans="31:31">
      <c r="AE50926" s="54"/>
    </row>
    <row r="50927" spans="31:31">
      <c r="AE50927" s="54"/>
    </row>
    <row r="50928" spans="31:31">
      <c r="AE50928" s="54"/>
    </row>
    <row r="50929" spans="31:31">
      <c r="AE50929" s="54"/>
    </row>
    <row r="50930" spans="31:31">
      <c r="AE50930" s="54"/>
    </row>
    <row r="50931" spans="31:31">
      <c r="AE50931" s="54"/>
    </row>
    <row r="50932" spans="31:31">
      <c r="AE50932" s="54"/>
    </row>
    <row r="50933" spans="31:31">
      <c r="AE50933" s="54"/>
    </row>
    <row r="50934" spans="31:31">
      <c r="AE50934" s="54"/>
    </row>
    <row r="50935" spans="31:31">
      <c r="AE50935" s="54"/>
    </row>
    <row r="50936" spans="31:31">
      <c r="AE50936" s="54"/>
    </row>
    <row r="50937" spans="31:31">
      <c r="AE50937" s="54"/>
    </row>
    <row r="50938" spans="31:31">
      <c r="AE50938" s="54"/>
    </row>
    <row r="50939" spans="31:31">
      <c r="AE50939" s="54"/>
    </row>
    <row r="50940" spans="31:31">
      <c r="AE50940" s="54"/>
    </row>
    <row r="50941" spans="31:31">
      <c r="AE50941" s="54"/>
    </row>
    <row r="50942" spans="31:31">
      <c r="AE50942" s="54"/>
    </row>
    <row r="50943" spans="31:31">
      <c r="AE50943" s="54"/>
    </row>
    <row r="50944" spans="31:31">
      <c r="AE50944" s="54"/>
    </row>
    <row r="50945" spans="31:31">
      <c r="AE50945" s="54"/>
    </row>
    <row r="50946" spans="31:31">
      <c r="AE50946" s="54"/>
    </row>
    <row r="50947" spans="31:31">
      <c r="AE50947" s="54"/>
    </row>
    <row r="50948" spans="31:31">
      <c r="AE50948" s="54"/>
    </row>
    <row r="50949" spans="31:31">
      <c r="AE50949" s="54"/>
    </row>
    <row r="50950" spans="31:31">
      <c r="AE50950" s="54"/>
    </row>
    <row r="50951" spans="31:31">
      <c r="AE50951" s="54"/>
    </row>
    <row r="50952" spans="31:31">
      <c r="AE50952" s="54"/>
    </row>
    <row r="50953" spans="31:31">
      <c r="AE50953" s="54"/>
    </row>
    <row r="50954" spans="31:31">
      <c r="AE50954" s="54"/>
    </row>
    <row r="50955" spans="31:31">
      <c r="AE50955" s="54"/>
    </row>
    <row r="50956" spans="31:31">
      <c r="AE50956" s="54"/>
    </row>
    <row r="50957" spans="31:31">
      <c r="AE50957" s="54"/>
    </row>
    <row r="50958" spans="31:31">
      <c r="AE50958" s="54"/>
    </row>
    <row r="50959" spans="31:31">
      <c r="AE50959" s="54"/>
    </row>
    <row r="50960" spans="31:31">
      <c r="AE50960" s="54"/>
    </row>
    <row r="50961" spans="31:31">
      <c r="AE50961" s="54"/>
    </row>
    <row r="50962" spans="31:31">
      <c r="AE50962" s="54"/>
    </row>
    <row r="50963" spans="31:31">
      <c r="AE50963" s="54"/>
    </row>
    <row r="50964" spans="31:31">
      <c r="AE50964" s="54"/>
    </row>
    <row r="50965" spans="31:31">
      <c r="AE50965" s="54"/>
    </row>
    <row r="50966" spans="31:31">
      <c r="AE50966" s="54"/>
    </row>
    <row r="50967" spans="31:31">
      <c r="AE50967" s="54"/>
    </row>
    <row r="50968" spans="31:31">
      <c r="AE50968" s="54"/>
    </row>
    <row r="50969" spans="31:31">
      <c r="AE50969" s="54"/>
    </row>
    <row r="50970" spans="31:31">
      <c r="AE50970" s="54"/>
    </row>
    <row r="50971" spans="31:31">
      <c r="AE50971" s="54"/>
    </row>
    <row r="50972" spans="31:31">
      <c r="AE50972" s="54"/>
    </row>
    <row r="50973" spans="31:31">
      <c r="AE50973" s="54"/>
    </row>
    <row r="50974" spans="31:31">
      <c r="AE50974" s="54"/>
    </row>
    <row r="50975" spans="31:31">
      <c r="AE50975" s="54"/>
    </row>
    <row r="50976" spans="31:31">
      <c r="AE50976" s="54"/>
    </row>
    <row r="50977" spans="31:31">
      <c r="AE50977" s="54"/>
    </row>
    <row r="50978" spans="31:31">
      <c r="AE50978" s="54"/>
    </row>
    <row r="50979" spans="31:31">
      <c r="AE50979" s="54"/>
    </row>
    <row r="50980" spans="31:31">
      <c r="AE50980" s="54"/>
    </row>
    <row r="50981" spans="31:31">
      <c r="AE50981" s="54"/>
    </row>
    <row r="50982" spans="31:31">
      <c r="AE50982" s="54"/>
    </row>
    <row r="50983" spans="31:31">
      <c r="AE50983" s="54"/>
    </row>
    <row r="50984" spans="31:31">
      <c r="AE50984" s="54"/>
    </row>
    <row r="50985" spans="31:31">
      <c r="AE50985" s="54"/>
    </row>
    <row r="50986" spans="31:31">
      <c r="AE50986" s="54"/>
    </row>
    <row r="50987" spans="31:31">
      <c r="AE50987" s="54"/>
    </row>
    <row r="50988" spans="31:31">
      <c r="AE50988" s="54"/>
    </row>
    <row r="50989" spans="31:31">
      <c r="AE50989" s="54"/>
    </row>
    <row r="50990" spans="31:31">
      <c r="AE50990" s="54"/>
    </row>
    <row r="50991" spans="31:31">
      <c r="AE50991" s="54"/>
    </row>
    <row r="50992" spans="31:31">
      <c r="AE50992" s="54"/>
    </row>
    <row r="50993" spans="31:31">
      <c r="AE50993" s="54"/>
    </row>
    <row r="50994" spans="31:31">
      <c r="AE50994" s="54"/>
    </row>
    <row r="50995" spans="31:31">
      <c r="AE50995" s="54"/>
    </row>
    <row r="50996" spans="31:31">
      <c r="AE50996" s="54"/>
    </row>
    <row r="50997" spans="31:31">
      <c r="AE50997" s="54"/>
    </row>
    <row r="50998" spans="31:31">
      <c r="AE50998" s="54"/>
    </row>
    <row r="50999" spans="31:31">
      <c r="AE50999" s="54"/>
    </row>
    <row r="51000" spans="31:31">
      <c r="AE51000" s="54"/>
    </row>
    <row r="51001" spans="31:31">
      <c r="AE51001" s="54"/>
    </row>
    <row r="51002" spans="31:31">
      <c r="AE51002" s="54"/>
    </row>
    <row r="51003" spans="31:31">
      <c r="AE51003" s="54"/>
    </row>
    <row r="51004" spans="31:31">
      <c r="AE51004" s="54"/>
    </row>
    <row r="51005" spans="31:31">
      <c r="AE51005" s="54"/>
    </row>
    <row r="51006" spans="31:31">
      <c r="AE51006" s="54"/>
    </row>
    <row r="51007" spans="31:31">
      <c r="AE51007" s="54"/>
    </row>
    <row r="51008" spans="31:31">
      <c r="AE51008" s="54"/>
    </row>
    <row r="51009" spans="31:31">
      <c r="AE51009" s="54"/>
    </row>
    <row r="51010" spans="31:31">
      <c r="AE51010" s="54"/>
    </row>
    <row r="51011" spans="31:31">
      <c r="AE51011" s="54"/>
    </row>
    <row r="51012" spans="31:31">
      <c r="AE51012" s="54"/>
    </row>
    <row r="51013" spans="31:31">
      <c r="AE51013" s="54"/>
    </row>
    <row r="51014" spans="31:31">
      <c r="AE51014" s="54"/>
    </row>
    <row r="51015" spans="31:31">
      <c r="AE51015" s="54"/>
    </row>
    <row r="51016" spans="31:31">
      <c r="AE51016" s="54"/>
    </row>
    <row r="51017" spans="31:31">
      <c r="AE51017" s="54"/>
    </row>
    <row r="51018" spans="31:31">
      <c r="AE51018" s="54"/>
    </row>
    <row r="51019" spans="31:31">
      <c r="AE51019" s="54"/>
    </row>
    <row r="51020" spans="31:31">
      <c r="AE51020" s="54"/>
    </row>
    <row r="51021" spans="31:31">
      <c r="AE51021" s="54"/>
    </row>
    <row r="51022" spans="31:31">
      <c r="AE51022" s="54"/>
    </row>
    <row r="51023" spans="31:31">
      <c r="AE51023" s="54"/>
    </row>
    <row r="51024" spans="31:31">
      <c r="AE51024" s="54"/>
    </row>
    <row r="51025" spans="31:31">
      <c r="AE51025" s="54"/>
    </row>
    <row r="51026" spans="31:31">
      <c r="AE51026" s="54"/>
    </row>
    <row r="51027" spans="31:31">
      <c r="AE51027" s="54"/>
    </row>
    <row r="51028" spans="31:31">
      <c r="AE51028" s="54"/>
    </row>
    <row r="51029" spans="31:31">
      <c r="AE51029" s="54"/>
    </row>
    <row r="51030" spans="31:31">
      <c r="AE51030" s="54"/>
    </row>
    <row r="51031" spans="31:31">
      <c r="AE51031" s="54"/>
    </row>
    <row r="51032" spans="31:31">
      <c r="AE51032" s="54"/>
    </row>
    <row r="51033" spans="31:31">
      <c r="AE51033" s="54"/>
    </row>
    <row r="51034" spans="31:31">
      <c r="AE51034" s="54"/>
    </row>
    <row r="51035" spans="31:31">
      <c r="AE51035" s="54"/>
    </row>
    <row r="51036" spans="31:31">
      <c r="AE51036" s="54"/>
    </row>
    <row r="51037" spans="31:31">
      <c r="AE51037" s="54"/>
    </row>
    <row r="51038" spans="31:31">
      <c r="AE51038" s="54"/>
    </row>
    <row r="51039" spans="31:31">
      <c r="AE51039" s="54"/>
    </row>
    <row r="51040" spans="31:31">
      <c r="AE51040" s="54"/>
    </row>
    <row r="51041" spans="31:31">
      <c r="AE51041" s="54"/>
    </row>
    <row r="51042" spans="31:31">
      <c r="AE51042" s="54"/>
    </row>
    <row r="51043" spans="31:31">
      <c r="AE51043" s="54"/>
    </row>
    <row r="51044" spans="31:31">
      <c r="AE51044" s="54"/>
    </row>
    <row r="51045" spans="31:31">
      <c r="AE51045" s="54"/>
    </row>
    <row r="51046" spans="31:31">
      <c r="AE51046" s="54"/>
    </row>
    <row r="51047" spans="31:31">
      <c r="AE51047" s="54"/>
    </row>
    <row r="51048" spans="31:31">
      <c r="AE51048" s="54"/>
    </row>
    <row r="51049" spans="31:31">
      <c r="AE51049" s="54"/>
    </row>
    <row r="51050" spans="31:31">
      <c r="AE51050" s="54"/>
    </row>
    <row r="51051" spans="31:31">
      <c r="AE51051" s="54"/>
    </row>
    <row r="51052" spans="31:31">
      <c r="AE51052" s="54"/>
    </row>
    <row r="51053" spans="31:31">
      <c r="AE51053" s="54"/>
    </row>
    <row r="51054" spans="31:31">
      <c r="AE51054" s="54"/>
    </row>
    <row r="51055" spans="31:31">
      <c r="AE51055" s="54"/>
    </row>
    <row r="51056" spans="31:31">
      <c r="AE51056" s="54"/>
    </row>
    <row r="51057" spans="31:31">
      <c r="AE51057" s="54"/>
    </row>
    <row r="51058" spans="31:31">
      <c r="AE51058" s="54"/>
    </row>
    <row r="51059" spans="31:31">
      <c r="AE51059" s="54"/>
    </row>
    <row r="51060" spans="31:31">
      <c r="AE51060" s="54"/>
    </row>
    <row r="51061" spans="31:31">
      <c r="AE51061" s="54"/>
    </row>
    <row r="51062" spans="31:31">
      <c r="AE51062" s="54"/>
    </row>
    <row r="51063" spans="31:31">
      <c r="AE51063" s="54"/>
    </row>
    <row r="51064" spans="31:31">
      <c r="AE51064" s="54"/>
    </row>
    <row r="51065" spans="31:31">
      <c r="AE51065" s="54"/>
    </row>
    <row r="51066" spans="31:31">
      <c r="AE51066" s="54"/>
    </row>
    <row r="51067" spans="31:31">
      <c r="AE51067" s="54"/>
    </row>
    <row r="51068" spans="31:31">
      <c r="AE51068" s="54"/>
    </row>
    <row r="51069" spans="31:31">
      <c r="AE51069" s="54"/>
    </row>
    <row r="51070" spans="31:31">
      <c r="AE51070" s="54"/>
    </row>
    <row r="51071" spans="31:31">
      <c r="AE51071" s="54"/>
    </row>
    <row r="51072" spans="31:31">
      <c r="AE51072" s="54"/>
    </row>
    <row r="51073" spans="31:31">
      <c r="AE51073" s="54"/>
    </row>
    <row r="51074" spans="31:31">
      <c r="AE51074" s="54"/>
    </row>
    <row r="51075" spans="31:31">
      <c r="AE51075" s="54"/>
    </row>
    <row r="51076" spans="31:31">
      <c r="AE51076" s="54"/>
    </row>
    <row r="51077" spans="31:31">
      <c r="AE51077" s="54"/>
    </row>
    <row r="51078" spans="31:31">
      <c r="AE51078" s="54"/>
    </row>
    <row r="51079" spans="31:31">
      <c r="AE51079" s="54"/>
    </row>
    <row r="51080" spans="31:31">
      <c r="AE51080" s="54"/>
    </row>
    <row r="51081" spans="31:31">
      <c r="AE51081" s="54"/>
    </row>
    <row r="51082" spans="31:31">
      <c r="AE51082" s="54"/>
    </row>
    <row r="51083" spans="31:31">
      <c r="AE51083" s="54"/>
    </row>
    <row r="51084" spans="31:31">
      <c r="AE51084" s="54"/>
    </row>
    <row r="51085" spans="31:31">
      <c r="AE51085" s="54"/>
    </row>
    <row r="51086" spans="31:31">
      <c r="AE51086" s="54"/>
    </row>
    <row r="51087" spans="31:31">
      <c r="AE51087" s="54"/>
    </row>
    <row r="51088" spans="31:31">
      <c r="AE51088" s="54"/>
    </row>
    <row r="51089" spans="31:31">
      <c r="AE51089" s="54"/>
    </row>
    <row r="51090" spans="31:31">
      <c r="AE51090" s="54"/>
    </row>
    <row r="51091" spans="31:31">
      <c r="AE51091" s="54"/>
    </row>
    <row r="51092" spans="31:31">
      <c r="AE51092" s="54"/>
    </row>
    <row r="51093" spans="31:31">
      <c r="AE51093" s="54"/>
    </row>
    <row r="51094" spans="31:31">
      <c r="AE51094" s="54"/>
    </row>
    <row r="51095" spans="31:31">
      <c r="AE51095" s="54"/>
    </row>
    <row r="51096" spans="31:31">
      <c r="AE51096" s="54"/>
    </row>
    <row r="51097" spans="31:31">
      <c r="AE51097" s="54"/>
    </row>
    <row r="51098" spans="31:31">
      <c r="AE51098" s="54"/>
    </row>
    <row r="51099" spans="31:31">
      <c r="AE51099" s="54"/>
    </row>
    <row r="51100" spans="31:31">
      <c r="AE51100" s="54"/>
    </row>
    <row r="51101" spans="31:31">
      <c r="AE51101" s="54"/>
    </row>
    <row r="51102" spans="31:31">
      <c r="AE51102" s="54"/>
    </row>
    <row r="51103" spans="31:31">
      <c r="AE51103" s="54"/>
    </row>
    <row r="51104" spans="31:31">
      <c r="AE51104" s="54"/>
    </row>
    <row r="51105" spans="31:31">
      <c r="AE51105" s="54"/>
    </row>
    <row r="51106" spans="31:31">
      <c r="AE51106" s="54"/>
    </row>
    <row r="51107" spans="31:31">
      <c r="AE51107" s="54"/>
    </row>
    <row r="51108" spans="31:31">
      <c r="AE51108" s="54"/>
    </row>
    <row r="51109" spans="31:31">
      <c r="AE51109" s="54"/>
    </row>
    <row r="51110" spans="31:31">
      <c r="AE51110" s="54"/>
    </row>
    <row r="51111" spans="31:31">
      <c r="AE51111" s="54"/>
    </row>
    <row r="51112" spans="31:31">
      <c r="AE51112" s="54"/>
    </row>
    <row r="51113" spans="31:31">
      <c r="AE51113" s="54"/>
    </row>
    <row r="51114" spans="31:31">
      <c r="AE51114" s="54"/>
    </row>
    <row r="51115" spans="31:31">
      <c r="AE51115" s="54"/>
    </row>
    <row r="51116" spans="31:31">
      <c r="AE51116" s="54"/>
    </row>
    <row r="51117" spans="31:31">
      <c r="AE51117" s="54"/>
    </row>
    <row r="51118" spans="31:31">
      <c r="AE51118" s="54"/>
    </row>
    <row r="51119" spans="31:31">
      <c r="AE51119" s="54"/>
    </row>
    <row r="51120" spans="31:31">
      <c r="AE51120" s="54"/>
    </row>
    <row r="51121" spans="31:31">
      <c r="AE51121" s="54"/>
    </row>
    <row r="51122" spans="31:31">
      <c r="AE51122" s="54"/>
    </row>
    <row r="51123" spans="31:31">
      <c r="AE51123" s="54"/>
    </row>
    <row r="51124" spans="31:31">
      <c r="AE51124" s="54"/>
    </row>
    <row r="51125" spans="31:31">
      <c r="AE51125" s="54"/>
    </row>
    <row r="51126" spans="31:31">
      <c r="AE51126" s="54"/>
    </row>
    <row r="51127" spans="31:31">
      <c r="AE51127" s="54"/>
    </row>
    <row r="51128" spans="31:31">
      <c r="AE51128" s="54"/>
    </row>
    <row r="51129" spans="31:31">
      <c r="AE51129" s="54"/>
    </row>
    <row r="51130" spans="31:31">
      <c r="AE51130" s="54"/>
    </row>
    <row r="51131" spans="31:31">
      <c r="AE51131" s="54"/>
    </row>
    <row r="51132" spans="31:31">
      <c r="AE51132" s="54"/>
    </row>
    <row r="51133" spans="31:31">
      <c r="AE51133" s="54"/>
    </row>
    <row r="51134" spans="31:31">
      <c r="AE51134" s="54"/>
    </row>
    <row r="51135" spans="31:31">
      <c r="AE51135" s="54"/>
    </row>
    <row r="51136" spans="31:31">
      <c r="AE51136" s="54"/>
    </row>
    <row r="51137" spans="31:31">
      <c r="AE51137" s="54"/>
    </row>
    <row r="51138" spans="31:31">
      <c r="AE51138" s="54"/>
    </row>
    <row r="51139" spans="31:31">
      <c r="AE51139" s="54"/>
    </row>
    <row r="51140" spans="31:31">
      <c r="AE51140" s="54"/>
    </row>
    <row r="51141" spans="31:31">
      <c r="AE51141" s="54"/>
    </row>
    <row r="51142" spans="31:31">
      <c r="AE51142" s="54"/>
    </row>
    <row r="51143" spans="31:31">
      <c r="AE51143" s="54"/>
    </row>
    <row r="51144" spans="31:31">
      <c r="AE51144" s="54"/>
    </row>
    <row r="51145" spans="31:31">
      <c r="AE51145" s="54"/>
    </row>
    <row r="51146" spans="31:31">
      <c r="AE51146" s="54"/>
    </row>
    <row r="51147" spans="31:31">
      <c r="AE51147" s="54"/>
    </row>
    <row r="51148" spans="31:31">
      <c r="AE51148" s="54"/>
    </row>
    <row r="51149" spans="31:31">
      <c r="AE51149" s="54"/>
    </row>
    <row r="51150" spans="31:31">
      <c r="AE51150" s="54"/>
    </row>
    <row r="51151" spans="31:31">
      <c r="AE51151" s="54"/>
    </row>
    <row r="51152" spans="31:31">
      <c r="AE51152" s="54"/>
    </row>
    <row r="51153" spans="31:31">
      <c r="AE51153" s="54"/>
    </row>
    <row r="51154" spans="31:31">
      <c r="AE51154" s="54"/>
    </row>
    <row r="51155" spans="31:31">
      <c r="AE51155" s="54"/>
    </row>
    <row r="51156" spans="31:31">
      <c r="AE51156" s="54"/>
    </row>
    <row r="51157" spans="31:31">
      <c r="AE51157" s="54"/>
    </row>
    <row r="51158" spans="31:31">
      <c r="AE51158" s="54"/>
    </row>
    <row r="51159" spans="31:31">
      <c r="AE51159" s="54"/>
    </row>
    <row r="51160" spans="31:31">
      <c r="AE51160" s="54"/>
    </row>
    <row r="51161" spans="31:31">
      <c r="AE51161" s="54"/>
    </row>
    <row r="51162" spans="31:31">
      <c r="AE51162" s="54"/>
    </row>
    <row r="51163" spans="31:31">
      <c r="AE51163" s="54"/>
    </row>
    <row r="51164" spans="31:31">
      <c r="AE51164" s="54"/>
    </row>
    <row r="51165" spans="31:31">
      <c r="AE51165" s="54"/>
    </row>
    <row r="51166" spans="31:31">
      <c r="AE51166" s="54"/>
    </row>
    <row r="51167" spans="31:31">
      <c r="AE51167" s="54"/>
    </row>
    <row r="51168" spans="31:31">
      <c r="AE51168" s="54"/>
    </row>
    <row r="51169" spans="31:31">
      <c r="AE51169" s="54"/>
    </row>
    <row r="51170" spans="31:31">
      <c r="AE51170" s="54"/>
    </row>
    <row r="51171" spans="31:31">
      <c r="AE51171" s="54"/>
    </row>
    <row r="51172" spans="31:31">
      <c r="AE51172" s="54"/>
    </row>
    <row r="51173" spans="31:31">
      <c r="AE51173" s="54"/>
    </row>
    <row r="51174" spans="31:31">
      <c r="AE51174" s="54"/>
    </row>
    <row r="51175" spans="31:31">
      <c r="AE51175" s="54"/>
    </row>
    <row r="51176" spans="31:31">
      <c r="AE51176" s="54"/>
    </row>
    <row r="51177" spans="31:31">
      <c r="AE51177" s="54"/>
    </row>
    <row r="51178" spans="31:31">
      <c r="AE51178" s="54"/>
    </row>
    <row r="51179" spans="31:31">
      <c r="AE51179" s="54"/>
    </row>
    <row r="51180" spans="31:31">
      <c r="AE51180" s="54"/>
    </row>
    <row r="51181" spans="31:31">
      <c r="AE51181" s="54"/>
    </row>
    <row r="51182" spans="31:31">
      <c r="AE51182" s="54"/>
    </row>
    <row r="51183" spans="31:31">
      <c r="AE51183" s="54"/>
    </row>
    <row r="51184" spans="31:31">
      <c r="AE51184" s="54"/>
    </row>
    <row r="51185" spans="31:31">
      <c r="AE51185" s="54"/>
    </row>
    <row r="51186" spans="31:31">
      <c r="AE51186" s="54"/>
    </row>
    <row r="51187" spans="31:31">
      <c r="AE51187" s="54"/>
    </row>
    <row r="51188" spans="31:31">
      <c r="AE51188" s="54"/>
    </row>
    <row r="51189" spans="31:31">
      <c r="AE51189" s="54"/>
    </row>
    <row r="51190" spans="31:31">
      <c r="AE51190" s="54"/>
    </row>
    <row r="51191" spans="31:31">
      <c r="AE51191" s="54"/>
    </row>
    <row r="51192" spans="31:31">
      <c r="AE51192" s="54"/>
    </row>
    <row r="51193" spans="31:31">
      <c r="AE51193" s="54"/>
    </row>
    <row r="51194" spans="31:31">
      <c r="AE51194" s="54"/>
    </row>
    <row r="51195" spans="31:31">
      <c r="AE51195" s="54"/>
    </row>
    <row r="51196" spans="31:31">
      <c r="AE51196" s="54"/>
    </row>
    <row r="51197" spans="31:31">
      <c r="AE51197" s="54"/>
    </row>
    <row r="51198" spans="31:31">
      <c r="AE51198" s="54"/>
    </row>
    <row r="51199" spans="31:31">
      <c r="AE51199" s="54"/>
    </row>
    <row r="51200" spans="31:31">
      <c r="AE51200" s="54"/>
    </row>
    <row r="51201" spans="31:31">
      <c r="AE51201" s="54"/>
    </row>
    <row r="51202" spans="31:31">
      <c r="AE51202" s="54"/>
    </row>
    <row r="51203" spans="31:31">
      <c r="AE51203" s="54"/>
    </row>
    <row r="51204" spans="31:31">
      <c r="AE51204" s="54"/>
    </row>
    <row r="51205" spans="31:31">
      <c r="AE51205" s="54"/>
    </row>
    <row r="51206" spans="31:31">
      <c r="AE51206" s="54"/>
    </row>
    <row r="51207" spans="31:31">
      <c r="AE51207" s="54"/>
    </row>
    <row r="51208" spans="31:31">
      <c r="AE51208" s="54"/>
    </row>
    <row r="51209" spans="31:31">
      <c r="AE51209" s="54"/>
    </row>
    <row r="51210" spans="31:31">
      <c r="AE51210" s="54"/>
    </row>
    <row r="51211" spans="31:31">
      <c r="AE51211" s="54"/>
    </row>
    <row r="51212" spans="31:31">
      <c r="AE51212" s="54"/>
    </row>
    <row r="51213" spans="31:31">
      <c r="AE51213" s="54"/>
    </row>
    <row r="51214" spans="31:31">
      <c r="AE51214" s="54"/>
    </row>
    <row r="51215" spans="31:31">
      <c r="AE51215" s="54"/>
    </row>
    <row r="51216" spans="31:31">
      <c r="AE51216" s="54"/>
    </row>
    <row r="51217" spans="31:31">
      <c r="AE51217" s="54"/>
    </row>
    <row r="51218" spans="31:31">
      <c r="AE51218" s="54"/>
    </row>
    <row r="51219" spans="31:31">
      <c r="AE51219" s="54"/>
    </row>
    <row r="51220" spans="31:31">
      <c r="AE51220" s="54"/>
    </row>
    <row r="51221" spans="31:31">
      <c r="AE51221" s="54"/>
    </row>
    <row r="51222" spans="31:31">
      <c r="AE51222" s="54"/>
    </row>
    <row r="51223" spans="31:31">
      <c r="AE51223" s="54"/>
    </row>
    <row r="51224" spans="31:31">
      <c r="AE51224" s="54"/>
    </row>
    <row r="51225" spans="31:31">
      <c r="AE51225" s="54"/>
    </row>
    <row r="51226" spans="31:31">
      <c r="AE51226" s="54"/>
    </row>
    <row r="51227" spans="31:31">
      <c r="AE51227" s="54"/>
    </row>
    <row r="51228" spans="31:31">
      <c r="AE51228" s="54"/>
    </row>
    <row r="51229" spans="31:31">
      <c r="AE51229" s="54"/>
    </row>
    <row r="51230" spans="31:31">
      <c r="AE51230" s="54"/>
    </row>
    <row r="51231" spans="31:31">
      <c r="AE51231" s="54"/>
    </row>
    <row r="51232" spans="31:31">
      <c r="AE51232" s="54"/>
    </row>
    <row r="51233" spans="31:31">
      <c r="AE51233" s="54"/>
    </row>
    <row r="51234" spans="31:31">
      <c r="AE51234" s="54"/>
    </row>
    <row r="51235" spans="31:31">
      <c r="AE51235" s="54"/>
    </row>
    <row r="51236" spans="31:31">
      <c r="AE51236" s="54"/>
    </row>
    <row r="51237" spans="31:31">
      <c r="AE51237" s="54"/>
    </row>
    <row r="51238" spans="31:31">
      <c r="AE51238" s="54"/>
    </row>
    <row r="51239" spans="31:31">
      <c r="AE51239" s="54"/>
    </row>
    <row r="51240" spans="31:31">
      <c r="AE51240" s="54"/>
    </row>
    <row r="51241" spans="31:31">
      <c r="AE51241" s="54"/>
    </row>
    <row r="51242" spans="31:31">
      <c r="AE51242" s="54"/>
    </row>
    <row r="51243" spans="31:31">
      <c r="AE51243" s="54"/>
    </row>
    <row r="51244" spans="31:31">
      <c r="AE51244" s="54"/>
    </row>
    <row r="51245" spans="31:31">
      <c r="AE51245" s="54"/>
    </row>
    <row r="51246" spans="31:31">
      <c r="AE51246" s="54"/>
    </row>
    <row r="51247" spans="31:31">
      <c r="AE51247" s="54"/>
    </row>
    <row r="51248" spans="31:31">
      <c r="AE51248" s="54"/>
    </row>
    <row r="51249" spans="31:31">
      <c r="AE51249" s="54"/>
    </row>
    <row r="51250" spans="31:31">
      <c r="AE51250" s="54"/>
    </row>
    <row r="51251" spans="31:31">
      <c r="AE51251" s="54"/>
    </row>
    <row r="51252" spans="31:31">
      <c r="AE51252" s="54"/>
    </row>
    <row r="51253" spans="31:31">
      <c r="AE51253" s="54"/>
    </row>
    <row r="51254" spans="31:31">
      <c r="AE51254" s="54"/>
    </row>
    <row r="51255" spans="31:31">
      <c r="AE51255" s="54"/>
    </row>
    <row r="51256" spans="31:31">
      <c r="AE51256" s="54"/>
    </row>
    <row r="51257" spans="31:31">
      <c r="AE51257" s="54"/>
    </row>
    <row r="51258" spans="31:31">
      <c r="AE51258" s="54"/>
    </row>
    <row r="51259" spans="31:31">
      <c r="AE51259" s="54"/>
    </row>
    <row r="51260" spans="31:31">
      <c r="AE51260" s="54"/>
    </row>
    <row r="51261" spans="31:31">
      <c r="AE51261" s="54"/>
    </row>
    <row r="51262" spans="31:31">
      <c r="AE51262" s="54"/>
    </row>
    <row r="51263" spans="31:31">
      <c r="AE51263" s="54"/>
    </row>
    <row r="51264" spans="31:31">
      <c r="AE51264" s="54"/>
    </row>
    <row r="51265" spans="31:31">
      <c r="AE51265" s="54"/>
    </row>
    <row r="51266" spans="31:31">
      <c r="AE51266" s="54"/>
    </row>
    <row r="51267" spans="31:31">
      <c r="AE51267" s="54"/>
    </row>
    <row r="51268" spans="31:31">
      <c r="AE51268" s="54"/>
    </row>
    <row r="51269" spans="31:31">
      <c r="AE51269" s="54"/>
    </row>
    <row r="51270" spans="31:31">
      <c r="AE51270" s="54"/>
    </row>
    <row r="51271" spans="31:31">
      <c r="AE51271" s="54"/>
    </row>
    <row r="51272" spans="31:31">
      <c r="AE51272" s="54"/>
    </row>
    <row r="51273" spans="31:31">
      <c r="AE51273" s="54"/>
    </row>
    <row r="51274" spans="31:31">
      <c r="AE51274" s="54"/>
    </row>
    <row r="51275" spans="31:31">
      <c r="AE51275" s="54"/>
    </row>
    <row r="51276" spans="31:31">
      <c r="AE51276" s="54"/>
    </row>
    <row r="51277" spans="31:31">
      <c r="AE51277" s="54"/>
    </row>
    <row r="51278" spans="31:31">
      <c r="AE51278" s="54"/>
    </row>
    <row r="51279" spans="31:31">
      <c r="AE51279" s="54"/>
    </row>
    <row r="51280" spans="31:31">
      <c r="AE51280" s="54"/>
    </row>
    <row r="51281" spans="31:31">
      <c r="AE51281" s="54"/>
    </row>
    <row r="51282" spans="31:31">
      <c r="AE51282" s="54"/>
    </row>
    <row r="51283" spans="31:31">
      <c r="AE51283" s="54"/>
    </row>
    <row r="51284" spans="31:31">
      <c r="AE51284" s="54"/>
    </row>
    <row r="51285" spans="31:31">
      <c r="AE51285" s="54"/>
    </row>
    <row r="51286" spans="31:31">
      <c r="AE51286" s="54"/>
    </row>
    <row r="51287" spans="31:31">
      <c r="AE51287" s="54"/>
    </row>
    <row r="51288" spans="31:31">
      <c r="AE51288" s="54"/>
    </row>
    <row r="51289" spans="31:31">
      <c r="AE51289" s="54"/>
    </row>
    <row r="51290" spans="31:31">
      <c r="AE51290" s="54"/>
    </row>
    <row r="51291" spans="31:31">
      <c r="AE51291" s="54"/>
    </row>
    <row r="51292" spans="31:31">
      <c r="AE51292" s="54"/>
    </row>
    <row r="51293" spans="31:31">
      <c r="AE51293" s="54"/>
    </row>
    <row r="51294" spans="31:31">
      <c r="AE51294" s="54"/>
    </row>
    <row r="51295" spans="31:31">
      <c r="AE51295" s="54"/>
    </row>
    <row r="51296" spans="31:31">
      <c r="AE51296" s="54"/>
    </row>
    <row r="51297" spans="31:31">
      <c r="AE51297" s="54"/>
    </row>
    <row r="51298" spans="31:31">
      <c r="AE51298" s="54"/>
    </row>
    <row r="51299" spans="31:31">
      <c r="AE51299" s="54"/>
    </row>
    <row r="51300" spans="31:31">
      <c r="AE51300" s="54"/>
    </row>
    <row r="51301" spans="31:31">
      <c r="AE51301" s="54"/>
    </row>
    <row r="51302" spans="31:31">
      <c r="AE51302" s="54"/>
    </row>
    <row r="51303" spans="31:31">
      <c r="AE51303" s="54"/>
    </row>
    <row r="51304" spans="31:31">
      <c r="AE51304" s="54"/>
    </row>
    <row r="51305" spans="31:31">
      <c r="AE51305" s="54"/>
    </row>
    <row r="51306" spans="31:31">
      <c r="AE51306" s="54"/>
    </row>
    <row r="51307" spans="31:31">
      <c r="AE51307" s="54"/>
    </row>
    <row r="51308" spans="31:31">
      <c r="AE51308" s="54"/>
    </row>
    <row r="51309" spans="31:31">
      <c r="AE51309" s="54"/>
    </row>
    <row r="51310" spans="31:31">
      <c r="AE51310" s="54"/>
    </row>
    <row r="51311" spans="31:31">
      <c r="AE51311" s="54"/>
    </row>
    <row r="51312" spans="31:31">
      <c r="AE51312" s="54"/>
    </row>
    <row r="51313" spans="31:31">
      <c r="AE51313" s="54"/>
    </row>
    <row r="51314" spans="31:31">
      <c r="AE51314" s="54"/>
    </row>
    <row r="51315" spans="31:31">
      <c r="AE51315" s="54"/>
    </row>
    <row r="51316" spans="31:31">
      <c r="AE51316" s="54"/>
    </row>
    <row r="51317" spans="31:31">
      <c r="AE51317" s="54"/>
    </row>
    <row r="51318" spans="31:31">
      <c r="AE51318" s="54"/>
    </row>
    <row r="51319" spans="31:31">
      <c r="AE51319" s="54"/>
    </row>
    <row r="51320" spans="31:31">
      <c r="AE51320" s="54"/>
    </row>
    <row r="51321" spans="31:31">
      <c r="AE51321" s="54"/>
    </row>
    <row r="51322" spans="31:31">
      <c r="AE51322" s="54"/>
    </row>
    <row r="51323" spans="31:31">
      <c r="AE51323" s="54"/>
    </row>
    <row r="51324" spans="31:31">
      <c r="AE51324" s="54"/>
    </row>
    <row r="51325" spans="31:31">
      <c r="AE51325" s="54"/>
    </row>
    <row r="51326" spans="31:31">
      <c r="AE51326" s="54"/>
    </row>
    <row r="51327" spans="31:31">
      <c r="AE51327" s="54"/>
    </row>
    <row r="51328" spans="31:31">
      <c r="AE51328" s="54"/>
    </row>
    <row r="51329" spans="31:31">
      <c r="AE51329" s="54"/>
    </row>
    <row r="51330" spans="31:31">
      <c r="AE51330" s="54"/>
    </row>
    <row r="51331" spans="31:31">
      <c r="AE51331" s="54"/>
    </row>
    <row r="51332" spans="31:31">
      <c r="AE51332" s="54"/>
    </row>
    <row r="51333" spans="31:31">
      <c r="AE51333" s="54"/>
    </row>
    <row r="51334" spans="31:31">
      <c r="AE51334" s="54"/>
    </row>
    <row r="51335" spans="31:31">
      <c r="AE51335" s="54"/>
    </row>
    <row r="51336" spans="31:31">
      <c r="AE51336" s="54"/>
    </row>
    <row r="51337" spans="31:31">
      <c r="AE51337" s="54"/>
    </row>
    <row r="51338" spans="31:31">
      <c r="AE51338" s="54"/>
    </row>
    <row r="51339" spans="31:31">
      <c r="AE51339" s="54"/>
    </row>
    <row r="51340" spans="31:31">
      <c r="AE51340" s="54"/>
    </row>
    <row r="51341" spans="31:31">
      <c r="AE51341" s="54"/>
    </row>
    <row r="51342" spans="31:31">
      <c r="AE51342" s="54"/>
    </row>
    <row r="51343" spans="31:31">
      <c r="AE51343" s="54"/>
    </row>
    <row r="51344" spans="31:31">
      <c r="AE51344" s="54"/>
    </row>
    <row r="51345" spans="31:31">
      <c r="AE51345" s="54"/>
    </row>
    <row r="51346" spans="31:31">
      <c r="AE51346" s="54"/>
    </row>
    <row r="51347" spans="31:31">
      <c r="AE51347" s="54"/>
    </row>
    <row r="51348" spans="31:31">
      <c r="AE51348" s="54"/>
    </row>
    <row r="51349" spans="31:31">
      <c r="AE51349" s="54"/>
    </row>
    <row r="51350" spans="31:31">
      <c r="AE51350" s="54"/>
    </row>
    <row r="51351" spans="31:31">
      <c r="AE51351" s="54"/>
    </row>
    <row r="51352" spans="31:31">
      <c r="AE51352" s="54"/>
    </row>
    <row r="51353" spans="31:31">
      <c r="AE51353" s="54"/>
    </row>
    <row r="51354" spans="31:31">
      <c r="AE51354" s="54"/>
    </row>
    <row r="51355" spans="31:31">
      <c r="AE51355" s="54"/>
    </row>
    <row r="51356" spans="31:31">
      <c r="AE51356" s="54"/>
    </row>
    <row r="51357" spans="31:31">
      <c r="AE51357" s="54"/>
    </row>
    <row r="51358" spans="31:31">
      <c r="AE51358" s="54"/>
    </row>
    <row r="51359" spans="31:31">
      <c r="AE51359" s="54"/>
    </row>
    <row r="51360" spans="31:31">
      <c r="AE51360" s="54"/>
    </row>
    <row r="51361" spans="31:31">
      <c r="AE51361" s="54"/>
    </row>
    <row r="51362" spans="31:31">
      <c r="AE51362" s="54"/>
    </row>
    <row r="51363" spans="31:31">
      <c r="AE51363" s="54"/>
    </row>
    <row r="51364" spans="31:31">
      <c r="AE51364" s="54"/>
    </row>
    <row r="51365" spans="31:31">
      <c r="AE51365" s="54"/>
    </row>
    <row r="51366" spans="31:31">
      <c r="AE51366" s="54"/>
    </row>
    <row r="51367" spans="31:31">
      <c r="AE51367" s="54"/>
    </row>
    <row r="51368" spans="31:31">
      <c r="AE51368" s="54"/>
    </row>
    <row r="51369" spans="31:31">
      <c r="AE51369" s="54"/>
    </row>
    <row r="51370" spans="31:31">
      <c r="AE51370" s="54"/>
    </row>
    <row r="51371" spans="31:31">
      <c r="AE51371" s="54"/>
    </row>
    <row r="51372" spans="31:31">
      <c r="AE51372" s="54"/>
    </row>
    <row r="51373" spans="31:31">
      <c r="AE51373" s="54"/>
    </row>
    <row r="51374" spans="31:31">
      <c r="AE51374" s="54"/>
    </row>
    <row r="51375" spans="31:31">
      <c r="AE51375" s="54"/>
    </row>
    <row r="51376" spans="31:31">
      <c r="AE51376" s="54"/>
    </row>
    <row r="51377" spans="31:31">
      <c r="AE51377" s="54"/>
    </row>
    <row r="51378" spans="31:31">
      <c r="AE51378" s="54"/>
    </row>
    <row r="51379" spans="31:31">
      <c r="AE51379" s="54"/>
    </row>
    <row r="51380" spans="31:31">
      <c r="AE51380" s="54"/>
    </row>
    <row r="51381" spans="31:31">
      <c r="AE51381" s="54"/>
    </row>
    <row r="51382" spans="31:31">
      <c r="AE51382" s="54"/>
    </row>
    <row r="51383" spans="31:31">
      <c r="AE51383" s="54"/>
    </row>
    <row r="51384" spans="31:31">
      <c r="AE51384" s="54"/>
    </row>
    <row r="51385" spans="31:31">
      <c r="AE51385" s="54"/>
    </row>
    <row r="51386" spans="31:31">
      <c r="AE51386" s="54"/>
    </row>
    <row r="51387" spans="31:31">
      <c r="AE51387" s="54"/>
    </row>
    <row r="51388" spans="31:31">
      <c r="AE51388" s="54"/>
    </row>
    <row r="51389" spans="31:31">
      <c r="AE51389" s="54"/>
    </row>
    <row r="51390" spans="31:31">
      <c r="AE51390" s="54"/>
    </row>
    <row r="51391" spans="31:31">
      <c r="AE51391" s="54"/>
    </row>
    <row r="51392" spans="31:31">
      <c r="AE51392" s="54"/>
    </row>
    <row r="51393" spans="31:31">
      <c r="AE51393" s="54"/>
    </row>
    <row r="51394" spans="31:31">
      <c r="AE51394" s="54"/>
    </row>
    <row r="51395" spans="31:31">
      <c r="AE51395" s="54"/>
    </row>
    <row r="51396" spans="31:31">
      <c r="AE51396" s="54"/>
    </row>
    <row r="51397" spans="31:31">
      <c r="AE51397" s="54"/>
    </row>
    <row r="51398" spans="31:31">
      <c r="AE51398" s="54"/>
    </row>
    <row r="51399" spans="31:31">
      <c r="AE51399" s="54"/>
    </row>
    <row r="51400" spans="31:31">
      <c r="AE51400" s="54"/>
    </row>
    <row r="51401" spans="31:31">
      <c r="AE51401" s="54"/>
    </row>
    <row r="51402" spans="31:31">
      <c r="AE51402" s="54"/>
    </row>
    <row r="51403" spans="31:31">
      <c r="AE51403" s="54"/>
    </row>
    <row r="51404" spans="31:31">
      <c r="AE51404" s="54"/>
    </row>
    <row r="51405" spans="31:31">
      <c r="AE51405" s="54"/>
    </row>
    <row r="51406" spans="31:31">
      <c r="AE51406" s="54"/>
    </row>
    <row r="51407" spans="31:31">
      <c r="AE51407" s="54"/>
    </row>
    <row r="51408" spans="31:31">
      <c r="AE51408" s="54"/>
    </row>
    <row r="51409" spans="31:31">
      <c r="AE51409" s="54"/>
    </row>
    <row r="51410" spans="31:31">
      <c r="AE51410" s="54"/>
    </row>
    <row r="51411" spans="31:31">
      <c r="AE51411" s="54"/>
    </row>
    <row r="51412" spans="31:31">
      <c r="AE51412" s="54"/>
    </row>
    <row r="51413" spans="31:31">
      <c r="AE51413" s="54"/>
    </row>
    <row r="51414" spans="31:31">
      <c r="AE51414" s="54"/>
    </row>
    <row r="51415" spans="31:31">
      <c r="AE51415" s="54"/>
    </row>
    <row r="51416" spans="31:31">
      <c r="AE51416" s="54"/>
    </row>
    <row r="51417" spans="31:31">
      <c r="AE51417" s="54"/>
    </row>
    <row r="51418" spans="31:31">
      <c r="AE51418" s="54"/>
    </row>
    <row r="51419" spans="31:31">
      <c r="AE51419" s="54"/>
    </row>
    <row r="51420" spans="31:31">
      <c r="AE51420" s="54"/>
    </row>
    <row r="51421" spans="31:31">
      <c r="AE51421" s="54"/>
    </row>
    <row r="51422" spans="31:31">
      <c r="AE51422" s="54"/>
    </row>
    <row r="51423" spans="31:31">
      <c r="AE51423" s="54"/>
    </row>
    <row r="51424" spans="31:31">
      <c r="AE51424" s="54"/>
    </row>
    <row r="51425" spans="31:31">
      <c r="AE51425" s="54"/>
    </row>
    <row r="51426" spans="31:31">
      <c r="AE51426" s="54"/>
    </row>
    <row r="51427" spans="31:31">
      <c r="AE51427" s="54"/>
    </row>
    <row r="51428" spans="31:31">
      <c r="AE51428" s="54"/>
    </row>
    <row r="51429" spans="31:31">
      <c r="AE51429" s="54"/>
    </row>
    <row r="51430" spans="31:31">
      <c r="AE51430" s="54"/>
    </row>
    <row r="51431" spans="31:31">
      <c r="AE51431" s="54"/>
    </row>
    <row r="51432" spans="31:31">
      <c r="AE51432" s="54"/>
    </row>
    <row r="51433" spans="31:31">
      <c r="AE51433" s="54"/>
    </row>
    <row r="51434" spans="31:31">
      <c r="AE51434" s="54"/>
    </row>
    <row r="51435" spans="31:31">
      <c r="AE51435" s="54"/>
    </row>
    <row r="51436" spans="31:31">
      <c r="AE51436" s="54"/>
    </row>
    <row r="51437" spans="31:31">
      <c r="AE51437" s="54"/>
    </row>
    <row r="51438" spans="31:31">
      <c r="AE51438" s="54"/>
    </row>
    <row r="51439" spans="31:31">
      <c r="AE51439" s="54"/>
    </row>
    <row r="51440" spans="31:31">
      <c r="AE51440" s="54"/>
    </row>
    <row r="51441" spans="31:31">
      <c r="AE51441" s="54"/>
    </row>
    <row r="51442" spans="31:31">
      <c r="AE51442" s="54"/>
    </row>
    <row r="51443" spans="31:31">
      <c r="AE51443" s="54"/>
    </row>
    <row r="51444" spans="31:31">
      <c r="AE51444" s="54"/>
    </row>
    <row r="51445" spans="31:31">
      <c r="AE51445" s="54"/>
    </row>
    <row r="51446" spans="31:31">
      <c r="AE51446" s="54"/>
    </row>
    <row r="51447" spans="31:31">
      <c r="AE51447" s="54"/>
    </row>
    <row r="51448" spans="31:31">
      <c r="AE51448" s="54"/>
    </row>
    <row r="51449" spans="31:31">
      <c r="AE51449" s="54"/>
    </row>
    <row r="51450" spans="31:31">
      <c r="AE51450" s="54"/>
    </row>
    <row r="51451" spans="31:31">
      <c r="AE51451" s="54"/>
    </row>
    <row r="51452" spans="31:31">
      <c r="AE51452" s="54"/>
    </row>
    <row r="51453" spans="31:31">
      <c r="AE51453" s="54"/>
    </row>
    <row r="51454" spans="31:31">
      <c r="AE51454" s="54"/>
    </row>
    <row r="51455" spans="31:31">
      <c r="AE51455" s="54"/>
    </row>
    <row r="51456" spans="31:31">
      <c r="AE51456" s="54"/>
    </row>
    <row r="51457" spans="31:31">
      <c r="AE51457" s="54"/>
    </row>
    <row r="51458" spans="31:31">
      <c r="AE51458" s="54"/>
    </row>
    <row r="51459" spans="31:31">
      <c r="AE51459" s="54"/>
    </row>
    <row r="51460" spans="31:31">
      <c r="AE51460" s="54"/>
    </row>
    <row r="51461" spans="31:31">
      <c r="AE51461" s="54"/>
    </row>
    <row r="51462" spans="31:31">
      <c r="AE51462" s="54"/>
    </row>
    <row r="51463" spans="31:31">
      <c r="AE51463" s="54"/>
    </row>
    <row r="51464" spans="31:31">
      <c r="AE51464" s="54"/>
    </row>
    <row r="51465" spans="31:31">
      <c r="AE51465" s="54"/>
    </row>
    <row r="51466" spans="31:31">
      <c r="AE51466" s="54"/>
    </row>
    <row r="51467" spans="31:31">
      <c r="AE51467" s="54"/>
    </row>
    <row r="51468" spans="31:31">
      <c r="AE51468" s="54"/>
    </row>
    <row r="51469" spans="31:31">
      <c r="AE51469" s="54"/>
    </row>
    <row r="51470" spans="31:31">
      <c r="AE51470" s="54"/>
    </row>
    <row r="51471" spans="31:31">
      <c r="AE51471" s="54"/>
    </row>
    <row r="51472" spans="31:31">
      <c r="AE51472" s="54"/>
    </row>
    <row r="51473" spans="31:31">
      <c r="AE51473" s="54"/>
    </row>
    <row r="51474" spans="31:31">
      <c r="AE51474" s="54"/>
    </row>
    <row r="51475" spans="31:31">
      <c r="AE51475" s="54"/>
    </row>
    <row r="51476" spans="31:31">
      <c r="AE51476" s="54"/>
    </row>
    <row r="51477" spans="31:31">
      <c r="AE51477" s="54"/>
    </row>
    <row r="51478" spans="31:31">
      <c r="AE51478" s="54"/>
    </row>
    <row r="51479" spans="31:31">
      <c r="AE51479" s="54"/>
    </row>
    <row r="51480" spans="31:31">
      <c r="AE51480" s="54"/>
    </row>
    <row r="51481" spans="31:31">
      <c r="AE51481" s="54"/>
    </row>
    <row r="51482" spans="31:31">
      <c r="AE51482" s="54"/>
    </row>
    <row r="51483" spans="31:31">
      <c r="AE51483" s="54"/>
    </row>
    <row r="51484" spans="31:31">
      <c r="AE51484" s="54"/>
    </row>
    <row r="51485" spans="31:31">
      <c r="AE51485" s="54"/>
    </row>
    <row r="51486" spans="31:31">
      <c r="AE51486" s="54"/>
    </row>
    <row r="51487" spans="31:31">
      <c r="AE51487" s="54"/>
    </row>
    <row r="51488" spans="31:31">
      <c r="AE51488" s="54"/>
    </row>
    <row r="51489" spans="31:31">
      <c r="AE51489" s="54"/>
    </row>
    <row r="51490" spans="31:31">
      <c r="AE51490" s="54"/>
    </row>
    <row r="51491" spans="31:31">
      <c r="AE51491" s="54"/>
    </row>
    <row r="51492" spans="31:31">
      <c r="AE51492" s="54"/>
    </row>
    <row r="51493" spans="31:31">
      <c r="AE51493" s="54"/>
    </row>
    <row r="51494" spans="31:31">
      <c r="AE51494" s="54"/>
    </row>
    <row r="51495" spans="31:31">
      <c r="AE51495" s="54"/>
    </row>
    <row r="51496" spans="31:31">
      <c r="AE51496" s="54"/>
    </row>
    <row r="51497" spans="31:31">
      <c r="AE51497" s="54"/>
    </row>
    <row r="51498" spans="31:31">
      <c r="AE51498" s="54"/>
    </row>
    <row r="51499" spans="31:31">
      <c r="AE51499" s="54"/>
    </row>
    <row r="51500" spans="31:31">
      <c r="AE51500" s="54"/>
    </row>
    <row r="51501" spans="31:31">
      <c r="AE51501" s="54"/>
    </row>
    <row r="51502" spans="31:31">
      <c r="AE51502" s="54"/>
    </row>
    <row r="51503" spans="31:31">
      <c r="AE51503" s="54"/>
    </row>
    <row r="51504" spans="31:31">
      <c r="AE51504" s="54"/>
    </row>
    <row r="51505" spans="31:31">
      <c r="AE51505" s="54"/>
    </row>
    <row r="51506" spans="31:31">
      <c r="AE51506" s="54"/>
    </row>
    <row r="51507" spans="31:31">
      <c r="AE51507" s="54"/>
    </row>
    <row r="51508" spans="31:31">
      <c r="AE51508" s="54"/>
    </row>
    <row r="51509" spans="31:31">
      <c r="AE51509" s="54"/>
    </row>
    <row r="51510" spans="31:31">
      <c r="AE51510" s="54"/>
    </row>
    <row r="51511" spans="31:31">
      <c r="AE51511" s="54"/>
    </row>
    <row r="51512" spans="31:31">
      <c r="AE51512" s="54"/>
    </row>
    <row r="51513" spans="31:31">
      <c r="AE51513" s="54"/>
    </row>
    <row r="51514" spans="31:31">
      <c r="AE51514" s="54"/>
    </row>
    <row r="51515" spans="31:31">
      <c r="AE51515" s="54"/>
    </row>
    <row r="51516" spans="31:31">
      <c r="AE51516" s="54"/>
    </row>
    <row r="51517" spans="31:31">
      <c r="AE51517" s="54"/>
    </row>
    <row r="51518" spans="31:31">
      <c r="AE51518" s="54"/>
    </row>
    <row r="51519" spans="31:31">
      <c r="AE51519" s="54"/>
    </row>
    <row r="51520" spans="31:31">
      <c r="AE51520" s="54"/>
    </row>
    <row r="51521" spans="31:31">
      <c r="AE51521" s="54"/>
    </row>
    <row r="51522" spans="31:31">
      <c r="AE51522" s="54"/>
    </row>
    <row r="51523" spans="31:31">
      <c r="AE51523" s="54"/>
    </row>
    <row r="51524" spans="31:31">
      <c r="AE51524" s="54"/>
    </row>
    <row r="51525" spans="31:31">
      <c r="AE51525" s="54"/>
    </row>
    <row r="51526" spans="31:31">
      <c r="AE51526" s="54"/>
    </row>
    <row r="51527" spans="31:31">
      <c r="AE51527" s="54"/>
    </row>
    <row r="51528" spans="31:31">
      <c r="AE51528" s="54"/>
    </row>
    <row r="51529" spans="31:31">
      <c r="AE51529" s="54"/>
    </row>
    <row r="51530" spans="31:31">
      <c r="AE51530" s="54"/>
    </row>
    <row r="51531" spans="31:31">
      <c r="AE51531" s="54"/>
    </row>
    <row r="51532" spans="31:31">
      <c r="AE51532" s="54"/>
    </row>
    <row r="51533" spans="31:31">
      <c r="AE51533" s="54"/>
    </row>
    <row r="51534" spans="31:31">
      <c r="AE51534" s="54"/>
    </row>
    <row r="51535" spans="31:31">
      <c r="AE51535" s="54"/>
    </row>
    <row r="51536" spans="31:31">
      <c r="AE51536" s="54"/>
    </row>
    <row r="51537" spans="31:31">
      <c r="AE51537" s="54"/>
    </row>
    <row r="51538" spans="31:31">
      <c r="AE51538" s="54"/>
    </row>
    <row r="51539" spans="31:31">
      <c r="AE51539" s="54"/>
    </row>
    <row r="51540" spans="31:31">
      <c r="AE51540" s="54"/>
    </row>
    <row r="51541" spans="31:31">
      <c r="AE51541" s="54"/>
    </row>
    <row r="51542" spans="31:31">
      <c r="AE51542" s="54"/>
    </row>
    <row r="51543" spans="31:31">
      <c r="AE51543" s="54"/>
    </row>
    <row r="51544" spans="31:31">
      <c r="AE51544" s="54"/>
    </row>
    <row r="51545" spans="31:31">
      <c r="AE51545" s="54"/>
    </row>
    <row r="51546" spans="31:31">
      <c r="AE51546" s="54"/>
    </row>
    <row r="51547" spans="31:31">
      <c r="AE51547" s="54"/>
    </row>
    <row r="51548" spans="31:31">
      <c r="AE51548" s="54"/>
    </row>
    <row r="51549" spans="31:31">
      <c r="AE51549" s="54"/>
    </row>
    <row r="51550" spans="31:31">
      <c r="AE51550" s="54"/>
    </row>
    <row r="51551" spans="31:31">
      <c r="AE51551" s="54"/>
    </row>
    <row r="51552" spans="31:31">
      <c r="AE51552" s="54"/>
    </row>
    <row r="51553" spans="31:31">
      <c r="AE51553" s="54"/>
    </row>
    <row r="51554" spans="31:31">
      <c r="AE51554" s="54"/>
    </row>
    <row r="51555" spans="31:31">
      <c r="AE51555" s="54"/>
    </row>
    <row r="51556" spans="31:31">
      <c r="AE51556" s="54"/>
    </row>
    <row r="51557" spans="31:31">
      <c r="AE51557" s="54"/>
    </row>
    <row r="51558" spans="31:31">
      <c r="AE51558" s="54"/>
    </row>
    <row r="51559" spans="31:31">
      <c r="AE51559" s="54"/>
    </row>
    <row r="51560" spans="31:31">
      <c r="AE51560" s="54"/>
    </row>
    <row r="51561" spans="31:31">
      <c r="AE51561" s="54"/>
    </row>
    <row r="51562" spans="31:31">
      <c r="AE51562" s="54"/>
    </row>
    <row r="51563" spans="31:31">
      <c r="AE51563" s="54"/>
    </row>
    <row r="51564" spans="31:31">
      <c r="AE51564" s="54"/>
    </row>
    <row r="51565" spans="31:31">
      <c r="AE51565" s="54"/>
    </row>
    <row r="51566" spans="31:31">
      <c r="AE51566" s="54"/>
    </row>
    <row r="51567" spans="31:31">
      <c r="AE51567" s="54"/>
    </row>
    <row r="51568" spans="31:31">
      <c r="AE51568" s="54"/>
    </row>
    <row r="51569" spans="31:31">
      <c r="AE51569" s="54"/>
    </row>
    <row r="51570" spans="31:31">
      <c r="AE51570" s="54"/>
    </row>
    <row r="51571" spans="31:31">
      <c r="AE51571" s="54"/>
    </row>
    <row r="51572" spans="31:31">
      <c r="AE51572" s="54"/>
    </row>
    <row r="51573" spans="31:31">
      <c r="AE51573" s="54"/>
    </row>
    <row r="51574" spans="31:31">
      <c r="AE51574" s="54"/>
    </row>
    <row r="51575" spans="31:31">
      <c r="AE51575" s="54"/>
    </row>
    <row r="51576" spans="31:31">
      <c r="AE51576" s="54"/>
    </row>
    <row r="51577" spans="31:31">
      <c r="AE51577" s="54"/>
    </row>
    <row r="51578" spans="31:31">
      <c r="AE51578" s="54"/>
    </row>
    <row r="51579" spans="31:31">
      <c r="AE51579" s="54"/>
    </row>
    <row r="51580" spans="31:31">
      <c r="AE51580" s="54"/>
    </row>
    <row r="51581" spans="31:31">
      <c r="AE51581" s="54"/>
    </row>
    <row r="51582" spans="31:31">
      <c r="AE51582" s="54"/>
    </row>
    <row r="51583" spans="31:31">
      <c r="AE51583" s="54"/>
    </row>
    <row r="51584" spans="31:31">
      <c r="AE51584" s="54"/>
    </row>
    <row r="51585" spans="31:31">
      <c r="AE51585" s="54"/>
    </row>
    <row r="51586" spans="31:31">
      <c r="AE51586" s="54"/>
    </row>
    <row r="51587" spans="31:31">
      <c r="AE51587" s="54"/>
    </row>
    <row r="51588" spans="31:31">
      <c r="AE51588" s="54"/>
    </row>
    <row r="51589" spans="31:31">
      <c r="AE51589" s="54"/>
    </row>
    <row r="51590" spans="31:31">
      <c r="AE51590" s="54"/>
    </row>
    <row r="51591" spans="31:31">
      <c r="AE51591" s="54"/>
    </row>
    <row r="51592" spans="31:31">
      <c r="AE51592" s="54"/>
    </row>
    <row r="51593" spans="31:31">
      <c r="AE51593" s="54"/>
    </row>
    <row r="51594" spans="31:31">
      <c r="AE51594" s="54"/>
    </row>
    <row r="51595" spans="31:31">
      <c r="AE51595" s="54"/>
    </row>
    <row r="51596" spans="31:31">
      <c r="AE51596" s="54"/>
    </row>
    <row r="51597" spans="31:31">
      <c r="AE51597" s="54"/>
    </row>
    <row r="51598" spans="31:31">
      <c r="AE51598" s="54"/>
    </row>
    <row r="51599" spans="31:31">
      <c r="AE51599" s="54"/>
    </row>
    <row r="51600" spans="31:31">
      <c r="AE51600" s="54"/>
    </row>
    <row r="51601" spans="31:31">
      <c r="AE51601" s="54"/>
    </row>
    <row r="51602" spans="31:31">
      <c r="AE51602" s="54"/>
    </row>
    <row r="51603" spans="31:31">
      <c r="AE51603" s="54"/>
    </row>
    <row r="51604" spans="31:31">
      <c r="AE51604" s="54"/>
    </row>
    <row r="51605" spans="31:31">
      <c r="AE51605" s="54"/>
    </row>
    <row r="51606" spans="31:31">
      <c r="AE51606" s="54"/>
    </row>
    <row r="51607" spans="31:31">
      <c r="AE51607" s="54"/>
    </row>
    <row r="51608" spans="31:31">
      <c r="AE51608" s="54"/>
    </row>
    <row r="51609" spans="31:31">
      <c r="AE51609" s="54"/>
    </row>
    <row r="51610" spans="31:31">
      <c r="AE51610" s="54"/>
    </row>
    <row r="51611" spans="31:31">
      <c r="AE51611" s="54"/>
    </row>
    <row r="51612" spans="31:31">
      <c r="AE51612" s="54"/>
    </row>
    <row r="51613" spans="31:31">
      <c r="AE51613" s="54"/>
    </row>
    <row r="51614" spans="31:31">
      <c r="AE51614" s="54"/>
    </row>
    <row r="51615" spans="31:31">
      <c r="AE51615" s="54"/>
    </row>
    <row r="51616" spans="31:31">
      <c r="AE51616" s="54"/>
    </row>
    <row r="51617" spans="31:31">
      <c r="AE51617" s="54"/>
    </row>
    <row r="51618" spans="31:31">
      <c r="AE51618" s="54"/>
    </row>
    <row r="51619" spans="31:31">
      <c r="AE51619" s="54"/>
    </row>
    <row r="51620" spans="31:31">
      <c r="AE51620" s="54"/>
    </row>
    <row r="51621" spans="31:31">
      <c r="AE51621" s="54"/>
    </row>
    <row r="51622" spans="31:31">
      <c r="AE51622" s="54"/>
    </row>
    <row r="51623" spans="31:31">
      <c r="AE51623" s="54"/>
    </row>
    <row r="51624" spans="31:31">
      <c r="AE51624" s="54"/>
    </row>
    <row r="51625" spans="31:31">
      <c r="AE51625" s="54"/>
    </row>
    <row r="51626" spans="31:31">
      <c r="AE51626" s="54"/>
    </row>
    <row r="51627" spans="31:31">
      <c r="AE51627" s="54"/>
    </row>
    <row r="51628" spans="31:31">
      <c r="AE51628" s="54"/>
    </row>
    <row r="51629" spans="31:31">
      <c r="AE51629" s="54"/>
    </row>
    <row r="51630" spans="31:31">
      <c r="AE51630" s="54"/>
    </row>
    <row r="51631" spans="31:31">
      <c r="AE51631" s="54"/>
    </row>
    <row r="51632" spans="31:31">
      <c r="AE51632" s="54"/>
    </row>
    <row r="51633" spans="31:31">
      <c r="AE51633" s="54"/>
    </row>
    <row r="51634" spans="31:31">
      <c r="AE51634" s="54"/>
    </row>
    <row r="51635" spans="31:31">
      <c r="AE51635" s="54"/>
    </row>
    <row r="51636" spans="31:31">
      <c r="AE51636" s="54"/>
    </row>
    <row r="51637" spans="31:31">
      <c r="AE51637" s="54"/>
    </row>
    <row r="51638" spans="31:31">
      <c r="AE51638" s="54"/>
    </row>
    <row r="51639" spans="31:31">
      <c r="AE51639" s="54"/>
    </row>
    <row r="51640" spans="31:31">
      <c r="AE51640" s="54"/>
    </row>
    <row r="51641" spans="31:31">
      <c r="AE51641" s="54"/>
    </row>
    <row r="51642" spans="31:31">
      <c r="AE51642" s="54"/>
    </row>
    <row r="51643" spans="31:31">
      <c r="AE51643" s="54"/>
    </row>
    <row r="51644" spans="31:31">
      <c r="AE51644" s="54"/>
    </row>
    <row r="51645" spans="31:31">
      <c r="AE51645" s="54"/>
    </row>
    <row r="51646" spans="31:31">
      <c r="AE51646" s="54"/>
    </row>
    <row r="51647" spans="31:31">
      <c r="AE51647" s="54"/>
    </row>
    <row r="51648" spans="31:31">
      <c r="AE51648" s="54"/>
    </row>
    <row r="51649" spans="31:31">
      <c r="AE51649" s="54"/>
    </row>
    <row r="51650" spans="31:31">
      <c r="AE51650" s="54"/>
    </row>
    <row r="51651" spans="31:31">
      <c r="AE51651" s="54"/>
    </row>
    <row r="51652" spans="31:31">
      <c r="AE51652" s="54"/>
    </row>
    <row r="51653" spans="31:31">
      <c r="AE51653" s="54"/>
    </row>
    <row r="51654" spans="31:31">
      <c r="AE51654" s="54"/>
    </row>
    <row r="51655" spans="31:31">
      <c r="AE51655" s="54"/>
    </row>
    <row r="51656" spans="31:31">
      <c r="AE51656" s="54"/>
    </row>
    <row r="51657" spans="31:31">
      <c r="AE51657" s="54"/>
    </row>
    <row r="51658" spans="31:31">
      <c r="AE51658" s="54"/>
    </row>
    <row r="51659" spans="31:31">
      <c r="AE51659" s="54"/>
    </row>
    <row r="51660" spans="31:31">
      <c r="AE51660" s="54"/>
    </row>
    <row r="51661" spans="31:31">
      <c r="AE51661" s="54"/>
    </row>
    <row r="51662" spans="31:31">
      <c r="AE51662" s="54"/>
    </row>
    <row r="51663" spans="31:31">
      <c r="AE51663" s="54"/>
    </row>
    <row r="51664" spans="31:31">
      <c r="AE51664" s="54"/>
    </row>
    <row r="51665" spans="31:31">
      <c r="AE51665" s="54"/>
    </row>
    <row r="51666" spans="31:31">
      <c r="AE51666" s="54"/>
    </row>
    <row r="51667" spans="31:31">
      <c r="AE51667" s="54"/>
    </row>
    <row r="51668" spans="31:31">
      <c r="AE51668" s="54"/>
    </row>
    <row r="51669" spans="31:31">
      <c r="AE51669" s="54"/>
    </row>
    <row r="51670" spans="31:31">
      <c r="AE51670" s="54"/>
    </row>
    <row r="51671" spans="31:31">
      <c r="AE51671" s="54"/>
    </row>
    <row r="51672" spans="31:31">
      <c r="AE51672" s="54"/>
    </row>
    <row r="51673" spans="31:31">
      <c r="AE51673" s="54"/>
    </row>
    <row r="51674" spans="31:31">
      <c r="AE51674" s="54"/>
    </row>
    <row r="51675" spans="31:31">
      <c r="AE51675" s="54"/>
    </row>
    <row r="51676" spans="31:31">
      <c r="AE51676" s="54"/>
    </row>
    <row r="51677" spans="31:31">
      <c r="AE51677" s="54"/>
    </row>
    <row r="51678" spans="31:31">
      <c r="AE51678" s="54"/>
    </row>
    <row r="51679" spans="31:31">
      <c r="AE51679" s="54"/>
    </row>
    <row r="51680" spans="31:31">
      <c r="AE51680" s="54"/>
    </row>
    <row r="51681" spans="31:31">
      <c r="AE51681" s="54"/>
    </row>
    <row r="51682" spans="31:31">
      <c r="AE51682" s="54"/>
    </row>
    <row r="51683" spans="31:31">
      <c r="AE51683" s="54"/>
    </row>
    <row r="51684" spans="31:31">
      <c r="AE51684" s="54"/>
    </row>
    <row r="51685" spans="31:31">
      <c r="AE51685" s="54"/>
    </row>
    <row r="51686" spans="31:31">
      <c r="AE51686" s="54"/>
    </row>
    <row r="51687" spans="31:31">
      <c r="AE51687" s="54"/>
    </row>
    <row r="51688" spans="31:31">
      <c r="AE51688" s="54"/>
    </row>
    <row r="51689" spans="31:31">
      <c r="AE51689" s="54"/>
    </row>
    <row r="51690" spans="31:31">
      <c r="AE51690" s="54"/>
    </row>
    <row r="51691" spans="31:31">
      <c r="AE51691" s="54"/>
    </row>
    <row r="51692" spans="31:31">
      <c r="AE51692" s="54"/>
    </row>
    <row r="51693" spans="31:31">
      <c r="AE51693" s="54"/>
    </row>
    <row r="51694" spans="31:31">
      <c r="AE51694" s="54"/>
    </row>
    <row r="51695" spans="31:31">
      <c r="AE51695" s="54"/>
    </row>
    <row r="51696" spans="31:31">
      <c r="AE51696" s="54"/>
    </row>
    <row r="51697" spans="31:31">
      <c r="AE51697" s="54"/>
    </row>
    <row r="51698" spans="31:31">
      <c r="AE51698" s="54"/>
    </row>
    <row r="51699" spans="31:31">
      <c r="AE51699" s="54"/>
    </row>
    <row r="51700" spans="31:31">
      <c r="AE51700" s="54"/>
    </row>
    <row r="51701" spans="31:31">
      <c r="AE51701" s="54"/>
    </row>
    <row r="51702" spans="31:31">
      <c r="AE51702" s="54"/>
    </row>
    <row r="51703" spans="31:31">
      <c r="AE51703" s="54"/>
    </row>
    <row r="51704" spans="31:31">
      <c r="AE51704" s="54"/>
    </row>
    <row r="51705" spans="31:31">
      <c r="AE51705" s="54"/>
    </row>
    <row r="51706" spans="31:31">
      <c r="AE51706" s="54"/>
    </row>
    <row r="51707" spans="31:31">
      <c r="AE51707" s="54"/>
    </row>
    <row r="51708" spans="31:31">
      <c r="AE51708" s="54"/>
    </row>
    <row r="51709" spans="31:31">
      <c r="AE51709" s="54"/>
    </row>
    <row r="51710" spans="31:31">
      <c r="AE51710" s="54"/>
    </row>
    <row r="51711" spans="31:31">
      <c r="AE51711" s="54"/>
    </row>
    <row r="51712" spans="31:31">
      <c r="AE51712" s="54"/>
    </row>
    <row r="51713" spans="31:31">
      <c r="AE51713" s="54"/>
    </row>
    <row r="51714" spans="31:31">
      <c r="AE51714" s="54"/>
    </row>
    <row r="51715" spans="31:31">
      <c r="AE51715" s="54"/>
    </row>
    <row r="51716" spans="31:31">
      <c r="AE51716" s="54"/>
    </row>
    <row r="51717" spans="31:31">
      <c r="AE51717" s="54"/>
    </row>
    <row r="51718" spans="31:31">
      <c r="AE51718" s="54"/>
    </row>
    <row r="51719" spans="31:31">
      <c r="AE51719" s="54"/>
    </row>
    <row r="51720" spans="31:31">
      <c r="AE51720" s="54"/>
    </row>
    <row r="51721" spans="31:31">
      <c r="AE51721" s="54"/>
    </row>
    <row r="51722" spans="31:31">
      <c r="AE51722" s="54"/>
    </row>
    <row r="51723" spans="31:31">
      <c r="AE51723" s="54"/>
    </row>
    <row r="51724" spans="31:31">
      <c r="AE51724" s="54"/>
    </row>
    <row r="51725" spans="31:31">
      <c r="AE51725" s="54"/>
    </row>
    <row r="51726" spans="31:31">
      <c r="AE51726" s="54"/>
    </row>
    <row r="51727" spans="31:31">
      <c r="AE51727" s="54"/>
    </row>
    <row r="51728" spans="31:31">
      <c r="AE51728" s="54"/>
    </row>
    <row r="51729" spans="31:31">
      <c r="AE51729" s="54"/>
    </row>
    <row r="51730" spans="31:31">
      <c r="AE51730" s="54"/>
    </row>
    <row r="51731" spans="31:31">
      <c r="AE51731" s="54"/>
    </row>
    <row r="51732" spans="31:31">
      <c r="AE51732" s="54"/>
    </row>
    <row r="51733" spans="31:31">
      <c r="AE51733" s="54"/>
    </row>
    <row r="51734" spans="31:31">
      <c r="AE51734" s="54"/>
    </row>
    <row r="51735" spans="31:31">
      <c r="AE51735" s="54"/>
    </row>
    <row r="51736" spans="31:31">
      <c r="AE51736" s="54"/>
    </row>
    <row r="51737" spans="31:31">
      <c r="AE51737" s="54"/>
    </row>
    <row r="51738" spans="31:31">
      <c r="AE51738" s="54"/>
    </row>
    <row r="51739" spans="31:31">
      <c r="AE51739" s="54"/>
    </row>
    <row r="51740" spans="31:31">
      <c r="AE51740" s="54"/>
    </row>
    <row r="51741" spans="31:31">
      <c r="AE51741" s="54"/>
    </row>
    <row r="51742" spans="31:31">
      <c r="AE51742" s="54"/>
    </row>
    <row r="51743" spans="31:31">
      <c r="AE51743" s="54"/>
    </row>
    <row r="51744" spans="31:31">
      <c r="AE51744" s="54"/>
    </row>
    <row r="51745" spans="31:31">
      <c r="AE51745" s="54"/>
    </row>
    <row r="51746" spans="31:31">
      <c r="AE51746" s="54"/>
    </row>
    <row r="51747" spans="31:31">
      <c r="AE51747" s="54"/>
    </row>
    <row r="51748" spans="31:31">
      <c r="AE51748" s="54"/>
    </row>
    <row r="51749" spans="31:31">
      <c r="AE51749" s="54"/>
    </row>
    <row r="51750" spans="31:31">
      <c r="AE51750" s="54"/>
    </row>
    <row r="51751" spans="31:31">
      <c r="AE51751" s="54"/>
    </row>
    <row r="51752" spans="31:31">
      <c r="AE51752" s="54"/>
    </row>
    <row r="51753" spans="31:31">
      <c r="AE51753" s="54"/>
    </row>
    <row r="51754" spans="31:31">
      <c r="AE51754" s="54"/>
    </row>
    <row r="51755" spans="31:31">
      <c r="AE51755" s="54"/>
    </row>
    <row r="51756" spans="31:31">
      <c r="AE51756" s="54"/>
    </row>
    <row r="51757" spans="31:31">
      <c r="AE51757" s="54"/>
    </row>
    <row r="51758" spans="31:31">
      <c r="AE51758" s="54"/>
    </row>
    <row r="51759" spans="31:31">
      <c r="AE51759" s="54"/>
    </row>
    <row r="51760" spans="31:31">
      <c r="AE51760" s="54"/>
    </row>
    <row r="51761" spans="31:31">
      <c r="AE51761" s="54"/>
    </row>
    <row r="51762" spans="31:31">
      <c r="AE51762" s="54"/>
    </row>
    <row r="51763" spans="31:31">
      <c r="AE51763" s="54"/>
    </row>
    <row r="51764" spans="31:31">
      <c r="AE51764" s="54"/>
    </row>
    <row r="51765" spans="31:31">
      <c r="AE51765" s="54"/>
    </row>
    <row r="51766" spans="31:31">
      <c r="AE51766" s="54"/>
    </row>
    <row r="51767" spans="31:31">
      <c r="AE51767" s="54"/>
    </row>
    <row r="51768" spans="31:31">
      <c r="AE51768" s="54"/>
    </row>
    <row r="51769" spans="31:31">
      <c r="AE51769" s="54"/>
    </row>
    <row r="51770" spans="31:31">
      <c r="AE51770" s="54"/>
    </row>
    <row r="51771" spans="31:31">
      <c r="AE51771" s="54"/>
    </row>
    <row r="51772" spans="31:31">
      <c r="AE51772" s="54"/>
    </row>
    <row r="51773" spans="31:31">
      <c r="AE51773" s="54"/>
    </row>
    <row r="51774" spans="31:31">
      <c r="AE51774" s="54"/>
    </row>
    <row r="51775" spans="31:31">
      <c r="AE51775" s="54"/>
    </row>
    <row r="51776" spans="31:31">
      <c r="AE51776" s="54"/>
    </row>
    <row r="51777" spans="31:31">
      <c r="AE51777" s="54"/>
    </row>
    <row r="51778" spans="31:31">
      <c r="AE51778" s="54"/>
    </row>
    <row r="51779" spans="31:31">
      <c r="AE51779" s="54"/>
    </row>
    <row r="51780" spans="31:31">
      <c r="AE51780" s="54"/>
    </row>
    <row r="51781" spans="31:31">
      <c r="AE51781" s="54"/>
    </row>
    <row r="51782" spans="31:31">
      <c r="AE51782" s="54"/>
    </row>
    <row r="51783" spans="31:31">
      <c r="AE51783" s="54"/>
    </row>
    <row r="51784" spans="31:31">
      <c r="AE51784" s="54"/>
    </row>
    <row r="51785" spans="31:31">
      <c r="AE51785" s="54"/>
    </row>
    <row r="51786" spans="31:31">
      <c r="AE51786" s="54"/>
    </row>
    <row r="51787" spans="31:31">
      <c r="AE51787" s="54"/>
    </row>
    <row r="51788" spans="31:31">
      <c r="AE51788" s="54"/>
    </row>
    <row r="51789" spans="31:31">
      <c r="AE51789" s="54"/>
    </row>
    <row r="51790" spans="31:31">
      <c r="AE51790" s="54"/>
    </row>
    <row r="51791" spans="31:31">
      <c r="AE51791" s="54"/>
    </row>
    <row r="51792" spans="31:31">
      <c r="AE51792" s="54"/>
    </row>
    <row r="51793" spans="31:31">
      <c r="AE51793" s="54"/>
    </row>
    <row r="51794" spans="31:31">
      <c r="AE51794" s="54"/>
    </row>
    <row r="51795" spans="31:31">
      <c r="AE51795" s="54"/>
    </row>
    <row r="51796" spans="31:31">
      <c r="AE51796" s="54"/>
    </row>
    <row r="51797" spans="31:31">
      <c r="AE51797" s="54"/>
    </row>
    <row r="51798" spans="31:31">
      <c r="AE51798" s="54"/>
    </row>
    <row r="51799" spans="31:31">
      <c r="AE51799" s="54"/>
    </row>
    <row r="51800" spans="31:31">
      <c r="AE51800" s="54"/>
    </row>
    <row r="51801" spans="31:31">
      <c r="AE51801" s="54"/>
    </row>
    <row r="51802" spans="31:31">
      <c r="AE51802" s="54"/>
    </row>
    <row r="51803" spans="31:31">
      <c r="AE51803" s="54"/>
    </row>
    <row r="51804" spans="31:31">
      <c r="AE51804" s="54"/>
    </row>
    <row r="51805" spans="31:31">
      <c r="AE51805" s="54"/>
    </row>
    <row r="51806" spans="31:31">
      <c r="AE51806" s="54"/>
    </row>
    <row r="51807" spans="31:31">
      <c r="AE51807" s="54"/>
    </row>
    <row r="51808" spans="31:31">
      <c r="AE51808" s="54"/>
    </row>
    <row r="51809" spans="31:31">
      <c r="AE51809" s="54"/>
    </row>
    <row r="51810" spans="31:31">
      <c r="AE51810" s="54"/>
    </row>
    <row r="51811" spans="31:31">
      <c r="AE51811" s="54"/>
    </row>
    <row r="51812" spans="31:31">
      <c r="AE51812" s="54"/>
    </row>
    <row r="51813" spans="31:31">
      <c r="AE51813" s="54"/>
    </row>
    <row r="51814" spans="31:31">
      <c r="AE51814" s="54"/>
    </row>
    <row r="51815" spans="31:31">
      <c r="AE51815" s="54"/>
    </row>
    <row r="51816" spans="31:31">
      <c r="AE51816" s="54"/>
    </row>
    <row r="51817" spans="31:31">
      <c r="AE51817" s="54"/>
    </row>
    <row r="51818" spans="31:31">
      <c r="AE51818" s="54"/>
    </row>
    <row r="51819" spans="31:31">
      <c r="AE51819" s="54"/>
    </row>
    <row r="51820" spans="31:31">
      <c r="AE51820" s="54"/>
    </row>
    <row r="51821" spans="31:31">
      <c r="AE51821" s="54"/>
    </row>
    <row r="51822" spans="31:31">
      <c r="AE51822" s="54"/>
    </row>
    <row r="51823" spans="31:31">
      <c r="AE51823" s="54"/>
    </row>
    <row r="51824" spans="31:31">
      <c r="AE51824" s="54"/>
    </row>
    <row r="51825" spans="31:31">
      <c r="AE51825" s="54"/>
    </row>
    <row r="51826" spans="31:31">
      <c r="AE51826" s="54"/>
    </row>
    <row r="51827" spans="31:31">
      <c r="AE51827" s="54"/>
    </row>
    <row r="51828" spans="31:31">
      <c r="AE51828" s="54"/>
    </row>
    <row r="51829" spans="31:31">
      <c r="AE51829" s="54"/>
    </row>
    <row r="51830" spans="31:31">
      <c r="AE51830" s="54"/>
    </row>
    <row r="51831" spans="31:31">
      <c r="AE51831" s="54"/>
    </row>
    <row r="51832" spans="31:31">
      <c r="AE51832" s="54"/>
    </row>
    <row r="51833" spans="31:31">
      <c r="AE51833" s="54"/>
    </row>
    <row r="51834" spans="31:31">
      <c r="AE51834" s="54"/>
    </row>
    <row r="51835" spans="31:31">
      <c r="AE51835" s="54"/>
    </row>
    <row r="51836" spans="31:31">
      <c r="AE51836" s="54"/>
    </row>
    <row r="51837" spans="31:31">
      <c r="AE51837" s="54"/>
    </row>
    <row r="51838" spans="31:31">
      <c r="AE51838" s="54"/>
    </row>
    <row r="51839" spans="31:31">
      <c r="AE51839" s="54"/>
    </row>
    <row r="51840" spans="31:31">
      <c r="AE51840" s="54"/>
    </row>
    <row r="51841" spans="31:31">
      <c r="AE51841" s="54"/>
    </row>
    <row r="51842" spans="31:31">
      <c r="AE51842" s="54"/>
    </row>
    <row r="51843" spans="31:31">
      <c r="AE51843" s="54"/>
    </row>
    <row r="51844" spans="31:31">
      <c r="AE51844" s="54"/>
    </row>
    <row r="51845" spans="31:31">
      <c r="AE51845" s="54"/>
    </row>
    <row r="51846" spans="31:31">
      <c r="AE51846" s="54"/>
    </row>
    <row r="51847" spans="31:31">
      <c r="AE51847" s="54"/>
    </row>
    <row r="51848" spans="31:31">
      <c r="AE51848" s="54"/>
    </row>
    <row r="51849" spans="31:31">
      <c r="AE51849" s="54"/>
    </row>
    <row r="51850" spans="31:31">
      <c r="AE51850" s="54"/>
    </row>
    <row r="51851" spans="31:31">
      <c r="AE51851" s="54"/>
    </row>
    <row r="51852" spans="31:31">
      <c r="AE51852" s="54"/>
    </row>
    <row r="51853" spans="31:31">
      <c r="AE51853" s="54"/>
    </row>
    <row r="51854" spans="31:31">
      <c r="AE51854" s="54"/>
    </row>
    <row r="51855" spans="31:31">
      <c r="AE51855" s="54"/>
    </row>
    <row r="51856" spans="31:31">
      <c r="AE51856" s="54"/>
    </row>
    <row r="51857" spans="31:31">
      <c r="AE51857" s="54"/>
    </row>
    <row r="51858" spans="31:31">
      <c r="AE51858" s="54"/>
    </row>
    <row r="51859" spans="31:31">
      <c r="AE51859" s="54"/>
    </row>
    <row r="51860" spans="31:31">
      <c r="AE51860" s="54"/>
    </row>
    <row r="51861" spans="31:31">
      <c r="AE51861" s="54"/>
    </row>
    <row r="51862" spans="31:31">
      <c r="AE51862" s="54"/>
    </row>
    <row r="51863" spans="31:31">
      <c r="AE51863" s="54"/>
    </row>
    <row r="51864" spans="31:31">
      <c r="AE51864" s="54"/>
    </row>
    <row r="51865" spans="31:31">
      <c r="AE51865" s="54"/>
    </row>
    <row r="51866" spans="31:31">
      <c r="AE51866" s="54"/>
    </row>
    <row r="51867" spans="31:31">
      <c r="AE51867" s="54"/>
    </row>
    <row r="51868" spans="31:31">
      <c r="AE51868" s="54"/>
    </row>
    <row r="51869" spans="31:31">
      <c r="AE51869" s="54"/>
    </row>
    <row r="51870" spans="31:31">
      <c r="AE51870" s="54"/>
    </row>
    <row r="51871" spans="31:31">
      <c r="AE51871" s="54"/>
    </row>
    <row r="51872" spans="31:31">
      <c r="AE51872" s="54"/>
    </row>
    <row r="51873" spans="31:31">
      <c r="AE51873" s="54"/>
    </row>
    <row r="51874" spans="31:31">
      <c r="AE51874" s="54"/>
    </row>
    <row r="51875" spans="31:31">
      <c r="AE51875" s="54"/>
    </row>
    <row r="51876" spans="31:31">
      <c r="AE51876" s="54"/>
    </row>
    <row r="51877" spans="31:31">
      <c r="AE51877" s="54"/>
    </row>
    <row r="51878" spans="31:31">
      <c r="AE51878" s="54"/>
    </row>
    <row r="51879" spans="31:31">
      <c r="AE51879" s="54"/>
    </row>
    <row r="51880" spans="31:31">
      <c r="AE51880" s="54"/>
    </row>
    <row r="51881" spans="31:31">
      <c r="AE51881" s="54"/>
    </row>
    <row r="51882" spans="31:31">
      <c r="AE51882" s="54"/>
    </row>
    <row r="51883" spans="31:31">
      <c r="AE51883" s="54"/>
    </row>
    <row r="51884" spans="31:31">
      <c r="AE51884" s="54"/>
    </row>
    <row r="51885" spans="31:31">
      <c r="AE51885" s="54"/>
    </row>
    <row r="51886" spans="31:31">
      <c r="AE51886" s="54"/>
    </row>
    <row r="51887" spans="31:31">
      <c r="AE51887" s="54"/>
    </row>
    <row r="51888" spans="31:31">
      <c r="AE51888" s="54"/>
    </row>
    <row r="51889" spans="31:31">
      <c r="AE51889" s="54"/>
    </row>
    <row r="51890" spans="31:31">
      <c r="AE51890" s="54"/>
    </row>
    <row r="51891" spans="31:31">
      <c r="AE51891" s="54"/>
    </row>
    <row r="51892" spans="31:31">
      <c r="AE51892" s="54"/>
    </row>
    <row r="51893" spans="31:31">
      <c r="AE51893" s="54"/>
    </row>
    <row r="51894" spans="31:31">
      <c r="AE51894" s="54"/>
    </row>
    <row r="51895" spans="31:31">
      <c r="AE51895" s="54"/>
    </row>
    <row r="51896" spans="31:31">
      <c r="AE51896" s="54"/>
    </row>
    <row r="51897" spans="31:31">
      <c r="AE51897" s="54"/>
    </row>
    <row r="51898" spans="31:31">
      <c r="AE51898" s="54"/>
    </row>
    <row r="51899" spans="31:31">
      <c r="AE51899" s="54"/>
    </row>
    <row r="51900" spans="31:31">
      <c r="AE51900" s="54"/>
    </row>
    <row r="51901" spans="31:31">
      <c r="AE51901" s="54"/>
    </row>
    <row r="51902" spans="31:31">
      <c r="AE51902" s="54"/>
    </row>
    <row r="51903" spans="31:31">
      <c r="AE51903" s="54"/>
    </row>
    <row r="51904" spans="31:31">
      <c r="AE51904" s="54"/>
    </row>
    <row r="51905" spans="31:31">
      <c r="AE51905" s="54"/>
    </row>
    <row r="51906" spans="31:31">
      <c r="AE51906" s="54"/>
    </row>
    <row r="51907" spans="31:31">
      <c r="AE51907" s="54"/>
    </row>
    <row r="51908" spans="31:31">
      <c r="AE51908" s="54"/>
    </row>
    <row r="51909" spans="31:31">
      <c r="AE51909" s="54"/>
    </row>
    <row r="51910" spans="31:31">
      <c r="AE51910" s="54"/>
    </row>
    <row r="51911" spans="31:31">
      <c r="AE51911" s="54"/>
    </row>
    <row r="51912" spans="31:31">
      <c r="AE51912" s="54"/>
    </row>
    <row r="51913" spans="31:31">
      <c r="AE51913" s="54"/>
    </row>
    <row r="51914" spans="31:31">
      <c r="AE51914" s="54"/>
    </row>
    <row r="51915" spans="31:31">
      <c r="AE51915" s="54"/>
    </row>
    <row r="51916" spans="31:31">
      <c r="AE51916" s="54"/>
    </row>
    <row r="51917" spans="31:31">
      <c r="AE51917" s="54"/>
    </row>
    <row r="51918" spans="31:31">
      <c r="AE51918" s="54"/>
    </row>
    <row r="51919" spans="31:31">
      <c r="AE51919" s="54"/>
    </row>
    <row r="51920" spans="31:31">
      <c r="AE51920" s="54"/>
    </row>
    <row r="51921" spans="31:31">
      <c r="AE51921" s="54"/>
    </row>
    <row r="51922" spans="31:31">
      <c r="AE51922" s="54"/>
    </row>
    <row r="51923" spans="31:31">
      <c r="AE51923" s="54"/>
    </row>
    <row r="51924" spans="31:31">
      <c r="AE51924" s="54"/>
    </row>
    <row r="51925" spans="31:31">
      <c r="AE51925" s="54"/>
    </row>
    <row r="51926" spans="31:31">
      <c r="AE51926" s="54"/>
    </row>
    <row r="51927" spans="31:31">
      <c r="AE51927" s="54"/>
    </row>
    <row r="51928" spans="31:31">
      <c r="AE51928" s="54"/>
    </row>
    <row r="51929" spans="31:31">
      <c r="AE51929" s="54"/>
    </row>
    <row r="51930" spans="31:31">
      <c r="AE51930" s="54"/>
    </row>
    <row r="51931" spans="31:31">
      <c r="AE51931" s="54"/>
    </row>
    <row r="51932" spans="31:31">
      <c r="AE51932" s="54"/>
    </row>
    <row r="51933" spans="31:31">
      <c r="AE51933" s="54"/>
    </row>
    <row r="51934" spans="31:31">
      <c r="AE51934" s="54"/>
    </row>
    <row r="51935" spans="31:31">
      <c r="AE51935" s="54"/>
    </row>
    <row r="51936" spans="31:31">
      <c r="AE51936" s="54"/>
    </row>
    <row r="51937" spans="31:31">
      <c r="AE51937" s="54"/>
    </row>
    <row r="51938" spans="31:31">
      <c r="AE51938" s="54"/>
    </row>
    <row r="51939" spans="31:31">
      <c r="AE51939" s="54"/>
    </row>
    <row r="51940" spans="31:31">
      <c r="AE51940" s="54"/>
    </row>
    <row r="51941" spans="31:31">
      <c r="AE51941" s="54"/>
    </row>
    <row r="51942" spans="31:31">
      <c r="AE51942" s="54"/>
    </row>
    <row r="51943" spans="31:31">
      <c r="AE51943" s="54"/>
    </row>
    <row r="51944" spans="31:31">
      <c r="AE51944" s="54"/>
    </row>
    <row r="51945" spans="31:31">
      <c r="AE51945" s="54"/>
    </row>
    <row r="51946" spans="31:31">
      <c r="AE51946" s="54"/>
    </row>
    <row r="51947" spans="31:31">
      <c r="AE51947" s="54"/>
    </row>
    <row r="51948" spans="31:31">
      <c r="AE51948" s="54"/>
    </row>
    <row r="51949" spans="31:31">
      <c r="AE51949" s="54"/>
    </row>
    <row r="51950" spans="31:31">
      <c r="AE51950" s="54"/>
    </row>
    <row r="51951" spans="31:31">
      <c r="AE51951" s="54"/>
    </row>
    <row r="51952" spans="31:31">
      <c r="AE51952" s="54"/>
    </row>
    <row r="51953" spans="31:31">
      <c r="AE51953" s="54"/>
    </row>
    <row r="51954" spans="31:31">
      <c r="AE51954" s="54"/>
    </row>
    <row r="51955" spans="31:31">
      <c r="AE51955" s="54"/>
    </row>
    <row r="51956" spans="31:31">
      <c r="AE51956" s="54"/>
    </row>
    <row r="51957" spans="31:31">
      <c r="AE51957" s="54"/>
    </row>
    <row r="51958" spans="31:31">
      <c r="AE51958" s="54"/>
    </row>
    <row r="51959" spans="31:31">
      <c r="AE51959" s="54"/>
    </row>
    <row r="51960" spans="31:31">
      <c r="AE51960" s="54"/>
    </row>
    <row r="51961" spans="31:31">
      <c r="AE51961" s="54"/>
    </row>
    <row r="51962" spans="31:31">
      <c r="AE51962" s="54"/>
    </row>
    <row r="51963" spans="31:31">
      <c r="AE51963" s="54"/>
    </row>
    <row r="51964" spans="31:31">
      <c r="AE51964" s="54"/>
    </row>
    <row r="51965" spans="31:31">
      <c r="AE51965" s="54"/>
    </row>
    <row r="51966" spans="31:31">
      <c r="AE51966" s="54"/>
    </row>
    <row r="51967" spans="31:31">
      <c r="AE51967" s="54"/>
    </row>
    <row r="51968" spans="31:31">
      <c r="AE51968" s="54"/>
    </row>
    <row r="51969" spans="31:31">
      <c r="AE51969" s="54"/>
    </row>
    <row r="51970" spans="31:31">
      <c r="AE51970" s="54"/>
    </row>
    <row r="51971" spans="31:31">
      <c r="AE51971" s="54"/>
    </row>
    <row r="51972" spans="31:31">
      <c r="AE51972" s="54"/>
    </row>
    <row r="51973" spans="31:31">
      <c r="AE51973" s="54"/>
    </row>
    <row r="51974" spans="31:31">
      <c r="AE51974" s="54"/>
    </row>
    <row r="51975" spans="31:31">
      <c r="AE51975" s="54"/>
    </row>
    <row r="51976" spans="31:31">
      <c r="AE51976" s="54"/>
    </row>
    <row r="51977" spans="31:31">
      <c r="AE51977" s="54"/>
    </row>
    <row r="51978" spans="31:31">
      <c r="AE51978" s="54"/>
    </row>
    <row r="51979" spans="31:31">
      <c r="AE51979" s="54"/>
    </row>
    <row r="51980" spans="31:31">
      <c r="AE51980" s="54"/>
    </row>
    <row r="51981" spans="31:31">
      <c r="AE51981" s="54"/>
    </row>
    <row r="51982" spans="31:31">
      <c r="AE51982" s="54"/>
    </row>
    <row r="51983" spans="31:31">
      <c r="AE51983" s="54"/>
    </row>
    <row r="51984" spans="31:31">
      <c r="AE51984" s="54"/>
    </row>
    <row r="51985" spans="31:31">
      <c r="AE51985" s="54"/>
    </row>
    <row r="51986" spans="31:31">
      <c r="AE51986" s="54"/>
    </row>
    <row r="51987" spans="31:31">
      <c r="AE51987" s="54"/>
    </row>
    <row r="51988" spans="31:31">
      <c r="AE51988" s="54"/>
    </row>
    <row r="51989" spans="31:31">
      <c r="AE51989" s="54"/>
    </row>
    <row r="51990" spans="31:31">
      <c r="AE51990" s="54"/>
    </row>
    <row r="51991" spans="31:31">
      <c r="AE51991" s="54"/>
    </row>
    <row r="51992" spans="31:31">
      <c r="AE51992" s="54"/>
    </row>
    <row r="51993" spans="31:31">
      <c r="AE51993" s="54"/>
    </row>
    <row r="51994" spans="31:31">
      <c r="AE51994" s="54"/>
    </row>
    <row r="51995" spans="31:31">
      <c r="AE51995" s="54"/>
    </row>
    <row r="51996" spans="31:31">
      <c r="AE51996" s="54"/>
    </row>
    <row r="51997" spans="31:31">
      <c r="AE51997" s="54"/>
    </row>
    <row r="51998" spans="31:31">
      <c r="AE51998" s="54"/>
    </row>
    <row r="51999" spans="31:31">
      <c r="AE51999" s="54"/>
    </row>
    <row r="52000" spans="31:31">
      <c r="AE52000" s="54"/>
    </row>
    <row r="52001" spans="31:31">
      <c r="AE52001" s="54"/>
    </row>
    <row r="52002" spans="31:31">
      <c r="AE52002" s="54"/>
    </row>
    <row r="52003" spans="31:31">
      <c r="AE52003" s="54"/>
    </row>
    <row r="52004" spans="31:31">
      <c r="AE52004" s="54"/>
    </row>
    <row r="52005" spans="31:31">
      <c r="AE52005" s="54"/>
    </row>
    <row r="52006" spans="31:31">
      <c r="AE52006" s="54"/>
    </row>
    <row r="52007" spans="31:31">
      <c r="AE52007" s="54"/>
    </row>
    <row r="52008" spans="31:31">
      <c r="AE52008" s="54"/>
    </row>
    <row r="52009" spans="31:31">
      <c r="AE52009" s="54"/>
    </row>
    <row r="52010" spans="31:31">
      <c r="AE52010" s="54"/>
    </row>
    <row r="52011" spans="31:31">
      <c r="AE52011" s="54"/>
    </row>
    <row r="52012" spans="31:31">
      <c r="AE52012" s="54"/>
    </row>
    <row r="52013" spans="31:31">
      <c r="AE52013" s="54"/>
    </row>
    <row r="52014" spans="31:31">
      <c r="AE52014" s="54"/>
    </row>
    <row r="52015" spans="31:31">
      <c r="AE52015" s="54"/>
    </row>
    <row r="52016" spans="31:31">
      <c r="AE52016" s="54"/>
    </row>
    <row r="52017" spans="31:31">
      <c r="AE52017" s="54"/>
    </row>
    <row r="52018" spans="31:31">
      <c r="AE52018" s="54"/>
    </row>
    <row r="52019" spans="31:31">
      <c r="AE52019" s="54"/>
    </row>
    <row r="52020" spans="31:31">
      <c r="AE52020" s="54"/>
    </row>
    <row r="52021" spans="31:31">
      <c r="AE52021" s="54"/>
    </row>
    <row r="52022" spans="31:31">
      <c r="AE52022" s="54"/>
    </row>
    <row r="52023" spans="31:31">
      <c r="AE52023" s="54"/>
    </row>
    <row r="52024" spans="31:31">
      <c r="AE52024" s="54"/>
    </row>
    <row r="52025" spans="31:31">
      <c r="AE52025" s="54"/>
    </row>
    <row r="52026" spans="31:31">
      <c r="AE52026" s="54"/>
    </row>
    <row r="52027" spans="31:31">
      <c r="AE52027" s="54"/>
    </row>
    <row r="52028" spans="31:31">
      <c r="AE52028" s="54"/>
    </row>
    <row r="52029" spans="31:31">
      <c r="AE52029" s="54"/>
    </row>
    <row r="52030" spans="31:31">
      <c r="AE52030" s="54"/>
    </row>
    <row r="52031" spans="31:31">
      <c r="AE52031" s="54"/>
    </row>
    <row r="52032" spans="31:31">
      <c r="AE52032" s="54"/>
    </row>
    <row r="52033" spans="31:31">
      <c r="AE52033" s="54"/>
    </row>
    <row r="52034" spans="31:31">
      <c r="AE52034" s="54"/>
    </row>
    <row r="52035" spans="31:31">
      <c r="AE52035" s="54"/>
    </row>
    <row r="52036" spans="31:31">
      <c r="AE52036" s="54"/>
    </row>
    <row r="52037" spans="31:31">
      <c r="AE52037" s="54"/>
    </row>
    <row r="52038" spans="31:31">
      <c r="AE52038" s="54"/>
    </row>
    <row r="52039" spans="31:31">
      <c r="AE52039" s="54"/>
    </row>
    <row r="52040" spans="31:31">
      <c r="AE52040" s="54"/>
    </row>
    <row r="52041" spans="31:31">
      <c r="AE52041" s="54"/>
    </row>
    <row r="52042" spans="31:31">
      <c r="AE52042" s="54"/>
    </row>
    <row r="52043" spans="31:31">
      <c r="AE52043" s="54"/>
    </row>
    <row r="52044" spans="31:31">
      <c r="AE52044" s="54"/>
    </row>
    <row r="52045" spans="31:31">
      <c r="AE52045" s="54"/>
    </row>
    <row r="52046" spans="31:31">
      <c r="AE52046" s="54"/>
    </row>
    <row r="52047" spans="31:31">
      <c r="AE52047" s="54"/>
    </row>
    <row r="52048" spans="31:31">
      <c r="AE52048" s="54"/>
    </row>
    <row r="52049" spans="31:31">
      <c r="AE52049" s="54"/>
    </row>
    <row r="52050" spans="31:31">
      <c r="AE52050" s="54"/>
    </row>
    <row r="52051" spans="31:31">
      <c r="AE52051" s="54"/>
    </row>
    <row r="52052" spans="31:31">
      <c r="AE52052" s="54"/>
    </row>
    <row r="52053" spans="31:31">
      <c r="AE52053" s="54"/>
    </row>
    <row r="52054" spans="31:31">
      <c r="AE52054" s="54"/>
    </row>
    <row r="52055" spans="31:31">
      <c r="AE52055" s="54"/>
    </row>
    <row r="52056" spans="31:31">
      <c r="AE52056" s="54"/>
    </row>
    <row r="52057" spans="31:31">
      <c r="AE52057" s="54"/>
    </row>
    <row r="52058" spans="31:31">
      <c r="AE52058" s="54"/>
    </row>
    <row r="52059" spans="31:31">
      <c r="AE52059" s="54"/>
    </row>
    <row r="52060" spans="31:31">
      <c r="AE52060" s="54"/>
    </row>
    <row r="52061" spans="31:31">
      <c r="AE52061" s="54"/>
    </row>
    <row r="52062" spans="31:31">
      <c r="AE52062" s="54"/>
    </row>
    <row r="52063" spans="31:31">
      <c r="AE52063" s="54"/>
    </row>
    <row r="52064" spans="31:31">
      <c r="AE52064" s="54"/>
    </row>
    <row r="52065" spans="31:31">
      <c r="AE52065" s="54"/>
    </row>
    <row r="52066" spans="31:31">
      <c r="AE52066" s="54"/>
    </row>
    <row r="52067" spans="31:31">
      <c r="AE52067" s="54"/>
    </row>
    <row r="52068" spans="31:31">
      <c r="AE52068" s="54"/>
    </row>
    <row r="52069" spans="31:31">
      <c r="AE52069" s="54"/>
    </row>
    <row r="52070" spans="31:31">
      <c r="AE52070" s="54"/>
    </row>
    <row r="52071" spans="31:31">
      <c r="AE52071" s="54"/>
    </row>
    <row r="52072" spans="31:31">
      <c r="AE52072" s="54"/>
    </row>
    <row r="52073" spans="31:31">
      <c r="AE52073" s="54"/>
    </row>
    <row r="52074" spans="31:31">
      <c r="AE52074" s="54"/>
    </row>
    <row r="52075" spans="31:31">
      <c r="AE52075" s="54"/>
    </row>
    <row r="52076" spans="31:31">
      <c r="AE52076" s="54"/>
    </row>
    <row r="52077" spans="31:31">
      <c r="AE52077" s="54"/>
    </row>
    <row r="52078" spans="31:31">
      <c r="AE52078" s="54"/>
    </row>
    <row r="52079" spans="31:31">
      <c r="AE52079" s="54"/>
    </row>
    <row r="52080" spans="31:31">
      <c r="AE52080" s="54"/>
    </row>
    <row r="52081" spans="31:31">
      <c r="AE52081" s="54"/>
    </row>
    <row r="52082" spans="31:31">
      <c r="AE52082" s="54"/>
    </row>
    <row r="52083" spans="31:31">
      <c r="AE52083" s="54"/>
    </row>
    <row r="52084" spans="31:31">
      <c r="AE52084" s="54"/>
    </row>
    <row r="52085" spans="31:31">
      <c r="AE52085" s="54"/>
    </row>
    <row r="52086" spans="31:31">
      <c r="AE52086" s="54"/>
    </row>
    <row r="52087" spans="31:31">
      <c r="AE52087" s="54"/>
    </row>
    <row r="52088" spans="31:31">
      <c r="AE52088" s="54"/>
    </row>
    <row r="52089" spans="31:31">
      <c r="AE52089" s="54"/>
    </row>
    <row r="52090" spans="31:31">
      <c r="AE52090" s="54"/>
    </row>
    <row r="52091" spans="31:31">
      <c r="AE52091" s="54"/>
    </row>
    <row r="52092" spans="31:31">
      <c r="AE52092" s="54"/>
    </row>
    <row r="52093" spans="31:31">
      <c r="AE52093" s="54"/>
    </row>
    <row r="52094" spans="31:31">
      <c r="AE52094" s="54"/>
    </row>
    <row r="52095" spans="31:31">
      <c r="AE52095" s="54"/>
    </row>
    <row r="52096" spans="31:31">
      <c r="AE52096" s="54"/>
    </row>
    <row r="52097" spans="31:31">
      <c r="AE52097" s="54"/>
    </row>
    <row r="52098" spans="31:31">
      <c r="AE52098" s="54"/>
    </row>
    <row r="52099" spans="31:31">
      <c r="AE52099" s="54"/>
    </row>
    <row r="52100" spans="31:31">
      <c r="AE52100" s="54"/>
    </row>
    <row r="52101" spans="31:31">
      <c r="AE52101" s="54"/>
    </row>
    <row r="52102" spans="31:31">
      <c r="AE52102" s="54"/>
    </row>
    <row r="52103" spans="31:31">
      <c r="AE52103" s="54"/>
    </row>
    <row r="52104" spans="31:31">
      <c r="AE52104" s="54"/>
    </row>
    <row r="52105" spans="31:31">
      <c r="AE52105" s="54"/>
    </row>
    <row r="52106" spans="31:31">
      <c r="AE52106" s="54"/>
    </row>
    <row r="52107" spans="31:31">
      <c r="AE52107" s="54"/>
    </row>
    <row r="52108" spans="31:31">
      <c r="AE52108" s="54"/>
    </row>
    <row r="52109" spans="31:31">
      <c r="AE52109" s="54"/>
    </row>
    <row r="52110" spans="31:31">
      <c r="AE52110" s="54"/>
    </row>
    <row r="52111" spans="31:31">
      <c r="AE52111" s="54"/>
    </row>
    <row r="52112" spans="31:31">
      <c r="AE52112" s="54"/>
    </row>
    <row r="52113" spans="31:31">
      <c r="AE52113" s="54"/>
    </row>
    <row r="52114" spans="31:31">
      <c r="AE52114" s="54"/>
    </row>
    <row r="52115" spans="31:31">
      <c r="AE52115" s="54"/>
    </row>
    <row r="52116" spans="31:31">
      <c r="AE52116" s="54"/>
    </row>
    <row r="52117" spans="31:31">
      <c r="AE52117" s="54"/>
    </row>
    <row r="52118" spans="31:31">
      <c r="AE52118" s="54"/>
    </row>
    <row r="52119" spans="31:31">
      <c r="AE52119" s="54"/>
    </row>
    <row r="52120" spans="31:31">
      <c r="AE52120" s="54"/>
    </row>
    <row r="52121" spans="31:31">
      <c r="AE52121" s="54"/>
    </row>
    <row r="52122" spans="31:31">
      <c r="AE52122" s="54"/>
    </row>
    <row r="52123" spans="31:31">
      <c r="AE52123" s="54"/>
    </row>
    <row r="52124" spans="31:31">
      <c r="AE52124" s="54"/>
    </row>
    <row r="52125" spans="31:31">
      <c r="AE52125" s="54"/>
    </row>
    <row r="52126" spans="31:31">
      <c r="AE52126" s="54"/>
    </row>
    <row r="52127" spans="31:31">
      <c r="AE52127" s="54"/>
    </row>
    <row r="52128" spans="31:31">
      <c r="AE52128" s="54"/>
    </row>
    <row r="52129" spans="31:31">
      <c r="AE52129" s="54"/>
    </row>
    <row r="52130" spans="31:31">
      <c r="AE52130" s="54"/>
    </row>
    <row r="52131" spans="31:31">
      <c r="AE52131" s="54"/>
    </row>
    <row r="52132" spans="31:31">
      <c r="AE52132" s="54"/>
    </row>
    <row r="52133" spans="31:31">
      <c r="AE52133" s="54"/>
    </row>
    <row r="52134" spans="31:31">
      <c r="AE52134" s="54"/>
    </row>
    <row r="52135" spans="31:31">
      <c r="AE52135" s="54"/>
    </row>
    <row r="52136" spans="31:31">
      <c r="AE52136" s="54"/>
    </row>
    <row r="52137" spans="31:31">
      <c r="AE52137" s="54"/>
    </row>
    <row r="52138" spans="31:31">
      <c r="AE52138" s="54"/>
    </row>
    <row r="52139" spans="31:31">
      <c r="AE52139" s="54"/>
    </row>
    <row r="52140" spans="31:31">
      <c r="AE52140" s="54"/>
    </row>
    <row r="52141" spans="31:31">
      <c r="AE52141" s="54"/>
    </row>
    <row r="52142" spans="31:31">
      <c r="AE52142" s="54"/>
    </row>
    <row r="52143" spans="31:31">
      <c r="AE52143" s="54"/>
    </row>
    <row r="52144" spans="31:31">
      <c r="AE52144" s="54"/>
    </row>
    <row r="52145" spans="31:31">
      <c r="AE52145" s="54"/>
    </row>
    <row r="52146" spans="31:31">
      <c r="AE52146" s="54"/>
    </row>
    <row r="52147" spans="31:31">
      <c r="AE52147" s="54"/>
    </row>
    <row r="52148" spans="31:31">
      <c r="AE52148" s="54"/>
    </row>
    <row r="52149" spans="31:31">
      <c r="AE52149" s="54"/>
    </row>
    <row r="52150" spans="31:31">
      <c r="AE52150" s="54"/>
    </row>
    <row r="52151" spans="31:31">
      <c r="AE52151" s="54"/>
    </row>
    <row r="52152" spans="31:31">
      <c r="AE52152" s="54"/>
    </row>
    <row r="52153" spans="31:31">
      <c r="AE52153" s="54"/>
    </row>
    <row r="52154" spans="31:31">
      <c r="AE52154" s="54"/>
    </row>
    <row r="52155" spans="31:31">
      <c r="AE52155" s="54"/>
    </row>
    <row r="52156" spans="31:31">
      <c r="AE52156" s="54"/>
    </row>
    <row r="52157" spans="31:31">
      <c r="AE52157" s="54"/>
    </row>
    <row r="52158" spans="31:31">
      <c r="AE52158" s="54"/>
    </row>
    <row r="52159" spans="31:31">
      <c r="AE52159" s="54"/>
    </row>
    <row r="52160" spans="31:31">
      <c r="AE52160" s="54"/>
    </row>
    <row r="52161" spans="31:31">
      <c r="AE52161" s="54"/>
    </row>
    <row r="52162" spans="31:31">
      <c r="AE52162" s="54"/>
    </row>
    <row r="52163" spans="31:31">
      <c r="AE52163" s="54"/>
    </row>
    <row r="52164" spans="31:31">
      <c r="AE52164" s="54"/>
    </row>
    <row r="52165" spans="31:31">
      <c r="AE52165" s="54"/>
    </row>
    <row r="52166" spans="31:31">
      <c r="AE52166" s="54"/>
    </row>
    <row r="52167" spans="31:31">
      <c r="AE52167" s="54"/>
    </row>
    <row r="52168" spans="31:31">
      <c r="AE52168" s="54"/>
    </row>
    <row r="52169" spans="31:31">
      <c r="AE52169" s="54"/>
    </row>
    <row r="52170" spans="31:31">
      <c r="AE52170" s="54"/>
    </row>
    <row r="52171" spans="31:31">
      <c r="AE52171" s="54"/>
    </row>
    <row r="52172" spans="31:31">
      <c r="AE52172" s="54"/>
    </row>
    <row r="52173" spans="31:31">
      <c r="AE52173" s="54"/>
    </row>
    <row r="52174" spans="31:31">
      <c r="AE52174" s="54"/>
    </row>
    <row r="52175" spans="31:31">
      <c r="AE52175" s="54"/>
    </row>
    <row r="52176" spans="31:31">
      <c r="AE52176" s="54"/>
    </row>
    <row r="52177" spans="31:31">
      <c r="AE52177" s="54"/>
    </row>
    <row r="52178" spans="31:31">
      <c r="AE52178" s="54"/>
    </row>
    <row r="52179" spans="31:31">
      <c r="AE52179" s="54"/>
    </row>
    <row r="52180" spans="31:31">
      <c r="AE52180" s="54"/>
    </row>
    <row r="52181" spans="31:31">
      <c r="AE52181" s="54"/>
    </row>
    <row r="52182" spans="31:31">
      <c r="AE52182" s="54"/>
    </row>
    <row r="52183" spans="31:31">
      <c r="AE52183" s="54"/>
    </row>
    <row r="52184" spans="31:31">
      <c r="AE52184" s="54"/>
    </row>
    <row r="52185" spans="31:31">
      <c r="AE52185" s="54"/>
    </row>
    <row r="52186" spans="31:31">
      <c r="AE52186" s="54"/>
    </row>
    <row r="52187" spans="31:31">
      <c r="AE52187" s="54"/>
    </row>
    <row r="52188" spans="31:31">
      <c r="AE52188" s="54"/>
    </row>
    <row r="52189" spans="31:31">
      <c r="AE52189" s="54"/>
    </row>
    <row r="52190" spans="31:31">
      <c r="AE52190" s="54"/>
    </row>
    <row r="52191" spans="31:31">
      <c r="AE52191" s="54"/>
    </row>
    <row r="52192" spans="31:31">
      <c r="AE52192" s="54"/>
    </row>
    <row r="52193" spans="31:31">
      <c r="AE52193" s="54"/>
    </row>
    <row r="52194" spans="31:31">
      <c r="AE52194" s="54"/>
    </row>
    <row r="52195" spans="31:31">
      <c r="AE52195" s="54"/>
    </row>
    <row r="52196" spans="31:31">
      <c r="AE52196" s="54"/>
    </row>
    <row r="52197" spans="31:31">
      <c r="AE52197" s="54"/>
    </row>
    <row r="52198" spans="31:31">
      <c r="AE52198" s="54"/>
    </row>
    <row r="52199" spans="31:31">
      <c r="AE52199" s="54"/>
    </row>
    <row r="52200" spans="31:31">
      <c r="AE52200" s="54"/>
    </row>
    <row r="52201" spans="31:31">
      <c r="AE52201" s="54"/>
    </row>
    <row r="52202" spans="31:31">
      <c r="AE52202" s="54"/>
    </row>
    <row r="52203" spans="31:31">
      <c r="AE52203" s="54"/>
    </row>
    <row r="52204" spans="31:31">
      <c r="AE52204" s="54"/>
    </row>
    <row r="52205" spans="31:31">
      <c r="AE52205" s="54"/>
    </row>
    <row r="52206" spans="31:31">
      <c r="AE52206" s="54"/>
    </row>
    <row r="52207" spans="31:31">
      <c r="AE52207" s="54"/>
    </row>
    <row r="52208" spans="31:31">
      <c r="AE52208" s="54"/>
    </row>
    <row r="52209" spans="31:31">
      <c r="AE52209" s="54"/>
    </row>
    <row r="52210" spans="31:31">
      <c r="AE52210" s="54"/>
    </row>
    <row r="52211" spans="31:31">
      <c r="AE52211" s="54"/>
    </row>
    <row r="52212" spans="31:31">
      <c r="AE52212" s="54"/>
    </row>
    <row r="52213" spans="31:31">
      <c r="AE52213" s="54"/>
    </row>
    <row r="52214" spans="31:31">
      <c r="AE52214" s="54"/>
    </row>
    <row r="52215" spans="31:31">
      <c r="AE52215" s="54"/>
    </row>
    <row r="52216" spans="31:31">
      <c r="AE52216" s="54"/>
    </row>
    <row r="52217" spans="31:31">
      <c r="AE52217" s="54"/>
    </row>
    <row r="52218" spans="31:31">
      <c r="AE52218" s="54"/>
    </row>
    <row r="52219" spans="31:31">
      <c r="AE52219" s="54"/>
    </row>
    <row r="52220" spans="31:31">
      <c r="AE52220" s="54"/>
    </row>
    <row r="52221" spans="31:31">
      <c r="AE52221" s="54"/>
    </row>
    <row r="52222" spans="31:31">
      <c r="AE52222" s="54"/>
    </row>
    <row r="52223" spans="31:31">
      <c r="AE52223" s="54"/>
    </row>
    <row r="52224" spans="31:31">
      <c r="AE52224" s="54"/>
    </row>
    <row r="52225" spans="31:31">
      <c r="AE52225" s="54"/>
    </row>
    <row r="52226" spans="31:31">
      <c r="AE52226" s="54"/>
    </row>
    <row r="52227" spans="31:31">
      <c r="AE52227" s="54"/>
    </row>
    <row r="52228" spans="31:31">
      <c r="AE52228" s="54"/>
    </row>
    <row r="52229" spans="31:31">
      <c r="AE52229" s="54"/>
    </row>
    <row r="52230" spans="31:31">
      <c r="AE52230" s="54"/>
    </row>
    <row r="52231" spans="31:31">
      <c r="AE52231" s="54"/>
    </row>
    <row r="52232" spans="31:31">
      <c r="AE52232" s="54"/>
    </row>
    <row r="52233" spans="31:31">
      <c r="AE52233" s="54"/>
    </row>
    <row r="52234" spans="31:31">
      <c r="AE52234" s="54"/>
    </row>
    <row r="52235" spans="31:31">
      <c r="AE52235" s="54"/>
    </row>
    <row r="52236" spans="31:31">
      <c r="AE52236" s="54"/>
    </row>
    <row r="52237" spans="31:31">
      <c r="AE52237" s="54"/>
    </row>
    <row r="52238" spans="31:31">
      <c r="AE52238" s="54"/>
    </row>
    <row r="52239" spans="31:31">
      <c r="AE52239" s="54"/>
    </row>
    <row r="52240" spans="31:31">
      <c r="AE52240" s="54"/>
    </row>
    <row r="52241" spans="31:31">
      <c r="AE52241" s="54"/>
    </row>
    <row r="52242" spans="31:31">
      <c r="AE52242" s="54"/>
    </row>
    <row r="52243" spans="31:31">
      <c r="AE52243" s="54"/>
    </row>
    <row r="52244" spans="31:31">
      <c r="AE52244" s="54"/>
    </row>
    <row r="52245" spans="31:31">
      <c r="AE52245" s="54"/>
    </row>
    <row r="52246" spans="31:31">
      <c r="AE52246" s="54"/>
    </row>
    <row r="52247" spans="31:31">
      <c r="AE52247" s="54"/>
    </row>
    <row r="52248" spans="31:31">
      <c r="AE52248" s="54"/>
    </row>
    <row r="52249" spans="31:31">
      <c r="AE52249" s="54"/>
    </row>
    <row r="52250" spans="31:31">
      <c r="AE52250" s="54"/>
    </row>
    <row r="52251" spans="31:31">
      <c r="AE52251" s="54"/>
    </row>
    <row r="52252" spans="31:31">
      <c r="AE52252" s="54"/>
    </row>
    <row r="52253" spans="31:31">
      <c r="AE52253" s="54"/>
    </row>
    <row r="52254" spans="31:31">
      <c r="AE52254" s="54"/>
    </row>
    <row r="52255" spans="31:31">
      <c r="AE52255" s="54"/>
    </row>
    <row r="52256" spans="31:31">
      <c r="AE52256" s="54"/>
    </row>
    <row r="52257" spans="31:31">
      <c r="AE52257" s="54"/>
    </row>
    <row r="52258" spans="31:31">
      <c r="AE52258" s="54"/>
    </row>
    <row r="52259" spans="31:31">
      <c r="AE52259" s="54"/>
    </row>
    <row r="52260" spans="31:31">
      <c r="AE52260" s="54"/>
    </row>
    <row r="52261" spans="31:31">
      <c r="AE52261" s="54"/>
    </row>
    <row r="52262" spans="31:31">
      <c r="AE52262" s="54"/>
    </row>
    <row r="52263" spans="31:31">
      <c r="AE52263" s="54"/>
    </row>
    <row r="52264" spans="31:31">
      <c r="AE52264" s="54"/>
    </row>
    <row r="52265" spans="31:31">
      <c r="AE52265" s="54"/>
    </row>
    <row r="52266" spans="31:31">
      <c r="AE52266" s="54"/>
    </row>
    <row r="52267" spans="31:31">
      <c r="AE52267" s="54"/>
    </row>
    <row r="52268" spans="31:31">
      <c r="AE52268" s="54"/>
    </row>
    <row r="52269" spans="31:31">
      <c r="AE52269" s="54"/>
    </row>
    <row r="52270" spans="31:31">
      <c r="AE52270" s="54"/>
    </row>
    <row r="52271" spans="31:31">
      <c r="AE52271" s="54"/>
    </row>
    <row r="52272" spans="31:31">
      <c r="AE52272" s="54"/>
    </row>
    <row r="52273" spans="31:31">
      <c r="AE52273" s="54"/>
    </row>
    <row r="52274" spans="31:31">
      <c r="AE52274" s="54"/>
    </row>
    <row r="52275" spans="31:31">
      <c r="AE52275" s="54"/>
    </row>
    <row r="52276" spans="31:31">
      <c r="AE52276" s="54"/>
    </row>
    <row r="52277" spans="31:31">
      <c r="AE52277" s="54"/>
    </row>
    <row r="52278" spans="31:31">
      <c r="AE52278" s="54"/>
    </row>
    <row r="52279" spans="31:31">
      <c r="AE52279" s="54"/>
    </row>
    <row r="52280" spans="31:31">
      <c r="AE52280" s="54"/>
    </row>
    <row r="52281" spans="31:31">
      <c r="AE52281" s="54"/>
    </row>
    <row r="52282" spans="31:31">
      <c r="AE52282" s="54"/>
    </row>
    <row r="52283" spans="31:31">
      <c r="AE52283" s="54"/>
    </row>
    <row r="52284" spans="31:31">
      <c r="AE52284" s="54"/>
    </row>
    <row r="52285" spans="31:31">
      <c r="AE52285" s="54"/>
    </row>
    <row r="52286" spans="31:31">
      <c r="AE52286" s="54"/>
    </row>
    <row r="52287" spans="31:31">
      <c r="AE52287" s="54"/>
    </row>
    <row r="52288" spans="31:31">
      <c r="AE52288" s="54"/>
    </row>
    <row r="52289" spans="31:31">
      <c r="AE52289" s="54"/>
    </row>
    <row r="52290" spans="31:31">
      <c r="AE52290" s="54"/>
    </row>
    <row r="52291" spans="31:31">
      <c r="AE52291" s="54"/>
    </row>
    <row r="52292" spans="31:31">
      <c r="AE52292" s="54"/>
    </row>
    <row r="52293" spans="31:31">
      <c r="AE52293" s="54"/>
    </row>
    <row r="52294" spans="31:31">
      <c r="AE52294" s="54"/>
    </row>
    <row r="52295" spans="31:31">
      <c r="AE52295" s="54"/>
    </row>
    <row r="52296" spans="31:31">
      <c r="AE52296" s="54"/>
    </row>
    <row r="52297" spans="31:31">
      <c r="AE52297" s="54"/>
    </row>
    <row r="52298" spans="31:31">
      <c r="AE52298" s="54"/>
    </row>
    <row r="52299" spans="31:31">
      <c r="AE52299" s="54"/>
    </row>
    <row r="52300" spans="31:31">
      <c r="AE52300" s="54"/>
    </row>
    <row r="52301" spans="31:31">
      <c r="AE52301" s="54"/>
    </row>
    <row r="52302" spans="31:31">
      <c r="AE52302" s="54"/>
    </row>
    <row r="52303" spans="31:31">
      <c r="AE52303" s="54"/>
    </row>
    <row r="52304" spans="31:31">
      <c r="AE52304" s="54"/>
    </row>
    <row r="52305" spans="31:31">
      <c r="AE52305" s="54"/>
    </row>
    <row r="52306" spans="31:31">
      <c r="AE52306" s="54"/>
    </row>
    <row r="52307" spans="31:31">
      <c r="AE52307" s="54"/>
    </row>
    <row r="52308" spans="31:31">
      <c r="AE52308" s="54"/>
    </row>
    <row r="52309" spans="31:31">
      <c r="AE52309" s="54"/>
    </row>
    <row r="52310" spans="31:31">
      <c r="AE52310" s="54"/>
    </row>
    <row r="52311" spans="31:31">
      <c r="AE52311" s="54"/>
    </row>
    <row r="52312" spans="31:31">
      <c r="AE52312" s="54"/>
    </row>
    <row r="52313" spans="31:31">
      <c r="AE52313" s="54"/>
    </row>
    <row r="52314" spans="31:31">
      <c r="AE52314" s="54"/>
    </row>
    <row r="52315" spans="31:31">
      <c r="AE52315" s="54"/>
    </row>
    <row r="52316" spans="31:31">
      <c r="AE52316" s="54"/>
    </row>
    <row r="52317" spans="31:31">
      <c r="AE52317" s="54"/>
    </row>
    <row r="52318" spans="31:31">
      <c r="AE52318" s="54"/>
    </row>
    <row r="52319" spans="31:31">
      <c r="AE52319" s="54"/>
    </row>
    <row r="52320" spans="31:31">
      <c r="AE52320" s="54"/>
    </row>
    <row r="52321" spans="31:31">
      <c r="AE52321" s="54"/>
    </row>
    <row r="52322" spans="31:31">
      <c r="AE52322" s="54"/>
    </row>
    <row r="52323" spans="31:31">
      <c r="AE52323" s="54"/>
    </row>
    <row r="52324" spans="31:31">
      <c r="AE52324" s="54"/>
    </row>
    <row r="52325" spans="31:31">
      <c r="AE52325" s="54"/>
    </row>
    <row r="52326" spans="31:31">
      <c r="AE52326" s="54"/>
    </row>
    <row r="52327" spans="31:31">
      <c r="AE52327" s="54"/>
    </row>
    <row r="52328" spans="31:31">
      <c r="AE52328" s="54"/>
    </row>
    <row r="52329" spans="31:31">
      <c r="AE52329" s="54"/>
    </row>
    <row r="52330" spans="31:31">
      <c r="AE52330" s="54"/>
    </row>
    <row r="52331" spans="31:31">
      <c r="AE52331" s="54"/>
    </row>
    <row r="52332" spans="31:31">
      <c r="AE52332" s="54"/>
    </row>
    <row r="52333" spans="31:31">
      <c r="AE52333" s="54"/>
    </row>
    <row r="52334" spans="31:31">
      <c r="AE52334" s="54"/>
    </row>
    <row r="52335" spans="31:31">
      <c r="AE52335" s="54"/>
    </row>
    <row r="52336" spans="31:31">
      <c r="AE52336" s="54"/>
    </row>
    <row r="52337" spans="31:31">
      <c r="AE52337" s="54"/>
    </row>
    <row r="52338" spans="31:31">
      <c r="AE52338" s="54"/>
    </row>
    <row r="52339" spans="31:31">
      <c r="AE52339" s="54"/>
    </row>
    <row r="52340" spans="31:31">
      <c r="AE52340" s="54"/>
    </row>
    <row r="52341" spans="31:31">
      <c r="AE52341" s="54"/>
    </row>
    <row r="52342" spans="31:31">
      <c r="AE52342" s="54"/>
    </row>
    <row r="52343" spans="31:31">
      <c r="AE52343" s="54"/>
    </row>
    <row r="52344" spans="31:31">
      <c r="AE52344" s="54"/>
    </row>
    <row r="52345" spans="31:31">
      <c r="AE52345" s="54"/>
    </row>
    <row r="52346" spans="31:31">
      <c r="AE52346" s="54"/>
    </row>
    <row r="52347" spans="31:31">
      <c r="AE52347" s="54"/>
    </row>
    <row r="52348" spans="31:31">
      <c r="AE52348" s="54"/>
    </row>
    <row r="52349" spans="31:31">
      <c r="AE52349" s="54"/>
    </row>
    <row r="52350" spans="31:31">
      <c r="AE52350" s="54"/>
    </row>
    <row r="52351" spans="31:31">
      <c r="AE52351" s="54"/>
    </row>
    <row r="52352" spans="31:31">
      <c r="AE52352" s="54"/>
    </row>
    <row r="52353" spans="31:31">
      <c r="AE52353" s="54"/>
    </row>
    <row r="52354" spans="31:31">
      <c r="AE52354" s="54"/>
    </row>
    <row r="52355" spans="31:31">
      <c r="AE52355" s="54"/>
    </row>
    <row r="52356" spans="31:31">
      <c r="AE52356" s="54"/>
    </row>
    <row r="52357" spans="31:31">
      <c r="AE52357" s="54"/>
    </row>
    <row r="52358" spans="31:31">
      <c r="AE52358" s="54"/>
    </row>
    <row r="52359" spans="31:31">
      <c r="AE52359" s="54"/>
    </row>
    <row r="52360" spans="31:31">
      <c r="AE52360" s="54"/>
    </row>
    <row r="52361" spans="31:31">
      <c r="AE52361" s="54"/>
    </row>
    <row r="52362" spans="31:31">
      <c r="AE52362" s="54"/>
    </row>
    <row r="52363" spans="31:31">
      <c r="AE52363" s="54"/>
    </row>
    <row r="52364" spans="31:31">
      <c r="AE52364" s="54"/>
    </row>
    <row r="52365" spans="31:31">
      <c r="AE52365" s="54"/>
    </row>
    <row r="52366" spans="31:31">
      <c r="AE52366" s="54"/>
    </row>
    <row r="52367" spans="31:31">
      <c r="AE52367" s="54"/>
    </row>
    <row r="52368" spans="31:31">
      <c r="AE52368" s="54"/>
    </row>
    <row r="52369" spans="31:31">
      <c r="AE52369" s="54"/>
    </row>
    <row r="52370" spans="31:31">
      <c r="AE52370" s="54"/>
    </row>
    <row r="52371" spans="31:31">
      <c r="AE52371" s="54"/>
    </row>
    <row r="52372" spans="31:31">
      <c r="AE52372" s="54"/>
    </row>
    <row r="52373" spans="31:31">
      <c r="AE52373" s="54"/>
    </row>
    <row r="52374" spans="31:31">
      <c r="AE52374" s="54"/>
    </row>
    <row r="52375" spans="31:31">
      <c r="AE52375" s="54"/>
    </row>
    <row r="52376" spans="31:31">
      <c r="AE52376" s="54"/>
    </row>
    <row r="52377" spans="31:31">
      <c r="AE52377" s="54"/>
    </row>
    <row r="52378" spans="31:31">
      <c r="AE52378" s="54"/>
    </row>
    <row r="52379" spans="31:31">
      <c r="AE52379" s="54"/>
    </row>
    <row r="52380" spans="31:31">
      <c r="AE52380" s="54"/>
    </row>
    <row r="52381" spans="31:31">
      <c r="AE52381" s="54"/>
    </row>
    <row r="52382" spans="31:31">
      <c r="AE52382" s="54"/>
    </row>
    <row r="52383" spans="31:31">
      <c r="AE52383" s="54"/>
    </row>
    <row r="52384" spans="31:31">
      <c r="AE52384" s="54"/>
    </row>
    <row r="52385" spans="31:31">
      <c r="AE52385" s="54"/>
    </row>
    <row r="52386" spans="31:31">
      <c r="AE52386" s="54"/>
    </row>
    <row r="52387" spans="31:31">
      <c r="AE52387" s="54"/>
    </row>
    <row r="52388" spans="31:31">
      <c r="AE52388" s="54"/>
    </row>
    <row r="52389" spans="31:31">
      <c r="AE52389" s="54"/>
    </row>
    <row r="52390" spans="31:31">
      <c r="AE52390" s="54"/>
    </row>
    <row r="52391" spans="31:31">
      <c r="AE52391" s="54"/>
    </row>
    <row r="52392" spans="31:31">
      <c r="AE52392" s="54"/>
    </row>
    <row r="52393" spans="31:31">
      <c r="AE52393" s="54"/>
    </row>
    <row r="52394" spans="31:31">
      <c r="AE52394" s="54"/>
    </row>
    <row r="52395" spans="31:31">
      <c r="AE52395" s="54"/>
    </row>
    <row r="52396" spans="31:31">
      <c r="AE52396" s="54"/>
    </row>
    <row r="52397" spans="31:31">
      <c r="AE52397" s="54"/>
    </row>
    <row r="52398" spans="31:31">
      <c r="AE52398" s="54"/>
    </row>
    <row r="52399" spans="31:31">
      <c r="AE52399" s="54"/>
    </row>
    <row r="52400" spans="31:31">
      <c r="AE52400" s="54"/>
    </row>
    <row r="52401" spans="31:31">
      <c r="AE52401" s="54"/>
    </row>
    <row r="52402" spans="31:31">
      <c r="AE52402" s="54"/>
    </row>
    <row r="52403" spans="31:31">
      <c r="AE52403" s="54"/>
    </row>
    <row r="52404" spans="31:31">
      <c r="AE52404" s="54"/>
    </row>
    <row r="52405" spans="31:31">
      <c r="AE52405" s="54"/>
    </row>
    <row r="52406" spans="31:31">
      <c r="AE52406" s="54"/>
    </row>
    <row r="52407" spans="31:31">
      <c r="AE52407" s="54"/>
    </row>
    <row r="52408" spans="31:31">
      <c r="AE52408" s="54"/>
    </row>
    <row r="52409" spans="31:31">
      <c r="AE52409" s="54"/>
    </row>
    <row r="52410" spans="31:31">
      <c r="AE52410" s="54"/>
    </row>
    <row r="52411" spans="31:31">
      <c r="AE52411" s="54"/>
    </row>
    <row r="52412" spans="31:31">
      <c r="AE52412" s="54"/>
    </row>
    <row r="52413" spans="31:31">
      <c r="AE52413" s="54"/>
    </row>
    <row r="52414" spans="31:31">
      <c r="AE52414" s="54"/>
    </row>
    <row r="52415" spans="31:31">
      <c r="AE52415" s="54"/>
    </row>
    <row r="52416" spans="31:31">
      <c r="AE52416" s="54"/>
    </row>
    <row r="52417" spans="31:31">
      <c r="AE52417" s="54"/>
    </row>
    <row r="52418" spans="31:31">
      <c r="AE52418" s="54"/>
    </row>
    <row r="52419" spans="31:31">
      <c r="AE52419" s="54"/>
    </row>
    <row r="52420" spans="31:31">
      <c r="AE52420" s="54"/>
    </row>
    <row r="52421" spans="31:31">
      <c r="AE52421" s="54"/>
    </row>
    <row r="52422" spans="31:31">
      <c r="AE52422" s="54"/>
    </row>
    <row r="52423" spans="31:31">
      <c r="AE52423" s="54"/>
    </row>
    <row r="52424" spans="31:31">
      <c r="AE52424" s="54"/>
    </row>
    <row r="52425" spans="31:31">
      <c r="AE52425" s="54"/>
    </row>
    <row r="52426" spans="31:31">
      <c r="AE52426" s="54"/>
    </row>
    <row r="52427" spans="31:31">
      <c r="AE52427" s="54"/>
    </row>
    <row r="52428" spans="31:31">
      <c r="AE52428" s="54"/>
    </row>
    <row r="52429" spans="31:31">
      <c r="AE52429" s="54"/>
    </row>
    <row r="52430" spans="31:31">
      <c r="AE52430" s="54"/>
    </row>
    <row r="52431" spans="31:31">
      <c r="AE52431" s="54"/>
    </row>
    <row r="52432" spans="31:31">
      <c r="AE52432" s="54"/>
    </row>
    <row r="52433" spans="31:31">
      <c r="AE52433" s="54"/>
    </row>
    <row r="52434" spans="31:31">
      <c r="AE52434" s="54"/>
    </row>
    <row r="52435" spans="31:31">
      <c r="AE52435" s="54"/>
    </row>
    <row r="52436" spans="31:31">
      <c r="AE52436" s="54"/>
    </row>
    <row r="52437" spans="31:31">
      <c r="AE52437" s="54"/>
    </row>
    <row r="52438" spans="31:31">
      <c r="AE52438" s="54"/>
    </row>
    <row r="52439" spans="31:31">
      <c r="AE52439" s="54"/>
    </row>
    <row r="52440" spans="31:31">
      <c r="AE52440" s="54"/>
    </row>
    <row r="52441" spans="31:31">
      <c r="AE52441" s="54"/>
    </row>
    <row r="52442" spans="31:31">
      <c r="AE52442" s="54"/>
    </row>
    <row r="52443" spans="31:31">
      <c r="AE52443" s="54"/>
    </row>
    <row r="52444" spans="31:31">
      <c r="AE52444" s="54"/>
    </row>
    <row r="52445" spans="31:31">
      <c r="AE52445" s="54"/>
    </row>
    <row r="52446" spans="31:31">
      <c r="AE52446" s="54"/>
    </row>
    <row r="52447" spans="31:31">
      <c r="AE52447" s="54"/>
    </row>
    <row r="52448" spans="31:31">
      <c r="AE52448" s="54"/>
    </row>
    <row r="52449" spans="31:31">
      <c r="AE52449" s="54"/>
    </row>
    <row r="52450" spans="31:31">
      <c r="AE52450" s="54"/>
    </row>
    <row r="52451" spans="31:31">
      <c r="AE52451" s="54"/>
    </row>
    <row r="52452" spans="31:31">
      <c r="AE52452" s="54"/>
    </row>
    <row r="52453" spans="31:31">
      <c r="AE52453" s="54"/>
    </row>
    <row r="52454" spans="31:31">
      <c r="AE52454" s="54"/>
    </row>
    <row r="52455" spans="31:31">
      <c r="AE52455" s="54"/>
    </row>
    <row r="52456" spans="31:31">
      <c r="AE52456" s="54"/>
    </row>
    <row r="52457" spans="31:31">
      <c r="AE52457" s="54"/>
    </row>
    <row r="52458" spans="31:31">
      <c r="AE52458" s="54"/>
    </row>
    <row r="52459" spans="31:31">
      <c r="AE52459" s="54"/>
    </row>
    <row r="52460" spans="31:31">
      <c r="AE52460" s="54"/>
    </row>
    <row r="52461" spans="31:31">
      <c r="AE52461" s="54"/>
    </row>
    <row r="52462" spans="31:31">
      <c r="AE52462" s="54"/>
    </row>
    <row r="52463" spans="31:31">
      <c r="AE52463" s="54"/>
    </row>
    <row r="52464" spans="31:31">
      <c r="AE52464" s="54"/>
    </row>
    <row r="52465" spans="31:31">
      <c r="AE52465" s="54"/>
    </row>
    <row r="52466" spans="31:31">
      <c r="AE52466" s="54"/>
    </row>
    <row r="52467" spans="31:31">
      <c r="AE52467" s="54"/>
    </row>
    <row r="52468" spans="31:31">
      <c r="AE52468" s="54"/>
    </row>
    <row r="52469" spans="31:31">
      <c r="AE52469" s="54"/>
    </row>
    <row r="52470" spans="31:31">
      <c r="AE52470" s="54"/>
    </row>
    <row r="52471" spans="31:31">
      <c r="AE52471" s="54"/>
    </row>
    <row r="52472" spans="31:31">
      <c r="AE52472" s="54"/>
    </row>
    <row r="52473" spans="31:31">
      <c r="AE52473" s="54"/>
    </row>
    <row r="52474" spans="31:31">
      <c r="AE52474" s="54"/>
    </row>
    <row r="52475" spans="31:31">
      <c r="AE52475" s="54"/>
    </row>
    <row r="52476" spans="31:31">
      <c r="AE52476" s="54"/>
    </row>
    <row r="52477" spans="31:31">
      <c r="AE52477" s="54"/>
    </row>
    <row r="52478" spans="31:31">
      <c r="AE52478" s="54"/>
    </row>
    <row r="52479" spans="31:31">
      <c r="AE52479" s="54"/>
    </row>
    <row r="52480" spans="31:31">
      <c r="AE52480" s="54"/>
    </row>
    <row r="52481" spans="31:31">
      <c r="AE52481" s="54"/>
    </row>
    <row r="52482" spans="31:31">
      <c r="AE52482" s="54"/>
    </row>
    <row r="52483" spans="31:31">
      <c r="AE52483" s="54"/>
    </row>
    <row r="52484" spans="31:31">
      <c r="AE52484" s="54"/>
    </row>
    <row r="52485" spans="31:31">
      <c r="AE52485" s="54"/>
    </row>
    <row r="52486" spans="31:31">
      <c r="AE52486" s="54"/>
    </row>
    <row r="52487" spans="31:31">
      <c r="AE52487" s="54"/>
    </row>
    <row r="52488" spans="31:31">
      <c r="AE52488" s="54"/>
    </row>
    <row r="52489" spans="31:31">
      <c r="AE52489" s="54"/>
    </row>
    <row r="52490" spans="31:31">
      <c r="AE52490" s="54"/>
    </row>
    <row r="52491" spans="31:31">
      <c r="AE52491" s="54"/>
    </row>
    <row r="52492" spans="31:31">
      <c r="AE52492" s="54"/>
    </row>
    <row r="52493" spans="31:31">
      <c r="AE52493" s="54"/>
    </row>
    <row r="52494" spans="31:31">
      <c r="AE52494" s="54"/>
    </row>
    <row r="52495" spans="31:31">
      <c r="AE52495" s="54"/>
    </row>
    <row r="52496" spans="31:31">
      <c r="AE52496" s="54"/>
    </row>
    <row r="52497" spans="31:31">
      <c r="AE52497" s="54"/>
    </row>
    <row r="52498" spans="31:31">
      <c r="AE52498" s="54"/>
    </row>
    <row r="52499" spans="31:31">
      <c r="AE52499" s="54"/>
    </row>
    <row r="52500" spans="31:31">
      <c r="AE52500" s="54"/>
    </row>
    <row r="52501" spans="31:31">
      <c r="AE52501" s="54"/>
    </row>
    <row r="52502" spans="31:31">
      <c r="AE52502" s="54"/>
    </row>
    <row r="52503" spans="31:31">
      <c r="AE52503" s="54"/>
    </row>
    <row r="52504" spans="31:31">
      <c r="AE52504" s="54"/>
    </row>
    <row r="52505" spans="31:31">
      <c r="AE52505" s="54"/>
    </row>
    <row r="52506" spans="31:31">
      <c r="AE52506" s="54"/>
    </row>
    <row r="52507" spans="31:31">
      <c r="AE52507" s="54"/>
    </row>
    <row r="52508" spans="31:31">
      <c r="AE52508" s="54"/>
    </row>
    <row r="52509" spans="31:31">
      <c r="AE52509" s="54"/>
    </row>
    <row r="52510" spans="31:31">
      <c r="AE52510" s="54"/>
    </row>
    <row r="52511" spans="31:31">
      <c r="AE52511" s="54"/>
    </row>
    <row r="52512" spans="31:31">
      <c r="AE52512" s="54"/>
    </row>
    <row r="52513" spans="31:31">
      <c r="AE52513" s="54"/>
    </row>
    <row r="52514" spans="31:31">
      <c r="AE52514" s="54"/>
    </row>
    <row r="52515" spans="31:31">
      <c r="AE52515" s="54"/>
    </row>
    <row r="52516" spans="31:31">
      <c r="AE52516" s="54"/>
    </row>
    <row r="52517" spans="31:31">
      <c r="AE52517" s="54"/>
    </row>
    <row r="52518" spans="31:31">
      <c r="AE52518" s="54"/>
    </row>
    <row r="52519" spans="31:31">
      <c r="AE52519" s="54"/>
    </row>
    <row r="52520" spans="31:31">
      <c r="AE52520" s="54"/>
    </row>
    <row r="52521" spans="31:31">
      <c r="AE52521" s="54"/>
    </row>
    <row r="52522" spans="31:31">
      <c r="AE52522" s="54"/>
    </row>
    <row r="52523" spans="31:31">
      <c r="AE52523" s="54"/>
    </row>
    <row r="52524" spans="31:31">
      <c r="AE52524" s="54"/>
    </row>
    <row r="52525" spans="31:31">
      <c r="AE52525" s="54"/>
    </row>
    <row r="52526" spans="31:31">
      <c r="AE52526" s="54"/>
    </row>
    <row r="52527" spans="31:31">
      <c r="AE52527" s="54"/>
    </row>
    <row r="52528" spans="31:31">
      <c r="AE52528" s="54"/>
    </row>
    <row r="52529" spans="31:31">
      <c r="AE52529" s="54"/>
    </row>
    <row r="52530" spans="31:31">
      <c r="AE52530" s="54"/>
    </row>
    <row r="52531" spans="31:31">
      <c r="AE52531" s="54"/>
    </row>
    <row r="52532" spans="31:31">
      <c r="AE52532" s="54"/>
    </row>
    <row r="52533" spans="31:31">
      <c r="AE52533" s="54"/>
    </row>
    <row r="52534" spans="31:31">
      <c r="AE52534" s="54"/>
    </row>
    <row r="52535" spans="31:31">
      <c r="AE52535" s="54"/>
    </row>
    <row r="52536" spans="31:31">
      <c r="AE52536" s="54"/>
    </row>
    <row r="52537" spans="31:31">
      <c r="AE52537" s="54"/>
    </row>
    <row r="52538" spans="31:31">
      <c r="AE52538" s="54"/>
    </row>
    <row r="52539" spans="31:31">
      <c r="AE52539" s="54"/>
    </row>
    <row r="52540" spans="31:31">
      <c r="AE52540" s="54"/>
    </row>
    <row r="52541" spans="31:31">
      <c r="AE52541" s="54"/>
    </row>
    <row r="52542" spans="31:31">
      <c r="AE52542" s="54"/>
    </row>
    <row r="52543" spans="31:31">
      <c r="AE52543" s="54"/>
    </row>
    <row r="52544" spans="31:31">
      <c r="AE52544" s="54"/>
    </row>
    <row r="52545" spans="31:31">
      <c r="AE52545" s="54"/>
    </row>
    <row r="52546" spans="31:31">
      <c r="AE52546" s="54"/>
    </row>
    <row r="52547" spans="31:31">
      <c r="AE52547" s="54"/>
    </row>
    <row r="52548" spans="31:31">
      <c r="AE52548" s="54"/>
    </row>
    <row r="52549" spans="31:31">
      <c r="AE52549" s="54"/>
    </row>
    <row r="52550" spans="31:31">
      <c r="AE52550" s="54"/>
    </row>
    <row r="52551" spans="31:31">
      <c r="AE52551" s="54"/>
    </row>
    <row r="52552" spans="31:31">
      <c r="AE52552" s="54"/>
    </row>
    <row r="52553" spans="31:31">
      <c r="AE52553" s="54"/>
    </row>
    <row r="52554" spans="31:31">
      <c r="AE52554" s="54"/>
    </row>
    <row r="52555" spans="31:31">
      <c r="AE52555" s="54"/>
    </row>
    <row r="52556" spans="31:31">
      <c r="AE52556" s="54"/>
    </row>
    <row r="52557" spans="31:31">
      <c r="AE52557" s="54"/>
    </row>
    <row r="52558" spans="31:31">
      <c r="AE52558" s="54"/>
    </row>
    <row r="52559" spans="31:31">
      <c r="AE52559" s="54"/>
    </row>
    <row r="52560" spans="31:31">
      <c r="AE52560" s="54"/>
    </row>
    <row r="52561" spans="31:31">
      <c r="AE52561" s="54"/>
    </row>
    <row r="52562" spans="31:31">
      <c r="AE52562" s="54"/>
    </row>
    <row r="52563" spans="31:31">
      <c r="AE52563" s="54"/>
    </row>
    <row r="52564" spans="31:31">
      <c r="AE52564" s="54"/>
    </row>
    <row r="52565" spans="31:31">
      <c r="AE52565" s="54"/>
    </row>
    <row r="52566" spans="31:31">
      <c r="AE52566" s="54"/>
    </row>
    <row r="52567" spans="31:31">
      <c r="AE52567" s="54"/>
    </row>
    <row r="52568" spans="31:31">
      <c r="AE52568" s="54"/>
    </row>
    <row r="52569" spans="31:31">
      <c r="AE52569" s="54"/>
    </row>
    <row r="52570" spans="31:31">
      <c r="AE52570" s="54"/>
    </row>
    <row r="52571" spans="31:31">
      <c r="AE52571" s="54"/>
    </row>
    <row r="52572" spans="31:31">
      <c r="AE52572" s="54"/>
    </row>
    <row r="52573" spans="31:31">
      <c r="AE52573" s="54"/>
    </row>
    <row r="52574" spans="31:31">
      <c r="AE52574" s="54"/>
    </row>
    <row r="52575" spans="31:31">
      <c r="AE52575" s="54"/>
    </row>
    <row r="52576" spans="31:31">
      <c r="AE52576" s="54"/>
    </row>
    <row r="52577" spans="31:31">
      <c r="AE52577" s="54"/>
    </row>
    <row r="52578" spans="31:31">
      <c r="AE52578" s="54"/>
    </row>
    <row r="52579" spans="31:31">
      <c r="AE52579" s="54"/>
    </row>
    <row r="52580" spans="31:31">
      <c r="AE52580" s="54"/>
    </row>
    <row r="52581" spans="31:31">
      <c r="AE52581" s="54"/>
    </row>
    <row r="52582" spans="31:31">
      <c r="AE52582" s="54"/>
    </row>
    <row r="52583" spans="31:31">
      <c r="AE52583" s="54"/>
    </row>
    <row r="52584" spans="31:31">
      <c r="AE52584" s="54"/>
    </row>
    <row r="52585" spans="31:31">
      <c r="AE52585" s="54"/>
    </row>
    <row r="52586" spans="31:31">
      <c r="AE52586" s="54"/>
    </row>
    <row r="52587" spans="31:31">
      <c r="AE52587" s="54"/>
    </row>
    <row r="52588" spans="31:31">
      <c r="AE52588" s="54"/>
    </row>
    <row r="52589" spans="31:31">
      <c r="AE52589" s="54"/>
    </row>
    <row r="52590" spans="31:31">
      <c r="AE52590" s="54"/>
    </row>
    <row r="52591" spans="31:31">
      <c r="AE52591" s="54"/>
    </row>
    <row r="52592" spans="31:31">
      <c r="AE52592" s="54"/>
    </row>
    <row r="52593" spans="31:31">
      <c r="AE52593" s="54"/>
    </row>
    <row r="52594" spans="31:31">
      <c r="AE52594" s="54"/>
    </row>
    <row r="52595" spans="31:31">
      <c r="AE52595" s="54"/>
    </row>
    <row r="52596" spans="31:31">
      <c r="AE52596" s="54"/>
    </row>
    <row r="52597" spans="31:31">
      <c r="AE52597" s="54"/>
    </row>
    <row r="52598" spans="31:31">
      <c r="AE52598" s="54"/>
    </row>
    <row r="52599" spans="31:31">
      <c r="AE52599" s="54"/>
    </row>
    <row r="52600" spans="31:31">
      <c r="AE52600" s="54"/>
    </row>
    <row r="52601" spans="31:31">
      <c r="AE52601" s="54"/>
    </row>
    <row r="52602" spans="31:31">
      <c r="AE52602" s="54"/>
    </row>
    <row r="52603" spans="31:31">
      <c r="AE52603" s="54"/>
    </row>
    <row r="52604" spans="31:31">
      <c r="AE52604" s="54"/>
    </row>
    <row r="52605" spans="31:31">
      <c r="AE52605" s="54"/>
    </row>
    <row r="52606" spans="31:31">
      <c r="AE52606" s="54"/>
    </row>
    <row r="52607" spans="31:31">
      <c r="AE52607" s="54"/>
    </row>
    <row r="52608" spans="31:31">
      <c r="AE52608" s="54"/>
    </row>
    <row r="52609" spans="31:31">
      <c r="AE52609" s="54"/>
    </row>
    <row r="52610" spans="31:31">
      <c r="AE52610" s="54"/>
    </row>
    <row r="52611" spans="31:31">
      <c r="AE52611" s="54"/>
    </row>
    <row r="52612" spans="31:31">
      <c r="AE52612" s="54"/>
    </row>
    <row r="52613" spans="31:31">
      <c r="AE52613" s="54"/>
    </row>
    <row r="52614" spans="31:31">
      <c r="AE52614" s="54"/>
    </row>
    <row r="52615" spans="31:31">
      <c r="AE52615" s="54"/>
    </row>
    <row r="52616" spans="31:31">
      <c r="AE52616" s="54"/>
    </row>
    <row r="52617" spans="31:31">
      <c r="AE52617" s="54"/>
    </row>
    <row r="52618" spans="31:31">
      <c r="AE52618" s="54"/>
    </row>
    <row r="52619" spans="31:31">
      <c r="AE52619" s="54"/>
    </row>
    <row r="52620" spans="31:31">
      <c r="AE52620" s="54"/>
    </row>
    <row r="52621" spans="31:31">
      <c r="AE52621" s="54"/>
    </row>
    <row r="52622" spans="31:31">
      <c r="AE52622" s="54"/>
    </row>
    <row r="52623" spans="31:31">
      <c r="AE52623" s="54"/>
    </row>
    <row r="52624" spans="31:31">
      <c r="AE52624" s="54"/>
    </row>
    <row r="52625" spans="31:31">
      <c r="AE52625" s="54"/>
    </row>
    <row r="52626" spans="31:31">
      <c r="AE52626" s="54"/>
    </row>
    <row r="52627" spans="31:31">
      <c r="AE52627" s="54"/>
    </row>
    <row r="52628" spans="31:31">
      <c r="AE52628" s="54"/>
    </row>
    <row r="52629" spans="31:31">
      <c r="AE52629" s="54"/>
    </row>
    <row r="52630" spans="31:31">
      <c r="AE52630" s="54"/>
    </row>
    <row r="52631" spans="31:31">
      <c r="AE52631" s="54"/>
    </row>
    <row r="52632" spans="31:31">
      <c r="AE52632" s="54"/>
    </row>
    <row r="52633" spans="31:31">
      <c r="AE52633" s="54"/>
    </row>
    <row r="52634" spans="31:31">
      <c r="AE52634" s="54"/>
    </row>
    <row r="52635" spans="31:31">
      <c r="AE52635" s="54"/>
    </row>
    <row r="52636" spans="31:31">
      <c r="AE52636" s="54"/>
    </row>
    <row r="52637" spans="31:31">
      <c r="AE52637" s="54"/>
    </row>
    <row r="52638" spans="31:31">
      <c r="AE52638" s="54"/>
    </row>
    <row r="52639" spans="31:31">
      <c r="AE52639" s="54"/>
    </row>
    <row r="52640" spans="31:31">
      <c r="AE52640" s="54"/>
    </row>
    <row r="52641" spans="31:31">
      <c r="AE52641" s="54"/>
    </row>
    <row r="52642" spans="31:31">
      <c r="AE52642" s="54"/>
    </row>
    <row r="52643" spans="31:31">
      <c r="AE52643" s="54"/>
    </row>
    <row r="52644" spans="31:31">
      <c r="AE52644" s="54"/>
    </row>
    <row r="52645" spans="31:31">
      <c r="AE52645" s="54"/>
    </row>
    <row r="52646" spans="31:31">
      <c r="AE52646" s="54"/>
    </row>
    <row r="52647" spans="31:31">
      <c r="AE52647" s="54"/>
    </row>
    <row r="52648" spans="31:31">
      <c r="AE52648" s="54"/>
    </row>
    <row r="52649" spans="31:31">
      <c r="AE52649" s="54"/>
    </row>
    <row r="52650" spans="31:31">
      <c r="AE52650" s="54"/>
    </row>
    <row r="52651" spans="31:31">
      <c r="AE52651" s="54"/>
    </row>
    <row r="52652" spans="31:31">
      <c r="AE52652" s="54"/>
    </row>
    <row r="52653" spans="31:31">
      <c r="AE52653" s="54"/>
    </row>
    <row r="52654" spans="31:31">
      <c r="AE52654" s="54"/>
    </row>
    <row r="52655" spans="31:31">
      <c r="AE52655" s="54"/>
    </row>
    <row r="52656" spans="31:31">
      <c r="AE52656" s="54"/>
    </row>
    <row r="52657" spans="31:31">
      <c r="AE52657" s="54"/>
    </row>
    <row r="52658" spans="31:31">
      <c r="AE52658" s="54"/>
    </row>
    <row r="52659" spans="31:31">
      <c r="AE52659" s="54"/>
    </row>
    <row r="52660" spans="31:31">
      <c r="AE52660" s="54"/>
    </row>
    <row r="52661" spans="31:31">
      <c r="AE52661" s="54"/>
    </row>
    <row r="52662" spans="31:31">
      <c r="AE52662" s="54"/>
    </row>
    <row r="52663" spans="31:31">
      <c r="AE52663" s="54"/>
    </row>
    <row r="52664" spans="31:31">
      <c r="AE52664" s="54"/>
    </row>
    <row r="52665" spans="31:31">
      <c r="AE52665" s="54"/>
    </row>
    <row r="52666" spans="31:31">
      <c r="AE52666" s="54"/>
    </row>
    <row r="52667" spans="31:31">
      <c r="AE52667" s="54"/>
    </row>
    <row r="52668" spans="31:31">
      <c r="AE52668" s="54"/>
    </row>
    <row r="52669" spans="31:31">
      <c r="AE52669" s="54"/>
    </row>
    <row r="52670" spans="31:31">
      <c r="AE52670" s="54"/>
    </row>
    <row r="52671" spans="31:31">
      <c r="AE52671" s="54"/>
    </row>
    <row r="52672" spans="31:31">
      <c r="AE52672" s="54"/>
    </row>
    <row r="52673" spans="31:31">
      <c r="AE52673" s="54"/>
    </row>
    <row r="52674" spans="31:31">
      <c r="AE52674" s="54"/>
    </row>
    <row r="52675" spans="31:31">
      <c r="AE52675" s="54"/>
    </row>
    <row r="52676" spans="31:31">
      <c r="AE52676" s="54"/>
    </row>
    <row r="52677" spans="31:31">
      <c r="AE52677" s="54"/>
    </row>
    <row r="52678" spans="31:31">
      <c r="AE52678" s="54"/>
    </row>
    <row r="52679" spans="31:31">
      <c r="AE52679" s="54"/>
    </row>
    <row r="52680" spans="31:31">
      <c r="AE52680" s="54"/>
    </row>
    <row r="52681" spans="31:31">
      <c r="AE52681" s="54"/>
    </row>
    <row r="52682" spans="31:31">
      <c r="AE52682" s="54"/>
    </row>
    <row r="52683" spans="31:31">
      <c r="AE52683" s="54"/>
    </row>
    <row r="52684" spans="31:31">
      <c r="AE52684" s="54"/>
    </row>
    <row r="52685" spans="31:31">
      <c r="AE52685" s="54"/>
    </row>
    <row r="52686" spans="31:31">
      <c r="AE52686" s="54"/>
    </row>
    <row r="52687" spans="31:31">
      <c r="AE52687" s="54"/>
    </row>
    <row r="52688" spans="31:31">
      <c r="AE52688" s="54"/>
    </row>
    <row r="52689" spans="31:31">
      <c r="AE52689" s="54"/>
    </row>
    <row r="52690" spans="31:31">
      <c r="AE52690" s="54"/>
    </row>
    <row r="52691" spans="31:31">
      <c r="AE52691" s="54"/>
    </row>
    <row r="52692" spans="31:31">
      <c r="AE52692" s="54"/>
    </row>
    <row r="52693" spans="31:31">
      <c r="AE52693" s="54"/>
    </row>
    <row r="52694" spans="31:31">
      <c r="AE52694" s="54"/>
    </row>
    <row r="52695" spans="31:31">
      <c r="AE52695" s="54"/>
    </row>
    <row r="52696" spans="31:31">
      <c r="AE52696" s="54"/>
    </row>
    <row r="52697" spans="31:31">
      <c r="AE52697" s="54"/>
    </row>
    <row r="52698" spans="31:31">
      <c r="AE52698" s="54"/>
    </row>
    <row r="52699" spans="31:31">
      <c r="AE52699" s="54"/>
    </row>
    <row r="52700" spans="31:31">
      <c r="AE52700" s="54"/>
    </row>
    <row r="52701" spans="31:31">
      <c r="AE52701" s="54"/>
    </row>
    <row r="52702" spans="31:31">
      <c r="AE52702" s="54"/>
    </row>
    <row r="52703" spans="31:31">
      <c r="AE52703" s="54"/>
    </row>
    <row r="52704" spans="31:31">
      <c r="AE52704" s="54"/>
    </row>
    <row r="52705" spans="31:31">
      <c r="AE52705" s="54"/>
    </row>
    <row r="52706" spans="31:31">
      <c r="AE52706" s="54"/>
    </row>
    <row r="52707" spans="31:31">
      <c r="AE52707" s="54"/>
    </row>
    <row r="52708" spans="31:31">
      <c r="AE52708" s="54"/>
    </row>
    <row r="52709" spans="31:31">
      <c r="AE52709" s="54"/>
    </row>
    <row r="52710" spans="31:31">
      <c r="AE52710" s="54"/>
    </row>
    <row r="52711" spans="31:31">
      <c r="AE52711" s="54"/>
    </row>
    <row r="52712" spans="31:31">
      <c r="AE52712" s="54"/>
    </row>
    <row r="52713" spans="31:31">
      <c r="AE52713" s="54"/>
    </row>
    <row r="52714" spans="31:31">
      <c r="AE52714" s="54"/>
    </row>
    <row r="52715" spans="31:31">
      <c r="AE52715" s="54"/>
    </row>
    <row r="52716" spans="31:31">
      <c r="AE52716" s="54"/>
    </row>
    <row r="52717" spans="31:31">
      <c r="AE52717" s="54"/>
    </row>
    <row r="52718" spans="31:31">
      <c r="AE52718" s="54"/>
    </row>
    <row r="52719" spans="31:31">
      <c r="AE52719" s="54"/>
    </row>
    <row r="52720" spans="31:31">
      <c r="AE52720" s="54"/>
    </row>
    <row r="52721" spans="31:31">
      <c r="AE52721" s="54"/>
    </row>
    <row r="52722" spans="31:31">
      <c r="AE52722" s="54"/>
    </row>
    <row r="52723" spans="31:31">
      <c r="AE52723" s="54"/>
    </row>
    <row r="52724" spans="31:31">
      <c r="AE52724" s="54"/>
    </row>
    <row r="52725" spans="31:31">
      <c r="AE52725" s="54"/>
    </row>
    <row r="52726" spans="31:31">
      <c r="AE52726" s="54"/>
    </row>
    <row r="52727" spans="31:31">
      <c r="AE52727" s="54"/>
    </row>
    <row r="52728" spans="31:31">
      <c r="AE52728" s="54"/>
    </row>
    <row r="52729" spans="31:31">
      <c r="AE52729" s="54"/>
    </row>
    <row r="52730" spans="31:31">
      <c r="AE52730" s="54"/>
    </row>
    <row r="52731" spans="31:31">
      <c r="AE52731" s="54"/>
    </row>
    <row r="52732" spans="31:31">
      <c r="AE52732" s="54"/>
    </row>
    <row r="52733" spans="31:31">
      <c r="AE52733" s="54"/>
    </row>
    <row r="52734" spans="31:31">
      <c r="AE52734" s="54"/>
    </row>
    <row r="52735" spans="31:31">
      <c r="AE52735" s="54"/>
    </row>
    <row r="52736" spans="31:31">
      <c r="AE52736" s="54"/>
    </row>
    <row r="52737" spans="31:31">
      <c r="AE52737" s="54"/>
    </row>
    <row r="52738" spans="31:31">
      <c r="AE52738" s="54"/>
    </row>
    <row r="52739" spans="31:31">
      <c r="AE52739" s="54"/>
    </row>
    <row r="52740" spans="31:31">
      <c r="AE52740" s="54"/>
    </row>
    <row r="52741" spans="31:31">
      <c r="AE52741" s="54"/>
    </row>
    <row r="52742" spans="31:31">
      <c r="AE52742" s="54"/>
    </row>
    <row r="52743" spans="31:31">
      <c r="AE52743" s="54"/>
    </row>
    <row r="52744" spans="31:31">
      <c r="AE52744" s="54"/>
    </row>
    <row r="52745" spans="31:31">
      <c r="AE52745" s="54"/>
    </row>
    <row r="52746" spans="31:31">
      <c r="AE52746" s="54"/>
    </row>
    <row r="52747" spans="31:31">
      <c r="AE52747" s="54"/>
    </row>
    <row r="52748" spans="31:31">
      <c r="AE52748" s="54"/>
    </row>
    <row r="52749" spans="31:31">
      <c r="AE52749" s="54"/>
    </row>
    <row r="52750" spans="31:31">
      <c r="AE52750" s="54"/>
    </row>
    <row r="52751" spans="31:31">
      <c r="AE52751" s="54"/>
    </row>
    <row r="52752" spans="31:31">
      <c r="AE52752" s="54"/>
    </row>
    <row r="52753" spans="31:31">
      <c r="AE52753" s="54"/>
    </row>
    <row r="52754" spans="31:31">
      <c r="AE52754" s="54"/>
    </row>
    <row r="52755" spans="31:31">
      <c r="AE52755" s="54"/>
    </row>
    <row r="52756" spans="31:31">
      <c r="AE52756" s="54"/>
    </row>
    <row r="52757" spans="31:31">
      <c r="AE52757" s="54"/>
    </row>
    <row r="52758" spans="31:31">
      <c r="AE52758" s="54"/>
    </row>
    <row r="52759" spans="31:31">
      <c r="AE52759" s="54"/>
    </row>
    <row r="52760" spans="31:31">
      <c r="AE52760" s="54"/>
    </row>
    <row r="52761" spans="31:31">
      <c r="AE52761" s="54"/>
    </row>
    <row r="52762" spans="31:31">
      <c r="AE52762" s="54"/>
    </row>
    <row r="52763" spans="31:31">
      <c r="AE52763" s="54"/>
    </row>
    <row r="52764" spans="31:31">
      <c r="AE52764" s="54"/>
    </row>
    <row r="52765" spans="31:31">
      <c r="AE52765" s="54"/>
    </row>
    <row r="52766" spans="31:31">
      <c r="AE52766" s="54"/>
    </row>
    <row r="52767" spans="31:31">
      <c r="AE52767" s="54"/>
    </row>
    <row r="52768" spans="31:31">
      <c r="AE52768" s="54"/>
    </row>
    <row r="52769" spans="31:31">
      <c r="AE52769" s="54"/>
    </row>
    <row r="52770" spans="31:31">
      <c r="AE52770" s="54"/>
    </row>
    <row r="52771" spans="31:31">
      <c r="AE52771" s="54"/>
    </row>
    <row r="52772" spans="31:31">
      <c r="AE52772" s="54"/>
    </row>
    <row r="52773" spans="31:31">
      <c r="AE52773" s="54"/>
    </row>
    <row r="52774" spans="31:31">
      <c r="AE52774" s="54"/>
    </row>
    <row r="52775" spans="31:31">
      <c r="AE52775" s="54"/>
    </row>
    <row r="52776" spans="31:31">
      <c r="AE52776" s="54"/>
    </row>
    <row r="52777" spans="31:31">
      <c r="AE52777" s="54"/>
    </row>
    <row r="52778" spans="31:31">
      <c r="AE52778" s="54"/>
    </row>
    <row r="52779" spans="31:31">
      <c r="AE52779" s="54"/>
    </row>
    <row r="52780" spans="31:31">
      <c r="AE52780" s="54"/>
    </row>
    <row r="52781" spans="31:31">
      <c r="AE52781" s="54"/>
    </row>
    <row r="52782" spans="31:31">
      <c r="AE52782" s="54"/>
    </row>
    <row r="52783" spans="31:31">
      <c r="AE52783" s="54"/>
    </row>
    <row r="52784" spans="31:31">
      <c r="AE52784" s="54"/>
    </row>
    <row r="52785" spans="31:31">
      <c r="AE52785" s="54"/>
    </row>
    <row r="52786" spans="31:31">
      <c r="AE52786" s="54"/>
    </row>
    <row r="52787" spans="31:31">
      <c r="AE52787" s="54"/>
    </row>
    <row r="52788" spans="31:31">
      <c r="AE52788" s="54"/>
    </row>
    <row r="52789" spans="31:31">
      <c r="AE52789" s="54"/>
    </row>
    <row r="52790" spans="31:31">
      <c r="AE52790" s="54"/>
    </row>
    <row r="52791" spans="31:31">
      <c r="AE52791" s="54"/>
    </row>
    <row r="52792" spans="31:31">
      <c r="AE52792" s="54"/>
    </row>
    <row r="52793" spans="31:31">
      <c r="AE52793" s="54"/>
    </row>
    <row r="52794" spans="31:31">
      <c r="AE52794" s="54"/>
    </row>
    <row r="52795" spans="31:31">
      <c r="AE52795" s="54"/>
    </row>
    <row r="52796" spans="31:31">
      <c r="AE52796" s="54"/>
    </row>
    <row r="52797" spans="31:31">
      <c r="AE52797" s="54"/>
    </row>
    <row r="52798" spans="31:31">
      <c r="AE52798" s="54"/>
    </row>
    <row r="52799" spans="31:31">
      <c r="AE52799" s="54"/>
    </row>
    <row r="52800" spans="31:31">
      <c r="AE52800" s="54"/>
    </row>
    <row r="52801" spans="31:31">
      <c r="AE52801" s="54"/>
    </row>
    <row r="52802" spans="31:31">
      <c r="AE52802" s="54"/>
    </row>
    <row r="52803" spans="31:31">
      <c r="AE52803" s="54"/>
    </row>
    <row r="52804" spans="31:31">
      <c r="AE52804" s="54"/>
    </row>
    <row r="52805" spans="31:31">
      <c r="AE52805" s="54"/>
    </row>
    <row r="52806" spans="31:31">
      <c r="AE52806" s="54"/>
    </row>
    <row r="52807" spans="31:31">
      <c r="AE52807" s="54"/>
    </row>
    <row r="52808" spans="31:31">
      <c r="AE52808" s="54"/>
    </row>
    <row r="52809" spans="31:31">
      <c r="AE52809" s="54"/>
    </row>
    <row r="52810" spans="31:31">
      <c r="AE52810" s="54"/>
    </row>
    <row r="52811" spans="31:31">
      <c r="AE52811" s="54"/>
    </row>
    <row r="52812" spans="31:31">
      <c r="AE52812" s="54"/>
    </row>
    <row r="52813" spans="31:31">
      <c r="AE52813" s="54"/>
    </row>
    <row r="52814" spans="31:31">
      <c r="AE52814" s="54"/>
    </row>
    <row r="52815" spans="31:31">
      <c r="AE52815" s="54"/>
    </row>
    <row r="52816" spans="31:31">
      <c r="AE52816" s="54"/>
    </row>
    <row r="52817" spans="31:31">
      <c r="AE52817" s="54"/>
    </row>
    <row r="52818" spans="31:31">
      <c r="AE52818" s="54"/>
    </row>
    <row r="52819" spans="31:31">
      <c r="AE52819" s="54"/>
    </row>
    <row r="52820" spans="31:31">
      <c r="AE52820" s="54"/>
    </row>
    <row r="52821" spans="31:31">
      <c r="AE52821" s="54"/>
    </row>
    <row r="52822" spans="31:31">
      <c r="AE52822" s="54"/>
    </row>
    <row r="52823" spans="31:31">
      <c r="AE52823" s="54"/>
    </row>
    <row r="52824" spans="31:31">
      <c r="AE52824" s="54"/>
    </row>
    <row r="52825" spans="31:31">
      <c r="AE52825" s="54"/>
    </row>
    <row r="52826" spans="31:31">
      <c r="AE52826" s="54"/>
    </row>
    <row r="52827" spans="31:31">
      <c r="AE52827" s="54"/>
    </row>
    <row r="52828" spans="31:31">
      <c r="AE52828" s="54"/>
    </row>
    <row r="52829" spans="31:31">
      <c r="AE52829" s="54"/>
    </row>
    <row r="52830" spans="31:31">
      <c r="AE52830" s="54"/>
    </row>
    <row r="52831" spans="31:31">
      <c r="AE52831" s="54"/>
    </row>
    <row r="52832" spans="31:31">
      <c r="AE52832" s="54"/>
    </row>
    <row r="52833" spans="31:31">
      <c r="AE52833" s="54"/>
    </row>
    <row r="52834" spans="31:31">
      <c r="AE52834" s="54"/>
    </row>
    <row r="52835" spans="31:31">
      <c r="AE52835" s="54"/>
    </row>
    <row r="52836" spans="31:31">
      <c r="AE52836" s="54"/>
    </row>
    <row r="52837" spans="31:31">
      <c r="AE52837" s="54"/>
    </row>
    <row r="52838" spans="31:31">
      <c r="AE52838" s="54"/>
    </row>
    <row r="52839" spans="31:31">
      <c r="AE52839" s="54"/>
    </row>
    <row r="52840" spans="31:31">
      <c r="AE52840" s="54"/>
    </row>
    <row r="52841" spans="31:31">
      <c r="AE52841" s="54"/>
    </row>
    <row r="52842" spans="31:31">
      <c r="AE52842" s="54"/>
    </row>
    <row r="52843" spans="31:31">
      <c r="AE52843" s="54"/>
    </row>
    <row r="52844" spans="31:31">
      <c r="AE52844" s="54"/>
    </row>
    <row r="52845" spans="31:31">
      <c r="AE52845" s="54"/>
    </row>
    <row r="52846" spans="31:31">
      <c r="AE52846" s="54"/>
    </row>
    <row r="52847" spans="31:31">
      <c r="AE52847" s="54"/>
    </row>
    <row r="52848" spans="31:31">
      <c r="AE52848" s="54"/>
    </row>
    <row r="52849" spans="31:31">
      <c r="AE52849" s="54"/>
    </row>
    <row r="52850" spans="31:31">
      <c r="AE52850" s="54"/>
    </row>
    <row r="52851" spans="31:31">
      <c r="AE52851" s="54"/>
    </row>
    <row r="52852" spans="31:31">
      <c r="AE52852" s="54"/>
    </row>
    <row r="52853" spans="31:31">
      <c r="AE52853" s="54"/>
    </row>
    <row r="52854" spans="31:31">
      <c r="AE52854" s="54"/>
    </row>
    <row r="52855" spans="31:31">
      <c r="AE52855" s="54"/>
    </row>
    <row r="52856" spans="31:31">
      <c r="AE52856" s="54"/>
    </row>
    <row r="52857" spans="31:31">
      <c r="AE52857" s="54"/>
    </row>
    <row r="52858" spans="31:31">
      <c r="AE52858" s="54"/>
    </row>
    <row r="52859" spans="31:31">
      <c r="AE52859" s="54"/>
    </row>
    <row r="52860" spans="31:31">
      <c r="AE52860" s="54"/>
    </row>
    <row r="52861" spans="31:31">
      <c r="AE52861" s="54"/>
    </row>
    <row r="52862" spans="31:31">
      <c r="AE52862" s="54"/>
    </row>
    <row r="52863" spans="31:31">
      <c r="AE52863" s="54"/>
    </row>
    <row r="52864" spans="31:31">
      <c r="AE52864" s="54"/>
    </row>
    <row r="52865" spans="31:31">
      <c r="AE52865" s="54"/>
    </row>
    <row r="52866" spans="31:31">
      <c r="AE52866" s="54"/>
    </row>
    <row r="52867" spans="31:31">
      <c r="AE52867" s="54"/>
    </row>
    <row r="52868" spans="31:31">
      <c r="AE52868" s="54"/>
    </row>
    <row r="52869" spans="31:31">
      <c r="AE52869" s="54"/>
    </row>
    <row r="52870" spans="31:31">
      <c r="AE52870" s="54"/>
    </row>
    <row r="52871" spans="31:31">
      <c r="AE52871" s="54"/>
    </row>
    <row r="52872" spans="31:31">
      <c r="AE52872" s="54"/>
    </row>
    <row r="52873" spans="31:31">
      <c r="AE52873" s="54"/>
    </row>
    <row r="52874" spans="31:31">
      <c r="AE52874" s="54"/>
    </row>
    <row r="52875" spans="31:31">
      <c r="AE52875" s="54"/>
    </row>
    <row r="52876" spans="31:31">
      <c r="AE52876" s="54"/>
    </row>
    <row r="52877" spans="31:31">
      <c r="AE52877" s="54"/>
    </row>
    <row r="52878" spans="31:31">
      <c r="AE52878" s="54"/>
    </row>
    <row r="52879" spans="31:31">
      <c r="AE52879" s="54"/>
    </row>
    <row r="52880" spans="31:31">
      <c r="AE52880" s="54"/>
    </row>
    <row r="52881" spans="31:31">
      <c r="AE52881" s="54"/>
    </row>
    <row r="52882" spans="31:31">
      <c r="AE52882" s="54"/>
    </row>
    <row r="52883" spans="31:31">
      <c r="AE52883" s="54"/>
    </row>
    <row r="52884" spans="31:31">
      <c r="AE52884" s="54"/>
    </row>
    <row r="52885" spans="31:31">
      <c r="AE52885" s="54"/>
    </row>
    <row r="52886" spans="31:31">
      <c r="AE52886" s="54"/>
    </row>
    <row r="52887" spans="31:31">
      <c r="AE52887" s="54"/>
    </row>
    <row r="52888" spans="31:31">
      <c r="AE52888" s="54"/>
    </row>
    <row r="52889" spans="31:31">
      <c r="AE52889" s="54"/>
    </row>
    <row r="52890" spans="31:31">
      <c r="AE52890" s="54"/>
    </row>
    <row r="52891" spans="31:31">
      <c r="AE52891" s="54"/>
    </row>
    <row r="52892" spans="31:31">
      <c r="AE52892" s="54"/>
    </row>
    <row r="52893" spans="31:31">
      <c r="AE52893" s="54"/>
    </row>
    <row r="52894" spans="31:31">
      <c r="AE52894" s="54"/>
    </row>
    <row r="52895" spans="31:31">
      <c r="AE52895" s="54"/>
    </row>
    <row r="52896" spans="31:31">
      <c r="AE52896" s="54"/>
    </row>
    <row r="52897" spans="31:31">
      <c r="AE52897" s="54"/>
    </row>
    <row r="52898" spans="31:31">
      <c r="AE52898" s="54"/>
    </row>
    <row r="52899" spans="31:31">
      <c r="AE52899" s="54"/>
    </row>
    <row r="52900" spans="31:31">
      <c r="AE52900" s="54"/>
    </row>
    <row r="52901" spans="31:31">
      <c r="AE52901" s="54"/>
    </row>
    <row r="52902" spans="31:31">
      <c r="AE52902" s="54"/>
    </row>
    <row r="52903" spans="31:31">
      <c r="AE52903" s="54"/>
    </row>
    <row r="52904" spans="31:31">
      <c r="AE52904" s="54"/>
    </row>
    <row r="52905" spans="31:31">
      <c r="AE52905" s="54"/>
    </row>
    <row r="52906" spans="31:31">
      <c r="AE52906" s="54"/>
    </row>
    <row r="52907" spans="31:31">
      <c r="AE52907" s="54"/>
    </row>
    <row r="52908" spans="31:31">
      <c r="AE52908" s="54"/>
    </row>
    <row r="52909" spans="31:31">
      <c r="AE52909" s="54"/>
    </row>
    <row r="52910" spans="31:31">
      <c r="AE52910" s="54"/>
    </row>
    <row r="52911" spans="31:31">
      <c r="AE52911" s="54"/>
    </row>
    <row r="52912" spans="31:31">
      <c r="AE52912" s="54"/>
    </row>
    <row r="52913" spans="31:31">
      <c r="AE52913" s="54"/>
    </row>
    <row r="52914" spans="31:31">
      <c r="AE52914" s="54"/>
    </row>
    <row r="52915" spans="31:31">
      <c r="AE52915" s="54"/>
    </row>
    <row r="52916" spans="31:31">
      <c r="AE52916" s="54"/>
    </row>
    <row r="52917" spans="31:31">
      <c r="AE52917" s="54"/>
    </row>
    <row r="52918" spans="31:31">
      <c r="AE52918" s="54"/>
    </row>
    <row r="52919" spans="31:31">
      <c r="AE52919" s="54"/>
    </row>
    <row r="52920" spans="31:31">
      <c r="AE52920" s="54"/>
    </row>
    <row r="52921" spans="31:31">
      <c r="AE52921" s="54"/>
    </row>
    <row r="52922" spans="31:31">
      <c r="AE52922" s="54"/>
    </row>
    <row r="52923" spans="31:31">
      <c r="AE52923" s="54"/>
    </row>
    <row r="52924" spans="31:31">
      <c r="AE52924" s="54"/>
    </row>
    <row r="52925" spans="31:31">
      <c r="AE52925" s="54"/>
    </row>
    <row r="52926" spans="31:31">
      <c r="AE52926" s="54"/>
    </row>
    <row r="52927" spans="31:31">
      <c r="AE52927" s="54"/>
    </row>
    <row r="52928" spans="31:31">
      <c r="AE52928" s="54"/>
    </row>
    <row r="52929" spans="31:31">
      <c r="AE52929" s="54"/>
    </row>
    <row r="52930" spans="31:31">
      <c r="AE52930" s="54"/>
    </row>
    <row r="52931" spans="31:31">
      <c r="AE52931" s="54"/>
    </row>
    <row r="52932" spans="31:31">
      <c r="AE52932" s="54"/>
    </row>
    <row r="52933" spans="31:31">
      <c r="AE52933" s="54"/>
    </row>
    <row r="52934" spans="31:31">
      <c r="AE52934" s="54"/>
    </row>
    <row r="52935" spans="31:31">
      <c r="AE52935" s="54"/>
    </row>
    <row r="52936" spans="31:31">
      <c r="AE52936" s="54"/>
    </row>
    <row r="52937" spans="31:31">
      <c r="AE52937" s="54"/>
    </row>
    <row r="52938" spans="31:31">
      <c r="AE52938" s="54"/>
    </row>
    <row r="52939" spans="31:31">
      <c r="AE52939" s="54"/>
    </row>
    <row r="52940" spans="31:31">
      <c r="AE52940" s="54"/>
    </row>
    <row r="52941" spans="31:31">
      <c r="AE52941" s="54"/>
    </row>
    <row r="52942" spans="31:31">
      <c r="AE52942" s="54"/>
    </row>
    <row r="52943" spans="31:31">
      <c r="AE52943" s="54"/>
    </row>
    <row r="52944" spans="31:31">
      <c r="AE52944" s="54"/>
    </row>
    <row r="52945" spans="31:31">
      <c r="AE52945" s="54"/>
    </row>
    <row r="52946" spans="31:31">
      <c r="AE52946" s="54"/>
    </row>
    <row r="52947" spans="31:31">
      <c r="AE52947" s="54"/>
    </row>
    <row r="52948" spans="31:31">
      <c r="AE52948" s="54"/>
    </row>
    <row r="52949" spans="31:31">
      <c r="AE52949" s="54"/>
    </row>
    <row r="52950" spans="31:31">
      <c r="AE52950" s="54"/>
    </row>
    <row r="52951" spans="31:31">
      <c r="AE52951" s="54"/>
    </row>
    <row r="52952" spans="31:31">
      <c r="AE52952" s="54"/>
    </row>
    <row r="52953" spans="31:31">
      <c r="AE52953" s="54"/>
    </row>
    <row r="52954" spans="31:31">
      <c r="AE52954" s="54"/>
    </row>
    <row r="52955" spans="31:31">
      <c r="AE52955" s="54"/>
    </row>
    <row r="52956" spans="31:31">
      <c r="AE52956" s="54"/>
    </row>
    <row r="52957" spans="31:31">
      <c r="AE52957" s="54"/>
    </row>
    <row r="52958" spans="31:31">
      <c r="AE52958" s="54"/>
    </row>
    <row r="52959" spans="31:31">
      <c r="AE52959" s="54"/>
    </row>
    <row r="52960" spans="31:31">
      <c r="AE52960" s="54"/>
    </row>
    <row r="52961" spans="31:31">
      <c r="AE52961" s="54"/>
    </row>
    <row r="52962" spans="31:31">
      <c r="AE52962" s="54"/>
    </row>
    <row r="52963" spans="31:31">
      <c r="AE52963" s="54"/>
    </row>
    <row r="52964" spans="31:31">
      <c r="AE52964" s="54"/>
    </row>
    <row r="52965" spans="31:31">
      <c r="AE52965" s="54"/>
    </row>
    <row r="52966" spans="31:31">
      <c r="AE52966" s="54"/>
    </row>
    <row r="52967" spans="31:31">
      <c r="AE52967" s="54"/>
    </row>
    <row r="52968" spans="31:31">
      <c r="AE52968" s="54"/>
    </row>
    <row r="52969" spans="31:31">
      <c r="AE52969" s="54"/>
    </row>
    <row r="52970" spans="31:31">
      <c r="AE52970" s="54"/>
    </row>
    <row r="52971" spans="31:31">
      <c r="AE52971" s="54"/>
    </row>
    <row r="52972" spans="31:31">
      <c r="AE52972" s="54"/>
    </row>
    <row r="52973" spans="31:31">
      <c r="AE52973" s="54"/>
    </row>
    <row r="52974" spans="31:31">
      <c r="AE52974" s="54"/>
    </row>
    <row r="52975" spans="31:31">
      <c r="AE52975" s="54"/>
    </row>
    <row r="52976" spans="31:31">
      <c r="AE52976" s="54"/>
    </row>
    <row r="52977" spans="31:31">
      <c r="AE52977" s="54"/>
    </row>
    <row r="52978" spans="31:31">
      <c r="AE52978" s="54"/>
    </row>
    <row r="52979" spans="31:31">
      <c r="AE52979" s="54"/>
    </row>
    <row r="52980" spans="31:31">
      <c r="AE52980" s="54"/>
    </row>
    <row r="52981" spans="31:31">
      <c r="AE52981" s="54"/>
    </row>
    <row r="52982" spans="31:31">
      <c r="AE52982" s="54"/>
    </row>
    <row r="52983" spans="31:31">
      <c r="AE52983" s="54"/>
    </row>
    <row r="52984" spans="31:31">
      <c r="AE52984" s="54"/>
    </row>
    <row r="52985" spans="31:31">
      <c r="AE52985" s="54"/>
    </row>
    <row r="52986" spans="31:31">
      <c r="AE52986" s="54"/>
    </row>
    <row r="52987" spans="31:31">
      <c r="AE52987" s="54"/>
    </row>
    <row r="52988" spans="31:31">
      <c r="AE52988" s="54"/>
    </row>
    <row r="52989" spans="31:31">
      <c r="AE52989" s="54"/>
    </row>
    <row r="52990" spans="31:31">
      <c r="AE52990" s="54"/>
    </row>
    <row r="52991" spans="31:31">
      <c r="AE52991" s="54"/>
    </row>
    <row r="52992" spans="31:31">
      <c r="AE52992" s="54"/>
    </row>
    <row r="52993" spans="31:31">
      <c r="AE52993" s="54"/>
    </row>
    <row r="52994" spans="31:31">
      <c r="AE52994" s="54"/>
    </row>
    <row r="52995" spans="31:31">
      <c r="AE52995" s="54"/>
    </row>
    <row r="52996" spans="31:31">
      <c r="AE52996" s="54"/>
    </row>
    <row r="52997" spans="31:31">
      <c r="AE52997" s="54"/>
    </row>
    <row r="52998" spans="31:31">
      <c r="AE52998" s="54"/>
    </row>
    <row r="52999" spans="31:31">
      <c r="AE52999" s="54"/>
    </row>
    <row r="53000" spans="31:31">
      <c r="AE53000" s="54"/>
    </row>
    <row r="53001" spans="31:31">
      <c r="AE53001" s="54"/>
    </row>
    <row r="53002" spans="31:31">
      <c r="AE53002" s="54"/>
    </row>
    <row r="53003" spans="31:31">
      <c r="AE53003" s="54"/>
    </row>
    <row r="53004" spans="31:31">
      <c r="AE53004" s="54"/>
    </row>
    <row r="53005" spans="31:31">
      <c r="AE53005" s="54"/>
    </row>
    <row r="53006" spans="31:31">
      <c r="AE53006" s="54"/>
    </row>
    <row r="53007" spans="31:31">
      <c r="AE53007" s="54"/>
    </row>
    <row r="53008" spans="31:31">
      <c r="AE53008" s="54"/>
    </row>
    <row r="53009" spans="31:31">
      <c r="AE53009" s="54"/>
    </row>
    <row r="53010" spans="31:31">
      <c r="AE53010" s="54"/>
    </row>
    <row r="53011" spans="31:31">
      <c r="AE53011" s="54"/>
    </row>
    <row r="53012" spans="31:31">
      <c r="AE53012" s="54"/>
    </row>
    <row r="53013" spans="31:31">
      <c r="AE53013" s="54"/>
    </row>
    <row r="53014" spans="31:31">
      <c r="AE53014" s="54"/>
    </row>
    <row r="53015" spans="31:31">
      <c r="AE53015" s="54"/>
    </row>
    <row r="53016" spans="31:31">
      <c r="AE53016" s="54"/>
    </row>
    <row r="53017" spans="31:31">
      <c r="AE53017" s="54"/>
    </row>
    <row r="53018" spans="31:31">
      <c r="AE53018" s="54"/>
    </row>
    <row r="53019" spans="31:31">
      <c r="AE53019" s="54"/>
    </row>
    <row r="53020" spans="31:31">
      <c r="AE53020" s="54"/>
    </row>
    <row r="53021" spans="31:31">
      <c r="AE53021" s="54"/>
    </row>
    <row r="53022" spans="31:31">
      <c r="AE53022" s="54"/>
    </row>
    <row r="53023" spans="31:31">
      <c r="AE53023" s="54"/>
    </row>
    <row r="53024" spans="31:31">
      <c r="AE53024" s="54"/>
    </row>
    <row r="53025" spans="31:31">
      <c r="AE53025" s="54"/>
    </row>
    <row r="53026" spans="31:31">
      <c r="AE53026" s="54"/>
    </row>
    <row r="53027" spans="31:31">
      <c r="AE53027" s="54"/>
    </row>
    <row r="53028" spans="31:31">
      <c r="AE53028" s="54"/>
    </row>
    <row r="53029" spans="31:31">
      <c r="AE53029" s="54"/>
    </row>
    <row r="53030" spans="31:31">
      <c r="AE53030" s="54"/>
    </row>
    <row r="53031" spans="31:31">
      <c r="AE53031" s="54"/>
    </row>
    <row r="53032" spans="31:31">
      <c r="AE53032" s="54"/>
    </row>
    <row r="53033" spans="31:31">
      <c r="AE53033" s="54"/>
    </row>
    <row r="53034" spans="31:31">
      <c r="AE53034" s="54"/>
    </row>
    <row r="53035" spans="31:31">
      <c r="AE53035" s="54"/>
    </row>
    <row r="53036" spans="31:31">
      <c r="AE53036" s="54"/>
    </row>
    <row r="53037" spans="31:31">
      <c r="AE53037" s="54"/>
    </row>
    <row r="53038" spans="31:31">
      <c r="AE53038" s="54"/>
    </row>
    <row r="53039" spans="31:31">
      <c r="AE53039" s="54"/>
    </row>
    <row r="53040" spans="31:31">
      <c r="AE53040" s="54"/>
    </row>
    <row r="53041" spans="31:31">
      <c r="AE53041" s="54"/>
    </row>
    <row r="53042" spans="31:31">
      <c r="AE53042" s="54"/>
    </row>
    <row r="53043" spans="31:31">
      <c r="AE53043" s="54"/>
    </row>
    <row r="53044" spans="31:31">
      <c r="AE53044" s="54"/>
    </row>
    <row r="53045" spans="31:31">
      <c r="AE53045" s="54"/>
    </row>
    <row r="53046" spans="31:31">
      <c r="AE53046" s="54"/>
    </row>
    <row r="53047" spans="31:31">
      <c r="AE53047" s="54"/>
    </row>
    <row r="53048" spans="31:31">
      <c r="AE53048" s="54"/>
    </row>
    <row r="53049" spans="31:31">
      <c r="AE53049" s="54"/>
    </row>
    <row r="53050" spans="31:31">
      <c r="AE53050" s="54"/>
    </row>
    <row r="53051" spans="31:31">
      <c r="AE53051" s="54"/>
    </row>
    <row r="53052" spans="31:31">
      <c r="AE53052" s="54"/>
    </row>
    <row r="53053" spans="31:31">
      <c r="AE53053" s="54"/>
    </row>
    <row r="53054" spans="31:31">
      <c r="AE53054" s="54"/>
    </row>
    <row r="53055" spans="31:31">
      <c r="AE53055" s="54"/>
    </row>
    <row r="53056" spans="31:31">
      <c r="AE53056" s="54"/>
    </row>
    <row r="53057" spans="31:31">
      <c r="AE53057" s="54"/>
    </row>
    <row r="53058" spans="31:31">
      <c r="AE53058" s="54"/>
    </row>
    <row r="53059" spans="31:31">
      <c r="AE53059" s="54"/>
    </row>
    <row r="53060" spans="31:31">
      <c r="AE53060" s="54"/>
    </row>
    <row r="53061" spans="31:31">
      <c r="AE53061" s="54"/>
    </row>
    <row r="53062" spans="31:31">
      <c r="AE53062" s="54"/>
    </row>
    <row r="53063" spans="31:31">
      <c r="AE53063" s="54"/>
    </row>
    <row r="53064" spans="31:31">
      <c r="AE53064" s="54"/>
    </row>
    <row r="53065" spans="31:31">
      <c r="AE53065" s="54"/>
    </row>
    <row r="53066" spans="31:31">
      <c r="AE53066" s="54"/>
    </row>
    <row r="53067" spans="31:31">
      <c r="AE53067" s="54"/>
    </row>
    <row r="53068" spans="31:31">
      <c r="AE53068" s="54"/>
    </row>
    <row r="53069" spans="31:31">
      <c r="AE53069" s="54"/>
    </row>
    <row r="53070" spans="31:31">
      <c r="AE53070" s="54"/>
    </row>
    <row r="53071" spans="31:31">
      <c r="AE53071" s="54"/>
    </row>
    <row r="53072" spans="31:31">
      <c r="AE53072" s="54"/>
    </row>
    <row r="53073" spans="31:31">
      <c r="AE53073" s="54"/>
    </row>
    <row r="53074" spans="31:31">
      <c r="AE53074" s="54"/>
    </row>
    <row r="53075" spans="31:31">
      <c r="AE53075" s="54"/>
    </row>
    <row r="53076" spans="31:31">
      <c r="AE53076" s="54"/>
    </row>
    <row r="53077" spans="31:31">
      <c r="AE53077" s="54"/>
    </row>
    <row r="53078" spans="31:31">
      <c r="AE53078" s="54"/>
    </row>
    <row r="53079" spans="31:31">
      <c r="AE53079" s="54"/>
    </row>
    <row r="53080" spans="31:31">
      <c r="AE53080" s="54"/>
    </row>
    <row r="53081" spans="31:31">
      <c r="AE53081" s="54"/>
    </row>
    <row r="53082" spans="31:31">
      <c r="AE53082" s="54"/>
    </row>
    <row r="53083" spans="31:31">
      <c r="AE53083" s="54"/>
    </row>
    <row r="53084" spans="31:31">
      <c r="AE53084" s="54"/>
    </row>
    <row r="53085" spans="31:31">
      <c r="AE53085" s="54"/>
    </row>
    <row r="53086" spans="31:31">
      <c r="AE53086" s="54"/>
    </row>
    <row r="53087" spans="31:31">
      <c r="AE53087" s="54"/>
    </row>
    <row r="53088" spans="31:31">
      <c r="AE53088" s="54"/>
    </row>
    <row r="53089" spans="31:31">
      <c r="AE53089" s="54"/>
    </row>
    <row r="53090" spans="31:31">
      <c r="AE53090" s="54"/>
    </row>
    <row r="53091" spans="31:31">
      <c r="AE53091" s="54"/>
    </row>
    <row r="53092" spans="31:31">
      <c r="AE53092" s="54"/>
    </row>
    <row r="53093" spans="31:31">
      <c r="AE53093" s="54"/>
    </row>
    <row r="53094" spans="31:31">
      <c r="AE53094" s="54"/>
    </row>
    <row r="53095" spans="31:31">
      <c r="AE53095" s="54"/>
    </row>
    <row r="53096" spans="31:31">
      <c r="AE53096" s="54"/>
    </row>
    <row r="53097" spans="31:31">
      <c r="AE53097" s="54"/>
    </row>
    <row r="53098" spans="31:31">
      <c r="AE53098" s="54"/>
    </row>
    <row r="53099" spans="31:31">
      <c r="AE53099" s="54"/>
    </row>
    <row r="53100" spans="31:31">
      <c r="AE53100" s="54"/>
    </row>
    <row r="53101" spans="31:31">
      <c r="AE53101" s="54"/>
    </row>
    <row r="53102" spans="31:31">
      <c r="AE53102" s="54"/>
    </row>
    <row r="53103" spans="31:31">
      <c r="AE53103" s="54"/>
    </row>
    <row r="53104" spans="31:31">
      <c r="AE53104" s="54"/>
    </row>
    <row r="53105" spans="31:31">
      <c r="AE53105" s="54"/>
    </row>
    <row r="53106" spans="31:31">
      <c r="AE53106" s="54"/>
    </row>
    <row r="53107" spans="31:31">
      <c r="AE53107" s="54"/>
    </row>
    <row r="53108" spans="31:31">
      <c r="AE53108" s="54"/>
    </row>
    <row r="53109" spans="31:31">
      <c r="AE53109" s="54"/>
    </row>
    <row r="53110" spans="31:31">
      <c r="AE53110" s="54"/>
    </row>
    <row r="53111" spans="31:31">
      <c r="AE53111" s="54"/>
    </row>
    <row r="53112" spans="31:31">
      <c r="AE53112" s="54"/>
    </row>
    <row r="53113" spans="31:31">
      <c r="AE53113" s="54"/>
    </row>
    <row r="53114" spans="31:31">
      <c r="AE53114" s="54"/>
    </row>
    <row r="53115" spans="31:31">
      <c r="AE53115" s="54"/>
    </row>
    <row r="53116" spans="31:31">
      <c r="AE53116" s="54"/>
    </row>
    <row r="53117" spans="31:31">
      <c r="AE53117" s="54"/>
    </row>
    <row r="53118" spans="31:31">
      <c r="AE53118" s="54"/>
    </row>
    <row r="53119" spans="31:31">
      <c r="AE53119" s="54"/>
    </row>
    <row r="53120" spans="31:31">
      <c r="AE53120" s="54"/>
    </row>
    <row r="53121" spans="31:31">
      <c r="AE53121" s="54"/>
    </row>
    <row r="53122" spans="31:31">
      <c r="AE53122" s="54"/>
    </row>
    <row r="53123" spans="31:31">
      <c r="AE53123" s="54"/>
    </row>
    <row r="53124" spans="31:31">
      <c r="AE53124" s="54"/>
    </row>
    <row r="53125" spans="31:31">
      <c r="AE53125" s="54"/>
    </row>
    <row r="53126" spans="31:31">
      <c r="AE53126" s="54"/>
    </row>
    <row r="53127" spans="31:31">
      <c r="AE53127" s="54"/>
    </row>
    <row r="53128" spans="31:31">
      <c r="AE53128" s="54"/>
    </row>
    <row r="53129" spans="31:31">
      <c r="AE53129" s="54"/>
    </row>
    <row r="53130" spans="31:31">
      <c r="AE53130" s="54"/>
    </row>
    <row r="53131" spans="31:31">
      <c r="AE53131" s="54"/>
    </row>
    <row r="53132" spans="31:31">
      <c r="AE53132" s="54"/>
    </row>
    <row r="53133" spans="31:31">
      <c r="AE53133" s="54"/>
    </row>
    <row r="53134" spans="31:31">
      <c r="AE53134" s="54"/>
    </row>
    <row r="53135" spans="31:31">
      <c r="AE53135" s="54"/>
    </row>
    <row r="53136" spans="31:31">
      <c r="AE53136" s="54"/>
    </row>
    <row r="53137" spans="31:31">
      <c r="AE53137" s="54"/>
    </row>
    <row r="53138" spans="31:31">
      <c r="AE53138" s="54"/>
    </row>
    <row r="53139" spans="31:31">
      <c r="AE53139" s="54"/>
    </row>
    <row r="53140" spans="31:31">
      <c r="AE53140" s="54"/>
    </row>
    <row r="53141" spans="31:31">
      <c r="AE53141" s="54"/>
    </row>
    <row r="53142" spans="31:31">
      <c r="AE53142" s="54"/>
    </row>
    <row r="53143" spans="31:31">
      <c r="AE53143" s="54"/>
    </row>
    <row r="53144" spans="31:31">
      <c r="AE53144" s="54"/>
    </row>
    <row r="53145" spans="31:31">
      <c r="AE53145" s="54"/>
    </row>
    <row r="53146" spans="31:31">
      <c r="AE53146" s="54"/>
    </row>
    <row r="53147" spans="31:31">
      <c r="AE53147" s="54"/>
    </row>
    <row r="53148" spans="31:31">
      <c r="AE53148" s="54"/>
    </row>
    <row r="53149" spans="31:31">
      <c r="AE53149" s="54"/>
    </row>
    <row r="53150" spans="31:31">
      <c r="AE53150" s="54"/>
    </row>
    <row r="53151" spans="31:31">
      <c r="AE53151" s="54"/>
    </row>
    <row r="53152" spans="31:31">
      <c r="AE53152" s="54"/>
    </row>
    <row r="53153" spans="31:31">
      <c r="AE53153" s="54"/>
    </row>
    <row r="53154" spans="31:31">
      <c r="AE53154" s="54"/>
    </row>
    <row r="53155" spans="31:31">
      <c r="AE53155" s="54"/>
    </row>
    <row r="53156" spans="31:31">
      <c r="AE53156" s="54"/>
    </row>
    <row r="53157" spans="31:31">
      <c r="AE53157" s="54"/>
    </row>
    <row r="53158" spans="31:31">
      <c r="AE53158" s="54"/>
    </row>
    <row r="53159" spans="31:31">
      <c r="AE53159" s="54"/>
    </row>
    <row r="53160" spans="31:31">
      <c r="AE53160" s="54"/>
    </row>
    <row r="53161" spans="31:31">
      <c r="AE53161" s="54"/>
    </row>
    <row r="53162" spans="31:31">
      <c r="AE53162" s="54"/>
    </row>
    <row r="53163" spans="31:31">
      <c r="AE53163" s="54"/>
    </row>
    <row r="53164" spans="31:31">
      <c r="AE53164" s="54"/>
    </row>
    <row r="53165" spans="31:31">
      <c r="AE53165" s="54"/>
    </row>
    <row r="53166" spans="31:31">
      <c r="AE53166" s="54"/>
    </row>
    <row r="53167" spans="31:31">
      <c r="AE53167" s="54"/>
    </row>
    <row r="53168" spans="31:31">
      <c r="AE53168" s="54"/>
    </row>
    <row r="53169" spans="31:31">
      <c r="AE53169" s="54"/>
    </row>
    <row r="53170" spans="31:31">
      <c r="AE53170" s="54"/>
    </row>
    <row r="53171" spans="31:31">
      <c r="AE53171" s="54"/>
    </row>
    <row r="53172" spans="31:31">
      <c r="AE53172" s="54"/>
    </row>
    <row r="53173" spans="31:31">
      <c r="AE53173" s="54"/>
    </row>
    <row r="53174" spans="31:31">
      <c r="AE53174" s="54"/>
    </row>
    <row r="53175" spans="31:31">
      <c r="AE53175" s="54"/>
    </row>
    <row r="53176" spans="31:31">
      <c r="AE53176" s="54"/>
    </row>
    <row r="53177" spans="31:31">
      <c r="AE53177" s="54"/>
    </row>
    <row r="53178" spans="31:31">
      <c r="AE53178" s="54"/>
    </row>
    <row r="53179" spans="31:31">
      <c r="AE53179" s="54"/>
    </row>
    <row r="53180" spans="31:31">
      <c r="AE53180" s="54"/>
    </row>
    <row r="53181" spans="31:31">
      <c r="AE53181" s="54"/>
    </row>
    <row r="53182" spans="31:31">
      <c r="AE53182" s="54"/>
    </row>
    <row r="53183" spans="31:31">
      <c r="AE53183" s="54"/>
    </row>
    <row r="53184" spans="31:31">
      <c r="AE53184" s="54"/>
    </row>
    <row r="53185" spans="31:31">
      <c r="AE53185" s="54"/>
    </row>
    <row r="53186" spans="31:31">
      <c r="AE53186" s="54"/>
    </row>
    <row r="53187" spans="31:31">
      <c r="AE53187" s="54"/>
    </row>
    <row r="53188" spans="31:31">
      <c r="AE53188" s="54"/>
    </row>
    <row r="53189" spans="31:31">
      <c r="AE53189" s="54"/>
    </row>
    <row r="53190" spans="31:31">
      <c r="AE53190" s="54"/>
    </row>
    <row r="53191" spans="31:31">
      <c r="AE53191" s="54"/>
    </row>
    <row r="53192" spans="31:31">
      <c r="AE53192" s="54"/>
    </row>
    <row r="53193" spans="31:31">
      <c r="AE53193" s="54"/>
    </row>
    <row r="53194" spans="31:31">
      <c r="AE53194" s="54"/>
    </row>
    <row r="53195" spans="31:31">
      <c r="AE53195" s="54"/>
    </row>
    <row r="53196" spans="31:31">
      <c r="AE53196" s="54"/>
    </row>
    <row r="53197" spans="31:31">
      <c r="AE53197" s="54"/>
    </row>
    <row r="53198" spans="31:31">
      <c r="AE53198" s="54"/>
    </row>
    <row r="53199" spans="31:31">
      <c r="AE53199" s="54"/>
    </row>
    <row r="53200" spans="31:31">
      <c r="AE53200" s="54"/>
    </row>
    <row r="53201" spans="31:31">
      <c r="AE53201" s="54"/>
    </row>
    <row r="53202" spans="31:31">
      <c r="AE53202" s="54"/>
    </row>
    <row r="53203" spans="31:31">
      <c r="AE53203" s="54"/>
    </row>
    <row r="53204" spans="31:31">
      <c r="AE53204" s="54"/>
    </row>
    <row r="53205" spans="31:31">
      <c r="AE53205" s="54"/>
    </row>
    <row r="53206" spans="31:31">
      <c r="AE53206" s="54"/>
    </row>
    <row r="53207" spans="31:31">
      <c r="AE53207" s="54"/>
    </row>
    <row r="53208" spans="31:31">
      <c r="AE53208" s="54"/>
    </row>
    <row r="53209" spans="31:31">
      <c r="AE53209" s="54"/>
    </row>
    <row r="53210" spans="31:31">
      <c r="AE53210" s="54"/>
    </row>
    <row r="53211" spans="31:31">
      <c r="AE53211" s="54"/>
    </row>
    <row r="53212" spans="31:31">
      <c r="AE53212" s="54"/>
    </row>
    <row r="53213" spans="31:31">
      <c r="AE53213" s="54"/>
    </row>
    <row r="53214" spans="31:31">
      <c r="AE53214" s="54"/>
    </row>
    <row r="53215" spans="31:31">
      <c r="AE53215" s="54"/>
    </row>
    <row r="53216" spans="31:31">
      <c r="AE53216" s="54"/>
    </row>
    <row r="53217" spans="31:31">
      <c r="AE53217" s="54"/>
    </row>
    <row r="53218" spans="31:31">
      <c r="AE53218" s="54"/>
    </row>
    <row r="53219" spans="31:31">
      <c r="AE53219" s="54"/>
    </row>
    <row r="53220" spans="31:31">
      <c r="AE53220" s="54"/>
    </row>
    <row r="53221" spans="31:31">
      <c r="AE53221" s="54"/>
    </row>
    <row r="53222" spans="31:31">
      <c r="AE53222" s="54"/>
    </row>
    <row r="53223" spans="31:31">
      <c r="AE53223" s="54"/>
    </row>
    <row r="53224" spans="31:31">
      <c r="AE53224" s="54"/>
    </row>
    <row r="53225" spans="31:31">
      <c r="AE53225" s="54"/>
    </row>
    <row r="53226" spans="31:31">
      <c r="AE53226" s="54"/>
    </row>
    <row r="53227" spans="31:31">
      <c r="AE53227" s="54"/>
    </row>
    <row r="53228" spans="31:31">
      <c r="AE53228" s="54"/>
    </row>
    <row r="53229" spans="31:31">
      <c r="AE53229" s="54"/>
    </row>
    <row r="53230" spans="31:31">
      <c r="AE53230" s="54"/>
    </row>
    <row r="53231" spans="31:31">
      <c r="AE53231" s="54"/>
    </row>
    <row r="53232" spans="31:31">
      <c r="AE53232" s="54"/>
    </row>
    <row r="53233" spans="31:31">
      <c r="AE53233" s="54"/>
    </row>
    <row r="53234" spans="31:31">
      <c r="AE53234" s="54"/>
    </row>
    <row r="53235" spans="31:31">
      <c r="AE53235" s="54"/>
    </row>
    <row r="53236" spans="31:31">
      <c r="AE53236" s="54"/>
    </row>
    <row r="53237" spans="31:31">
      <c r="AE53237" s="54"/>
    </row>
    <row r="53238" spans="31:31">
      <c r="AE53238" s="54"/>
    </row>
    <row r="53239" spans="31:31">
      <c r="AE53239" s="54"/>
    </row>
    <row r="53240" spans="31:31">
      <c r="AE53240" s="54"/>
    </row>
    <row r="53241" spans="31:31">
      <c r="AE53241" s="54"/>
    </row>
    <row r="53242" spans="31:31">
      <c r="AE53242" s="54"/>
    </row>
    <row r="53243" spans="31:31">
      <c r="AE53243" s="54"/>
    </row>
    <row r="53244" spans="31:31">
      <c r="AE53244" s="54"/>
    </row>
    <row r="53245" spans="31:31">
      <c r="AE53245" s="54"/>
    </row>
    <row r="53246" spans="31:31">
      <c r="AE53246" s="54"/>
    </row>
    <row r="53247" spans="31:31">
      <c r="AE53247" s="54"/>
    </row>
    <row r="53248" spans="31:31">
      <c r="AE53248" s="54"/>
    </row>
    <row r="53249" spans="31:31">
      <c r="AE53249" s="54"/>
    </row>
    <row r="53250" spans="31:31">
      <c r="AE53250" s="54"/>
    </row>
    <row r="53251" spans="31:31">
      <c r="AE53251" s="54"/>
    </row>
    <row r="53252" spans="31:31">
      <c r="AE53252" s="54"/>
    </row>
    <row r="53253" spans="31:31">
      <c r="AE53253" s="54"/>
    </row>
    <row r="53254" spans="31:31">
      <c r="AE53254" s="54"/>
    </row>
    <row r="53255" spans="31:31">
      <c r="AE53255" s="54"/>
    </row>
    <row r="53256" spans="31:31">
      <c r="AE53256" s="54"/>
    </row>
    <row r="53257" spans="31:31">
      <c r="AE53257" s="54"/>
    </row>
    <row r="53258" spans="31:31">
      <c r="AE53258" s="54"/>
    </row>
    <row r="53259" spans="31:31">
      <c r="AE53259" s="54"/>
    </row>
    <row r="53260" spans="31:31">
      <c r="AE53260" s="54"/>
    </row>
    <row r="53261" spans="31:31">
      <c r="AE53261" s="54"/>
    </row>
    <row r="53262" spans="31:31">
      <c r="AE53262" s="54"/>
    </row>
    <row r="53263" spans="31:31">
      <c r="AE53263" s="54"/>
    </row>
    <row r="53264" spans="31:31">
      <c r="AE53264" s="54"/>
    </row>
    <row r="53265" spans="31:31">
      <c r="AE53265" s="54"/>
    </row>
    <row r="53266" spans="31:31">
      <c r="AE53266" s="54"/>
    </row>
    <row r="53267" spans="31:31">
      <c r="AE53267" s="54"/>
    </row>
    <row r="53268" spans="31:31">
      <c r="AE53268" s="54"/>
    </row>
    <row r="53269" spans="31:31">
      <c r="AE53269" s="54"/>
    </row>
    <row r="53270" spans="31:31">
      <c r="AE53270" s="54"/>
    </row>
    <row r="53271" spans="31:31">
      <c r="AE53271" s="54"/>
    </row>
    <row r="53272" spans="31:31">
      <c r="AE53272" s="54"/>
    </row>
    <row r="53273" spans="31:31">
      <c r="AE53273" s="54"/>
    </row>
    <row r="53274" spans="31:31">
      <c r="AE53274" s="54"/>
    </row>
    <row r="53275" spans="31:31">
      <c r="AE53275" s="54"/>
    </row>
    <row r="53276" spans="31:31">
      <c r="AE53276" s="54"/>
    </row>
    <row r="53277" spans="31:31">
      <c r="AE53277" s="54"/>
    </row>
    <row r="53278" spans="31:31">
      <c r="AE53278" s="54"/>
    </row>
    <row r="53279" spans="31:31">
      <c r="AE53279" s="54"/>
    </row>
    <row r="53280" spans="31:31">
      <c r="AE53280" s="54"/>
    </row>
    <row r="53281" spans="31:31">
      <c r="AE53281" s="54"/>
    </row>
    <row r="53282" spans="31:31">
      <c r="AE53282" s="54"/>
    </row>
    <row r="53283" spans="31:31">
      <c r="AE53283" s="54"/>
    </row>
    <row r="53284" spans="31:31">
      <c r="AE53284" s="54"/>
    </row>
    <row r="53285" spans="31:31">
      <c r="AE53285" s="54"/>
    </row>
    <row r="53286" spans="31:31">
      <c r="AE53286" s="54"/>
    </row>
    <row r="53287" spans="31:31">
      <c r="AE53287" s="54"/>
    </row>
    <row r="53288" spans="31:31">
      <c r="AE53288" s="54"/>
    </row>
    <row r="53289" spans="31:31">
      <c r="AE53289" s="54"/>
    </row>
    <row r="53290" spans="31:31">
      <c r="AE53290" s="54"/>
    </row>
    <row r="53291" spans="31:31">
      <c r="AE53291" s="54"/>
    </row>
    <row r="53292" spans="31:31">
      <c r="AE53292" s="54"/>
    </row>
    <row r="53293" spans="31:31">
      <c r="AE53293" s="54"/>
    </row>
    <row r="53294" spans="31:31">
      <c r="AE53294" s="54"/>
    </row>
    <row r="53295" spans="31:31">
      <c r="AE53295" s="54"/>
    </row>
    <row r="53296" spans="31:31">
      <c r="AE53296" s="54"/>
    </row>
    <row r="53297" spans="31:31">
      <c r="AE53297" s="54"/>
    </row>
    <row r="53298" spans="31:31">
      <c r="AE53298" s="54"/>
    </row>
    <row r="53299" spans="31:31">
      <c r="AE53299" s="54"/>
    </row>
    <row r="53300" spans="31:31">
      <c r="AE53300" s="54"/>
    </row>
    <row r="53301" spans="31:31">
      <c r="AE53301" s="54"/>
    </row>
    <row r="53302" spans="31:31">
      <c r="AE53302" s="54"/>
    </row>
    <row r="53303" spans="31:31">
      <c r="AE53303" s="54"/>
    </row>
    <row r="53304" spans="31:31">
      <c r="AE53304" s="54"/>
    </row>
    <row r="53305" spans="31:31">
      <c r="AE53305" s="54"/>
    </row>
    <row r="53306" spans="31:31">
      <c r="AE53306" s="54"/>
    </row>
    <row r="53307" spans="31:31">
      <c r="AE53307" s="54"/>
    </row>
    <row r="53308" spans="31:31">
      <c r="AE53308" s="54"/>
    </row>
    <row r="53309" spans="31:31">
      <c r="AE53309" s="54"/>
    </row>
    <row r="53310" spans="31:31">
      <c r="AE53310" s="54"/>
    </row>
    <row r="53311" spans="31:31">
      <c r="AE53311" s="54"/>
    </row>
    <row r="53312" spans="31:31">
      <c r="AE53312" s="54"/>
    </row>
    <row r="53313" spans="31:31">
      <c r="AE53313" s="54"/>
    </row>
    <row r="53314" spans="31:31">
      <c r="AE53314" s="54"/>
    </row>
    <row r="53315" spans="31:31">
      <c r="AE53315" s="54"/>
    </row>
    <row r="53316" spans="31:31">
      <c r="AE53316" s="54"/>
    </row>
    <row r="53317" spans="31:31">
      <c r="AE53317" s="54"/>
    </row>
    <row r="53318" spans="31:31">
      <c r="AE53318" s="54"/>
    </row>
    <row r="53319" spans="31:31">
      <c r="AE53319" s="54"/>
    </row>
    <row r="53320" spans="31:31">
      <c r="AE53320" s="54"/>
    </row>
    <row r="53321" spans="31:31">
      <c r="AE53321" s="54"/>
    </row>
    <row r="53322" spans="31:31">
      <c r="AE53322" s="54"/>
    </row>
    <row r="53323" spans="31:31">
      <c r="AE53323" s="54"/>
    </row>
    <row r="53324" spans="31:31">
      <c r="AE53324" s="54"/>
    </row>
    <row r="53325" spans="31:31">
      <c r="AE53325" s="54"/>
    </row>
    <row r="53326" spans="31:31">
      <c r="AE53326" s="54"/>
    </row>
    <row r="53327" spans="31:31">
      <c r="AE53327" s="54"/>
    </row>
    <row r="53328" spans="31:31">
      <c r="AE53328" s="54"/>
    </row>
    <row r="53329" spans="31:31">
      <c r="AE53329" s="54"/>
    </row>
    <row r="53330" spans="31:31">
      <c r="AE53330" s="54"/>
    </row>
    <row r="53331" spans="31:31">
      <c r="AE53331" s="54"/>
    </row>
    <row r="53332" spans="31:31">
      <c r="AE53332" s="54"/>
    </row>
    <row r="53333" spans="31:31">
      <c r="AE53333" s="54"/>
    </row>
    <row r="53334" spans="31:31">
      <c r="AE53334" s="54"/>
    </row>
    <row r="53335" spans="31:31">
      <c r="AE53335" s="54"/>
    </row>
    <row r="53336" spans="31:31">
      <c r="AE53336" s="54"/>
    </row>
    <row r="53337" spans="31:31">
      <c r="AE53337" s="54"/>
    </row>
    <row r="53338" spans="31:31">
      <c r="AE53338" s="54"/>
    </row>
    <row r="53339" spans="31:31">
      <c r="AE53339" s="54"/>
    </row>
    <row r="53340" spans="31:31">
      <c r="AE53340" s="54"/>
    </row>
    <row r="53341" spans="31:31">
      <c r="AE53341" s="54"/>
    </row>
    <row r="53342" spans="31:31">
      <c r="AE53342" s="54"/>
    </row>
    <row r="53343" spans="31:31">
      <c r="AE53343" s="54"/>
    </row>
    <row r="53344" spans="31:31">
      <c r="AE53344" s="54"/>
    </row>
    <row r="53345" spans="31:31">
      <c r="AE53345" s="54"/>
    </row>
    <row r="53346" spans="31:31">
      <c r="AE53346" s="54"/>
    </row>
    <row r="53347" spans="31:31">
      <c r="AE53347" s="54"/>
    </row>
    <row r="53348" spans="31:31">
      <c r="AE53348" s="54"/>
    </row>
    <row r="53349" spans="31:31">
      <c r="AE53349" s="54"/>
    </row>
    <row r="53350" spans="31:31">
      <c r="AE53350" s="54"/>
    </row>
    <row r="53351" spans="31:31">
      <c r="AE53351" s="54"/>
    </row>
    <row r="53352" spans="31:31">
      <c r="AE53352" s="54"/>
    </row>
    <row r="53353" spans="31:31">
      <c r="AE53353" s="54"/>
    </row>
    <row r="53354" spans="31:31">
      <c r="AE53354" s="54"/>
    </row>
    <row r="53355" spans="31:31">
      <c r="AE53355" s="54"/>
    </row>
    <row r="53356" spans="31:31">
      <c r="AE53356" s="54"/>
    </row>
    <row r="53357" spans="31:31">
      <c r="AE53357" s="54"/>
    </row>
    <row r="53358" spans="31:31">
      <c r="AE53358" s="54"/>
    </row>
    <row r="53359" spans="31:31">
      <c r="AE53359" s="54"/>
    </row>
    <row r="53360" spans="31:31">
      <c r="AE53360" s="54"/>
    </row>
    <row r="53361" spans="31:31">
      <c r="AE53361" s="54"/>
    </row>
    <row r="53362" spans="31:31">
      <c r="AE53362" s="54"/>
    </row>
    <row r="53363" spans="31:31">
      <c r="AE53363" s="54"/>
    </row>
    <row r="53364" spans="31:31">
      <c r="AE53364" s="54"/>
    </row>
    <row r="53365" spans="31:31">
      <c r="AE53365" s="54"/>
    </row>
    <row r="53366" spans="31:31">
      <c r="AE53366" s="54"/>
    </row>
    <row r="53367" spans="31:31">
      <c r="AE53367" s="54"/>
    </row>
    <row r="53368" spans="31:31">
      <c r="AE53368" s="54"/>
    </row>
    <row r="53369" spans="31:31">
      <c r="AE53369" s="54"/>
    </row>
    <row r="53370" spans="31:31">
      <c r="AE53370" s="54"/>
    </row>
    <row r="53371" spans="31:31">
      <c r="AE53371" s="54"/>
    </row>
    <row r="53372" spans="31:31">
      <c r="AE53372" s="54"/>
    </row>
    <row r="53373" spans="31:31">
      <c r="AE53373" s="54"/>
    </row>
    <row r="53374" spans="31:31">
      <c r="AE53374" s="54"/>
    </row>
    <row r="53375" spans="31:31">
      <c r="AE53375" s="54"/>
    </row>
    <row r="53376" spans="31:31">
      <c r="AE53376" s="54"/>
    </row>
    <row r="53377" spans="31:31">
      <c r="AE53377" s="54"/>
    </row>
    <row r="53378" spans="31:31">
      <c r="AE53378" s="54"/>
    </row>
    <row r="53379" spans="31:31">
      <c r="AE53379" s="54"/>
    </row>
    <row r="53380" spans="31:31">
      <c r="AE53380" s="54"/>
    </row>
    <row r="53381" spans="31:31">
      <c r="AE53381" s="54"/>
    </row>
    <row r="53382" spans="31:31">
      <c r="AE53382" s="54"/>
    </row>
    <row r="53383" spans="31:31">
      <c r="AE53383" s="54"/>
    </row>
    <row r="53384" spans="31:31">
      <c r="AE53384" s="54"/>
    </row>
    <row r="53385" spans="31:31">
      <c r="AE53385" s="54"/>
    </row>
    <row r="53386" spans="31:31">
      <c r="AE53386" s="54"/>
    </row>
    <row r="53387" spans="31:31">
      <c r="AE53387" s="54"/>
    </row>
    <row r="53388" spans="31:31">
      <c r="AE53388" s="54"/>
    </row>
    <row r="53389" spans="31:31">
      <c r="AE53389" s="54"/>
    </row>
    <row r="53390" spans="31:31">
      <c r="AE53390" s="54"/>
    </row>
    <row r="53391" spans="31:31">
      <c r="AE53391" s="54"/>
    </row>
    <row r="53392" spans="31:31">
      <c r="AE53392" s="54"/>
    </row>
    <row r="53393" spans="31:31">
      <c r="AE53393" s="54"/>
    </row>
    <row r="53394" spans="31:31">
      <c r="AE53394" s="54"/>
    </row>
    <row r="53395" spans="31:31">
      <c r="AE53395" s="54"/>
    </row>
    <row r="53396" spans="31:31">
      <c r="AE53396" s="54"/>
    </row>
    <row r="53397" spans="31:31">
      <c r="AE53397" s="54"/>
    </row>
    <row r="53398" spans="31:31">
      <c r="AE53398" s="54"/>
    </row>
    <row r="53399" spans="31:31">
      <c r="AE53399" s="54"/>
    </row>
    <row r="53400" spans="31:31">
      <c r="AE53400" s="54"/>
    </row>
    <row r="53401" spans="31:31">
      <c r="AE53401" s="54"/>
    </row>
    <row r="53402" spans="31:31">
      <c r="AE53402" s="54"/>
    </row>
    <row r="53403" spans="31:31">
      <c r="AE53403" s="54"/>
    </row>
    <row r="53404" spans="31:31">
      <c r="AE53404" s="54"/>
    </row>
    <row r="53405" spans="31:31">
      <c r="AE53405" s="54"/>
    </row>
    <row r="53406" spans="31:31">
      <c r="AE53406" s="54"/>
    </row>
    <row r="53407" spans="31:31">
      <c r="AE53407" s="54"/>
    </row>
    <row r="53408" spans="31:31">
      <c r="AE53408" s="54"/>
    </row>
    <row r="53409" spans="31:31">
      <c r="AE53409" s="54"/>
    </row>
    <row r="53410" spans="31:31">
      <c r="AE53410" s="54"/>
    </row>
    <row r="53411" spans="31:31">
      <c r="AE53411" s="54"/>
    </row>
    <row r="53412" spans="31:31">
      <c r="AE53412" s="54"/>
    </row>
    <row r="53413" spans="31:31">
      <c r="AE53413" s="54"/>
    </row>
    <row r="53414" spans="31:31">
      <c r="AE53414" s="54"/>
    </row>
    <row r="53415" spans="31:31">
      <c r="AE53415" s="54"/>
    </row>
    <row r="53416" spans="31:31">
      <c r="AE53416" s="54"/>
    </row>
    <row r="53417" spans="31:31">
      <c r="AE53417" s="54"/>
    </row>
    <row r="53418" spans="31:31">
      <c r="AE53418" s="54"/>
    </row>
    <row r="53419" spans="31:31">
      <c r="AE53419" s="54"/>
    </row>
    <row r="53420" spans="31:31">
      <c r="AE53420" s="54"/>
    </row>
    <row r="53421" spans="31:31">
      <c r="AE53421" s="54"/>
    </row>
    <row r="53422" spans="31:31">
      <c r="AE53422" s="54"/>
    </row>
    <row r="53423" spans="31:31">
      <c r="AE53423" s="54"/>
    </row>
    <row r="53424" spans="31:31">
      <c r="AE53424" s="54"/>
    </row>
    <row r="53425" spans="31:31">
      <c r="AE53425" s="54"/>
    </row>
    <row r="53426" spans="31:31">
      <c r="AE53426" s="54"/>
    </row>
    <row r="53427" spans="31:31">
      <c r="AE53427" s="54"/>
    </row>
    <row r="53428" spans="31:31">
      <c r="AE53428" s="54"/>
    </row>
    <row r="53429" spans="31:31">
      <c r="AE53429" s="54"/>
    </row>
    <row r="53430" spans="31:31">
      <c r="AE53430" s="54"/>
    </row>
    <row r="53431" spans="31:31">
      <c r="AE53431" s="54"/>
    </row>
    <row r="53432" spans="31:31">
      <c r="AE53432" s="54"/>
    </row>
    <row r="53433" spans="31:31">
      <c r="AE53433" s="54"/>
    </row>
    <row r="53434" spans="31:31">
      <c r="AE53434" s="54"/>
    </row>
    <row r="53435" spans="31:31">
      <c r="AE53435" s="54"/>
    </row>
    <row r="53436" spans="31:31">
      <c r="AE53436" s="54"/>
    </row>
    <row r="53437" spans="31:31">
      <c r="AE53437" s="54"/>
    </row>
    <row r="53438" spans="31:31">
      <c r="AE53438" s="54"/>
    </row>
    <row r="53439" spans="31:31">
      <c r="AE53439" s="54"/>
    </row>
    <row r="53440" spans="31:31">
      <c r="AE53440" s="54"/>
    </row>
    <row r="53441" spans="31:31">
      <c r="AE53441" s="54"/>
    </row>
    <row r="53442" spans="31:31">
      <c r="AE53442" s="54"/>
    </row>
    <row r="53443" spans="31:31">
      <c r="AE53443" s="54"/>
    </row>
    <row r="53444" spans="31:31">
      <c r="AE53444" s="54"/>
    </row>
    <row r="53445" spans="31:31">
      <c r="AE53445" s="54"/>
    </row>
    <row r="53446" spans="31:31">
      <c r="AE53446" s="54"/>
    </row>
    <row r="53447" spans="31:31">
      <c r="AE53447" s="54"/>
    </row>
    <row r="53448" spans="31:31">
      <c r="AE53448" s="54"/>
    </row>
    <row r="53449" spans="31:31">
      <c r="AE53449" s="54"/>
    </row>
    <row r="53450" spans="31:31">
      <c r="AE53450" s="54"/>
    </row>
    <row r="53451" spans="31:31">
      <c r="AE53451" s="54"/>
    </row>
    <row r="53452" spans="31:31">
      <c r="AE53452" s="54"/>
    </row>
    <row r="53453" spans="31:31">
      <c r="AE53453" s="54"/>
    </row>
    <row r="53454" spans="31:31">
      <c r="AE53454" s="54"/>
    </row>
    <row r="53455" spans="31:31">
      <c r="AE53455" s="54"/>
    </row>
    <row r="53456" spans="31:31">
      <c r="AE53456" s="54"/>
    </row>
    <row r="53457" spans="31:31">
      <c r="AE53457" s="54"/>
    </row>
    <row r="53458" spans="31:31">
      <c r="AE53458" s="54"/>
    </row>
    <row r="53459" spans="31:31">
      <c r="AE53459" s="54"/>
    </row>
    <row r="53460" spans="31:31">
      <c r="AE53460" s="54"/>
    </row>
    <row r="53461" spans="31:31">
      <c r="AE53461" s="54"/>
    </row>
    <row r="53462" spans="31:31">
      <c r="AE53462" s="54"/>
    </row>
    <row r="53463" spans="31:31">
      <c r="AE53463" s="54"/>
    </row>
    <row r="53464" spans="31:31">
      <c r="AE53464" s="54"/>
    </row>
    <row r="53465" spans="31:31">
      <c r="AE53465" s="54"/>
    </row>
    <row r="53466" spans="31:31">
      <c r="AE53466" s="54"/>
    </row>
    <row r="53467" spans="31:31">
      <c r="AE53467" s="54"/>
    </row>
    <row r="53468" spans="31:31">
      <c r="AE53468" s="54"/>
    </row>
    <row r="53469" spans="31:31">
      <c r="AE53469" s="54"/>
    </row>
    <row r="53470" spans="31:31">
      <c r="AE53470" s="54"/>
    </row>
    <row r="53471" spans="31:31">
      <c r="AE53471" s="54"/>
    </row>
    <row r="53472" spans="31:31">
      <c r="AE53472" s="54"/>
    </row>
    <row r="53473" spans="31:31">
      <c r="AE53473" s="54"/>
    </row>
    <row r="53474" spans="31:31">
      <c r="AE53474" s="54"/>
    </row>
    <row r="53475" spans="31:31">
      <c r="AE53475" s="54"/>
    </row>
    <row r="53476" spans="31:31">
      <c r="AE53476" s="54"/>
    </row>
    <row r="53477" spans="31:31">
      <c r="AE53477" s="54"/>
    </row>
    <row r="53478" spans="31:31">
      <c r="AE53478" s="54"/>
    </row>
    <row r="53479" spans="31:31">
      <c r="AE53479" s="54"/>
    </row>
    <row r="53480" spans="31:31">
      <c r="AE53480" s="54"/>
    </row>
    <row r="53481" spans="31:31">
      <c r="AE53481" s="54"/>
    </row>
    <row r="53482" spans="31:31">
      <c r="AE53482" s="54"/>
    </row>
    <row r="53483" spans="31:31">
      <c r="AE53483" s="54"/>
    </row>
    <row r="53484" spans="31:31">
      <c r="AE53484" s="54"/>
    </row>
    <row r="53485" spans="31:31">
      <c r="AE53485" s="54"/>
    </row>
    <row r="53486" spans="31:31">
      <c r="AE53486" s="54"/>
    </row>
    <row r="53487" spans="31:31">
      <c r="AE53487" s="54"/>
    </row>
    <row r="53488" spans="31:31">
      <c r="AE53488" s="54"/>
    </row>
    <row r="53489" spans="31:31">
      <c r="AE53489" s="54"/>
    </row>
    <row r="53490" spans="31:31">
      <c r="AE53490" s="54"/>
    </row>
    <row r="53491" spans="31:31">
      <c r="AE53491" s="54"/>
    </row>
    <row r="53492" spans="31:31">
      <c r="AE53492" s="54"/>
    </row>
    <row r="53493" spans="31:31">
      <c r="AE53493" s="54"/>
    </row>
    <row r="53494" spans="31:31">
      <c r="AE53494" s="54"/>
    </row>
    <row r="53495" spans="31:31">
      <c r="AE53495" s="54"/>
    </row>
    <row r="53496" spans="31:31">
      <c r="AE53496" s="54"/>
    </row>
    <row r="53497" spans="31:31">
      <c r="AE53497" s="54"/>
    </row>
    <row r="53498" spans="31:31">
      <c r="AE53498" s="54"/>
    </row>
    <row r="53499" spans="31:31">
      <c r="AE53499" s="54"/>
    </row>
    <row r="53500" spans="31:31">
      <c r="AE53500" s="54"/>
    </row>
    <row r="53501" spans="31:31">
      <c r="AE53501" s="54"/>
    </row>
    <row r="53502" spans="31:31">
      <c r="AE53502" s="54"/>
    </row>
    <row r="53503" spans="31:31">
      <c r="AE53503" s="54"/>
    </row>
    <row r="53504" spans="31:31">
      <c r="AE53504" s="54"/>
    </row>
    <row r="53505" spans="31:31">
      <c r="AE53505" s="54"/>
    </row>
    <row r="53506" spans="31:31">
      <c r="AE53506" s="54"/>
    </row>
    <row r="53507" spans="31:31">
      <c r="AE53507" s="54"/>
    </row>
    <row r="53508" spans="31:31">
      <c r="AE53508" s="54"/>
    </row>
    <row r="53509" spans="31:31">
      <c r="AE53509" s="54"/>
    </row>
    <row r="53510" spans="31:31">
      <c r="AE53510" s="54"/>
    </row>
    <row r="53511" spans="31:31">
      <c r="AE53511" s="54"/>
    </row>
    <row r="53512" spans="31:31">
      <c r="AE53512" s="54"/>
    </row>
    <row r="53513" spans="31:31">
      <c r="AE53513" s="54"/>
    </row>
    <row r="53514" spans="31:31">
      <c r="AE53514" s="54"/>
    </row>
    <row r="53515" spans="31:31">
      <c r="AE53515" s="54"/>
    </row>
    <row r="53516" spans="31:31">
      <c r="AE53516" s="54"/>
    </row>
    <row r="53517" spans="31:31">
      <c r="AE53517" s="54"/>
    </row>
    <row r="53518" spans="31:31">
      <c r="AE53518" s="54"/>
    </row>
    <row r="53519" spans="31:31">
      <c r="AE53519" s="54"/>
    </row>
    <row r="53520" spans="31:31">
      <c r="AE53520" s="54"/>
    </row>
    <row r="53521" spans="31:31">
      <c r="AE53521" s="54"/>
    </row>
    <row r="53522" spans="31:31">
      <c r="AE53522" s="54"/>
    </row>
    <row r="53523" spans="31:31">
      <c r="AE53523" s="54"/>
    </row>
    <row r="53524" spans="31:31">
      <c r="AE53524" s="54"/>
    </row>
    <row r="53525" spans="31:31">
      <c r="AE53525" s="54"/>
    </row>
    <row r="53526" spans="31:31">
      <c r="AE53526" s="54"/>
    </row>
    <row r="53527" spans="31:31">
      <c r="AE53527" s="54"/>
    </row>
    <row r="53528" spans="31:31">
      <c r="AE53528" s="54"/>
    </row>
    <row r="53529" spans="31:31">
      <c r="AE53529" s="54"/>
    </row>
    <row r="53530" spans="31:31">
      <c r="AE53530" s="54"/>
    </row>
    <row r="53531" spans="31:31">
      <c r="AE53531" s="54"/>
    </row>
    <row r="53532" spans="31:31">
      <c r="AE53532" s="54"/>
    </row>
    <row r="53533" spans="31:31">
      <c r="AE53533" s="54"/>
    </row>
    <row r="53534" spans="31:31">
      <c r="AE53534" s="54"/>
    </row>
    <row r="53535" spans="31:31">
      <c r="AE53535" s="54"/>
    </row>
    <row r="53536" spans="31:31">
      <c r="AE53536" s="54"/>
    </row>
    <row r="53537" spans="31:31">
      <c r="AE53537" s="54"/>
    </row>
    <row r="53538" spans="31:31">
      <c r="AE53538" s="54"/>
    </row>
    <row r="53539" spans="31:31">
      <c r="AE53539" s="54"/>
    </row>
    <row r="53540" spans="31:31">
      <c r="AE53540" s="54"/>
    </row>
    <row r="53541" spans="31:31">
      <c r="AE53541" s="54"/>
    </row>
    <row r="53542" spans="31:31">
      <c r="AE53542" s="54"/>
    </row>
    <row r="53543" spans="31:31">
      <c r="AE53543" s="54"/>
    </row>
    <row r="53544" spans="31:31">
      <c r="AE53544" s="54"/>
    </row>
    <row r="53545" spans="31:31">
      <c r="AE53545" s="54"/>
    </row>
    <row r="53546" spans="31:31">
      <c r="AE53546" s="54"/>
    </row>
    <row r="53547" spans="31:31">
      <c r="AE53547" s="54"/>
    </row>
    <row r="53548" spans="31:31">
      <c r="AE53548" s="54"/>
    </row>
    <row r="53549" spans="31:31">
      <c r="AE53549" s="54"/>
    </row>
    <row r="53550" spans="31:31">
      <c r="AE53550" s="54"/>
    </row>
    <row r="53551" spans="31:31">
      <c r="AE53551" s="54"/>
    </row>
    <row r="53552" spans="31:31">
      <c r="AE53552" s="54"/>
    </row>
    <row r="53553" spans="31:31">
      <c r="AE53553" s="54"/>
    </row>
    <row r="53554" spans="31:31">
      <c r="AE53554" s="54"/>
    </row>
    <row r="53555" spans="31:31">
      <c r="AE53555" s="54"/>
    </row>
    <row r="53556" spans="31:31">
      <c r="AE53556" s="54"/>
    </row>
    <row r="53557" spans="31:31">
      <c r="AE53557" s="54"/>
    </row>
    <row r="53558" spans="31:31">
      <c r="AE53558" s="54"/>
    </row>
    <row r="53559" spans="31:31">
      <c r="AE53559" s="54"/>
    </row>
    <row r="53560" spans="31:31">
      <c r="AE53560" s="54"/>
    </row>
    <row r="53561" spans="31:31">
      <c r="AE53561" s="54"/>
    </row>
    <row r="53562" spans="31:31">
      <c r="AE53562" s="54"/>
    </row>
    <row r="53563" spans="31:31">
      <c r="AE53563" s="54"/>
    </row>
    <row r="53564" spans="31:31">
      <c r="AE53564" s="54"/>
    </row>
    <row r="53565" spans="31:31">
      <c r="AE53565" s="54"/>
    </row>
    <row r="53566" spans="31:31">
      <c r="AE53566" s="54"/>
    </row>
    <row r="53567" spans="31:31">
      <c r="AE53567" s="54"/>
    </row>
    <row r="53568" spans="31:31">
      <c r="AE53568" s="54"/>
    </row>
    <row r="53569" spans="31:31">
      <c r="AE53569" s="54"/>
    </row>
    <row r="53570" spans="31:31">
      <c r="AE53570" s="54"/>
    </row>
    <row r="53571" spans="31:31">
      <c r="AE53571" s="54"/>
    </row>
    <row r="53572" spans="31:31">
      <c r="AE53572" s="54"/>
    </row>
    <row r="53573" spans="31:31">
      <c r="AE53573" s="54"/>
    </row>
    <row r="53574" spans="31:31">
      <c r="AE53574" s="54"/>
    </row>
    <row r="53575" spans="31:31">
      <c r="AE53575" s="54"/>
    </row>
    <row r="53576" spans="31:31">
      <c r="AE53576" s="54"/>
    </row>
    <row r="53577" spans="31:31">
      <c r="AE53577" s="54"/>
    </row>
    <row r="53578" spans="31:31">
      <c r="AE53578" s="54"/>
    </row>
    <row r="53579" spans="31:31">
      <c r="AE53579" s="54"/>
    </row>
    <row r="53580" spans="31:31">
      <c r="AE53580" s="54"/>
    </row>
    <row r="53581" spans="31:31">
      <c r="AE53581" s="54"/>
    </row>
    <row r="53582" spans="31:31">
      <c r="AE53582" s="54"/>
    </row>
    <row r="53583" spans="31:31">
      <c r="AE53583" s="54"/>
    </row>
    <row r="53584" spans="31:31">
      <c r="AE53584" s="54"/>
    </row>
    <row r="53585" spans="31:31">
      <c r="AE53585" s="54"/>
    </row>
    <row r="53586" spans="31:31">
      <c r="AE53586" s="54"/>
    </row>
    <row r="53587" spans="31:31">
      <c r="AE53587" s="54"/>
    </row>
    <row r="53588" spans="31:31">
      <c r="AE53588" s="54"/>
    </row>
    <row r="53589" spans="31:31">
      <c r="AE53589" s="54"/>
    </row>
    <row r="53590" spans="31:31">
      <c r="AE53590" s="54"/>
    </row>
    <row r="53591" spans="31:31">
      <c r="AE53591" s="54"/>
    </row>
    <row r="53592" spans="31:31">
      <c r="AE53592" s="54"/>
    </row>
    <row r="53593" spans="31:31">
      <c r="AE53593" s="54"/>
    </row>
    <row r="53594" spans="31:31">
      <c r="AE53594" s="54"/>
    </row>
    <row r="53595" spans="31:31">
      <c r="AE53595" s="54"/>
    </row>
    <row r="53596" spans="31:31">
      <c r="AE53596" s="54"/>
    </row>
    <row r="53597" spans="31:31">
      <c r="AE53597" s="54"/>
    </row>
    <row r="53598" spans="31:31">
      <c r="AE53598" s="54"/>
    </row>
    <row r="53599" spans="31:31">
      <c r="AE53599" s="54"/>
    </row>
    <row r="53600" spans="31:31">
      <c r="AE53600" s="54"/>
    </row>
    <row r="53601" spans="31:31">
      <c r="AE53601" s="54"/>
    </row>
    <row r="53602" spans="31:31">
      <c r="AE53602" s="54"/>
    </row>
    <row r="53603" spans="31:31">
      <c r="AE53603" s="54"/>
    </row>
    <row r="53604" spans="31:31">
      <c r="AE53604" s="54"/>
    </row>
    <row r="53605" spans="31:31">
      <c r="AE53605" s="54"/>
    </row>
    <row r="53606" spans="31:31">
      <c r="AE53606" s="54"/>
    </row>
    <row r="53607" spans="31:31">
      <c r="AE53607" s="54"/>
    </row>
    <row r="53608" spans="31:31">
      <c r="AE53608" s="54"/>
    </row>
    <row r="53609" spans="31:31">
      <c r="AE53609" s="54"/>
    </row>
    <row r="53610" spans="31:31">
      <c r="AE53610" s="54"/>
    </row>
    <row r="53611" spans="31:31">
      <c r="AE53611" s="54"/>
    </row>
    <row r="53612" spans="31:31">
      <c r="AE53612" s="54"/>
    </row>
    <row r="53613" spans="31:31">
      <c r="AE53613" s="54"/>
    </row>
    <row r="53614" spans="31:31">
      <c r="AE53614" s="54"/>
    </row>
    <row r="53615" spans="31:31">
      <c r="AE53615" s="54"/>
    </row>
    <row r="53616" spans="31:31">
      <c r="AE53616" s="54"/>
    </row>
    <row r="53617" spans="31:31">
      <c r="AE53617" s="54"/>
    </row>
    <row r="53618" spans="31:31">
      <c r="AE53618" s="54"/>
    </row>
    <row r="53619" spans="31:31">
      <c r="AE53619" s="54"/>
    </row>
    <row r="53620" spans="31:31">
      <c r="AE53620" s="54"/>
    </row>
    <row r="53621" spans="31:31">
      <c r="AE53621" s="54"/>
    </row>
    <row r="53622" spans="31:31">
      <c r="AE53622" s="54"/>
    </row>
    <row r="53623" spans="31:31">
      <c r="AE53623" s="54"/>
    </row>
    <row r="53624" spans="31:31">
      <c r="AE53624" s="54"/>
    </row>
    <row r="53625" spans="31:31">
      <c r="AE53625" s="54"/>
    </row>
    <row r="53626" spans="31:31">
      <c r="AE53626" s="54"/>
    </row>
    <row r="53627" spans="31:31">
      <c r="AE53627" s="54"/>
    </row>
    <row r="53628" spans="31:31">
      <c r="AE53628" s="54"/>
    </row>
    <row r="53629" spans="31:31">
      <c r="AE53629" s="54"/>
    </row>
    <row r="53630" spans="31:31">
      <c r="AE53630" s="54"/>
    </row>
    <row r="53631" spans="31:31">
      <c r="AE53631" s="54"/>
    </row>
    <row r="53632" spans="31:31">
      <c r="AE53632" s="54"/>
    </row>
    <row r="53633" spans="31:31">
      <c r="AE53633" s="54"/>
    </row>
    <row r="53634" spans="31:31">
      <c r="AE53634" s="54"/>
    </row>
    <row r="53635" spans="31:31">
      <c r="AE53635" s="54"/>
    </row>
    <row r="53636" spans="31:31">
      <c r="AE53636" s="54"/>
    </row>
    <row r="53637" spans="31:31">
      <c r="AE53637" s="54"/>
    </row>
    <row r="53638" spans="31:31">
      <c r="AE53638" s="54"/>
    </row>
    <row r="53639" spans="31:31">
      <c r="AE53639" s="54"/>
    </row>
    <row r="53640" spans="31:31">
      <c r="AE53640" s="54"/>
    </row>
    <row r="53641" spans="31:31">
      <c r="AE53641" s="54"/>
    </row>
    <row r="53642" spans="31:31">
      <c r="AE53642" s="54"/>
    </row>
    <row r="53643" spans="31:31">
      <c r="AE53643" s="54"/>
    </row>
    <row r="53644" spans="31:31">
      <c r="AE53644" s="54"/>
    </row>
    <row r="53645" spans="31:31">
      <c r="AE53645" s="54"/>
    </row>
    <row r="53646" spans="31:31">
      <c r="AE53646" s="54"/>
    </row>
    <row r="53647" spans="31:31">
      <c r="AE53647" s="54"/>
    </row>
    <row r="53648" spans="31:31">
      <c r="AE53648" s="54"/>
    </row>
    <row r="53649" spans="31:31">
      <c r="AE53649" s="54"/>
    </row>
    <row r="53650" spans="31:31">
      <c r="AE53650" s="54"/>
    </row>
    <row r="53651" spans="31:31">
      <c r="AE53651" s="54"/>
    </row>
    <row r="53652" spans="31:31">
      <c r="AE53652" s="54"/>
    </row>
    <row r="53653" spans="31:31">
      <c r="AE53653" s="54"/>
    </row>
    <row r="53654" spans="31:31">
      <c r="AE53654" s="54"/>
    </row>
    <row r="53655" spans="31:31">
      <c r="AE53655" s="54"/>
    </row>
    <row r="53656" spans="31:31">
      <c r="AE53656" s="54"/>
    </row>
    <row r="53657" spans="31:31">
      <c r="AE53657" s="54"/>
    </row>
    <row r="53658" spans="31:31">
      <c r="AE53658" s="54"/>
    </row>
    <row r="53659" spans="31:31">
      <c r="AE53659" s="54"/>
    </row>
    <row r="53660" spans="31:31">
      <c r="AE53660" s="54"/>
    </row>
    <row r="53661" spans="31:31">
      <c r="AE53661" s="54"/>
    </row>
    <row r="53662" spans="31:31">
      <c r="AE53662" s="54"/>
    </row>
    <row r="53663" spans="31:31">
      <c r="AE53663" s="54"/>
    </row>
    <row r="53664" spans="31:31">
      <c r="AE53664" s="54"/>
    </row>
    <row r="53665" spans="31:31">
      <c r="AE53665" s="54"/>
    </row>
    <row r="53666" spans="31:31">
      <c r="AE53666" s="54"/>
    </row>
    <row r="53667" spans="31:31">
      <c r="AE53667" s="54"/>
    </row>
    <row r="53668" spans="31:31">
      <c r="AE53668" s="54"/>
    </row>
    <row r="53669" spans="31:31">
      <c r="AE53669" s="54"/>
    </row>
    <row r="53670" spans="31:31">
      <c r="AE53670" s="54"/>
    </row>
    <row r="53671" spans="31:31">
      <c r="AE53671" s="54"/>
    </row>
    <row r="53672" spans="31:31">
      <c r="AE53672" s="54"/>
    </row>
    <row r="53673" spans="31:31">
      <c r="AE53673" s="54"/>
    </row>
    <row r="53674" spans="31:31">
      <c r="AE53674" s="54"/>
    </row>
    <row r="53675" spans="31:31">
      <c r="AE53675" s="54"/>
    </row>
    <row r="53676" spans="31:31">
      <c r="AE53676" s="54"/>
    </row>
    <row r="53677" spans="31:31">
      <c r="AE53677" s="54"/>
    </row>
    <row r="53678" spans="31:31">
      <c r="AE53678" s="54"/>
    </row>
    <row r="53679" spans="31:31">
      <c r="AE53679" s="54"/>
    </row>
    <row r="53680" spans="31:31">
      <c r="AE53680" s="54"/>
    </row>
    <row r="53681" spans="31:31">
      <c r="AE53681" s="54"/>
    </row>
    <row r="53682" spans="31:31">
      <c r="AE53682" s="54"/>
    </row>
    <row r="53683" spans="31:31">
      <c r="AE53683" s="54"/>
    </row>
    <row r="53684" spans="31:31">
      <c r="AE53684" s="54"/>
    </row>
    <row r="53685" spans="31:31">
      <c r="AE53685" s="54"/>
    </row>
    <row r="53686" spans="31:31">
      <c r="AE53686" s="54"/>
    </row>
    <row r="53687" spans="31:31">
      <c r="AE53687" s="54"/>
    </row>
    <row r="53688" spans="31:31">
      <c r="AE53688" s="54"/>
    </row>
    <row r="53689" spans="31:31">
      <c r="AE53689" s="54"/>
    </row>
    <row r="53690" spans="31:31">
      <c r="AE53690" s="54"/>
    </row>
    <row r="53691" spans="31:31">
      <c r="AE53691" s="54"/>
    </row>
    <row r="53692" spans="31:31">
      <c r="AE53692" s="54"/>
    </row>
    <row r="53693" spans="31:31">
      <c r="AE53693" s="54"/>
    </row>
    <row r="53694" spans="31:31">
      <c r="AE53694" s="54"/>
    </row>
    <row r="53695" spans="31:31">
      <c r="AE53695" s="54"/>
    </row>
    <row r="53696" spans="31:31">
      <c r="AE53696" s="54"/>
    </row>
    <row r="53697" spans="31:31">
      <c r="AE53697" s="54"/>
    </row>
    <row r="53698" spans="31:31">
      <c r="AE53698" s="54"/>
    </row>
    <row r="53699" spans="31:31">
      <c r="AE53699" s="54"/>
    </row>
    <row r="53700" spans="31:31">
      <c r="AE53700" s="54"/>
    </row>
    <row r="53701" spans="31:31">
      <c r="AE53701" s="54"/>
    </row>
    <row r="53702" spans="31:31">
      <c r="AE53702" s="54"/>
    </row>
    <row r="53703" spans="31:31">
      <c r="AE53703" s="54"/>
    </row>
    <row r="53704" spans="31:31">
      <c r="AE53704" s="54"/>
    </row>
    <row r="53705" spans="31:31">
      <c r="AE53705" s="54"/>
    </row>
    <row r="53706" spans="31:31">
      <c r="AE53706" s="54"/>
    </row>
    <row r="53707" spans="31:31">
      <c r="AE53707" s="54"/>
    </row>
    <row r="53708" spans="31:31">
      <c r="AE53708" s="54"/>
    </row>
    <row r="53709" spans="31:31">
      <c r="AE53709" s="54"/>
    </row>
    <row r="53710" spans="31:31">
      <c r="AE53710" s="54"/>
    </row>
    <row r="53711" spans="31:31">
      <c r="AE53711" s="54"/>
    </row>
    <row r="53712" spans="31:31">
      <c r="AE53712" s="54"/>
    </row>
    <row r="53713" spans="31:31">
      <c r="AE53713" s="54"/>
    </row>
    <row r="53714" spans="31:31">
      <c r="AE53714" s="54"/>
    </row>
    <row r="53715" spans="31:31">
      <c r="AE53715" s="54"/>
    </row>
    <row r="53716" spans="31:31">
      <c r="AE53716" s="54"/>
    </row>
    <row r="53717" spans="31:31">
      <c r="AE53717" s="54"/>
    </row>
    <row r="53718" spans="31:31">
      <c r="AE53718" s="54"/>
    </row>
    <row r="53719" spans="31:31">
      <c r="AE53719" s="54"/>
    </row>
    <row r="53720" spans="31:31">
      <c r="AE53720" s="54"/>
    </row>
    <row r="53721" spans="31:31">
      <c r="AE53721" s="54"/>
    </row>
    <row r="53722" spans="31:31">
      <c r="AE53722" s="54"/>
    </row>
    <row r="53723" spans="31:31">
      <c r="AE53723" s="54"/>
    </row>
    <row r="53724" spans="31:31">
      <c r="AE53724" s="54"/>
    </row>
    <row r="53725" spans="31:31">
      <c r="AE53725" s="54"/>
    </row>
    <row r="53726" spans="31:31">
      <c r="AE53726" s="54"/>
    </row>
    <row r="53727" spans="31:31">
      <c r="AE53727" s="54"/>
    </row>
    <row r="53728" spans="31:31">
      <c r="AE53728" s="54"/>
    </row>
    <row r="53729" spans="31:31">
      <c r="AE53729" s="54"/>
    </row>
    <row r="53730" spans="31:31">
      <c r="AE53730" s="54"/>
    </row>
    <row r="53731" spans="31:31">
      <c r="AE53731" s="54"/>
    </row>
    <row r="53732" spans="31:31">
      <c r="AE53732" s="54"/>
    </row>
    <row r="53733" spans="31:31">
      <c r="AE53733" s="54"/>
    </row>
    <row r="53734" spans="31:31">
      <c r="AE53734" s="54"/>
    </row>
    <row r="53735" spans="31:31">
      <c r="AE53735" s="54"/>
    </row>
    <row r="53736" spans="31:31">
      <c r="AE53736" s="54"/>
    </row>
    <row r="53737" spans="31:31">
      <c r="AE53737" s="54"/>
    </row>
    <row r="53738" spans="31:31">
      <c r="AE53738" s="54"/>
    </row>
    <row r="53739" spans="31:31">
      <c r="AE53739" s="54"/>
    </row>
    <row r="53740" spans="31:31">
      <c r="AE53740" s="54"/>
    </row>
    <row r="53741" spans="31:31">
      <c r="AE53741" s="54"/>
    </row>
    <row r="53742" spans="31:31">
      <c r="AE53742" s="54"/>
    </row>
    <row r="53743" spans="31:31">
      <c r="AE53743" s="54"/>
    </row>
    <row r="53744" spans="31:31">
      <c r="AE53744" s="54"/>
    </row>
    <row r="53745" spans="31:31">
      <c r="AE53745" s="54"/>
    </row>
    <row r="53746" spans="31:31">
      <c r="AE53746" s="54"/>
    </row>
    <row r="53747" spans="31:31">
      <c r="AE53747" s="54"/>
    </row>
    <row r="53748" spans="31:31">
      <c r="AE53748" s="54"/>
    </row>
    <row r="53749" spans="31:31">
      <c r="AE53749" s="54"/>
    </row>
    <row r="53750" spans="31:31">
      <c r="AE53750" s="54"/>
    </row>
    <row r="53751" spans="31:31">
      <c r="AE53751" s="54"/>
    </row>
    <row r="53752" spans="31:31">
      <c r="AE53752" s="54"/>
    </row>
    <row r="53753" spans="31:31">
      <c r="AE53753" s="54"/>
    </row>
    <row r="53754" spans="31:31">
      <c r="AE53754" s="54"/>
    </row>
    <row r="53755" spans="31:31">
      <c r="AE53755" s="54"/>
    </row>
    <row r="53756" spans="31:31">
      <c r="AE53756" s="54"/>
    </row>
    <row r="53757" spans="31:31">
      <c r="AE53757" s="54"/>
    </row>
    <row r="53758" spans="31:31">
      <c r="AE53758" s="54"/>
    </row>
    <row r="53759" spans="31:31">
      <c r="AE53759" s="54"/>
    </row>
    <row r="53760" spans="31:31">
      <c r="AE53760" s="54"/>
    </row>
    <row r="53761" spans="31:31">
      <c r="AE53761" s="54"/>
    </row>
    <row r="53762" spans="31:31">
      <c r="AE53762" s="54"/>
    </row>
    <row r="53763" spans="31:31">
      <c r="AE53763" s="54"/>
    </row>
    <row r="53764" spans="31:31">
      <c r="AE53764" s="54"/>
    </row>
    <row r="53765" spans="31:31">
      <c r="AE53765" s="54"/>
    </row>
    <row r="53766" spans="31:31">
      <c r="AE53766" s="54"/>
    </row>
    <row r="53767" spans="31:31">
      <c r="AE53767" s="54"/>
    </row>
    <row r="53768" spans="31:31">
      <c r="AE53768" s="54"/>
    </row>
    <row r="53769" spans="31:31">
      <c r="AE53769" s="54"/>
    </row>
    <row r="53770" spans="31:31">
      <c r="AE53770" s="54"/>
    </row>
    <row r="53771" spans="31:31">
      <c r="AE53771" s="54"/>
    </row>
    <row r="53772" spans="31:31">
      <c r="AE53772" s="54"/>
    </row>
    <row r="53773" spans="31:31">
      <c r="AE53773" s="54"/>
    </row>
    <row r="53774" spans="31:31">
      <c r="AE53774" s="54"/>
    </row>
    <row r="53775" spans="31:31">
      <c r="AE53775" s="54"/>
    </row>
    <row r="53776" spans="31:31">
      <c r="AE53776" s="54"/>
    </row>
    <row r="53777" spans="31:31">
      <c r="AE53777" s="54"/>
    </row>
    <row r="53778" spans="31:31">
      <c r="AE53778" s="54"/>
    </row>
    <row r="53779" spans="31:31">
      <c r="AE53779" s="54"/>
    </row>
    <row r="53780" spans="31:31">
      <c r="AE53780" s="54"/>
    </row>
    <row r="53781" spans="31:31">
      <c r="AE53781" s="54"/>
    </row>
    <row r="53782" spans="31:31">
      <c r="AE53782" s="54"/>
    </row>
    <row r="53783" spans="31:31">
      <c r="AE53783" s="54"/>
    </row>
    <row r="53784" spans="31:31">
      <c r="AE53784" s="54"/>
    </row>
    <row r="53785" spans="31:31">
      <c r="AE53785" s="54"/>
    </row>
    <row r="53786" spans="31:31">
      <c r="AE53786" s="54"/>
    </row>
    <row r="53787" spans="31:31">
      <c r="AE53787" s="54"/>
    </row>
    <row r="53788" spans="31:31">
      <c r="AE53788" s="54"/>
    </row>
    <row r="53789" spans="31:31">
      <c r="AE53789" s="54"/>
    </row>
    <row r="53790" spans="31:31">
      <c r="AE53790" s="54"/>
    </row>
    <row r="53791" spans="31:31">
      <c r="AE53791" s="54"/>
    </row>
    <row r="53792" spans="31:31">
      <c r="AE53792" s="54"/>
    </row>
    <row r="53793" spans="31:31">
      <c r="AE53793" s="54"/>
    </row>
    <row r="53794" spans="31:31">
      <c r="AE53794" s="54"/>
    </row>
    <row r="53795" spans="31:31">
      <c r="AE53795" s="54"/>
    </row>
    <row r="53796" spans="31:31">
      <c r="AE53796" s="54"/>
    </row>
    <row r="53797" spans="31:31">
      <c r="AE53797" s="54"/>
    </row>
    <row r="53798" spans="31:31">
      <c r="AE53798" s="54"/>
    </row>
    <row r="53799" spans="31:31">
      <c r="AE53799" s="54"/>
    </row>
    <row r="53800" spans="31:31">
      <c r="AE53800" s="54"/>
    </row>
    <row r="53801" spans="31:31">
      <c r="AE53801" s="54"/>
    </row>
    <row r="53802" spans="31:31">
      <c r="AE53802" s="54"/>
    </row>
    <row r="53803" spans="31:31">
      <c r="AE53803" s="54"/>
    </row>
    <row r="53804" spans="31:31">
      <c r="AE53804" s="54"/>
    </row>
    <row r="53805" spans="31:31">
      <c r="AE53805" s="54"/>
    </row>
    <row r="53806" spans="31:31">
      <c r="AE53806" s="54"/>
    </row>
    <row r="53807" spans="31:31">
      <c r="AE53807" s="54"/>
    </row>
    <row r="53808" spans="31:31">
      <c r="AE53808" s="54"/>
    </row>
    <row r="53809" spans="31:31">
      <c r="AE53809" s="54"/>
    </row>
    <row r="53810" spans="31:31">
      <c r="AE53810" s="54"/>
    </row>
    <row r="53811" spans="31:31">
      <c r="AE53811" s="54"/>
    </row>
    <row r="53812" spans="31:31">
      <c r="AE53812" s="54"/>
    </row>
    <row r="53813" spans="31:31">
      <c r="AE53813" s="54"/>
    </row>
    <row r="53814" spans="31:31">
      <c r="AE53814" s="54"/>
    </row>
    <row r="53815" spans="31:31">
      <c r="AE53815" s="54"/>
    </row>
    <row r="53816" spans="31:31">
      <c r="AE53816" s="54"/>
    </row>
    <row r="53817" spans="31:31">
      <c r="AE53817" s="54"/>
    </row>
    <row r="53818" spans="31:31">
      <c r="AE53818" s="54"/>
    </row>
    <row r="53819" spans="31:31">
      <c r="AE53819" s="54"/>
    </row>
    <row r="53820" spans="31:31">
      <c r="AE53820" s="54"/>
    </row>
    <row r="53821" spans="31:31">
      <c r="AE53821" s="54"/>
    </row>
    <row r="53822" spans="31:31">
      <c r="AE53822" s="54"/>
    </row>
    <row r="53823" spans="31:31">
      <c r="AE53823" s="54"/>
    </row>
    <row r="53824" spans="31:31">
      <c r="AE53824" s="54"/>
    </row>
    <row r="53825" spans="31:31">
      <c r="AE53825" s="54"/>
    </row>
    <row r="53826" spans="31:31">
      <c r="AE53826" s="54"/>
    </row>
    <row r="53827" spans="31:31">
      <c r="AE53827" s="54"/>
    </row>
    <row r="53828" spans="31:31">
      <c r="AE53828" s="54"/>
    </row>
    <row r="53829" spans="31:31">
      <c r="AE53829" s="54"/>
    </row>
    <row r="53830" spans="31:31">
      <c r="AE53830" s="54"/>
    </row>
    <row r="53831" spans="31:31">
      <c r="AE53831" s="54"/>
    </row>
    <row r="53832" spans="31:31">
      <c r="AE53832" s="54"/>
    </row>
    <row r="53833" spans="31:31">
      <c r="AE53833" s="54"/>
    </row>
    <row r="53834" spans="31:31">
      <c r="AE53834" s="54"/>
    </row>
    <row r="53835" spans="31:31">
      <c r="AE53835" s="54"/>
    </row>
    <row r="53836" spans="31:31">
      <c r="AE53836" s="54"/>
    </row>
    <row r="53837" spans="31:31">
      <c r="AE53837" s="54"/>
    </row>
    <row r="53838" spans="31:31">
      <c r="AE53838" s="54"/>
    </row>
    <row r="53839" spans="31:31">
      <c r="AE53839" s="54"/>
    </row>
    <row r="53840" spans="31:31">
      <c r="AE53840" s="54"/>
    </row>
    <row r="53841" spans="31:31">
      <c r="AE53841" s="54"/>
    </row>
    <row r="53842" spans="31:31">
      <c r="AE53842" s="54"/>
    </row>
    <row r="53843" spans="31:31">
      <c r="AE53843" s="54"/>
    </row>
    <row r="53844" spans="31:31">
      <c r="AE53844" s="54"/>
    </row>
    <row r="53845" spans="31:31">
      <c r="AE53845" s="54"/>
    </row>
    <row r="53846" spans="31:31">
      <c r="AE53846" s="54"/>
    </row>
    <row r="53847" spans="31:31">
      <c r="AE53847" s="54"/>
    </row>
    <row r="53848" spans="31:31">
      <c r="AE53848" s="54"/>
    </row>
    <row r="53849" spans="31:31">
      <c r="AE53849" s="54"/>
    </row>
    <row r="53850" spans="31:31">
      <c r="AE53850" s="54"/>
    </row>
    <row r="53851" spans="31:31">
      <c r="AE53851" s="54"/>
    </row>
    <row r="53852" spans="31:31">
      <c r="AE53852" s="54"/>
    </row>
    <row r="53853" spans="31:31">
      <c r="AE53853" s="54"/>
    </row>
    <row r="53854" spans="31:31">
      <c r="AE53854" s="54"/>
    </row>
    <row r="53855" spans="31:31">
      <c r="AE53855" s="54"/>
    </row>
    <row r="53856" spans="31:31">
      <c r="AE53856" s="54"/>
    </row>
    <row r="53857" spans="31:31">
      <c r="AE53857" s="54"/>
    </row>
    <row r="53858" spans="31:31">
      <c r="AE53858" s="54"/>
    </row>
    <row r="53859" spans="31:31">
      <c r="AE53859" s="54"/>
    </row>
    <row r="53860" spans="31:31">
      <c r="AE53860" s="54"/>
    </row>
    <row r="53861" spans="31:31">
      <c r="AE53861" s="54"/>
    </row>
    <row r="53862" spans="31:31">
      <c r="AE53862" s="54"/>
    </row>
    <row r="53863" spans="31:31">
      <c r="AE53863" s="54"/>
    </row>
    <row r="53864" spans="31:31">
      <c r="AE53864" s="54"/>
    </row>
    <row r="53865" spans="31:31">
      <c r="AE53865" s="54"/>
    </row>
    <row r="53866" spans="31:31">
      <c r="AE53866" s="54"/>
    </row>
    <row r="53867" spans="31:31">
      <c r="AE53867" s="54"/>
    </row>
    <row r="53868" spans="31:31">
      <c r="AE53868" s="54"/>
    </row>
    <row r="53869" spans="31:31">
      <c r="AE53869" s="54"/>
    </row>
    <row r="53870" spans="31:31">
      <c r="AE53870" s="54"/>
    </row>
    <row r="53871" spans="31:31">
      <c r="AE53871" s="54"/>
    </row>
    <row r="53872" spans="31:31">
      <c r="AE53872" s="54"/>
    </row>
    <row r="53873" spans="31:31">
      <c r="AE53873" s="54"/>
    </row>
    <row r="53874" spans="31:31">
      <c r="AE53874" s="54"/>
    </row>
    <row r="53875" spans="31:31">
      <c r="AE53875" s="54"/>
    </row>
    <row r="53876" spans="31:31">
      <c r="AE53876" s="54"/>
    </row>
    <row r="53877" spans="31:31">
      <c r="AE53877" s="54"/>
    </row>
    <row r="53878" spans="31:31">
      <c r="AE53878" s="54"/>
    </row>
    <row r="53879" spans="31:31">
      <c r="AE53879" s="54"/>
    </row>
    <row r="53880" spans="31:31">
      <c r="AE53880" s="54"/>
    </row>
    <row r="53881" spans="31:31">
      <c r="AE53881" s="54"/>
    </row>
    <row r="53882" spans="31:31">
      <c r="AE53882" s="54"/>
    </row>
    <row r="53883" spans="31:31">
      <c r="AE53883" s="54"/>
    </row>
    <row r="53884" spans="31:31">
      <c r="AE53884" s="54"/>
    </row>
    <row r="53885" spans="31:31">
      <c r="AE53885" s="54"/>
    </row>
    <row r="53886" spans="31:31">
      <c r="AE53886" s="54"/>
    </row>
    <row r="53887" spans="31:31">
      <c r="AE53887" s="54"/>
    </row>
    <row r="53888" spans="31:31">
      <c r="AE53888" s="54"/>
    </row>
    <row r="53889" spans="31:31">
      <c r="AE53889" s="54"/>
    </row>
    <row r="53890" spans="31:31">
      <c r="AE53890" s="54"/>
    </row>
    <row r="53891" spans="31:31">
      <c r="AE53891" s="54"/>
    </row>
    <row r="53892" spans="31:31">
      <c r="AE53892" s="54"/>
    </row>
    <row r="53893" spans="31:31">
      <c r="AE53893" s="54"/>
    </row>
    <row r="53894" spans="31:31">
      <c r="AE53894" s="54"/>
    </row>
    <row r="53895" spans="31:31">
      <c r="AE53895" s="54"/>
    </row>
    <row r="53896" spans="31:31">
      <c r="AE53896" s="54"/>
    </row>
    <row r="53897" spans="31:31">
      <c r="AE53897" s="54"/>
    </row>
    <row r="53898" spans="31:31">
      <c r="AE53898" s="54"/>
    </row>
    <row r="53899" spans="31:31">
      <c r="AE53899" s="54"/>
    </row>
    <row r="53900" spans="31:31">
      <c r="AE53900" s="54"/>
    </row>
    <row r="53901" spans="31:31">
      <c r="AE53901" s="54"/>
    </row>
    <row r="53902" spans="31:31">
      <c r="AE53902" s="54"/>
    </row>
    <row r="53903" spans="31:31">
      <c r="AE53903" s="54"/>
    </row>
    <row r="53904" spans="31:31">
      <c r="AE53904" s="54"/>
    </row>
    <row r="53905" spans="31:31">
      <c r="AE53905" s="54"/>
    </row>
    <row r="53906" spans="31:31">
      <c r="AE53906" s="54"/>
    </row>
    <row r="53907" spans="31:31">
      <c r="AE53907" s="54"/>
    </row>
    <row r="53908" spans="31:31">
      <c r="AE53908" s="54"/>
    </row>
    <row r="53909" spans="31:31">
      <c r="AE53909" s="54"/>
    </row>
    <row r="53910" spans="31:31">
      <c r="AE53910" s="54"/>
    </row>
    <row r="53911" spans="31:31">
      <c r="AE53911" s="54"/>
    </row>
    <row r="53912" spans="31:31">
      <c r="AE53912" s="54"/>
    </row>
    <row r="53913" spans="31:31">
      <c r="AE53913" s="54"/>
    </row>
    <row r="53914" spans="31:31">
      <c r="AE53914" s="54"/>
    </row>
    <row r="53915" spans="31:31">
      <c r="AE53915" s="54"/>
    </row>
    <row r="53916" spans="31:31">
      <c r="AE53916" s="54"/>
    </row>
    <row r="53917" spans="31:31">
      <c r="AE53917" s="54"/>
    </row>
    <row r="53918" spans="31:31">
      <c r="AE53918" s="54"/>
    </row>
    <row r="53919" spans="31:31">
      <c r="AE53919" s="54"/>
    </row>
    <row r="53920" spans="31:31">
      <c r="AE53920" s="54"/>
    </row>
    <row r="53921" spans="31:31">
      <c r="AE53921" s="54"/>
    </row>
    <row r="53922" spans="31:31">
      <c r="AE53922" s="54"/>
    </row>
    <row r="53923" spans="31:31">
      <c r="AE53923" s="54"/>
    </row>
    <row r="53924" spans="31:31">
      <c r="AE53924" s="54"/>
    </row>
    <row r="53925" spans="31:31">
      <c r="AE53925" s="54"/>
    </row>
    <row r="53926" spans="31:31">
      <c r="AE53926" s="54"/>
    </row>
    <row r="53927" spans="31:31">
      <c r="AE53927" s="54"/>
    </row>
    <row r="53928" spans="31:31">
      <c r="AE53928" s="54"/>
    </row>
    <row r="53929" spans="31:31">
      <c r="AE53929" s="54"/>
    </row>
    <row r="53930" spans="31:31">
      <c r="AE53930" s="54"/>
    </row>
    <row r="53931" spans="31:31">
      <c r="AE53931" s="54"/>
    </row>
    <row r="53932" spans="31:31">
      <c r="AE53932" s="54"/>
    </row>
    <row r="53933" spans="31:31">
      <c r="AE53933" s="54"/>
    </row>
    <row r="53934" spans="31:31">
      <c r="AE53934" s="54"/>
    </row>
    <row r="53935" spans="31:31">
      <c r="AE53935" s="54"/>
    </row>
    <row r="53936" spans="31:31">
      <c r="AE53936" s="54"/>
    </row>
    <row r="53937" spans="31:31">
      <c r="AE53937" s="54"/>
    </row>
    <row r="53938" spans="31:31">
      <c r="AE53938" s="54"/>
    </row>
    <row r="53939" spans="31:31">
      <c r="AE53939" s="54"/>
    </row>
    <row r="53940" spans="31:31">
      <c r="AE53940" s="54"/>
    </row>
    <row r="53941" spans="31:31">
      <c r="AE53941" s="54"/>
    </row>
    <row r="53942" spans="31:31">
      <c r="AE53942" s="54"/>
    </row>
    <row r="53943" spans="31:31">
      <c r="AE53943" s="54"/>
    </row>
    <row r="53944" spans="31:31">
      <c r="AE53944" s="54"/>
    </row>
    <row r="53945" spans="31:31">
      <c r="AE53945" s="54"/>
    </row>
    <row r="53946" spans="31:31">
      <c r="AE53946" s="54"/>
    </row>
    <row r="53947" spans="31:31">
      <c r="AE53947" s="54"/>
    </row>
    <row r="53948" spans="31:31">
      <c r="AE53948" s="54"/>
    </row>
    <row r="53949" spans="31:31">
      <c r="AE53949" s="54"/>
    </row>
    <row r="53950" spans="31:31">
      <c r="AE53950" s="54"/>
    </row>
    <row r="53951" spans="31:31">
      <c r="AE53951" s="54"/>
    </row>
    <row r="53952" spans="31:31">
      <c r="AE53952" s="54"/>
    </row>
    <row r="53953" spans="31:31">
      <c r="AE53953" s="54"/>
    </row>
    <row r="53954" spans="31:31">
      <c r="AE53954" s="54"/>
    </row>
    <row r="53955" spans="31:31">
      <c r="AE53955" s="54"/>
    </row>
    <row r="53956" spans="31:31">
      <c r="AE53956" s="54"/>
    </row>
    <row r="53957" spans="31:31">
      <c r="AE53957" s="54"/>
    </row>
    <row r="53958" spans="31:31">
      <c r="AE53958" s="54"/>
    </row>
    <row r="53959" spans="31:31">
      <c r="AE53959" s="54"/>
    </row>
    <row r="53960" spans="31:31">
      <c r="AE53960" s="54"/>
    </row>
    <row r="53961" spans="31:31">
      <c r="AE53961" s="54"/>
    </row>
    <row r="53962" spans="31:31">
      <c r="AE53962" s="54"/>
    </row>
    <row r="53963" spans="31:31">
      <c r="AE53963" s="54"/>
    </row>
    <row r="53964" spans="31:31">
      <c r="AE53964" s="54"/>
    </row>
    <row r="53965" spans="31:31">
      <c r="AE53965" s="54"/>
    </row>
    <row r="53966" spans="31:31">
      <c r="AE53966" s="54"/>
    </row>
    <row r="53967" spans="31:31">
      <c r="AE53967" s="54"/>
    </row>
    <row r="53968" spans="31:31">
      <c r="AE53968" s="54"/>
    </row>
    <row r="53969" spans="31:31">
      <c r="AE53969" s="54"/>
    </row>
    <row r="53970" spans="31:31">
      <c r="AE53970" s="54"/>
    </row>
    <row r="53971" spans="31:31">
      <c r="AE53971" s="54"/>
    </row>
    <row r="53972" spans="31:31">
      <c r="AE53972" s="54"/>
    </row>
    <row r="53973" spans="31:31">
      <c r="AE53973" s="54"/>
    </row>
    <row r="53974" spans="31:31">
      <c r="AE53974" s="54"/>
    </row>
    <row r="53975" spans="31:31">
      <c r="AE53975" s="54"/>
    </row>
    <row r="53976" spans="31:31">
      <c r="AE53976" s="54"/>
    </row>
    <row r="53977" spans="31:31">
      <c r="AE53977" s="54"/>
    </row>
    <row r="53978" spans="31:31">
      <c r="AE53978" s="54"/>
    </row>
    <row r="53979" spans="31:31">
      <c r="AE53979" s="54"/>
    </row>
    <row r="53980" spans="31:31">
      <c r="AE53980" s="54"/>
    </row>
    <row r="53981" spans="31:31">
      <c r="AE53981" s="54"/>
    </row>
    <row r="53982" spans="31:31">
      <c r="AE53982" s="54"/>
    </row>
    <row r="53983" spans="31:31">
      <c r="AE53983" s="54"/>
    </row>
    <row r="53984" spans="31:31">
      <c r="AE53984" s="54"/>
    </row>
    <row r="53985" spans="31:31">
      <c r="AE53985" s="54"/>
    </row>
    <row r="53986" spans="31:31">
      <c r="AE53986" s="54"/>
    </row>
    <row r="53987" spans="31:31">
      <c r="AE53987" s="54"/>
    </row>
    <row r="53988" spans="31:31">
      <c r="AE53988" s="54"/>
    </row>
    <row r="53989" spans="31:31">
      <c r="AE53989" s="54"/>
    </row>
    <row r="53990" spans="31:31">
      <c r="AE53990" s="54"/>
    </row>
    <row r="53991" spans="31:31">
      <c r="AE53991" s="54"/>
    </row>
    <row r="53992" spans="31:31">
      <c r="AE53992" s="54"/>
    </row>
    <row r="53993" spans="31:31">
      <c r="AE53993" s="54"/>
    </row>
    <row r="53994" spans="31:31">
      <c r="AE53994" s="54"/>
    </row>
    <row r="53995" spans="31:31">
      <c r="AE53995" s="54"/>
    </row>
    <row r="53996" spans="31:31">
      <c r="AE53996" s="54"/>
    </row>
    <row r="53997" spans="31:31">
      <c r="AE53997" s="54"/>
    </row>
    <row r="53998" spans="31:31">
      <c r="AE53998" s="54"/>
    </row>
    <row r="53999" spans="31:31">
      <c r="AE53999" s="54"/>
    </row>
    <row r="54000" spans="31:31">
      <c r="AE54000" s="54"/>
    </row>
    <row r="54001" spans="31:31">
      <c r="AE54001" s="54"/>
    </row>
    <row r="54002" spans="31:31">
      <c r="AE54002" s="54"/>
    </row>
    <row r="54003" spans="31:31">
      <c r="AE54003" s="54"/>
    </row>
    <row r="54004" spans="31:31">
      <c r="AE54004" s="54"/>
    </row>
    <row r="54005" spans="31:31">
      <c r="AE54005" s="54"/>
    </row>
    <row r="54006" spans="31:31">
      <c r="AE54006" s="54"/>
    </row>
    <row r="54007" spans="31:31">
      <c r="AE54007" s="54"/>
    </row>
    <row r="54008" spans="31:31">
      <c r="AE54008" s="54"/>
    </row>
    <row r="54009" spans="31:31">
      <c r="AE54009" s="54"/>
    </row>
    <row r="54010" spans="31:31">
      <c r="AE54010" s="54"/>
    </row>
    <row r="54011" spans="31:31">
      <c r="AE54011" s="54"/>
    </row>
    <row r="54012" spans="31:31">
      <c r="AE54012" s="54"/>
    </row>
    <row r="54013" spans="31:31">
      <c r="AE54013" s="54"/>
    </row>
    <row r="54014" spans="31:31">
      <c r="AE54014" s="54"/>
    </row>
    <row r="54015" spans="31:31">
      <c r="AE54015" s="54"/>
    </row>
    <row r="54016" spans="31:31">
      <c r="AE54016" s="54"/>
    </row>
    <row r="54017" spans="31:31">
      <c r="AE54017" s="54"/>
    </row>
    <row r="54018" spans="31:31">
      <c r="AE54018" s="54"/>
    </row>
    <row r="54019" spans="31:31">
      <c r="AE54019" s="54"/>
    </row>
    <row r="54020" spans="31:31">
      <c r="AE54020" s="54"/>
    </row>
    <row r="54021" spans="31:31">
      <c r="AE54021" s="54"/>
    </row>
    <row r="54022" spans="31:31">
      <c r="AE54022" s="54"/>
    </row>
    <row r="54023" spans="31:31">
      <c r="AE54023" s="54"/>
    </row>
    <row r="54024" spans="31:31">
      <c r="AE54024" s="54"/>
    </row>
    <row r="54025" spans="31:31">
      <c r="AE54025" s="54"/>
    </row>
    <row r="54026" spans="31:31">
      <c r="AE54026" s="54"/>
    </row>
    <row r="54027" spans="31:31">
      <c r="AE54027" s="54"/>
    </row>
    <row r="54028" spans="31:31">
      <c r="AE54028" s="54"/>
    </row>
    <row r="54029" spans="31:31">
      <c r="AE54029" s="54"/>
    </row>
    <row r="54030" spans="31:31">
      <c r="AE54030" s="54"/>
    </row>
    <row r="54031" spans="31:31">
      <c r="AE54031" s="54"/>
    </row>
    <row r="54032" spans="31:31">
      <c r="AE54032" s="54"/>
    </row>
    <row r="54033" spans="31:31">
      <c r="AE54033" s="54"/>
    </row>
    <row r="54034" spans="31:31">
      <c r="AE54034" s="54"/>
    </row>
    <row r="54035" spans="31:31">
      <c r="AE54035" s="54"/>
    </row>
    <row r="54036" spans="31:31">
      <c r="AE54036" s="54"/>
    </row>
    <row r="54037" spans="31:31">
      <c r="AE54037" s="54"/>
    </row>
    <row r="54038" spans="31:31">
      <c r="AE54038" s="54"/>
    </row>
    <row r="54039" spans="31:31">
      <c r="AE54039" s="54"/>
    </row>
    <row r="54040" spans="31:31">
      <c r="AE54040" s="54"/>
    </row>
    <row r="54041" spans="31:31">
      <c r="AE54041" s="54"/>
    </row>
    <row r="54042" spans="31:31">
      <c r="AE54042" s="54"/>
    </row>
    <row r="54043" spans="31:31">
      <c r="AE54043" s="54"/>
    </row>
    <row r="54044" spans="31:31">
      <c r="AE54044" s="54"/>
    </row>
    <row r="54045" spans="31:31">
      <c r="AE54045" s="54"/>
    </row>
    <row r="54046" spans="31:31">
      <c r="AE54046" s="54"/>
    </row>
    <row r="54047" spans="31:31">
      <c r="AE54047" s="54"/>
    </row>
    <row r="54048" spans="31:31">
      <c r="AE54048" s="54"/>
    </row>
    <row r="54049" spans="31:31">
      <c r="AE54049" s="54"/>
    </row>
    <row r="54050" spans="31:31">
      <c r="AE54050" s="54"/>
    </row>
    <row r="54051" spans="31:31">
      <c r="AE54051" s="54"/>
    </row>
    <row r="54052" spans="31:31">
      <c r="AE54052" s="54"/>
    </row>
    <row r="54053" spans="31:31">
      <c r="AE54053" s="54"/>
    </row>
    <row r="54054" spans="31:31">
      <c r="AE54054" s="54"/>
    </row>
    <row r="54055" spans="31:31">
      <c r="AE54055" s="54"/>
    </row>
    <row r="54056" spans="31:31">
      <c r="AE54056" s="54"/>
    </row>
    <row r="54057" spans="31:31">
      <c r="AE54057" s="54"/>
    </row>
    <row r="54058" spans="31:31">
      <c r="AE54058" s="54"/>
    </row>
    <row r="54059" spans="31:31">
      <c r="AE54059" s="54"/>
    </row>
    <row r="54060" spans="31:31">
      <c r="AE54060" s="54"/>
    </row>
    <row r="54061" spans="31:31">
      <c r="AE54061" s="54"/>
    </row>
    <row r="54062" spans="31:31">
      <c r="AE54062" s="54"/>
    </row>
    <row r="54063" spans="31:31">
      <c r="AE54063" s="54"/>
    </row>
    <row r="54064" spans="31:31">
      <c r="AE54064" s="54"/>
    </row>
    <row r="54065" spans="31:31">
      <c r="AE54065" s="54"/>
    </row>
    <row r="54066" spans="31:31">
      <c r="AE54066" s="54"/>
    </row>
    <row r="54067" spans="31:31">
      <c r="AE54067" s="54"/>
    </row>
    <row r="54068" spans="31:31">
      <c r="AE54068" s="54"/>
    </row>
    <row r="54069" spans="31:31">
      <c r="AE54069" s="54"/>
    </row>
    <row r="54070" spans="31:31">
      <c r="AE54070" s="54"/>
    </row>
    <row r="54071" spans="31:31">
      <c r="AE54071" s="54"/>
    </row>
    <row r="54072" spans="31:31">
      <c r="AE54072" s="54"/>
    </row>
    <row r="54073" spans="31:31">
      <c r="AE54073" s="54"/>
    </row>
    <row r="54074" spans="31:31">
      <c r="AE54074" s="54"/>
    </row>
    <row r="54075" spans="31:31">
      <c r="AE54075" s="54"/>
    </row>
    <row r="54076" spans="31:31">
      <c r="AE54076" s="54"/>
    </row>
    <row r="54077" spans="31:31">
      <c r="AE54077" s="54"/>
    </row>
    <row r="54078" spans="31:31">
      <c r="AE54078" s="54"/>
    </row>
    <row r="54079" spans="31:31">
      <c r="AE54079" s="54"/>
    </row>
    <row r="54080" spans="31:31">
      <c r="AE54080" s="54"/>
    </row>
    <row r="54081" spans="31:31">
      <c r="AE54081" s="54"/>
    </row>
    <row r="54082" spans="31:31">
      <c r="AE54082" s="54"/>
    </row>
    <row r="54083" spans="31:31">
      <c r="AE54083" s="54"/>
    </row>
    <row r="54084" spans="31:31">
      <c r="AE54084" s="54"/>
    </row>
    <row r="54085" spans="31:31">
      <c r="AE54085" s="54"/>
    </row>
    <row r="54086" spans="31:31">
      <c r="AE54086" s="54"/>
    </row>
    <row r="54087" spans="31:31">
      <c r="AE54087" s="54"/>
    </row>
    <row r="54088" spans="31:31">
      <c r="AE54088" s="54"/>
    </row>
    <row r="54089" spans="31:31">
      <c r="AE54089" s="54"/>
    </row>
    <row r="54090" spans="31:31">
      <c r="AE54090" s="54"/>
    </row>
    <row r="54091" spans="31:31">
      <c r="AE54091" s="54"/>
    </row>
    <row r="54092" spans="31:31">
      <c r="AE54092" s="54"/>
    </row>
    <row r="54093" spans="31:31">
      <c r="AE54093" s="54"/>
    </row>
    <row r="54094" spans="31:31">
      <c r="AE54094" s="54"/>
    </row>
    <row r="54095" spans="31:31">
      <c r="AE54095" s="54"/>
    </row>
    <row r="54096" spans="31:31">
      <c r="AE54096" s="54"/>
    </row>
    <row r="54097" spans="31:31">
      <c r="AE54097" s="54"/>
    </row>
    <row r="54098" spans="31:31">
      <c r="AE54098" s="54"/>
    </row>
    <row r="54099" spans="31:31">
      <c r="AE54099" s="54"/>
    </row>
    <row r="54100" spans="31:31">
      <c r="AE54100" s="54"/>
    </row>
    <row r="54101" spans="31:31">
      <c r="AE54101" s="54"/>
    </row>
    <row r="54102" spans="31:31">
      <c r="AE54102" s="54"/>
    </row>
    <row r="54103" spans="31:31">
      <c r="AE54103" s="54"/>
    </row>
    <row r="54104" spans="31:31">
      <c r="AE54104" s="54"/>
    </row>
    <row r="54105" spans="31:31">
      <c r="AE54105" s="54"/>
    </row>
    <row r="54106" spans="31:31">
      <c r="AE54106" s="54"/>
    </row>
    <row r="54107" spans="31:31">
      <c r="AE54107" s="54"/>
    </row>
    <row r="54108" spans="31:31">
      <c r="AE54108" s="54"/>
    </row>
    <row r="54109" spans="31:31">
      <c r="AE54109" s="54"/>
    </row>
    <row r="54110" spans="31:31">
      <c r="AE54110" s="54"/>
    </row>
    <row r="54111" spans="31:31">
      <c r="AE54111" s="54"/>
    </row>
    <row r="54112" spans="31:31">
      <c r="AE54112" s="54"/>
    </row>
    <row r="54113" spans="31:31">
      <c r="AE54113" s="54"/>
    </row>
    <row r="54114" spans="31:31">
      <c r="AE54114" s="54"/>
    </row>
    <row r="54115" spans="31:31">
      <c r="AE54115" s="54"/>
    </row>
    <row r="54116" spans="31:31">
      <c r="AE54116" s="54"/>
    </row>
    <row r="54117" spans="31:31">
      <c r="AE54117" s="54"/>
    </row>
    <row r="54118" spans="31:31">
      <c r="AE54118" s="54"/>
    </row>
    <row r="54119" spans="31:31">
      <c r="AE54119" s="54"/>
    </row>
    <row r="54120" spans="31:31">
      <c r="AE54120" s="54"/>
    </row>
    <row r="54121" spans="31:31">
      <c r="AE54121" s="54"/>
    </row>
    <row r="54122" spans="31:31">
      <c r="AE54122" s="54"/>
    </row>
    <row r="54123" spans="31:31">
      <c r="AE54123" s="54"/>
    </row>
    <row r="54124" spans="31:31">
      <c r="AE54124" s="54"/>
    </row>
    <row r="54125" spans="31:31">
      <c r="AE54125" s="54"/>
    </row>
    <row r="54126" spans="31:31">
      <c r="AE54126" s="54"/>
    </row>
    <row r="54127" spans="31:31">
      <c r="AE54127" s="54"/>
    </row>
    <row r="54128" spans="31:31">
      <c r="AE54128" s="54"/>
    </row>
    <row r="54129" spans="31:31">
      <c r="AE54129" s="54"/>
    </row>
    <row r="54130" spans="31:31">
      <c r="AE54130" s="54"/>
    </row>
    <row r="54131" spans="31:31">
      <c r="AE54131" s="54"/>
    </row>
    <row r="54132" spans="31:31">
      <c r="AE54132" s="54"/>
    </row>
    <row r="54133" spans="31:31">
      <c r="AE54133" s="54"/>
    </row>
    <row r="54134" spans="31:31">
      <c r="AE54134" s="54"/>
    </row>
    <row r="54135" spans="31:31">
      <c r="AE54135" s="54"/>
    </row>
    <row r="54136" spans="31:31">
      <c r="AE54136" s="54"/>
    </row>
    <row r="54137" spans="31:31">
      <c r="AE54137" s="54"/>
    </row>
    <row r="54138" spans="31:31">
      <c r="AE54138" s="54"/>
    </row>
    <row r="54139" spans="31:31">
      <c r="AE54139" s="54"/>
    </row>
    <row r="54140" spans="31:31">
      <c r="AE54140" s="54"/>
    </row>
    <row r="54141" spans="31:31">
      <c r="AE54141" s="54"/>
    </row>
    <row r="54142" spans="31:31">
      <c r="AE54142" s="54"/>
    </row>
    <row r="54143" spans="31:31">
      <c r="AE54143" s="54"/>
    </row>
    <row r="54144" spans="31:31">
      <c r="AE54144" s="54"/>
    </row>
    <row r="54145" spans="31:31">
      <c r="AE54145" s="54"/>
    </row>
    <row r="54146" spans="31:31">
      <c r="AE54146" s="54"/>
    </row>
    <row r="54147" spans="31:31">
      <c r="AE54147" s="54"/>
    </row>
    <row r="54148" spans="31:31">
      <c r="AE54148" s="54"/>
    </row>
    <row r="54149" spans="31:31">
      <c r="AE54149" s="54"/>
    </row>
    <row r="54150" spans="31:31">
      <c r="AE54150" s="54"/>
    </row>
    <row r="54151" spans="31:31">
      <c r="AE54151" s="54"/>
    </row>
    <row r="54152" spans="31:31">
      <c r="AE54152" s="54"/>
    </row>
    <row r="54153" spans="31:31">
      <c r="AE54153" s="54"/>
    </row>
    <row r="54154" spans="31:31">
      <c r="AE54154" s="54"/>
    </row>
    <row r="54155" spans="31:31">
      <c r="AE54155" s="54"/>
    </row>
    <row r="54156" spans="31:31">
      <c r="AE54156" s="54"/>
    </row>
    <row r="54157" spans="31:31">
      <c r="AE54157" s="54"/>
    </row>
    <row r="54158" spans="31:31">
      <c r="AE54158" s="54"/>
    </row>
    <row r="54159" spans="31:31">
      <c r="AE54159" s="54"/>
    </row>
    <row r="54160" spans="31:31">
      <c r="AE54160" s="54"/>
    </row>
    <row r="54161" spans="31:31">
      <c r="AE54161" s="54"/>
    </row>
    <row r="54162" spans="31:31">
      <c r="AE54162" s="54"/>
    </row>
    <row r="54163" spans="31:31">
      <c r="AE54163" s="54"/>
    </row>
    <row r="54164" spans="31:31">
      <c r="AE54164" s="54"/>
    </row>
    <row r="54165" spans="31:31">
      <c r="AE54165" s="54"/>
    </row>
    <row r="54166" spans="31:31">
      <c r="AE54166" s="54"/>
    </row>
    <row r="54167" spans="31:31">
      <c r="AE54167" s="54"/>
    </row>
    <row r="54168" spans="31:31">
      <c r="AE54168" s="54"/>
    </row>
    <row r="54169" spans="31:31">
      <c r="AE54169" s="54"/>
    </row>
    <row r="54170" spans="31:31">
      <c r="AE54170" s="54"/>
    </row>
    <row r="54171" spans="31:31">
      <c r="AE54171" s="54"/>
    </row>
    <row r="54172" spans="31:31">
      <c r="AE54172" s="54"/>
    </row>
    <row r="54173" spans="31:31">
      <c r="AE54173" s="54"/>
    </row>
    <row r="54174" spans="31:31">
      <c r="AE54174" s="54"/>
    </row>
    <row r="54175" spans="31:31">
      <c r="AE54175" s="54"/>
    </row>
    <row r="54176" spans="31:31">
      <c r="AE54176" s="54"/>
    </row>
    <row r="54177" spans="31:31">
      <c r="AE54177" s="54"/>
    </row>
    <row r="54178" spans="31:31">
      <c r="AE54178" s="54"/>
    </row>
    <row r="54179" spans="31:31">
      <c r="AE54179" s="54"/>
    </row>
    <row r="54180" spans="31:31">
      <c r="AE54180" s="54"/>
    </row>
    <row r="54181" spans="31:31">
      <c r="AE54181" s="54"/>
    </row>
    <row r="54182" spans="31:31">
      <c r="AE54182" s="54"/>
    </row>
    <row r="54183" spans="31:31">
      <c r="AE54183" s="54"/>
    </row>
    <row r="54184" spans="31:31">
      <c r="AE54184" s="54"/>
    </row>
    <row r="54185" spans="31:31">
      <c r="AE54185" s="54"/>
    </row>
    <row r="54186" spans="31:31">
      <c r="AE54186" s="54"/>
    </row>
    <row r="54187" spans="31:31">
      <c r="AE54187" s="54"/>
    </row>
    <row r="54188" spans="31:31">
      <c r="AE54188" s="54"/>
    </row>
    <row r="54189" spans="31:31">
      <c r="AE54189" s="54"/>
    </row>
    <row r="54190" spans="31:31">
      <c r="AE54190" s="54"/>
    </row>
    <row r="54191" spans="31:31">
      <c r="AE54191" s="54"/>
    </row>
    <row r="54192" spans="31:31">
      <c r="AE54192" s="54"/>
    </row>
    <row r="54193" spans="31:31">
      <c r="AE54193" s="54"/>
    </row>
    <row r="54194" spans="31:31">
      <c r="AE54194" s="54"/>
    </row>
    <row r="54195" spans="31:31">
      <c r="AE54195" s="54"/>
    </row>
    <row r="54196" spans="31:31">
      <c r="AE54196" s="54"/>
    </row>
    <row r="54197" spans="31:31">
      <c r="AE54197" s="54"/>
    </row>
    <row r="54198" spans="31:31">
      <c r="AE54198" s="54"/>
    </row>
    <row r="54199" spans="31:31">
      <c r="AE54199" s="54"/>
    </row>
    <row r="54200" spans="31:31">
      <c r="AE54200" s="54"/>
    </row>
    <row r="54201" spans="31:31">
      <c r="AE54201" s="54"/>
    </row>
    <row r="54202" spans="31:31">
      <c r="AE54202" s="54"/>
    </row>
    <row r="54203" spans="31:31">
      <c r="AE54203" s="54"/>
    </row>
    <row r="54204" spans="31:31">
      <c r="AE54204" s="54"/>
    </row>
    <row r="54205" spans="31:31">
      <c r="AE54205" s="54"/>
    </row>
    <row r="54206" spans="31:31">
      <c r="AE54206" s="54"/>
    </row>
    <row r="54207" spans="31:31">
      <c r="AE54207" s="54"/>
    </row>
    <row r="54208" spans="31:31">
      <c r="AE54208" s="54"/>
    </row>
    <row r="54209" spans="31:31">
      <c r="AE54209" s="54"/>
    </row>
    <row r="54210" spans="31:31">
      <c r="AE54210" s="54"/>
    </row>
    <row r="54211" spans="31:31">
      <c r="AE54211" s="54"/>
    </row>
    <row r="54212" spans="31:31">
      <c r="AE54212" s="54"/>
    </row>
    <row r="54213" spans="31:31">
      <c r="AE54213" s="54"/>
    </row>
    <row r="54214" spans="31:31">
      <c r="AE54214" s="54"/>
    </row>
    <row r="54215" spans="31:31">
      <c r="AE54215" s="54"/>
    </row>
    <row r="54216" spans="31:31">
      <c r="AE54216" s="54"/>
    </row>
    <row r="54217" spans="31:31">
      <c r="AE54217" s="54"/>
    </row>
    <row r="54218" spans="31:31">
      <c r="AE54218" s="54"/>
    </row>
    <row r="54219" spans="31:31">
      <c r="AE54219" s="54"/>
    </row>
    <row r="54220" spans="31:31">
      <c r="AE54220" s="54"/>
    </row>
    <row r="54221" spans="31:31">
      <c r="AE54221" s="54"/>
    </row>
    <row r="54222" spans="31:31">
      <c r="AE54222" s="54"/>
    </row>
    <row r="54223" spans="31:31">
      <c r="AE54223" s="54"/>
    </row>
    <row r="54224" spans="31:31">
      <c r="AE54224" s="54"/>
    </row>
    <row r="54225" spans="31:31">
      <c r="AE54225" s="54"/>
    </row>
    <row r="54226" spans="31:31">
      <c r="AE54226" s="54"/>
    </row>
    <row r="54227" spans="31:31">
      <c r="AE54227" s="54"/>
    </row>
    <row r="54228" spans="31:31">
      <c r="AE54228" s="54"/>
    </row>
    <row r="54229" spans="31:31">
      <c r="AE54229" s="54"/>
    </row>
    <row r="54230" spans="31:31">
      <c r="AE54230" s="54"/>
    </row>
    <row r="54231" spans="31:31">
      <c r="AE54231" s="54"/>
    </row>
    <row r="54232" spans="31:31">
      <c r="AE54232" s="54"/>
    </row>
    <row r="54233" spans="31:31">
      <c r="AE54233" s="54"/>
    </row>
    <row r="54234" spans="31:31">
      <c r="AE54234" s="54"/>
    </row>
    <row r="54235" spans="31:31">
      <c r="AE54235" s="54"/>
    </row>
    <row r="54236" spans="31:31">
      <c r="AE54236" s="54"/>
    </row>
    <row r="54237" spans="31:31">
      <c r="AE54237" s="54"/>
    </row>
    <row r="54238" spans="31:31">
      <c r="AE54238" s="54"/>
    </row>
    <row r="54239" spans="31:31">
      <c r="AE54239" s="54"/>
    </row>
    <row r="54240" spans="31:31">
      <c r="AE54240" s="54"/>
    </row>
    <row r="54241" spans="31:31">
      <c r="AE54241" s="54"/>
    </row>
    <row r="54242" spans="31:31">
      <c r="AE54242" s="54"/>
    </row>
    <row r="54243" spans="31:31">
      <c r="AE54243" s="54"/>
    </row>
    <row r="54244" spans="31:31">
      <c r="AE54244" s="54"/>
    </row>
    <row r="54245" spans="31:31">
      <c r="AE54245" s="54"/>
    </row>
    <row r="54246" spans="31:31">
      <c r="AE54246" s="54"/>
    </row>
    <row r="54247" spans="31:31">
      <c r="AE54247" s="54"/>
    </row>
    <row r="54248" spans="31:31">
      <c r="AE54248" s="54"/>
    </row>
    <row r="54249" spans="31:31">
      <c r="AE54249" s="54"/>
    </row>
    <row r="54250" spans="31:31">
      <c r="AE54250" s="54"/>
    </row>
    <row r="54251" spans="31:31">
      <c r="AE54251" s="54"/>
    </row>
    <row r="54252" spans="31:31">
      <c r="AE54252" s="54"/>
    </row>
    <row r="54253" spans="31:31">
      <c r="AE54253" s="54"/>
    </row>
    <row r="54254" spans="31:31">
      <c r="AE54254" s="54"/>
    </row>
    <row r="54255" spans="31:31">
      <c r="AE54255" s="54"/>
    </row>
    <row r="54256" spans="31:31">
      <c r="AE54256" s="54"/>
    </row>
    <row r="54257" spans="31:31">
      <c r="AE54257" s="54"/>
    </row>
    <row r="54258" spans="31:31">
      <c r="AE54258" s="54"/>
    </row>
    <row r="54259" spans="31:31">
      <c r="AE54259" s="54"/>
    </row>
    <row r="54260" spans="31:31">
      <c r="AE54260" s="54"/>
    </row>
    <row r="54261" spans="31:31">
      <c r="AE54261" s="54"/>
    </row>
    <row r="54262" spans="31:31">
      <c r="AE54262" s="54"/>
    </row>
    <row r="54263" spans="31:31">
      <c r="AE54263" s="54"/>
    </row>
    <row r="54264" spans="31:31">
      <c r="AE54264" s="54"/>
    </row>
    <row r="54265" spans="31:31">
      <c r="AE54265" s="54"/>
    </row>
    <row r="54266" spans="31:31">
      <c r="AE54266" s="54"/>
    </row>
    <row r="54267" spans="31:31">
      <c r="AE54267" s="54"/>
    </row>
    <row r="54268" spans="31:31">
      <c r="AE54268" s="54"/>
    </row>
    <row r="54269" spans="31:31">
      <c r="AE54269" s="54"/>
    </row>
    <row r="54270" spans="31:31">
      <c r="AE54270" s="54"/>
    </row>
    <row r="54271" spans="31:31">
      <c r="AE54271" s="54"/>
    </row>
    <row r="54272" spans="31:31">
      <c r="AE54272" s="54"/>
    </row>
    <row r="54273" spans="31:31">
      <c r="AE54273" s="54"/>
    </row>
    <row r="54274" spans="31:31">
      <c r="AE54274" s="54"/>
    </row>
    <row r="54275" spans="31:31">
      <c r="AE54275" s="54"/>
    </row>
    <row r="54276" spans="31:31">
      <c r="AE54276" s="54"/>
    </row>
    <row r="54277" spans="31:31">
      <c r="AE54277" s="54"/>
    </row>
    <row r="54278" spans="31:31">
      <c r="AE54278" s="54"/>
    </row>
    <row r="54279" spans="31:31">
      <c r="AE54279" s="54"/>
    </row>
    <row r="54280" spans="31:31">
      <c r="AE54280" s="54"/>
    </row>
    <row r="54281" spans="31:31">
      <c r="AE54281" s="54"/>
    </row>
    <row r="54282" spans="31:31">
      <c r="AE54282" s="54"/>
    </row>
    <row r="54283" spans="31:31">
      <c r="AE54283" s="54"/>
    </row>
    <row r="54284" spans="31:31">
      <c r="AE54284" s="54"/>
    </row>
    <row r="54285" spans="31:31">
      <c r="AE54285" s="54"/>
    </row>
    <row r="54286" spans="31:31">
      <c r="AE54286" s="54"/>
    </row>
    <row r="54287" spans="31:31">
      <c r="AE54287" s="54"/>
    </row>
    <row r="54288" spans="31:31">
      <c r="AE54288" s="54"/>
    </row>
    <row r="54289" spans="31:31">
      <c r="AE54289" s="54"/>
    </row>
    <row r="54290" spans="31:31">
      <c r="AE54290" s="54"/>
    </row>
    <row r="54291" spans="31:31">
      <c r="AE54291" s="54"/>
    </row>
    <row r="54292" spans="31:31">
      <c r="AE54292" s="54"/>
    </row>
    <row r="54293" spans="31:31">
      <c r="AE54293" s="54"/>
    </row>
    <row r="54294" spans="31:31">
      <c r="AE54294" s="54"/>
    </row>
    <row r="54295" spans="31:31">
      <c r="AE54295" s="54"/>
    </row>
    <row r="54296" spans="31:31">
      <c r="AE54296" s="54"/>
    </row>
    <row r="54297" spans="31:31">
      <c r="AE54297" s="54"/>
    </row>
    <row r="54298" spans="31:31">
      <c r="AE54298" s="54"/>
    </row>
    <row r="54299" spans="31:31">
      <c r="AE54299" s="54"/>
    </row>
    <row r="54300" spans="31:31">
      <c r="AE54300" s="54"/>
    </row>
    <row r="54301" spans="31:31">
      <c r="AE54301" s="54"/>
    </row>
    <row r="54302" spans="31:31">
      <c r="AE54302" s="54"/>
    </row>
    <row r="54303" spans="31:31">
      <c r="AE54303" s="54"/>
    </row>
    <row r="54304" spans="31:31">
      <c r="AE54304" s="54"/>
    </row>
    <row r="54305" spans="31:31">
      <c r="AE54305" s="54"/>
    </row>
    <row r="54306" spans="31:31">
      <c r="AE54306" s="54"/>
    </row>
    <row r="54307" spans="31:31">
      <c r="AE54307" s="54"/>
    </row>
    <row r="54308" spans="31:31">
      <c r="AE54308" s="54"/>
    </row>
    <row r="54309" spans="31:31">
      <c r="AE54309" s="54"/>
    </row>
    <row r="54310" spans="31:31">
      <c r="AE54310" s="54"/>
    </row>
    <row r="54311" spans="31:31">
      <c r="AE54311" s="54"/>
    </row>
    <row r="54312" spans="31:31">
      <c r="AE54312" s="54"/>
    </row>
    <row r="54313" spans="31:31">
      <c r="AE54313" s="54"/>
    </row>
    <row r="54314" spans="31:31">
      <c r="AE54314" s="54"/>
    </row>
    <row r="54315" spans="31:31">
      <c r="AE54315" s="54"/>
    </row>
    <row r="54316" spans="31:31">
      <c r="AE54316" s="54"/>
    </row>
    <row r="54317" spans="31:31">
      <c r="AE54317" s="54"/>
    </row>
    <row r="54318" spans="31:31">
      <c r="AE54318" s="54"/>
    </row>
    <row r="54319" spans="31:31">
      <c r="AE54319" s="54"/>
    </row>
    <row r="54320" spans="31:31">
      <c r="AE54320" s="54"/>
    </row>
    <row r="54321" spans="31:31">
      <c r="AE54321" s="54"/>
    </row>
    <row r="54322" spans="31:31">
      <c r="AE54322" s="54"/>
    </row>
    <row r="54323" spans="31:31">
      <c r="AE54323" s="54"/>
    </row>
    <row r="54324" spans="31:31">
      <c r="AE54324" s="54"/>
    </row>
    <row r="54325" spans="31:31">
      <c r="AE54325" s="54"/>
    </row>
    <row r="54326" spans="31:31">
      <c r="AE54326" s="54"/>
    </row>
    <row r="54327" spans="31:31">
      <c r="AE54327" s="54"/>
    </row>
    <row r="54328" spans="31:31">
      <c r="AE54328" s="54"/>
    </row>
    <row r="54329" spans="31:31">
      <c r="AE54329" s="54"/>
    </row>
    <row r="54330" spans="31:31">
      <c r="AE54330" s="54"/>
    </row>
    <row r="54331" spans="31:31">
      <c r="AE54331" s="54"/>
    </row>
    <row r="54332" spans="31:31">
      <c r="AE54332" s="54"/>
    </row>
    <row r="54333" spans="31:31">
      <c r="AE54333" s="54"/>
    </row>
    <row r="54334" spans="31:31">
      <c r="AE54334" s="54"/>
    </row>
    <row r="54335" spans="31:31">
      <c r="AE54335" s="54"/>
    </row>
    <row r="54336" spans="31:31">
      <c r="AE54336" s="54"/>
    </row>
    <row r="54337" spans="31:31">
      <c r="AE54337" s="54"/>
    </row>
    <row r="54338" spans="31:31">
      <c r="AE54338" s="54"/>
    </row>
    <row r="54339" spans="31:31">
      <c r="AE54339" s="54"/>
    </row>
    <row r="54340" spans="31:31">
      <c r="AE54340" s="54"/>
    </row>
    <row r="54341" spans="31:31">
      <c r="AE54341" s="54"/>
    </row>
    <row r="54342" spans="31:31">
      <c r="AE54342" s="54"/>
    </row>
    <row r="54343" spans="31:31">
      <c r="AE54343" s="54"/>
    </row>
    <row r="54344" spans="31:31">
      <c r="AE54344" s="54"/>
    </row>
    <row r="54345" spans="31:31">
      <c r="AE54345" s="54"/>
    </row>
    <row r="54346" spans="31:31">
      <c r="AE54346" s="54"/>
    </row>
    <row r="54347" spans="31:31">
      <c r="AE54347" s="54"/>
    </row>
    <row r="54348" spans="31:31">
      <c r="AE54348" s="54"/>
    </row>
    <row r="54349" spans="31:31">
      <c r="AE54349" s="54"/>
    </row>
    <row r="54350" spans="31:31">
      <c r="AE54350" s="54"/>
    </row>
    <row r="54351" spans="31:31">
      <c r="AE54351" s="54"/>
    </row>
    <row r="54352" spans="31:31">
      <c r="AE54352" s="54"/>
    </row>
    <row r="54353" spans="31:31">
      <c r="AE54353" s="54"/>
    </row>
    <row r="54354" spans="31:31">
      <c r="AE54354" s="54"/>
    </row>
    <row r="54355" spans="31:31">
      <c r="AE54355" s="54"/>
    </row>
    <row r="54356" spans="31:31">
      <c r="AE54356" s="54"/>
    </row>
    <row r="54357" spans="31:31">
      <c r="AE54357" s="54"/>
    </row>
    <row r="54358" spans="31:31">
      <c r="AE54358" s="54"/>
    </row>
    <row r="54359" spans="31:31">
      <c r="AE54359" s="54"/>
    </row>
    <row r="54360" spans="31:31">
      <c r="AE54360" s="54"/>
    </row>
    <row r="54361" spans="31:31">
      <c r="AE54361" s="54"/>
    </row>
    <row r="54362" spans="31:31">
      <c r="AE54362" s="54"/>
    </row>
    <row r="54363" spans="31:31">
      <c r="AE54363" s="54"/>
    </row>
    <row r="54364" spans="31:31">
      <c r="AE54364" s="54"/>
    </row>
    <row r="54365" spans="31:31">
      <c r="AE54365" s="54"/>
    </row>
    <row r="54366" spans="31:31">
      <c r="AE54366" s="54"/>
    </row>
    <row r="54367" spans="31:31">
      <c r="AE54367" s="54"/>
    </row>
    <row r="54368" spans="31:31">
      <c r="AE54368" s="54"/>
    </row>
    <row r="54369" spans="31:31">
      <c r="AE54369" s="54"/>
    </row>
    <row r="54370" spans="31:31">
      <c r="AE54370" s="54"/>
    </row>
    <row r="54371" spans="31:31">
      <c r="AE54371" s="54"/>
    </row>
    <row r="54372" spans="31:31">
      <c r="AE54372" s="54"/>
    </row>
    <row r="54373" spans="31:31">
      <c r="AE54373" s="54"/>
    </row>
    <row r="54374" spans="31:31">
      <c r="AE54374" s="54"/>
    </row>
    <row r="54375" spans="31:31">
      <c r="AE54375" s="54"/>
    </row>
    <row r="54376" spans="31:31">
      <c r="AE54376" s="54"/>
    </row>
    <row r="54377" spans="31:31">
      <c r="AE54377" s="54"/>
    </row>
    <row r="54378" spans="31:31">
      <c r="AE54378" s="54"/>
    </row>
    <row r="54379" spans="31:31">
      <c r="AE54379" s="54"/>
    </row>
    <row r="54380" spans="31:31">
      <c r="AE54380" s="54"/>
    </row>
    <row r="54381" spans="31:31">
      <c r="AE54381" s="54"/>
    </row>
    <row r="54382" spans="31:31">
      <c r="AE54382" s="54"/>
    </row>
    <row r="54383" spans="31:31">
      <c r="AE54383" s="54"/>
    </row>
    <row r="54384" spans="31:31">
      <c r="AE54384" s="54"/>
    </row>
    <row r="54385" spans="31:31">
      <c r="AE54385" s="54"/>
    </row>
    <row r="54386" spans="31:31">
      <c r="AE54386" s="54"/>
    </row>
    <row r="54387" spans="31:31">
      <c r="AE54387" s="54"/>
    </row>
    <row r="54388" spans="31:31">
      <c r="AE54388" s="54"/>
    </row>
    <row r="54389" spans="31:31">
      <c r="AE54389" s="54"/>
    </row>
    <row r="54390" spans="31:31">
      <c r="AE54390" s="54"/>
    </row>
    <row r="54391" spans="31:31">
      <c r="AE54391" s="54"/>
    </row>
    <row r="54392" spans="31:31">
      <c r="AE54392" s="54"/>
    </row>
    <row r="54393" spans="31:31">
      <c r="AE54393" s="54"/>
    </row>
    <row r="54394" spans="31:31">
      <c r="AE54394" s="54"/>
    </row>
    <row r="54395" spans="31:31">
      <c r="AE54395" s="54"/>
    </row>
    <row r="54396" spans="31:31">
      <c r="AE54396" s="54"/>
    </row>
    <row r="54397" spans="31:31">
      <c r="AE54397" s="54"/>
    </row>
    <row r="54398" spans="31:31">
      <c r="AE54398" s="54"/>
    </row>
    <row r="54399" spans="31:31">
      <c r="AE54399" s="54"/>
    </row>
    <row r="54400" spans="31:31">
      <c r="AE54400" s="54"/>
    </row>
    <row r="54401" spans="31:31">
      <c r="AE54401" s="54"/>
    </row>
    <row r="54402" spans="31:31">
      <c r="AE54402" s="54"/>
    </row>
    <row r="54403" spans="31:31">
      <c r="AE54403" s="54"/>
    </row>
    <row r="54404" spans="31:31">
      <c r="AE54404" s="54"/>
    </row>
    <row r="54405" spans="31:31">
      <c r="AE54405" s="54"/>
    </row>
    <row r="54406" spans="31:31">
      <c r="AE54406" s="54"/>
    </row>
    <row r="54407" spans="31:31">
      <c r="AE54407" s="54"/>
    </row>
    <row r="54408" spans="31:31">
      <c r="AE54408" s="54"/>
    </row>
    <row r="54409" spans="31:31">
      <c r="AE54409" s="54"/>
    </row>
    <row r="54410" spans="31:31">
      <c r="AE54410" s="54"/>
    </row>
    <row r="54411" spans="31:31">
      <c r="AE54411" s="54"/>
    </row>
    <row r="54412" spans="31:31">
      <c r="AE54412" s="54"/>
    </row>
    <row r="54413" spans="31:31">
      <c r="AE54413" s="54"/>
    </row>
    <row r="54414" spans="31:31">
      <c r="AE54414" s="54"/>
    </row>
    <row r="54415" spans="31:31">
      <c r="AE54415" s="54"/>
    </row>
    <row r="54416" spans="31:31">
      <c r="AE54416" s="54"/>
    </row>
    <row r="54417" spans="31:31">
      <c r="AE54417" s="54"/>
    </row>
    <row r="54418" spans="31:31">
      <c r="AE54418" s="54"/>
    </row>
    <row r="54419" spans="31:31">
      <c r="AE54419" s="54"/>
    </row>
    <row r="54420" spans="31:31">
      <c r="AE54420" s="54"/>
    </row>
    <row r="54421" spans="31:31">
      <c r="AE54421" s="54"/>
    </row>
    <row r="54422" spans="31:31">
      <c r="AE54422" s="54"/>
    </row>
    <row r="54423" spans="31:31">
      <c r="AE54423" s="54"/>
    </row>
    <row r="54424" spans="31:31">
      <c r="AE54424" s="54"/>
    </row>
    <row r="54425" spans="31:31">
      <c r="AE54425" s="54"/>
    </row>
    <row r="54426" spans="31:31">
      <c r="AE54426" s="54"/>
    </row>
    <row r="54427" spans="31:31">
      <c r="AE54427" s="54"/>
    </row>
    <row r="54428" spans="31:31">
      <c r="AE54428" s="54"/>
    </row>
    <row r="54429" spans="31:31">
      <c r="AE54429" s="54"/>
    </row>
    <row r="54430" spans="31:31">
      <c r="AE54430" s="54"/>
    </row>
    <row r="54431" spans="31:31">
      <c r="AE54431" s="54"/>
    </row>
    <row r="54432" spans="31:31">
      <c r="AE54432" s="54"/>
    </row>
    <row r="54433" spans="31:31">
      <c r="AE54433" s="54"/>
    </row>
    <row r="54434" spans="31:31">
      <c r="AE54434" s="54"/>
    </row>
    <row r="54435" spans="31:31">
      <c r="AE54435" s="54"/>
    </row>
    <row r="54436" spans="31:31">
      <c r="AE54436" s="54"/>
    </row>
    <row r="54437" spans="31:31">
      <c r="AE54437" s="54"/>
    </row>
    <row r="54438" spans="31:31">
      <c r="AE54438" s="54"/>
    </row>
    <row r="54439" spans="31:31">
      <c r="AE54439" s="54"/>
    </row>
    <row r="54440" spans="31:31">
      <c r="AE54440" s="54"/>
    </row>
    <row r="54441" spans="31:31">
      <c r="AE54441" s="54"/>
    </row>
    <row r="54442" spans="31:31">
      <c r="AE54442" s="54"/>
    </row>
    <row r="54443" spans="31:31">
      <c r="AE54443" s="54"/>
    </row>
    <row r="54444" spans="31:31">
      <c r="AE54444" s="54"/>
    </row>
    <row r="54445" spans="31:31">
      <c r="AE54445" s="54"/>
    </row>
    <row r="54446" spans="31:31">
      <c r="AE54446" s="54"/>
    </row>
    <row r="54447" spans="31:31">
      <c r="AE54447" s="54"/>
    </row>
    <row r="54448" spans="31:31">
      <c r="AE54448" s="54"/>
    </row>
    <row r="54449" spans="31:31">
      <c r="AE54449" s="54"/>
    </row>
    <row r="54450" spans="31:31">
      <c r="AE54450" s="54"/>
    </row>
    <row r="54451" spans="31:31">
      <c r="AE54451" s="54"/>
    </row>
    <row r="54452" spans="31:31">
      <c r="AE54452" s="54"/>
    </row>
    <row r="54453" spans="31:31">
      <c r="AE54453" s="54"/>
    </row>
    <row r="54454" spans="31:31">
      <c r="AE54454" s="54"/>
    </row>
    <row r="54455" spans="31:31">
      <c r="AE54455" s="54"/>
    </row>
    <row r="54456" spans="31:31">
      <c r="AE54456" s="54"/>
    </row>
    <row r="54457" spans="31:31">
      <c r="AE54457" s="54"/>
    </row>
    <row r="54458" spans="31:31">
      <c r="AE54458" s="54"/>
    </row>
    <row r="54459" spans="31:31">
      <c r="AE54459" s="54"/>
    </row>
    <row r="54460" spans="31:31">
      <c r="AE54460" s="54"/>
    </row>
    <row r="54461" spans="31:31">
      <c r="AE54461" s="54"/>
    </row>
    <row r="54462" spans="31:31">
      <c r="AE54462" s="54"/>
    </row>
    <row r="54463" spans="31:31">
      <c r="AE54463" s="54"/>
    </row>
    <row r="54464" spans="31:31">
      <c r="AE54464" s="54"/>
    </row>
    <row r="54465" spans="31:31">
      <c r="AE54465" s="54"/>
    </row>
    <row r="54466" spans="31:31">
      <c r="AE54466" s="54"/>
    </row>
    <row r="54467" spans="31:31">
      <c r="AE54467" s="54"/>
    </row>
    <row r="54468" spans="31:31">
      <c r="AE54468" s="54"/>
    </row>
    <row r="54469" spans="31:31">
      <c r="AE54469" s="54"/>
    </row>
    <row r="54470" spans="31:31">
      <c r="AE54470" s="54"/>
    </row>
    <row r="54471" spans="31:31">
      <c r="AE54471" s="54"/>
    </row>
    <row r="54472" spans="31:31">
      <c r="AE54472" s="54"/>
    </row>
    <row r="54473" spans="31:31">
      <c r="AE54473" s="54"/>
    </row>
    <row r="54474" spans="31:31">
      <c r="AE54474" s="54"/>
    </row>
    <row r="54475" spans="31:31">
      <c r="AE54475" s="54"/>
    </row>
    <row r="54476" spans="31:31">
      <c r="AE54476" s="54"/>
    </row>
    <row r="54477" spans="31:31">
      <c r="AE54477" s="54"/>
    </row>
    <row r="54478" spans="31:31">
      <c r="AE54478" s="54"/>
    </row>
    <row r="54479" spans="31:31">
      <c r="AE54479" s="54"/>
    </row>
    <row r="54480" spans="31:31">
      <c r="AE54480" s="54"/>
    </row>
    <row r="54481" spans="31:31">
      <c r="AE54481" s="54"/>
    </row>
    <row r="54482" spans="31:31">
      <c r="AE54482" s="54"/>
    </row>
    <row r="54483" spans="31:31">
      <c r="AE54483" s="54"/>
    </row>
    <row r="54484" spans="31:31">
      <c r="AE54484" s="54"/>
    </row>
    <row r="54485" spans="31:31">
      <c r="AE54485" s="54"/>
    </row>
    <row r="54486" spans="31:31">
      <c r="AE54486" s="54"/>
    </row>
    <row r="54487" spans="31:31">
      <c r="AE54487" s="54"/>
    </row>
    <row r="54488" spans="31:31">
      <c r="AE54488" s="54"/>
    </row>
    <row r="54489" spans="31:31">
      <c r="AE54489" s="54"/>
    </row>
    <row r="54490" spans="31:31">
      <c r="AE54490" s="54"/>
    </row>
    <row r="54491" spans="31:31">
      <c r="AE54491" s="54"/>
    </row>
    <row r="54492" spans="31:31">
      <c r="AE54492" s="54"/>
    </row>
    <row r="54493" spans="31:31">
      <c r="AE54493" s="54"/>
    </row>
    <row r="54494" spans="31:31">
      <c r="AE54494" s="54"/>
    </row>
    <row r="54495" spans="31:31">
      <c r="AE54495" s="54"/>
    </row>
    <row r="54496" spans="31:31">
      <c r="AE54496" s="54"/>
    </row>
    <row r="54497" spans="31:31">
      <c r="AE54497" s="54"/>
    </row>
    <row r="54498" spans="31:31">
      <c r="AE54498" s="54"/>
    </row>
    <row r="54499" spans="31:31">
      <c r="AE54499" s="54"/>
    </row>
    <row r="54500" spans="31:31">
      <c r="AE54500" s="54"/>
    </row>
    <row r="54501" spans="31:31">
      <c r="AE54501" s="54"/>
    </row>
    <row r="54502" spans="31:31">
      <c r="AE54502" s="54"/>
    </row>
    <row r="54503" spans="31:31">
      <c r="AE54503" s="54"/>
    </row>
    <row r="54504" spans="31:31">
      <c r="AE54504" s="54"/>
    </row>
    <row r="54505" spans="31:31">
      <c r="AE54505" s="54"/>
    </row>
    <row r="54506" spans="31:31">
      <c r="AE54506" s="54"/>
    </row>
    <row r="54507" spans="31:31">
      <c r="AE54507" s="54"/>
    </row>
    <row r="54508" spans="31:31">
      <c r="AE54508" s="54"/>
    </row>
    <row r="54509" spans="31:31">
      <c r="AE54509" s="54"/>
    </row>
    <row r="54510" spans="31:31">
      <c r="AE54510" s="54"/>
    </row>
    <row r="54511" spans="31:31">
      <c r="AE54511" s="54"/>
    </row>
    <row r="54512" spans="31:31">
      <c r="AE54512" s="54"/>
    </row>
    <row r="54513" spans="31:31">
      <c r="AE54513" s="54"/>
    </row>
    <row r="54514" spans="31:31">
      <c r="AE54514" s="54"/>
    </row>
    <row r="54515" spans="31:31">
      <c r="AE54515" s="54"/>
    </row>
    <row r="54516" spans="31:31">
      <c r="AE54516" s="54"/>
    </row>
    <row r="54517" spans="31:31">
      <c r="AE54517" s="54"/>
    </row>
    <row r="54518" spans="31:31">
      <c r="AE54518" s="54"/>
    </row>
    <row r="54519" spans="31:31">
      <c r="AE54519" s="54"/>
    </row>
    <row r="54520" spans="31:31">
      <c r="AE54520" s="54"/>
    </row>
    <row r="54521" spans="31:31">
      <c r="AE54521" s="54"/>
    </row>
    <row r="54522" spans="31:31">
      <c r="AE54522" s="54"/>
    </row>
    <row r="54523" spans="31:31">
      <c r="AE54523" s="54"/>
    </row>
    <row r="54524" spans="31:31">
      <c r="AE54524" s="54"/>
    </row>
    <row r="54525" spans="31:31">
      <c r="AE54525" s="54"/>
    </row>
    <row r="54526" spans="31:31">
      <c r="AE54526" s="54"/>
    </row>
    <row r="54527" spans="31:31">
      <c r="AE54527" s="54"/>
    </row>
    <row r="54528" spans="31:31">
      <c r="AE54528" s="54"/>
    </row>
    <row r="54529" spans="31:31">
      <c r="AE54529" s="54"/>
    </row>
    <row r="54530" spans="31:31">
      <c r="AE54530" s="54"/>
    </row>
    <row r="54531" spans="31:31">
      <c r="AE54531" s="54"/>
    </row>
    <row r="54532" spans="31:31">
      <c r="AE54532" s="54"/>
    </row>
    <row r="54533" spans="31:31">
      <c r="AE54533" s="54"/>
    </row>
    <row r="54534" spans="31:31">
      <c r="AE54534" s="54"/>
    </row>
    <row r="54535" spans="31:31">
      <c r="AE54535" s="54"/>
    </row>
    <row r="54536" spans="31:31">
      <c r="AE54536" s="54"/>
    </row>
    <row r="54537" spans="31:31">
      <c r="AE54537" s="54"/>
    </row>
    <row r="54538" spans="31:31">
      <c r="AE54538" s="54"/>
    </row>
    <row r="54539" spans="31:31">
      <c r="AE54539" s="54"/>
    </row>
    <row r="54540" spans="31:31">
      <c r="AE54540" s="54"/>
    </row>
    <row r="54541" spans="31:31">
      <c r="AE54541" s="54"/>
    </row>
    <row r="54542" spans="31:31">
      <c r="AE54542" s="54"/>
    </row>
    <row r="54543" spans="31:31">
      <c r="AE54543" s="54"/>
    </row>
    <row r="54544" spans="31:31">
      <c r="AE54544" s="54"/>
    </row>
    <row r="54545" spans="31:31">
      <c r="AE54545" s="54"/>
    </row>
    <row r="54546" spans="31:31">
      <c r="AE54546" s="54"/>
    </row>
    <row r="54547" spans="31:31">
      <c r="AE54547" s="54"/>
    </row>
    <row r="54548" spans="31:31">
      <c r="AE54548" s="54"/>
    </row>
    <row r="54549" spans="31:31">
      <c r="AE54549" s="54"/>
    </row>
    <row r="54550" spans="31:31">
      <c r="AE54550" s="54"/>
    </row>
    <row r="54551" spans="31:31">
      <c r="AE54551" s="54"/>
    </row>
    <row r="54552" spans="31:31">
      <c r="AE54552" s="54"/>
    </row>
    <row r="54553" spans="31:31">
      <c r="AE54553" s="54"/>
    </row>
    <row r="54554" spans="31:31">
      <c r="AE54554" s="54"/>
    </row>
    <row r="54555" spans="31:31">
      <c r="AE54555" s="54"/>
    </row>
    <row r="54556" spans="31:31">
      <c r="AE54556" s="54"/>
    </row>
    <row r="54557" spans="31:31">
      <c r="AE54557" s="54"/>
    </row>
    <row r="54558" spans="31:31">
      <c r="AE54558" s="54"/>
    </row>
    <row r="54559" spans="31:31">
      <c r="AE54559" s="54"/>
    </row>
    <row r="54560" spans="31:31">
      <c r="AE54560" s="54"/>
    </row>
    <row r="54561" spans="31:31">
      <c r="AE54561" s="54"/>
    </row>
    <row r="54562" spans="31:31">
      <c r="AE54562" s="54"/>
    </row>
    <row r="54563" spans="31:31">
      <c r="AE54563" s="54"/>
    </row>
    <row r="54564" spans="31:31">
      <c r="AE54564" s="54"/>
    </row>
    <row r="54565" spans="31:31">
      <c r="AE54565" s="54"/>
    </row>
    <row r="54566" spans="31:31">
      <c r="AE54566" s="54"/>
    </row>
    <row r="54567" spans="31:31">
      <c r="AE54567" s="54"/>
    </row>
    <row r="54568" spans="31:31">
      <c r="AE54568" s="54"/>
    </row>
    <row r="54569" spans="31:31">
      <c r="AE54569" s="54"/>
    </row>
    <row r="54570" spans="31:31">
      <c r="AE54570" s="54"/>
    </row>
    <row r="54571" spans="31:31">
      <c r="AE54571" s="54"/>
    </row>
    <row r="54572" spans="31:31">
      <c r="AE54572" s="54"/>
    </row>
    <row r="54573" spans="31:31">
      <c r="AE54573" s="54"/>
    </row>
    <row r="54574" spans="31:31">
      <c r="AE54574" s="54"/>
    </row>
    <row r="54575" spans="31:31">
      <c r="AE54575" s="54"/>
    </row>
    <row r="54576" spans="31:31">
      <c r="AE54576" s="54"/>
    </row>
    <row r="54577" spans="31:31">
      <c r="AE54577" s="54"/>
    </row>
    <row r="54578" spans="31:31">
      <c r="AE54578" s="54"/>
    </row>
    <row r="54579" spans="31:31">
      <c r="AE54579" s="54"/>
    </row>
    <row r="54580" spans="31:31">
      <c r="AE54580" s="54"/>
    </row>
    <row r="54581" spans="31:31">
      <c r="AE54581" s="54"/>
    </row>
    <row r="54582" spans="31:31">
      <c r="AE54582" s="54"/>
    </row>
    <row r="54583" spans="31:31">
      <c r="AE54583" s="54"/>
    </row>
    <row r="54584" spans="31:31">
      <c r="AE54584" s="54"/>
    </row>
    <row r="54585" spans="31:31">
      <c r="AE54585" s="54"/>
    </row>
    <row r="54586" spans="31:31">
      <c r="AE54586" s="54"/>
    </row>
    <row r="54587" spans="31:31">
      <c r="AE54587" s="54"/>
    </row>
    <row r="54588" spans="31:31">
      <c r="AE54588" s="54"/>
    </row>
    <row r="54589" spans="31:31">
      <c r="AE54589" s="54"/>
    </row>
    <row r="54590" spans="31:31">
      <c r="AE54590" s="54"/>
    </row>
    <row r="54591" spans="31:31">
      <c r="AE54591" s="54"/>
    </row>
    <row r="54592" spans="31:31">
      <c r="AE54592" s="54"/>
    </row>
    <row r="54593" spans="31:31">
      <c r="AE54593" s="54"/>
    </row>
    <row r="54594" spans="31:31">
      <c r="AE54594" s="54"/>
    </row>
    <row r="54595" spans="31:31">
      <c r="AE54595" s="54"/>
    </row>
    <row r="54596" spans="31:31">
      <c r="AE54596" s="54"/>
    </row>
    <row r="54597" spans="31:31">
      <c r="AE54597" s="54"/>
    </row>
    <row r="54598" spans="31:31">
      <c r="AE54598" s="54"/>
    </row>
    <row r="54599" spans="31:31">
      <c r="AE54599" s="54"/>
    </row>
    <row r="54600" spans="31:31">
      <c r="AE54600" s="54"/>
    </row>
    <row r="54601" spans="31:31">
      <c r="AE54601" s="54"/>
    </row>
    <row r="54602" spans="31:31">
      <c r="AE54602" s="54"/>
    </row>
    <row r="54603" spans="31:31">
      <c r="AE54603" s="54"/>
    </row>
    <row r="54604" spans="31:31">
      <c r="AE54604" s="54"/>
    </row>
    <row r="54605" spans="31:31">
      <c r="AE54605" s="54"/>
    </row>
    <row r="54606" spans="31:31">
      <c r="AE54606" s="54"/>
    </row>
    <row r="54607" spans="31:31">
      <c r="AE54607" s="54"/>
    </row>
    <row r="54608" spans="31:31">
      <c r="AE54608" s="54"/>
    </row>
    <row r="54609" spans="31:31">
      <c r="AE54609" s="54"/>
    </row>
    <row r="54610" spans="31:31">
      <c r="AE54610" s="54"/>
    </row>
    <row r="54611" spans="31:31">
      <c r="AE54611" s="54"/>
    </row>
    <row r="54612" spans="31:31">
      <c r="AE54612" s="54"/>
    </row>
    <row r="54613" spans="31:31">
      <c r="AE54613" s="54"/>
    </row>
    <row r="54614" spans="31:31">
      <c r="AE54614" s="54"/>
    </row>
    <row r="54615" spans="31:31">
      <c r="AE54615" s="54"/>
    </row>
    <row r="54616" spans="31:31">
      <c r="AE54616" s="54"/>
    </row>
    <row r="54617" spans="31:31">
      <c r="AE54617" s="54"/>
    </row>
    <row r="54618" spans="31:31">
      <c r="AE54618" s="54"/>
    </row>
    <row r="54619" spans="31:31">
      <c r="AE54619" s="54"/>
    </row>
    <row r="54620" spans="31:31">
      <c r="AE54620" s="54"/>
    </row>
    <row r="54621" spans="31:31">
      <c r="AE54621" s="54"/>
    </row>
    <row r="54622" spans="31:31">
      <c r="AE54622" s="54"/>
    </row>
    <row r="54623" spans="31:31">
      <c r="AE54623" s="54"/>
    </row>
    <row r="54624" spans="31:31">
      <c r="AE54624" s="54"/>
    </row>
    <row r="54625" spans="31:31">
      <c r="AE54625" s="54"/>
    </row>
    <row r="54626" spans="31:31">
      <c r="AE54626" s="54"/>
    </row>
    <row r="54627" spans="31:31">
      <c r="AE54627" s="54"/>
    </row>
    <row r="54628" spans="31:31">
      <c r="AE54628" s="54"/>
    </row>
    <row r="54629" spans="31:31">
      <c r="AE54629" s="54"/>
    </row>
    <row r="54630" spans="31:31">
      <c r="AE54630" s="54"/>
    </row>
    <row r="54631" spans="31:31">
      <c r="AE54631" s="54"/>
    </row>
    <row r="54632" spans="31:31">
      <c r="AE54632" s="54"/>
    </row>
    <row r="54633" spans="31:31">
      <c r="AE54633" s="54"/>
    </row>
    <row r="54634" spans="31:31">
      <c r="AE54634" s="54"/>
    </row>
    <row r="54635" spans="31:31">
      <c r="AE54635" s="54"/>
    </row>
    <row r="54636" spans="31:31">
      <c r="AE54636" s="54"/>
    </row>
    <row r="54637" spans="31:31">
      <c r="AE54637" s="54"/>
    </row>
    <row r="54638" spans="31:31">
      <c r="AE54638" s="54"/>
    </row>
    <row r="54639" spans="31:31">
      <c r="AE54639" s="54"/>
    </row>
    <row r="54640" spans="31:31">
      <c r="AE54640" s="54"/>
    </row>
    <row r="54641" spans="31:31">
      <c r="AE54641" s="54"/>
    </row>
    <row r="54642" spans="31:31">
      <c r="AE54642" s="54"/>
    </row>
    <row r="54643" spans="31:31">
      <c r="AE54643" s="54"/>
    </row>
    <row r="54644" spans="31:31">
      <c r="AE54644" s="54"/>
    </row>
    <row r="54645" spans="31:31">
      <c r="AE54645" s="54"/>
    </row>
    <row r="54646" spans="31:31">
      <c r="AE54646" s="54"/>
    </row>
    <row r="54647" spans="31:31">
      <c r="AE54647" s="54"/>
    </row>
    <row r="54648" spans="31:31">
      <c r="AE54648" s="54"/>
    </row>
    <row r="54649" spans="31:31">
      <c r="AE54649" s="54"/>
    </row>
    <row r="54650" spans="31:31">
      <c r="AE54650" s="54"/>
    </row>
    <row r="54651" spans="31:31">
      <c r="AE54651" s="54"/>
    </row>
    <row r="54652" spans="31:31">
      <c r="AE54652" s="54"/>
    </row>
    <row r="54653" spans="31:31">
      <c r="AE54653" s="54"/>
    </row>
    <row r="54654" spans="31:31">
      <c r="AE54654" s="54"/>
    </row>
    <row r="54655" spans="31:31">
      <c r="AE54655" s="54"/>
    </row>
    <row r="54656" spans="31:31">
      <c r="AE54656" s="54"/>
    </row>
    <row r="54657" spans="31:31">
      <c r="AE54657" s="54"/>
    </row>
    <row r="54658" spans="31:31">
      <c r="AE54658" s="54"/>
    </row>
    <row r="54659" spans="31:31">
      <c r="AE54659" s="54"/>
    </row>
    <row r="54660" spans="31:31">
      <c r="AE54660" s="54"/>
    </row>
    <row r="54661" spans="31:31">
      <c r="AE54661" s="54"/>
    </row>
    <row r="54662" spans="31:31">
      <c r="AE54662" s="54"/>
    </row>
    <row r="54663" spans="31:31">
      <c r="AE54663" s="54"/>
    </row>
    <row r="54664" spans="31:31">
      <c r="AE54664" s="54"/>
    </row>
    <row r="54665" spans="31:31">
      <c r="AE54665" s="54"/>
    </row>
    <row r="54666" spans="31:31">
      <c r="AE54666" s="54"/>
    </row>
    <row r="54667" spans="31:31">
      <c r="AE54667" s="54"/>
    </row>
    <row r="54668" spans="31:31">
      <c r="AE54668" s="54"/>
    </row>
    <row r="54669" spans="31:31">
      <c r="AE54669" s="54"/>
    </row>
    <row r="54670" spans="31:31">
      <c r="AE54670" s="54"/>
    </row>
    <row r="54671" spans="31:31">
      <c r="AE54671" s="54"/>
    </row>
    <row r="54672" spans="31:31">
      <c r="AE54672" s="54"/>
    </row>
    <row r="54673" spans="31:31">
      <c r="AE54673" s="54"/>
    </row>
    <row r="54674" spans="31:31">
      <c r="AE54674" s="54"/>
    </row>
    <row r="54675" spans="31:31">
      <c r="AE54675" s="54"/>
    </row>
    <row r="54676" spans="31:31">
      <c r="AE54676" s="54"/>
    </row>
    <row r="54677" spans="31:31">
      <c r="AE54677" s="54"/>
    </row>
    <row r="54678" spans="31:31">
      <c r="AE54678" s="54"/>
    </row>
    <row r="54679" spans="31:31">
      <c r="AE54679" s="54"/>
    </row>
    <row r="54680" spans="31:31">
      <c r="AE54680" s="54"/>
    </row>
    <row r="54681" spans="31:31">
      <c r="AE54681" s="54"/>
    </row>
    <row r="54682" spans="31:31">
      <c r="AE54682" s="54"/>
    </row>
    <row r="54683" spans="31:31">
      <c r="AE54683" s="54"/>
    </row>
    <row r="54684" spans="31:31">
      <c r="AE54684" s="54"/>
    </row>
    <row r="54685" spans="31:31">
      <c r="AE54685" s="54"/>
    </row>
    <row r="54686" spans="31:31">
      <c r="AE54686" s="54"/>
    </row>
    <row r="54687" spans="31:31">
      <c r="AE54687" s="54"/>
    </row>
    <row r="54688" spans="31:31">
      <c r="AE54688" s="54"/>
    </row>
    <row r="54689" spans="31:31">
      <c r="AE54689" s="54"/>
    </row>
    <row r="54690" spans="31:31">
      <c r="AE54690" s="54"/>
    </row>
    <row r="54691" spans="31:31">
      <c r="AE54691" s="54"/>
    </row>
    <row r="54692" spans="31:31">
      <c r="AE54692" s="54"/>
    </row>
    <row r="54693" spans="31:31">
      <c r="AE54693" s="54"/>
    </row>
    <row r="54694" spans="31:31">
      <c r="AE54694" s="54"/>
    </row>
    <row r="54695" spans="31:31">
      <c r="AE54695" s="54"/>
    </row>
    <row r="54696" spans="31:31">
      <c r="AE54696" s="54"/>
    </row>
    <row r="54697" spans="31:31">
      <c r="AE54697" s="54"/>
    </row>
    <row r="54698" spans="31:31">
      <c r="AE54698" s="54"/>
    </row>
    <row r="54699" spans="31:31">
      <c r="AE54699" s="54"/>
    </row>
    <row r="54700" spans="31:31">
      <c r="AE54700" s="54"/>
    </row>
    <row r="54701" spans="31:31">
      <c r="AE54701" s="54"/>
    </row>
    <row r="54702" spans="31:31">
      <c r="AE54702" s="54"/>
    </row>
    <row r="54703" spans="31:31">
      <c r="AE54703" s="54"/>
    </row>
    <row r="54704" spans="31:31">
      <c r="AE54704" s="54"/>
    </row>
    <row r="54705" spans="31:31">
      <c r="AE54705" s="54"/>
    </row>
    <row r="54706" spans="31:31">
      <c r="AE54706" s="54"/>
    </row>
    <row r="54707" spans="31:31">
      <c r="AE54707" s="54"/>
    </row>
    <row r="54708" spans="31:31">
      <c r="AE54708" s="54"/>
    </row>
    <row r="54709" spans="31:31">
      <c r="AE54709" s="54"/>
    </row>
    <row r="54710" spans="31:31">
      <c r="AE54710" s="54"/>
    </row>
    <row r="54711" spans="31:31">
      <c r="AE54711" s="54"/>
    </row>
    <row r="54712" spans="31:31">
      <c r="AE54712" s="54"/>
    </row>
    <row r="54713" spans="31:31">
      <c r="AE54713" s="54"/>
    </row>
    <row r="54714" spans="31:31">
      <c r="AE54714" s="54"/>
    </row>
    <row r="54715" spans="31:31">
      <c r="AE54715" s="54"/>
    </row>
    <row r="54716" spans="31:31">
      <c r="AE54716" s="54"/>
    </row>
    <row r="54717" spans="31:31">
      <c r="AE54717" s="54"/>
    </row>
    <row r="54718" spans="31:31">
      <c r="AE54718" s="54"/>
    </row>
    <row r="54719" spans="31:31">
      <c r="AE54719" s="54"/>
    </row>
    <row r="54720" spans="31:31">
      <c r="AE54720" s="54"/>
    </row>
    <row r="54721" spans="31:31">
      <c r="AE54721" s="54"/>
    </row>
    <row r="54722" spans="31:31">
      <c r="AE54722" s="54"/>
    </row>
    <row r="54723" spans="31:31">
      <c r="AE54723" s="54"/>
    </row>
    <row r="54724" spans="31:31">
      <c r="AE54724" s="54"/>
    </row>
    <row r="54725" spans="31:31">
      <c r="AE54725" s="54"/>
    </row>
    <row r="54726" spans="31:31">
      <c r="AE54726" s="54"/>
    </row>
    <row r="54727" spans="31:31">
      <c r="AE54727" s="54"/>
    </row>
    <row r="54728" spans="31:31">
      <c r="AE54728" s="54"/>
    </row>
    <row r="54729" spans="31:31">
      <c r="AE54729" s="54"/>
    </row>
    <row r="54730" spans="31:31">
      <c r="AE54730" s="54"/>
    </row>
    <row r="54731" spans="31:31">
      <c r="AE54731" s="54"/>
    </row>
    <row r="54732" spans="31:31">
      <c r="AE54732" s="54"/>
    </row>
    <row r="54733" spans="31:31">
      <c r="AE54733" s="54"/>
    </row>
    <row r="54734" spans="31:31">
      <c r="AE54734" s="54"/>
    </row>
    <row r="54735" spans="31:31">
      <c r="AE54735" s="54"/>
    </row>
    <row r="54736" spans="31:31">
      <c r="AE54736" s="54"/>
    </row>
    <row r="54737" spans="31:31">
      <c r="AE54737" s="54"/>
    </row>
    <row r="54738" spans="31:31">
      <c r="AE54738" s="54"/>
    </row>
    <row r="54739" spans="31:31">
      <c r="AE54739" s="54"/>
    </row>
    <row r="54740" spans="31:31">
      <c r="AE54740" s="54"/>
    </row>
    <row r="54741" spans="31:31">
      <c r="AE54741" s="54"/>
    </row>
    <row r="54742" spans="31:31">
      <c r="AE54742" s="54"/>
    </row>
    <row r="54743" spans="31:31">
      <c r="AE54743" s="54"/>
    </row>
    <row r="54744" spans="31:31">
      <c r="AE54744" s="54"/>
    </row>
    <row r="54745" spans="31:31">
      <c r="AE54745" s="54"/>
    </row>
    <row r="54746" spans="31:31">
      <c r="AE54746" s="54"/>
    </row>
    <row r="54747" spans="31:31">
      <c r="AE54747" s="54"/>
    </row>
    <row r="54748" spans="31:31">
      <c r="AE54748" s="54"/>
    </row>
    <row r="54749" spans="31:31">
      <c r="AE54749" s="54"/>
    </row>
    <row r="54750" spans="31:31">
      <c r="AE54750" s="54"/>
    </row>
    <row r="54751" spans="31:31">
      <c r="AE54751" s="54"/>
    </row>
    <row r="54752" spans="31:31">
      <c r="AE54752" s="54"/>
    </row>
    <row r="54753" spans="31:31">
      <c r="AE54753" s="54"/>
    </row>
    <row r="54754" spans="31:31">
      <c r="AE54754" s="54"/>
    </row>
    <row r="54755" spans="31:31">
      <c r="AE54755" s="54"/>
    </row>
    <row r="54756" spans="31:31">
      <c r="AE54756" s="54"/>
    </row>
    <row r="54757" spans="31:31">
      <c r="AE54757" s="54"/>
    </row>
    <row r="54758" spans="31:31">
      <c r="AE54758" s="54"/>
    </row>
    <row r="54759" spans="31:31">
      <c r="AE54759" s="54"/>
    </row>
    <row r="54760" spans="31:31">
      <c r="AE54760" s="54"/>
    </row>
    <row r="54761" spans="31:31">
      <c r="AE54761" s="54"/>
    </row>
    <row r="54762" spans="31:31">
      <c r="AE54762" s="54"/>
    </row>
    <row r="54763" spans="31:31">
      <c r="AE54763" s="54"/>
    </row>
    <row r="54764" spans="31:31">
      <c r="AE54764" s="54"/>
    </row>
    <row r="54765" spans="31:31">
      <c r="AE54765" s="54"/>
    </row>
    <row r="54766" spans="31:31">
      <c r="AE54766" s="54"/>
    </row>
    <row r="54767" spans="31:31">
      <c r="AE54767" s="54"/>
    </row>
    <row r="54768" spans="31:31">
      <c r="AE54768" s="54"/>
    </row>
    <row r="54769" spans="31:31">
      <c r="AE54769" s="54"/>
    </row>
    <row r="54770" spans="31:31">
      <c r="AE54770" s="54"/>
    </row>
    <row r="54771" spans="31:31">
      <c r="AE54771" s="54"/>
    </row>
    <row r="54772" spans="31:31">
      <c r="AE54772" s="54"/>
    </row>
    <row r="54773" spans="31:31">
      <c r="AE54773" s="54"/>
    </row>
    <row r="54774" spans="31:31">
      <c r="AE54774" s="54"/>
    </row>
    <row r="54775" spans="31:31">
      <c r="AE54775" s="54"/>
    </row>
    <row r="54776" spans="31:31">
      <c r="AE54776" s="54"/>
    </row>
    <row r="54777" spans="31:31">
      <c r="AE54777" s="54"/>
    </row>
    <row r="54778" spans="31:31">
      <c r="AE54778" s="54"/>
    </row>
    <row r="54779" spans="31:31">
      <c r="AE54779" s="54"/>
    </row>
    <row r="54780" spans="31:31">
      <c r="AE54780" s="54"/>
    </row>
    <row r="54781" spans="31:31">
      <c r="AE54781" s="54"/>
    </row>
    <row r="54782" spans="31:31">
      <c r="AE54782" s="54"/>
    </row>
    <row r="54783" spans="31:31">
      <c r="AE54783" s="54"/>
    </row>
    <row r="54784" spans="31:31">
      <c r="AE54784" s="54"/>
    </row>
    <row r="54785" spans="31:31">
      <c r="AE54785" s="54"/>
    </row>
    <row r="54786" spans="31:31">
      <c r="AE54786" s="54"/>
    </row>
    <row r="54787" spans="31:31">
      <c r="AE54787" s="54"/>
    </row>
    <row r="54788" spans="31:31">
      <c r="AE54788" s="54"/>
    </row>
    <row r="54789" spans="31:31">
      <c r="AE54789" s="54"/>
    </row>
    <row r="54790" spans="31:31">
      <c r="AE54790" s="54"/>
    </row>
    <row r="54791" spans="31:31">
      <c r="AE54791" s="54"/>
    </row>
    <row r="54792" spans="31:31">
      <c r="AE54792" s="54"/>
    </row>
    <row r="54793" spans="31:31">
      <c r="AE54793" s="54"/>
    </row>
    <row r="54794" spans="31:31">
      <c r="AE54794" s="54"/>
    </row>
    <row r="54795" spans="31:31">
      <c r="AE54795" s="54"/>
    </row>
    <row r="54796" spans="31:31">
      <c r="AE54796" s="54"/>
    </row>
    <row r="54797" spans="31:31">
      <c r="AE54797" s="54"/>
    </row>
    <row r="54798" spans="31:31">
      <c r="AE54798" s="54"/>
    </row>
    <row r="54799" spans="31:31">
      <c r="AE54799" s="54"/>
    </row>
    <row r="54800" spans="31:31">
      <c r="AE54800" s="54"/>
    </row>
    <row r="54801" spans="31:31">
      <c r="AE54801" s="54"/>
    </row>
    <row r="54802" spans="31:31">
      <c r="AE54802" s="54"/>
    </row>
    <row r="54803" spans="31:31">
      <c r="AE54803" s="54"/>
    </row>
    <row r="54804" spans="31:31">
      <c r="AE54804" s="54"/>
    </row>
    <row r="54805" spans="31:31">
      <c r="AE54805" s="54"/>
    </row>
    <row r="54806" spans="31:31">
      <c r="AE54806" s="54"/>
    </row>
    <row r="54807" spans="31:31">
      <c r="AE54807" s="54"/>
    </row>
    <row r="54808" spans="31:31">
      <c r="AE54808" s="54"/>
    </row>
    <row r="54809" spans="31:31">
      <c r="AE54809" s="54"/>
    </row>
    <row r="54810" spans="31:31">
      <c r="AE54810" s="54"/>
    </row>
    <row r="54811" spans="31:31">
      <c r="AE54811" s="54"/>
    </row>
    <row r="54812" spans="31:31">
      <c r="AE54812" s="54"/>
    </row>
    <row r="54813" spans="31:31">
      <c r="AE54813" s="54"/>
    </row>
    <row r="54814" spans="31:31">
      <c r="AE54814" s="54"/>
    </row>
    <row r="54815" spans="31:31">
      <c r="AE54815" s="54"/>
    </row>
    <row r="54816" spans="31:31">
      <c r="AE54816" s="54"/>
    </row>
    <row r="54817" spans="31:31">
      <c r="AE54817" s="54"/>
    </row>
    <row r="54818" spans="31:31">
      <c r="AE54818" s="54"/>
    </row>
    <row r="54819" spans="31:31">
      <c r="AE54819" s="54"/>
    </row>
    <row r="54820" spans="31:31">
      <c r="AE54820" s="54"/>
    </row>
    <row r="54821" spans="31:31">
      <c r="AE54821" s="54"/>
    </row>
    <row r="54822" spans="31:31">
      <c r="AE54822" s="54"/>
    </row>
    <row r="54823" spans="31:31">
      <c r="AE54823" s="54"/>
    </row>
    <row r="54824" spans="31:31">
      <c r="AE54824" s="54"/>
    </row>
    <row r="54825" spans="31:31">
      <c r="AE54825" s="54"/>
    </row>
    <row r="54826" spans="31:31">
      <c r="AE54826" s="54"/>
    </row>
    <row r="54827" spans="31:31">
      <c r="AE54827" s="54"/>
    </row>
    <row r="54828" spans="31:31">
      <c r="AE54828" s="54"/>
    </row>
    <row r="54829" spans="31:31">
      <c r="AE54829" s="54"/>
    </row>
    <row r="54830" spans="31:31">
      <c r="AE54830" s="54"/>
    </row>
    <row r="54831" spans="31:31">
      <c r="AE54831" s="54"/>
    </row>
    <row r="54832" spans="31:31">
      <c r="AE54832" s="54"/>
    </row>
    <row r="54833" spans="31:31">
      <c r="AE54833" s="54"/>
    </row>
    <row r="54834" spans="31:31">
      <c r="AE54834" s="54"/>
    </row>
    <row r="54835" spans="31:31">
      <c r="AE54835" s="54"/>
    </row>
    <row r="54836" spans="31:31">
      <c r="AE54836" s="54"/>
    </row>
    <row r="54837" spans="31:31">
      <c r="AE54837" s="54"/>
    </row>
    <row r="54838" spans="31:31">
      <c r="AE54838" s="54"/>
    </row>
    <row r="54839" spans="31:31">
      <c r="AE54839" s="54"/>
    </row>
    <row r="54840" spans="31:31">
      <c r="AE54840" s="54"/>
    </row>
    <row r="54841" spans="31:31">
      <c r="AE54841" s="54"/>
    </row>
    <row r="54842" spans="31:31">
      <c r="AE54842" s="54"/>
    </row>
    <row r="54843" spans="31:31">
      <c r="AE54843" s="54"/>
    </row>
    <row r="54844" spans="31:31">
      <c r="AE54844" s="54"/>
    </row>
    <row r="54845" spans="31:31">
      <c r="AE54845" s="54"/>
    </row>
    <row r="54846" spans="31:31">
      <c r="AE54846" s="54"/>
    </row>
    <row r="54847" spans="31:31">
      <c r="AE54847" s="54"/>
    </row>
    <row r="54848" spans="31:31">
      <c r="AE54848" s="54"/>
    </row>
    <row r="54849" spans="31:31">
      <c r="AE54849" s="54"/>
    </row>
    <row r="54850" spans="31:31">
      <c r="AE54850" s="54"/>
    </row>
    <row r="54851" spans="31:31">
      <c r="AE54851" s="54"/>
    </row>
    <row r="54852" spans="31:31">
      <c r="AE54852" s="54"/>
    </row>
    <row r="54853" spans="31:31">
      <c r="AE54853" s="54"/>
    </row>
    <row r="54854" spans="31:31">
      <c r="AE54854" s="54"/>
    </row>
    <row r="54855" spans="31:31">
      <c r="AE54855" s="54"/>
    </row>
    <row r="54856" spans="31:31">
      <c r="AE54856" s="54"/>
    </row>
    <row r="54857" spans="31:31">
      <c r="AE54857" s="54"/>
    </row>
    <row r="54858" spans="31:31">
      <c r="AE54858" s="54"/>
    </row>
    <row r="54859" spans="31:31">
      <c r="AE54859" s="54"/>
    </row>
    <row r="54860" spans="31:31">
      <c r="AE54860" s="54"/>
    </row>
    <row r="54861" spans="31:31">
      <c r="AE54861" s="54"/>
    </row>
    <row r="54862" spans="31:31">
      <c r="AE54862" s="54"/>
    </row>
    <row r="54863" spans="31:31">
      <c r="AE54863" s="54"/>
    </row>
    <row r="54864" spans="31:31">
      <c r="AE54864" s="54"/>
    </row>
    <row r="54865" spans="31:31">
      <c r="AE54865" s="54"/>
    </row>
    <row r="54866" spans="31:31">
      <c r="AE54866" s="54"/>
    </row>
    <row r="54867" spans="31:31">
      <c r="AE54867" s="54"/>
    </row>
    <row r="54868" spans="31:31">
      <c r="AE54868" s="54"/>
    </row>
    <row r="54869" spans="31:31">
      <c r="AE54869" s="54"/>
    </row>
    <row r="54870" spans="31:31">
      <c r="AE54870" s="54"/>
    </row>
    <row r="54871" spans="31:31">
      <c r="AE54871" s="54"/>
    </row>
    <row r="54872" spans="31:31">
      <c r="AE54872" s="54"/>
    </row>
    <row r="54873" spans="31:31">
      <c r="AE54873" s="54"/>
    </row>
    <row r="54874" spans="31:31">
      <c r="AE54874" s="54"/>
    </row>
    <row r="54875" spans="31:31">
      <c r="AE54875" s="54"/>
    </row>
    <row r="54876" spans="31:31">
      <c r="AE54876" s="54"/>
    </row>
    <row r="54877" spans="31:31">
      <c r="AE54877" s="54"/>
    </row>
    <row r="54878" spans="31:31">
      <c r="AE54878" s="54"/>
    </row>
    <row r="54879" spans="31:31">
      <c r="AE54879" s="54"/>
    </row>
    <row r="54880" spans="31:31">
      <c r="AE54880" s="54"/>
    </row>
    <row r="54881" spans="31:31">
      <c r="AE54881" s="54"/>
    </row>
    <row r="54882" spans="31:31">
      <c r="AE54882" s="54"/>
    </row>
    <row r="54883" spans="31:31">
      <c r="AE54883" s="54"/>
    </row>
    <row r="54884" spans="31:31">
      <c r="AE54884" s="54"/>
    </row>
    <row r="54885" spans="31:31">
      <c r="AE54885" s="54"/>
    </row>
    <row r="54886" spans="31:31">
      <c r="AE54886" s="54"/>
    </row>
    <row r="54887" spans="31:31">
      <c r="AE54887" s="54"/>
    </row>
    <row r="54888" spans="31:31">
      <c r="AE54888" s="54"/>
    </row>
    <row r="54889" spans="31:31">
      <c r="AE54889" s="54"/>
    </row>
    <row r="54890" spans="31:31">
      <c r="AE54890" s="54"/>
    </row>
    <row r="54891" spans="31:31">
      <c r="AE54891" s="54"/>
    </row>
    <row r="54892" spans="31:31">
      <c r="AE54892" s="54"/>
    </row>
    <row r="54893" spans="31:31">
      <c r="AE54893" s="54"/>
    </row>
    <row r="54894" spans="31:31">
      <c r="AE54894" s="54"/>
    </row>
    <row r="54895" spans="31:31">
      <c r="AE54895" s="54"/>
    </row>
    <row r="54896" spans="31:31">
      <c r="AE54896" s="54"/>
    </row>
    <row r="54897" spans="31:31">
      <c r="AE54897" s="54"/>
    </row>
    <row r="54898" spans="31:31">
      <c r="AE54898" s="54"/>
    </row>
    <row r="54899" spans="31:31">
      <c r="AE54899" s="54"/>
    </row>
    <row r="54900" spans="31:31">
      <c r="AE54900" s="54"/>
    </row>
    <row r="54901" spans="31:31">
      <c r="AE54901" s="54"/>
    </row>
    <row r="54902" spans="31:31">
      <c r="AE54902" s="54"/>
    </row>
    <row r="54903" spans="31:31">
      <c r="AE54903" s="54"/>
    </row>
    <row r="54904" spans="31:31">
      <c r="AE54904" s="54"/>
    </row>
    <row r="54905" spans="31:31">
      <c r="AE54905" s="54"/>
    </row>
    <row r="54906" spans="31:31">
      <c r="AE54906" s="54"/>
    </row>
    <row r="54907" spans="31:31">
      <c r="AE54907" s="54"/>
    </row>
    <row r="54908" spans="31:31">
      <c r="AE54908" s="54"/>
    </row>
    <row r="54909" spans="31:31">
      <c r="AE54909" s="54"/>
    </row>
    <row r="54910" spans="31:31">
      <c r="AE54910" s="54"/>
    </row>
    <row r="54911" spans="31:31">
      <c r="AE54911" s="54"/>
    </row>
    <row r="54912" spans="31:31">
      <c r="AE54912" s="54"/>
    </row>
    <row r="54913" spans="31:31">
      <c r="AE54913" s="54"/>
    </row>
    <row r="54914" spans="31:31">
      <c r="AE54914" s="54"/>
    </row>
    <row r="54915" spans="31:31">
      <c r="AE54915" s="54"/>
    </row>
    <row r="54916" spans="31:31">
      <c r="AE54916" s="54"/>
    </row>
    <row r="54917" spans="31:31">
      <c r="AE54917" s="54"/>
    </row>
    <row r="54918" spans="31:31">
      <c r="AE54918" s="54"/>
    </row>
    <row r="54919" spans="31:31">
      <c r="AE54919" s="54"/>
    </row>
    <row r="54920" spans="31:31">
      <c r="AE54920" s="54"/>
    </row>
    <row r="54921" spans="31:31">
      <c r="AE54921" s="54"/>
    </row>
    <row r="54922" spans="31:31">
      <c r="AE54922" s="54"/>
    </row>
    <row r="54923" spans="31:31">
      <c r="AE54923" s="54"/>
    </row>
    <row r="54924" spans="31:31">
      <c r="AE54924" s="54"/>
    </row>
    <row r="54925" spans="31:31">
      <c r="AE54925" s="54"/>
    </row>
    <row r="54926" spans="31:31">
      <c r="AE54926" s="54"/>
    </row>
    <row r="54927" spans="31:31">
      <c r="AE54927" s="54"/>
    </row>
    <row r="54928" spans="31:31">
      <c r="AE54928" s="54"/>
    </row>
    <row r="54929" spans="31:31">
      <c r="AE54929" s="54"/>
    </row>
    <row r="54930" spans="31:31">
      <c r="AE54930" s="54"/>
    </row>
    <row r="54931" spans="31:31">
      <c r="AE54931" s="54"/>
    </row>
    <row r="54932" spans="31:31">
      <c r="AE54932" s="54"/>
    </row>
    <row r="54933" spans="31:31">
      <c r="AE54933" s="54"/>
    </row>
    <row r="54934" spans="31:31">
      <c r="AE54934" s="54"/>
    </row>
    <row r="54935" spans="31:31">
      <c r="AE54935" s="54"/>
    </row>
    <row r="54936" spans="31:31">
      <c r="AE54936" s="54"/>
    </row>
    <row r="54937" spans="31:31">
      <c r="AE54937" s="54"/>
    </row>
    <row r="54938" spans="31:31">
      <c r="AE54938" s="54"/>
    </row>
    <row r="54939" spans="31:31">
      <c r="AE54939" s="54"/>
    </row>
    <row r="54940" spans="31:31">
      <c r="AE54940" s="54"/>
    </row>
    <row r="54941" spans="31:31">
      <c r="AE54941" s="54"/>
    </row>
    <row r="54942" spans="31:31">
      <c r="AE54942" s="54"/>
    </row>
    <row r="54943" spans="31:31">
      <c r="AE54943" s="54"/>
    </row>
    <row r="54944" spans="31:31">
      <c r="AE54944" s="54"/>
    </row>
    <row r="54945" spans="31:31">
      <c r="AE54945" s="54"/>
    </row>
    <row r="54946" spans="31:31">
      <c r="AE54946" s="54"/>
    </row>
    <row r="54947" spans="31:31">
      <c r="AE54947" s="54"/>
    </row>
    <row r="54948" spans="31:31">
      <c r="AE54948" s="54"/>
    </row>
    <row r="54949" spans="31:31">
      <c r="AE54949" s="54"/>
    </row>
    <row r="54950" spans="31:31">
      <c r="AE54950" s="54"/>
    </row>
    <row r="54951" spans="31:31">
      <c r="AE54951" s="54"/>
    </row>
    <row r="54952" spans="31:31">
      <c r="AE54952" s="54"/>
    </row>
    <row r="54953" spans="31:31">
      <c r="AE54953" s="54"/>
    </row>
    <row r="54954" spans="31:31">
      <c r="AE54954" s="54"/>
    </row>
    <row r="54955" spans="31:31">
      <c r="AE54955" s="54"/>
    </row>
    <row r="54956" spans="31:31">
      <c r="AE54956" s="54"/>
    </row>
    <row r="54957" spans="31:31">
      <c r="AE54957" s="54"/>
    </row>
    <row r="54958" spans="31:31">
      <c r="AE54958" s="54"/>
    </row>
    <row r="54959" spans="31:31">
      <c r="AE54959" s="54"/>
    </row>
    <row r="54960" spans="31:31">
      <c r="AE54960" s="54"/>
    </row>
    <row r="54961" spans="31:31">
      <c r="AE54961" s="54"/>
    </row>
    <row r="54962" spans="31:31">
      <c r="AE54962" s="54"/>
    </row>
    <row r="54963" spans="31:31">
      <c r="AE54963" s="54"/>
    </row>
    <row r="54964" spans="31:31">
      <c r="AE54964" s="54"/>
    </row>
    <row r="54965" spans="31:31">
      <c r="AE54965" s="54"/>
    </row>
    <row r="54966" spans="31:31">
      <c r="AE54966" s="54"/>
    </row>
    <row r="54967" spans="31:31">
      <c r="AE54967" s="54"/>
    </row>
    <row r="54968" spans="31:31">
      <c r="AE54968" s="54"/>
    </row>
    <row r="54969" spans="31:31">
      <c r="AE54969" s="54"/>
    </row>
    <row r="54970" spans="31:31">
      <c r="AE54970" s="54"/>
    </row>
    <row r="54971" spans="31:31">
      <c r="AE54971" s="54"/>
    </row>
    <row r="54972" spans="31:31">
      <c r="AE54972" s="54"/>
    </row>
    <row r="54973" spans="31:31">
      <c r="AE54973" s="54"/>
    </row>
    <row r="54974" spans="31:31">
      <c r="AE54974" s="54"/>
    </row>
    <row r="54975" spans="31:31">
      <c r="AE54975" s="54"/>
    </row>
    <row r="54976" spans="31:31">
      <c r="AE54976" s="54"/>
    </row>
    <row r="54977" spans="31:31">
      <c r="AE54977" s="54"/>
    </row>
    <row r="54978" spans="31:31">
      <c r="AE54978" s="54"/>
    </row>
    <row r="54979" spans="31:31">
      <c r="AE54979" s="54"/>
    </row>
    <row r="54980" spans="31:31">
      <c r="AE54980" s="54"/>
    </row>
    <row r="54981" spans="31:31">
      <c r="AE54981" s="54"/>
    </row>
    <row r="54982" spans="31:31">
      <c r="AE54982" s="54"/>
    </row>
    <row r="54983" spans="31:31">
      <c r="AE54983" s="54"/>
    </row>
    <row r="54984" spans="31:31">
      <c r="AE54984" s="54"/>
    </row>
    <row r="54985" spans="31:31">
      <c r="AE54985" s="54"/>
    </row>
    <row r="54986" spans="31:31">
      <c r="AE54986" s="54"/>
    </row>
    <row r="54987" spans="31:31">
      <c r="AE54987" s="54"/>
    </row>
    <row r="54988" spans="31:31">
      <c r="AE54988" s="54"/>
    </row>
    <row r="54989" spans="31:31">
      <c r="AE54989" s="54"/>
    </row>
    <row r="54990" spans="31:31">
      <c r="AE54990" s="54"/>
    </row>
    <row r="54991" spans="31:31">
      <c r="AE54991" s="54"/>
    </row>
    <row r="54992" spans="31:31">
      <c r="AE54992" s="54"/>
    </row>
    <row r="54993" spans="31:31">
      <c r="AE54993" s="54"/>
    </row>
    <row r="54994" spans="31:31">
      <c r="AE54994" s="54"/>
    </row>
    <row r="54995" spans="31:31">
      <c r="AE54995" s="54"/>
    </row>
    <row r="54996" spans="31:31">
      <c r="AE54996" s="54"/>
    </row>
    <row r="54997" spans="31:31">
      <c r="AE54997" s="54"/>
    </row>
    <row r="54998" spans="31:31">
      <c r="AE54998" s="54"/>
    </row>
    <row r="54999" spans="31:31">
      <c r="AE54999" s="54"/>
    </row>
    <row r="55000" spans="31:31">
      <c r="AE55000" s="54"/>
    </row>
    <row r="55001" spans="31:31">
      <c r="AE55001" s="54"/>
    </row>
    <row r="55002" spans="31:31">
      <c r="AE55002" s="54"/>
    </row>
    <row r="55003" spans="31:31">
      <c r="AE55003" s="54"/>
    </row>
    <row r="55004" spans="31:31">
      <c r="AE55004" s="54"/>
    </row>
    <row r="55005" spans="31:31">
      <c r="AE55005" s="54"/>
    </row>
    <row r="55006" spans="31:31">
      <c r="AE55006" s="54"/>
    </row>
    <row r="55007" spans="31:31">
      <c r="AE55007" s="54"/>
    </row>
    <row r="55008" spans="31:31">
      <c r="AE55008" s="54"/>
    </row>
    <row r="55009" spans="31:31">
      <c r="AE55009" s="54"/>
    </row>
    <row r="55010" spans="31:31">
      <c r="AE55010" s="54"/>
    </row>
    <row r="55011" spans="31:31">
      <c r="AE55011" s="54"/>
    </row>
    <row r="55012" spans="31:31">
      <c r="AE55012" s="54"/>
    </row>
    <row r="55013" spans="31:31">
      <c r="AE55013" s="54"/>
    </row>
    <row r="55014" spans="31:31">
      <c r="AE55014" s="54"/>
    </row>
    <row r="55015" spans="31:31">
      <c r="AE55015" s="54"/>
    </row>
    <row r="55016" spans="31:31">
      <c r="AE55016" s="54"/>
    </row>
    <row r="55017" spans="31:31">
      <c r="AE55017" s="54"/>
    </row>
    <row r="55018" spans="31:31">
      <c r="AE55018" s="54"/>
    </row>
    <row r="55019" spans="31:31">
      <c r="AE55019" s="54"/>
    </row>
    <row r="55020" spans="31:31">
      <c r="AE55020" s="54"/>
    </row>
    <row r="55021" spans="31:31">
      <c r="AE55021" s="54"/>
    </row>
    <row r="55022" spans="31:31">
      <c r="AE55022" s="54"/>
    </row>
    <row r="55023" spans="31:31">
      <c r="AE55023" s="54"/>
    </row>
    <row r="55024" spans="31:31">
      <c r="AE55024" s="54"/>
    </row>
    <row r="55025" spans="31:31">
      <c r="AE55025" s="54"/>
    </row>
    <row r="55026" spans="31:31">
      <c r="AE55026" s="54"/>
    </row>
    <row r="55027" spans="31:31">
      <c r="AE55027" s="54"/>
    </row>
    <row r="55028" spans="31:31">
      <c r="AE55028" s="54"/>
    </row>
    <row r="55029" spans="31:31">
      <c r="AE55029" s="54"/>
    </row>
    <row r="55030" spans="31:31">
      <c r="AE55030" s="54"/>
    </row>
    <row r="55031" spans="31:31">
      <c r="AE55031" s="54"/>
    </row>
    <row r="55032" spans="31:31">
      <c r="AE55032" s="54"/>
    </row>
    <row r="55033" spans="31:31">
      <c r="AE55033" s="54"/>
    </row>
    <row r="55034" spans="31:31">
      <c r="AE55034" s="54"/>
    </row>
    <row r="55035" spans="31:31">
      <c r="AE55035" s="54"/>
    </row>
    <row r="55036" spans="31:31">
      <c r="AE55036" s="54"/>
    </row>
    <row r="55037" spans="31:31">
      <c r="AE55037" s="54"/>
    </row>
    <row r="55038" spans="31:31">
      <c r="AE55038" s="54"/>
    </row>
    <row r="55039" spans="31:31">
      <c r="AE55039" s="54"/>
    </row>
    <row r="55040" spans="31:31">
      <c r="AE55040" s="54"/>
    </row>
    <row r="55041" spans="31:31">
      <c r="AE55041" s="54"/>
    </row>
    <row r="55042" spans="31:31">
      <c r="AE55042" s="54"/>
    </row>
    <row r="55043" spans="31:31">
      <c r="AE55043" s="54"/>
    </row>
    <row r="55044" spans="31:31">
      <c r="AE55044" s="54"/>
    </row>
    <row r="55045" spans="31:31">
      <c r="AE55045" s="54"/>
    </row>
    <row r="55046" spans="31:31">
      <c r="AE55046" s="54"/>
    </row>
    <row r="55047" spans="31:31">
      <c r="AE55047" s="54"/>
    </row>
    <row r="55048" spans="31:31">
      <c r="AE55048" s="54"/>
    </row>
    <row r="55049" spans="31:31">
      <c r="AE55049" s="54"/>
    </row>
    <row r="55050" spans="31:31">
      <c r="AE55050" s="54"/>
    </row>
    <row r="55051" spans="31:31">
      <c r="AE55051" s="54"/>
    </row>
    <row r="55052" spans="31:31">
      <c r="AE55052" s="54"/>
    </row>
    <row r="55053" spans="31:31">
      <c r="AE55053" s="54"/>
    </row>
    <row r="55054" spans="31:31">
      <c r="AE55054" s="54"/>
    </row>
    <row r="55055" spans="31:31">
      <c r="AE55055" s="54"/>
    </row>
    <row r="55056" spans="31:31">
      <c r="AE55056" s="54"/>
    </row>
    <row r="55057" spans="31:31">
      <c r="AE55057" s="54"/>
    </row>
    <row r="55058" spans="31:31">
      <c r="AE55058" s="54"/>
    </row>
    <row r="55059" spans="31:31">
      <c r="AE55059" s="54"/>
    </row>
    <row r="55060" spans="31:31">
      <c r="AE55060" s="54"/>
    </row>
    <row r="55061" spans="31:31">
      <c r="AE55061" s="54"/>
    </row>
    <row r="55062" spans="31:31">
      <c r="AE55062" s="54"/>
    </row>
    <row r="55063" spans="31:31">
      <c r="AE55063" s="54"/>
    </row>
    <row r="55064" spans="31:31">
      <c r="AE55064" s="54"/>
    </row>
    <row r="55065" spans="31:31">
      <c r="AE55065" s="54"/>
    </row>
    <row r="55066" spans="31:31">
      <c r="AE55066" s="54"/>
    </row>
    <row r="55067" spans="31:31">
      <c r="AE55067" s="54"/>
    </row>
    <row r="55068" spans="31:31">
      <c r="AE55068" s="54"/>
    </row>
    <row r="55069" spans="31:31">
      <c r="AE55069" s="54"/>
    </row>
    <row r="55070" spans="31:31">
      <c r="AE55070" s="54"/>
    </row>
    <row r="55071" spans="31:31">
      <c r="AE55071" s="54"/>
    </row>
    <row r="55072" spans="31:31">
      <c r="AE55072" s="54"/>
    </row>
    <row r="55073" spans="31:31">
      <c r="AE55073" s="54"/>
    </row>
    <row r="55074" spans="31:31">
      <c r="AE55074" s="54"/>
    </row>
    <row r="55075" spans="31:31">
      <c r="AE55075" s="54"/>
    </row>
    <row r="55076" spans="31:31">
      <c r="AE55076" s="54"/>
    </row>
    <row r="55077" spans="31:31">
      <c r="AE55077" s="54"/>
    </row>
    <row r="55078" spans="31:31">
      <c r="AE55078" s="54"/>
    </row>
    <row r="55079" spans="31:31">
      <c r="AE55079" s="54"/>
    </row>
    <row r="55080" spans="31:31">
      <c r="AE55080" s="54"/>
    </row>
    <row r="55081" spans="31:31">
      <c r="AE55081" s="54"/>
    </row>
    <row r="55082" spans="31:31">
      <c r="AE55082" s="54"/>
    </row>
    <row r="55083" spans="31:31">
      <c r="AE55083" s="54"/>
    </row>
    <row r="55084" spans="31:31">
      <c r="AE55084" s="54"/>
    </row>
    <row r="55085" spans="31:31">
      <c r="AE55085" s="54"/>
    </row>
    <row r="55086" spans="31:31">
      <c r="AE55086" s="54"/>
    </row>
    <row r="55087" spans="31:31">
      <c r="AE55087" s="54"/>
    </row>
    <row r="55088" spans="31:31">
      <c r="AE55088" s="54"/>
    </row>
    <row r="55089" spans="31:31">
      <c r="AE55089" s="54"/>
    </row>
    <row r="55090" spans="31:31">
      <c r="AE55090" s="54"/>
    </row>
    <row r="55091" spans="31:31">
      <c r="AE55091" s="54"/>
    </row>
    <row r="55092" spans="31:31">
      <c r="AE55092" s="54"/>
    </row>
    <row r="55093" spans="31:31">
      <c r="AE55093" s="54"/>
    </row>
    <row r="55094" spans="31:31">
      <c r="AE55094" s="54"/>
    </row>
    <row r="55095" spans="31:31">
      <c r="AE55095" s="54"/>
    </row>
    <row r="55096" spans="31:31">
      <c r="AE55096" s="54"/>
    </row>
    <row r="55097" spans="31:31">
      <c r="AE55097" s="54"/>
    </row>
    <row r="55098" spans="31:31">
      <c r="AE55098" s="54"/>
    </row>
    <row r="55099" spans="31:31">
      <c r="AE55099" s="54"/>
    </row>
    <row r="55100" spans="31:31">
      <c r="AE55100" s="54"/>
    </row>
    <row r="55101" spans="31:31">
      <c r="AE55101" s="54"/>
    </row>
    <row r="55102" spans="31:31">
      <c r="AE55102" s="54"/>
    </row>
    <row r="55103" spans="31:31">
      <c r="AE55103" s="54"/>
    </row>
    <row r="55104" spans="31:31">
      <c r="AE55104" s="54"/>
    </row>
    <row r="55105" spans="31:31">
      <c r="AE55105" s="54"/>
    </row>
    <row r="55106" spans="31:31">
      <c r="AE55106" s="54"/>
    </row>
    <row r="55107" spans="31:31">
      <c r="AE55107" s="54"/>
    </row>
    <row r="55108" spans="31:31">
      <c r="AE55108" s="54"/>
    </row>
    <row r="55109" spans="31:31">
      <c r="AE55109" s="54"/>
    </row>
    <row r="55110" spans="31:31">
      <c r="AE55110" s="54"/>
    </row>
    <row r="55111" spans="31:31">
      <c r="AE55111" s="54"/>
    </row>
    <row r="55112" spans="31:31">
      <c r="AE55112" s="54"/>
    </row>
    <row r="55113" spans="31:31">
      <c r="AE55113" s="54"/>
    </row>
    <row r="55114" spans="31:31">
      <c r="AE55114" s="54"/>
    </row>
    <row r="55115" spans="31:31">
      <c r="AE55115" s="54"/>
    </row>
    <row r="55116" spans="31:31">
      <c r="AE55116" s="54"/>
    </row>
    <row r="55117" spans="31:31">
      <c r="AE55117" s="54"/>
    </row>
    <row r="55118" spans="31:31">
      <c r="AE55118" s="54"/>
    </row>
    <row r="55119" spans="31:31">
      <c r="AE55119" s="54"/>
    </row>
    <row r="55120" spans="31:31">
      <c r="AE55120" s="54"/>
    </row>
    <row r="55121" spans="31:31">
      <c r="AE55121" s="54"/>
    </row>
    <row r="55122" spans="31:31">
      <c r="AE55122" s="54"/>
    </row>
    <row r="55123" spans="31:31">
      <c r="AE55123" s="54"/>
    </row>
    <row r="55124" spans="31:31">
      <c r="AE55124" s="54"/>
    </row>
    <row r="55125" spans="31:31">
      <c r="AE55125" s="54"/>
    </row>
    <row r="55126" spans="31:31">
      <c r="AE55126" s="54"/>
    </row>
    <row r="55127" spans="31:31">
      <c r="AE55127" s="54"/>
    </row>
    <row r="55128" spans="31:31">
      <c r="AE55128" s="54"/>
    </row>
    <row r="55129" spans="31:31">
      <c r="AE55129" s="54"/>
    </row>
    <row r="55130" spans="31:31">
      <c r="AE55130" s="54"/>
    </row>
    <row r="55131" spans="31:31">
      <c r="AE55131" s="54"/>
    </row>
    <row r="55132" spans="31:31">
      <c r="AE55132" s="54"/>
    </row>
    <row r="55133" spans="31:31">
      <c r="AE55133" s="54"/>
    </row>
    <row r="55134" spans="31:31">
      <c r="AE55134" s="54"/>
    </row>
    <row r="55135" spans="31:31">
      <c r="AE55135" s="54"/>
    </row>
    <row r="55136" spans="31:31">
      <c r="AE55136" s="54"/>
    </row>
    <row r="55137" spans="31:31">
      <c r="AE55137" s="54"/>
    </row>
    <row r="55138" spans="31:31">
      <c r="AE55138" s="54"/>
    </row>
    <row r="55139" spans="31:31">
      <c r="AE55139" s="54"/>
    </row>
    <row r="55140" spans="31:31">
      <c r="AE55140" s="54"/>
    </row>
    <row r="55141" spans="31:31">
      <c r="AE55141" s="54"/>
    </row>
    <row r="55142" spans="31:31">
      <c r="AE55142" s="54"/>
    </row>
    <row r="55143" spans="31:31">
      <c r="AE55143" s="54"/>
    </row>
    <row r="55144" spans="31:31">
      <c r="AE55144" s="54"/>
    </row>
    <row r="55145" spans="31:31">
      <c r="AE55145" s="54"/>
    </row>
    <row r="55146" spans="31:31">
      <c r="AE55146" s="54"/>
    </row>
    <row r="55147" spans="31:31">
      <c r="AE55147" s="54"/>
    </row>
    <row r="55148" spans="31:31">
      <c r="AE55148" s="54"/>
    </row>
    <row r="55149" spans="31:31">
      <c r="AE55149" s="54"/>
    </row>
    <row r="55150" spans="31:31">
      <c r="AE55150" s="54"/>
    </row>
    <row r="55151" spans="31:31">
      <c r="AE55151" s="54"/>
    </row>
    <row r="55152" spans="31:31">
      <c r="AE55152" s="54"/>
    </row>
    <row r="55153" spans="31:31">
      <c r="AE55153" s="54"/>
    </row>
    <row r="55154" spans="31:31">
      <c r="AE55154" s="54"/>
    </row>
    <row r="55155" spans="31:31">
      <c r="AE55155" s="54"/>
    </row>
    <row r="55156" spans="31:31">
      <c r="AE55156" s="54"/>
    </row>
    <row r="55157" spans="31:31">
      <c r="AE55157" s="54"/>
    </row>
    <row r="55158" spans="31:31">
      <c r="AE55158" s="54"/>
    </row>
    <row r="55159" spans="31:31">
      <c r="AE55159" s="54"/>
    </row>
    <row r="55160" spans="31:31">
      <c r="AE55160" s="54"/>
    </row>
    <row r="55161" spans="31:31">
      <c r="AE55161" s="54"/>
    </row>
    <row r="55162" spans="31:31">
      <c r="AE55162" s="54"/>
    </row>
    <row r="55163" spans="31:31">
      <c r="AE55163" s="54"/>
    </row>
    <row r="55164" spans="31:31">
      <c r="AE55164" s="54"/>
    </row>
    <row r="55165" spans="31:31">
      <c r="AE55165" s="54"/>
    </row>
    <row r="55166" spans="31:31">
      <c r="AE55166" s="54"/>
    </row>
    <row r="55167" spans="31:31">
      <c r="AE55167" s="54"/>
    </row>
    <row r="55168" spans="31:31">
      <c r="AE55168" s="54"/>
    </row>
    <row r="55169" spans="31:31">
      <c r="AE55169" s="54"/>
    </row>
    <row r="55170" spans="31:31">
      <c r="AE55170" s="54"/>
    </row>
    <row r="55171" spans="31:31">
      <c r="AE55171" s="54"/>
    </row>
    <row r="55172" spans="31:31">
      <c r="AE55172" s="54"/>
    </row>
    <row r="55173" spans="31:31">
      <c r="AE55173" s="54"/>
    </row>
    <row r="55174" spans="31:31">
      <c r="AE55174" s="54"/>
    </row>
    <row r="55175" spans="31:31">
      <c r="AE55175" s="54"/>
    </row>
    <row r="55176" spans="31:31">
      <c r="AE55176" s="54"/>
    </row>
    <row r="55177" spans="31:31">
      <c r="AE55177" s="54"/>
    </row>
    <row r="55178" spans="31:31">
      <c r="AE55178" s="54"/>
    </row>
    <row r="55179" spans="31:31">
      <c r="AE55179" s="54"/>
    </row>
    <row r="55180" spans="31:31">
      <c r="AE55180" s="54"/>
    </row>
    <row r="55181" spans="31:31">
      <c r="AE55181" s="54"/>
    </row>
    <row r="55182" spans="31:31">
      <c r="AE55182" s="54"/>
    </row>
    <row r="55183" spans="31:31">
      <c r="AE55183" s="54"/>
    </row>
    <row r="55184" spans="31:31">
      <c r="AE55184" s="54"/>
    </row>
    <row r="55185" spans="31:31">
      <c r="AE55185" s="54"/>
    </row>
    <row r="55186" spans="31:31">
      <c r="AE55186" s="54"/>
    </row>
    <row r="55187" spans="31:31">
      <c r="AE55187" s="54"/>
    </row>
    <row r="55188" spans="31:31">
      <c r="AE55188" s="54"/>
    </row>
    <row r="55189" spans="31:31">
      <c r="AE55189" s="54"/>
    </row>
    <row r="55190" spans="31:31">
      <c r="AE55190" s="54"/>
    </row>
    <row r="55191" spans="31:31">
      <c r="AE55191" s="54"/>
    </row>
    <row r="55192" spans="31:31">
      <c r="AE55192" s="54"/>
    </row>
    <row r="55193" spans="31:31">
      <c r="AE55193" s="54"/>
    </row>
    <row r="55194" spans="31:31">
      <c r="AE55194" s="54"/>
    </row>
    <row r="55195" spans="31:31">
      <c r="AE55195" s="54"/>
    </row>
    <row r="55196" spans="31:31">
      <c r="AE55196" s="54"/>
    </row>
    <row r="55197" spans="31:31">
      <c r="AE55197" s="54"/>
    </row>
    <row r="55198" spans="31:31">
      <c r="AE55198" s="54"/>
    </row>
    <row r="55199" spans="31:31">
      <c r="AE55199" s="54"/>
    </row>
    <row r="55200" spans="31:31">
      <c r="AE55200" s="54"/>
    </row>
    <row r="55201" spans="31:31">
      <c r="AE55201" s="54"/>
    </row>
    <row r="55202" spans="31:31">
      <c r="AE55202" s="54"/>
    </row>
    <row r="55203" spans="31:31">
      <c r="AE55203" s="54"/>
    </row>
    <row r="55204" spans="31:31">
      <c r="AE55204" s="54"/>
    </row>
    <row r="55205" spans="31:31">
      <c r="AE55205" s="54"/>
    </row>
    <row r="55206" spans="31:31">
      <c r="AE55206" s="54"/>
    </row>
    <row r="55207" spans="31:31">
      <c r="AE55207" s="54"/>
    </row>
    <row r="55208" spans="31:31">
      <c r="AE55208" s="54"/>
    </row>
    <row r="55209" spans="31:31">
      <c r="AE55209" s="54"/>
    </row>
    <row r="55210" spans="31:31">
      <c r="AE55210" s="54"/>
    </row>
    <row r="55211" spans="31:31">
      <c r="AE55211" s="54"/>
    </row>
    <row r="55212" spans="31:31">
      <c r="AE55212" s="54"/>
    </row>
    <row r="55213" spans="31:31">
      <c r="AE55213" s="54"/>
    </row>
    <row r="55214" spans="31:31">
      <c r="AE55214" s="54"/>
    </row>
    <row r="55215" spans="31:31">
      <c r="AE55215" s="54"/>
    </row>
    <row r="55216" spans="31:31">
      <c r="AE55216" s="54"/>
    </row>
    <row r="55217" spans="31:31">
      <c r="AE55217" s="54"/>
    </row>
    <row r="55218" spans="31:31">
      <c r="AE55218" s="54"/>
    </row>
    <row r="55219" spans="31:31">
      <c r="AE55219" s="54"/>
    </row>
    <row r="55220" spans="31:31">
      <c r="AE55220" s="54"/>
    </row>
    <row r="55221" spans="31:31">
      <c r="AE55221" s="54"/>
    </row>
    <row r="55222" spans="31:31">
      <c r="AE55222" s="54"/>
    </row>
    <row r="55223" spans="31:31">
      <c r="AE55223" s="54"/>
    </row>
    <row r="55224" spans="31:31">
      <c r="AE55224" s="54"/>
    </row>
    <row r="55225" spans="31:31">
      <c r="AE55225" s="54"/>
    </row>
    <row r="55226" spans="31:31">
      <c r="AE55226" s="54"/>
    </row>
    <row r="55227" spans="31:31">
      <c r="AE55227" s="54"/>
    </row>
    <row r="55228" spans="31:31">
      <c r="AE55228" s="54"/>
    </row>
    <row r="55229" spans="31:31">
      <c r="AE55229" s="54"/>
    </row>
    <row r="55230" spans="31:31">
      <c r="AE55230" s="54"/>
    </row>
    <row r="55231" spans="31:31">
      <c r="AE55231" s="54"/>
    </row>
    <row r="55232" spans="31:31">
      <c r="AE55232" s="54"/>
    </row>
    <row r="55233" spans="31:31">
      <c r="AE55233" s="54"/>
    </row>
    <row r="55234" spans="31:31">
      <c r="AE55234" s="54"/>
    </row>
    <row r="55235" spans="31:31">
      <c r="AE55235" s="54"/>
    </row>
    <row r="55236" spans="31:31">
      <c r="AE55236" s="54"/>
    </row>
    <row r="55237" spans="31:31">
      <c r="AE55237" s="54"/>
    </row>
    <row r="55238" spans="31:31">
      <c r="AE55238" s="54"/>
    </row>
    <row r="55239" spans="31:31">
      <c r="AE55239" s="54"/>
    </row>
    <row r="55240" spans="31:31">
      <c r="AE55240" s="54"/>
    </row>
    <row r="55241" spans="31:31">
      <c r="AE55241" s="54"/>
    </row>
    <row r="55242" spans="31:31">
      <c r="AE55242" s="54"/>
    </row>
    <row r="55243" spans="31:31">
      <c r="AE55243" s="54"/>
    </row>
    <row r="55244" spans="31:31">
      <c r="AE55244" s="54"/>
    </row>
    <row r="55245" spans="31:31">
      <c r="AE55245" s="54"/>
    </row>
    <row r="55246" spans="31:31">
      <c r="AE55246" s="54"/>
    </row>
    <row r="55247" spans="31:31">
      <c r="AE55247" s="54"/>
    </row>
    <row r="55248" spans="31:31">
      <c r="AE55248" s="54"/>
    </row>
    <row r="55249" spans="31:31">
      <c r="AE55249" s="54"/>
    </row>
    <row r="55250" spans="31:31">
      <c r="AE55250" s="54"/>
    </row>
    <row r="55251" spans="31:31">
      <c r="AE55251" s="54"/>
    </row>
    <row r="55252" spans="31:31">
      <c r="AE55252" s="54"/>
    </row>
    <row r="55253" spans="31:31">
      <c r="AE55253" s="54"/>
    </row>
    <row r="55254" spans="31:31">
      <c r="AE55254" s="54"/>
    </row>
    <row r="55255" spans="31:31">
      <c r="AE55255" s="54"/>
    </row>
    <row r="55256" spans="31:31">
      <c r="AE55256" s="54"/>
    </row>
    <row r="55257" spans="31:31">
      <c r="AE55257" s="54"/>
    </row>
    <row r="55258" spans="31:31">
      <c r="AE55258" s="54"/>
    </row>
    <row r="55259" spans="31:31">
      <c r="AE55259" s="54"/>
    </row>
    <row r="55260" spans="31:31">
      <c r="AE55260" s="54"/>
    </row>
    <row r="55261" spans="31:31">
      <c r="AE55261" s="54"/>
    </row>
    <row r="55262" spans="31:31">
      <c r="AE55262" s="54"/>
    </row>
    <row r="55263" spans="31:31">
      <c r="AE55263" s="54"/>
    </row>
    <row r="55264" spans="31:31">
      <c r="AE55264" s="54"/>
    </row>
    <row r="55265" spans="31:31">
      <c r="AE55265" s="54"/>
    </row>
    <row r="55266" spans="31:31">
      <c r="AE55266" s="54"/>
    </row>
    <row r="55267" spans="31:31">
      <c r="AE55267" s="54"/>
    </row>
    <row r="55268" spans="31:31">
      <c r="AE55268" s="54"/>
    </row>
    <row r="55269" spans="31:31">
      <c r="AE55269" s="54"/>
    </row>
    <row r="55270" spans="31:31">
      <c r="AE55270" s="54"/>
    </row>
    <row r="55271" spans="31:31">
      <c r="AE55271" s="54"/>
    </row>
    <row r="55272" spans="31:31">
      <c r="AE55272" s="54"/>
    </row>
    <row r="55273" spans="31:31">
      <c r="AE55273" s="54"/>
    </row>
    <row r="55274" spans="31:31">
      <c r="AE55274" s="54"/>
    </row>
    <row r="55275" spans="31:31">
      <c r="AE55275" s="54"/>
    </row>
    <row r="55276" spans="31:31">
      <c r="AE55276" s="54"/>
    </row>
    <row r="55277" spans="31:31">
      <c r="AE55277" s="54"/>
    </row>
    <row r="55278" spans="31:31">
      <c r="AE55278" s="54"/>
    </row>
    <row r="55279" spans="31:31">
      <c r="AE55279" s="54"/>
    </row>
    <row r="55280" spans="31:31">
      <c r="AE55280" s="54"/>
    </row>
    <row r="55281" spans="31:31">
      <c r="AE55281" s="54"/>
    </row>
    <row r="55282" spans="31:31">
      <c r="AE55282" s="54"/>
    </row>
    <row r="55283" spans="31:31">
      <c r="AE55283" s="54"/>
    </row>
    <row r="55284" spans="31:31">
      <c r="AE55284" s="54"/>
    </row>
    <row r="55285" spans="31:31">
      <c r="AE55285" s="54"/>
    </row>
    <row r="55286" spans="31:31">
      <c r="AE55286" s="54"/>
    </row>
    <row r="55287" spans="31:31">
      <c r="AE55287" s="54"/>
    </row>
    <row r="55288" spans="31:31">
      <c r="AE55288" s="54"/>
    </row>
    <row r="55289" spans="31:31">
      <c r="AE55289" s="54"/>
    </row>
    <row r="55290" spans="31:31">
      <c r="AE55290" s="54"/>
    </row>
    <row r="55291" spans="31:31">
      <c r="AE55291" s="54"/>
    </row>
    <row r="55292" spans="31:31">
      <c r="AE55292" s="54"/>
    </row>
    <row r="55293" spans="31:31">
      <c r="AE55293" s="54"/>
    </row>
    <row r="55294" spans="31:31">
      <c r="AE55294" s="54"/>
    </row>
    <row r="55295" spans="31:31">
      <c r="AE55295" s="54"/>
    </row>
    <row r="55296" spans="31:31">
      <c r="AE55296" s="54"/>
    </row>
    <row r="55297" spans="31:31">
      <c r="AE55297" s="54"/>
    </row>
    <row r="55298" spans="31:31">
      <c r="AE55298" s="54"/>
    </row>
    <row r="55299" spans="31:31">
      <c r="AE55299" s="54"/>
    </row>
    <row r="55300" spans="31:31">
      <c r="AE55300" s="54"/>
    </row>
    <row r="55301" spans="31:31">
      <c r="AE55301" s="54"/>
    </row>
    <row r="55302" spans="31:31">
      <c r="AE55302" s="54"/>
    </row>
    <row r="55303" spans="31:31">
      <c r="AE55303" s="54"/>
    </row>
    <row r="55304" spans="31:31">
      <c r="AE55304" s="54"/>
    </row>
    <row r="55305" spans="31:31">
      <c r="AE55305" s="54"/>
    </row>
    <row r="55306" spans="31:31">
      <c r="AE55306" s="54"/>
    </row>
    <row r="55307" spans="31:31">
      <c r="AE55307" s="54"/>
    </row>
    <row r="55308" spans="31:31">
      <c r="AE55308" s="54"/>
    </row>
    <row r="55309" spans="31:31">
      <c r="AE55309" s="54"/>
    </row>
    <row r="55310" spans="31:31">
      <c r="AE55310" s="54"/>
    </row>
    <row r="55311" spans="31:31">
      <c r="AE55311" s="54"/>
    </row>
    <row r="55312" spans="31:31">
      <c r="AE55312" s="54"/>
    </row>
    <row r="55313" spans="31:31">
      <c r="AE55313" s="54"/>
    </row>
    <row r="55314" spans="31:31">
      <c r="AE55314" s="54"/>
    </row>
    <row r="55315" spans="31:31">
      <c r="AE55315" s="54"/>
    </row>
    <row r="55316" spans="31:31">
      <c r="AE55316" s="54"/>
    </row>
    <row r="55317" spans="31:31">
      <c r="AE55317" s="54"/>
    </row>
    <row r="55318" spans="31:31">
      <c r="AE55318" s="54"/>
    </row>
    <row r="55319" spans="31:31">
      <c r="AE55319" s="54"/>
    </row>
    <row r="55320" spans="31:31">
      <c r="AE55320" s="54"/>
    </row>
    <row r="55321" spans="31:31">
      <c r="AE55321" s="54"/>
    </row>
    <row r="55322" spans="31:31">
      <c r="AE55322" s="54"/>
    </row>
    <row r="55323" spans="31:31">
      <c r="AE55323" s="54"/>
    </row>
    <row r="55324" spans="31:31">
      <c r="AE55324" s="54"/>
    </row>
    <row r="55325" spans="31:31">
      <c r="AE55325" s="54"/>
    </row>
    <row r="55326" spans="31:31">
      <c r="AE55326" s="54"/>
    </row>
    <row r="55327" spans="31:31">
      <c r="AE55327" s="54"/>
    </row>
    <row r="55328" spans="31:31">
      <c r="AE55328" s="54"/>
    </row>
    <row r="55329" spans="31:31">
      <c r="AE55329" s="54"/>
    </row>
    <row r="55330" spans="31:31">
      <c r="AE55330" s="54"/>
    </row>
    <row r="55331" spans="31:31">
      <c r="AE55331" s="54"/>
    </row>
    <row r="55332" spans="31:31">
      <c r="AE55332" s="54"/>
    </row>
    <row r="55333" spans="31:31">
      <c r="AE55333" s="54"/>
    </row>
    <row r="55334" spans="31:31">
      <c r="AE55334" s="54"/>
    </row>
    <row r="55335" spans="31:31">
      <c r="AE55335" s="54"/>
    </row>
    <row r="55336" spans="31:31">
      <c r="AE55336" s="54"/>
    </row>
    <row r="55337" spans="31:31">
      <c r="AE55337" s="54"/>
    </row>
    <row r="55338" spans="31:31">
      <c r="AE55338" s="54"/>
    </row>
    <row r="55339" spans="31:31">
      <c r="AE55339" s="54"/>
    </row>
    <row r="55340" spans="31:31">
      <c r="AE55340" s="54"/>
    </row>
    <row r="55341" spans="31:31">
      <c r="AE55341" s="54"/>
    </row>
    <row r="55342" spans="31:31">
      <c r="AE55342" s="54"/>
    </row>
    <row r="55343" spans="31:31">
      <c r="AE55343" s="54"/>
    </row>
    <row r="55344" spans="31:31">
      <c r="AE55344" s="54"/>
    </row>
    <row r="55345" spans="31:31">
      <c r="AE55345" s="54"/>
    </row>
    <row r="55346" spans="31:31">
      <c r="AE55346" s="54"/>
    </row>
    <row r="55347" spans="31:31">
      <c r="AE55347" s="54"/>
    </row>
    <row r="55348" spans="31:31">
      <c r="AE55348" s="54"/>
    </row>
    <row r="55349" spans="31:31">
      <c r="AE55349" s="54"/>
    </row>
    <row r="55350" spans="31:31">
      <c r="AE55350" s="54"/>
    </row>
    <row r="55351" spans="31:31">
      <c r="AE55351" s="54"/>
    </row>
    <row r="55352" spans="31:31">
      <c r="AE55352" s="54"/>
    </row>
    <row r="55353" spans="31:31">
      <c r="AE55353" s="54"/>
    </row>
    <row r="55354" spans="31:31">
      <c r="AE55354" s="54"/>
    </row>
    <row r="55355" spans="31:31">
      <c r="AE55355" s="54"/>
    </row>
    <row r="55356" spans="31:31">
      <c r="AE55356" s="54"/>
    </row>
    <row r="55357" spans="31:31">
      <c r="AE55357" s="54"/>
    </row>
    <row r="55358" spans="31:31">
      <c r="AE55358" s="54"/>
    </row>
    <row r="55359" spans="31:31">
      <c r="AE55359" s="54"/>
    </row>
    <row r="55360" spans="31:31">
      <c r="AE55360" s="54"/>
    </row>
    <row r="55361" spans="31:31">
      <c r="AE55361" s="54"/>
    </row>
    <row r="55362" spans="31:31">
      <c r="AE55362" s="54"/>
    </row>
    <row r="55363" spans="31:31">
      <c r="AE55363" s="54"/>
    </row>
    <row r="55364" spans="31:31">
      <c r="AE55364" s="54"/>
    </row>
    <row r="55365" spans="31:31">
      <c r="AE55365" s="54"/>
    </row>
    <row r="55366" spans="31:31">
      <c r="AE55366" s="54"/>
    </row>
    <row r="55367" spans="31:31">
      <c r="AE55367" s="54"/>
    </row>
    <row r="55368" spans="31:31">
      <c r="AE55368" s="54"/>
    </row>
    <row r="55369" spans="31:31">
      <c r="AE55369" s="54"/>
    </row>
    <row r="55370" spans="31:31">
      <c r="AE55370" s="54"/>
    </row>
    <row r="55371" spans="31:31">
      <c r="AE55371" s="54"/>
    </row>
    <row r="55372" spans="31:31">
      <c r="AE55372" s="54"/>
    </row>
    <row r="55373" spans="31:31">
      <c r="AE55373" s="54"/>
    </row>
    <row r="55374" spans="31:31">
      <c r="AE55374" s="54"/>
    </row>
    <row r="55375" spans="31:31">
      <c r="AE55375" s="54"/>
    </row>
    <row r="55376" spans="31:31">
      <c r="AE55376" s="54"/>
    </row>
    <row r="55377" spans="31:31">
      <c r="AE55377" s="54"/>
    </row>
    <row r="55378" spans="31:31">
      <c r="AE55378" s="54"/>
    </row>
    <row r="55379" spans="31:31">
      <c r="AE55379" s="54"/>
    </row>
    <row r="55380" spans="31:31">
      <c r="AE55380" s="54"/>
    </row>
    <row r="55381" spans="31:31">
      <c r="AE55381" s="54"/>
    </row>
    <row r="55382" spans="31:31">
      <c r="AE55382" s="54"/>
    </row>
    <row r="55383" spans="31:31">
      <c r="AE55383" s="54"/>
    </row>
    <row r="55384" spans="31:31">
      <c r="AE55384" s="54"/>
    </row>
    <row r="55385" spans="31:31">
      <c r="AE55385" s="54"/>
    </row>
    <row r="55386" spans="31:31">
      <c r="AE55386" s="54"/>
    </row>
    <row r="55387" spans="31:31">
      <c r="AE55387" s="54"/>
    </row>
    <row r="55388" spans="31:31">
      <c r="AE55388" s="54"/>
    </row>
    <row r="55389" spans="31:31">
      <c r="AE55389" s="54"/>
    </row>
    <row r="55390" spans="31:31">
      <c r="AE55390" s="54"/>
    </row>
    <row r="55391" spans="31:31">
      <c r="AE55391" s="54"/>
    </row>
    <row r="55392" spans="31:31">
      <c r="AE55392" s="54"/>
    </row>
    <row r="55393" spans="31:31">
      <c r="AE55393" s="54"/>
    </row>
    <row r="55394" spans="31:31">
      <c r="AE55394" s="54"/>
    </row>
    <row r="55395" spans="31:31">
      <c r="AE55395" s="54"/>
    </row>
    <row r="55396" spans="31:31">
      <c r="AE55396" s="54"/>
    </row>
    <row r="55397" spans="31:31">
      <c r="AE55397" s="54"/>
    </row>
    <row r="55398" spans="31:31">
      <c r="AE55398" s="54"/>
    </row>
    <row r="55399" spans="31:31">
      <c r="AE55399" s="54"/>
    </row>
    <row r="55400" spans="31:31">
      <c r="AE55400" s="54"/>
    </row>
    <row r="55401" spans="31:31">
      <c r="AE55401" s="54"/>
    </row>
    <row r="55402" spans="31:31">
      <c r="AE55402" s="54"/>
    </row>
    <row r="55403" spans="31:31">
      <c r="AE55403" s="54"/>
    </row>
    <row r="55404" spans="31:31">
      <c r="AE55404" s="54"/>
    </row>
    <row r="55405" spans="31:31">
      <c r="AE55405" s="54"/>
    </row>
    <row r="55406" spans="31:31">
      <c r="AE55406" s="54"/>
    </row>
    <row r="55407" spans="31:31">
      <c r="AE55407" s="54"/>
    </row>
    <row r="55408" spans="31:31">
      <c r="AE55408" s="54"/>
    </row>
    <row r="55409" spans="31:31">
      <c r="AE55409" s="54"/>
    </row>
    <row r="55410" spans="31:31">
      <c r="AE55410" s="54"/>
    </row>
    <row r="55411" spans="31:31">
      <c r="AE55411" s="54"/>
    </row>
    <row r="55412" spans="31:31">
      <c r="AE55412" s="54"/>
    </row>
    <row r="55413" spans="31:31">
      <c r="AE55413" s="54"/>
    </row>
    <row r="55414" spans="31:31">
      <c r="AE55414" s="54"/>
    </row>
    <row r="55415" spans="31:31">
      <c r="AE55415" s="54"/>
    </row>
    <row r="55416" spans="31:31">
      <c r="AE55416" s="54"/>
    </row>
    <row r="55417" spans="31:31">
      <c r="AE55417" s="54"/>
    </row>
    <row r="55418" spans="31:31">
      <c r="AE55418" s="54"/>
    </row>
    <row r="55419" spans="31:31">
      <c r="AE55419" s="54"/>
    </row>
    <row r="55420" spans="31:31">
      <c r="AE55420" s="54"/>
    </row>
    <row r="55421" spans="31:31">
      <c r="AE55421" s="54"/>
    </row>
    <row r="55422" spans="31:31">
      <c r="AE55422" s="54"/>
    </row>
    <row r="55423" spans="31:31">
      <c r="AE55423" s="54"/>
    </row>
    <row r="55424" spans="31:31">
      <c r="AE55424" s="54"/>
    </row>
    <row r="55425" spans="31:31">
      <c r="AE55425" s="54"/>
    </row>
    <row r="55426" spans="31:31">
      <c r="AE55426" s="54"/>
    </row>
    <row r="55427" spans="31:31">
      <c r="AE55427" s="54"/>
    </row>
    <row r="55428" spans="31:31">
      <c r="AE55428" s="54"/>
    </row>
    <row r="55429" spans="31:31">
      <c r="AE55429" s="54"/>
    </row>
    <row r="55430" spans="31:31">
      <c r="AE55430" s="54"/>
    </row>
    <row r="55431" spans="31:31">
      <c r="AE55431" s="54"/>
    </row>
    <row r="55432" spans="31:31">
      <c r="AE55432" s="54"/>
    </row>
    <row r="55433" spans="31:31">
      <c r="AE55433" s="54"/>
    </row>
    <row r="55434" spans="31:31">
      <c r="AE55434" s="54"/>
    </row>
    <row r="55435" spans="31:31">
      <c r="AE55435" s="54"/>
    </row>
    <row r="55436" spans="31:31">
      <c r="AE55436" s="54"/>
    </row>
    <row r="55437" spans="31:31">
      <c r="AE55437" s="54"/>
    </row>
    <row r="55438" spans="31:31">
      <c r="AE55438" s="54"/>
    </row>
    <row r="55439" spans="31:31">
      <c r="AE55439" s="54"/>
    </row>
    <row r="55440" spans="31:31">
      <c r="AE55440" s="54"/>
    </row>
    <row r="55441" spans="31:31">
      <c r="AE55441" s="54"/>
    </row>
    <row r="55442" spans="31:31">
      <c r="AE55442" s="54"/>
    </row>
    <row r="55443" spans="31:31">
      <c r="AE55443" s="54"/>
    </row>
    <row r="55444" spans="31:31">
      <c r="AE55444" s="54"/>
    </row>
    <row r="55445" spans="31:31">
      <c r="AE55445" s="54"/>
    </row>
    <row r="55446" spans="31:31">
      <c r="AE55446" s="54"/>
    </row>
    <row r="55447" spans="31:31">
      <c r="AE55447" s="54"/>
    </row>
    <row r="55448" spans="31:31">
      <c r="AE55448" s="54"/>
    </row>
    <row r="55449" spans="31:31">
      <c r="AE55449" s="54"/>
    </row>
    <row r="55450" spans="31:31">
      <c r="AE55450" s="54"/>
    </row>
    <row r="55451" spans="31:31">
      <c r="AE55451" s="54"/>
    </row>
    <row r="55452" spans="31:31">
      <c r="AE55452" s="54"/>
    </row>
    <row r="55453" spans="31:31">
      <c r="AE55453" s="54"/>
    </row>
    <row r="55454" spans="31:31">
      <c r="AE55454" s="54"/>
    </row>
    <row r="55455" spans="31:31">
      <c r="AE55455" s="54"/>
    </row>
    <row r="55456" spans="31:31">
      <c r="AE55456" s="54"/>
    </row>
    <row r="55457" spans="31:31">
      <c r="AE55457" s="54"/>
    </row>
    <row r="55458" spans="31:31">
      <c r="AE55458" s="54"/>
    </row>
    <row r="55459" spans="31:31">
      <c r="AE55459" s="54"/>
    </row>
    <row r="55460" spans="31:31">
      <c r="AE55460" s="54"/>
    </row>
    <row r="55461" spans="31:31">
      <c r="AE55461" s="54"/>
    </row>
    <row r="55462" spans="31:31">
      <c r="AE55462" s="54"/>
    </row>
    <row r="55463" spans="31:31">
      <c r="AE55463" s="54"/>
    </row>
    <row r="55464" spans="31:31">
      <c r="AE55464" s="54"/>
    </row>
    <row r="55465" spans="31:31">
      <c r="AE55465" s="54"/>
    </row>
    <row r="55466" spans="31:31">
      <c r="AE55466" s="54"/>
    </row>
    <row r="55467" spans="31:31">
      <c r="AE55467" s="54"/>
    </row>
    <row r="55468" spans="31:31">
      <c r="AE55468" s="54"/>
    </row>
    <row r="55469" spans="31:31">
      <c r="AE55469" s="54"/>
    </row>
    <row r="55470" spans="31:31">
      <c r="AE55470" s="54"/>
    </row>
    <row r="55471" spans="31:31">
      <c r="AE55471" s="54"/>
    </row>
    <row r="55472" spans="31:31">
      <c r="AE55472" s="54"/>
    </row>
    <row r="55473" spans="31:31">
      <c r="AE55473" s="54"/>
    </row>
    <row r="55474" spans="31:31">
      <c r="AE55474" s="54"/>
    </row>
    <row r="55475" spans="31:31">
      <c r="AE55475" s="54"/>
    </row>
    <row r="55476" spans="31:31">
      <c r="AE55476" s="54"/>
    </row>
    <row r="55477" spans="31:31">
      <c r="AE55477" s="54"/>
    </row>
    <row r="55478" spans="31:31">
      <c r="AE55478" s="54"/>
    </row>
    <row r="55479" spans="31:31">
      <c r="AE55479" s="54"/>
    </row>
    <row r="55480" spans="31:31">
      <c r="AE55480" s="54"/>
    </row>
    <row r="55481" spans="31:31">
      <c r="AE55481" s="54"/>
    </row>
    <row r="55482" spans="31:31">
      <c r="AE55482" s="54"/>
    </row>
    <row r="55483" spans="31:31">
      <c r="AE55483" s="54"/>
    </row>
    <row r="55484" spans="31:31">
      <c r="AE55484" s="54"/>
    </row>
    <row r="55485" spans="31:31">
      <c r="AE55485" s="54"/>
    </row>
    <row r="55486" spans="31:31">
      <c r="AE55486" s="54"/>
    </row>
    <row r="55487" spans="31:31">
      <c r="AE55487" s="54"/>
    </row>
    <row r="55488" spans="31:31">
      <c r="AE55488" s="54"/>
    </row>
    <row r="55489" spans="31:31">
      <c r="AE55489" s="54"/>
    </row>
    <row r="55490" spans="31:31">
      <c r="AE55490" s="54"/>
    </row>
    <row r="55491" spans="31:31">
      <c r="AE55491" s="54"/>
    </row>
    <row r="55492" spans="31:31">
      <c r="AE55492" s="54"/>
    </row>
    <row r="55493" spans="31:31">
      <c r="AE55493" s="54"/>
    </row>
    <row r="55494" spans="31:31">
      <c r="AE55494" s="54"/>
    </row>
    <row r="55495" spans="31:31">
      <c r="AE55495" s="54"/>
    </row>
    <row r="55496" spans="31:31">
      <c r="AE55496" s="54"/>
    </row>
    <row r="55497" spans="31:31">
      <c r="AE55497" s="54"/>
    </row>
    <row r="55498" spans="31:31">
      <c r="AE55498" s="54"/>
    </row>
    <row r="55499" spans="31:31">
      <c r="AE55499" s="54"/>
    </row>
    <row r="55500" spans="31:31">
      <c r="AE55500" s="54"/>
    </row>
    <row r="55501" spans="31:31">
      <c r="AE55501" s="54"/>
    </row>
    <row r="55502" spans="31:31">
      <c r="AE55502" s="54"/>
    </row>
    <row r="55503" spans="31:31">
      <c r="AE55503" s="54"/>
    </row>
    <row r="55504" spans="31:31">
      <c r="AE55504" s="54"/>
    </row>
    <row r="55505" spans="31:31">
      <c r="AE55505" s="54"/>
    </row>
    <row r="55506" spans="31:31">
      <c r="AE55506" s="54"/>
    </row>
    <row r="55507" spans="31:31">
      <c r="AE55507" s="54"/>
    </row>
    <row r="55508" spans="31:31">
      <c r="AE55508" s="54"/>
    </row>
    <row r="55509" spans="31:31">
      <c r="AE55509" s="54"/>
    </row>
    <row r="55510" spans="31:31">
      <c r="AE55510" s="54"/>
    </row>
    <row r="55511" spans="31:31">
      <c r="AE55511" s="54"/>
    </row>
    <row r="55512" spans="31:31">
      <c r="AE55512" s="54"/>
    </row>
    <row r="55513" spans="31:31">
      <c r="AE55513" s="54"/>
    </row>
    <row r="55514" spans="31:31">
      <c r="AE55514" s="54"/>
    </row>
    <row r="55515" spans="31:31">
      <c r="AE55515" s="54"/>
    </row>
    <row r="55516" spans="31:31">
      <c r="AE55516" s="54"/>
    </row>
    <row r="55517" spans="31:31">
      <c r="AE55517" s="54"/>
    </row>
    <row r="55518" spans="31:31">
      <c r="AE55518" s="54"/>
    </row>
    <row r="55519" spans="31:31">
      <c r="AE55519" s="54"/>
    </row>
    <row r="55520" spans="31:31">
      <c r="AE55520" s="54"/>
    </row>
    <row r="55521" spans="31:31">
      <c r="AE55521" s="54"/>
    </row>
    <row r="55522" spans="31:31">
      <c r="AE55522" s="54"/>
    </row>
    <row r="55523" spans="31:31">
      <c r="AE55523" s="54"/>
    </row>
    <row r="55524" spans="31:31">
      <c r="AE55524" s="54"/>
    </row>
    <row r="55525" spans="31:31">
      <c r="AE55525" s="54"/>
    </row>
    <row r="55526" spans="31:31">
      <c r="AE55526" s="54"/>
    </row>
    <row r="55527" spans="31:31">
      <c r="AE55527" s="54"/>
    </row>
    <row r="55528" spans="31:31">
      <c r="AE55528" s="54"/>
    </row>
    <row r="55529" spans="31:31">
      <c r="AE55529" s="54"/>
    </row>
    <row r="55530" spans="31:31">
      <c r="AE55530" s="54"/>
    </row>
    <row r="55531" spans="31:31">
      <c r="AE55531" s="54"/>
    </row>
    <row r="55532" spans="31:31">
      <c r="AE55532" s="54"/>
    </row>
    <row r="55533" spans="31:31">
      <c r="AE55533" s="54"/>
    </row>
    <row r="55534" spans="31:31">
      <c r="AE55534" s="54"/>
    </row>
    <row r="55535" spans="31:31">
      <c r="AE55535" s="54"/>
    </row>
    <row r="55536" spans="31:31">
      <c r="AE55536" s="54"/>
    </row>
    <row r="55537" spans="31:31">
      <c r="AE55537" s="54"/>
    </row>
    <row r="55538" spans="31:31">
      <c r="AE55538" s="54"/>
    </row>
    <row r="55539" spans="31:31">
      <c r="AE55539" s="54"/>
    </row>
    <row r="55540" spans="31:31">
      <c r="AE55540" s="54"/>
    </row>
    <row r="55541" spans="31:31">
      <c r="AE55541" s="54"/>
    </row>
    <row r="55542" spans="31:31">
      <c r="AE55542" s="54"/>
    </row>
    <row r="55543" spans="31:31">
      <c r="AE55543" s="54"/>
    </row>
    <row r="55544" spans="31:31">
      <c r="AE55544" s="54"/>
    </row>
    <row r="55545" spans="31:31">
      <c r="AE55545" s="54"/>
    </row>
    <row r="55546" spans="31:31">
      <c r="AE55546" s="54"/>
    </row>
    <row r="55547" spans="31:31">
      <c r="AE55547" s="54"/>
    </row>
    <row r="55548" spans="31:31">
      <c r="AE55548" s="54"/>
    </row>
    <row r="55549" spans="31:31">
      <c r="AE55549" s="54"/>
    </row>
    <row r="55550" spans="31:31">
      <c r="AE55550" s="54"/>
    </row>
    <row r="55551" spans="31:31">
      <c r="AE55551" s="54"/>
    </row>
    <row r="55552" spans="31:31">
      <c r="AE55552" s="54"/>
    </row>
    <row r="55553" spans="31:31">
      <c r="AE55553" s="54"/>
    </row>
    <row r="55554" spans="31:31">
      <c r="AE55554" s="54"/>
    </row>
    <row r="55555" spans="31:31">
      <c r="AE55555" s="54"/>
    </row>
    <row r="55556" spans="31:31">
      <c r="AE55556" s="54"/>
    </row>
    <row r="55557" spans="31:31">
      <c r="AE55557" s="54"/>
    </row>
    <row r="55558" spans="31:31">
      <c r="AE55558" s="54"/>
    </row>
    <row r="55559" spans="31:31">
      <c r="AE55559" s="54"/>
    </row>
    <row r="55560" spans="31:31">
      <c r="AE55560" s="54"/>
    </row>
    <row r="55561" spans="31:31">
      <c r="AE55561" s="54"/>
    </row>
    <row r="55562" spans="31:31">
      <c r="AE55562" s="54"/>
    </row>
    <row r="55563" spans="31:31">
      <c r="AE55563" s="54"/>
    </row>
    <row r="55564" spans="31:31">
      <c r="AE55564" s="54"/>
    </row>
    <row r="55565" spans="31:31">
      <c r="AE55565" s="54"/>
    </row>
    <row r="55566" spans="31:31">
      <c r="AE55566" s="54"/>
    </row>
    <row r="55567" spans="31:31">
      <c r="AE55567" s="54"/>
    </row>
    <row r="55568" spans="31:31">
      <c r="AE55568" s="54"/>
    </row>
    <row r="55569" spans="31:31">
      <c r="AE55569" s="54"/>
    </row>
    <row r="55570" spans="31:31">
      <c r="AE55570" s="54"/>
    </row>
    <row r="55571" spans="31:31">
      <c r="AE55571" s="54"/>
    </row>
    <row r="55572" spans="31:31">
      <c r="AE55572" s="54"/>
    </row>
    <row r="55573" spans="31:31">
      <c r="AE55573" s="54"/>
    </row>
    <row r="55574" spans="31:31">
      <c r="AE55574" s="54"/>
    </row>
    <row r="55575" spans="31:31">
      <c r="AE55575" s="54"/>
    </row>
    <row r="55576" spans="31:31">
      <c r="AE55576" s="54"/>
    </row>
    <row r="55577" spans="31:31">
      <c r="AE55577" s="54"/>
    </row>
    <row r="55578" spans="31:31">
      <c r="AE55578" s="54"/>
    </row>
    <row r="55579" spans="31:31">
      <c r="AE55579" s="54"/>
    </row>
    <row r="55580" spans="31:31">
      <c r="AE55580" s="54"/>
    </row>
    <row r="55581" spans="31:31">
      <c r="AE55581" s="54"/>
    </row>
    <row r="55582" spans="31:31">
      <c r="AE55582" s="54"/>
    </row>
    <row r="55583" spans="31:31">
      <c r="AE55583" s="54"/>
    </row>
    <row r="55584" spans="31:31">
      <c r="AE55584" s="54"/>
    </row>
    <row r="55585" spans="31:31">
      <c r="AE55585" s="54"/>
    </row>
    <row r="55586" spans="31:31">
      <c r="AE55586" s="54"/>
    </row>
    <row r="55587" spans="31:31">
      <c r="AE55587" s="54"/>
    </row>
    <row r="55588" spans="31:31">
      <c r="AE55588" s="54"/>
    </row>
    <row r="55589" spans="31:31">
      <c r="AE55589" s="54"/>
    </row>
    <row r="55590" spans="31:31">
      <c r="AE55590" s="54"/>
    </row>
    <row r="55591" spans="31:31">
      <c r="AE55591" s="54"/>
    </row>
    <row r="55592" spans="31:31">
      <c r="AE55592" s="54"/>
    </row>
    <row r="55593" spans="31:31">
      <c r="AE55593" s="54"/>
    </row>
    <row r="55594" spans="31:31">
      <c r="AE55594" s="54"/>
    </row>
    <row r="55595" spans="31:31">
      <c r="AE55595" s="54"/>
    </row>
    <row r="55596" spans="31:31">
      <c r="AE55596" s="54"/>
    </row>
    <row r="55597" spans="31:31">
      <c r="AE55597" s="54"/>
    </row>
    <row r="55598" spans="31:31">
      <c r="AE55598" s="54"/>
    </row>
    <row r="55599" spans="31:31">
      <c r="AE55599" s="54"/>
    </row>
    <row r="55600" spans="31:31">
      <c r="AE55600" s="54"/>
    </row>
    <row r="55601" spans="31:31">
      <c r="AE55601" s="54"/>
    </row>
    <row r="55602" spans="31:31">
      <c r="AE55602" s="54"/>
    </row>
    <row r="55603" spans="31:31">
      <c r="AE55603" s="54"/>
    </row>
    <row r="55604" spans="31:31">
      <c r="AE55604" s="54"/>
    </row>
    <row r="55605" spans="31:31">
      <c r="AE55605" s="54"/>
    </row>
    <row r="55606" spans="31:31">
      <c r="AE55606" s="54"/>
    </row>
    <row r="55607" spans="31:31">
      <c r="AE55607" s="54"/>
    </row>
    <row r="55608" spans="31:31">
      <c r="AE55608" s="54"/>
    </row>
    <row r="55609" spans="31:31">
      <c r="AE55609" s="54"/>
    </row>
    <row r="55610" spans="31:31">
      <c r="AE55610" s="54"/>
    </row>
    <row r="55611" spans="31:31">
      <c r="AE55611" s="54"/>
    </row>
    <row r="55612" spans="31:31">
      <c r="AE55612" s="54"/>
    </row>
    <row r="55613" spans="31:31">
      <c r="AE55613" s="54"/>
    </row>
    <row r="55614" spans="31:31">
      <c r="AE55614" s="54"/>
    </row>
    <row r="55615" spans="31:31">
      <c r="AE55615" s="54"/>
    </row>
    <row r="55616" spans="31:31">
      <c r="AE55616" s="54"/>
    </row>
    <row r="55617" spans="31:31">
      <c r="AE55617" s="54"/>
    </row>
    <row r="55618" spans="31:31">
      <c r="AE55618" s="54"/>
    </row>
    <row r="55619" spans="31:31">
      <c r="AE55619" s="54"/>
    </row>
    <row r="55620" spans="31:31">
      <c r="AE55620" s="54"/>
    </row>
    <row r="55621" spans="31:31">
      <c r="AE55621" s="54"/>
    </row>
    <row r="55622" spans="31:31">
      <c r="AE55622" s="54"/>
    </row>
    <row r="55623" spans="31:31">
      <c r="AE55623" s="54"/>
    </row>
    <row r="55624" spans="31:31">
      <c r="AE55624" s="54"/>
    </row>
    <row r="55625" spans="31:31">
      <c r="AE55625" s="54"/>
    </row>
    <row r="55626" spans="31:31">
      <c r="AE55626" s="54"/>
    </row>
    <row r="55627" spans="31:31">
      <c r="AE55627" s="54"/>
    </row>
    <row r="55628" spans="31:31">
      <c r="AE55628" s="54"/>
    </row>
    <row r="55629" spans="31:31">
      <c r="AE55629" s="54"/>
    </row>
    <row r="55630" spans="31:31">
      <c r="AE55630" s="54"/>
    </row>
    <row r="55631" spans="31:31">
      <c r="AE55631" s="54"/>
    </row>
    <row r="55632" spans="31:31">
      <c r="AE55632" s="54"/>
    </row>
    <row r="55633" spans="31:31">
      <c r="AE55633" s="54"/>
    </row>
    <row r="55634" spans="31:31">
      <c r="AE55634" s="54"/>
    </row>
    <row r="55635" spans="31:31">
      <c r="AE55635" s="54"/>
    </row>
    <row r="55636" spans="31:31">
      <c r="AE55636" s="54"/>
    </row>
    <row r="55637" spans="31:31">
      <c r="AE55637" s="54"/>
    </row>
    <row r="55638" spans="31:31">
      <c r="AE55638" s="54"/>
    </row>
    <row r="55639" spans="31:31">
      <c r="AE55639" s="54"/>
    </row>
    <row r="55640" spans="31:31">
      <c r="AE55640" s="54"/>
    </row>
    <row r="55641" spans="31:31">
      <c r="AE55641" s="54"/>
    </row>
    <row r="55642" spans="31:31">
      <c r="AE55642" s="54"/>
    </row>
    <row r="55643" spans="31:31">
      <c r="AE55643" s="54"/>
    </row>
    <row r="55644" spans="31:31">
      <c r="AE55644" s="54"/>
    </row>
    <row r="55645" spans="31:31">
      <c r="AE55645" s="54"/>
    </row>
    <row r="55646" spans="31:31">
      <c r="AE55646" s="54"/>
    </row>
    <row r="55647" spans="31:31">
      <c r="AE55647" s="54"/>
    </row>
    <row r="55648" spans="31:31">
      <c r="AE55648" s="54"/>
    </row>
    <row r="55649" spans="31:31">
      <c r="AE55649" s="54"/>
    </row>
    <row r="55650" spans="31:31">
      <c r="AE55650" s="54"/>
    </row>
    <row r="55651" spans="31:31">
      <c r="AE55651" s="54"/>
    </row>
    <row r="55652" spans="31:31">
      <c r="AE55652" s="54"/>
    </row>
    <row r="55653" spans="31:31">
      <c r="AE55653" s="54"/>
    </row>
    <row r="55654" spans="31:31">
      <c r="AE55654" s="54"/>
    </row>
    <row r="55655" spans="31:31">
      <c r="AE55655" s="54"/>
    </row>
    <row r="55656" spans="31:31">
      <c r="AE55656" s="54"/>
    </row>
    <row r="55657" spans="31:31">
      <c r="AE55657" s="54"/>
    </row>
    <row r="55658" spans="31:31">
      <c r="AE55658" s="54"/>
    </row>
    <row r="55659" spans="31:31">
      <c r="AE55659" s="54"/>
    </row>
    <row r="55660" spans="31:31">
      <c r="AE55660" s="54"/>
    </row>
    <row r="55661" spans="31:31">
      <c r="AE55661" s="54"/>
    </row>
    <row r="55662" spans="31:31">
      <c r="AE55662" s="54"/>
    </row>
    <row r="55663" spans="31:31">
      <c r="AE55663" s="54"/>
    </row>
    <row r="55664" spans="31:31">
      <c r="AE55664" s="54"/>
    </row>
    <row r="55665" spans="31:31">
      <c r="AE55665" s="54"/>
    </row>
    <row r="55666" spans="31:31">
      <c r="AE55666" s="54"/>
    </row>
    <row r="55667" spans="31:31">
      <c r="AE55667" s="54"/>
    </row>
    <row r="55668" spans="31:31">
      <c r="AE55668" s="54"/>
    </row>
    <row r="55669" spans="31:31">
      <c r="AE55669" s="54"/>
    </row>
    <row r="55670" spans="31:31">
      <c r="AE55670" s="54"/>
    </row>
    <row r="55671" spans="31:31">
      <c r="AE55671" s="54"/>
    </row>
    <row r="55672" spans="31:31">
      <c r="AE55672" s="54"/>
    </row>
    <row r="55673" spans="31:31">
      <c r="AE55673" s="54"/>
    </row>
    <row r="55674" spans="31:31">
      <c r="AE55674" s="54"/>
    </row>
    <row r="55675" spans="31:31">
      <c r="AE55675" s="54"/>
    </row>
    <row r="55676" spans="31:31">
      <c r="AE55676" s="54"/>
    </row>
    <row r="55677" spans="31:31">
      <c r="AE55677" s="54"/>
    </row>
    <row r="55678" spans="31:31">
      <c r="AE55678" s="54"/>
    </row>
    <row r="55679" spans="31:31">
      <c r="AE55679" s="54"/>
    </row>
    <row r="55680" spans="31:31">
      <c r="AE55680" s="54"/>
    </row>
    <row r="55681" spans="31:31">
      <c r="AE55681" s="54"/>
    </row>
    <row r="55682" spans="31:31">
      <c r="AE55682" s="54"/>
    </row>
    <row r="55683" spans="31:31">
      <c r="AE55683" s="54"/>
    </row>
    <row r="55684" spans="31:31">
      <c r="AE55684" s="54"/>
    </row>
    <row r="55685" spans="31:31">
      <c r="AE55685" s="54"/>
    </row>
    <row r="55686" spans="31:31">
      <c r="AE55686" s="54"/>
    </row>
    <row r="55687" spans="31:31">
      <c r="AE55687" s="54"/>
    </row>
    <row r="55688" spans="31:31">
      <c r="AE55688" s="54"/>
    </row>
    <row r="55689" spans="31:31">
      <c r="AE55689" s="54"/>
    </row>
    <row r="55690" spans="31:31">
      <c r="AE55690" s="54"/>
    </row>
    <row r="55691" spans="31:31">
      <c r="AE55691" s="54"/>
    </row>
    <row r="55692" spans="31:31">
      <c r="AE55692" s="54"/>
    </row>
    <row r="55693" spans="31:31">
      <c r="AE55693" s="54"/>
    </row>
    <row r="55694" spans="31:31">
      <c r="AE55694" s="54"/>
    </row>
    <row r="55695" spans="31:31">
      <c r="AE55695" s="54"/>
    </row>
    <row r="55696" spans="31:31">
      <c r="AE55696" s="54"/>
    </row>
    <row r="55697" spans="31:31">
      <c r="AE55697" s="54"/>
    </row>
    <row r="55698" spans="31:31">
      <c r="AE55698" s="54"/>
    </row>
    <row r="55699" spans="31:31">
      <c r="AE55699" s="54"/>
    </row>
    <row r="55700" spans="31:31">
      <c r="AE55700" s="54"/>
    </row>
    <row r="55701" spans="31:31">
      <c r="AE55701" s="54"/>
    </row>
    <row r="55702" spans="31:31">
      <c r="AE55702" s="54"/>
    </row>
    <row r="55703" spans="31:31">
      <c r="AE55703" s="54"/>
    </row>
    <row r="55704" spans="31:31">
      <c r="AE55704" s="54"/>
    </row>
    <row r="55705" spans="31:31">
      <c r="AE55705" s="54"/>
    </row>
    <row r="55706" spans="31:31">
      <c r="AE55706" s="54"/>
    </row>
    <row r="55707" spans="31:31">
      <c r="AE55707" s="54"/>
    </row>
    <row r="55708" spans="31:31">
      <c r="AE55708" s="54"/>
    </row>
    <row r="55709" spans="31:31">
      <c r="AE55709" s="54"/>
    </row>
    <row r="55710" spans="31:31">
      <c r="AE55710" s="54"/>
    </row>
    <row r="55711" spans="31:31">
      <c r="AE55711" s="54"/>
    </row>
    <row r="55712" spans="31:31">
      <c r="AE55712" s="54"/>
    </row>
    <row r="55713" spans="31:31">
      <c r="AE55713" s="54"/>
    </row>
    <row r="55714" spans="31:31">
      <c r="AE55714" s="54"/>
    </row>
    <row r="55715" spans="31:31">
      <c r="AE55715" s="54"/>
    </row>
    <row r="55716" spans="31:31">
      <c r="AE55716" s="54"/>
    </row>
    <row r="55717" spans="31:31">
      <c r="AE55717" s="54"/>
    </row>
    <row r="55718" spans="31:31">
      <c r="AE55718" s="54"/>
    </row>
    <row r="55719" spans="31:31">
      <c r="AE55719" s="54"/>
    </row>
    <row r="55720" spans="31:31">
      <c r="AE55720" s="54"/>
    </row>
    <row r="55721" spans="31:31">
      <c r="AE55721" s="54"/>
    </row>
    <row r="55722" spans="31:31">
      <c r="AE55722" s="54"/>
    </row>
    <row r="55723" spans="31:31">
      <c r="AE55723" s="54"/>
    </row>
    <row r="55724" spans="31:31">
      <c r="AE55724" s="54"/>
    </row>
    <row r="55725" spans="31:31">
      <c r="AE55725" s="54"/>
    </row>
    <row r="55726" spans="31:31">
      <c r="AE55726" s="54"/>
    </row>
    <row r="55727" spans="31:31">
      <c r="AE55727" s="54"/>
    </row>
    <row r="55728" spans="31:31">
      <c r="AE55728" s="54"/>
    </row>
    <row r="55729" spans="31:31">
      <c r="AE55729" s="54"/>
    </row>
    <row r="55730" spans="31:31">
      <c r="AE55730" s="54"/>
    </row>
    <row r="55731" spans="31:31">
      <c r="AE55731" s="54"/>
    </row>
    <row r="55732" spans="31:31">
      <c r="AE55732" s="54"/>
    </row>
    <row r="55733" spans="31:31">
      <c r="AE55733" s="54"/>
    </row>
    <row r="55734" spans="31:31">
      <c r="AE55734" s="54"/>
    </row>
    <row r="55735" spans="31:31">
      <c r="AE55735" s="54"/>
    </row>
    <row r="55736" spans="31:31">
      <c r="AE55736" s="54"/>
    </row>
    <row r="55737" spans="31:31">
      <c r="AE55737" s="54"/>
    </row>
    <row r="55738" spans="31:31">
      <c r="AE55738" s="54"/>
    </row>
    <row r="55739" spans="31:31">
      <c r="AE55739" s="54"/>
    </row>
    <row r="55740" spans="31:31">
      <c r="AE55740" s="54"/>
    </row>
    <row r="55741" spans="31:31">
      <c r="AE55741" s="54"/>
    </row>
    <row r="55742" spans="31:31">
      <c r="AE55742" s="54"/>
    </row>
    <row r="55743" spans="31:31">
      <c r="AE55743" s="54"/>
    </row>
    <row r="55744" spans="31:31">
      <c r="AE55744" s="54"/>
    </row>
    <row r="55745" spans="31:31">
      <c r="AE55745" s="54"/>
    </row>
    <row r="55746" spans="31:31">
      <c r="AE55746" s="54"/>
    </row>
    <row r="55747" spans="31:31">
      <c r="AE55747" s="54"/>
    </row>
    <row r="55748" spans="31:31">
      <c r="AE55748" s="54"/>
    </row>
    <row r="55749" spans="31:31">
      <c r="AE55749" s="54"/>
    </row>
    <row r="55750" spans="31:31">
      <c r="AE55750" s="54"/>
    </row>
    <row r="55751" spans="31:31">
      <c r="AE55751" s="54"/>
    </row>
    <row r="55752" spans="31:31">
      <c r="AE55752" s="54"/>
    </row>
    <row r="55753" spans="31:31">
      <c r="AE55753" s="54"/>
    </row>
    <row r="55754" spans="31:31">
      <c r="AE55754" s="54"/>
    </row>
    <row r="55755" spans="31:31">
      <c r="AE55755" s="54"/>
    </row>
    <row r="55756" spans="31:31">
      <c r="AE55756" s="54"/>
    </row>
    <row r="55757" spans="31:31">
      <c r="AE55757" s="54"/>
    </row>
    <row r="55758" spans="31:31">
      <c r="AE55758" s="54"/>
    </row>
    <row r="55759" spans="31:31">
      <c r="AE55759" s="54"/>
    </row>
    <row r="55760" spans="31:31">
      <c r="AE55760" s="54"/>
    </row>
    <row r="55761" spans="31:31">
      <c r="AE55761" s="54"/>
    </row>
    <row r="55762" spans="31:31">
      <c r="AE55762" s="54"/>
    </row>
    <row r="55763" spans="31:31">
      <c r="AE55763" s="54"/>
    </row>
    <row r="55764" spans="31:31">
      <c r="AE55764" s="54"/>
    </row>
    <row r="55765" spans="31:31">
      <c r="AE55765" s="54"/>
    </row>
    <row r="55766" spans="31:31">
      <c r="AE55766" s="54"/>
    </row>
    <row r="55767" spans="31:31">
      <c r="AE55767" s="54"/>
    </row>
    <row r="55768" spans="31:31">
      <c r="AE55768" s="54"/>
    </row>
    <row r="55769" spans="31:31">
      <c r="AE55769" s="54"/>
    </row>
    <row r="55770" spans="31:31">
      <c r="AE55770" s="54"/>
    </row>
    <row r="55771" spans="31:31">
      <c r="AE55771" s="54"/>
    </row>
    <row r="55772" spans="31:31">
      <c r="AE55772" s="54"/>
    </row>
    <row r="55773" spans="31:31">
      <c r="AE55773" s="54"/>
    </row>
    <row r="55774" spans="31:31">
      <c r="AE55774" s="54"/>
    </row>
    <row r="55775" spans="31:31">
      <c r="AE55775" s="54"/>
    </row>
    <row r="55776" spans="31:31">
      <c r="AE55776" s="54"/>
    </row>
    <row r="55777" spans="31:31">
      <c r="AE55777" s="54"/>
    </row>
    <row r="55778" spans="31:31">
      <c r="AE55778" s="54"/>
    </row>
    <row r="55779" spans="31:31">
      <c r="AE55779" s="54"/>
    </row>
    <row r="55780" spans="31:31">
      <c r="AE55780" s="54"/>
    </row>
    <row r="55781" spans="31:31">
      <c r="AE55781" s="54"/>
    </row>
    <row r="55782" spans="31:31">
      <c r="AE55782" s="54"/>
    </row>
    <row r="55783" spans="31:31">
      <c r="AE55783" s="54"/>
    </row>
    <row r="55784" spans="31:31">
      <c r="AE55784" s="54"/>
    </row>
    <row r="55785" spans="31:31">
      <c r="AE55785" s="54"/>
    </row>
    <row r="55786" spans="31:31">
      <c r="AE55786" s="54"/>
    </row>
    <row r="55787" spans="31:31">
      <c r="AE55787" s="54"/>
    </row>
    <row r="55788" spans="31:31">
      <c r="AE55788" s="54"/>
    </row>
    <row r="55789" spans="31:31">
      <c r="AE55789" s="54"/>
    </row>
    <row r="55790" spans="31:31">
      <c r="AE55790" s="54"/>
    </row>
    <row r="55791" spans="31:31">
      <c r="AE55791" s="54"/>
    </row>
    <row r="55792" spans="31:31">
      <c r="AE55792" s="54"/>
    </row>
    <row r="55793" spans="31:31">
      <c r="AE55793" s="54"/>
    </row>
    <row r="55794" spans="31:31">
      <c r="AE55794" s="54"/>
    </row>
    <row r="55795" spans="31:31">
      <c r="AE55795" s="54"/>
    </row>
    <row r="55796" spans="31:31">
      <c r="AE55796" s="54"/>
    </row>
    <row r="55797" spans="31:31">
      <c r="AE55797" s="54"/>
    </row>
    <row r="55798" spans="31:31">
      <c r="AE55798" s="54"/>
    </row>
    <row r="55799" spans="31:31">
      <c r="AE55799" s="54"/>
    </row>
    <row r="55800" spans="31:31">
      <c r="AE55800" s="54"/>
    </row>
    <row r="55801" spans="31:31">
      <c r="AE55801" s="54"/>
    </row>
    <row r="55802" spans="31:31">
      <c r="AE55802" s="54"/>
    </row>
    <row r="55803" spans="31:31">
      <c r="AE55803" s="54"/>
    </row>
    <row r="55804" spans="31:31">
      <c r="AE55804" s="54"/>
    </row>
    <row r="55805" spans="31:31">
      <c r="AE55805" s="54"/>
    </row>
    <row r="55806" spans="31:31">
      <c r="AE55806" s="54"/>
    </row>
    <row r="55807" spans="31:31">
      <c r="AE55807" s="54"/>
    </row>
    <row r="55808" spans="31:31">
      <c r="AE55808" s="54"/>
    </row>
    <row r="55809" spans="31:31">
      <c r="AE55809" s="54"/>
    </row>
    <row r="55810" spans="31:31">
      <c r="AE55810" s="54"/>
    </row>
    <row r="55811" spans="31:31">
      <c r="AE55811" s="54"/>
    </row>
    <row r="55812" spans="31:31">
      <c r="AE55812" s="54"/>
    </row>
    <row r="55813" spans="31:31">
      <c r="AE55813" s="54"/>
    </row>
    <row r="55814" spans="31:31">
      <c r="AE55814" s="54"/>
    </row>
    <row r="55815" spans="31:31">
      <c r="AE55815" s="54"/>
    </row>
    <row r="55816" spans="31:31">
      <c r="AE55816" s="54"/>
    </row>
    <row r="55817" spans="31:31">
      <c r="AE55817" s="54"/>
    </row>
    <row r="55818" spans="31:31">
      <c r="AE55818" s="54"/>
    </row>
    <row r="55819" spans="31:31">
      <c r="AE55819" s="54"/>
    </row>
    <row r="55820" spans="31:31">
      <c r="AE55820" s="54"/>
    </row>
    <row r="55821" spans="31:31">
      <c r="AE55821" s="54"/>
    </row>
    <row r="55822" spans="31:31">
      <c r="AE55822" s="54"/>
    </row>
    <row r="55823" spans="31:31">
      <c r="AE55823" s="54"/>
    </row>
    <row r="55824" spans="31:31">
      <c r="AE55824" s="54"/>
    </row>
    <row r="55825" spans="31:31">
      <c r="AE55825" s="54"/>
    </row>
    <row r="55826" spans="31:31">
      <c r="AE55826" s="54"/>
    </row>
    <row r="55827" spans="31:31">
      <c r="AE55827" s="54"/>
    </row>
    <row r="55828" spans="31:31">
      <c r="AE55828" s="54"/>
    </row>
    <row r="55829" spans="31:31">
      <c r="AE55829" s="54"/>
    </row>
    <row r="55830" spans="31:31">
      <c r="AE55830" s="54"/>
    </row>
    <row r="55831" spans="31:31">
      <c r="AE55831" s="54"/>
    </row>
    <row r="55832" spans="31:31">
      <c r="AE55832" s="54"/>
    </row>
    <row r="55833" spans="31:31">
      <c r="AE55833" s="54"/>
    </row>
    <row r="55834" spans="31:31">
      <c r="AE55834" s="54"/>
    </row>
    <row r="55835" spans="31:31">
      <c r="AE55835" s="54"/>
    </row>
    <row r="55836" spans="31:31">
      <c r="AE55836" s="54"/>
    </row>
    <row r="55837" spans="31:31">
      <c r="AE55837" s="54"/>
    </row>
    <row r="55838" spans="31:31">
      <c r="AE55838" s="54"/>
    </row>
    <row r="55839" spans="31:31">
      <c r="AE55839" s="54"/>
    </row>
    <row r="55840" spans="31:31">
      <c r="AE55840" s="54"/>
    </row>
    <row r="55841" spans="31:31">
      <c r="AE55841" s="54"/>
    </row>
    <row r="55842" spans="31:31">
      <c r="AE55842" s="54"/>
    </row>
    <row r="55843" spans="31:31">
      <c r="AE55843" s="54"/>
    </row>
    <row r="55844" spans="31:31">
      <c r="AE55844" s="54"/>
    </row>
    <row r="55845" spans="31:31">
      <c r="AE55845" s="54"/>
    </row>
    <row r="55846" spans="31:31">
      <c r="AE55846" s="54"/>
    </row>
    <row r="55847" spans="31:31">
      <c r="AE55847" s="54"/>
    </row>
    <row r="55848" spans="31:31">
      <c r="AE55848" s="54"/>
    </row>
    <row r="55849" spans="31:31">
      <c r="AE55849" s="54"/>
    </row>
    <row r="55850" spans="31:31">
      <c r="AE55850" s="54"/>
    </row>
    <row r="55851" spans="31:31">
      <c r="AE55851" s="54"/>
    </row>
    <row r="55852" spans="31:31">
      <c r="AE55852" s="54"/>
    </row>
    <row r="55853" spans="31:31">
      <c r="AE55853" s="54"/>
    </row>
    <row r="55854" spans="31:31">
      <c r="AE55854" s="54"/>
    </row>
    <row r="55855" spans="31:31">
      <c r="AE55855" s="54"/>
    </row>
    <row r="55856" spans="31:31">
      <c r="AE55856" s="54"/>
    </row>
    <row r="55857" spans="31:31">
      <c r="AE55857" s="54"/>
    </row>
    <row r="55858" spans="31:31">
      <c r="AE55858" s="54"/>
    </row>
    <row r="55859" spans="31:31">
      <c r="AE55859" s="54"/>
    </row>
    <row r="55860" spans="31:31">
      <c r="AE55860" s="54"/>
    </row>
    <row r="55861" spans="31:31">
      <c r="AE55861" s="54"/>
    </row>
    <row r="55862" spans="31:31">
      <c r="AE55862" s="54"/>
    </row>
    <row r="55863" spans="31:31">
      <c r="AE55863" s="54"/>
    </row>
    <row r="55864" spans="31:31">
      <c r="AE55864" s="54"/>
    </row>
    <row r="55865" spans="31:31">
      <c r="AE55865" s="54"/>
    </row>
    <row r="55866" spans="31:31">
      <c r="AE55866" s="54"/>
    </row>
    <row r="55867" spans="31:31">
      <c r="AE55867" s="54"/>
    </row>
    <row r="55868" spans="31:31">
      <c r="AE55868" s="54"/>
    </row>
    <row r="55869" spans="31:31">
      <c r="AE55869" s="54"/>
    </row>
    <row r="55870" spans="31:31">
      <c r="AE55870" s="54"/>
    </row>
    <row r="55871" spans="31:31">
      <c r="AE55871" s="54"/>
    </row>
    <row r="55872" spans="31:31">
      <c r="AE55872" s="54"/>
    </row>
    <row r="55873" spans="31:31">
      <c r="AE55873" s="54"/>
    </row>
    <row r="55874" spans="31:31">
      <c r="AE55874" s="54"/>
    </row>
    <row r="55875" spans="31:31">
      <c r="AE55875" s="54"/>
    </row>
    <row r="55876" spans="31:31">
      <c r="AE55876" s="54"/>
    </row>
    <row r="55877" spans="31:31">
      <c r="AE55877" s="54"/>
    </row>
    <row r="55878" spans="31:31">
      <c r="AE55878" s="54"/>
    </row>
    <row r="55879" spans="31:31">
      <c r="AE55879" s="54"/>
    </row>
    <row r="55880" spans="31:31">
      <c r="AE55880" s="54"/>
    </row>
    <row r="55881" spans="31:31">
      <c r="AE55881" s="54"/>
    </row>
    <row r="55882" spans="31:31">
      <c r="AE55882" s="54"/>
    </row>
    <row r="55883" spans="31:31">
      <c r="AE55883" s="54"/>
    </row>
    <row r="55884" spans="31:31">
      <c r="AE55884" s="54"/>
    </row>
    <row r="55885" spans="31:31">
      <c r="AE55885" s="54"/>
    </row>
    <row r="55886" spans="31:31">
      <c r="AE55886" s="54"/>
    </row>
    <row r="55887" spans="31:31">
      <c r="AE55887" s="54"/>
    </row>
    <row r="55888" spans="31:31">
      <c r="AE55888" s="54"/>
    </row>
    <row r="55889" spans="31:31">
      <c r="AE55889" s="54"/>
    </row>
    <row r="55890" spans="31:31">
      <c r="AE55890" s="54"/>
    </row>
    <row r="55891" spans="31:31">
      <c r="AE55891" s="54"/>
    </row>
    <row r="55892" spans="31:31">
      <c r="AE55892" s="54"/>
    </row>
    <row r="55893" spans="31:31">
      <c r="AE55893" s="54"/>
    </row>
    <row r="55894" spans="31:31">
      <c r="AE55894" s="54"/>
    </row>
    <row r="55895" spans="31:31">
      <c r="AE55895" s="54"/>
    </row>
    <row r="55896" spans="31:31">
      <c r="AE55896" s="54"/>
    </row>
    <row r="55897" spans="31:31">
      <c r="AE55897" s="54"/>
    </row>
    <row r="55898" spans="31:31">
      <c r="AE55898" s="54"/>
    </row>
    <row r="55899" spans="31:31">
      <c r="AE55899" s="54"/>
    </row>
    <row r="55900" spans="31:31">
      <c r="AE55900" s="54"/>
    </row>
    <row r="55901" spans="31:31">
      <c r="AE55901" s="54"/>
    </row>
    <row r="55902" spans="31:31">
      <c r="AE55902" s="54"/>
    </row>
    <row r="55903" spans="31:31">
      <c r="AE55903" s="54"/>
    </row>
    <row r="55904" spans="31:31">
      <c r="AE55904" s="54"/>
    </row>
    <row r="55905" spans="31:31">
      <c r="AE55905" s="54"/>
    </row>
    <row r="55906" spans="31:31">
      <c r="AE55906" s="54"/>
    </row>
    <row r="55907" spans="31:31">
      <c r="AE55907" s="54"/>
    </row>
    <row r="55908" spans="31:31">
      <c r="AE55908" s="54"/>
    </row>
    <row r="55909" spans="31:31">
      <c r="AE55909" s="54"/>
    </row>
    <row r="55910" spans="31:31">
      <c r="AE55910" s="54"/>
    </row>
    <row r="55911" spans="31:31">
      <c r="AE55911" s="54"/>
    </row>
    <row r="55912" spans="31:31">
      <c r="AE55912" s="54"/>
    </row>
    <row r="55913" spans="31:31">
      <c r="AE55913" s="54"/>
    </row>
    <row r="55914" spans="31:31">
      <c r="AE55914" s="54"/>
    </row>
    <row r="55915" spans="31:31">
      <c r="AE55915" s="54"/>
    </row>
    <row r="55916" spans="31:31">
      <c r="AE55916" s="54"/>
    </row>
    <row r="55917" spans="31:31">
      <c r="AE55917" s="54"/>
    </row>
    <row r="55918" spans="31:31">
      <c r="AE55918" s="54"/>
    </row>
    <row r="55919" spans="31:31">
      <c r="AE55919" s="54"/>
    </row>
    <row r="55920" spans="31:31">
      <c r="AE55920" s="54"/>
    </row>
    <row r="55921" spans="31:31">
      <c r="AE55921" s="54"/>
    </row>
    <row r="55922" spans="31:31">
      <c r="AE55922" s="54"/>
    </row>
    <row r="55923" spans="31:31">
      <c r="AE55923" s="54"/>
    </row>
    <row r="55924" spans="31:31">
      <c r="AE55924" s="54"/>
    </row>
    <row r="55925" spans="31:31">
      <c r="AE55925" s="54"/>
    </row>
    <row r="55926" spans="31:31">
      <c r="AE55926" s="54"/>
    </row>
    <row r="55927" spans="31:31">
      <c r="AE55927" s="54"/>
    </row>
    <row r="55928" spans="31:31">
      <c r="AE55928" s="54"/>
    </row>
    <row r="55929" spans="31:31">
      <c r="AE55929" s="54"/>
    </row>
    <row r="55930" spans="31:31">
      <c r="AE55930" s="54"/>
    </row>
    <row r="55931" spans="31:31">
      <c r="AE55931" s="54"/>
    </row>
    <row r="55932" spans="31:31">
      <c r="AE55932" s="54"/>
    </row>
    <row r="55933" spans="31:31">
      <c r="AE55933" s="54"/>
    </row>
    <row r="55934" spans="31:31">
      <c r="AE55934" s="54"/>
    </row>
    <row r="55935" spans="31:31">
      <c r="AE55935" s="54"/>
    </row>
    <row r="55936" spans="31:31">
      <c r="AE55936" s="54"/>
    </row>
    <row r="55937" spans="31:31">
      <c r="AE55937" s="54"/>
    </row>
    <row r="55938" spans="31:31">
      <c r="AE55938" s="54"/>
    </row>
    <row r="55939" spans="31:31">
      <c r="AE55939" s="54"/>
    </row>
    <row r="55940" spans="31:31">
      <c r="AE55940" s="54"/>
    </row>
    <row r="55941" spans="31:31">
      <c r="AE55941" s="54"/>
    </row>
    <row r="55942" spans="31:31">
      <c r="AE55942" s="54"/>
    </row>
    <row r="55943" spans="31:31">
      <c r="AE55943" s="54"/>
    </row>
    <row r="55944" spans="31:31">
      <c r="AE55944" s="54"/>
    </row>
    <row r="55945" spans="31:31">
      <c r="AE55945" s="54"/>
    </row>
    <row r="55946" spans="31:31">
      <c r="AE55946" s="54"/>
    </row>
    <row r="55947" spans="31:31">
      <c r="AE55947" s="54"/>
    </row>
    <row r="55948" spans="31:31">
      <c r="AE55948" s="54"/>
    </row>
    <row r="55949" spans="31:31">
      <c r="AE55949" s="54"/>
    </row>
    <row r="55950" spans="31:31">
      <c r="AE55950" s="54"/>
    </row>
    <row r="55951" spans="31:31">
      <c r="AE55951" s="54"/>
    </row>
    <row r="55952" spans="31:31">
      <c r="AE55952" s="54"/>
    </row>
    <row r="55953" spans="31:31">
      <c r="AE55953" s="54"/>
    </row>
    <row r="55954" spans="31:31">
      <c r="AE55954" s="54"/>
    </row>
    <row r="55955" spans="31:31">
      <c r="AE55955" s="54"/>
    </row>
    <row r="55956" spans="31:31">
      <c r="AE55956" s="54"/>
    </row>
    <row r="55957" spans="31:31">
      <c r="AE55957" s="54"/>
    </row>
    <row r="55958" spans="31:31">
      <c r="AE55958" s="54"/>
    </row>
    <row r="55959" spans="31:31">
      <c r="AE55959" s="54"/>
    </row>
    <row r="55960" spans="31:31">
      <c r="AE55960" s="54"/>
    </row>
    <row r="55961" spans="31:31">
      <c r="AE55961" s="54"/>
    </row>
    <row r="55962" spans="31:31">
      <c r="AE55962" s="54"/>
    </row>
    <row r="55963" spans="31:31">
      <c r="AE55963" s="54"/>
    </row>
    <row r="55964" spans="31:31">
      <c r="AE55964" s="54"/>
    </row>
    <row r="55965" spans="31:31">
      <c r="AE55965" s="54"/>
    </row>
    <row r="55966" spans="31:31">
      <c r="AE55966" s="54"/>
    </row>
    <row r="55967" spans="31:31">
      <c r="AE55967" s="54"/>
    </row>
    <row r="55968" spans="31:31">
      <c r="AE55968" s="54"/>
    </row>
    <row r="55969" spans="31:31">
      <c r="AE55969" s="54"/>
    </row>
    <row r="55970" spans="31:31">
      <c r="AE55970" s="54"/>
    </row>
    <row r="55971" spans="31:31">
      <c r="AE55971" s="54"/>
    </row>
    <row r="55972" spans="31:31">
      <c r="AE55972" s="54"/>
    </row>
    <row r="55973" spans="31:31">
      <c r="AE55973" s="54"/>
    </row>
    <row r="55974" spans="31:31">
      <c r="AE55974" s="54"/>
    </row>
    <row r="55975" spans="31:31">
      <c r="AE55975" s="54"/>
    </row>
    <row r="55976" spans="31:31">
      <c r="AE55976" s="54"/>
    </row>
    <row r="55977" spans="31:31">
      <c r="AE55977" s="54"/>
    </row>
    <row r="55978" spans="31:31">
      <c r="AE55978" s="54"/>
    </row>
    <row r="55979" spans="31:31">
      <c r="AE55979" s="54"/>
    </row>
    <row r="55980" spans="31:31">
      <c r="AE55980" s="54"/>
    </row>
    <row r="55981" spans="31:31">
      <c r="AE55981" s="54"/>
    </row>
    <row r="55982" spans="31:31">
      <c r="AE55982" s="54"/>
    </row>
    <row r="55983" spans="31:31">
      <c r="AE55983" s="54"/>
    </row>
    <row r="55984" spans="31:31">
      <c r="AE55984" s="54"/>
    </row>
    <row r="55985" spans="31:31">
      <c r="AE55985" s="54"/>
    </row>
    <row r="55986" spans="31:31">
      <c r="AE55986" s="54"/>
    </row>
    <row r="55987" spans="31:31">
      <c r="AE55987" s="54"/>
    </row>
    <row r="55988" spans="31:31">
      <c r="AE55988" s="54"/>
    </row>
    <row r="55989" spans="31:31">
      <c r="AE55989" s="54"/>
    </row>
    <row r="55990" spans="31:31">
      <c r="AE55990" s="54"/>
    </row>
    <row r="55991" spans="31:31">
      <c r="AE55991" s="54"/>
    </row>
    <row r="55992" spans="31:31">
      <c r="AE55992" s="54"/>
    </row>
    <row r="55993" spans="31:31">
      <c r="AE55993" s="54"/>
    </row>
    <row r="55994" spans="31:31">
      <c r="AE55994" s="54"/>
    </row>
    <row r="55995" spans="31:31">
      <c r="AE55995" s="54"/>
    </row>
    <row r="55996" spans="31:31">
      <c r="AE55996" s="54"/>
    </row>
    <row r="55997" spans="31:31">
      <c r="AE55997" s="54"/>
    </row>
    <row r="55998" spans="31:31">
      <c r="AE55998" s="54"/>
    </row>
    <row r="55999" spans="31:31">
      <c r="AE55999" s="54"/>
    </row>
    <row r="56000" spans="31:31">
      <c r="AE56000" s="54"/>
    </row>
    <row r="56001" spans="31:31">
      <c r="AE56001" s="54"/>
    </row>
    <row r="56002" spans="31:31">
      <c r="AE56002" s="54"/>
    </row>
    <row r="56003" spans="31:31">
      <c r="AE56003" s="54"/>
    </row>
    <row r="56004" spans="31:31">
      <c r="AE56004" s="54"/>
    </row>
    <row r="56005" spans="31:31">
      <c r="AE56005" s="54"/>
    </row>
    <row r="56006" spans="31:31">
      <c r="AE56006" s="54"/>
    </row>
    <row r="56007" spans="31:31">
      <c r="AE56007" s="54"/>
    </row>
    <row r="56008" spans="31:31">
      <c r="AE56008" s="54"/>
    </row>
    <row r="56009" spans="31:31">
      <c r="AE56009" s="54"/>
    </row>
    <row r="56010" spans="31:31">
      <c r="AE56010" s="54"/>
    </row>
    <row r="56011" spans="31:31">
      <c r="AE56011" s="54"/>
    </row>
    <row r="56012" spans="31:31">
      <c r="AE56012" s="54"/>
    </row>
    <row r="56013" spans="31:31">
      <c r="AE56013" s="54"/>
    </row>
    <row r="56014" spans="31:31">
      <c r="AE56014" s="54"/>
    </row>
    <row r="56015" spans="31:31">
      <c r="AE56015" s="54"/>
    </row>
    <row r="56016" spans="31:31">
      <c r="AE56016" s="54"/>
    </row>
    <row r="56017" spans="31:31">
      <c r="AE56017" s="54"/>
    </row>
    <row r="56018" spans="31:31">
      <c r="AE56018" s="54"/>
    </row>
    <row r="56019" spans="31:31">
      <c r="AE56019" s="54"/>
    </row>
    <row r="56020" spans="31:31">
      <c r="AE56020" s="54"/>
    </row>
    <row r="56021" spans="31:31">
      <c r="AE56021" s="54"/>
    </row>
    <row r="56022" spans="31:31">
      <c r="AE56022" s="54"/>
    </row>
    <row r="56023" spans="31:31">
      <c r="AE56023" s="54"/>
    </row>
    <row r="56024" spans="31:31">
      <c r="AE56024" s="54"/>
    </row>
    <row r="56025" spans="31:31">
      <c r="AE56025" s="54"/>
    </row>
    <row r="56026" spans="31:31">
      <c r="AE56026" s="54"/>
    </row>
    <row r="56027" spans="31:31">
      <c r="AE56027" s="54"/>
    </row>
    <row r="56028" spans="31:31">
      <c r="AE56028" s="54"/>
    </row>
    <row r="56029" spans="31:31">
      <c r="AE56029" s="54"/>
    </row>
    <row r="56030" spans="31:31">
      <c r="AE56030" s="54"/>
    </row>
    <row r="56031" spans="31:31">
      <c r="AE56031" s="54"/>
    </row>
    <row r="56032" spans="31:31">
      <c r="AE56032" s="54"/>
    </row>
    <row r="56033" spans="31:31">
      <c r="AE56033" s="54"/>
    </row>
    <row r="56034" spans="31:31">
      <c r="AE56034" s="54"/>
    </row>
    <row r="56035" spans="31:31">
      <c r="AE56035" s="54"/>
    </row>
    <row r="56036" spans="31:31">
      <c r="AE56036" s="54"/>
    </row>
    <row r="56037" spans="31:31">
      <c r="AE56037" s="54"/>
    </row>
    <row r="56038" spans="31:31">
      <c r="AE56038" s="54"/>
    </row>
    <row r="56039" spans="31:31">
      <c r="AE56039" s="54"/>
    </row>
    <row r="56040" spans="31:31">
      <c r="AE56040" s="54"/>
    </row>
    <row r="56041" spans="31:31">
      <c r="AE56041" s="54"/>
    </row>
    <row r="56042" spans="31:31">
      <c r="AE56042" s="54"/>
    </row>
    <row r="56043" spans="31:31">
      <c r="AE56043" s="54"/>
    </row>
    <row r="56044" spans="31:31">
      <c r="AE56044" s="54"/>
    </row>
    <row r="56045" spans="31:31">
      <c r="AE56045" s="54"/>
    </row>
    <row r="56046" spans="31:31">
      <c r="AE56046" s="54"/>
    </row>
    <row r="56047" spans="31:31">
      <c r="AE56047" s="54"/>
    </row>
    <row r="56048" spans="31:31">
      <c r="AE56048" s="54"/>
    </row>
    <row r="56049" spans="31:31">
      <c r="AE56049" s="54"/>
    </row>
    <row r="56050" spans="31:31">
      <c r="AE56050" s="54"/>
    </row>
    <row r="56051" spans="31:31">
      <c r="AE56051" s="54"/>
    </row>
    <row r="56052" spans="31:31">
      <c r="AE56052" s="54"/>
    </row>
    <row r="56053" spans="31:31">
      <c r="AE56053" s="54"/>
    </row>
    <row r="56054" spans="31:31">
      <c r="AE56054" s="54"/>
    </row>
    <row r="56055" spans="31:31">
      <c r="AE56055" s="54"/>
    </row>
    <row r="56056" spans="31:31">
      <c r="AE56056" s="54"/>
    </row>
    <row r="56057" spans="31:31">
      <c r="AE56057" s="54"/>
    </row>
    <row r="56058" spans="31:31">
      <c r="AE56058" s="54"/>
    </row>
    <row r="56059" spans="31:31">
      <c r="AE56059" s="54"/>
    </row>
    <row r="56060" spans="31:31">
      <c r="AE56060" s="54"/>
    </row>
    <row r="56061" spans="31:31">
      <c r="AE56061" s="54"/>
    </row>
    <row r="56062" spans="31:31">
      <c r="AE56062" s="54"/>
    </row>
    <row r="56063" spans="31:31">
      <c r="AE56063" s="54"/>
    </row>
    <row r="56064" spans="31:31">
      <c r="AE56064" s="54"/>
    </row>
    <row r="56065" spans="31:31">
      <c r="AE56065" s="54"/>
    </row>
    <row r="56066" spans="31:31">
      <c r="AE56066" s="54"/>
    </row>
    <row r="56067" spans="31:31">
      <c r="AE56067" s="54"/>
    </row>
    <row r="56068" spans="31:31">
      <c r="AE56068" s="54"/>
    </row>
    <row r="56069" spans="31:31">
      <c r="AE56069" s="54"/>
    </row>
    <row r="56070" spans="31:31">
      <c r="AE56070" s="54"/>
    </row>
    <row r="56071" spans="31:31">
      <c r="AE56071" s="54"/>
    </row>
    <row r="56072" spans="31:31">
      <c r="AE56072" s="54"/>
    </row>
    <row r="56073" spans="31:31">
      <c r="AE56073" s="54"/>
    </row>
    <row r="56074" spans="31:31">
      <c r="AE56074" s="54"/>
    </row>
    <row r="56075" spans="31:31">
      <c r="AE56075" s="54"/>
    </row>
    <row r="56076" spans="31:31">
      <c r="AE56076" s="54"/>
    </row>
    <row r="56077" spans="31:31">
      <c r="AE56077" s="54"/>
    </row>
    <row r="56078" spans="31:31">
      <c r="AE56078" s="54"/>
    </row>
    <row r="56079" spans="31:31">
      <c r="AE56079" s="54"/>
    </row>
    <row r="56080" spans="31:31">
      <c r="AE56080" s="54"/>
    </row>
    <row r="56081" spans="31:31">
      <c r="AE56081" s="54"/>
    </row>
    <row r="56082" spans="31:31">
      <c r="AE56082" s="54"/>
    </row>
    <row r="56083" spans="31:31">
      <c r="AE56083" s="54"/>
    </row>
    <row r="56084" spans="31:31">
      <c r="AE56084" s="54"/>
    </row>
    <row r="56085" spans="31:31">
      <c r="AE56085" s="54"/>
    </row>
    <row r="56086" spans="31:31">
      <c r="AE56086" s="54"/>
    </row>
    <row r="56087" spans="31:31">
      <c r="AE56087" s="54"/>
    </row>
    <row r="56088" spans="31:31">
      <c r="AE56088" s="54"/>
    </row>
    <row r="56089" spans="31:31">
      <c r="AE56089" s="54"/>
    </row>
    <row r="56090" spans="31:31">
      <c r="AE56090" s="54"/>
    </row>
    <row r="56091" spans="31:31">
      <c r="AE56091" s="54"/>
    </row>
    <row r="56092" spans="31:31">
      <c r="AE56092" s="54"/>
    </row>
    <row r="56093" spans="31:31">
      <c r="AE56093" s="54"/>
    </row>
    <row r="56094" spans="31:31">
      <c r="AE56094" s="54"/>
    </row>
    <row r="56095" spans="31:31">
      <c r="AE56095" s="54"/>
    </row>
    <row r="56096" spans="31:31">
      <c r="AE56096" s="54"/>
    </row>
    <row r="56097" spans="31:31">
      <c r="AE56097" s="54"/>
    </row>
    <row r="56098" spans="31:31">
      <c r="AE56098" s="54"/>
    </row>
    <row r="56099" spans="31:31">
      <c r="AE56099" s="54"/>
    </row>
    <row r="56100" spans="31:31">
      <c r="AE56100" s="54"/>
    </row>
    <row r="56101" spans="31:31">
      <c r="AE56101" s="54"/>
    </row>
    <row r="56102" spans="31:31">
      <c r="AE56102" s="54"/>
    </row>
    <row r="56103" spans="31:31">
      <c r="AE56103" s="54"/>
    </row>
    <row r="56104" spans="31:31">
      <c r="AE56104" s="54"/>
    </row>
    <row r="56105" spans="31:31">
      <c r="AE56105" s="54"/>
    </row>
    <row r="56106" spans="31:31">
      <c r="AE56106" s="54"/>
    </row>
    <row r="56107" spans="31:31">
      <c r="AE56107" s="54"/>
    </row>
    <row r="56108" spans="31:31">
      <c r="AE56108" s="54"/>
    </row>
    <row r="56109" spans="31:31">
      <c r="AE56109" s="54"/>
    </row>
    <row r="56110" spans="31:31">
      <c r="AE56110" s="54"/>
    </row>
    <row r="56111" spans="31:31">
      <c r="AE56111" s="54"/>
    </row>
    <row r="56112" spans="31:31">
      <c r="AE56112" s="54"/>
    </row>
    <row r="56113" spans="31:31">
      <c r="AE56113" s="54"/>
    </row>
    <row r="56114" spans="31:31">
      <c r="AE56114" s="54"/>
    </row>
    <row r="56115" spans="31:31">
      <c r="AE56115" s="54"/>
    </row>
    <row r="56116" spans="31:31">
      <c r="AE56116" s="54"/>
    </row>
    <row r="56117" spans="31:31">
      <c r="AE56117" s="54"/>
    </row>
    <row r="56118" spans="31:31">
      <c r="AE56118" s="54"/>
    </row>
    <row r="56119" spans="31:31">
      <c r="AE56119" s="54"/>
    </row>
    <row r="56120" spans="31:31">
      <c r="AE56120" s="54"/>
    </row>
    <row r="56121" spans="31:31">
      <c r="AE56121" s="54"/>
    </row>
    <row r="56122" spans="31:31">
      <c r="AE56122" s="54"/>
    </row>
    <row r="56123" spans="31:31">
      <c r="AE56123" s="54"/>
    </row>
    <row r="56124" spans="31:31">
      <c r="AE56124" s="54"/>
    </row>
    <row r="56125" spans="31:31">
      <c r="AE56125" s="54"/>
    </row>
    <row r="56126" spans="31:31">
      <c r="AE56126" s="54"/>
    </row>
    <row r="56127" spans="31:31">
      <c r="AE56127" s="54"/>
    </row>
    <row r="56128" spans="31:31">
      <c r="AE56128" s="54"/>
    </row>
    <row r="56129" spans="31:31">
      <c r="AE56129" s="54"/>
    </row>
    <row r="56130" spans="31:31">
      <c r="AE56130" s="54"/>
    </row>
    <row r="56131" spans="31:31">
      <c r="AE56131" s="54"/>
    </row>
    <row r="56132" spans="31:31">
      <c r="AE56132" s="54"/>
    </row>
    <row r="56133" spans="31:31">
      <c r="AE56133" s="54"/>
    </row>
    <row r="56134" spans="31:31">
      <c r="AE56134" s="54"/>
    </row>
    <row r="56135" spans="31:31">
      <c r="AE56135" s="54"/>
    </row>
    <row r="56136" spans="31:31">
      <c r="AE56136" s="54"/>
    </row>
    <row r="56137" spans="31:31">
      <c r="AE56137" s="54"/>
    </row>
    <row r="56138" spans="31:31">
      <c r="AE56138" s="54"/>
    </row>
    <row r="56139" spans="31:31">
      <c r="AE56139" s="54"/>
    </row>
    <row r="56140" spans="31:31">
      <c r="AE56140" s="54"/>
    </row>
    <row r="56141" spans="31:31">
      <c r="AE56141" s="54"/>
    </row>
    <row r="56142" spans="31:31">
      <c r="AE56142" s="54"/>
    </row>
    <row r="56143" spans="31:31">
      <c r="AE56143" s="54"/>
    </row>
    <row r="56144" spans="31:31">
      <c r="AE56144" s="54"/>
    </row>
    <row r="56145" spans="31:31">
      <c r="AE56145" s="54"/>
    </row>
    <row r="56146" spans="31:31">
      <c r="AE56146" s="54"/>
    </row>
    <row r="56147" spans="31:31">
      <c r="AE56147" s="54"/>
    </row>
    <row r="56148" spans="31:31">
      <c r="AE56148" s="54"/>
    </row>
    <row r="56149" spans="31:31">
      <c r="AE56149" s="54"/>
    </row>
    <row r="56150" spans="31:31">
      <c r="AE56150" s="54"/>
    </row>
    <row r="56151" spans="31:31">
      <c r="AE56151" s="54"/>
    </row>
    <row r="56152" spans="31:31">
      <c r="AE56152" s="54"/>
    </row>
    <row r="56153" spans="31:31">
      <c r="AE56153" s="54"/>
    </row>
    <row r="56154" spans="31:31">
      <c r="AE56154" s="54"/>
    </row>
    <row r="56155" spans="31:31">
      <c r="AE56155" s="54"/>
    </row>
    <row r="56156" spans="31:31">
      <c r="AE56156" s="54"/>
    </row>
    <row r="56157" spans="31:31">
      <c r="AE56157" s="54"/>
    </row>
    <row r="56158" spans="31:31">
      <c r="AE56158" s="54"/>
    </row>
    <row r="56159" spans="31:31">
      <c r="AE56159" s="54"/>
    </row>
    <row r="56160" spans="31:31">
      <c r="AE56160" s="54"/>
    </row>
    <row r="56161" spans="31:31">
      <c r="AE56161" s="54"/>
    </row>
    <row r="56162" spans="31:31">
      <c r="AE56162" s="54"/>
    </row>
    <row r="56163" spans="31:31">
      <c r="AE56163" s="54"/>
    </row>
    <row r="56164" spans="31:31">
      <c r="AE56164" s="54"/>
    </row>
    <row r="56165" spans="31:31">
      <c r="AE56165" s="54"/>
    </row>
    <row r="56166" spans="31:31">
      <c r="AE56166" s="54"/>
    </row>
    <row r="56167" spans="31:31">
      <c r="AE56167" s="54"/>
    </row>
    <row r="56168" spans="31:31">
      <c r="AE56168" s="54"/>
    </row>
    <row r="56169" spans="31:31">
      <c r="AE56169" s="54"/>
    </row>
    <row r="56170" spans="31:31">
      <c r="AE56170" s="54"/>
    </row>
    <row r="56171" spans="31:31">
      <c r="AE56171" s="54"/>
    </row>
    <row r="56172" spans="31:31">
      <c r="AE56172" s="54"/>
    </row>
    <row r="56173" spans="31:31">
      <c r="AE56173" s="54"/>
    </row>
    <row r="56174" spans="31:31">
      <c r="AE56174" s="54"/>
    </row>
    <row r="56175" spans="31:31">
      <c r="AE56175" s="54"/>
    </row>
    <row r="56176" spans="31:31">
      <c r="AE56176" s="54"/>
    </row>
    <row r="56177" spans="31:31">
      <c r="AE56177" s="54"/>
    </row>
    <row r="56178" spans="31:31">
      <c r="AE56178" s="54"/>
    </row>
    <row r="56179" spans="31:31">
      <c r="AE56179" s="54"/>
    </row>
    <row r="56180" spans="31:31">
      <c r="AE56180" s="54"/>
    </row>
    <row r="56181" spans="31:31">
      <c r="AE56181" s="54"/>
    </row>
    <row r="56182" spans="31:31">
      <c r="AE56182" s="54"/>
    </row>
    <row r="56183" spans="31:31">
      <c r="AE56183" s="54"/>
    </row>
    <row r="56184" spans="31:31">
      <c r="AE56184" s="54"/>
    </row>
    <row r="56185" spans="31:31">
      <c r="AE56185" s="54"/>
    </row>
    <row r="56186" spans="31:31">
      <c r="AE56186" s="54"/>
    </row>
    <row r="56187" spans="31:31">
      <c r="AE56187" s="54"/>
    </row>
    <row r="56188" spans="31:31">
      <c r="AE56188" s="54"/>
    </row>
    <row r="56189" spans="31:31">
      <c r="AE56189" s="54"/>
    </row>
    <row r="56190" spans="31:31">
      <c r="AE56190" s="54"/>
    </row>
    <row r="56191" spans="31:31">
      <c r="AE56191" s="54"/>
    </row>
    <row r="56192" spans="31:31">
      <c r="AE56192" s="54"/>
    </row>
    <row r="56193" spans="31:31">
      <c r="AE56193" s="54"/>
    </row>
    <row r="56194" spans="31:31">
      <c r="AE56194" s="54"/>
    </row>
    <row r="56195" spans="31:31">
      <c r="AE56195" s="54"/>
    </row>
    <row r="56196" spans="31:31">
      <c r="AE56196" s="54"/>
    </row>
    <row r="56197" spans="31:31">
      <c r="AE56197" s="54"/>
    </row>
    <row r="56198" spans="31:31">
      <c r="AE56198" s="54"/>
    </row>
    <row r="56199" spans="31:31">
      <c r="AE56199" s="54"/>
    </row>
    <row r="56200" spans="31:31">
      <c r="AE56200" s="54"/>
    </row>
    <row r="56201" spans="31:31">
      <c r="AE56201" s="54"/>
    </row>
    <row r="56202" spans="31:31">
      <c r="AE56202" s="54"/>
    </row>
    <row r="56203" spans="31:31">
      <c r="AE56203" s="54"/>
    </row>
    <row r="56204" spans="31:31">
      <c r="AE56204" s="54"/>
    </row>
    <row r="56205" spans="31:31">
      <c r="AE56205" s="54"/>
    </row>
    <row r="56206" spans="31:31">
      <c r="AE56206" s="54"/>
    </row>
    <row r="56207" spans="31:31">
      <c r="AE56207" s="54"/>
    </row>
    <row r="56208" spans="31:31">
      <c r="AE56208" s="54"/>
    </row>
    <row r="56209" spans="31:31">
      <c r="AE56209" s="54"/>
    </row>
    <row r="56210" spans="31:31">
      <c r="AE56210" s="54"/>
    </row>
    <row r="56211" spans="31:31">
      <c r="AE56211" s="54"/>
    </row>
    <row r="56212" spans="31:31">
      <c r="AE56212" s="54"/>
    </row>
    <row r="56213" spans="31:31">
      <c r="AE56213" s="54"/>
    </row>
    <row r="56214" spans="31:31">
      <c r="AE56214" s="54"/>
    </row>
    <row r="56215" spans="31:31">
      <c r="AE56215" s="54"/>
    </row>
    <row r="56216" spans="31:31">
      <c r="AE56216" s="54"/>
    </row>
    <row r="56217" spans="31:31">
      <c r="AE56217" s="54"/>
    </row>
    <row r="56218" spans="31:31">
      <c r="AE56218" s="54"/>
    </row>
    <row r="56219" spans="31:31">
      <c r="AE56219" s="54"/>
    </row>
    <row r="56220" spans="31:31">
      <c r="AE56220" s="54"/>
    </row>
    <row r="56221" spans="31:31">
      <c r="AE56221" s="54"/>
    </row>
    <row r="56222" spans="31:31">
      <c r="AE56222" s="54"/>
    </row>
    <row r="56223" spans="31:31">
      <c r="AE56223" s="54"/>
    </row>
    <row r="56224" spans="31:31">
      <c r="AE56224" s="54"/>
    </row>
    <row r="56225" spans="31:31">
      <c r="AE56225" s="54"/>
    </row>
    <row r="56226" spans="31:31">
      <c r="AE56226" s="54"/>
    </row>
    <row r="56227" spans="31:31">
      <c r="AE56227" s="54"/>
    </row>
    <row r="56228" spans="31:31">
      <c r="AE56228" s="54"/>
    </row>
    <row r="56229" spans="31:31">
      <c r="AE56229" s="54"/>
    </row>
    <row r="56230" spans="31:31">
      <c r="AE56230" s="54"/>
    </row>
    <row r="56231" spans="31:31">
      <c r="AE56231" s="54"/>
    </row>
    <row r="56232" spans="31:31">
      <c r="AE56232" s="54"/>
    </row>
    <row r="56233" spans="31:31">
      <c r="AE56233" s="54"/>
    </row>
    <row r="56234" spans="31:31">
      <c r="AE56234" s="54"/>
    </row>
    <row r="56235" spans="31:31">
      <c r="AE56235" s="54"/>
    </row>
    <row r="56236" spans="31:31">
      <c r="AE56236" s="54"/>
    </row>
    <row r="56237" spans="31:31">
      <c r="AE56237" s="54"/>
    </row>
    <row r="56238" spans="31:31">
      <c r="AE56238" s="54"/>
    </row>
    <row r="56239" spans="31:31">
      <c r="AE56239" s="54"/>
    </row>
    <row r="56240" spans="31:31">
      <c r="AE56240" s="54"/>
    </row>
    <row r="56241" spans="31:31">
      <c r="AE56241" s="54"/>
    </row>
    <row r="56242" spans="31:31">
      <c r="AE56242" s="54"/>
    </row>
    <row r="56243" spans="31:31">
      <c r="AE56243" s="54"/>
    </row>
    <row r="56244" spans="31:31">
      <c r="AE56244" s="54"/>
    </row>
    <row r="56245" spans="31:31">
      <c r="AE56245" s="54"/>
    </row>
    <row r="56246" spans="31:31">
      <c r="AE56246" s="54"/>
    </row>
    <row r="56247" spans="31:31">
      <c r="AE56247" s="54"/>
    </row>
    <row r="56248" spans="31:31">
      <c r="AE56248" s="54"/>
    </row>
    <row r="56249" spans="31:31">
      <c r="AE56249" s="54"/>
    </row>
    <row r="56250" spans="31:31">
      <c r="AE56250" s="54"/>
    </row>
    <row r="56251" spans="31:31">
      <c r="AE56251" s="54"/>
    </row>
    <row r="56252" spans="31:31">
      <c r="AE56252" s="54"/>
    </row>
    <row r="56253" spans="31:31">
      <c r="AE56253" s="54"/>
    </row>
    <row r="56254" spans="31:31">
      <c r="AE56254" s="54"/>
    </row>
    <row r="56255" spans="31:31">
      <c r="AE56255" s="54"/>
    </row>
    <row r="56256" spans="31:31">
      <c r="AE56256" s="54"/>
    </row>
    <row r="56257" spans="31:31">
      <c r="AE56257" s="54"/>
    </row>
    <row r="56258" spans="31:31">
      <c r="AE56258" s="54"/>
    </row>
    <row r="56259" spans="31:31">
      <c r="AE56259" s="54"/>
    </row>
    <row r="56260" spans="31:31">
      <c r="AE56260" s="54"/>
    </row>
    <row r="56261" spans="31:31">
      <c r="AE56261" s="54"/>
    </row>
    <row r="56262" spans="31:31">
      <c r="AE56262" s="54"/>
    </row>
    <row r="56263" spans="31:31">
      <c r="AE56263" s="54"/>
    </row>
    <row r="56264" spans="31:31">
      <c r="AE56264" s="54"/>
    </row>
    <row r="56265" spans="31:31">
      <c r="AE56265" s="54"/>
    </row>
    <row r="56266" spans="31:31">
      <c r="AE56266" s="54"/>
    </row>
    <row r="56267" spans="31:31">
      <c r="AE56267" s="54"/>
    </row>
    <row r="56268" spans="31:31">
      <c r="AE56268" s="54"/>
    </row>
    <row r="56269" spans="31:31">
      <c r="AE56269" s="54"/>
    </row>
    <row r="56270" spans="31:31">
      <c r="AE56270" s="54"/>
    </row>
    <row r="56271" spans="31:31">
      <c r="AE56271" s="54"/>
    </row>
    <row r="56272" spans="31:31">
      <c r="AE56272" s="54"/>
    </row>
    <row r="56273" spans="31:31">
      <c r="AE56273" s="54"/>
    </row>
    <row r="56274" spans="31:31">
      <c r="AE56274" s="54"/>
    </row>
    <row r="56275" spans="31:31">
      <c r="AE56275" s="54"/>
    </row>
    <row r="56276" spans="31:31">
      <c r="AE56276" s="54"/>
    </row>
    <row r="56277" spans="31:31">
      <c r="AE56277" s="54"/>
    </row>
    <row r="56278" spans="31:31">
      <c r="AE56278" s="54"/>
    </row>
    <row r="56279" spans="31:31">
      <c r="AE56279" s="54"/>
    </row>
    <row r="56280" spans="31:31">
      <c r="AE56280" s="54"/>
    </row>
    <row r="56281" spans="31:31">
      <c r="AE56281" s="54"/>
    </row>
    <row r="56282" spans="31:31">
      <c r="AE56282" s="54"/>
    </row>
    <row r="56283" spans="31:31">
      <c r="AE56283" s="54"/>
    </row>
    <row r="56284" spans="31:31">
      <c r="AE56284" s="54"/>
    </row>
    <row r="56285" spans="31:31">
      <c r="AE56285" s="54"/>
    </row>
    <row r="56286" spans="31:31">
      <c r="AE56286" s="54"/>
    </row>
    <row r="56287" spans="31:31">
      <c r="AE56287" s="54"/>
    </row>
    <row r="56288" spans="31:31">
      <c r="AE56288" s="54"/>
    </row>
    <row r="56289" spans="31:31">
      <c r="AE56289" s="54"/>
    </row>
    <row r="56290" spans="31:31">
      <c r="AE56290" s="54"/>
    </row>
    <row r="56291" spans="31:31">
      <c r="AE56291" s="54"/>
    </row>
    <row r="56292" spans="31:31">
      <c r="AE56292" s="54"/>
    </row>
    <row r="56293" spans="31:31">
      <c r="AE56293" s="54"/>
    </row>
    <row r="56294" spans="31:31">
      <c r="AE56294" s="54"/>
    </row>
    <row r="56295" spans="31:31">
      <c r="AE56295" s="54"/>
    </row>
    <row r="56296" spans="31:31">
      <c r="AE56296" s="54"/>
    </row>
    <row r="56297" spans="31:31">
      <c r="AE56297" s="54"/>
    </row>
    <row r="56298" spans="31:31">
      <c r="AE56298" s="54"/>
    </row>
    <row r="56299" spans="31:31">
      <c r="AE56299" s="54"/>
    </row>
    <row r="56300" spans="31:31">
      <c r="AE56300" s="54"/>
    </row>
    <row r="56301" spans="31:31">
      <c r="AE56301" s="54"/>
    </row>
    <row r="56302" spans="31:31">
      <c r="AE56302" s="54"/>
    </row>
    <row r="56303" spans="31:31">
      <c r="AE56303" s="54"/>
    </row>
    <row r="56304" spans="31:31">
      <c r="AE56304" s="54"/>
    </row>
    <row r="56305" spans="31:31">
      <c r="AE56305" s="54"/>
    </row>
    <row r="56306" spans="31:31">
      <c r="AE56306" s="54"/>
    </row>
    <row r="56307" spans="31:31">
      <c r="AE56307" s="54"/>
    </row>
    <row r="56308" spans="31:31">
      <c r="AE56308" s="54"/>
    </row>
    <row r="56309" spans="31:31">
      <c r="AE56309" s="54"/>
    </row>
    <row r="56310" spans="31:31">
      <c r="AE56310" s="54"/>
    </row>
    <row r="56311" spans="31:31">
      <c r="AE56311" s="54"/>
    </row>
    <row r="56312" spans="31:31">
      <c r="AE56312" s="54"/>
    </row>
    <row r="56313" spans="31:31">
      <c r="AE56313" s="54"/>
    </row>
    <row r="56314" spans="31:31">
      <c r="AE56314" s="54"/>
    </row>
    <row r="56315" spans="31:31">
      <c r="AE56315" s="54"/>
    </row>
    <row r="56316" spans="31:31">
      <c r="AE56316" s="54"/>
    </row>
    <row r="56317" spans="31:31">
      <c r="AE56317" s="54"/>
    </row>
    <row r="56318" spans="31:31">
      <c r="AE56318" s="54"/>
    </row>
    <row r="56319" spans="31:31">
      <c r="AE56319" s="54"/>
    </row>
    <row r="56320" spans="31:31">
      <c r="AE56320" s="54"/>
    </row>
    <row r="56321" spans="31:31">
      <c r="AE56321" s="54"/>
    </row>
    <row r="56322" spans="31:31">
      <c r="AE56322" s="54"/>
    </row>
    <row r="56323" spans="31:31">
      <c r="AE56323" s="54"/>
    </row>
    <row r="56324" spans="31:31">
      <c r="AE56324" s="54"/>
    </row>
    <row r="56325" spans="31:31">
      <c r="AE56325" s="54"/>
    </row>
    <row r="56326" spans="31:31">
      <c r="AE56326" s="54"/>
    </row>
    <row r="56327" spans="31:31">
      <c r="AE56327" s="54"/>
    </row>
    <row r="56328" spans="31:31">
      <c r="AE56328" s="54"/>
    </row>
    <row r="56329" spans="31:31">
      <c r="AE56329" s="54"/>
    </row>
    <row r="56330" spans="31:31">
      <c r="AE56330" s="54"/>
    </row>
    <row r="56331" spans="31:31">
      <c r="AE56331" s="54"/>
    </row>
    <row r="56332" spans="31:31">
      <c r="AE56332" s="54"/>
    </row>
    <row r="56333" spans="31:31">
      <c r="AE56333" s="54"/>
    </row>
    <row r="56334" spans="31:31">
      <c r="AE56334" s="54"/>
    </row>
    <row r="56335" spans="31:31">
      <c r="AE56335" s="54"/>
    </row>
    <row r="56336" spans="31:31">
      <c r="AE56336" s="54"/>
    </row>
    <row r="56337" spans="31:31">
      <c r="AE56337" s="54"/>
    </row>
    <row r="56338" spans="31:31">
      <c r="AE56338" s="54"/>
    </row>
    <row r="56339" spans="31:31">
      <c r="AE56339" s="54"/>
    </row>
    <row r="56340" spans="31:31">
      <c r="AE56340" s="54"/>
    </row>
    <row r="56341" spans="31:31">
      <c r="AE56341" s="54"/>
    </row>
    <row r="56342" spans="31:31">
      <c r="AE56342" s="54"/>
    </row>
    <row r="56343" spans="31:31">
      <c r="AE56343" s="54"/>
    </row>
    <row r="56344" spans="31:31">
      <c r="AE56344" s="54"/>
    </row>
    <row r="56345" spans="31:31">
      <c r="AE56345" s="54"/>
    </row>
    <row r="56346" spans="31:31">
      <c r="AE56346" s="54"/>
    </row>
    <row r="56347" spans="31:31">
      <c r="AE56347" s="54"/>
    </row>
    <row r="56348" spans="31:31">
      <c r="AE56348" s="54"/>
    </row>
    <row r="56349" spans="31:31">
      <c r="AE56349" s="54"/>
    </row>
    <row r="56350" spans="31:31">
      <c r="AE56350" s="54"/>
    </row>
    <row r="56351" spans="31:31">
      <c r="AE56351" s="54"/>
    </row>
    <row r="56352" spans="31:31">
      <c r="AE56352" s="54"/>
    </row>
    <row r="56353" spans="31:31">
      <c r="AE56353" s="54"/>
    </row>
    <row r="56354" spans="31:31">
      <c r="AE56354" s="54"/>
    </row>
    <row r="56355" spans="31:31">
      <c r="AE56355" s="54"/>
    </row>
    <row r="56356" spans="31:31">
      <c r="AE56356" s="54"/>
    </row>
    <row r="56357" spans="31:31">
      <c r="AE56357" s="54"/>
    </row>
    <row r="56358" spans="31:31">
      <c r="AE56358" s="54"/>
    </row>
    <row r="56359" spans="31:31">
      <c r="AE56359" s="54"/>
    </row>
    <row r="56360" spans="31:31">
      <c r="AE56360" s="54"/>
    </row>
    <row r="56361" spans="31:31">
      <c r="AE56361" s="54"/>
    </row>
    <row r="56362" spans="31:31">
      <c r="AE56362" s="54"/>
    </row>
    <row r="56363" spans="31:31">
      <c r="AE56363" s="54"/>
    </row>
    <row r="56364" spans="31:31">
      <c r="AE56364" s="54"/>
    </row>
    <row r="56365" spans="31:31">
      <c r="AE56365" s="54"/>
    </row>
    <row r="56366" spans="31:31">
      <c r="AE56366" s="54"/>
    </row>
    <row r="56367" spans="31:31">
      <c r="AE56367" s="54"/>
    </row>
    <row r="56368" spans="31:31">
      <c r="AE56368" s="54"/>
    </row>
    <row r="56369" spans="31:31">
      <c r="AE56369" s="54"/>
    </row>
    <row r="56370" spans="31:31">
      <c r="AE56370" s="54"/>
    </row>
    <row r="56371" spans="31:31">
      <c r="AE56371" s="54"/>
    </row>
    <row r="56372" spans="31:31">
      <c r="AE56372" s="54"/>
    </row>
    <row r="56373" spans="31:31">
      <c r="AE56373" s="54"/>
    </row>
    <row r="56374" spans="31:31">
      <c r="AE56374" s="54"/>
    </row>
    <row r="56375" spans="31:31">
      <c r="AE56375" s="54"/>
    </row>
    <row r="56376" spans="31:31">
      <c r="AE56376" s="54"/>
    </row>
    <row r="56377" spans="31:31">
      <c r="AE56377" s="54"/>
    </row>
    <row r="56378" spans="31:31">
      <c r="AE56378" s="54"/>
    </row>
    <row r="56379" spans="31:31">
      <c r="AE56379" s="54"/>
    </row>
    <row r="56380" spans="31:31">
      <c r="AE56380" s="54"/>
    </row>
    <row r="56381" spans="31:31">
      <c r="AE56381" s="54"/>
    </row>
    <row r="56382" spans="31:31">
      <c r="AE56382" s="54"/>
    </row>
    <row r="56383" spans="31:31">
      <c r="AE56383" s="54"/>
    </row>
    <row r="56384" spans="31:31">
      <c r="AE56384" s="54"/>
    </row>
    <row r="56385" spans="31:31">
      <c r="AE56385" s="54"/>
    </row>
    <row r="56386" spans="31:31">
      <c r="AE56386" s="54"/>
    </row>
    <row r="56387" spans="31:31">
      <c r="AE56387" s="54"/>
    </row>
    <row r="56388" spans="31:31">
      <c r="AE56388" s="54"/>
    </row>
    <row r="56389" spans="31:31">
      <c r="AE56389" s="54"/>
    </row>
    <row r="56390" spans="31:31">
      <c r="AE56390" s="54"/>
    </row>
    <row r="56391" spans="31:31">
      <c r="AE56391" s="54"/>
    </row>
    <row r="56392" spans="31:31">
      <c r="AE56392" s="54"/>
    </row>
    <row r="56393" spans="31:31">
      <c r="AE56393" s="54"/>
    </row>
    <row r="56394" spans="31:31">
      <c r="AE56394" s="54"/>
    </row>
    <row r="56395" spans="31:31">
      <c r="AE56395" s="54"/>
    </row>
    <row r="56396" spans="31:31">
      <c r="AE56396" s="54"/>
    </row>
    <row r="56397" spans="31:31">
      <c r="AE56397" s="54"/>
    </row>
    <row r="56398" spans="31:31">
      <c r="AE56398" s="54"/>
    </row>
    <row r="56399" spans="31:31">
      <c r="AE56399" s="54"/>
    </row>
    <row r="56400" spans="31:31">
      <c r="AE56400" s="54"/>
    </row>
    <row r="56401" spans="31:31">
      <c r="AE56401" s="54"/>
    </row>
    <row r="56402" spans="31:31">
      <c r="AE56402" s="54"/>
    </row>
    <row r="56403" spans="31:31">
      <c r="AE56403" s="54"/>
    </row>
    <row r="56404" spans="31:31">
      <c r="AE56404" s="54"/>
    </row>
    <row r="56405" spans="31:31">
      <c r="AE56405" s="54"/>
    </row>
    <row r="56406" spans="31:31">
      <c r="AE56406" s="54"/>
    </row>
    <row r="56407" spans="31:31">
      <c r="AE56407" s="54"/>
    </row>
    <row r="56408" spans="31:31">
      <c r="AE56408" s="54"/>
    </row>
    <row r="56409" spans="31:31">
      <c r="AE56409" s="54"/>
    </row>
    <row r="56410" spans="31:31">
      <c r="AE56410" s="54"/>
    </row>
    <row r="56411" spans="31:31">
      <c r="AE56411" s="54"/>
    </row>
    <row r="56412" spans="31:31">
      <c r="AE56412" s="54"/>
    </row>
    <row r="56413" spans="31:31">
      <c r="AE56413" s="54"/>
    </row>
    <row r="56414" spans="31:31">
      <c r="AE56414" s="54"/>
    </row>
    <row r="56415" spans="31:31">
      <c r="AE56415" s="54"/>
    </row>
    <row r="56416" spans="31:31">
      <c r="AE56416" s="54"/>
    </row>
    <row r="56417" spans="31:31">
      <c r="AE56417" s="54"/>
    </row>
    <row r="56418" spans="31:31">
      <c r="AE56418" s="54"/>
    </row>
    <row r="56419" spans="31:31">
      <c r="AE56419" s="54"/>
    </row>
    <row r="56420" spans="31:31">
      <c r="AE56420" s="54"/>
    </row>
    <row r="56421" spans="31:31">
      <c r="AE56421" s="54"/>
    </row>
    <row r="56422" spans="31:31">
      <c r="AE56422" s="54"/>
    </row>
    <row r="56423" spans="31:31">
      <c r="AE56423" s="54"/>
    </row>
    <row r="56424" spans="31:31">
      <c r="AE56424" s="54"/>
    </row>
    <row r="56425" spans="31:31">
      <c r="AE56425" s="54"/>
    </row>
    <row r="56426" spans="31:31">
      <c r="AE56426" s="54"/>
    </row>
    <row r="56427" spans="31:31">
      <c r="AE56427" s="54"/>
    </row>
    <row r="56428" spans="31:31">
      <c r="AE56428" s="54"/>
    </row>
    <row r="56429" spans="31:31">
      <c r="AE56429" s="54"/>
    </row>
    <row r="56430" spans="31:31">
      <c r="AE56430" s="54"/>
    </row>
    <row r="56431" spans="31:31">
      <c r="AE56431" s="54"/>
    </row>
    <row r="56432" spans="31:31">
      <c r="AE56432" s="54"/>
    </row>
    <row r="56433" spans="31:31">
      <c r="AE56433" s="54"/>
    </row>
    <row r="56434" spans="31:31">
      <c r="AE56434" s="54"/>
    </row>
    <row r="56435" spans="31:31">
      <c r="AE56435" s="54"/>
    </row>
    <row r="56436" spans="31:31">
      <c r="AE56436" s="54"/>
    </row>
    <row r="56437" spans="31:31">
      <c r="AE56437" s="54"/>
    </row>
    <row r="56438" spans="31:31">
      <c r="AE56438" s="54"/>
    </row>
    <row r="56439" spans="31:31">
      <c r="AE56439" s="54"/>
    </row>
    <row r="56440" spans="31:31">
      <c r="AE56440" s="54"/>
    </row>
    <row r="56441" spans="31:31">
      <c r="AE56441" s="54"/>
    </row>
    <row r="56442" spans="31:31">
      <c r="AE56442" s="54"/>
    </row>
    <row r="56443" spans="31:31">
      <c r="AE56443" s="54"/>
    </row>
    <row r="56444" spans="31:31">
      <c r="AE56444" s="54"/>
    </row>
    <row r="56445" spans="31:31">
      <c r="AE56445" s="54"/>
    </row>
    <row r="56446" spans="31:31">
      <c r="AE56446" s="54"/>
    </row>
    <row r="56447" spans="31:31">
      <c r="AE56447" s="54"/>
    </row>
    <row r="56448" spans="31:31">
      <c r="AE56448" s="54"/>
    </row>
    <row r="56449" spans="31:31">
      <c r="AE56449" s="54"/>
    </row>
    <row r="56450" spans="31:31">
      <c r="AE56450" s="54"/>
    </row>
    <row r="56451" spans="31:31">
      <c r="AE56451" s="54"/>
    </row>
    <row r="56452" spans="31:31">
      <c r="AE56452" s="54"/>
    </row>
    <row r="56453" spans="31:31">
      <c r="AE56453" s="54"/>
    </row>
    <row r="56454" spans="31:31">
      <c r="AE56454" s="54"/>
    </row>
    <row r="56455" spans="31:31">
      <c r="AE56455" s="54"/>
    </row>
    <row r="56456" spans="31:31">
      <c r="AE56456" s="54"/>
    </row>
    <row r="56457" spans="31:31">
      <c r="AE56457" s="54"/>
    </row>
    <row r="56458" spans="31:31">
      <c r="AE56458" s="54"/>
    </row>
    <row r="56459" spans="31:31">
      <c r="AE56459" s="54"/>
    </row>
    <row r="56460" spans="31:31">
      <c r="AE56460" s="54"/>
    </row>
    <row r="56461" spans="31:31">
      <c r="AE56461" s="54"/>
    </row>
    <row r="56462" spans="31:31">
      <c r="AE56462" s="54"/>
    </row>
    <row r="56463" spans="31:31">
      <c r="AE56463" s="54"/>
    </row>
    <row r="56464" spans="31:31">
      <c r="AE56464" s="54"/>
    </row>
    <row r="56465" spans="31:31">
      <c r="AE56465" s="54"/>
    </row>
    <row r="56466" spans="31:31">
      <c r="AE56466" s="54"/>
    </row>
    <row r="56467" spans="31:31">
      <c r="AE56467" s="54"/>
    </row>
    <row r="56468" spans="31:31">
      <c r="AE56468" s="54"/>
    </row>
    <row r="56469" spans="31:31">
      <c r="AE56469" s="54"/>
    </row>
    <row r="56470" spans="31:31">
      <c r="AE56470" s="54"/>
    </row>
    <row r="56471" spans="31:31">
      <c r="AE56471" s="54"/>
    </row>
    <row r="56472" spans="31:31">
      <c r="AE56472" s="54"/>
    </row>
    <row r="56473" spans="31:31">
      <c r="AE56473" s="54"/>
    </row>
    <row r="56474" spans="31:31">
      <c r="AE56474" s="54"/>
    </row>
    <row r="56475" spans="31:31">
      <c r="AE56475" s="54"/>
    </row>
    <row r="56476" spans="31:31">
      <c r="AE56476" s="54"/>
    </row>
    <row r="56477" spans="31:31">
      <c r="AE56477" s="54"/>
    </row>
    <row r="56478" spans="31:31">
      <c r="AE56478" s="54"/>
    </row>
    <row r="56479" spans="31:31">
      <c r="AE56479" s="54"/>
    </row>
    <row r="56480" spans="31:31">
      <c r="AE56480" s="54"/>
    </row>
    <row r="56481" spans="31:31">
      <c r="AE56481" s="54"/>
    </row>
    <row r="56482" spans="31:31">
      <c r="AE56482" s="54"/>
    </row>
    <row r="56483" spans="31:31">
      <c r="AE56483" s="54"/>
    </row>
    <row r="56484" spans="31:31">
      <c r="AE56484" s="54"/>
    </row>
    <row r="56485" spans="31:31">
      <c r="AE56485" s="54"/>
    </row>
    <row r="56486" spans="31:31">
      <c r="AE56486" s="54"/>
    </row>
    <row r="56487" spans="31:31">
      <c r="AE56487" s="54"/>
    </row>
    <row r="56488" spans="31:31">
      <c r="AE56488" s="54"/>
    </row>
    <row r="56489" spans="31:31">
      <c r="AE56489" s="54"/>
    </row>
    <row r="56490" spans="31:31">
      <c r="AE56490" s="54"/>
    </row>
    <row r="56491" spans="31:31">
      <c r="AE56491" s="54"/>
    </row>
    <row r="56492" spans="31:31">
      <c r="AE56492" s="54"/>
    </row>
    <row r="56493" spans="31:31">
      <c r="AE56493" s="54"/>
    </row>
    <row r="56494" spans="31:31">
      <c r="AE56494" s="54"/>
    </row>
    <row r="56495" spans="31:31">
      <c r="AE56495" s="54"/>
    </row>
    <row r="56496" spans="31:31">
      <c r="AE56496" s="54"/>
    </row>
    <row r="56497" spans="31:31">
      <c r="AE56497" s="54"/>
    </row>
    <row r="56498" spans="31:31">
      <c r="AE56498" s="54"/>
    </row>
    <row r="56499" spans="31:31">
      <c r="AE56499" s="54"/>
    </row>
    <row r="56500" spans="31:31">
      <c r="AE56500" s="54"/>
    </row>
    <row r="56501" spans="31:31">
      <c r="AE56501" s="54"/>
    </row>
    <row r="56502" spans="31:31">
      <c r="AE56502" s="54"/>
    </row>
    <row r="56503" spans="31:31">
      <c r="AE56503" s="54"/>
    </row>
    <row r="56504" spans="31:31">
      <c r="AE56504" s="54"/>
    </row>
    <row r="56505" spans="31:31">
      <c r="AE56505" s="54"/>
    </row>
    <row r="56506" spans="31:31">
      <c r="AE56506" s="54"/>
    </row>
    <row r="56507" spans="31:31">
      <c r="AE56507" s="54"/>
    </row>
    <row r="56508" spans="31:31">
      <c r="AE56508" s="54"/>
    </row>
    <row r="56509" spans="31:31">
      <c r="AE56509" s="54"/>
    </row>
    <row r="56510" spans="31:31">
      <c r="AE56510" s="54"/>
    </row>
    <row r="56511" spans="31:31">
      <c r="AE56511" s="54"/>
    </row>
    <row r="56512" spans="31:31">
      <c r="AE56512" s="54"/>
    </row>
    <row r="56513" spans="31:31">
      <c r="AE56513" s="54"/>
    </row>
    <row r="56514" spans="31:31">
      <c r="AE56514" s="54"/>
    </row>
    <row r="56515" spans="31:31">
      <c r="AE56515" s="54"/>
    </row>
    <row r="56516" spans="31:31">
      <c r="AE56516" s="54"/>
    </row>
    <row r="56517" spans="31:31">
      <c r="AE56517" s="54"/>
    </row>
    <row r="56518" spans="31:31">
      <c r="AE56518" s="54"/>
    </row>
    <row r="56519" spans="31:31">
      <c r="AE56519" s="54"/>
    </row>
    <row r="56520" spans="31:31">
      <c r="AE56520" s="54"/>
    </row>
    <row r="56521" spans="31:31">
      <c r="AE56521" s="54"/>
    </row>
    <row r="56522" spans="31:31">
      <c r="AE56522" s="54"/>
    </row>
    <row r="56523" spans="31:31">
      <c r="AE56523" s="54"/>
    </row>
    <row r="56524" spans="31:31">
      <c r="AE56524" s="54"/>
    </row>
    <row r="56525" spans="31:31">
      <c r="AE56525" s="54"/>
    </row>
    <row r="56526" spans="31:31">
      <c r="AE56526" s="54"/>
    </row>
    <row r="56527" spans="31:31">
      <c r="AE56527" s="54"/>
    </row>
    <row r="56528" spans="31:31">
      <c r="AE56528" s="54"/>
    </row>
    <row r="56529" spans="31:31">
      <c r="AE56529" s="54"/>
    </row>
    <row r="56530" spans="31:31">
      <c r="AE56530" s="54"/>
    </row>
    <row r="56531" spans="31:31">
      <c r="AE56531" s="54"/>
    </row>
    <row r="56532" spans="31:31">
      <c r="AE56532" s="54"/>
    </row>
    <row r="56533" spans="31:31">
      <c r="AE56533" s="54"/>
    </row>
    <row r="56534" spans="31:31">
      <c r="AE56534" s="54"/>
    </row>
    <row r="56535" spans="31:31">
      <c r="AE56535" s="54"/>
    </row>
    <row r="56536" spans="31:31">
      <c r="AE56536" s="54"/>
    </row>
    <row r="56537" spans="31:31">
      <c r="AE56537" s="54"/>
    </row>
    <row r="56538" spans="31:31">
      <c r="AE56538" s="54"/>
    </row>
    <row r="56539" spans="31:31">
      <c r="AE56539" s="54"/>
    </row>
    <row r="56540" spans="31:31">
      <c r="AE56540" s="54"/>
    </row>
    <row r="56541" spans="31:31">
      <c r="AE56541" s="54"/>
    </row>
    <row r="56542" spans="31:31">
      <c r="AE56542" s="54"/>
    </row>
    <row r="56543" spans="31:31">
      <c r="AE56543" s="54"/>
    </row>
    <row r="56544" spans="31:31">
      <c r="AE56544" s="54"/>
    </row>
    <row r="56545" spans="31:31">
      <c r="AE56545" s="54"/>
    </row>
    <row r="56546" spans="31:31">
      <c r="AE56546" s="54"/>
    </row>
    <row r="56547" spans="31:31">
      <c r="AE56547" s="54"/>
    </row>
    <row r="56548" spans="31:31">
      <c r="AE56548" s="54"/>
    </row>
    <row r="56549" spans="31:31">
      <c r="AE56549" s="54"/>
    </row>
    <row r="56550" spans="31:31">
      <c r="AE56550" s="54"/>
    </row>
    <row r="56551" spans="31:31">
      <c r="AE56551" s="54"/>
    </row>
    <row r="56552" spans="31:31">
      <c r="AE56552" s="54"/>
    </row>
    <row r="56553" spans="31:31">
      <c r="AE56553" s="54"/>
    </row>
    <row r="56554" spans="31:31">
      <c r="AE56554" s="54"/>
    </row>
    <row r="56555" spans="31:31">
      <c r="AE56555" s="54"/>
    </row>
    <row r="56556" spans="31:31">
      <c r="AE56556" s="54"/>
    </row>
    <row r="56557" spans="31:31">
      <c r="AE56557" s="54"/>
    </row>
    <row r="56558" spans="31:31">
      <c r="AE56558" s="54"/>
    </row>
    <row r="56559" spans="31:31">
      <c r="AE56559" s="54"/>
    </row>
    <row r="56560" spans="31:31">
      <c r="AE56560" s="54"/>
    </row>
    <row r="56561" spans="31:31">
      <c r="AE56561" s="54"/>
    </row>
    <row r="56562" spans="31:31">
      <c r="AE56562" s="54"/>
    </row>
    <row r="56563" spans="31:31">
      <c r="AE56563" s="54"/>
    </row>
    <row r="56564" spans="31:31">
      <c r="AE56564" s="54"/>
    </row>
    <row r="56565" spans="31:31">
      <c r="AE56565" s="54"/>
    </row>
    <row r="56566" spans="31:31">
      <c r="AE56566" s="54"/>
    </row>
    <row r="56567" spans="31:31">
      <c r="AE56567" s="54"/>
    </row>
    <row r="56568" spans="31:31">
      <c r="AE56568" s="54"/>
    </row>
    <row r="56569" spans="31:31">
      <c r="AE56569" s="54"/>
    </row>
    <row r="56570" spans="31:31">
      <c r="AE56570" s="54"/>
    </row>
    <row r="56571" spans="31:31">
      <c r="AE56571" s="54"/>
    </row>
    <row r="56572" spans="31:31">
      <c r="AE56572" s="54"/>
    </row>
    <row r="56573" spans="31:31">
      <c r="AE56573" s="54"/>
    </row>
    <row r="56574" spans="31:31">
      <c r="AE56574" s="54"/>
    </row>
    <row r="56575" spans="31:31">
      <c r="AE56575" s="54"/>
    </row>
    <row r="56576" spans="31:31">
      <c r="AE56576" s="54"/>
    </row>
    <row r="56577" spans="31:31">
      <c r="AE56577" s="54"/>
    </row>
    <row r="56578" spans="31:31">
      <c r="AE56578" s="54"/>
    </row>
    <row r="56579" spans="31:31">
      <c r="AE56579" s="54"/>
    </row>
    <row r="56580" spans="31:31">
      <c r="AE56580" s="54"/>
    </row>
    <row r="56581" spans="31:31">
      <c r="AE56581" s="54"/>
    </row>
    <row r="56582" spans="31:31">
      <c r="AE56582" s="54"/>
    </row>
    <row r="56583" spans="31:31">
      <c r="AE56583" s="54"/>
    </row>
    <row r="56584" spans="31:31">
      <c r="AE56584" s="54"/>
    </row>
    <row r="56585" spans="31:31">
      <c r="AE56585" s="54"/>
    </row>
    <row r="56586" spans="31:31">
      <c r="AE56586" s="54"/>
    </row>
    <row r="56587" spans="31:31">
      <c r="AE56587" s="54"/>
    </row>
    <row r="56588" spans="31:31">
      <c r="AE56588" s="54"/>
    </row>
    <row r="56589" spans="31:31">
      <c r="AE56589" s="54"/>
    </row>
    <row r="56590" spans="31:31">
      <c r="AE56590" s="54"/>
    </row>
    <row r="56591" spans="31:31">
      <c r="AE56591" s="54"/>
    </row>
    <row r="56592" spans="31:31">
      <c r="AE56592" s="54"/>
    </row>
    <row r="56593" spans="31:31">
      <c r="AE56593" s="54"/>
    </row>
    <row r="56594" spans="31:31">
      <c r="AE56594" s="54"/>
    </row>
    <row r="56595" spans="31:31">
      <c r="AE56595" s="54"/>
    </row>
    <row r="56596" spans="31:31">
      <c r="AE56596" s="54"/>
    </row>
    <row r="56597" spans="31:31">
      <c r="AE56597" s="54"/>
    </row>
    <row r="56598" spans="31:31">
      <c r="AE56598" s="54"/>
    </row>
    <row r="56599" spans="31:31">
      <c r="AE56599" s="54"/>
    </row>
    <row r="56600" spans="31:31">
      <c r="AE56600" s="54"/>
    </row>
    <row r="56601" spans="31:31">
      <c r="AE56601" s="54"/>
    </row>
    <row r="56602" spans="31:31">
      <c r="AE56602" s="54"/>
    </row>
    <row r="56603" spans="31:31">
      <c r="AE56603" s="54"/>
    </row>
    <row r="56604" spans="31:31">
      <c r="AE56604" s="54"/>
    </row>
    <row r="56605" spans="31:31">
      <c r="AE56605" s="54"/>
    </row>
    <row r="56606" spans="31:31">
      <c r="AE56606" s="54"/>
    </row>
    <row r="56607" spans="31:31">
      <c r="AE56607" s="54"/>
    </row>
    <row r="56608" spans="31:31">
      <c r="AE56608" s="54"/>
    </row>
    <row r="56609" spans="31:31">
      <c r="AE56609" s="54"/>
    </row>
    <row r="56610" spans="31:31">
      <c r="AE56610" s="54"/>
    </row>
    <row r="56611" spans="31:31">
      <c r="AE56611" s="54"/>
    </row>
    <row r="56612" spans="31:31">
      <c r="AE56612" s="54"/>
    </row>
    <row r="56613" spans="31:31">
      <c r="AE56613" s="54"/>
    </row>
    <row r="56614" spans="31:31">
      <c r="AE56614" s="54"/>
    </row>
    <row r="56615" spans="31:31">
      <c r="AE56615" s="54"/>
    </row>
    <row r="56616" spans="31:31">
      <c r="AE56616" s="54"/>
    </row>
    <row r="56617" spans="31:31">
      <c r="AE56617" s="54"/>
    </row>
    <row r="56618" spans="31:31">
      <c r="AE56618" s="54"/>
    </row>
    <row r="56619" spans="31:31">
      <c r="AE56619" s="54"/>
    </row>
    <row r="56620" spans="31:31">
      <c r="AE56620" s="54"/>
    </row>
    <row r="56621" spans="31:31">
      <c r="AE56621" s="54"/>
    </row>
    <row r="56622" spans="31:31">
      <c r="AE56622" s="54"/>
    </row>
    <row r="56623" spans="31:31">
      <c r="AE56623" s="54"/>
    </row>
    <row r="56624" spans="31:31">
      <c r="AE56624" s="54"/>
    </row>
    <row r="56625" spans="31:31">
      <c r="AE56625" s="54"/>
    </row>
    <row r="56626" spans="31:31">
      <c r="AE56626" s="54"/>
    </row>
    <row r="56627" spans="31:31">
      <c r="AE56627" s="54"/>
    </row>
    <row r="56628" spans="31:31">
      <c r="AE56628" s="54"/>
    </row>
    <row r="56629" spans="31:31">
      <c r="AE56629" s="54"/>
    </row>
    <row r="56630" spans="31:31">
      <c r="AE56630" s="54"/>
    </row>
    <row r="56631" spans="31:31">
      <c r="AE56631" s="54"/>
    </row>
    <row r="56632" spans="31:31">
      <c r="AE56632" s="54"/>
    </row>
    <row r="56633" spans="31:31">
      <c r="AE56633" s="54"/>
    </row>
    <row r="56634" spans="31:31">
      <c r="AE56634" s="54"/>
    </row>
    <row r="56635" spans="31:31">
      <c r="AE56635" s="54"/>
    </row>
    <row r="56636" spans="31:31">
      <c r="AE56636" s="54"/>
    </row>
    <row r="56637" spans="31:31">
      <c r="AE56637" s="54"/>
    </row>
    <row r="56638" spans="31:31">
      <c r="AE56638" s="54"/>
    </row>
    <row r="56639" spans="31:31">
      <c r="AE56639" s="54"/>
    </row>
    <row r="56640" spans="31:31">
      <c r="AE56640" s="54"/>
    </row>
    <row r="56641" spans="31:31">
      <c r="AE56641" s="54"/>
    </row>
    <row r="56642" spans="31:31">
      <c r="AE56642" s="54"/>
    </row>
    <row r="56643" spans="31:31">
      <c r="AE56643" s="54"/>
    </row>
    <row r="56644" spans="31:31">
      <c r="AE56644" s="54"/>
    </row>
    <row r="56645" spans="31:31">
      <c r="AE56645" s="54"/>
    </row>
    <row r="56646" spans="31:31">
      <c r="AE56646" s="54"/>
    </row>
    <row r="56647" spans="31:31">
      <c r="AE56647" s="54"/>
    </row>
    <row r="56648" spans="31:31">
      <c r="AE56648" s="54"/>
    </row>
    <row r="56649" spans="31:31">
      <c r="AE56649" s="54"/>
    </row>
    <row r="56650" spans="31:31">
      <c r="AE56650" s="54"/>
    </row>
    <row r="56651" spans="31:31">
      <c r="AE56651" s="54"/>
    </row>
    <row r="56652" spans="31:31">
      <c r="AE56652" s="54"/>
    </row>
    <row r="56653" spans="31:31">
      <c r="AE56653" s="54"/>
    </row>
    <row r="56654" spans="31:31">
      <c r="AE56654" s="54"/>
    </row>
    <row r="56655" spans="31:31">
      <c r="AE56655" s="54"/>
    </row>
    <row r="56656" spans="31:31">
      <c r="AE56656" s="54"/>
    </row>
    <row r="56657" spans="31:31">
      <c r="AE56657" s="54"/>
    </row>
    <row r="56658" spans="31:31">
      <c r="AE56658" s="54"/>
    </row>
    <row r="56659" spans="31:31">
      <c r="AE56659" s="54"/>
    </row>
    <row r="56660" spans="31:31">
      <c r="AE56660" s="54"/>
    </row>
    <row r="56661" spans="31:31">
      <c r="AE56661" s="54"/>
    </row>
    <row r="56662" spans="31:31">
      <c r="AE56662" s="54"/>
    </row>
    <row r="56663" spans="31:31">
      <c r="AE56663" s="54"/>
    </row>
    <row r="56664" spans="31:31">
      <c r="AE56664" s="54"/>
    </row>
    <row r="56665" spans="31:31">
      <c r="AE56665" s="54"/>
    </row>
    <row r="56666" spans="31:31">
      <c r="AE56666" s="54"/>
    </row>
    <row r="56667" spans="31:31">
      <c r="AE56667" s="54"/>
    </row>
    <row r="56668" spans="31:31">
      <c r="AE56668" s="54"/>
    </row>
    <row r="56669" spans="31:31">
      <c r="AE56669" s="54"/>
    </row>
    <row r="56670" spans="31:31">
      <c r="AE56670" s="54"/>
    </row>
    <row r="56671" spans="31:31">
      <c r="AE56671" s="54"/>
    </row>
    <row r="56672" spans="31:31">
      <c r="AE56672" s="54"/>
    </row>
    <row r="56673" spans="31:31">
      <c r="AE56673" s="54"/>
    </row>
    <row r="56674" spans="31:31">
      <c r="AE56674" s="54"/>
    </row>
    <row r="56675" spans="31:31">
      <c r="AE56675" s="54"/>
    </row>
    <row r="56676" spans="31:31">
      <c r="AE56676" s="54"/>
    </row>
    <row r="56677" spans="31:31">
      <c r="AE56677" s="54"/>
    </row>
    <row r="56678" spans="31:31">
      <c r="AE56678" s="54"/>
    </row>
    <row r="56679" spans="31:31">
      <c r="AE56679" s="54"/>
    </row>
    <row r="56680" spans="31:31">
      <c r="AE56680" s="54"/>
    </row>
    <row r="56681" spans="31:31">
      <c r="AE56681" s="54"/>
    </row>
    <row r="56682" spans="31:31">
      <c r="AE56682" s="54"/>
    </row>
    <row r="56683" spans="31:31">
      <c r="AE56683" s="54"/>
    </row>
    <row r="56684" spans="31:31">
      <c r="AE56684" s="54"/>
    </row>
    <row r="56685" spans="31:31">
      <c r="AE56685" s="54"/>
    </row>
    <row r="56686" spans="31:31">
      <c r="AE56686" s="54"/>
    </row>
    <row r="56687" spans="31:31">
      <c r="AE56687" s="54"/>
    </row>
    <row r="56688" spans="31:31">
      <c r="AE56688" s="54"/>
    </row>
    <row r="56689" spans="31:31">
      <c r="AE56689" s="54"/>
    </row>
    <row r="56690" spans="31:31">
      <c r="AE56690" s="54"/>
    </row>
    <row r="56691" spans="31:31">
      <c r="AE56691" s="54"/>
    </row>
    <row r="56692" spans="31:31">
      <c r="AE56692" s="54"/>
    </row>
    <row r="56693" spans="31:31">
      <c r="AE56693" s="54"/>
    </row>
    <row r="56694" spans="31:31">
      <c r="AE56694" s="54"/>
    </row>
    <row r="56695" spans="31:31">
      <c r="AE56695" s="54"/>
    </row>
    <row r="56696" spans="31:31">
      <c r="AE56696" s="54"/>
    </row>
    <row r="56697" spans="31:31">
      <c r="AE56697" s="54"/>
    </row>
    <row r="56698" spans="31:31">
      <c r="AE56698" s="54"/>
    </row>
    <row r="56699" spans="31:31">
      <c r="AE56699" s="54"/>
    </row>
    <row r="56700" spans="31:31">
      <c r="AE56700" s="54"/>
    </row>
    <row r="56701" spans="31:31">
      <c r="AE56701" s="54"/>
    </row>
    <row r="56702" spans="31:31">
      <c r="AE56702" s="54"/>
    </row>
    <row r="56703" spans="31:31">
      <c r="AE56703" s="54"/>
    </row>
    <row r="56704" spans="31:31">
      <c r="AE56704" s="54"/>
    </row>
    <row r="56705" spans="31:31">
      <c r="AE56705" s="54"/>
    </row>
    <row r="56706" spans="31:31">
      <c r="AE56706" s="54"/>
    </row>
    <row r="56707" spans="31:31">
      <c r="AE56707" s="54"/>
    </row>
    <row r="56708" spans="31:31">
      <c r="AE56708" s="54"/>
    </row>
    <row r="56709" spans="31:31">
      <c r="AE56709" s="54"/>
    </row>
    <row r="56710" spans="31:31">
      <c r="AE56710" s="54"/>
    </row>
    <row r="56711" spans="31:31">
      <c r="AE56711" s="54"/>
    </row>
    <row r="56712" spans="31:31">
      <c r="AE56712" s="54"/>
    </row>
    <row r="56713" spans="31:31">
      <c r="AE56713" s="54"/>
    </row>
    <row r="56714" spans="31:31">
      <c r="AE56714" s="54"/>
    </row>
    <row r="56715" spans="31:31">
      <c r="AE56715" s="54"/>
    </row>
    <row r="56716" spans="31:31">
      <c r="AE56716" s="54"/>
    </row>
    <row r="56717" spans="31:31">
      <c r="AE56717" s="54"/>
    </row>
    <row r="56718" spans="31:31">
      <c r="AE56718" s="54"/>
    </row>
    <row r="56719" spans="31:31">
      <c r="AE56719" s="54"/>
    </row>
    <row r="56720" spans="31:31">
      <c r="AE56720" s="54"/>
    </row>
    <row r="56721" spans="31:31">
      <c r="AE56721" s="54"/>
    </row>
    <row r="56722" spans="31:31">
      <c r="AE56722" s="54"/>
    </row>
    <row r="56723" spans="31:31">
      <c r="AE56723" s="54"/>
    </row>
    <row r="56724" spans="31:31">
      <c r="AE56724" s="54"/>
    </row>
    <row r="56725" spans="31:31">
      <c r="AE56725" s="54"/>
    </row>
    <row r="56726" spans="31:31">
      <c r="AE56726" s="54"/>
    </row>
    <row r="56727" spans="31:31">
      <c r="AE56727" s="54"/>
    </row>
    <row r="56728" spans="31:31">
      <c r="AE56728" s="54"/>
    </row>
    <row r="56729" spans="31:31">
      <c r="AE56729" s="54"/>
    </row>
    <row r="56730" spans="31:31">
      <c r="AE56730" s="54"/>
    </row>
    <row r="56731" spans="31:31">
      <c r="AE56731" s="54"/>
    </row>
    <row r="56732" spans="31:31">
      <c r="AE56732" s="54"/>
    </row>
    <row r="56733" spans="31:31">
      <c r="AE56733" s="54"/>
    </row>
    <row r="56734" spans="31:31">
      <c r="AE56734" s="54"/>
    </row>
    <row r="56735" spans="31:31">
      <c r="AE56735" s="54"/>
    </row>
    <row r="56736" spans="31:31">
      <c r="AE56736" s="54"/>
    </row>
    <row r="56737" spans="31:31">
      <c r="AE56737" s="54"/>
    </row>
    <row r="56738" spans="31:31">
      <c r="AE56738" s="54"/>
    </row>
    <row r="56739" spans="31:31">
      <c r="AE56739" s="54"/>
    </row>
    <row r="56740" spans="31:31">
      <c r="AE56740" s="54"/>
    </row>
    <row r="56741" spans="31:31">
      <c r="AE56741" s="54"/>
    </row>
    <row r="56742" spans="31:31">
      <c r="AE56742" s="54"/>
    </row>
    <row r="56743" spans="31:31">
      <c r="AE56743" s="54"/>
    </row>
    <row r="56744" spans="31:31">
      <c r="AE56744" s="54"/>
    </row>
    <row r="56745" spans="31:31">
      <c r="AE56745" s="54"/>
    </row>
    <row r="56746" spans="31:31">
      <c r="AE56746" s="54"/>
    </row>
    <row r="56747" spans="31:31">
      <c r="AE56747" s="54"/>
    </row>
    <row r="56748" spans="31:31">
      <c r="AE56748" s="54"/>
    </row>
    <row r="56749" spans="31:31">
      <c r="AE56749" s="54"/>
    </row>
    <row r="56750" spans="31:31">
      <c r="AE56750" s="54"/>
    </row>
    <row r="56751" spans="31:31">
      <c r="AE56751" s="54"/>
    </row>
    <row r="56752" spans="31:31">
      <c r="AE56752" s="54"/>
    </row>
    <row r="56753" spans="31:31">
      <c r="AE56753" s="54"/>
    </row>
    <row r="56754" spans="31:31">
      <c r="AE56754" s="54"/>
    </row>
    <row r="56755" spans="31:31">
      <c r="AE56755" s="54"/>
    </row>
    <row r="56756" spans="31:31">
      <c r="AE56756" s="54"/>
    </row>
    <row r="56757" spans="31:31">
      <c r="AE56757" s="54"/>
    </row>
    <row r="56758" spans="31:31">
      <c r="AE56758" s="54"/>
    </row>
    <row r="56759" spans="31:31">
      <c r="AE56759" s="54"/>
    </row>
    <row r="56760" spans="31:31">
      <c r="AE56760" s="54"/>
    </row>
    <row r="56761" spans="31:31">
      <c r="AE56761" s="54"/>
    </row>
    <row r="56762" spans="31:31">
      <c r="AE56762" s="54"/>
    </row>
    <row r="56763" spans="31:31">
      <c r="AE56763" s="54"/>
    </row>
    <row r="56764" spans="31:31">
      <c r="AE56764" s="54"/>
    </row>
    <row r="56765" spans="31:31">
      <c r="AE56765" s="54"/>
    </row>
    <row r="56766" spans="31:31">
      <c r="AE56766" s="54"/>
    </row>
    <row r="56767" spans="31:31">
      <c r="AE56767" s="54"/>
    </row>
    <row r="56768" spans="31:31">
      <c r="AE56768" s="54"/>
    </row>
    <row r="56769" spans="31:31">
      <c r="AE56769" s="54"/>
    </row>
    <row r="56770" spans="31:31">
      <c r="AE56770" s="54"/>
    </row>
    <row r="56771" spans="31:31">
      <c r="AE56771" s="54"/>
    </row>
    <row r="56772" spans="31:31">
      <c r="AE56772" s="54"/>
    </row>
    <row r="56773" spans="31:31">
      <c r="AE56773" s="54"/>
    </row>
    <row r="56774" spans="31:31">
      <c r="AE56774" s="54"/>
    </row>
    <row r="56775" spans="31:31">
      <c r="AE56775" s="54"/>
    </row>
    <row r="56776" spans="31:31">
      <c r="AE56776" s="54"/>
    </row>
    <row r="56777" spans="31:31">
      <c r="AE56777" s="54"/>
    </row>
    <row r="56778" spans="31:31">
      <c r="AE56778" s="54"/>
    </row>
    <row r="56779" spans="31:31">
      <c r="AE56779" s="54"/>
    </row>
    <row r="56780" spans="31:31">
      <c r="AE56780" s="54"/>
    </row>
    <row r="56781" spans="31:31">
      <c r="AE56781" s="54"/>
    </row>
    <row r="56782" spans="31:31">
      <c r="AE56782" s="54"/>
    </row>
    <row r="56783" spans="31:31">
      <c r="AE56783" s="54"/>
    </row>
    <row r="56784" spans="31:31">
      <c r="AE56784" s="54"/>
    </row>
    <row r="56785" spans="31:31">
      <c r="AE56785" s="54"/>
    </row>
    <row r="56786" spans="31:31">
      <c r="AE56786" s="54"/>
    </row>
    <row r="56787" spans="31:31">
      <c r="AE56787" s="54"/>
    </row>
    <row r="56788" spans="31:31">
      <c r="AE56788" s="54"/>
    </row>
    <row r="56789" spans="31:31">
      <c r="AE56789" s="54"/>
    </row>
    <row r="56790" spans="31:31">
      <c r="AE56790" s="54"/>
    </row>
    <row r="56791" spans="31:31">
      <c r="AE56791" s="54"/>
    </row>
    <row r="56792" spans="31:31">
      <c r="AE56792" s="54"/>
    </row>
    <row r="56793" spans="31:31">
      <c r="AE56793" s="54"/>
    </row>
    <row r="56794" spans="31:31">
      <c r="AE56794" s="54"/>
    </row>
    <row r="56795" spans="31:31">
      <c r="AE56795" s="54"/>
    </row>
    <row r="56796" spans="31:31">
      <c r="AE56796" s="54"/>
    </row>
    <row r="56797" spans="31:31">
      <c r="AE56797" s="54"/>
    </row>
    <row r="56798" spans="31:31">
      <c r="AE56798" s="54"/>
    </row>
    <row r="56799" spans="31:31">
      <c r="AE56799" s="54"/>
    </row>
    <row r="56800" spans="31:31">
      <c r="AE56800" s="54"/>
    </row>
    <row r="56801" spans="31:31">
      <c r="AE56801" s="54"/>
    </row>
    <row r="56802" spans="31:31">
      <c r="AE56802" s="54"/>
    </row>
    <row r="56803" spans="31:31">
      <c r="AE56803" s="54"/>
    </row>
    <row r="56804" spans="31:31">
      <c r="AE56804" s="54"/>
    </row>
    <row r="56805" spans="31:31">
      <c r="AE56805" s="54"/>
    </row>
    <row r="56806" spans="31:31">
      <c r="AE56806" s="54"/>
    </row>
    <row r="56807" spans="31:31">
      <c r="AE56807" s="54"/>
    </row>
    <row r="56808" spans="31:31">
      <c r="AE56808" s="54"/>
    </row>
    <row r="56809" spans="31:31">
      <c r="AE56809" s="54"/>
    </row>
    <row r="56810" spans="31:31">
      <c r="AE56810" s="54"/>
    </row>
    <row r="56811" spans="31:31">
      <c r="AE56811" s="54"/>
    </row>
    <row r="56812" spans="31:31">
      <c r="AE56812" s="54"/>
    </row>
    <row r="56813" spans="31:31">
      <c r="AE56813" s="54"/>
    </row>
    <row r="56814" spans="31:31">
      <c r="AE56814" s="54"/>
    </row>
    <row r="56815" spans="31:31">
      <c r="AE56815" s="54"/>
    </row>
    <row r="56816" spans="31:31">
      <c r="AE56816" s="54"/>
    </row>
    <row r="56817" spans="31:31">
      <c r="AE56817" s="54"/>
    </row>
    <row r="56818" spans="31:31">
      <c r="AE56818" s="54"/>
    </row>
    <row r="56819" spans="31:31">
      <c r="AE56819" s="54"/>
    </row>
    <row r="56820" spans="31:31">
      <c r="AE56820" s="54"/>
    </row>
    <row r="56821" spans="31:31">
      <c r="AE56821" s="54"/>
    </row>
    <row r="56822" spans="31:31">
      <c r="AE56822" s="54"/>
    </row>
    <row r="56823" spans="31:31">
      <c r="AE56823" s="54"/>
    </row>
    <row r="56824" spans="31:31">
      <c r="AE56824" s="54"/>
    </row>
    <row r="56825" spans="31:31">
      <c r="AE56825" s="54"/>
    </row>
    <row r="56826" spans="31:31">
      <c r="AE56826" s="54"/>
    </row>
    <row r="56827" spans="31:31">
      <c r="AE56827" s="54"/>
    </row>
    <row r="56828" spans="31:31">
      <c r="AE56828" s="54"/>
    </row>
    <row r="56829" spans="31:31">
      <c r="AE56829" s="54"/>
    </row>
    <row r="56830" spans="31:31">
      <c r="AE56830" s="54"/>
    </row>
    <row r="56831" spans="31:31">
      <c r="AE56831" s="54"/>
    </row>
    <row r="56832" spans="31:31">
      <c r="AE56832" s="54"/>
    </row>
    <row r="56833" spans="31:31">
      <c r="AE56833" s="54"/>
    </row>
    <row r="56834" spans="31:31">
      <c r="AE56834" s="54"/>
    </row>
    <row r="56835" spans="31:31">
      <c r="AE56835" s="54"/>
    </row>
    <row r="56836" spans="31:31">
      <c r="AE56836" s="54"/>
    </row>
    <row r="56837" spans="31:31">
      <c r="AE56837" s="54"/>
    </row>
    <row r="56838" spans="31:31">
      <c r="AE56838" s="54"/>
    </row>
    <row r="56839" spans="31:31">
      <c r="AE56839" s="54"/>
    </row>
    <row r="56840" spans="31:31">
      <c r="AE56840" s="54"/>
    </row>
    <row r="56841" spans="31:31">
      <c r="AE56841" s="54"/>
    </row>
    <row r="56842" spans="31:31">
      <c r="AE56842" s="54"/>
    </row>
    <row r="56843" spans="31:31">
      <c r="AE56843" s="54"/>
    </row>
    <row r="56844" spans="31:31">
      <c r="AE56844" s="54"/>
    </row>
    <row r="56845" spans="31:31">
      <c r="AE56845" s="54"/>
    </row>
    <row r="56846" spans="31:31">
      <c r="AE56846" s="54"/>
    </row>
    <row r="56847" spans="31:31">
      <c r="AE56847" s="54"/>
    </row>
    <row r="56848" spans="31:31">
      <c r="AE56848" s="54"/>
    </row>
    <row r="56849" spans="31:31">
      <c r="AE56849" s="54"/>
    </row>
    <row r="56850" spans="31:31">
      <c r="AE56850" s="54"/>
    </row>
    <row r="56851" spans="31:31">
      <c r="AE56851" s="54"/>
    </row>
    <row r="56852" spans="31:31">
      <c r="AE56852" s="54"/>
    </row>
    <row r="56853" spans="31:31">
      <c r="AE56853" s="54"/>
    </row>
    <row r="56854" spans="31:31">
      <c r="AE56854" s="54"/>
    </row>
    <row r="56855" spans="31:31">
      <c r="AE56855" s="54"/>
    </row>
    <row r="56856" spans="31:31">
      <c r="AE56856" s="54"/>
    </row>
    <row r="56857" spans="31:31">
      <c r="AE56857" s="54"/>
    </row>
    <row r="56858" spans="31:31">
      <c r="AE56858" s="54"/>
    </row>
    <row r="56859" spans="31:31">
      <c r="AE56859" s="54"/>
    </row>
    <row r="56860" spans="31:31">
      <c r="AE56860" s="54"/>
    </row>
    <row r="56861" spans="31:31">
      <c r="AE56861" s="54"/>
    </row>
    <row r="56862" spans="31:31">
      <c r="AE56862" s="54"/>
    </row>
    <row r="56863" spans="31:31">
      <c r="AE56863" s="54"/>
    </row>
    <row r="56864" spans="31:31">
      <c r="AE56864" s="54"/>
    </row>
    <row r="56865" spans="31:31">
      <c r="AE56865" s="54"/>
    </row>
    <row r="56866" spans="31:31">
      <c r="AE56866" s="54"/>
    </row>
    <row r="56867" spans="31:31">
      <c r="AE56867" s="54"/>
    </row>
    <row r="56868" spans="31:31">
      <c r="AE56868" s="54"/>
    </row>
    <row r="56869" spans="31:31">
      <c r="AE56869" s="54"/>
    </row>
    <row r="56870" spans="31:31">
      <c r="AE56870" s="54"/>
    </row>
    <row r="56871" spans="31:31">
      <c r="AE56871" s="54"/>
    </row>
    <row r="56872" spans="31:31">
      <c r="AE56872" s="54"/>
    </row>
    <row r="56873" spans="31:31">
      <c r="AE56873" s="54"/>
    </row>
    <row r="56874" spans="31:31">
      <c r="AE56874" s="54"/>
    </row>
    <row r="56875" spans="31:31">
      <c r="AE56875" s="54"/>
    </row>
    <row r="56876" spans="31:31">
      <c r="AE56876" s="54"/>
    </row>
    <row r="56877" spans="31:31">
      <c r="AE56877" s="54"/>
    </row>
    <row r="56878" spans="31:31">
      <c r="AE56878" s="54"/>
    </row>
    <row r="56879" spans="31:31">
      <c r="AE56879" s="54"/>
    </row>
    <row r="56880" spans="31:31">
      <c r="AE56880" s="54"/>
    </row>
    <row r="56881" spans="31:31">
      <c r="AE56881" s="54"/>
    </row>
    <row r="56882" spans="31:31">
      <c r="AE56882" s="54"/>
    </row>
    <row r="56883" spans="31:31">
      <c r="AE56883" s="54"/>
    </row>
    <row r="56884" spans="31:31">
      <c r="AE56884" s="54"/>
    </row>
    <row r="56885" spans="31:31">
      <c r="AE56885" s="54"/>
    </row>
    <row r="56886" spans="31:31">
      <c r="AE56886" s="54"/>
    </row>
    <row r="56887" spans="31:31">
      <c r="AE56887" s="54"/>
    </row>
    <row r="56888" spans="31:31">
      <c r="AE56888" s="54"/>
    </row>
    <row r="56889" spans="31:31">
      <c r="AE56889" s="54"/>
    </row>
    <row r="56890" spans="31:31">
      <c r="AE56890" s="54"/>
    </row>
    <row r="56891" spans="31:31">
      <c r="AE56891" s="54"/>
    </row>
    <row r="56892" spans="31:31">
      <c r="AE56892" s="54"/>
    </row>
    <row r="56893" spans="31:31">
      <c r="AE56893" s="54"/>
    </row>
    <row r="56894" spans="31:31">
      <c r="AE56894" s="54"/>
    </row>
    <row r="56895" spans="31:31">
      <c r="AE56895" s="54"/>
    </row>
    <row r="56896" spans="31:31">
      <c r="AE56896" s="54"/>
    </row>
    <row r="56897" spans="31:31">
      <c r="AE56897" s="54"/>
    </row>
    <row r="56898" spans="31:31">
      <c r="AE56898" s="54"/>
    </row>
    <row r="56899" spans="31:31">
      <c r="AE56899" s="54"/>
    </row>
    <row r="56900" spans="31:31">
      <c r="AE56900" s="54"/>
    </row>
    <row r="56901" spans="31:31">
      <c r="AE56901" s="54"/>
    </row>
    <row r="56902" spans="31:31">
      <c r="AE56902" s="54"/>
    </row>
    <row r="56903" spans="31:31">
      <c r="AE56903" s="54"/>
    </row>
    <row r="56904" spans="31:31">
      <c r="AE56904" s="54"/>
    </row>
    <row r="56905" spans="31:31">
      <c r="AE56905" s="54"/>
    </row>
    <row r="56906" spans="31:31">
      <c r="AE56906" s="54"/>
    </row>
    <row r="56907" spans="31:31">
      <c r="AE56907" s="54"/>
    </row>
    <row r="56908" spans="31:31">
      <c r="AE56908" s="54"/>
    </row>
    <row r="56909" spans="31:31">
      <c r="AE56909" s="54"/>
    </row>
    <row r="56910" spans="31:31">
      <c r="AE56910" s="54"/>
    </row>
    <row r="56911" spans="31:31">
      <c r="AE56911" s="54"/>
    </row>
    <row r="56912" spans="31:31">
      <c r="AE56912" s="54"/>
    </row>
    <row r="56913" spans="31:31">
      <c r="AE56913" s="54"/>
    </row>
    <row r="56914" spans="31:31">
      <c r="AE56914" s="54"/>
    </row>
    <row r="56915" spans="31:31">
      <c r="AE56915" s="54"/>
    </row>
    <row r="56916" spans="31:31">
      <c r="AE56916" s="54"/>
    </row>
    <row r="56917" spans="31:31">
      <c r="AE56917" s="54"/>
    </row>
    <row r="56918" spans="31:31">
      <c r="AE56918" s="54"/>
    </row>
    <row r="56919" spans="31:31">
      <c r="AE56919" s="54"/>
    </row>
    <row r="56920" spans="31:31">
      <c r="AE56920" s="54"/>
    </row>
    <row r="56921" spans="31:31">
      <c r="AE56921" s="54"/>
    </row>
    <row r="56922" spans="31:31">
      <c r="AE56922" s="54"/>
    </row>
    <row r="56923" spans="31:31">
      <c r="AE56923" s="54"/>
    </row>
    <row r="56924" spans="31:31">
      <c r="AE56924" s="54"/>
    </row>
    <row r="56925" spans="31:31">
      <c r="AE56925" s="54"/>
    </row>
    <row r="56926" spans="31:31">
      <c r="AE56926" s="54"/>
    </row>
    <row r="56927" spans="31:31">
      <c r="AE56927" s="54"/>
    </row>
    <row r="56928" spans="31:31">
      <c r="AE56928" s="54"/>
    </row>
    <row r="56929" spans="31:31">
      <c r="AE56929" s="54"/>
    </row>
    <row r="56930" spans="31:31">
      <c r="AE56930" s="54"/>
    </row>
    <row r="56931" spans="31:31">
      <c r="AE56931" s="54"/>
    </row>
    <row r="56932" spans="31:31">
      <c r="AE56932" s="54"/>
    </row>
    <row r="56933" spans="31:31">
      <c r="AE56933" s="54"/>
    </row>
    <row r="56934" spans="31:31">
      <c r="AE56934" s="54"/>
    </row>
    <row r="56935" spans="31:31">
      <c r="AE56935" s="54"/>
    </row>
    <row r="56936" spans="31:31">
      <c r="AE56936" s="54"/>
    </row>
    <row r="56937" spans="31:31">
      <c r="AE56937" s="54"/>
    </row>
    <row r="56938" spans="31:31">
      <c r="AE56938" s="54"/>
    </row>
    <row r="56939" spans="31:31">
      <c r="AE56939" s="54"/>
    </row>
    <row r="56940" spans="31:31">
      <c r="AE56940" s="54"/>
    </row>
    <row r="56941" spans="31:31">
      <c r="AE56941" s="54"/>
    </row>
    <row r="56942" spans="31:31">
      <c r="AE56942" s="54"/>
    </row>
    <row r="56943" spans="31:31">
      <c r="AE56943" s="54"/>
    </row>
    <row r="56944" spans="31:31">
      <c r="AE56944" s="54"/>
    </row>
    <row r="56945" spans="31:31">
      <c r="AE56945" s="54"/>
    </row>
    <row r="56946" spans="31:31">
      <c r="AE56946" s="54"/>
    </row>
    <row r="56947" spans="31:31">
      <c r="AE56947" s="54"/>
    </row>
    <row r="56948" spans="31:31">
      <c r="AE56948" s="54"/>
    </row>
    <row r="56949" spans="31:31">
      <c r="AE56949" s="54"/>
    </row>
    <row r="56950" spans="31:31">
      <c r="AE56950" s="54"/>
    </row>
    <row r="56951" spans="31:31">
      <c r="AE56951" s="54"/>
    </row>
    <row r="56952" spans="31:31">
      <c r="AE56952" s="54"/>
    </row>
    <row r="56953" spans="31:31">
      <c r="AE56953" s="54"/>
    </row>
    <row r="56954" spans="31:31">
      <c r="AE56954" s="54"/>
    </row>
    <row r="56955" spans="31:31">
      <c r="AE56955" s="54"/>
    </row>
    <row r="56956" spans="31:31">
      <c r="AE56956" s="54"/>
    </row>
    <row r="56957" spans="31:31">
      <c r="AE56957" s="54"/>
    </row>
    <row r="56958" spans="31:31">
      <c r="AE56958" s="54"/>
    </row>
    <row r="56959" spans="31:31">
      <c r="AE56959" s="54"/>
    </row>
    <row r="56960" spans="31:31">
      <c r="AE56960" s="54"/>
    </row>
    <row r="56961" spans="31:31">
      <c r="AE56961" s="54"/>
    </row>
    <row r="56962" spans="31:31">
      <c r="AE56962" s="54"/>
    </row>
    <row r="56963" spans="31:31">
      <c r="AE56963" s="54"/>
    </row>
    <row r="56964" spans="31:31">
      <c r="AE56964" s="54"/>
    </row>
    <row r="56965" spans="31:31">
      <c r="AE56965" s="54"/>
    </row>
    <row r="56966" spans="31:31">
      <c r="AE56966" s="54"/>
    </row>
    <row r="56967" spans="31:31">
      <c r="AE56967" s="54"/>
    </row>
    <row r="56968" spans="31:31">
      <c r="AE56968" s="54"/>
    </row>
    <row r="56969" spans="31:31">
      <c r="AE56969" s="54"/>
    </row>
    <row r="56970" spans="31:31">
      <c r="AE56970" s="54"/>
    </row>
    <row r="56971" spans="31:31">
      <c r="AE56971" s="54"/>
    </row>
    <row r="56972" spans="31:31">
      <c r="AE56972" s="54"/>
    </row>
    <row r="56973" spans="31:31">
      <c r="AE56973" s="54"/>
    </row>
    <row r="56974" spans="31:31">
      <c r="AE56974" s="54"/>
    </row>
    <row r="56975" spans="31:31">
      <c r="AE56975" s="54"/>
    </row>
    <row r="56976" spans="31:31">
      <c r="AE56976" s="54"/>
    </row>
    <row r="56977" spans="31:31">
      <c r="AE56977" s="54"/>
    </row>
    <row r="56978" spans="31:31">
      <c r="AE56978" s="54"/>
    </row>
    <row r="56979" spans="31:31">
      <c r="AE56979" s="54"/>
    </row>
    <row r="56980" spans="31:31">
      <c r="AE56980" s="54"/>
    </row>
    <row r="56981" spans="31:31">
      <c r="AE56981" s="54"/>
    </row>
    <row r="56982" spans="31:31">
      <c r="AE56982" s="54"/>
    </row>
    <row r="56983" spans="31:31">
      <c r="AE56983" s="54"/>
    </row>
    <row r="56984" spans="31:31">
      <c r="AE56984" s="54"/>
    </row>
    <row r="56985" spans="31:31">
      <c r="AE56985" s="54"/>
    </row>
    <row r="56986" spans="31:31">
      <c r="AE56986" s="54"/>
    </row>
    <row r="56987" spans="31:31">
      <c r="AE56987" s="54"/>
    </row>
    <row r="56988" spans="31:31">
      <c r="AE56988" s="54"/>
    </row>
    <row r="56989" spans="31:31">
      <c r="AE56989" s="54"/>
    </row>
    <row r="56990" spans="31:31">
      <c r="AE56990" s="54"/>
    </row>
    <row r="56991" spans="31:31">
      <c r="AE56991" s="54"/>
    </row>
    <row r="56992" spans="31:31">
      <c r="AE56992" s="54"/>
    </row>
    <row r="56993" spans="31:31">
      <c r="AE56993" s="54"/>
    </row>
    <row r="56994" spans="31:31">
      <c r="AE56994" s="54"/>
    </row>
    <row r="56995" spans="31:31">
      <c r="AE56995" s="54"/>
    </row>
    <row r="56996" spans="31:31">
      <c r="AE56996" s="54"/>
    </row>
    <row r="56997" spans="31:31">
      <c r="AE56997" s="54"/>
    </row>
    <row r="56998" spans="31:31">
      <c r="AE56998" s="54"/>
    </row>
    <row r="56999" spans="31:31">
      <c r="AE56999" s="54"/>
    </row>
    <row r="57000" spans="31:31">
      <c r="AE57000" s="54"/>
    </row>
    <row r="57001" spans="31:31">
      <c r="AE57001" s="54"/>
    </row>
    <row r="57002" spans="31:31">
      <c r="AE57002" s="54"/>
    </row>
    <row r="57003" spans="31:31">
      <c r="AE57003" s="54"/>
    </row>
    <row r="57004" spans="31:31">
      <c r="AE57004" s="54"/>
    </row>
    <row r="57005" spans="31:31">
      <c r="AE57005" s="54"/>
    </row>
    <row r="57006" spans="31:31">
      <c r="AE57006" s="54"/>
    </row>
    <row r="57007" spans="31:31">
      <c r="AE57007" s="54"/>
    </row>
    <row r="57008" spans="31:31">
      <c r="AE57008" s="54"/>
    </row>
    <row r="57009" spans="31:31">
      <c r="AE57009" s="54"/>
    </row>
    <row r="57010" spans="31:31">
      <c r="AE57010" s="54"/>
    </row>
    <row r="57011" spans="31:31">
      <c r="AE57011" s="54"/>
    </row>
    <row r="57012" spans="31:31">
      <c r="AE57012" s="54"/>
    </row>
    <row r="57013" spans="31:31">
      <c r="AE57013" s="54"/>
    </row>
    <row r="57014" spans="31:31">
      <c r="AE57014" s="54"/>
    </row>
    <row r="57015" spans="31:31">
      <c r="AE57015" s="54"/>
    </row>
    <row r="57016" spans="31:31">
      <c r="AE57016" s="54"/>
    </row>
    <row r="57017" spans="31:31">
      <c r="AE57017" s="54"/>
    </row>
    <row r="57018" spans="31:31">
      <c r="AE57018" s="54"/>
    </row>
    <row r="57019" spans="31:31">
      <c r="AE57019" s="54"/>
    </row>
    <row r="57020" spans="31:31">
      <c r="AE57020" s="54"/>
    </row>
    <row r="57021" spans="31:31">
      <c r="AE57021" s="54"/>
    </row>
    <row r="57022" spans="31:31">
      <c r="AE57022" s="54"/>
    </row>
    <row r="57023" spans="31:31">
      <c r="AE57023" s="54"/>
    </row>
    <row r="57024" spans="31:31">
      <c r="AE57024" s="54"/>
    </row>
    <row r="57025" spans="31:31">
      <c r="AE57025" s="54"/>
    </row>
    <row r="57026" spans="31:31">
      <c r="AE57026" s="54"/>
    </row>
    <row r="57027" spans="31:31">
      <c r="AE57027" s="54"/>
    </row>
    <row r="57028" spans="31:31">
      <c r="AE57028" s="54"/>
    </row>
    <row r="57029" spans="31:31">
      <c r="AE57029" s="54"/>
    </row>
    <row r="57030" spans="31:31">
      <c r="AE57030" s="54"/>
    </row>
    <row r="57031" spans="31:31">
      <c r="AE57031" s="54"/>
    </row>
    <row r="57032" spans="31:31">
      <c r="AE57032" s="54"/>
    </row>
    <row r="57033" spans="31:31">
      <c r="AE57033" s="54"/>
    </row>
    <row r="57034" spans="31:31">
      <c r="AE57034" s="54"/>
    </row>
    <row r="57035" spans="31:31">
      <c r="AE57035" s="54"/>
    </row>
    <row r="57036" spans="31:31">
      <c r="AE57036" s="54"/>
    </row>
    <row r="57037" spans="31:31">
      <c r="AE57037" s="54"/>
    </row>
    <row r="57038" spans="31:31">
      <c r="AE57038" s="54"/>
    </row>
    <row r="57039" spans="31:31">
      <c r="AE57039" s="54"/>
    </row>
    <row r="57040" spans="31:31">
      <c r="AE57040" s="54"/>
    </row>
    <row r="57041" spans="31:31">
      <c r="AE57041" s="54"/>
    </row>
    <row r="57042" spans="31:31">
      <c r="AE57042" s="54"/>
    </row>
    <row r="57043" spans="31:31">
      <c r="AE57043" s="54"/>
    </row>
    <row r="57044" spans="31:31">
      <c r="AE57044" s="54"/>
    </row>
    <row r="57045" spans="31:31">
      <c r="AE57045" s="54"/>
    </row>
    <row r="57046" spans="31:31">
      <c r="AE57046" s="54"/>
    </row>
    <row r="57047" spans="31:31">
      <c r="AE57047" s="54"/>
    </row>
    <row r="57048" spans="31:31">
      <c r="AE57048" s="54"/>
    </row>
    <row r="57049" spans="31:31">
      <c r="AE57049" s="54"/>
    </row>
    <row r="57050" spans="31:31">
      <c r="AE57050" s="54"/>
    </row>
    <row r="57051" spans="31:31">
      <c r="AE57051" s="54"/>
    </row>
    <row r="57052" spans="31:31">
      <c r="AE57052" s="54"/>
    </row>
    <row r="57053" spans="31:31">
      <c r="AE57053" s="54"/>
    </row>
    <row r="57054" spans="31:31">
      <c r="AE57054" s="54"/>
    </row>
    <row r="57055" spans="31:31">
      <c r="AE57055" s="54"/>
    </row>
    <row r="57056" spans="31:31">
      <c r="AE57056" s="54"/>
    </row>
    <row r="57057" spans="31:31">
      <c r="AE57057" s="54"/>
    </row>
    <row r="57058" spans="31:31">
      <c r="AE57058" s="54"/>
    </row>
    <row r="57059" spans="31:31">
      <c r="AE57059" s="54"/>
    </row>
    <row r="57060" spans="31:31">
      <c r="AE57060" s="54"/>
    </row>
    <row r="57061" spans="31:31">
      <c r="AE57061" s="54"/>
    </row>
    <row r="57062" spans="31:31">
      <c r="AE57062" s="54"/>
    </row>
    <row r="57063" spans="31:31">
      <c r="AE57063" s="54"/>
    </row>
    <row r="57064" spans="31:31">
      <c r="AE57064" s="54"/>
    </row>
    <row r="57065" spans="31:31">
      <c r="AE57065" s="54"/>
    </row>
    <row r="57066" spans="31:31">
      <c r="AE57066" s="54"/>
    </row>
    <row r="57067" spans="31:31">
      <c r="AE57067" s="54"/>
    </row>
    <row r="57068" spans="31:31">
      <c r="AE57068" s="54"/>
    </row>
    <row r="57069" spans="31:31">
      <c r="AE57069" s="54"/>
    </row>
    <row r="57070" spans="31:31">
      <c r="AE57070" s="54"/>
    </row>
    <row r="57071" spans="31:31">
      <c r="AE57071" s="54"/>
    </row>
    <row r="57072" spans="31:31">
      <c r="AE57072" s="54"/>
    </row>
    <row r="57073" spans="31:31">
      <c r="AE57073" s="54"/>
    </row>
    <row r="57074" spans="31:31">
      <c r="AE57074" s="54"/>
    </row>
    <row r="57075" spans="31:31">
      <c r="AE57075" s="54"/>
    </row>
    <row r="57076" spans="31:31">
      <c r="AE57076" s="54"/>
    </row>
    <row r="57077" spans="31:31">
      <c r="AE57077" s="54"/>
    </row>
    <row r="57078" spans="31:31">
      <c r="AE57078" s="54"/>
    </row>
    <row r="57079" spans="31:31">
      <c r="AE57079" s="54"/>
    </row>
    <row r="57080" spans="31:31">
      <c r="AE57080" s="54"/>
    </row>
    <row r="57081" spans="31:31">
      <c r="AE57081" s="54"/>
    </row>
    <row r="57082" spans="31:31">
      <c r="AE57082" s="54"/>
    </row>
    <row r="57083" spans="31:31">
      <c r="AE57083" s="54"/>
    </row>
    <row r="57084" spans="31:31">
      <c r="AE57084" s="54"/>
    </row>
    <row r="57085" spans="31:31">
      <c r="AE57085" s="54"/>
    </row>
    <row r="57086" spans="31:31">
      <c r="AE57086" s="54"/>
    </row>
    <row r="57087" spans="31:31">
      <c r="AE57087" s="54"/>
    </row>
    <row r="57088" spans="31:31">
      <c r="AE57088" s="54"/>
    </row>
    <row r="57089" spans="31:31">
      <c r="AE57089" s="54"/>
    </row>
    <row r="57090" spans="31:31">
      <c r="AE57090" s="54"/>
    </row>
    <row r="57091" spans="31:31">
      <c r="AE57091" s="54"/>
    </row>
    <row r="57092" spans="31:31">
      <c r="AE57092" s="54"/>
    </row>
    <row r="57093" spans="31:31">
      <c r="AE57093" s="54"/>
    </row>
    <row r="57094" spans="31:31">
      <c r="AE57094" s="54"/>
    </row>
    <row r="57095" spans="31:31">
      <c r="AE57095" s="54"/>
    </row>
    <row r="57096" spans="31:31">
      <c r="AE57096" s="54"/>
    </row>
    <row r="57097" spans="31:31">
      <c r="AE57097" s="54"/>
    </row>
    <row r="57098" spans="31:31">
      <c r="AE57098" s="54"/>
    </row>
    <row r="57099" spans="31:31">
      <c r="AE57099" s="54"/>
    </row>
    <row r="57100" spans="31:31">
      <c r="AE57100" s="54"/>
    </row>
    <row r="57101" spans="31:31">
      <c r="AE57101" s="54"/>
    </row>
    <row r="57102" spans="31:31">
      <c r="AE57102" s="54"/>
    </row>
    <row r="57103" spans="31:31">
      <c r="AE57103" s="54"/>
    </row>
    <row r="57104" spans="31:31">
      <c r="AE57104" s="54"/>
    </row>
    <row r="57105" spans="31:31">
      <c r="AE57105" s="54"/>
    </row>
    <row r="57106" spans="31:31">
      <c r="AE57106" s="54"/>
    </row>
    <row r="57107" spans="31:31">
      <c r="AE57107" s="54"/>
    </row>
    <row r="57108" spans="31:31">
      <c r="AE57108" s="54"/>
    </row>
    <row r="57109" spans="31:31">
      <c r="AE57109" s="54"/>
    </row>
    <row r="57110" spans="31:31">
      <c r="AE57110" s="54"/>
    </row>
    <row r="57111" spans="31:31">
      <c r="AE57111" s="54"/>
    </row>
    <row r="57112" spans="31:31">
      <c r="AE57112" s="54"/>
    </row>
    <row r="57113" spans="31:31">
      <c r="AE57113" s="54"/>
    </row>
    <row r="57114" spans="31:31">
      <c r="AE57114" s="54"/>
    </row>
    <row r="57115" spans="31:31">
      <c r="AE57115" s="54"/>
    </row>
    <row r="57116" spans="31:31">
      <c r="AE57116" s="54"/>
    </row>
    <row r="57117" spans="31:31">
      <c r="AE57117" s="54"/>
    </row>
    <row r="57118" spans="31:31">
      <c r="AE57118" s="54"/>
    </row>
    <row r="57119" spans="31:31">
      <c r="AE57119" s="54"/>
    </row>
    <row r="57120" spans="31:31">
      <c r="AE57120" s="54"/>
    </row>
    <row r="57121" spans="31:31">
      <c r="AE57121" s="54"/>
    </row>
    <row r="57122" spans="31:31">
      <c r="AE57122" s="54"/>
    </row>
    <row r="57123" spans="31:31">
      <c r="AE57123" s="54"/>
    </row>
    <row r="57124" spans="31:31">
      <c r="AE57124" s="54"/>
    </row>
    <row r="57125" spans="31:31">
      <c r="AE57125" s="54"/>
    </row>
    <row r="57126" spans="31:31">
      <c r="AE57126" s="54"/>
    </row>
    <row r="57127" spans="31:31">
      <c r="AE57127" s="54"/>
    </row>
    <row r="57128" spans="31:31">
      <c r="AE57128" s="54"/>
    </row>
    <row r="57129" spans="31:31">
      <c r="AE57129" s="54"/>
    </row>
    <row r="57130" spans="31:31">
      <c r="AE57130" s="54"/>
    </row>
    <row r="57131" spans="31:31">
      <c r="AE57131" s="54"/>
    </row>
    <row r="57132" spans="31:31">
      <c r="AE57132" s="54"/>
    </row>
    <row r="57133" spans="31:31">
      <c r="AE57133" s="54"/>
    </row>
    <row r="57134" spans="31:31">
      <c r="AE57134" s="54"/>
    </row>
    <row r="57135" spans="31:31">
      <c r="AE57135" s="54"/>
    </row>
    <row r="57136" spans="31:31">
      <c r="AE57136" s="54"/>
    </row>
    <row r="57137" spans="31:31">
      <c r="AE57137" s="54"/>
    </row>
    <row r="57138" spans="31:31">
      <c r="AE57138" s="54"/>
    </row>
    <row r="57139" spans="31:31">
      <c r="AE57139" s="54"/>
    </row>
    <row r="57140" spans="31:31">
      <c r="AE57140" s="54"/>
    </row>
    <row r="57141" spans="31:31">
      <c r="AE57141" s="54"/>
    </row>
    <row r="57142" spans="31:31">
      <c r="AE57142" s="54"/>
    </row>
    <row r="57143" spans="31:31">
      <c r="AE57143" s="54"/>
    </row>
    <row r="57144" spans="31:31">
      <c r="AE57144" s="54"/>
    </row>
    <row r="57145" spans="31:31">
      <c r="AE57145" s="54"/>
    </row>
    <row r="57146" spans="31:31">
      <c r="AE57146" s="54"/>
    </row>
    <row r="57147" spans="31:31">
      <c r="AE57147" s="54"/>
    </row>
    <row r="57148" spans="31:31">
      <c r="AE57148" s="54"/>
    </row>
    <row r="57149" spans="31:31">
      <c r="AE57149" s="54"/>
    </row>
    <row r="57150" spans="31:31">
      <c r="AE57150" s="54"/>
    </row>
    <row r="57151" spans="31:31">
      <c r="AE57151" s="54"/>
    </row>
    <row r="57152" spans="31:31">
      <c r="AE57152" s="54"/>
    </row>
    <row r="57153" spans="31:31">
      <c r="AE57153" s="54"/>
    </row>
    <row r="57154" spans="31:31">
      <c r="AE57154" s="54"/>
    </row>
    <row r="57155" spans="31:31">
      <c r="AE57155" s="54"/>
    </row>
    <row r="57156" spans="31:31">
      <c r="AE57156" s="54"/>
    </row>
    <row r="57157" spans="31:31">
      <c r="AE57157" s="54"/>
    </row>
    <row r="57158" spans="31:31">
      <c r="AE57158" s="54"/>
    </row>
    <row r="57159" spans="31:31">
      <c r="AE57159" s="54"/>
    </row>
    <row r="57160" spans="31:31">
      <c r="AE57160" s="54"/>
    </row>
    <row r="57161" spans="31:31">
      <c r="AE57161" s="54"/>
    </row>
    <row r="57162" spans="31:31">
      <c r="AE57162" s="54"/>
    </row>
    <row r="57163" spans="31:31">
      <c r="AE57163" s="54"/>
    </row>
    <row r="57164" spans="31:31">
      <c r="AE57164" s="54"/>
    </row>
    <row r="57165" spans="31:31">
      <c r="AE57165" s="54"/>
    </row>
    <row r="57166" spans="31:31">
      <c r="AE57166" s="54"/>
    </row>
    <row r="57167" spans="31:31">
      <c r="AE57167" s="54"/>
    </row>
    <row r="57168" spans="31:31">
      <c r="AE57168" s="54"/>
    </row>
    <row r="57169" spans="31:31">
      <c r="AE57169" s="54"/>
    </row>
    <row r="57170" spans="31:31">
      <c r="AE57170" s="54"/>
    </row>
    <row r="57171" spans="31:31">
      <c r="AE57171" s="54"/>
    </row>
    <row r="57172" spans="31:31">
      <c r="AE57172" s="54"/>
    </row>
    <row r="57173" spans="31:31">
      <c r="AE57173" s="54"/>
    </row>
    <row r="57174" spans="31:31">
      <c r="AE57174" s="54"/>
    </row>
    <row r="57175" spans="31:31">
      <c r="AE57175" s="54"/>
    </row>
    <row r="57176" spans="31:31">
      <c r="AE57176" s="54"/>
    </row>
    <row r="57177" spans="31:31">
      <c r="AE57177" s="54"/>
    </row>
    <row r="57178" spans="31:31">
      <c r="AE57178" s="54"/>
    </row>
    <row r="57179" spans="31:31">
      <c r="AE57179" s="54"/>
    </row>
    <row r="57180" spans="31:31">
      <c r="AE57180" s="54"/>
    </row>
    <row r="57181" spans="31:31">
      <c r="AE57181" s="54"/>
    </row>
    <row r="57182" spans="31:31">
      <c r="AE57182" s="54"/>
    </row>
    <row r="57183" spans="31:31">
      <c r="AE57183" s="54"/>
    </row>
    <row r="57184" spans="31:31">
      <c r="AE57184" s="54"/>
    </row>
    <row r="57185" spans="31:31">
      <c r="AE57185" s="54"/>
    </row>
    <row r="57186" spans="31:31">
      <c r="AE57186" s="54"/>
    </row>
    <row r="57187" spans="31:31">
      <c r="AE57187" s="54"/>
    </row>
    <row r="57188" spans="31:31">
      <c r="AE57188" s="54"/>
    </row>
    <row r="57189" spans="31:31">
      <c r="AE57189" s="54"/>
    </row>
    <row r="57190" spans="31:31">
      <c r="AE57190" s="54"/>
    </row>
    <row r="57191" spans="31:31">
      <c r="AE57191" s="54"/>
    </row>
    <row r="57192" spans="31:31">
      <c r="AE57192" s="54"/>
    </row>
    <row r="57193" spans="31:31">
      <c r="AE57193" s="54"/>
    </row>
    <row r="57194" spans="31:31">
      <c r="AE57194" s="54"/>
    </row>
    <row r="57195" spans="31:31">
      <c r="AE57195" s="54"/>
    </row>
    <row r="57196" spans="31:31">
      <c r="AE57196" s="54"/>
    </row>
    <row r="57197" spans="31:31">
      <c r="AE57197" s="54"/>
    </row>
    <row r="57198" spans="31:31">
      <c r="AE57198" s="54"/>
    </row>
    <row r="57199" spans="31:31">
      <c r="AE57199" s="54"/>
    </row>
    <row r="57200" spans="31:31">
      <c r="AE57200" s="54"/>
    </row>
    <row r="57201" spans="31:31">
      <c r="AE57201" s="54"/>
    </row>
    <row r="57202" spans="31:31">
      <c r="AE57202" s="54"/>
    </row>
    <row r="57203" spans="31:31">
      <c r="AE57203" s="54"/>
    </row>
    <row r="57204" spans="31:31">
      <c r="AE57204" s="54"/>
    </row>
    <row r="57205" spans="31:31">
      <c r="AE57205" s="54"/>
    </row>
    <row r="57206" spans="31:31">
      <c r="AE57206" s="54"/>
    </row>
    <row r="57207" spans="31:31">
      <c r="AE57207" s="54"/>
    </row>
    <row r="57208" spans="31:31">
      <c r="AE57208" s="54"/>
    </row>
    <row r="57209" spans="31:31">
      <c r="AE57209" s="54"/>
    </row>
    <row r="57210" spans="31:31">
      <c r="AE57210" s="54"/>
    </row>
    <row r="57211" spans="31:31">
      <c r="AE57211" s="54"/>
    </row>
    <row r="57212" spans="31:31">
      <c r="AE57212" s="54"/>
    </row>
    <row r="57213" spans="31:31">
      <c r="AE57213" s="54"/>
    </row>
    <row r="57214" spans="31:31">
      <c r="AE57214" s="54"/>
    </row>
    <row r="57215" spans="31:31">
      <c r="AE57215" s="54"/>
    </row>
    <row r="57216" spans="31:31">
      <c r="AE57216" s="54"/>
    </row>
    <row r="57217" spans="31:31">
      <c r="AE57217" s="54"/>
    </row>
    <row r="57218" spans="31:31">
      <c r="AE57218" s="54"/>
    </row>
    <row r="57219" spans="31:31">
      <c r="AE57219" s="54"/>
    </row>
    <row r="57220" spans="31:31">
      <c r="AE57220" s="54"/>
    </row>
    <row r="57221" spans="31:31">
      <c r="AE57221" s="54"/>
    </row>
    <row r="57222" spans="31:31">
      <c r="AE57222" s="54"/>
    </row>
    <row r="57223" spans="31:31">
      <c r="AE57223" s="54"/>
    </row>
    <row r="57224" spans="31:31">
      <c r="AE57224" s="54"/>
    </row>
    <row r="57225" spans="31:31">
      <c r="AE57225" s="54"/>
    </row>
    <row r="57226" spans="31:31">
      <c r="AE57226" s="54"/>
    </row>
    <row r="57227" spans="31:31">
      <c r="AE57227" s="54"/>
    </row>
    <row r="57228" spans="31:31">
      <c r="AE57228" s="54"/>
    </row>
    <row r="57229" spans="31:31">
      <c r="AE57229" s="54"/>
    </row>
    <row r="57230" spans="31:31">
      <c r="AE57230" s="54"/>
    </row>
    <row r="57231" spans="31:31">
      <c r="AE57231" s="54"/>
    </row>
    <row r="57232" spans="31:31">
      <c r="AE57232" s="54"/>
    </row>
    <row r="57233" spans="31:31">
      <c r="AE57233" s="54"/>
    </row>
    <row r="57234" spans="31:31">
      <c r="AE57234" s="54"/>
    </row>
    <row r="57235" spans="31:31">
      <c r="AE57235" s="54"/>
    </row>
    <row r="57236" spans="31:31">
      <c r="AE57236" s="54"/>
    </row>
    <row r="57237" spans="31:31">
      <c r="AE57237" s="54"/>
    </row>
    <row r="57238" spans="31:31">
      <c r="AE57238" s="54"/>
    </row>
    <row r="57239" spans="31:31">
      <c r="AE57239" s="54"/>
    </row>
    <row r="57240" spans="31:31">
      <c r="AE57240" s="54"/>
    </row>
    <row r="57241" spans="31:31">
      <c r="AE57241" s="54"/>
    </row>
    <row r="57242" spans="31:31">
      <c r="AE57242" s="54"/>
    </row>
    <row r="57243" spans="31:31">
      <c r="AE57243" s="54"/>
    </row>
    <row r="57244" spans="31:31">
      <c r="AE57244" s="54"/>
    </row>
    <row r="57245" spans="31:31">
      <c r="AE57245" s="54"/>
    </row>
    <row r="57246" spans="31:31">
      <c r="AE57246" s="54"/>
    </row>
    <row r="57247" spans="31:31">
      <c r="AE57247" s="54"/>
    </row>
    <row r="57248" spans="31:31">
      <c r="AE57248" s="54"/>
    </row>
    <row r="57249" spans="31:31">
      <c r="AE57249" s="54"/>
    </row>
    <row r="57250" spans="31:31">
      <c r="AE57250" s="54"/>
    </row>
    <row r="57251" spans="31:31">
      <c r="AE57251" s="54"/>
    </row>
    <row r="57252" spans="31:31">
      <c r="AE57252" s="54"/>
    </row>
    <row r="57253" spans="31:31">
      <c r="AE57253" s="54"/>
    </row>
    <row r="57254" spans="31:31">
      <c r="AE57254" s="54"/>
    </row>
    <row r="57255" spans="31:31">
      <c r="AE57255" s="54"/>
    </row>
    <row r="57256" spans="31:31">
      <c r="AE57256" s="54"/>
    </row>
    <row r="57257" spans="31:31">
      <c r="AE57257" s="54"/>
    </row>
    <row r="57258" spans="31:31">
      <c r="AE57258" s="54"/>
    </row>
    <row r="57259" spans="31:31">
      <c r="AE57259" s="54"/>
    </row>
    <row r="57260" spans="31:31">
      <c r="AE57260" s="54"/>
    </row>
    <row r="57261" spans="31:31">
      <c r="AE57261" s="54"/>
    </row>
    <row r="57262" spans="31:31">
      <c r="AE57262" s="54"/>
    </row>
    <row r="57263" spans="31:31">
      <c r="AE57263" s="54"/>
    </row>
    <row r="57264" spans="31:31">
      <c r="AE57264" s="54"/>
    </row>
    <row r="57265" spans="31:31">
      <c r="AE57265" s="54"/>
    </row>
    <row r="57266" spans="31:31">
      <c r="AE57266" s="54"/>
    </row>
    <row r="57267" spans="31:31">
      <c r="AE57267" s="54"/>
    </row>
    <row r="57268" spans="31:31">
      <c r="AE57268" s="54"/>
    </row>
    <row r="57269" spans="31:31">
      <c r="AE57269" s="54"/>
    </row>
    <row r="57270" spans="31:31">
      <c r="AE57270" s="54"/>
    </row>
    <row r="57271" spans="31:31">
      <c r="AE57271" s="54"/>
    </row>
    <row r="57272" spans="31:31">
      <c r="AE57272" s="54"/>
    </row>
    <row r="57273" spans="31:31">
      <c r="AE57273" s="54"/>
    </row>
    <row r="57274" spans="31:31">
      <c r="AE57274" s="54"/>
    </row>
    <row r="57275" spans="31:31">
      <c r="AE57275" s="54"/>
    </row>
    <row r="57276" spans="31:31">
      <c r="AE57276" s="54"/>
    </row>
    <row r="57277" spans="31:31">
      <c r="AE57277" s="54"/>
    </row>
    <row r="57278" spans="31:31">
      <c r="AE57278" s="54"/>
    </row>
    <row r="57279" spans="31:31">
      <c r="AE57279" s="54"/>
    </row>
    <row r="57280" spans="31:31">
      <c r="AE57280" s="54"/>
    </row>
    <row r="57281" spans="31:31">
      <c r="AE57281" s="54"/>
    </row>
    <row r="57282" spans="31:31">
      <c r="AE57282" s="54"/>
    </row>
    <row r="57283" spans="31:31">
      <c r="AE57283" s="54"/>
    </row>
    <row r="57284" spans="31:31">
      <c r="AE57284" s="54"/>
    </row>
    <row r="57285" spans="31:31">
      <c r="AE57285" s="54"/>
    </row>
    <row r="57286" spans="31:31">
      <c r="AE57286" s="54"/>
    </row>
    <row r="57287" spans="31:31">
      <c r="AE57287" s="54"/>
    </row>
    <row r="57288" spans="31:31">
      <c r="AE57288" s="54"/>
    </row>
    <row r="57289" spans="31:31">
      <c r="AE57289" s="54"/>
    </row>
    <row r="57290" spans="31:31">
      <c r="AE57290" s="54"/>
    </row>
    <row r="57291" spans="31:31">
      <c r="AE57291" s="54"/>
    </row>
    <row r="57292" spans="31:31">
      <c r="AE57292" s="54"/>
    </row>
    <row r="57293" spans="31:31">
      <c r="AE57293" s="54"/>
    </row>
    <row r="57294" spans="31:31">
      <c r="AE57294" s="54"/>
    </row>
    <row r="57295" spans="31:31">
      <c r="AE57295" s="54"/>
    </row>
    <row r="57296" spans="31:31">
      <c r="AE57296" s="54"/>
    </row>
    <row r="57297" spans="31:31">
      <c r="AE57297" s="54"/>
    </row>
    <row r="57298" spans="31:31">
      <c r="AE57298" s="54"/>
    </row>
    <row r="57299" spans="31:31">
      <c r="AE57299" s="54"/>
    </row>
    <row r="57300" spans="31:31">
      <c r="AE57300" s="54"/>
    </row>
    <row r="57301" spans="31:31">
      <c r="AE57301" s="54"/>
    </row>
    <row r="57302" spans="31:31">
      <c r="AE57302" s="54"/>
    </row>
    <row r="57303" spans="31:31">
      <c r="AE57303" s="54"/>
    </row>
    <row r="57304" spans="31:31">
      <c r="AE57304" s="54"/>
    </row>
    <row r="57305" spans="31:31">
      <c r="AE57305" s="54"/>
    </row>
    <row r="57306" spans="31:31">
      <c r="AE57306" s="54"/>
    </row>
    <row r="57307" spans="31:31">
      <c r="AE57307" s="54"/>
    </row>
    <row r="57308" spans="31:31">
      <c r="AE57308" s="54"/>
    </row>
    <row r="57309" spans="31:31">
      <c r="AE57309" s="54"/>
    </row>
    <row r="57310" spans="31:31">
      <c r="AE57310" s="54"/>
    </row>
    <row r="57311" spans="31:31">
      <c r="AE57311" s="54"/>
    </row>
    <row r="57312" spans="31:31">
      <c r="AE57312" s="54"/>
    </row>
    <row r="57313" spans="31:31">
      <c r="AE57313" s="54"/>
    </row>
    <row r="57314" spans="31:31">
      <c r="AE57314" s="54"/>
    </row>
    <row r="57315" spans="31:31">
      <c r="AE57315" s="54"/>
    </row>
    <row r="57316" spans="31:31">
      <c r="AE57316" s="54"/>
    </row>
    <row r="57317" spans="31:31">
      <c r="AE57317" s="54"/>
    </row>
    <row r="57318" spans="31:31">
      <c r="AE57318" s="54"/>
    </row>
    <row r="57319" spans="31:31">
      <c r="AE57319" s="54"/>
    </row>
    <row r="57320" spans="31:31">
      <c r="AE57320" s="54"/>
    </row>
    <row r="57321" spans="31:31">
      <c r="AE57321" s="54"/>
    </row>
    <row r="57322" spans="31:31">
      <c r="AE57322" s="54"/>
    </row>
    <row r="57323" spans="31:31">
      <c r="AE57323" s="54"/>
    </row>
    <row r="57324" spans="31:31">
      <c r="AE57324" s="54"/>
    </row>
    <row r="57325" spans="31:31">
      <c r="AE57325" s="54"/>
    </row>
    <row r="57326" spans="31:31">
      <c r="AE57326" s="54"/>
    </row>
    <row r="57327" spans="31:31">
      <c r="AE57327" s="54"/>
    </row>
    <row r="57328" spans="31:31">
      <c r="AE57328" s="54"/>
    </row>
    <row r="57329" spans="31:31">
      <c r="AE57329" s="54"/>
    </row>
    <row r="57330" spans="31:31">
      <c r="AE57330" s="54"/>
    </row>
    <row r="57331" spans="31:31">
      <c r="AE57331" s="54"/>
    </row>
    <row r="57332" spans="31:31">
      <c r="AE57332" s="54"/>
    </row>
    <row r="57333" spans="31:31">
      <c r="AE57333" s="54"/>
    </row>
    <row r="57334" spans="31:31">
      <c r="AE57334" s="54"/>
    </row>
    <row r="57335" spans="31:31">
      <c r="AE57335" s="54"/>
    </row>
    <row r="57336" spans="31:31">
      <c r="AE57336" s="54"/>
    </row>
    <row r="57337" spans="31:31">
      <c r="AE57337" s="54"/>
    </row>
    <row r="57338" spans="31:31">
      <c r="AE57338" s="54"/>
    </row>
    <row r="57339" spans="31:31">
      <c r="AE57339" s="54"/>
    </row>
    <row r="57340" spans="31:31">
      <c r="AE57340" s="54"/>
    </row>
    <row r="57341" spans="31:31">
      <c r="AE57341" s="54"/>
    </row>
    <row r="57342" spans="31:31">
      <c r="AE57342" s="54"/>
    </row>
    <row r="57343" spans="31:31">
      <c r="AE57343" s="54"/>
    </row>
    <row r="57344" spans="31:31">
      <c r="AE57344" s="54"/>
    </row>
    <row r="57345" spans="31:31">
      <c r="AE57345" s="54"/>
    </row>
    <row r="57346" spans="31:31">
      <c r="AE57346" s="54"/>
    </row>
    <row r="57347" spans="31:31">
      <c r="AE57347" s="54"/>
    </row>
    <row r="57348" spans="31:31">
      <c r="AE57348" s="54"/>
    </row>
    <row r="57349" spans="31:31">
      <c r="AE57349" s="54"/>
    </row>
    <row r="57350" spans="31:31">
      <c r="AE57350" s="54"/>
    </row>
    <row r="57351" spans="31:31">
      <c r="AE57351" s="54"/>
    </row>
    <row r="57352" spans="31:31">
      <c r="AE57352" s="54"/>
    </row>
    <row r="57353" spans="31:31">
      <c r="AE57353" s="54"/>
    </row>
    <row r="57354" spans="31:31">
      <c r="AE57354" s="54"/>
    </row>
    <row r="57355" spans="31:31">
      <c r="AE57355" s="54"/>
    </row>
    <row r="57356" spans="31:31">
      <c r="AE57356" s="54"/>
    </row>
    <row r="57357" spans="31:31">
      <c r="AE57357" s="54"/>
    </row>
    <row r="57358" spans="31:31">
      <c r="AE57358" s="54"/>
    </row>
    <row r="57359" spans="31:31">
      <c r="AE57359" s="54"/>
    </row>
    <row r="57360" spans="31:31">
      <c r="AE57360" s="54"/>
    </row>
    <row r="57361" spans="31:31">
      <c r="AE57361" s="54"/>
    </row>
    <row r="57362" spans="31:31">
      <c r="AE57362" s="54"/>
    </row>
    <row r="57363" spans="31:31">
      <c r="AE57363" s="54"/>
    </row>
    <row r="57364" spans="31:31">
      <c r="AE57364" s="54"/>
    </row>
    <row r="57365" spans="31:31">
      <c r="AE57365" s="54"/>
    </row>
    <row r="57366" spans="31:31">
      <c r="AE57366" s="54"/>
    </row>
    <row r="57367" spans="31:31">
      <c r="AE57367" s="54"/>
    </row>
    <row r="57368" spans="31:31">
      <c r="AE57368" s="54"/>
    </row>
    <row r="57369" spans="31:31">
      <c r="AE57369" s="54"/>
    </row>
    <row r="57370" spans="31:31">
      <c r="AE57370" s="54"/>
    </row>
    <row r="57371" spans="31:31">
      <c r="AE57371" s="54"/>
    </row>
    <row r="57372" spans="31:31">
      <c r="AE57372" s="54"/>
    </row>
    <row r="57373" spans="31:31">
      <c r="AE57373" s="54"/>
    </row>
    <row r="57374" spans="31:31">
      <c r="AE57374" s="54"/>
    </row>
    <row r="57375" spans="31:31">
      <c r="AE57375" s="54"/>
    </row>
    <row r="57376" spans="31:31">
      <c r="AE57376" s="54"/>
    </row>
    <row r="57377" spans="31:31">
      <c r="AE57377" s="54"/>
    </row>
    <row r="57378" spans="31:31">
      <c r="AE57378" s="54"/>
    </row>
    <row r="57379" spans="31:31">
      <c r="AE57379" s="54"/>
    </row>
    <row r="57380" spans="31:31">
      <c r="AE57380" s="54"/>
    </row>
    <row r="57381" spans="31:31">
      <c r="AE57381" s="54"/>
    </row>
    <row r="57382" spans="31:31">
      <c r="AE57382" s="54"/>
    </row>
    <row r="57383" spans="31:31">
      <c r="AE57383" s="54"/>
    </row>
    <row r="57384" spans="31:31">
      <c r="AE57384" s="54"/>
    </row>
    <row r="57385" spans="31:31">
      <c r="AE57385" s="54"/>
    </row>
    <row r="57386" spans="31:31">
      <c r="AE57386" s="54"/>
    </row>
    <row r="57387" spans="31:31">
      <c r="AE57387" s="54"/>
    </row>
    <row r="57388" spans="31:31">
      <c r="AE57388" s="54"/>
    </row>
    <row r="57389" spans="31:31">
      <c r="AE57389" s="54"/>
    </row>
    <row r="57390" spans="31:31">
      <c r="AE57390" s="54"/>
    </row>
    <row r="57391" spans="31:31">
      <c r="AE57391" s="54"/>
    </row>
    <row r="57392" spans="31:31">
      <c r="AE57392" s="54"/>
    </row>
    <row r="57393" spans="31:31">
      <c r="AE57393" s="54"/>
    </row>
    <row r="57394" spans="31:31">
      <c r="AE57394" s="54"/>
    </row>
    <row r="57395" spans="31:31">
      <c r="AE57395" s="54"/>
    </row>
    <row r="57396" spans="31:31">
      <c r="AE57396" s="54"/>
    </row>
    <row r="57397" spans="31:31">
      <c r="AE57397" s="54"/>
    </row>
    <row r="57398" spans="31:31">
      <c r="AE57398" s="54"/>
    </row>
    <row r="57399" spans="31:31">
      <c r="AE57399" s="54"/>
    </row>
    <row r="57400" spans="31:31">
      <c r="AE57400" s="54"/>
    </row>
    <row r="57401" spans="31:31">
      <c r="AE57401" s="54"/>
    </row>
    <row r="57402" spans="31:31">
      <c r="AE57402" s="54"/>
    </row>
    <row r="57403" spans="31:31">
      <c r="AE57403" s="54"/>
    </row>
    <row r="57404" spans="31:31">
      <c r="AE57404" s="54"/>
    </row>
    <row r="57405" spans="31:31">
      <c r="AE57405" s="54"/>
    </row>
    <row r="57406" spans="31:31">
      <c r="AE57406" s="54"/>
    </row>
    <row r="57407" spans="31:31">
      <c r="AE57407" s="54"/>
    </row>
    <row r="57408" spans="31:31">
      <c r="AE57408" s="54"/>
    </row>
    <row r="57409" spans="31:31">
      <c r="AE57409" s="54"/>
    </row>
    <row r="57410" spans="31:31">
      <c r="AE57410" s="54"/>
    </row>
    <row r="57411" spans="31:31">
      <c r="AE57411" s="54"/>
    </row>
    <row r="57412" spans="31:31">
      <c r="AE57412" s="54"/>
    </row>
    <row r="57413" spans="31:31">
      <c r="AE57413" s="54"/>
    </row>
    <row r="57414" spans="31:31">
      <c r="AE57414" s="54"/>
    </row>
    <row r="57415" spans="31:31">
      <c r="AE57415" s="54"/>
    </row>
    <row r="57416" spans="31:31">
      <c r="AE57416" s="54"/>
    </row>
    <row r="57417" spans="31:31">
      <c r="AE57417" s="54"/>
    </row>
    <row r="57418" spans="31:31">
      <c r="AE57418" s="54"/>
    </row>
    <row r="57419" spans="31:31">
      <c r="AE57419" s="54"/>
    </row>
    <row r="57420" spans="31:31">
      <c r="AE57420" s="54"/>
    </row>
    <row r="57421" spans="31:31">
      <c r="AE57421" s="54"/>
    </row>
    <row r="57422" spans="31:31">
      <c r="AE57422" s="54"/>
    </row>
    <row r="57423" spans="31:31">
      <c r="AE57423" s="54"/>
    </row>
    <row r="57424" spans="31:31">
      <c r="AE57424" s="54"/>
    </row>
    <row r="57425" spans="31:31">
      <c r="AE57425" s="54"/>
    </row>
    <row r="57426" spans="31:31">
      <c r="AE57426" s="54"/>
    </row>
    <row r="57427" spans="31:31">
      <c r="AE57427" s="54"/>
    </row>
    <row r="57428" spans="31:31">
      <c r="AE57428" s="54"/>
    </row>
    <row r="57429" spans="31:31">
      <c r="AE57429" s="54"/>
    </row>
    <row r="57430" spans="31:31">
      <c r="AE57430" s="54"/>
    </row>
    <row r="57431" spans="31:31">
      <c r="AE57431" s="54"/>
    </row>
    <row r="57432" spans="31:31">
      <c r="AE57432" s="54"/>
    </row>
    <row r="57433" spans="31:31">
      <c r="AE57433" s="54"/>
    </row>
    <row r="57434" spans="31:31">
      <c r="AE57434" s="54"/>
    </row>
    <row r="57435" spans="31:31">
      <c r="AE57435" s="54"/>
    </row>
    <row r="57436" spans="31:31">
      <c r="AE57436" s="54"/>
    </row>
    <row r="57437" spans="31:31">
      <c r="AE57437" s="54"/>
    </row>
    <row r="57438" spans="31:31">
      <c r="AE57438" s="54"/>
    </row>
    <row r="57439" spans="31:31">
      <c r="AE57439" s="54"/>
    </row>
    <row r="57440" spans="31:31">
      <c r="AE57440" s="54"/>
    </row>
    <row r="57441" spans="31:31">
      <c r="AE57441" s="54"/>
    </row>
    <row r="57442" spans="31:31">
      <c r="AE57442" s="54"/>
    </row>
    <row r="57443" spans="31:31">
      <c r="AE57443" s="54"/>
    </row>
    <row r="57444" spans="31:31">
      <c r="AE57444" s="54"/>
    </row>
    <row r="57445" spans="31:31">
      <c r="AE57445" s="54"/>
    </row>
    <row r="57446" spans="31:31">
      <c r="AE57446" s="54"/>
    </row>
    <row r="57447" spans="31:31">
      <c r="AE57447" s="54"/>
    </row>
    <row r="57448" spans="31:31">
      <c r="AE57448" s="54"/>
    </row>
    <row r="57449" spans="31:31">
      <c r="AE57449" s="54"/>
    </row>
    <row r="57450" spans="31:31">
      <c r="AE57450" s="54"/>
    </row>
    <row r="57451" spans="31:31">
      <c r="AE57451" s="54"/>
    </row>
    <row r="57452" spans="31:31">
      <c r="AE57452" s="54"/>
    </row>
    <row r="57453" spans="31:31">
      <c r="AE57453" s="54"/>
    </row>
    <row r="57454" spans="31:31">
      <c r="AE57454" s="54"/>
    </row>
    <row r="57455" spans="31:31">
      <c r="AE57455" s="54"/>
    </row>
    <row r="57456" spans="31:31">
      <c r="AE57456" s="54"/>
    </row>
    <row r="57457" spans="31:31">
      <c r="AE57457" s="54"/>
    </row>
    <row r="57458" spans="31:31">
      <c r="AE57458" s="54"/>
    </row>
    <row r="57459" spans="31:31">
      <c r="AE57459" s="54"/>
    </row>
    <row r="57460" spans="31:31">
      <c r="AE57460" s="54"/>
    </row>
    <row r="57461" spans="31:31">
      <c r="AE57461" s="54"/>
    </row>
    <row r="57462" spans="31:31">
      <c r="AE57462" s="54"/>
    </row>
    <row r="57463" spans="31:31">
      <c r="AE57463" s="54"/>
    </row>
    <row r="57464" spans="31:31">
      <c r="AE57464" s="54"/>
    </row>
    <row r="57465" spans="31:31">
      <c r="AE57465" s="54"/>
    </row>
    <row r="57466" spans="31:31">
      <c r="AE57466" s="54"/>
    </row>
    <row r="57467" spans="31:31">
      <c r="AE57467" s="54"/>
    </row>
    <row r="57468" spans="31:31">
      <c r="AE57468" s="54"/>
    </row>
    <row r="57469" spans="31:31">
      <c r="AE57469" s="54"/>
    </row>
    <row r="57470" spans="31:31">
      <c r="AE57470" s="54"/>
    </row>
    <row r="57471" spans="31:31">
      <c r="AE57471" s="54"/>
    </row>
    <row r="57472" spans="31:31">
      <c r="AE57472" s="54"/>
    </row>
    <row r="57473" spans="31:31">
      <c r="AE57473" s="54"/>
    </row>
    <row r="57474" spans="31:31">
      <c r="AE57474" s="54"/>
    </row>
    <row r="57475" spans="31:31">
      <c r="AE57475" s="54"/>
    </row>
    <row r="57476" spans="31:31">
      <c r="AE57476" s="54"/>
    </row>
    <row r="57477" spans="31:31">
      <c r="AE57477" s="54"/>
    </row>
    <row r="57478" spans="31:31">
      <c r="AE57478" s="54"/>
    </row>
    <row r="57479" spans="31:31">
      <c r="AE57479" s="54"/>
    </row>
    <row r="57480" spans="31:31">
      <c r="AE57480" s="54"/>
    </row>
    <row r="57481" spans="31:31">
      <c r="AE57481" s="54"/>
    </row>
    <row r="57482" spans="31:31">
      <c r="AE57482" s="54"/>
    </row>
    <row r="57483" spans="31:31">
      <c r="AE57483" s="54"/>
    </row>
    <row r="57484" spans="31:31">
      <c r="AE57484" s="54"/>
    </row>
    <row r="57485" spans="31:31">
      <c r="AE57485" s="54"/>
    </row>
    <row r="57486" spans="31:31">
      <c r="AE57486" s="54"/>
    </row>
    <row r="57487" spans="31:31">
      <c r="AE57487" s="54"/>
    </row>
    <row r="57488" spans="31:31">
      <c r="AE57488" s="54"/>
    </row>
    <row r="57489" spans="31:31">
      <c r="AE57489" s="54"/>
    </row>
    <row r="57490" spans="31:31">
      <c r="AE57490" s="54"/>
    </row>
    <row r="57491" spans="31:31">
      <c r="AE57491" s="54"/>
    </row>
    <row r="57492" spans="31:31">
      <c r="AE57492" s="54"/>
    </row>
    <row r="57493" spans="31:31">
      <c r="AE57493" s="54"/>
    </row>
    <row r="57494" spans="31:31">
      <c r="AE57494" s="54"/>
    </row>
    <row r="57495" spans="31:31">
      <c r="AE57495" s="54"/>
    </row>
    <row r="57496" spans="31:31">
      <c r="AE57496" s="54"/>
    </row>
    <row r="57497" spans="31:31">
      <c r="AE57497" s="54"/>
    </row>
    <row r="57498" spans="31:31">
      <c r="AE57498" s="54"/>
    </row>
    <row r="57499" spans="31:31">
      <c r="AE57499" s="54"/>
    </row>
    <row r="57500" spans="31:31">
      <c r="AE57500" s="54"/>
    </row>
    <row r="57501" spans="31:31">
      <c r="AE57501" s="54"/>
    </row>
    <row r="57502" spans="31:31">
      <c r="AE57502" s="54"/>
    </row>
    <row r="57503" spans="31:31">
      <c r="AE57503" s="54"/>
    </row>
    <row r="57504" spans="31:31">
      <c r="AE57504" s="54"/>
    </row>
    <row r="57505" spans="31:31">
      <c r="AE57505" s="54"/>
    </row>
    <row r="57506" spans="31:31">
      <c r="AE57506" s="54"/>
    </row>
    <row r="57507" spans="31:31">
      <c r="AE57507" s="54"/>
    </row>
    <row r="57508" spans="31:31">
      <c r="AE57508" s="54"/>
    </row>
    <row r="57509" spans="31:31">
      <c r="AE57509" s="54"/>
    </row>
    <row r="57510" spans="31:31">
      <c r="AE57510" s="54"/>
    </row>
    <row r="57511" spans="31:31">
      <c r="AE57511" s="54"/>
    </row>
    <row r="57512" spans="31:31">
      <c r="AE57512" s="54"/>
    </row>
    <row r="57513" spans="31:31">
      <c r="AE57513" s="54"/>
    </row>
    <row r="57514" spans="31:31">
      <c r="AE57514" s="54"/>
    </row>
    <row r="57515" spans="31:31">
      <c r="AE57515" s="54"/>
    </row>
    <row r="57516" spans="31:31">
      <c r="AE57516" s="54"/>
    </row>
    <row r="57517" spans="31:31">
      <c r="AE57517" s="54"/>
    </row>
    <row r="57518" spans="31:31">
      <c r="AE57518" s="54"/>
    </row>
    <row r="57519" spans="31:31">
      <c r="AE57519" s="54"/>
    </row>
    <row r="57520" spans="31:31">
      <c r="AE57520" s="54"/>
    </row>
    <row r="57521" spans="31:31">
      <c r="AE57521" s="54"/>
    </row>
    <row r="57522" spans="31:31">
      <c r="AE57522" s="54"/>
    </row>
    <row r="57523" spans="31:31">
      <c r="AE57523" s="54"/>
    </row>
    <row r="57524" spans="31:31">
      <c r="AE57524" s="54"/>
    </row>
    <row r="57525" spans="31:31">
      <c r="AE57525" s="54"/>
    </row>
    <row r="57526" spans="31:31">
      <c r="AE57526" s="54"/>
    </row>
    <row r="57527" spans="31:31">
      <c r="AE57527" s="54"/>
    </row>
    <row r="57528" spans="31:31">
      <c r="AE57528" s="54"/>
    </row>
    <row r="57529" spans="31:31">
      <c r="AE57529" s="54"/>
    </row>
    <row r="57530" spans="31:31">
      <c r="AE57530" s="54"/>
    </row>
    <row r="57531" spans="31:31">
      <c r="AE57531" s="54"/>
    </row>
    <row r="57532" spans="31:31">
      <c r="AE57532" s="54"/>
    </row>
    <row r="57533" spans="31:31">
      <c r="AE57533" s="54"/>
    </row>
    <row r="57534" spans="31:31">
      <c r="AE57534" s="54"/>
    </row>
    <row r="57535" spans="31:31">
      <c r="AE57535" s="54"/>
    </row>
    <row r="57536" spans="31:31">
      <c r="AE57536" s="54"/>
    </row>
    <row r="57537" spans="31:31">
      <c r="AE57537" s="54"/>
    </row>
    <row r="57538" spans="31:31">
      <c r="AE57538" s="54"/>
    </row>
    <row r="57539" spans="31:31">
      <c r="AE57539" s="54"/>
    </row>
    <row r="57540" spans="31:31">
      <c r="AE57540" s="54"/>
    </row>
    <row r="57541" spans="31:31">
      <c r="AE57541" s="54"/>
    </row>
    <row r="57542" spans="31:31">
      <c r="AE57542" s="54"/>
    </row>
    <row r="57543" spans="31:31">
      <c r="AE57543" s="54"/>
    </row>
    <row r="57544" spans="31:31">
      <c r="AE57544" s="54"/>
    </row>
    <row r="57545" spans="31:31">
      <c r="AE57545" s="54"/>
    </row>
    <row r="57546" spans="31:31">
      <c r="AE57546" s="54"/>
    </row>
    <row r="57547" spans="31:31">
      <c r="AE57547" s="54"/>
    </row>
    <row r="57548" spans="31:31">
      <c r="AE57548" s="54"/>
    </row>
    <row r="57549" spans="31:31">
      <c r="AE57549" s="54"/>
    </row>
    <row r="57550" spans="31:31">
      <c r="AE57550" s="54"/>
    </row>
    <row r="57551" spans="31:31">
      <c r="AE57551" s="54"/>
    </row>
    <row r="57552" spans="31:31">
      <c r="AE57552" s="54"/>
    </row>
    <row r="57553" spans="31:31">
      <c r="AE57553" s="54"/>
    </row>
    <row r="57554" spans="31:31">
      <c r="AE57554" s="54"/>
    </row>
    <row r="57555" spans="31:31">
      <c r="AE57555" s="54"/>
    </row>
    <row r="57556" spans="31:31">
      <c r="AE57556" s="54"/>
    </row>
    <row r="57557" spans="31:31">
      <c r="AE57557" s="54"/>
    </row>
    <row r="57558" spans="31:31">
      <c r="AE57558" s="54"/>
    </row>
    <row r="57559" spans="31:31">
      <c r="AE57559" s="54"/>
    </row>
    <row r="57560" spans="31:31">
      <c r="AE57560" s="54"/>
    </row>
    <row r="57561" spans="31:31">
      <c r="AE57561" s="54"/>
    </row>
    <row r="57562" spans="31:31">
      <c r="AE57562" s="54"/>
    </row>
    <row r="57563" spans="31:31">
      <c r="AE57563" s="54"/>
    </row>
    <row r="57564" spans="31:31">
      <c r="AE57564" s="54"/>
    </row>
    <row r="57565" spans="31:31">
      <c r="AE57565" s="54"/>
    </row>
    <row r="57566" spans="31:31">
      <c r="AE57566" s="54"/>
    </row>
    <row r="57567" spans="31:31">
      <c r="AE57567" s="54"/>
    </row>
    <row r="57568" spans="31:31">
      <c r="AE57568" s="54"/>
    </row>
    <row r="57569" spans="31:31">
      <c r="AE57569" s="54"/>
    </row>
    <row r="57570" spans="31:31">
      <c r="AE57570" s="54"/>
    </row>
    <row r="57571" spans="31:31">
      <c r="AE57571" s="54"/>
    </row>
    <row r="57572" spans="31:31">
      <c r="AE57572" s="54"/>
    </row>
    <row r="57573" spans="31:31">
      <c r="AE57573" s="54"/>
    </row>
    <row r="57574" spans="31:31">
      <c r="AE57574" s="54"/>
    </row>
    <row r="57575" spans="31:31">
      <c r="AE57575" s="54"/>
    </row>
    <row r="57576" spans="31:31">
      <c r="AE57576" s="54"/>
    </row>
    <row r="57577" spans="31:31">
      <c r="AE57577" s="54"/>
    </row>
    <row r="57578" spans="31:31">
      <c r="AE57578" s="54"/>
    </row>
    <row r="57579" spans="31:31">
      <c r="AE57579" s="54"/>
    </row>
    <row r="57580" spans="31:31">
      <c r="AE57580" s="54"/>
    </row>
    <row r="57581" spans="31:31">
      <c r="AE57581" s="54"/>
    </row>
    <row r="57582" spans="31:31">
      <c r="AE57582" s="54"/>
    </row>
    <row r="57583" spans="31:31">
      <c r="AE57583" s="54"/>
    </row>
    <row r="57584" spans="31:31">
      <c r="AE57584" s="54"/>
    </row>
    <row r="57585" spans="31:31">
      <c r="AE57585" s="54"/>
    </row>
    <row r="57586" spans="31:31">
      <c r="AE57586" s="54"/>
    </row>
    <row r="57587" spans="31:31">
      <c r="AE57587" s="54"/>
    </row>
    <row r="57588" spans="31:31">
      <c r="AE57588" s="54"/>
    </row>
    <row r="57589" spans="31:31">
      <c r="AE57589" s="54"/>
    </row>
    <row r="57590" spans="31:31">
      <c r="AE57590" s="54"/>
    </row>
    <row r="57591" spans="31:31">
      <c r="AE57591" s="54"/>
    </row>
    <row r="57592" spans="31:31">
      <c r="AE57592" s="54"/>
    </row>
    <row r="57593" spans="31:31">
      <c r="AE57593" s="54"/>
    </row>
    <row r="57594" spans="31:31">
      <c r="AE57594" s="54"/>
    </row>
    <row r="57595" spans="31:31">
      <c r="AE57595" s="54"/>
    </row>
    <row r="57596" spans="31:31">
      <c r="AE57596" s="54"/>
    </row>
    <row r="57597" spans="31:31">
      <c r="AE57597" s="54"/>
    </row>
    <row r="57598" spans="31:31">
      <c r="AE57598" s="54"/>
    </row>
    <row r="57599" spans="31:31">
      <c r="AE57599" s="54"/>
    </row>
    <row r="57600" spans="31:31">
      <c r="AE57600" s="54"/>
    </row>
    <row r="57601" spans="31:31">
      <c r="AE57601" s="54"/>
    </row>
    <row r="57602" spans="31:31">
      <c r="AE57602" s="54"/>
    </row>
    <row r="57603" spans="31:31">
      <c r="AE57603" s="54"/>
    </row>
    <row r="57604" spans="31:31">
      <c r="AE57604" s="54"/>
    </row>
    <row r="57605" spans="31:31">
      <c r="AE57605" s="54"/>
    </row>
    <row r="57606" spans="31:31">
      <c r="AE57606" s="54"/>
    </row>
    <row r="57607" spans="31:31">
      <c r="AE57607" s="54"/>
    </row>
    <row r="57608" spans="31:31">
      <c r="AE57608" s="54"/>
    </row>
    <row r="57609" spans="31:31">
      <c r="AE57609" s="54"/>
    </row>
    <row r="57610" spans="31:31">
      <c r="AE57610" s="54"/>
    </row>
    <row r="57611" spans="31:31">
      <c r="AE57611" s="54"/>
    </row>
    <row r="57612" spans="31:31">
      <c r="AE57612" s="54"/>
    </row>
    <row r="57613" spans="31:31">
      <c r="AE57613" s="54"/>
    </row>
    <row r="57614" spans="31:31">
      <c r="AE57614" s="54"/>
    </row>
    <row r="57615" spans="31:31">
      <c r="AE57615" s="54"/>
    </row>
    <row r="57616" spans="31:31">
      <c r="AE57616" s="54"/>
    </row>
    <row r="57617" spans="31:31">
      <c r="AE57617" s="54"/>
    </row>
    <row r="57618" spans="31:31">
      <c r="AE57618" s="54"/>
    </row>
    <row r="57619" spans="31:31">
      <c r="AE57619" s="54"/>
    </row>
    <row r="57620" spans="31:31">
      <c r="AE57620" s="54"/>
    </row>
    <row r="57621" spans="31:31">
      <c r="AE57621" s="54"/>
    </row>
    <row r="57622" spans="31:31">
      <c r="AE57622" s="54"/>
    </row>
    <row r="57623" spans="31:31">
      <c r="AE57623" s="54"/>
    </row>
    <row r="57624" spans="31:31">
      <c r="AE57624" s="54"/>
    </row>
    <row r="57625" spans="31:31">
      <c r="AE57625" s="54"/>
    </row>
    <row r="57626" spans="31:31">
      <c r="AE57626" s="54"/>
    </row>
    <row r="57627" spans="31:31">
      <c r="AE57627" s="54"/>
    </row>
    <row r="57628" spans="31:31">
      <c r="AE57628" s="54"/>
    </row>
    <row r="57629" spans="31:31">
      <c r="AE57629" s="54"/>
    </row>
    <row r="57630" spans="31:31">
      <c r="AE57630" s="54"/>
    </row>
    <row r="57631" spans="31:31">
      <c r="AE57631" s="54"/>
    </row>
    <row r="57632" spans="31:31">
      <c r="AE57632" s="54"/>
    </row>
    <row r="57633" spans="31:31">
      <c r="AE57633" s="54"/>
    </row>
    <row r="57634" spans="31:31">
      <c r="AE57634" s="54"/>
    </row>
    <row r="57635" spans="31:31">
      <c r="AE57635" s="54"/>
    </row>
    <row r="57636" spans="31:31">
      <c r="AE57636" s="54"/>
    </row>
    <row r="57637" spans="31:31">
      <c r="AE57637" s="54"/>
    </row>
    <row r="57638" spans="31:31">
      <c r="AE57638" s="54"/>
    </row>
    <row r="57639" spans="31:31">
      <c r="AE57639" s="54"/>
    </row>
    <row r="57640" spans="31:31">
      <c r="AE57640" s="54"/>
    </row>
    <row r="57641" spans="31:31">
      <c r="AE57641" s="54"/>
    </row>
    <row r="57642" spans="31:31">
      <c r="AE57642" s="54"/>
    </row>
    <row r="57643" spans="31:31">
      <c r="AE57643" s="54"/>
    </row>
    <row r="57644" spans="31:31">
      <c r="AE57644" s="54"/>
    </row>
    <row r="57645" spans="31:31">
      <c r="AE57645" s="54"/>
    </row>
    <row r="57646" spans="31:31">
      <c r="AE57646" s="54"/>
    </row>
    <row r="57647" spans="31:31">
      <c r="AE57647" s="54"/>
    </row>
    <row r="57648" spans="31:31">
      <c r="AE57648" s="54"/>
    </row>
    <row r="57649" spans="31:31">
      <c r="AE57649" s="54"/>
    </row>
    <row r="57650" spans="31:31">
      <c r="AE57650" s="54"/>
    </row>
    <row r="57651" spans="31:31">
      <c r="AE57651" s="54"/>
    </row>
    <row r="57652" spans="31:31">
      <c r="AE57652" s="54"/>
    </row>
    <row r="57653" spans="31:31">
      <c r="AE57653" s="54"/>
    </row>
    <row r="57654" spans="31:31">
      <c r="AE57654" s="54"/>
    </row>
    <row r="57655" spans="31:31">
      <c r="AE57655" s="54"/>
    </row>
    <row r="57656" spans="31:31">
      <c r="AE57656" s="54"/>
    </row>
    <row r="57657" spans="31:31">
      <c r="AE57657" s="54"/>
    </row>
    <row r="57658" spans="31:31">
      <c r="AE57658" s="54"/>
    </row>
    <row r="57659" spans="31:31">
      <c r="AE57659" s="54"/>
    </row>
    <row r="57660" spans="31:31">
      <c r="AE57660" s="54"/>
    </row>
    <row r="57661" spans="31:31">
      <c r="AE57661" s="54"/>
    </row>
    <row r="57662" spans="31:31">
      <c r="AE57662" s="54"/>
    </row>
    <row r="57663" spans="31:31">
      <c r="AE57663" s="54"/>
    </row>
    <row r="57664" spans="31:31">
      <c r="AE57664" s="54"/>
    </row>
    <row r="57665" spans="31:31">
      <c r="AE57665" s="54"/>
    </row>
    <row r="57666" spans="31:31">
      <c r="AE57666" s="54"/>
    </row>
    <row r="57667" spans="31:31">
      <c r="AE57667" s="54"/>
    </row>
    <row r="57668" spans="31:31">
      <c r="AE57668" s="54"/>
    </row>
    <row r="57669" spans="31:31">
      <c r="AE57669" s="54"/>
    </row>
    <row r="57670" spans="31:31">
      <c r="AE57670" s="54"/>
    </row>
    <row r="57671" spans="31:31">
      <c r="AE57671" s="54"/>
    </row>
    <row r="57672" spans="31:31">
      <c r="AE57672" s="54"/>
    </row>
    <row r="57673" spans="31:31">
      <c r="AE57673" s="54"/>
    </row>
    <row r="57674" spans="31:31">
      <c r="AE57674" s="54"/>
    </row>
    <row r="57675" spans="31:31">
      <c r="AE57675" s="54"/>
    </row>
    <row r="57676" spans="31:31">
      <c r="AE57676" s="54"/>
    </row>
    <row r="57677" spans="31:31">
      <c r="AE57677" s="54"/>
    </row>
    <row r="57678" spans="31:31">
      <c r="AE57678" s="54"/>
    </row>
    <row r="57679" spans="31:31">
      <c r="AE57679" s="54"/>
    </row>
    <row r="57680" spans="31:31">
      <c r="AE57680" s="54"/>
    </row>
    <row r="57681" spans="31:31">
      <c r="AE57681" s="54"/>
    </row>
    <row r="57682" spans="31:31">
      <c r="AE57682" s="54"/>
    </row>
    <row r="57683" spans="31:31">
      <c r="AE57683" s="54"/>
    </row>
    <row r="57684" spans="31:31">
      <c r="AE57684" s="54"/>
    </row>
    <row r="57685" spans="31:31">
      <c r="AE57685" s="54"/>
    </row>
    <row r="57686" spans="31:31">
      <c r="AE57686" s="54"/>
    </row>
    <row r="57687" spans="31:31">
      <c r="AE57687" s="54"/>
    </row>
    <row r="57688" spans="31:31">
      <c r="AE57688" s="54"/>
    </row>
    <row r="57689" spans="31:31">
      <c r="AE57689" s="54"/>
    </row>
    <row r="57690" spans="31:31">
      <c r="AE57690" s="54"/>
    </row>
    <row r="57691" spans="31:31">
      <c r="AE57691" s="54"/>
    </row>
    <row r="57692" spans="31:31">
      <c r="AE57692" s="54"/>
    </row>
    <row r="57693" spans="31:31">
      <c r="AE57693" s="54"/>
    </row>
    <row r="57694" spans="31:31">
      <c r="AE57694" s="54"/>
    </row>
    <row r="57695" spans="31:31">
      <c r="AE57695" s="54"/>
    </row>
    <row r="57696" spans="31:31">
      <c r="AE57696" s="54"/>
    </row>
    <row r="57697" spans="31:31">
      <c r="AE57697" s="54"/>
    </row>
    <row r="57698" spans="31:31">
      <c r="AE57698" s="54"/>
    </row>
    <row r="57699" spans="31:31">
      <c r="AE57699" s="54"/>
    </row>
    <row r="57700" spans="31:31">
      <c r="AE57700" s="54"/>
    </row>
    <row r="57701" spans="31:31">
      <c r="AE57701" s="54"/>
    </row>
    <row r="57702" spans="31:31">
      <c r="AE57702" s="54"/>
    </row>
    <row r="57703" spans="31:31">
      <c r="AE57703" s="54"/>
    </row>
    <row r="57704" spans="31:31">
      <c r="AE57704" s="54"/>
    </row>
    <row r="57705" spans="31:31">
      <c r="AE57705" s="54"/>
    </row>
    <row r="57706" spans="31:31">
      <c r="AE57706" s="54"/>
    </row>
    <row r="57707" spans="31:31">
      <c r="AE57707" s="54"/>
    </row>
    <row r="57708" spans="31:31">
      <c r="AE57708" s="54"/>
    </row>
    <row r="57709" spans="31:31">
      <c r="AE57709" s="54"/>
    </row>
    <row r="57710" spans="31:31">
      <c r="AE57710" s="54"/>
    </row>
    <row r="57711" spans="31:31">
      <c r="AE57711" s="54"/>
    </row>
    <row r="57712" spans="31:31">
      <c r="AE57712" s="54"/>
    </row>
    <row r="57713" spans="31:31">
      <c r="AE57713" s="54"/>
    </row>
    <row r="57714" spans="31:31">
      <c r="AE57714" s="54"/>
    </row>
    <row r="57715" spans="31:31">
      <c r="AE57715" s="54"/>
    </row>
    <row r="57716" spans="31:31">
      <c r="AE57716" s="54"/>
    </row>
    <row r="57717" spans="31:31">
      <c r="AE57717" s="54"/>
    </row>
    <row r="57718" spans="31:31">
      <c r="AE57718" s="54"/>
    </row>
    <row r="57719" spans="31:31">
      <c r="AE57719" s="54"/>
    </row>
    <row r="57720" spans="31:31">
      <c r="AE57720" s="54"/>
    </row>
    <row r="57721" spans="31:31">
      <c r="AE57721" s="54"/>
    </row>
    <row r="57722" spans="31:31">
      <c r="AE57722" s="54"/>
    </row>
    <row r="57723" spans="31:31">
      <c r="AE57723" s="54"/>
    </row>
    <row r="57724" spans="31:31">
      <c r="AE57724" s="54"/>
    </row>
    <row r="57725" spans="31:31">
      <c r="AE57725" s="54"/>
    </row>
    <row r="57726" spans="31:31">
      <c r="AE57726" s="54"/>
    </row>
    <row r="57727" spans="31:31">
      <c r="AE57727" s="54"/>
    </row>
    <row r="57728" spans="31:31">
      <c r="AE57728" s="54"/>
    </row>
    <row r="57729" spans="31:31">
      <c r="AE57729" s="54"/>
    </row>
    <row r="57730" spans="31:31">
      <c r="AE57730" s="54"/>
    </row>
    <row r="57731" spans="31:31">
      <c r="AE57731" s="54"/>
    </row>
    <row r="57732" spans="31:31">
      <c r="AE57732" s="54"/>
    </row>
    <row r="57733" spans="31:31">
      <c r="AE57733" s="54"/>
    </row>
    <row r="57734" spans="31:31">
      <c r="AE57734" s="54"/>
    </row>
    <row r="57735" spans="31:31">
      <c r="AE57735" s="54"/>
    </row>
    <row r="57736" spans="31:31">
      <c r="AE57736" s="54"/>
    </row>
    <row r="57737" spans="31:31">
      <c r="AE57737" s="54"/>
    </row>
    <row r="57738" spans="31:31">
      <c r="AE57738" s="54"/>
    </row>
    <row r="57739" spans="31:31">
      <c r="AE57739" s="54"/>
    </row>
    <row r="57740" spans="31:31">
      <c r="AE57740" s="54"/>
    </row>
    <row r="57741" spans="31:31">
      <c r="AE57741" s="54"/>
    </row>
    <row r="57742" spans="31:31">
      <c r="AE57742" s="54"/>
    </row>
    <row r="57743" spans="31:31">
      <c r="AE57743" s="54"/>
    </row>
    <row r="57744" spans="31:31">
      <c r="AE57744" s="54"/>
    </row>
    <row r="57745" spans="31:31">
      <c r="AE57745" s="54"/>
    </row>
    <row r="57746" spans="31:31">
      <c r="AE57746" s="54"/>
    </row>
    <row r="57747" spans="31:31">
      <c r="AE57747" s="54"/>
    </row>
    <row r="57748" spans="31:31">
      <c r="AE57748" s="54"/>
    </row>
    <row r="57749" spans="31:31">
      <c r="AE57749" s="54"/>
    </row>
    <row r="57750" spans="31:31">
      <c r="AE57750" s="54"/>
    </row>
    <row r="57751" spans="31:31">
      <c r="AE57751" s="54"/>
    </row>
    <row r="57752" spans="31:31">
      <c r="AE57752" s="54"/>
    </row>
    <row r="57753" spans="31:31">
      <c r="AE57753" s="54"/>
    </row>
    <row r="57754" spans="31:31">
      <c r="AE57754" s="54"/>
    </row>
    <row r="57755" spans="31:31">
      <c r="AE57755" s="54"/>
    </row>
    <row r="57756" spans="31:31">
      <c r="AE57756" s="54"/>
    </row>
    <row r="57757" spans="31:31">
      <c r="AE57757" s="54"/>
    </row>
    <row r="57758" spans="31:31">
      <c r="AE57758" s="54"/>
    </row>
    <row r="57759" spans="31:31">
      <c r="AE57759" s="54"/>
    </row>
    <row r="57760" spans="31:31">
      <c r="AE57760" s="54"/>
    </row>
    <row r="57761" spans="31:31">
      <c r="AE57761" s="54"/>
    </row>
    <row r="57762" spans="31:31">
      <c r="AE57762" s="54"/>
    </row>
    <row r="57763" spans="31:31">
      <c r="AE57763" s="54"/>
    </row>
    <row r="57764" spans="31:31">
      <c r="AE57764" s="54"/>
    </row>
    <row r="57765" spans="31:31">
      <c r="AE57765" s="54"/>
    </row>
    <row r="57766" spans="31:31">
      <c r="AE57766" s="54"/>
    </row>
    <row r="57767" spans="31:31">
      <c r="AE57767" s="54"/>
    </row>
    <row r="57768" spans="31:31">
      <c r="AE57768" s="54"/>
    </row>
    <row r="57769" spans="31:31">
      <c r="AE57769" s="54"/>
    </row>
    <row r="57770" spans="31:31">
      <c r="AE57770" s="54"/>
    </row>
    <row r="57771" spans="31:31">
      <c r="AE57771" s="54"/>
    </row>
    <row r="57772" spans="31:31">
      <c r="AE57772" s="54"/>
    </row>
    <row r="57773" spans="31:31">
      <c r="AE57773" s="54"/>
    </row>
    <row r="57774" spans="31:31">
      <c r="AE57774" s="54"/>
    </row>
    <row r="57775" spans="31:31">
      <c r="AE57775" s="54"/>
    </row>
    <row r="57776" spans="31:31">
      <c r="AE57776" s="54"/>
    </row>
    <row r="57777" spans="31:31">
      <c r="AE57777" s="54"/>
    </row>
    <row r="57778" spans="31:31">
      <c r="AE57778" s="54"/>
    </row>
    <row r="57779" spans="31:31">
      <c r="AE57779" s="54"/>
    </row>
    <row r="57780" spans="31:31">
      <c r="AE57780" s="54"/>
    </row>
    <row r="57781" spans="31:31">
      <c r="AE57781" s="54"/>
    </row>
    <row r="57782" spans="31:31">
      <c r="AE57782" s="54"/>
    </row>
    <row r="57783" spans="31:31">
      <c r="AE57783" s="54"/>
    </row>
    <row r="57784" spans="31:31">
      <c r="AE57784" s="54"/>
    </row>
    <row r="57785" spans="31:31">
      <c r="AE57785" s="54"/>
    </row>
    <row r="57786" spans="31:31">
      <c r="AE57786" s="54"/>
    </row>
    <row r="57787" spans="31:31">
      <c r="AE57787" s="54"/>
    </row>
    <row r="57788" spans="31:31">
      <c r="AE57788" s="54"/>
    </row>
    <row r="57789" spans="31:31">
      <c r="AE57789" s="54"/>
    </row>
    <row r="57790" spans="31:31">
      <c r="AE57790" s="54"/>
    </row>
    <row r="57791" spans="31:31">
      <c r="AE57791" s="54"/>
    </row>
    <row r="57792" spans="31:31">
      <c r="AE57792" s="54"/>
    </row>
    <row r="57793" spans="31:31">
      <c r="AE57793" s="54"/>
    </row>
    <row r="57794" spans="31:31">
      <c r="AE57794" s="54"/>
    </row>
    <row r="57795" spans="31:31">
      <c r="AE57795" s="54"/>
    </row>
    <row r="57796" spans="31:31">
      <c r="AE57796" s="54"/>
    </row>
    <row r="57797" spans="31:31">
      <c r="AE57797" s="54"/>
    </row>
    <row r="57798" spans="31:31">
      <c r="AE57798" s="54"/>
    </row>
    <row r="57799" spans="31:31">
      <c r="AE57799" s="54"/>
    </row>
    <row r="57800" spans="31:31">
      <c r="AE57800" s="54"/>
    </row>
    <row r="57801" spans="31:31">
      <c r="AE57801" s="54"/>
    </row>
    <row r="57802" spans="31:31">
      <c r="AE57802" s="54"/>
    </row>
    <row r="57803" spans="31:31">
      <c r="AE57803" s="54"/>
    </row>
    <row r="57804" spans="31:31">
      <c r="AE57804" s="54"/>
    </row>
    <row r="57805" spans="31:31">
      <c r="AE57805" s="54"/>
    </row>
    <row r="57806" spans="31:31">
      <c r="AE57806" s="54"/>
    </row>
    <row r="57807" spans="31:31">
      <c r="AE57807" s="54"/>
    </row>
    <row r="57808" spans="31:31">
      <c r="AE57808" s="54"/>
    </row>
    <row r="57809" spans="31:31">
      <c r="AE57809" s="54"/>
    </row>
    <row r="57810" spans="31:31">
      <c r="AE57810" s="54"/>
    </row>
    <row r="57811" spans="31:31">
      <c r="AE57811" s="54"/>
    </row>
    <row r="57812" spans="31:31">
      <c r="AE57812" s="54"/>
    </row>
    <row r="57813" spans="31:31">
      <c r="AE57813" s="54"/>
    </row>
    <row r="57814" spans="31:31">
      <c r="AE57814" s="54"/>
    </row>
    <row r="57815" spans="31:31">
      <c r="AE57815" s="54"/>
    </row>
    <row r="57816" spans="31:31">
      <c r="AE57816" s="54"/>
    </row>
    <row r="57817" spans="31:31">
      <c r="AE57817" s="54"/>
    </row>
    <row r="57818" spans="31:31">
      <c r="AE57818" s="54"/>
    </row>
    <row r="57819" spans="31:31">
      <c r="AE57819" s="54"/>
    </row>
    <row r="57820" spans="31:31">
      <c r="AE57820" s="54"/>
    </row>
    <row r="57821" spans="31:31">
      <c r="AE57821" s="54"/>
    </row>
    <row r="57822" spans="31:31">
      <c r="AE57822" s="54"/>
    </row>
    <row r="57823" spans="31:31">
      <c r="AE57823" s="54"/>
    </row>
    <row r="57824" spans="31:31">
      <c r="AE57824" s="54"/>
    </row>
    <row r="57825" spans="31:31">
      <c r="AE57825" s="54"/>
    </row>
    <row r="57826" spans="31:31">
      <c r="AE57826" s="54"/>
    </row>
    <row r="57827" spans="31:31">
      <c r="AE57827" s="54"/>
    </row>
    <row r="57828" spans="31:31">
      <c r="AE57828" s="54"/>
    </row>
    <row r="57829" spans="31:31">
      <c r="AE57829" s="54"/>
    </row>
    <row r="57830" spans="31:31">
      <c r="AE57830" s="54"/>
    </row>
    <row r="57831" spans="31:31">
      <c r="AE57831" s="54"/>
    </row>
    <row r="57832" spans="31:31">
      <c r="AE57832" s="54"/>
    </row>
    <row r="57833" spans="31:31">
      <c r="AE57833" s="54"/>
    </row>
    <row r="57834" spans="31:31">
      <c r="AE57834" s="54"/>
    </row>
    <row r="57835" spans="31:31">
      <c r="AE57835" s="54"/>
    </row>
    <row r="57836" spans="31:31">
      <c r="AE57836" s="54"/>
    </row>
    <row r="57837" spans="31:31">
      <c r="AE57837" s="54"/>
    </row>
    <row r="57838" spans="31:31">
      <c r="AE57838" s="54"/>
    </row>
    <row r="57839" spans="31:31">
      <c r="AE57839" s="54"/>
    </row>
    <row r="57840" spans="31:31">
      <c r="AE57840" s="54"/>
    </row>
    <row r="57841" spans="31:31">
      <c r="AE57841" s="54"/>
    </row>
    <row r="57842" spans="31:31">
      <c r="AE57842" s="54"/>
    </row>
    <row r="57843" spans="31:31">
      <c r="AE57843" s="54"/>
    </row>
    <row r="57844" spans="31:31">
      <c r="AE57844" s="54"/>
    </row>
    <row r="57845" spans="31:31">
      <c r="AE57845" s="54"/>
    </row>
    <row r="57846" spans="31:31">
      <c r="AE57846" s="54"/>
    </row>
    <row r="57847" spans="31:31">
      <c r="AE57847" s="54"/>
    </row>
    <row r="57848" spans="31:31">
      <c r="AE57848" s="54"/>
    </row>
    <row r="57849" spans="31:31">
      <c r="AE57849" s="54"/>
    </row>
    <row r="57850" spans="31:31">
      <c r="AE57850" s="54"/>
    </row>
    <row r="57851" spans="31:31">
      <c r="AE57851" s="54"/>
    </row>
    <row r="57852" spans="31:31">
      <c r="AE57852" s="54"/>
    </row>
    <row r="57853" spans="31:31">
      <c r="AE57853" s="54"/>
    </row>
    <row r="57854" spans="31:31">
      <c r="AE57854" s="54"/>
    </row>
    <row r="57855" spans="31:31">
      <c r="AE57855" s="54"/>
    </row>
    <row r="57856" spans="31:31">
      <c r="AE57856" s="54"/>
    </row>
    <row r="57857" spans="31:31">
      <c r="AE57857" s="54"/>
    </row>
    <row r="57858" spans="31:31">
      <c r="AE57858" s="54"/>
    </row>
    <row r="57859" spans="31:31">
      <c r="AE57859" s="54"/>
    </row>
    <row r="57860" spans="31:31">
      <c r="AE57860" s="54"/>
    </row>
    <row r="57861" spans="31:31">
      <c r="AE57861" s="54"/>
    </row>
    <row r="57862" spans="31:31">
      <c r="AE57862" s="54"/>
    </row>
    <row r="57863" spans="31:31">
      <c r="AE57863" s="54"/>
    </row>
    <row r="57864" spans="31:31">
      <c r="AE57864" s="54"/>
    </row>
    <row r="57865" spans="31:31">
      <c r="AE57865" s="54"/>
    </row>
    <row r="57866" spans="31:31">
      <c r="AE57866" s="54"/>
    </row>
    <row r="57867" spans="31:31">
      <c r="AE57867" s="54"/>
    </row>
    <row r="57868" spans="31:31">
      <c r="AE57868" s="54"/>
    </row>
    <row r="57869" spans="31:31">
      <c r="AE57869" s="54"/>
    </row>
    <row r="57870" spans="31:31">
      <c r="AE57870" s="54"/>
    </row>
    <row r="57871" spans="31:31">
      <c r="AE57871" s="54"/>
    </row>
    <row r="57872" spans="31:31">
      <c r="AE57872" s="54"/>
    </row>
    <row r="57873" spans="31:31">
      <c r="AE57873" s="54"/>
    </row>
    <row r="57874" spans="31:31">
      <c r="AE57874" s="54"/>
    </row>
    <row r="57875" spans="31:31">
      <c r="AE57875" s="54"/>
    </row>
    <row r="57876" spans="31:31">
      <c r="AE57876" s="54"/>
    </row>
    <row r="57877" spans="31:31">
      <c r="AE57877" s="54"/>
    </row>
    <row r="57878" spans="31:31">
      <c r="AE57878" s="54"/>
    </row>
    <row r="57879" spans="31:31">
      <c r="AE57879" s="54"/>
    </row>
    <row r="57880" spans="31:31">
      <c r="AE57880" s="54"/>
    </row>
    <row r="57881" spans="31:31">
      <c r="AE57881" s="54"/>
    </row>
    <row r="57882" spans="31:31">
      <c r="AE57882" s="54"/>
    </row>
    <row r="57883" spans="31:31">
      <c r="AE57883" s="54"/>
    </row>
    <row r="57884" spans="31:31">
      <c r="AE57884" s="54"/>
    </row>
    <row r="57885" spans="31:31">
      <c r="AE57885" s="54"/>
    </row>
    <row r="57886" spans="31:31">
      <c r="AE57886" s="54"/>
    </row>
    <row r="57887" spans="31:31">
      <c r="AE57887" s="54"/>
    </row>
    <row r="57888" spans="31:31">
      <c r="AE57888" s="54"/>
    </row>
    <row r="57889" spans="31:31">
      <c r="AE57889" s="54"/>
    </row>
    <row r="57890" spans="31:31">
      <c r="AE57890" s="54"/>
    </row>
    <row r="57891" spans="31:31">
      <c r="AE57891" s="54"/>
    </row>
    <row r="57892" spans="31:31">
      <c r="AE57892" s="54"/>
    </row>
    <row r="57893" spans="31:31">
      <c r="AE57893" s="54"/>
    </row>
    <row r="57894" spans="31:31">
      <c r="AE57894" s="54"/>
    </row>
    <row r="57895" spans="31:31">
      <c r="AE57895" s="54"/>
    </row>
    <row r="57896" spans="31:31">
      <c r="AE57896" s="54"/>
    </row>
    <row r="57897" spans="31:31">
      <c r="AE57897" s="54"/>
    </row>
    <row r="57898" spans="31:31">
      <c r="AE57898" s="54"/>
    </row>
    <row r="57899" spans="31:31">
      <c r="AE57899" s="54"/>
    </row>
    <row r="57900" spans="31:31">
      <c r="AE57900" s="54"/>
    </row>
    <row r="57901" spans="31:31">
      <c r="AE57901" s="54"/>
    </row>
    <row r="57902" spans="31:31">
      <c r="AE57902" s="54"/>
    </row>
    <row r="57903" spans="31:31">
      <c r="AE57903" s="54"/>
    </row>
    <row r="57904" spans="31:31">
      <c r="AE57904" s="54"/>
    </row>
    <row r="57905" spans="31:31">
      <c r="AE57905" s="54"/>
    </row>
    <row r="57906" spans="31:31">
      <c r="AE57906" s="54"/>
    </row>
    <row r="57907" spans="31:31">
      <c r="AE57907" s="54"/>
    </row>
    <row r="57908" spans="31:31">
      <c r="AE57908" s="54"/>
    </row>
    <row r="57909" spans="31:31">
      <c r="AE57909" s="54"/>
    </row>
    <row r="57910" spans="31:31">
      <c r="AE57910" s="54"/>
    </row>
    <row r="57911" spans="31:31">
      <c r="AE57911" s="54"/>
    </row>
    <row r="57912" spans="31:31">
      <c r="AE57912" s="54"/>
    </row>
    <row r="57913" spans="31:31">
      <c r="AE57913" s="54"/>
    </row>
    <row r="57914" spans="31:31">
      <c r="AE57914" s="54"/>
    </row>
    <row r="57915" spans="31:31">
      <c r="AE57915" s="54"/>
    </row>
    <row r="57916" spans="31:31">
      <c r="AE57916" s="54"/>
    </row>
    <row r="57917" spans="31:31">
      <c r="AE57917" s="54"/>
    </row>
    <row r="57918" spans="31:31">
      <c r="AE57918" s="54"/>
    </row>
    <row r="57919" spans="31:31">
      <c r="AE57919" s="54"/>
    </row>
    <row r="57920" spans="31:31">
      <c r="AE57920" s="54"/>
    </row>
    <row r="57921" spans="31:31">
      <c r="AE57921" s="54"/>
    </row>
    <row r="57922" spans="31:31">
      <c r="AE57922" s="54"/>
    </row>
    <row r="57923" spans="31:31">
      <c r="AE57923" s="54"/>
    </row>
    <row r="57924" spans="31:31">
      <c r="AE57924" s="54"/>
    </row>
    <row r="57925" spans="31:31">
      <c r="AE57925" s="54"/>
    </row>
    <row r="57926" spans="31:31">
      <c r="AE57926" s="54"/>
    </row>
    <row r="57927" spans="31:31">
      <c r="AE57927" s="54"/>
    </row>
    <row r="57928" spans="31:31">
      <c r="AE57928" s="54"/>
    </row>
    <row r="57929" spans="31:31">
      <c r="AE57929" s="54"/>
    </row>
    <row r="57930" spans="31:31">
      <c r="AE57930" s="54"/>
    </row>
    <row r="57931" spans="31:31">
      <c r="AE57931" s="54"/>
    </row>
    <row r="57932" spans="31:31">
      <c r="AE57932" s="54"/>
    </row>
    <row r="57933" spans="31:31">
      <c r="AE57933" s="54"/>
    </row>
    <row r="57934" spans="31:31">
      <c r="AE57934" s="54"/>
    </row>
    <row r="57935" spans="31:31">
      <c r="AE57935" s="54"/>
    </row>
    <row r="57936" spans="31:31">
      <c r="AE57936" s="54"/>
    </row>
    <row r="57937" spans="31:31">
      <c r="AE57937" s="54"/>
    </row>
    <row r="57938" spans="31:31">
      <c r="AE57938" s="54"/>
    </row>
    <row r="57939" spans="31:31">
      <c r="AE57939" s="54"/>
    </row>
    <row r="57940" spans="31:31">
      <c r="AE57940" s="54"/>
    </row>
    <row r="57941" spans="31:31">
      <c r="AE57941" s="54"/>
    </row>
    <row r="57942" spans="31:31">
      <c r="AE57942" s="54"/>
    </row>
    <row r="57943" spans="31:31">
      <c r="AE57943" s="54"/>
    </row>
    <row r="57944" spans="31:31">
      <c r="AE57944" s="54"/>
    </row>
    <row r="57945" spans="31:31">
      <c r="AE57945" s="54"/>
    </row>
    <row r="57946" spans="31:31">
      <c r="AE57946" s="54"/>
    </row>
    <row r="57947" spans="31:31">
      <c r="AE57947" s="54"/>
    </row>
    <row r="57948" spans="31:31">
      <c r="AE57948" s="54"/>
    </row>
    <row r="57949" spans="31:31">
      <c r="AE57949" s="54"/>
    </row>
    <row r="57950" spans="31:31">
      <c r="AE57950" s="54"/>
    </row>
    <row r="57951" spans="31:31">
      <c r="AE57951" s="54"/>
    </row>
    <row r="57952" spans="31:31">
      <c r="AE57952" s="54"/>
    </row>
    <row r="57953" spans="31:31">
      <c r="AE57953" s="54"/>
    </row>
    <row r="57954" spans="31:31">
      <c r="AE57954" s="54"/>
    </row>
    <row r="57955" spans="31:31">
      <c r="AE57955" s="54"/>
    </row>
    <row r="57956" spans="31:31">
      <c r="AE57956" s="54"/>
    </row>
    <row r="57957" spans="31:31">
      <c r="AE57957" s="54"/>
    </row>
    <row r="57958" spans="31:31">
      <c r="AE57958" s="54"/>
    </row>
    <row r="57959" spans="31:31">
      <c r="AE57959" s="54"/>
    </row>
    <row r="57960" spans="31:31">
      <c r="AE57960" s="54"/>
    </row>
    <row r="57961" spans="31:31">
      <c r="AE57961" s="54"/>
    </row>
    <row r="57962" spans="31:31">
      <c r="AE57962" s="54"/>
    </row>
    <row r="57963" spans="31:31">
      <c r="AE57963" s="54"/>
    </row>
    <row r="57964" spans="31:31">
      <c r="AE57964" s="54"/>
    </row>
    <row r="57965" spans="31:31">
      <c r="AE57965" s="54"/>
    </row>
    <row r="57966" spans="31:31">
      <c r="AE57966" s="54"/>
    </row>
    <row r="57967" spans="31:31">
      <c r="AE57967" s="54"/>
    </row>
    <row r="57968" spans="31:31">
      <c r="AE57968" s="54"/>
    </row>
    <row r="57969" spans="31:31">
      <c r="AE57969" s="54"/>
    </row>
    <row r="57970" spans="31:31">
      <c r="AE57970" s="54"/>
    </row>
    <row r="57971" spans="31:31">
      <c r="AE57971" s="54"/>
    </row>
    <row r="57972" spans="31:31">
      <c r="AE57972" s="54"/>
    </row>
    <row r="57973" spans="31:31">
      <c r="AE57973" s="54"/>
    </row>
    <row r="57974" spans="31:31">
      <c r="AE57974" s="54"/>
    </row>
    <row r="57975" spans="31:31">
      <c r="AE57975" s="54"/>
    </row>
    <row r="57976" spans="31:31">
      <c r="AE57976" s="54"/>
    </row>
    <row r="57977" spans="31:31">
      <c r="AE57977" s="54"/>
    </row>
    <row r="57978" spans="31:31">
      <c r="AE57978" s="54"/>
    </row>
    <row r="57979" spans="31:31">
      <c r="AE57979" s="54"/>
    </row>
    <row r="57980" spans="31:31">
      <c r="AE57980" s="54"/>
    </row>
    <row r="57981" spans="31:31">
      <c r="AE57981" s="54"/>
    </row>
    <row r="57982" spans="31:31">
      <c r="AE57982" s="54"/>
    </row>
    <row r="57983" spans="31:31">
      <c r="AE57983" s="54"/>
    </row>
    <row r="57984" spans="31:31">
      <c r="AE57984" s="54"/>
    </row>
    <row r="57985" spans="31:31">
      <c r="AE57985" s="54"/>
    </row>
    <row r="57986" spans="31:31">
      <c r="AE57986" s="54"/>
    </row>
    <row r="57987" spans="31:31">
      <c r="AE57987" s="54"/>
    </row>
    <row r="57988" spans="31:31">
      <c r="AE57988" s="54"/>
    </row>
    <row r="57989" spans="31:31">
      <c r="AE57989" s="54"/>
    </row>
    <row r="57990" spans="31:31">
      <c r="AE57990" s="54"/>
    </row>
    <row r="57991" spans="31:31">
      <c r="AE57991" s="54"/>
    </row>
    <row r="57992" spans="31:31">
      <c r="AE57992" s="54"/>
    </row>
    <row r="57993" spans="31:31">
      <c r="AE57993" s="54"/>
    </row>
    <row r="57994" spans="31:31">
      <c r="AE57994" s="54"/>
    </row>
    <row r="57995" spans="31:31">
      <c r="AE57995" s="54"/>
    </row>
    <row r="57996" spans="31:31">
      <c r="AE57996" s="54"/>
    </row>
    <row r="57997" spans="31:31">
      <c r="AE57997" s="54"/>
    </row>
    <row r="57998" spans="31:31">
      <c r="AE57998" s="54"/>
    </row>
    <row r="57999" spans="31:31">
      <c r="AE57999" s="54"/>
    </row>
    <row r="58000" spans="31:31">
      <c r="AE58000" s="54"/>
    </row>
    <row r="58001" spans="31:31">
      <c r="AE58001" s="54"/>
    </row>
    <row r="58002" spans="31:31">
      <c r="AE58002" s="54"/>
    </row>
    <row r="58003" spans="31:31">
      <c r="AE58003" s="54"/>
    </row>
    <row r="58004" spans="31:31">
      <c r="AE58004" s="54"/>
    </row>
    <row r="58005" spans="31:31">
      <c r="AE58005" s="54"/>
    </row>
    <row r="58006" spans="31:31">
      <c r="AE58006" s="54"/>
    </row>
    <row r="58007" spans="31:31">
      <c r="AE58007" s="54"/>
    </row>
    <row r="58008" spans="31:31">
      <c r="AE58008" s="54"/>
    </row>
    <row r="58009" spans="31:31">
      <c r="AE58009" s="54"/>
    </row>
    <row r="58010" spans="31:31">
      <c r="AE58010" s="54"/>
    </row>
    <row r="58011" spans="31:31">
      <c r="AE58011" s="54"/>
    </row>
    <row r="58012" spans="31:31">
      <c r="AE58012" s="54"/>
    </row>
    <row r="58013" spans="31:31">
      <c r="AE58013" s="54"/>
    </row>
    <row r="58014" spans="31:31">
      <c r="AE58014" s="54"/>
    </row>
    <row r="58015" spans="31:31">
      <c r="AE58015" s="54"/>
    </row>
    <row r="58016" spans="31:31">
      <c r="AE58016" s="54"/>
    </row>
    <row r="58017" spans="31:31">
      <c r="AE58017" s="54"/>
    </row>
    <row r="58018" spans="31:31">
      <c r="AE58018" s="54"/>
    </row>
    <row r="58019" spans="31:31">
      <c r="AE58019" s="54"/>
    </row>
    <row r="58020" spans="31:31">
      <c r="AE58020" s="54"/>
    </row>
    <row r="58021" spans="31:31">
      <c r="AE58021" s="54"/>
    </row>
    <row r="58022" spans="31:31">
      <c r="AE58022" s="54"/>
    </row>
    <row r="58023" spans="31:31">
      <c r="AE58023" s="54"/>
    </row>
    <row r="58024" spans="31:31">
      <c r="AE58024" s="54"/>
    </row>
    <row r="58025" spans="31:31">
      <c r="AE58025" s="54"/>
    </row>
    <row r="58026" spans="31:31">
      <c r="AE58026" s="54"/>
    </row>
    <row r="58027" spans="31:31">
      <c r="AE58027" s="54"/>
    </row>
    <row r="58028" spans="31:31">
      <c r="AE58028" s="54"/>
    </row>
    <row r="58029" spans="31:31">
      <c r="AE58029" s="54"/>
    </row>
    <row r="58030" spans="31:31">
      <c r="AE58030" s="54"/>
    </row>
    <row r="58031" spans="31:31">
      <c r="AE58031" s="54"/>
    </row>
    <row r="58032" spans="31:31">
      <c r="AE58032" s="54"/>
    </row>
    <row r="58033" spans="31:31">
      <c r="AE58033" s="54"/>
    </row>
    <row r="58034" spans="31:31">
      <c r="AE58034" s="54"/>
    </row>
    <row r="58035" spans="31:31">
      <c r="AE58035" s="54"/>
    </row>
    <row r="58036" spans="31:31">
      <c r="AE58036" s="54"/>
    </row>
    <row r="58037" spans="31:31">
      <c r="AE58037" s="54"/>
    </row>
    <row r="58038" spans="31:31">
      <c r="AE58038" s="54"/>
    </row>
    <row r="58039" spans="31:31">
      <c r="AE58039" s="54"/>
    </row>
    <row r="58040" spans="31:31">
      <c r="AE58040" s="54"/>
    </row>
    <row r="58041" spans="31:31">
      <c r="AE58041" s="54"/>
    </row>
    <row r="58042" spans="31:31">
      <c r="AE58042" s="54"/>
    </row>
    <row r="58043" spans="31:31">
      <c r="AE58043" s="54"/>
    </row>
    <row r="58044" spans="31:31">
      <c r="AE58044" s="54"/>
    </row>
    <row r="58045" spans="31:31">
      <c r="AE58045" s="54"/>
    </row>
    <row r="58046" spans="31:31">
      <c r="AE58046" s="54"/>
    </row>
    <row r="58047" spans="31:31">
      <c r="AE58047" s="54"/>
    </row>
    <row r="58048" spans="31:31">
      <c r="AE58048" s="54"/>
    </row>
    <row r="58049" spans="31:31">
      <c r="AE58049" s="54"/>
    </row>
    <row r="58050" spans="31:31">
      <c r="AE58050" s="54"/>
    </row>
    <row r="58051" spans="31:31">
      <c r="AE58051" s="54"/>
    </row>
    <row r="58052" spans="31:31">
      <c r="AE58052" s="54"/>
    </row>
    <row r="58053" spans="31:31">
      <c r="AE58053" s="54"/>
    </row>
    <row r="58054" spans="31:31">
      <c r="AE58054" s="54"/>
    </row>
    <row r="58055" spans="31:31">
      <c r="AE58055" s="54"/>
    </row>
    <row r="58056" spans="31:31">
      <c r="AE58056" s="54"/>
    </row>
    <row r="58057" spans="31:31">
      <c r="AE58057" s="54"/>
    </row>
    <row r="58058" spans="31:31">
      <c r="AE58058" s="54"/>
    </row>
    <row r="58059" spans="31:31">
      <c r="AE58059" s="54"/>
    </row>
    <row r="58060" spans="31:31">
      <c r="AE58060" s="54"/>
    </row>
    <row r="58061" spans="31:31">
      <c r="AE58061" s="54"/>
    </row>
    <row r="58062" spans="31:31">
      <c r="AE58062" s="54"/>
    </row>
    <row r="58063" spans="31:31">
      <c r="AE58063" s="54"/>
    </row>
    <row r="58064" spans="31:31">
      <c r="AE58064" s="54"/>
    </row>
    <row r="58065" spans="31:31">
      <c r="AE58065" s="54"/>
    </row>
    <row r="58066" spans="31:31">
      <c r="AE58066" s="54"/>
    </row>
    <row r="58067" spans="31:31">
      <c r="AE58067" s="54"/>
    </row>
    <row r="58068" spans="31:31">
      <c r="AE58068" s="54"/>
    </row>
    <row r="58069" spans="31:31">
      <c r="AE58069" s="54"/>
    </row>
    <row r="58070" spans="31:31">
      <c r="AE58070" s="54"/>
    </row>
    <row r="58071" spans="31:31">
      <c r="AE58071" s="54"/>
    </row>
    <row r="58072" spans="31:31">
      <c r="AE58072" s="54"/>
    </row>
    <row r="58073" spans="31:31">
      <c r="AE58073" s="54"/>
    </row>
    <row r="58074" spans="31:31">
      <c r="AE58074" s="54"/>
    </row>
    <row r="58075" spans="31:31">
      <c r="AE58075" s="54"/>
    </row>
    <row r="58076" spans="31:31">
      <c r="AE58076" s="54"/>
    </row>
    <row r="58077" spans="31:31">
      <c r="AE58077" s="54"/>
    </row>
    <row r="58078" spans="31:31">
      <c r="AE58078" s="54"/>
    </row>
    <row r="58079" spans="31:31">
      <c r="AE58079" s="54"/>
    </row>
    <row r="58080" spans="31:31">
      <c r="AE58080" s="54"/>
    </row>
    <row r="58081" spans="31:31">
      <c r="AE58081" s="54"/>
    </row>
    <row r="58082" spans="31:31">
      <c r="AE58082" s="54"/>
    </row>
    <row r="58083" spans="31:31">
      <c r="AE58083" s="54"/>
    </row>
    <row r="58084" spans="31:31">
      <c r="AE58084" s="54"/>
    </row>
    <row r="58085" spans="31:31">
      <c r="AE58085" s="54"/>
    </row>
    <row r="58086" spans="31:31">
      <c r="AE58086" s="54"/>
    </row>
    <row r="58087" spans="31:31">
      <c r="AE58087" s="54"/>
    </row>
    <row r="58088" spans="31:31">
      <c r="AE58088" s="54"/>
    </row>
    <row r="58089" spans="31:31">
      <c r="AE58089" s="54"/>
    </row>
    <row r="58090" spans="31:31">
      <c r="AE58090" s="54"/>
    </row>
    <row r="58091" spans="31:31">
      <c r="AE58091" s="54"/>
    </row>
    <row r="58092" spans="31:31">
      <c r="AE58092" s="54"/>
    </row>
    <row r="58093" spans="31:31">
      <c r="AE58093" s="54"/>
    </row>
    <row r="58094" spans="31:31">
      <c r="AE58094" s="54"/>
    </row>
    <row r="58095" spans="31:31">
      <c r="AE58095" s="54"/>
    </row>
    <row r="58096" spans="31:31">
      <c r="AE58096" s="54"/>
    </row>
    <row r="58097" spans="31:31">
      <c r="AE58097" s="54"/>
    </row>
    <row r="58098" spans="31:31">
      <c r="AE58098" s="54"/>
    </row>
    <row r="58099" spans="31:31">
      <c r="AE58099" s="54"/>
    </row>
    <row r="58100" spans="31:31">
      <c r="AE58100" s="54"/>
    </row>
    <row r="58101" spans="31:31">
      <c r="AE58101" s="54"/>
    </row>
    <row r="58102" spans="31:31">
      <c r="AE58102" s="54"/>
    </row>
    <row r="58103" spans="31:31">
      <c r="AE58103" s="54"/>
    </row>
    <row r="58104" spans="31:31">
      <c r="AE58104" s="54"/>
    </row>
    <row r="58105" spans="31:31">
      <c r="AE58105" s="54"/>
    </row>
    <row r="58106" spans="31:31">
      <c r="AE58106" s="54"/>
    </row>
    <row r="58107" spans="31:31">
      <c r="AE58107" s="54"/>
    </row>
    <row r="58108" spans="31:31">
      <c r="AE58108" s="54"/>
    </row>
    <row r="58109" spans="31:31">
      <c r="AE58109" s="54"/>
    </row>
    <row r="58110" spans="31:31">
      <c r="AE58110" s="54"/>
    </row>
    <row r="58111" spans="31:31">
      <c r="AE58111" s="54"/>
    </row>
    <row r="58112" spans="31:31">
      <c r="AE58112" s="54"/>
    </row>
    <row r="58113" spans="31:31">
      <c r="AE58113" s="54"/>
    </row>
    <row r="58114" spans="31:31">
      <c r="AE58114" s="54"/>
    </row>
    <row r="58115" spans="31:31">
      <c r="AE58115" s="54"/>
    </row>
    <row r="58116" spans="31:31">
      <c r="AE58116" s="54"/>
    </row>
    <row r="58117" spans="31:31">
      <c r="AE58117" s="54"/>
    </row>
    <row r="58118" spans="31:31">
      <c r="AE58118" s="54"/>
    </row>
    <row r="58119" spans="31:31">
      <c r="AE58119" s="54"/>
    </row>
    <row r="58120" spans="31:31">
      <c r="AE58120" s="54"/>
    </row>
    <row r="58121" spans="31:31">
      <c r="AE58121" s="54"/>
    </row>
    <row r="58122" spans="31:31">
      <c r="AE58122" s="54"/>
    </row>
    <row r="58123" spans="31:31">
      <c r="AE58123" s="54"/>
    </row>
    <row r="58124" spans="31:31">
      <c r="AE58124" s="54"/>
    </row>
    <row r="58125" spans="31:31">
      <c r="AE58125" s="54"/>
    </row>
    <row r="58126" spans="31:31">
      <c r="AE58126" s="54"/>
    </row>
    <row r="58127" spans="31:31">
      <c r="AE58127" s="54"/>
    </row>
    <row r="58128" spans="31:31">
      <c r="AE58128" s="54"/>
    </row>
    <row r="58129" spans="31:31">
      <c r="AE58129" s="54"/>
    </row>
    <row r="58130" spans="31:31">
      <c r="AE58130" s="54"/>
    </row>
    <row r="58131" spans="31:31">
      <c r="AE58131" s="54"/>
    </row>
    <row r="58132" spans="31:31">
      <c r="AE58132" s="54"/>
    </row>
    <row r="58133" spans="31:31">
      <c r="AE58133" s="54"/>
    </row>
    <row r="58134" spans="31:31">
      <c r="AE58134" s="54"/>
    </row>
    <row r="58135" spans="31:31">
      <c r="AE58135" s="54"/>
    </row>
    <row r="58136" spans="31:31">
      <c r="AE58136" s="54"/>
    </row>
    <row r="58137" spans="31:31">
      <c r="AE58137" s="54"/>
    </row>
    <row r="58138" spans="31:31">
      <c r="AE58138" s="54"/>
    </row>
    <row r="58139" spans="31:31">
      <c r="AE58139" s="54"/>
    </row>
    <row r="58140" spans="31:31">
      <c r="AE58140" s="54"/>
    </row>
    <row r="58141" spans="31:31">
      <c r="AE58141" s="54"/>
    </row>
    <row r="58142" spans="31:31">
      <c r="AE58142" s="54"/>
    </row>
    <row r="58143" spans="31:31">
      <c r="AE58143" s="54"/>
    </row>
    <row r="58144" spans="31:31">
      <c r="AE58144" s="54"/>
    </row>
    <row r="58145" spans="31:31">
      <c r="AE58145" s="54"/>
    </row>
    <row r="58146" spans="31:31">
      <c r="AE58146" s="54"/>
    </row>
    <row r="58147" spans="31:31">
      <c r="AE58147" s="54"/>
    </row>
    <row r="58148" spans="31:31">
      <c r="AE58148" s="54"/>
    </row>
    <row r="58149" spans="31:31">
      <c r="AE58149" s="54"/>
    </row>
    <row r="58150" spans="31:31">
      <c r="AE58150" s="54"/>
    </row>
    <row r="58151" spans="31:31">
      <c r="AE58151" s="54"/>
    </row>
    <row r="58152" spans="31:31">
      <c r="AE58152" s="54"/>
    </row>
    <row r="58153" spans="31:31">
      <c r="AE58153" s="54"/>
    </row>
    <row r="58154" spans="31:31">
      <c r="AE58154" s="54"/>
    </row>
    <row r="58155" spans="31:31">
      <c r="AE58155" s="54"/>
    </row>
    <row r="58156" spans="31:31">
      <c r="AE58156" s="54"/>
    </row>
    <row r="58157" spans="31:31">
      <c r="AE58157" s="54"/>
    </row>
    <row r="58158" spans="31:31">
      <c r="AE58158" s="54"/>
    </row>
    <row r="58159" spans="31:31">
      <c r="AE58159" s="54"/>
    </row>
    <row r="58160" spans="31:31">
      <c r="AE58160" s="54"/>
    </row>
    <row r="58161" spans="31:31">
      <c r="AE58161" s="54"/>
    </row>
    <row r="58162" spans="31:31">
      <c r="AE58162" s="54"/>
    </row>
    <row r="58163" spans="31:31">
      <c r="AE58163" s="54"/>
    </row>
    <row r="58164" spans="31:31">
      <c r="AE58164" s="54"/>
    </row>
    <row r="58165" spans="31:31">
      <c r="AE58165" s="54"/>
    </row>
    <row r="58166" spans="31:31">
      <c r="AE58166" s="54"/>
    </row>
    <row r="58167" spans="31:31">
      <c r="AE58167" s="54"/>
    </row>
    <row r="58168" spans="31:31">
      <c r="AE58168" s="54"/>
    </row>
    <row r="58169" spans="31:31">
      <c r="AE58169" s="54"/>
    </row>
    <row r="58170" spans="31:31">
      <c r="AE58170" s="54"/>
    </row>
    <row r="58171" spans="31:31">
      <c r="AE58171" s="54"/>
    </row>
    <row r="58172" spans="31:31">
      <c r="AE58172" s="54"/>
    </row>
    <row r="58173" spans="31:31">
      <c r="AE58173" s="54"/>
    </row>
    <row r="58174" spans="31:31">
      <c r="AE58174" s="54"/>
    </row>
    <row r="58175" spans="31:31">
      <c r="AE58175" s="54"/>
    </row>
    <row r="58176" spans="31:31">
      <c r="AE58176" s="54"/>
    </row>
    <row r="58177" spans="31:31">
      <c r="AE58177" s="54"/>
    </row>
    <row r="58178" spans="31:31">
      <c r="AE58178" s="54"/>
    </row>
    <row r="58179" spans="31:31">
      <c r="AE58179" s="54"/>
    </row>
    <row r="58180" spans="31:31">
      <c r="AE58180" s="54"/>
    </row>
    <row r="58181" spans="31:31">
      <c r="AE58181" s="54"/>
    </row>
    <row r="58182" spans="31:31">
      <c r="AE58182" s="54"/>
    </row>
    <row r="58183" spans="31:31">
      <c r="AE58183" s="54"/>
    </row>
    <row r="58184" spans="31:31">
      <c r="AE58184" s="54"/>
    </row>
    <row r="58185" spans="31:31">
      <c r="AE58185" s="54"/>
    </row>
    <row r="58186" spans="31:31">
      <c r="AE58186" s="54"/>
    </row>
    <row r="58187" spans="31:31">
      <c r="AE58187" s="54"/>
    </row>
    <row r="58188" spans="31:31">
      <c r="AE58188" s="54"/>
    </row>
    <row r="58189" spans="31:31">
      <c r="AE58189" s="54"/>
    </row>
    <row r="58190" spans="31:31">
      <c r="AE58190" s="54"/>
    </row>
    <row r="58191" spans="31:31">
      <c r="AE58191" s="54"/>
    </row>
    <row r="58192" spans="31:31">
      <c r="AE58192" s="54"/>
    </row>
    <row r="58193" spans="31:31">
      <c r="AE58193" s="54"/>
    </row>
    <row r="58194" spans="31:31">
      <c r="AE58194" s="54"/>
    </row>
    <row r="58195" spans="31:31">
      <c r="AE58195" s="54"/>
    </row>
    <row r="58196" spans="31:31">
      <c r="AE58196" s="54"/>
    </row>
    <row r="58197" spans="31:31">
      <c r="AE58197" s="54"/>
    </row>
    <row r="58198" spans="31:31">
      <c r="AE58198" s="54"/>
    </row>
    <row r="58199" spans="31:31">
      <c r="AE58199" s="54"/>
    </row>
    <row r="58200" spans="31:31">
      <c r="AE58200" s="54"/>
    </row>
    <row r="58201" spans="31:31">
      <c r="AE58201" s="54"/>
    </row>
    <row r="58202" spans="31:31">
      <c r="AE58202" s="54"/>
    </row>
    <row r="58203" spans="31:31">
      <c r="AE58203" s="54"/>
    </row>
    <row r="58204" spans="31:31">
      <c r="AE58204" s="54"/>
    </row>
    <row r="58205" spans="31:31">
      <c r="AE58205" s="54"/>
    </row>
    <row r="58206" spans="31:31">
      <c r="AE58206" s="54"/>
    </row>
    <row r="58207" spans="31:31">
      <c r="AE58207" s="54"/>
    </row>
    <row r="58208" spans="31:31">
      <c r="AE58208" s="54"/>
    </row>
    <row r="58209" spans="31:31">
      <c r="AE58209" s="54"/>
    </row>
    <row r="58210" spans="31:31">
      <c r="AE58210" s="54"/>
    </row>
    <row r="58211" spans="31:31">
      <c r="AE58211" s="54"/>
    </row>
    <row r="58212" spans="31:31">
      <c r="AE58212" s="54"/>
    </row>
    <row r="58213" spans="31:31">
      <c r="AE58213" s="54"/>
    </row>
    <row r="58214" spans="31:31">
      <c r="AE58214" s="54"/>
    </row>
    <row r="58215" spans="31:31">
      <c r="AE58215" s="54"/>
    </row>
    <row r="58216" spans="31:31">
      <c r="AE58216" s="54"/>
    </row>
    <row r="58217" spans="31:31">
      <c r="AE58217" s="54"/>
    </row>
    <row r="58218" spans="31:31">
      <c r="AE58218" s="54"/>
    </row>
    <row r="58219" spans="31:31">
      <c r="AE58219" s="54"/>
    </row>
    <row r="58220" spans="31:31">
      <c r="AE58220" s="54"/>
    </row>
    <row r="58221" spans="31:31">
      <c r="AE58221" s="54"/>
    </row>
    <row r="58222" spans="31:31">
      <c r="AE58222" s="54"/>
    </row>
    <row r="58223" spans="31:31">
      <c r="AE58223" s="54"/>
    </row>
    <row r="58224" spans="31:31">
      <c r="AE58224" s="54"/>
    </row>
    <row r="58225" spans="31:31">
      <c r="AE58225" s="54"/>
    </row>
    <row r="58226" spans="31:31">
      <c r="AE58226" s="54"/>
    </row>
    <row r="58227" spans="31:31">
      <c r="AE58227" s="54"/>
    </row>
    <row r="58228" spans="31:31">
      <c r="AE58228" s="54"/>
    </row>
    <row r="58229" spans="31:31">
      <c r="AE58229" s="54"/>
    </row>
    <row r="58230" spans="31:31">
      <c r="AE58230" s="54"/>
    </row>
    <row r="58231" spans="31:31">
      <c r="AE58231" s="54"/>
    </row>
    <row r="58232" spans="31:31">
      <c r="AE58232" s="54"/>
    </row>
    <row r="58233" spans="31:31">
      <c r="AE58233" s="54"/>
    </row>
    <row r="58234" spans="31:31">
      <c r="AE58234" s="54"/>
    </row>
    <row r="58235" spans="31:31">
      <c r="AE58235" s="54"/>
    </row>
    <row r="58236" spans="31:31">
      <c r="AE58236" s="54"/>
    </row>
    <row r="58237" spans="31:31">
      <c r="AE58237" s="54"/>
    </row>
    <row r="58238" spans="31:31">
      <c r="AE58238" s="54"/>
    </row>
    <row r="58239" spans="31:31">
      <c r="AE58239" s="54"/>
    </row>
    <row r="58240" spans="31:31">
      <c r="AE58240" s="54"/>
    </row>
    <row r="58241" spans="31:31">
      <c r="AE58241" s="54"/>
    </row>
    <row r="58242" spans="31:31">
      <c r="AE58242" s="54"/>
    </row>
    <row r="58243" spans="31:31">
      <c r="AE58243" s="54"/>
    </row>
    <row r="58244" spans="31:31">
      <c r="AE58244" s="54"/>
    </row>
    <row r="58245" spans="31:31">
      <c r="AE58245" s="54"/>
    </row>
    <row r="58246" spans="31:31">
      <c r="AE58246" s="54"/>
    </row>
    <row r="58247" spans="31:31">
      <c r="AE58247" s="54"/>
    </row>
    <row r="58248" spans="31:31">
      <c r="AE58248" s="54"/>
    </row>
    <row r="58249" spans="31:31">
      <c r="AE58249" s="54"/>
    </row>
    <row r="58250" spans="31:31">
      <c r="AE58250" s="54"/>
    </row>
    <row r="58251" spans="31:31">
      <c r="AE58251" s="54"/>
    </row>
    <row r="58252" spans="31:31">
      <c r="AE58252" s="54"/>
    </row>
    <row r="58253" spans="31:31">
      <c r="AE58253" s="54"/>
    </row>
    <row r="58254" spans="31:31">
      <c r="AE58254" s="54"/>
    </row>
    <row r="58255" spans="31:31">
      <c r="AE58255" s="54"/>
    </row>
    <row r="58256" spans="31:31">
      <c r="AE58256" s="54"/>
    </row>
    <row r="58257" spans="31:31">
      <c r="AE58257" s="54"/>
    </row>
    <row r="58258" spans="31:31">
      <c r="AE58258" s="54"/>
    </row>
    <row r="58259" spans="31:31">
      <c r="AE58259" s="54"/>
    </row>
    <row r="58260" spans="31:31">
      <c r="AE58260" s="54"/>
    </row>
    <row r="58261" spans="31:31">
      <c r="AE58261" s="54"/>
    </row>
    <row r="58262" spans="31:31">
      <c r="AE58262" s="54"/>
    </row>
    <row r="58263" spans="31:31">
      <c r="AE58263" s="54"/>
    </row>
    <row r="58264" spans="31:31">
      <c r="AE58264" s="54"/>
    </row>
    <row r="58265" spans="31:31">
      <c r="AE58265" s="54"/>
    </row>
    <row r="58266" spans="31:31">
      <c r="AE58266" s="54"/>
    </row>
    <row r="58267" spans="31:31">
      <c r="AE58267" s="54"/>
    </row>
    <row r="58268" spans="31:31">
      <c r="AE58268" s="54"/>
    </row>
    <row r="58269" spans="31:31">
      <c r="AE58269" s="54"/>
    </row>
    <row r="58270" spans="31:31">
      <c r="AE58270" s="54"/>
    </row>
    <row r="58271" spans="31:31">
      <c r="AE58271" s="54"/>
    </row>
    <row r="58272" spans="31:31">
      <c r="AE58272" s="54"/>
    </row>
    <row r="58273" spans="31:31">
      <c r="AE58273" s="54"/>
    </row>
    <row r="58274" spans="31:31">
      <c r="AE58274" s="54"/>
    </row>
    <row r="58275" spans="31:31">
      <c r="AE58275" s="54"/>
    </row>
    <row r="58276" spans="31:31">
      <c r="AE58276" s="54"/>
    </row>
    <row r="58277" spans="31:31">
      <c r="AE58277" s="54"/>
    </row>
    <row r="58278" spans="31:31">
      <c r="AE58278" s="54"/>
    </row>
    <row r="58279" spans="31:31">
      <c r="AE58279" s="54"/>
    </row>
    <row r="58280" spans="31:31">
      <c r="AE58280" s="54"/>
    </row>
    <row r="58281" spans="31:31">
      <c r="AE58281" s="54"/>
    </row>
    <row r="58282" spans="31:31">
      <c r="AE58282" s="54"/>
    </row>
    <row r="58283" spans="31:31">
      <c r="AE58283" s="54"/>
    </row>
    <row r="58284" spans="31:31">
      <c r="AE58284" s="54"/>
    </row>
    <row r="58285" spans="31:31">
      <c r="AE58285" s="54"/>
    </row>
    <row r="58286" spans="31:31">
      <c r="AE58286" s="54"/>
    </row>
    <row r="58287" spans="31:31">
      <c r="AE58287" s="54"/>
    </row>
    <row r="58288" spans="31:31">
      <c r="AE58288" s="54"/>
    </row>
    <row r="58289" spans="31:31">
      <c r="AE58289" s="54"/>
    </row>
    <row r="58290" spans="31:31">
      <c r="AE58290" s="54"/>
    </row>
    <row r="58291" spans="31:31">
      <c r="AE58291" s="54"/>
    </row>
    <row r="58292" spans="31:31">
      <c r="AE58292" s="54"/>
    </row>
    <row r="58293" spans="31:31">
      <c r="AE58293" s="54"/>
    </row>
    <row r="58294" spans="31:31">
      <c r="AE58294" s="54"/>
    </row>
    <row r="58295" spans="31:31">
      <c r="AE58295" s="54"/>
    </row>
    <row r="58296" spans="31:31">
      <c r="AE58296" s="54"/>
    </row>
    <row r="58297" spans="31:31">
      <c r="AE58297" s="54"/>
    </row>
    <row r="58298" spans="31:31">
      <c r="AE58298" s="54"/>
    </row>
    <row r="58299" spans="31:31">
      <c r="AE58299" s="54"/>
    </row>
    <row r="58300" spans="31:31">
      <c r="AE58300" s="54"/>
    </row>
    <row r="58301" spans="31:31">
      <c r="AE58301" s="54"/>
    </row>
    <row r="58302" spans="31:31">
      <c r="AE58302" s="54"/>
    </row>
    <row r="58303" spans="31:31">
      <c r="AE58303" s="54"/>
    </row>
    <row r="58304" spans="31:31">
      <c r="AE58304" s="54"/>
    </row>
    <row r="58305" spans="31:31">
      <c r="AE58305" s="54"/>
    </row>
    <row r="58306" spans="31:31">
      <c r="AE58306" s="54"/>
    </row>
    <row r="58307" spans="31:31">
      <c r="AE58307" s="54"/>
    </row>
    <row r="58308" spans="31:31">
      <c r="AE58308" s="54"/>
    </row>
    <row r="58309" spans="31:31">
      <c r="AE58309" s="54"/>
    </row>
    <row r="58310" spans="31:31">
      <c r="AE58310" s="54"/>
    </row>
    <row r="58311" spans="31:31">
      <c r="AE58311" s="54"/>
    </row>
    <row r="58312" spans="31:31">
      <c r="AE58312" s="54"/>
    </row>
    <row r="58313" spans="31:31">
      <c r="AE58313" s="54"/>
    </row>
    <row r="58314" spans="31:31">
      <c r="AE58314" s="54"/>
    </row>
    <row r="58315" spans="31:31">
      <c r="AE58315" s="54"/>
    </row>
    <row r="58316" spans="31:31">
      <c r="AE58316" s="54"/>
    </row>
    <row r="58317" spans="31:31">
      <c r="AE58317" s="54"/>
    </row>
    <row r="58318" spans="31:31">
      <c r="AE58318" s="54"/>
    </row>
    <row r="58319" spans="31:31">
      <c r="AE58319" s="54"/>
    </row>
    <row r="58320" spans="31:31">
      <c r="AE58320" s="54"/>
    </row>
    <row r="58321" spans="31:31">
      <c r="AE58321" s="54"/>
    </row>
    <row r="58322" spans="31:31">
      <c r="AE58322" s="54"/>
    </row>
    <row r="58323" spans="31:31">
      <c r="AE58323" s="54"/>
    </row>
    <row r="58324" spans="31:31">
      <c r="AE58324" s="54"/>
    </row>
    <row r="58325" spans="31:31">
      <c r="AE58325" s="54"/>
    </row>
    <row r="58326" spans="31:31">
      <c r="AE58326" s="54"/>
    </row>
    <row r="58327" spans="31:31">
      <c r="AE58327" s="54"/>
    </row>
    <row r="58328" spans="31:31">
      <c r="AE58328" s="54"/>
    </row>
    <row r="58329" spans="31:31">
      <c r="AE58329" s="54"/>
    </row>
    <row r="58330" spans="31:31">
      <c r="AE58330" s="54"/>
    </row>
    <row r="58331" spans="31:31">
      <c r="AE58331" s="54"/>
    </row>
    <row r="58332" spans="31:31">
      <c r="AE58332" s="54"/>
    </row>
    <row r="58333" spans="31:31">
      <c r="AE58333" s="54"/>
    </row>
    <row r="58334" spans="31:31">
      <c r="AE58334" s="54"/>
    </row>
    <row r="58335" spans="31:31">
      <c r="AE58335" s="54"/>
    </row>
    <row r="58336" spans="31:31">
      <c r="AE58336" s="54"/>
    </row>
    <row r="58337" spans="31:31">
      <c r="AE58337" s="54"/>
    </row>
    <row r="58338" spans="31:31">
      <c r="AE58338" s="54"/>
    </row>
    <row r="58339" spans="31:31">
      <c r="AE58339" s="54"/>
    </row>
    <row r="58340" spans="31:31">
      <c r="AE58340" s="54"/>
    </row>
    <row r="58341" spans="31:31">
      <c r="AE58341" s="54"/>
    </row>
    <row r="58342" spans="31:31">
      <c r="AE58342" s="54"/>
    </row>
    <row r="58343" spans="31:31">
      <c r="AE58343" s="54"/>
    </row>
    <row r="58344" spans="31:31">
      <c r="AE58344" s="54"/>
    </row>
    <row r="58345" spans="31:31">
      <c r="AE58345" s="54"/>
    </row>
    <row r="58346" spans="31:31">
      <c r="AE58346" s="54"/>
    </row>
    <row r="58347" spans="31:31">
      <c r="AE58347" s="54"/>
    </row>
    <row r="58348" spans="31:31">
      <c r="AE58348" s="54"/>
    </row>
    <row r="58349" spans="31:31">
      <c r="AE58349" s="54"/>
    </row>
    <row r="58350" spans="31:31">
      <c r="AE58350" s="54"/>
    </row>
    <row r="58351" spans="31:31">
      <c r="AE58351" s="54"/>
    </row>
    <row r="58352" spans="31:31">
      <c r="AE58352" s="54"/>
    </row>
    <row r="58353" spans="31:31">
      <c r="AE58353" s="54"/>
    </row>
    <row r="58354" spans="31:31">
      <c r="AE58354" s="54"/>
    </row>
    <row r="58355" spans="31:31">
      <c r="AE58355" s="54"/>
    </row>
    <row r="58356" spans="31:31">
      <c r="AE58356" s="54"/>
    </row>
    <row r="58357" spans="31:31">
      <c r="AE58357" s="54"/>
    </row>
    <row r="58358" spans="31:31">
      <c r="AE58358" s="54"/>
    </row>
    <row r="58359" spans="31:31">
      <c r="AE58359" s="54"/>
    </row>
    <row r="58360" spans="31:31">
      <c r="AE58360" s="54"/>
    </row>
    <row r="58361" spans="31:31">
      <c r="AE58361" s="54"/>
    </row>
    <row r="58362" spans="31:31">
      <c r="AE58362" s="54"/>
    </row>
    <row r="58363" spans="31:31">
      <c r="AE58363" s="54"/>
    </row>
    <row r="58364" spans="31:31">
      <c r="AE58364" s="54"/>
    </row>
    <row r="58365" spans="31:31">
      <c r="AE58365" s="54"/>
    </row>
    <row r="58366" spans="31:31">
      <c r="AE58366" s="54"/>
    </row>
    <row r="58367" spans="31:31">
      <c r="AE58367" s="54"/>
    </row>
    <row r="58368" spans="31:31">
      <c r="AE58368" s="54"/>
    </row>
    <row r="58369" spans="31:31">
      <c r="AE58369" s="54"/>
    </row>
    <row r="58370" spans="31:31">
      <c r="AE58370" s="54"/>
    </row>
    <row r="58371" spans="31:31">
      <c r="AE58371" s="54"/>
    </row>
    <row r="58372" spans="31:31">
      <c r="AE58372" s="54"/>
    </row>
    <row r="58373" spans="31:31">
      <c r="AE58373" s="54"/>
    </row>
    <row r="58374" spans="31:31">
      <c r="AE58374" s="54"/>
    </row>
    <row r="58375" spans="31:31">
      <c r="AE58375" s="54"/>
    </row>
    <row r="58376" spans="31:31">
      <c r="AE58376" s="54"/>
    </row>
    <row r="58377" spans="31:31">
      <c r="AE58377" s="54"/>
    </row>
    <row r="58378" spans="31:31">
      <c r="AE58378" s="54"/>
    </row>
    <row r="58379" spans="31:31">
      <c r="AE58379" s="54"/>
    </row>
    <row r="58380" spans="31:31">
      <c r="AE58380" s="54"/>
    </row>
    <row r="58381" spans="31:31">
      <c r="AE58381" s="54"/>
    </row>
    <row r="58382" spans="31:31">
      <c r="AE58382" s="54"/>
    </row>
    <row r="58383" spans="31:31">
      <c r="AE58383" s="54"/>
    </row>
    <row r="58384" spans="31:31">
      <c r="AE58384" s="54"/>
    </row>
    <row r="58385" spans="31:31">
      <c r="AE58385" s="54"/>
    </row>
    <row r="58386" spans="31:31">
      <c r="AE58386" s="54"/>
    </row>
    <row r="58387" spans="31:31">
      <c r="AE58387" s="54"/>
    </row>
    <row r="58388" spans="31:31">
      <c r="AE58388" s="54"/>
    </row>
    <row r="58389" spans="31:31">
      <c r="AE58389" s="54"/>
    </row>
    <row r="58390" spans="31:31">
      <c r="AE58390" s="54"/>
    </row>
    <row r="58391" spans="31:31">
      <c r="AE58391" s="54"/>
    </row>
    <row r="58392" spans="31:31">
      <c r="AE58392" s="54"/>
    </row>
    <row r="58393" spans="31:31">
      <c r="AE58393" s="54"/>
    </row>
    <row r="58394" spans="31:31">
      <c r="AE58394" s="54"/>
    </row>
    <row r="58395" spans="31:31">
      <c r="AE58395" s="54"/>
    </row>
    <row r="58396" spans="31:31">
      <c r="AE58396" s="54"/>
    </row>
    <row r="58397" spans="31:31">
      <c r="AE58397" s="54"/>
    </row>
    <row r="58398" spans="31:31">
      <c r="AE58398" s="54"/>
    </row>
    <row r="58399" spans="31:31">
      <c r="AE58399" s="54"/>
    </row>
    <row r="58400" spans="31:31">
      <c r="AE58400" s="54"/>
    </row>
    <row r="58401" spans="31:31">
      <c r="AE58401" s="54"/>
    </row>
    <row r="58402" spans="31:31">
      <c r="AE58402" s="54"/>
    </row>
    <row r="58403" spans="31:31">
      <c r="AE58403" s="54"/>
    </row>
    <row r="58404" spans="31:31">
      <c r="AE58404" s="54"/>
    </row>
    <row r="58405" spans="31:31">
      <c r="AE58405" s="54"/>
    </row>
    <row r="58406" spans="31:31">
      <c r="AE58406" s="54"/>
    </row>
    <row r="58407" spans="31:31">
      <c r="AE58407" s="54"/>
    </row>
    <row r="58408" spans="31:31">
      <c r="AE58408" s="54"/>
    </row>
    <row r="58409" spans="31:31">
      <c r="AE58409" s="54"/>
    </row>
    <row r="58410" spans="31:31">
      <c r="AE58410" s="54"/>
    </row>
    <row r="58411" spans="31:31">
      <c r="AE58411" s="54"/>
    </row>
    <row r="58412" spans="31:31">
      <c r="AE58412" s="54"/>
    </row>
    <row r="58413" spans="31:31">
      <c r="AE58413" s="54"/>
    </row>
    <row r="58414" spans="31:31">
      <c r="AE58414" s="54"/>
    </row>
    <row r="58415" spans="31:31">
      <c r="AE58415" s="54"/>
    </row>
    <row r="58416" spans="31:31">
      <c r="AE58416" s="54"/>
    </row>
    <row r="58417" spans="31:31">
      <c r="AE58417" s="54"/>
    </row>
    <row r="58418" spans="31:31">
      <c r="AE58418" s="54"/>
    </row>
    <row r="58419" spans="31:31">
      <c r="AE58419" s="54"/>
    </row>
    <row r="58420" spans="31:31">
      <c r="AE58420" s="54"/>
    </row>
    <row r="58421" spans="31:31">
      <c r="AE58421" s="54"/>
    </row>
    <row r="58422" spans="31:31">
      <c r="AE58422" s="54"/>
    </row>
    <row r="58423" spans="31:31">
      <c r="AE58423" s="54"/>
    </row>
    <row r="58424" spans="31:31">
      <c r="AE58424" s="54"/>
    </row>
    <row r="58425" spans="31:31">
      <c r="AE58425" s="54"/>
    </row>
    <row r="58426" spans="31:31">
      <c r="AE58426" s="54"/>
    </row>
    <row r="58427" spans="31:31">
      <c r="AE58427" s="54"/>
    </row>
    <row r="58428" spans="31:31">
      <c r="AE58428" s="54"/>
    </row>
    <row r="58429" spans="31:31">
      <c r="AE58429" s="54"/>
    </row>
    <row r="58430" spans="31:31">
      <c r="AE58430" s="54"/>
    </row>
    <row r="58431" spans="31:31">
      <c r="AE58431" s="54"/>
    </row>
    <row r="58432" spans="31:31">
      <c r="AE58432" s="54"/>
    </row>
    <row r="58433" spans="31:31">
      <c r="AE58433" s="54"/>
    </row>
    <row r="58434" spans="31:31">
      <c r="AE58434" s="54"/>
    </row>
    <row r="58435" spans="31:31">
      <c r="AE58435" s="54"/>
    </row>
    <row r="58436" spans="31:31">
      <c r="AE58436" s="54"/>
    </row>
    <row r="58437" spans="31:31">
      <c r="AE58437" s="54"/>
    </row>
    <row r="58438" spans="31:31">
      <c r="AE58438" s="54"/>
    </row>
    <row r="58439" spans="31:31">
      <c r="AE58439" s="54"/>
    </row>
    <row r="58440" spans="31:31">
      <c r="AE58440" s="54"/>
    </row>
    <row r="58441" spans="31:31">
      <c r="AE58441" s="54"/>
    </row>
    <row r="58442" spans="31:31">
      <c r="AE58442" s="54"/>
    </row>
    <row r="58443" spans="31:31">
      <c r="AE58443" s="54"/>
    </row>
    <row r="58444" spans="31:31">
      <c r="AE58444" s="54"/>
    </row>
    <row r="58445" spans="31:31">
      <c r="AE58445" s="54"/>
    </row>
    <row r="58446" spans="31:31">
      <c r="AE58446" s="54"/>
    </row>
    <row r="58447" spans="31:31">
      <c r="AE58447" s="54"/>
    </row>
    <row r="58448" spans="31:31">
      <c r="AE58448" s="54"/>
    </row>
    <row r="58449" spans="31:31">
      <c r="AE58449" s="54"/>
    </row>
    <row r="58450" spans="31:31">
      <c r="AE58450" s="54"/>
    </row>
    <row r="58451" spans="31:31">
      <c r="AE58451" s="54"/>
    </row>
    <row r="58452" spans="31:31">
      <c r="AE58452" s="54"/>
    </row>
    <row r="58453" spans="31:31">
      <c r="AE58453" s="54"/>
    </row>
    <row r="58454" spans="31:31">
      <c r="AE58454" s="54"/>
    </row>
    <row r="58455" spans="31:31">
      <c r="AE58455" s="54"/>
    </row>
    <row r="58456" spans="31:31">
      <c r="AE58456" s="54"/>
    </row>
    <row r="58457" spans="31:31">
      <c r="AE58457" s="54"/>
    </row>
    <row r="58458" spans="31:31">
      <c r="AE58458" s="54"/>
    </row>
    <row r="58459" spans="31:31">
      <c r="AE58459" s="54"/>
    </row>
    <row r="58460" spans="31:31">
      <c r="AE58460" s="54"/>
    </row>
    <row r="58461" spans="31:31">
      <c r="AE58461" s="54"/>
    </row>
    <row r="58462" spans="31:31">
      <c r="AE58462" s="54"/>
    </row>
    <row r="58463" spans="31:31">
      <c r="AE58463" s="54"/>
    </row>
    <row r="58464" spans="31:31">
      <c r="AE58464" s="54"/>
    </row>
    <row r="58465" spans="31:31">
      <c r="AE58465" s="54"/>
    </row>
    <row r="58466" spans="31:31">
      <c r="AE58466" s="54"/>
    </row>
    <row r="58467" spans="31:31">
      <c r="AE58467" s="54"/>
    </row>
    <row r="58468" spans="31:31">
      <c r="AE58468" s="54"/>
    </row>
    <row r="58469" spans="31:31">
      <c r="AE58469" s="54"/>
    </row>
    <row r="58470" spans="31:31">
      <c r="AE58470" s="54"/>
    </row>
    <row r="58471" spans="31:31">
      <c r="AE58471" s="54"/>
    </row>
    <row r="58472" spans="31:31">
      <c r="AE58472" s="54"/>
    </row>
    <row r="58473" spans="31:31">
      <c r="AE58473" s="54"/>
    </row>
    <row r="58474" spans="31:31">
      <c r="AE58474" s="54"/>
    </row>
    <row r="58475" spans="31:31">
      <c r="AE58475" s="54"/>
    </row>
    <row r="58476" spans="31:31">
      <c r="AE58476" s="54"/>
    </row>
    <row r="58477" spans="31:31">
      <c r="AE58477" s="54"/>
    </row>
    <row r="58478" spans="31:31">
      <c r="AE58478" s="54"/>
    </row>
    <row r="58479" spans="31:31">
      <c r="AE58479" s="54"/>
    </row>
    <row r="58480" spans="31:31">
      <c r="AE58480" s="54"/>
    </row>
    <row r="58481" spans="31:31">
      <c r="AE58481" s="54"/>
    </row>
    <row r="58482" spans="31:31">
      <c r="AE58482" s="54"/>
    </row>
    <row r="58483" spans="31:31">
      <c r="AE58483" s="54"/>
    </row>
    <row r="58484" spans="31:31">
      <c r="AE58484" s="54"/>
    </row>
    <row r="58485" spans="31:31">
      <c r="AE58485" s="54"/>
    </row>
    <row r="58486" spans="31:31">
      <c r="AE58486" s="54"/>
    </row>
    <row r="58487" spans="31:31">
      <c r="AE58487" s="54"/>
    </row>
    <row r="58488" spans="31:31">
      <c r="AE58488" s="54"/>
    </row>
    <row r="58489" spans="31:31">
      <c r="AE58489" s="54"/>
    </row>
    <row r="58490" spans="31:31">
      <c r="AE58490" s="54"/>
    </row>
    <row r="58491" spans="31:31">
      <c r="AE58491" s="54"/>
    </row>
    <row r="58492" spans="31:31">
      <c r="AE58492" s="54"/>
    </row>
    <row r="58493" spans="31:31">
      <c r="AE58493" s="54"/>
    </row>
    <row r="58494" spans="31:31">
      <c r="AE58494" s="54"/>
    </row>
    <row r="58495" spans="31:31">
      <c r="AE58495" s="54"/>
    </row>
    <row r="58496" spans="31:31">
      <c r="AE58496" s="54"/>
    </row>
    <row r="58497" spans="31:31">
      <c r="AE58497" s="54"/>
    </row>
    <row r="58498" spans="31:31">
      <c r="AE58498" s="54"/>
    </row>
    <row r="58499" spans="31:31">
      <c r="AE58499" s="54"/>
    </row>
    <row r="58500" spans="31:31">
      <c r="AE58500" s="54"/>
    </row>
    <row r="58501" spans="31:31">
      <c r="AE58501" s="54"/>
    </row>
    <row r="58502" spans="31:31">
      <c r="AE58502" s="54"/>
    </row>
    <row r="58503" spans="31:31">
      <c r="AE58503" s="54"/>
    </row>
    <row r="58504" spans="31:31">
      <c r="AE58504" s="54"/>
    </row>
    <row r="58505" spans="31:31">
      <c r="AE58505" s="54"/>
    </row>
    <row r="58506" spans="31:31">
      <c r="AE58506" s="54"/>
    </row>
    <row r="58507" spans="31:31">
      <c r="AE58507" s="54"/>
    </row>
    <row r="58508" spans="31:31">
      <c r="AE58508" s="54"/>
    </row>
    <row r="58509" spans="31:31">
      <c r="AE58509" s="54"/>
    </row>
    <row r="58510" spans="31:31">
      <c r="AE58510" s="54"/>
    </row>
    <row r="58511" spans="31:31">
      <c r="AE58511" s="54"/>
    </row>
    <row r="58512" spans="31:31">
      <c r="AE58512" s="54"/>
    </row>
    <row r="58513" spans="31:31">
      <c r="AE58513" s="54"/>
    </row>
    <row r="58514" spans="31:31">
      <c r="AE58514" s="54"/>
    </row>
    <row r="58515" spans="31:31">
      <c r="AE58515" s="54"/>
    </row>
    <row r="58516" spans="31:31">
      <c r="AE58516" s="54"/>
    </row>
    <row r="58517" spans="31:31">
      <c r="AE58517" s="54"/>
    </row>
    <row r="58518" spans="31:31">
      <c r="AE58518" s="54"/>
    </row>
    <row r="58519" spans="31:31">
      <c r="AE58519" s="54"/>
    </row>
    <row r="58520" spans="31:31">
      <c r="AE58520" s="54"/>
    </row>
    <row r="58521" spans="31:31">
      <c r="AE58521" s="54"/>
    </row>
    <row r="58522" spans="31:31">
      <c r="AE58522" s="54"/>
    </row>
    <row r="58523" spans="31:31">
      <c r="AE58523" s="54"/>
    </row>
    <row r="58524" spans="31:31">
      <c r="AE58524" s="54"/>
    </row>
    <row r="58525" spans="31:31">
      <c r="AE58525" s="54"/>
    </row>
    <row r="58526" spans="31:31">
      <c r="AE58526" s="54"/>
    </row>
    <row r="58527" spans="31:31">
      <c r="AE58527" s="54"/>
    </row>
    <row r="58528" spans="31:31">
      <c r="AE58528" s="54"/>
    </row>
    <row r="58529" spans="31:31">
      <c r="AE58529" s="54"/>
    </row>
    <row r="58530" spans="31:31">
      <c r="AE58530" s="54"/>
    </row>
    <row r="58531" spans="31:31">
      <c r="AE58531" s="54"/>
    </row>
    <row r="58532" spans="31:31">
      <c r="AE58532" s="54"/>
    </row>
    <row r="58533" spans="31:31">
      <c r="AE58533" s="54"/>
    </row>
    <row r="58534" spans="31:31">
      <c r="AE58534" s="54"/>
    </row>
    <row r="58535" spans="31:31">
      <c r="AE58535" s="54"/>
    </row>
    <row r="58536" spans="31:31">
      <c r="AE58536" s="54"/>
    </row>
    <row r="58537" spans="31:31">
      <c r="AE58537" s="54"/>
    </row>
    <row r="58538" spans="31:31">
      <c r="AE58538" s="54"/>
    </row>
    <row r="58539" spans="31:31">
      <c r="AE58539" s="54"/>
    </row>
    <row r="58540" spans="31:31">
      <c r="AE58540" s="54"/>
    </row>
    <row r="58541" spans="31:31">
      <c r="AE58541" s="54"/>
    </row>
    <row r="58542" spans="31:31">
      <c r="AE58542" s="54"/>
    </row>
    <row r="58543" spans="31:31">
      <c r="AE58543" s="54"/>
    </row>
    <row r="58544" spans="31:31">
      <c r="AE58544" s="54"/>
    </row>
    <row r="58545" spans="31:31">
      <c r="AE58545" s="54"/>
    </row>
    <row r="58546" spans="31:31">
      <c r="AE58546" s="54"/>
    </row>
    <row r="58547" spans="31:31">
      <c r="AE58547" s="54"/>
    </row>
    <row r="58548" spans="31:31">
      <c r="AE58548" s="54"/>
    </row>
    <row r="58549" spans="31:31">
      <c r="AE58549" s="54"/>
    </row>
    <row r="58550" spans="31:31">
      <c r="AE58550" s="54"/>
    </row>
    <row r="58551" spans="31:31">
      <c r="AE58551" s="54"/>
    </row>
    <row r="58552" spans="31:31">
      <c r="AE58552" s="54"/>
    </row>
    <row r="58553" spans="31:31">
      <c r="AE58553" s="54"/>
    </row>
    <row r="58554" spans="31:31">
      <c r="AE58554" s="54"/>
    </row>
    <row r="58555" spans="31:31">
      <c r="AE58555" s="54"/>
    </row>
    <row r="58556" spans="31:31">
      <c r="AE58556" s="54"/>
    </row>
    <row r="58557" spans="31:31">
      <c r="AE58557" s="54"/>
    </row>
    <row r="58558" spans="31:31">
      <c r="AE58558" s="54"/>
    </row>
    <row r="58559" spans="31:31">
      <c r="AE58559" s="54"/>
    </row>
    <row r="58560" spans="31:31">
      <c r="AE58560" s="54"/>
    </row>
    <row r="58561" spans="31:31">
      <c r="AE58561" s="54"/>
    </row>
    <row r="58562" spans="31:31">
      <c r="AE58562" s="54"/>
    </row>
    <row r="58563" spans="31:31">
      <c r="AE58563" s="54"/>
    </row>
    <row r="58564" spans="31:31">
      <c r="AE58564" s="54"/>
    </row>
    <row r="58565" spans="31:31">
      <c r="AE58565" s="54"/>
    </row>
    <row r="58566" spans="31:31">
      <c r="AE58566" s="54"/>
    </row>
    <row r="58567" spans="31:31">
      <c r="AE58567" s="54"/>
    </row>
    <row r="58568" spans="31:31">
      <c r="AE58568" s="54"/>
    </row>
    <row r="58569" spans="31:31">
      <c r="AE58569" s="54"/>
    </row>
    <row r="58570" spans="31:31">
      <c r="AE58570" s="54"/>
    </row>
    <row r="58571" spans="31:31">
      <c r="AE58571" s="54"/>
    </row>
    <row r="58572" spans="31:31">
      <c r="AE58572" s="54"/>
    </row>
    <row r="58573" spans="31:31">
      <c r="AE58573" s="54"/>
    </row>
    <row r="58574" spans="31:31">
      <c r="AE58574" s="54"/>
    </row>
    <row r="58575" spans="31:31">
      <c r="AE58575" s="54"/>
    </row>
    <row r="58576" spans="31:31">
      <c r="AE58576" s="54"/>
    </row>
    <row r="58577" spans="31:31">
      <c r="AE58577" s="54"/>
    </row>
    <row r="58578" spans="31:31">
      <c r="AE58578" s="54"/>
    </row>
    <row r="58579" spans="31:31">
      <c r="AE58579" s="54"/>
    </row>
    <row r="58580" spans="31:31">
      <c r="AE58580" s="54"/>
    </row>
    <row r="58581" spans="31:31">
      <c r="AE58581" s="54"/>
    </row>
    <row r="58582" spans="31:31">
      <c r="AE58582" s="54"/>
    </row>
    <row r="58583" spans="31:31">
      <c r="AE58583" s="54"/>
    </row>
    <row r="58584" spans="31:31">
      <c r="AE58584" s="54"/>
    </row>
    <row r="58585" spans="31:31">
      <c r="AE58585" s="54"/>
    </row>
    <row r="58586" spans="31:31">
      <c r="AE58586" s="54"/>
    </row>
    <row r="58587" spans="31:31">
      <c r="AE58587" s="54"/>
    </row>
    <row r="58588" spans="31:31">
      <c r="AE58588" s="54"/>
    </row>
    <row r="58589" spans="31:31">
      <c r="AE58589" s="54"/>
    </row>
    <row r="58590" spans="31:31">
      <c r="AE58590" s="54"/>
    </row>
    <row r="58591" spans="31:31">
      <c r="AE58591" s="54"/>
    </row>
    <row r="58592" spans="31:31">
      <c r="AE58592" s="54"/>
    </row>
    <row r="58593" spans="31:31">
      <c r="AE58593" s="54"/>
    </row>
    <row r="58594" spans="31:31">
      <c r="AE58594" s="54"/>
    </row>
    <row r="58595" spans="31:31">
      <c r="AE58595" s="54"/>
    </row>
    <row r="58596" spans="31:31">
      <c r="AE58596" s="54"/>
    </row>
    <row r="58597" spans="31:31">
      <c r="AE58597" s="54"/>
    </row>
    <row r="58598" spans="31:31">
      <c r="AE58598" s="54"/>
    </row>
    <row r="58599" spans="31:31">
      <c r="AE58599" s="54"/>
    </row>
    <row r="58600" spans="31:31">
      <c r="AE58600" s="54"/>
    </row>
    <row r="58601" spans="31:31">
      <c r="AE58601" s="54"/>
    </row>
    <row r="58602" spans="31:31">
      <c r="AE58602" s="54"/>
    </row>
    <row r="58603" spans="31:31">
      <c r="AE58603" s="54"/>
    </row>
    <row r="58604" spans="31:31">
      <c r="AE58604" s="54"/>
    </row>
    <row r="58605" spans="31:31">
      <c r="AE58605" s="54"/>
    </row>
    <row r="58606" spans="31:31">
      <c r="AE58606" s="54"/>
    </row>
    <row r="58607" spans="31:31">
      <c r="AE58607" s="54"/>
    </row>
    <row r="58608" spans="31:31">
      <c r="AE58608" s="54"/>
    </row>
    <row r="58609" spans="31:31">
      <c r="AE58609" s="54"/>
    </row>
    <row r="58610" spans="31:31">
      <c r="AE58610" s="54"/>
    </row>
    <row r="58611" spans="31:31">
      <c r="AE58611" s="54"/>
    </row>
    <row r="58612" spans="31:31">
      <c r="AE58612" s="54"/>
    </row>
    <row r="58613" spans="31:31">
      <c r="AE58613" s="54"/>
    </row>
    <row r="58614" spans="31:31">
      <c r="AE58614" s="54"/>
    </row>
    <row r="58615" spans="31:31">
      <c r="AE58615" s="54"/>
    </row>
    <row r="58616" spans="31:31">
      <c r="AE58616" s="54"/>
    </row>
    <row r="58617" spans="31:31">
      <c r="AE58617" s="54"/>
    </row>
    <row r="58618" spans="31:31">
      <c r="AE58618" s="54"/>
    </row>
    <row r="58619" spans="31:31">
      <c r="AE58619" s="54"/>
    </row>
    <row r="58620" spans="31:31">
      <c r="AE58620" s="54"/>
    </row>
    <row r="58621" spans="31:31">
      <c r="AE58621" s="54"/>
    </row>
    <row r="58622" spans="31:31">
      <c r="AE58622" s="54"/>
    </row>
    <row r="58623" spans="31:31">
      <c r="AE58623" s="54"/>
    </row>
    <row r="58624" spans="31:31">
      <c r="AE58624" s="54"/>
    </row>
    <row r="58625" spans="31:31">
      <c r="AE58625" s="54"/>
    </row>
    <row r="58626" spans="31:31">
      <c r="AE58626" s="54"/>
    </row>
    <row r="58627" spans="31:31">
      <c r="AE58627" s="54"/>
    </row>
    <row r="58628" spans="31:31">
      <c r="AE58628" s="54"/>
    </row>
    <row r="58629" spans="31:31">
      <c r="AE58629" s="54"/>
    </row>
    <row r="58630" spans="31:31">
      <c r="AE58630" s="54"/>
    </row>
    <row r="58631" spans="31:31">
      <c r="AE58631" s="54"/>
    </row>
    <row r="58632" spans="31:31">
      <c r="AE58632" s="54"/>
    </row>
    <row r="58633" spans="31:31">
      <c r="AE58633" s="54"/>
    </row>
    <row r="58634" spans="31:31">
      <c r="AE58634" s="54"/>
    </row>
    <row r="58635" spans="31:31">
      <c r="AE58635" s="54"/>
    </row>
    <row r="58636" spans="31:31">
      <c r="AE58636" s="54"/>
    </row>
    <row r="58637" spans="31:31">
      <c r="AE58637" s="54"/>
    </row>
    <row r="58638" spans="31:31">
      <c r="AE58638" s="54"/>
    </row>
    <row r="58639" spans="31:31">
      <c r="AE58639" s="54"/>
    </row>
    <row r="58640" spans="31:31">
      <c r="AE58640" s="54"/>
    </row>
    <row r="58641" spans="31:31">
      <c r="AE58641" s="54"/>
    </row>
    <row r="58642" spans="31:31">
      <c r="AE58642" s="54"/>
    </row>
    <row r="58643" spans="31:31">
      <c r="AE58643" s="54"/>
    </row>
    <row r="58644" spans="31:31">
      <c r="AE58644" s="54"/>
    </row>
    <row r="58645" spans="31:31">
      <c r="AE58645" s="54"/>
    </row>
    <row r="58646" spans="31:31">
      <c r="AE58646" s="54"/>
    </row>
    <row r="58647" spans="31:31">
      <c r="AE58647" s="54"/>
    </row>
    <row r="58648" spans="31:31">
      <c r="AE58648" s="54"/>
    </row>
    <row r="58649" spans="31:31">
      <c r="AE58649" s="54"/>
    </row>
    <row r="58650" spans="31:31">
      <c r="AE58650" s="54"/>
    </row>
    <row r="58651" spans="31:31">
      <c r="AE58651" s="54"/>
    </row>
    <row r="58652" spans="31:31">
      <c r="AE58652" s="54"/>
    </row>
    <row r="58653" spans="31:31">
      <c r="AE58653" s="54"/>
    </row>
    <row r="58654" spans="31:31">
      <c r="AE58654" s="54"/>
    </row>
    <row r="58655" spans="31:31">
      <c r="AE58655" s="54"/>
    </row>
    <row r="58656" spans="31:31">
      <c r="AE58656" s="54"/>
    </row>
    <row r="58657" spans="31:31">
      <c r="AE58657" s="54"/>
    </row>
    <row r="58658" spans="31:31">
      <c r="AE58658" s="54"/>
    </row>
    <row r="58659" spans="31:31">
      <c r="AE58659" s="54"/>
    </row>
    <row r="58660" spans="31:31">
      <c r="AE58660" s="54"/>
    </row>
    <row r="58661" spans="31:31">
      <c r="AE58661" s="54"/>
    </row>
    <row r="58662" spans="31:31">
      <c r="AE58662" s="54"/>
    </row>
    <row r="58663" spans="31:31">
      <c r="AE58663" s="54"/>
    </row>
    <row r="58664" spans="31:31">
      <c r="AE58664" s="54"/>
    </row>
    <row r="58665" spans="31:31">
      <c r="AE58665" s="54"/>
    </row>
    <row r="58666" spans="31:31">
      <c r="AE58666" s="54"/>
    </row>
    <row r="58667" spans="31:31">
      <c r="AE58667" s="54"/>
    </row>
    <row r="58668" spans="31:31">
      <c r="AE58668" s="54"/>
    </row>
    <row r="58669" spans="31:31">
      <c r="AE58669" s="54"/>
    </row>
    <row r="58670" spans="31:31">
      <c r="AE58670" s="54"/>
    </row>
    <row r="58671" spans="31:31">
      <c r="AE58671" s="54"/>
    </row>
    <row r="58672" spans="31:31">
      <c r="AE58672" s="54"/>
    </row>
    <row r="58673" spans="31:31">
      <c r="AE58673" s="54"/>
    </row>
    <row r="58674" spans="31:31">
      <c r="AE58674" s="54"/>
    </row>
    <row r="58675" spans="31:31">
      <c r="AE58675" s="54"/>
    </row>
    <row r="58676" spans="31:31">
      <c r="AE58676" s="54"/>
    </row>
    <row r="58677" spans="31:31">
      <c r="AE58677" s="54"/>
    </row>
    <row r="58678" spans="31:31">
      <c r="AE58678" s="54"/>
    </row>
    <row r="58679" spans="31:31">
      <c r="AE58679" s="54"/>
    </row>
    <row r="58680" spans="31:31">
      <c r="AE58680" s="54"/>
    </row>
    <row r="58681" spans="31:31">
      <c r="AE58681" s="54"/>
    </row>
    <row r="58682" spans="31:31">
      <c r="AE58682" s="54"/>
    </row>
    <row r="58683" spans="31:31">
      <c r="AE58683" s="54"/>
    </row>
    <row r="58684" spans="31:31">
      <c r="AE58684" s="54"/>
    </row>
    <row r="58685" spans="31:31">
      <c r="AE58685" s="54"/>
    </row>
    <row r="58686" spans="31:31">
      <c r="AE58686" s="54"/>
    </row>
    <row r="58687" spans="31:31">
      <c r="AE58687" s="54"/>
    </row>
    <row r="58688" spans="31:31">
      <c r="AE58688" s="54"/>
    </row>
    <row r="58689" spans="31:31">
      <c r="AE58689" s="54"/>
    </row>
    <row r="58690" spans="31:31">
      <c r="AE58690" s="54"/>
    </row>
    <row r="58691" spans="31:31">
      <c r="AE58691" s="54"/>
    </row>
    <row r="58692" spans="31:31">
      <c r="AE58692" s="54"/>
    </row>
    <row r="58693" spans="31:31">
      <c r="AE58693" s="54"/>
    </row>
    <row r="58694" spans="31:31">
      <c r="AE58694" s="54"/>
    </row>
    <row r="58695" spans="31:31">
      <c r="AE58695" s="54"/>
    </row>
    <row r="58696" spans="31:31">
      <c r="AE58696" s="54"/>
    </row>
    <row r="58697" spans="31:31">
      <c r="AE58697" s="54"/>
    </row>
    <row r="58698" spans="31:31">
      <c r="AE58698" s="54"/>
    </row>
    <row r="58699" spans="31:31">
      <c r="AE58699" s="54"/>
    </row>
    <row r="58700" spans="31:31">
      <c r="AE58700" s="54"/>
    </row>
    <row r="58701" spans="31:31">
      <c r="AE58701" s="54"/>
    </row>
    <row r="58702" spans="31:31">
      <c r="AE58702" s="54"/>
    </row>
    <row r="58703" spans="31:31">
      <c r="AE58703" s="54"/>
    </row>
    <row r="58704" spans="31:31">
      <c r="AE58704" s="54"/>
    </row>
    <row r="58705" spans="31:31">
      <c r="AE58705" s="54"/>
    </row>
    <row r="58706" spans="31:31">
      <c r="AE58706" s="54"/>
    </row>
    <row r="58707" spans="31:31">
      <c r="AE58707" s="54"/>
    </row>
    <row r="58708" spans="31:31">
      <c r="AE58708" s="54"/>
    </row>
    <row r="58709" spans="31:31">
      <c r="AE58709" s="54"/>
    </row>
    <row r="58710" spans="31:31">
      <c r="AE58710" s="54"/>
    </row>
    <row r="58711" spans="31:31">
      <c r="AE58711" s="54"/>
    </row>
    <row r="58712" spans="31:31">
      <c r="AE58712" s="54"/>
    </row>
    <row r="58713" spans="31:31">
      <c r="AE58713" s="54"/>
    </row>
    <row r="58714" spans="31:31">
      <c r="AE58714" s="54"/>
    </row>
    <row r="58715" spans="31:31">
      <c r="AE58715" s="54"/>
    </row>
    <row r="58716" spans="31:31">
      <c r="AE58716" s="54"/>
    </row>
    <row r="58717" spans="31:31">
      <c r="AE58717" s="54"/>
    </row>
    <row r="58718" spans="31:31">
      <c r="AE58718" s="54"/>
    </row>
    <row r="58719" spans="31:31">
      <c r="AE58719" s="54"/>
    </row>
    <row r="58720" spans="31:31">
      <c r="AE58720" s="54"/>
    </row>
    <row r="58721" spans="31:31">
      <c r="AE58721" s="54"/>
    </row>
    <row r="58722" spans="31:31">
      <c r="AE58722" s="54"/>
    </row>
    <row r="58723" spans="31:31">
      <c r="AE58723" s="54"/>
    </row>
    <row r="58724" spans="31:31">
      <c r="AE58724" s="54"/>
    </row>
    <row r="58725" spans="31:31">
      <c r="AE58725" s="54"/>
    </row>
    <row r="58726" spans="31:31">
      <c r="AE58726" s="54"/>
    </row>
    <row r="58727" spans="31:31">
      <c r="AE58727" s="54"/>
    </row>
    <row r="58728" spans="31:31">
      <c r="AE58728" s="54"/>
    </row>
    <row r="58729" spans="31:31">
      <c r="AE58729" s="54"/>
    </row>
    <row r="58730" spans="31:31">
      <c r="AE58730" s="54"/>
    </row>
    <row r="58731" spans="31:31">
      <c r="AE58731" s="54"/>
    </row>
    <row r="58732" spans="31:31">
      <c r="AE58732" s="54"/>
    </row>
    <row r="58733" spans="31:31">
      <c r="AE58733" s="54"/>
    </row>
    <row r="58734" spans="31:31">
      <c r="AE58734" s="54"/>
    </row>
    <row r="58735" spans="31:31">
      <c r="AE58735" s="54"/>
    </row>
    <row r="58736" spans="31:31">
      <c r="AE58736" s="54"/>
    </row>
    <row r="58737" spans="31:31">
      <c r="AE58737" s="54"/>
    </row>
    <row r="58738" spans="31:31">
      <c r="AE58738" s="54"/>
    </row>
    <row r="58739" spans="31:31">
      <c r="AE58739" s="54"/>
    </row>
    <row r="58740" spans="31:31">
      <c r="AE58740" s="54"/>
    </row>
    <row r="58741" spans="31:31">
      <c r="AE58741" s="54"/>
    </row>
    <row r="58742" spans="31:31">
      <c r="AE58742" s="54"/>
    </row>
    <row r="58743" spans="31:31">
      <c r="AE58743" s="54"/>
    </row>
    <row r="58744" spans="31:31">
      <c r="AE58744" s="54"/>
    </row>
    <row r="58745" spans="31:31">
      <c r="AE58745" s="54"/>
    </row>
    <row r="58746" spans="31:31">
      <c r="AE58746" s="54"/>
    </row>
    <row r="58747" spans="31:31">
      <c r="AE58747" s="54"/>
    </row>
    <row r="58748" spans="31:31">
      <c r="AE58748" s="54"/>
    </row>
    <row r="58749" spans="31:31">
      <c r="AE58749" s="54"/>
    </row>
    <row r="58750" spans="31:31">
      <c r="AE58750" s="54"/>
    </row>
    <row r="58751" spans="31:31">
      <c r="AE58751" s="54"/>
    </row>
    <row r="58752" spans="31:31">
      <c r="AE58752" s="54"/>
    </row>
    <row r="58753" spans="31:31">
      <c r="AE58753" s="54"/>
    </row>
    <row r="58754" spans="31:31">
      <c r="AE58754" s="54"/>
    </row>
    <row r="58755" spans="31:31">
      <c r="AE58755" s="54"/>
    </row>
    <row r="58756" spans="31:31">
      <c r="AE58756" s="54"/>
    </row>
    <row r="58757" spans="31:31">
      <c r="AE58757" s="54"/>
    </row>
    <row r="58758" spans="31:31">
      <c r="AE58758" s="54"/>
    </row>
    <row r="58759" spans="31:31">
      <c r="AE58759" s="54"/>
    </row>
    <row r="58760" spans="31:31">
      <c r="AE58760" s="54"/>
    </row>
    <row r="58761" spans="31:31">
      <c r="AE58761" s="54"/>
    </row>
    <row r="58762" spans="31:31">
      <c r="AE58762" s="54"/>
    </row>
    <row r="58763" spans="31:31">
      <c r="AE58763" s="54"/>
    </row>
    <row r="58764" spans="31:31">
      <c r="AE58764" s="54"/>
    </row>
    <row r="58765" spans="31:31">
      <c r="AE58765" s="54"/>
    </row>
    <row r="58766" spans="31:31">
      <c r="AE58766" s="54"/>
    </row>
    <row r="58767" spans="31:31">
      <c r="AE58767" s="54"/>
    </row>
    <row r="58768" spans="31:31">
      <c r="AE58768" s="54"/>
    </row>
    <row r="58769" spans="31:31">
      <c r="AE58769" s="54"/>
    </row>
    <row r="58770" spans="31:31">
      <c r="AE58770" s="54"/>
    </row>
    <row r="58771" spans="31:31">
      <c r="AE58771" s="54"/>
    </row>
    <row r="58772" spans="31:31">
      <c r="AE58772" s="54"/>
    </row>
    <row r="58773" spans="31:31">
      <c r="AE58773" s="54"/>
    </row>
    <row r="58774" spans="31:31">
      <c r="AE58774" s="54"/>
    </row>
    <row r="58775" spans="31:31">
      <c r="AE58775" s="54"/>
    </row>
    <row r="58776" spans="31:31">
      <c r="AE58776" s="54"/>
    </row>
    <row r="58777" spans="31:31">
      <c r="AE58777" s="54"/>
    </row>
    <row r="58778" spans="31:31">
      <c r="AE58778" s="54"/>
    </row>
    <row r="58779" spans="31:31">
      <c r="AE58779" s="54"/>
    </row>
    <row r="58780" spans="31:31">
      <c r="AE58780" s="54"/>
    </row>
    <row r="58781" spans="31:31">
      <c r="AE58781" s="54"/>
    </row>
    <row r="58782" spans="31:31">
      <c r="AE58782" s="54"/>
    </row>
    <row r="58783" spans="31:31">
      <c r="AE58783" s="54"/>
    </row>
    <row r="58784" spans="31:31">
      <c r="AE58784" s="54"/>
    </row>
    <row r="58785" spans="31:31">
      <c r="AE58785" s="54"/>
    </row>
    <row r="58786" spans="31:31">
      <c r="AE58786" s="54"/>
    </row>
    <row r="58787" spans="31:31">
      <c r="AE58787" s="54"/>
    </row>
    <row r="58788" spans="31:31">
      <c r="AE58788" s="54"/>
    </row>
    <row r="58789" spans="31:31">
      <c r="AE58789" s="54"/>
    </row>
    <row r="58790" spans="31:31">
      <c r="AE58790" s="54"/>
    </row>
    <row r="58791" spans="31:31">
      <c r="AE58791" s="54"/>
    </row>
    <row r="58792" spans="31:31">
      <c r="AE58792" s="54"/>
    </row>
    <row r="58793" spans="31:31">
      <c r="AE58793" s="54"/>
    </row>
    <row r="58794" spans="31:31">
      <c r="AE58794" s="54"/>
    </row>
    <row r="58795" spans="31:31">
      <c r="AE58795" s="54"/>
    </row>
    <row r="58796" spans="31:31">
      <c r="AE58796" s="54"/>
    </row>
    <row r="58797" spans="31:31">
      <c r="AE58797" s="54"/>
    </row>
    <row r="58798" spans="31:31">
      <c r="AE58798" s="54"/>
    </row>
    <row r="58799" spans="31:31">
      <c r="AE58799" s="54"/>
    </row>
    <row r="58800" spans="31:31">
      <c r="AE58800" s="54"/>
    </row>
    <row r="58801" spans="31:31">
      <c r="AE58801" s="54"/>
    </row>
    <row r="58802" spans="31:31">
      <c r="AE58802" s="54"/>
    </row>
    <row r="58803" spans="31:31">
      <c r="AE58803" s="54"/>
    </row>
    <row r="58804" spans="31:31">
      <c r="AE58804" s="54"/>
    </row>
    <row r="58805" spans="31:31">
      <c r="AE58805" s="54"/>
    </row>
    <row r="58806" spans="31:31">
      <c r="AE58806" s="54"/>
    </row>
    <row r="58807" spans="31:31">
      <c r="AE58807" s="54"/>
    </row>
    <row r="58808" spans="31:31">
      <c r="AE58808" s="54"/>
    </row>
    <row r="58809" spans="31:31">
      <c r="AE58809" s="54"/>
    </row>
    <row r="58810" spans="31:31">
      <c r="AE58810" s="54"/>
    </row>
    <row r="58811" spans="31:31">
      <c r="AE58811" s="54"/>
    </row>
    <row r="58812" spans="31:31">
      <c r="AE58812" s="54"/>
    </row>
    <row r="58813" spans="31:31">
      <c r="AE58813" s="54"/>
    </row>
    <row r="58814" spans="31:31">
      <c r="AE58814" s="54"/>
    </row>
    <row r="58815" spans="31:31">
      <c r="AE58815" s="54"/>
    </row>
    <row r="58816" spans="31:31">
      <c r="AE58816" s="54"/>
    </row>
    <row r="58817" spans="31:31">
      <c r="AE58817" s="54"/>
    </row>
    <row r="58818" spans="31:31">
      <c r="AE58818" s="54"/>
    </row>
    <row r="58819" spans="31:31">
      <c r="AE58819" s="54"/>
    </row>
    <row r="58820" spans="31:31">
      <c r="AE58820" s="54"/>
    </row>
    <row r="58821" spans="31:31">
      <c r="AE58821" s="54"/>
    </row>
    <row r="58822" spans="31:31">
      <c r="AE58822" s="54"/>
    </row>
    <row r="58823" spans="31:31">
      <c r="AE58823" s="54"/>
    </row>
    <row r="58824" spans="31:31">
      <c r="AE58824" s="54"/>
    </row>
    <row r="58825" spans="31:31">
      <c r="AE58825" s="54"/>
    </row>
    <row r="58826" spans="31:31">
      <c r="AE58826" s="54"/>
    </row>
    <row r="58827" spans="31:31">
      <c r="AE58827" s="54"/>
    </row>
    <row r="58828" spans="31:31">
      <c r="AE58828" s="54"/>
    </row>
    <row r="58829" spans="31:31">
      <c r="AE58829" s="54"/>
    </row>
    <row r="58830" spans="31:31">
      <c r="AE58830" s="54"/>
    </row>
    <row r="58831" spans="31:31">
      <c r="AE58831" s="54"/>
    </row>
    <row r="58832" spans="31:31">
      <c r="AE58832" s="54"/>
    </row>
    <row r="58833" spans="31:31">
      <c r="AE58833" s="54"/>
    </row>
    <row r="58834" spans="31:31">
      <c r="AE58834" s="54"/>
    </row>
    <row r="58835" spans="31:31">
      <c r="AE58835" s="54"/>
    </row>
    <row r="58836" spans="31:31">
      <c r="AE58836" s="54"/>
    </row>
    <row r="58837" spans="31:31">
      <c r="AE58837" s="54"/>
    </row>
    <row r="58838" spans="31:31">
      <c r="AE58838" s="54"/>
    </row>
    <row r="58839" spans="31:31">
      <c r="AE58839" s="54"/>
    </row>
    <row r="58840" spans="31:31">
      <c r="AE58840" s="54"/>
    </row>
    <row r="58841" spans="31:31">
      <c r="AE58841" s="54"/>
    </row>
    <row r="58842" spans="31:31">
      <c r="AE58842" s="54"/>
    </row>
    <row r="58843" spans="31:31">
      <c r="AE58843" s="54"/>
    </row>
    <row r="58844" spans="31:31">
      <c r="AE58844" s="54"/>
    </row>
    <row r="58845" spans="31:31">
      <c r="AE58845" s="54"/>
    </row>
    <row r="58846" spans="31:31">
      <c r="AE58846" s="54"/>
    </row>
    <row r="58847" spans="31:31">
      <c r="AE58847" s="54"/>
    </row>
    <row r="58848" spans="31:31">
      <c r="AE58848" s="54"/>
    </row>
    <row r="58849" spans="31:31">
      <c r="AE58849" s="54"/>
    </row>
    <row r="58850" spans="31:31">
      <c r="AE58850" s="54"/>
    </row>
    <row r="58851" spans="31:31">
      <c r="AE58851" s="54"/>
    </row>
    <row r="58852" spans="31:31">
      <c r="AE58852" s="54"/>
    </row>
    <row r="58853" spans="31:31">
      <c r="AE58853" s="54"/>
    </row>
    <row r="58854" spans="31:31">
      <c r="AE58854" s="54"/>
    </row>
    <row r="58855" spans="31:31">
      <c r="AE58855" s="54"/>
    </row>
    <row r="58856" spans="31:31">
      <c r="AE58856" s="54"/>
    </row>
    <row r="58857" spans="31:31">
      <c r="AE58857" s="54"/>
    </row>
    <row r="58858" spans="31:31">
      <c r="AE58858" s="54"/>
    </row>
    <row r="58859" spans="31:31">
      <c r="AE58859" s="54"/>
    </row>
    <row r="58860" spans="31:31">
      <c r="AE58860" s="54"/>
    </row>
    <row r="58861" spans="31:31">
      <c r="AE58861" s="54"/>
    </row>
    <row r="58862" spans="31:31">
      <c r="AE58862" s="54"/>
    </row>
    <row r="58863" spans="31:31">
      <c r="AE58863" s="54"/>
    </row>
    <row r="58864" spans="31:31">
      <c r="AE58864" s="54"/>
    </row>
    <row r="58865" spans="31:31">
      <c r="AE58865" s="54"/>
    </row>
    <row r="58866" spans="31:31">
      <c r="AE58866" s="54"/>
    </row>
    <row r="58867" spans="31:31">
      <c r="AE58867" s="54"/>
    </row>
    <row r="58868" spans="31:31">
      <c r="AE58868" s="54"/>
    </row>
    <row r="58869" spans="31:31">
      <c r="AE58869" s="54"/>
    </row>
    <row r="58870" spans="31:31">
      <c r="AE58870" s="54"/>
    </row>
    <row r="58871" spans="31:31">
      <c r="AE58871" s="54"/>
    </row>
    <row r="58872" spans="31:31">
      <c r="AE58872" s="54"/>
    </row>
    <row r="58873" spans="31:31">
      <c r="AE58873" s="54"/>
    </row>
    <row r="58874" spans="31:31">
      <c r="AE58874" s="54"/>
    </row>
    <row r="58875" spans="31:31">
      <c r="AE58875" s="54"/>
    </row>
    <row r="58876" spans="31:31">
      <c r="AE58876" s="54"/>
    </row>
    <row r="58877" spans="31:31">
      <c r="AE58877" s="54"/>
    </row>
    <row r="58878" spans="31:31">
      <c r="AE58878" s="54"/>
    </row>
    <row r="58879" spans="31:31">
      <c r="AE58879" s="54"/>
    </row>
    <row r="58880" spans="31:31">
      <c r="AE58880" s="54"/>
    </row>
    <row r="58881" spans="31:31">
      <c r="AE58881" s="54"/>
    </row>
    <row r="58882" spans="31:31">
      <c r="AE58882" s="54"/>
    </row>
    <row r="58883" spans="31:31">
      <c r="AE58883" s="54"/>
    </row>
    <row r="58884" spans="31:31">
      <c r="AE58884" s="54"/>
    </row>
    <row r="58885" spans="31:31">
      <c r="AE58885" s="54"/>
    </row>
    <row r="58886" spans="31:31">
      <c r="AE58886" s="54"/>
    </row>
    <row r="58887" spans="31:31">
      <c r="AE58887" s="54"/>
    </row>
    <row r="58888" spans="31:31">
      <c r="AE58888" s="54"/>
    </row>
    <row r="58889" spans="31:31">
      <c r="AE58889" s="54"/>
    </row>
    <row r="58890" spans="31:31">
      <c r="AE58890" s="54"/>
    </row>
    <row r="58891" spans="31:31">
      <c r="AE58891" s="54"/>
    </row>
    <row r="58892" spans="31:31">
      <c r="AE58892" s="54"/>
    </row>
    <row r="58893" spans="31:31">
      <c r="AE58893" s="54"/>
    </row>
    <row r="58894" spans="31:31">
      <c r="AE58894" s="54"/>
    </row>
    <row r="58895" spans="31:31">
      <c r="AE58895" s="54"/>
    </row>
    <row r="58896" spans="31:31">
      <c r="AE58896" s="54"/>
    </row>
    <row r="58897" spans="31:31">
      <c r="AE58897" s="54"/>
    </row>
    <row r="58898" spans="31:31">
      <c r="AE58898" s="54"/>
    </row>
    <row r="58899" spans="31:31">
      <c r="AE58899" s="54"/>
    </row>
    <row r="58900" spans="31:31">
      <c r="AE58900" s="54"/>
    </row>
    <row r="58901" spans="31:31">
      <c r="AE58901" s="54"/>
    </row>
    <row r="58902" spans="31:31">
      <c r="AE58902" s="54"/>
    </row>
    <row r="58903" spans="31:31">
      <c r="AE58903" s="54"/>
    </row>
    <row r="58904" spans="31:31">
      <c r="AE58904" s="54"/>
    </row>
    <row r="58905" spans="31:31">
      <c r="AE58905" s="54"/>
    </row>
    <row r="58906" spans="31:31">
      <c r="AE58906" s="54"/>
    </row>
    <row r="58907" spans="31:31">
      <c r="AE58907" s="54"/>
    </row>
    <row r="58908" spans="31:31">
      <c r="AE58908" s="54"/>
    </row>
    <row r="58909" spans="31:31">
      <c r="AE58909" s="54"/>
    </row>
    <row r="58910" spans="31:31">
      <c r="AE58910" s="54"/>
    </row>
    <row r="58911" spans="31:31">
      <c r="AE58911" s="54"/>
    </row>
    <row r="58912" spans="31:31">
      <c r="AE58912" s="54"/>
    </row>
    <row r="58913" spans="31:31">
      <c r="AE58913" s="54"/>
    </row>
    <row r="58914" spans="31:31">
      <c r="AE58914" s="54"/>
    </row>
    <row r="58915" spans="31:31">
      <c r="AE58915" s="54"/>
    </row>
    <row r="58916" spans="31:31">
      <c r="AE58916" s="54"/>
    </row>
    <row r="58917" spans="31:31">
      <c r="AE58917" s="54"/>
    </row>
    <row r="58918" spans="31:31">
      <c r="AE58918" s="54"/>
    </row>
    <row r="58919" spans="31:31">
      <c r="AE58919" s="54"/>
    </row>
    <row r="58920" spans="31:31">
      <c r="AE58920" s="54"/>
    </row>
    <row r="58921" spans="31:31">
      <c r="AE58921" s="54"/>
    </row>
    <row r="58922" spans="31:31">
      <c r="AE58922" s="54"/>
    </row>
    <row r="58923" spans="31:31">
      <c r="AE58923" s="54"/>
    </row>
    <row r="58924" spans="31:31">
      <c r="AE58924" s="54"/>
    </row>
    <row r="58925" spans="31:31">
      <c r="AE58925" s="54"/>
    </row>
    <row r="58926" spans="31:31">
      <c r="AE58926" s="54"/>
    </row>
    <row r="58927" spans="31:31">
      <c r="AE58927" s="54"/>
    </row>
    <row r="58928" spans="31:31">
      <c r="AE58928" s="54"/>
    </row>
    <row r="58929" spans="31:31">
      <c r="AE58929" s="54"/>
    </row>
    <row r="58930" spans="31:31">
      <c r="AE58930" s="54"/>
    </row>
    <row r="58931" spans="31:31">
      <c r="AE58931" s="54"/>
    </row>
    <row r="58932" spans="31:31">
      <c r="AE58932" s="54"/>
    </row>
    <row r="58933" spans="31:31">
      <c r="AE58933" s="54"/>
    </row>
    <row r="58934" spans="31:31">
      <c r="AE58934" s="54"/>
    </row>
    <row r="58935" spans="31:31">
      <c r="AE58935" s="54"/>
    </row>
    <row r="58936" spans="31:31">
      <c r="AE58936" s="54"/>
    </row>
    <row r="58937" spans="31:31">
      <c r="AE58937" s="54"/>
    </row>
    <row r="58938" spans="31:31">
      <c r="AE58938" s="54"/>
    </row>
    <row r="58939" spans="31:31">
      <c r="AE58939" s="54"/>
    </row>
    <row r="58940" spans="31:31">
      <c r="AE58940" s="54"/>
    </row>
    <row r="58941" spans="31:31">
      <c r="AE58941" s="54"/>
    </row>
    <row r="58942" spans="31:31">
      <c r="AE58942" s="54"/>
    </row>
    <row r="58943" spans="31:31">
      <c r="AE58943" s="54"/>
    </row>
    <row r="58944" spans="31:31">
      <c r="AE58944" s="54"/>
    </row>
    <row r="58945" spans="31:31">
      <c r="AE58945" s="54"/>
    </row>
    <row r="58946" spans="31:31">
      <c r="AE58946" s="54"/>
    </row>
    <row r="58947" spans="31:31">
      <c r="AE58947" s="54"/>
    </row>
    <row r="58948" spans="31:31">
      <c r="AE58948" s="54"/>
    </row>
    <row r="58949" spans="31:31">
      <c r="AE58949" s="54"/>
    </row>
    <row r="58950" spans="31:31">
      <c r="AE58950" s="54"/>
    </row>
    <row r="58951" spans="31:31">
      <c r="AE58951" s="54"/>
    </row>
    <row r="58952" spans="31:31">
      <c r="AE58952" s="54"/>
    </row>
    <row r="58953" spans="31:31">
      <c r="AE58953" s="54"/>
    </row>
    <row r="58954" spans="31:31">
      <c r="AE58954" s="54"/>
    </row>
    <row r="58955" spans="31:31">
      <c r="AE58955" s="54"/>
    </row>
    <row r="58956" spans="31:31">
      <c r="AE58956" s="54"/>
    </row>
    <row r="58957" spans="31:31">
      <c r="AE58957" s="54"/>
    </row>
    <row r="58958" spans="31:31">
      <c r="AE58958" s="54"/>
    </row>
    <row r="58959" spans="31:31">
      <c r="AE58959" s="54"/>
    </row>
    <row r="58960" spans="31:31">
      <c r="AE58960" s="54"/>
    </row>
    <row r="58961" spans="31:31">
      <c r="AE58961" s="54"/>
    </row>
    <row r="58962" spans="31:31">
      <c r="AE58962" s="54"/>
    </row>
    <row r="58963" spans="31:31">
      <c r="AE58963" s="54"/>
    </row>
    <row r="58964" spans="31:31">
      <c r="AE58964" s="54"/>
    </row>
    <row r="58965" spans="31:31">
      <c r="AE58965" s="54"/>
    </row>
    <row r="58966" spans="31:31">
      <c r="AE58966" s="54"/>
    </row>
    <row r="58967" spans="31:31">
      <c r="AE58967" s="54"/>
    </row>
    <row r="58968" spans="31:31">
      <c r="AE58968" s="54"/>
    </row>
    <row r="58969" spans="31:31">
      <c r="AE58969" s="54"/>
    </row>
    <row r="58970" spans="31:31">
      <c r="AE58970" s="54"/>
    </row>
    <row r="58971" spans="31:31">
      <c r="AE58971" s="54"/>
    </row>
    <row r="58972" spans="31:31">
      <c r="AE58972" s="54"/>
    </row>
    <row r="58973" spans="31:31">
      <c r="AE58973" s="54"/>
    </row>
    <row r="58974" spans="31:31">
      <c r="AE58974" s="54"/>
    </row>
    <row r="58975" spans="31:31">
      <c r="AE58975" s="54"/>
    </row>
    <row r="58976" spans="31:31">
      <c r="AE58976" s="54"/>
    </row>
    <row r="58977" spans="31:31">
      <c r="AE58977" s="54"/>
    </row>
    <row r="58978" spans="31:31">
      <c r="AE58978" s="54"/>
    </row>
    <row r="58979" spans="31:31">
      <c r="AE58979" s="54"/>
    </row>
    <row r="58980" spans="31:31">
      <c r="AE58980" s="54"/>
    </row>
    <row r="58981" spans="31:31">
      <c r="AE58981" s="54"/>
    </row>
    <row r="58982" spans="31:31">
      <c r="AE58982" s="54"/>
    </row>
    <row r="58983" spans="31:31">
      <c r="AE58983" s="54"/>
    </row>
    <row r="58984" spans="31:31">
      <c r="AE58984" s="54"/>
    </row>
    <row r="58985" spans="31:31">
      <c r="AE58985" s="54"/>
    </row>
    <row r="58986" spans="31:31">
      <c r="AE58986" s="54"/>
    </row>
    <row r="58987" spans="31:31">
      <c r="AE58987" s="54"/>
    </row>
    <row r="58988" spans="31:31">
      <c r="AE58988" s="54"/>
    </row>
    <row r="58989" spans="31:31">
      <c r="AE58989" s="54"/>
    </row>
    <row r="58990" spans="31:31">
      <c r="AE58990" s="54"/>
    </row>
    <row r="58991" spans="31:31">
      <c r="AE58991" s="54"/>
    </row>
    <row r="58992" spans="31:31">
      <c r="AE58992" s="54"/>
    </row>
    <row r="58993" spans="31:31">
      <c r="AE58993" s="54"/>
    </row>
    <row r="58994" spans="31:31">
      <c r="AE58994" s="54"/>
    </row>
    <row r="58995" spans="31:31">
      <c r="AE58995" s="54"/>
    </row>
    <row r="58996" spans="31:31">
      <c r="AE58996" s="54"/>
    </row>
    <row r="58997" spans="31:31">
      <c r="AE58997" s="54"/>
    </row>
    <row r="58998" spans="31:31">
      <c r="AE58998" s="54"/>
    </row>
    <row r="58999" spans="31:31">
      <c r="AE58999" s="54"/>
    </row>
    <row r="59000" spans="31:31">
      <c r="AE59000" s="54"/>
    </row>
    <row r="59001" spans="31:31">
      <c r="AE59001" s="54"/>
    </row>
    <row r="59002" spans="31:31">
      <c r="AE59002" s="54"/>
    </row>
    <row r="59003" spans="31:31">
      <c r="AE59003" s="54"/>
    </row>
    <row r="59004" spans="31:31">
      <c r="AE59004" s="54"/>
    </row>
    <row r="59005" spans="31:31">
      <c r="AE59005" s="54"/>
    </row>
    <row r="59006" spans="31:31">
      <c r="AE59006" s="54"/>
    </row>
    <row r="59007" spans="31:31">
      <c r="AE59007" s="54"/>
    </row>
    <row r="59008" spans="31:31">
      <c r="AE59008" s="54"/>
    </row>
    <row r="59009" spans="31:31">
      <c r="AE59009" s="54"/>
    </row>
    <row r="59010" spans="31:31">
      <c r="AE59010" s="54"/>
    </row>
    <row r="59011" spans="31:31">
      <c r="AE59011" s="54"/>
    </row>
    <row r="59012" spans="31:31">
      <c r="AE59012" s="54"/>
    </row>
    <row r="59013" spans="31:31">
      <c r="AE59013" s="54"/>
    </row>
    <row r="59014" spans="31:31">
      <c r="AE59014" s="54"/>
    </row>
    <row r="59015" spans="31:31">
      <c r="AE59015" s="54"/>
    </row>
    <row r="59016" spans="31:31">
      <c r="AE59016" s="54"/>
    </row>
    <row r="59017" spans="31:31">
      <c r="AE59017" s="54"/>
    </row>
    <row r="59018" spans="31:31">
      <c r="AE59018" s="54"/>
    </row>
    <row r="59019" spans="31:31">
      <c r="AE59019" s="54"/>
    </row>
    <row r="59020" spans="31:31">
      <c r="AE59020" s="54"/>
    </row>
    <row r="59021" spans="31:31">
      <c r="AE59021" s="54"/>
    </row>
    <row r="59022" spans="31:31">
      <c r="AE59022" s="54"/>
    </row>
    <row r="59023" spans="31:31">
      <c r="AE59023" s="54"/>
    </row>
    <row r="59024" spans="31:31">
      <c r="AE59024" s="54"/>
    </row>
    <row r="59025" spans="31:31">
      <c r="AE59025" s="54"/>
    </row>
    <row r="59026" spans="31:31">
      <c r="AE59026" s="54"/>
    </row>
    <row r="59027" spans="31:31">
      <c r="AE59027" s="54"/>
    </row>
    <row r="59028" spans="31:31">
      <c r="AE59028" s="54"/>
    </row>
    <row r="59029" spans="31:31">
      <c r="AE59029" s="54"/>
    </row>
    <row r="59030" spans="31:31">
      <c r="AE59030" s="54"/>
    </row>
    <row r="59031" spans="31:31">
      <c r="AE59031" s="54"/>
    </row>
    <row r="59032" spans="31:31">
      <c r="AE59032" s="54"/>
    </row>
    <row r="59033" spans="31:31">
      <c r="AE59033" s="54"/>
    </row>
    <row r="59034" spans="31:31">
      <c r="AE59034" s="54"/>
    </row>
    <row r="59035" spans="31:31">
      <c r="AE59035" s="54"/>
    </row>
    <row r="59036" spans="31:31">
      <c r="AE59036" s="54"/>
    </row>
    <row r="59037" spans="31:31">
      <c r="AE59037" s="54"/>
    </row>
    <row r="59038" spans="31:31">
      <c r="AE59038" s="54"/>
    </row>
    <row r="59039" spans="31:31">
      <c r="AE59039" s="54"/>
    </row>
    <row r="59040" spans="31:31">
      <c r="AE59040" s="54"/>
    </row>
    <row r="59041" spans="31:31">
      <c r="AE59041" s="54"/>
    </row>
    <row r="59042" spans="31:31">
      <c r="AE59042" s="54"/>
    </row>
    <row r="59043" spans="31:31">
      <c r="AE59043" s="54"/>
    </row>
    <row r="59044" spans="31:31">
      <c r="AE59044" s="54"/>
    </row>
    <row r="59045" spans="31:31">
      <c r="AE59045" s="54"/>
    </row>
    <row r="59046" spans="31:31">
      <c r="AE59046" s="54"/>
    </row>
    <row r="59047" spans="31:31">
      <c r="AE59047" s="54"/>
    </row>
    <row r="59048" spans="31:31">
      <c r="AE59048" s="54"/>
    </row>
    <row r="59049" spans="31:31">
      <c r="AE59049" s="54"/>
    </row>
    <row r="59050" spans="31:31">
      <c r="AE59050" s="54"/>
    </row>
    <row r="59051" spans="31:31">
      <c r="AE59051" s="54"/>
    </row>
    <row r="59052" spans="31:31">
      <c r="AE59052" s="54"/>
    </row>
    <row r="59053" spans="31:31">
      <c r="AE59053" s="54"/>
    </row>
    <row r="59054" spans="31:31">
      <c r="AE59054" s="54"/>
    </row>
    <row r="59055" spans="31:31">
      <c r="AE59055" s="54"/>
    </row>
    <row r="59056" spans="31:31">
      <c r="AE59056" s="54"/>
    </row>
    <row r="59057" spans="31:31">
      <c r="AE59057" s="54"/>
    </row>
    <row r="59058" spans="31:31">
      <c r="AE59058" s="54"/>
    </row>
    <row r="59059" spans="31:31">
      <c r="AE59059" s="54"/>
    </row>
    <row r="59060" spans="31:31">
      <c r="AE59060" s="54"/>
    </row>
    <row r="59061" spans="31:31">
      <c r="AE59061" s="54"/>
    </row>
    <row r="59062" spans="31:31">
      <c r="AE59062" s="54"/>
    </row>
    <row r="59063" spans="31:31">
      <c r="AE59063" s="54"/>
    </row>
    <row r="59064" spans="31:31">
      <c r="AE59064" s="54"/>
    </row>
    <row r="59065" spans="31:31">
      <c r="AE59065" s="54"/>
    </row>
    <row r="59066" spans="31:31">
      <c r="AE59066" s="54"/>
    </row>
    <row r="59067" spans="31:31">
      <c r="AE59067" s="54"/>
    </row>
    <row r="59068" spans="31:31">
      <c r="AE59068" s="54"/>
    </row>
    <row r="59069" spans="31:31">
      <c r="AE59069" s="54"/>
    </row>
    <row r="59070" spans="31:31">
      <c r="AE59070" s="54"/>
    </row>
    <row r="59071" spans="31:31">
      <c r="AE59071" s="54"/>
    </row>
    <row r="59072" spans="31:31">
      <c r="AE59072" s="54"/>
    </row>
    <row r="59073" spans="31:31">
      <c r="AE59073" s="54"/>
    </row>
    <row r="59074" spans="31:31">
      <c r="AE59074" s="54"/>
    </row>
    <row r="59075" spans="31:31">
      <c r="AE59075" s="54"/>
    </row>
    <row r="59076" spans="31:31">
      <c r="AE59076" s="54"/>
    </row>
    <row r="59077" spans="31:31">
      <c r="AE59077" s="54"/>
    </row>
    <row r="59078" spans="31:31">
      <c r="AE59078" s="54"/>
    </row>
    <row r="59079" spans="31:31">
      <c r="AE59079" s="54"/>
    </row>
    <row r="59080" spans="31:31">
      <c r="AE59080" s="54"/>
    </row>
    <row r="59081" spans="31:31">
      <c r="AE59081" s="54"/>
    </row>
    <row r="59082" spans="31:31">
      <c r="AE59082" s="54"/>
    </row>
    <row r="59083" spans="31:31">
      <c r="AE59083" s="54"/>
    </row>
    <row r="59084" spans="31:31">
      <c r="AE59084" s="54"/>
    </row>
    <row r="59085" spans="31:31">
      <c r="AE59085" s="54"/>
    </row>
    <row r="59086" spans="31:31">
      <c r="AE59086" s="54"/>
    </row>
    <row r="59087" spans="31:31">
      <c r="AE59087" s="54"/>
    </row>
    <row r="59088" spans="31:31">
      <c r="AE59088" s="54"/>
    </row>
    <row r="59089" spans="31:31">
      <c r="AE59089" s="54"/>
    </row>
    <row r="59090" spans="31:31">
      <c r="AE59090" s="54"/>
    </row>
    <row r="59091" spans="31:31">
      <c r="AE59091" s="54"/>
    </row>
    <row r="59092" spans="31:31">
      <c r="AE59092" s="54"/>
    </row>
    <row r="59093" spans="31:31">
      <c r="AE59093" s="54"/>
    </row>
    <row r="59094" spans="31:31">
      <c r="AE59094" s="54"/>
    </row>
    <row r="59095" spans="31:31">
      <c r="AE59095" s="54"/>
    </row>
    <row r="59096" spans="31:31">
      <c r="AE59096" s="54"/>
    </row>
    <row r="59097" spans="31:31">
      <c r="AE59097" s="54"/>
    </row>
    <row r="59098" spans="31:31">
      <c r="AE59098" s="54"/>
    </row>
    <row r="59099" spans="31:31">
      <c r="AE59099" s="54"/>
    </row>
    <row r="59100" spans="31:31">
      <c r="AE59100" s="54"/>
    </row>
    <row r="59101" spans="31:31">
      <c r="AE59101" s="54"/>
    </row>
    <row r="59102" spans="31:31">
      <c r="AE59102" s="54"/>
    </row>
    <row r="59103" spans="31:31">
      <c r="AE59103" s="54"/>
    </row>
    <row r="59104" spans="31:31">
      <c r="AE59104" s="54"/>
    </row>
    <row r="59105" spans="31:31">
      <c r="AE59105" s="54"/>
    </row>
    <row r="59106" spans="31:31">
      <c r="AE59106" s="54"/>
    </row>
    <row r="59107" spans="31:31">
      <c r="AE59107" s="54"/>
    </row>
    <row r="59108" spans="31:31">
      <c r="AE59108" s="54"/>
    </row>
    <row r="59109" spans="31:31">
      <c r="AE59109" s="54"/>
    </row>
    <row r="59110" spans="31:31">
      <c r="AE59110" s="54"/>
    </row>
    <row r="59111" spans="31:31">
      <c r="AE59111" s="54"/>
    </row>
    <row r="59112" spans="31:31">
      <c r="AE59112" s="54"/>
    </row>
    <row r="59113" spans="31:31">
      <c r="AE59113" s="54"/>
    </row>
    <row r="59114" spans="31:31">
      <c r="AE59114" s="54"/>
    </row>
    <row r="59115" spans="31:31">
      <c r="AE59115" s="54"/>
    </row>
    <row r="59116" spans="31:31">
      <c r="AE59116" s="54"/>
    </row>
    <row r="59117" spans="31:31">
      <c r="AE59117" s="54"/>
    </row>
    <row r="59118" spans="31:31">
      <c r="AE59118" s="54"/>
    </row>
    <row r="59119" spans="31:31">
      <c r="AE59119" s="54"/>
    </row>
    <row r="59120" spans="31:31">
      <c r="AE59120" s="54"/>
    </row>
    <row r="59121" spans="31:31">
      <c r="AE59121" s="54"/>
    </row>
    <row r="59122" spans="31:31">
      <c r="AE59122" s="54"/>
    </row>
    <row r="59123" spans="31:31">
      <c r="AE59123" s="54"/>
    </row>
    <row r="59124" spans="31:31">
      <c r="AE59124" s="54"/>
    </row>
    <row r="59125" spans="31:31">
      <c r="AE59125" s="54"/>
    </row>
    <row r="59126" spans="31:31">
      <c r="AE59126" s="54"/>
    </row>
    <row r="59127" spans="31:31">
      <c r="AE59127" s="54"/>
    </row>
    <row r="59128" spans="31:31">
      <c r="AE59128" s="54"/>
    </row>
    <row r="59129" spans="31:31">
      <c r="AE59129" s="54"/>
    </row>
    <row r="59130" spans="31:31">
      <c r="AE59130" s="54"/>
    </row>
    <row r="59131" spans="31:31">
      <c r="AE59131" s="54"/>
    </row>
    <row r="59132" spans="31:31">
      <c r="AE59132" s="54"/>
    </row>
    <row r="59133" spans="31:31">
      <c r="AE59133" s="54"/>
    </row>
    <row r="59134" spans="31:31">
      <c r="AE59134" s="54"/>
    </row>
    <row r="59135" spans="31:31">
      <c r="AE59135" s="54"/>
    </row>
    <row r="59136" spans="31:31">
      <c r="AE59136" s="54"/>
    </row>
    <row r="59137" spans="31:31">
      <c r="AE59137" s="54"/>
    </row>
    <row r="59138" spans="31:31">
      <c r="AE59138" s="54"/>
    </row>
    <row r="59139" spans="31:31">
      <c r="AE59139" s="54"/>
    </row>
    <row r="59140" spans="31:31">
      <c r="AE59140" s="54"/>
    </row>
    <row r="59141" spans="31:31">
      <c r="AE59141" s="54"/>
    </row>
    <row r="59142" spans="31:31">
      <c r="AE59142" s="54"/>
    </row>
    <row r="59143" spans="31:31">
      <c r="AE59143" s="54"/>
    </row>
    <row r="59144" spans="31:31">
      <c r="AE59144" s="54"/>
    </row>
    <row r="59145" spans="31:31">
      <c r="AE59145" s="54"/>
    </row>
    <row r="59146" spans="31:31">
      <c r="AE59146" s="54"/>
    </row>
    <row r="59147" spans="31:31">
      <c r="AE59147" s="54"/>
    </row>
    <row r="59148" spans="31:31">
      <c r="AE59148" s="54"/>
    </row>
    <row r="59149" spans="31:31">
      <c r="AE59149" s="54"/>
    </row>
    <row r="59150" spans="31:31">
      <c r="AE59150" s="54"/>
    </row>
    <row r="59151" spans="31:31">
      <c r="AE59151" s="54"/>
    </row>
    <row r="59152" spans="31:31">
      <c r="AE59152" s="54"/>
    </row>
    <row r="59153" spans="31:31">
      <c r="AE59153" s="54"/>
    </row>
    <row r="59154" spans="31:31">
      <c r="AE59154" s="54"/>
    </row>
    <row r="59155" spans="31:31">
      <c r="AE59155" s="54"/>
    </row>
    <row r="59156" spans="31:31">
      <c r="AE59156" s="54"/>
    </row>
    <row r="59157" spans="31:31">
      <c r="AE59157" s="54"/>
    </row>
    <row r="59158" spans="31:31">
      <c r="AE59158" s="54"/>
    </row>
    <row r="59159" spans="31:31">
      <c r="AE59159" s="54"/>
    </row>
    <row r="59160" spans="31:31">
      <c r="AE59160" s="54"/>
    </row>
    <row r="59161" spans="31:31">
      <c r="AE59161" s="54"/>
    </row>
    <row r="59162" spans="31:31">
      <c r="AE59162" s="54"/>
    </row>
    <row r="59163" spans="31:31">
      <c r="AE59163" s="54"/>
    </row>
    <row r="59164" spans="31:31">
      <c r="AE59164" s="54"/>
    </row>
    <row r="59165" spans="31:31">
      <c r="AE59165" s="54"/>
    </row>
    <row r="59166" spans="31:31">
      <c r="AE59166" s="54"/>
    </row>
    <row r="59167" spans="31:31">
      <c r="AE59167" s="54"/>
    </row>
    <row r="59168" spans="31:31">
      <c r="AE59168" s="54"/>
    </row>
    <row r="59169" spans="31:31">
      <c r="AE59169" s="54"/>
    </row>
    <row r="59170" spans="31:31">
      <c r="AE59170" s="54"/>
    </row>
    <row r="59171" spans="31:31">
      <c r="AE59171" s="54"/>
    </row>
    <row r="59172" spans="31:31">
      <c r="AE59172" s="54"/>
    </row>
    <row r="59173" spans="31:31">
      <c r="AE59173" s="54"/>
    </row>
    <row r="59174" spans="31:31">
      <c r="AE59174" s="54"/>
    </row>
    <row r="59175" spans="31:31">
      <c r="AE59175" s="54"/>
    </row>
    <row r="59176" spans="31:31">
      <c r="AE59176" s="54"/>
    </row>
    <row r="59177" spans="31:31">
      <c r="AE59177" s="54"/>
    </row>
    <row r="59178" spans="31:31">
      <c r="AE59178" s="54"/>
    </row>
    <row r="59179" spans="31:31">
      <c r="AE59179" s="54"/>
    </row>
    <row r="59180" spans="31:31">
      <c r="AE59180" s="54"/>
    </row>
    <row r="59181" spans="31:31">
      <c r="AE59181" s="54"/>
    </row>
    <row r="59182" spans="31:31">
      <c r="AE59182" s="54"/>
    </row>
    <row r="59183" spans="31:31">
      <c r="AE59183" s="54"/>
    </row>
    <row r="59184" spans="31:31">
      <c r="AE59184" s="54"/>
    </row>
    <row r="59185" spans="31:31">
      <c r="AE59185" s="54"/>
    </row>
    <row r="59186" spans="31:31">
      <c r="AE59186" s="54"/>
    </row>
    <row r="59187" spans="31:31">
      <c r="AE59187" s="54"/>
    </row>
    <row r="59188" spans="31:31">
      <c r="AE59188" s="54"/>
    </row>
    <row r="59189" spans="31:31">
      <c r="AE59189" s="54"/>
    </row>
    <row r="59190" spans="31:31">
      <c r="AE59190" s="54"/>
    </row>
    <row r="59191" spans="31:31">
      <c r="AE59191" s="54"/>
    </row>
    <row r="59192" spans="31:31">
      <c r="AE59192" s="54"/>
    </row>
    <row r="59193" spans="31:31">
      <c r="AE59193" s="54"/>
    </row>
    <row r="59194" spans="31:31">
      <c r="AE59194" s="54"/>
    </row>
    <row r="59195" spans="31:31">
      <c r="AE59195" s="54"/>
    </row>
    <row r="59196" spans="31:31">
      <c r="AE59196" s="54"/>
    </row>
    <row r="59197" spans="31:31">
      <c r="AE59197" s="54"/>
    </row>
    <row r="59198" spans="31:31">
      <c r="AE59198" s="54"/>
    </row>
    <row r="59199" spans="31:31">
      <c r="AE59199" s="54"/>
    </row>
    <row r="59200" spans="31:31">
      <c r="AE59200" s="54"/>
    </row>
    <row r="59201" spans="31:31">
      <c r="AE59201" s="54"/>
    </row>
    <row r="59202" spans="31:31">
      <c r="AE59202" s="54"/>
    </row>
    <row r="59203" spans="31:31">
      <c r="AE59203" s="54"/>
    </row>
    <row r="59204" spans="31:31">
      <c r="AE59204" s="54"/>
    </row>
    <row r="59205" spans="31:31">
      <c r="AE59205" s="54"/>
    </row>
    <row r="59206" spans="31:31">
      <c r="AE59206" s="54"/>
    </row>
    <row r="59207" spans="31:31">
      <c r="AE59207" s="54"/>
    </row>
    <row r="59208" spans="31:31">
      <c r="AE59208" s="54"/>
    </row>
    <row r="59209" spans="31:31">
      <c r="AE59209" s="54"/>
    </row>
    <row r="59210" spans="31:31">
      <c r="AE59210" s="54"/>
    </row>
    <row r="59211" spans="31:31">
      <c r="AE59211" s="54"/>
    </row>
    <row r="59212" spans="31:31">
      <c r="AE59212" s="54"/>
    </row>
    <row r="59213" spans="31:31">
      <c r="AE59213" s="54"/>
    </row>
    <row r="59214" spans="31:31">
      <c r="AE59214" s="54"/>
    </row>
    <row r="59215" spans="31:31">
      <c r="AE59215" s="54"/>
    </row>
    <row r="59216" spans="31:31">
      <c r="AE59216" s="54"/>
    </row>
    <row r="59217" spans="31:31">
      <c r="AE59217" s="54"/>
    </row>
    <row r="59218" spans="31:31">
      <c r="AE59218" s="54"/>
    </row>
    <row r="59219" spans="31:31">
      <c r="AE59219" s="54"/>
    </row>
    <row r="59220" spans="31:31">
      <c r="AE59220" s="54"/>
    </row>
    <row r="59221" spans="31:31">
      <c r="AE59221" s="54"/>
    </row>
    <row r="59222" spans="31:31">
      <c r="AE59222" s="54"/>
    </row>
    <row r="59223" spans="31:31">
      <c r="AE59223" s="54"/>
    </row>
    <row r="59224" spans="31:31">
      <c r="AE59224" s="54"/>
    </row>
    <row r="59225" spans="31:31">
      <c r="AE59225" s="54"/>
    </row>
    <row r="59226" spans="31:31">
      <c r="AE59226" s="54"/>
    </row>
    <row r="59227" spans="31:31">
      <c r="AE59227" s="54"/>
    </row>
    <row r="59228" spans="31:31">
      <c r="AE59228" s="54"/>
    </row>
    <row r="59229" spans="31:31">
      <c r="AE59229" s="54"/>
    </row>
    <row r="59230" spans="31:31">
      <c r="AE59230" s="54"/>
    </row>
    <row r="59231" spans="31:31">
      <c r="AE59231" s="54"/>
    </row>
    <row r="59232" spans="31:31">
      <c r="AE59232" s="54"/>
    </row>
    <row r="59233" spans="31:31">
      <c r="AE59233" s="54"/>
    </row>
    <row r="59234" spans="31:31">
      <c r="AE59234" s="54"/>
    </row>
    <row r="59235" spans="31:31">
      <c r="AE59235" s="54"/>
    </row>
    <row r="59236" spans="31:31">
      <c r="AE59236" s="54"/>
    </row>
    <row r="59237" spans="31:31">
      <c r="AE59237" s="54"/>
    </row>
    <row r="59238" spans="31:31">
      <c r="AE59238" s="54"/>
    </row>
    <row r="59239" spans="31:31">
      <c r="AE59239" s="54"/>
    </row>
    <row r="59240" spans="31:31">
      <c r="AE59240" s="54"/>
    </row>
    <row r="59241" spans="31:31">
      <c r="AE59241" s="54"/>
    </row>
    <row r="59242" spans="31:31">
      <c r="AE59242" s="54"/>
    </row>
    <row r="59243" spans="31:31">
      <c r="AE59243" s="54"/>
    </row>
    <row r="59244" spans="31:31">
      <c r="AE59244" s="54"/>
    </row>
    <row r="59245" spans="31:31">
      <c r="AE59245" s="54"/>
    </row>
    <row r="59246" spans="31:31">
      <c r="AE59246" s="54"/>
    </row>
    <row r="59247" spans="31:31">
      <c r="AE59247" s="54"/>
    </row>
    <row r="59248" spans="31:31">
      <c r="AE59248" s="54"/>
    </row>
    <row r="59249" spans="31:31">
      <c r="AE59249" s="54"/>
    </row>
    <row r="59250" spans="31:31">
      <c r="AE59250" s="54"/>
    </row>
    <row r="59251" spans="31:31">
      <c r="AE59251" s="54"/>
    </row>
    <row r="59252" spans="31:31">
      <c r="AE59252" s="54"/>
    </row>
    <row r="59253" spans="31:31">
      <c r="AE59253" s="54"/>
    </row>
    <row r="59254" spans="31:31">
      <c r="AE59254" s="54"/>
    </row>
    <row r="59255" spans="31:31">
      <c r="AE59255" s="54"/>
    </row>
    <row r="59256" spans="31:31">
      <c r="AE59256" s="54"/>
    </row>
    <row r="59257" spans="31:31">
      <c r="AE59257" s="54"/>
    </row>
    <row r="59258" spans="31:31">
      <c r="AE59258" s="54"/>
    </row>
    <row r="59259" spans="31:31">
      <c r="AE59259" s="54"/>
    </row>
    <row r="59260" spans="31:31">
      <c r="AE59260" s="54"/>
    </row>
    <row r="59261" spans="31:31">
      <c r="AE59261" s="54"/>
    </row>
    <row r="59262" spans="31:31">
      <c r="AE59262" s="54"/>
    </row>
    <row r="59263" spans="31:31">
      <c r="AE59263" s="54"/>
    </row>
    <row r="59264" spans="31:31">
      <c r="AE59264" s="54"/>
    </row>
    <row r="59265" spans="31:31">
      <c r="AE59265" s="54"/>
    </row>
    <row r="59266" spans="31:31">
      <c r="AE59266" s="54"/>
    </row>
    <row r="59267" spans="31:31">
      <c r="AE59267" s="54"/>
    </row>
    <row r="59268" spans="31:31">
      <c r="AE59268" s="54"/>
    </row>
    <row r="59269" spans="31:31">
      <c r="AE59269" s="54"/>
    </row>
    <row r="59270" spans="31:31">
      <c r="AE59270" s="54"/>
    </row>
    <row r="59271" spans="31:31">
      <c r="AE59271" s="54"/>
    </row>
    <row r="59272" spans="31:31">
      <c r="AE59272" s="54"/>
    </row>
    <row r="59273" spans="31:31">
      <c r="AE59273" s="54"/>
    </row>
    <row r="59274" spans="31:31">
      <c r="AE59274" s="54"/>
    </row>
    <row r="59275" spans="31:31">
      <c r="AE59275" s="54"/>
    </row>
    <row r="59276" spans="31:31">
      <c r="AE59276" s="54"/>
    </row>
    <row r="59277" spans="31:31">
      <c r="AE59277" s="54"/>
    </row>
    <row r="59278" spans="31:31">
      <c r="AE59278" s="54"/>
    </row>
    <row r="59279" spans="31:31">
      <c r="AE59279" s="54"/>
    </row>
    <row r="59280" spans="31:31">
      <c r="AE59280" s="54"/>
    </row>
    <row r="59281" spans="31:31">
      <c r="AE59281" s="54"/>
    </row>
    <row r="59282" spans="31:31">
      <c r="AE59282" s="54"/>
    </row>
    <row r="59283" spans="31:31">
      <c r="AE59283" s="54"/>
    </row>
    <row r="59284" spans="31:31">
      <c r="AE59284" s="54"/>
    </row>
    <row r="59285" spans="31:31">
      <c r="AE59285" s="54"/>
    </row>
    <row r="59286" spans="31:31">
      <c r="AE59286" s="54"/>
    </row>
    <row r="59287" spans="31:31">
      <c r="AE59287" s="54"/>
    </row>
    <row r="59288" spans="31:31">
      <c r="AE59288" s="54"/>
    </row>
    <row r="59289" spans="31:31">
      <c r="AE59289" s="54"/>
    </row>
    <row r="59290" spans="31:31">
      <c r="AE59290" s="54"/>
    </row>
    <row r="59291" spans="31:31">
      <c r="AE59291" s="54"/>
    </row>
    <row r="59292" spans="31:31">
      <c r="AE59292" s="54"/>
    </row>
    <row r="59293" spans="31:31">
      <c r="AE59293" s="54"/>
    </row>
    <row r="59294" spans="31:31">
      <c r="AE59294" s="54"/>
    </row>
    <row r="59295" spans="31:31">
      <c r="AE59295" s="54"/>
    </row>
    <row r="59296" spans="31:31">
      <c r="AE59296" s="54"/>
    </row>
    <row r="59297" spans="31:31">
      <c r="AE59297" s="54"/>
    </row>
    <row r="59298" spans="31:31">
      <c r="AE59298" s="54"/>
    </row>
    <row r="59299" spans="31:31">
      <c r="AE59299" s="54"/>
    </row>
    <row r="59300" spans="31:31">
      <c r="AE59300" s="54"/>
    </row>
    <row r="59301" spans="31:31">
      <c r="AE59301" s="54"/>
    </row>
    <row r="59302" spans="31:31">
      <c r="AE59302" s="54"/>
    </row>
    <row r="59303" spans="31:31">
      <c r="AE59303" s="54"/>
    </row>
    <row r="59304" spans="31:31">
      <c r="AE59304" s="54"/>
    </row>
    <row r="59305" spans="31:31">
      <c r="AE59305" s="54"/>
    </row>
    <row r="59306" spans="31:31">
      <c r="AE59306" s="54"/>
    </row>
    <row r="59307" spans="31:31">
      <c r="AE59307" s="54"/>
    </row>
    <row r="59308" spans="31:31">
      <c r="AE59308" s="54"/>
    </row>
    <row r="59309" spans="31:31">
      <c r="AE59309" s="54"/>
    </row>
    <row r="59310" spans="31:31">
      <c r="AE59310" s="54"/>
    </row>
    <row r="59311" spans="31:31">
      <c r="AE59311" s="54"/>
    </row>
    <row r="59312" spans="31:31">
      <c r="AE59312" s="54"/>
    </row>
    <row r="59313" spans="31:31">
      <c r="AE59313" s="54"/>
    </row>
    <row r="59314" spans="31:31">
      <c r="AE59314" s="54"/>
    </row>
    <row r="59315" spans="31:31">
      <c r="AE59315" s="54"/>
    </row>
    <row r="59316" spans="31:31">
      <c r="AE59316" s="54"/>
    </row>
    <row r="59317" spans="31:31">
      <c r="AE59317" s="54"/>
    </row>
    <row r="59318" spans="31:31">
      <c r="AE59318" s="54"/>
    </row>
    <row r="59319" spans="31:31">
      <c r="AE59319" s="54"/>
    </row>
    <row r="59320" spans="31:31">
      <c r="AE59320" s="54"/>
    </row>
    <row r="59321" spans="31:31">
      <c r="AE59321" s="54"/>
    </row>
    <row r="59322" spans="31:31">
      <c r="AE59322" s="54"/>
    </row>
    <row r="59323" spans="31:31">
      <c r="AE59323" s="54"/>
    </row>
    <row r="59324" spans="31:31">
      <c r="AE59324" s="54"/>
    </row>
    <row r="59325" spans="31:31">
      <c r="AE59325" s="54"/>
    </row>
    <row r="59326" spans="31:31">
      <c r="AE59326" s="54"/>
    </row>
    <row r="59327" spans="31:31">
      <c r="AE59327" s="54"/>
    </row>
    <row r="59328" spans="31:31">
      <c r="AE59328" s="54"/>
    </row>
    <row r="59329" spans="31:31">
      <c r="AE59329" s="54"/>
    </row>
    <row r="59330" spans="31:31">
      <c r="AE59330" s="54"/>
    </row>
    <row r="59331" spans="31:31">
      <c r="AE59331" s="54"/>
    </row>
    <row r="59332" spans="31:31">
      <c r="AE59332" s="54"/>
    </row>
    <row r="59333" spans="31:31">
      <c r="AE59333" s="54"/>
    </row>
    <row r="59334" spans="31:31">
      <c r="AE59334" s="54"/>
    </row>
    <row r="59335" spans="31:31">
      <c r="AE59335" s="54"/>
    </row>
    <row r="59336" spans="31:31">
      <c r="AE59336" s="54"/>
    </row>
    <row r="59337" spans="31:31">
      <c r="AE59337" s="54"/>
    </row>
    <row r="59338" spans="31:31">
      <c r="AE59338" s="54"/>
    </row>
    <row r="59339" spans="31:31">
      <c r="AE59339" s="54"/>
    </row>
    <row r="59340" spans="31:31">
      <c r="AE59340" s="54"/>
    </row>
    <row r="59341" spans="31:31">
      <c r="AE59341" s="54"/>
    </row>
    <row r="59342" spans="31:31">
      <c r="AE59342" s="54"/>
    </row>
    <row r="59343" spans="31:31">
      <c r="AE59343" s="54"/>
    </row>
    <row r="59344" spans="31:31">
      <c r="AE59344" s="54"/>
    </row>
    <row r="59345" spans="31:31">
      <c r="AE59345" s="54"/>
    </row>
    <row r="59346" spans="31:31">
      <c r="AE59346" s="54"/>
    </row>
    <row r="59347" spans="31:31">
      <c r="AE59347" s="54"/>
    </row>
    <row r="59348" spans="31:31">
      <c r="AE59348" s="54"/>
    </row>
    <row r="59349" spans="31:31">
      <c r="AE59349" s="54"/>
    </row>
    <row r="59350" spans="31:31">
      <c r="AE59350" s="54"/>
    </row>
    <row r="59351" spans="31:31">
      <c r="AE59351" s="54"/>
    </row>
    <row r="59352" spans="31:31">
      <c r="AE59352" s="54"/>
    </row>
    <row r="59353" spans="31:31">
      <c r="AE59353" s="54"/>
    </row>
    <row r="59354" spans="31:31">
      <c r="AE59354" s="54"/>
    </row>
    <row r="59355" spans="31:31">
      <c r="AE59355" s="54"/>
    </row>
    <row r="59356" spans="31:31">
      <c r="AE59356" s="54"/>
    </row>
    <row r="59357" spans="31:31">
      <c r="AE59357" s="54"/>
    </row>
    <row r="59358" spans="31:31">
      <c r="AE59358" s="54"/>
    </row>
    <row r="59359" spans="31:31">
      <c r="AE59359" s="54"/>
    </row>
    <row r="59360" spans="31:31">
      <c r="AE59360" s="54"/>
    </row>
    <row r="59361" spans="31:31">
      <c r="AE59361" s="54"/>
    </row>
    <row r="59362" spans="31:31">
      <c r="AE59362" s="54"/>
    </row>
    <row r="59363" spans="31:31">
      <c r="AE59363" s="54"/>
    </row>
    <row r="59364" spans="31:31">
      <c r="AE59364" s="54"/>
    </row>
    <row r="59365" spans="31:31">
      <c r="AE59365" s="54"/>
    </row>
    <row r="59366" spans="31:31">
      <c r="AE59366" s="54"/>
    </row>
    <row r="59367" spans="31:31">
      <c r="AE59367" s="54"/>
    </row>
    <row r="59368" spans="31:31">
      <c r="AE59368" s="54"/>
    </row>
    <row r="59369" spans="31:31">
      <c r="AE59369" s="54"/>
    </row>
    <row r="59370" spans="31:31">
      <c r="AE59370" s="54"/>
    </row>
    <row r="59371" spans="31:31">
      <c r="AE59371" s="54"/>
    </row>
    <row r="59372" spans="31:31">
      <c r="AE59372" s="54"/>
    </row>
    <row r="59373" spans="31:31">
      <c r="AE59373" s="54"/>
    </row>
    <row r="59374" spans="31:31">
      <c r="AE59374" s="54"/>
    </row>
    <row r="59375" spans="31:31">
      <c r="AE59375" s="54"/>
    </row>
    <row r="59376" spans="31:31">
      <c r="AE59376" s="54"/>
    </row>
    <row r="59377" spans="31:31">
      <c r="AE59377" s="54"/>
    </row>
    <row r="59378" spans="31:31">
      <c r="AE59378" s="54"/>
    </row>
    <row r="59379" spans="31:31">
      <c r="AE59379" s="54"/>
    </row>
    <row r="59380" spans="31:31">
      <c r="AE59380" s="54"/>
    </row>
    <row r="59381" spans="31:31">
      <c r="AE59381" s="54"/>
    </row>
    <row r="59382" spans="31:31">
      <c r="AE59382" s="54"/>
    </row>
    <row r="59383" spans="31:31">
      <c r="AE59383" s="54"/>
    </row>
    <row r="59384" spans="31:31">
      <c r="AE59384" s="54"/>
    </row>
    <row r="59385" spans="31:31">
      <c r="AE59385" s="54"/>
    </row>
    <row r="59386" spans="31:31">
      <c r="AE59386" s="54"/>
    </row>
    <row r="59387" spans="31:31">
      <c r="AE59387" s="54"/>
    </row>
    <row r="59388" spans="31:31">
      <c r="AE59388" s="54"/>
    </row>
    <row r="59389" spans="31:31">
      <c r="AE59389" s="54"/>
    </row>
    <row r="59390" spans="31:31">
      <c r="AE59390" s="54"/>
    </row>
    <row r="59391" spans="31:31">
      <c r="AE59391" s="54"/>
    </row>
    <row r="59392" spans="31:31">
      <c r="AE59392" s="54"/>
    </row>
    <row r="59393" spans="31:31">
      <c r="AE59393" s="54"/>
    </row>
    <row r="59394" spans="31:31">
      <c r="AE59394" s="54"/>
    </row>
    <row r="59395" spans="31:31">
      <c r="AE59395" s="54"/>
    </row>
    <row r="59396" spans="31:31">
      <c r="AE59396" s="54"/>
    </row>
    <row r="59397" spans="31:31">
      <c r="AE59397" s="54"/>
    </row>
    <row r="59398" spans="31:31">
      <c r="AE59398" s="54"/>
    </row>
    <row r="59399" spans="31:31">
      <c r="AE59399" s="54"/>
    </row>
    <row r="59400" spans="31:31">
      <c r="AE59400" s="54"/>
    </row>
    <row r="59401" spans="31:31">
      <c r="AE59401" s="54"/>
    </row>
    <row r="59402" spans="31:31">
      <c r="AE59402" s="54"/>
    </row>
    <row r="59403" spans="31:31">
      <c r="AE59403" s="54"/>
    </row>
    <row r="59404" spans="31:31">
      <c r="AE59404" s="54"/>
    </row>
    <row r="59405" spans="31:31">
      <c r="AE59405" s="54"/>
    </row>
    <row r="59406" spans="31:31">
      <c r="AE59406" s="54"/>
    </row>
    <row r="59407" spans="31:31">
      <c r="AE59407" s="54"/>
    </row>
    <row r="59408" spans="31:31">
      <c r="AE59408" s="54"/>
    </row>
    <row r="59409" spans="31:31">
      <c r="AE59409" s="54"/>
    </row>
    <row r="59410" spans="31:31">
      <c r="AE59410" s="54"/>
    </row>
    <row r="59411" spans="31:31">
      <c r="AE59411" s="54"/>
    </row>
    <row r="59412" spans="31:31">
      <c r="AE59412" s="54"/>
    </row>
    <row r="59413" spans="31:31">
      <c r="AE59413" s="54"/>
    </row>
    <row r="59414" spans="31:31">
      <c r="AE59414" s="54"/>
    </row>
    <row r="59415" spans="31:31">
      <c r="AE59415" s="54"/>
    </row>
    <row r="59416" spans="31:31">
      <c r="AE59416" s="54"/>
    </row>
    <row r="59417" spans="31:31">
      <c r="AE59417" s="54"/>
    </row>
    <row r="59418" spans="31:31">
      <c r="AE59418" s="54"/>
    </row>
    <row r="59419" spans="31:31">
      <c r="AE59419" s="54"/>
    </row>
    <row r="59420" spans="31:31">
      <c r="AE59420" s="54"/>
    </row>
    <row r="59421" spans="31:31">
      <c r="AE59421" s="54"/>
    </row>
    <row r="59422" spans="31:31">
      <c r="AE59422" s="54"/>
    </row>
    <row r="59423" spans="31:31">
      <c r="AE59423" s="54"/>
    </row>
    <row r="59424" spans="31:31">
      <c r="AE59424" s="54"/>
    </row>
    <row r="59425" spans="31:31">
      <c r="AE59425" s="54"/>
    </row>
    <row r="59426" spans="31:31">
      <c r="AE59426" s="54"/>
    </row>
    <row r="59427" spans="31:31">
      <c r="AE59427" s="54"/>
    </row>
    <row r="59428" spans="31:31">
      <c r="AE59428" s="54"/>
    </row>
    <row r="59429" spans="31:31">
      <c r="AE59429" s="54"/>
    </row>
    <row r="59430" spans="31:31">
      <c r="AE59430" s="54"/>
    </row>
    <row r="59431" spans="31:31">
      <c r="AE59431" s="54"/>
    </row>
    <row r="59432" spans="31:31">
      <c r="AE59432" s="54"/>
    </row>
    <row r="59433" spans="31:31">
      <c r="AE59433" s="54"/>
    </row>
    <row r="59434" spans="31:31">
      <c r="AE59434" s="54"/>
    </row>
    <row r="59435" spans="31:31">
      <c r="AE59435" s="54"/>
    </row>
    <row r="59436" spans="31:31">
      <c r="AE59436" s="54"/>
    </row>
    <row r="59437" spans="31:31">
      <c r="AE59437" s="54"/>
    </row>
    <row r="59438" spans="31:31">
      <c r="AE59438" s="54"/>
    </row>
    <row r="59439" spans="31:31">
      <c r="AE59439" s="54"/>
    </row>
    <row r="59440" spans="31:31">
      <c r="AE59440" s="54"/>
    </row>
    <row r="59441" spans="31:31">
      <c r="AE59441" s="54"/>
    </row>
    <row r="59442" spans="31:31">
      <c r="AE59442" s="54"/>
    </row>
    <row r="59443" spans="31:31">
      <c r="AE59443" s="54"/>
    </row>
    <row r="59444" spans="31:31">
      <c r="AE59444" s="54"/>
    </row>
    <row r="59445" spans="31:31">
      <c r="AE59445" s="54"/>
    </row>
    <row r="59446" spans="31:31">
      <c r="AE59446" s="54"/>
    </row>
    <row r="59447" spans="31:31">
      <c r="AE59447" s="54"/>
    </row>
    <row r="59448" spans="31:31">
      <c r="AE59448" s="54"/>
    </row>
    <row r="59449" spans="31:31">
      <c r="AE59449" s="54"/>
    </row>
    <row r="59450" spans="31:31">
      <c r="AE59450" s="54"/>
    </row>
    <row r="59451" spans="31:31">
      <c r="AE59451" s="54"/>
    </row>
    <row r="59452" spans="31:31">
      <c r="AE59452" s="54"/>
    </row>
    <row r="59453" spans="31:31">
      <c r="AE59453" s="54"/>
    </row>
    <row r="59454" spans="31:31">
      <c r="AE59454" s="54"/>
    </row>
    <row r="59455" spans="31:31">
      <c r="AE59455" s="54"/>
    </row>
    <row r="59456" spans="31:31">
      <c r="AE59456" s="54"/>
    </row>
    <row r="59457" spans="31:31">
      <c r="AE59457" s="54"/>
    </row>
    <row r="59458" spans="31:31">
      <c r="AE59458" s="54"/>
    </row>
    <row r="59459" spans="31:31">
      <c r="AE59459" s="54"/>
    </row>
    <row r="59460" spans="31:31">
      <c r="AE59460" s="54"/>
    </row>
    <row r="59461" spans="31:31">
      <c r="AE59461" s="54"/>
    </row>
    <row r="59462" spans="31:31">
      <c r="AE59462" s="54"/>
    </row>
    <row r="59463" spans="31:31">
      <c r="AE59463" s="54"/>
    </row>
    <row r="59464" spans="31:31">
      <c r="AE59464" s="54"/>
    </row>
    <row r="59465" spans="31:31">
      <c r="AE59465" s="54"/>
    </row>
    <row r="59466" spans="31:31">
      <c r="AE59466" s="54"/>
    </row>
    <row r="59467" spans="31:31">
      <c r="AE59467" s="54"/>
    </row>
    <row r="59468" spans="31:31">
      <c r="AE59468" s="54"/>
    </row>
    <row r="59469" spans="31:31">
      <c r="AE59469" s="54"/>
    </row>
    <row r="59470" spans="31:31">
      <c r="AE59470" s="54"/>
    </row>
    <row r="59471" spans="31:31">
      <c r="AE59471" s="54"/>
    </row>
    <row r="59472" spans="31:31">
      <c r="AE59472" s="54"/>
    </row>
    <row r="59473" spans="31:31">
      <c r="AE59473" s="54"/>
    </row>
    <row r="59474" spans="31:31">
      <c r="AE59474" s="54"/>
    </row>
    <row r="59475" spans="31:31">
      <c r="AE59475" s="54"/>
    </row>
    <row r="59476" spans="31:31">
      <c r="AE59476" s="54"/>
    </row>
    <row r="59477" spans="31:31">
      <c r="AE59477" s="54"/>
    </row>
    <row r="59478" spans="31:31">
      <c r="AE59478" s="54"/>
    </row>
    <row r="59479" spans="31:31">
      <c r="AE59479" s="54"/>
    </row>
    <row r="59480" spans="31:31">
      <c r="AE59480" s="54"/>
    </row>
    <row r="59481" spans="31:31">
      <c r="AE59481" s="54"/>
    </row>
    <row r="59482" spans="31:31">
      <c r="AE59482" s="54"/>
    </row>
    <row r="59483" spans="31:31">
      <c r="AE59483" s="54"/>
    </row>
    <row r="59484" spans="31:31">
      <c r="AE59484" s="54"/>
    </row>
    <row r="59485" spans="31:31">
      <c r="AE59485" s="54"/>
    </row>
    <row r="59486" spans="31:31">
      <c r="AE59486" s="54"/>
    </row>
    <row r="59487" spans="31:31">
      <c r="AE59487" s="54"/>
    </row>
    <row r="59488" spans="31:31">
      <c r="AE59488" s="54"/>
    </row>
    <row r="59489" spans="31:31">
      <c r="AE59489" s="54"/>
    </row>
    <row r="59490" spans="31:31">
      <c r="AE59490" s="54"/>
    </row>
    <row r="59491" spans="31:31">
      <c r="AE59491" s="54"/>
    </row>
    <row r="59492" spans="31:31">
      <c r="AE59492" s="54"/>
    </row>
    <row r="59493" spans="31:31">
      <c r="AE59493" s="54"/>
    </row>
    <row r="59494" spans="31:31">
      <c r="AE59494" s="54"/>
    </row>
    <row r="59495" spans="31:31">
      <c r="AE59495" s="54"/>
    </row>
    <row r="59496" spans="31:31">
      <c r="AE59496" s="54"/>
    </row>
    <row r="59497" spans="31:31">
      <c r="AE59497" s="54"/>
    </row>
    <row r="59498" spans="31:31">
      <c r="AE59498" s="54"/>
    </row>
    <row r="59499" spans="31:31">
      <c r="AE59499" s="54"/>
    </row>
    <row r="59500" spans="31:31">
      <c r="AE59500" s="54"/>
    </row>
    <row r="59501" spans="31:31">
      <c r="AE59501" s="54"/>
    </row>
    <row r="59502" spans="31:31">
      <c r="AE59502" s="54"/>
    </row>
    <row r="59503" spans="31:31">
      <c r="AE59503" s="54"/>
    </row>
    <row r="59504" spans="31:31">
      <c r="AE59504" s="54"/>
    </row>
    <row r="59505" spans="31:31">
      <c r="AE59505" s="54"/>
    </row>
    <row r="59506" spans="31:31">
      <c r="AE59506" s="54"/>
    </row>
    <row r="59507" spans="31:31">
      <c r="AE59507" s="54"/>
    </row>
    <row r="59508" spans="31:31">
      <c r="AE59508" s="54"/>
    </row>
    <row r="59509" spans="31:31">
      <c r="AE59509" s="54"/>
    </row>
    <row r="59510" spans="31:31">
      <c r="AE59510" s="54"/>
    </row>
    <row r="59511" spans="31:31">
      <c r="AE59511" s="54"/>
    </row>
    <row r="59512" spans="31:31">
      <c r="AE59512" s="54"/>
    </row>
    <row r="59513" spans="31:31">
      <c r="AE59513" s="54"/>
    </row>
    <row r="59514" spans="31:31">
      <c r="AE59514" s="54"/>
    </row>
    <row r="59515" spans="31:31">
      <c r="AE59515" s="54"/>
    </row>
    <row r="59516" spans="31:31">
      <c r="AE59516" s="54"/>
    </row>
    <row r="59517" spans="31:31">
      <c r="AE59517" s="54"/>
    </row>
    <row r="59518" spans="31:31">
      <c r="AE59518" s="54"/>
    </row>
    <row r="59519" spans="31:31">
      <c r="AE59519" s="54"/>
    </row>
    <row r="59520" spans="31:31">
      <c r="AE59520" s="54"/>
    </row>
    <row r="59521" spans="31:31">
      <c r="AE59521" s="54"/>
    </row>
    <row r="59522" spans="31:31">
      <c r="AE59522" s="54"/>
    </row>
    <row r="59523" spans="31:31">
      <c r="AE59523" s="54"/>
    </row>
    <row r="59524" spans="31:31">
      <c r="AE59524" s="54"/>
    </row>
    <row r="59525" spans="31:31">
      <c r="AE59525" s="54"/>
    </row>
    <row r="59526" spans="31:31">
      <c r="AE59526" s="54"/>
    </row>
    <row r="59527" spans="31:31">
      <c r="AE59527" s="54"/>
    </row>
    <row r="59528" spans="31:31">
      <c r="AE59528" s="54"/>
    </row>
    <row r="59529" spans="31:31">
      <c r="AE59529" s="54"/>
    </row>
    <row r="59530" spans="31:31">
      <c r="AE59530" s="54"/>
    </row>
    <row r="59531" spans="31:31">
      <c r="AE59531" s="54"/>
    </row>
    <row r="59532" spans="31:31">
      <c r="AE59532" s="54"/>
    </row>
    <row r="59533" spans="31:31">
      <c r="AE59533" s="54"/>
    </row>
    <row r="59534" spans="31:31">
      <c r="AE59534" s="54"/>
    </row>
    <row r="59535" spans="31:31">
      <c r="AE59535" s="54"/>
    </row>
    <row r="59536" spans="31:31">
      <c r="AE59536" s="54"/>
    </row>
    <row r="59537" spans="31:31">
      <c r="AE59537" s="54"/>
    </row>
    <row r="59538" spans="31:31">
      <c r="AE59538" s="54"/>
    </row>
    <row r="59539" spans="31:31">
      <c r="AE59539" s="54"/>
    </row>
    <row r="59540" spans="31:31">
      <c r="AE59540" s="54"/>
    </row>
    <row r="59541" spans="31:31">
      <c r="AE59541" s="54"/>
    </row>
    <row r="59542" spans="31:31">
      <c r="AE59542" s="54"/>
    </row>
    <row r="59543" spans="31:31">
      <c r="AE59543" s="54"/>
    </row>
    <row r="59544" spans="31:31">
      <c r="AE59544" s="54"/>
    </row>
    <row r="59545" spans="31:31">
      <c r="AE59545" s="54"/>
    </row>
    <row r="59546" spans="31:31">
      <c r="AE59546" s="54"/>
    </row>
    <row r="59547" spans="31:31">
      <c r="AE59547" s="54"/>
    </row>
    <row r="59548" spans="31:31">
      <c r="AE59548" s="54"/>
    </row>
    <row r="59549" spans="31:31">
      <c r="AE59549" s="54"/>
    </row>
    <row r="59550" spans="31:31">
      <c r="AE59550" s="54"/>
    </row>
    <row r="59551" spans="31:31">
      <c r="AE59551" s="54"/>
    </row>
    <row r="59552" spans="31:31">
      <c r="AE59552" s="54"/>
    </row>
    <row r="59553" spans="31:31">
      <c r="AE59553" s="54"/>
    </row>
    <row r="59554" spans="31:31">
      <c r="AE59554" s="54"/>
    </row>
    <row r="59555" spans="31:31">
      <c r="AE59555" s="54"/>
    </row>
    <row r="59556" spans="31:31">
      <c r="AE59556" s="54"/>
    </row>
    <row r="59557" spans="31:31">
      <c r="AE59557" s="54"/>
    </row>
    <row r="59558" spans="31:31">
      <c r="AE59558" s="54"/>
    </row>
    <row r="59559" spans="31:31">
      <c r="AE59559" s="54"/>
    </row>
    <row r="59560" spans="31:31">
      <c r="AE59560" s="54"/>
    </row>
    <row r="59561" spans="31:31">
      <c r="AE59561" s="54"/>
    </row>
    <row r="59562" spans="31:31">
      <c r="AE59562" s="54"/>
    </row>
    <row r="59563" spans="31:31">
      <c r="AE59563" s="54"/>
    </row>
    <row r="59564" spans="31:31">
      <c r="AE59564" s="54"/>
    </row>
    <row r="59565" spans="31:31">
      <c r="AE59565" s="54"/>
    </row>
    <row r="59566" spans="31:31">
      <c r="AE59566" s="54"/>
    </row>
    <row r="59567" spans="31:31">
      <c r="AE59567" s="54"/>
    </row>
    <row r="59568" spans="31:31">
      <c r="AE59568" s="54"/>
    </row>
    <row r="59569" spans="31:31">
      <c r="AE59569" s="54"/>
    </row>
    <row r="59570" spans="31:31">
      <c r="AE59570" s="54"/>
    </row>
    <row r="59571" spans="31:31">
      <c r="AE59571" s="54"/>
    </row>
    <row r="59572" spans="31:31">
      <c r="AE59572" s="54"/>
    </row>
    <row r="59573" spans="31:31">
      <c r="AE59573" s="54"/>
    </row>
    <row r="59574" spans="31:31">
      <c r="AE59574" s="54"/>
    </row>
    <row r="59575" spans="31:31">
      <c r="AE59575" s="54"/>
    </row>
    <row r="59576" spans="31:31">
      <c r="AE59576" s="54"/>
    </row>
    <row r="59577" spans="31:31">
      <c r="AE59577" s="54"/>
    </row>
    <row r="59578" spans="31:31">
      <c r="AE59578" s="54"/>
    </row>
    <row r="59579" spans="31:31">
      <c r="AE59579" s="54"/>
    </row>
    <row r="59580" spans="31:31">
      <c r="AE59580" s="54"/>
    </row>
    <row r="59581" spans="31:31">
      <c r="AE59581" s="54"/>
    </row>
    <row r="59582" spans="31:31">
      <c r="AE59582" s="54"/>
    </row>
    <row r="59583" spans="31:31">
      <c r="AE59583" s="54"/>
    </row>
    <row r="59584" spans="31:31">
      <c r="AE59584" s="54"/>
    </row>
    <row r="59585" spans="31:31">
      <c r="AE59585" s="54"/>
    </row>
    <row r="59586" spans="31:31">
      <c r="AE59586" s="54"/>
    </row>
    <row r="59587" spans="31:31">
      <c r="AE59587" s="54"/>
    </row>
    <row r="59588" spans="31:31">
      <c r="AE59588" s="54"/>
    </row>
    <row r="59589" spans="31:31">
      <c r="AE59589" s="54"/>
    </row>
    <row r="59590" spans="31:31">
      <c r="AE59590" s="54"/>
    </row>
    <row r="59591" spans="31:31">
      <c r="AE59591" s="54"/>
    </row>
    <row r="59592" spans="31:31">
      <c r="AE59592" s="54"/>
    </row>
    <row r="59593" spans="31:31">
      <c r="AE59593" s="54"/>
    </row>
    <row r="59594" spans="31:31">
      <c r="AE59594" s="54"/>
    </row>
    <row r="59595" spans="31:31">
      <c r="AE59595" s="54"/>
    </row>
    <row r="59596" spans="31:31">
      <c r="AE59596" s="54"/>
    </row>
    <row r="59597" spans="31:31">
      <c r="AE59597" s="54"/>
    </row>
    <row r="59598" spans="31:31">
      <c r="AE59598" s="54"/>
    </row>
    <row r="59599" spans="31:31">
      <c r="AE59599" s="54"/>
    </row>
    <row r="59600" spans="31:31">
      <c r="AE59600" s="54"/>
    </row>
    <row r="59601" spans="31:31">
      <c r="AE59601" s="54"/>
    </row>
    <row r="59602" spans="31:31">
      <c r="AE59602" s="54"/>
    </row>
    <row r="59603" spans="31:31">
      <c r="AE59603" s="54"/>
    </row>
    <row r="59604" spans="31:31">
      <c r="AE59604" s="54"/>
    </row>
    <row r="59605" spans="31:31">
      <c r="AE59605" s="54"/>
    </row>
    <row r="59606" spans="31:31">
      <c r="AE59606" s="54"/>
    </row>
    <row r="59607" spans="31:31">
      <c r="AE59607" s="54"/>
    </row>
    <row r="59608" spans="31:31">
      <c r="AE59608" s="54"/>
    </row>
    <row r="59609" spans="31:31">
      <c r="AE59609" s="54"/>
    </row>
    <row r="59610" spans="31:31">
      <c r="AE59610" s="54"/>
    </row>
    <row r="59611" spans="31:31">
      <c r="AE59611" s="54"/>
    </row>
    <row r="59612" spans="31:31">
      <c r="AE59612" s="54"/>
    </row>
    <row r="59613" spans="31:31">
      <c r="AE59613" s="54"/>
    </row>
    <row r="59614" spans="31:31">
      <c r="AE59614" s="54"/>
    </row>
    <row r="59615" spans="31:31">
      <c r="AE59615" s="54"/>
    </row>
    <row r="59616" spans="31:31">
      <c r="AE59616" s="54"/>
    </row>
    <row r="59617" spans="31:31">
      <c r="AE59617" s="54"/>
    </row>
    <row r="59618" spans="31:31">
      <c r="AE59618" s="54"/>
    </row>
    <row r="59619" spans="31:31">
      <c r="AE59619" s="54"/>
    </row>
    <row r="59620" spans="31:31">
      <c r="AE59620" s="54"/>
    </row>
    <row r="59621" spans="31:31">
      <c r="AE59621" s="54"/>
    </row>
    <row r="59622" spans="31:31">
      <c r="AE59622" s="54"/>
    </row>
    <row r="59623" spans="31:31">
      <c r="AE59623" s="54"/>
    </row>
    <row r="59624" spans="31:31">
      <c r="AE59624" s="54"/>
    </row>
    <row r="59625" spans="31:31">
      <c r="AE59625" s="54"/>
    </row>
    <row r="59626" spans="31:31">
      <c r="AE59626" s="54"/>
    </row>
    <row r="59627" spans="31:31">
      <c r="AE59627" s="54"/>
    </row>
    <row r="59628" spans="31:31">
      <c r="AE59628" s="54"/>
    </row>
    <row r="59629" spans="31:31">
      <c r="AE59629" s="54"/>
    </row>
    <row r="59630" spans="31:31">
      <c r="AE59630" s="54"/>
    </row>
    <row r="59631" spans="31:31">
      <c r="AE59631" s="54"/>
    </row>
    <row r="59632" spans="31:31">
      <c r="AE59632" s="54"/>
    </row>
    <row r="59633" spans="31:31">
      <c r="AE59633" s="54"/>
    </row>
    <row r="59634" spans="31:31">
      <c r="AE59634" s="54"/>
    </row>
    <row r="59635" spans="31:31">
      <c r="AE59635" s="54"/>
    </row>
    <row r="59636" spans="31:31">
      <c r="AE59636" s="54"/>
    </row>
    <row r="59637" spans="31:31">
      <c r="AE59637" s="54"/>
    </row>
    <row r="59638" spans="31:31">
      <c r="AE59638" s="54"/>
    </row>
    <row r="59639" spans="31:31">
      <c r="AE59639" s="54"/>
    </row>
    <row r="59640" spans="31:31">
      <c r="AE59640" s="54"/>
    </row>
    <row r="59641" spans="31:31">
      <c r="AE59641" s="54"/>
    </row>
    <row r="59642" spans="31:31">
      <c r="AE59642" s="54"/>
    </row>
    <row r="59643" spans="31:31">
      <c r="AE59643" s="54"/>
    </row>
    <row r="59644" spans="31:31">
      <c r="AE59644" s="54"/>
    </row>
    <row r="59645" spans="31:31">
      <c r="AE59645" s="54"/>
    </row>
    <row r="59646" spans="31:31">
      <c r="AE59646" s="54"/>
    </row>
    <row r="59647" spans="31:31">
      <c r="AE59647" s="54"/>
    </row>
    <row r="59648" spans="31:31">
      <c r="AE59648" s="54"/>
    </row>
    <row r="59649" spans="31:31">
      <c r="AE59649" s="54"/>
    </row>
    <row r="59650" spans="31:31">
      <c r="AE59650" s="54"/>
    </row>
    <row r="59651" spans="31:31">
      <c r="AE59651" s="54"/>
    </row>
    <row r="59652" spans="31:31">
      <c r="AE59652" s="54"/>
    </row>
    <row r="59653" spans="31:31">
      <c r="AE59653" s="54"/>
    </row>
    <row r="59654" spans="31:31">
      <c r="AE59654" s="54"/>
    </row>
    <row r="59655" spans="31:31">
      <c r="AE59655" s="54"/>
    </row>
    <row r="59656" spans="31:31">
      <c r="AE59656" s="54"/>
    </row>
    <row r="59657" spans="31:31">
      <c r="AE59657" s="54"/>
    </row>
    <row r="59658" spans="31:31">
      <c r="AE59658" s="54"/>
    </row>
    <row r="59659" spans="31:31">
      <c r="AE59659" s="54"/>
    </row>
    <row r="59660" spans="31:31">
      <c r="AE59660" s="54"/>
    </row>
    <row r="59661" spans="31:31">
      <c r="AE59661" s="54"/>
    </row>
    <row r="59662" spans="31:31">
      <c r="AE59662" s="54"/>
    </row>
    <row r="59663" spans="31:31">
      <c r="AE59663" s="54"/>
    </row>
    <row r="59664" spans="31:31">
      <c r="AE59664" s="54"/>
    </row>
    <row r="59665" spans="31:31">
      <c r="AE59665" s="54"/>
    </row>
    <row r="59666" spans="31:31">
      <c r="AE59666" s="54"/>
    </row>
    <row r="59667" spans="31:31">
      <c r="AE59667" s="54"/>
    </row>
    <row r="59668" spans="31:31">
      <c r="AE59668" s="54"/>
    </row>
    <row r="59669" spans="31:31">
      <c r="AE59669" s="54"/>
    </row>
    <row r="59670" spans="31:31">
      <c r="AE59670" s="54"/>
    </row>
    <row r="59671" spans="31:31">
      <c r="AE59671" s="54"/>
    </row>
    <row r="59672" spans="31:31">
      <c r="AE59672" s="54"/>
    </row>
    <row r="59673" spans="31:31">
      <c r="AE59673" s="54"/>
    </row>
    <row r="59674" spans="31:31">
      <c r="AE59674" s="54"/>
    </row>
    <row r="59675" spans="31:31">
      <c r="AE59675" s="54"/>
    </row>
    <row r="59676" spans="31:31">
      <c r="AE59676" s="54"/>
    </row>
    <row r="59677" spans="31:31">
      <c r="AE59677" s="54"/>
    </row>
    <row r="59678" spans="31:31">
      <c r="AE59678" s="54"/>
    </row>
    <row r="59679" spans="31:31">
      <c r="AE59679" s="54"/>
    </row>
    <row r="59680" spans="31:31">
      <c r="AE59680" s="54"/>
    </row>
    <row r="59681" spans="31:31">
      <c r="AE59681" s="54"/>
    </row>
    <row r="59682" spans="31:31">
      <c r="AE59682" s="54"/>
    </row>
    <row r="59683" spans="31:31">
      <c r="AE59683" s="54"/>
    </row>
    <row r="59684" spans="31:31">
      <c r="AE59684" s="54"/>
    </row>
    <row r="59685" spans="31:31">
      <c r="AE59685" s="54"/>
    </row>
    <row r="59686" spans="31:31">
      <c r="AE59686" s="54"/>
    </row>
    <row r="59687" spans="31:31">
      <c r="AE59687" s="54"/>
    </row>
    <row r="59688" spans="31:31">
      <c r="AE59688" s="54"/>
    </row>
    <row r="59689" spans="31:31">
      <c r="AE59689" s="54"/>
    </row>
    <row r="59690" spans="31:31">
      <c r="AE59690" s="54"/>
    </row>
    <row r="59691" spans="31:31">
      <c r="AE59691" s="54"/>
    </row>
    <row r="59692" spans="31:31">
      <c r="AE59692" s="54"/>
    </row>
    <row r="59693" spans="31:31">
      <c r="AE59693" s="54"/>
    </row>
    <row r="59694" spans="31:31">
      <c r="AE59694" s="54"/>
    </row>
    <row r="59695" spans="31:31">
      <c r="AE59695" s="54"/>
    </row>
    <row r="59696" spans="31:31">
      <c r="AE59696" s="54"/>
    </row>
    <row r="59697" spans="31:31">
      <c r="AE59697" s="54"/>
    </row>
    <row r="59698" spans="31:31">
      <c r="AE59698" s="54"/>
    </row>
    <row r="59699" spans="31:31">
      <c r="AE59699" s="54"/>
    </row>
    <row r="59700" spans="31:31">
      <c r="AE59700" s="54"/>
    </row>
    <row r="59701" spans="31:31">
      <c r="AE59701" s="54"/>
    </row>
    <row r="59702" spans="31:31">
      <c r="AE59702" s="54"/>
    </row>
    <row r="59703" spans="31:31">
      <c r="AE59703" s="54"/>
    </row>
    <row r="59704" spans="31:31">
      <c r="AE59704" s="54"/>
    </row>
    <row r="59705" spans="31:31">
      <c r="AE59705" s="54"/>
    </row>
    <row r="59706" spans="31:31">
      <c r="AE59706" s="54"/>
    </row>
    <row r="59707" spans="31:31">
      <c r="AE59707" s="54"/>
    </row>
    <row r="59708" spans="31:31">
      <c r="AE59708" s="54"/>
    </row>
    <row r="59709" spans="31:31">
      <c r="AE59709" s="54"/>
    </row>
    <row r="59710" spans="31:31">
      <c r="AE59710" s="54"/>
    </row>
    <row r="59711" spans="31:31">
      <c r="AE59711" s="54"/>
    </row>
    <row r="59712" spans="31:31">
      <c r="AE59712" s="54"/>
    </row>
    <row r="59713" spans="31:31">
      <c r="AE59713" s="54"/>
    </row>
    <row r="59714" spans="31:31">
      <c r="AE59714" s="54"/>
    </row>
    <row r="59715" spans="31:31">
      <c r="AE59715" s="54"/>
    </row>
    <row r="59716" spans="31:31">
      <c r="AE59716" s="54"/>
    </row>
    <row r="59717" spans="31:31">
      <c r="AE59717" s="54"/>
    </row>
    <row r="59718" spans="31:31">
      <c r="AE59718" s="54"/>
    </row>
    <row r="59719" spans="31:31">
      <c r="AE59719" s="54"/>
    </row>
    <row r="59720" spans="31:31">
      <c r="AE59720" s="54"/>
    </row>
    <row r="59721" spans="31:31">
      <c r="AE59721" s="54"/>
    </row>
    <row r="59722" spans="31:31">
      <c r="AE59722" s="54"/>
    </row>
    <row r="59723" spans="31:31">
      <c r="AE59723" s="54"/>
    </row>
    <row r="59724" spans="31:31">
      <c r="AE59724" s="54"/>
    </row>
    <row r="59725" spans="31:31">
      <c r="AE59725" s="54"/>
    </row>
    <row r="59726" spans="31:31">
      <c r="AE59726" s="54"/>
    </row>
    <row r="59727" spans="31:31">
      <c r="AE59727" s="54"/>
    </row>
    <row r="59728" spans="31:31">
      <c r="AE59728" s="54"/>
    </row>
    <row r="59729" spans="31:31">
      <c r="AE59729" s="54"/>
    </row>
    <row r="59730" spans="31:31">
      <c r="AE59730" s="54"/>
    </row>
    <row r="59731" spans="31:31">
      <c r="AE59731" s="54"/>
    </row>
    <row r="59732" spans="31:31">
      <c r="AE59732" s="54"/>
    </row>
    <row r="59733" spans="31:31">
      <c r="AE59733" s="54"/>
    </row>
    <row r="59734" spans="31:31">
      <c r="AE59734" s="54"/>
    </row>
    <row r="59735" spans="31:31">
      <c r="AE59735" s="54"/>
    </row>
    <row r="59736" spans="31:31">
      <c r="AE59736" s="54"/>
    </row>
    <row r="59737" spans="31:31">
      <c r="AE59737" s="54"/>
    </row>
    <row r="59738" spans="31:31">
      <c r="AE59738" s="54"/>
    </row>
    <row r="59739" spans="31:31">
      <c r="AE59739" s="54"/>
    </row>
    <row r="59740" spans="31:31">
      <c r="AE59740" s="54"/>
    </row>
    <row r="59741" spans="31:31">
      <c r="AE59741" s="54"/>
    </row>
    <row r="59742" spans="31:31">
      <c r="AE59742" s="54"/>
    </row>
    <row r="59743" spans="31:31">
      <c r="AE59743" s="54"/>
    </row>
    <row r="59744" spans="31:31">
      <c r="AE59744" s="54"/>
    </row>
    <row r="59745" spans="31:31">
      <c r="AE59745" s="54"/>
    </row>
    <row r="59746" spans="31:31">
      <c r="AE59746" s="54"/>
    </row>
    <row r="59747" spans="31:31">
      <c r="AE59747" s="54"/>
    </row>
    <row r="59748" spans="31:31">
      <c r="AE59748" s="54"/>
    </row>
    <row r="59749" spans="31:31">
      <c r="AE59749" s="54"/>
    </row>
    <row r="59750" spans="31:31">
      <c r="AE59750" s="54"/>
    </row>
    <row r="59751" spans="31:31">
      <c r="AE59751" s="54"/>
    </row>
    <row r="59752" spans="31:31">
      <c r="AE59752" s="54"/>
    </row>
    <row r="59753" spans="31:31">
      <c r="AE59753" s="54"/>
    </row>
    <row r="59754" spans="31:31">
      <c r="AE59754" s="54"/>
    </row>
    <row r="59755" spans="31:31">
      <c r="AE59755" s="54"/>
    </row>
    <row r="59756" spans="31:31">
      <c r="AE59756" s="54"/>
    </row>
    <row r="59757" spans="31:31">
      <c r="AE59757" s="54"/>
    </row>
    <row r="59758" spans="31:31">
      <c r="AE59758" s="54"/>
    </row>
    <row r="59759" spans="31:31">
      <c r="AE59759" s="54"/>
    </row>
    <row r="59760" spans="31:31">
      <c r="AE59760" s="54"/>
    </row>
    <row r="59761" spans="31:31">
      <c r="AE59761" s="54"/>
    </row>
    <row r="59762" spans="31:31">
      <c r="AE59762" s="54"/>
    </row>
    <row r="59763" spans="31:31">
      <c r="AE59763" s="54"/>
    </row>
    <row r="59764" spans="31:31">
      <c r="AE59764" s="54"/>
    </row>
    <row r="59765" spans="31:31">
      <c r="AE59765" s="54"/>
    </row>
    <row r="59766" spans="31:31">
      <c r="AE59766" s="54"/>
    </row>
    <row r="59767" spans="31:31">
      <c r="AE59767" s="54"/>
    </row>
    <row r="59768" spans="31:31">
      <c r="AE59768" s="54"/>
    </row>
    <row r="59769" spans="31:31">
      <c r="AE59769" s="54"/>
    </row>
    <row r="59770" spans="31:31">
      <c r="AE59770" s="54"/>
    </row>
    <row r="59771" spans="31:31">
      <c r="AE59771" s="54"/>
    </row>
    <row r="59772" spans="31:31">
      <c r="AE59772" s="54"/>
    </row>
    <row r="59773" spans="31:31">
      <c r="AE59773" s="54"/>
    </row>
    <row r="59774" spans="31:31">
      <c r="AE59774" s="54"/>
    </row>
    <row r="59775" spans="31:31">
      <c r="AE59775" s="54"/>
    </row>
    <row r="59776" spans="31:31">
      <c r="AE59776" s="54"/>
    </row>
    <row r="59777" spans="31:31">
      <c r="AE59777" s="54"/>
    </row>
    <row r="59778" spans="31:31">
      <c r="AE59778" s="54"/>
    </row>
    <row r="59779" spans="31:31">
      <c r="AE59779" s="54"/>
    </row>
    <row r="59780" spans="31:31">
      <c r="AE59780" s="54"/>
    </row>
    <row r="59781" spans="31:31">
      <c r="AE59781" s="54"/>
    </row>
    <row r="59782" spans="31:31">
      <c r="AE59782" s="54"/>
    </row>
    <row r="59783" spans="31:31">
      <c r="AE59783" s="54"/>
    </row>
    <row r="59784" spans="31:31">
      <c r="AE59784" s="54"/>
    </row>
    <row r="59785" spans="31:31">
      <c r="AE59785" s="54"/>
    </row>
    <row r="59786" spans="31:31">
      <c r="AE59786" s="54"/>
    </row>
    <row r="59787" spans="31:31">
      <c r="AE59787" s="54"/>
    </row>
    <row r="59788" spans="31:31">
      <c r="AE59788" s="54"/>
    </row>
    <row r="59789" spans="31:31">
      <c r="AE59789" s="54"/>
    </row>
    <row r="59790" spans="31:31">
      <c r="AE59790" s="54"/>
    </row>
    <row r="59791" spans="31:31">
      <c r="AE59791" s="54"/>
    </row>
    <row r="59792" spans="31:31">
      <c r="AE59792" s="54"/>
    </row>
    <row r="59793" spans="31:31">
      <c r="AE59793" s="54"/>
    </row>
    <row r="59794" spans="31:31">
      <c r="AE59794" s="54"/>
    </row>
    <row r="59795" spans="31:31">
      <c r="AE59795" s="54"/>
    </row>
    <row r="59796" spans="31:31">
      <c r="AE59796" s="54"/>
    </row>
    <row r="59797" spans="31:31">
      <c r="AE59797" s="54"/>
    </row>
    <row r="59798" spans="31:31">
      <c r="AE59798" s="54"/>
    </row>
    <row r="59799" spans="31:31">
      <c r="AE59799" s="54"/>
    </row>
    <row r="59800" spans="31:31">
      <c r="AE59800" s="54"/>
    </row>
    <row r="59801" spans="31:31">
      <c r="AE59801" s="54"/>
    </row>
    <row r="59802" spans="31:31">
      <c r="AE59802" s="54"/>
    </row>
    <row r="59803" spans="31:31">
      <c r="AE59803" s="54"/>
    </row>
    <row r="59804" spans="31:31">
      <c r="AE59804" s="54"/>
    </row>
    <row r="59805" spans="31:31">
      <c r="AE59805" s="54"/>
    </row>
    <row r="59806" spans="31:31">
      <c r="AE59806" s="54"/>
    </row>
    <row r="59807" spans="31:31">
      <c r="AE59807" s="54"/>
    </row>
    <row r="59808" spans="31:31">
      <c r="AE59808" s="54"/>
    </row>
    <row r="59809" spans="31:31">
      <c r="AE59809" s="54"/>
    </row>
    <row r="59810" spans="31:31">
      <c r="AE59810" s="54"/>
    </row>
    <row r="59811" spans="31:31">
      <c r="AE59811" s="54"/>
    </row>
    <row r="59812" spans="31:31">
      <c r="AE59812" s="54"/>
    </row>
    <row r="59813" spans="31:31">
      <c r="AE59813" s="54"/>
    </row>
    <row r="59814" spans="31:31">
      <c r="AE59814" s="54"/>
    </row>
    <row r="59815" spans="31:31">
      <c r="AE59815" s="54"/>
    </row>
    <row r="59816" spans="31:31">
      <c r="AE59816" s="54"/>
    </row>
    <row r="59817" spans="31:31">
      <c r="AE59817" s="54"/>
    </row>
    <row r="59818" spans="31:31">
      <c r="AE59818" s="54"/>
    </row>
    <row r="59819" spans="31:31">
      <c r="AE59819" s="54"/>
    </row>
    <row r="59820" spans="31:31">
      <c r="AE59820" s="54"/>
    </row>
    <row r="59821" spans="31:31">
      <c r="AE59821" s="54"/>
    </row>
    <row r="59822" spans="31:31">
      <c r="AE59822" s="54"/>
    </row>
    <row r="59823" spans="31:31">
      <c r="AE59823" s="54"/>
    </row>
    <row r="59824" spans="31:31">
      <c r="AE59824" s="54"/>
    </row>
    <row r="59825" spans="31:31">
      <c r="AE59825" s="54"/>
    </row>
    <row r="59826" spans="31:31">
      <c r="AE59826" s="54"/>
    </row>
    <row r="59827" spans="31:31">
      <c r="AE59827" s="54"/>
    </row>
    <row r="59828" spans="31:31">
      <c r="AE59828" s="54"/>
    </row>
    <row r="59829" spans="31:31">
      <c r="AE59829" s="54"/>
    </row>
    <row r="59830" spans="31:31">
      <c r="AE59830" s="54"/>
    </row>
    <row r="59831" spans="31:31">
      <c r="AE59831" s="54"/>
    </row>
    <row r="59832" spans="31:31">
      <c r="AE59832" s="54"/>
    </row>
    <row r="59833" spans="31:31">
      <c r="AE59833" s="54"/>
    </row>
    <row r="59834" spans="31:31">
      <c r="AE59834" s="54"/>
    </row>
    <row r="59835" spans="31:31">
      <c r="AE59835" s="54"/>
    </row>
    <row r="59836" spans="31:31">
      <c r="AE59836" s="54"/>
    </row>
    <row r="59837" spans="31:31">
      <c r="AE59837" s="54"/>
    </row>
    <row r="59838" spans="31:31">
      <c r="AE59838" s="54"/>
    </row>
    <row r="59839" spans="31:31">
      <c r="AE59839" s="54"/>
    </row>
    <row r="59840" spans="31:31">
      <c r="AE59840" s="54"/>
    </row>
    <row r="59841" spans="31:31">
      <c r="AE59841" s="54"/>
    </row>
    <row r="59842" spans="31:31">
      <c r="AE59842" s="54"/>
    </row>
    <row r="59843" spans="31:31">
      <c r="AE59843" s="54"/>
    </row>
    <row r="59844" spans="31:31">
      <c r="AE59844" s="54"/>
    </row>
    <row r="59845" spans="31:31">
      <c r="AE59845" s="54"/>
    </row>
    <row r="59846" spans="31:31">
      <c r="AE59846" s="54"/>
    </row>
    <row r="59847" spans="31:31">
      <c r="AE59847" s="54"/>
    </row>
    <row r="59848" spans="31:31">
      <c r="AE59848" s="54"/>
    </row>
    <row r="59849" spans="31:31">
      <c r="AE59849" s="54"/>
    </row>
    <row r="59850" spans="31:31">
      <c r="AE59850" s="54"/>
    </row>
    <row r="59851" spans="31:31">
      <c r="AE59851" s="54"/>
    </row>
    <row r="59852" spans="31:31">
      <c r="AE59852" s="54"/>
    </row>
    <row r="59853" spans="31:31">
      <c r="AE59853" s="54"/>
    </row>
    <row r="59854" spans="31:31">
      <c r="AE59854" s="54"/>
    </row>
    <row r="59855" spans="31:31">
      <c r="AE59855" s="54"/>
    </row>
    <row r="59856" spans="31:31">
      <c r="AE59856" s="54"/>
    </row>
    <row r="59857" spans="31:31">
      <c r="AE59857" s="54"/>
    </row>
    <row r="59858" spans="31:31">
      <c r="AE59858" s="54"/>
    </row>
    <row r="59859" spans="31:31">
      <c r="AE59859" s="54"/>
    </row>
    <row r="59860" spans="31:31">
      <c r="AE59860" s="54"/>
    </row>
    <row r="59861" spans="31:31">
      <c r="AE59861" s="54"/>
    </row>
    <row r="59862" spans="31:31">
      <c r="AE59862" s="54"/>
    </row>
    <row r="59863" spans="31:31">
      <c r="AE59863" s="54"/>
    </row>
    <row r="59864" spans="31:31">
      <c r="AE59864" s="54"/>
    </row>
    <row r="59865" spans="31:31">
      <c r="AE59865" s="54"/>
    </row>
    <row r="59866" spans="31:31">
      <c r="AE59866" s="54"/>
    </row>
    <row r="59867" spans="31:31">
      <c r="AE59867" s="54"/>
    </row>
    <row r="59868" spans="31:31">
      <c r="AE59868" s="54"/>
    </row>
    <row r="59869" spans="31:31">
      <c r="AE59869" s="54"/>
    </row>
    <row r="59870" spans="31:31">
      <c r="AE59870" s="54"/>
    </row>
    <row r="59871" spans="31:31">
      <c r="AE59871" s="54"/>
    </row>
    <row r="59872" spans="31:31">
      <c r="AE59872" s="54"/>
    </row>
    <row r="59873" spans="31:31">
      <c r="AE59873" s="54"/>
    </row>
    <row r="59874" spans="31:31">
      <c r="AE59874" s="54"/>
    </row>
    <row r="59875" spans="31:31">
      <c r="AE59875" s="54"/>
    </row>
    <row r="59876" spans="31:31">
      <c r="AE59876" s="54"/>
    </row>
    <row r="59877" spans="31:31">
      <c r="AE59877" s="54"/>
    </row>
    <row r="59878" spans="31:31">
      <c r="AE59878" s="54"/>
    </row>
    <row r="59879" spans="31:31">
      <c r="AE59879" s="54"/>
    </row>
    <row r="59880" spans="31:31">
      <c r="AE59880" s="54"/>
    </row>
    <row r="59881" spans="31:31">
      <c r="AE59881" s="54"/>
    </row>
    <row r="59882" spans="31:31">
      <c r="AE59882" s="54"/>
    </row>
    <row r="59883" spans="31:31">
      <c r="AE59883" s="54"/>
    </row>
    <row r="59884" spans="31:31">
      <c r="AE59884" s="54"/>
    </row>
    <row r="59885" spans="31:31">
      <c r="AE59885" s="54"/>
    </row>
    <row r="59886" spans="31:31">
      <c r="AE59886" s="54"/>
    </row>
    <row r="59887" spans="31:31">
      <c r="AE59887" s="54"/>
    </row>
    <row r="59888" spans="31:31">
      <c r="AE59888" s="54"/>
    </row>
    <row r="59889" spans="31:31">
      <c r="AE59889" s="54"/>
    </row>
    <row r="59890" spans="31:31">
      <c r="AE59890" s="54"/>
    </row>
    <row r="59891" spans="31:31">
      <c r="AE59891" s="54"/>
    </row>
    <row r="59892" spans="31:31">
      <c r="AE59892" s="54"/>
    </row>
    <row r="59893" spans="31:31">
      <c r="AE59893" s="54"/>
    </row>
    <row r="59894" spans="31:31">
      <c r="AE59894" s="54"/>
    </row>
    <row r="59895" spans="31:31">
      <c r="AE59895" s="54"/>
    </row>
    <row r="59896" spans="31:31">
      <c r="AE59896" s="54"/>
    </row>
    <row r="59897" spans="31:31">
      <c r="AE59897" s="54"/>
    </row>
    <row r="59898" spans="31:31">
      <c r="AE59898" s="54"/>
    </row>
    <row r="59899" spans="31:31">
      <c r="AE59899" s="54"/>
    </row>
    <row r="59900" spans="31:31">
      <c r="AE59900" s="54"/>
    </row>
    <row r="59901" spans="31:31">
      <c r="AE59901" s="54"/>
    </row>
    <row r="59902" spans="31:31">
      <c r="AE59902" s="54"/>
    </row>
    <row r="59903" spans="31:31">
      <c r="AE59903" s="54"/>
    </row>
    <row r="59904" spans="31:31">
      <c r="AE59904" s="54"/>
    </row>
    <row r="59905" spans="31:31">
      <c r="AE59905" s="54"/>
    </row>
    <row r="59906" spans="31:31">
      <c r="AE59906" s="54"/>
    </row>
    <row r="59907" spans="31:31">
      <c r="AE59907" s="54"/>
    </row>
    <row r="59908" spans="31:31">
      <c r="AE59908" s="54"/>
    </row>
    <row r="59909" spans="31:31">
      <c r="AE59909" s="54"/>
    </row>
    <row r="59910" spans="31:31">
      <c r="AE59910" s="54"/>
    </row>
    <row r="59911" spans="31:31">
      <c r="AE59911" s="54"/>
    </row>
    <row r="59912" spans="31:31">
      <c r="AE59912" s="54"/>
    </row>
    <row r="59913" spans="31:31">
      <c r="AE59913" s="54"/>
    </row>
    <row r="59914" spans="31:31">
      <c r="AE59914" s="54"/>
    </row>
    <row r="59915" spans="31:31">
      <c r="AE59915" s="54"/>
    </row>
    <row r="59916" spans="31:31">
      <c r="AE59916" s="54"/>
    </row>
    <row r="59917" spans="31:31">
      <c r="AE59917" s="54"/>
    </row>
    <row r="59918" spans="31:31">
      <c r="AE59918" s="54"/>
    </row>
    <row r="59919" spans="31:31">
      <c r="AE59919" s="54"/>
    </row>
    <row r="59920" spans="31:31">
      <c r="AE59920" s="54"/>
    </row>
    <row r="59921" spans="31:31">
      <c r="AE59921" s="54"/>
    </row>
    <row r="59922" spans="31:31">
      <c r="AE59922" s="54"/>
    </row>
    <row r="59923" spans="31:31">
      <c r="AE59923" s="54"/>
    </row>
    <row r="59924" spans="31:31">
      <c r="AE59924" s="54"/>
    </row>
    <row r="59925" spans="31:31">
      <c r="AE59925" s="54"/>
    </row>
    <row r="59926" spans="31:31">
      <c r="AE59926" s="54"/>
    </row>
    <row r="59927" spans="31:31">
      <c r="AE59927" s="54"/>
    </row>
    <row r="59928" spans="31:31">
      <c r="AE59928" s="54"/>
    </row>
    <row r="59929" spans="31:31">
      <c r="AE59929" s="54"/>
    </row>
    <row r="59930" spans="31:31">
      <c r="AE59930" s="54"/>
    </row>
    <row r="59931" spans="31:31">
      <c r="AE59931" s="54"/>
    </row>
    <row r="59932" spans="31:31">
      <c r="AE59932" s="54"/>
    </row>
    <row r="59933" spans="31:31">
      <c r="AE59933" s="54"/>
    </row>
    <row r="59934" spans="31:31">
      <c r="AE59934" s="54"/>
    </row>
    <row r="59935" spans="31:31">
      <c r="AE59935" s="54"/>
    </row>
    <row r="59936" spans="31:31">
      <c r="AE59936" s="54"/>
    </row>
    <row r="59937" spans="31:31">
      <c r="AE59937" s="54"/>
    </row>
    <row r="59938" spans="31:31">
      <c r="AE59938" s="54"/>
    </row>
    <row r="59939" spans="31:31">
      <c r="AE59939" s="54"/>
    </row>
    <row r="59940" spans="31:31">
      <c r="AE59940" s="54"/>
    </row>
    <row r="59941" spans="31:31">
      <c r="AE59941" s="54"/>
    </row>
    <row r="59942" spans="31:31">
      <c r="AE59942" s="54"/>
    </row>
    <row r="59943" spans="31:31">
      <c r="AE59943" s="54"/>
    </row>
    <row r="59944" spans="31:31">
      <c r="AE59944" s="54"/>
    </row>
    <row r="59945" spans="31:31">
      <c r="AE59945" s="54"/>
    </row>
    <row r="59946" spans="31:31">
      <c r="AE59946" s="54"/>
    </row>
    <row r="59947" spans="31:31">
      <c r="AE59947" s="54"/>
    </row>
    <row r="59948" spans="31:31">
      <c r="AE59948" s="54"/>
    </row>
    <row r="59949" spans="31:31">
      <c r="AE59949" s="54"/>
    </row>
    <row r="59950" spans="31:31">
      <c r="AE59950" s="54"/>
    </row>
    <row r="59951" spans="31:31">
      <c r="AE59951" s="54"/>
    </row>
    <row r="59952" spans="31:31">
      <c r="AE59952" s="54"/>
    </row>
    <row r="59953" spans="31:31">
      <c r="AE59953" s="54"/>
    </row>
    <row r="59954" spans="31:31">
      <c r="AE59954" s="54"/>
    </row>
    <row r="59955" spans="31:31">
      <c r="AE59955" s="54"/>
    </row>
    <row r="59956" spans="31:31">
      <c r="AE59956" s="54"/>
    </row>
    <row r="59957" spans="31:31">
      <c r="AE59957" s="54"/>
    </row>
    <row r="59958" spans="31:31">
      <c r="AE59958" s="54"/>
    </row>
    <row r="59959" spans="31:31">
      <c r="AE59959" s="54"/>
    </row>
    <row r="59960" spans="31:31">
      <c r="AE59960" s="54"/>
    </row>
    <row r="59961" spans="31:31">
      <c r="AE59961" s="54"/>
    </row>
    <row r="59962" spans="31:31">
      <c r="AE59962" s="54"/>
    </row>
    <row r="59963" spans="31:31">
      <c r="AE59963" s="54"/>
    </row>
    <row r="59964" spans="31:31">
      <c r="AE59964" s="54"/>
    </row>
    <row r="59965" spans="31:31">
      <c r="AE59965" s="54"/>
    </row>
    <row r="59966" spans="31:31">
      <c r="AE59966" s="54"/>
    </row>
    <row r="59967" spans="31:31">
      <c r="AE59967" s="54"/>
    </row>
    <row r="59968" spans="31:31">
      <c r="AE59968" s="54"/>
    </row>
    <row r="59969" spans="31:31">
      <c r="AE59969" s="54"/>
    </row>
    <row r="59970" spans="31:31">
      <c r="AE59970" s="54"/>
    </row>
    <row r="59971" spans="31:31">
      <c r="AE59971" s="54"/>
    </row>
    <row r="59972" spans="31:31">
      <c r="AE59972" s="54"/>
    </row>
    <row r="59973" spans="31:31">
      <c r="AE59973" s="54"/>
    </row>
    <row r="59974" spans="31:31">
      <c r="AE59974" s="54"/>
    </row>
    <row r="59975" spans="31:31">
      <c r="AE59975" s="54"/>
    </row>
    <row r="59976" spans="31:31">
      <c r="AE59976" s="54"/>
    </row>
    <row r="59977" spans="31:31">
      <c r="AE59977" s="54"/>
    </row>
    <row r="59978" spans="31:31">
      <c r="AE59978" s="54"/>
    </row>
    <row r="59979" spans="31:31">
      <c r="AE59979" s="54"/>
    </row>
    <row r="59980" spans="31:31">
      <c r="AE59980" s="54"/>
    </row>
    <row r="59981" spans="31:31">
      <c r="AE59981" s="54"/>
    </row>
    <row r="59982" spans="31:31">
      <c r="AE59982" s="54"/>
    </row>
    <row r="59983" spans="31:31">
      <c r="AE59983" s="54"/>
    </row>
    <row r="59984" spans="31:31">
      <c r="AE59984" s="54"/>
    </row>
    <row r="59985" spans="31:31">
      <c r="AE59985" s="54"/>
    </row>
    <row r="59986" spans="31:31">
      <c r="AE59986" s="54"/>
    </row>
    <row r="59987" spans="31:31">
      <c r="AE59987" s="54"/>
    </row>
    <row r="59988" spans="31:31">
      <c r="AE59988" s="54"/>
    </row>
    <row r="59989" spans="31:31">
      <c r="AE59989" s="54"/>
    </row>
    <row r="59990" spans="31:31">
      <c r="AE59990" s="54"/>
    </row>
    <row r="59991" spans="31:31">
      <c r="AE59991" s="54"/>
    </row>
    <row r="59992" spans="31:31">
      <c r="AE59992" s="54"/>
    </row>
    <row r="59993" spans="31:31">
      <c r="AE59993" s="54"/>
    </row>
    <row r="59994" spans="31:31">
      <c r="AE59994" s="54"/>
    </row>
    <row r="59995" spans="31:31">
      <c r="AE59995" s="54"/>
    </row>
    <row r="59996" spans="31:31">
      <c r="AE59996" s="54"/>
    </row>
    <row r="59997" spans="31:31">
      <c r="AE59997" s="54"/>
    </row>
    <row r="59998" spans="31:31">
      <c r="AE59998" s="54"/>
    </row>
    <row r="59999" spans="31:31">
      <c r="AE59999" s="54"/>
    </row>
    <row r="60000" spans="31:31">
      <c r="AE60000" s="54"/>
    </row>
    <row r="60001" spans="31:31">
      <c r="AE60001" s="54"/>
    </row>
    <row r="60002" spans="31:31">
      <c r="AE60002" s="54"/>
    </row>
    <row r="60003" spans="31:31">
      <c r="AE60003" s="54"/>
    </row>
    <row r="60004" spans="31:31">
      <c r="AE60004" s="54"/>
    </row>
    <row r="60005" spans="31:31">
      <c r="AE60005" s="54"/>
    </row>
    <row r="60006" spans="31:31">
      <c r="AE60006" s="54"/>
    </row>
    <row r="60007" spans="31:31">
      <c r="AE60007" s="54"/>
    </row>
    <row r="60008" spans="31:31">
      <c r="AE60008" s="54"/>
    </row>
    <row r="60009" spans="31:31">
      <c r="AE60009" s="54"/>
    </row>
    <row r="60010" spans="31:31">
      <c r="AE60010" s="54"/>
    </row>
    <row r="60011" spans="31:31">
      <c r="AE60011" s="54"/>
    </row>
    <row r="60012" spans="31:31">
      <c r="AE60012" s="54"/>
    </row>
    <row r="60013" spans="31:31">
      <c r="AE60013" s="54"/>
    </row>
    <row r="60014" spans="31:31">
      <c r="AE60014" s="54"/>
    </row>
    <row r="60015" spans="31:31">
      <c r="AE60015" s="54"/>
    </row>
    <row r="60016" spans="31:31">
      <c r="AE60016" s="54"/>
    </row>
    <row r="60017" spans="31:31">
      <c r="AE60017" s="54"/>
    </row>
    <row r="60018" spans="31:31">
      <c r="AE60018" s="54"/>
    </row>
    <row r="60019" spans="31:31">
      <c r="AE60019" s="54"/>
    </row>
    <row r="60020" spans="31:31">
      <c r="AE60020" s="54"/>
    </row>
    <row r="60021" spans="31:31">
      <c r="AE60021" s="54"/>
    </row>
    <row r="60022" spans="31:31">
      <c r="AE60022" s="54"/>
    </row>
    <row r="60023" spans="31:31">
      <c r="AE60023" s="54"/>
    </row>
    <row r="60024" spans="31:31">
      <c r="AE60024" s="54"/>
    </row>
    <row r="60025" spans="31:31">
      <c r="AE60025" s="54"/>
    </row>
    <row r="60026" spans="31:31">
      <c r="AE60026" s="54"/>
    </row>
    <row r="60027" spans="31:31">
      <c r="AE60027" s="54"/>
    </row>
    <row r="60028" spans="31:31">
      <c r="AE60028" s="54"/>
    </row>
    <row r="60029" spans="31:31">
      <c r="AE60029" s="54"/>
    </row>
    <row r="60030" spans="31:31">
      <c r="AE60030" s="54"/>
    </row>
    <row r="60031" spans="31:31">
      <c r="AE60031" s="54"/>
    </row>
    <row r="60032" spans="31:31">
      <c r="AE60032" s="54"/>
    </row>
    <row r="60033" spans="31:31">
      <c r="AE60033" s="54"/>
    </row>
    <row r="60034" spans="31:31">
      <c r="AE60034" s="54"/>
    </row>
    <row r="60035" spans="31:31">
      <c r="AE60035" s="54"/>
    </row>
    <row r="60036" spans="31:31">
      <c r="AE60036" s="54"/>
    </row>
    <row r="60037" spans="31:31">
      <c r="AE60037" s="54"/>
    </row>
    <row r="60038" spans="31:31">
      <c r="AE60038" s="54"/>
    </row>
    <row r="60039" spans="31:31">
      <c r="AE60039" s="54"/>
    </row>
    <row r="60040" spans="31:31">
      <c r="AE60040" s="54"/>
    </row>
    <row r="60041" spans="31:31">
      <c r="AE60041" s="54"/>
    </row>
    <row r="60042" spans="31:31">
      <c r="AE60042" s="54"/>
    </row>
    <row r="60043" spans="31:31">
      <c r="AE60043" s="54"/>
    </row>
    <row r="60044" spans="31:31">
      <c r="AE60044" s="54"/>
    </row>
    <row r="60045" spans="31:31">
      <c r="AE60045" s="54"/>
    </row>
    <row r="60046" spans="31:31">
      <c r="AE60046" s="54"/>
    </row>
    <row r="60047" spans="31:31">
      <c r="AE60047" s="54"/>
    </row>
    <row r="60048" spans="31:31">
      <c r="AE60048" s="54"/>
    </row>
    <row r="60049" spans="31:31">
      <c r="AE60049" s="54"/>
    </row>
    <row r="60050" spans="31:31">
      <c r="AE60050" s="54"/>
    </row>
    <row r="60051" spans="31:31">
      <c r="AE60051" s="54"/>
    </row>
    <row r="60052" spans="31:31">
      <c r="AE60052" s="54"/>
    </row>
    <row r="60053" spans="31:31">
      <c r="AE60053" s="54"/>
    </row>
    <row r="60054" spans="31:31">
      <c r="AE60054" s="54"/>
    </row>
    <row r="60055" spans="31:31">
      <c r="AE60055" s="54"/>
    </row>
    <row r="60056" spans="31:31">
      <c r="AE60056" s="54"/>
    </row>
    <row r="60057" spans="31:31">
      <c r="AE60057" s="54"/>
    </row>
    <row r="60058" spans="31:31">
      <c r="AE60058" s="54"/>
    </row>
    <row r="60059" spans="31:31">
      <c r="AE60059" s="54"/>
    </row>
    <row r="60060" spans="31:31">
      <c r="AE60060" s="54"/>
    </row>
    <row r="60061" spans="31:31">
      <c r="AE60061" s="54"/>
    </row>
    <row r="60062" spans="31:31">
      <c r="AE60062" s="54"/>
    </row>
    <row r="60063" spans="31:31">
      <c r="AE60063" s="54"/>
    </row>
    <row r="60064" spans="31:31">
      <c r="AE60064" s="54"/>
    </row>
    <row r="60065" spans="31:31">
      <c r="AE60065" s="54"/>
    </row>
    <row r="60066" spans="31:31">
      <c r="AE60066" s="54"/>
    </row>
    <row r="60067" spans="31:31">
      <c r="AE60067" s="54"/>
    </row>
    <row r="60068" spans="31:31">
      <c r="AE60068" s="54"/>
    </row>
    <row r="60069" spans="31:31">
      <c r="AE60069" s="54"/>
    </row>
    <row r="60070" spans="31:31">
      <c r="AE60070" s="54"/>
    </row>
    <row r="60071" spans="31:31">
      <c r="AE60071" s="54"/>
    </row>
    <row r="60072" spans="31:31">
      <c r="AE60072" s="54"/>
    </row>
    <row r="60073" spans="31:31">
      <c r="AE60073" s="54"/>
    </row>
    <row r="60074" spans="31:31">
      <c r="AE60074" s="54"/>
    </row>
    <row r="60075" spans="31:31">
      <c r="AE60075" s="54"/>
    </row>
    <row r="60076" spans="31:31">
      <c r="AE60076" s="54"/>
    </row>
    <row r="60077" spans="31:31">
      <c r="AE60077" s="54"/>
    </row>
    <row r="60078" spans="31:31">
      <c r="AE60078" s="54"/>
    </row>
    <row r="60079" spans="31:31">
      <c r="AE60079" s="54"/>
    </row>
    <row r="60080" spans="31:31">
      <c r="AE60080" s="54"/>
    </row>
    <row r="60081" spans="31:31">
      <c r="AE60081" s="54"/>
    </row>
    <row r="60082" spans="31:31">
      <c r="AE60082" s="54"/>
    </row>
    <row r="60083" spans="31:31">
      <c r="AE60083" s="54"/>
    </row>
    <row r="60084" spans="31:31">
      <c r="AE60084" s="54"/>
    </row>
    <row r="60085" spans="31:31">
      <c r="AE60085" s="54"/>
    </row>
    <row r="60086" spans="31:31">
      <c r="AE60086" s="54"/>
    </row>
    <row r="60087" spans="31:31">
      <c r="AE60087" s="54"/>
    </row>
    <row r="60088" spans="31:31">
      <c r="AE60088" s="54"/>
    </row>
    <row r="60089" spans="31:31">
      <c r="AE60089" s="54"/>
    </row>
    <row r="60090" spans="31:31">
      <c r="AE60090" s="54"/>
    </row>
    <row r="60091" spans="31:31">
      <c r="AE60091" s="54"/>
    </row>
    <row r="60092" spans="31:31">
      <c r="AE60092" s="54"/>
    </row>
    <row r="60093" spans="31:31">
      <c r="AE60093" s="54"/>
    </row>
    <row r="60094" spans="31:31">
      <c r="AE60094" s="54"/>
    </row>
    <row r="60095" spans="31:31">
      <c r="AE60095" s="54"/>
    </row>
    <row r="60096" spans="31:31">
      <c r="AE60096" s="54"/>
    </row>
    <row r="60097" spans="31:31">
      <c r="AE60097" s="54"/>
    </row>
    <row r="60098" spans="31:31">
      <c r="AE60098" s="54"/>
    </row>
    <row r="60099" spans="31:31">
      <c r="AE60099" s="54"/>
    </row>
    <row r="60100" spans="31:31">
      <c r="AE60100" s="54"/>
    </row>
    <row r="60101" spans="31:31">
      <c r="AE60101" s="54"/>
    </row>
    <row r="60102" spans="31:31">
      <c r="AE60102" s="54"/>
    </row>
    <row r="60103" spans="31:31">
      <c r="AE60103" s="54"/>
    </row>
    <row r="60104" spans="31:31">
      <c r="AE60104" s="54"/>
    </row>
    <row r="60105" spans="31:31">
      <c r="AE60105" s="54"/>
    </row>
    <row r="60106" spans="31:31">
      <c r="AE60106" s="54"/>
    </row>
    <row r="60107" spans="31:31">
      <c r="AE60107" s="54"/>
    </row>
    <row r="60108" spans="31:31">
      <c r="AE60108" s="54"/>
    </row>
    <row r="60109" spans="31:31">
      <c r="AE60109" s="54"/>
    </row>
    <row r="60110" spans="31:31">
      <c r="AE60110" s="54"/>
    </row>
    <row r="60111" spans="31:31">
      <c r="AE60111" s="54"/>
    </row>
    <row r="60112" spans="31:31">
      <c r="AE60112" s="54"/>
    </row>
    <row r="60113" spans="31:31">
      <c r="AE60113" s="54"/>
    </row>
    <row r="60114" spans="31:31">
      <c r="AE60114" s="54"/>
    </row>
    <row r="60115" spans="31:31">
      <c r="AE60115" s="54"/>
    </row>
    <row r="60116" spans="31:31">
      <c r="AE60116" s="54"/>
    </row>
    <row r="60117" spans="31:31">
      <c r="AE60117" s="54"/>
    </row>
    <row r="60118" spans="31:31">
      <c r="AE60118" s="54"/>
    </row>
    <row r="60119" spans="31:31">
      <c r="AE60119" s="54"/>
    </row>
    <row r="60120" spans="31:31">
      <c r="AE60120" s="54"/>
    </row>
    <row r="60121" spans="31:31">
      <c r="AE60121" s="54"/>
    </row>
    <row r="60122" spans="31:31">
      <c r="AE60122" s="54"/>
    </row>
    <row r="60123" spans="31:31">
      <c r="AE60123" s="54"/>
    </row>
    <row r="60124" spans="31:31">
      <c r="AE60124" s="54"/>
    </row>
    <row r="60125" spans="31:31">
      <c r="AE60125" s="54"/>
    </row>
    <row r="60126" spans="31:31">
      <c r="AE60126" s="54"/>
    </row>
    <row r="60127" spans="31:31">
      <c r="AE60127" s="54"/>
    </row>
    <row r="60128" spans="31:31">
      <c r="AE60128" s="54"/>
    </row>
    <row r="60129" spans="31:31">
      <c r="AE60129" s="54"/>
    </row>
    <row r="60130" spans="31:31">
      <c r="AE60130" s="54"/>
    </row>
    <row r="60131" spans="31:31">
      <c r="AE60131" s="54"/>
    </row>
    <row r="60132" spans="31:31">
      <c r="AE60132" s="54"/>
    </row>
    <row r="60133" spans="31:31">
      <c r="AE60133" s="54"/>
    </row>
    <row r="60134" spans="31:31">
      <c r="AE60134" s="54"/>
    </row>
    <row r="60135" spans="31:31">
      <c r="AE60135" s="54"/>
    </row>
    <row r="60136" spans="31:31">
      <c r="AE60136" s="54"/>
    </row>
    <row r="60137" spans="31:31">
      <c r="AE60137" s="54"/>
    </row>
    <row r="60138" spans="31:31">
      <c r="AE60138" s="54"/>
    </row>
    <row r="60139" spans="31:31">
      <c r="AE60139" s="54"/>
    </row>
    <row r="60140" spans="31:31">
      <c r="AE60140" s="54"/>
    </row>
    <row r="60141" spans="31:31">
      <c r="AE60141" s="54"/>
    </row>
    <row r="60142" spans="31:31">
      <c r="AE60142" s="54"/>
    </row>
    <row r="60143" spans="31:31">
      <c r="AE60143" s="54"/>
    </row>
    <row r="60144" spans="31:31">
      <c r="AE60144" s="54"/>
    </row>
    <row r="60145" spans="31:31">
      <c r="AE60145" s="54"/>
    </row>
    <row r="60146" spans="31:31">
      <c r="AE60146" s="54"/>
    </row>
    <row r="60147" spans="31:31">
      <c r="AE60147" s="54"/>
    </row>
    <row r="60148" spans="31:31">
      <c r="AE60148" s="54"/>
    </row>
    <row r="60149" spans="31:31">
      <c r="AE60149" s="54"/>
    </row>
    <row r="60150" spans="31:31">
      <c r="AE60150" s="54"/>
    </row>
    <row r="60151" spans="31:31">
      <c r="AE60151" s="54"/>
    </row>
    <row r="60152" spans="31:31">
      <c r="AE60152" s="54"/>
    </row>
    <row r="60153" spans="31:31">
      <c r="AE60153" s="54"/>
    </row>
    <row r="60154" spans="31:31">
      <c r="AE60154" s="54"/>
    </row>
    <row r="60155" spans="31:31">
      <c r="AE60155" s="54"/>
    </row>
    <row r="60156" spans="31:31">
      <c r="AE60156" s="54"/>
    </row>
    <row r="60157" spans="31:31">
      <c r="AE60157" s="54"/>
    </row>
    <row r="60158" spans="31:31">
      <c r="AE60158" s="54"/>
    </row>
    <row r="60159" spans="31:31">
      <c r="AE60159" s="54"/>
    </row>
    <row r="60160" spans="31:31">
      <c r="AE60160" s="54"/>
    </row>
    <row r="60161" spans="31:31">
      <c r="AE60161" s="54"/>
    </row>
    <row r="60162" spans="31:31">
      <c r="AE60162" s="54"/>
    </row>
    <row r="60163" spans="31:31">
      <c r="AE60163" s="54"/>
    </row>
    <row r="60164" spans="31:31">
      <c r="AE60164" s="54"/>
    </row>
    <row r="60165" spans="31:31">
      <c r="AE60165" s="54"/>
    </row>
    <row r="60166" spans="31:31">
      <c r="AE60166" s="54"/>
    </row>
    <row r="60167" spans="31:31">
      <c r="AE60167" s="54"/>
    </row>
    <row r="60168" spans="31:31">
      <c r="AE60168" s="54"/>
    </row>
    <row r="60169" spans="31:31">
      <c r="AE60169" s="54"/>
    </row>
    <row r="60170" spans="31:31">
      <c r="AE60170" s="54"/>
    </row>
    <row r="60171" spans="31:31">
      <c r="AE60171" s="54"/>
    </row>
    <row r="60172" spans="31:31">
      <c r="AE60172" s="54"/>
    </row>
    <row r="60173" spans="31:31">
      <c r="AE60173" s="54"/>
    </row>
    <row r="60174" spans="31:31">
      <c r="AE60174" s="54"/>
    </row>
    <row r="60175" spans="31:31">
      <c r="AE60175" s="54"/>
    </row>
    <row r="60176" spans="31:31">
      <c r="AE60176" s="54"/>
    </row>
    <row r="60177" spans="31:31">
      <c r="AE60177" s="54"/>
    </row>
    <row r="60178" spans="31:31">
      <c r="AE60178" s="54"/>
    </row>
    <row r="60179" spans="31:31">
      <c r="AE60179" s="54"/>
    </row>
    <row r="60180" spans="31:31">
      <c r="AE60180" s="54"/>
    </row>
    <row r="60181" spans="31:31">
      <c r="AE60181" s="54"/>
    </row>
    <row r="60182" spans="31:31">
      <c r="AE60182" s="54"/>
    </row>
    <row r="60183" spans="31:31">
      <c r="AE60183" s="54"/>
    </row>
    <row r="60184" spans="31:31">
      <c r="AE60184" s="54"/>
    </row>
    <row r="60185" spans="31:31">
      <c r="AE60185" s="54"/>
    </row>
    <row r="60186" spans="31:31">
      <c r="AE60186" s="54"/>
    </row>
    <row r="60187" spans="31:31">
      <c r="AE60187" s="54"/>
    </row>
    <row r="60188" spans="31:31">
      <c r="AE60188" s="54"/>
    </row>
    <row r="60189" spans="31:31">
      <c r="AE60189" s="54"/>
    </row>
    <row r="60190" spans="31:31">
      <c r="AE60190" s="54"/>
    </row>
    <row r="60191" spans="31:31">
      <c r="AE60191" s="54"/>
    </row>
    <row r="60192" spans="31:31">
      <c r="AE60192" s="54"/>
    </row>
    <row r="60193" spans="31:31">
      <c r="AE60193" s="54"/>
    </row>
    <row r="60194" spans="31:31">
      <c r="AE60194" s="54"/>
    </row>
    <row r="60195" spans="31:31">
      <c r="AE60195" s="54"/>
    </row>
    <row r="60196" spans="31:31">
      <c r="AE60196" s="54"/>
    </row>
    <row r="60197" spans="31:31">
      <c r="AE60197" s="54"/>
    </row>
    <row r="60198" spans="31:31">
      <c r="AE60198" s="54"/>
    </row>
    <row r="60199" spans="31:31">
      <c r="AE60199" s="54"/>
    </row>
    <row r="60200" spans="31:31">
      <c r="AE60200" s="54"/>
    </row>
    <row r="60201" spans="31:31">
      <c r="AE60201" s="54"/>
    </row>
    <row r="60202" spans="31:31">
      <c r="AE60202" s="54"/>
    </row>
    <row r="60203" spans="31:31">
      <c r="AE60203" s="54"/>
    </row>
    <row r="60204" spans="31:31">
      <c r="AE60204" s="54"/>
    </row>
    <row r="60205" spans="31:31">
      <c r="AE60205" s="54"/>
    </row>
    <row r="60206" spans="31:31">
      <c r="AE60206" s="54"/>
    </row>
    <row r="60207" spans="31:31">
      <c r="AE60207" s="54"/>
    </row>
    <row r="60208" spans="31:31">
      <c r="AE60208" s="54"/>
    </row>
    <row r="60209" spans="31:31">
      <c r="AE60209" s="54"/>
    </row>
    <row r="60210" spans="31:31">
      <c r="AE60210" s="54"/>
    </row>
    <row r="60211" spans="31:31">
      <c r="AE60211" s="54"/>
    </row>
    <row r="60212" spans="31:31">
      <c r="AE60212" s="54"/>
    </row>
    <row r="60213" spans="31:31">
      <c r="AE60213" s="54"/>
    </row>
    <row r="60214" spans="31:31">
      <c r="AE60214" s="54"/>
    </row>
    <row r="60215" spans="31:31">
      <c r="AE60215" s="54"/>
    </row>
    <row r="60216" spans="31:31">
      <c r="AE60216" s="54"/>
    </row>
    <row r="60217" spans="31:31">
      <c r="AE60217" s="54"/>
    </row>
    <row r="60218" spans="31:31">
      <c r="AE60218" s="54"/>
    </row>
    <row r="60219" spans="31:31">
      <c r="AE60219" s="54"/>
    </row>
    <row r="60220" spans="31:31">
      <c r="AE60220" s="54"/>
    </row>
    <row r="60221" spans="31:31">
      <c r="AE60221" s="54"/>
    </row>
    <row r="60222" spans="31:31">
      <c r="AE60222" s="54"/>
    </row>
    <row r="60223" spans="31:31">
      <c r="AE60223" s="54"/>
    </row>
    <row r="60224" spans="31:31">
      <c r="AE60224" s="54"/>
    </row>
    <row r="60225" spans="31:31">
      <c r="AE60225" s="54"/>
    </row>
    <row r="60226" spans="31:31">
      <c r="AE60226" s="54"/>
    </row>
    <row r="60227" spans="31:31">
      <c r="AE60227" s="54"/>
    </row>
    <row r="60228" spans="31:31">
      <c r="AE60228" s="54"/>
    </row>
    <row r="60229" spans="31:31">
      <c r="AE60229" s="54"/>
    </row>
    <row r="60230" spans="31:31">
      <c r="AE60230" s="54"/>
    </row>
    <row r="60231" spans="31:31">
      <c r="AE60231" s="54"/>
    </row>
    <row r="60232" spans="31:31">
      <c r="AE60232" s="54"/>
    </row>
    <row r="60233" spans="31:31">
      <c r="AE60233" s="54"/>
    </row>
    <row r="60234" spans="31:31">
      <c r="AE60234" s="54"/>
    </row>
    <row r="60235" spans="31:31">
      <c r="AE60235" s="54"/>
    </row>
    <row r="60236" spans="31:31">
      <c r="AE60236" s="54"/>
    </row>
    <row r="60237" spans="31:31">
      <c r="AE60237" s="54"/>
    </row>
    <row r="60238" spans="31:31">
      <c r="AE60238" s="54"/>
    </row>
    <row r="60239" spans="31:31">
      <c r="AE60239" s="54"/>
    </row>
    <row r="60240" spans="31:31">
      <c r="AE60240" s="54"/>
    </row>
    <row r="60241" spans="31:31">
      <c r="AE60241" s="54"/>
    </row>
    <row r="60242" spans="31:31">
      <c r="AE60242" s="54"/>
    </row>
    <row r="60243" spans="31:31">
      <c r="AE60243" s="54"/>
    </row>
    <row r="60244" spans="31:31">
      <c r="AE60244" s="54"/>
    </row>
    <row r="60245" spans="31:31">
      <c r="AE60245" s="54"/>
    </row>
    <row r="60246" spans="31:31">
      <c r="AE60246" s="54"/>
    </row>
    <row r="60247" spans="31:31">
      <c r="AE60247" s="54"/>
    </row>
    <row r="60248" spans="31:31">
      <c r="AE60248" s="54"/>
    </row>
    <row r="60249" spans="31:31">
      <c r="AE60249" s="54"/>
    </row>
    <row r="60250" spans="31:31">
      <c r="AE60250" s="54"/>
    </row>
    <row r="60251" spans="31:31">
      <c r="AE60251" s="54"/>
    </row>
    <row r="60252" spans="31:31">
      <c r="AE60252" s="54"/>
    </row>
    <row r="60253" spans="31:31">
      <c r="AE60253" s="54"/>
    </row>
    <row r="60254" spans="31:31">
      <c r="AE60254" s="54"/>
    </row>
    <row r="60255" spans="31:31">
      <c r="AE60255" s="54"/>
    </row>
    <row r="60256" spans="31:31">
      <c r="AE60256" s="54"/>
    </row>
    <row r="60257" spans="31:31">
      <c r="AE60257" s="54"/>
    </row>
    <row r="60258" spans="31:31">
      <c r="AE60258" s="54"/>
    </row>
    <row r="60259" spans="31:31">
      <c r="AE60259" s="54"/>
    </row>
    <row r="60260" spans="31:31">
      <c r="AE60260" s="54"/>
    </row>
    <row r="60261" spans="31:31">
      <c r="AE60261" s="54"/>
    </row>
    <row r="60262" spans="31:31">
      <c r="AE60262" s="54"/>
    </row>
    <row r="60263" spans="31:31">
      <c r="AE60263" s="54"/>
    </row>
    <row r="60264" spans="31:31">
      <c r="AE60264" s="54"/>
    </row>
    <row r="60265" spans="31:31">
      <c r="AE60265" s="54"/>
    </row>
    <row r="60266" spans="31:31">
      <c r="AE60266" s="54"/>
    </row>
    <row r="60267" spans="31:31">
      <c r="AE60267" s="54"/>
    </row>
    <row r="60268" spans="31:31">
      <c r="AE60268" s="54"/>
    </row>
    <row r="60269" spans="31:31">
      <c r="AE60269" s="54"/>
    </row>
    <row r="60270" spans="31:31">
      <c r="AE60270" s="54"/>
    </row>
    <row r="60271" spans="31:31">
      <c r="AE60271" s="54"/>
    </row>
    <row r="60272" spans="31:31">
      <c r="AE60272" s="54"/>
    </row>
    <row r="60273" spans="31:31">
      <c r="AE60273" s="54"/>
    </row>
    <row r="60274" spans="31:31">
      <c r="AE60274" s="54"/>
    </row>
    <row r="60275" spans="31:31">
      <c r="AE60275" s="54"/>
    </row>
    <row r="60276" spans="31:31">
      <c r="AE60276" s="54"/>
    </row>
    <row r="60277" spans="31:31">
      <c r="AE60277" s="54"/>
    </row>
    <row r="60278" spans="31:31">
      <c r="AE60278" s="54"/>
    </row>
    <row r="60279" spans="31:31">
      <c r="AE60279" s="54"/>
    </row>
    <row r="60280" spans="31:31">
      <c r="AE60280" s="54"/>
    </row>
    <row r="60281" spans="31:31">
      <c r="AE60281" s="54"/>
    </row>
    <row r="60282" spans="31:31">
      <c r="AE60282" s="54"/>
    </row>
    <row r="60283" spans="31:31">
      <c r="AE60283" s="54"/>
    </row>
    <row r="60284" spans="31:31">
      <c r="AE60284" s="54"/>
    </row>
    <row r="60285" spans="31:31">
      <c r="AE60285" s="54"/>
    </row>
    <row r="60286" spans="31:31">
      <c r="AE60286" s="54"/>
    </row>
    <row r="60287" spans="31:31">
      <c r="AE60287" s="54"/>
    </row>
    <row r="60288" spans="31:31">
      <c r="AE60288" s="54"/>
    </row>
    <row r="60289" spans="31:31">
      <c r="AE60289" s="54"/>
    </row>
    <row r="60290" spans="31:31">
      <c r="AE60290" s="54"/>
    </row>
    <row r="60291" spans="31:31">
      <c r="AE60291" s="54"/>
    </row>
    <row r="60292" spans="31:31">
      <c r="AE60292" s="54"/>
    </row>
    <row r="60293" spans="31:31">
      <c r="AE60293" s="54"/>
    </row>
    <row r="60294" spans="31:31">
      <c r="AE60294" s="54"/>
    </row>
    <row r="60295" spans="31:31">
      <c r="AE60295" s="54"/>
    </row>
    <row r="60296" spans="31:31">
      <c r="AE60296" s="54"/>
    </row>
    <row r="60297" spans="31:31">
      <c r="AE60297" s="54"/>
    </row>
    <row r="60298" spans="31:31">
      <c r="AE60298" s="54"/>
    </row>
    <row r="60299" spans="31:31">
      <c r="AE60299" s="54"/>
    </row>
    <row r="60300" spans="31:31">
      <c r="AE60300" s="54"/>
    </row>
    <row r="60301" spans="31:31">
      <c r="AE60301" s="54"/>
    </row>
    <row r="60302" spans="31:31">
      <c r="AE60302" s="54"/>
    </row>
    <row r="60303" spans="31:31">
      <c r="AE60303" s="54"/>
    </row>
    <row r="60304" spans="31:31">
      <c r="AE60304" s="54"/>
    </row>
    <row r="60305" spans="31:31">
      <c r="AE60305" s="54"/>
    </row>
    <row r="60306" spans="31:31">
      <c r="AE60306" s="54"/>
    </row>
    <row r="60307" spans="31:31">
      <c r="AE60307" s="54"/>
    </row>
    <row r="60308" spans="31:31">
      <c r="AE60308" s="54"/>
    </row>
    <row r="60309" spans="31:31">
      <c r="AE60309" s="54"/>
    </row>
    <row r="60310" spans="31:31">
      <c r="AE60310" s="54"/>
    </row>
    <row r="60311" spans="31:31">
      <c r="AE60311" s="54"/>
    </row>
    <row r="60312" spans="31:31">
      <c r="AE60312" s="54"/>
    </row>
    <row r="60313" spans="31:31">
      <c r="AE60313" s="54"/>
    </row>
    <row r="60314" spans="31:31">
      <c r="AE60314" s="54"/>
    </row>
    <row r="60315" spans="31:31">
      <c r="AE60315" s="54"/>
    </row>
    <row r="60316" spans="31:31">
      <c r="AE60316" s="54"/>
    </row>
    <row r="60317" spans="31:31">
      <c r="AE60317" s="54"/>
    </row>
    <row r="60318" spans="31:31">
      <c r="AE60318" s="54"/>
    </row>
    <row r="60319" spans="31:31">
      <c r="AE60319" s="54"/>
    </row>
    <row r="60320" spans="31:31">
      <c r="AE60320" s="54"/>
    </row>
    <row r="60321" spans="31:31">
      <c r="AE60321" s="54"/>
    </row>
    <row r="60322" spans="31:31">
      <c r="AE60322" s="54"/>
    </row>
    <row r="60323" spans="31:31">
      <c r="AE60323" s="54"/>
    </row>
    <row r="60324" spans="31:31">
      <c r="AE60324" s="54"/>
    </row>
    <row r="60325" spans="31:31">
      <c r="AE60325" s="54"/>
    </row>
    <row r="60326" spans="31:31">
      <c r="AE60326" s="54"/>
    </row>
    <row r="60327" spans="31:31">
      <c r="AE60327" s="54"/>
    </row>
    <row r="60328" spans="31:31">
      <c r="AE60328" s="54"/>
    </row>
    <row r="60329" spans="31:31">
      <c r="AE60329" s="54"/>
    </row>
    <row r="60330" spans="31:31">
      <c r="AE60330" s="54"/>
    </row>
    <row r="60331" spans="31:31">
      <c r="AE60331" s="54"/>
    </row>
    <row r="60332" spans="31:31">
      <c r="AE60332" s="54"/>
    </row>
    <row r="60333" spans="31:31">
      <c r="AE60333" s="54"/>
    </row>
    <row r="60334" spans="31:31">
      <c r="AE60334" s="54"/>
    </row>
    <row r="60335" spans="31:31">
      <c r="AE60335" s="54"/>
    </row>
    <row r="60336" spans="31:31">
      <c r="AE60336" s="54"/>
    </row>
    <row r="60337" spans="31:31">
      <c r="AE60337" s="54"/>
    </row>
    <row r="60338" spans="31:31">
      <c r="AE60338" s="54"/>
    </row>
    <row r="60339" spans="31:31">
      <c r="AE60339" s="54"/>
    </row>
    <row r="60340" spans="31:31">
      <c r="AE60340" s="54"/>
    </row>
    <row r="60341" spans="31:31">
      <c r="AE60341" s="54"/>
    </row>
    <row r="60342" spans="31:31">
      <c r="AE60342" s="54"/>
    </row>
    <row r="60343" spans="31:31">
      <c r="AE60343" s="54"/>
    </row>
    <row r="60344" spans="31:31">
      <c r="AE60344" s="54"/>
    </row>
    <row r="60345" spans="31:31">
      <c r="AE60345" s="54"/>
    </row>
    <row r="60346" spans="31:31">
      <c r="AE60346" s="54"/>
    </row>
    <row r="60347" spans="31:31">
      <c r="AE60347" s="54"/>
    </row>
    <row r="60348" spans="31:31">
      <c r="AE60348" s="54"/>
    </row>
    <row r="60349" spans="31:31">
      <c r="AE60349" s="54"/>
    </row>
    <row r="60350" spans="31:31">
      <c r="AE60350" s="54"/>
    </row>
    <row r="60351" spans="31:31">
      <c r="AE60351" s="54"/>
    </row>
    <row r="60352" spans="31:31">
      <c r="AE60352" s="54"/>
    </row>
    <row r="60353" spans="31:31">
      <c r="AE60353" s="54"/>
    </row>
    <row r="60354" spans="31:31">
      <c r="AE60354" s="54"/>
    </row>
    <row r="60355" spans="31:31">
      <c r="AE60355" s="54"/>
    </row>
    <row r="60356" spans="31:31">
      <c r="AE60356" s="54"/>
    </row>
    <row r="60357" spans="31:31">
      <c r="AE60357" s="54"/>
    </row>
    <row r="60358" spans="31:31">
      <c r="AE60358" s="54"/>
    </row>
    <row r="60359" spans="31:31">
      <c r="AE60359" s="54"/>
    </row>
    <row r="60360" spans="31:31">
      <c r="AE60360" s="54"/>
    </row>
    <row r="60361" spans="31:31">
      <c r="AE60361" s="54"/>
    </row>
    <row r="60362" spans="31:31">
      <c r="AE60362" s="54"/>
    </row>
    <row r="60363" spans="31:31">
      <c r="AE60363" s="54"/>
    </row>
    <row r="60364" spans="31:31">
      <c r="AE60364" s="54"/>
    </row>
    <row r="60365" spans="31:31">
      <c r="AE60365" s="54"/>
    </row>
    <row r="60366" spans="31:31">
      <c r="AE60366" s="54"/>
    </row>
    <row r="60367" spans="31:31">
      <c r="AE60367" s="54"/>
    </row>
    <row r="60368" spans="31:31">
      <c r="AE60368" s="54"/>
    </row>
    <row r="60369" spans="31:31">
      <c r="AE60369" s="54"/>
    </row>
    <row r="60370" spans="31:31">
      <c r="AE60370" s="54"/>
    </row>
    <row r="60371" spans="31:31">
      <c r="AE60371" s="54"/>
    </row>
    <row r="60372" spans="31:31">
      <c r="AE60372" s="54"/>
    </row>
    <row r="60373" spans="31:31">
      <c r="AE60373" s="54"/>
    </row>
    <row r="60374" spans="31:31">
      <c r="AE60374" s="54"/>
    </row>
    <row r="60375" spans="31:31">
      <c r="AE60375" s="54"/>
    </row>
    <row r="60376" spans="31:31">
      <c r="AE60376" s="54"/>
    </row>
    <row r="60377" spans="31:31">
      <c r="AE60377" s="54"/>
    </row>
    <row r="60378" spans="31:31">
      <c r="AE60378" s="54"/>
    </row>
    <row r="60379" spans="31:31">
      <c r="AE60379" s="54"/>
    </row>
    <row r="60380" spans="31:31">
      <c r="AE60380" s="54"/>
    </row>
    <row r="60381" spans="31:31">
      <c r="AE60381" s="54"/>
    </row>
    <row r="60382" spans="31:31">
      <c r="AE60382" s="54"/>
    </row>
    <row r="60383" spans="31:31">
      <c r="AE60383" s="54"/>
    </row>
    <row r="60384" spans="31:31">
      <c r="AE60384" s="54"/>
    </row>
    <row r="60385" spans="31:31">
      <c r="AE60385" s="54"/>
    </row>
    <row r="60386" spans="31:31">
      <c r="AE60386" s="54"/>
    </row>
    <row r="60387" spans="31:31">
      <c r="AE60387" s="54"/>
    </row>
    <row r="60388" spans="31:31">
      <c r="AE60388" s="54"/>
    </row>
    <row r="60389" spans="31:31">
      <c r="AE60389" s="54"/>
    </row>
    <row r="60390" spans="31:31">
      <c r="AE60390" s="54"/>
    </row>
    <row r="60391" spans="31:31">
      <c r="AE60391" s="54"/>
    </row>
    <row r="60392" spans="31:31">
      <c r="AE60392" s="54"/>
    </row>
    <row r="60393" spans="31:31">
      <c r="AE60393" s="54"/>
    </row>
    <row r="60394" spans="31:31">
      <c r="AE60394" s="54"/>
    </row>
    <row r="60395" spans="31:31">
      <c r="AE60395" s="54"/>
    </row>
    <row r="60396" spans="31:31">
      <c r="AE60396" s="54"/>
    </row>
    <row r="60397" spans="31:31">
      <c r="AE60397" s="54"/>
    </row>
    <row r="60398" spans="31:31">
      <c r="AE60398" s="54"/>
    </row>
    <row r="60399" spans="31:31">
      <c r="AE60399" s="54"/>
    </row>
    <row r="60400" spans="31:31">
      <c r="AE60400" s="54"/>
    </row>
    <row r="60401" spans="31:31">
      <c r="AE60401" s="54"/>
    </row>
    <row r="60402" spans="31:31">
      <c r="AE60402" s="54"/>
    </row>
    <row r="60403" spans="31:31">
      <c r="AE60403" s="54"/>
    </row>
    <row r="60404" spans="31:31">
      <c r="AE60404" s="54"/>
    </row>
    <row r="60405" spans="31:31">
      <c r="AE60405" s="54"/>
    </row>
    <row r="60406" spans="31:31">
      <c r="AE60406" s="54"/>
    </row>
    <row r="60407" spans="31:31">
      <c r="AE60407" s="54"/>
    </row>
    <row r="60408" spans="31:31">
      <c r="AE60408" s="54"/>
    </row>
    <row r="60409" spans="31:31">
      <c r="AE60409" s="54"/>
    </row>
    <row r="60410" spans="31:31">
      <c r="AE60410" s="54"/>
    </row>
    <row r="60411" spans="31:31">
      <c r="AE60411" s="54"/>
    </row>
    <row r="60412" spans="31:31">
      <c r="AE60412" s="54"/>
    </row>
    <row r="60413" spans="31:31">
      <c r="AE60413" s="54"/>
    </row>
    <row r="60414" spans="31:31">
      <c r="AE60414" s="54"/>
    </row>
    <row r="60415" spans="31:31">
      <c r="AE60415" s="54"/>
    </row>
    <row r="60416" spans="31:31">
      <c r="AE60416" s="54"/>
    </row>
    <row r="60417" spans="31:31">
      <c r="AE60417" s="54"/>
    </row>
    <row r="60418" spans="31:31">
      <c r="AE60418" s="54"/>
    </row>
    <row r="60419" spans="31:31">
      <c r="AE60419" s="54"/>
    </row>
    <row r="60420" spans="31:31">
      <c r="AE60420" s="54"/>
    </row>
    <row r="60421" spans="31:31">
      <c r="AE60421" s="54"/>
    </row>
    <row r="60422" spans="31:31">
      <c r="AE60422" s="54"/>
    </row>
    <row r="60423" spans="31:31">
      <c r="AE60423" s="54"/>
    </row>
    <row r="60424" spans="31:31">
      <c r="AE60424" s="54"/>
    </row>
    <row r="60425" spans="31:31">
      <c r="AE60425" s="54"/>
    </row>
    <row r="60426" spans="31:31">
      <c r="AE60426" s="54"/>
    </row>
    <row r="60427" spans="31:31">
      <c r="AE60427" s="54"/>
    </row>
    <row r="60428" spans="31:31">
      <c r="AE60428" s="54"/>
    </row>
    <row r="60429" spans="31:31">
      <c r="AE60429" s="54"/>
    </row>
    <row r="60430" spans="31:31">
      <c r="AE60430" s="54"/>
    </row>
    <row r="60431" spans="31:31">
      <c r="AE60431" s="54"/>
    </row>
    <row r="60432" spans="31:31">
      <c r="AE60432" s="54"/>
    </row>
    <row r="60433" spans="31:31">
      <c r="AE60433" s="54"/>
    </row>
    <row r="60434" spans="31:31">
      <c r="AE60434" s="54"/>
    </row>
    <row r="60435" spans="31:31">
      <c r="AE60435" s="54"/>
    </row>
    <row r="60436" spans="31:31">
      <c r="AE60436" s="54"/>
    </row>
    <row r="60437" spans="31:31">
      <c r="AE60437" s="54"/>
    </row>
    <row r="60438" spans="31:31">
      <c r="AE60438" s="54"/>
    </row>
    <row r="60439" spans="31:31">
      <c r="AE60439" s="54"/>
    </row>
    <row r="60440" spans="31:31">
      <c r="AE60440" s="54"/>
    </row>
    <row r="60441" spans="31:31">
      <c r="AE60441" s="54"/>
    </row>
    <row r="60442" spans="31:31">
      <c r="AE60442" s="54"/>
    </row>
    <row r="60443" spans="31:31">
      <c r="AE60443" s="54"/>
    </row>
    <row r="60444" spans="31:31">
      <c r="AE60444" s="54"/>
    </row>
    <row r="60445" spans="31:31">
      <c r="AE60445" s="54"/>
    </row>
    <row r="60446" spans="31:31">
      <c r="AE60446" s="54"/>
    </row>
    <row r="60447" spans="31:31">
      <c r="AE60447" s="54"/>
    </row>
    <row r="60448" spans="31:31">
      <c r="AE60448" s="54"/>
    </row>
    <row r="60449" spans="31:31">
      <c r="AE60449" s="54"/>
    </row>
    <row r="60450" spans="31:31">
      <c r="AE60450" s="54"/>
    </row>
    <row r="60451" spans="31:31">
      <c r="AE60451" s="54"/>
    </row>
    <row r="60452" spans="31:31">
      <c r="AE60452" s="54"/>
    </row>
    <row r="60453" spans="31:31">
      <c r="AE60453" s="54"/>
    </row>
    <row r="60454" spans="31:31">
      <c r="AE60454" s="54"/>
    </row>
    <row r="60455" spans="31:31">
      <c r="AE60455" s="54"/>
    </row>
    <row r="60456" spans="31:31">
      <c r="AE60456" s="54"/>
    </row>
    <row r="60457" spans="31:31">
      <c r="AE60457" s="54"/>
    </row>
    <row r="60458" spans="31:31">
      <c r="AE60458" s="54"/>
    </row>
    <row r="60459" spans="31:31">
      <c r="AE60459" s="54"/>
    </row>
    <row r="60460" spans="31:31">
      <c r="AE60460" s="54"/>
    </row>
    <row r="60461" spans="31:31">
      <c r="AE60461" s="54"/>
    </row>
    <row r="60462" spans="31:31">
      <c r="AE60462" s="54"/>
    </row>
    <row r="60463" spans="31:31">
      <c r="AE60463" s="54"/>
    </row>
    <row r="60464" spans="31:31">
      <c r="AE60464" s="54"/>
    </row>
    <row r="60465" spans="31:31">
      <c r="AE60465" s="54"/>
    </row>
    <row r="60466" spans="31:31">
      <c r="AE60466" s="54"/>
    </row>
    <row r="60467" spans="31:31">
      <c r="AE60467" s="54"/>
    </row>
    <row r="60468" spans="31:31">
      <c r="AE60468" s="54"/>
    </row>
    <row r="60469" spans="31:31">
      <c r="AE60469" s="54"/>
    </row>
    <row r="60470" spans="31:31">
      <c r="AE60470" s="54"/>
    </row>
    <row r="60471" spans="31:31">
      <c r="AE60471" s="54"/>
    </row>
    <row r="60472" spans="31:31">
      <c r="AE60472" s="54"/>
    </row>
    <row r="60473" spans="31:31">
      <c r="AE60473" s="54"/>
    </row>
    <row r="60474" spans="31:31">
      <c r="AE60474" s="54"/>
    </row>
    <row r="60475" spans="31:31">
      <c r="AE60475" s="54"/>
    </row>
    <row r="60476" spans="31:31">
      <c r="AE60476" s="54"/>
    </row>
    <row r="60477" spans="31:31">
      <c r="AE60477" s="54"/>
    </row>
    <row r="60478" spans="31:31">
      <c r="AE60478" s="54"/>
    </row>
    <row r="60479" spans="31:31">
      <c r="AE60479" s="54"/>
    </row>
    <row r="60480" spans="31:31">
      <c r="AE60480" s="54"/>
    </row>
    <row r="60481" spans="31:31">
      <c r="AE60481" s="54"/>
    </row>
    <row r="60482" spans="31:31">
      <c r="AE60482" s="54"/>
    </row>
    <row r="60483" spans="31:31">
      <c r="AE60483" s="54"/>
    </row>
    <row r="60484" spans="31:31">
      <c r="AE60484" s="54"/>
    </row>
    <row r="60485" spans="31:31">
      <c r="AE60485" s="54"/>
    </row>
    <row r="60486" spans="31:31">
      <c r="AE60486" s="54"/>
    </row>
    <row r="60487" spans="31:31">
      <c r="AE60487" s="54"/>
    </row>
    <row r="60488" spans="31:31">
      <c r="AE60488" s="54"/>
    </row>
    <row r="60489" spans="31:31">
      <c r="AE60489" s="54"/>
    </row>
    <row r="60490" spans="31:31">
      <c r="AE60490" s="54"/>
    </row>
    <row r="60491" spans="31:31">
      <c r="AE60491" s="54"/>
    </row>
    <row r="60492" spans="31:31">
      <c r="AE60492" s="54"/>
    </row>
    <row r="60493" spans="31:31">
      <c r="AE60493" s="54"/>
    </row>
    <row r="60494" spans="31:31">
      <c r="AE60494" s="54"/>
    </row>
    <row r="60495" spans="31:31">
      <c r="AE60495" s="54"/>
    </row>
    <row r="60496" spans="31:31">
      <c r="AE60496" s="54"/>
    </row>
    <row r="60497" spans="31:31">
      <c r="AE60497" s="54"/>
    </row>
    <row r="60498" spans="31:31">
      <c r="AE60498" s="54"/>
    </row>
    <row r="60499" spans="31:31">
      <c r="AE60499" s="54"/>
    </row>
    <row r="60500" spans="31:31">
      <c r="AE60500" s="54"/>
    </row>
    <row r="60501" spans="31:31">
      <c r="AE60501" s="54"/>
    </row>
    <row r="60502" spans="31:31">
      <c r="AE60502" s="54"/>
    </row>
    <row r="60503" spans="31:31">
      <c r="AE60503" s="54"/>
    </row>
    <row r="60504" spans="31:31">
      <c r="AE60504" s="54"/>
    </row>
    <row r="60505" spans="31:31">
      <c r="AE60505" s="54"/>
    </row>
    <row r="60506" spans="31:31">
      <c r="AE60506" s="54"/>
    </row>
    <row r="60507" spans="31:31">
      <c r="AE60507" s="54"/>
    </row>
    <row r="60508" spans="31:31">
      <c r="AE60508" s="54"/>
    </row>
    <row r="60509" spans="31:31">
      <c r="AE60509" s="54"/>
    </row>
    <row r="60510" spans="31:31">
      <c r="AE60510" s="54"/>
    </row>
    <row r="60511" spans="31:31">
      <c r="AE60511" s="54"/>
    </row>
    <row r="60512" spans="31:31">
      <c r="AE60512" s="54"/>
    </row>
    <row r="60513" spans="31:31">
      <c r="AE60513" s="54"/>
    </row>
    <row r="60514" spans="31:31">
      <c r="AE60514" s="54"/>
    </row>
    <row r="60515" spans="31:31">
      <c r="AE60515" s="54"/>
    </row>
    <row r="60516" spans="31:31">
      <c r="AE60516" s="54"/>
    </row>
    <row r="60517" spans="31:31">
      <c r="AE60517" s="54"/>
    </row>
    <row r="60518" spans="31:31">
      <c r="AE60518" s="54"/>
    </row>
    <row r="60519" spans="31:31">
      <c r="AE60519" s="54"/>
    </row>
    <row r="60520" spans="31:31">
      <c r="AE60520" s="54"/>
    </row>
    <row r="60521" spans="31:31">
      <c r="AE60521" s="54"/>
    </row>
    <row r="60522" spans="31:31">
      <c r="AE60522" s="54"/>
    </row>
    <row r="60523" spans="31:31">
      <c r="AE60523" s="54"/>
    </row>
    <row r="60524" spans="31:31">
      <c r="AE60524" s="54"/>
    </row>
    <row r="60525" spans="31:31">
      <c r="AE60525" s="54"/>
    </row>
    <row r="60526" spans="31:31">
      <c r="AE60526" s="54"/>
    </row>
    <row r="60527" spans="31:31">
      <c r="AE60527" s="54"/>
    </row>
    <row r="60528" spans="31:31">
      <c r="AE60528" s="54"/>
    </row>
    <row r="60529" spans="31:31">
      <c r="AE60529" s="54"/>
    </row>
    <row r="60530" spans="31:31">
      <c r="AE60530" s="54"/>
    </row>
    <row r="60531" spans="31:31">
      <c r="AE60531" s="54"/>
    </row>
    <row r="60532" spans="31:31">
      <c r="AE60532" s="54"/>
    </row>
    <row r="60533" spans="31:31">
      <c r="AE60533" s="54"/>
    </row>
    <row r="60534" spans="31:31">
      <c r="AE60534" s="54"/>
    </row>
    <row r="60535" spans="31:31">
      <c r="AE60535" s="54"/>
    </row>
    <row r="60536" spans="31:31">
      <c r="AE60536" s="54"/>
    </row>
    <row r="60537" spans="31:31">
      <c r="AE60537" s="54"/>
    </row>
    <row r="60538" spans="31:31">
      <c r="AE60538" s="54"/>
    </row>
    <row r="60539" spans="31:31">
      <c r="AE60539" s="54"/>
    </row>
    <row r="60540" spans="31:31">
      <c r="AE60540" s="54"/>
    </row>
    <row r="60541" spans="31:31">
      <c r="AE60541" s="54"/>
    </row>
    <row r="60542" spans="31:31">
      <c r="AE60542" s="54"/>
    </row>
    <row r="60543" spans="31:31">
      <c r="AE60543" s="54"/>
    </row>
    <row r="60544" spans="31:31">
      <c r="AE60544" s="54"/>
    </row>
    <row r="60545" spans="31:31">
      <c r="AE60545" s="54"/>
    </row>
    <row r="60546" spans="31:31">
      <c r="AE60546" s="54"/>
    </row>
    <row r="60547" spans="31:31">
      <c r="AE60547" s="54"/>
    </row>
    <row r="60548" spans="31:31">
      <c r="AE60548" s="54"/>
    </row>
    <row r="60549" spans="31:31">
      <c r="AE60549" s="54"/>
    </row>
    <row r="60550" spans="31:31">
      <c r="AE60550" s="54"/>
    </row>
    <row r="60551" spans="31:31">
      <c r="AE60551" s="54"/>
    </row>
    <row r="60552" spans="31:31">
      <c r="AE60552" s="54"/>
    </row>
    <row r="60553" spans="31:31">
      <c r="AE60553" s="54"/>
    </row>
    <row r="60554" spans="31:31">
      <c r="AE60554" s="54"/>
    </row>
    <row r="60555" spans="31:31">
      <c r="AE60555" s="54"/>
    </row>
    <row r="60556" spans="31:31">
      <c r="AE60556" s="54"/>
    </row>
    <row r="60557" spans="31:31">
      <c r="AE60557" s="54"/>
    </row>
    <row r="60558" spans="31:31">
      <c r="AE60558" s="54"/>
    </row>
    <row r="60559" spans="31:31">
      <c r="AE60559" s="54"/>
    </row>
    <row r="60560" spans="31:31">
      <c r="AE60560" s="54"/>
    </row>
    <row r="60561" spans="31:31">
      <c r="AE60561" s="54"/>
    </row>
    <row r="60562" spans="31:31">
      <c r="AE60562" s="54"/>
    </row>
    <row r="60563" spans="31:31">
      <c r="AE60563" s="54"/>
    </row>
    <row r="60564" spans="31:31">
      <c r="AE60564" s="54"/>
    </row>
    <row r="60565" spans="31:31">
      <c r="AE60565" s="54"/>
    </row>
    <row r="60566" spans="31:31">
      <c r="AE60566" s="54"/>
    </row>
    <row r="60567" spans="31:31">
      <c r="AE60567" s="54"/>
    </row>
    <row r="60568" spans="31:31">
      <c r="AE60568" s="54"/>
    </row>
    <row r="60569" spans="31:31">
      <c r="AE60569" s="54"/>
    </row>
    <row r="60570" spans="31:31">
      <c r="AE60570" s="54"/>
    </row>
    <row r="60571" spans="31:31">
      <c r="AE60571" s="54"/>
    </row>
    <row r="60572" spans="31:31">
      <c r="AE60572" s="54"/>
    </row>
    <row r="60573" spans="31:31">
      <c r="AE60573" s="54"/>
    </row>
    <row r="60574" spans="31:31">
      <c r="AE60574" s="54"/>
    </row>
    <row r="60575" spans="31:31">
      <c r="AE60575" s="54"/>
    </row>
    <row r="60576" spans="31:31">
      <c r="AE60576" s="54"/>
    </row>
    <row r="60577" spans="31:31">
      <c r="AE60577" s="54"/>
    </row>
    <row r="60578" spans="31:31">
      <c r="AE60578" s="54"/>
    </row>
    <row r="60579" spans="31:31">
      <c r="AE60579" s="54"/>
    </row>
    <row r="60580" spans="31:31">
      <c r="AE60580" s="54"/>
    </row>
    <row r="60581" spans="31:31">
      <c r="AE60581" s="54"/>
    </row>
    <row r="60582" spans="31:31">
      <c r="AE60582" s="54"/>
    </row>
    <row r="60583" spans="31:31">
      <c r="AE60583" s="54"/>
    </row>
    <row r="60584" spans="31:31">
      <c r="AE60584" s="54"/>
    </row>
    <row r="60585" spans="31:31">
      <c r="AE60585" s="54"/>
    </row>
    <row r="60586" spans="31:31">
      <c r="AE60586" s="54"/>
    </row>
    <row r="60587" spans="31:31">
      <c r="AE60587" s="54"/>
    </row>
    <row r="60588" spans="31:31">
      <c r="AE60588" s="54"/>
    </row>
    <row r="60589" spans="31:31">
      <c r="AE60589" s="54"/>
    </row>
    <row r="60590" spans="31:31">
      <c r="AE60590" s="54"/>
    </row>
    <row r="60591" spans="31:31">
      <c r="AE60591" s="54"/>
    </row>
    <row r="60592" spans="31:31">
      <c r="AE60592" s="54"/>
    </row>
    <row r="60593" spans="31:31">
      <c r="AE60593" s="54"/>
    </row>
    <row r="60594" spans="31:31">
      <c r="AE60594" s="54"/>
    </row>
    <row r="60595" spans="31:31">
      <c r="AE60595" s="54"/>
    </row>
    <row r="60596" spans="31:31">
      <c r="AE60596" s="54"/>
    </row>
    <row r="60597" spans="31:31">
      <c r="AE60597" s="54"/>
    </row>
    <row r="60598" spans="31:31">
      <c r="AE60598" s="54"/>
    </row>
    <row r="60599" spans="31:31">
      <c r="AE60599" s="54"/>
    </row>
    <row r="60600" spans="31:31">
      <c r="AE60600" s="54"/>
    </row>
    <row r="60601" spans="31:31">
      <c r="AE60601" s="54"/>
    </row>
    <row r="60602" spans="31:31">
      <c r="AE60602" s="54"/>
    </row>
    <row r="60603" spans="31:31">
      <c r="AE60603" s="54"/>
    </row>
    <row r="60604" spans="31:31">
      <c r="AE60604" s="54"/>
    </row>
    <row r="60605" spans="31:31">
      <c r="AE60605" s="54"/>
    </row>
    <row r="60606" spans="31:31">
      <c r="AE60606" s="54"/>
    </row>
    <row r="60607" spans="31:31">
      <c r="AE60607" s="54"/>
    </row>
    <row r="60608" spans="31:31">
      <c r="AE60608" s="54"/>
    </row>
    <row r="60609" spans="31:31">
      <c r="AE60609" s="54"/>
    </row>
    <row r="60610" spans="31:31">
      <c r="AE60610" s="54"/>
    </row>
    <row r="60611" spans="31:31">
      <c r="AE60611" s="54"/>
    </row>
    <row r="60612" spans="31:31">
      <c r="AE60612" s="54"/>
    </row>
    <row r="60613" spans="31:31">
      <c r="AE60613" s="54"/>
    </row>
    <row r="60614" spans="31:31">
      <c r="AE60614" s="54"/>
    </row>
    <row r="60615" spans="31:31">
      <c r="AE60615" s="54"/>
    </row>
    <row r="60616" spans="31:31">
      <c r="AE60616" s="54"/>
    </row>
    <row r="60617" spans="31:31">
      <c r="AE60617" s="54"/>
    </row>
    <row r="60618" spans="31:31">
      <c r="AE60618" s="54"/>
    </row>
    <row r="60619" spans="31:31">
      <c r="AE60619" s="54"/>
    </row>
    <row r="60620" spans="31:31">
      <c r="AE60620" s="54"/>
    </row>
    <row r="60621" spans="31:31">
      <c r="AE60621" s="54"/>
    </row>
    <row r="60622" spans="31:31">
      <c r="AE60622" s="54"/>
    </row>
    <row r="60623" spans="31:31">
      <c r="AE60623" s="54"/>
    </row>
    <row r="60624" spans="31:31">
      <c r="AE60624" s="54"/>
    </row>
    <row r="60625" spans="31:31">
      <c r="AE60625" s="54"/>
    </row>
    <row r="60626" spans="31:31">
      <c r="AE60626" s="54"/>
    </row>
    <row r="60627" spans="31:31">
      <c r="AE60627" s="54"/>
    </row>
    <row r="60628" spans="31:31">
      <c r="AE60628" s="54"/>
    </row>
    <row r="60629" spans="31:31">
      <c r="AE60629" s="54"/>
    </row>
    <row r="60630" spans="31:31">
      <c r="AE60630" s="54"/>
    </row>
    <row r="60631" spans="31:31">
      <c r="AE60631" s="54"/>
    </row>
    <row r="60632" spans="31:31">
      <c r="AE60632" s="54"/>
    </row>
    <row r="60633" spans="31:31">
      <c r="AE60633" s="54"/>
    </row>
    <row r="60634" spans="31:31">
      <c r="AE60634" s="54"/>
    </row>
    <row r="60635" spans="31:31">
      <c r="AE60635" s="54"/>
    </row>
    <row r="60636" spans="31:31">
      <c r="AE60636" s="54"/>
    </row>
    <row r="60637" spans="31:31">
      <c r="AE60637" s="54"/>
    </row>
    <row r="60638" spans="31:31">
      <c r="AE60638" s="54"/>
    </row>
    <row r="60639" spans="31:31">
      <c r="AE60639" s="54"/>
    </row>
    <row r="60640" spans="31:31">
      <c r="AE60640" s="54"/>
    </row>
    <row r="60641" spans="31:31">
      <c r="AE60641" s="54"/>
    </row>
    <row r="60642" spans="31:31">
      <c r="AE60642" s="54"/>
    </row>
    <row r="60643" spans="31:31">
      <c r="AE60643" s="54"/>
    </row>
    <row r="60644" spans="31:31">
      <c r="AE60644" s="54"/>
    </row>
    <row r="60645" spans="31:31">
      <c r="AE60645" s="54"/>
    </row>
    <row r="60646" spans="31:31">
      <c r="AE60646" s="54"/>
    </row>
    <row r="60647" spans="31:31">
      <c r="AE60647" s="54"/>
    </row>
    <row r="60648" spans="31:31">
      <c r="AE60648" s="54"/>
    </row>
    <row r="60649" spans="31:31">
      <c r="AE60649" s="54"/>
    </row>
    <row r="60650" spans="31:31">
      <c r="AE60650" s="54"/>
    </row>
    <row r="60651" spans="31:31">
      <c r="AE60651" s="54"/>
    </row>
    <row r="60652" spans="31:31">
      <c r="AE60652" s="54"/>
    </row>
    <row r="60653" spans="31:31">
      <c r="AE60653" s="54"/>
    </row>
    <row r="60654" spans="31:31">
      <c r="AE60654" s="54"/>
    </row>
    <row r="60655" spans="31:31">
      <c r="AE60655" s="54"/>
    </row>
    <row r="60656" spans="31:31">
      <c r="AE60656" s="54"/>
    </row>
    <row r="60657" spans="31:31">
      <c r="AE60657" s="54"/>
    </row>
    <row r="60658" spans="31:31">
      <c r="AE60658" s="54"/>
    </row>
    <row r="60659" spans="31:31">
      <c r="AE60659" s="54"/>
    </row>
    <row r="60660" spans="31:31">
      <c r="AE60660" s="54"/>
    </row>
    <row r="60661" spans="31:31">
      <c r="AE60661" s="54"/>
    </row>
    <row r="60662" spans="31:31">
      <c r="AE60662" s="54"/>
    </row>
    <row r="60663" spans="31:31">
      <c r="AE60663" s="54"/>
    </row>
    <row r="60664" spans="31:31">
      <c r="AE60664" s="54"/>
    </row>
    <row r="60665" spans="31:31">
      <c r="AE60665" s="54"/>
    </row>
    <row r="60666" spans="31:31">
      <c r="AE60666" s="54"/>
    </row>
    <row r="60667" spans="31:31">
      <c r="AE60667" s="54"/>
    </row>
    <row r="60668" spans="31:31">
      <c r="AE60668" s="54"/>
    </row>
    <row r="60669" spans="31:31">
      <c r="AE60669" s="54"/>
    </row>
    <row r="60670" spans="31:31">
      <c r="AE60670" s="54"/>
    </row>
    <row r="60671" spans="31:31">
      <c r="AE60671" s="54"/>
    </row>
    <row r="60672" spans="31:31">
      <c r="AE60672" s="54"/>
    </row>
    <row r="60673" spans="31:31">
      <c r="AE60673" s="54"/>
    </row>
    <row r="60674" spans="31:31">
      <c r="AE60674" s="54"/>
    </row>
    <row r="60675" spans="31:31">
      <c r="AE60675" s="54"/>
    </row>
    <row r="60676" spans="31:31">
      <c r="AE60676" s="54"/>
    </row>
    <row r="60677" spans="31:31">
      <c r="AE60677" s="54"/>
    </row>
    <row r="60678" spans="31:31">
      <c r="AE60678" s="54"/>
    </row>
    <row r="60679" spans="31:31">
      <c r="AE60679" s="54"/>
    </row>
    <row r="60680" spans="31:31">
      <c r="AE60680" s="54"/>
    </row>
    <row r="60681" spans="31:31">
      <c r="AE60681" s="54"/>
    </row>
    <row r="60682" spans="31:31">
      <c r="AE60682" s="54"/>
    </row>
    <row r="60683" spans="31:31">
      <c r="AE60683" s="54"/>
    </row>
    <row r="60684" spans="31:31">
      <c r="AE60684" s="54"/>
    </row>
    <row r="60685" spans="31:31">
      <c r="AE60685" s="54"/>
    </row>
    <row r="60686" spans="31:31">
      <c r="AE60686" s="54"/>
    </row>
    <row r="60687" spans="31:31">
      <c r="AE60687" s="54"/>
    </row>
    <row r="60688" spans="31:31">
      <c r="AE60688" s="54"/>
    </row>
    <row r="60689" spans="31:31">
      <c r="AE60689" s="54"/>
    </row>
    <row r="60690" spans="31:31">
      <c r="AE60690" s="54"/>
    </row>
    <row r="60691" spans="31:31">
      <c r="AE60691" s="54"/>
    </row>
    <row r="60692" spans="31:31">
      <c r="AE60692" s="54"/>
    </row>
    <row r="60693" spans="31:31">
      <c r="AE60693" s="54"/>
    </row>
    <row r="60694" spans="31:31">
      <c r="AE60694" s="54"/>
    </row>
    <row r="60695" spans="31:31">
      <c r="AE60695" s="54"/>
    </row>
    <row r="60696" spans="31:31">
      <c r="AE60696" s="54"/>
    </row>
    <row r="60697" spans="31:31">
      <c r="AE60697" s="54"/>
    </row>
    <row r="60698" spans="31:31">
      <c r="AE60698" s="54"/>
    </row>
    <row r="60699" spans="31:31">
      <c r="AE60699" s="54"/>
    </row>
    <row r="60700" spans="31:31">
      <c r="AE60700" s="54"/>
    </row>
    <row r="60701" spans="31:31">
      <c r="AE60701" s="54"/>
    </row>
    <row r="60702" spans="31:31">
      <c r="AE60702" s="54"/>
    </row>
    <row r="60703" spans="31:31">
      <c r="AE60703" s="54"/>
    </row>
    <row r="60704" spans="31:31">
      <c r="AE60704" s="54"/>
    </row>
    <row r="60705" spans="31:31">
      <c r="AE60705" s="54"/>
    </row>
    <row r="60706" spans="31:31">
      <c r="AE60706" s="54"/>
    </row>
    <row r="60707" spans="31:31">
      <c r="AE60707" s="54"/>
    </row>
    <row r="60708" spans="31:31">
      <c r="AE60708" s="54"/>
    </row>
    <row r="60709" spans="31:31">
      <c r="AE60709" s="54"/>
    </row>
    <row r="60710" spans="31:31">
      <c r="AE60710" s="54"/>
    </row>
    <row r="60711" spans="31:31">
      <c r="AE60711" s="54"/>
    </row>
    <row r="60712" spans="31:31">
      <c r="AE60712" s="54"/>
    </row>
    <row r="60713" spans="31:31">
      <c r="AE60713" s="54"/>
    </row>
    <row r="60714" spans="31:31">
      <c r="AE60714" s="54"/>
    </row>
    <row r="60715" spans="31:31">
      <c r="AE60715" s="54"/>
    </row>
    <row r="60716" spans="31:31">
      <c r="AE60716" s="54"/>
    </row>
    <row r="60717" spans="31:31">
      <c r="AE60717" s="54"/>
    </row>
    <row r="60718" spans="31:31">
      <c r="AE60718" s="54"/>
    </row>
    <row r="60719" spans="31:31">
      <c r="AE60719" s="54"/>
    </row>
    <row r="60720" spans="31:31">
      <c r="AE60720" s="54"/>
    </row>
    <row r="60721" spans="31:31">
      <c r="AE60721" s="54"/>
    </row>
    <row r="60722" spans="31:31">
      <c r="AE60722" s="54"/>
    </row>
    <row r="60723" spans="31:31">
      <c r="AE60723" s="54"/>
    </row>
    <row r="60724" spans="31:31">
      <c r="AE60724" s="54"/>
    </row>
    <row r="60725" spans="31:31">
      <c r="AE60725" s="54"/>
    </row>
    <row r="60726" spans="31:31">
      <c r="AE60726" s="54"/>
    </row>
    <row r="60727" spans="31:31">
      <c r="AE60727" s="54"/>
    </row>
    <row r="60728" spans="31:31">
      <c r="AE60728" s="54"/>
    </row>
    <row r="60729" spans="31:31">
      <c r="AE60729" s="54"/>
    </row>
    <row r="60730" spans="31:31">
      <c r="AE60730" s="54"/>
    </row>
    <row r="60731" spans="31:31">
      <c r="AE60731" s="54"/>
    </row>
    <row r="60732" spans="31:31">
      <c r="AE60732" s="54"/>
    </row>
    <row r="60733" spans="31:31">
      <c r="AE60733" s="54"/>
    </row>
    <row r="60734" spans="31:31">
      <c r="AE60734" s="54"/>
    </row>
    <row r="60735" spans="31:31">
      <c r="AE60735" s="54"/>
    </row>
    <row r="60736" spans="31:31">
      <c r="AE60736" s="54"/>
    </row>
    <row r="60737" spans="31:31">
      <c r="AE60737" s="54"/>
    </row>
    <row r="60738" spans="31:31">
      <c r="AE60738" s="54"/>
    </row>
    <row r="60739" spans="31:31">
      <c r="AE60739" s="54"/>
    </row>
    <row r="60740" spans="31:31">
      <c r="AE60740" s="54"/>
    </row>
    <row r="60741" spans="31:31">
      <c r="AE60741" s="54"/>
    </row>
    <row r="60742" spans="31:31">
      <c r="AE60742" s="54"/>
    </row>
    <row r="60743" spans="31:31">
      <c r="AE60743" s="54"/>
    </row>
    <row r="60744" spans="31:31">
      <c r="AE60744" s="54"/>
    </row>
    <row r="60745" spans="31:31">
      <c r="AE60745" s="54"/>
    </row>
    <row r="60746" spans="31:31">
      <c r="AE60746" s="54"/>
    </row>
    <row r="60747" spans="31:31">
      <c r="AE60747" s="54"/>
    </row>
    <row r="60748" spans="31:31">
      <c r="AE60748" s="54"/>
    </row>
    <row r="60749" spans="31:31">
      <c r="AE60749" s="54"/>
    </row>
    <row r="60750" spans="31:31">
      <c r="AE60750" s="54"/>
    </row>
    <row r="60751" spans="31:31">
      <c r="AE60751" s="54"/>
    </row>
    <row r="60752" spans="31:31">
      <c r="AE60752" s="54"/>
    </row>
    <row r="60753" spans="31:31">
      <c r="AE60753" s="54"/>
    </row>
    <row r="60754" spans="31:31">
      <c r="AE60754" s="54"/>
    </row>
    <row r="60755" spans="31:31">
      <c r="AE60755" s="54"/>
    </row>
    <row r="60756" spans="31:31">
      <c r="AE60756" s="54"/>
    </row>
    <row r="60757" spans="31:31">
      <c r="AE60757" s="54"/>
    </row>
    <row r="60758" spans="31:31">
      <c r="AE60758" s="54"/>
    </row>
    <row r="60759" spans="31:31">
      <c r="AE60759" s="54"/>
    </row>
    <row r="60760" spans="31:31">
      <c r="AE60760" s="54"/>
    </row>
    <row r="60761" spans="31:31">
      <c r="AE60761" s="54"/>
    </row>
    <row r="60762" spans="31:31">
      <c r="AE60762" s="54"/>
    </row>
    <row r="60763" spans="31:31">
      <c r="AE60763" s="54"/>
    </row>
    <row r="60764" spans="31:31">
      <c r="AE60764" s="54"/>
    </row>
    <row r="60765" spans="31:31">
      <c r="AE60765" s="54"/>
    </row>
    <row r="60766" spans="31:31">
      <c r="AE60766" s="54"/>
    </row>
    <row r="60767" spans="31:31">
      <c r="AE60767" s="54"/>
    </row>
    <row r="60768" spans="31:31">
      <c r="AE60768" s="54"/>
    </row>
    <row r="60769" spans="31:31">
      <c r="AE60769" s="54"/>
    </row>
    <row r="60770" spans="31:31">
      <c r="AE60770" s="54"/>
    </row>
    <row r="60771" spans="31:31">
      <c r="AE60771" s="54"/>
    </row>
    <row r="60772" spans="31:31">
      <c r="AE60772" s="54"/>
    </row>
    <row r="60773" spans="31:31">
      <c r="AE60773" s="54"/>
    </row>
    <row r="60774" spans="31:31">
      <c r="AE60774" s="54"/>
    </row>
    <row r="60775" spans="31:31">
      <c r="AE60775" s="54"/>
    </row>
    <row r="60776" spans="31:31">
      <c r="AE60776" s="54"/>
    </row>
    <row r="60777" spans="31:31">
      <c r="AE60777" s="54"/>
    </row>
    <row r="60778" spans="31:31">
      <c r="AE60778" s="54"/>
    </row>
    <row r="60779" spans="31:31">
      <c r="AE60779" s="54"/>
    </row>
    <row r="60780" spans="31:31">
      <c r="AE60780" s="54"/>
    </row>
    <row r="60781" spans="31:31">
      <c r="AE60781" s="54"/>
    </row>
    <row r="60782" spans="31:31">
      <c r="AE60782" s="54"/>
    </row>
    <row r="60783" spans="31:31">
      <c r="AE60783" s="54"/>
    </row>
    <row r="60784" spans="31:31">
      <c r="AE60784" s="54"/>
    </row>
    <row r="60785" spans="31:31">
      <c r="AE60785" s="54"/>
    </row>
    <row r="60786" spans="31:31">
      <c r="AE60786" s="54"/>
    </row>
    <row r="60787" spans="31:31">
      <c r="AE60787" s="54"/>
    </row>
    <row r="60788" spans="31:31">
      <c r="AE60788" s="54"/>
    </row>
    <row r="60789" spans="31:31">
      <c r="AE60789" s="54"/>
    </row>
    <row r="60790" spans="31:31">
      <c r="AE60790" s="54"/>
    </row>
    <row r="60791" spans="31:31">
      <c r="AE60791" s="54"/>
    </row>
    <row r="60792" spans="31:31">
      <c r="AE60792" s="54"/>
    </row>
    <row r="60793" spans="31:31">
      <c r="AE60793" s="54"/>
    </row>
    <row r="60794" spans="31:31">
      <c r="AE60794" s="54"/>
    </row>
    <row r="60795" spans="31:31">
      <c r="AE60795" s="54"/>
    </row>
    <row r="60796" spans="31:31">
      <c r="AE60796" s="54"/>
    </row>
    <row r="60797" spans="31:31">
      <c r="AE60797" s="54"/>
    </row>
    <row r="60798" spans="31:31">
      <c r="AE60798" s="54"/>
    </row>
    <row r="60799" spans="31:31">
      <c r="AE60799" s="54"/>
    </row>
    <row r="60800" spans="31:31">
      <c r="AE60800" s="54"/>
    </row>
    <row r="60801" spans="31:31">
      <c r="AE60801" s="54"/>
    </row>
    <row r="60802" spans="31:31">
      <c r="AE60802" s="54"/>
    </row>
    <row r="60803" spans="31:31">
      <c r="AE60803" s="54"/>
    </row>
    <row r="60804" spans="31:31">
      <c r="AE60804" s="54"/>
    </row>
    <row r="60805" spans="31:31">
      <c r="AE60805" s="54"/>
    </row>
    <row r="60806" spans="31:31">
      <c r="AE60806" s="54"/>
    </row>
    <row r="60807" spans="31:31">
      <c r="AE60807" s="54"/>
    </row>
    <row r="60808" spans="31:31">
      <c r="AE60808" s="54"/>
    </row>
    <row r="60809" spans="31:31">
      <c r="AE60809" s="54"/>
    </row>
    <row r="60810" spans="31:31">
      <c r="AE60810" s="54"/>
    </row>
    <row r="60811" spans="31:31">
      <c r="AE60811" s="54"/>
    </row>
    <row r="60812" spans="31:31">
      <c r="AE60812" s="54"/>
    </row>
    <row r="60813" spans="31:31">
      <c r="AE60813" s="54"/>
    </row>
    <row r="60814" spans="31:31">
      <c r="AE60814" s="54"/>
    </row>
    <row r="60815" spans="31:31">
      <c r="AE60815" s="54"/>
    </row>
    <row r="60816" spans="31:31">
      <c r="AE60816" s="54"/>
    </row>
    <row r="60817" spans="31:31">
      <c r="AE60817" s="54"/>
    </row>
    <row r="60818" spans="31:31">
      <c r="AE60818" s="54"/>
    </row>
    <row r="60819" spans="31:31">
      <c r="AE60819" s="54"/>
    </row>
    <row r="60820" spans="31:31">
      <c r="AE60820" s="54"/>
    </row>
    <row r="60821" spans="31:31">
      <c r="AE60821" s="54"/>
    </row>
    <row r="60822" spans="31:31">
      <c r="AE60822" s="54"/>
    </row>
    <row r="60823" spans="31:31">
      <c r="AE60823" s="54"/>
    </row>
    <row r="60824" spans="31:31">
      <c r="AE60824" s="54"/>
    </row>
    <row r="60825" spans="31:31">
      <c r="AE60825" s="54"/>
    </row>
    <row r="60826" spans="31:31">
      <c r="AE60826" s="54"/>
    </row>
    <row r="60827" spans="31:31">
      <c r="AE60827" s="54"/>
    </row>
    <row r="60828" spans="31:31">
      <c r="AE60828" s="54"/>
    </row>
    <row r="60829" spans="31:31">
      <c r="AE60829" s="54"/>
    </row>
    <row r="60830" spans="31:31">
      <c r="AE60830" s="54"/>
    </row>
    <row r="60831" spans="31:31">
      <c r="AE60831" s="54"/>
    </row>
    <row r="60832" spans="31:31">
      <c r="AE60832" s="54"/>
    </row>
    <row r="60833" spans="31:31">
      <c r="AE60833" s="54"/>
    </row>
    <row r="60834" spans="31:31">
      <c r="AE60834" s="54"/>
    </row>
    <row r="60835" spans="31:31">
      <c r="AE60835" s="54"/>
    </row>
    <row r="60836" spans="31:31">
      <c r="AE60836" s="54"/>
    </row>
    <row r="60837" spans="31:31">
      <c r="AE60837" s="54"/>
    </row>
    <row r="60838" spans="31:31">
      <c r="AE60838" s="54"/>
    </row>
    <row r="60839" spans="31:31">
      <c r="AE60839" s="54"/>
    </row>
    <row r="60840" spans="31:31">
      <c r="AE60840" s="54"/>
    </row>
    <row r="60841" spans="31:31">
      <c r="AE60841" s="54"/>
    </row>
    <row r="60842" spans="31:31">
      <c r="AE60842" s="54"/>
    </row>
    <row r="60843" spans="31:31">
      <c r="AE60843" s="54"/>
    </row>
    <row r="60844" spans="31:31">
      <c r="AE60844" s="54"/>
    </row>
    <row r="60845" spans="31:31">
      <c r="AE60845" s="54"/>
    </row>
    <row r="60846" spans="31:31">
      <c r="AE60846" s="54"/>
    </row>
    <row r="60847" spans="31:31">
      <c r="AE60847" s="54"/>
    </row>
    <row r="60848" spans="31:31">
      <c r="AE60848" s="54"/>
    </row>
    <row r="60849" spans="31:31">
      <c r="AE60849" s="54"/>
    </row>
    <row r="60850" spans="31:31">
      <c r="AE60850" s="54"/>
    </row>
    <row r="60851" spans="31:31">
      <c r="AE60851" s="54"/>
    </row>
    <row r="60852" spans="31:31">
      <c r="AE60852" s="54"/>
    </row>
    <row r="60853" spans="31:31">
      <c r="AE60853" s="54"/>
    </row>
    <row r="60854" spans="31:31">
      <c r="AE60854" s="54"/>
    </row>
    <row r="60855" spans="31:31">
      <c r="AE60855" s="54"/>
    </row>
    <row r="60856" spans="31:31">
      <c r="AE60856" s="54"/>
    </row>
    <row r="60857" spans="31:31">
      <c r="AE60857" s="54"/>
    </row>
    <row r="60858" spans="31:31">
      <c r="AE60858" s="54"/>
    </row>
    <row r="60859" spans="31:31">
      <c r="AE60859" s="54"/>
    </row>
    <row r="60860" spans="31:31">
      <c r="AE60860" s="54"/>
    </row>
    <row r="60861" spans="31:31">
      <c r="AE60861" s="54"/>
    </row>
    <row r="60862" spans="31:31">
      <c r="AE60862" s="54"/>
    </row>
    <row r="60863" spans="31:31">
      <c r="AE60863" s="54"/>
    </row>
    <row r="60864" spans="31:31">
      <c r="AE60864" s="54"/>
    </row>
    <row r="60865" spans="31:31">
      <c r="AE60865" s="54"/>
    </row>
    <row r="60866" spans="31:31">
      <c r="AE60866" s="54"/>
    </row>
    <row r="60867" spans="31:31">
      <c r="AE60867" s="54"/>
    </row>
    <row r="60868" spans="31:31">
      <c r="AE60868" s="54"/>
    </row>
    <row r="60869" spans="31:31">
      <c r="AE60869" s="54"/>
    </row>
    <row r="60870" spans="31:31">
      <c r="AE60870" s="54"/>
    </row>
    <row r="60871" spans="31:31">
      <c r="AE60871" s="54"/>
    </row>
    <row r="60872" spans="31:31">
      <c r="AE60872" s="54"/>
    </row>
    <row r="60873" spans="31:31">
      <c r="AE60873" s="54"/>
    </row>
    <row r="60874" spans="31:31">
      <c r="AE60874" s="54"/>
    </row>
    <row r="60875" spans="31:31">
      <c r="AE60875" s="54"/>
    </row>
    <row r="60876" spans="31:31">
      <c r="AE60876" s="54"/>
    </row>
    <row r="60877" spans="31:31">
      <c r="AE60877" s="54"/>
    </row>
    <row r="60878" spans="31:31">
      <c r="AE60878" s="54"/>
    </row>
    <row r="60879" spans="31:31">
      <c r="AE60879" s="54"/>
    </row>
    <row r="60880" spans="31:31">
      <c r="AE60880" s="54"/>
    </row>
    <row r="60881" spans="31:31">
      <c r="AE60881" s="54"/>
    </row>
    <row r="60882" spans="31:31">
      <c r="AE60882" s="54"/>
    </row>
    <row r="60883" spans="31:31">
      <c r="AE60883" s="54"/>
    </row>
    <row r="60884" spans="31:31">
      <c r="AE60884" s="54"/>
    </row>
    <row r="60885" spans="31:31">
      <c r="AE60885" s="54"/>
    </row>
    <row r="60886" spans="31:31">
      <c r="AE60886" s="54"/>
    </row>
    <row r="60887" spans="31:31">
      <c r="AE60887" s="54"/>
    </row>
    <row r="60888" spans="31:31">
      <c r="AE60888" s="54"/>
    </row>
    <row r="60889" spans="31:31">
      <c r="AE60889" s="54"/>
    </row>
    <row r="60890" spans="31:31">
      <c r="AE60890" s="54"/>
    </row>
    <row r="60891" spans="31:31">
      <c r="AE60891" s="54"/>
    </row>
    <row r="60892" spans="31:31">
      <c r="AE60892" s="54"/>
    </row>
    <row r="60893" spans="31:31">
      <c r="AE60893" s="54"/>
    </row>
    <row r="60894" spans="31:31">
      <c r="AE60894" s="54"/>
    </row>
    <row r="60895" spans="31:31">
      <c r="AE60895" s="54"/>
    </row>
    <row r="60896" spans="31:31">
      <c r="AE60896" s="54"/>
    </row>
    <row r="60897" spans="31:31">
      <c r="AE60897" s="54"/>
    </row>
    <row r="60898" spans="31:31">
      <c r="AE60898" s="54"/>
    </row>
    <row r="60899" spans="31:31">
      <c r="AE60899" s="54"/>
    </row>
    <row r="60900" spans="31:31">
      <c r="AE60900" s="54"/>
    </row>
    <row r="60901" spans="31:31">
      <c r="AE60901" s="54"/>
    </row>
    <row r="60902" spans="31:31">
      <c r="AE60902" s="54"/>
    </row>
    <row r="60903" spans="31:31">
      <c r="AE60903" s="54"/>
    </row>
    <row r="60904" spans="31:31">
      <c r="AE60904" s="54"/>
    </row>
    <row r="60905" spans="31:31">
      <c r="AE60905" s="54"/>
    </row>
    <row r="60906" spans="31:31">
      <c r="AE60906" s="54"/>
    </row>
    <row r="60907" spans="31:31">
      <c r="AE60907" s="54"/>
    </row>
    <row r="60908" spans="31:31">
      <c r="AE60908" s="54"/>
    </row>
    <row r="60909" spans="31:31">
      <c r="AE60909" s="54"/>
    </row>
    <row r="60910" spans="31:31">
      <c r="AE60910" s="54"/>
    </row>
    <row r="60911" spans="31:31">
      <c r="AE60911" s="54"/>
    </row>
    <row r="60912" spans="31:31">
      <c r="AE60912" s="54"/>
    </row>
    <row r="60913" spans="31:31">
      <c r="AE60913" s="54"/>
    </row>
    <row r="60914" spans="31:31">
      <c r="AE60914" s="54"/>
    </row>
    <row r="60915" spans="31:31">
      <c r="AE60915" s="54"/>
    </row>
    <row r="60916" spans="31:31">
      <c r="AE60916" s="54"/>
    </row>
    <row r="60917" spans="31:31">
      <c r="AE60917" s="54"/>
    </row>
    <row r="60918" spans="31:31">
      <c r="AE60918" s="54"/>
    </row>
    <row r="60919" spans="31:31">
      <c r="AE60919" s="54"/>
    </row>
    <row r="60920" spans="31:31">
      <c r="AE60920" s="54"/>
    </row>
    <row r="60921" spans="31:31">
      <c r="AE60921" s="54"/>
    </row>
    <row r="60922" spans="31:31">
      <c r="AE60922" s="54"/>
    </row>
    <row r="60923" spans="31:31">
      <c r="AE60923" s="54"/>
    </row>
    <row r="60924" spans="31:31">
      <c r="AE60924" s="54"/>
    </row>
    <row r="60925" spans="31:31">
      <c r="AE60925" s="54"/>
    </row>
    <row r="60926" spans="31:31">
      <c r="AE60926" s="54"/>
    </row>
    <row r="60927" spans="31:31">
      <c r="AE60927" s="54"/>
    </row>
    <row r="60928" spans="31:31">
      <c r="AE60928" s="54"/>
    </row>
    <row r="60929" spans="31:31">
      <c r="AE60929" s="54"/>
    </row>
    <row r="60930" spans="31:31">
      <c r="AE60930" s="54"/>
    </row>
    <row r="60931" spans="31:31">
      <c r="AE60931" s="54"/>
    </row>
    <row r="60932" spans="31:31">
      <c r="AE60932" s="54"/>
    </row>
    <row r="60933" spans="31:31">
      <c r="AE60933" s="54"/>
    </row>
    <row r="60934" spans="31:31">
      <c r="AE60934" s="54"/>
    </row>
    <row r="60935" spans="31:31">
      <c r="AE60935" s="54"/>
    </row>
    <row r="60936" spans="31:31">
      <c r="AE60936" s="54"/>
    </row>
    <row r="60937" spans="31:31">
      <c r="AE60937" s="54"/>
    </row>
    <row r="60938" spans="31:31">
      <c r="AE60938" s="54"/>
    </row>
    <row r="60939" spans="31:31">
      <c r="AE60939" s="54"/>
    </row>
    <row r="60940" spans="31:31">
      <c r="AE60940" s="54"/>
    </row>
    <row r="60941" spans="31:31">
      <c r="AE60941" s="54"/>
    </row>
    <row r="60942" spans="31:31">
      <c r="AE60942" s="54"/>
    </row>
    <row r="60943" spans="31:31">
      <c r="AE60943" s="54"/>
    </row>
    <row r="60944" spans="31:31">
      <c r="AE60944" s="54"/>
    </row>
    <row r="60945" spans="31:31">
      <c r="AE60945" s="54"/>
    </row>
    <row r="60946" spans="31:31">
      <c r="AE60946" s="54"/>
    </row>
    <row r="60947" spans="31:31">
      <c r="AE60947" s="54"/>
    </row>
    <row r="60948" spans="31:31">
      <c r="AE60948" s="54"/>
    </row>
    <row r="60949" spans="31:31">
      <c r="AE60949" s="54"/>
    </row>
    <row r="60950" spans="31:31">
      <c r="AE60950" s="54"/>
    </row>
    <row r="60951" spans="31:31">
      <c r="AE60951" s="54"/>
    </row>
    <row r="60952" spans="31:31">
      <c r="AE60952" s="54"/>
    </row>
    <row r="60953" spans="31:31">
      <c r="AE60953" s="54"/>
    </row>
    <row r="60954" spans="31:31">
      <c r="AE60954" s="54"/>
    </row>
    <row r="60955" spans="31:31">
      <c r="AE60955" s="54"/>
    </row>
    <row r="60956" spans="31:31">
      <c r="AE60956" s="54"/>
    </row>
    <row r="60957" spans="31:31">
      <c r="AE60957" s="54"/>
    </row>
    <row r="60958" spans="31:31">
      <c r="AE60958" s="54"/>
    </row>
    <row r="60959" spans="31:31">
      <c r="AE60959" s="54"/>
    </row>
    <row r="60960" spans="31:31">
      <c r="AE60960" s="54"/>
    </row>
    <row r="60961" spans="31:31">
      <c r="AE60961" s="54"/>
    </row>
    <row r="60962" spans="31:31">
      <c r="AE60962" s="54"/>
    </row>
    <row r="60963" spans="31:31">
      <c r="AE60963" s="54"/>
    </row>
    <row r="60964" spans="31:31">
      <c r="AE60964" s="54"/>
    </row>
    <row r="60965" spans="31:31">
      <c r="AE60965" s="54"/>
    </row>
    <row r="60966" spans="31:31">
      <c r="AE60966" s="54"/>
    </row>
    <row r="60967" spans="31:31">
      <c r="AE60967" s="54"/>
    </row>
    <row r="60968" spans="31:31">
      <c r="AE60968" s="54"/>
    </row>
    <row r="60969" spans="31:31">
      <c r="AE60969" s="54"/>
    </row>
    <row r="60970" spans="31:31">
      <c r="AE60970" s="54"/>
    </row>
    <row r="60971" spans="31:31">
      <c r="AE60971" s="54"/>
    </row>
    <row r="60972" spans="31:31">
      <c r="AE60972" s="54"/>
    </row>
    <row r="60973" spans="31:31">
      <c r="AE60973" s="54"/>
    </row>
    <row r="60974" spans="31:31">
      <c r="AE60974" s="54"/>
    </row>
    <row r="60975" spans="31:31">
      <c r="AE60975" s="54"/>
    </row>
    <row r="60976" spans="31:31">
      <c r="AE60976" s="54"/>
    </row>
    <row r="60977" spans="31:31">
      <c r="AE60977" s="54"/>
    </row>
    <row r="60978" spans="31:31">
      <c r="AE60978" s="54"/>
    </row>
    <row r="60979" spans="31:31">
      <c r="AE60979" s="54"/>
    </row>
    <row r="60980" spans="31:31">
      <c r="AE60980" s="54"/>
    </row>
    <row r="60981" spans="31:31">
      <c r="AE60981" s="54"/>
    </row>
    <row r="60982" spans="31:31">
      <c r="AE60982" s="54"/>
    </row>
    <row r="60983" spans="31:31">
      <c r="AE60983" s="54"/>
    </row>
    <row r="60984" spans="31:31">
      <c r="AE60984" s="54"/>
    </row>
    <row r="60985" spans="31:31">
      <c r="AE60985" s="54"/>
    </row>
    <row r="60986" spans="31:31">
      <c r="AE60986" s="54"/>
    </row>
    <row r="60987" spans="31:31">
      <c r="AE60987" s="54"/>
    </row>
    <row r="60988" spans="31:31">
      <c r="AE60988" s="54"/>
    </row>
    <row r="60989" spans="31:31">
      <c r="AE60989" s="54"/>
    </row>
    <row r="60990" spans="31:31">
      <c r="AE60990" s="54"/>
    </row>
    <row r="60991" spans="31:31">
      <c r="AE60991" s="54"/>
    </row>
    <row r="60992" spans="31:31">
      <c r="AE60992" s="54"/>
    </row>
    <row r="60993" spans="31:31">
      <c r="AE60993" s="54"/>
    </row>
    <row r="60994" spans="31:31">
      <c r="AE60994" s="54"/>
    </row>
    <row r="60995" spans="31:31">
      <c r="AE60995" s="54"/>
    </row>
    <row r="60996" spans="31:31">
      <c r="AE60996" s="54"/>
    </row>
    <row r="60997" spans="31:31">
      <c r="AE60997" s="54"/>
    </row>
    <row r="60998" spans="31:31">
      <c r="AE60998" s="54"/>
    </row>
    <row r="60999" spans="31:31">
      <c r="AE60999" s="54"/>
    </row>
    <row r="61000" spans="31:31">
      <c r="AE61000" s="54"/>
    </row>
    <row r="61001" spans="31:31">
      <c r="AE61001" s="54"/>
    </row>
    <row r="61002" spans="31:31">
      <c r="AE61002" s="54"/>
    </row>
    <row r="61003" spans="31:31">
      <c r="AE61003" s="54"/>
    </row>
    <row r="61004" spans="31:31">
      <c r="AE61004" s="54"/>
    </row>
    <row r="61005" spans="31:31">
      <c r="AE61005" s="54"/>
    </row>
    <row r="61006" spans="31:31">
      <c r="AE61006" s="54"/>
    </row>
    <row r="61007" spans="31:31">
      <c r="AE61007" s="54"/>
    </row>
    <row r="61008" spans="31:31">
      <c r="AE61008" s="54"/>
    </row>
    <row r="61009" spans="31:31">
      <c r="AE61009" s="54"/>
    </row>
    <row r="61010" spans="31:31">
      <c r="AE61010" s="54"/>
    </row>
    <row r="61011" spans="31:31">
      <c r="AE61011" s="54"/>
    </row>
    <row r="61012" spans="31:31">
      <c r="AE61012" s="54"/>
    </row>
    <row r="61013" spans="31:31">
      <c r="AE61013" s="54"/>
    </row>
    <row r="61014" spans="31:31">
      <c r="AE61014" s="54"/>
    </row>
    <row r="61015" spans="31:31">
      <c r="AE61015" s="54"/>
    </row>
    <row r="61016" spans="31:31">
      <c r="AE61016" s="54"/>
    </row>
    <row r="61017" spans="31:31">
      <c r="AE61017" s="54"/>
    </row>
    <row r="61018" spans="31:31">
      <c r="AE61018" s="54"/>
    </row>
    <row r="61019" spans="31:31">
      <c r="AE61019" s="54"/>
    </row>
    <row r="61020" spans="31:31">
      <c r="AE61020" s="54"/>
    </row>
    <row r="61021" spans="31:31">
      <c r="AE61021" s="54"/>
    </row>
    <row r="61022" spans="31:31">
      <c r="AE61022" s="54"/>
    </row>
    <row r="61023" spans="31:31">
      <c r="AE61023" s="54"/>
    </row>
    <row r="61024" spans="31:31">
      <c r="AE61024" s="54"/>
    </row>
    <row r="61025" spans="31:31">
      <c r="AE61025" s="54"/>
    </row>
    <row r="61026" spans="31:31">
      <c r="AE61026" s="54"/>
    </row>
    <row r="61027" spans="31:31">
      <c r="AE61027" s="54"/>
    </row>
    <row r="61028" spans="31:31">
      <c r="AE61028" s="54"/>
    </row>
    <row r="61029" spans="31:31">
      <c r="AE61029" s="54"/>
    </row>
    <row r="61030" spans="31:31">
      <c r="AE61030" s="54"/>
    </row>
    <row r="61031" spans="31:31">
      <c r="AE61031" s="54"/>
    </row>
    <row r="61032" spans="31:31">
      <c r="AE61032" s="54"/>
    </row>
    <row r="61033" spans="31:31">
      <c r="AE61033" s="54"/>
    </row>
    <row r="61034" spans="31:31">
      <c r="AE61034" s="54"/>
    </row>
    <row r="61035" spans="31:31">
      <c r="AE61035" s="54"/>
    </row>
    <row r="61036" spans="31:31">
      <c r="AE61036" s="54"/>
    </row>
    <row r="61037" spans="31:31">
      <c r="AE61037" s="54"/>
    </row>
    <row r="61038" spans="31:31">
      <c r="AE61038" s="54"/>
    </row>
    <row r="61039" spans="31:31">
      <c r="AE61039" s="54"/>
    </row>
    <row r="61040" spans="31:31">
      <c r="AE61040" s="54"/>
    </row>
    <row r="61041" spans="31:31">
      <c r="AE61041" s="54"/>
    </row>
    <row r="61042" spans="31:31">
      <c r="AE61042" s="54"/>
    </row>
    <row r="61043" spans="31:31">
      <c r="AE61043" s="54"/>
    </row>
    <row r="61044" spans="31:31">
      <c r="AE61044" s="54"/>
    </row>
    <row r="61045" spans="31:31">
      <c r="AE61045" s="54"/>
    </row>
    <row r="61046" spans="31:31">
      <c r="AE61046" s="54"/>
    </row>
    <row r="61047" spans="31:31">
      <c r="AE61047" s="54"/>
    </row>
    <row r="61048" spans="31:31">
      <c r="AE61048" s="54"/>
    </row>
    <row r="61049" spans="31:31">
      <c r="AE61049" s="54"/>
    </row>
    <row r="61050" spans="31:31">
      <c r="AE61050" s="54"/>
    </row>
    <row r="61051" spans="31:31">
      <c r="AE61051" s="54"/>
    </row>
    <row r="61052" spans="31:31">
      <c r="AE61052" s="54"/>
    </row>
    <row r="61053" spans="31:31">
      <c r="AE61053" s="54"/>
    </row>
    <row r="61054" spans="31:31">
      <c r="AE61054" s="54"/>
    </row>
    <row r="61055" spans="31:31">
      <c r="AE61055" s="54"/>
    </row>
    <row r="61056" spans="31:31">
      <c r="AE61056" s="54"/>
    </row>
    <row r="61057" spans="31:31">
      <c r="AE61057" s="54"/>
    </row>
    <row r="61058" spans="31:31">
      <c r="AE61058" s="54"/>
    </row>
    <row r="61059" spans="31:31">
      <c r="AE61059" s="54"/>
    </row>
    <row r="61060" spans="31:31">
      <c r="AE61060" s="54"/>
    </row>
    <row r="61061" spans="31:31">
      <c r="AE61061" s="54"/>
    </row>
    <row r="61062" spans="31:31">
      <c r="AE61062" s="54"/>
    </row>
    <row r="61063" spans="31:31">
      <c r="AE61063" s="54"/>
    </row>
    <row r="61064" spans="31:31">
      <c r="AE61064" s="54"/>
    </row>
    <row r="61065" spans="31:31">
      <c r="AE61065" s="54"/>
    </row>
    <row r="61066" spans="31:31">
      <c r="AE61066" s="54"/>
    </row>
    <row r="61067" spans="31:31">
      <c r="AE61067" s="54"/>
    </row>
    <row r="61068" spans="31:31">
      <c r="AE61068" s="54"/>
    </row>
    <row r="61069" spans="31:31">
      <c r="AE61069" s="54"/>
    </row>
    <row r="61070" spans="31:31">
      <c r="AE61070" s="54"/>
    </row>
    <row r="61071" spans="31:31">
      <c r="AE61071" s="54"/>
    </row>
    <row r="61072" spans="31:31">
      <c r="AE61072" s="54"/>
    </row>
    <row r="61073" spans="31:31">
      <c r="AE61073" s="54"/>
    </row>
    <row r="61074" spans="31:31">
      <c r="AE61074" s="54"/>
    </row>
    <row r="61075" spans="31:31">
      <c r="AE61075" s="54"/>
    </row>
    <row r="61076" spans="31:31">
      <c r="AE61076" s="54"/>
    </row>
    <row r="61077" spans="31:31">
      <c r="AE61077" s="54"/>
    </row>
    <row r="61078" spans="31:31">
      <c r="AE61078" s="54"/>
    </row>
    <row r="61079" spans="31:31">
      <c r="AE61079" s="54"/>
    </row>
    <row r="61080" spans="31:31">
      <c r="AE61080" s="54"/>
    </row>
    <row r="61081" spans="31:31">
      <c r="AE61081" s="54"/>
    </row>
    <row r="61082" spans="31:31">
      <c r="AE61082" s="54"/>
    </row>
    <row r="61083" spans="31:31">
      <c r="AE61083" s="54"/>
    </row>
    <row r="61084" spans="31:31">
      <c r="AE61084" s="54"/>
    </row>
    <row r="61085" spans="31:31">
      <c r="AE61085" s="54"/>
    </row>
    <row r="61086" spans="31:31">
      <c r="AE61086" s="54"/>
    </row>
    <row r="61087" spans="31:31">
      <c r="AE61087" s="54"/>
    </row>
    <row r="61088" spans="31:31">
      <c r="AE61088" s="54"/>
    </row>
    <row r="61089" spans="31:31">
      <c r="AE61089" s="54"/>
    </row>
    <row r="61090" spans="31:31">
      <c r="AE61090" s="54"/>
    </row>
    <row r="61091" spans="31:31">
      <c r="AE61091" s="54"/>
    </row>
    <row r="61092" spans="31:31">
      <c r="AE61092" s="54"/>
    </row>
    <row r="61093" spans="31:31">
      <c r="AE61093" s="54"/>
    </row>
    <row r="61094" spans="31:31">
      <c r="AE61094" s="54"/>
    </row>
    <row r="61095" spans="31:31">
      <c r="AE61095" s="54"/>
    </row>
    <row r="61096" spans="31:31">
      <c r="AE61096" s="54"/>
    </row>
    <row r="61097" spans="31:31">
      <c r="AE61097" s="54"/>
    </row>
    <row r="61098" spans="31:31">
      <c r="AE61098" s="54"/>
    </row>
    <row r="61099" spans="31:31">
      <c r="AE61099" s="54"/>
    </row>
    <row r="61100" spans="31:31">
      <c r="AE61100" s="54"/>
    </row>
    <row r="61101" spans="31:31">
      <c r="AE61101" s="54"/>
    </row>
    <row r="61102" spans="31:31">
      <c r="AE61102" s="54"/>
    </row>
    <row r="61103" spans="31:31">
      <c r="AE61103" s="54"/>
    </row>
    <row r="61104" spans="31:31">
      <c r="AE61104" s="54"/>
    </row>
    <row r="61105" spans="31:31">
      <c r="AE61105" s="54"/>
    </row>
    <row r="61106" spans="31:31">
      <c r="AE61106" s="54"/>
    </row>
    <row r="61107" spans="31:31">
      <c r="AE61107" s="54"/>
    </row>
    <row r="61108" spans="31:31">
      <c r="AE61108" s="54"/>
    </row>
    <row r="61109" spans="31:31">
      <c r="AE61109" s="54"/>
    </row>
    <row r="61110" spans="31:31">
      <c r="AE61110" s="54"/>
    </row>
    <row r="61111" spans="31:31">
      <c r="AE61111" s="54"/>
    </row>
    <row r="61112" spans="31:31">
      <c r="AE61112" s="54"/>
    </row>
    <row r="61113" spans="31:31">
      <c r="AE61113" s="54"/>
    </row>
    <row r="61114" spans="31:31">
      <c r="AE61114" s="54"/>
    </row>
    <row r="61115" spans="31:31">
      <c r="AE61115" s="54"/>
    </row>
    <row r="61116" spans="31:31">
      <c r="AE61116" s="54"/>
    </row>
    <row r="61117" spans="31:31">
      <c r="AE61117" s="54"/>
    </row>
    <row r="61118" spans="31:31">
      <c r="AE61118" s="54"/>
    </row>
    <row r="61119" spans="31:31">
      <c r="AE61119" s="54"/>
    </row>
    <row r="61120" spans="31:31">
      <c r="AE61120" s="54"/>
    </row>
    <row r="61121" spans="31:31">
      <c r="AE61121" s="54"/>
    </row>
    <row r="61122" spans="31:31">
      <c r="AE61122" s="54"/>
    </row>
    <row r="61123" spans="31:31">
      <c r="AE61123" s="54"/>
    </row>
    <row r="61124" spans="31:31">
      <c r="AE61124" s="54"/>
    </row>
    <row r="61125" spans="31:31">
      <c r="AE61125" s="54"/>
    </row>
    <row r="61126" spans="31:31">
      <c r="AE61126" s="54"/>
    </row>
    <row r="61127" spans="31:31">
      <c r="AE61127" s="54"/>
    </row>
    <row r="61128" spans="31:31">
      <c r="AE61128" s="54"/>
    </row>
    <row r="61129" spans="31:31">
      <c r="AE61129" s="54"/>
    </row>
    <row r="61130" spans="31:31">
      <c r="AE61130" s="54"/>
    </row>
    <row r="61131" spans="31:31">
      <c r="AE61131" s="54"/>
    </row>
    <row r="61132" spans="31:31">
      <c r="AE61132" s="54"/>
    </row>
    <row r="61133" spans="31:31">
      <c r="AE61133" s="54"/>
    </row>
    <row r="61134" spans="31:31">
      <c r="AE61134" s="54"/>
    </row>
    <row r="61135" spans="31:31">
      <c r="AE61135" s="54"/>
    </row>
    <row r="61136" spans="31:31">
      <c r="AE61136" s="54"/>
    </row>
    <row r="61137" spans="31:31">
      <c r="AE61137" s="54"/>
    </row>
    <row r="61138" spans="31:31">
      <c r="AE61138" s="54"/>
    </row>
    <row r="61139" spans="31:31">
      <c r="AE61139" s="54"/>
    </row>
    <row r="61140" spans="31:31">
      <c r="AE61140" s="54"/>
    </row>
    <row r="61141" spans="31:31">
      <c r="AE61141" s="54"/>
    </row>
    <row r="61142" spans="31:31">
      <c r="AE61142" s="54"/>
    </row>
    <row r="61143" spans="31:31">
      <c r="AE61143" s="54"/>
    </row>
    <row r="61144" spans="31:31">
      <c r="AE61144" s="54"/>
    </row>
    <row r="61145" spans="31:31">
      <c r="AE61145" s="54"/>
    </row>
    <row r="61146" spans="31:31">
      <c r="AE61146" s="54"/>
    </row>
    <row r="61147" spans="31:31">
      <c r="AE61147" s="54"/>
    </row>
    <row r="61148" spans="31:31">
      <c r="AE61148" s="54"/>
    </row>
    <row r="61149" spans="31:31">
      <c r="AE61149" s="54"/>
    </row>
    <row r="61150" spans="31:31">
      <c r="AE61150" s="54"/>
    </row>
    <row r="61151" spans="31:31">
      <c r="AE61151" s="54"/>
    </row>
    <row r="61152" spans="31:31">
      <c r="AE61152" s="54"/>
    </row>
    <row r="61153" spans="31:31">
      <c r="AE61153" s="54"/>
    </row>
    <row r="61154" spans="31:31">
      <c r="AE61154" s="54"/>
    </row>
    <row r="61155" spans="31:31">
      <c r="AE61155" s="54"/>
    </row>
    <row r="61156" spans="31:31">
      <c r="AE61156" s="54"/>
    </row>
    <row r="61157" spans="31:31">
      <c r="AE61157" s="54"/>
    </row>
    <row r="61158" spans="31:31">
      <c r="AE61158" s="54"/>
    </row>
    <row r="61159" spans="31:31">
      <c r="AE61159" s="54"/>
    </row>
    <row r="61160" spans="31:31">
      <c r="AE61160" s="54"/>
    </row>
    <row r="61161" spans="31:31">
      <c r="AE61161" s="54"/>
    </row>
    <row r="61162" spans="31:31">
      <c r="AE61162" s="54"/>
    </row>
    <row r="61163" spans="31:31">
      <c r="AE61163" s="54"/>
    </row>
    <row r="61164" spans="31:31">
      <c r="AE61164" s="54"/>
    </row>
    <row r="61165" spans="31:31">
      <c r="AE61165" s="54"/>
    </row>
    <row r="61166" spans="31:31">
      <c r="AE61166" s="54"/>
    </row>
    <row r="61167" spans="31:31">
      <c r="AE61167" s="54"/>
    </row>
    <row r="61168" spans="31:31">
      <c r="AE61168" s="54"/>
    </row>
    <row r="61169" spans="31:31">
      <c r="AE61169" s="54"/>
    </row>
    <row r="61170" spans="31:31">
      <c r="AE61170" s="54"/>
    </row>
    <row r="61171" spans="31:31">
      <c r="AE61171" s="54"/>
    </row>
    <row r="61172" spans="31:31">
      <c r="AE61172" s="54"/>
    </row>
    <row r="61173" spans="31:31">
      <c r="AE61173" s="54"/>
    </row>
    <row r="61174" spans="31:31">
      <c r="AE61174" s="54"/>
    </row>
    <row r="61175" spans="31:31">
      <c r="AE61175" s="54"/>
    </row>
    <row r="61176" spans="31:31">
      <c r="AE61176" s="54"/>
    </row>
    <row r="61177" spans="31:31">
      <c r="AE61177" s="54"/>
    </row>
    <row r="61178" spans="31:31">
      <c r="AE61178" s="54"/>
    </row>
    <row r="61179" spans="31:31">
      <c r="AE61179" s="54"/>
    </row>
    <row r="61180" spans="31:31">
      <c r="AE61180" s="54"/>
    </row>
    <row r="61181" spans="31:31">
      <c r="AE61181" s="54"/>
    </row>
    <row r="61182" spans="31:31">
      <c r="AE61182" s="54"/>
    </row>
    <row r="61183" spans="31:31">
      <c r="AE61183" s="54"/>
    </row>
    <row r="61184" spans="31:31">
      <c r="AE61184" s="54"/>
    </row>
    <row r="61185" spans="31:31">
      <c r="AE61185" s="54"/>
    </row>
    <row r="61186" spans="31:31">
      <c r="AE61186" s="54"/>
    </row>
    <row r="61187" spans="31:31">
      <c r="AE61187" s="54"/>
    </row>
    <row r="61188" spans="31:31">
      <c r="AE61188" s="54"/>
    </row>
    <row r="61189" spans="31:31">
      <c r="AE61189" s="54"/>
    </row>
    <row r="61190" spans="31:31">
      <c r="AE61190" s="54"/>
    </row>
    <row r="61191" spans="31:31">
      <c r="AE61191" s="54"/>
    </row>
    <row r="61192" spans="31:31">
      <c r="AE61192" s="54"/>
    </row>
    <row r="61193" spans="31:31">
      <c r="AE61193" s="54"/>
    </row>
    <row r="61194" spans="31:31">
      <c r="AE61194" s="54"/>
    </row>
    <row r="61195" spans="31:31">
      <c r="AE61195" s="54"/>
    </row>
    <row r="61196" spans="31:31">
      <c r="AE61196" s="54"/>
    </row>
    <row r="61197" spans="31:31">
      <c r="AE61197" s="54"/>
    </row>
    <row r="61198" spans="31:31">
      <c r="AE61198" s="54"/>
    </row>
    <row r="61199" spans="31:31">
      <c r="AE61199" s="54"/>
    </row>
    <row r="61200" spans="31:31">
      <c r="AE61200" s="54"/>
    </row>
    <row r="61201" spans="31:31">
      <c r="AE61201" s="54"/>
    </row>
    <row r="61202" spans="31:31">
      <c r="AE61202" s="54"/>
    </row>
    <row r="61203" spans="31:31">
      <c r="AE61203" s="54"/>
    </row>
    <row r="61204" spans="31:31">
      <c r="AE61204" s="54"/>
    </row>
    <row r="61205" spans="31:31">
      <c r="AE61205" s="54"/>
    </row>
    <row r="61206" spans="31:31">
      <c r="AE61206" s="54"/>
    </row>
    <row r="61207" spans="31:31">
      <c r="AE61207" s="54"/>
    </row>
    <row r="61208" spans="31:31">
      <c r="AE61208" s="54"/>
    </row>
    <row r="61209" spans="31:31">
      <c r="AE61209" s="54"/>
    </row>
    <row r="61210" spans="31:31">
      <c r="AE61210" s="54"/>
    </row>
    <row r="61211" spans="31:31">
      <c r="AE61211" s="54"/>
    </row>
    <row r="61212" spans="31:31">
      <c r="AE61212" s="54"/>
    </row>
    <row r="61213" spans="31:31">
      <c r="AE61213" s="54"/>
    </row>
    <row r="61214" spans="31:31">
      <c r="AE61214" s="54"/>
    </row>
    <row r="61215" spans="31:31">
      <c r="AE61215" s="54"/>
    </row>
    <row r="61216" spans="31:31">
      <c r="AE61216" s="54"/>
    </row>
    <row r="61217" spans="31:31">
      <c r="AE61217" s="54"/>
    </row>
    <row r="61218" spans="31:31">
      <c r="AE61218" s="54"/>
    </row>
    <row r="61219" spans="31:31">
      <c r="AE61219" s="54"/>
    </row>
    <row r="61220" spans="31:31">
      <c r="AE61220" s="54"/>
    </row>
    <row r="61221" spans="31:31">
      <c r="AE61221" s="54"/>
    </row>
    <row r="61222" spans="31:31">
      <c r="AE61222" s="54"/>
    </row>
    <row r="61223" spans="31:31">
      <c r="AE61223" s="54"/>
    </row>
    <row r="61224" spans="31:31">
      <c r="AE61224" s="54"/>
    </row>
    <row r="61225" spans="31:31">
      <c r="AE61225" s="54"/>
    </row>
    <row r="61226" spans="31:31">
      <c r="AE61226" s="54"/>
    </row>
    <row r="61227" spans="31:31">
      <c r="AE61227" s="54"/>
    </row>
    <row r="61228" spans="31:31">
      <c r="AE61228" s="54"/>
    </row>
    <row r="61229" spans="31:31">
      <c r="AE61229" s="54"/>
    </row>
    <row r="61230" spans="31:31">
      <c r="AE61230" s="54"/>
    </row>
    <row r="61231" spans="31:31">
      <c r="AE61231" s="54"/>
    </row>
    <row r="61232" spans="31:31">
      <c r="AE61232" s="54"/>
    </row>
    <row r="61233" spans="31:31">
      <c r="AE61233" s="54"/>
    </row>
    <row r="61234" spans="31:31">
      <c r="AE61234" s="54"/>
    </row>
    <row r="61235" spans="31:31">
      <c r="AE61235" s="54"/>
    </row>
    <row r="61236" spans="31:31">
      <c r="AE61236" s="54"/>
    </row>
    <row r="61237" spans="31:31">
      <c r="AE61237" s="54"/>
    </row>
    <row r="61238" spans="31:31">
      <c r="AE61238" s="54"/>
    </row>
    <row r="61239" spans="31:31">
      <c r="AE61239" s="54"/>
    </row>
    <row r="61240" spans="31:31">
      <c r="AE61240" s="54"/>
    </row>
    <row r="61241" spans="31:31">
      <c r="AE61241" s="54"/>
    </row>
    <row r="61242" spans="31:31">
      <c r="AE61242" s="54"/>
    </row>
    <row r="61243" spans="31:31">
      <c r="AE61243" s="54"/>
    </row>
    <row r="61244" spans="31:31">
      <c r="AE61244" s="54"/>
    </row>
    <row r="61245" spans="31:31">
      <c r="AE61245" s="54"/>
    </row>
    <row r="61246" spans="31:31">
      <c r="AE61246" s="54"/>
    </row>
    <row r="61247" spans="31:31">
      <c r="AE61247" s="54"/>
    </row>
    <row r="61248" spans="31:31">
      <c r="AE61248" s="54"/>
    </row>
    <row r="61249" spans="31:31">
      <c r="AE61249" s="54"/>
    </row>
    <row r="61250" spans="31:31">
      <c r="AE61250" s="54"/>
    </row>
    <row r="61251" spans="31:31">
      <c r="AE61251" s="54"/>
    </row>
    <row r="61252" spans="31:31">
      <c r="AE61252" s="54"/>
    </row>
    <row r="61253" spans="31:31">
      <c r="AE61253" s="54"/>
    </row>
    <row r="61254" spans="31:31">
      <c r="AE61254" s="54"/>
    </row>
    <row r="61255" spans="31:31">
      <c r="AE61255" s="54"/>
    </row>
    <row r="61256" spans="31:31">
      <c r="AE61256" s="54"/>
    </row>
    <row r="61257" spans="31:31">
      <c r="AE61257" s="54"/>
    </row>
    <row r="61258" spans="31:31">
      <c r="AE61258" s="54"/>
    </row>
    <row r="61259" spans="31:31">
      <c r="AE61259" s="54"/>
    </row>
    <row r="61260" spans="31:31">
      <c r="AE61260" s="54"/>
    </row>
    <row r="61261" spans="31:31">
      <c r="AE61261" s="54"/>
    </row>
    <row r="61262" spans="31:31">
      <c r="AE61262" s="54"/>
    </row>
    <row r="61263" spans="31:31">
      <c r="AE61263" s="54"/>
    </row>
    <row r="61264" spans="31:31">
      <c r="AE61264" s="54"/>
    </row>
    <row r="61265" spans="31:31">
      <c r="AE61265" s="54"/>
    </row>
    <row r="61266" spans="31:31">
      <c r="AE61266" s="54"/>
    </row>
    <row r="61267" spans="31:31">
      <c r="AE61267" s="54"/>
    </row>
    <row r="61268" spans="31:31">
      <c r="AE61268" s="54"/>
    </row>
    <row r="61269" spans="31:31">
      <c r="AE61269" s="54"/>
    </row>
    <row r="61270" spans="31:31">
      <c r="AE61270" s="54"/>
    </row>
    <row r="61271" spans="31:31">
      <c r="AE61271" s="54"/>
    </row>
    <row r="61272" spans="31:31">
      <c r="AE61272" s="54"/>
    </row>
    <row r="61273" spans="31:31">
      <c r="AE61273" s="54"/>
    </row>
    <row r="61274" spans="31:31">
      <c r="AE61274" s="54"/>
    </row>
    <row r="61275" spans="31:31">
      <c r="AE61275" s="54"/>
    </row>
    <row r="61276" spans="31:31">
      <c r="AE61276" s="54"/>
    </row>
    <row r="61277" spans="31:31">
      <c r="AE61277" s="54"/>
    </row>
    <row r="61278" spans="31:31">
      <c r="AE61278" s="54"/>
    </row>
    <row r="61279" spans="31:31">
      <c r="AE61279" s="54"/>
    </row>
    <row r="61280" spans="31:31">
      <c r="AE61280" s="54"/>
    </row>
    <row r="61281" spans="31:31">
      <c r="AE61281" s="54"/>
    </row>
    <row r="61282" spans="31:31">
      <c r="AE61282" s="54"/>
    </row>
    <row r="61283" spans="31:31">
      <c r="AE61283" s="54"/>
    </row>
    <row r="61284" spans="31:31">
      <c r="AE61284" s="54"/>
    </row>
    <row r="61285" spans="31:31">
      <c r="AE61285" s="54"/>
    </row>
    <row r="61286" spans="31:31">
      <c r="AE61286" s="54"/>
    </row>
    <row r="61287" spans="31:31">
      <c r="AE61287" s="54"/>
    </row>
    <row r="61288" spans="31:31">
      <c r="AE61288" s="54"/>
    </row>
    <row r="61289" spans="31:31">
      <c r="AE61289" s="54"/>
    </row>
    <row r="61290" spans="31:31">
      <c r="AE61290" s="54"/>
    </row>
    <row r="61291" spans="31:31">
      <c r="AE61291" s="54"/>
    </row>
    <row r="61292" spans="31:31">
      <c r="AE61292" s="54"/>
    </row>
    <row r="61293" spans="31:31">
      <c r="AE61293" s="54"/>
    </row>
    <row r="61294" spans="31:31">
      <c r="AE61294" s="54"/>
    </row>
    <row r="61295" spans="31:31">
      <c r="AE61295" s="54"/>
    </row>
    <row r="61296" spans="31:31">
      <c r="AE61296" s="54"/>
    </row>
    <row r="61297" spans="31:31">
      <c r="AE61297" s="54"/>
    </row>
    <row r="61298" spans="31:31">
      <c r="AE61298" s="54"/>
    </row>
    <row r="61299" spans="31:31">
      <c r="AE61299" s="54"/>
    </row>
    <row r="61300" spans="31:31">
      <c r="AE61300" s="54"/>
    </row>
    <row r="61301" spans="31:31">
      <c r="AE61301" s="54"/>
    </row>
    <row r="61302" spans="31:31">
      <c r="AE61302" s="54"/>
    </row>
    <row r="61303" spans="31:31">
      <c r="AE61303" s="54"/>
    </row>
    <row r="61304" spans="31:31">
      <c r="AE61304" s="54"/>
    </row>
    <row r="61305" spans="31:31">
      <c r="AE61305" s="54"/>
    </row>
    <row r="61306" spans="31:31">
      <c r="AE61306" s="54"/>
    </row>
    <row r="61307" spans="31:31">
      <c r="AE61307" s="54"/>
    </row>
    <row r="61308" spans="31:31">
      <c r="AE61308" s="54"/>
    </row>
    <row r="61309" spans="31:31">
      <c r="AE61309" s="54"/>
    </row>
    <row r="61310" spans="31:31">
      <c r="AE61310" s="54"/>
    </row>
    <row r="61311" spans="31:31">
      <c r="AE61311" s="54"/>
    </row>
    <row r="61312" spans="31:31">
      <c r="AE61312" s="54"/>
    </row>
    <row r="61313" spans="31:31">
      <c r="AE61313" s="54"/>
    </row>
    <row r="61314" spans="31:31">
      <c r="AE61314" s="54"/>
    </row>
    <row r="61315" spans="31:31">
      <c r="AE61315" s="54"/>
    </row>
    <row r="61316" spans="31:31">
      <c r="AE61316" s="54"/>
    </row>
    <row r="61317" spans="31:31">
      <c r="AE61317" s="54"/>
    </row>
    <row r="61318" spans="31:31">
      <c r="AE61318" s="54"/>
    </row>
    <row r="61319" spans="31:31">
      <c r="AE61319" s="54"/>
    </row>
    <row r="61320" spans="31:31">
      <c r="AE61320" s="54"/>
    </row>
    <row r="61321" spans="31:31">
      <c r="AE61321" s="54"/>
    </row>
    <row r="61322" spans="31:31">
      <c r="AE61322" s="54"/>
    </row>
    <row r="61323" spans="31:31">
      <c r="AE61323" s="54"/>
    </row>
    <row r="61324" spans="31:31">
      <c r="AE61324" s="54"/>
    </row>
    <row r="61325" spans="31:31">
      <c r="AE61325" s="54"/>
    </row>
    <row r="61326" spans="31:31">
      <c r="AE61326" s="54"/>
    </row>
    <row r="61327" spans="31:31">
      <c r="AE61327" s="54"/>
    </row>
    <row r="61328" spans="31:31">
      <c r="AE61328" s="54"/>
    </row>
    <row r="61329" spans="31:31">
      <c r="AE61329" s="54"/>
    </row>
    <row r="61330" spans="31:31">
      <c r="AE61330" s="54"/>
    </row>
    <row r="61331" spans="31:31">
      <c r="AE61331" s="54"/>
    </row>
    <row r="61332" spans="31:31">
      <c r="AE61332" s="54"/>
    </row>
    <row r="61333" spans="31:31">
      <c r="AE61333" s="54"/>
    </row>
    <row r="61334" spans="31:31">
      <c r="AE61334" s="54"/>
    </row>
    <row r="61335" spans="31:31">
      <c r="AE61335" s="54"/>
    </row>
    <row r="61336" spans="31:31">
      <c r="AE61336" s="54"/>
    </row>
    <row r="61337" spans="31:31">
      <c r="AE61337" s="54"/>
    </row>
    <row r="61338" spans="31:31">
      <c r="AE61338" s="54"/>
    </row>
    <row r="61339" spans="31:31">
      <c r="AE61339" s="54"/>
    </row>
    <row r="61340" spans="31:31">
      <c r="AE61340" s="54"/>
    </row>
    <row r="61341" spans="31:31">
      <c r="AE61341" s="54"/>
    </row>
    <row r="61342" spans="31:31">
      <c r="AE61342" s="54"/>
    </row>
    <row r="61343" spans="31:31">
      <c r="AE61343" s="54"/>
    </row>
    <row r="61344" spans="31:31">
      <c r="AE61344" s="54"/>
    </row>
    <row r="61345" spans="31:31">
      <c r="AE61345" s="54"/>
    </row>
    <row r="61346" spans="31:31">
      <c r="AE61346" s="54"/>
    </row>
    <row r="61347" spans="31:31">
      <c r="AE61347" s="54"/>
    </row>
    <row r="61348" spans="31:31">
      <c r="AE61348" s="54"/>
    </row>
    <row r="61349" spans="31:31">
      <c r="AE61349" s="54"/>
    </row>
    <row r="61350" spans="31:31">
      <c r="AE61350" s="54"/>
    </row>
    <row r="61351" spans="31:31">
      <c r="AE61351" s="54"/>
    </row>
    <row r="61352" spans="31:31">
      <c r="AE61352" s="54"/>
    </row>
    <row r="61353" spans="31:31">
      <c r="AE61353" s="54"/>
    </row>
    <row r="61354" spans="31:31">
      <c r="AE61354" s="54"/>
    </row>
    <row r="61355" spans="31:31">
      <c r="AE61355" s="54"/>
    </row>
    <row r="61356" spans="31:31">
      <c r="AE61356" s="54"/>
    </row>
    <row r="61357" spans="31:31">
      <c r="AE61357" s="54"/>
    </row>
    <row r="61358" spans="31:31">
      <c r="AE61358" s="54"/>
    </row>
    <row r="61359" spans="31:31">
      <c r="AE61359" s="54"/>
    </row>
    <row r="61360" spans="31:31">
      <c r="AE61360" s="54"/>
    </row>
    <row r="61361" spans="31:31">
      <c r="AE61361" s="54"/>
    </row>
    <row r="61362" spans="31:31">
      <c r="AE61362" s="54"/>
    </row>
    <row r="61363" spans="31:31">
      <c r="AE61363" s="54"/>
    </row>
    <row r="61364" spans="31:31">
      <c r="AE61364" s="54"/>
    </row>
    <row r="61365" spans="31:31">
      <c r="AE61365" s="54"/>
    </row>
    <row r="61366" spans="31:31">
      <c r="AE61366" s="54"/>
    </row>
    <row r="61367" spans="31:31">
      <c r="AE61367" s="54"/>
    </row>
    <row r="61368" spans="31:31">
      <c r="AE61368" s="54"/>
    </row>
    <row r="61369" spans="31:31">
      <c r="AE61369" s="54"/>
    </row>
    <row r="61370" spans="31:31">
      <c r="AE61370" s="54"/>
    </row>
    <row r="61371" spans="31:31">
      <c r="AE61371" s="54"/>
    </row>
    <row r="61372" spans="31:31">
      <c r="AE61372" s="54"/>
    </row>
    <row r="61373" spans="31:31">
      <c r="AE61373" s="54"/>
    </row>
    <row r="61374" spans="31:31">
      <c r="AE61374" s="54"/>
    </row>
    <row r="61375" spans="31:31">
      <c r="AE61375" s="54"/>
    </row>
    <row r="61376" spans="31:31">
      <c r="AE61376" s="54"/>
    </row>
    <row r="61377" spans="31:31">
      <c r="AE61377" s="54"/>
    </row>
    <row r="61378" spans="31:31">
      <c r="AE61378" s="54"/>
    </row>
    <row r="61379" spans="31:31">
      <c r="AE61379" s="54"/>
    </row>
    <row r="61380" spans="31:31">
      <c r="AE61380" s="54"/>
    </row>
    <row r="61381" spans="31:31">
      <c r="AE61381" s="54"/>
    </row>
    <row r="61382" spans="31:31">
      <c r="AE61382" s="54"/>
    </row>
    <row r="61383" spans="31:31">
      <c r="AE61383" s="54"/>
    </row>
    <row r="61384" spans="31:31">
      <c r="AE61384" s="54"/>
    </row>
    <row r="61385" spans="31:31">
      <c r="AE61385" s="54"/>
    </row>
    <row r="61386" spans="31:31">
      <c r="AE61386" s="54"/>
    </row>
    <row r="61387" spans="31:31">
      <c r="AE61387" s="54"/>
    </row>
    <row r="61388" spans="31:31">
      <c r="AE61388" s="54"/>
    </row>
    <row r="61389" spans="31:31">
      <c r="AE61389" s="54"/>
    </row>
    <row r="61390" spans="31:31">
      <c r="AE61390" s="54"/>
    </row>
    <row r="61391" spans="31:31">
      <c r="AE61391" s="54"/>
    </row>
    <row r="61392" spans="31:31">
      <c r="AE61392" s="54"/>
    </row>
    <row r="61393" spans="31:31">
      <c r="AE61393" s="54"/>
    </row>
    <row r="61394" spans="31:31">
      <c r="AE61394" s="54"/>
    </row>
    <row r="61395" spans="31:31">
      <c r="AE61395" s="54"/>
    </row>
    <row r="61396" spans="31:31">
      <c r="AE61396" s="54"/>
    </row>
    <row r="61397" spans="31:31">
      <c r="AE61397" s="54"/>
    </row>
    <row r="61398" spans="31:31">
      <c r="AE61398" s="54"/>
    </row>
    <row r="61399" spans="31:31">
      <c r="AE61399" s="54"/>
    </row>
    <row r="61400" spans="31:31">
      <c r="AE61400" s="54"/>
    </row>
    <row r="61401" spans="31:31">
      <c r="AE61401" s="54"/>
    </row>
    <row r="61402" spans="31:31">
      <c r="AE61402" s="54"/>
    </row>
    <row r="61403" spans="31:31">
      <c r="AE61403" s="54"/>
    </row>
    <row r="61404" spans="31:31">
      <c r="AE61404" s="54"/>
    </row>
    <row r="61405" spans="31:31">
      <c r="AE61405" s="54"/>
    </row>
    <row r="61406" spans="31:31">
      <c r="AE61406" s="54"/>
    </row>
    <row r="61407" spans="31:31">
      <c r="AE61407" s="54"/>
    </row>
    <row r="61408" spans="31:31">
      <c r="AE61408" s="54"/>
    </row>
    <row r="61409" spans="31:31">
      <c r="AE61409" s="54"/>
    </row>
    <row r="61410" spans="31:31">
      <c r="AE61410" s="54"/>
    </row>
    <row r="61411" spans="31:31">
      <c r="AE61411" s="54"/>
    </row>
    <row r="61412" spans="31:31">
      <c r="AE61412" s="54"/>
    </row>
    <row r="61413" spans="31:31">
      <c r="AE61413" s="54"/>
    </row>
    <row r="61414" spans="31:31">
      <c r="AE61414" s="54"/>
    </row>
    <row r="61415" spans="31:31">
      <c r="AE61415" s="54"/>
    </row>
    <row r="61416" spans="31:31">
      <c r="AE61416" s="54"/>
    </row>
    <row r="61417" spans="31:31">
      <c r="AE61417" s="54"/>
    </row>
    <row r="61418" spans="31:31">
      <c r="AE61418" s="54"/>
    </row>
    <row r="61419" spans="31:31">
      <c r="AE61419" s="54"/>
    </row>
    <row r="61420" spans="31:31">
      <c r="AE61420" s="54"/>
    </row>
    <row r="61421" spans="31:31">
      <c r="AE61421" s="54"/>
    </row>
    <row r="61422" spans="31:31">
      <c r="AE61422" s="54"/>
    </row>
    <row r="61423" spans="31:31">
      <c r="AE61423" s="54"/>
    </row>
    <row r="61424" spans="31:31">
      <c r="AE61424" s="54"/>
    </row>
    <row r="61425" spans="31:31">
      <c r="AE61425" s="54"/>
    </row>
    <row r="61426" spans="31:31">
      <c r="AE61426" s="54"/>
    </row>
    <row r="61427" spans="31:31">
      <c r="AE61427" s="54"/>
    </row>
    <row r="61428" spans="31:31">
      <c r="AE61428" s="54"/>
    </row>
    <row r="61429" spans="31:31">
      <c r="AE61429" s="54"/>
    </row>
    <row r="61430" spans="31:31">
      <c r="AE61430" s="54"/>
    </row>
    <row r="61431" spans="31:31">
      <c r="AE61431" s="54"/>
    </row>
    <row r="61432" spans="31:31">
      <c r="AE61432" s="54"/>
    </row>
    <row r="61433" spans="31:31">
      <c r="AE61433" s="54"/>
    </row>
    <row r="61434" spans="31:31">
      <c r="AE61434" s="54"/>
    </row>
    <row r="61435" spans="31:31">
      <c r="AE61435" s="54"/>
    </row>
    <row r="61436" spans="31:31">
      <c r="AE61436" s="54"/>
    </row>
    <row r="61437" spans="31:31">
      <c r="AE61437" s="54"/>
    </row>
    <row r="61438" spans="31:31">
      <c r="AE61438" s="54"/>
    </row>
    <row r="61439" spans="31:31">
      <c r="AE61439" s="54"/>
    </row>
    <row r="61440" spans="31:31">
      <c r="AE61440" s="54"/>
    </row>
    <row r="61441" spans="31:31">
      <c r="AE61441" s="54"/>
    </row>
    <row r="61442" spans="31:31">
      <c r="AE61442" s="54"/>
    </row>
    <row r="61443" spans="31:31">
      <c r="AE61443" s="54"/>
    </row>
    <row r="61444" spans="31:31">
      <c r="AE61444" s="54"/>
    </row>
    <row r="61445" spans="31:31">
      <c r="AE61445" s="54"/>
    </row>
    <row r="61446" spans="31:31">
      <c r="AE61446" s="54"/>
    </row>
    <row r="61447" spans="31:31">
      <c r="AE61447" s="54"/>
    </row>
    <row r="61448" spans="31:31">
      <c r="AE61448" s="54"/>
    </row>
    <row r="61449" spans="31:31">
      <c r="AE61449" s="54"/>
    </row>
    <row r="61450" spans="31:31">
      <c r="AE61450" s="54"/>
    </row>
    <row r="61451" spans="31:31">
      <c r="AE61451" s="54"/>
    </row>
    <row r="61452" spans="31:31">
      <c r="AE61452" s="54"/>
    </row>
    <row r="61453" spans="31:31">
      <c r="AE61453" s="54"/>
    </row>
    <row r="61454" spans="31:31">
      <c r="AE61454" s="54"/>
    </row>
    <row r="61455" spans="31:31">
      <c r="AE61455" s="54"/>
    </row>
    <row r="61456" spans="31:31">
      <c r="AE61456" s="54"/>
    </row>
    <row r="61457" spans="31:31">
      <c r="AE61457" s="54"/>
    </row>
    <row r="61458" spans="31:31">
      <c r="AE61458" s="54"/>
    </row>
    <row r="61459" spans="31:31">
      <c r="AE61459" s="54"/>
    </row>
    <row r="61460" spans="31:31">
      <c r="AE61460" s="54"/>
    </row>
    <row r="61461" spans="31:31">
      <c r="AE61461" s="54"/>
    </row>
    <row r="61462" spans="31:31">
      <c r="AE61462" s="54"/>
    </row>
    <row r="61463" spans="31:31">
      <c r="AE61463" s="54"/>
    </row>
    <row r="61464" spans="31:31">
      <c r="AE61464" s="54"/>
    </row>
    <row r="61465" spans="31:31">
      <c r="AE61465" s="54"/>
    </row>
    <row r="61466" spans="31:31">
      <c r="AE61466" s="54"/>
    </row>
    <row r="61467" spans="31:31">
      <c r="AE61467" s="54"/>
    </row>
    <row r="61468" spans="31:31">
      <c r="AE61468" s="54"/>
    </row>
    <row r="61469" spans="31:31">
      <c r="AE61469" s="54"/>
    </row>
    <row r="61470" spans="31:31">
      <c r="AE61470" s="54"/>
    </row>
    <row r="61471" spans="31:31">
      <c r="AE61471" s="54"/>
    </row>
    <row r="61472" spans="31:31">
      <c r="AE61472" s="54"/>
    </row>
    <row r="61473" spans="31:31">
      <c r="AE61473" s="54"/>
    </row>
    <row r="61474" spans="31:31">
      <c r="AE61474" s="54"/>
    </row>
    <row r="61475" spans="31:31">
      <c r="AE61475" s="54"/>
    </row>
    <row r="61476" spans="31:31">
      <c r="AE61476" s="54"/>
    </row>
    <row r="61477" spans="31:31">
      <c r="AE61477" s="54"/>
    </row>
    <row r="61478" spans="31:31">
      <c r="AE61478" s="54"/>
    </row>
    <row r="61479" spans="31:31">
      <c r="AE61479" s="54"/>
    </row>
    <row r="61480" spans="31:31">
      <c r="AE61480" s="54"/>
    </row>
    <row r="61481" spans="31:31">
      <c r="AE61481" s="54"/>
    </row>
    <row r="61482" spans="31:31">
      <c r="AE61482" s="54"/>
    </row>
    <row r="61483" spans="31:31">
      <c r="AE61483" s="54"/>
    </row>
    <row r="61484" spans="31:31">
      <c r="AE61484" s="54"/>
    </row>
    <row r="61485" spans="31:31">
      <c r="AE61485" s="54"/>
    </row>
    <row r="61486" spans="31:31">
      <c r="AE61486" s="54"/>
    </row>
    <row r="61487" spans="31:31">
      <c r="AE61487" s="54"/>
    </row>
    <row r="61488" spans="31:31">
      <c r="AE61488" s="54"/>
    </row>
    <row r="61489" spans="31:31">
      <c r="AE61489" s="54"/>
    </row>
    <row r="61490" spans="31:31">
      <c r="AE61490" s="54"/>
    </row>
    <row r="61491" spans="31:31">
      <c r="AE61491" s="54"/>
    </row>
    <row r="61492" spans="31:31">
      <c r="AE61492" s="54"/>
    </row>
    <row r="61493" spans="31:31">
      <c r="AE61493" s="54"/>
    </row>
    <row r="61494" spans="31:31">
      <c r="AE61494" s="54"/>
    </row>
    <row r="61495" spans="31:31">
      <c r="AE61495" s="54"/>
    </row>
    <row r="61496" spans="31:31">
      <c r="AE61496" s="54"/>
    </row>
    <row r="61497" spans="31:31">
      <c r="AE61497" s="54"/>
    </row>
    <row r="61498" spans="31:31">
      <c r="AE61498" s="54"/>
    </row>
    <row r="61499" spans="31:31">
      <c r="AE61499" s="54"/>
    </row>
    <row r="61500" spans="31:31">
      <c r="AE61500" s="54"/>
    </row>
    <row r="61501" spans="31:31">
      <c r="AE61501" s="54"/>
    </row>
    <row r="61502" spans="31:31">
      <c r="AE61502" s="54"/>
    </row>
    <row r="61503" spans="31:31">
      <c r="AE61503" s="54"/>
    </row>
    <row r="61504" spans="31:31">
      <c r="AE61504" s="54"/>
    </row>
    <row r="61505" spans="31:31">
      <c r="AE61505" s="54"/>
    </row>
    <row r="61506" spans="31:31">
      <c r="AE61506" s="54"/>
    </row>
    <row r="61507" spans="31:31">
      <c r="AE61507" s="54"/>
    </row>
    <row r="61508" spans="31:31">
      <c r="AE61508" s="54"/>
    </row>
    <row r="61509" spans="31:31">
      <c r="AE61509" s="54"/>
    </row>
    <row r="61510" spans="31:31">
      <c r="AE61510" s="54"/>
    </row>
    <row r="61511" spans="31:31">
      <c r="AE61511" s="54"/>
    </row>
    <row r="61512" spans="31:31">
      <c r="AE61512" s="54"/>
    </row>
    <row r="61513" spans="31:31">
      <c r="AE61513" s="54"/>
    </row>
    <row r="61514" spans="31:31">
      <c r="AE61514" s="54"/>
    </row>
    <row r="61515" spans="31:31">
      <c r="AE61515" s="54"/>
    </row>
    <row r="61516" spans="31:31">
      <c r="AE61516" s="54"/>
    </row>
    <row r="61517" spans="31:31">
      <c r="AE61517" s="54"/>
    </row>
    <row r="61518" spans="31:31">
      <c r="AE61518" s="54"/>
    </row>
    <row r="61519" spans="31:31">
      <c r="AE61519" s="54"/>
    </row>
    <row r="61520" spans="31:31">
      <c r="AE61520" s="54"/>
    </row>
    <row r="61521" spans="31:31">
      <c r="AE61521" s="54"/>
    </row>
    <row r="61522" spans="31:31">
      <c r="AE61522" s="54"/>
    </row>
    <row r="61523" spans="31:31">
      <c r="AE61523" s="54"/>
    </row>
    <row r="61524" spans="31:31">
      <c r="AE61524" s="54"/>
    </row>
    <row r="61525" spans="31:31">
      <c r="AE61525" s="54"/>
    </row>
    <row r="61526" spans="31:31">
      <c r="AE61526" s="54"/>
    </row>
    <row r="61527" spans="31:31">
      <c r="AE61527" s="54"/>
    </row>
    <row r="61528" spans="31:31">
      <c r="AE61528" s="54"/>
    </row>
    <row r="61529" spans="31:31">
      <c r="AE61529" s="54"/>
    </row>
    <row r="61530" spans="31:31">
      <c r="AE61530" s="54"/>
    </row>
    <row r="61531" spans="31:31">
      <c r="AE61531" s="54"/>
    </row>
    <row r="61532" spans="31:31">
      <c r="AE61532" s="54"/>
    </row>
    <row r="61533" spans="31:31">
      <c r="AE61533" s="54"/>
    </row>
    <row r="61534" spans="31:31">
      <c r="AE61534" s="54"/>
    </row>
    <row r="61535" spans="31:31">
      <c r="AE61535" s="54"/>
    </row>
    <row r="61536" spans="31:31">
      <c r="AE61536" s="54"/>
    </row>
    <row r="61537" spans="31:31">
      <c r="AE61537" s="54"/>
    </row>
    <row r="61538" spans="31:31">
      <c r="AE61538" s="54"/>
    </row>
    <row r="61539" spans="31:31">
      <c r="AE61539" s="54"/>
    </row>
    <row r="61540" spans="31:31">
      <c r="AE61540" s="54"/>
    </row>
    <row r="61541" spans="31:31">
      <c r="AE61541" s="54"/>
    </row>
    <row r="61542" spans="31:31">
      <c r="AE61542" s="54"/>
    </row>
    <row r="61543" spans="31:31">
      <c r="AE61543" s="54"/>
    </row>
    <row r="61544" spans="31:31">
      <c r="AE61544" s="54"/>
    </row>
    <row r="61545" spans="31:31">
      <c r="AE61545" s="54"/>
    </row>
    <row r="61546" spans="31:31">
      <c r="AE61546" s="54"/>
    </row>
    <row r="61547" spans="31:31">
      <c r="AE61547" s="54"/>
    </row>
    <row r="61548" spans="31:31">
      <c r="AE61548" s="54"/>
    </row>
    <row r="61549" spans="31:31">
      <c r="AE61549" s="54"/>
    </row>
    <row r="61550" spans="31:31">
      <c r="AE61550" s="54"/>
    </row>
    <row r="61551" spans="31:31">
      <c r="AE61551" s="54"/>
    </row>
    <row r="61552" spans="31:31">
      <c r="AE61552" s="54"/>
    </row>
    <row r="61553" spans="31:31">
      <c r="AE61553" s="54"/>
    </row>
    <row r="61554" spans="31:31">
      <c r="AE61554" s="54"/>
    </row>
    <row r="61555" spans="31:31">
      <c r="AE61555" s="54"/>
    </row>
    <row r="61556" spans="31:31">
      <c r="AE61556" s="54"/>
    </row>
    <row r="61557" spans="31:31">
      <c r="AE61557" s="54"/>
    </row>
    <row r="61558" spans="31:31">
      <c r="AE61558" s="54"/>
    </row>
    <row r="61559" spans="31:31">
      <c r="AE61559" s="54"/>
    </row>
    <row r="61560" spans="31:31">
      <c r="AE61560" s="54"/>
    </row>
    <row r="61561" spans="31:31">
      <c r="AE61561" s="54"/>
    </row>
    <row r="61562" spans="31:31">
      <c r="AE61562" s="54"/>
    </row>
    <row r="61563" spans="31:31">
      <c r="AE61563" s="54"/>
    </row>
    <row r="61564" spans="31:31">
      <c r="AE61564" s="54"/>
    </row>
    <row r="61565" spans="31:31">
      <c r="AE61565" s="54"/>
    </row>
    <row r="61566" spans="31:31">
      <c r="AE61566" s="54"/>
    </row>
    <row r="61567" spans="31:31">
      <c r="AE61567" s="54"/>
    </row>
    <row r="61568" spans="31:31">
      <c r="AE61568" s="54"/>
    </row>
    <row r="61569" spans="31:31">
      <c r="AE61569" s="54"/>
    </row>
    <row r="61570" spans="31:31">
      <c r="AE61570" s="54"/>
    </row>
    <row r="61571" spans="31:31">
      <c r="AE61571" s="54"/>
    </row>
    <row r="61572" spans="31:31">
      <c r="AE61572" s="54"/>
    </row>
    <row r="61573" spans="31:31">
      <c r="AE61573" s="54"/>
    </row>
    <row r="61574" spans="31:31">
      <c r="AE61574" s="54"/>
    </row>
    <row r="61575" spans="31:31">
      <c r="AE61575" s="54"/>
    </row>
    <row r="61576" spans="31:31">
      <c r="AE61576" s="54"/>
    </row>
    <row r="61577" spans="31:31">
      <c r="AE61577" s="54"/>
    </row>
    <row r="61578" spans="31:31">
      <c r="AE61578" s="54"/>
    </row>
    <row r="61579" spans="31:31">
      <c r="AE61579" s="54"/>
    </row>
    <row r="61580" spans="31:31">
      <c r="AE61580" s="54"/>
    </row>
    <row r="61581" spans="31:31">
      <c r="AE61581" s="54"/>
    </row>
    <row r="61582" spans="31:31">
      <c r="AE61582" s="54"/>
    </row>
    <row r="61583" spans="31:31">
      <c r="AE61583" s="54"/>
    </row>
    <row r="61584" spans="31:31">
      <c r="AE61584" s="54"/>
    </row>
    <row r="61585" spans="31:31">
      <c r="AE61585" s="54"/>
    </row>
    <row r="61586" spans="31:31">
      <c r="AE61586" s="54"/>
    </row>
    <row r="61587" spans="31:31">
      <c r="AE61587" s="54"/>
    </row>
    <row r="61588" spans="31:31">
      <c r="AE61588" s="54"/>
    </row>
    <row r="61589" spans="31:31">
      <c r="AE61589" s="54"/>
    </row>
    <row r="61590" spans="31:31">
      <c r="AE61590" s="54"/>
    </row>
    <row r="61591" spans="31:31">
      <c r="AE61591" s="54"/>
    </row>
    <row r="61592" spans="31:31">
      <c r="AE61592" s="54"/>
    </row>
    <row r="61593" spans="31:31">
      <c r="AE61593" s="54"/>
    </row>
    <row r="61594" spans="31:31">
      <c r="AE61594" s="54"/>
    </row>
    <row r="61595" spans="31:31">
      <c r="AE61595" s="54"/>
    </row>
    <row r="61596" spans="31:31">
      <c r="AE61596" s="54"/>
    </row>
    <row r="61597" spans="31:31">
      <c r="AE61597" s="54"/>
    </row>
    <row r="61598" spans="31:31">
      <c r="AE61598" s="54"/>
    </row>
    <row r="61599" spans="31:31">
      <c r="AE61599" s="54"/>
    </row>
    <row r="61600" spans="31:31">
      <c r="AE61600" s="54"/>
    </row>
    <row r="61601" spans="31:31">
      <c r="AE61601" s="54"/>
    </row>
    <row r="61602" spans="31:31">
      <c r="AE61602" s="54"/>
    </row>
    <row r="61603" spans="31:31">
      <c r="AE61603" s="54"/>
    </row>
    <row r="61604" spans="31:31">
      <c r="AE61604" s="54"/>
    </row>
    <row r="61605" spans="31:31">
      <c r="AE61605" s="54"/>
    </row>
    <row r="61606" spans="31:31">
      <c r="AE61606" s="54"/>
    </row>
    <row r="61607" spans="31:31">
      <c r="AE61607" s="54"/>
    </row>
    <row r="61608" spans="31:31">
      <c r="AE61608" s="54"/>
    </row>
    <row r="61609" spans="31:31">
      <c r="AE61609" s="54"/>
    </row>
    <row r="61610" spans="31:31">
      <c r="AE61610" s="54"/>
    </row>
    <row r="61611" spans="31:31">
      <c r="AE61611" s="54"/>
    </row>
    <row r="61612" spans="31:31">
      <c r="AE61612" s="54"/>
    </row>
    <row r="61613" spans="31:31">
      <c r="AE61613" s="54"/>
    </row>
    <row r="61614" spans="31:31">
      <c r="AE61614" s="54"/>
    </row>
    <row r="61615" spans="31:31">
      <c r="AE61615" s="54"/>
    </row>
    <row r="61616" spans="31:31">
      <c r="AE61616" s="54"/>
    </row>
    <row r="61617" spans="31:31">
      <c r="AE61617" s="54"/>
    </row>
    <row r="61618" spans="31:31">
      <c r="AE61618" s="54"/>
    </row>
    <row r="61619" spans="31:31">
      <c r="AE61619" s="54"/>
    </row>
    <row r="61620" spans="31:31">
      <c r="AE61620" s="54"/>
    </row>
    <row r="61621" spans="31:31">
      <c r="AE61621" s="54"/>
    </row>
    <row r="61622" spans="31:31">
      <c r="AE61622" s="54"/>
    </row>
    <row r="61623" spans="31:31">
      <c r="AE61623" s="54"/>
    </row>
    <row r="61624" spans="31:31">
      <c r="AE61624" s="54"/>
    </row>
    <row r="61625" spans="31:31">
      <c r="AE61625" s="54"/>
    </row>
    <row r="61626" spans="31:31">
      <c r="AE61626" s="54"/>
    </row>
    <row r="61627" spans="31:31">
      <c r="AE61627" s="54"/>
    </row>
    <row r="61628" spans="31:31">
      <c r="AE61628" s="54"/>
    </row>
    <row r="61629" spans="31:31">
      <c r="AE61629" s="54"/>
    </row>
    <row r="61630" spans="31:31">
      <c r="AE61630" s="54"/>
    </row>
    <row r="61631" spans="31:31">
      <c r="AE61631" s="54"/>
    </row>
    <row r="61632" spans="31:31">
      <c r="AE61632" s="54"/>
    </row>
    <row r="61633" spans="31:31">
      <c r="AE61633" s="54"/>
    </row>
    <row r="61634" spans="31:31">
      <c r="AE61634" s="54"/>
    </row>
    <row r="61635" spans="31:31">
      <c r="AE61635" s="54"/>
    </row>
    <row r="61636" spans="31:31">
      <c r="AE61636" s="54"/>
    </row>
    <row r="61637" spans="31:31">
      <c r="AE61637" s="54"/>
    </row>
    <row r="61638" spans="31:31">
      <c r="AE61638" s="54"/>
    </row>
    <row r="61639" spans="31:31">
      <c r="AE61639" s="54"/>
    </row>
    <row r="61640" spans="31:31">
      <c r="AE61640" s="54"/>
    </row>
    <row r="61641" spans="31:31">
      <c r="AE61641" s="54"/>
    </row>
    <row r="61642" spans="31:31">
      <c r="AE61642" s="54"/>
    </row>
    <row r="61643" spans="31:31">
      <c r="AE61643" s="54"/>
    </row>
    <row r="61644" spans="31:31">
      <c r="AE61644" s="54"/>
    </row>
    <row r="61645" spans="31:31">
      <c r="AE61645" s="54"/>
    </row>
    <row r="61646" spans="31:31">
      <c r="AE61646" s="54"/>
    </row>
    <row r="61647" spans="31:31">
      <c r="AE61647" s="54"/>
    </row>
    <row r="61648" spans="31:31">
      <c r="AE61648" s="54"/>
    </row>
    <row r="61649" spans="31:31">
      <c r="AE61649" s="54"/>
    </row>
    <row r="61650" spans="31:31">
      <c r="AE61650" s="54"/>
    </row>
    <row r="61651" spans="31:31">
      <c r="AE61651" s="54"/>
    </row>
    <row r="61652" spans="31:31">
      <c r="AE61652" s="54"/>
    </row>
    <row r="61653" spans="31:31">
      <c r="AE61653" s="54"/>
    </row>
    <row r="61654" spans="31:31">
      <c r="AE61654" s="54"/>
    </row>
    <row r="61655" spans="31:31">
      <c r="AE61655" s="54"/>
    </row>
    <row r="61656" spans="31:31">
      <c r="AE61656" s="54"/>
    </row>
    <row r="61657" spans="31:31">
      <c r="AE61657" s="54"/>
    </row>
    <row r="61658" spans="31:31">
      <c r="AE61658" s="54"/>
    </row>
    <row r="61659" spans="31:31">
      <c r="AE61659" s="54"/>
    </row>
    <row r="61660" spans="31:31">
      <c r="AE61660" s="54"/>
    </row>
    <row r="61661" spans="31:31">
      <c r="AE61661" s="54"/>
    </row>
    <row r="61662" spans="31:31">
      <c r="AE61662" s="54"/>
    </row>
    <row r="61663" spans="31:31">
      <c r="AE61663" s="54"/>
    </row>
    <row r="61664" spans="31:31">
      <c r="AE61664" s="54"/>
    </row>
    <row r="61665" spans="31:31">
      <c r="AE61665" s="54"/>
    </row>
    <row r="61666" spans="31:31">
      <c r="AE61666" s="54"/>
    </row>
    <row r="61667" spans="31:31">
      <c r="AE61667" s="54"/>
    </row>
    <row r="61668" spans="31:31">
      <c r="AE61668" s="54"/>
    </row>
    <row r="61669" spans="31:31">
      <c r="AE61669" s="54"/>
    </row>
    <row r="61670" spans="31:31">
      <c r="AE61670" s="54"/>
    </row>
    <row r="61671" spans="31:31">
      <c r="AE61671" s="54"/>
    </row>
    <row r="61672" spans="31:31">
      <c r="AE61672" s="54"/>
    </row>
    <row r="61673" spans="31:31">
      <c r="AE61673" s="54"/>
    </row>
    <row r="61674" spans="31:31">
      <c r="AE61674" s="54"/>
    </row>
    <row r="61675" spans="31:31">
      <c r="AE61675" s="54"/>
    </row>
    <row r="61676" spans="31:31">
      <c r="AE61676" s="54"/>
    </row>
    <row r="61677" spans="31:31">
      <c r="AE61677" s="54"/>
    </row>
    <row r="61678" spans="31:31">
      <c r="AE61678" s="54"/>
    </row>
    <row r="61679" spans="31:31">
      <c r="AE61679" s="54"/>
    </row>
    <row r="61680" spans="31:31">
      <c r="AE61680" s="54"/>
    </row>
    <row r="61681" spans="31:31">
      <c r="AE61681" s="54"/>
    </row>
    <row r="61682" spans="31:31">
      <c r="AE61682" s="54"/>
    </row>
    <row r="61683" spans="31:31">
      <c r="AE61683" s="54"/>
    </row>
    <row r="61684" spans="31:31">
      <c r="AE61684" s="54"/>
    </row>
    <row r="61685" spans="31:31">
      <c r="AE61685" s="54"/>
    </row>
    <row r="61686" spans="31:31">
      <c r="AE61686" s="54"/>
    </row>
    <row r="61687" spans="31:31">
      <c r="AE61687" s="54"/>
    </row>
    <row r="61688" spans="31:31">
      <c r="AE61688" s="54"/>
    </row>
    <row r="61689" spans="31:31">
      <c r="AE61689" s="54"/>
    </row>
    <row r="61690" spans="31:31">
      <c r="AE61690" s="54"/>
    </row>
    <row r="61691" spans="31:31">
      <c r="AE61691" s="54"/>
    </row>
    <row r="61692" spans="31:31">
      <c r="AE61692" s="54"/>
    </row>
    <row r="61693" spans="31:31">
      <c r="AE61693" s="54"/>
    </row>
    <row r="61694" spans="31:31">
      <c r="AE61694" s="54"/>
    </row>
    <row r="61695" spans="31:31">
      <c r="AE61695" s="54"/>
    </row>
    <row r="61696" spans="31:31">
      <c r="AE61696" s="54"/>
    </row>
    <row r="61697" spans="31:31">
      <c r="AE61697" s="54"/>
    </row>
    <row r="61698" spans="31:31">
      <c r="AE61698" s="54"/>
    </row>
    <row r="61699" spans="31:31">
      <c r="AE61699" s="54"/>
    </row>
    <row r="61700" spans="31:31">
      <c r="AE61700" s="54"/>
    </row>
    <row r="61701" spans="31:31">
      <c r="AE61701" s="54"/>
    </row>
    <row r="61702" spans="31:31">
      <c r="AE61702" s="54"/>
    </row>
    <row r="61703" spans="31:31">
      <c r="AE61703" s="54"/>
    </row>
    <row r="61704" spans="31:31">
      <c r="AE61704" s="54"/>
    </row>
    <row r="61705" spans="31:31">
      <c r="AE61705" s="54"/>
    </row>
    <row r="61706" spans="31:31">
      <c r="AE61706" s="54"/>
    </row>
    <row r="61707" spans="31:31">
      <c r="AE61707" s="54"/>
    </row>
    <row r="61708" spans="31:31">
      <c r="AE61708" s="54"/>
    </row>
    <row r="61709" spans="31:31">
      <c r="AE61709" s="54"/>
    </row>
    <row r="61710" spans="31:31">
      <c r="AE61710" s="54"/>
    </row>
    <row r="61711" spans="31:31">
      <c r="AE61711" s="54"/>
    </row>
    <row r="61712" spans="31:31">
      <c r="AE61712" s="54"/>
    </row>
    <row r="61713" spans="31:31">
      <c r="AE61713" s="54"/>
    </row>
    <row r="61714" spans="31:31">
      <c r="AE61714" s="54"/>
    </row>
    <row r="61715" spans="31:31">
      <c r="AE61715" s="54"/>
    </row>
    <row r="61716" spans="31:31">
      <c r="AE61716" s="54"/>
    </row>
    <row r="61717" spans="31:31">
      <c r="AE61717" s="54"/>
    </row>
    <row r="61718" spans="31:31">
      <c r="AE61718" s="54"/>
    </row>
    <row r="61719" spans="31:31">
      <c r="AE61719" s="54"/>
    </row>
    <row r="61720" spans="31:31">
      <c r="AE61720" s="54"/>
    </row>
    <row r="61721" spans="31:31">
      <c r="AE61721" s="54"/>
    </row>
    <row r="61722" spans="31:31">
      <c r="AE61722" s="54"/>
    </row>
    <row r="61723" spans="31:31">
      <c r="AE61723" s="54"/>
    </row>
    <row r="61724" spans="31:31">
      <c r="AE61724" s="54"/>
    </row>
    <row r="61725" spans="31:31">
      <c r="AE61725" s="54"/>
    </row>
    <row r="61726" spans="31:31">
      <c r="AE61726" s="54"/>
    </row>
    <row r="61727" spans="31:31">
      <c r="AE61727" s="54"/>
    </row>
    <row r="61728" spans="31:31">
      <c r="AE61728" s="54"/>
    </row>
    <row r="61729" spans="31:31">
      <c r="AE61729" s="54"/>
    </row>
    <row r="61730" spans="31:31">
      <c r="AE61730" s="54"/>
    </row>
    <row r="61731" spans="31:31">
      <c r="AE61731" s="54"/>
    </row>
    <row r="61732" spans="31:31">
      <c r="AE61732" s="54"/>
    </row>
    <row r="61733" spans="31:31">
      <c r="AE61733" s="54"/>
    </row>
    <row r="61734" spans="31:31">
      <c r="AE61734" s="54"/>
    </row>
    <row r="61735" spans="31:31">
      <c r="AE61735" s="54"/>
    </row>
    <row r="61736" spans="31:31">
      <c r="AE61736" s="54"/>
    </row>
    <row r="61737" spans="31:31">
      <c r="AE61737" s="54"/>
    </row>
    <row r="61738" spans="31:31">
      <c r="AE61738" s="54"/>
    </row>
    <row r="61739" spans="31:31">
      <c r="AE61739" s="54"/>
    </row>
    <row r="61740" spans="31:31">
      <c r="AE61740" s="54"/>
    </row>
    <row r="61741" spans="31:31">
      <c r="AE61741" s="54"/>
    </row>
    <row r="61742" spans="31:31">
      <c r="AE61742" s="54"/>
    </row>
    <row r="61743" spans="31:31">
      <c r="AE61743" s="54"/>
    </row>
    <row r="61744" spans="31:31">
      <c r="AE61744" s="54"/>
    </row>
    <row r="61745" spans="31:31">
      <c r="AE61745" s="54"/>
    </row>
    <row r="61746" spans="31:31">
      <c r="AE61746" s="54"/>
    </row>
    <row r="61747" spans="31:31">
      <c r="AE61747" s="54"/>
    </row>
    <row r="61748" spans="31:31">
      <c r="AE61748" s="54"/>
    </row>
    <row r="61749" spans="31:31">
      <c r="AE61749" s="54"/>
    </row>
    <row r="61750" spans="31:31">
      <c r="AE61750" s="54"/>
    </row>
    <row r="61751" spans="31:31">
      <c r="AE61751" s="54"/>
    </row>
    <row r="61752" spans="31:31">
      <c r="AE61752" s="54"/>
    </row>
    <row r="61753" spans="31:31">
      <c r="AE61753" s="54"/>
    </row>
    <row r="61754" spans="31:31">
      <c r="AE61754" s="54"/>
    </row>
    <row r="61755" spans="31:31">
      <c r="AE61755" s="54"/>
    </row>
    <row r="61756" spans="31:31">
      <c r="AE61756" s="54"/>
    </row>
    <row r="61757" spans="31:31">
      <c r="AE61757" s="54"/>
    </row>
    <row r="61758" spans="31:31">
      <c r="AE61758" s="54"/>
    </row>
    <row r="61759" spans="31:31">
      <c r="AE61759" s="54"/>
    </row>
    <row r="61760" spans="31:31">
      <c r="AE61760" s="54"/>
    </row>
    <row r="61761" spans="31:31">
      <c r="AE61761" s="54"/>
    </row>
    <row r="61762" spans="31:31">
      <c r="AE61762" s="54"/>
    </row>
    <row r="61763" spans="31:31">
      <c r="AE61763" s="54"/>
    </row>
    <row r="61764" spans="31:31">
      <c r="AE61764" s="54"/>
    </row>
    <row r="61765" spans="31:31">
      <c r="AE61765" s="54"/>
    </row>
    <row r="61766" spans="31:31">
      <c r="AE61766" s="54"/>
    </row>
    <row r="61767" spans="31:31">
      <c r="AE61767" s="54"/>
    </row>
    <row r="61768" spans="31:31">
      <c r="AE61768" s="54"/>
    </row>
    <row r="61769" spans="31:31">
      <c r="AE61769" s="54"/>
    </row>
    <row r="61770" spans="31:31">
      <c r="AE61770" s="54"/>
    </row>
    <row r="61771" spans="31:31">
      <c r="AE61771" s="54"/>
    </row>
    <row r="61772" spans="31:31">
      <c r="AE61772" s="54"/>
    </row>
    <row r="61773" spans="31:31">
      <c r="AE61773" s="54"/>
    </row>
    <row r="61774" spans="31:31">
      <c r="AE61774" s="54"/>
    </row>
    <row r="61775" spans="31:31">
      <c r="AE61775" s="54"/>
    </row>
    <row r="61776" spans="31:31">
      <c r="AE61776" s="54"/>
    </row>
    <row r="61777" spans="31:31">
      <c r="AE61777" s="54"/>
    </row>
    <row r="61778" spans="31:31">
      <c r="AE61778" s="54"/>
    </row>
    <row r="61779" spans="31:31">
      <c r="AE61779" s="54"/>
    </row>
    <row r="61780" spans="31:31">
      <c r="AE61780" s="54"/>
    </row>
    <row r="61781" spans="31:31">
      <c r="AE61781" s="54"/>
    </row>
    <row r="61782" spans="31:31">
      <c r="AE61782" s="54"/>
    </row>
    <row r="61783" spans="31:31">
      <c r="AE61783" s="54"/>
    </row>
    <row r="61784" spans="31:31">
      <c r="AE61784" s="54"/>
    </row>
    <row r="61785" spans="31:31">
      <c r="AE61785" s="54"/>
    </row>
    <row r="61786" spans="31:31">
      <c r="AE61786" s="54"/>
    </row>
    <row r="61787" spans="31:31">
      <c r="AE61787" s="54"/>
    </row>
    <row r="61788" spans="31:31">
      <c r="AE61788" s="54"/>
    </row>
    <row r="61789" spans="31:31">
      <c r="AE61789" s="54"/>
    </row>
    <row r="61790" spans="31:31">
      <c r="AE61790" s="54"/>
    </row>
    <row r="61791" spans="31:31">
      <c r="AE61791" s="54"/>
    </row>
    <row r="61792" spans="31:31">
      <c r="AE61792" s="54"/>
    </row>
    <row r="61793" spans="31:31">
      <c r="AE61793" s="54"/>
    </row>
    <row r="61794" spans="31:31">
      <c r="AE61794" s="54"/>
    </row>
    <row r="61795" spans="31:31">
      <c r="AE61795" s="54"/>
    </row>
    <row r="61796" spans="31:31">
      <c r="AE61796" s="54"/>
    </row>
    <row r="61797" spans="31:31">
      <c r="AE61797" s="54"/>
    </row>
    <row r="61798" spans="31:31">
      <c r="AE61798" s="54"/>
    </row>
    <row r="61799" spans="31:31">
      <c r="AE61799" s="54"/>
    </row>
    <row r="61800" spans="31:31">
      <c r="AE61800" s="54"/>
    </row>
    <row r="61801" spans="31:31">
      <c r="AE61801" s="54"/>
    </row>
    <row r="61802" spans="31:31">
      <c r="AE61802" s="54"/>
    </row>
    <row r="61803" spans="31:31">
      <c r="AE61803" s="54"/>
    </row>
    <row r="61804" spans="31:31">
      <c r="AE61804" s="54"/>
    </row>
    <row r="61805" spans="31:31">
      <c r="AE61805" s="54"/>
    </row>
    <row r="61806" spans="31:31">
      <c r="AE61806" s="54"/>
    </row>
    <row r="61807" spans="31:31">
      <c r="AE61807" s="54"/>
    </row>
    <row r="61808" spans="31:31">
      <c r="AE61808" s="54"/>
    </row>
    <row r="61809" spans="31:31">
      <c r="AE61809" s="54"/>
    </row>
    <row r="61810" spans="31:31">
      <c r="AE61810" s="54"/>
    </row>
    <row r="61811" spans="31:31">
      <c r="AE61811" s="54"/>
    </row>
    <row r="61812" spans="31:31">
      <c r="AE61812" s="54"/>
    </row>
    <row r="61813" spans="31:31">
      <c r="AE61813" s="54"/>
    </row>
    <row r="61814" spans="31:31">
      <c r="AE61814" s="54"/>
    </row>
    <row r="61815" spans="31:31">
      <c r="AE61815" s="54"/>
    </row>
    <row r="61816" spans="31:31">
      <c r="AE61816" s="54"/>
    </row>
    <row r="61817" spans="31:31">
      <c r="AE61817" s="54"/>
    </row>
    <row r="61818" spans="31:31">
      <c r="AE61818" s="54"/>
    </row>
    <row r="61819" spans="31:31">
      <c r="AE61819" s="54"/>
    </row>
    <row r="61820" spans="31:31">
      <c r="AE61820" s="54"/>
    </row>
    <row r="61821" spans="31:31">
      <c r="AE61821" s="54"/>
    </row>
    <row r="61822" spans="31:31">
      <c r="AE61822" s="54"/>
    </row>
    <row r="61823" spans="31:31">
      <c r="AE61823" s="54"/>
    </row>
    <row r="61824" spans="31:31">
      <c r="AE61824" s="54"/>
    </row>
    <row r="61825" spans="31:31">
      <c r="AE61825" s="54"/>
    </row>
    <row r="61826" spans="31:31">
      <c r="AE61826" s="54"/>
    </row>
    <row r="61827" spans="31:31">
      <c r="AE61827" s="54"/>
    </row>
    <row r="61828" spans="31:31">
      <c r="AE61828" s="54"/>
    </row>
    <row r="61829" spans="31:31">
      <c r="AE61829" s="54"/>
    </row>
    <row r="61830" spans="31:31">
      <c r="AE61830" s="54"/>
    </row>
    <row r="61831" spans="31:31">
      <c r="AE61831" s="54"/>
    </row>
    <row r="61832" spans="31:31">
      <c r="AE61832" s="54"/>
    </row>
    <row r="61833" spans="31:31">
      <c r="AE61833" s="54"/>
    </row>
    <row r="61834" spans="31:31">
      <c r="AE61834" s="54"/>
    </row>
    <row r="61835" spans="31:31">
      <c r="AE61835" s="54"/>
    </row>
    <row r="61836" spans="31:31">
      <c r="AE61836" s="54"/>
    </row>
    <row r="61837" spans="31:31">
      <c r="AE61837" s="54"/>
    </row>
    <row r="61838" spans="31:31">
      <c r="AE61838" s="54"/>
    </row>
    <row r="61839" spans="31:31">
      <c r="AE61839" s="54"/>
    </row>
    <row r="61840" spans="31:31">
      <c r="AE61840" s="54"/>
    </row>
    <row r="61841" spans="31:31">
      <c r="AE61841" s="54"/>
    </row>
    <row r="61842" spans="31:31">
      <c r="AE61842" s="54"/>
    </row>
    <row r="61843" spans="31:31">
      <c r="AE61843" s="54"/>
    </row>
    <row r="61844" spans="31:31">
      <c r="AE61844" s="54"/>
    </row>
    <row r="61845" spans="31:31">
      <c r="AE61845" s="54"/>
    </row>
    <row r="61846" spans="31:31">
      <c r="AE61846" s="54"/>
    </row>
    <row r="61847" spans="31:31">
      <c r="AE61847" s="54"/>
    </row>
    <row r="61848" spans="31:31">
      <c r="AE61848" s="54"/>
    </row>
    <row r="61849" spans="31:31">
      <c r="AE61849" s="54"/>
    </row>
    <row r="61850" spans="31:31">
      <c r="AE61850" s="54"/>
    </row>
    <row r="61851" spans="31:31">
      <c r="AE61851" s="54"/>
    </row>
    <row r="61852" spans="31:31">
      <c r="AE61852" s="54"/>
    </row>
    <row r="61853" spans="31:31">
      <c r="AE61853" s="54"/>
    </row>
    <row r="61854" spans="31:31">
      <c r="AE61854" s="54"/>
    </row>
    <row r="61855" spans="31:31">
      <c r="AE61855" s="54"/>
    </row>
    <row r="61856" spans="31:31">
      <c r="AE61856" s="54"/>
    </row>
    <row r="61857" spans="31:31">
      <c r="AE61857" s="54"/>
    </row>
    <row r="61858" spans="31:31">
      <c r="AE61858" s="54"/>
    </row>
    <row r="61859" spans="31:31">
      <c r="AE61859" s="54"/>
    </row>
    <row r="61860" spans="31:31">
      <c r="AE61860" s="54"/>
    </row>
    <row r="61861" spans="31:31">
      <c r="AE61861" s="54"/>
    </row>
    <row r="61862" spans="31:31">
      <c r="AE61862" s="54"/>
    </row>
    <row r="61863" spans="31:31">
      <c r="AE61863" s="54"/>
    </row>
    <row r="61864" spans="31:31">
      <c r="AE61864" s="54"/>
    </row>
    <row r="61865" spans="31:31">
      <c r="AE61865" s="54"/>
    </row>
    <row r="61866" spans="31:31">
      <c r="AE61866" s="54"/>
    </row>
    <row r="61867" spans="31:31">
      <c r="AE61867" s="54"/>
    </row>
    <row r="61868" spans="31:31">
      <c r="AE61868" s="54"/>
    </row>
    <row r="61869" spans="31:31">
      <c r="AE61869" s="54"/>
    </row>
    <row r="61870" spans="31:31">
      <c r="AE61870" s="54"/>
    </row>
    <row r="61871" spans="31:31">
      <c r="AE61871" s="54"/>
    </row>
    <row r="61872" spans="31:31">
      <c r="AE61872" s="54"/>
    </row>
    <row r="61873" spans="31:31">
      <c r="AE61873" s="54"/>
    </row>
    <row r="61874" spans="31:31">
      <c r="AE61874" s="54"/>
    </row>
    <row r="61875" spans="31:31">
      <c r="AE61875" s="54"/>
    </row>
    <row r="61876" spans="31:31">
      <c r="AE61876" s="54"/>
    </row>
    <row r="61877" spans="31:31">
      <c r="AE61877" s="54"/>
    </row>
    <row r="61878" spans="31:31">
      <c r="AE61878" s="54"/>
    </row>
    <row r="61879" spans="31:31">
      <c r="AE61879" s="54"/>
    </row>
    <row r="61880" spans="31:31">
      <c r="AE61880" s="54"/>
    </row>
    <row r="61881" spans="31:31">
      <c r="AE61881" s="54"/>
    </row>
    <row r="61882" spans="31:31">
      <c r="AE61882" s="54"/>
    </row>
    <row r="61883" spans="31:31">
      <c r="AE61883" s="54"/>
    </row>
    <row r="61884" spans="31:31">
      <c r="AE61884" s="54"/>
    </row>
    <row r="61885" spans="31:31">
      <c r="AE61885" s="54"/>
    </row>
    <row r="61886" spans="31:31">
      <c r="AE61886" s="54"/>
    </row>
    <row r="61887" spans="31:31">
      <c r="AE61887" s="54"/>
    </row>
    <row r="61888" spans="31:31">
      <c r="AE61888" s="54"/>
    </row>
    <row r="61889" spans="31:31">
      <c r="AE61889" s="54"/>
    </row>
    <row r="61890" spans="31:31">
      <c r="AE61890" s="54"/>
    </row>
    <row r="61891" spans="31:31">
      <c r="AE61891" s="54"/>
    </row>
    <row r="61892" spans="31:31">
      <c r="AE61892" s="54"/>
    </row>
    <row r="61893" spans="31:31">
      <c r="AE61893" s="54"/>
    </row>
    <row r="61894" spans="31:31">
      <c r="AE61894" s="54"/>
    </row>
    <row r="61895" spans="31:31">
      <c r="AE61895" s="54"/>
    </row>
    <row r="61896" spans="31:31">
      <c r="AE61896" s="54"/>
    </row>
    <row r="61897" spans="31:31">
      <c r="AE61897" s="54"/>
    </row>
    <row r="61898" spans="31:31">
      <c r="AE61898" s="54"/>
    </row>
    <row r="61899" spans="31:31">
      <c r="AE61899" s="54"/>
    </row>
    <row r="61900" spans="31:31">
      <c r="AE61900" s="54"/>
    </row>
    <row r="61901" spans="31:31">
      <c r="AE61901" s="54"/>
    </row>
    <row r="61902" spans="31:31">
      <c r="AE61902" s="54"/>
    </row>
    <row r="61903" spans="31:31">
      <c r="AE61903" s="54"/>
    </row>
    <row r="61904" spans="31:31">
      <c r="AE61904" s="54"/>
    </row>
    <row r="61905" spans="31:31">
      <c r="AE61905" s="54"/>
    </row>
    <row r="61906" spans="31:31">
      <c r="AE61906" s="54"/>
    </row>
    <row r="61907" spans="31:31">
      <c r="AE61907" s="54"/>
    </row>
    <row r="61908" spans="31:31">
      <c r="AE61908" s="54"/>
    </row>
    <row r="61909" spans="31:31">
      <c r="AE61909" s="54"/>
    </row>
    <row r="61910" spans="31:31">
      <c r="AE61910" s="54"/>
    </row>
    <row r="61911" spans="31:31">
      <c r="AE61911" s="54"/>
    </row>
    <row r="61912" spans="31:31">
      <c r="AE61912" s="54"/>
    </row>
    <row r="61913" spans="31:31">
      <c r="AE61913" s="54"/>
    </row>
    <row r="61914" spans="31:31">
      <c r="AE61914" s="54"/>
    </row>
    <row r="61915" spans="31:31">
      <c r="AE61915" s="54"/>
    </row>
    <row r="61916" spans="31:31">
      <c r="AE61916" s="54"/>
    </row>
    <row r="61917" spans="31:31">
      <c r="AE61917" s="54"/>
    </row>
    <row r="61918" spans="31:31">
      <c r="AE61918" s="54"/>
    </row>
    <row r="61919" spans="31:31">
      <c r="AE61919" s="54"/>
    </row>
    <row r="61920" spans="31:31">
      <c r="AE61920" s="54"/>
    </row>
    <row r="61921" spans="31:31">
      <c r="AE61921" s="54"/>
    </row>
    <row r="61922" spans="31:31">
      <c r="AE61922" s="54"/>
    </row>
    <row r="61923" spans="31:31">
      <c r="AE61923" s="54"/>
    </row>
    <row r="61924" spans="31:31">
      <c r="AE61924" s="54"/>
    </row>
    <row r="61925" spans="31:31">
      <c r="AE61925" s="54"/>
    </row>
    <row r="61926" spans="31:31">
      <c r="AE61926" s="54"/>
    </row>
    <row r="61927" spans="31:31">
      <c r="AE61927" s="54"/>
    </row>
    <row r="61928" spans="31:31">
      <c r="AE61928" s="54"/>
    </row>
    <row r="61929" spans="31:31">
      <c r="AE61929" s="54"/>
    </row>
    <row r="61930" spans="31:31">
      <c r="AE61930" s="54"/>
    </row>
    <row r="61931" spans="31:31">
      <c r="AE61931" s="54"/>
    </row>
    <row r="61932" spans="31:31">
      <c r="AE61932" s="54"/>
    </row>
    <row r="61933" spans="31:31">
      <c r="AE61933" s="54"/>
    </row>
    <row r="61934" spans="31:31">
      <c r="AE61934" s="54"/>
    </row>
    <row r="61935" spans="31:31">
      <c r="AE61935" s="54"/>
    </row>
    <row r="61936" spans="31:31">
      <c r="AE61936" s="54"/>
    </row>
    <row r="61937" spans="31:31">
      <c r="AE61937" s="54"/>
    </row>
    <row r="61938" spans="31:31">
      <c r="AE61938" s="54"/>
    </row>
    <row r="61939" spans="31:31">
      <c r="AE61939" s="54"/>
    </row>
    <row r="61940" spans="31:31">
      <c r="AE61940" s="54"/>
    </row>
    <row r="61941" spans="31:31">
      <c r="AE61941" s="54"/>
    </row>
    <row r="61942" spans="31:31">
      <c r="AE61942" s="54"/>
    </row>
    <row r="61943" spans="31:31">
      <c r="AE61943" s="54"/>
    </row>
    <row r="61944" spans="31:31">
      <c r="AE61944" s="54"/>
    </row>
    <row r="61945" spans="31:31">
      <c r="AE61945" s="54"/>
    </row>
    <row r="61946" spans="31:31">
      <c r="AE61946" s="54"/>
    </row>
    <row r="61947" spans="31:31">
      <c r="AE61947" s="54"/>
    </row>
    <row r="61948" spans="31:31">
      <c r="AE61948" s="54"/>
    </row>
    <row r="61949" spans="31:31">
      <c r="AE61949" s="54"/>
    </row>
    <row r="61950" spans="31:31">
      <c r="AE61950" s="54"/>
    </row>
    <row r="61951" spans="31:31">
      <c r="AE61951" s="54"/>
    </row>
    <row r="61952" spans="31:31">
      <c r="AE61952" s="54"/>
    </row>
    <row r="61953" spans="31:31">
      <c r="AE61953" s="54"/>
    </row>
    <row r="61954" spans="31:31">
      <c r="AE61954" s="54"/>
    </row>
    <row r="61955" spans="31:31">
      <c r="AE61955" s="54"/>
    </row>
    <row r="61956" spans="31:31">
      <c r="AE61956" s="54"/>
    </row>
    <row r="61957" spans="31:31">
      <c r="AE61957" s="54"/>
    </row>
    <row r="61958" spans="31:31">
      <c r="AE61958" s="54"/>
    </row>
    <row r="61959" spans="31:31">
      <c r="AE61959" s="54"/>
    </row>
    <row r="61960" spans="31:31">
      <c r="AE61960" s="54"/>
    </row>
    <row r="61961" spans="31:31">
      <c r="AE61961" s="54"/>
    </row>
    <row r="61962" spans="31:31">
      <c r="AE61962" s="54"/>
    </row>
    <row r="61963" spans="31:31">
      <c r="AE61963" s="54"/>
    </row>
    <row r="61964" spans="31:31">
      <c r="AE61964" s="54"/>
    </row>
    <row r="61965" spans="31:31">
      <c r="AE61965" s="54"/>
    </row>
    <row r="61966" spans="31:31">
      <c r="AE61966" s="54"/>
    </row>
    <row r="61967" spans="31:31">
      <c r="AE61967" s="54"/>
    </row>
    <row r="61968" spans="31:31">
      <c r="AE61968" s="54"/>
    </row>
    <row r="61969" spans="31:31">
      <c r="AE61969" s="54"/>
    </row>
    <row r="61970" spans="31:31">
      <c r="AE61970" s="54"/>
    </row>
    <row r="61971" spans="31:31">
      <c r="AE61971" s="54"/>
    </row>
    <row r="61972" spans="31:31">
      <c r="AE61972" s="54"/>
    </row>
    <row r="61973" spans="31:31">
      <c r="AE61973" s="54"/>
    </row>
    <row r="61974" spans="31:31">
      <c r="AE61974" s="54"/>
    </row>
    <row r="61975" spans="31:31">
      <c r="AE61975" s="54"/>
    </row>
    <row r="61976" spans="31:31">
      <c r="AE61976" s="54"/>
    </row>
    <row r="61977" spans="31:31">
      <c r="AE61977" s="54"/>
    </row>
    <row r="61978" spans="31:31">
      <c r="AE61978" s="54"/>
    </row>
    <row r="61979" spans="31:31">
      <c r="AE61979" s="54"/>
    </row>
    <row r="61980" spans="31:31">
      <c r="AE61980" s="54"/>
    </row>
    <row r="61981" spans="31:31">
      <c r="AE61981" s="54"/>
    </row>
    <row r="61982" spans="31:31">
      <c r="AE61982" s="54"/>
    </row>
    <row r="61983" spans="31:31">
      <c r="AE61983" s="54"/>
    </row>
    <row r="61984" spans="31:31">
      <c r="AE61984" s="54"/>
    </row>
    <row r="61985" spans="31:31">
      <c r="AE61985" s="54"/>
    </row>
    <row r="61986" spans="31:31">
      <c r="AE61986" s="54"/>
    </row>
    <row r="61987" spans="31:31">
      <c r="AE61987" s="54"/>
    </row>
    <row r="61988" spans="31:31">
      <c r="AE61988" s="54"/>
    </row>
    <row r="61989" spans="31:31">
      <c r="AE61989" s="54"/>
    </row>
    <row r="61990" spans="31:31">
      <c r="AE61990" s="54"/>
    </row>
    <row r="61991" spans="31:31">
      <c r="AE61991" s="54"/>
    </row>
    <row r="61992" spans="31:31">
      <c r="AE61992" s="54"/>
    </row>
    <row r="61993" spans="31:31">
      <c r="AE61993" s="54"/>
    </row>
    <row r="61994" spans="31:31">
      <c r="AE61994" s="54"/>
    </row>
    <row r="61995" spans="31:31">
      <c r="AE61995" s="54"/>
    </row>
    <row r="61996" spans="31:31">
      <c r="AE61996" s="54"/>
    </row>
    <row r="61997" spans="31:31">
      <c r="AE61997" s="54"/>
    </row>
    <row r="61998" spans="31:31">
      <c r="AE61998" s="54"/>
    </row>
    <row r="61999" spans="31:31">
      <c r="AE61999" s="54"/>
    </row>
    <row r="62000" spans="31:31">
      <c r="AE62000" s="54"/>
    </row>
    <row r="62001" spans="31:31">
      <c r="AE62001" s="54"/>
    </row>
    <row r="62002" spans="31:31">
      <c r="AE62002" s="54"/>
    </row>
    <row r="62003" spans="31:31">
      <c r="AE62003" s="54"/>
    </row>
    <row r="62004" spans="31:31">
      <c r="AE62004" s="54"/>
    </row>
    <row r="62005" spans="31:31">
      <c r="AE62005" s="54"/>
    </row>
    <row r="62006" spans="31:31">
      <c r="AE62006" s="54"/>
    </row>
    <row r="62007" spans="31:31">
      <c r="AE62007" s="54"/>
    </row>
    <row r="62008" spans="31:31">
      <c r="AE62008" s="54"/>
    </row>
    <row r="62009" spans="31:31">
      <c r="AE62009" s="54"/>
    </row>
    <row r="62010" spans="31:31">
      <c r="AE62010" s="54"/>
    </row>
    <row r="62011" spans="31:31">
      <c r="AE62011" s="54"/>
    </row>
    <row r="62012" spans="31:31">
      <c r="AE62012" s="54"/>
    </row>
    <row r="62013" spans="31:31">
      <c r="AE62013" s="54"/>
    </row>
    <row r="62014" spans="31:31">
      <c r="AE62014" s="54"/>
    </row>
    <row r="62015" spans="31:31">
      <c r="AE62015" s="54"/>
    </row>
    <row r="62016" spans="31:31">
      <c r="AE62016" s="54"/>
    </row>
    <row r="62017" spans="31:31">
      <c r="AE62017" s="54"/>
    </row>
    <row r="62018" spans="31:31">
      <c r="AE62018" s="54"/>
    </row>
    <row r="62019" spans="31:31">
      <c r="AE62019" s="54"/>
    </row>
    <row r="62020" spans="31:31">
      <c r="AE62020" s="54"/>
    </row>
    <row r="62021" spans="31:31">
      <c r="AE62021" s="54"/>
    </row>
    <row r="62022" spans="31:31">
      <c r="AE62022" s="54"/>
    </row>
    <row r="62023" spans="31:31">
      <c r="AE62023" s="54"/>
    </row>
    <row r="62024" spans="31:31">
      <c r="AE62024" s="54"/>
    </row>
    <row r="62025" spans="31:31">
      <c r="AE62025" s="54"/>
    </row>
    <row r="62026" spans="31:31">
      <c r="AE62026" s="54"/>
    </row>
    <row r="62027" spans="31:31">
      <c r="AE62027" s="54"/>
    </row>
    <row r="62028" spans="31:31">
      <c r="AE62028" s="54"/>
    </row>
    <row r="62029" spans="31:31">
      <c r="AE62029" s="54"/>
    </row>
    <row r="62030" spans="31:31">
      <c r="AE62030" s="54"/>
    </row>
    <row r="62031" spans="31:31">
      <c r="AE62031" s="54"/>
    </row>
    <row r="62032" spans="31:31">
      <c r="AE62032" s="54"/>
    </row>
    <row r="62033" spans="31:31">
      <c r="AE62033" s="54"/>
    </row>
    <row r="62034" spans="31:31">
      <c r="AE62034" s="54"/>
    </row>
    <row r="62035" spans="31:31">
      <c r="AE62035" s="54"/>
    </row>
    <row r="62036" spans="31:31">
      <c r="AE62036" s="54"/>
    </row>
    <row r="62037" spans="31:31">
      <c r="AE62037" s="54"/>
    </row>
    <row r="62038" spans="31:31">
      <c r="AE62038" s="54"/>
    </row>
    <row r="62039" spans="31:31">
      <c r="AE62039" s="54"/>
    </row>
    <row r="62040" spans="31:31">
      <c r="AE62040" s="54"/>
    </row>
    <row r="62041" spans="31:31">
      <c r="AE62041" s="54"/>
    </row>
    <row r="62042" spans="31:31">
      <c r="AE62042" s="54"/>
    </row>
    <row r="62043" spans="31:31">
      <c r="AE62043" s="54"/>
    </row>
    <row r="62044" spans="31:31">
      <c r="AE62044" s="54"/>
    </row>
    <row r="62045" spans="31:31">
      <c r="AE62045" s="54"/>
    </row>
    <row r="62046" spans="31:31">
      <c r="AE62046" s="54"/>
    </row>
    <row r="62047" spans="31:31">
      <c r="AE62047" s="54"/>
    </row>
    <row r="62048" spans="31:31">
      <c r="AE62048" s="54"/>
    </row>
    <row r="62049" spans="31:31">
      <c r="AE62049" s="54"/>
    </row>
    <row r="62050" spans="31:31">
      <c r="AE62050" s="54"/>
    </row>
    <row r="62051" spans="31:31">
      <c r="AE62051" s="54"/>
    </row>
    <row r="62052" spans="31:31">
      <c r="AE62052" s="54"/>
    </row>
    <row r="62053" spans="31:31">
      <c r="AE62053" s="54"/>
    </row>
    <row r="62054" spans="31:31">
      <c r="AE62054" s="54"/>
    </row>
    <row r="62055" spans="31:31">
      <c r="AE62055" s="54"/>
    </row>
    <row r="62056" spans="31:31">
      <c r="AE62056" s="54"/>
    </row>
    <row r="62057" spans="31:31">
      <c r="AE62057" s="54"/>
    </row>
    <row r="62058" spans="31:31">
      <c r="AE62058" s="54"/>
    </row>
    <row r="62059" spans="31:31">
      <c r="AE62059" s="54"/>
    </row>
    <row r="62060" spans="31:31">
      <c r="AE62060" s="54"/>
    </row>
    <row r="62061" spans="31:31">
      <c r="AE62061" s="54"/>
    </row>
    <row r="62062" spans="31:31">
      <c r="AE62062" s="54"/>
    </row>
    <row r="62063" spans="31:31">
      <c r="AE62063" s="54"/>
    </row>
    <row r="62064" spans="31:31">
      <c r="AE62064" s="54"/>
    </row>
    <row r="62065" spans="31:31">
      <c r="AE62065" s="54"/>
    </row>
    <row r="62066" spans="31:31">
      <c r="AE62066" s="54"/>
    </row>
    <row r="62067" spans="31:31">
      <c r="AE62067" s="54"/>
    </row>
    <row r="62068" spans="31:31">
      <c r="AE62068" s="54"/>
    </row>
    <row r="62069" spans="31:31">
      <c r="AE62069" s="54"/>
    </row>
    <row r="62070" spans="31:31">
      <c r="AE62070" s="54"/>
    </row>
    <row r="62071" spans="31:31">
      <c r="AE62071" s="54"/>
    </row>
    <row r="62072" spans="31:31">
      <c r="AE62072" s="54"/>
    </row>
    <row r="62073" spans="31:31">
      <c r="AE62073" s="54"/>
    </row>
    <row r="62074" spans="31:31">
      <c r="AE62074" s="54"/>
    </row>
    <row r="62075" spans="31:31">
      <c r="AE62075" s="54"/>
    </row>
    <row r="62076" spans="31:31">
      <c r="AE62076" s="54"/>
    </row>
    <row r="62077" spans="31:31">
      <c r="AE62077" s="54"/>
    </row>
    <row r="62078" spans="31:31">
      <c r="AE62078" s="54"/>
    </row>
    <row r="62079" spans="31:31">
      <c r="AE62079" s="54"/>
    </row>
    <row r="62080" spans="31:31">
      <c r="AE62080" s="54"/>
    </row>
    <row r="62081" spans="31:31">
      <c r="AE62081" s="54"/>
    </row>
    <row r="62082" spans="31:31">
      <c r="AE62082" s="54"/>
    </row>
    <row r="62083" spans="31:31">
      <c r="AE62083" s="54"/>
    </row>
    <row r="62084" spans="31:31">
      <c r="AE62084" s="54"/>
    </row>
    <row r="62085" spans="31:31">
      <c r="AE62085" s="54"/>
    </row>
    <row r="62086" spans="31:31">
      <c r="AE62086" s="54"/>
    </row>
    <row r="62087" spans="31:31">
      <c r="AE62087" s="54"/>
    </row>
    <row r="62088" spans="31:31">
      <c r="AE62088" s="54"/>
    </row>
    <row r="62089" spans="31:31">
      <c r="AE62089" s="54"/>
    </row>
    <row r="62090" spans="31:31">
      <c r="AE62090" s="54"/>
    </row>
    <row r="62091" spans="31:31">
      <c r="AE62091" s="54"/>
    </row>
    <row r="62092" spans="31:31">
      <c r="AE62092" s="54"/>
    </row>
    <row r="62093" spans="31:31">
      <c r="AE62093" s="54"/>
    </row>
    <row r="62094" spans="31:31">
      <c r="AE62094" s="54"/>
    </row>
    <row r="62095" spans="31:31">
      <c r="AE62095" s="54"/>
    </row>
    <row r="62096" spans="31:31">
      <c r="AE62096" s="54"/>
    </row>
    <row r="62097" spans="31:31">
      <c r="AE62097" s="54"/>
    </row>
    <row r="62098" spans="31:31">
      <c r="AE62098" s="54"/>
    </row>
    <row r="62099" spans="31:31">
      <c r="AE62099" s="54"/>
    </row>
    <row r="62100" spans="31:31">
      <c r="AE62100" s="54"/>
    </row>
    <row r="62101" spans="31:31">
      <c r="AE62101" s="54"/>
    </row>
    <row r="62102" spans="31:31">
      <c r="AE62102" s="54"/>
    </row>
    <row r="62103" spans="31:31">
      <c r="AE62103" s="54"/>
    </row>
    <row r="62104" spans="31:31">
      <c r="AE62104" s="54"/>
    </row>
    <row r="62105" spans="31:31">
      <c r="AE62105" s="54"/>
    </row>
    <row r="62106" spans="31:31">
      <c r="AE62106" s="54"/>
    </row>
    <row r="62107" spans="31:31">
      <c r="AE62107" s="54"/>
    </row>
    <row r="62108" spans="31:31">
      <c r="AE62108" s="54"/>
    </row>
    <row r="62109" spans="31:31">
      <c r="AE62109" s="54"/>
    </row>
    <row r="62110" spans="31:31">
      <c r="AE62110" s="54"/>
    </row>
    <row r="62111" spans="31:31">
      <c r="AE62111" s="54"/>
    </row>
    <row r="62112" spans="31:31">
      <c r="AE62112" s="54"/>
    </row>
    <row r="62113" spans="31:31">
      <c r="AE62113" s="54"/>
    </row>
    <row r="62114" spans="31:31">
      <c r="AE62114" s="54"/>
    </row>
    <row r="62115" spans="31:31">
      <c r="AE62115" s="54"/>
    </row>
    <row r="62116" spans="31:31">
      <c r="AE62116" s="54"/>
    </row>
    <row r="62117" spans="31:31">
      <c r="AE62117" s="54"/>
    </row>
    <row r="62118" spans="31:31">
      <c r="AE62118" s="54"/>
    </row>
    <row r="62119" spans="31:31">
      <c r="AE62119" s="54"/>
    </row>
    <row r="62120" spans="31:31">
      <c r="AE62120" s="54"/>
    </row>
    <row r="62121" spans="31:31">
      <c r="AE62121" s="54"/>
    </row>
    <row r="62122" spans="31:31">
      <c r="AE62122" s="54"/>
    </row>
    <row r="62123" spans="31:31">
      <c r="AE62123" s="54"/>
    </row>
    <row r="62124" spans="31:31">
      <c r="AE62124" s="54"/>
    </row>
    <row r="62125" spans="31:31">
      <c r="AE62125" s="54"/>
    </row>
    <row r="62126" spans="31:31">
      <c r="AE62126" s="54"/>
    </row>
    <row r="62127" spans="31:31">
      <c r="AE62127" s="54"/>
    </row>
    <row r="62128" spans="31:31">
      <c r="AE62128" s="54"/>
    </row>
    <row r="62129" spans="31:31">
      <c r="AE62129" s="54"/>
    </row>
    <row r="62130" spans="31:31">
      <c r="AE62130" s="54"/>
    </row>
    <row r="62131" spans="31:31">
      <c r="AE62131" s="54"/>
    </row>
    <row r="62132" spans="31:31">
      <c r="AE62132" s="54"/>
    </row>
    <row r="62133" spans="31:31">
      <c r="AE62133" s="54"/>
    </row>
    <row r="62134" spans="31:31">
      <c r="AE62134" s="54"/>
    </row>
    <row r="62135" spans="31:31">
      <c r="AE62135" s="54"/>
    </row>
    <row r="62136" spans="31:31">
      <c r="AE62136" s="54"/>
    </row>
    <row r="62137" spans="31:31">
      <c r="AE62137" s="54"/>
    </row>
    <row r="62138" spans="31:31">
      <c r="AE62138" s="54"/>
    </row>
    <row r="62139" spans="31:31">
      <c r="AE62139" s="54"/>
    </row>
    <row r="62140" spans="31:31">
      <c r="AE62140" s="54"/>
    </row>
    <row r="62141" spans="31:31">
      <c r="AE62141" s="54"/>
    </row>
    <row r="62142" spans="31:31">
      <c r="AE62142" s="54"/>
    </row>
    <row r="62143" spans="31:31">
      <c r="AE62143" s="54"/>
    </row>
    <row r="62144" spans="31:31">
      <c r="AE62144" s="54"/>
    </row>
    <row r="62145" spans="31:31">
      <c r="AE62145" s="54"/>
    </row>
    <row r="62146" spans="31:31">
      <c r="AE62146" s="54"/>
    </row>
    <row r="62147" spans="31:31">
      <c r="AE62147" s="54"/>
    </row>
    <row r="62148" spans="31:31">
      <c r="AE62148" s="54"/>
    </row>
    <row r="62149" spans="31:31">
      <c r="AE62149" s="54"/>
    </row>
    <row r="62150" spans="31:31">
      <c r="AE62150" s="54"/>
    </row>
    <row r="62151" spans="31:31">
      <c r="AE62151" s="54"/>
    </row>
    <row r="62152" spans="31:31">
      <c r="AE62152" s="54"/>
    </row>
    <row r="62153" spans="31:31">
      <c r="AE62153" s="54"/>
    </row>
    <row r="62154" spans="31:31">
      <c r="AE62154" s="54"/>
    </row>
    <row r="62155" spans="31:31">
      <c r="AE62155" s="54"/>
    </row>
    <row r="62156" spans="31:31">
      <c r="AE62156" s="54"/>
    </row>
    <row r="62157" spans="31:31">
      <c r="AE62157" s="54"/>
    </row>
    <row r="62158" spans="31:31">
      <c r="AE62158" s="54"/>
    </row>
    <row r="62159" spans="31:31">
      <c r="AE62159" s="54"/>
    </row>
    <row r="62160" spans="31:31">
      <c r="AE62160" s="54"/>
    </row>
    <row r="62161" spans="31:31">
      <c r="AE62161" s="54"/>
    </row>
    <row r="62162" spans="31:31">
      <c r="AE62162" s="54"/>
    </row>
    <row r="62163" spans="31:31">
      <c r="AE62163" s="54"/>
    </row>
    <row r="62164" spans="31:31">
      <c r="AE62164" s="54"/>
    </row>
    <row r="62165" spans="31:31">
      <c r="AE62165" s="54"/>
    </row>
    <row r="62166" spans="31:31">
      <c r="AE62166" s="54"/>
    </row>
    <row r="62167" spans="31:31">
      <c r="AE62167" s="54"/>
    </row>
    <row r="62168" spans="31:31">
      <c r="AE62168" s="54"/>
    </row>
    <row r="62169" spans="31:31">
      <c r="AE62169" s="54"/>
    </row>
    <row r="62170" spans="31:31">
      <c r="AE62170" s="54"/>
    </row>
    <row r="62171" spans="31:31">
      <c r="AE62171" s="54"/>
    </row>
    <row r="62172" spans="31:31">
      <c r="AE62172" s="54"/>
    </row>
    <row r="62173" spans="31:31">
      <c r="AE62173" s="54"/>
    </row>
    <row r="62174" spans="31:31">
      <c r="AE62174" s="54"/>
    </row>
    <row r="62175" spans="31:31">
      <c r="AE62175" s="54"/>
    </row>
    <row r="62176" spans="31:31">
      <c r="AE62176" s="54"/>
    </row>
    <row r="62177" spans="31:31">
      <c r="AE62177" s="54"/>
    </row>
    <row r="62178" spans="31:31">
      <c r="AE62178" s="54"/>
    </row>
    <row r="62179" spans="31:31">
      <c r="AE62179" s="54"/>
    </row>
    <row r="62180" spans="31:31">
      <c r="AE62180" s="54"/>
    </row>
    <row r="62181" spans="31:31">
      <c r="AE62181" s="54"/>
    </row>
    <row r="62182" spans="31:31">
      <c r="AE62182" s="54"/>
    </row>
    <row r="62183" spans="31:31">
      <c r="AE62183" s="54"/>
    </row>
    <row r="62184" spans="31:31">
      <c r="AE62184" s="54"/>
    </row>
    <row r="62185" spans="31:31">
      <c r="AE62185" s="54"/>
    </row>
    <row r="62186" spans="31:31">
      <c r="AE62186" s="54"/>
    </row>
    <row r="62187" spans="31:31">
      <c r="AE62187" s="54"/>
    </row>
    <row r="62188" spans="31:31">
      <c r="AE62188" s="54"/>
    </row>
    <row r="62189" spans="31:31">
      <c r="AE62189" s="54"/>
    </row>
    <row r="62190" spans="31:31">
      <c r="AE62190" s="54"/>
    </row>
    <row r="62191" spans="31:31">
      <c r="AE62191" s="54"/>
    </row>
    <row r="62192" spans="31:31">
      <c r="AE62192" s="54"/>
    </row>
    <row r="62193" spans="31:31">
      <c r="AE62193" s="54"/>
    </row>
    <row r="62194" spans="31:31">
      <c r="AE62194" s="54"/>
    </row>
    <row r="62195" spans="31:31">
      <c r="AE62195" s="54"/>
    </row>
    <row r="62196" spans="31:31">
      <c r="AE62196" s="54"/>
    </row>
    <row r="62197" spans="31:31">
      <c r="AE62197" s="54"/>
    </row>
    <row r="62198" spans="31:31">
      <c r="AE62198" s="54"/>
    </row>
    <row r="62199" spans="31:31">
      <c r="AE62199" s="54"/>
    </row>
    <row r="62200" spans="31:31">
      <c r="AE62200" s="54"/>
    </row>
    <row r="62201" spans="31:31">
      <c r="AE62201" s="54"/>
    </row>
    <row r="62202" spans="31:31">
      <c r="AE62202" s="54"/>
    </row>
    <row r="62203" spans="31:31">
      <c r="AE62203" s="54"/>
    </row>
    <row r="62204" spans="31:31">
      <c r="AE62204" s="54"/>
    </row>
    <row r="62205" spans="31:31">
      <c r="AE62205" s="54"/>
    </row>
    <row r="62206" spans="31:31">
      <c r="AE62206" s="54"/>
    </row>
    <row r="62207" spans="31:31">
      <c r="AE62207" s="54"/>
    </row>
    <row r="62208" spans="31:31">
      <c r="AE62208" s="54"/>
    </row>
    <row r="62209" spans="31:31">
      <c r="AE62209" s="54"/>
    </row>
    <row r="62210" spans="31:31">
      <c r="AE62210" s="54"/>
    </row>
    <row r="62211" spans="31:31">
      <c r="AE62211" s="54"/>
    </row>
    <row r="62212" spans="31:31">
      <c r="AE62212" s="54"/>
    </row>
    <row r="62213" spans="31:31">
      <c r="AE62213" s="54"/>
    </row>
    <row r="62214" spans="31:31">
      <c r="AE62214" s="54"/>
    </row>
    <row r="62215" spans="31:31">
      <c r="AE62215" s="54"/>
    </row>
    <row r="62216" spans="31:31">
      <c r="AE62216" s="54"/>
    </row>
    <row r="62217" spans="31:31">
      <c r="AE62217" s="54"/>
    </row>
    <row r="62218" spans="31:31">
      <c r="AE62218" s="54"/>
    </row>
    <row r="62219" spans="31:31">
      <c r="AE62219" s="54"/>
    </row>
    <row r="62220" spans="31:31">
      <c r="AE62220" s="54"/>
    </row>
    <row r="62221" spans="31:31">
      <c r="AE62221" s="54"/>
    </row>
    <row r="62222" spans="31:31">
      <c r="AE62222" s="54"/>
    </row>
    <row r="62223" spans="31:31">
      <c r="AE62223" s="54"/>
    </row>
    <row r="62224" spans="31:31">
      <c r="AE62224" s="54"/>
    </row>
    <row r="62225" spans="31:31">
      <c r="AE62225" s="54"/>
    </row>
    <row r="62226" spans="31:31">
      <c r="AE62226" s="54"/>
    </row>
    <row r="62227" spans="31:31">
      <c r="AE62227" s="54"/>
    </row>
    <row r="62228" spans="31:31">
      <c r="AE62228" s="54"/>
    </row>
    <row r="62229" spans="31:31">
      <c r="AE62229" s="54"/>
    </row>
    <row r="62230" spans="31:31">
      <c r="AE62230" s="54"/>
    </row>
    <row r="62231" spans="31:31">
      <c r="AE62231" s="54"/>
    </row>
    <row r="62232" spans="31:31">
      <c r="AE62232" s="54"/>
    </row>
    <row r="62233" spans="31:31">
      <c r="AE62233" s="54"/>
    </row>
    <row r="62234" spans="31:31">
      <c r="AE62234" s="54"/>
    </row>
    <row r="62235" spans="31:31">
      <c r="AE62235" s="54"/>
    </row>
    <row r="62236" spans="31:31">
      <c r="AE62236" s="54"/>
    </row>
    <row r="62237" spans="31:31">
      <c r="AE62237" s="54"/>
    </row>
    <row r="62238" spans="31:31">
      <c r="AE62238" s="54"/>
    </row>
    <row r="62239" spans="31:31">
      <c r="AE62239" s="54"/>
    </row>
    <row r="62240" spans="31:31">
      <c r="AE62240" s="54"/>
    </row>
    <row r="62241" spans="31:31">
      <c r="AE62241" s="54"/>
    </row>
    <row r="62242" spans="31:31">
      <c r="AE62242" s="54"/>
    </row>
    <row r="62243" spans="31:31">
      <c r="AE62243" s="54"/>
    </row>
    <row r="62244" spans="31:31">
      <c r="AE62244" s="54"/>
    </row>
    <row r="62245" spans="31:31">
      <c r="AE62245" s="54"/>
    </row>
    <row r="62246" spans="31:31">
      <c r="AE62246" s="54"/>
    </row>
    <row r="62247" spans="31:31">
      <c r="AE62247" s="54"/>
    </row>
    <row r="62248" spans="31:31">
      <c r="AE62248" s="54"/>
    </row>
    <row r="62249" spans="31:31">
      <c r="AE62249" s="54"/>
    </row>
    <row r="62250" spans="31:31">
      <c r="AE62250" s="54"/>
    </row>
    <row r="62251" spans="31:31">
      <c r="AE62251" s="54"/>
    </row>
    <row r="62252" spans="31:31">
      <c r="AE62252" s="54"/>
    </row>
    <row r="62253" spans="31:31">
      <c r="AE62253" s="54"/>
    </row>
    <row r="62254" spans="31:31">
      <c r="AE62254" s="54"/>
    </row>
    <row r="62255" spans="31:31">
      <c r="AE62255" s="54"/>
    </row>
    <row r="62256" spans="31:31">
      <c r="AE62256" s="54"/>
    </row>
    <row r="62257" spans="31:31">
      <c r="AE62257" s="54"/>
    </row>
    <row r="62258" spans="31:31">
      <c r="AE62258" s="54"/>
    </row>
    <row r="62259" spans="31:31">
      <c r="AE62259" s="54"/>
    </row>
    <row r="62260" spans="31:31">
      <c r="AE62260" s="54"/>
    </row>
    <row r="62261" spans="31:31">
      <c r="AE62261" s="54"/>
    </row>
    <row r="62262" spans="31:31">
      <c r="AE62262" s="54"/>
    </row>
    <row r="62263" spans="31:31">
      <c r="AE62263" s="54"/>
    </row>
    <row r="62264" spans="31:31">
      <c r="AE62264" s="54"/>
    </row>
    <row r="62265" spans="31:31">
      <c r="AE62265" s="54"/>
    </row>
    <row r="62266" spans="31:31">
      <c r="AE62266" s="54"/>
    </row>
    <row r="62267" spans="31:31">
      <c r="AE62267" s="54"/>
    </row>
    <row r="62268" spans="31:31">
      <c r="AE62268" s="54"/>
    </row>
    <row r="62269" spans="31:31">
      <c r="AE62269" s="54"/>
    </row>
    <row r="62270" spans="31:31">
      <c r="AE62270" s="54"/>
    </row>
    <row r="62271" spans="31:31">
      <c r="AE62271" s="54"/>
    </row>
    <row r="62272" spans="31:31">
      <c r="AE62272" s="54"/>
    </row>
    <row r="62273" spans="31:31">
      <c r="AE62273" s="54"/>
    </row>
    <row r="62274" spans="31:31">
      <c r="AE62274" s="54"/>
    </row>
    <row r="62275" spans="31:31">
      <c r="AE62275" s="54"/>
    </row>
    <row r="62276" spans="31:31">
      <c r="AE62276" s="54"/>
    </row>
    <row r="62277" spans="31:31">
      <c r="AE62277" s="54"/>
    </row>
    <row r="62278" spans="31:31">
      <c r="AE62278" s="54"/>
    </row>
    <row r="62279" spans="31:31">
      <c r="AE62279" s="54"/>
    </row>
    <row r="62280" spans="31:31">
      <c r="AE62280" s="54"/>
    </row>
    <row r="62281" spans="31:31">
      <c r="AE62281" s="54"/>
    </row>
    <row r="62282" spans="31:31">
      <c r="AE62282" s="54"/>
    </row>
    <row r="62283" spans="31:31">
      <c r="AE62283" s="54"/>
    </row>
    <row r="62284" spans="31:31">
      <c r="AE62284" s="54"/>
    </row>
    <row r="62285" spans="31:31">
      <c r="AE62285" s="54"/>
    </row>
    <row r="62286" spans="31:31">
      <c r="AE62286" s="54"/>
    </row>
    <row r="62287" spans="31:31">
      <c r="AE62287" s="54"/>
    </row>
    <row r="62288" spans="31:31">
      <c r="AE62288" s="54"/>
    </row>
    <row r="62289" spans="31:31">
      <c r="AE62289" s="54"/>
    </row>
    <row r="62290" spans="31:31">
      <c r="AE62290" s="54"/>
    </row>
    <row r="62291" spans="31:31">
      <c r="AE62291" s="54"/>
    </row>
    <row r="62292" spans="31:31">
      <c r="AE62292" s="54"/>
    </row>
    <row r="62293" spans="31:31">
      <c r="AE62293" s="54"/>
    </row>
    <row r="62294" spans="31:31">
      <c r="AE62294" s="54"/>
    </row>
    <row r="62295" spans="31:31">
      <c r="AE62295" s="54"/>
    </row>
    <row r="62296" spans="31:31">
      <c r="AE62296" s="54"/>
    </row>
    <row r="62297" spans="31:31">
      <c r="AE62297" s="54"/>
    </row>
    <row r="62298" spans="31:31">
      <c r="AE62298" s="54"/>
    </row>
    <row r="62299" spans="31:31">
      <c r="AE62299" s="54"/>
    </row>
    <row r="62300" spans="31:31">
      <c r="AE62300" s="54"/>
    </row>
    <row r="62301" spans="31:31">
      <c r="AE62301" s="54"/>
    </row>
    <row r="62302" spans="31:31">
      <c r="AE62302" s="54"/>
    </row>
    <row r="62303" spans="31:31">
      <c r="AE62303" s="54"/>
    </row>
    <row r="62304" spans="31:31">
      <c r="AE62304" s="54"/>
    </row>
    <row r="62305" spans="31:31">
      <c r="AE62305" s="54"/>
    </row>
    <row r="62306" spans="31:31">
      <c r="AE62306" s="54"/>
    </row>
    <row r="62307" spans="31:31">
      <c r="AE62307" s="54"/>
    </row>
    <row r="62308" spans="31:31">
      <c r="AE62308" s="54"/>
    </row>
    <row r="62309" spans="31:31">
      <c r="AE62309" s="54"/>
    </row>
    <row r="62310" spans="31:31">
      <c r="AE62310" s="54"/>
    </row>
    <row r="62311" spans="31:31">
      <c r="AE62311" s="54"/>
    </row>
    <row r="62312" spans="31:31">
      <c r="AE62312" s="54"/>
    </row>
    <row r="62313" spans="31:31">
      <c r="AE62313" s="54"/>
    </row>
    <row r="62314" spans="31:31">
      <c r="AE62314" s="54"/>
    </row>
    <row r="62315" spans="31:31">
      <c r="AE62315" s="54"/>
    </row>
    <row r="62316" spans="31:31">
      <c r="AE62316" s="54"/>
    </row>
    <row r="62317" spans="31:31">
      <c r="AE62317" s="54"/>
    </row>
    <row r="62318" spans="31:31">
      <c r="AE62318" s="54"/>
    </row>
    <row r="62319" spans="31:31">
      <c r="AE62319" s="54"/>
    </row>
    <row r="62320" spans="31:31">
      <c r="AE62320" s="54"/>
    </row>
    <row r="62321" spans="31:31">
      <c r="AE62321" s="54"/>
    </row>
    <row r="62322" spans="31:31">
      <c r="AE62322" s="54"/>
    </row>
    <row r="62323" spans="31:31">
      <c r="AE62323" s="54"/>
    </row>
    <row r="62324" spans="31:31">
      <c r="AE62324" s="54"/>
    </row>
    <row r="62325" spans="31:31">
      <c r="AE62325" s="54"/>
    </row>
    <row r="62326" spans="31:31">
      <c r="AE62326" s="54"/>
    </row>
    <row r="62327" spans="31:31">
      <c r="AE62327" s="54"/>
    </row>
    <row r="62328" spans="31:31">
      <c r="AE62328" s="54"/>
    </row>
    <row r="62329" spans="31:31">
      <c r="AE62329" s="54"/>
    </row>
    <row r="62330" spans="31:31">
      <c r="AE62330" s="54"/>
    </row>
    <row r="62331" spans="31:31">
      <c r="AE62331" s="54"/>
    </row>
    <row r="62332" spans="31:31">
      <c r="AE62332" s="54"/>
    </row>
    <row r="62333" spans="31:31">
      <c r="AE62333" s="54"/>
    </row>
    <row r="62334" spans="31:31">
      <c r="AE62334" s="54"/>
    </row>
    <row r="62335" spans="31:31">
      <c r="AE62335" s="54"/>
    </row>
    <row r="62336" spans="31:31">
      <c r="AE62336" s="54"/>
    </row>
    <row r="62337" spans="31:31">
      <c r="AE62337" s="54"/>
    </row>
    <row r="62338" spans="31:31">
      <c r="AE62338" s="54"/>
    </row>
    <row r="62339" spans="31:31">
      <c r="AE62339" s="54"/>
    </row>
    <row r="62340" spans="31:31">
      <c r="AE62340" s="54"/>
    </row>
    <row r="62341" spans="31:31">
      <c r="AE62341" s="54"/>
    </row>
    <row r="62342" spans="31:31">
      <c r="AE62342" s="54"/>
    </row>
    <row r="62343" spans="31:31">
      <c r="AE62343" s="54"/>
    </row>
    <row r="62344" spans="31:31">
      <c r="AE62344" s="54"/>
    </row>
    <row r="62345" spans="31:31">
      <c r="AE62345" s="54"/>
    </row>
    <row r="62346" spans="31:31">
      <c r="AE62346" s="54"/>
    </row>
    <row r="62347" spans="31:31">
      <c r="AE62347" s="54"/>
    </row>
    <row r="62348" spans="31:31">
      <c r="AE62348" s="54"/>
    </row>
    <row r="62349" spans="31:31">
      <c r="AE62349" s="54"/>
    </row>
    <row r="62350" spans="31:31">
      <c r="AE62350" s="54"/>
    </row>
    <row r="62351" spans="31:31">
      <c r="AE62351" s="54"/>
    </row>
    <row r="62352" spans="31:31">
      <c r="AE62352" s="54"/>
    </row>
    <row r="62353" spans="31:31">
      <c r="AE62353" s="54"/>
    </row>
    <row r="62354" spans="31:31">
      <c r="AE62354" s="54"/>
    </row>
    <row r="62355" spans="31:31">
      <c r="AE62355" s="54"/>
    </row>
    <row r="62356" spans="31:31">
      <c r="AE62356" s="54"/>
    </row>
    <row r="62357" spans="31:31">
      <c r="AE62357" s="54"/>
    </row>
    <row r="62358" spans="31:31">
      <c r="AE62358" s="54"/>
    </row>
    <row r="62359" spans="31:31">
      <c r="AE62359" s="54"/>
    </row>
    <row r="62360" spans="31:31">
      <c r="AE62360" s="54"/>
    </row>
    <row r="62361" spans="31:31">
      <c r="AE62361" s="54"/>
    </row>
    <row r="62362" spans="31:31">
      <c r="AE62362" s="54"/>
    </row>
    <row r="62363" spans="31:31">
      <c r="AE62363" s="54"/>
    </row>
    <row r="62364" spans="31:31">
      <c r="AE62364" s="54"/>
    </row>
    <row r="62365" spans="31:31">
      <c r="AE62365" s="54"/>
    </row>
    <row r="62366" spans="31:31">
      <c r="AE62366" s="54"/>
    </row>
    <row r="62367" spans="31:31">
      <c r="AE62367" s="54"/>
    </row>
    <row r="62368" spans="31:31">
      <c r="AE62368" s="54"/>
    </row>
    <row r="62369" spans="31:31">
      <c r="AE62369" s="54"/>
    </row>
    <row r="62370" spans="31:31">
      <c r="AE62370" s="54"/>
    </row>
    <row r="62371" spans="31:31">
      <c r="AE62371" s="54"/>
    </row>
    <row r="62372" spans="31:31">
      <c r="AE62372" s="54"/>
    </row>
    <row r="62373" spans="31:31">
      <c r="AE62373" s="54"/>
    </row>
    <row r="62374" spans="31:31">
      <c r="AE62374" s="54"/>
    </row>
    <row r="62375" spans="31:31">
      <c r="AE62375" s="54"/>
    </row>
    <row r="62376" spans="31:31">
      <c r="AE62376" s="54"/>
    </row>
    <row r="62377" spans="31:31">
      <c r="AE62377" s="54"/>
    </row>
    <row r="62378" spans="31:31">
      <c r="AE62378" s="54"/>
    </row>
    <row r="62379" spans="31:31">
      <c r="AE62379" s="54"/>
    </row>
    <row r="62380" spans="31:31">
      <c r="AE62380" s="54"/>
    </row>
    <row r="62381" spans="31:31">
      <c r="AE62381" s="54"/>
    </row>
    <row r="62382" spans="31:31">
      <c r="AE62382" s="54"/>
    </row>
    <row r="62383" spans="31:31">
      <c r="AE62383" s="54"/>
    </row>
    <row r="62384" spans="31:31">
      <c r="AE62384" s="54"/>
    </row>
    <row r="62385" spans="31:31">
      <c r="AE62385" s="54"/>
    </row>
    <row r="62386" spans="31:31">
      <c r="AE62386" s="54"/>
    </row>
    <row r="62387" spans="31:31">
      <c r="AE62387" s="54"/>
    </row>
    <row r="62388" spans="31:31">
      <c r="AE62388" s="54"/>
    </row>
    <row r="62389" spans="31:31">
      <c r="AE62389" s="54"/>
    </row>
    <row r="62390" spans="31:31">
      <c r="AE62390" s="54"/>
    </row>
    <row r="62391" spans="31:31">
      <c r="AE62391" s="54"/>
    </row>
    <row r="62392" spans="31:31">
      <c r="AE62392" s="54"/>
    </row>
    <row r="62393" spans="31:31">
      <c r="AE62393" s="54"/>
    </row>
    <row r="62394" spans="31:31">
      <c r="AE62394" s="54"/>
    </row>
    <row r="62395" spans="31:31">
      <c r="AE62395" s="54"/>
    </row>
    <row r="62396" spans="31:31">
      <c r="AE62396" s="54"/>
    </row>
    <row r="62397" spans="31:31">
      <c r="AE62397" s="54"/>
    </row>
    <row r="62398" spans="31:31">
      <c r="AE62398" s="54"/>
    </row>
    <row r="62399" spans="31:31">
      <c r="AE62399" s="54"/>
    </row>
    <row r="62400" spans="31:31">
      <c r="AE62400" s="54"/>
    </row>
    <row r="62401" spans="31:31">
      <c r="AE62401" s="54"/>
    </row>
    <row r="62402" spans="31:31">
      <c r="AE62402" s="54"/>
    </row>
    <row r="62403" spans="31:31">
      <c r="AE62403" s="54"/>
    </row>
    <row r="62404" spans="31:31">
      <c r="AE62404" s="54"/>
    </row>
    <row r="62405" spans="31:31">
      <c r="AE62405" s="54"/>
    </row>
    <row r="62406" spans="31:31">
      <c r="AE62406" s="54"/>
    </row>
    <row r="62407" spans="31:31">
      <c r="AE62407" s="54"/>
    </row>
    <row r="62408" spans="31:31">
      <c r="AE62408" s="54"/>
    </row>
    <row r="62409" spans="31:31">
      <c r="AE62409" s="54"/>
    </row>
    <row r="62410" spans="31:31">
      <c r="AE62410" s="54"/>
    </row>
    <row r="62411" spans="31:31">
      <c r="AE62411" s="54"/>
    </row>
    <row r="62412" spans="31:31">
      <c r="AE62412" s="54"/>
    </row>
    <row r="62413" spans="31:31">
      <c r="AE62413" s="54"/>
    </row>
    <row r="62414" spans="31:31">
      <c r="AE62414" s="54"/>
    </row>
    <row r="62415" spans="31:31">
      <c r="AE62415" s="54"/>
    </row>
    <row r="62416" spans="31:31">
      <c r="AE62416" s="54"/>
    </row>
    <row r="62417" spans="31:31">
      <c r="AE62417" s="54"/>
    </row>
    <row r="62418" spans="31:31">
      <c r="AE62418" s="54"/>
    </row>
    <row r="62419" spans="31:31">
      <c r="AE62419" s="54"/>
    </row>
    <row r="62420" spans="31:31">
      <c r="AE62420" s="54"/>
    </row>
    <row r="62421" spans="31:31">
      <c r="AE62421" s="54"/>
    </row>
    <row r="62422" spans="31:31">
      <c r="AE62422" s="54"/>
    </row>
    <row r="62423" spans="31:31">
      <c r="AE62423" s="54"/>
    </row>
    <row r="62424" spans="31:31">
      <c r="AE62424" s="54"/>
    </row>
    <row r="62425" spans="31:31">
      <c r="AE62425" s="54"/>
    </row>
    <row r="62426" spans="31:31">
      <c r="AE62426" s="54"/>
    </row>
    <row r="62427" spans="31:31">
      <c r="AE62427" s="54"/>
    </row>
    <row r="62428" spans="31:31">
      <c r="AE62428" s="54"/>
    </row>
    <row r="62429" spans="31:31">
      <c r="AE62429" s="54"/>
    </row>
    <row r="62430" spans="31:31">
      <c r="AE62430" s="54"/>
    </row>
    <row r="62431" spans="31:31">
      <c r="AE62431" s="54"/>
    </row>
    <row r="62432" spans="31:31">
      <c r="AE62432" s="54"/>
    </row>
    <row r="62433" spans="31:31">
      <c r="AE62433" s="54"/>
    </row>
    <row r="62434" spans="31:31">
      <c r="AE62434" s="54"/>
    </row>
    <row r="62435" spans="31:31">
      <c r="AE62435" s="54"/>
    </row>
    <row r="62436" spans="31:31">
      <c r="AE62436" s="54"/>
    </row>
    <row r="62437" spans="31:31">
      <c r="AE62437" s="54"/>
    </row>
    <row r="62438" spans="31:31">
      <c r="AE62438" s="54"/>
    </row>
    <row r="62439" spans="31:31">
      <c r="AE62439" s="54"/>
    </row>
    <row r="62440" spans="31:31">
      <c r="AE62440" s="54"/>
    </row>
    <row r="62441" spans="31:31">
      <c r="AE62441" s="54"/>
    </row>
    <row r="62442" spans="31:31">
      <c r="AE62442" s="54"/>
    </row>
    <row r="62443" spans="31:31">
      <c r="AE62443" s="54"/>
    </row>
    <row r="62444" spans="31:31">
      <c r="AE62444" s="54"/>
    </row>
    <row r="62445" spans="31:31">
      <c r="AE62445" s="54"/>
    </row>
    <row r="62446" spans="31:31">
      <c r="AE62446" s="54"/>
    </row>
    <row r="62447" spans="31:31">
      <c r="AE62447" s="54"/>
    </row>
    <row r="62448" spans="31:31">
      <c r="AE62448" s="54"/>
    </row>
    <row r="62449" spans="31:31">
      <c r="AE62449" s="54"/>
    </row>
    <row r="62450" spans="31:31">
      <c r="AE62450" s="54"/>
    </row>
    <row r="62451" spans="31:31">
      <c r="AE62451" s="54"/>
    </row>
    <row r="62452" spans="31:31">
      <c r="AE62452" s="54"/>
    </row>
    <row r="62453" spans="31:31">
      <c r="AE62453" s="54"/>
    </row>
    <row r="62454" spans="31:31">
      <c r="AE62454" s="54"/>
    </row>
    <row r="62455" spans="31:31">
      <c r="AE62455" s="54"/>
    </row>
    <row r="62456" spans="31:31">
      <c r="AE62456" s="54"/>
    </row>
    <row r="62457" spans="31:31">
      <c r="AE62457" s="54"/>
    </row>
    <row r="62458" spans="31:31">
      <c r="AE62458" s="54"/>
    </row>
    <row r="62459" spans="31:31">
      <c r="AE62459" s="54"/>
    </row>
    <row r="62460" spans="31:31">
      <c r="AE62460" s="54"/>
    </row>
    <row r="62461" spans="31:31">
      <c r="AE62461" s="54"/>
    </row>
    <row r="62462" spans="31:31">
      <c r="AE62462" s="54"/>
    </row>
    <row r="62463" spans="31:31">
      <c r="AE62463" s="54"/>
    </row>
    <row r="62464" spans="31:31">
      <c r="AE62464" s="54"/>
    </row>
    <row r="62465" spans="31:31">
      <c r="AE62465" s="54"/>
    </row>
    <row r="62466" spans="31:31">
      <c r="AE62466" s="54"/>
    </row>
    <row r="62467" spans="31:31">
      <c r="AE62467" s="54"/>
    </row>
    <row r="62468" spans="31:31">
      <c r="AE62468" s="54"/>
    </row>
    <row r="62469" spans="31:31">
      <c r="AE62469" s="54"/>
    </row>
    <row r="62470" spans="31:31">
      <c r="AE62470" s="54"/>
    </row>
    <row r="62471" spans="31:31">
      <c r="AE62471" s="54"/>
    </row>
    <row r="62472" spans="31:31">
      <c r="AE62472" s="54"/>
    </row>
    <row r="62473" spans="31:31">
      <c r="AE62473" s="54"/>
    </row>
    <row r="62474" spans="31:31">
      <c r="AE62474" s="54"/>
    </row>
    <row r="62475" spans="31:31">
      <c r="AE62475" s="54"/>
    </row>
    <row r="62476" spans="31:31">
      <c r="AE62476" s="54"/>
    </row>
    <row r="62477" spans="31:31">
      <c r="AE62477" s="54"/>
    </row>
    <row r="62478" spans="31:31">
      <c r="AE62478" s="54"/>
    </row>
    <row r="62479" spans="31:31">
      <c r="AE62479" s="54"/>
    </row>
    <row r="62480" spans="31:31">
      <c r="AE62480" s="54"/>
    </row>
    <row r="62481" spans="31:31">
      <c r="AE62481" s="54"/>
    </row>
    <row r="62482" spans="31:31">
      <c r="AE62482" s="54"/>
    </row>
    <row r="62483" spans="31:31">
      <c r="AE62483" s="54"/>
    </row>
    <row r="62484" spans="31:31">
      <c r="AE62484" s="54"/>
    </row>
    <row r="62485" spans="31:31">
      <c r="AE62485" s="54"/>
    </row>
    <row r="62486" spans="31:31">
      <c r="AE62486" s="54"/>
    </row>
    <row r="62487" spans="31:31">
      <c r="AE62487" s="54"/>
    </row>
    <row r="62488" spans="31:31">
      <c r="AE62488" s="54"/>
    </row>
    <row r="62489" spans="31:31">
      <c r="AE62489" s="54"/>
    </row>
    <row r="62490" spans="31:31">
      <c r="AE62490" s="54"/>
    </row>
    <row r="62491" spans="31:31">
      <c r="AE62491" s="54"/>
    </row>
    <row r="62492" spans="31:31">
      <c r="AE62492" s="54"/>
    </row>
    <row r="62493" spans="31:31">
      <c r="AE62493" s="54"/>
    </row>
    <row r="62494" spans="31:31">
      <c r="AE62494" s="54"/>
    </row>
    <row r="62495" spans="31:31">
      <c r="AE62495" s="54"/>
    </row>
    <row r="62496" spans="31:31">
      <c r="AE62496" s="54"/>
    </row>
    <row r="62497" spans="31:31">
      <c r="AE62497" s="54"/>
    </row>
    <row r="62498" spans="31:31">
      <c r="AE62498" s="54"/>
    </row>
    <row r="62499" spans="31:31">
      <c r="AE62499" s="54"/>
    </row>
    <row r="62500" spans="31:31">
      <c r="AE62500" s="54"/>
    </row>
    <row r="62501" spans="31:31">
      <c r="AE62501" s="54"/>
    </row>
    <row r="62502" spans="31:31">
      <c r="AE62502" s="54"/>
    </row>
    <row r="62503" spans="31:31">
      <c r="AE62503" s="54"/>
    </row>
    <row r="62504" spans="31:31">
      <c r="AE62504" s="54"/>
    </row>
    <row r="62505" spans="31:31">
      <c r="AE62505" s="54"/>
    </row>
    <row r="62506" spans="31:31">
      <c r="AE62506" s="54"/>
    </row>
    <row r="62507" spans="31:31">
      <c r="AE62507" s="54"/>
    </row>
    <row r="62508" spans="31:31">
      <c r="AE62508" s="54"/>
    </row>
    <row r="62509" spans="31:31">
      <c r="AE62509" s="54"/>
    </row>
    <row r="62510" spans="31:31">
      <c r="AE62510" s="54"/>
    </row>
    <row r="62511" spans="31:31">
      <c r="AE62511" s="54"/>
    </row>
    <row r="62512" spans="31:31">
      <c r="AE62512" s="54"/>
    </row>
    <row r="62513" spans="31:31">
      <c r="AE62513" s="54"/>
    </row>
    <row r="62514" spans="31:31">
      <c r="AE62514" s="54"/>
    </row>
    <row r="62515" spans="31:31">
      <c r="AE62515" s="54"/>
    </row>
    <row r="62516" spans="31:31">
      <c r="AE62516" s="54"/>
    </row>
    <row r="62517" spans="31:31">
      <c r="AE62517" s="54"/>
    </row>
    <row r="62518" spans="31:31">
      <c r="AE62518" s="54"/>
    </row>
    <row r="62519" spans="31:31">
      <c r="AE62519" s="54"/>
    </row>
    <row r="62520" spans="31:31">
      <c r="AE62520" s="54"/>
    </row>
    <row r="62521" spans="31:31">
      <c r="AE62521" s="54"/>
    </row>
    <row r="62522" spans="31:31">
      <c r="AE62522" s="54"/>
    </row>
    <row r="62523" spans="31:31">
      <c r="AE62523" s="54"/>
    </row>
    <row r="62524" spans="31:31">
      <c r="AE62524" s="54"/>
    </row>
    <row r="62525" spans="31:31">
      <c r="AE62525" s="54"/>
    </row>
    <row r="62526" spans="31:31">
      <c r="AE62526" s="54"/>
    </row>
    <row r="62527" spans="31:31">
      <c r="AE62527" s="54"/>
    </row>
    <row r="62528" spans="31:31">
      <c r="AE62528" s="54"/>
    </row>
    <row r="62529" spans="31:31">
      <c r="AE62529" s="54"/>
    </row>
    <row r="62530" spans="31:31">
      <c r="AE62530" s="54"/>
    </row>
    <row r="62531" spans="31:31">
      <c r="AE62531" s="54"/>
    </row>
    <row r="62532" spans="31:31">
      <c r="AE62532" s="54"/>
    </row>
    <row r="62533" spans="31:31">
      <c r="AE62533" s="54"/>
    </row>
    <row r="62534" spans="31:31">
      <c r="AE62534" s="54"/>
    </row>
    <row r="62535" spans="31:31">
      <c r="AE62535" s="54"/>
    </row>
    <row r="62536" spans="31:31">
      <c r="AE62536" s="54"/>
    </row>
    <row r="62537" spans="31:31">
      <c r="AE62537" s="54"/>
    </row>
    <row r="62538" spans="31:31">
      <c r="AE62538" s="54"/>
    </row>
    <row r="62539" spans="31:31">
      <c r="AE62539" s="54"/>
    </row>
    <row r="62540" spans="31:31">
      <c r="AE62540" s="54"/>
    </row>
    <row r="62541" spans="31:31">
      <c r="AE62541" s="54"/>
    </row>
    <row r="62542" spans="31:31">
      <c r="AE62542" s="54"/>
    </row>
    <row r="62543" spans="31:31">
      <c r="AE62543" s="54"/>
    </row>
    <row r="62544" spans="31:31">
      <c r="AE62544" s="54"/>
    </row>
    <row r="62545" spans="31:31">
      <c r="AE62545" s="54"/>
    </row>
    <row r="62546" spans="31:31">
      <c r="AE62546" s="54"/>
    </row>
    <row r="62547" spans="31:31">
      <c r="AE62547" s="54"/>
    </row>
    <row r="62548" spans="31:31">
      <c r="AE62548" s="54"/>
    </row>
    <row r="62549" spans="31:31">
      <c r="AE62549" s="54"/>
    </row>
    <row r="62550" spans="31:31">
      <c r="AE62550" s="54"/>
    </row>
    <row r="62551" spans="31:31">
      <c r="AE62551" s="54"/>
    </row>
    <row r="62552" spans="31:31">
      <c r="AE62552" s="54"/>
    </row>
    <row r="62553" spans="31:31">
      <c r="AE62553" s="54"/>
    </row>
    <row r="62554" spans="31:31">
      <c r="AE62554" s="54"/>
    </row>
    <row r="62555" spans="31:31">
      <c r="AE62555" s="54"/>
    </row>
    <row r="62556" spans="31:31">
      <c r="AE62556" s="54"/>
    </row>
    <row r="62557" spans="31:31">
      <c r="AE62557" s="54"/>
    </row>
    <row r="62558" spans="31:31">
      <c r="AE62558" s="54"/>
    </row>
    <row r="62559" spans="31:31">
      <c r="AE62559" s="54"/>
    </row>
    <row r="62560" spans="31:31">
      <c r="AE62560" s="54"/>
    </row>
    <row r="62561" spans="31:31">
      <c r="AE62561" s="54"/>
    </row>
    <row r="62562" spans="31:31">
      <c r="AE62562" s="54"/>
    </row>
    <row r="62563" spans="31:31">
      <c r="AE62563" s="54"/>
    </row>
    <row r="62564" spans="31:31">
      <c r="AE62564" s="54"/>
    </row>
    <row r="62565" spans="31:31">
      <c r="AE62565" s="54"/>
    </row>
    <row r="62566" spans="31:31">
      <c r="AE62566" s="54"/>
    </row>
    <row r="62567" spans="31:31">
      <c r="AE62567" s="54"/>
    </row>
    <row r="62568" spans="31:31">
      <c r="AE62568" s="54"/>
    </row>
    <row r="62569" spans="31:31">
      <c r="AE62569" s="54"/>
    </row>
    <row r="62570" spans="31:31">
      <c r="AE62570" s="54"/>
    </row>
    <row r="62571" spans="31:31">
      <c r="AE62571" s="54"/>
    </row>
    <row r="62572" spans="31:31">
      <c r="AE62572" s="54"/>
    </row>
    <row r="62573" spans="31:31">
      <c r="AE62573" s="54"/>
    </row>
    <row r="62574" spans="31:31">
      <c r="AE62574" s="54"/>
    </row>
    <row r="62575" spans="31:31">
      <c r="AE62575" s="54"/>
    </row>
    <row r="62576" spans="31:31">
      <c r="AE62576" s="54"/>
    </row>
    <row r="62577" spans="31:31">
      <c r="AE62577" s="54"/>
    </row>
    <row r="62578" spans="31:31">
      <c r="AE62578" s="54"/>
    </row>
    <row r="62579" spans="31:31">
      <c r="AE62579" s="54"/>
    </row>
    <row r="62580" spans="31:31">
      <c r="AE62580" s="54"/>
    </row>
    <row r="62581" spans="31:31">
      <c r="AE62581" s="54"/>
    </row>
    <row r="62582" spans="31:31">
      <c r="AE62582" s="54"/>
    </row>
    <row r="62583" spans="31:31">
      <c r="AE62583" s="54"/>
    </row>
    <row r="62584" spans="31:31">
      <c r="AE62584" s="54"/>
    </row>
    <row r="62585" spans="31:31">
      <c r="AE62585" s="54"/>
    </row>
    <row r="62586" spans="31:31">
      <c r="AE62586" s="54"/>
    </row>
    <row r="62587" spans="31:31">
      <c r="AE62587" s="54"/>
    </row>
    <row r="62588" spans="31:31">
      <c r="AE62588" s="54"/>
    </row>
    <row r="62589" spans="31:31">
      <c r="AE62589" s="54"/>
    </row>
    <row r="62590" spans="31:31">
      <c r="AE62590" s="54"/>
    </row>
    <row r="62591" spans="31:31">
      <c r="AE62591" s="54"/>
    </row>
    <row r="62592" spans="31:31">
      <c r="AE62592" s="54"/>
    </row>
    <row r="62593" spans="31:31">
      <c r="AE62593" s="54"/>
    </row>
    <row r="62594" spans="31:31">
      <c r="AE62594" s="54"/>
    </row>
    <row r="62595" spans="31:31">
      <c r="AE62595" s="54"/>
    </row>
    <row r="62596" spans="31:31">
      <c r="AE62596" s="54"/>
    </row>
    <row r="62597" spans="31:31">
      <c r="AE62597" s="54"/>
    </row>
    <row r="62598" spans="31:31">
      <c r="AE62598" s="54"/>
    </row>
    <row r="62599" spans="31:31">
      <c r="AE62599" s="54"/>
    </row>
    <row r="62600" spans="31:31">
      <c r="AE62600" s="54"/>
    </row>
    <row r="62601" spans="31:31">
      <c r="AE62601" s="54"/>
    </row>
    <row r="62602" spans="31:31">
      <c r="AE62602" s="54"/>
    </row>
    <row r="62603" spans="31:31">
      <c r="AE62603" s="54"/>
    </row>
    <row r="62604" spans="31:31">
      <c r="AE62604" s="54"/>
    </row>
    <row r="62605" spans="31:31">
      <c r="AE62605" s="54"/>
    </row>
    <row r="62606" spans="31:31">
      <c r="AE62606" s="54"/>
    </row>
    <row r="62607" spans="31:31">
      <c r="AE62607" s="54"/>
    </row>
    <row r="62608" spans="31:31">
      <c r="AE62608" s="54"/>
    </row>
    <row r="62609" spans="31:31">
      <c r="AE62609" s="54"/>
    </row>
    <row r="62610" spans="31:31">
      <c r="AE62610" s="54"/>
    </row>
    <row r="62611" spans="31:31">
      <c r="AE62611" s="54"/>
    </row>
    <row r="62612" spans="31:31">
      <c r="AE62612" s="54"/>
    </row>
    <row r="62613" spans="31:31">
      <c r="AE62613" s="54"/>
    </row>
    <row r="62614" spans="31:31">
      <c r="AE62614" s="54"/>
    </row>
    <row r="62615" spans="31:31">
      <c r="AE62615" s="54"/>
    </row>
    <row r="62616" spans="31:31">
      <c r="AE62616" s="54"/>
    </row>
    <row r="62617" spans="31:31">
      <c r="AE62617" s="54"/>
    </row>
    <row r="62618" spans="31:31">
      <c r="AE62618" s="54"/>
    </row>
    <row r="62619" spans="31:31">
      <c r="AE62619" s="54"/>
    </row>
    <row r="62620" spans="31:31">
      <c r="AE62620" s="54"/>
    </row>
    <row r="62621" spans="31:31">
      <c r="AE62621" s="54"/>
    </row>
    <row r="62622" spans="31:31">
      <c r="AE62622" s="54"/>
    </row>
    <row r="62623" spans="31:31">
      <c r="AE62623" s="54"/>
    </row>
    <row r="62624" spans="31:31">
      <c r="AE62624" s="54"/>
    </row>
    <row r="62625" spans="31:31">
      <c r="AE62625" s="54"/>
    </row>
    <row r="62626" spans="31:31">
      <c r="AE62626" s="54"/>
    </row>
    <row r="62627" spans="31:31">
      <c r="AE62627" s="54"/>
    </row>
    <row r="62628" spans="31:31">
      <c r="AE62628" s="54"/>
    </row>
    <row r="62629" spans="31:31">
      <c r="AE62629" s="54"/>
    </row>
    <row r="62630" spans="31:31">
      <c r="AE62630" s="54"/>
    </row>
    <row r="62631" spans="31:31">
      <c r="AE62631" s="54"/>
    </row>
    <row r="62632" spans="31:31">
      <c r="AE62632" s="54"/>
    </row>
    <row r="62633" spans="31:31">
      <c r="AE62633" s="54"/>
    </row>
    <row r="62634" spans="31:31">
      <c r="AE62634" s="54"/>
    </row>
    <row r="62635" spans="31:31">
      <c r="AE62635" s="54"/>
    </row>
    <row r="62636" spans="31:31">
      <c r="AE62636" s="54"/>
    </row>
    <row r="62637" spans="31:31">
      <c r="AE62637" s="54"/>
    </row>
    <row r="62638" spans="31:31">
      <c r="AE62638" s="54"/>
    </row>
    <row r="62639" spans="31:31">
      <c r="AE62639" s="54"/>
    </row>
    <row r="62640" spans="31:31">
      <c r="AE62640" s="54"/>
    </row>
    <row r="62641" spans="31:31">
      <c r="AE62641" s="54"/>
    </row>
    <row r="62642" spans="31:31">
      <c r="AE62642" s="54"/>
    </row>
    <row r="62643" spans="31:31">
      <c r="AE62643" s="54"/>
    </row>
    <row r="62644" spans="31:31">
      <c r="AE62644" s="54"/>
    </row>
    <row r="62645" spans="31:31">
      <c r="AE62645" s="54"/>
    </row>
    <row r="62646" spans="31:31">
      <c r="AE62646" s="54"/>
    </row>
    <row r="62647" spans="31:31">
      <c r="AE62647" s="54"/>
    </row>
    <row r="62648" spans="31:31">
      <c r="AE62648" s="54"/>
    </row>
    <row r="62649" spans="31:31">
      <c r="AE62649" s="54"/>
    </row>
    <row r="62650" spans="31:31">
      <c r="AE62650" s="54"/>
    </row>
    <row r="62651" spans="31:31">
      <c r="AE62651" s="54"/>
    </row>
    <row r="62652" spans="31:31">
      <c r="AE62652" s="54"/>
    </row>
    <row r="62653" spans="31:31">
      <c r="AE62653" s="54"/>
    </row>
    <row r="62654" spans="31:31">
      <c r="AE62654" s="54"/>
    </row>
    <row r="62655" spans="31:31">
      <c r="AE62655" s="54"/>
    </row>
    <row r="62656" spans="31:31">
      <c r="AE62656" s="54"/>
    </row>
    <row r="62657" spans="31:31">
      <c r="AE62657" s="54"/>
    </row>
    <row r="62658" spans="31:31">
      <c r="AE62658" s="54"/>
    </row>
    <row r="62659" spans="31:31">
      <c r="AE62659" s="54"/>
    </row>
    <row r="62660" spans="31:31">
      <c r="AE62660" s="54"/>
    </row>
    <row r="62661" spans="31:31">
      <c r="AE62661" s="54"/>
    </row>
    <row r="62662" spans="31:31">
      <c r="AE62662" s="54"/>
    </row>
    <row r="62663" spans="31:31">
      <c r="AE62663" s="54"/>
    </row>
    <row r="62664" spans="31:31">
      <c r="AE62664" s="54"/>
    </row>
    <row r="62665" spans="31:31">
      <c r="AE62665" s="54"/>
    </row>
    <row r="62666" spans="31:31">
      <c r="AE62666" s="54"/>
    </row>
    <row r="62667" spans="31:31">
      <c r="AE62667" s="54"/>
    </row>
    <row r="62668" spans="31:31">
      <c r="AE62668" s="54"/>
    </row>
    <row r="62669" spans="31:31">
      <c r="AE62669" s="54"/>
    </row>
    <row r="62670" spans="31:31">
      <c r="AE62670" s="54"/>
    </row>
    <row r="62671" spans="31:31">
      <c r="AE62671" s="54"/>
    </row>
    <row r="62672" spans="31:31">
      <c r="AE62672" s="54"/>
    </row>
    <row r="62673" spans="31:31">
      <c r="AE62673" s="54"/>
    </row>
    <row r="62674" spans="31:31">
      <c r="AE62674" s="54"/>
    </row>
    <row r="62675" spans="31:31">
      <c r="AE62675" s="54"/>
    </row>
    <row r="62676" spans="31:31">
      <c r="AE62676" s="54"/>
    </row>
    <row r="62677" spans="31:31">
      <c r="AE62677" s="54"/>
    </row>
    <row r="62678" spans="31:31">
      <c r="AE62678" s="54"/>
    </row>
    <row r="62679" spans="31:31">
      <c r="AE62679" s="54"/>
    </row>
    <row r="62680" spans="31:31">
      <c r="AE62680" s="54"/>
    </row>
    <row r="62681" spans="31:31">
      <c r="AE62681" s="54"/>
    </row>
    <row r="62682" spans="31:31">
      <c r="AE62682" s="54"/>
    </row>
    <row r="62683" spans="31:31">
      <c r="AE62683" s="54"/>
    </row>
    <row r="62684" spans="31:31">
      <c r="AE62684" s="54"/>
    </row>
    <row r="62685" spans="31:31">
      <c r="AE62685" s="54"/>
    </row>
    <row r="62686" spans="31:31">
      <c r="AE62686" s="54"/>
    </row>
    <row r="62687" spans="31:31">
      <c r="AE62687" s="54"/>
    </row>
    <row r="62688" spans="31:31">
      <c r="AE62688" s="54"/>
    </row>
    <row r="62689" spans="31:31">
      <c r="AE62689" s="54"/>
    </row>
    <row r="62690" spans="31:31">
      <c r="AE62690" s="54"/>
    </row>
    <row r="62691" spans="31:31">
      <c r="AE62691" s="54"/>
    </row>
    <row r="62692" spans="31:31">
      <c r="AE62692" s="54"/>
    </row>
    <row r="62693" spans="31:31">
      <c r="AE62693" s="54"/>
    </row>
    <row r="62694" spans="31:31">
      <c r="AE62694" s="54"/>
    </row>
    <row r="62695" spans="31:31">
      <c r="AE62695" s="54"/>
    </row>
    <row r="62696" spans="31:31">
      <c r="AE62696" s="54"/>
    </row>
    <row r="62697" spans="31:31">
      <c r="AE62697" s="54"/>
    </row>
    <row r="62698" spans="31:31">
      <c r="AE62698" s="54"/>
    </row>
    <row r="62699" spans="31:31">
      <c r="AE62699" s="54"/>
    </row>
    <row r="62700" spans="31:31">
      <c r="AE62700" s="54"/>
    </row>
    <row r="62701" spans="31:31">
      <c r="AE62701" s="54"/>
    </row>
    <row r="62702" spans="31:31">
      <c r="AE62702" s="54"/>
    </row>
    <row r="62703" spans="31:31">
      <c r="AE62703" s="54"/>
    </row>
    <row r="62704" spans="31:31">
      <c r="AE62704" s="54"/>
    </row>
    <row r="62705" spans="31:31">
      <c r="AE62705" s="54"/>
    </row>
    <row r="62706" spans="31:31">
      <c r="AE62706" s="54"/>
    </row>
    <row r="62707" spans="31:31">
      <c r="AE62707" s="54"/>
    </row>
    <row r="62708" spans="31:31">
      <c r="AE62708" s="54"/>
    </row>
    <row r="62709" spans="31:31">
      <c r="AE62709" s="54"/>
    </row>
    <row r="62710" spans="31:31">
      <c r="AE62710" s="54"/>
    </row>
    <row r="62711" spans="31:31">
      <c r="AE62711" s="54"/>
    </row>
    <row r="62712" spans="31:31">
      <c r="AE62712" s="54"/>
    </row>
    <row r="62713" spans="31:31">
      <c r="AE62713" s="54"/>
    </row>
    <row r="62714" spans="31:31">
      <c r="AE62714" s="54"/>
    </row>
    <row r="62715" spans="31:31">
      <c r="AE62715" s="54"/>
    </row>
    <row r="62716" spans="31:31">
      <c r="AE62716" s="54"/>
    </row>
    <row r="62717" spans="31:31">
      <c r="AE62717" s="54"/>
    </row>
    <row r="62718" spans="31:31">
      <c r="AE62718" s="54"/>
    </row>
    <row r="62719" spans="31:31">
      <c r="AE62719" s="54"/>
    </row>
    <row r="62720" spans="31:31">
      <c r="AE62720" s="54"/>
    </row>
    <row r="62721" spans="31:31">
      <c r="AE62721" s="54"/>
    </row>
    <row r="62722" spans="31:31">
      <c r="AE62722" s="54"/>
    </row>
    <row r="62723" spans="31:31">
      <c r="AE62723" s="54"/>
    </row>
    <row r="62724" spans="31:31">
      <c r="AE62724" s="54"/>
    </row>
    <row r="62725" spans="31:31">
      <c r="AE62725" s="54"/>
    </row>
    <row r="62726" spans="31:31">
      <c r="AE62726" s="54"/>
    </row>
    <row r="62727" spans="31:31">
      <c r="AE62727" s="54"/>
    </row>
    <row r="62728" spans="31:31">
      <c r="AE62728" s="54"/>
    </row>
    <row r="62729" spans="31:31">
      <c r="AE62729" s="54"/>
    </row>
    <row r="62730" spans="31:31">
      <c r="AE62730" s="54"/>
    </row>
    <row r="62731" spans="31:31">
      <c r="AE62731" s="54"/>
    </row>
    <row r="62732" spans="31:31">
      <c r="AE62732" s="54"/>
    </row>
    <row r="62733" spans="31:31">
      <c r="AE62733" s="54"/>
    </row>
    <row r="62734" spans="31:31">
      <c r="AE62734" s="54"/>
    </row>
    <row r="62735" spans="31:31">
      <c r="AE62735" s="54"/>
    </row>
    <row r="62736" spans="31:31">
      <c r="AE62736" s="54"/>
    </row>
    <row r="62737" spans="31:31">
      <c r="AE62737" s="54"/>
    </row>
    <row r="62738" spans="31:31">
      <c r="AE62738" s="54"/>
    </row>
    <row r="62739" spans="31:31">
      <c r="AE62739" s="54"/>
    </row>
    <row r="62740" spans="31:31">
      <c r="AE62740" s="54"/>
    </row>
    <row r="62741" spans="31:31">
      <c r="AE62741" s="54"/>
    </row>
    <row r="62742" spans="31:31">
      <c r="AE62742" s="54"/>
    </row>
    <row r="62743" spans="31:31">
      <c r="AE62743" s="54"/>
    </row>
    <row r="62744" spans="31:31">
      <c r="AE62744" s="54"/>
    </row>
    <row r="62745" spans="31:31">
      <c r="AE62745" s="54"/>
    </row>
    <row r="62746" spans="31:31">
      <c r="AE62746" s="54"/>
    </row>
    <row r="62747" spans="31:31">
      <c r="AE62747" s="54"/>
    </row>
    <row r="62748" spans="31:31">
      <c r="AE62748" s="54"/>
    </row>
    <row r="62749" spans="31:31">
      <c r="AE62749" s="54"/>
    </row>
    <row r="62750" spans="31:31">
      <c r="AE62750" s="54"/>
    </row>
    <row r="62751" spans="31:31">
      <c r="AE62751" s="54"/>
    </row>
    <row r="62752" spans="31:31">
      <c r="AE62752" s="54"/>
    </row>
    <row r="62753" spans="31:31">
      <c r="AE62753" s="54"/>
    </row>
    <row r="62754" spans="31:31">
      <c r="AE62754" s="54"/>
    </row>
    <row r="62755" spans="31:31">
      <c r="AE62755" s="54"/>
    </row>
    <row r="62756" spans="31:31">
      <c r="AE62756" s="54"/>
    </row>
    <row r="62757" spans="31:31">
      <c r="AE62757" s="54"/>
    </row>
    <row r="62758" spans="31:31">
      <c r="AE62758" s="54"/>
    </row>
    <row r="62759" spans="31:31">
      <c r="AE62759" s="54"/>
    </row>
    <row r="62760" spans="31:31">
      <c r="AE62760" s="54"/>
    </row>
    <row r="62761" spans="31:31">
      <c r="AE62761" s="54"/>
    </row>
    <row r="62762" spans="31:31">
      <c r="AE62762" s="54"/>
    </row>
    <row r="62763" spans="31:31">
      <c r="AE62763" s="54"/>
    </row>
    <row r="62764" spans="31:31">
      <c r="AE62764" s="54"/>
    </row>
    <row r="62765" spans="31:31">
      <c r="AE62765" s="54"/>
    </row>
    <row r="62766" spans="31:31">
      <c r="AE62766" s="54"/>
    </row>
    <row r="62767" spans="31:31">
      <c r="AE62767" s="54"/>
    </row>
    <row r="62768" spans="31:31">
      <c r="AE62768" s="54"/>
    </row>
    <row r="62769" spans="31:31">
      <c r="AE62769" s="54"/>
    </row>
    <row r="62770" spans="31:31">
      <c r="AE62770" s="54"/>
    </row>
    <row r="62771" spans="31:31">
      <c r="AE62771" s="54"/>
    </row>
    <row r="62772" spans="31:31">
      <c r="AE62772" s="54"/>
    </row>
    <row r="62773" spans="31:31">
      <c r="AE62773" s="54"/>
    </row>
    <row r="62774" spans="31:31">
      <c r="AE62774" s="54"/>
    </row>
    <row r="62775" spans="31:31">
      <c r="AE62775" s="54"/>
    </row>
    <row r="62776" spans="31:31">
      <c r="AE62776" s="54"/>
    </row>
    <row r="62777" spans="31:31">
      <c r="AE62777" s="54"/>
    </row>
    <row r="62778" spans="31:31">
      <c r="AE62778" s="54"/>
    </row>
    <row r="62779" spans="31:31">
      <c r="AE62779" s="54"/>
    </row>
    <row r="62780" spans="31:31">
      <c r="AE62780" s="54"/>
    </row>
    <row r="62781" spans="31:31">
      <c r="AE62781" s="54"/>
    </row>
    <row r="62782" spans="31:31">
      <c r="AE62782" s="54"/>
    </row>
    <row r="62783" spans="31:31">
      <c r="AE62783" s="54"/>
    </row>
    <row r="62784" spans="31:31">
      <c r="AE62784" s="54"/>
    </row>
    <row r="62785" spans="31:31">
      <c r="AE62785" s="54"/>
    </row>
    <row r="62786" spans="31:31">
      <c r="AE62786" s="54"/>
    </row>
    <row r="62787" spans="31:31">
      <c r="AE62787" s="54"/>
    </row>
    <row r="62788" spans="31:31">
      <c r="AE62788" s="54"/>
    </row>
    <row r="62789" spans="31:31">
      <c r="AE62789" s="54"/>
    </row>
    <row r="62790" spans="31:31">
      <c r="AE62790" s="54"/>
    </row>
    <row r="62791" spans="31:31">
      <c r="AE62791" s="54"/>
    </row>
    <row r="62792" spans="31:31">
      <c r="AE62792" s="54"/>
    </row>
    <row r="62793" spans="31:31">
      <c r="AE62793" s="54"/>
    </row>
    <row r="62794" spans="31:31">
      <c r="AE62794" s="54"/>
    </row>
    <row r="62795" spans="31:31">
      <c r="AE62795" s="54"/>
    </row>
    <row r="62796" spans="31:31">
      <c r="AE62796" s="54"/>
    </row>
    <row r="62797" spans="31:31">
      <c r="AE62797" s="54"/>
    </row>
    <row r="62798" spans="31:31">
      <c r="AE62798" s="54"/>
    </row>
    <row r="62799" spans="31:31">
      <c r="AE62799" s="54"/>
    </row>
    <row r="62800" spans="31:31">
      <c r="AE62800" s="54"/>
    </row>
    <row r="62801" spans="31:31">
      <c r="AE62801" s="54"/>
    </row>
    <row r="62802" spans="31:31">
      <c r="AE62802" s="54"/>
    </row>
    <row r="62803" spans="31:31">
      <c r="AE62803" s="54"/>
    </row>
    <row r="62804" spans="31:31">
      <c r="AE62804" s="54"/>
    </row>
    <row r="62805" spans="31:31">
      <c r="AE62805" s="54"/>
    </row>
    <row r="62806" spans="31:31">
      <c r="AE62806" s="54"/>
    </row>
    <row r="62807" spans="31:31">
      <c r="AE62807" s="54"/>
    </row>
    <row r="62808" spans="31:31">
      <c r="AE62808" s="54"/>
    </row>
    <row r="62809" spans="31:31">
      <c r="AE62809" s="54"/>
    </row>
    <row r="62810" spans="31:31">
      <c r="AE62810" s="54"/>
    </row>
    <row r="62811" spans="31:31">
      <c r="AE62811" s="54"/>
    </row>
    <row r="62812" spans="31:31">
      <c r="AE62812" s="54"/>
    </row>
    <row r="62813" spans="31:31">
      <c r="AE62813" s="54"/>
    </row>
    <row r="62814" spans="31:31">
      <c r="AE62814" s="54"/>
    </row>
    <row r="62815" spans="31:31">
      <c r="AE62815" s="54"/>
    </row>
    <row r="62816" spans="31:31">
      <c r="AE62816" s="54"/>
    </row>
    <row r="62817" spans="31:31">
      <c r="AE62817" s="54"/>
    </row>
    <row r="62818" spans="31:31">
      <c r="AE62818" s="54"/>
    </row>
    <row r="62819" spans="31:31">
      <c r="AE62819" s="54"/>
    </row>
    <row r="62820" spans="31:31">
      <c r="AE62820" s="54"/>
    </row>
    <row r="62821" spans="31:31">
      <c r="AE62821" s="54"/>
    </row>
    <row r="62822" spans="31:31">
      <c r="AE62822" s="54"/>
    </row>
    <row r="62823" spans="31:31">
      <c r="AE62823" s="54"/>
    </row>
    <row r="62824" spans="31:31">
      <c r="AE62824" s="54"/>
    </row>
    <row r="62825" spans="31:31">
      <c r="AE62825" s="54"/>
    </row>
    <row r="62826" spans="31:31">
      <c r="AE62826" s="54"/>
    </row>
    <row r="62827" spans="31:31">
      <c r="AE62827" s="54"/>
    </row>
    <row r="62828" spans="31:31">
      <c r="AE62828" s="54"/>
    </row>
    <row r="62829" spans="31:31">
      <c r="AE62829" s="54"/>
    </row>
    <row r="62830" spans="31:31">
      <c r="AE62830" s="54"/>
    </row>
    <row r="62831" spans="31:31">
      <c r="AE62831" s="54"/>
    </row>
    <row r="62832" spans="31:31">
      <c r="AE62832" s="54"/>
    </row>
    <row r="62833" spans="31:31">
      <c r="AE62833" s="54"/>
    </row>
    <row r="62834" spans="31:31">
      <c r="AE62834" s="54"/>
    </row>
    <row r="62835" spans="31:31">
      <c r="AE62835" s="54"/>
    </row>
    <row r="62836" spans="31:31">
      <c r="AE62836" s="54"/>
    </row>
    <row r="62837" spans="31:31">
      <c r="AE62837" s="54"/>
    </row>
    <row r="62838" spans="31:31">
      <c r="AE62838" s="54"/>
    </row>
    <row r="62839" spans="31:31">
      <c r="AE62839" s="54"/>
    </row>
    <row r="62840" spans="31:31">
      <c r="AE62840" s="54"/>
    </row>
    <row r="62841" spans="31:31">
      <c r="AE62841" s="54"/>
    </row>
    <row r="62842" spans="31:31">
      <c r="AE62842" s="54"/>
    </row>
    <row r="62843" spans="31:31">
      <c r="AE62843" s="54"/>
    </row>
    <row r="62844" spans="31:31">
      <c r="AE62844" s="54"/>
    </row>
    <row r="62845" spans="31:31">
      <c r="AE62845" s="54"/>
    </row>
    <row r="62846" spans="31:31">
      <c r="AE62846" s="54"/>
    </row>
    <row r="62847" spans="31:31">
      <c r="AE62847" s="54"/>
    </row>
    <row r="62848" spans="31:31">
      <c r="AE62848" s="54"/>
    </row>
    <row r="62849" spans="31:31">
      <c r="AE62849" s="54"/>
    </row>
    <row r="62850" spans="31:31">
      <c r="AE62850" s="54"/>
    </row>
    <row r="62851" spans="31:31">
      <c r="AE62851" s="54"/>
    </row>
    <row r="62852" spans="31:31">
      <c r="AE62852" s="54"/>
    </row>
    <row r="62853" spans="31:31">
      <c r="AE62853" s="54"/>
    </row>
    <row r="62854" spans="31:31">
      <c r="AE62854" s="54"/>
    </row>
    <row r="62855" spans="31:31">
      <c r="AE62855" s="54"/>
    </row>
    <row r="62856" spans="31:31">
      <c r="AE62856" s="54"/>
    </row>
    <row r="62857" spans="31:31">
      <c r="AE62857" s="54"/>
    </row>
    <row r="62858" spans="31:31">
      <c r="AE62858" s="54"/>
    </row>
    <row r="62859" spans="31:31">
      <c r="AE62859" s="54"/>
    </row>
    <row r="62860" spans="31:31">
      <c r="AE62860" s="54"/>
    </row>
    <row r="62861" spans="31:31">
      <c r="AE62861" s="54"/>
    </row>
    <row r="62862" spans="31:31">
      <c r="AE62862" s="54"/>
    </row>
    <row r="62863" spans="31:31">
      <c r="AE62863" s="54"/>
    </row>
    <row r="62864" spans="31:31">
      <c r="AE62864" s="54"/>
    </row>
    <row r="62865" spans="31:31">
      <c r="AE62865" s="54"/>
    </row>
    <row r="62866" spans="31:31">
      <c r="AE62866" s="54"/>
    </row>
    <row r="62867" spans="31:31">
      <c r="AE62867" s="54"/>
    </row>
    <row r="62868" spans="31:31">
      <c r="AE62868" s="54"/>
    </row>
    <row r="62869" spans="31:31">
      <c r="AE62869" s="54"/>
    </row>
    <row r="62870" spans="31:31">
      <c r="AE62870" s="54"/>
    </row>
    <row r="62871" spans="31:31">
      <c r="AE62871" s="54"/>
    </row>
    <row r="62872" spans="31:31">
      <c r="AE62872" s="54"/>
    </row>
    <row r="62873" spans="31:31">
      <c r="AE62873" s="54"/>
    </row>
    <row r="62874" spans="31:31">
      <c r="AE62874" s="54"/>
    </row>
    <row r="62875" spans="31:31">
      <c r="AE62875" s="54"/>
    </row>
    <row r="62876" spans="31:31">
      <c r="AE62876" s="54"/>
    </row>
    <row r="62877" spans="31:31">
      <c r="AE62877" s="54"/>
    </row>
    <row r="62878" spans="31:31">
      <c r="AE62878" s="54"/>
    </row>
    <row r="62879" spans="31:31">
      <c r="AE62879" s="54"/>
    </row>
    <row r="62880" spans="31:31">
      <c r="AE62880" s="54"/>
    </row>
    <row r="62881" spans="31:31">
      <c r="AE62881" s="54"/>
    </row>
    <row r="62882" spans="31:31">
      <c r="AE62882" s="54"/>
    </row>
    <row r="62883" spans="31:31">
      <c r="AE62883" s="54"/>
    </row>
    <row r="62884" spans="31:31">
      <c r="AE62884" s="54"/>
    </row>
    <row r="62885" spans="31:31">
      <c r="AE62885" s="54"/>
    </row>
    <row r="62886" spans="31:31">
      <c r="AE62886" s="54"/>
    </row>
    <row r="62887" spans="31:31">
      <c r="AE62887" s="54"/>
    </row>
    <row r="62888" spans="31:31">
      <c r="AE62888" s="54"/>
    </row>
    <row r="62889" spans="31:31">
      <c r="AE62889" s="54"/>
    </row>
    <row r="62890" spans="31:31">
      <c r="AE62890" s="54"/>
    </row>
    <row r="62891" spans="31:31">
      <c r="AE62891" s="54"/>
    </row>
    <row r="62892" spans="31:31">
      <c r="AE62892" s="54"/>
    </row>
    <row r="62893" spans="31:31">
      <c r="AE62893" s="54"/>
    </row>
    <row r="62894" spans="31:31">
      <c r="AE62894" s="54"/>
    </row>
    <row r="62895" spans="31:31">
      <c r="AE62895" s="54"/>
    </row>
    <row r="62896" spans="31:31">
      <c r="AE62896" s="54"/>
    </row>
    <row r="62897" spans="31:31">
      <c r="AE62897" s="54"/>
    </row>
    <row r="62898" spans="31:31">
      <c r="AE62898" s="54"/>
    </row>
    <row r="62899" spans="31:31">
      <c r="AE62899" s="54"/>
    </row>
    <row r="62900" spans="31:31">
      <c r="AE62900" s="54"/>
    </row>
    <row r="62901" spans="31:31">
      <c r="AE62901" s="54"/>
    </row>
    <row r="62902" spans="31:31">
      <c r="AE62902" s="54"/>
    </row>
    <row r="62903" spans="31:31">
      <c r="AE62903" s="54"/>
    </row>
    <row r="62904" spans="31:31">
      <c r="AE62904" s="54"/>
    </row>
    <row r="62905" spans="31:31">
      <c r="AE62905" s="54"/>
    </row>
    <row r="62906" spans="31:31">
      <c r="AE62906" s="54"/>
    </row>
    <row r="62907" spans="31:31">
      <c r="AE62907" s="54"/>
    </row>
    <row r="62908" spans="31:31">
      <c r="AE62908" s="54"/>
    </row>
    <row r="62909" spans="31:31">
      <c r="AE62909" s="54"/>
    </row>
    <row r="62910" spans="31:31">
      <c r="AE62910" s="54"/>
    </row>
    <row r="62911" spans="31:31">
      <c r="AE62911" s="54"/>
    </row>
    <row r="62912" spans="31:31">
      <c r="AE62912" s="54"/>
    </row>
    <row r="62913" spans="31:31">
      <c r="AE62913" s="54"/>
    </row>
    <row r="62914" spans="31:31">
      <c r="AE62914" s="54"/>
    </row>
    <row r="62915" spans="31:31">
      <c r="AE62915" s="54"/>
    </row>
    <row r="62916" spans="31:31">
      <c r="AE62916" s="54"/>
    </row>
    <row r="62917" spans="31:31">
      <c r="AE62917" s="54"/>
    </row>
    <row r="62918" spans="31:31">
      <c r="AE62918" s="54"/>
    </row>
    <row r="62919" spans="31:31">
      <c r="AE62919" s="54"/>
    </row>
    <row r="62920" spans="31:31">
      <c r="AE62920" s="54"/>
    </row>
    <row r="62921" spans="31:31">
      <c r="AE62921" s="54"/>
    </row>
    <row r="62922" spans="31:31">
      <c r="AE62922" s="54"/>
    </row>
    <row r="62923" spans="31:31">
      <c r="AE62923" s="54"/>
    </row>
    <row r="62924" spans="31:31">
      <c r="AE62924" s="54"/>
    </row>
    <row r="62925" spans="31:31">
      <c r="AE62925" s="54"/>
    </row>
    <row r="62926" spans="31:31">
      <c r="AE62926" s="54"/>
    </row>
    <row r="62927" spans="31:31">
      <c r="AE62927" s="54"/>
    </row>
    <row r="62928" spans="31:31">
      <c r="AE62928" s="54"/>
    </row>
    <row r="62929" spans="31:31">
      <c r="AE62929" s="54"/>
    </row>
    <row r="62930" spans="31:31">
      <c r="AE62930" s="54"/>
    </row>
    <row r="62931" spans="31:31">
      <c r="AE62931" s="54"/>
    </row>
    <row r="62932" spans="31:31">
      <c r="AE62932" s="54"/>
    </row>
    <row r="62933" spans="31:31">
      <c r="AE62933" s="54"/>
    </row>
    <row r="62934" spans="31:31">
      <c r="AE62934" s="54"/>
    </row>
    <row r="62935" spans="31:31">
      <c r="AE62935" s="54"/>
    </row>
    <row r="62936" spans="31:31">
      <c r="AE62936" s="54"/>
    </row>
    <row r="62937" spans="31:31">
      <c r="AE62937" s="54"/>
    </row>
    <row r="62938" spans="31:31">
      <c r="AE62938" s="54"/>
    </row>
    <row r="62939" spans="31:31">
      <c r="AE62939" s="54"/>
    </row>
    <row r="62940" spans="31:31">
      <c r="AE62940" s="54"/>
    </row>
    <row r="62941" spans="31:31">
      <c r="AE62941" s="54"/>
    </row>
    <row r="62942" spans="31:31">
      <c r="AE62942" s="54"/>
    </row>
    <row r="62943" spans="31:31">
      <c r="AE62943" s="54"/>
    </row>
    <row r="62944" spans="31:31">
      <c r="AE62944" s="54"/>
    </row>
    <row r="62945" spans="31:31">
      <c r="AE62945" s="54"/>
    </row>
    <row r="62946" spans="31:31">
      <c r="AE62946" s="54"/>
    </row>
    <row r="62947" spans="31:31">
      <c r="AE62947" s="54"/>
    </row>
    <row r="62948" spans="31:31">
      <c r="AE62948" s="54"/>
    </row>
    <row r="62949" spans="31:31">
      <c r="AE62949" s="54"/>
    </row>
    <row r="62950" spans="31:31">
      <c r="AE62950" s="54"/>
    </row>
    <row r="62951" spans="31:31">
      <c r="AE62951" s="54"/>
    </row>
    <row r="62952" spans="31:31">
      <c r="AE62952" s="54"/>
    </row>
    <row r="62953" spans="31:31">
      <c r="AE62953" s="54"/>
    </row>
    <row r="62954" spans="31:31">
      <c r="AE62954" s="54"/>
    </row>
    <row r="62955" spans="31:31">
      <c r="AE62955" s="54"/>
    </row>
    <row r="62956" spans="31:31">
      <c r="AE62956" s="54"/>
    </row>
    <row r="62957" spans="31:31">
      <c r="AE62957" s="54"/>
    </row>
    <row r="62958" spans="31:31">
      <c r="AE62958" s="54"/>
    </row>
    <row r="62959" spans="31:31">
      <c r="AE62959" s="54"/>
    </row>
    <row r="62960" spans="31:31">
      <c r="AE62960" s="54"/>
    </row>
    <row r="62961" spans="31:31">
      <c r="AE62961" s="54"/>
    </row>
    <row r="62962" spans="31:31">
      <c r="AE62962" s="54"/>
    </row>
    <row r="62963" spans="31:31">
      <c r="AE62963" s="54"/>
    </row>
    <row r="62964" spans="31:31">
      <c r="AE62964" s="54"/>
    </row>
    <row r="62965" spans="31:31">
      <c r="AE62965" s="54"/>
    </row>
    <row r="62966" spans="31:31">
      <c r="AE62966" s="54"/>
    </row>
    <row r="62967" spans="31:31">
      <c r="AE62967" s="54"/>
    </row>
    <row r="62968" spans="31:31">
      <c r="AE62968" s="54"/>
    </row>
    <row r="62969" spans="31:31">
      <c r="AE62969" s="54"/>
    </row>
    <row r="62970" spans="31:31">
      <c r="AE62970" s="54"/>
    </row>
    <row r="62971" spans="31:31">
      <c r="AE62971" s="54"/>
    </row>
    <row r="62972" spans="31:31">
      <c r="AE62972" s="54"/>
    </row>
    <row r="62973" spans="31:31">
      <c r="AE62973" s="54"/>
    </row>
    <row r="62974" spans="31:31">
      <c r="AE62974" s="54"/>
    </row>
    <row r="62975" spans="31:31">
      <c r="AE62975" s="54"/>
    </row>
    <row r="62976" spans="31:31">
      <c r="AE62976" s="54"/>
    </row>
    <row r="62977" spans="31:31">
      <c r="AE62977" s="54"/>
    </row>
    <row r="62978" spans="31:31">
      <c r="AE62978" s="54"/>
    </row>
    <row r="62979" spans="31:31">
      <c r="AE62979" s="54"/>
    </row>
    <row r="62980" spans="31:31">
      <c r="AE62980" s="54"/>
    </row>
    <row r="62981" spans="31:31">
      <c r="AE62981" s="54"/>
    </row>
    <row r="62982" spans="31:31">
      <c r="AE62982" s="54"/>
    </row>
    <row r="62983" spans="31:31">
      <c r="AE62983" s="54"/>
    </row>
    <row r="62984" spans="31:31">
      <c r="AE62984" s="54"/>
    </row>
    <row r="62985" spans="31:31">
      <c r="AE62985" s="54"/>
    </row>
    <row r="62986" spans="31:31">
      <c r="AE62986" s="54"/>
    </row>
    <row r="62987" spans="31:31">
      <c r="AE62987" s="54"/>
    </row>
    <row r="62988" spans="31:31">
      <c r="AE62988" s="54"/>
    </row>
    <row r="62989" spans="31:31">
      <c r="AE62989" s="54"/>
    </row>
    <row r="62990" spans="31:31">
      <c r="AE62990" s="54"/>
    </row>
    <row r="62991" spans="31:31">
      <c r="AE62991" s="54"/>
    </row>
    <row r="62992" spans="31:31">
      <c r="AE62992" s="54"/>
    </row>
    <row r="62993" spans="31:31">
      <c r="AE62993" s="54"/>
    </row>
    <row r="62994" spans="31:31">
      <c r="AE62994" s="54"/>
    </row>
    <row r="62995" spans="31:31">
      <c r="AE62995" s="54"/>
    </row>
    <row r="62996" spans="31:31">
      <c r="AE62996" s="54"/>
    </row>
    <row r="62997" spans="31:31">
      <c r="AE62997" s="54"/>
    </row>
    <row r="62998" spans="31:31">
      <c r="AE62998" s="54"/>
    </row>
    <row r="62999" spans="31:31">
      <c r="AE62999" s="54"/>
    </row>
    <row r="63000" spans="31:31">
      <c r="AE63000" s="54"/>
    </row>
    <row r="63001" spans="31:31">
      <c r="AE63001" s="54"/>
    </row>
    <row r="63002" spans="31:31">
      <c r="AE63002" s="54"/>
    </row>
    <row r="63003" spans="31:31">
      <c r="AE63003" s="54"/>
    </row>
    <row r="63004" spans="31:31">
      <c r="AE63004" s="54"/>
    </row>
    <row r="63005" spans="31:31">
      <c r="AE63005" s="54"/>
    </row>
    <row r="63006" spans="31:31">
      <c r="AE63006" s="54"/>
    </row>
    <row r="63007" spans="31:31">
      <c r="AE63007" s="54"/>
    </row>
    <row r="63008" spans="31:31">
      <c r="AE63008" s="54"/>
    </row>
    <row r="63009" spans="31:31">
      <c r="AE63009" s="54"/>
    </row>
    <row r="63010" spans="31:31">
      <c r="AE63010" s="54"/>
    </row>
    <row r="63011" spans="31:31">
      <c r="AE63011" s="54"/>
    </row>
    <row r="63012" spans="31:31">
      <c r="AE63012" s="54"/>
    </row>
    <row r="63013" spans="31:31">
      <c r="AE63013" s="54"/>
    </row>
    <row r="63014" spans="31:31">
      <c r="AE63014" s="54"/>
    </row>
    <row r="63015" spans="31:31">
      <c r="AE63015" s="54"/>
    </row>
    <row r="63016" spans="31:31">
      <c r="AE63016" s="54"/>
    </row>
    <row r="63017" spans="31:31">
      <c r="AE63017" s="54"/>
    </row>
    <row r="63018" spans="31:31">
      <c r="AE63018" s="54"/>
    </row>
    <row r="63019" spans="31:31">
      <c r="AE63019" s="54"/>
    </row>
    <row r="63020" spans="31:31">
      <c r="AE63020" s="54"/>
    </row>
    <row r="63021" spans="31:31">
      <c r="AE63021" s="54"/>
    </row>
    <row r="63022" spans="31:31">
      <c r="AE63022" s="54"/>
    </row>
    <row r="63023" spans="31:31">
      <c r="AE63023" s="54"/>
    </row>
    <row r="63024" spans="31:31">
      <c r="AE63024" s="54"/>
    </row>
    <row r="63025" spans="31:31">
      <c r="AE63025" s="54"/>
    </row>
    <row r="63026" spans="31:31">
      <c r="AE63026" s="54"/>
    </row>
    <row r="63027" spans="31:31">
      <c r="AE63027" s="54"/>
    </row>
    <row r="63028" spans="31:31">
      <c r="AE63028" s="54"/>
    </row>
    <row r="63029" spans="31:31">
      <c r="AE63029" s="54"/>
    </row>
    <row r="63030" spans="31:31">
      <c r="AE63030" s="54"/>
    </row>
    <row r="63031" spans="31:31">
      <c r="AE63031" s="54"/>
    </row>
    <row r="63032" spans="31:31">
      <c r="AE63032" s="54"/>
    </row>
    <row r="63033" spans="31:31">
      <c r="AE63033" s="54"/>
    </row>
    <row r="63034" spans="31:31">
      <c r="AE63034" s="54"/>
    </row>
    <row r="63035" spans="31:31">
      <c r="AE63035" s="54"/>
    </row>
    <row r="63036" spans="31:31">
      <c r="AE63036" s="54"/>
    </row>
    <row r="63037" spans="31:31">
      <c r="AE63037" s="54"/>
    </row>
    <row r="63038" spans="31:31">
      <c r="AE63038" s="54"/>
    </row>
    <row r="63039" spans="31:31">
      <c r="AE63039" s="54"/>
    </row>
    <row r="63040" spans="31:31">
      <c r="AE63040" s="54"/>
    </row>
    <row r="63041" spans="31:31">
      <c r="AE63041" s="54"/>
    </row>
    <row r="63042" spans="31:31">
      <c r="AE63042" s="54"/>
    </row>
    <row r="63043" spans="31:31">
      <c r="AE63043" s="54"/>
    </row>
    <row r="63044" spans="31:31">
      <c r="AE63044" s="54"/>
    </row>
    <row r="63045" spans="31:31">
      <c r="AE63045" s="54"/>
    </row>
    <row r="63046" spans="31:31">
      <c r="AE63046" s="54"/>
    </row>
    <row r="63047" spans="31:31">
      <c r="AE63047" s="54"/>
    </row>
    <row r="63048" spans="31:31">
      <c r="AE63048" s="54"/>
    </row>
    <row r="63049" spans="31:31">
      <c r="AE63049" s="54"/>
    </row>
    <row r="63050" spans="31:31">
      <c r="AE63050" s="54"/>
    </row>
    <row r="63051" spans="31:31">
      <c r="AE63051" s="54"/>
    </row>
    <row r="63052" spans="31:31">
      <c r="AE63052" s="54"/>
    </row>
    <row r="63053" spans="31:31">
      <c r="AE63053" s="54"/>
    </row>
    <row r="63054" spans="31:31">
      <c r="AE63054" s="54"/>
    </row>
    <row r="63055" spans="31:31">
      <c r="AE63055" s="54"/>
    </row>
    <row r="63056" spans="31:31">
      <c r="AE63056" s="54"/>
    </row>
    <row r="63057" spans="31:31">
      <c r="AE63057" s="54"/>
    </row>
    <row r="63058" spans="31:31">
      <c r="AE63058" s="54"/>
    </row>
    <row r="63059" spans="31:31">
      <c r="AE63059" s="54"/>
    </row>
    <row r="63060" spans="31:31">
      <c r="AE63060" s="54"/>
    </row>
    <row r="63061" spans="31:31">
      <c r="AE63061" s="54"/>
    </row>
    <row r="63062" spans="31:31">
      <c r="AE63062" s="54"/>
    </row>
    <row r="63063" spans="31:31">
      <c r="AE63063" s="54"/>
    </row>
    <row r="63064" spans="31:31">
      <c r="AE63064" s="54"/>
    </row>
    <row r="63065" spans="31:31">
      <c r="AE63065" s="54"/>
    </row>
    <row r="63066" spans="31:31">
      <c r="AE63066" s="54"/>
    </row>
    <row r="63067" spans="31:31">
      <c r="AE63067" s="54"/>
    </row>
    <row r="63068" spans="31:31">
      <c r="AE63068" s="54"/>
    </row>
    <row r="63069" spans="31:31">
      <c r="AE63069" s="54"/>
    </row>
    <row r="63070" spans="31:31">
      <c r="AE63070" s="54"/>
    </row>
    <row r="63071" spans="31:31">
      <c r="AE63071" s="54"/>
    </row>
    <row r="63072" spans="31:31">
      <c r="AE63072" s="54"/>
    </row>
    <row r="63073" spans="31:31">
      <c r="AE63073" s="54"/>
    </row>
    <row r="63074" spans="31:31">
      <c r="AE63074" s="54"/>
    </row>
    <row r="63075" spans="31:31">
      <c r="AE63075" s="54"/>
    </row>
    <row r="63076" spans="31:31">
      <c r="AE63076" s="54"/>
    </row>
    <row r="63077" spans="31:31">
      <c r="AE63077" s="54"/>
    </row>
    <row r="63078" spans="31:31">
      <c r="AE63078" s="54"/>
    </row>
    <row r="63079" spans="31:31">
      <c r="AE63079" s="54"/>
    </row>
    <row r="63080" spans="31:31">
      <c r="AE63080" s="54"/>
    </row>
    <row r="63081" spans="31:31">
      <c r="AE63081" s="54"/>
    </row>
    <row r="63082" spans="31:31">
      <c r="AE63082" s="54"/>
    </row>
    <row r="63083" spans="31:31">
      <c r="AE63083" s="54"/>
    </row>
    <row r="63084" spans="31:31">
      <c r="AE63084" s="54"/>
    </row>
    <row r="63085" spans="31:31">
      <c r="AE63085" s="54"/>
    </row>
    <row r="63086" spans="31:31">
      <c r="AE63086" s="54"/>
    </row>
    <row r="63087" spans="31:31">
      <c r="AE63087" s="54"/>
    </row>
    <row r="63088" spans="31:31">
      <c r="AE63088" s="54"/>
    </row>
    <row r="63089" spans="31:31">
      <c r="AE63089" s="54"/>
    </row>
    <row r="63090" spans="31:31">
      <c r="AE63090" s="54"/>
    </row>
    <row r="63091" spans="31:31">
      <c r="AE63091" s="54"/>
    </row>
    <row r="63092" spans="31:31">
      <c r="AE63092" s="54"/>
    </row>
    <row r="63093" spans="31:31">
      <c r="AE63093" s="54"/>
    </row>
    <row r="63094" spans="31:31">
      <c r="AE63094" s="54"/>
    </row>
    <row r="63095" spans="31:31">
      <c r="AE63095" s="54"/>
    </row>
    <row r="63096" spans="31:31">
      <c r="AE63096" s="54"/>
    </row>
    <row r="63097" spans="31:31">
      <c r="AE63097" s="54"/>
    </row>
    <row r="63098" spans="31:31">
      <c r="AE63098" s="54"/>
    </row>
    <row r="63099" spans="31:31">
      <c r="AE63099" s="54"/>
    </row>
    <row r="63100" spans="31:31">
      <c r="AE63100" s="54"/>
    </row>
    <row r="63101" spans="31:31">
      <c r="AE63101" s="54"/>
    </row>
    <row r="63102" spans="31:31">
      <c r="AE63102" s="54"/>
    </row>
    <row r="63103" spans="31:31">
      <c r="AE63103" s="54"/>
    </row>
    <row r="63104" spans="31:31">
      <c r="AE63104" s="54"/>
    </row>
    <row r="63105" spans="31:31">
      <c r="AE63105" s="54"/>
    </row>
    <row r="63106" spans="31:31">
      <c r="AE63106" s="54"/>
    </row>
    <row r="63107" spans="31:31">
      <c r="AE63107" s="54"/>
    </row>
    <row r="63108" spans="31:31">
      <c r="AE63108" s="54"/>
    </row>
    <row r="63109" spans="31:31">
      <c r="AE63109" s="54"/>
    </row>
    <row r="63110" spans="31:31">
      <c r="AE63110" s="54"/>
    </row>
    <row r="63111" spans="31:31">
      <c r="AE63111" s="54"/>
    </row>
    <row r="63112" spans="31:31">
      <c r="AE63112" s="54"/>
    </row>
    <row r="63113" spans="31:31">
      <c r="AE63113" s="54"/>
    </row>
    <row r="63114" spans="31:31">
      <c r="AE63114" s="54"/>
    </row>
    <row r="63115" spans="31:31">
      <c r="AE63115" s="54"/>
    </row>
    <row r="63116" spans="31:31">
      <c r="AE63116" s="54"/>
    </row>
    <row r="63117" spans="31:31">
      <c r="AE63117" s="54"/>
    </row>
    <row r="63118" spans="31:31">
      <c r="AE63118" s="54"/>
    </row>
    <row r="63119" spans="31:31">
      <c r="AE63119" s="54"/>
    </row>
    <row r="63120" spans="31:31">
      <c r="AE63120" s="54"/>
    </row>
    <row r="63121" spans="31:31">
      <c r="AE63121" s="54"/>
    </row>
    <row r="63122" spans="31:31">
      <c r="AE63122" s="54"/>
    </row>
    <row r="63123" spans="31:31">
      <c r="AE63123" s="54"/>
    </row>
    <row r="63124" spans="31:31">
      <c r="AE63124" s="54"/>
    </row>
    <row r="63125" spans="31:31">
      <c r="AE63125" s="54"/>
    </row>
    <row r="63126" spans="31:31">
      <c r="AE63126" s="54"/>
    </row>
    <row r="63127" spans="31:31">
      <c r="AE63127" s="54"/>
    </row>
    <row r="63128" spans="31:31">
      <c r="AE63128" s="54"/>
    </row>
    <row r="63129" spans="31:31">
      <c r="AE63129" s="54"/>
    </row>
    <row r="63130" spans="31:31">
      <c r="AE63130" s="54"/>
    </row>
    <row r="63131" spans="31:31">
      <c r="AE63131" s="54"/>
    </row>
    <row r="63132" spans="31:31">
      <c r="AE63132" s="54"/>
    </row>
    <row r="63133" spans="31:31">
      <c r="AE63133" s="54"/>
    </row>
    <row r="63134" spans="31:31">
      <c r="AE63134" s="54"/>
    </row>
    <row r="63135" spans="31:31">
      <c r="AE63135" s="54"/>
    </row>
    <row r="63136" spans="31:31">
      <c r="AE63136" s="54"/>
    </row>
    <row r="63137" spans="31:31">
      <c r="AE63137" s="54"/>
    </row>
    <row r="63138" spans="31:31">
      <c r="AE63138" s="54"/>
    </row>
    <row r="63139" spans="31:31">
      <c r="AE63139" s="54"/>
    </row>
    <row r="63140" spans="31:31">
      <c r="AE63140" s="54"/>
    </row>
    <row r="63141" spans="31:31">
      <c r="AE63141" s="54"/>
    </row>
    <row r="63142" spans="31:31">
      <c r="AE63142" s="54"/>
    </row>
    <row r="63143" spans="31:31">
      <c r="AE63143" s="54"/>
    </row>
    <row r="63144" spans="31:31">
      <c r="AE63144" s="54"/>
    </row>
    <row r="63145" spans="31:31">
      <c r="AE63145" s="54"/>
    </row>
    <row r="63146" spans="31:31">
      <c r="AE63146" s="54"/>
    </row>
    <row r="63147" spans="31:31">
      <c r="AE63147" s="54"/>
    </row>
    <row r="63148" spans="31:31">
      <c r="AE63148" s="54"/>
    </row>
    <row r="63149" spans="31:31">
      <c r="AE63149" s="54"/>
    </row>
    <row r="63150" spans="31:31">
      <c r="AE63150" s="54"/>
    </row>
    <row r="63151" spans="31:31">
      <c r="AE63151" s="54"/>
    </row>
    <row r="63152" spans="31:31">
      <c r="AE63152" s="54"/>
    </row>
    <row r="63153" spans="31:31">
      <c r="AE63153" s="54"/>
    </row>
    <row r="63154" spans="31:31">
      <c r="AE63154" s="54"/>
    </row>
    <row r="63155" spans="31:31">
      <c r="AE63155" s="54"/>
    </row>
    <row r="63156" spans="31:31">
      <c r="AE63156" s="54"/>
    </row>
    <row r="63157" spans="31:31">
      <c r="AE63157" s="54"/>
    </row>
    <row r="63158" spans="31:31">
      <c r="AE63158" s="54"/>
    </row>
    <row r="63159" spans="31:31">
      <c r="AE63159" s="54"/>
    </row>
    <row r="63160" spans="31:31">
      <c r="AE63160" s="54"/>
    </row>
    <row r="63161" spans="31:31">
      <c r="AE63161" s="54"/>
    </row>
    <row r="63162" spans="31:31">
      <c r="AE63162" s="54"/>
    </row>
    <row r="63163" spans="31:31">
      <c r="AE63163" s="54"/>
    </row>
    <row r="63164" spans="31:31">
      <c r="AE63164" s="54"/>
    </row>
    <row r="63165" spans="31:31">
      <c r="AE63165" s="54"/>
    </row>
    <row r="63166" spans="31:31">
      <c r="AE63166" s="54"/>
    </row>
    <row r="63167" spans="31:31">
      <c r="AE63167" s="54"/>
    </row>
    <row r="63168" spans="31:31">
      <c r="AE63168" s="54"/>
    </row>
    <row r="63169" spans="31:31">
      <c r="AE63169" s="54"/>
    </row>
    <row r="63170" spans="31:31">
      <c r="AE63170" s="54"/>
    </row>
    <row r="63171" spans="31:31">
      <c r="AE63171" s="54"/>
    </row>
    <row r="63172" spans="31:31">
      <c r="AE63172" s="54"/>
    </row>
    <row r="63173" spans="31:31">
      <c r="AE63173" s="54"/>
    </row>
    <row r="63174" spans="31:31">
      <c r="AE63174" s="54"/>
    </row>
    <row r="63175" spans="31:31">
      <c r="AE63175" s="54"/>
    </row>
    <row r="63176" spans="31:31">
      <c r="AE63176" s="54"/>
    </row>
    <row r="63177" spans="31:31">
      <c r="AE63177" s="54"/>
    </row>
    <row r="63178" spans="31:31">
      <c r="AE63178" s="54"/>
    </row>
    <row r="63179" spans="31:31">
      <c r="AE63179" s="54"/>
    </row>
    <row r="63180" spans="31:31">
      <c r="AE63180" s="54"/>
    </row>
    <row r="63181" spans="31:31">
      <c r="AE63181" s="54"/>
    </row>
    <row r="63182" spans="31:31">
      <c r="AE63182" s="54"/>
    </row>
    <row r="63183" spans="31:31">
      <c r="AE63183" s="54"/>
    </row>
    <row r="63184" spans="31:31">
      <c r="AE63184" s="54"/>
    </row>
    <row r="63185" spans="31:31">
      <c r="AE63185" s="54"/>
    </row>
    <row r="63186" spans="31:31">
      <c r="AE63186" s="54"/>
    </row>
    <row r="63187" spans="31:31">
      <c r="AE63187" s="54"/>
    </row>
    <row r="63188" spans="31:31">
      <c r="AE63188" s="54"/>
    </row>
    <row r="63189" spans="31:31">
      <c r="AE63189" s="54"/>
    </row>
    <row r="63190" spans="31:31">
      <c r="AE63190" s="54"/>
    </row>
    <row r="63191" spans="31:31">
      <c r="AE63191" s="54"/>
    </row>
    <row r="63192" spans="31:31">
      <c r="AE63192" s="54"/>
    </row>
    <row r="63193" spans="31:31">
      <c r="AE63193" s="54"/>
    </row>
    <row r="63194" spans="31:31">
      <c r="AE63194" s="54"/>
    </row>
    <row r="63195" spans="31:31">
      <c r="AE63195" s="54"/>
    </row>
    <row r="63196" spans="31:31">
      <c r="AE63196" s="54"/>
    </row>
    <row r="63197" spans="31:31">
      <c r="AE63197" s="54"/>
    </row>
    <row r="63198" spans="31:31">
      <c r="AE63198" s="54"/>
    </row>
    <row r="63199" spans="31:31">
      <c r="AE63199" s="54"/>
    </row>
    <row r="63200" spans="31:31">
      <c r="AE63200" s="54"/>
    </row>
    <row r="63201" spans="31:31">
      <c r="AE63201" s="54"/>
    </row>
    <row r="63202" spans="31:31">
      <c r="AE63202" s="54"/>
    </row>
    <row r="63203" spans="31:31">
      <c r="AE63203" s="54"/>
    </row>
    <row r="63204" spans="31:31">
      <c r="AE63204" s="54"/>
    </row>
    <row r="63205" spans="31:31">
      <c r="AE63205" s="54"/>
    </row>
    <row r="63206" spans="31:31">
      <c r="AE63206" s="54"/>
    </row>
    <row r="63207" spans="31:31">
      <c r="AE63207" s="54"/>
    </row>
    <row r="63208" spans="31:31">
      <c r="AE63208" s="54"/>
    </row>
    <row r="63209" spans="31:31">
      <c r="AE63209" s="54"/>
    </row>
    <row r="63210" spans="31:31">
      <c r="AE63210" s="54"/>
    </row>
    <row r="63211" spans="31:31">
      <c r="AE63211" s="54"/>
    </row>
    <row r="63212" spans="31:31">
      <c r="AE63212" s="54"/>
    </row>
    <row r="63213" spans="31:31">
      <c r="AE63213" s="54"/>
    </row>
    <row r="63214" spans="31:31">
      <c r="AE63214" s="54"/>
    </row>
    <row r="63215" spans="31:31">
      <c r="AE63215" s="54"/>
    </row>
    <row r="63216" spans="31:31">
      <c r="AE63216" s="54"/>
    </row>
    <row r="63217" spans="31:31">
      <c r="AE63217" s="54"/>
    </row>
    <row r="63218" spans="31:31">
      <c r="AE63218" s="54"/>
    </row>
    <row r="63219" spans="31:31">
      <c r="AE63219" s="54"/>
    </row>
    <row r="63220" spans="31:31">
      <c r="AE63220" s="54"/>
    </row>
    <row r="63221" spans="31:31">
      <c r="AE63221" s="54"/>
    </row>
    <row r="63222" spans="31:31">
      <c r="AE63222" s="54"/>
    </row>
    <row r="63223" spans="31:31">
      <c r="AE63223" s="54"/>
    </row>
    <row r="63224" spans="31:31">
      <c r="AE63224" s="54"/>
    </row>
    <row r="63225" spans="31:31">
      <c r="AE63225" s="54"/>
    </row>
    <row r="63226" spans="31:31">
      <c r="AE63226" s="54"/>
    </row>
    <row r="63227" spans="31:31">
      <c r="AE63227" s="54"/>
    </row>
    <row r="63228" spans="31:31">
      <c r="AE63228" s="54"/>
    </row>
    <row r="63229" spans="31:31">
      <c r="AE63229" s="54"/>
    </row>
    <row r="63230" spans="31:31">
      <c r="AE63230" s="54"/>
    </row>
    <row r="63231" spans="31:31">
      <c r="AE63231" s="54"/>
    </row>
    <row r="63232" spans="31:31">
      <c r="AE63232" s="54"/>
    </row>
    <row r="63233" spans="31:31">
      <c r="AE63233" s="54"/>
    </row>
    <row r="63234" spans="31:31">
      <c r="AE63234" s="54"/>
    </row>
    <row r="63235" spans="31:31">
      <c r="AE63235" s="54"/>
    </row>
    <row r="63236" spans="31:31">
      <c r="AE63236" s="54"/>
    </row>
    <row r="63237" spans="31:31">
      <c r="AE63237" s="54"/>
    </row>
    <row r="63238" spans="31:31">
      <c r="AE63238" s="54"/>
    </row>
    <row r="63239" spans="31:31">
      <c r="AE63239" s="54"/>
    </row>
    <row r="63240" spans="31:31">
      <c r="AE63240" s="54"/>
    </row>
    <row r="63241" spans="31:31">
      <c r="AE63241" s="54"/>
    </row>
    <row r="63242" spans="31:31">
      <c r="AE63242" s="54"/>
    </row>
    <row r="63243" spans="31:31">
      <c r="AE63243" s="54"/>
    </row>
    <row r="63244" spans="31:31">
      <c r="AE63244" s="54"/>
    </row>
    <row r="63245" spans="31:31">
      <c r="AE63245" s="54"/>
    </row>
    <row r="63246" spans="31:31">
      <c r="AE63246" s="54"/>
    </row>
    <row r="63247" spans="31:31">
      <c r="AE63247" s="54"/>
    </row>
    <row r="63248" spans="31:31">
      <c r="AE63248" s="54"/>
    </row>
    <row r="63249" spans="31:31">
      <c r="AE63249" s="54"/>
    </row>
    <row r="63250" spans="31:31">
      <c r="AE63250" s="54"/>
    </row>
    <row r="63251" spans="31:31">
      <c r="AE63251" s="54"/>
    </row>
    <row r="63252" spans="31:31">
      <c r="AE63252" s="54"/>
    </row>
    <row r="63253" spans="31:31">
      <c r="AE63253" s="54"/>
    </row>
    <row r="63254" spans="31:31">
      <c r="AE63254" s="54"/>
    </row>
    <row r="63255" spans="31:31">
      <c r="AE63255" s="54"/>
    </row>
    <row r="63256" spans="31:31">
      <c r="AE63256" s="54"/>
    </row>
    <row r="63257" spans="31:31">
      <c r="AE63257" s="54"/>
    </row>
    <row r="63258" spans="31:31">
      <c r="AE63258" s="54"/>
    </row>
    <row r="63259" spans="31:31">
      <c r="AE63259" s="54"/>
    </row>
    <row r="63260" spans="31:31">
      <c r="AE63260" s="54"/>
    </row>
    <row r="63261" spans="31:31">
      <c r="AE63261" s="54"/>
    </row>
    <row r="63262" spans="31:31">
      <c r="AE63262" s="54"/>
    </row>
    <row r="63263" spans="31:31">
      <c r="AE63263" s="54"/>
    </row>
    <row r="63264" spans="31:31">
      <c r="AE63264" s="54"/>
    </row>
    <row r="63265" spans="31:31">
      <c r="AE63265" s="54"/>
    </row>
    <row r="63266" spans="31:31">
      <c r="AE63266" s="54"/>
    </row>
    <row r="63267" spans="31:31">
      <c r="AE63267" s="54"/>
    </row>
    <row r="63268" spans="31:31">
      <c r="AE63268" s="54"/>
    </row>
    <row r="63269" spans="31:31">
      <c r="AE63269" s="54"/>
    </row>
    <row r="63270" spans="31:31">
      <c r="AE63270" s="54"/>
    </row>
    <row r="63271" spans="31:31">
      <c r="AE63271" s="54"/>
    </row>
    <row r="63272" spans="31:31">
      <c r="AE63272" s="54"/>
    </row>
    <row r="63273" spans="31:31">
      <c r="AE63273" s="54"/>
    </row>
    <row r="63274" spans="31:31">
      <c r="AE63274" s="54"/>
    </row>
    <row r="63275" spans="31:31">
      <c r="AE63275" s="54"/>
    </row>
    <row r="63276" spans="31:31">
      <c r="AE63276" s="54"/>
    </row>
    <row r="63277" spans="31:31">
      <c r="AE63277" s="54"/>
    </row>
    <row r="63278" spans="31:31">
      <c r="AE63278" s="54"/>
    </row>
    <row r="63279" spans="31:31">
      <c r="AE63279" s="54"/>
    </row>
    <row r="63280" spans="31:31">
      <c r="AE63280" s="54"/>
    </row>
    <row r="63281" spans="31:31">
      <c r="AE63281" s="54"/>
    </row>
    <row r="63282" spans="31:31">
      <c r="AE63282" s="54"/>
    </row>
    <row r="63283" spans="31:31">
      <c r="AE63283" s="54"/>
    </row>
    <row r="63284" spans="31:31">
      <c r="AE63284" s="54"/>
    </row>
    <row r="63285" spans="31:31">
      <c r="AE63285" s="54"/>
    </row>
    <row r="63286" spans="31:31">
      <c r="AE63286" s="54"/>
    </row>
    <row r="63287" spans="31:31">
      <c r="AE63287" s="54"/>
    </row>
    <row r="63288" spans="31:31">
      <c r="AE63288" s="54"/>
    </row>
    <row r="63289" spans="31:31">
      <c r="AE63289" s="54"/>
    </row>
    <row r="63290" spans="31:31">
      <c r="AE63290" s="54"/>
    </row>
    <row r="63291" spans="31:31">
      <c r="AE63291" s="54"/>
    </row>
    <row r="63292" spans="31:31">
      <c r="AE63292" s="54"/>
    </row>
    <row r="63293" spans="31:31">
      <c r="AE63293" s="54"/>
    </row>
    <row r="63294" spans="31:31">
      <c r="AE63294" s="54"/>
    </row>
    <row r="63295" spans="31:31">
      <c r="AE63295" s="54"/>
    </row>
    <row r="63296" spans="31:31">
      <c r="AE63296" s="54"/>
    </row>
    <row r="63297" spans="31:31">
      <c r="AE63297" s="54"/>
    </row>
    <row r="63298" spans="31:31">
      <c r="AE63298" s="54"/>
    </row>
    <row r="63299" spans="31:31">
      <c r="AE63299" s="54"/>
    </row>
    <row r="63300" spans="31:31">
      <c r="AE63300" s="54"/>
    </row>
    <row r="63301" spans="31:31">
      <c r="AE63301" s="54"/>
    </row>
    <row r="63302" spans="31:31">
      <c r="AE63302" s="54"/>
    </row>
    <row r="63303" spans="31:31">
      <c r="AE63303" s="54"/>
    </row>
    <row r="63304" spans="31:31">
      <c r="AE63304" s="54"/>
    </row>
    <row r="63305" spans="31:31">
      <c r="AE63305" s="54"/>
    </row>
    <row r="63306" spans="31:31">
      <c r="AE63306" s="54"/>
    </row>
    <row r="63307" spans="31:31">
      <c r="AE63307" s="54"/>
    </row>
    <row r="63308" spans="31:31">
      <c r="AE63308" s="54"/>
    </row>
    <row r="63309" spans="31:31">
      <c r="AE63309" s="54"/>
    </row>
    <row r="63310" spans="31:31">
      <c r="AE63310" s="54"/>
    </row>
    <row r="63311" spans="31:31">
      <c r="AE63311" s="54"/>
    </row>
    <row r="63312" spans="31:31">
      <c r="AE63312" s="54"/>
    </row>
    <row r="63313" spans="31:31">
      <c r="AE63313" s="54"/>
    </row>
    <row r="63314" spans="31:31">
      <c r="AE63314" s="54"/>
    </row>
    <row r="63315" spans="31:31">
      <c r="AE63315" s="54"/>
    </row>
    <row r="63316" spans="31:31">
      <c r="AE63316" s="54"/>
    </row>
    <row r="63317" spans="31:31">
      <c r="AE63317" s="54"/>
    </row>
    <row r="63318" spans="31:31">
      <c r="AE63318" s="54"/>
    </row>
    <row r="63319" spans="31:31">
      <c r="AE63319" s="54"/>
    </row>
    <row r="63320" spans="31:31">
      <c r="AE63320" s="54"/>
    </row>
    <row r="63321" spans="31:31">
      <c r="AE63321" s="54"/>
    </row>
    <row r="63322" spans="31:31">
      <c r="AE63322" s="54"/>
    </row>
    <row r="63323" spans="31:31">
      <c r="AE63323" s="54"/>
    </row>
    <row r="63324" spans="31:31">
      <c r="AE63324" s="54"/>
    </row>
    <row r="63325" spans="31:31">
      <c r="AE63325" s="54"/>
    </row>
    <row r="63326" spans="31:31">
      <c r="AE63326" s="54"/>
    </row>
    <row r="63327" spans="31:31">
      <c r="AE63327" s="54"/>
    </row>
    <row r="63328" spans="31:31">
      <c r="AE63328" s="54"/>
    </row>
    <row r="63329" spans="31:31">
      <c r="AE63329" s="54"/>
    </row>
    <row r="63330" spans="31:31">
      <c r="AE63330" s="54"/>
    </row>
    <row r="63331" spans="31:31">
      <c r="AE63331" s="54"/>
    </row>
    <row r="63332" spans="31:31">
      <c r="AE63332" s="54"/>
    </row>
    <row r="63333" spans="31:31">
      <c r="AE63333" s="54"/>
    </row>
    <row r="63334" spans="31:31">
      <c r="AE63334" s="54"/>
    </row>
    <row r="63335" spans="31:31">
      <c r="AE63335" s="54"/>
    </row>
    <row r="63336" spans="31:31">
      <c r="AE63336" s="54"/>
    </row>
    <row r="63337" spans="31:31">
      <c r="AE63337" s="54"/>
    </row>
    <row r="63338" spans="31:31">
      <c r="AE63338" s="54"/>
    </row>
    <row r="63339" spans="31:31">
      <c r="AE63339" s="54"/>
    </row>
    <row r="63340" spans="31:31">
      <c r="AE63340" s="54"/>
    </row>
    <row r="63341" spans="31:31">
      <c r="AE63341" s="54"/>
    </row>
    <row r="63342" spans="31:31">
      <c r="AE63342" s="54"/>
    </row>
    <row r="63343" spans="31:31">
      <c r="AE63343" s="54"/>
    </row>
    <row r="63344" spans="31:31">
      <c r="AE63344" s="54"/>
    </row>
    <row r="63345" spans="31:31">
      <c r="AE63345" s="54"/>
    </row>
    <row r="63346" spans="31:31">
      <c r="AE63346" s="54"/>
    </row>
    <row r="63347" spans="31:31">
      <c r="AE63347" s="54"/>
    </row>
    <row r="63348" spans="31:31">
      <c r="AE63348" s="54"/>
    </row>
    <row r="63349" spans="31:31">
      <c r="AE63349" s="54"/>
    </row>
    <row r="63350" spans="31:31">
      <c r="AE63350" s="54"/>
    </row>
    <row r="63351" spans="31:31">
      <c r="AE63351" s="54"/>
    </row>
    <row r="63352" spans="31:31">
      <c r="AE63352" s="54"/>
    </row>
    <row r="63353" spans="31:31">
      <c r="AE63353" s="54"/>
    </row>
    <row r="63354" spans="31:31">
      <c r="AE63354" s="54"/>
    </row>
    <row r="63355" spans="31:31">
      <c r="AE63355" s="54"/>
    </row>
    <row r="63356" spans="31:31">
      <c r="AE63356" s="54"/>
    </row>
    <row r="63357" spans="31:31">
      <c r="AE63357" s="54"/>
    </row>
    <row r="63358" spans="31:31">
      <c r="AE63358" s="54"/>
    </row>
    <row r="63359" spans="31:31">
      <c r="AE63359" s="54"/>
    </row>
    <row r="63360" spans="31:31">
      <c r="AE63360" s="54"/>
    </row>
    <row r="63361" spans="31:31">
      <c r="AE63361" s="54"/>
    </row>
    <row r="63362" spans="31:31">
      <c r="AE63362" s="54"/>
    </row>
    <row r="63363" spans="31:31">
      <c r="AE63363" s="54"/>
    </row>
    <row r="63364" spans="31:31">
      <c r="AE63364" s="54"/>
    </row>
    <row r="63365" spans="31:31">
      <c r="AE63365" s="54"/>
    </row>
    <row r="63366" spans="31:31">
      <c r="AE63366" s="54"/>
    </row>
    <row r="63367" spans="31:31">
      <c r="AE63367" s="54"/>
    </row>
    <row r="63368" spans="31:31">
      <c r="AE63368" s="54"/>
    </row>
    <row r="63369" spans="31:31">
      <c r="AE63369" s="54"/>
    </row>
    <row r="63370" spans="31:31">
      <c r="AE63370" s="54"/>
    </row>
    <row r="63371" spans="31:31">
      <c r="AE63371" s="54"/>
    </row>
    <row r="63372" spans="31:31">
      <c r="AE63372" s="54"/>
    </row>
    <row r="63373" spans="31:31">
      <c r="AE63373" s="54"/>
    </row>
    <row r="63374" spans="31:31">
      <c r="AE63374" s="54"/>
    </row>
    <row r="63375" spans="31:31">
      <c r="AE63375" s="54"/>
    </row>
    <row r="63376" spans="31:31">
      <c r="AE63376" s="54"/>
    </row>
    <row r="63377" spans="31:31">
      <c r="AE63377" s="54"/>
    </row>
    <row r="63378" spans="31:31">
      <c r="AE63378" s="54"/>
    </row>
    <row r="63379" spans="31:31">
      <c r="AE63379" s="54"/>
    </row>
    <row r="63380" spans="31:31">
      <c r="AE63380" s="54"/>
    </row>
    <row r="63381" spans="31:31">
      <c r="AE63381" s="54"/>
    </row>
    <row r="63382" spans="31:31">
      <c r="AE63382" s="54"/>
    </row>
    <row r="63383" spans="31:31">
      <c r="AE63383" s="54"/>
    </row>
    <row r="63384" spans="31:31">
      <c r="AE63384" s="54"/>
    </row>
    <row r="63385" spans="31:31">
      <c r="AE63385" s="54"/>
    </row>
    <row r="63386" spans="31:31">
      <c r="AE63386" s="54"/>
    </row>
    <row r="63387" spans="31:31">
      <c r="AE63387" s="54"/>
    </row>
    <row r="63388" spans="31:31">
      <c r="AE63388" s="54"/>
    </row>
    <row r="63389" spans="31:31">
      <c r="AE63389" s="54"/>
    </row>
    <row r="63390" spans="31:31">
      <c r="AE63390" s="54"/>
    </row>
    <row r="63391" spans="31:31">
      <c r="AE63391" s="54"/>
    </row>
    <row r="63392" spans="31:31">
      <c r="AE63392" s="54"/>
    </row>
    <row r="63393" spans="31:31">
      <c r="AE63393" s="54"/>
    </row>
    <row r="63394" spans="31:31">
      <c r="AE63394" s="54"/>
    </row>
    <row r="63395" spans="31:31">
      <c r="AE63395" s="54"/>
    </row>
    <row r="63396" spans="31:31">
      <c r="AE63396" s="54"/>
    </row>
    <row r="63397" spans="31:31">
      <c r="AE63397" s="54"/>
    </row>
    <row r="63398" spans="31:31">
      <c r="AE63398" s="54"/>
    </row>
    <row r="63399" spans="31:31">
      <c r="AE63399" s="54"/>
    </row>
    <row r="63400" spans="31:31">
      <c r="AE63400" s="54"/>
    </row>
    <row r="63401" spans="31:31">
      <c r="AE63401" s="54"/>
    </row>
    <row r="63402" spans="31:31">
      <c r="AE63402" s="54"/>
    </row>
    <row r="63403" spans="31:31">
      <c r="AE63403" s="54"/>
    </row>
    <row r="63404" spans="31:31">
      <c r="AE63404" s="54"/>
    </row>
    <row r="63405" spans="31:31">
      <c r="AE63405" s="54"/>
    </row>
    <row r="63406" spans="31:31">
      <c r="AE63406" s="54"/>
    </row>
    <row r="63407" spans="31:31">
      <c r="AE63407" s="54"/>
    </row>
    <row r="63408" spans="31:31">
      <c r="AE63408" s="54"/>
    </row>
    <row r="63409" spans="31:31">
      <c r="AE63409" s="54"/>
    </row>
    <row r="63410" spans="31:31">
      <c r="AE63410" s="54"/>
    </row>
    <row r="63411" spans="31:31">
      <c r="AE63411" s="54"/>
    </row>
    <row r="63412" spans="31:31">
      <c r="AE63412" s="54"/>
    </row>
    <row r="63413" spans="31:31">
      <c r="AE63413" s="54"/>
    </row>
    <row r="63414" spans="31:31">
      <c r="AE63414" s="54"/>
    </row>
    <row r="63415" spans="31:31">
      <c r="AE63415" s="54"/>
    </row>
    <row r="63416" spans="31:31">
      <c r="AE63416" s="54"/>
    </row>
    <row r="63417" spans="31:31">
      <c r="AE63417" s="54"/>
    </row>
    <row r="63418" spans="31:31">
      <c r="AE63418" s="54"/>
    </row>
    <row r="63419" spans="31:31">
      <c r="AE63419" s="54"/>
    </row>
    <row r="63420" spans="31:31">
      <c r="AE63420" s="54"/>
    </row>
    <row r="63421" spans="31:31">
      <c r="AE63421" s="54"/>
    </row>
    <row r="63422" spans="31:31">
      <c r="AE63422" s="54"/>
    </row>
    <row r="63423" spans="31:31">
      <c r="AE63423" s="54"/>
    </row>
    <row r="63424" spans="31:31">
      <c r="AE63424" s="54"/>
    </row>
    <row r="63425" spans="31:31">
      <c r="AE63425" s="54"/>
    </row>
    <row r="63426" spans="31:31">
      <c r="AE63426" s="54"/>
    </row>
    <row r="63427" spans="31:31">
      <c r="AE63427" s="54"/>
    </row>
    <row r="63428" spans="31:31">
      <c r="AE63428" s="54"/>
    </row>
    <row r="63429" spans="31:31">
      <c r="AE63429" s="54"/>
    </row>
    <row r="63430" spans="31:31">
      <c r="AE63430" s="54"/>
    </row>
    <row r="63431" spans="31:31">
      <c r="AE63431" s="54"/>
    </row>
    <row r="63432" spans="31:31">
      <c r="AE63432" s="54"/>
    </row>
    <row r="63433" spans="31:31">
      <c r="AE63433" s="54"/>
    </row>
    <row r="63434" spans="31:31">
      <c r="AE63434" s="54"/>
    </row>
    <row r="63435" spans="31:31">
      <c r="AE63435" s="54"/>
    </row>
    <row r="63436" spans="31:31">
      <c r="AE63436" s="54"/>
    </row>
    <row r="63437" spans="31:31">
      <c r="AE63437" s="54"/>
    </row>
    <row r="63438" spans="31:31">
      <c r="AE63438" s="54"/>
    </row>
    <row r="63439" spans="31:31">
      <c r="AE63439" s="54"/>
    </row>
    <row r="63440" spans="31:31">
      <c r="AE63440" s="54"/>
    </row>
    <row r="63441" spans="31:31">
      <c r="AE63441" s="54"/>
    </row>
    <row r="63442" spans="31:31">
      <c r="AE63442" s="54"/>
    </row>
    <row r="63443" spans="31:31">
      <c r="AE63443" s="54"/>
    </row>
    <row r="63444" spans="31:31">
      <c r="AE63444" s="54"/>
    </row>
    <row r="63445" spans="31:31">
      <c r="AE63445" s="54"/>
    </row>
    <row r="63446" spans="31:31">
      <c r="AE63446" s="54"/>
    </row>
    <row r="63447" spans="31:31">
      <c r="AE63447" s="54"/>
    </row>
    <row r="63448" spans="31:31">
      <c r="AE63448" s="54"/>
    </row>
    <row r="63449" spans="31:31">
      <c r="AE63449" s="54"/>
    </row>
    <row r="63450" spans="31:31">
      <c r="AE63450" s="54"/>
    </row>
    <row r="63451" spans="31:31">
      <c r="AE63451" s="54"/>
    </row>
    <row r="63452" spans="31:31">
      <c r="AE63452" s="54"/>
    </row>
    <row r="63453" spans="31:31">
      <c r="AE63453" s="54"/>
    </row>
    <row r="63454" spans="31:31">
      <c r="AE63454" s="54"/>
    </row>
    <row r="63455" spans="31:31">
      <c r="AE63455" s="54"/>
    </row>
    <row r="63456" spans="31:31">
      <c r="AE63456" s="54"/>
    </row>
    <row r="63457" spans="31:31">
      <c r="AE63457" s="54"/>
    </row>
    <row r="63458" spans="31:31">
      <c r="AE63458" s="54"/>
    </row>
    <row r="63459" spans="31:31">
      <c r="AE63459" s="54"/>
    </row>
    <row r="63460" spans="31:31">
      <c r="AE63460" s="54"/>
    </row>
    <row r="63461" spans="31:31">
      <c r="AE63461" s="54"/>
    </row>
    <row r="63462" spans="31:31">
      <c r="AE63462" s="54"/>
    </row>
    <row r="63463" spans="31:31">
      <c r="AE63463" s="54"/>
    </row>
    <row r="63464" spans="31:31">
      <c r="AE63464" s="54"/>
    </row>
    <row r="63465" spans="31:31">
      <c r="AE63465" s="54"/>
    </row>
    <row r="63466" spans="31:31">
      <c r="AE63466" s="54"/>
    </row>
    <row r="63467" spans="31:31">
      <c r="AE63467" s="54"/>
    </row>
    <row r="63468" spans="31:31">
      <c r="AE63468" s="54"/>
    </row>
    <row r="63469" spans="31:31">
      <c r="AE63469" s="54"/>
    </row>
    <row r="63470" spans="31:31">
      <c r="AE63470" s="54"/>
    </row>
    <row r="63471" spans="31:31">
      <c r="AE63471" s="54"/>
    </row>
    <row r="63472" spans="31:31">
      <c r="AE63472" s="54"/>
    </row>
    <row r="63473" spans="31:31">
      <c r="AE63473" s="54"/>
    </row>
    <row r="63474" spans="31:31">
      <c r="AE63474" s="54"/>
    </row>
    <row r="63475" spans="31:31">
      <c r="AE63475" s="54"/>
    </row>
    <row r="63476" spans="31:31">
      <c r="AE63476" s="54"/>
    </row>
    <row r="63477" spans="31:31">
      <c r="AE63477" s="54"/>
    </row>
    <row r="63478" spans="31:31">
      <c r="AE63478" s="54"/>
    </row>
    <row r="63479" spans="31:31">
      <c r="AE63479" s="54"/>
    </row>
    <row r="63480" spans="31:31">
      <c r="AE63480" s="54"/>
    </row>
    <row r="63481" spans="31:31">
      <c r="AE63481" s="54"/>
    </row>
    <row r="63482" spans="31:31">
      <c r="AE63482" s="54"/>
    </row>
    <row r="63483" spans="31:31">
      <c r="AE63483" s="54"/>
    </row>
    <row r="63484" spans="31:31">
      <c r="AE63484" s="54"/>
    </row>
    <row r="63485" spans="31:31">
      <c r="AE63485" s="54"/>
    </row>
    <row r="63486" spans="31:31">
      <c r="AE63486" s="54"/>
    </row>
    <row r="63487" spans="31:31">
      <c r="AE63487" s="54"/>
    </row>
    <row r="63488" spans="31:31">
      <c r="AE63488" s="54"/>
    </row>
    <row r="63489" spans="31:31">
      <c r="AE63489" s="54"/>
    </row>
    <row r="63490" spans="31:31">
      <c r="AE63490" s="54"/>
    </row>
    <row r="63491" spans="31:31">
      <c r="AE63491" s="54"/>
    </row>
    <row r="63492" spans="31:31">
      <c r="AE63492" s="54"/>
    </row>
    <row r="63493" spans="31:31">
      <c r="AE63493" s="54"/>
    </row>
    <row r="63494" spans="31:31">
      <c r="AE63494" s="54"/>
    </row>
    <row r="63495" spans="31:31">
      <c r="AE63495" s="54"/>
    </row>
    <row r="63496" spans="31:31">
      <c r="AE63496" s="54"/>
    </row>
    <row r="63497" spans="31:31">
      <c r="AE63497" s="54"/>
    </row>
    <row r="63498" spans="31:31">
      <c r="AE63498" s="54"/>
    </row>
    <row r="63499" spans="31:31">
      <c r="AE63499" s="54"/>
    </row>
    <row r="63500" spans="31:31">
      <c r="AE63500" s="54"/>
    </row>
    <row r="63501" spans="31:31">
      <c r="AE63501" s="54"/>
    </row>
    <row r="63502" spans="31:31">
      <c r="AE63502" s="54"/>
    </row>
    <row r="63503" spans="31:31">
      <c r="AE63503" s="54"/>
    </row>
    <row r="63504" spans="31:31">
      <c r="AE63504" s="54"/>
    </row>
    <row r="63505" spans="31:31">
      <c r="AE63505" s="54"/>
    </row>
    <row r="63506" spans="31:31">
      <c r="AE63506" s="54"/>
    </row>
    <row r="63507" spans="31:31">
      <c r="AE63507" s="54"/>
    </row>
    <row r="63508" spans="31:31">
      <c r="AE63508" s="54"/>
    </row>
    <row r="63509" spans="31:31">
      <c r="AE63509" s="54"/>
    </row>
    <row r="63510" spans="31:31">
      <c r="AE63510" s="54"/>
    </row>
    <row r="63511" spans="31:31">
      <c r="AE63511" s="54"/>
    </row>
    <row r="63512" spans="31:31">
      <c r="AE63512" s="54"/>
    </row>
    <row r="63513" spans="31:31">
      <c r="AE63513" s="54"/>
    </row>
    <row r="63514" spans="31:31">
      <c r="AE63514" s="54"/>
    </row>
    <row r="63515" spans="31:31">
      <c r="AE63515" s="54"/>
    </row>
    <row r="63516" spans="31:31">
      <c r="AE63516" s="54"/>
    </row>
    <row r="63517" spans="31:31">
      <c r="AE63517" s="54"/>
    </row>
    <row r="63518" spans="31:31">
      <c r="AE63518" s="54"/>
    </row>
    <row r="63519" spans="31:31">
      <c r="AE63519" s="54"/>
    </row>
    <row r="63520" spans="31:31">
      <c r="AE63520" s="54"/>
    </row>
    <row r="63521" spans="31:31">
      <c r="AE63521" s="54"/>
    </row>
    <row r="63522" spans="31:31">
      <c r="AE63522" s="54"/>
    </row>
    <row r="63523" spans="31:31">
      <c r="AE63523" s="54"/>
    </row>
    <row r="63524" spans="31:31">
      <c r="AE63524" s="54"/>
    </row>
    <row r="63525" spans="31:31">
      <c r="AE63525" s="54"/>
    </row>
    <row r="63526" spans="31:31">
      <c r="AE63526" s="54"/>
    </row>
    <row r="63527" spans="31:31">
      <c r="AE63527" s="54"/>
    </row>
    <row r="63528" spans="31:31">
      <c r="AE63528" s="54"/>
    </row>
    <row r="63529" spans="31:31">
      <c r="AE63529" s="54"/>
    </row>
    <row r="63530" spans="31:31">
      <c r="AE63530" s="54"/>
    </row>
    <row r="63531" spans="31:31">
      <c r="AE63531" s="54"/>
    </row>
    <row r="63532" spans="31:31">
      <c r="AE63532" s="54"/>
    </row>
    <row r="63533" spans="31:31">
      <c r="AE63533" s="54"/>
    </row>
    <row r="63534" spans="31:31">
      <c r="AE63534" s="54"/>
    </row>
    <row r="63535" spans="31:31">
      <c r="AE63535" s="54"/>
    </row>
    <row r="63536" spans="31:31">
      <c r="AE63536" s="54"/>
    </row>
    <row r="63537" spans="31:31">
      <c r="AE63537" s="54"/>
    </row>
    <row r="63538" spans="31:31">
      <c r="AE63538" s="54"/>
    </row>
    <row r="63539" spans="31:31">
      <c r="AE63539" s="54"/>
    </row>
    <row r="63540" spans="31:31">
      <c r="AE63540" s="54"/>
    </row>
    <row r="63541" spans="31:31">
      <c r="AE63541" s="54"/>
    </row>
    <row r="63542" spans="31:31">
      <c r="AE63542" s="54"/>
    </row>
    <row r="63543" spans="31:31">
      <c r="AE63543" s="54"/>
    </row>
    <row r="63544" spans="31:31">
      <c r="AE63544" s="54"/>
    </row>
    <row r="63545" spans="31:31">
      <c r="AE63545" s="54"/>
    </row>
    <row r="63546" spans="31:31">
      <c r="AE63546" s="54"/>
    </row>
    <row r="63547" spans="31:31">
      <c r="AE63547" s="54"/>
    </row>
    <row r="63548" spans="31:31">
      <c r="AE63548" s="54"/>
    </row>
    <row r="63549" spans="31:31">
      <c r="AE63549" s="54"/>
    </row>
    <row r="63550" spans="31:31">
      <c r="AE63550" s="54"/>
    </row>
    <row r="63551" spans="31:31">
      <c r="AE63551" s="54"/>
    </row>
    <row r="63552" spans="31:31">
      <c r="AE63552" s="54"/>
    </row>
    <row r="63553" spans="31:31">
      <c r="AE63553" s="54"/>
    </row>
    <row r="63554" spans="31:31">
      <c r="AE63554" s="54"/>
    </row>
    <row r="63555" spans="31:31">
      <c r="AE63555" s="54"/>
    </row>
    <row r="63556" spans="31:31">
      <c r="AE63556" s="54"/>
    </row>
    <row r="63557" spans="31:31">
      <c r="AE63557" s="54"/>
    </row>
    <row r="63558" spans="31:31">
      <c r="AE63558" s="54"/>
    </row>
    <row r="63559" spans="31:31">
      <c r="AE63559" s="54"/>
    </row>
    <row r="63560" spans="31:31">
      <c r="AE63560" s="54"/>
    </row>
    <row r="63561" spans="31:31">
      <c r="AE63561" s="54"/>
    </row>
    <row r="63562" spans="31:31">
      <c r="AE63562" s="54"/>
    </row>
    <row r="63563" spans="31:31">
      <c r="AE63563" s="54"/>
    </row>
    <row r="63564" spans="31:31">
      <c r="AE63564" s="54"/>
    </row>
    <row r="63565" spans="31:31">
      <c r="AE63565" s="54"/>
    </row>
    <row r="63566" spans="31:31">
      <c r="AE63566" s="54"/>
    </row>
    <row r="63567" spans="31:31">
      <c r="AE63567" s="54"/>
    </row>
    <row r="63568" spans="31:31">
      <c r="AE63568" s="54"/>
    </row>
    <row r="63569" spans="31:31">
      <c r="AE63569" s="54"/>
    </row>
    <row r="63570" spans="31:31">
      <c r="AE63570" s="54"/>
    </row>
    <row r="63571" spans="31:31">
      <c r="AE63571" s="54"/>
    </row>
    <row r="63572" spans="31:31">
      <c r="AE63572" s="54"/>
    </row>
    <row r="63573" spans="31:31">
      <c r="AE63573" s="54"/>
    </row>
    <row r="63574" spans="31:31">
      <c r="AE63574" s="54"/>
    </row>
    <row r="63575" spans="31:31">
      <c r="AE63575" s="54"/>
    </row>
    <row r="63576" spans="31:31">
      <c r="AE63576" s="54"/>
    </row>
    <row r="63577" spans="31:31">
      <c r="AE63577" s="54"/>
    </row>
    <row r="63578" spans="31:31">
      <c r="AE63578" s="54"/>
    </row>
    <row r="63579" spans="31:31">
      <c r="AE63579" s="54"/>
    </row>
    <row r="63580" spans="31:31">
      <c r="AE63580" s="54"/>
    </row>
    <row r="63581" spans="31:31">
      <c r="AE63581" s="54"/>
    </row>
    <row r="63582" spans="31:31">
      <c r="AE63582" s="54"/>
    </row>
    <row r="63583" spans="31:31">
      <c r="AE63583" s="54"/>
    </row>
    <row r="63584" spans="31:31">
      <c r="AE63584" s="54"/>
    </row>
    <row r="63585" spans="31:31">
      <c r="AE63585" s="54"/>
    </row>
    <row r="63586" spans="31:31">
      <c r="AE63586" s="54"/>
    </row>
    <row r="63587" spans="31:31">
      <c r="AE63587" s="54"/>
    </row>
    <row r="63588" spans="31:31">
      <c r="AE63588" s="54"/>
    </row>
    <row r="63589" spans="31:31">
      <c r="AE63589" s="54"/>
    </row>
    <row r="63590" spans="31:31">
      <c r="AE63590" s="54"/>
    </row>
    <row r="63591" spans="31:31">
      <c r="AE63591" s="54"/>
    </row>
    <row r="63592" spans="31:31">
      <c r="AE63592" s="54"/>
    </row>
    <row r="63593" spans="31:31">
      <c r="AE63593" s="54"/>
    </row>
    <row r="63594" spans="31:31">
      <c r="AE63594" s="54"/>
    </row>
    <row r="63595" spans="31:31">
      <c r="AE63595" s="54"/>
    </row>
    <row r="63596" spans="31:31">
      <c r="AE63596" s="54"/>
    </row>
    <row r="63597" spans="31:31">
      <c r="AE63597" s="54"/>
    </row>
    <row r="63598" spans="31:31">
      <c r="AE63598" s="54"/>
    </row>
    <row r="63599" spans="31:31">
      <c r="AE63599" s="54"/>
    </row>
    <row r="63600" spans="31:31">
      <c r="AE63600" s="54"/>
    </row>
    <row r="63601" spans="31:31">
      <c r="AE63601" s="54"/>
    </row>
    <row r="63602" spans="31:31">
      <c r="AE63602" s="54"/>
    </row>
    <row r="63603" spans="31:31">
      <c r="AE63603" s="54"/>
    </row>
    <row r="63604" spans="31:31">
      <c r="AE63604" s="54"/>
    </row>
    <row r="63605" spans="31:31">
      <c r="AE63605" s="54"/>
    </row>
    <row r="63606" spans="31:31">
      <c r="AE63606" s="54"/>
    </row>
    <row r="63607" spans="31:31">
      <c r="AE63607" s="54"/>
    </row>
    <row r="63608" spans="31:31">
      <c r="AE63608" s="54"/>
    </row>
    <row r="63609" spans="31:31">
      <c r="AE63609" s="54"/>
    </row>
    <row r="63610" spans="31:31">
      <c r="AE63610" s="54"/>
    </row>
    <row r="63611" spans="31:31">
      <c r="AE63611" s="54"/>
    </row>
    <row r="63612" spans="31:31">
      <c r="AE63612" s="54"/>
    </row>
    <row r="63613" spans="31:31">
      <c r="AE63613" s="54"/>
    </row>
    <row r="63614" spans="31:31">
      <c r="AE63614" s="54"/>
    </row>
    <row r="63615" spans="31:31">
      <c r="AE63615" s="54"/>
    </row>
    <row r="63616" spans="31:31">
      <c r="AE63616" s="54"/>
    </row>
    <row r="63617" spans="31:31">
      <c r="AE63617" s="54"/>
    </row>
    <row r="63618" spans="31:31">
      <c r="AE63618" s="54"/>
    </row>
    <row r="63619" spans="31:31">
      <c r="AE63619" s="54"/>
    </row>
    <row r="63620" spans="31:31">
      <c r="AE63620" s="54"/>
    </row>
    <row r="63621" spans="31:31">
      <c r="AE63621" s="54"/>
    </row>
    <row r="63622" spans="31:31">
      <c r="AE63622" s="54"/>
    </row>
    <row r="63623" spans="31:31">
      <c r="AE63623" s="54"/>
    </row>
    <row r="63624" spans="31:31">
      <c r="AE63624" s="54"/>
    </row>
    <row r="63625" spans="31:31">
      <c r="AE63625" s="54"/>
    </row>
    <row r="63626" spans="31:31">
      <c r="AE63626" s="54"/>
    </row>
    <row r="63627" spans="31:31">
      <c r="AE63627" s="54"/>
    </row>
    <row r="63628" spans="31:31">
      <c r="AE63628" s="54"/>
    </row>
    <row r="63629" spans="31:31">
      <c r="AE63629" s="54"/>
    </row>
    <row r="63630" spans="31:31">
      <c r="AE63630" s="54"/>
    </row>
    <row r="63631" spans="31:31">
      <c r="AE63631" s="54"/>
    </row>
    <row r="63632" spans="31:31">
      <c r="AE63632" s="54"/>
    </row>
    <row r="63633" spans="31:31">
      <c r="AE63633" s="54"/>
    </row>
    <row r="63634" spans="31:31">
      <c r="AE63634" s="54"/>
    </row>
    <row r="63635" spans="31:31">
      <c r="AE63635" s="54"/>
    </row>
    <row r="63636" spans="31:31">
      <c r="AE63636" s="54"/>
    </row>
    <row r="63637" spans="31:31">
      <c r="AE63637" s="54"/>
    </row>
    <row r="63638" spans="31:31">
      <c r="AE63638" s="54"/>
    </row>
    <row r="63639" spans="31:31">
      <c r="AE63639" s="54"/>
    </row>
    <row r="63640" spans="31:31">
      <c r="AE63640" s="54"/>
    </row>
    <row r="63641" spans="31:31">
      <c r="AE63641" s="54"/>
    </row>
    <row r="63642" spans="31:31">
      <c r="AE63642" s="54"/>
    </row>
    <row r="63643" spans="31:31">
      <c r="AE63643" s="54"/>
    </row>
    <row r="63644" spans="31:31">
      <c r="AE63644" s="54"/>
    </row>
    <row r="63645" spans="31:31">
      <c r="AE63645" s="54"/>
    </row>
    <row r="63646" spans="31:31">
      <c r="AE63646" s="54"/>
    </row>
    <row r="63647" spans="31:31">
      <c r="AE63647" s="54"/>
    </row>
    <row r="63648" spans="31:31">
      <c r="AE63648" s="54"/>
    </row>
    <row r="63649" spans="31:31">
      <c r="AE63649" s="54"/>
    </row>
    <row r="63650" spans="31:31">
      <c r="AE63650" s="54"/>
    </row>
    <row r="63651" spans="31:31">
      <c r="AE63651" s="54"/>
    </row>
    <row r="63652" spans="31:31">
      <c r="AE63652" s="54"/>
    </row>
    <row r="63653" spans="31:31">
      <c r="AE63653" s="54"/>
    </row>
    <row r="63654" spans="31:31">
      <c r="AE63654" s="54"/>
    </row>
    <row r="63655" spans="31:31">
      <c r="AE63655" s="54"/>
    </row>
    <row r="63656" spans="31:31">
      <c r="AE63656" s="54"/>
    </row>
    <row r="63657" spans="31:31">
      <c r="AE63657" s="54"/>
    </row>
    <row r="63658" spans="31:31">
      <c r="AE63658" s="54"/>
    </row>
    <row r="63659" spans="31:31">
      <c r="AE63659" s="54"/>
    </row>
    <row r="63660" spans="31:31">
      <c r="AE63660" s="54"/>
    </row>
    <row r="63661" spans="31:31">
      <c r="AE63661" s="54"/>
    </row>
    <row r="63662" spans="31:31">
      <c r="AE63662" s="54"/>
    </row>
    <row r="63663" spans="31:31">
      <c r="AE63663" s="54"/>
    </row>
    <row r="63664" spans="31:31">
      <c r="AE63664" s="54"/>
    </row>
    <row r="63665" spans="31:31">
      <c r="AE63665" s="54"/>
    </row>
    <row r="63666" spans="31:31">
      <c r="AE63666" s="54"/>
    </row>
    <row r="63667" spans="31:31">
      <c r="AE63667" s="54"/>
    </row>
    <row r="63668" spans="31:31">
      <c r="AE63668" s="54"/>
    </row>
    <row r="63669" spans="31:31">
      <c r="AE63669" s="54"/>
    </row>
    <row r="63670" spans="31:31">
      <c r="AE63670" s="54"/>
    </row>
    <row r="63671" spans="31:31">
      <c r="AE63671" s="54"/>
    </row>
    <row r="63672" spans="31:31">
      <c r="AE63672" s="54"/>
    </row>
    <row r="63673" spans="31:31">
      <c r="AE63673" s="54"/>
    </row>
    <row r="63674" spans="31:31">
      <c r="AE63674" s="54"/>
    </row>
    <row r="63675" spans="31:31">
      <c r="AE63675" s="54"/>
    </row>
    <row r="63676" spans="31:31">
      <c r="AE63676" s="54"/>
    </row>
    <row r="63677" spans="31:31">
      <c r="AE63677" s="54"/>
    </row>
    <row r="63678" spans="31:31">
      <c r="AE63678" s="54"/>
    </row>
    <row r="63679" spans="31:31">
      <c r="AE63679" s="54"/>
    </row>
    <row r="63680" spans="31:31">
      <c r="AE63680" s="54"/>
    </row>
    <row r="63681" spans="31:31">
      <c r="AE63681" s="54"/>
    </row>
    <row r="63682" spans="31:31">
      <c r="AE63682" s="54"/>
    </row>
    <row r="63683" spans="31:31">
      <c r="AE63683" s="54"/>
    </row>
    <row r="63684" spans="31:31">
      <c r="AE63684" s="54"/>
    </row>
    <row r="63685" spans="31:31">
      <c r="AE63685" s="54"/>
    </row>
    <row r="63686" spans="31:31">
      <c r="AE63686" s="54"/>
    </row>
    <row r="63687" spans="31:31">
      <c r="AE63687" s="54"/>
    </row>
    <row r="63688" spans="31:31">
      <c r="AE63688" s="54"/>
    </row>
    <row r="63689" spans="31:31">
      <c r="AE63689" s="54"/>
    </row>
    <row r="63690" spans="31:31">
      <c r="AE63690" s="54"/>
    </row>
    <row r="63691" spans="31:31">
      <c r="AE63691" s="54"/>
    </row>
    <row r="63692" spans="31:31">
      <c r="AE63692" s="54"/>
    </row>
    <row r="63693" spans="31:31">
      <c r="AE63693" s="54"/>
    </row>
    <row r="63694" spans="31:31">
      <c r="AE63694" s="54"/>
    </row>
    <row r="63695" spans="31:31">
      <c r="AE63695" s="54"/>
    </row>
    <row r="63696" spans="31:31">
      <c r="AE63696" s="54"/>
    </row>
    <row r="63697" spans="31:31">
      <c r="AE63697" s="54"/>
    </row>
    <row r="63698" spans="31:31">
      <c r="AE63698" s="54"/>
    </row>
    <row r="63699" spans="31:31">
      <c r="AE63699" s="54"/>
    </row>
    <row r="63700" spans="31:31">
      <c r="AE63700" s="54"/>
    </row>
    <row r="63701" spans="31:31">
      <c r="AE63701" s="54"/>
    </row>
    <row r="63702" spans="31:31">
      <c r="AE63702" s="54"/>
    </row>
    <row r="63703" spans="31:31">
      <c r="AE63703" s="54"/>
    </row>
    <row r="63704" spans="31:31">
      <c r="AE63704" s="54"/>
    </row>
    <row r="63705" spans="31:31">
      <c r="AE63705" s="54"/>
    </row>
    <row r="63706" spans="31:31">
      <c r="AE63706" s="54"/>
    </row>
    <row r="63707" spans="31:31">
      <c r="AE63707" s="54"/>
    </row>
    <row r="63708" spans="31:31">
      <c r="AE63708" s="54"/>
    </row>
    <row r="63709" spans="31:31">
      <c r="AE63709" s="54"/>
    </row>
    <row r="63710" spans="31:31">
      <c r="AE63710" s="54"/>
    </row>
    <row r="63711" spans="31:31">
      <c r="AE63711" s="54"/>
    </row>
    <row r="63712" spans="31:31">
      <c r="AE63712" s="54"/>
    </row>
    <row r="63713" spans="31:31">
      <c r="AE63713" s="54"/>
    </row>
    <row r="63714" spans="31:31">
      <c r="AE63714" s="54"/>
    </row>
    <row r="63715" spans="31:31">
      <c r="AE63715" s="54"/>
    </row>
    <row r="63716" spans="31:31">
      <c r="AE63716" s="54"/>
    </row>
    <row r="63717" spans="31:31">
      <c r="AE63717" s="54"/>
    </row>
    <row r="63718" spans="31:31">
      <c r="AE63718" s="54"/>
    </row>
    <row r="63719" spans="31:31">
      <c r="AE63719" s="54"/>
    </row>
    <row r="63720" spans="31:31">
      <c r="AE63720" s="54"/>
    </row>
    <row r="63721" spans="31:31">
      <c r="AE63721" s="54"/>
    </row>
    <row r="63722" spans="31:31">
      <c r="AE63722" s="54"/>
    </row>
    <row r="63723" spans="31:31">
      <c r="AE63723" s="54"/>
    </row>
    <row r="63724" spans="31:31">
      <c r="AE63724" s="54"/>
    </row>
    <row r="63725" spans="31:31">
      <c r="AE63725" s="54"/>
    </row>
    <row r="63726" spans="31:31">
      <c r="AE63726" s="54"/>
    </row>
    <row r="63727" spans="31:31">
      <c r="AE63727" s="54"/>
    </row>
    <row r="63728" spans="31:31">
      <c r="AE63728" s="54"/>
    </row>
    <row r="63729" spans="31:31">
      <c r="AE63729" s="54"/>
    </row>
    <row r="63730" spans="31:31">
      <c r="AE63730" s="54"/>
    </row>
    <row r="63731" spans="31:31">
      <c r="AE63731" s="54"/>
    </row>
    <row r="63732" spans="31:31">
      <c r="AE63732" s="54"/>
    </row>
    <row r="63733" spans="31:31">
      <c r="AE63733" s="54"/>
    </row>
    <row r="63734" spans="31:31">
      <c r="AE63734" s="54"/>
    </row>
    <row r="63735" spans="31:31">
      <c r="AE63735" s="54"/>
    </row>
    <row r="63736" spans="31:31">
      <c r="AE63736" s="54"/>
    </row>
    <row r="63737" spans="31:31">
      <c r="AE63737" s="54"/>
    </row>
    <row r="63738" spans="31:31">
      <c r="AE63738" s="54"/>
    </row>
    <row r="63739" spans="31:31">
      <c r="AE63739" s="54"/>
    </row>
    <row r="63740" spans="31:31">
      <c r="AE63740" s="54"/>
    </row>
    <row r="63741" spans="31:31">
      <c r="AE63741" s="54"/>
    </row>
    <row r="63742" spans="31:31">
      <c r="AE63742" s="54"/>
    </row>
    <row r="63743" spans="31:31">
      <c r="AE63743" s="54"/>
    </row>
    <row r="63744" spans="31:31">
      <c r="AE63744" s="54"/>
    </row>
    <row r="63745" spans="31:31">
      <c r="AE63745" s="54"/>
    </row>
    <row r="63746" spans="31:31">
      <c r="AE63746" s="54"/>
    </row>
    <row r="63747" spans="31:31">
      <c r="AE63747" s="54"/>
    </row>
    <row r="63748" spans="31:31">
      <c r="AE63748" s="54"/>
    </row>
    <row r="63749" spans="31:31">
      <c r="AE63749" s="54"/>
    </row>
    <row r="63750" spans="31:31">
      <c r="AE63750" s="54"/>
    </row>
    <row r="63751" spans="31:31">
      <c r="AE63751" s="54"/>
    </row>
    <row r="63752" spans="31:31">
      <c r="AE63752" s="54"/>
    </row>
    <row r="63753" spans="31:31">
      <c r="AE63753" s="54"/>
    </row>
    <row r="63754" spans="31:31">
      <c r="AE63754" s="54"/>
    </row>
    <row r="63755" spans="31:31">
      <c r="AE63755" s="54"/>
    </row>
    <row r="63756" spans="31:31">
      <c r="AE63756" s="54"/>
    </row>
    <row r="63757" spans="31:31">
      <c r="AE63757" s="54"/>
    </row>
    <row r="63758" spans="31:31">
      <c r="AE63758" s="54"/>
    </row>
    <row r="63759" spans="31:31">
      <c r="AE63759" s="54"/>
    </row>
    <row r="63760" spans="31:31">
      <c r="AE63760" s="54"/>
    </row>
    <row r="63761" spans="31:31">
      <c r="AE63761" s="54"/>
    </row>
    <row r="63762" spans="31:31">
      <c r="AE63762" s="54"/>
    </row>
    <row r="63763" spans="31:31">
      <c r="AE63763" s="54"/>
    </row>
    <row r="63764" spans="31:31">
      <c r="AE63764" s="54"/>
    </row>
    <row r="63765" spans="31:31">
      <c r="AE63765" s="54"/>
    </row>
    <row r="63766" spans="31:31">
      <c r="AE63766" s="54"/>
    </row>
    <row r="63767" spans="31:31">
      <c r="AE63767" s="54"/>
    </row>
    <row r="63768" spans="31:31">
      <c r="AE63768" s="54"/>
    </row>
    <row r="63769" spans="31:31">
      <c r="AE63769" s="54"/>
    </row>
    <row r="63770" spans="31:31">
      <c r="AE63770" s="54"/>
    </row>
    <row r="63771" spans="31:31">
      <c r="AE63771" s="54"/>
    </row>
    <row r="63772" spans="31:31">
      <c r="AE63772" s="54"/>
    </row>
    <row r="63773" spans="31:31">
      <c r="AE63773" s="54"/>
    </row>
    <row r="63774" spans="31:31">
      <c r="AE63774" s="54"/>
    </row>
    <row r="63775" spans="31:31">
      <c r="AE63775" s="54"/>
    </row>
    <row r="63776" spans="31:31">
      <c r="AE63776" s="54"/>
    </row>
    <row r="63777" spans="31:31">
      <c r="AE63777" s="54"/>
    </row>
    <row r="63778" spans="31:31">
      <c r="AE63778" s="54"/>
    </row>
    <row r="63779" spans="31:31">
      <c r="AE63779" s="54"/>
    </row>
    <row r="63780" spans="31:31">
      <c r="AE63780" s="54"/>
    </row>
    <row r="63781" spans="31:31">
      <c r="AE63781" s="54"/>
    </row>
    <row r="63782" spans="31:31">
      <c r="AE63782" s="54"/>
    </row>
    <row r="63783" spans="31:31">
      <c r="AE63783" s="54"/>
    </row>
    <row r="63784" spans="31:31">
      <c r="AE63784" s="54"/>
    </row>
    <row r="63785" spans="31:31">
      <c r="AE63785" s="54"/>
    </row>
    <row r="63786" spans="31:31">
      <c r="AE63786" s="54"/>
    </row>
    <row r="63787" spans="31:31">
      <c r="AE63787" s="54"/>
    </row>
    <row r="63788" spans="31:31">
      <c r="AE63788" s="54"/>
    </row>
    <row r="63789" spans="31:31">
      <c r="AE63789" s="54"/>
    </row>
    <row r="63790" spans="31:31">
      <c r="AE63790" s="54"/>
    </row>
    <row r="63791" spans="31:31">
      <c r="AE63791" s="54"/>
    </row>
    <row r="63792" spans="31:31">
      <c r="AE63792" s="54"/>
    </row>
    <row r="63793" spans="31:31">
      <c r="AE63793" s="54"/>
    </row>
    <row r="63794" spans="31:31">
      <c r="AE63794" s="54"/>
    </row>
    <row r="63795" spans="31:31">
      <c r="AE63795" s="54"/>
    </row>
    <row r="63796" spans="31:31">
      <c r="AE63796" s="54"/>
    </row>
    <row r="63797" spans="31:31">
      <c r="AE63797" s="54"/>
    </row>
    <row r="63798" spans="31:31">
      <c r="AE63798" s="54"/>
    </row>
    <row r="63799" spans="31:31">
      <c r="AE63799" s="54"/>
    </row>
    <row r="63800" spans="31:31">
      <c r="AE63800" s="54"/>
    </row>
    <row r="63801" spans="31:31">
      <c r="AE63801" s="54"/>
    </row>
    <row r="63802" spans="31:31">
      <c r="AE63802" s="54"/>
    </row>
    <row r="63803" spans="31:31">
      <c r="AE63803" s="54"/>
    </row>
    <row r="63804" spans="31:31">
      <c r="AE63804" s="54"/>
    </row>
    <row r="63805" spans="31:31">
      <c r="AE63805" s="54"/>
    </row>
    <row r="63806" spans="31:31">
      <c r="AE63806" s="54"/>
    </row>
    <row r="63807" spans="31:31">
      <c r="AE63807" s="54"/>
    </row>
    <row r="63808" spans="31:31">
      <c r="AE63808" s="54"/>
    </row>
    <row r="63809" spans="31:31">
      <c r="AE63809" s="54"/>
    </row>
    <row r="63810" spans="31:31">
      <c r="AE63810" s="54"/>
    </row>
    <row r="63811" spans="31:31">
      <c r="AE63811" s="54"/>
    </row>
    <row r="63812" spans="31:31">
      <c r="AE63812" s="54"/>
    </row>
    <row r="63813" spans="31:31">
      <c r="AE63813" s="54"/>
    </row>
    <row r="63814" spans="31:31">
      <c r="AE63814" s="54"/>
    </row>
    <row r="63815" spans="31:31">
      <c r="AE63815" s="54"/>
    </row>
    <row r="63816" spans="31:31">
      <c r="AE63816" s="54"/>
    </row>
    <row r="63817" spans="31:31">
      <c r="AE63817" s="54"/>
    </row>
    <row r="63818" spans="31:31">
      <c r="AE63818" s="54"/>
    </row>
    <row r="63819" spans="31:31">
      <c r="AE63819" s="54"/>
    </row>
    <row r="63820" spans="31:31">
      <c r="AE63820" s="54"/>
    </row>
    <row r="63821" spans="31:31">
      <c r="AE63821" s="54"/>
    </row>
    <row r="63822" spans="31:31">
      <c r="AE63822" s="54"/>
    </row>
    <row r="63823" spans="31:31">
      <c r="AE63823" s="54"/>
    </row>
    <row r="63824" spans="31:31">
      <c r="AE63824" s="54"/>
    </row>
    <row r="63825" spans="31:31">
      <c r="AE63825" s="54"/>
    </row>
    <row r="63826" spans="31:31">
      <c r="AE63826" s="54"/>
    </row>
    <row r="63827" spans="31:31">
      <c r="AE63827" s="54"/>
    </row>
    <row r="63828" spans="31:31">
      <c r="AE63828" s="54"/>
    </row>
    <row r="63829" spans="31:31">
      <c r="AE63829" s="54"/>
    </row>
    <row r="63830" spans="31:31">
      <c r="AE63830" s="54"/>
    </row>
    <row r="63831" spans="31:31">
      <c r="AE63831" s="54"/>
    </row>
    <row r="63832" spans="31:31">
      <c r="AE63832" s="54"/>
    </row>
    <row r="63833" spans="31:31">
      <c r="AE63833" s="54"/>
    </row>
    <row r="63834" spans="31:31">
      <c r="AE63834" s="54"/>
    </row>
    <row r="63835" spans="31:31">
      <c r="AE63835" s="54"/>
    </row>
    <row r="63836" spans="31:31">
      <c r="AE63836" s="54"/>
    </row>
    <row r="63837" spans="31:31">
      <c r="AE63837" s="54"/>
    </row>
    <row r="63838" spans="31:31">
      <c r="AE63838" s="54"/>
    </row>
    <row r="63839" spans="31:31">
      <c r="AE63839" s="54"/>
    </row>
    <row r="63840" spans="31:31">
      <c r="AE63840" s="54"/>
    </row>
    <row r="63841" spans="31:31">
      <c r="AE63841" s="54"/>
    </row>
    <row r="63842" spans="31:31">
      <c r="AE63842" s="54"/>
    </row>
    <row r="63843" spans="31:31">
      <c r="AE63843" s="54"/>
    </row>
    <row r="63844" spans="31:31">
      <c r="AE63844" s="54"/>
    </row>
    <row r="63845" spans="31:31">
      <c r="AE63845" s="54"/>
    </row>
    <row r="63846" spans="31:31">
      <c r="AE63846" s="54"/>
    </row>
    <row r="63847" spans="31:31">
      <c r="AE63847" s="54"/>
    </row>
    <row r="63848" spans="31:31">
      <c r="AE63848" s="54"/>
    </row>
    <row r="63849" spans="31:31">
      <c r="AE63849" s="54"/>
    </row>
    <row r="63850" spans="31:31">
      <c r="AE63850" s="54"/>
    </row>
    <row r="63851" spans="31:31">
      <c r="AE63851" s="54"/>
    </row>
    <row r="63852" spans="31:31">
      <c r="AE63852" s="54"/>
    </row>
    <row r="63853" spans="31:31">
      <c r="AE63853" s="54"/>
    </row>
    <row r="63854" spans="31:31">
      <c r="AE63854" s="54"/>
    </row>
    <row r="63855" spans="31:31">
      <c r="AE63855" s="54"/>
    </row>
    <row r="63856" spans="31:31">
      <c r="AE63856" s="54"/>
    </row>
    <row r="63857" spans="31:31">
      <c r="AE63857" s="54"/>
    </row>
    <row r="63858" spans="31:31">
      <c r="AE63858" s="54"/>
    </row>
    <row r="63859" spans="31:31">
      <c r="AE63859" s="54"/>
    </row>
    <row r="63860" spans="31:31">
      <c r="AE63860" s="54"/>
    </row>
    <row r="63861" spans="31:31">
      <c r="AE63861" s="54"/>
    </row>
    <row r="63862" spans="31:31">
      <c r="AE63862" s="54"/>
    </row>
    <row r="63863" spans="31:31">
      <c r="AE63863" s="54"/>
    </row>
    <row r="63864" spans="31:31">
      <c r="AE63864" s="54"/>
    </row>
    <row r="63865" spans="31:31">
      <c r="AE63865" s="54"/>
    </row>
    <row r="63866" spans="31:31">
      <c r="AE63866" s="54"/>
    </row>
    <row r="63867" spans="31:31">
      <c r="AE63867" s="54"/>
    </row>
    <row r="63868" spans="31:31">
      <c r="AE63868" s="54"/>
    </row>
    <row r="63869" spans="31:31">
      <c r="AE63869" s="54"/>
    </row>
    <row r="63870" spans="31:31">
      <c r="AE63870" s="54"/>
    </row>
    <row r="63871" spans="31:31">
      <c r="AE63871" s="54"/>
    </row>
    <row r="63872" spans="31:31">
      <c r="AE63872" s="54"/>
    </row>
    <row r="63873" spans="31:31">
      <c r="AE63873" s="54"/>
    </row>
    <row r="63874" spans="31:31">
      <c r="AE63874" s="54"/>
    </row>
    <row r="63875" spans="31:31">
      <c r="AE63875" s="54"/>
    </row>
    <row r="63876" spans="31:31">
      <c r="AE63876" s="54"/>
    </row>
    <row r="63877" spans="31:31">
      <c r="AE63877" s="54"/>
    </row>
    <row r="63878" spans="31:31">
      <c r="AE63878" s="54"/>
    </row>
    <row r="63879" spans="31:31">
      <c r="AE63879" s="54"/>
    </row>
    <row r="63880" spans="31:31">
      <c r="AE63880" s="54"/>
    </row>
    <row r="63881" spans="31:31">
      <c r="AE63881" s="54"/>
    </row>
    <row r="63882" spans="31:31">
      <c r="AE63882" s="54"/>
    </row>
    <row r="63883" spans="31:31">
      <c r="AE63883" s="54"/>
    </row>
    <row r="63884" spans="31:31">
      <c r="AE63884" s="54"/>
    </row>
    <row r="63885" spans="31:31">
      <c r="AE63885" s="54"/>
    </row>
    <row r="63886" spans="31:31">
      <c r="AE63886" s="54"/>
    </row>
    <row r="63887" spans="31:31">
      <c r="AE63887" s="54"/>
    </row>
    <row r="63888" spans="31:31">
      <c r="AE63888" s="54"/>
    </row>
    <row r="63889" spans="31:31">
      <c r="AE63889" s="54"/>
    </row>
    <row r="63890" spans="31:31">
      <c r="AE63890" s="54"/>
    </row>
    <row r="63891" spans="31:31">
      <c r="AE63891" s="54"/>
    </row>
    <row r="63892" spans="31:31">
      <c r="AE63892" s="54"/>
    </row>
    <row r="63893" spans="31:31">
      <c r="AE63893" s="54"/>
    </row>
    <row r="63894" spans="31:31">
      <c r="AE63894" s="54"/>
    </row>
    <row r="63895" spans="31:31">
      <c r="AE63895" s="54"/>
    </row>
    <row r="63896" spans="31:31">
      <c r="AE63896" s="54"/>
    </row>
    <row r="63897" spans="31:31">
      <c r="AE63897" s="54"/>
    </row>
    <row r="63898" spans="31:31">
      <c r="AE63898" s="54"/>
    </row>
    <row r="63899" spans="31:31">
      <c r="AE63899" s="54"/>
    </row>
    <row r="63900" spans="31:31">
      <c r="AE63900" s="54"/>
    </row>
    <row r="63901" spans="31:31">
      <c r="AE63901" s="54"/>
    </row>
    <row r="63902" spans="31:31">
      <c r="AE63902" s="54"/>
    </row>
    <row r="63903" spans="31:31">
      <c r="AE63903" s="54"/>
    </row>
    <row r="63904" spans="31:31">
      <c r="AE63904" s="54"/>
    </row>
    <row r="63905" spans="31:31">
      <c r="AE63905" s="54"/>
    </row>
    <row r="63906" spans="31:31">
      <c r="AE63906" s="54"/>
    </row>
    <row r="63907" spans="31:31">
      <c r="AE63907" s="54"/>
    </row>
    <row r="63908" spans="31:31">
      <c r="AE63908" s="54"/>
    </row>
    <row r="63909" spans="31:31">
      <c r="AE63909" s="54"/>
    </row>
    <row r="63910" spans="31:31">
      <c r="AE63910" s="54"/>
    </row>
    <row r="63911" spans="31:31">
      <c r="AE63911" s="54"/>
    </row>
    <row r="63912" spans="31:31">
      <c r="AE63912" s="54"/>
    </row>
    <row r="63913" spans="31:31">
      <c r="AE63913" s="54"/>
    </row>
    <row r="63914" spans="31:31">
      <c r="AE63914" s="54"/>
    </row>
    <row r="63915" spans="31:31">
      <c r="AE63915" s="54"/>
    </row>
    <row r="63916" spans="31:31">
      <c r="AE63916" s="54"/>
    </row>
    <row r="63917" spans="31:31">
      <c r="AE63917" s="54"/>
    </row>
    <row r="63918" spans="31:31">
      <c r="AE63918" s="54"/>
    </row>
    <row r="63919" spans="31:31">
      <c r="AE63919" s="54"/>
    </row>
    <row r="63920" spans="31:31">
      <c r="AE63920" s="54"/>
    </row>
    <row r="63921" spans="31:31">
      <c r="AE63921" s="54"/>
    </row>
    <row r="63922" spans="31:31">
      <c r="AE63922" s="54"/>
    </row>
    <row r="63923" spans="31:31">
      <c r="AE63923" s="54"/>
    </row>
    <row r="63924" spans="31:31">
      <c r="AE63924" s="54"/>
    </row>
    <row r="63925" spans="31:31">
      <c r="AE63925" s="54"/>
    </row>
    <row r="63926" spans="31:31">
      <c r="AE63926" s="54"/>
    </row>
    <row r="63927" spans="31:31">
      <c r="AE63927" s="54"/>
    </row>
    <row r="63928" spans="31:31">
      <c r="AE63928" s="54"/>
    </row>
    <row r="63929" spans="31:31">
      <c r="AE63929" s="54"/>
    </row>
    <row r="63930" spans="31:31">
      <c r="AE63930" s="54"/>
    </row>
    <row r="63931" spans="31:31">
      <c r="AE63931" s="54"/>
    </row>
    <row r="63932" spans="31:31">
      <c r="AE63932" s="54"/>
    </row>
    <row r="63933" spans="31:31">
      <c r="AE63933" s="54"/>
    </row>
    <row r="63934" spans="31:31">
      <c r="AE63934" s="54"/>
    </row>
    <row r="63935" spans="31:31">
      <c r="AE63935" s="54"/>
    </row>
    <row r="63936" spans="31:31">
      <c r="AE63936" s="54"/>
    </row>
    <row r="63937" spans="31:31">
      <c r="AE63937" s="54"/>
    </row>
    <row r="63938" spans="31:31">
      <c r="AE63938" s="54"/>
    </row>
    <row r="63939" spans="31:31">
      <c r="AE63939" s="54"/>
    </row>
    <row r="63940" spans="31:31">
      <c r="AE63940" s="54"/>
    </row>
    <row r="63941" spans="31:31">
      <c r="AE63941" s="54"/>
    </row>
    <row r="63942" spans="31:31">
      <c r="AE63942" s="54"/>
    </row>
    <row r="63943" spans="31:31">
      <c r="AE63943" s="54"/>
    </row>
    <row r="63944" spans="31:31">
      <c r="AE63944" s="54"/>
    </row>
    <row r="63945" spans="31:31">
      <c r="AE63945" s="54"/>
    </row>
    <row r="63946" spans="31:31">
      <c r="AE63946" s="54"/>
    </row>
    <row r="63947" spans="31:31">
      <c r="AE63947" s="54"/>
    </row>
    <row r="63948" spans="31:31">
      <c r="AE63948" s="54"/>
    </row>
    <row r="63949" spans="31:31">
      <c r="AE63949" s="54"/>
    </row>
    <row r="63950" spans="31:31">
      <c r="AE63950" s="54"/>
    </row>
    <row r="63951" spans="31:31">
      <c r="AE63951" s="54"/>
    </row>
    <row r="63952" spans="31:31">
      <c r="AE63952" s="54"/>
    </row>
    <row r="63953" spans="31:31">
      <c r="AE63953" s="54"/>
    </row>
    <row r="63954" spans="31:31">
      <c r="AE63954" s="54"/>
    </row>
    <row r="63955" spans="31:31">
      <c r="AE63955" s="54"/>
    </row>
    <row r="63956" spans="31:31">
      <c r="AE63956" s="54"/>
    </row>
    <row r="63957" spans="31:31">
      <c r="AE63957" s="54"/>
    </row>
    <row r="63958" spans="31:31">
      <c r="AE63958" s="54"/>
    </row>
    <row r="63959" spans="31:31">
      <c r="AE63959" s="54"/>
    </row>
    <row r="63960" spans="31:31">
      <c r="AE63960" s="54"/>
    </row>
    <row r="63961" spans="31:31">
      <c r="AE63961" s="54"/>
    </row>
    <row r="63962" spans="31:31">
      <c r="AE63962" s="54"/>
    </row>
    <row r="63963" spans="31:31">
      <c r="AE63963" s="54"/>
    </row>
    <row r="63964" spans="31:31">
      <c r="AE63964" s="54"/>
    </row>
    <row r="63965" spans="31:31">
      <c r="AE63965" s="54"/>
    </row>
    <row r="63966" spans="31:31">
      <c r="AE63966" s="54"/>
    </row>
    <row r="63967" spans="31:31">
      <c r="AE63967" s="54"/>
    </row>
    <row r="63968" spans="31:31">
      <c r="AE63968" s="54"/>
    </row>
    <row r="63969" spans="31:31">
      <c r="AE63969" s="54"/>
    </row>
    <row r="63970" spans="31:31">
      <c r="AE63970" s="54"/>
    </row>
    <row r="63971" spans="31:31">
      <c r="AE63971" s="54"/>
    </row>
    <row r="63972" spans="31:31">
      <c r="AE63972" s="54"/>
    </row>
    <row r="63973" spans="31:31">
      <c r="AE63973" s="54"/>
    </row>
    <row r="63974" spans="31:31">
      <c r="AE63974" s="54"/>
    </row>
    <row r="63975" spans="31:31">
      <c r="AE63975" s="54"/>
    </row>
    <row r="63976" spans="31:31">
      <c r="AE63976" s="54"/>
    </row>
    <row r="63977" spans="31:31">
      <c r="AE63977" s="54"/>
    </row>
    <row r="63978" spans="31:31">
      <c r="AE63978" s="54"/>
    </row>
    <row r="63979" spans="31:31">
      <c r="AE63979" s="54"/>
    </row>
    <row r="63980" spans="31:31">
      <c r="AE63980" s="54"/>
    </row>
    <row r="63981" spans="31:31">
      <c r="AE63981" s="54"/>
    </row>
    <row r="63982" spans="31:31">
      <c r="AE63982" s="54"/>
    </row>
    <row r="63983" spans="31:31">
      <c r="AE63983" s="54"/>
    </row>
    <row r="63984" spans="31:31">
      <c r="AE63984" s="54"/>
    </row>
    <row r="63985" spans="31:31">
      <c r="AE63985" s="54"/>
    </row>
    <row r="63986" spans="31:31">
      <c r="AE63986" s="54"/>
    </row>
    <row r="63987" spans="31:31">
      <c r="AE63987" s="54"/>
    </row>
    <row r="63988" spans="31:31">
      <c r="AE63988" s="54"/>
    </row>
    <row r="63989" spans="31:31">
      <c r="AE63989" s="54"/>
    </row>
    <row r="63990" spans="31:31">
      <c r="AE63990" s="54"/>
    </row>
    <row r="63991" spans="31:31">
      <c r="AE63991" s="54"/>
    </row>
    <row r="63992" spans="31:31">
      <c r="AE63992" s="54"/>
    </row>
    <row r="63993" spans="31:31">
      <c r="AE63993" s="54"/>
    </row>
    <row r="63994" spans="31:31">
      <c r="AE63994" s="54"/>
    </row>
    <row r="63995" spans="31:31">
      <c r="AE63995" s="54"/>
    </row>
    <row r="63996" spans="31:31">
      <c r="AE63996" s="54"/>
    </row>
    <row r="63997" spans="31:31">
      <c r="AE63997" s="54"/>
    </row>
    <row r="63998" spans="31:31">
      <c r="AE63998" s="54"/>
    </row>
    <row r="63999" spans="31:31">
      <c r="AE63999" s="54"/>
    </row>
    <row r="64000" spans="31:31">
      <c r="AE64000" s="54"/>
    </row>
    <row r="64001" spans="31:31">
      <c r="AE64001" s="54"/>
    </row>
    <row r="64002" spans="31:31">
      <c r="AE64002" s="54"/>
    </row>
    <row r="64003" spans="31:31">
      <c r="AE64003" s="54"/>
    </row>
    <row r="64004" spans="31:31">
      <c r="AE64004" s="54"/>
    </row>
    <row r="64005" spans="31:31">
      <c r="AE64005" s="54"/>
    </row>
    <row r="64006" spans="31:31">
      <c r="AE64006" s="54"/>
    </row>
    <row r="64007" spans="31:31">
      <c r="AE64007" s="54"/>
    </row>
    <row r="64008" spans="31:31">
      <c r="AE64008" s="54"/>
    </row>
    <row r="64009" spans="31:31">
      <c r="AE64009" s="54"/>
    </row>
    <row r="64010" spans="31:31">
      <c r="AE64010" s="54"/>
    </row>
    <row r="64011" spans="31:31">
      <c r="AE64011" s="54"/>
    </row>
    <row r="64012" spans="31:31">
      <c r="AE64012" s="54"/>
    </row>
    <row r="64013" spans="31:31">
      <c r="AE64013" s="54"/>
    </row>
    <row r="64014" spans="31:31">
      <c r="AE64014" s="54"/>
    </row>
    <row r="64015" spans="31:31">
      <c r="AE64015" s="54"/>
    </row>
    <row r="64016" spans="31:31">
      <c r="AE64016" s="54"/>
    </row>
    <row r="64017" spans="31:31">
      <c r="AE64017" s="54"/>
    </row>
    <row r="64018" spans="31:31">
      <c r="AE64018" s="54"/>
    </row>
    <row r="64019" spans="31:31">
      <c r="AE64019" s="54"/>
    </row>
    <row r="64020" spans="31:31">
      <c r="AE64020" s="54"/>
    </row>
    <row r="64021" spans="31:31">
      <c r="AE64021" s="54"/>
    </row>
    <row r="64022" spans="31:31">
      <c r="AE64022" s="54"/>
    </row>
    <row r="64023" spans="31:31">
      <c r="AE64023" s="54"/>
    </row>
    <row r="64024" spans="31:31">
      <c r="AE64024" s="54"/>
    </row>
    <row r="64025" spans="31:31">
      <c r="AE64025" s="54"/>
    </row>
    <row r="64026" spans="31:31">
      <c r="AE64026" s="54"/>
    </row>
    <row r="64027" spans="31:31">
      <c r="AE64027" s="54"/>
    </row>
    <row r="64028" spans="31:31">
      <c r="AE64028" s="54"/>
    </row>
    <row r="64029" spans="31:31">
      <c r="AE64029" s="54"/>
    </row>
    <row r="64030" spans="31:31">
      <c r="AE64030" s="54"/>
    </row>
    <row r="64031" spans="31:31">
      <c r="AE64031" s="54"/>
    </row>
    <row r="64032" spans="31:31">
      <c r="AE64032" s="54"/>
    </row>
    <row r="64033" spans="31:31">
      <c r="AE64033" s="54"/>
    </row>
    <row r="64034" spans="31:31">
      <c r="AE64034" s="54"/>
    </row>
    <row r="64035" spans="31:31">
      <c r="AE64035" s="54"/>
    </row>
    <row r="64036" spans="31:31">
      <c r="AE64036" s="54"/>
    </row>
    <row r="64037" spans="31:31">
      <c r="AE64037" s="54"/>
    </row>
    <row r="64038" spans="31:31">
      <c r="AE64038" s="54"/>
    </row>
    <row r="64039" spans="31:31">
      <c r="AE64039" s="54"/>
    </row>
    <row r="64040" spans="31:31">
      <c r="AE64040" s="54"/>
    </row>
    <row r="64041" spans="31:31">
      <c r="AE64041" s="54"/>
    </row>
    <row r="64042" spans="31:31">
      <c r="AE64042" s="54"/>
    </row>
    <row r="64043" spans="31:31">
      <c r="AE64043" s="54"/>
    </row>
    <row r="64044" spans="31:31">
      <c r="AE64044" s="54"/>
    </row>
    <row r="64045" spans="31:31">
      <c r="AE64045" s="54"/>
    </row>
    <row r="64046" spans="31:31">
      <c r="AE64046" s="54"/>
    </row>
    <row r="64047" spans="31:31">
      <c r="AE64047" s="54"/>
    </row>
    <row r="64048" spans="31:31">
      <c r="AE64048" s="54"/>
    </row>
    <row r="64049" spans="31:31">
      <c r="AE64049" s="54"/>
    </row>
    <row r="64050" spans="31:31">
      <c r="AE64050" s="54"/>
    </row>
    <row r="64051" spans="31:31">
      <c r="AE64051" s="54"/>
    </row>
    <row r="64052" spans="31:31">
      <c r="AE64052" s="54"/>
    </row>
    <row r="64053" spans="31:31">
      <c r="AE64053" s="54"/>
    </row>
    <row r="64054" spans="31:31">
      <c r="AE64054" s="54"/>
    </row>
    <row r="64055" spans="31:31">
      <c r="AE64055" s="54"/>
    </row>
    <row r="64056" spans="31:31">
      <c r="AE64056" s="54"/>
    </row>
    <row r="64057" spans="31:31">
      <c r="AE64057" s="54"/>
    </row>
    <row r="64058" spans="31:31">
      <c r="AE64058" s="54"/>
    </row>
    <row r="64059" spans="31:31">
      <c r="AE64059" s="54"/>
    </row>
    <row r="64060" spans="31:31">
      <c r="AE64060" s="54"/>
    </row>
    <row r="64061" spans="31:31">
      <c r="AE64061" s="54"/>
    </row>
    <row r="64062" spans="31:31">
      <c r="AE64062" s="54"/>
    </row>
    <row r="64063" spans="31:31">
      <c r="AE64063" s="54"/>
    </row>
    <row r="64064" spans="31:31">
      <c r="AE64064" s="54"/>
    </row>
    <row r="64065" spans="31:31">
      <c r="AE64065" s="54"/>
    </row>
    <row r="64066" spans="31:31">
      <c r="AE64066" s="54"/>
    </row>
    <row r="64067" spans="31:31">
      <c r="AE64067" s="54"/>
    </row>
    <row r="64068" spans="31:31">
      <c r="AE64068" s="54"/>
    </row>
    <row r="64069" spans="31:31">
      <c r="AE64069" s="54"/>
    </row>
    <row r="64070" spans="31:31">
      <c r="AE64070" s="54"/>
    </row>
    <row r="64071" spans="31:31">
      <c r="AE64071" s="54"/>
    </row>
    <row r="64072" spans="31:31">
      <c r="AE64072" s="54"/>
    </row>
    <row r="64073" spans="31:31">
      <c r="AE64073" s="54"/>
    </row>
    <row r="64074" spans="31:31">
      <c r="AE64074" s="54"/>
    </row>
    <row r="64075" spans="31:31">
      <c r="AE64075" s="54"/>
    </row>
    <row r="64076" spans="31:31">
      <c r="AE64076" s="54"/>
    </row>
    <row r="64077" spans="31:31">
      <c r="AE64077" s="54"/>
    </row>
    <row r="64078" spans="31:31">
      <c r="AE64078" s="54"/>
    </row>
    <row r="64079" spans="31:31">
      <c r="AE64079" s="54"/>
    </row>
    <row r="64080" spans="31:31">
      <c r="AE64080" s="54"/>
    </row>
    <row r="64081" spans="31:31">
      <c r="AE64081" s="54"/>
    </row>
    <row r="64082" spans="31:31">
      <c r="AE64082" s="54"/>
    </row>
    <row r="64083" spans="31:31">
      <c r="AE64083" s="54"/>
    </row>
    <row r="64084" spans="31:31">
      <c r="AE64084" s="54"/>
    </row>
    <row r="64085" spans="31:31">
      <c r="AE64085" s="54"/>
    </row>
    <row r="64086" spans="31:31">
      <c r="AE64086" s="54"/>
    </row>
    <row r="64087" spans="31:31">
      <c r="AE64087" s="54"/>
    </row>
    <row r="64088" spans="31:31">
      <c r="AE64088" s="54"/>
    </row>
    <row r="64089" spans="31:31">
      <c r="AE64089" s="54"/>
    </row>
    <row r="64090" spans="31:31">
      <c r="AE64090" s="54"/>
    </row>
    <row r="64091" spans="31:31">
      <c r="AE64091" s="54"/>
    </row>
    <row r="64092" spans="31:31">
      <c r="AE64092" s="54"/>
    </row>
    <row r="64093" spans="31:31">
      <c r="AE64093" s="54"/>
    </row>
    <row r="64094" spans="31:31">
      <c r="AE64094" s="54"/>
    </row>
    <row r="64095" spans="31:31">
      <c r="AE64095" s="54"/>
    </row>
    <row r="64096" spans="31:31">
      <c r="AE64096" s="54"/>
    </row>
    <row r="64097" spans="31:31">
      <c r="AE64097" s="54"/>
    </row>
    <row r="64098" spans="31:31">
      <c r="AE64098" s="54"/>
    </row>
    <row r="64099" spans="31:31">
      <c r="AE64099" s="54"/>
    </row>
    <row r="64100" spans="31:31">
      <c r="AE64100" s="54"/>
    </row>
    <row r="64101" spans="31:31">
      <c r="AE64101" s="54"/>
    </row>
    <row r="64102" spans="31:31">
      <c r="AE64102" s="54"/>
    </row>
    <row r="64103" spans="31:31">
      <c r="AE64103" s="54"/>
    </row>
    <row r="64104" spans="31:31">
      <c r="AE64104" s="54"/>
    </row>
    <row r="64105" spans="31:31">
      <c r="AE64105" s="54"/>
    </row>
    <row r="64106" spans="31:31">
      <c r="AE64106" s="54"/>
    </row>
    <row r="64107" spans="31:31">
      <c r="AE64107" s="54"/>
    </row>
    <row r="64108" spans="31:31">
      <c r="AE64108" s="54"/>
    </row>
    <row r="64109" spans="31:31">
      <c r="AE64109" s="54"/>
    </row>
    <row r="64110" spans="31:31">
      <c r="AE64110" s="54"/>
    </row>
    <row r="64111" spans="31:31">
      <c r="AE64111" s="54"/>
    </row>
    <row r="64112" spans="31:31">
      <c r="AE64112" s="54"/>
    </row>
    <row r="64113" spans="31:31">
      <c r="AE64113" s="54"/>
    </row>
    <row r="64114" spans="31:31">
      <c r="AE64114" s="54"/>
    </row>
    <row r="64115" spans="31:31">
      <c r="AE64115" s="54"/>
    </row>
    <row r="64116" spans="31:31">
      <c r="AE64116" s="54"/>
    </row>
    <row r="64117" spans="31:31">
      <c r="AE64117" s="54"/>
    </row>
    <row r="64118" spans="31:31">
      <c r="AE64118" s="54"/>
    </row>
    <row r="64119" spans="31:31">
      <c r="AE64119" s="54"/>
    </row>
    <row r="64120" spans="31:31">
      <c r="AE64120" s="54"/>
    </row>
    <row r="64121" spans="31:31">
      <c r="AE64121" s="54"/>
    </row>
    <row r="64122" spans="31:31">
      <c r="AE64122" s="54"/>
    </row>
    <row r="64123" spans="31:31">
      <c r="AE64123" s="54"/>
    </row>
    <row r="64124" spans="31:31">
      <c r="AE64124" s="54"/>
    </row>
    <row r="64125" spans="31:31">
      <c r="AE64125" s="54"/>
    </row>
    <row r="64126" spans="31:31">
      <c r="AE64126" s="54"/>
    </row>
    <row r="64127" spans="31:31">
      <c r="AE64127" s="54"/>
    </row>
    <row r="64128" spans="31:31">
      <c r="AE64128" s="54"/>
    </row>
    <row r="64129" spans="31:31">
      <c r="AE64129" s="54"/>
    </row>
    <row r="64130" spans="31:31">
      <c r="AE64130" s="54"/>
    </row>
    <row r="64131" spans="31:31">
      <c r="AE64131" s="54"/>
    </row>
    <row r="64132" spans="31:31">
      <c r="AE64132" s="54"/>
    </row>
    <row r="64133" spans="31:31">
      <c r="AE64133" s="54"/>
    </row>
    <row r="64134" spans="31:31">
      <c r="AE64134" s="54"/>
    </row>
    <row r="64135" spans="31:31">
      <c r="AE64135" s="54"/>
    </row>
    <row r="64136" spans="31:31">
      <c r="AE64136" s="54"/>
    </row>
    <row r="64137" spans="31:31">
      <c r="AE64137" s="54"/>
    </row>
    <row r="64138" spans="31:31">
      <c r="AE64138" s="54"/>
    </row>
    <row r="64139" spans="31:31">
      <c r="AE64139" s="54"/>
    </row>
    <row r="64140" spans="31:31">
      <c r="AE64140" s="54"/>
    </row>
    <row r="64141" spans="31:31">
      <c r="AE64141" s="54"/>
    </row>
    <row r="64142" spans="31:31">
      <c r="AE64142" s="54"/>
    </row>
    <row r="64143" spans="31:31">
      <c r="AE64143" s="54"/>
    </row>
    <row r="64144" spans="31:31">
      <c r="AE64144" s="54"/>
    </row>
    <row r="64145" spans="31:31">
      <c r="AE64145" s="54"/>
    </row>
    <row r="64146" spans="31:31">
      <c r="AE64146" s="54"/>
    </row>
    <row r="64147" spans="31:31">
      <c r="AE64147" s="54"/>
    </row>
    <row r="64148" spans="31:31">
      <c r="AE64148" s="54"/>
    </row>
    <row r="64149" spans="31:31">
      <c r="AE64149" s="54"/>
    </row>
    <row r="64150" spans="31:31">
      <c r="AE64150" s="54"/>
    </row>
    <row r="64151" spans="31:31">
      <c r="AE64151" s="54"/>
    </row>
    <row r="64152" spans="31:31">
      <c r="AE64152" s="54"/>
    </row>
    <row r="64153" spans="31:31">
      <c r="AE64153" s="54"/>
    </row>
    <row r="64154" spans="31:31">
      <c r="AE64154" s="54"/>
    </row>
    <row r="64155" spans="31:31">
      <c r="AE64155" s="54"/>
    </row>
    <row r="64156" spans="31:31">
      <c r="AE64156" s="54"/>
    </row>
    <row r="64157" spans="31:31">
      <c r="AE64157" s="54"/>
    </row>
    <row r="64158" spans="31:31">
      <c r="AE64158" s="54"/>
    </row>
    <row r="64159" spans="31:31">
      <c r="AE64159" s="54"/>
    </row>
    <row r="64160" spans="31:31">
      <c r="AE64160" s="54"/>
    </row>
    <row r="64161" spans="31:31">
      <c r="AE64161" s="54"/>
    </row>
    <row r="64162" spans="31:31">
      <c r="AE64162" s="54"/>
    </row>
    <row r="64163" spans="31:31">
      <c r="AE64163" s="54"/>
    </row>
    <row r="64164" spans="31:31">
      <c r="AE64164" s="54"/>
    </row>
    <row r="64165" spans="31:31">
      <c r="AE64165" s="54"/>
    </row>
    <row r="64166" spans="31:31">
      <c r="AE64166" s="54"/>
    </row>
    <row r="64167" spans="31:31">
      <c r="AE64167" s="54"/>
    </row>
    <row r="64168" spans="31:31">
      <c r="AE64168" s="54"/>
    </row>
    <row r="64169" spans="31:31">
      <c r="AE64169" s="54"/>
    </row>
    <row r="64170" spans="31:31">
      <c r="AE64170" s="54"/>
    </row>
    <row r="64171" spans="31:31">
      <c r="AE64171" s="54"/>
    </row>
    <row r="64172" spans="31:31">
      <c r="AE64172" s="54"/>
    </row>
    <row r="64173" spans="31:31">
      <c r="AE64173" s="54"/>
    </row>
    <row r="64174" spans="31:31">
      <c r="AE64174" s="54"/>
    </row>
    <row r="64175" spans="31:31">
      <c r="AE64175" s="54"/>
    </row>
    <row r="64176" spans="31:31">
      <c r="AE64176" s="54"/>
    </row>
    <row r="64177" spans="31:31">
      <c r="AE64177" s="54"/>
    </row>
    <row r="64178" spans="31:31">
      <c r="AE64178" s="54"/>
    </row>
    <row r="64179" spans="31:31">
      <c r="AE64179" s="54"/>
    </row>
    <row r="64180" spans="31:31">
      <c r="AE64180" s="54"/>
    </row>
    <row r="64181" spans="31:31">
      <c r="AE64181" s="54"/>
    </row>
    <row r="64182" spans="31:31">
      <c r="AE64182" s="54"/>
    </row>
    <row r="64183" spans="31:31">
      <c r="AE64183" s="54"/>
    </row>
    <row r="64184" spans="31:31">
      <c r="AE64184" s="54"/>
    </row>
    <row r="64185" spans="31:31">
      <c r="AE64185" s="54"/>
    </row>
    <row r="64186" spans="31:31">
      <c r="AE64186" s="54"/>
    </row>
    <row r="64187" spans="31:31">
      <c r="AE64187" s="54"/>
    </row>
    <row r="64188" spans="31:31">
      <c r="AE64188" s="54"/>
    </row>
    <row r="64189" spans="31:31">
      <c r="AE64189" s="54"/>
    </row>
    <row r="64190" spans="31:31">
      <c r="AE64190" s="54"/>
    </row>
    <row r="64191" spans="31:31">
      <c r="AE64191" s="54"/>
    </row>
    <row r="64192" spans="31:31">
      <c r="AE64192" s="54"/>
    </row>
    <row r="64193" spans="31:31">
      <c r="AE64193" s="54"/>
    </row>
    <row r="64194" spans="31:31">
      <c r="AE64194" s="54"/>
    </row>
    <row r="64195" spans="31:31">
      <c r="AE64195" s="54"/>
    </row>
    <row r="64196" spans="31:31">
      <c r="AE64196" s="54"/>
    </row>
    <row r="64197" spans="31:31">
      <c r="AE64197" s="54"/>
    </row>
    <row r="64198" spans="31:31">
      <c r="AE64198" s="54"/>
    </row>
    <row r="64199" spans="31:31">
      <c r="AE64199" s="54"/>
    </row>
    <row r="64200" spans="31:31">
      <c r="AE64200" s="54"/>
    </row>
    <row r="64201" spans="31:31">
      <c r="AE64201" s="54"/>
    </row>
    <row r="64202" spans="31:31">
      <c r="AE64202" s="54"/>
    </row>
    <row r="64203" spans="31:31">
      <c r="AE64203" s="54"/>
    </row>
    <row r="64204" spans="31:31">
      <c r="AE64204" s="54"/>
    </row>
    <row r="64205" spans="31:31">
      <c r="AE64205" s="54"/>
    </row>
    <row r="64206" spans="31:31">
      <c r="AE64206" s="54"/>
    </row>
    <row r="64207" spans="31:31">
      <c r="AE64207" s="54"/>
    </row>
    <row r="64208" spans="31:31">
      <c r="AE64208" s="54"/>
    </row>
    <row r="64209" spans="31:31">
      <c r="AE64209" s="54"/>
    </row>
    <row r="64210" spans="31:31">
      <c r="AE64210" s="54"/>
    </row>
    <row r="64211" spans="31:31">
      <c r="AE64211" s="54"/>
    </row>
    <row r="64212" spans="31:31">
      <c r="AE64212" s="54"/>
    </row>
    <row r="64213" spans="31:31">
      <c r="AE64213" s="54"/>
    </row>
    <row r="64214" spans="31:31">
      <c r="AE64214" s="54"/>
    </row>
    <row r="64215" spans="31:31">
      <c r="AE64215" s="54"/>
    </row>
    <row r="64216" spans="31:31">
      <c r="AE64216" s="54"/>
    </row>
    <row r="64217" spans="31:31">
      <c r="AE64217" s="54"/>
    </row>
    <row r="64218" spans="31:31">
      <c r="AE64218" s="54"/>
    </row>
    <row r="64219" spans="31:31">
      <c r="AE64219" s="54"/>
    </row>
    <row r="64220" spans="31:31">
      <c r="AE64220" s="54"/>
    </row>
    <row r="64221" spans="31:31">
      <c r="AE64221" s="54"/>
    </row>
    <row r="64222" spans="31:31">
      <c r="AE64222" s="54"/>
    </row>
    <row r="64223" spans="31:31">
      <c r="AE64223" s="54"/>
    </row>
    <row r="64224" spans="31:31">
      <c r="AE64224" s="54"/>
    </row>
    <row r="64225" spans="31:31">
      <c r="AE64225" s="54"/>
    </row>
    <row r="64226" spans="31:31">
      <c r="AE64226" s="54"/>
    </row>
    <row r="64227" spans="31:31">
      <c r="AE64227" s="54"/>
    </row>
    <row r="64228" spans="31:31">
      <c r="AE64228" s="54"/>
    </row>
    <row r="64229" spans="31:31">
      <c r="AE64229" s="54"/>
    </row>
    <row r="64230" spans="31:31">
      <c r="AE64230" s="54"/>
    </row>
    <row r="64231" spans="31:31">
      <c r="AE64231" s="54"/>
    </row>
    <row r="64232" spans="31:31">
      <c r="AE64232" s="54"/>
    </row>
    <row r="64233" spans="31:31">
      <c r="AE64233" s="54"/>
    </row>
    <row r="64234" spans="31:31">
      <c r="AE64234" s="54"/>
    </row>
    <row r="64235" spans="31:31">
      <c r="AE64235" s="54"/>
    </row>
    <row r="64236" spans="31:31">
      <c r="AE64236" s="54"/>
    </row>
    <row r="64237" spans="31:31">
      <c r="AE64237" s="54"/>
    </row>
    <row r="64238" spans="31:31">
      <c r="AE64238" s="54"/>
    </row>
    <row r="64239" spans="31:31">
      <c r="AE64239" s="54"/>
    </row>
    <row r="64240" spans="31:31">
      <c r="AE64240" s="54"/>
    </row>
    <row r="64241" spans="31:31">
      <c r="AE64241" s="54"/>
    </row>
    <row r="64242" spans="31:31">
      <c r="AE64242" s="54"/>
    </row>
    <row r="64243" spans="31:31">
      <c r="AE64243" s="54"/>
    </row>
    <row r="64244" spans="31:31">
      <c r="AE64244" s="54"/>
    </row>
    <row r="64245" spans="31:31">
      <c r="AE64245" s="54"/>
    </row>
    <row r="64246" spans="31:31">
      <c r="AE64246" s="54"/>
    </row>
    <row r="64247" spans="31:31">
      <c r="AE64247" s="54"/>
    </row>
    <row r="64248" spans="31:31">
      <c r="AE64248" s="54"/>
    </row>
    <row r="64249" spans="31:31">
      <c r="AE64249" s="54"/>
    </row>
    <row r="64250" spans="31:31">
      <c r="AE64250" s="54"/>
    </row>
    <row r="64251" spans="31:31">
      <c r="AE64251" s="54"/>
    </row>
    <row r="64252" spans="31:31">
      <c r="AE64252" s="54"/>
    </row>
    <row r="64253" spans="31:31">
      <c r="AE64253" s="54"/>
    </row>
    <row r="64254" spans="31:31">
      <c r="AE64254" s="54"/>
    </row>
    <row r="64255" spans="31:31">
      <c r="AE64255" s="54"/>
    </row>
    <row r="64256" spans="31:31">
      <c r="AE64256" s="54"/>
    </row>
    <row r="64257" spans="31:31">
      <c r="AE64257" s="54"/>
    </row>
    <row r="64258" spans="31:31">
      <c r="AE64258" s="54"/>
    </row>
    <row r="64259" spans="31:31">
      <c r="AE64259" s="54"/>
    </row>
    <row r="64260" spans="31:31">
      <c r="AE64260" s="54"/>
    </row>
    <row r="64261" spans="31:31">
      <c r="AE64261" s="54"/>
    </row>
    <row r="64262" spans="31:31">
      <c r="AE64262" s="54"/>
    </row>
    <row r="64263" spans="31:31">
      <c r="AE64263" s="54"/>
    </row>
    <row r="64264" spans="31:31">
      <c r="AE64264" s="54"/>
    </row>
    <row r="64265" spans="31:31">
      <c r="AE64265" s="54"/>
    </row>
    <row r="64266" spans="31:31">
      <c r="AE64266" s="54"/>
    </row>
    <row r="64267" spans="31:31">
      <c r="AE64267" s="54"/>
    </row>
    <row r="64268" spans="31:31">
      <c r="AE64268" s="54"/>
    </row>
    <row r="64269" spans="31:31">
      <c r="AE64269" s="54"/>
    </row>
    <row r="64270" spans="31:31">
      <c r="AE64270" s="54"/>
    </row>
    <row r="64271" spans="31:31">
      <c r="AE64271" s="54"/>
    </row>
    <row r="64272" spans="31:31">
      <c r="AE64272" s="54"/>
    </row>
    <row r="64273" spans="31:31">
      <c r="AE64273" s="54"/>
    </row>
    <row r="64274" spans="31:31">
      <c r="AE64274" s="54"/>
    </row>
    <row r="64275" spans="31:31">
      <c r="AE64275" s="54"/>
    </row>
    <row r="64276" spans="31:31">
      <c r="AE64276" s="54"/>
    </row>
    <row r="64277" spans="31:31">
      <c r="AE64277" s="54"/>
    </row>
    <row r="64278" spans="31:31">
      <c r="AE64278" s="54"/>
    </row>
    <row r="64279" spans="31:31">
      <c r="AE64279" s="54"/>
    </row>
    <row r="64280" spans="31:31">
      <c r="AE64280" s="54"/>
    </row>
    <row r="64281" spans="31:31">
      <c r="AE64281" s="54"/>
    </row>
    <row r="64282" spans="31:31">
      <c r="AE64282" s="54"/>
    </row>
    <row r="64283" spans="31:31">
      <c r="AE64283" s="54"/>
    </row>
    <row r="64284" spans="31:31">
      <c r="AE64284" s="54"/>
    </row>
    <row r="64285" spans="31:31">
      <c r="AE64285" s="54"/>
    </row>
    <row r="64286" spans="31:31">
      <c r="AE64286" s="54"/>
    </row>
    <row r="64287" spans="31:31">
      <c r="AE64287" s="54"/>
    </row>
    <row r="64288" spans="31:31">
      <c r="AE64288" s="54"/>
    </row>
    <row r="64289" spans="31:31">
      <c r="AE64289" s="54"/>
    </row>
    <row r="64290" spans="31:31">
      <c r="AE64290" s="54"/>
    </row>
    <row r="64291" spans="31:31">
      <c r="AE64291" s="54"/>
    </row>
    <row r="64292" spans="31:31">
      <c r="AE64292" s="54"/>
    </row>
    <row r="64293" spans="31:31">
      <c r="AE64293" s="54"/>
    </row>
    <row r="64294" spans="31:31">
      <c r="AE64294" s="54"/>
    </row>
    <row r="64295" spans="31:31">
      <c r="AE64295" s="54"/>
    </row>
    <row r="64296" spans="31:31">
      <c r="AE64296" s="54"/>
    </row>
    <row r="64297" spans="31:31">
      <c r="AE64297" s="54"/>
    </row>
    <row r="64298" spans="31:31">
      <c r="AE64298" s="54"/>
    </row>
    <row r="64299" spans="31:31">
      <c r="AE64299" s="54"/>
    </row>
    <row r="64300" spans="31:31">
      <c r="AE64300" s="54"/>
    </row>
    <row r="64301" spans="31:31">
      <c r="AE64301" s="54"/>
    </row>
    <row r="64302" spans="31:31">
      <c r="AE64302" s="54"/>
    </row>
    <row r="64303" spans="31:31">
      <c r="AE64303" s="54"/>
    </row>
    <row r="64304" spans="31:31">
      <c r="AE64304" s="54"/>
    </row>
    <row r="64305" spans="31:31">
      <c r="AE64305" s="54"/>
    </row>
    <row r="64306" spans="31:31">
      <c r="AE64306" s="54"/>
    </row>
    <row r="64307" spans="31:31">
      <c r="AE64307" s="54"/>
    </row>
    <row r="64308" spans="31:31">
      <c r="AE64308" s="54"/>
    </row>
    <row r="64309" spans="31:31">
      <c r="AE64309" s="54"/>
    </row>
    <row r="64310" spans="31:31">
      <c r="AE64310" s="54"/>
    </row>
    <row r="64311" spans="31:31">
      <c r="AE64311" s="54"/>
    </row>
    <row r="64312" spans="31:31">
      <c r="AE64312" s="54"/>
    </row>
    <row r="64313" spans="31:31">
      <c r="AE64313" s="54"/>
    </row>
    <row r="64314" spans="31:31">
      <c r="AE64314" s="54"/>
    </row>
    <row r="64315" spans="31:31">
      <c r="AE64315" s="54"/>
    </row>
    <row r="64316" spans="31:31">
      <c r="AE64316" s="54"/>
    </row>
    <row r="64317" spans="31:31">
      <c r="AE64317" s="54"/>
    </row>
    <row r="64318" spans="31:31">
      <c r="AE64318" s="54"/>
    </row>
    <row r="64319" spans="31:31">
      <c r="AE64319" s="54"/>
    </row>
    <row r="64320" spans="31:31">
      <c r="AE64320" s="54"/>
    </row>
    <row r="64321" spans="31:31">
      <c r="AE64321" s="54"/>
    </row>
    <row r="64322" spans="31:31">
      <c r="AE64322" s="54"/>
    </row>
    <row r="64323" spans="31:31">
      <c r="AE64323" s="54"/>
    </row>
    <row r="64324" spans="31:31">
      <c r="AE64324" s="54"/>
    </row>
    <row r="64325" spans="31:31">
      <c r="AE64325" s="54"/>
    </row>
    <row r="64326" spans="31:31">
      <c r="AE64326" s="54"/>
    </row>
    <row r="64327" spans="31:31">
      <c r="AE64327" s="54"/>
    </row>
    <row r="64328" spans="31:31">
      <c r="AE64328" s="54"/>
    </row>
    <row r="64329" spans="31:31">
      <c r="AE64329" s="54"/>
    </row>
    <row r="64330" spans="31:31">
      <c r="AE64330" s="54"/>
    </row>
    <row r="64331" spans="31:31">
      <c r="AE64331" s="54"/>
    </row>
    <row r="64332" spans="31:31">
      <c r="AE64332" s="54"/>
    </row>
    <row r="64333" spans="31:31">
      <c r="AE64333" s="54"/>
    </row>
    <row r="64334" spans="31:31">
      <c r="AE64334" s="54"/>
    </row>
    <row r="64335" spans="31:31">
      <c r="AE64335" s="54"/>
    </row>
    <row r="64336" spans="31:31">
      <c r="AE64336" s="54"/>
    </row>
    <row r="64337" spans="31:31">
      <c r="AE64337" s="54"/>
    </row>
    <row r="64338" spans="31:31">
      <c r="AE64338" s="54"/>
    </row>
    <row r="64339" spans="31:31">
      <c r="AE64339" s="54"/>
    </row>
    <row r="64340" spans="31:31">
      <c r="AE64340" s="54"/>
    </row>
    <row r="64341" spans="31:31">
      <c r="AE64341" s="54"/>
    </row>
    <row r="64342" spans="31:31">
      <c r="AE64342" s="54"/>
    </row>
    <row r="64343" spans="31:31">
      <c r="AE64343" s="54"/>
    </row>
    <row r="64344" spans="31:31">
      <c r="AE64344" s="54"/>
    </row>
    <row r="64345" spans="31:31">
      <c r="AE64345" s="54"/>
    </row>
    <row r="64346" spans="31:31">
      <c r="AE64346" s="54"/>
    </row>
    <row r="64347" spans="31:31">
      <c r="AE64347" s="54"/>
    </row>
    <row r="64348" spans="31:31">
      <c r="AE64348" s="54"/>
    </row>
    <row r="64349" spans="31:31">
      <c r="AE64349" s="54"/>
    </row>
    <row r="64350" spans="31:31">
      <c r="AE64350" s="54"/>
    </row>
    <row r="64351" spans="31:31">
      <c r="AE64351" s="54"/>
    </row>
    <row r="64352" spans="31:31">
      <c r="AE64352" s="54"/>
    </row>
    <row r="64353" spans="31:31">
      <c r="AE64353" s="54"/>
    </row>
    <row r="64354" spans="31:31">
      <c r="AE64354" s="54"/>
    </row>
    <row r="64355" spans="31:31">
      <c r="AE64355" s="54"/>
    </row>
    <row r="64356" spans="31:31">
      <c r="AE64356" s="54"/>
    </row>
    <row r="64357" spans="31:31">
      <c r="AE64357" s="54"/>
    </row>
    <row r="64358" spans="31:31">
      <c r="AE64358" s="54"/>
    </row>
    <row r="64359" spans="31:31">
      <c r="AE64359" s="54"/>
    </row>
    <row r="64360" spans="31:31">
      <c r="AE64360" s="54"/>
    </row>
    <row r="64361" spans="31:31">
      <c r="AE64361" s="54"/>
    </row>
    <row r="64362" spans="31:31">
      <c r="AE64362" s="54"/>
    </row>
    <row r="64363" spans="31:31">
      <c r="AE64363" s="54"/>
    </row>
    <row r="64364" spans="31:31">
      <c r="AE64364" s="54"/>
    </row>
    <row r="64365" spans="31:31">
      <c r="AE64365" s="54"/>
    </row>
    <row r="64366" spans="31:31">
      <c r="AE64366" s="54"/>
    </row>
    <row r="64367" spans="31:31">
      <c r="AE64367" s="54"/>
    </row>
    <row r="64368" spans="31:31">
      <c r="AE64368" s="54"/>
    </row>
    <row r="64369" spans="31:31">
      <c r="AE64369" s="54"/>
    </row>
    <row r="64370" spans="31:31">
      <c r="AE64370" s="54"/>
    </row>
    <row r="64371" spans="31:31">
      <c r="AE64371" s="54"/>
    </row>
    <row r="64372" spans="31:31">
      <c r="AE64372" s="54"/>
    </row>
    <row r="64373" spans="31:31">
      <c r="AE64373" s="54"/>
    </row>
    <row r="64374" spans="31:31">
      <c r="AE64374" s="54"/>
    </row>
    <row r="64375" spans="31:31">
      <c r="AE64375" s="54"/>
    </row>
    <row r="64376" spans="31:31">
      <c r="AE64376" s="54"/>
    </row>
    <row r="64377" spans="31:31">
      <c r="AE64377" s="54"/>
    </row>
    <row r="64378" spans="31:31">
      <c r="AE64378" s="54"/>
    </row>
    <row r="64379" spans="31:31">
      <c r="AE64379" s="54"/>
    </row>
    <row r="64380" spans="31:31">
      <c r="AE64380" s="54"/>
    </row>
    <row r="64381" spans="31:31">
      <c r="AE64381" s="54"/>
    </row>
    <row r="64382" spans="31:31">
      <c r="AE64382" s="54"/>
    </row>
    <row r="64383" spans="31:31">
      <c r="AE64383" s="54"/>
    </row>
    <row r="64384" spans="31:31">
      <c r="AE64384" s="54"/>
    </row>
    <row r="64385" spans="31:31">
      <c r="AE64385" s="54"/>
    </row>
    <row r="64386" spans="31:31">
      <c r="AE64386" s="54"/>
    </row>
    <row r="64387" spans="31:31">
      <c r="AE64387" s="54"/>
    </row>
    <row r="64388" spans="31:31">
      <c r="AE64388" s="54"/>
    </row>
    <row r="64389" spans="31:31">
      <c r="AE64389" s="54"/>
    </row>
    <row r="64390" spans="31:31">
      <c r="AE64390" s="54"/>
    </row>
    <row r="64391" spans="31:31">
      <c r="AE64391" s="54"/>
    </row>
    <row r="64392" spans="31:31">
      <c r="AE64392" s="54"/>
    </row>
    <row r="64393" spans="31:31">
      <c r="AE64393" s="54"/>
    </row>
    <row r="64394" spans="31:31">
      <c r="AE64394" s="54"/>
    </row>
    <row r="64395" spans="31:31">
      <c r="AE64395" s="54"/>
    </row>
    <row r="64396" spans="31:31">
      <c r="AE64396" s="54"/>
    </row>
    <row r="64397" spans="31:31">
      <c r="AE64397" s="54"/>
    </row>
    <row r="64398" spans="31:31">
      <c r="AE64398" s="54"/>
    </row>
    <row r="64399" spans="31:31">
      <c r="AE64399" s="54"/>
    </row>
    <row r="64400" spans="31:31">
      <c r="AE64400" s="54"/>
    </row>
    <row r="64401" spans="31:31">
      <c r="AE64401" s="54"/>
    </row>
    <row r="64402" spans="31:31">
      <c r="AE64402" s="54"/>
    </row>
    <row r="64403" spans="31:31">
      <c r="AE64403" s="54"/>
    </row>
    <row r="64404" spans="31:31">
      <c r="AE64404" s="54"/>
    </row>
    <row r="64405" spans="31:31">
      <c r="AE64405" s="54"/>
    </row>
    <row r="64406" spans="31:31">
      <c r="AE64406" s="54"/>
    </row>
    <row r="64407" spans="31:31">
      <c r="AE64407" s="54"/>
    </row>
    <row r="64408" spans="31:31">
      <c r="AE64408" s="54"/>
    </row>
    <row r="64409" spans="31:31">
      <c r="AE64409" s="54"/>
    </row>
    <row r="64410" spans="31:31">
      <c r="AE64410" s="54"/>
    </row>
    <row r="64411" spans="31:31">
      <c r="AE64411" s="54"/>
    </row>
    <row r="64412" spans="31:31">
      <c r="AE64412" s="54"/>
    </row>
    <row r="64413" spans="31:31">
      <c r="AE64413" s="54"/>
    </row>
    <row r="64414" spans="31:31">
      <c r="AE64414" s="54"/>
    </row>
    <row r="64415" spans="31:31">
      <c r="AE64415" s="54"/>
    </row>
    <row r="64416" spans="31:31">
      <c r="AE64416" s="54"/>
    </row>
    <row r="64417" spans="31:31">
      <c r="AE64417" s="54"/>
    </row>
    <row r="64418" spans="31:31">
      <c r="AE64418" s="54"/>
    </row>
    <row r="64419" spans="31:31">
      <c r="AE64419" s="54"/>
    </row>
    <row r="64420" spans="31:31">
      <c r="AE64420" s="54"/>
    </row>
    <row r="64421" spans="31:31">
      <c r="AE64421" s="54"/>
    </row>
    <row r="64422" spans="31:31">
      <c r="AE64422" s="54"/>
    </row>
    <row r="64423" spans="31:31">
      <c r="AE64423" s="54"/>
    </row>
    <row r="64424" spans="31:31">
      <c r="AE64424" s="54"/>
    </row>
    <row r="64425" spans="31:31">
      <c r="AE64425" s="54"/>
    </row>
    <row r="64426" spans="31:31">
      <c r="AE64426" s="54"/>
    </row>
    <row r="64427" spans="31:31">
      <c r="AE64427" s="54"/>
    </row>
    <row r="64428" spans="31:31">
      <c r="AE64428" s="54"/>
    </row>
    <row r="64429" spans="31:31">
      <c r="AE64429" s="54"/>
    </row>
    <row r="64430" spans="31:31">
      <c r="AE64430" s="54"/>
    </row>
    <row r="64431" spans="31:31">
      <c r="AE64431" s="54"/>
    </row>
    <row r="64432" spans="31:31">
      <c r="AE64432" s="54"/>
    </row>
    <row r="64433" spans="31:31">
      <c r="AE64433" s="54"/>
    </row>
    <row r="64434" spans="31:31">
      <c r="AE64434" s="54"/>
    </row>
    <row r="64435" spans="31:31">
      <c r="AE64435" s="54"/>
    </row>
    <row r="64436" spans="31:31">
      <c r="AE64436" s="54"/>
    </row>
    <row r="64437" spans="31:31">
      <c r="AE64437" s="54"/>
    </row>
    <row r="64438" spans="31:31">
      <c r="AE64438" s="54"/>
    </row>
    <row r="64439" spans="31:31">
      <c r="AE64439" s="54"/>
    </row>
    <row r="64440" spans="31:31">
      <c r="AE64440" s="54"/>
    </row>
    <row r="64441" spans="31:31">
      <c r="AE64441" s="54"/>
    </row>
    <row r="64442" spans="31:31">
      <c r="AE64442" s="54"/>
    </row>
    <row r="64443" spans="31:31">
      <c r="AE64443" s="54"/>
    </row>
    <row r="64444" spans="31:31">
      <c r="AE64444" s="54"/>
    </row>
    <row r="64445" spans="31:31">
      <c r="AE64445" s="54"/>
    </row>
    <row r="64446" spans="31:31">
      <c r="AE64446" s="54"/>
    </row>
    <row r="64447" spans="31:31">
      <c r="AE64447" s="54"/>
    </row>
    <row r="64448" spans="31:31">
      <c r="AE64448" s="54"/>
    </row>
    <row r="64449" spans="31:31">
      <c r="AE64449" s="54"/>
    </row>
    <row r="64450" spans="31:31">
      <c r="AE64450" s="54"/>
    </row>
    <row r="64451" spans="31:31">
      <c r="AE64451" s="54"/>
    </row>
    <row r="64452" spans="31:31">
      <c r="AE64452" s="54"/>
    </row>
    <row r="64453" spans="31:31">
      <c r="AE64453" s="54"/>
    </row>
    <row r="64454" spans="31:31">
      <c r="AE64454" s="54"/>
    </row>
    <row r="64455" spans="31:31">
      <c r="AE64455" s="54"/>
    </row>
    <row r="64456" spans="31:31">
      <c r="AE64456" s="54"/>
    </row>
    <row r="64457" spans="31:31">
      <c r="AE64457" s="54"/>
    </row>
    <row r="64458" spans="31:31">
      <c r="AE64458" s="54"/>
    </row>
    <row r="64459" spans="31:31">
      <c r="AE64459" s="54"/>
    </row>
    <row r="64460" spans="31:31">
      <c r="AE64460" s="54"/>
    </row>
    <row r="64461" spans="31:31">
      <c r="AE64461" s="54"/>
    </row>
    <row r="64462" spans="31:31">
      <c r="AE64462" s="54"/>
    </row>
    <row r="64463" spans="31:31">
      <c r="AE64463" s="54"/>
    </row>
    <row r="64464" spans="31:31">
      <c r="AE64464" s="54"/>
    </row>
    <row r="64465" spans="31:31">
      <c r="AE64465" s="54"/>
    </row>
    <row r="64466" spans="31:31">
      <c r="AE64466" s="54"/>
    </row>
    <row r="64467" spans="31:31">
      <c r="AE64467" s="54"/>
    </row>
    <row r="64468" spans="31:31">
      <c r="AE64468" s="54"/>
    </row>
    <row r="64469" spans="31:31">
      <c r="AE64469" s="54"/>
    </row>
    <row r="64470" spans="31:31">
      <c r="AE64470" s="54"/>
    </row>
    <row r="64471" spans="31:31">
      <c r="AE64471" s="54"/>
    </row>
    <row r="64472" spans="31:31">
      <c r="AE64472" s="54"/>
    </row>
    <row r="64473" spans="31:31">
      <c r="AE64473" s="54"/>
    </row>
    <row r="64474" spans="31:31">
      <c r="AE64474" s="54"/>
    </row>
    <row r="64475" spans="31:31">
      <c r="AE64475" s="54"/>
    </row>
    <row r="64476" spans="31:31">
      <c r="AE64476" s="54"/>
    </row>
    <row r="64477" spans="31:31">
      <c r="AE64477" s="54"/>
    </row>
    <row r="64478" spans="31:31">
      <c r="AE64478" s="54"/>
    </row>
    <row r="64479" spans="31:31">
      <c r="AE64479" s="54"/>
    </row>
    <row r="64480" spans="31:31">
      <c r="AE64480" s="54"/>
    </row>
    <row r="64481" spans="31:31">
      <c r="AE64481" s="54"/>
    </row>
    <row r="64482" spans="31:31">
      <c r="AE64482" s="54"/>
    </row>
    <row r="64483" spans="31:31">
      <c r="AE64483" s="54"/>
    </row>
    <row r="64484" spans="31:31">
      <c r="AE64484" s="54"/>
    </row>
    <row r="64485" spans="31:31">
      <c r="AE64485" s="54"/>
    </row>
    <row r="64486" spans="31:31">
      <c r="AE64486" s="54"/>
    </row>
    <row r="64487" spans="31:31">
      <c r="AE64487" s="54"/>
    </row>
    <row r="64488" spans="31:31">
      <c r="AE64488" s="54"/>
    </row>
    <row r="64489" spans="31:31">
      <c r="AE64489" s="54"/>
    </row>
    <row r="64490" spans="31:31">
      <c r="AE64490" s="54"/>
    </row>
    <row r="64491" spans="31:31">
      <c r="AE64491" s="54"/>
    </row>
    <row r="64492" spans="31:31">
      <c r="AE64492" s="54"/>
    </row>
    <row r="64493" spans="31:31">
      <c r="AE64493" s="54"/>
    </row>
    <row r="64494" spans="31:31">
      <c r="AE64494" s="54"/>
    </row>
    <row r="64495" spans="31:31">
      <c r="AE64495" s="54"/>
    </row>
    <row r="64496" spans="31:31">
      <c r="AE64496" s="54"/>
    </row>
    <row r="64497" spans="31:31">
      <c r="AE64497" s="54"/>
    </row>
    <row r="64498" spans="31:31">
      <c r="AE64498" s="54"/>
    </row>
    <row r="64499" spans="31:31">
      <c r="AE64499" s="54"/>
    </row>
    <row r="64500" spans="31:31">
      <c r="AE64500" s="54"/>
    </row>
    <row r="64501" spans="31:31">
      <c r="AE64501" s="54"/>
    </row>
    <row r="64502" spans="31:31">
      <c r="AE64502" s="54"/>
    </row>
    <row r="64503" spans="31:31">
      <c r="AE64503" s="54"/>
    </row>
    <row r="64504" spans="31:31">
      <c r="AE64504" s="54"/>
    </row>
    <row r="64505" spans="31:31">
      <c r="AE64505" s="54"/>
    </row>
    <row r="64506" spans="31:31">
      <c r="AE64506" s="54"/>
    </row>
    <row r="64507" spans="31:31">
      <c r="AE64507" s="54"/>
    </row>
    <row r="64508" spans="31:31">
      <c r="AE64508" s="54"/>
    </row>
    <row r="64509" spans="31:31">
      <c r="AE64509" s="54"/>
    </row>
    <row r="64510" spans="31:31">
      <c r="AE64510" s="54"/>
    </row>
    <row r="64511" spans="31:31">
      <c r="AE64511" s="54"/>
    </row>
    <row r="64512" spans="31:31">
      <c r="AE64512" s="54"/>
    </row>
    <row r="64513" spans="31:31">
      <c r="AE64513" s="54"/>
    </row>
    <row r="64514" spans="31:31">
      <c r="AE64514" s="54"/>
    </row>
    <row r="64515" spans="31:31">
      <c r="AE64515" s="54"/>
    </row>
    <row r="64516" spans="31:31">
      <c r="AE64516" s="54"/>
    </row>
    <row r="64517" spans="31:31">
      <c r="AE64517" s="54"/>
    </row>
    <row r="64518" spans="31:31">
      <c r="AE64518" s="54"/>
    </row>
    <row r="64519" spans="31:31">
      <c r="AE64519" s="54"/>
    </row>
    <row r="64520" spans="31:31">
      <c r="AE64520" s="54"/>
    </row>
    <row r="64521" spans="31:31">
      <c r="AE64521" s="54"/>
    </row>
    <row r="64522" spans="31:31">
      <c r="AE64522" s="54"/>
    </row>
    <row r="64523" spans="31:31">
      <c r="AE64523" s="54"/>
    </row>
    <row r="64524" spans="31:31">
      <c r="AE64524" s="54"/>
    </row>
    <row r="64525" spans="31:31">
      <c r="AE64525" s="54"/>
    </row>
    <row r="64526" spans="31:31">
      <c r="AE64526" s="54"/>
    </row>
    <row r="64527" spans="31:31">
      <c r="AE64527" s="54"/>
    </row>
    <row r="64528" spans="31:31">
      <c r="AE64528" s="54"/>
    </row>
    <row r="64529" spans="31:31">
      <c r="AE64529" s="54"/>
    </row>
    <row r="64530" spans="31:31">
      <c r="AE64530" s="54"/>
    </row>
    <row r="64531" spans="31:31">
      <c r="AE64531" s="54"/>
    </row>
    <row r="64532" spans="31:31">
      <c r="AE64532" s="54"/>
    </row>
    <row r="64533" spans="31:31">
      <c r="AE64533" s="54"/>
    </row>
    <row r="64534" spans="31:31">
      <c r="AE64534" s="54"/>
    </row>
    <row r="64535" spans="31:31">
      <c r="AE64535" s="54"/>
    </row>
    <row r="64536" spans="31:31">
      <c r="AE64536" s="54"/>
    </row>
    <row r="64537" spans="31:31">
      <c r="AE64537" s="54"/>
    </row>
    <row r="64538" spans="31:31">
      <c r="AE64538" s="54"/>
    </row>
    <row r="64539" spans="31:31">
      <c r="AE64539" s="54"/>
    </row>
    <row r="64540" spans="31:31">
      <c r="AE64540" s="54"/>
    </row>
    <row r="64541" spans="31:31">
      <c r="AE64541" s="54"/>
    </row>
    <row r="64542" spans="31:31">
      <c r="AE64542" s="54"/>
    </row>
    <row r="64543" spans="31:31">
      <c r="AE64543" s="54"/>
    </row>
    <row r="64544" spans="31:31">
      <c r="AE64544" s="54"/>
    </row>
    <row r="64545" spans="31:31">
      <c r="AE64545" s="54"/>
    </row>
    <row r="64546" spans="31:31">
      <c r="AE64546" s="54"/>
    </row>
    <row r="64547" spans="31:31">
      <c r="AE64547" s="54"/>
    </row>
    <row r="64548" spans="31:31">
      <c r="AE64548" s="54"/>
    </row>
    <row r="64549" spans="31:31">
      <c r="AE64549" s="54"/>
    </row>
    <row r="64550" spans="31:31">
      <c r="AE64550" s="54"/>
    </row>
    <row r="64551" spans="31:31">
      <c r="AE64551" s="54"/>
    </row>
    <row r="64552" spans="31:31">
      <c r="AE64552" s="54"/>
    </row>
    <row r="64553" spans="31:31">
      <c r="AE64553" s="54"/>
    </row>
    <row r="64554" spans="31:31">
      <c r="AE64554" s="54"/>
    </row>
    <row r="64555" spans="31:31">
      <c r="AE64555" s="54"/>
    </row>
    <row r="64556" spans="31:31">
      <c r="AE64556" s="54"/>
    </row>
    <row r="64557" spans="31:31">
      <c r="AE64557" s="54"/>
    </row>
    <row r="64558" spans="31:31">
      <c r="AE64558" s="54"/>
    </row>
    <row r="64559" spans="31:31">
      <c r="AE64559" s="54"/>
    </row>
    <row r="64560" spans="31:31">
      <c r="AE64560" s="54"/>
    </row>
    <row r="64561" spans="31:31">
      <c r="AE64561" s="54"/>
    </row>
    <row r="64562" spans="31:31">
      <c r="AE64562" s="54"/>
    </row>
    <row r="64563" spans="31:31">
      <c r="AE64563" s="54"/>
    </row>
    <row r="64564" spans="31:31">
      <c r="AE64564" s="54"/>
    </row>
    <row r="64565" spans="31:31">
      <c r="AE64565" s="54"/>
    </row>
    <row r="64566" spans="31:31">
      <c r="AE64566" s="54"/>
    </row>
    <row r="64567" spans="31:31">
      <c r="AE64567" s="54"/>
    </row>
    <row r="64568" spans="31:31">
      <c r="AE64568" s="54"/>
    </row>
    <row r="64569" spans="31:31">
      <c r="AE64569" s="54"/>
    </row>
    <row r="64570" spans="31:31">
      <c r="AE64570" s="54"/>
    </row>
    <row r="64571" spans="31:31">
      <c r="AE64571" s="54"/>
    </row>
    <row r="64572" spans="31:31">
      <c r="AE64572" s="54"/>
    </row>
    <row r="64573" spans="31:31">
      <c r="AE64573" s="54"/>
    </row>
    <row r="64574" spans="31:31">
      <c r="AE64574" s="54"/>
    </row>
    <row r="64575" spans="31:31">
      <c r="AE64575" s="54"/>
    </row>
    <row r="64576" spans="31:31">
      <c r="AE64576" s="54"/>
    </row>
    <row r="64577" spans="31:31">
      <c r="AE64577" s="54"/>
    </row>
    <row r="64578" spans="31:31">
      <c r="AE64578" s="54"/>
    </row>
    <row r="64579" spans="31:31">
      <c r="AE64579" s="54"/>
    </row>
    <row r="64580" spans="31:31">
      <c r="AE64580" s="54"/>
    </row>
    <row r="64581" spans="31:31">
      <c r="AE64581" s="54"/>
    </row>
    <row r="64582" spans="31:31">
      <c r="AE64582" s="54"/>
    </row>
    <row r="64583" spans="31:31">
      <c r="AE64583" s="54"/>
    </row>
    <row r="64584" spans="31:31">
      <c r="AE64584" s="54"/>
    </row>
    <row r="64585" spans="31:31">
      <c r="AE64585" s="54"/>
    </row>
    <row r="64586" spans="31:31">
      <c r="AE64586" s="54"/>
    </row>
    <row r="64587" spans="31:31">
      <c r="AE64587" s="54"/>
    </row>
    <row r="64588" spans="31:31">
      <c r="AE64588" s="54"/>
    </row>
    <row r="64589" spans="31:31">
      <c r="AE64589" s="54"/>
    </row>
    <row r="64590" spans="31:31">
      <c r="AE64590" s="54"/>
    </row>
    <row r="64591" spans="31:31">
      <c r="AE64591" s="54"/>
    </row>
    <row r="64592" spans="31:31">
      <c r="AE64592" s="54"/>
    </row>
    <row r="64593" spans="31:31">
      <c r="AE64593" s="54"/>
    </row>
    <row r="64594" spans="31:31">
      <c r="AE64594" s="54"/>
    </row>
    <row r="64595" spans="31:31">
      <c r="AE64595" s="54"/>
    </row>
    <row r="64596" spans="31:31">
      <c r="AE64596" s="54"/>
    </row>
    <row r="64597" spans="31:31">
      <c r="AE64597" s="54"/>
    </row>
    <row r="64598" spans="31:31">
      <c r="AE64598" s="54"/>
    </row>
    <row r="64599" spans="31:31">
      <c r="AE64599" s="54"/>
    </row>
    <row r="64600" spans="31:31">
      <c r="AE64600" s="54"/>
    </row>
    <row r="64601" spans="31:31">
      <c r="AE64601" s="54"/>
    </row>
    <row r="64602" spans="31:31">
      <c r="AE64602" s="54"/>
    </row>
    <row r="64603" spans="31:31">
      <c r="AE64603" s="54"/>
    </row>
    <row r="64604" spans="31:31">
      <c r="AE64604" s="54"/>
    </row>
    <row r="64605" spans="31:31">
      <c r="AE64605" s="54"/>
    </row>
    <row r="64606" spans="31:31">
      <c r="AE64606" s="54"/>
    </row>
    <row r="64607" spans="31:31">
      <c r="AE64607" s="54"/>
    </row>
    <row r="64608" spans="31:31">
      <c r="AE64608" s="54"/>
    </row>
    <row r="64609" spans="31:31">
      <c r="AE64609" s="54"/>
    </row>
    <row r="64610" spans="31:31">
      <c r="AE64610" s="54"/>
    </row>
    <row r="64611" spans="31:31">
      <c r="AE64611" s="54"/>
    </row>
    <row r="64612" spans="31:31">
      <c r="AE64612" s="54"/>
    </row>
    <row r="64613" spans="31:31">
      <c r="AE64613" s="54"/>
    </row>
    <row r="64614" spans="31:31">
      <c r="AE64614" s="54"/>
    </row>
    <row r="64615" spans="31:31">
      <c r="AE64615" s="54"/>
    </row>
    <row r="64616" spans="31:31">
      <c r="AE64616" s="54"/>
    </row>
    <row r="64617" spans="31:31">
      <c r="AE64617" s="54"/>
    </row>
    <row r="64618" spans="31:31">
      <c r="AE64618" s="54"/>
    </row>
    <row r="64619" spans="31:31">
      <c r="AE64619" s="54"/>
    </row>
    <row r="64620" spans="31:31">
      <c r="AE64620" s="54"/>
    </row>
    <row r="64621" spans="31:31">
      <c r="AE64621" s="54"/>
    </row>
    <row r="64622" spans="31:31">
      <c r="AE64622" s="54"/>
    </row>
    <row r="64623" spans="31:31">
      <c r="AE64623" s="54"/>
    </row>
    <row r="64624" spans="31:31">
      <c r="AE64624" s="54"/>
    </row>
    <row r="64625" spans="31:31">
      <c r="AE64625" s="54"/>
    </row>
    <row r="64626" spans="31:31">
      <c r="AE64626" s="54"/>
    </row>
    <row r="64627" spans="31:31">
      <c r="AE64627" s="54"/>
    </row>
    <row r="64628" spans="31:31">
      <c r="AE64628" s="54"/>
    </row>
    <row r="64629" spans="31:31">
      <c r="AE64629" s="54"/>
    </row>
    <row r="64630" spans="31:31">
      <c r="AE64630" s="54"/>
    </row>
    <row r="64631" spans="31:31">
      <c r="AE64631" s="54"/>
    </row>
    <row r="64632" spans="31:31">
      <c r="AE64632" s="54"/>
    </row>
    <row r="64633" spans="31:31">
      <c r="AE64633" s="54"/>
    </row>
    <row r="64634" spans="31:31">
      <c r="AE64634" s="54"/>
    </row>
    <row r="64635" spans="31:31">
      <c r="AE64635" s="54"/>
    </row>
    <row r="64636" spans="31:31">
      <c r="AE64636" s="54"/>
    </row>
    <row r="64637" spans="31:31">
      <c r="AE64637" s="54"/>
    </row>
    <row r="64638" spans="31:31">
      <c r="AE64638" s="54"/>
    </row>
    <row r="64639" spans="31:31">
      <c r="AE64639" s="54"/>
    </row>
    <row r="64640" spans="31:31">
      <c r="AE64640" s="54"/>
    </row>
    <row r="64641" spans="31:31">
      <c r="AE64641" s="54"/>
    </row>
    <row r="64642" spans="31:31">
      <c r="AE64642" s="54"/>
    </row>
    <row r="64643" spans="31:31">
      <c r="AE64643" s="54"/>
    </row>
    <row r="64644" spans="31:31">
      <c r="AE64644" s="54"/>
    </row>
    <row r="64645" spans="31:31">
      <c r="AE64645" s="54"/>
    </row>
    <row r="64646" spans="31:31">
      <c r="AE64646" s="54"/>
    </row>
    <row r="64647" spans="31:31">
      <c r="AE64647" s="54"/>
    </row>
    <row r="64648" spans="31:31">
      <c r="AE64648" s="54"/>
    </row>
    <row r="64649" spans="31:31">
      <c r="AE64649" s="54"/>
    </row>
    <row r="64650" spans="31:31">
      <c r="AE64650" s="54"/>
    </row>
    <row r="64651" spans="31:31">
      <c r="AE64651" s="54"/>
    </row>
    <row r="64652" spans="31:31">
      <c r="AE64652" s="54"/>
    </row>
    <row r="64653" spans="31:31">
      <c r="AE64653" s="54"/>
    </row>
    <row r="64654" spans="31:31">
      <c r="AE64654" s="54"/>
    </row>
    <row r="64655" spans="31:31">
      <c r="AE64655" s="54"/>
    </row>
    <row r="64656" spans="31:31">
      <c r="AE64656" s="54"/>
    </row>
    <row r="64657" spans="31:31">
      <c r="AE64657" s="54"/>
    </row>
    <row r="64658" spans="31:31">
      <c r="AE64658" s="54"/>
    </row>
    <row r="64659" spans="31:31">
      <c r="AE64659" s="54"/>
    </row>
    <row r="64660" spans="31:31">
      <c r="AE64660" s="54"/>
    </row>
    <row r="64661" spans="31:31">
      <c r="AE64661" s="54"/>
    </row>
    <row r="64662" spans="31:31">
      <c r="AE64662" s="54"/>
    </row>
    <row r="64663" spans="31:31">
      <c r="AE64663" s="54"/>
    </row>
    <row r="64664" spans="31:31">
      <c r="AE64664" s="54"/>
    </row>
    <row r="64665" spans="31:31">
      <c r="AE64665" s="54"/>
    </row>
    <row r="64666" spans="31:31">
      <c r="AE64666" s="54"/>
    </row>
    <row r="64667" spans="31:31">
      <c r="AE64667" s="54"/>
    </row>
    <row r="64668" spans="31:31">
      <c r="AE64668" s="54"/>
    </row>
    <row r="64669" spans="31:31">
      <c r="AE64669" s="54"/>
    </row>
    <row r="64670" spans="31:31">
      <c r="AE64670" s="54"/>
    </row>
    <row r="64671" spans="31:31">
      <c r="AE64671" s="54"/>
    </row>
    <row r="64672" spans="31:31">
      <c r="AE64672" s="54"/>
    </row>
    <row r="64673" spans="31:31">
      <c r="AE64673" s="54"/>
    </row>
    <row r="64674" spans="31:31">
      <c r="AE64674" s="54"/>
    </row>
    <row r="64675" spans="31:31">
      <c r="AE64675" s="54"/>
    </row>
    <row r="64676" spans="31:31">
      <c r="AE64676" s="54"/>
    </row>
    <row r="64677" spans="31:31">
      <c r="AE64677" s="54"/>
    </row>
    <row r="64678" spans="31:31">
      <c r="AE64678" s="54"/>
    </row>
    <row r="64679" spans="31:31">
      <c r="AE64679" s="54"/>
    </row>
    <row r="64680" spans="31:31">
      <c r="AE64680" s="54"/>
    </row>
    <row r="64681" spans="31:31">
      <c r="AE64681" s="54"/>
    </row>
    <row r="64682" spans="31:31">
      <c r="AE64682" s="54"/>
    </row>
    <row r="64683" spans="31:31">
      <c r="AE64683" s="54"/>
    </row>
    <row r="64684" spans="31:31">
      <c r="AE64684" s="54"/>
    </row>
    <row r="64685" spans="31:31">
      <c r="AE64685" s="54"/>
    </row>
    <row r="64686" spans="31:31">
      <c r="AE64686" s="54"/>
    </row>
    <row r="64687" spans="31:31">
      <c r="AE64687" s="54"/>
    </row>
    <row r="64688" spans="31:31">
      <c r="AE64688" s="54"/>
    </row>
    <row r="64689" spans="31:31">
      <c r="AE64689" s="54"/>
    </row>
    <row r="64690" spans="31:31">
      <c r="AE64690" s="54"/>
    </row>
    <row r="64691" spans="31:31">
      <c r="AE64691" s="54"/>
    </row>
    <row r="64692" spans="31:31">
      <c r="AE64692" s="54"/>
    </row>
    <row r="64693" spans="31:31">
      <c r="AE64693" s="54"/>
    </row>
    <row r="64694" spans="31:31">
      <c r="AE64694" s="54"/>
    </row>
    <row r="64695" spans="31:31">
      <c r="AE64695" s="54"/>
    </row>
    <row r="64696" spans="31:31">
      <c r="AE64696" s="54"/>
    </row>
    <row r="64697" spans="31:31">
      <c r="AE64697" s="54"/>
    </row>
    <row r="64698" spans="31:31">
      <c r="AE64698" s="54"/>
    </row>
    <row r="64699" spans="31:31">
      <c r="AE64699" s="54"/>
    </row>
    <row r="64700" spans="31:31">
      <c r="AE64700" s="54"/>
    </row>
    <row r="64701" spans="31:31">
      <c r="AE64701" s="54"/>
    </row>
    <row r="64702" spans="31:31">
      <c r="AE64702" s="54"/>
    </row>
    <row r="64703" spans="31:31">
      <c r="AE64703" s="54"/>
    </row>
    <row r="64704" spans="31:31">
      <c r="AE64704" s="54"/>
    </row>
    <row r="64705" spans="31:31">
      <c r="AE64705" s="54"/>
    </row>
    <row r="64706" spans="31:31">
      <c r="AE64706" s="54"/>
    </row>
    <row r="64707" spans="31:31">
      <c r="AE64707" s="54"/>
    </row>
    <row r="64708" spans="31:31">
      <c r="AE64708" s="54"/>
    </row>
    <row r="64709" spans="31:31">
      <c r="AE64709" s="54"/>
    </row>
    <row r="64710" spans="31:31">
      <c r="AE64710" s="54"/>
    </row>
    <row r="64711" spans="31:31">
      <c r="AE64711" s="54"/>
    </row>
    <row r="64712" spans="31:31">
      <c r="AE64712" s="54"/>
    </row>
    <row r="64713" spans="31:31">
      <c r="AE64713" s="54"/>
    </row>
    <row r="64714" spans="31:31">
      <c r="AE64714" s="54"/>
    </row>
    <row r="64715" spans="31:31">
      <c r="AE64715" s="54"/>
    </row>
    <row r="64716" spans="31:31">
      <c r="AE64716" s="54"/>
    </row>
    <row r="64717" spans="31:31">
      <c r="AE64717" s="54"/>
    </row>
    <row r="64718" spans="31:31">
      <c r="AE64718" s="54"/>
    </row>
    <row r="64719" spans="31:31">
      <c r="AE64719" s="54"/>
    </row>
    <row r="64720" spans="31:31">
      <c r="AE64720" s="54"/>
    </row>
    <row r="64721" spans="31:31">
      <c r="AE64721" s="54"/>
    </row>
    <row r="64722" spans="31:31">
      <c r="AE64722" s="54"/>
    </row>
    <row r="64723" spans="31:31">
      <c r="AE64723" s="54"/>
    </row>
    <row r="64724" spans="31:31">
      <c r="AE64724" s="54"/>
    </row>
    <row r="64725" spans="31:31">
      <c r="AE64725" s="54"/>
    </row>
    <row r="64726" spans="31:31">
      <c r="AE64726" s="54"/>
    </row>
    <row r="64727" spans="31:31">
      <c r="AE64727" s="54"/>
    </row>
    <row r="64728" spans="31:31">
      <c r="AE64728" s="54"/>
    </row>
    <row r="64729" spans="31:31">
      <c r="AE64729" s="54"/>
    </row>
    <row r="64730" spans="31:31">
      <c r="AE64730" s="54"/>
    </row>
    <row r="64731" spans="31:31">
      <c r="AE64731" s="54"/>
    </row>
    <row r="64732" spans="31:31">
      <c r="AE64732" s="54"/>
    </row>
    <row r="64733" spans="31:31">
      <c r="AE64733" s="54"/>
    </row>
    <row r="64734" spans="31:31">
      <c r="AE64734" s="54"/>
    </row>
    <row r="64735" spans="31:31">
      <c r="AE64735" s="54"/>
    </row>
    <row r="64736" spans="31:31">
      <c r="AE64736" s="54"/>
    </row>
    <row r="64737" spans="31:31">
      <c r="AE64737" s="54"/>
    </row>
    <row r="64738" spans="31:31">
      <c r="AE64738" s="54"/>
    </row>
    <row r="64739" spans="31:31">
      <c r="AE64739" s="54"/>
    </row>
    <row r="64740" spans="31:31">
      <c r="AE64740" s="54"/>
    </row>
    <row r="64741" spans="31:31">
      <c r="AE64741" s="54"/>
    </row>
    <row r="64742" spans="31:31">
      <c r="AE64742" s="54"/>
    </row>
    <row r="64743" spans="31:31">
      <c r="AE64743" s="54"/>
    </row>
    <row r="64744" spans="31:31">
      <c r="AE64744" s="54"/>
    </row>
    <row r="64745" spans="31:31">
      <c r="AE64745" s="54"/>
    </row>
    <row r="64746" spans="31:31">
      <c r="AE64746" s="54"/>
    </row>
    <row r="64747" spans="31:31">
      <c r="AE64747" s="54"/>
    </row>
    <row r="64748" spans="31:31">
      <c r="AE64748" s="54"/>
    </row>
    <row r="64749" spans="31:31">
      <c r="AE64749" s="54"/>
    </row>
    <row r="64750" spans="31:31">
      <c r="AE64750" s="54"/>
    </row>
    <row r="64751" spans="31:31">
      <c r="AE64751" s="54"/>
    </row>
    <row r="64752" spans="31:31">
      <c r="AE64752" s="54"/>
    </row>
    <row r="64753" spans="31:31">
      <c r="AE64753" s="54"/>
    </row>
    <row r="64754" spans="31:31">
      <c r="AE64754" s="54"/>
    </row>
    <row r="64755" spans="31:31">
      <c r="AE64755" s="54"/>
    </row>
    <row r="64756" spans="31:31">
      <c r="AE64756" s="54"/>
    </row>
    <row r="64757" spans="31:31">
      <c r="AE64757" s="54"/>
    </row>
    <row r="64758" spans="31:31">
      <c r="AE64758" s="54"/>
    </row>
    <row r="64759" spans="31:31">
      <c r="AE64759" s="54"/>
    </row>
    <row r="64760" spans="31:31">
      <c r="AE64760" s="54"/>
    </row>
    <row r="64761" spans="31:31">
      <c r="AE64761" s="54"/>
    </row>
    <row r="64762" spans="31:31">
      <c r="AE64762" s="54"/>
    </row>
    <row r="64763" spans="31:31">
      <c r="AE64763" s="54"/>
    </row>
    <row r="64764" spans="31:31">
      <c r="AE64764" s="54"/>
    </row>
    <row r="64765" spans="31:31">
      <c r="AE64765" s="54"/>
    </row>
    <row r="64766" spans="31:31">
      <c r="AE64766" s="54"/>
    </row>
    <row r="64767" spans="31:31">
      <c r="AE64767" s="54"/>
    </row>
    <row r="64768" spans="31:31">
      <c r="AE64768" s="54"/>
    </row>
    <row r="64769" spans="31:31">
      <c r="AE64769" s="54"/>
    </row>
    <row r="64770" spans="31:31">
      <c r="AE64770" s="54"/>
    </row>
    <row r="64771" spans="31:31">
      <c r="AE64771" s="54"/>
    </row>
    <row r="64772" spans="31:31">
      <c r="AE64772" s="54"/>
    </row>
    <row r="64773" spans="31:31">
      <c r="AE64773" s="54"/>
    </row>
    <row r="64774" spans="31:31">
      <c r="AE64774" s="54"/>
    </row>
    <row r="64775" spans="31:31">
      <c r="AE64775" s="54"/>
    </row>
    <row r="64776" spans="31:31">
      <c r="AE64776" s="54"/>
    </row>
    <row r="64777" spans="31:31">
      <c r="AE64777" s="54"/>
    </row>
    <row r="64778" spans="31:31">
      <c r="AE64778" s="54"/>
    </row>
    <row r="64779" spans="31:31">
      <c r="AE64779" s="54"/>
    </row>
    <row r="64780" spans="31:31">
      <c r="AE64780" s="54"/>
    </row>
    <row r="64781" spans="31:31">
      <c r="AE64781" s="54"/>
    </row>
    <row r="64782" spans="31:31">
      <c r="AE64782" s="54"/>
    </row>
    <row r="64783" spans="31:31">
      <c r="AE64783" s="54"/>
    </row>
    <row r="64784" spans="31:31">
      <c r="AE64784" s="54"/>
    </row>
    <row r="64785" spans="31:31">
      <c r="AE64785" s="54"/>
    </row>
    <row r="64786" spans="31:31">
      <c r="AE64786" s="54"/>
    </row>
    <row r="64787" spans="31:31">
      <c r="AE64787" s="54"/>
    </row>
    <row r="64788" spans="31:31">
      <c r="AE64788" s="54"/>
    </row>
    <row r="64789" spans="31:31">
      <c r="AE64789" s="54"/>
    </row>
    <row r="64790" spans="31:31">
      <c r="AE64790" s="54"/>
    </row>
    <row r="64791" spans="31:31">
      <c r="AE64791" s="54"/>
    </row>
    <row r="64792" spans="31:31">
      <c r="AE64792" s="54"/>
    </row>
    <row r="64793" spans="31:31">
      <c r="AE64793" s="54"/>
    </row>
    <row r="64794" spans="31:31">
      <c r="AE64794" s="54"/>
    </row>
    <row r="64795" spans="31:31">
      <c r="AE64795" s="54"/>
    </row>
    <row r="64796" spans="31:31">
      <c r="AE64796" s="54"/>
    </row>
    <row r="64797" spans="31:31">
      <c r="AE64797" s="54"/>
    </row>
    <row r="64798" spans="31:31">
      <c r="AE64798" s="54"/>
    </row>
    <row r="64799" spans="31:31">
      <c r="AE64799" s="54"/>
    </row>
    <row r="64800" spans="31:31">
      <c r="AE64800" s="54"/>
    </row>
    <row r="64801" spans="31:31">
      <c r="AE64801" s="54"/>
    </row>
    <row r="64802" spans="31:31">
      <c r="AE64802" s="54"/>
    </row>
    <row r="64803" spans="31:31">
      <c r="AE64803" s="54"/>
    </row>
    <row r="64804" spans="31:31">
      <c r="AE64804" s="54"/>
    </row>
    <row r="64805" spans="31:31">
      <c r="AE64805" s="54"/>
    </row>
    <row r="64806" spans="31:31">
      <c r="AE64806" s="54"/>
    </row>
    <row r="64807" spans="31:31">
      <c r="AE64807" s="54"/>
    </row>
    <row r="64808" spans="31:31">
      <c r="AE64808" s="54"/>
    </row>
    <row r="64809" spans="31:31">
      <c r="AE64809" s="54"/>
    </row>
    <row r="64810" spans="31:31">
      <c r="AE64810" s="54"/>
    </row>
    <row r="64811" spans="31:31">
      <c r="AE64811" s="54"/>
    </row>
    <row r="64812" spans="31:31">
      <c r="AE64812" s="54"/>
    </row>
    <row r="64813" spans="31:31">
      <c r="AE64813" s="54"/>
    </row>
    <row r="64814" spans="31:31">
      <c r="AE64814" s="54"/>
    </row>
    <row r="64815" spans="31:31">
      <c r="AE64815" s="54"/>
    </row>
    <row r="64816" spans="31:31">
      <c r="AE64816" s="54"/>
    </row>
    <row r="64817" spans="31:31">
      <c r="AE64817" s="54"/>
    </row>
    <row r="64818" spans="31:31">
      <c r="AE64818" s="54"/>
    </row>
    <row r="64819" spans="31:31">
      <c r="AE64819" s="54"/>
    </row>
    <row r="64820" spans="31:31">
      <c r="AE64820" s="54"/>
    </row>
    <row r="64821" spans="31:31">
      <c r="AE64821" s="54"/>
    </row>
    <row r="64822" spans="31:31">
      <c r="AE64822" s="54"/>
    </row>
    <row r="64823" spans="31:31">
      <c r="AE64823" s="54"/>
    </row>
    <row r="64824" spans="31:31">
      <c r="AE64824" s="54"/>
    </row>
    <row r="64825" spans="31:31">
      <c r="AE64825" s="54"/>
    </row>
    <row r="64826" spans="31:31">
      <c r="AE64826" s="54"/>
    </row>
    <row r="64827" spans="31:31">
      <c r="AE64827" s="54"/>
    </row>
    <row r="64828" spans="31:31">
      <c r="AE64828" s="54"/>
    </row>
    <row r="64829" spans="31:31">
      <c r="AE64829" s="54"/>
    </row>
    <row r="64830" spans="31:31">
      <c r="AE64830" s="54"/>
    </row>
    <row r="64831" spans="31:31">
      <c r="AE64831" s="54"/>
    </row>
    <row r="64832" spans="31:31">
      <c r="AE64832" s="54"/>
    </row>
    <row r="64833" spans="31:31">
      <c r="AE64833" s="54"/>
    </row>
    <row r="64834" spans="31:31">
      <c r="AE64834" s="54"/>
    </row>
    <row r="64835" spans="31:31">
      <c r="AE64835" s="54"/>
    </row>
    <row r="64836" spans="31:31">
      <c r="AE64836" s="54"/>
    </row>
    <row r="64837" spans="31:31">
      <c r="AE64837" s="54"/>
    </row>
    <row r="64838" spans="31:31">
      <c r="AE64838" s="54"/>
    </row>
    <row r="64839" spans="31:31">
      <c r="AE64839" s="54"/>
    </row>
    <row r="64840" spans="31:31">
      <c r="AE64840" s="54"/>
    </row>
    <row r="64841" spans="31:31">
      <c r="AE64841" s="54"/>
    </row>
    <row r="64842" spans="31:31">
      <c r="AE64842" s="54"/>
    </row>
    <row r="64843" spans="31:31">
      <c r="AE64843" s="54"/>
    </row>
    <row r="64844" spans="31:31">
      <c r="AE64844" s="54"/>
    </row>
    <row r="64845" spans="31:31">
      <c r="AE64845" s="54"/>
    </row>
    <row r="64846" spans="31:31">
      <c r="AE64846" s="54"/>
    </row>
    <row r="64847" spans="31:31">
      <c r="AE64847" s="54"/>
    </row>
    <row r="64848" spans="31:31">
      <c r="AE64848" s="54"/>
    </row>
    <row r="64849" spans="31:31">
      <c r="AE64849" s="54"/>
    </row>
    <row r="64850" spans="31:31">
      <c r="AE64850" s="54"/>
    </row>
    <row r="64851" spans="31:31">
      <c r="AE64851" s="54"/>
    </row>
    <row r="64852" spans="31:31">
      <c r="AE64852" s="54"/>
    </row>
    <row r="64853" spans="31:31">
      <c r="AE64853" s="54"/>
    </row>
    <row r="64854" spans="31:31">
      <c r="AE64854" s="54"/>
    </row>
    <row r="64855" spans="31:31">
      <c r="AE64855" s="54"/>
    </row>
    <row r="64856" spans="31:31">
      <c r="AE64856" s="54"/>
    </row>
    <row r="64857" spans="31:31">
      <c r="AE64857" s="54"/>
    </row>
    <row r="64858" spans="31:31">
      <c r="AE64858" s="54"/>
    </row>
    <row r="64859" spans="31:31">
      <c r="AE64859" s="54"/>
    </row>
    <row r="64860" spans="31:31">
      <c r="AE64860" s="54"/>
    </row>
    <row r="64861" spans="31:31">
      <c r="AE64861" s="54"/>
    </row>
    <row r="64862" spans="31:31">
      <c r="AE64862" s="54"/>
    </row>
    <row r="64863" spans="31:31">
      <c r="AE64863" s="54"/>
    </row>
    <row r="64864" spans="31:31">
      <c r="AE64864" s="54"/>
    </row>
    <row r="64865" spans="31:31">
      <c r="AE64865" s="54"/>
    </row>
    <row r="64866" spans="31:31">
      <c r="AE64866" s="54"/>
    </row>
    <row r="64867" spans="31:31">
      <c r="AE64867" s="54"/>
    </row>
    <row r="64868" spans="31:31">
      <c r="AE64868" s="54"/>
    </row>
    <row r="64869" spans="31:31">
      <c r="AE64869" s="54"/>
    </row>
    <row r="64870" spans="31:31">
      <c r="AE64870" s="54"/>
    </row>
    <row r="64871" spans="31:31">
      <c r="AE64871" s="54"/>
    </row>
    <row r="64872" spans="31:31">
      <c r="AE64872" s="54"/>
    </row>
    <row r="64873" spans="31:31">
      <c r="AE64873" s="54"/>
    </row>
    <row r="64874" spans="31:31">
      <c r="AE64874" s="54"/>
    </row>
    <row r="64875" spans="31:31">
      <c r="AE64875" s="54"/>
    </row>
    <row r="64876" spans="31:31">
      <c r="AE64876" s="54"/>
    </row>
    <row r="64877" spans="31:31">
      <c r="AE64877" s="54"/>
    </row>
    <row r="64878" spans="31:31">
      <c r="AE64878" s="54"/>
    </row>
    <row r="64879" spans="31:31">
      <c r="AE64879" s="54"/>
    </row>
    <row r="64880" spans="31:31">
      <c r="AE64880" s="54"/>
    </row>
    <row r="64881" spans="31:31">
      <c r="AE64881" s="54"/>
    </row>
    <row r="64882" spans="31:31">
      <c r="AE64882" s="54"/>
    </row>
    <row r="64883" spans="31:31">
      <c r="AE64883" s="54"/>
    </row>
    <row r="64884" spans="31:31">
      <c r="AE64884" s="54"/>
    </row>
    <row r="64885" spans="31:31">
      <c r="AE64885" s="54"/>
    </row>
    <row r="64886" spans="31:31">
      <c r="AE64886" s="54"/>
    </row>
    <row r="64887" spans="31:31">
      <c r="AE64887" s="54"/>
    </row>
    <row r="64888" spans="31:31">
      <c r="AE64888" s="54"/>
    </row>
    <row r="64889" spans="31:31">
      <c r="AE64889" s="54"/>
    </row>
    <row r="64890" spans="31:31">
      <c r="AE64890" s="54"/>
    </row>
    <row r="64891" spans="31:31">
      <c r="AE64891" s="54"/>
    </row>
    <row r="64892" spans="31:31">
      <c r="AE64892" s="54"/>
    </row>
    <row r="64893" spans="31:31">
      <c r="AE64893" s="54"/>
    </row>
    <row r="64894" spans="31:31">
      <c r="AE64894" s="54"/>
    </row>
    <row r="64895" spans="31:31">
      <c r="AE64895" s="54"/>
    </row>
    <row r="64896" spans="31:31">
      <c r="AE64896" s="54"/>
    </row>
    <row r="64897" spans="31:31">
      <c r="AE64897" s="54"/>
    </row>
    <row r="64898" spans="31:31">
      <c r="AE64898" s="54"/>
    </row>
    <row r="64899" spans="31:31">
      <c r="AE64899" s="54"/>
    </row>
    <row r="64900" spans="31:31">
      <c r="AE64900" s="54"/>
    </row>
    <row r="64901" spans="31:31">
      <c r="AE64901" s="54"/>
    </row>
    <row r="64902" spans="31:31">
      <c r="AE64902" s="54"/>
    </row>
    <row r="64903" spans="31:31">
      <c r="AE64903" s="54"/>
    </row>
    <row r="64904" spans="31:31">
      <c r="AE64904" s="54"/>
    </row>
    <row r="64905" spans="31:31">
      <c r="AE64905" s="54"/>
    </row>
    <row r="64906" spans="31:31">
      <c r="AE64906" s="54"/>
    </row>
    <row r="64907" spans="31:31">
      <c r="AE64907" s="54"/>
    </row>
    <row r="64908" spans="31:31">
      <c r="AE64908" s="54"/>
    </row>
    <row r="64909" spans="31:31">
      <c r="AE64909" s="54"/>
    </row>
    <row r="64910" spans="31:31">
      <c r="AE64910" s="54"/>
    </row>
    <row r="64911" spans="31:31">
      <c r="AE64911" s="54"/>
    </row>
    <row r="64912" spans="31:31">
      <c r="AE64912" s="54"/>
    </row>
    <row r="64913" spans="31:31">
      <c r="AE64913" s="54"/>
    </row>
    <row r="64914" spans="31:31">
      <c r="AE64914" s="54"/>
    </row>
    <row r="64915" spans="31:31">
      <c r="AE64915" s="54"/>
    </row>
    <row r="64916" spans="31:31">
      <c r="AE64916" s="54"/>
    </row>
    <row r="64917" spans="31:31">
      <c r="AE64917" s="54"/>
    </row>
    <row r="64918" spans="31:31">
      <c r="AE64918" s="54"/>
    </row>
    <row r="64919" spans="31:31">
      <c r="AE64919" s="54"/>
    </row>
    <row r="64920" spans="31:31">
      <c r="AE64920" s="54"/>
    </row>
    <row r="64921" spans="31:31">
      <c r="AE64921" s="54"/>
    </row>
    <row r="64922" spans="31:31">
      <c r="AE64922" s="54"/>
    </row>
    <row r="64923" spans="31:31">
      <c r="AE64923" s="54"/>
    </row>
    <row r="64924" spans="31:31">
      <c r="AE64924" s="54"/>
    </row>
    <row r="64925" spans="31:31">
      <c r="AE64925" s="54"/>
    </row>
    <row r="64926" spans="31:31">
      <c r="AE64926" s="54"/>
    </row>
    <row r="64927" spans="31:31">
      <c r="AE64927" s="54"/>
    </row>
    <row r="64928" spans="31:31">
      <c r="AE64928" s="54"/>
    </row>
    <row r="64929" spans="31:31">
      <c r="AE64929" s="54"/>
    </row>
    <row r="64930" spans="31:31">
      <c r="AE64930" s="54"/>
    </row>
    <row r="64931" spans="31:31">
      <c r="AE64931" s="54"/>
    </row>
    <row r="64932" spans="31:31">
      <c r="AE64932" s="54"/>
    </row>
    <row r="64933" spans="31:31">
      <c r="AE64933" s="54"/>
    </row>
    <row r="64934" spans="31:31">
      <c r="AE64934" s="54"/>
    </row>
    <row r="64935" spans="31:31">
      <c r="AE64935" s="54"/>
    </row>
    <row r="64936" spans="31:31">
      <c r="AE64936" s="54"/>
    </row>
    <row r="64937" spans="31:31">
      <c r="AE64937" s="54"/>
    </row>
    <row r="64938" spans="31:31">
      <c r="AE64938" s="54"/>
    </row>
    <row r="64939" spans="31:31">
      <c r="AE64939" s="54"/>
    </row>
    <row r="64940" spans="31:31">
      <c r="AE64940" s="54"/>
    </row>
    <row r="64941" spans="31:31">
      <c r="AE64941" s="54"/>
    </row>
    <row r="64942" spans="31:31">
      <c r="AE64942" s="54"/>
    </row>
    <row r="64943" spans="31:31">
      <c r="AE64943" s="54"/>
    </row>
    <row r="64944" spans="31:31">
      <c r="AE64944" s="54"/>
    </row>
    <row r="64945" spans="31:31">
      <c r="AE64945" s="54"/>
    </row>
    <row r="64946" spans="31:31">
      <c r="AE64946" s="54"/>
    </row>
    <row r="64947" spans="31:31">
      <c r="AE64947" s="54"/>
    </row>
    <row r="64948" spans="31:31">
      <c r="AE64948" s="54"/>
    </row>
    <row r="64949" spans="31:31">
      <c r="AE64949" s="54"/>
    </row>
    <row r="64950" spans="31:31">
      <c r="AE64950" s="54"/>
    </row>
    <row r="64951" spans="31:31">
      <c r="AE64951" s="54"/>
    </row>
    <row r="64952" spans="31:31">
      <c r="AE64952" s="54"/>
    </row>
    <row r="64953" spans="31:31">
      <c r="AE64953" s="54"/>
    </row>
    <row r="64954" spans="31:31">
      <c r="AE64954" s="54"/>
    </row>
    <row r="64955" spans="31:31">
      <c r="AE64955" s="54"/>
    </row>
    <row r="64956" spans="31:31">
      <c r="AE64956" s="54"/>
    </row>
    <row r="64957" spans="31:31">
      <c r="AE64957" s="54"/>
    </row>
    <row r="64958" spans="31:31">
      <c r="AE64958" s="54"/>
    </row>
    <row r="64959" spans="31:31">
      <c r="AE64959" s="54"/>
    </row>
    <row r="64960" spans="31:31">
      <c r="AE64960" s="54"/>
    </row>
    <row r="64961" spans="31:31">
      <c r="AE64961" s="54"/>
    </row>
    <row r="64962" spans="31:31">
      <c r="AE64962" s="54"/>
    </row>
    <row r="64963" spans="31:31">
      <c r="AE64963" s="54"/>
    </row>
    <row r="64964" spans="31:31">
      <c r="AE64964" s="54"/>
    </row>
    <row r="64965" spans="31:31">
      <c r="AE64965" s="54"/>
    </row>
    <row r="64966" spans="31:31">
      <c r="AE64966" s="54"/>
    </row>
    <row r="64967" spans="31:31">
      <c r="AE64967" s="54"/>
    </row>
    <row r="64968" spans="31:31">
      <c r="AE64968" s="54"/>
    </row>
    <row r="64969" spans="31:31">
      <c r="AE64969" s="54"/>
    </row>
    <row r="64970" spans="31:31">
      <c r="AE64970" s="54"/>
    </row>
    <row r="64971" spans="31:31">
      <c r="AE64971" s="54"/>
    </row>
    <row r="64972" spans="31:31">
      <c r="AE64972" s="54"/>
    </row>
    <row r="64973" spans="31:31">
      <c r="AE64973" s="54"/>
    </row>
    <row r="64974" spans="31:31">
      <c r="AE64974" s="54"/>
    </row>
    <row r="64975" spans="31:31">
      <c r="AE64975" s="54"/>
    </row>
    <row r="64976" spans="31:31">
      <c r="AE64976" s="54"/>
    </row>
    <row r="64977" spans="31:31">
      <c r="AE64977" s="54"/>
    </row>
    <row r="64978" spans="31:31">
      <c r="AE64978" s="54"/>
    </row>
    <row r="64979" spans="31:31">
      <c r="AE64979" s="54"/>
    </row>
    <row r="64980" spans="31:31">
      <c r="AE64980" s="54"/>
    </row>
    <row r="64981" spans="31:31">
      <c r="AE64981" s="54"/>
    </row>
    <row r="64982" spans="31:31">
      <c r="AE64982" s="54"/>
    </row>
    <row r="64983" spans="31:31">
      <c r="AE64983" s="54"/>
    </row>
    <row r="64984" spans="31:31">
      <c r="AE64984" s="54"/>
    </row>
    <row r="64985" spans="31:31">
      <c r="AE64985" s="54"/>
    </row>
    <row r="64986" spans="31:31">
      <c r="AE64986" s="54"/>
    </row>
    <row r="64987" spans="31:31">
      <c r="AE64987" s="54"/>
    </row>
    <row r="64988" spans="31:31">
      <c r="AE64988" s="54"/>
    </row>
    <row r="64989" spans="31:31">
      <c r="AE64989" s="54"/>
    </row>
    <row r="64990" spans="31:31">
      <c r="AE64990" s="54"/>
    </row>
    <row r="64991" spans="31:31">
      <c r="AE64991" s="54"/>
    </row>
    <row r="64992" spans="31:31">
      <c r="AE64992" s="54"/>
    </row>
    <row r="64993" spans="31:31">
      <c r="AE64993" s="54"/>
    </row>
    <row r="64994" spans="31:31">
      <c r="AE64994" s="54"/>
    </row>
    <row r="64995" spans="31:31">
      <c r="AE64995" s="54"/>
    </row>
    <row r="64996" spans="31:31">
      <c r="AE64996" s="54"/>
    </row>
    <row r="64997" spans="31:31">
      <c r="AE64997" s="54"/>
    </row>
    <row r="64998" spans="31:31">
      <c r="AE64998" s="54"/>
    </row>
    <row r="64999" spans="31:31">
      <c r="AE64999" s="54"/>
    </row>
    <row r="65000" spans="31:31">
      <c r="AE65000" s="54"/>
    </row>
    <row r="65001" spans="31:31">
      <c r="AE65001" s="54"/>
    </row>
    <row r="65002" spans="31:31">
      <c r="AE65002" s="54"/>
    </row>
    <row r="65003" spans="31:31">
      <c r="AE65003" s="54"/>
    </row>
    <row r="65004" spans="31:31">
      <c r="AE65004" s="54"/>
    </row>
    <row r="65005" spans="31:31">
      <c r="AE65005" s="54"/>
    </row>
    <row r="65006" spans="31:31">
      <c r="AE65006" s="54"/>
    </row>
    <row r="65007" spans="31:31">
      <c r="AE65007" s="54"/>
    </row>
    <row r="65008" spans="31:31">
      <c r="AE65008" s="54"/>
    </row>
    <row r="65009" spans="31:31">
      <c r="AE65009" s="54"/>
    </row>
    <row r="65010" spans="31:31">
      <c r="AE65010" s="54"/>
    </row>
    <row r="65011" spans="31:31">
      <c r="AE65011" s="54"/>
    </row>
    <row r="65012" spans="31:31">
      <c r="AE65012" s="54"/>
    </row>
    <row r="65013" spans="31:31">
      <c r="AE65013" s="54"/>
    </row>
    <row r="65014" spans="31:31">
      <c r="AE65014" s="54"/>
    </row>
    <row r="65015" spans="31:31">
      <c r="AE65015" s="54"/>
    </row>
    <row r="65016" spans="31:31">
      <c r="AE65016" s="54"/>
    </row>
    <row r="65017" spans="31:31">
      <c r="AE65017" s="54"/>
    </row>
    <row r="65018" spans="31:31">
      <c r="AE65018" s="54"/>
    </row>
    <row r="65019" spans="31:31">
      <c r="AE65019" s="54"/>
    </row>
    <row r="65020" spans="31:31">
      <c r="AE65020" s="54"/>
    </row>
    <row r="65021" spans="31:31">
      <c r="AE65021" s="54"/>
    </row>
    <row r="65022" spans="31:31">
      <c r="AE65022" s="54"/>
    </row>
    <row r="65023" spans="31:31">
      <c r="AE65023" s="54"/>
    </row>
    <row r="65024" spans="31:31">
      <c r="AE65024" s="54"/>
    </row>
    <row r="65025" spans="31:31">
      <c r="AE65025" s="54"/>
    </row>
    <row r="65026" spans="31:31">
      <c r="AE65026" s="54"/>
    </row>
    <row r="65027" spans="31:31">
      <c r="AE65027" s="54"/>
    </row>
    <row r="65028" spans="31:31">
      <c r="AE65028" s="54"/>
    </row>
    <row r="65029" spans="31:31">
      <c r="AE65029" s="54"/>
    </row>
    <row r="65030" spans="31:31">
      <c r="AE65030" s="54"/>
    </row>
    <row r="65031" spans="31:31">
      <c r="AE65031" s="54"/>
    </row>
    <row r="65032" spans="31:31">
      <c r="AE65032" s="54"/>
    </row>
    <row r="65033" spans="31:31">
      <c r="AE65033" s="54"/>
    </row>
    <row r="65034" spans="31:31">
      <c r="AE65034" s="54"/>
    </row>
    <row r="65035" spans="31:31">
      <c r="AE65035" s="54"/>
    </row>
    <row r="65036" spans="31:31">
      <c r="AE65036" s="54"/>
    </row>
    <row r="65037" spans="31:31">
      <c r="AE65037" s="54"/>
    </row>
    <row r="65038" spans="31:31">
      <c r="AE65038" s="54"/>
    </row>
    <row r="65039" spans="31:31">
      <c r="AE65039" s="54"/>
    </row>
    <row r="65040" spans="31:31">
      <c r="AE65040" s="54"/>
    </row>
    <row r="65041" spans="31:31">
      <c r="AE65041" s="54"/>
    </row>
    <row r="65042" spans="31:31">
      <c r="AE65042" s="54"/>
    </row>
    <row r="65043" spans="31:31">
      <c r="AE65043" s="54"/>
    </row>
    <row r="65044" spans="31:31">
      <c r="AE65044" s="54"/>
    </row>
    <row r="65045" spans="31:31">
      <c r="AE65045" s="54"/>
    </row>
    <row r="65046" spans="31:31">
      <c r="AE65046" s="54"/>
    </row>
    <row r="65047" spans="31:31">
      <c r="AE65047" s="54"/>
    </row>
    <row r="65048" spans="31:31">
      <c r="AE65048" s="54"/>
    </row>
    <row r="65049" spans="31:31">
      <c r="AE65049" s="54"/>
    </row>
    <row r="65050" spans="31:31">
      <c r="AE65050" s="54"/>
    </row>
    <row r="65051" spans="31:31">
      <c r="AE65051" s="54"/>
    </row>
    <row r="65052" spans="31:31">
      <c r="AE65052" s="54"/>
    </row>
    <row r="65053" spans="31:31">
      <c r="AE65053" s="54"/>
    </row>
    <row r="65054" spans="31:31">
      <c r="AE65054" s="54"/>
    </row>
    <row r="65055" spans="31:31">
      <c r="AE65055" s="54"/>
    </row>
    <row r="65056" spans="31:31">
      <c r="AE65056" s="54"/>
    </row>
    <row r="65057" spans="31:31">
      <c r="AE65057" s="54"/>
    </row>
    <row r="65058" spans="31:31">
      <c r="AE65058" s="54"/>
    </row>
    <row r="65059" spans="31:31">
      <c r="AE65059" s="54"/>
    </row>
    <row r="65060" spans="31:31">
      <c r="AE65060" s="54"/>
    </row>
    <row r="65061" spans="31:31">
      <c r="AE65061" s="54"/>
    </row>
    <row r="65062" spans="31:31">
      <c r="AE65062" s="54"/>
    </row>
    <row r="65063" spans="31:31">
      <c r="AE65063" s="54"/>
    </row>
    <row r="65064" spans="31:31">
      <c r="AE65064" s="54"/>
    </row>
    <row r="65065" spans="31:31">
      <c r="AE65065" s="54"/>
    </row>
    <row r="65066" spans="31:31">
      <c r="AE65066" s="54"/>
    </row>
    <row r="65067" spans="31:31">
      <c r="AE65067" s="54"/>
    </row>
    <row r="65068" spans="31:31">
      <c r="AE65068" s="54"/>
    </row>
    <row r="65069" spans="31:31">
      <c r="AE65069" s="54"/>
    </row>
    <row r="65070" spans="31:31">
      <c r="AE65070" s="54"/>
    </row>
    <row r="65071" spans="31:31">
      <c r="AE65071" s="54"/>
    </row>
    <row r="65072" spans="31:31">
      <c r="AE65072" s="54"/>
    </row>
    <row r="65073" spans="31:31">
      <c r="AE65073" s="54"/>
    </row>
    <row r="65074" spans="31:31">
      <c r="AE65074" s="54"/>
    </row>
    <row r="65075" spans="31:31">
      <c r="AE65075" s="54"/>
    </row>
    <row r="65076" spans="31:31">
      <c r="AE65076" s="54"/>
    </row>
    <row r="65077" spans="31:31">
      <c r="AE65077" s="54"/>
    </row>
    <row r="65078" spans="31:31">
      <c r="AE65078" s="54"/>
    </row>
    <row r="65079" spans="31:31">
      <c r="AE65079" s="54"/>
    </row>
    <row r="65080" spans="31:31">
      <c r="AE65080" s="54"/>
    </row>
    <row r="65081" spans="31:31">
      <c r="AE65081" s="54"/>
    </row>
    <row r="65082" spans="31:31">
      <c r="AE65082" s="54"/>
    </row>
    <row r="65083" spans="31:31">
      <c r="AE65083" s="54"/>
    </row>
    <row r="65084" spans="31:31">
      <c r="AE65084" s="54"/>
    </row>
    <row r="65085" spans="31:31">
      <c r="AE65085" s="54"/>
    </row>
    <row r="65086" spans="31:31">
      <c r="AE65086" s="54"/>
    </row>
    <row r="65087" spans="31:31">
      <c r="AE65087" s="54"/>
    </row>
    <row r="65088" spans="31:31">
      <c r="AE65088" s="54"/>
    </row>
    <row r="65089" spans="31:31">
      <c r="AE65089" s="54"/>
    </row>
    <row r="65090" spans="31:31">
      <c r="AE65090" s="54"/>
    </row>
    <row r="65091" spans="31:31">
      <c r="AE65091" s="54"/>
    </row>
    <row r="65092" spans="31:31">
      <c r="AE65092" s="54"/>
    </row>
    <row r="65093" spans="31:31">
      <c r="AE65093" s="54"/>
    </row>
    <row r="65094" spans="31:31">
      <c r="AE65094" s="54"/>
    </row>
    <row r="65095" spans="31:31">
      <c r="AE65095" s="54"/>
    </row>
    <row r="65096" spans="31:31">
      <c r="AE65096" s="54"/>
    </row>
    <row r="65097" spans="31:31">
      <c r="AE65097" s="54"/>
    </row>
    <row r="65098" spans="31:31">
      <c r="AE65098" s="54"/>
    </row>
    <row r="65099" spans="31:31">
      <c r="AE65099" s="54"/>
    </row>
    <row r="65100" spans="31:31">
      <c r="AE65100" s="54"/>
    </row>
    <row r="65101" spans="31:31">
      <c r="AE65101" s="54"/>
    </row>
    <row r="65102" spans="31:31">
      <c r="AE65102" s="54"/>
    </row>
    <row r="65103" spans="31:31">
      <c r="AE65103" s="54"/>
    </row>
    <row r="65104" spans="31:31">
      <c r="AE65104" s="54"/>
    </row>
    <row r="65105" spans="31:31">
      <c r="AE65105" s="54"/>
    </row>
    <row r="65106" spans="31:31">
      <c r="AE65106" s="54"/>
    </row>
    <row r="65107" spans="31:31">
      <c r="AE65107" s="54"/>
    </row>
    <row r="65108" spans="31:31">
      <c r="AE65108" s="54"/>
    </row>
    <row r="65109" spans="31:31">
      <c r="AE65109" s="54"/>
    </row>
    <row r="65110" spans="31:31">
      <c r="AE65110" s="54"/>
    </row>
    <row r="65111" spans="31:31">
      <c r="AE65111" s="54"/>
    </row>
    <row r="65112" spans="31:31">
      <c r="AE65112" s="54"/>
    </row>
    <row r="65113" spans="31:31">
      <c r="AE65113" s="54"/>
    </row>
    <row r="65114" spans="31:31">
      <c r="AE65114" s="54"/>
    </row>
    <row r="65115" spans="31:31">
      <c r="AE65115" s="54"/>
    </row>
    <row r="65116" spans="31:31">
      <c r="AE65116" s="54"/>
    </row>
    <row r="65117" spans="31:31">
      <c r="AE65117" s="54"/>
    </row>
    <row r="65118" spans="31:31">
      <c r="AE65118" s="54"/>
    </row>
    <row r="65119" spans="31:31">
      <c r="AE65119" s="54"/>
    </row>
    <row r="65120" spans="31:31">
      <c r="AE65120" s="54"/>
    </row>
    <row r="65121" spans="31:31">
      <c r="AE65121" s="54"/>
    </row>
    <row r="65122" spans="31:31">
      <c r="AE65122" s="54"/>
    </row>
    <row r="65123" spans="31:31">
      <c r="AE65123" s="54"/>
    </row>
    <row r="65124" spans="31:31">
      <c r="AE65124" s="54"/>
    </row>
    <row r="65125" spans="31:31">
      <c r="AE65125" s="54"/>
    </row>
    <row r="65126" spans="31:31">
      <c r="AE65126" s="54"/>
    </row>
    <row r="65127" spans="31:31">
      <c r="AE65127" s="54"/>
    </row>
    <row r="65128" spans="31:31">
      <c r="AE65128" s="54"/>
    </row>
    <row r="65129" spans="31:31">
      <c r="AE65129" s="54"/>
    </row>
    <row r="65130" spans="31:31">
      <c r="AE65130" s="54"/>
    </row>
    <row r="65131" spans="31:31">
      <c r="AE65131" s="54"/>
    </row>
    <row r="65132" spans="31:31">
      <c r="AE65132" s="54"/>
    </row>
    <row r="65133" spans="31:31">
      <c r="AE65133" s="54"/>
    </row>
    <row r="65134" spans="31:31">
      <c r="AE65134" s="54"/>
    </row>
    <row r="65135" spans="31:31">
      <c r="AE65135" s="54"/>
    </row>
    <row r="65136" spans="31:31">
      <c r="AE65136" s="54"/>
    </row>
    <row r="65137" spans="31:31">
      <c r="AE65137" s="54"/>
    </row>
    <row r="65138" spans="31:31">
      <c r="AE65138" s="54"/>
    </row>
    <row r="65139" spans="31:31">
      <c r="AE65139" s="54"/>
    </row>
    <row r="65140" spans="31:31">
      <c r="AE65140" s="54"/>
    </row>
    <row r="65141" spans="31:31">
      <c r="AE65141" s="54"/>
    </row>
    <row r="65142" spans="31:31">
      <c r="AE65142" s="54"/>
    </row>
    <row r="65143" spans="31:31">
      <c r="AE65143" s="54"/>
    </row>
    <row r="65144" spans="31:31">
      <c r="AE65144" s="54"/>
    </row>
    <row r="65145" spans="31:31">
      <c r="AE65145" s="54"/>
    </row>
    <row r="65146" spans="31:31">
      <c r="AE65146" s="54"/>
    </row>
    <row r="65147" spans="31:31">
      <c r="AE65147" s="54"/>
    </row>
    <row r="65148" spans="31:31">
      <c r="AE65148" s="54"/>
    </row>
    <row r="65149" spans="31:31">
      <c r="AE65149" s="54"/>
    </row>
    <row r="65150" spans="31:31">
      <c r="AE65150" s="54"/>
    </row>
    <row r="65151" spans="31:31">
      <c r="AE65151" s="54"/>
    </row>
    <row r="65152" spans="31:31">
      <c r="AE65152" s="54"/>
    </row>
    <row r="65153" spans="31:31">
      <c r="AE65153" s="54"/>
    </row>
    <row r="65154" spans="31:31">
      <c r="AE65154" s="54"/>
    </row>
    <row r="65155" spans="31:31">
      <c r="AE65155" s="54"/>
    </row>
    <row r="65156" spans="31:31">
      <c r="AE65156" s="54"/>
    </row>
    <row r="65157" spans="31:31">
      <c r="AE65157" s="54"/>
    </row>
    <row r="65158" spans="31:31">
      <c r="AE65158" s="54"/>
    </row>
    <row r="65159" spans="31:31">
      <c r="AE65159" s="54"/>
    </row>
    <row r="65160" spans="31:31">
      <c r="AE65160" s="54"/>
    </row>
    <row r="65161" spans="31:31">
      <c r="AE65161" s="54"/>
    </row>
    <row r="65162" spans="31:31">
      <c r="AE65162" s="54"/>
    </row>
    <row r="65163" spans="31:31">
      <c r="AE65163" s="54"/>
    </row>
    <row r="65164" spans="31:31">
      <c r="AE65164" s="54"/>
    </row>
    <row r="65165" spans="31:31">
      <c r="AE65165" s="54"/>
    </row>
    <row r="65166" spans="31:31">
      <c r="AE65166" s="54"/>
    </row>
    <row r="65167" spans="31:31">
      <c r="AE65167" s="54"/>
    </row>
    <row r="65168" spans="31:31">
      <c r="AE65168" s="54"/>
    </row>
    <row r="65169" spans="31:31">
      <c r="AE65169" s="54"/>
    </row>
    <row r="65170" spans="31:31">
      <c r="AE65170" s="54"/>
    </row>
    <row r="65171" spans="31:31">
      <c r="AE65171" s="54"/>
    </row>
    <row r="65172" spans="31:31">
      <c r="AE65172" s="54"/>
    </row>
    <row r="65173" spans="31:31">
      <c r="AE65173" s="54"/>
    </row>
    <row r="65174" spans="31:31">
      <c r="AE65174" s="54"/>
    </row>
    <row r="65175" spans="31:31">
      <c r="AE65175" s="54"/>
    </row>
    <row r="65176" spans="31:31">
      <c r="AE65176" s="54"/>
    </row>
    <row r="65177" spans="31:31">
      <c r="AE65177" s="54"/>
    </row>
    <row r="65178" spans="31:31">
      <c r="AE65178" s="54"/>
    </row>
    <row r="65179" spans="31:31">
      <c r="AE65179" s="54"/>
    </row>
    <row r="65180" spans="31:31">
      <c r="AE65180" s="54"/>
    </row>
    <row r="65181" spans="31:31">
      <c r="AE65181" s="54"/>
    </row>
    <row r="65182" spans="31:31">
      <c r="AE65182" s="54"/>
    </row>
    <row r="65183" spans="31:31">
      <c r="AE65183" s="54"/>
    </row>
    <row r="65184" spans="31:31">
      <c r="AE65184" s="54"/>
    </row>
    <row r="65185" spans="31:31">
      <c r="AE65185" s="54"/>
    </row>
    <row r="65186" spans="31:31">
      <c r="AE65186" s="54"/>
    </row>
    <row r="65187" spans="31:31">
      <c r="AE65187" s="54"/>
    </row>
    <row r="65188" spans="31:31">
      <c r="AE65188" s="54"/>
    </row>
    <row r="65189" spans="31:31">
      <c r="AE65189" s="54"/>
    </row>
    <row r="65190" spans="31:31">
      <c r="AE65190" s="54"/>
    </row>
    <row r="65191" spans="31:31">
      <c r="AE65191" s="54"/>
    </row>
    <row r="65192" spans="31:31">
      <c r="AE65192" s="54"/>
    </row>
    <row r="65193" spans="31:31">
      <c r="AE65193" s="54"/>
    </row>
    <row r="65194" spans="31:31">
      <c r="AE65194" s="54"/>
    </row>
    <row r="65195" spans="31:31">
      <c r="AE65195" s="54"/>
    </row>
    <row r="65196" spans="31:31">
      <c r="AE65196" s="54"/>
    </row>
    <row r="65197" spans="31:31">
      <c r="AE65197" s="54"/>
    </row>
    <row r="65198" spans="31:31">
      <c r="AE65198" s="54"/>
    </row>
    <row r="65199" spans="31:31">
      <c r="AE65199" s="54"/>
    </row>
    <row r="65200" spans="31:31">
      <c r="AE65200" s="54"/>
    </row>
    <row r="65201" spans="31:31">
      <c r="AE65201" s="54"/>
    </row>
    <row r="65202" spans="31:31">
      <c r="AE65202" s="54"/>
    </row>
    <row r="65203" spans="31:31">
      <c r="AE65203" s="54"/>
    </row>
    <row r="65204" spans="31:31">
      <c r="AE65204" s="54"/>
    </row>
    <row r="65205" spans="31:31">
      <c r="AE65205" s="54"/>
    </row>
    <row r="65206" spans="31:31">
      <c r="AE65206" s="54"/>
    </row>
    <row r="65207" spans="31:31">
      <c r="AE65207" s="54"/>
    </row>
    <row r="65208" spans="31:31">
      <c r="AE65208" s="54"/>
    </row>
    <row r="65209" spans="31:31">
      <c r="AE65209" s="54"/>
    </row>
    <row r="65210" spans="31:31">
      <c r="AE65210" s="54"/>
    </row>
    <row r="65211" spans="31:31">
      <c r="AE65211" s="54"/>
    </row>
    <row r="65212" spans="31:31">
      <c r="AE65212" s="54"/>
    </row>
    <row r="65213" spans="31:31">
      <c r="AE65213" s="54"/>
    </row>
    <row r="65214" spans="31:31">
      <c r="AE65214" s="54"/>
    </row>
    <row r="65215" spans="31:31">
      <c r="AE65215" s="54"/>
    </row>
    <row r="65216" spans="31:31">
      <c r="AE65216" s="54"/>
    </row>
    <row r="65217" spans="31:31">
      <c r="AE65217" s="54"/>
    </row>
    <row r="65218" spans="31:31">
      <c r="AE65218" s="54"/>
    </row>
    <row r="65219" spans="31:31">
      <c r="AE65219" s="54"/>
    </row>
    <row r="65220" spans="31:31">
      <c r="AE65220" s="54"/>
    </row>
    <row r="65221" spans="31:31">
      <c r="AE65221" s="54"/>
    </row>
    <row r="65222" spans="31:31">
      <c r="AE65222" s="54"/>
    </row>
    <row r="65223" spans="31:31">
      <c r="AE65223" s="54"/>
    </row>
    <row r="65224" spans="31:31">
      <c r="AE65224" s="54"/>
    </row>
    <row r="65225" spans="31:31">
      <c r="AE65225" s="54"/>
    </row>
    <row r="65226" spans="31:31">
      <c r="AE65226" s="54"/>
    </row>
    <row r="65227" spans="31:31">
      <c r="AE65227" s="54"/>
    </row>
    <row r="65228" spans="31:31">
      <c r="AE65228" s="54"/>
    </row>
    <row r="65229" spans="31:31">
      <c r="AE65229" s="54"/>
    </row>
    <row r="65230" spans="31:31">
      <c r="AE65230" s="54"/>
    </row>
    <row r="65231" spans="31:31">
      <c r="AE65231" s="54"/>
    </row>
    <row r="65232" spans="31:31">
      <c r="AE65232" s="54"/>
    </row>
    <row r="65233" spans="31:31">
      <c r="AE65233" s="54"/>
    </row>
    <row r="65234" spans="31:31">
      <c r="AE65234" s="54"/>
    </row>
    <row r="65235" spans="31:31">
      <c r="AE65235" s="54"/>
    </row>
    <row r="65236" spans="31:31">
      <c r="AE65236" s="54"/>
    </row>
    <row r="65237" spans="31:31">
      <c r="AE65237" s="54"/>
    </row>
    <row r="65238" spans="31:31">
      <c r="AE65238" s="54"/>
    </row>
    <row r="65239" spans="31:31">
      <c r="AE65239" s="54"/>
    </row>
    <row r="65240" spans="31:31">
      <c r="AE65240" s="54"/>
    </row>
    <row r="65241" spans="31:31">
      <c r="AE65241" s="54"/>
    </row>
    <row r="65242" spans="31:31">
      <c r="AE65242" s="54"/>
    </row>
    <row r="65243" spans="31:31">
      <c r="AE65243" s="54"/>
    </row>
    <row r="65244" spans="31:31">
      <c r="AE65244" s="54"/>
    </row>
    <row r="65245" spans="31:31">
      <c r="AE65245" s="54"/>
    </row>
    <row r="65246" spans="31:31">
      <c r="AE65246" s="54"/>
    </row>
    <row r="65247" spans="31:31">
      <c r="AE65247" s="54"/>
    </row>
    <row r="65248" spans="31:31">
      <c r="AE65248" s="54"/>
    </row>
    <row r="65249" spans="31:31">
      <c r="AE65249" s="54"/>
    </row>
    <row r="65250" spans="31:31">
      <c r="AE65250" s="54"/>
    </row>
    <row r="65251" spans="31:31">
      <c r="AE65251" s="54"/>
    </row>
    <row r="65252" spans="31:31">
      <c r="AE65252" s="54"/>
    </row>
    <row r="65253" spans="31:31">
      <c r="AE65253" s="54"/>
    </row>
    <row r="65254" spans="31:31">
      <c r="AE65254" s="54"/>
    </row>
    <row r="65255" spans="31:31">
      <c r="AE65255" s="54"/>
    </row>
    <row r="65256" spans="31:31">
      <c r="AE65256" s="54"/>
    </row>
    <row r="65257" spans="31:31">
      <c r="AE65257" s="54"/>
    </row>
    <row r="65258" spans="31:31">
      <c r="AE65258" s="54"/>
    </row>
    <row r="65259" spans="31:31">
      <c r="AE65259" s="54"/>
    </row>
    <row r="65260" spans="31:31">
      <c r="AE65260" s="54"/>
    </row>
    <row r="65261" spans="31:31">
      <c r="AE65261" s="54"/>
    </row>
    <row r="65262" spans="31:31">
      <c r="AE65262" s="54"/>
    </row>
    <row r="65263" spans="31:31">
      <c r="AE65263" s="54"/>
    </row>
    <row r="65264" spans="31:31">
      <c r="AE65264" s="54"/>
    </row>
    <row r="65265" spans="31:31">
      <c r="AE65265" s="54"/>
    </row>
    <row r="65266" spans="31:31">
      <c r="AE65266" s="54"/>
    </row>
    <row r="65267" spans="31:31">
      <c r="AE65267" s="54"/>
    </row>
    <row r="65268" spans="31:31">
      <c r="AE65268" s="54"/>
    </row>
    <row r="65269" spans="31:31">
      <c r="AE65269" s="54"/>
    </row>
    <row r="65270" spans="31:31">
      <c r="AE65270" s="54"/>
    </row>
    <row r="65271" spans="31:31">
      <c r="AE65271" s="54"/>
    </row>
    <row r="65272" spans="31:31">
      <c r="AE65272" s="54"/>
    </row>
    <row r="65273" spans="31:31">
      <c r="AE65273" s="54"/>
    </row>
    <row r="65274" spans="31:31">
      <c r="AE65274" s="54"/>
    </row>
    <row r="65275" spans="31:31">
      <c r="AE65275" s="54"/>
    </row>
    <row r="65276" spans="31:31">
      <c r="AE65276" s="54"/>
    </row>
    <row r="65277" spans="31:31">
      <c r="AE65277" s="54"/>
    </row>
    <row r="65278" spans="31:31">
      <c r="AE65278" s="54"/>
    </row>
    <row r="65279" spans="31:31">
      <c r="AE65279" s="54"/>
    </row>
    <row r="65280" spans="31:31">
      <c r="AE65280" s="54"/>
    </row>
    <row r="65281" spans="31:31">
      <c r="AE65281" s="54"/>
    </row>
    <row r="65282" spans="31:31">
      <c r="AE65282" s="54"/>
    </row>
    <row r="65283" spans="31:31">
      <c r="AE65283" s="54"/>
    </row>
    <row r="65284" spans="31:31">
      <c r="AE65284" s="54"/>
    </row>
    <row r="65285" spans="31:31">
      <c r="AE65285" s="54"/>
    </row>
    <row r="65286" spans="31:31">
      <c r="AE65286" s="54"/>
    </row>
    <row r="65287" spans="31:31">
      <c r="AE65287" s="54"/>
    </row>
    <row r="65288" spans="31:31">
      <c r="AE65288" s="54"/>
    </row>
    <row r="65289" spans="31:31">
      <c r="AE65289" s="54"/>
    </row>
    <row r="65290" spans="31:31">
      <c r="AE65290" s="54"/>
    </row>
    <row r="65291" spans="31:31">
      <c r="AE65291" s="54"/>
    </row>
    <row r="65292" spans="31:31">
      <c r="AE65292" s="54"/>
    </row>
    <row r="65293" spans="31:31">
      <c r="AE65293" s="54"/>
    </row>
    <row r="65294" spans="31:31">
      <c r="AE65294" s="54"/>
    </row>
    <row r="65295" spans="31:31">
      <c r="AE65295" s="54"/>
    </row>
    <row r="65296" spans="31:31">
      <c r="AE65296" s="54"/>
    </row>
    <row r="65297" spans="31:31">
      <c r="AE65297" s="54"/>
    </row>
    <row r="65298" spans="31:31">
      <c r="AE65298" s="54"/>
    </row>
    <row r="65299" spans="31:31">
      <c r="AE65299" s="54"/>
    </row>
    <row r="65300" spans="31:31">
      <c r="AE65300" s="54"/>
    </row>
    <row r="65301" spans="31:31">
      <c r="AE65301" s="54"/>
    </row>
    <row r="65302" spans="31:31">
      <c r="AE65302" s="54"/>
    </row>
    <row r="65303" spans="31:31">
      <c r="AE65303" s="54"/>
    </row>
    <row r="65304" spans="31:31">
      <c r="AE65304" s="54"/>
    </row>
    <row r="65305" spans="31:31">
      <c r="AE65305" s="54"/>
    </row>
    <row r="65306" spans="31:31">
      <c r="AE65306" s="54"/>
    </row>
    <row r="65307" spans="31:31">
      <c r="AE65307" s="54"/>
    </row>
    <row r="65308" spans="31:31">
      <c r="AE65308" s="54"/>
    </row>
    <row r="65309" spans="31:31">
      <c r="AE65309" s="54"/>
    </row>
    <row r="65310" spans="31:31">
      <c r="AE65310" s="54"/>
    </row>
    <row r="65311" spans="31:31">
      <c r="AE65311" s="54"/>
    </row>
    <row r="65312" spans="31:31">
      <c r="AE65312" s="54"/>
    </row>
    <row r="65313" spans="31:31">
      <c r="AE65313" s="54"/>
    </row>
    <row r="65314" spans="31:31">
      <c r="AE65314" s="54"/>
    </row>
    <row r="65315" spans="31:31">
      <c r="AE65315" s="54"/>
    </row>
    <row r="65316" spans="31:31">
      <c r="AE65316" s="54"/>
    </row>
    <row r="65317" spans="31:31">
      <c r="AE65317" s="54"/>
    </row>
    <row r="65318" spans="31:31">
      <c r="AE65318" s="54"/>
    </row>
    <row r="65319" spans="31:31">
      <c r="AE65319" s="54"/>
    </row>
    <row r="65320" spans="31:31">
      <c r="AE65320" s="54"/>
    </row>
    <row r="65321" spans="31:31">
      <c r="AE65321" s="54"/>
    </row>
    <row r="65322" spans="31:31">
      <c r="AE65322" s="54"/>
    </row>
    <row r="65323" spans="31:31">
      <c r="AE65323" s="54"/>
    </row>
    <row r="65324" spans="31:31">
      <c r="AE65324" s="54"/>
    </row>
    <row r="65325" spans="31:31">
      <c r="AE65325" s="54"/>
    </row>
    <row r="65326" spans="31:31">
      <c r="AE65326" s="54"/>
    </row>
    <row r="65327" spans="31:31">
      <c r="AE65327" s="54"/>
    </row>
    <row r="65328" spans="31:31">
      <c r="AE65328" s="54"/>
    </row>
    <row r="65329" spans="31:31">
      <c r="AE65329" s="54"/>
    </row>
    <row r="65330" spans="31:31">
      <c r="AE65330" s="54"/>
    </row>
    <row r="65331" spans="31:31">
      <c r="AE65331" s="54"/>
    </row>
    <row r="65332" spans="31:31">
      <c r="AE65332" s="54"/>
    </row>
    <row r="65333" spans="31:31">
      <c r="AE65333" s="54"/>
    </row>
    <row r="65334" spans="31:31">
      <c r="AE65334" s="54"/>
    </row>
    <row r="65335" spans="31:31">
      <c r="AE65335" s="54"/>
    </row>
    <row r="65336" spans="31:31">
      <c r="AE65336" s="54"/>
    </row>
    <row r="65337" spans="31:31">
      <c r="AE65337" s="54"/>
    </row>
    <row r="65338" spans="31:31">
      <c r="AE65338" s="54"/>
    </row>
    <row r="65339" spans="31:31">
      <c r="AE65339" s="54"/>
    </row>
    <row r="65340" spans="31:31">
      <c r="AE65340" s="54"/>
    </row>
    <row r="65341" spans="31:31">
      <c r="AE65341" s="54"/>
    </row>
    <row r="65342" spans="31:31">
      <c r="AE65342" s="54"/>
    </row>
    <row r="65343" spans="31:31">
      <c r="AE65343" s="54"/>
    </row>
    <row r="65344" spans="31:31">
      <c r="AE65344" s="54"/>
    </row>
    <row r="65345" spans="31:31">
      <c r="AE65345" s="54"/>
    </row>
    <row r="65346" spans="31:31">
      <c r="AE65346" s="54"/>
    </row>
    <row r="65347" spans="31:31">
      <c r="AE65347" s="54"/>
    </row>
    <row r="65348" spans="31:31">
      <c r="AE65348" s="54"/>
    </row>
    <row r="65349" spans="31:31">
      <c r="AE65349" s="54"/>
    </row>
    <row r="65350" spans="31:31">
      <c r="AE65350" s="54"/>
    </row>
    <row r="65351" spans="31:31">
      <c r="AE65351" s="54"/>
    </row>
    <row r="65352" spans="31:31">
      <c r="AE65352" s="54"/>
    </row>
    <row r="65353" spans="31:31">
      <c r="AE65353" s="54"/>
    </row>
    <row r="65354" spans="31:31">
      <c r="AE65354" s="54"/>
    </row>
    <row r="65355" spans="31:31">
      <c r="AE65355" s="54"/>
    </row>
    <row r="65356" spans="31:31">
      <c r="AE65356" s="54"/>
    </row>
    <row r="65357" spans="31:31">
      <c r="AE65357" s="54"/>
    </row>
    <row r="65358" spans="31:31">
      <c r="AE65358" s="54"/>
    </row>
    <row r="65359" spans="31:31">
      <c r="AE65359" s="54"/>
    </row>
    <row r="65360" spans="31:31">
      <c r="AE65360" s="54"/>
    </row>
    <row r="65361" spans="31:31">
      <c r="AE65361" s="54"/>
    </row>
    <row r="65362" spans="31:31">
      <c r="AE65362" s="54"/>
    </row>
    <row r="65363" spans="31:31">
      <c r="AE65363" s="54"/>
    </row>
    <row r="65364" spans="31:31">
      <c r="AE65364" s="54"/>
    </row>
    <row r="65365" spans="31:31">
      <c r="AE65365" s="54"/>
    </row>
    <row r="65366" spans="31:31">
      <c r="AE65366" s="54"/>
    </row>
    <row r="65367" spans="31:31">
      <c r="AE65367" s="54"/>
    </row>
    <row r="65368" spans="31:31">
      <c r="AE65368" s="54"/>
    </row>
    <row r="65369" spans="31:31">
      <c r="AE65369" s="54"/>
    </row>
    <row r="65370" spans="31:31">
      <c r="AE65370" s="54"/>
    </row>
    <row r="65371" spans="31:31">
      <c r="AE65371" s="54"/>
    </row>
    <row r="65372" spans="31:31">
      <c r="AE65372" s="54"/>
    </row>
    <row r="65373" spans="31:31">
      <c r="AE65373" s="54"/>
    </row>
    <row r="65374" spans="31:31">
      <c r="AE65374" s="54"/>
    </row>
    <row r="65375" spans="31:31">
      <c r="AE65375" s="54"/>
    </row>
    <row r="65376" spans="31:31">
      <c r="AE65376" s="54"/>
    </row>
    <row r="65377" spans="31:31">
      <c r="AE65377" s="54"/>
    </row>
    <row r="65378" spans="31:31">
      <c r="AE65378" s="54"/>
    </row>
    <row r="65379" spans="31:31">
      <c r="AE65379" s="54"/>
    </row>
    <row r="65380" spans="31:31">
      <c r="AE65380" s="54"/>
    </row>
    <row r="65381" spans="31:31">
      <c r="AE65381" s="54"/>
    </row>
    <row r="65382" spans="31:31">
      <c r="AE65382" s="54"/>
    </row>
    <row r="65383" spans="31:31">
      <c r="AE65383" s="54"/>
    </row>
    <row r="65384" spans="31:31">
      <c r="AE65384" s="54"/>
    </row>
    <row r="65385" spans="31:31">
      <c r="AE65385" s="54"/>
    </row>
    <row r="65386" spans="31:31">
      <c r="AE65386" s="54"/>
    </row>
    <row r="65387" spans="31:31">
      <c r="AE65387" s="54"/>
    </row>
    <row r="65388" spans="31:31">
      <c r="AE65388" s="54"/>
    </row>
    <row r="65389" spans="31:31">
      <c r="AE65389" s="54"/>
    </row>
    <row r="65390" spans="31:31">
      <c r="AE65390" s="54"/>
    </row>
    <row r="65391" spans="31:31">
      <c r="AE65391" s="54"/>
    </row>
    <row r="65392" spans="31:31">
      <c r="AE65392" s="54"/>
    </row>
    <row r="65393" spans="31:31">
      <c r="AE65393" s="54"/>
    </row>
    <row r="65394" spans="31:31">
      <c r="AE65394" s="54"/>
    </row>
    <row r="65395" spans="31:31">
      <c r="AE65395" s="54"/>
    </row>
    <row r="65396" spans="31:31">
      <c r="AE65396" s="54"/>
    </row>
    <row r="65397" spans="31:31">
      <c r="AE65397" s="54"/>
    </row>
    <row r="65398" spans="31:31">
      <c r="AE65398" s="54"/>
    </row>
    <row r="65399" spans="31:31">
      <c r="AE65399" s="54"/>
    </row>
    <row r="65400" spans="31:31">
      <c r="AE65400" s="54"/>
    </row>
    <row r="65401" spans="31:31">
      <c r="AE65401" s="54"/>
    </row>
    <row r="65402" spans="31:31">
      <c r="AE65402" s="54"/>
    </row>
    <row r="65403" spans="31:31">
      <c r="AE65403" s="54"/>
    </row>
    <row r="65404" spans="31:31">
      <c r="AE65404" s="54"/>
    </row>
    <row r="65405" spans="31:31">
      <c r="AE65405" s="54"/>
    </row>
    <row r="65406" spans="31:31">
      <c r="AE65406" s="54"/>
    </row>
    <row r="65407" spans="31:31">
      <c r="AE65407" s="54"/>
    </row>
    <row r="65408" spans="31:31">
      <c r="AE65408" s="54"/>
    </row>
    <row r="65409" spans="31:31">
      <c r="AE65409" s="54"/>
    </row>
    <row r="65410" spans="31:31">
      <c r="AE65410" s="54"/>
    </row>
    <row r="65411" spans="31:31">
      <c r="AE65411" s="54"/>
    </row>
    <row r="65412" spans="31:31">
      <c r="AE65412" s="54"/>
    </row>
    <row r="65413" spans="31:31">
      <c r="AE65413" s="54"/>
    </row>
    <row r="65414" spans="31:31">
      <c r="AE65414" s="54"/>
    </row>
    <row r="65415" spans="31:31">
      <c r="AE65415" s="54"/>
    </row>
    <row r="65416" spans="31:31">
      <c r="AE65416" s="54"/>
    </row>
    <row r="65417" spans="31:31">
      <c r="AE65417" s="54"/>
    </row>
    <row r="65418" spans="31:31">
      <c r="AE65418" s="54"/>
    </row>
    <row r="65419" spans="31:31">
      <c r="AE65419" s="54"/>
    </row>
    <row r="65420" spans="31:31">
      <c r="AE65420" s="54"/>
    </row>
    <row r="65421" spans="31:31">
      <c r="AE65421" s="54"/>
    </row>
    <row r="65422" spans="31:31">
      <c r="AE65422" s="54"/>
    </row>
    <row r="65423" spans="31:31">
      <c r="AE65423" s="54"/>
    </row>
    <row r="65424" spans="31:31">
      <c r="AE65424" s="54"/>
    </row>
    <row r="65425" spans="31:31">
      <c r="AE65425" s="54"/>
    </row>
    <row r="65426" spans="31:31">
      <c r="AE65426" s="54"/>
    </row>
    <row r="65427" spans="31:31">
      <c r="AE65427" s="54"/>
    </row>
    <row r="65428" spans="31:31">
      <c r="AE65428" s="54"/>
    </row>
    <row r="65429" spans="31:31">
      <c r="AE65429" s="54"/>
    </row>
    <row r="65430" spans="31:31">
      <c r="AE65430" s="54"/>
    </row>
    <row r="65431" spans="31:31">
      <c r="AE65431" s="54"/>
    </row>
    <row r="65432" spans="31:31">
      <c r="AE65432" s="54"/>
    </row>
    <row r="65433" spans="31:31">
      <c r="AE65433" s="54"/>
    </row>
    <row r="65434" spans="31:31">
      <c r="AE65434" s="54"/>
    </row>
    <row r="65435" spans="31:31">
      <c r="AE65435" s="54"/>
    </row>
    <row r="65436" spans="31:31">
      <c r="AE65436" s="54"/>
    </row>
    <row r="65437" spans="31:31">
      <c r="AE65437" s="54"/>
    </row>
    <row r="65438" spans="31:31">
      <c r="AE65438" s="54"/>
    </row>
    <row r="65439" spans="31:31">
      <c r="AE65439" s="54"/>
    </row>
    <row r="65440" spans="31:31">
      <c r="AE65440" s="54"/>
    </row>
    <row r="65441" spans="31:31">
      <c r="AE65441" s="54"/>
    </row>
    <row r="65442" spans="31:31">
      <c r="AE65442" s="54"/>
    </row>
    <row r="65443" spans="31:31">
      <c r="AE65443" s="54"/>
    </row>
    <row r="65444" spans="31:31">
      <c r="AE65444" s="54"/>
    </row>
    <row r="65445" spans="31:31">
      <c r="AE65445" s="54"/>
    </row>
    <row r="65446" spans="31:31">
      <c r="AE65446" s="54"/>
    </row>
    <row r="65447" spans="31:31">
      <c r="AE65447" s="54"/>
    </row>
    <row r="65448" spans="31:31">
      <c r="AE65448" s="54"/>
    </row>
    <row r="65449" spans="31:31">
      <c r="AE65449" s="54"/>
    </row>
    <row r="65450" spans="31:31">
      <c r="AE65450" s="54"/>
    </row>
    <row r="65451" spans="31:31">
      <c r="AE65451" s="54"/>
    </row>
    <row r="65452" spans="31:31">
      <c r="AE65452" s="54"/>
    </row>
    <row r="65453" spans="31:31">
      <c r="AE65453" s="54"/>
    </row>
    <row r="65454" spans="31:31">
      <c r="AE65454" s="54"/>
    </row>
    <row r="65455" spans="31:31">
      <c r="AE65455" s="54"/>
    </row>
    <row r="65456" spans="31:31">
      <c r="AE65456" s="54"/>
    </row>
    <row r="65457" spans="31:31">
      <c r="AE65457" s="54"/>
    </row>
    <row r="65458" spans="31:31">
      <c r="AE65458" s="54"/>
    </row>
    <row r="65459" spans="31:31">
      <c r="AE65459" s="54"/>
    </row>
    <row r="65460" spans="31:31">
      <c r="AE65460" s="54"/>
    </row>
    <row r="65461" spans="31:31">
      <c r="AE65461" s="54"/>
    </row>
    <row r="65462" spans="31:31">
      <c r="AE65462" s="54"/>
    </row>
    <row r="65463" spans="31:31">
      <c r="AE65463" s="54"/>
    </row>
    <row r="65464" spans="31:31">
      <c r="AE65464" s="54"/>
    </row>
    <row r="65465" spans="31:31">
      <c r="AE65465" s="54"/>
    </row>
    <row r="65466" spans="31:31">
      <c r="AE65466" s="54"/>
    </row>
    <row r="65467" spans="31:31">
      <c r="AE65467" s="54"/>
    </row>
    <row r="65468" spans="31:31">
      <c r="AE65468" s="54"/>
    </row>
    <row r="65469" spans="31:31">
      <c r="AE65469" s="54"/>
    </row>
    <row r="65470" spans="31:31">
      <c r="AE65470" s="54"/>
    </row>
    <row r="65471" spans="31:31">
      <c r="AE65471" s="54"/>
    </row>
    <row r="65472" spans="31:31">
      <c r="AE65472" s="54"/>
    </row>
    <row r="65473" spans="31:31">
      <c r="AE65473" s="54"/>
    </row>
    <row r="65474" spans="31:31">
      <c r="AE65474" s="54"/>
    </row>
    <row r="65475" spans="31:31">
      <c r="AE65475" s="54"/>
    </row>
    <row r="65476" spans="31:31">
      <c r="AE65476" s="54"/>
    </row>
    <row r="65477" spans="31:31">
      <c r="AE65477" s="54"/>
    </row>
    <row r="65478" spans="31:31">
      <c r="AE65478" s="54"/>
    </row>
    <row r="65479" spans="31:31">
      <c r="AE65479" s="54"/>
    </row>
    <row r="65480" spans="31:31">
      <c r="AE65480" s="54"/>
    </row>
    <row r="65481" spans="31:31">
      <c r="AE65481" s="54"/>
    </row>
    <row r="65482" spans="31:31">
      <c r="AE65482" s="54"/>
    </row>
    <row r="65483" spans="31:31">
      <c r="AE65483" s="54"/>
    </row>
    <row r="65484" spans="31:31">
      <c r="AE65484" s="54"/>
    </row>
    <row r="65485" spans="31:31">
      <c r="AE65485" s="54"/>
    </row>
    <row r="65486" spans="31:31">
      <c r="AE65486" s="54"/>
    </row>
    <row r="65487" spans="31:31">
      <c r="AE65487" s="54"/>
    </row>
    <row r="65488" spans="31:31">
      <c r="AE65488" s="54"/>
    </row>
    <row r="65489" spans="31:31">
      <c r="AE65489" s="54"/>
    </row>
    <row r="65490" spans="31:31">
      <c r="AE65490" s="54"/>
    </row>
    <row r="65491" spans="31:31">
      <c r="AE65491" s="54"/>
    </row>
    <row r="65492" spans="31:31">
      <c r="AE65492" s="54"/>
    </row>
    <row r="65493" spans="31:31">
      <c r="AE65493" s="54"/>
    </row>
    <row r="65494" spans="31:31">
      <c r="AE65494" s="54"/>
    </row>
    <row r="65495" spans="31:31">
      <c r="AE65495" s="54"/>
    </row>
    <row r="65496" spans="31:31">
      <c r="AE65496" s="54"/>
    </row>
    <row r="65497" spans="31:31">
      <c r="AE65497" s="54"/>
    </row>
    <row r="65498" spans="31:31">
      <c r="AE65498" s="54"/>
    </row>
    <row r="65499" spans="31:31">
      <c r="AE65499" s="54"/>
    </row>
    <row r="65500" spans="31:31">
      <c r="AE65500" s="54"/>
    </row>
    <row r="65501" spans="31:31">
      <c r="AE65501" s="54"/>
    </row>
    <row r="65502" spans="31:31">
      <c r="AE65502" s="54"/>
    </row>
    <row r="65503" spans="31:31">
      <c r="AE65503" s="54"/>
    </row>
    <row r="65504" spans="31:31">
      <c r="AE65504" s="54"/>
    </row>
    <row r="65505" spans="31:31">
      <c r="AE65505" s="54"/>
    </row>
    <row r="65506" spans="31:31">
      <c r="AE65506" s="54"/>
    </row>
    <row r="65507" spans="31:31">
      <c r="AE65507" s="54"/>
    </row>
    <row r="65508" spans="31:31">
      <c r="AE65508" s="54"/>
    </row>
    <row r="65509" spans="31:31">
      <c r="AE65509" s="54"/>
    </row>
    <row r="65510" spans="31:31">
      <c r="AE65510" s="54"/>
    </row>
    <row r="65511" spans="31:31">
      <c r="AE65511" s="54"/>
    </row>
    <row r="65512" spans="31:31">
      <c r="AE65512" s="54"/>
    </row>
    <row r="65513" spans="31:31">
      <c r="AE65513" s="54"/>
    </row>
    <row r="65514" spans="31:31">
      <c r="AE65514" s="54"/>
    </row>
    <row r="65515" spans="31:31">
      <c r="AE65515" s="54"/>
    </row>
    <row r="65516" spans="31:31">
      <c r="AE65516" s="54"/>
    </row>
    <row r="65517" spans="31:31">
      <c r="AE65517" s="54"/>
    </row>
    <row r="65518" spans="31:31">
      <c r="AE65518" s="54"/>
    </row>
    <row r="65519" spans="31:31">
      <c r="AE65519" s="54"/>
    </row>
    <row r="65520" spans="31:31">
      <c r="AE65520" s="54"/>
    </row>
    <row r="65521" spans="31:31">
      <c r="AE65521" s="54"/>
    </row>
    <row r="65522" spans="31:31">
      <c r="AE65522" s="54"/>
    </row>
    <row r="65523" spans="31:31">
      <c r="AE65523" s="54"/>
    </row>
  </sheetData>
  <phoneticPr fontId="2" type="noConversion"/>
  <pageMargins left="0" right="0" top="0" bottom="0" header="0" footer="0"/>
  <pageSetup scale="75" orientation="landscape" r:id="rId1"/>
  <headerFooter alignWithMargins="0"/>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DN232"/>
  <sheetViews>
    <sheetView showGridLines="0" zoomScale="70" zoomScaleNormal="70" workbookViewId="0">
      <pane xSplit="2" ySplit="6" topLeftCell="C7" activePane="bottomRight" state="frozen"/>
      <selection activeCell="W275" sqref="W275"/>
      <selection pane="topRight" activeCell="W275" sqref="W275"/>
      <selection pane="bottomLeft" activeCell="W275" sqref="W275"/>
      <selection pane="bottomRight" activeCell="C7" sqref="C7"/>
    </sheetView>
  </sheetViews>
  <sheetFormatPr defaultRowHeight="12.75" outlineLevelRow="1" outlineLevelCol="1"/>
  <cols>
    <col min="1" max="1" width="2.42578125" style="15" bestFit="1" customWidth="1"/>
    <col min="2" max="2" width="52.140625" customWidth="1"/>
    <col min="3" max="3" width="8.28515625" bestFit="1" customWidth="1"/>
    <col min="4" max="12" width="9.42578125" hidden="1" customWidth="1" outlineLevel="1"/>
    <col min="13" max="13" width="8.85546875" hidden="1" customWidth="1" outlineLevel="1" collapsed="1"/>
    <col min="14" max="14" width="9.140625" hidden="1" customWidth="1" outlineLevel="1"/>
    <col min="15" max="15" width="9.42578125" hidden="1" customWidth="1" outlineLevel="1"/>
    <col min="16" max="19" width="9.42578125" hidden="1" customWidth="1" outlineLevel="1" collapsed="1"/>
    <col min="20" max="20" width="10.7109375" hidden="1" customWidth="1" outlineLevel="1" collapsed="1"/>
    <col min="21" max="21" width="10.7109375" bestFit="1" customWidth="1" collapsed="1"/>
    <col min="22" max="24" width="10.7109375" bestFit="1" customWidth="1"/>
    <col min="25" max="30" width="10.7109375" hidden="1" customWidth="1" outlineLevel="1"/>
    <col min="31" max="31" width="1" customWidth="1" collapsed="1"/>
    <col min="32" max="47" width="9.28515625" hidden="1" customWidth="1" outlineLevel="1"/>
    <col min="48" max="48" width="9" hidden="1" customWidth="1" outlineLevel="1"/>
    <col min="49" max="49" width="9.140625" hidden="1" customWidth="1" outlineLevel="1"/>
    <col min="50" max="50" width="9.42578125" hidden="1" customWidth="1" outlineLevel="1"/>
    <col min="51" max="51" width="9" hidden="1" customWidth="1" outlineLevel="1"/>
    <col min="52" max="63" width="9.140625" hidden="1" customWidth="1" outlineLevel="1"/>
    <col min="64" max="64" width="9.28515625" hidden="1" customWidth="1" outlineLevel="1" collapsed="1"/>
    <col min="65" max="66" width="9.140625" hidden="1" customWidth="1" outlineLevel="1"/>
    <col min="67" max="67" width="9.28515625" hidden="1" customWidth="1" outlineLevel="1"/>
    <col min="68" max="68" width="9.85546875" hidden="1" customWidth="1" outlineLevel="1" collapsed="1"/>
    <col min="69" max="69" width="9.42578125" hidden="1" customWidth="1" outlineLevel="1"/>
    <col min="70" max="70" width="8.85546875" hidden="1" customWidth="1" outlineLevel="1"/>
    <col min="71" max="71" width="9" hidden="1" customWidth="1" outlineLevel="1"/>
    <col min="72" max="72" width="9.42578125" hidden="1" customWidth="1" outlineLevel="1" collapsed="1"/>
    <col min="73" max="75" width="9.42578125" hidden="1" customWidth="1" outlineLevel="1"/>
    <col min="76" max="76" width="9.42578125" hidden="1" customWidth="1" outlineLevel="1" collapsed="1"/>
    <col min="77" max="79" width="9.42578125" hidden="1" customWidth="1" outlineLevel="1"/>
    <col min="80" max="80" width="9.42578125" hidden="1" customWidth="1" outlineLevel="1" collapsed="1"/>
    <col min="81" max="83" width="9.42578125" hidden="1" customWidth="1" outlineLevel="1"/>
    <col min="84" max="84" width="9.42578125" hidden="1" customWidth="1" outlineLevel="1" collapsed="1"/>
    <col min="85" max="87" width="9.42578125" hidden="1" customWidth="1" outlineLevel="1"/>
    <col min="88" max="88" width="9.42578125" hidden="1" customWidth="1" outlineLevel="1" collapsed="1"/>
    <col min="89" max="91" width="9.42578125" hidden="1" customWidth="1" outlineLevel="1"/>
    <col min="92" max="92" width="9.42578125" hidden="1" customWidth="1" outlineLevel="1" collapsed="1"/>
    <col min="93" max="95" width="9.42578125" hidden="1" customWidth="1" outlineLevel="1"/>
    <col min="96" max="96" width="10.7109375" hidden="1" customWidth="1" outlineLevel="1" collapsed="1"/>
    <col min="97" max="99" width="10.7109375" hidden="1" customWidth="1" outlineLevel="1"/>
    <col min="100" max="100" width="10.7109375" bestFit="1" customWidth="1" collapsed="1"/>
    <col min="101" max="107" width="10.7109375" bestFit="1" customWidth="1"/>
    <col min="108" max="108" width="1.5703125" style="15" customWidth="1"/>
    <col min="109" max="109" width="9.7109375" style="15" customWidth="1"/>
    <col min="110" max="110" width="1.5703125" style="15" customWidth="1"/>
    <col min="111" max="111" width="9.140625" style="15"/>
    <col min="112" max="112" width="1.5703125" style="15" customWidth="1"/>
    <col min="113" max="114" width="12.7109375" bestFit="1" customWidth="1"/>
    <col min="115" max="115" width="11.28515625" bestFit="1" customWidth="1"/>
    <col min="116" max="116" width="11.5703125" bestFit="1" customWidth="1"/>
    <col min="117" max="117" width="18" bestFit="1" customWidth="1"/>
    <col min="118" max="118" width="10.140625" bestFit="1" customWidth="1"/>
  </cols>
  <sheetData>
    <row r="1" spans="1:118" s="15" customFormat="1">
      <c r="B1" s="882" t="s">
        <v>952</v>
      </c>
      <c r="D1" s="961"/>
      <c r="E1" s="961"/>
      <c r="F1" s="961"/>
      <c r="G1" s="961"/>
      <c r="H1" s="961"/>
      <c r="I1" s="956"/>
      <c r="J1" s="956"/>
      <c r="K1" s="956"/>
      <c r="L1" s="956"/>
      <c r="M1" s="956"/>
      <c r="N1" s="956"/>
      <c r="O1" s="956"/>
      <c r="P1" s="956"/>
      <c r="Q1" s="956"/>
      <c r="R1" s="956"/>
      <c r="S1" s="956"/>
      <c r="T1" s="956"/>
      <c r="U1" s="956"/>
      <c r="V1" s="956"/>
      <c r="W1" s="956"/>
      <c r="X1" s="956"/>
      <c r="Y1" s="956"/>
      <c r="Z1" s="956"/>
      <c r="AA1" s="956"/>
      <c r="AB1" s="956"/>
      <c r="AC1" s="956"/>
      <c r="AD1" s="956"/>
      <c r="AF1" s="956"/>
      <c r="DD1" s="961"/>
      <c r="DE1" s="961"/>
      <c r="DF1" s="961"/>
      <c r="DG1" s="961"/>
      <c r="DH1" s="961"/>
      <c r="DI1"/>
      <c r="DJ1"/>
      <c r="DK1"/>
      <c r="DL1"/>
      <c r="DM1"/>
      <c r="DN1"/>
    </row>
    <row r="2" spans="1:118" s="15" customFormat="1">
      <c r="B2" s="528" t="s">
        <v>1719</v>
      </c>
      <c r="I2" s="26"/>
      <c r="J2" s="26"/>
      <c r="K2" s="26"/>
      <c r="L2" s="26"/>
      <c r="O2" s="26"/>
      <c r="P2" s="26"/>
      <c r="Q2" s="26"/>
      <c r="R2" s="26"/>
      <c r="S2" s="26"/>
      <c r="T2" s="26"/>
      <c r="U2" s="26"/>
      <c r="V2" s="26"/>
      <c r="W2" s="26"/>
      <c r="X2" s="26"/>
      <c r="Y2" s="26"/>
      <c r="Z2" s="26"/>
      <c r="AA2" s="26"/>
      <c r="AB2" s="26"/>
      <c r="AC2" s="26"/>
      <c r="AD2" s="26"/>
      <c r="AE2" s="26"/>
      <c r="AF2" s="26"/>
      <c r="AG2" s="26"/>
      <c r="AH2" s="26"/>
      <c r="AI2" s="26"/>
      <c r="AJ2" s="26"/>
      <c r="AK2" s="26"/>
      <c r="AL2" s="26"/>
      <c r="AM2" s="26"/>
      <c r="AN2" s="26"/>
      <c r="AO2" s="26"/>
      <c r="AP2" s="26"/>
      <c r="AQ2" s="26"/>
      <c r="AR2" s="26"/>
      <c r="AS2" s="26"/>
      <c r="AT2" s="26"/>
      <c r="AU2" s="26"/>
      <c r="AV2" s="26"/>
      <c r="AW2" s="26"/>
      <c r="AX2" s="26"/>
      <c r="AY2" s="26"/>
      <c r="DI2"/>
      <c r="DJ2"/>
      <c r="DK2"/>
      <c r="DL2"/>
      <c r="DM2"/>
      <c r="DN2"/>
    </row>
    <row r="3" spans="1:118" s="15" customFormat="1">
      <c r="B3" s="14" t="s">
        <v>1061</v>
      </c>
      <c r="H3" s="883"/>
      <c r="L3" s="769"/>
      <c r="Q3" s="766" t="str">
        <f>IF(mode=2, "BASE CASE", IF(mode=1, "BULL CASE", IF(mode=3, "BEAR CASE", na)))</f>
        <v>BASE CASE</v>
      </c>
      <c r="R3" s="973"/>
      <c r="S3" s="973"/>
      <c r="T3" s="973"/>
      <c r="U3" s="973"/>
      <c r="V3" s="973"/>
      <c r="W3" s="973"/>
      <c r="X3" s="973"/>
      <c r="Y3" s="973"/>
      <c r="Z3" s="973"/>
      <c r="AA3" s="973"/>
      <c r="AB3" s="973"/>
      <c r="AC3" s="973"/>
      <c r="AD3" s="973"/>
      <c r="AX3" s="885"/>
      <c r="BQ3" s="973"/>
      <c r="BR3" s="973"/>
      <c r="BS3" s="973"/>
      <c r="BV3" s="26"/>
      <c r="BW3" s="26"/>
      <c r="BX3" s="26"/>
      <c r="DI3"/>
      <c r="DJ3"/>
      <c r="DK3"/>
      <c r="DL3"/>
      <c r="DM3"/>
      <c r="DN3"/>
    </row>
    <row r="4" spans="1:118" s="15" customFormat="1" ht="5.25" customHeight="1">
      <c r="B4" s="23"/>
      <c r="C4" s="23"/>
      <c r="D4" s="23"/>
      <c r="E4" s="23"/>
      <c r="F4" s="23"/>
      <c r="G4" s="23"/>
      <c r="H4" s="166"/>
      <c r="I4" s="23"/>
      <c r="J4" s="166"/>
      <c r="K4" s="23"/>
      <c r="L4" s="23"/>
      <c r="M4" s="23"/>
      <c r="N4" s="23"/>
      <c r="O4" s="23"/>
      <c r="P4" s="834"/>
      <c r="Q4" s="834"/>
      <c r="R4" s="123"/>
      <c r="S4" s="23"/>
      <c r="T4" s="23"/>
      <c r="U4" s="23"/>
      <c r="V4" s="23"/>
      <c r="W4" s="23"/>
      <c r="X4" s="23"/>
      <c r="Y4" s="23"/>
      <c r="Z4" s="834"/>
      <c r="AA4" s="834"/>
      <c r="AB4" s="834"/>
      <c r="AC4" s="834"/>
      <c r="AD4" s="834"/>
      <c r="AE4" s="23"/>
      <c r="BP4" s="23"/>
      <c r="BQ4" s="23"/>
      <c r="BR4" s="23"/>
      <c r="BS4" s="23"/>
      <c r="BT4" s="23"/>
      <c r="BU4" s="23"/>
      <c r="BV4" s="23"/>
      <c r="BW4" s="23"/>
      <c r="BX4" s="23"/>
      <c r="BY4" s="23"/>
      <c r="BZ4" s="23"/>
      <c r="CA4" s="23"/>
      <c r="CB4" s="23"/>
      <c r="CC4" s="23"/>
      <c r="CD4" s="23"/>
      <c r="CE4" s="23"/>
      <c r="CF4" s="23"/>
      <c r="CG4" s="23"/>
      <c r="CH4" s="23"/>
      <c r="CI4" s="23"/>
      <c r="CJ4" s="23"/>
      <c r="CK4" s="23"/>
      <c r="CL4" s="23"/>
      <c r="CM4" s="23"/>
      <c r="CN4" s="23"/>
      <c r="CO4" s="23"/>
      <c r="CP4" s="23"/>
      <c r="CQ4" s="23"/>
      <c r="CR4" s="23"/>
      <c r="CS4" s="23"/>
      <c r="CT4" s="23"/>
      <c r="CU4" s="23"/>
      <c r="CV4" s="23"/>
      <c r="CW4" s="23"/>
      <c r="CX4" s="23"/>
      <c r="CY4" s="23"/>
      <c r="CZ4" s="23"/>
      <c r="DA4" s="23"/>
      <c r="DB4" s="23"/>
      <c r="DC4" s="23"/>
      <c r="DG4" s="993"/>
      <c r="DI4"/>
      <c r="DJ4"/>
      <c r="DK4"/>
      <c r="DL4"/>
      <c r="DM4"/>
      <c r="DN4"/>
    </row>
    <row r="5" spans="1:118">
      <c r="B5" s="825" t="s">
        <v>1122</v>
      </c>
      <c r="C5" s="1503"/>
      <c r="D5" s="1504"/>
      <c r="E5" s="1504"/>
      <c r="F5" s="1504"/>
      <c r="G5" s="1504"/>
      <c r="H5" s="1504"/>
      <c r="I5" s="1504"/>
      <c r="J5" s="1505"/>
      <c r="K5" s="1505"/>
      <c r="L5" s="1506" t="s">
        <v>1052</v>
      </c>
      <c r="M5" s="1506"/>
      <c r="N5" s="1505"/>
      <c r="O5" s="1505"/>
      <c r="P5" s="1505"/>
      <c r="Q5" s="1505"/>
      <c r="R5" s="1504"/>
      <c r="S5" s="1505"/>
      <c r="T5" s="1505"/>
      <c r="U5" s="1505"/>
      <c r="V5" s="1505"/>
      <c r="W5" s="1505"/>
      <c r="X5" s="1505"/>
      <c r="Y5" s="1505"/>
      <c r="Z5" s="1507"/>
      <c r="AA5" s="1507"/>
      <c r="AB5" s="1507"/>
      <c r="AC5" s="1507"/>
      <c r="AD5" s="1507"/>
      <c r="AE5" s="1508"/>
      <c r="AF5" s="1506" t="s">
        <v>1242</v>
      </c>
      <c r="AG5" s="1505"/>
      <c r="AH5" s="1505"/>
      <c r="AI5" s="1509"/>
      <c r="AJ5" s="1506" t="s">
        <v>1241</v>
      </c>
      <c r="AK5" s="1505"/>
      <c r="AL5" s="1505"/>
      <c r="AM5" s="1509"/>
      <c r="AN5" s="1506" t="s">
        <v>1240</v>
      </c>
      <c r="AO5" s="1505"/>
      <c r="AP5" s="1505"/>
      <c r="AQ5" s="1509"/>
      <c r="AR5" s="1506" t="s">
        <v>1239</v>
      </c>
      <c r="AS5" s="1505"/>
      <c r="AT5" s="1505"/>
      <c r="AU5" s="1509"/>
      <c r="AV5" s="1506" t="s">
        <v>1238</v>
      </c>
      <c r="AW5" s="1505"/>
      <c r="AX5" s="1505"/>
      <c r="AY5" s="1509"/>
      <c r="AZ5" s="1506" t="s">
        <v>1059</v>
      </c>
      <c r="BA5" s="1505"/>
      <c r="BB5" s="1505"/>
      <c r="BC5" s="1509"/>
      <c r="BD5" s="1506" t="s">
        <v>1058</v>
      </c>
      <c r="BE5" s="1505"/>
      <c r="BF5" s="1505"/>
      <c r="BG5" s="1509"/>
      <c r="BH5" s="1506" t="s">
        <v>1057</v>
      </c>
      <c r="BI5" s="1505"/>
      <c r="BJ5" s="1505"/>
      <c r="BK5" s="1509"/>
      <c r="BL5" s="1506" t="s">
        <v>1234</v>
      </c>
      <c r="BM5" s="1505"/>
      <c r="BN5" s="1505"/>
      <c r="BO5" s="1509"/>
      <c r="BP5" s="1506" t="s">
        <v>843</v>
      </c>
      <c r="BQ5" s="1505"/>
      <c r="BR5" s="1505"/>
      <c r="BS5" s="1509"/>
      <c r="BT5" s="1506" t="s">
        <v>634</v>
      </c>
      <c r="BU5" s="1505"/>
      <c r="BV5" s="1505"/>
      <c r="BW5" s="1509"/>
      <c r="BX5" s="1593">
        <v>2011</v>
      </c>
      <c r="BY5" s="1505"/>
      <c r="BZ5" s="1505"/>
      <c r="CA5" s="1509"/>
      <c r="CB5" s="1593" t="s">
        <v>1343</v>
      </c>
      <c r="CC5" s="1509"/>
      <c r="CD5" s="1509"/>
      <c r="CE5" s="1509"/>
      <c r="CF5" s="1665">
        <f>Rev!CF5</f>
        <v>2013</v>
      </c>
      <c r="CG5" s="1666"/>
      <c r="CH5" s="1666"/>
      <c r="CI5" s="1666"/>
      <c r="CJ5" s="1665">
        <f>Rev!CJ5</f>
        <v>2014</v>
      </c>
      <c r="CK5" s="1666"/>
      <c r="CL5" s="1666"/>
      <c r="CM5" s="1666"/>
      <c r="CN5" s="1665">
        <f>Rev!CN5</f>
        <v>2015</v>
      </c>
      <c r="CO5" s="1666"/>
      <c r="CP5" s="1666"/>
      <c r="CQ5" s="1666"/>
      <c r="CR5" s="1665">
        <f>Rev!CR5</f>
        <v>2016</v>
      </c>
      <c r="CS5" s="1666"/>
      <c r="CT5" s="1666"/>
      <c r="CU5" s="1666"/>
      <c r="CV5" s="1665">
        <f>Rev!CV5</f>
        <v>2017</v>
      </c>
      <c r="CW5" s="1666"/>
      <c r="CX5" s="1666"/>
      <c r="CY5" s="1666"/>
      <c r="CZ5" s="1665" t="str">
        <f>Rev!CZ5</f>
        <v>2018E</v>
      </c>
      <c r="DA5" s="1666"/>
      <c r="DB5" s="1666"/>
      <c r="DC5" s="1666"/>
      <c r="DG5" s="402" t="s">
        <v>876</v>
      </c>
      <c r="DH5" s="993"/>
    </row>
    <row r="6" spans="1:118">
      <c r="B6" s="825" t="s">
        <v>468</v>
      </c>
      <c r="C6" s="1503"/>
      <c r="D6" s="1510"/>
      <c r="E6" s="1511" t="s">
        <v>1242</v>
      </c>
      <c r="F6" s="1511" t="s">
        <v>1241</v>
      </c>
      <c r="G6" s="1511" t="s">
        <v>1240</v>
      </c>
      <c r="H6" s="1511" t="s">
        <v>1239</v>
      </c>
      <c r="I6" s="1511" t="s">
        <v>1238</v>
      </c>
      <c r="J6" s="1511" t="s">
        <v>1059</v>
      </c>
      <c r="K6" s="1511" t="s">
        <v>1058</v>
      </c>
      <c r="L6" s="1510" t="s">
        <v>1057</v>
      </c>
      <c r="M6" s="1511" t="s">
        <v>1234</v>
      </c>
      <c r="N6" s="1511" t="s">
        <v>843</v>
      </c>
      <c r="O6" s="1511" t="s">
        <v>634</v>
      </c>
      <c r="P6" s="2140">
        <v>2011</v>
      </c>
      <c r="Q6" s="2140">
        <v>2012</v>
      </c>
      <c r="R6" s="2310">
        <f>IS!R7</f>
        <v>2013</v>
      </c>
      <c r="S6" s="2310">
        <f>IS!S7</f>
        <v>2014</v>
      </c>
      <c r="T6" s="2310">
        <f>IS!T7</f>
        <v>2015</v>
      </c>
      <c r="U6" s="2310">
        <f>IS!U7</f>
        <v>2016</v>
      </c>
      <c r="V6" s="2311">
        <f>IS!V7</f>
        <v>2017</v>
      </c>
      <c r="W6" s="2311" t="str">
        <f>IS!W7</f>
        <v>2018E</v>
      </c>
      <c r="X6" s="2311" t="str">
        <f>IS!X7</f>
        <v>2019E</v>
      </c>
      <c r="Y6" s="2311" t="str">
        <f>IS!Y7</f>
        <v>2020E</v>
      </c>
      <c r="Z6" s="2311" t="str">
        <f>IS!Z7</f>
        <v>2021E</v>
      </c>
      <c r="AA6" s="2311" t="str">
        <f>IS!AA7</f>
        <v>2022E</v>
      </c>
      <c r="AB6" s="2311" t="str">
        <f>IS!AB7</f>
        <v>2023E</v>
      </c>
      <c r="AC6" s="2311" t="str">
        <f>IS!AC7</f>
        <v>2024E</v>
      </c>
      <c r="AD6" s="2311" t="str">
        <f>IS!AD7</f>
        <v>2025E</v>
      </c>
      <c r="AE6" s="1512"/>
      <c r="AF6" s="1510" t="s">
        <v>1053</v>
      </c>
      <c r="AG6" s="1511" t="s">
        <v>1054</v>
      </c>
      <c r="AH6" s="1511" t="s">
        <v>1055</v>
      </c>
      <c r="AI6" s="1513" t="s">
        <v>1056</v>
      </c>
      <c r="AJ6" s="1510" t="s">
        <v>1053</v>
      </c>
      <c r="AK6" s="1511" t="s">
        <v>1054</v>
      </c>
      <c r="AL6" s="1511" t="s">
        <v>1055</v>
      </c>
      <c r="AM6" s="1513" t="s">
        <v>1056</v>
      </c>
      <c r="AN6" s="1510" t="s">
        <v>1053</v>
      </c>
      <c r="AO6" s="1511" t="s">
        <v>1054</v>
      </c>
      <c r="AP6" s="1511" t="s">
        <v>1055</v>
      </c>
      <c r="AQ6" s="1513" t="s">
        <v>1056</v>
      </c>
      <c r="AR6" s="1510" t="s">
        <v>1053</v>
      </c>
      <c r="AS6" s="1511" t="s">
        <v>1054</v>
      </c>
      <c r="AT6" s="1511" t="s">
        <v>1055</v>
      </c>
      <c r="AU6" s="1513" t="s">
        <v>1056</v>
      </c>
      <c r="AV6" s="1510" t="s">
        <v>1053</v>
      </c>
      <c r="AW6" s="1511" t="s">
        <v>1054</v>
      </c>
      <c r="AX6" s="1511" t="s">
        <v>1055</v>
      </c>
      <c r="AY6" s="1513" t="s">
        <v>1056</v>
      </c>
      <c r="AZ6" s="1510" t="s">
        <v>1053</v>
      </c>
      <c r="BA6" s="1511" t="s">
        <v>1054</v>
      </c>
      <c r="BB6" s="1511" t="s">
        <v>1055</v>
      </c>
      <c r="BC6" s="1513" t="s">
        <v>1056</v>
      </c>
      <c r="BD6" s="1510" t="s">
        <v>1053</v>
      </c>
      <c r="BE6" s="1511" t="s">
        <v>1054</v>
      </c>
      <c r="BF6" s="1511" t="s">
        <v>1055</v>
      </c>
      <c r="BG6" s="1513" t="s">
        <v>1056</v>
      </c>
      <c r="BH6" s="1510" t="s">
        <v>1053</v>
      </c>
      <c r="BI6" s="1511" t="s">
        <v>1054</v>
      </c>
      <c r="BJ6" s="1511" t="s">
        <v>1055</v>
      </c>
      <c r="BK6" s="1513" t="s">
        <v>1056</v>
      </c>
      <c r="BL6" s="1510" t="s">
        <v>1053</v>
      </c>
      <c r="BM6" s="1511" t="s">
        <v>1054</v>
      </c>
      <c r="BN6" s="1511" t="s">
        <v>1055</v>
      </c>
      <c r="BO6" s="1513" t="s">
        <v>1056</v>
      </c>
      <c r="BP6" s="1510" t="s">
        <v>1053</v>
      </c>
      <c r="BQ6" s="1511" t="s">
        <v>1054</v>
      </c>
      <c r="BR6" s="1511" t="s">
        <v>1055</v>
      </c>
      <c r="BS6" s="1513" t="s">
        <v>1056</v>
      </c>
      <c r="BT6" s="1510" t="s">
        <v>1053</v>
      </c>
      <c r="BU6" s="1511" t="s">
        <v>1054</v>
      </c>
      <c r="BV6" s="1511" t="s">
        <v>1055</v>
      </c>
      <c r="BW6" s="1513" t="s">
        <v>1056</v>
      </c>
      <c r="BX6" s="1510" t="s">
        <v>1791</v>
      </c>
      <c r="BY6" s="1511" t="s">
        <v>1790</v>
      </c>
      <c r="BZ6" s="1511" t="s">
        <v>1381</v>
      </c>
      <c r="CA6" s="1513" t="s">
        <v>881</v>
      </c>
      <c r="CB6" s="1510" t="s">
        <v>683</v>
      </c>
      <c r="CC6" s="1511" t="s">
        <v>1622</v>
      </c>
      <c r="CD6" s="1511" t="s">
        <v>799</v>
      </c>
      <c r="CE6" s="1513" t="s">
        <v>1723</v>
      </c>
      <c r="CF6" s="1667" t="str">
        <f>Rev!CF6</f>
        <v>1Q13</v>
      </c>
      <c r="CG6" s="1668" t="str">
        <f>Rev!CG6</f>
        <v>2Q13</v>
      </c>
      <c r="CH6" s="1668" t="str">
        <f>Rev!CH6</f>
        <v>3Q13</v>
      </c>
      <c r="CI6" s="1669" t="str">
        <f>Rev!CI6</f>
        <v>4Q13</v>
      </c>
      <c r="CJ6" s="1667" t="str">
        <f>Rev!CJ6</f>
        <v>1Q14</v>
      </c>
      <c r="CK6" s="1668" t="str">
        <f>Rev!CK6</f>
        <v>2Q14</v>
      </c>
      <c r="CL6" s="1668" t="str">
        <f>Rev!CL6</f>
        <v>3Q14</v>
      </c>
      <c r="CM6" s="1669" t="str">
        <f>Rev!CM6</f>
        <v>4Q14</v>
      </c>
      <c r="CN6" s="1667" t="str">
        <f>Rev!CN6</f>
        <v>1Q15</v>
      </c>
      <c r="CO6" s="1668" t="str">
        <f>Rev!CO6</f>
        <v>2Q15</v>
      </c>
      <c r="CP6" s="1668" t="str">
        <f>Rev!CP6</f>
        <v>3Q15</v>
      </c>
      <c r="CQ6" s="1669" t="str">
        <f>Rev!CQ6</f>
        <v>4Q15</v>
      </c>
      <c r="CR6" s="1667" t="str">
        <f>Rev!CR6</f>
        <v>1Q16</v>
      </c>
      <c r="CS6" s="1668" t="str">
        <f>Rev!CS6</f>
        <v>2Q16</v>
      </c>
      <c r="CT6" s="1668" t="str">
        <f>Rev!CT6</f>
        <v>3Q16</v>
      </c>
      <c r="CU6" s="1669" t="str">
        <f>Rev!CU6</f>
        <v>4Q16</v>
      </c>
      <c r="CV6" s="1667" t="str">
        <f>Rev!CV6</f>
        <v>1Q17</v>
      </c>
      <c r="CW6" s="1668" t="str">
        <f>Rev!CW6</f>
        <v>2Q17</v>
      </c>
      <c r="CX6" s="1668" t="str">
        <f>Rev!CX6</f>
        <v>3Q17</v>
      </c>
      <c r="CY6" s="1669" t="str">
        <f>Rev!CY6</f>
        <v>4Q17</v>
      </c>
      <c r="CZ6" s="1667" t="str">
        <f>Rev!CZ6</f>
        <v>1Q18E</v>
      </c>
      <c r="DA6" s="1668" t="str">
        <f>Rev!DA6</f>
        <v>2Q18E</v>
      </c>
      <c r="DB6" s="1668" t="str">
        <f>Rev!DB6</f>
        <v>3Q18E</v>
      </c>
      <c r="DC6" s="1669" t="str">
        <f>Rev!DC6</f>
        <v>4Q18E</v>
      </c>
      <c r="DG6" s="403" t="str">
        <f ca="1">IF(AND((ABS(SUM(BP75:CA75,M75:Z75))&lt;(0.001)), (ABS(SUM(BP103:CA103,M103:Z103))&lt;(0.001)), (ABS(SUM(Capital!BP310:CA310,Capital!M310:Z310))&lt;(0.001))), "YES", "X")</f>
        <v>X</v>
      </c>
      <c r="DH6" s="993"/>
    </row>
    <row r="7" spans="1:118">
      <c r="A7" s="1163" t="s">
        <v>604</v>
      </c>
      <c r="B7" s="1494" t="s">
        <v>1021</v>
      </c>
      <c r="C7" s="1483"/>
      <c r="D7" s="1483"/>
      <c r="E7" s="1483"/>
      <c r="F7" s="1483"/>
      <c r="G7" s="1483"/>
      <c r="H7" s="1483"/>
      <c r="I7" s="1483"/>
      <c r="J7" s="1483"/>
      <c r="K7" s="1483"/>
      <c r="L7" s="1483"/>
      <c r="M7" s="1504"/>
      <c r="N7" s="1483"/>
      <c r="O7" s="1652" t="s">
        <v>923</v>
      </c>
      <c r="P7" s="1652"/>
      <c r="Q7" s="1652"/>
      <c r="R7" s="1483"/>
      <c r="S7" s="1491"/>
      <c r="T7" s="1491"/>
      <c r="U7" s="1491"/>
      <c r="V7" s="1491"/>
      <c r="W7" s="1491"/>
      <c r="X7" s="1491"/>
      <c r="Y7" s="1491"/>
      <c r="Z7" s="1491"/>
      <c r="AA7" s="1491"/>
      <c r="AB7" s="1491"/>
      <c r="AC7" s="1491"/>
      <c r="AD7" s="1491"/>
      <c r="AE7" s="1483"/>
      <c r="AF7" s="1483"/>
      <c r="AG7" s="1483"/>
      <c r="AH7" s="1483"/>
      <c r="AI7" s="1483"/>
      <c r="AJ7" s="1483"/>
      <c r="AK7" s="1483"/>
      <c r="AL7" s="1483"/>
      <c r="AM7" s="1483"/>
      <c r="AN7" s="1483"/>
      <c r="AO7" s="1483"/>
      <c r="AP7" s="1483"/>
      <c r="AQ7" s="1483"/>
      <c r="AR7" s="1483"/>
      <c r="AS7" s="1483"/>
      <c r="AT7" s="1483"/>
      <c r="AU7" s="1483"/>
      <c r="AV7" s="1483"/>
      <c r="AW7" s="1483"/>
      <c r="AX7" s="1483"/>
      <c r="AY7" s="1483"/>
      <c r="AZ7" s="1483"/>
      <c r="BA7" s="1483"/>
      <c r="BB7" s="1483"/>
      <c r="BC7" s="1483"/>
      <c r="BD7" s="1483"/>
      <c r="BE7" s="1483"/>
      <c r="BF7" s="1483"/>
      <c r="BG7" s="1483"/>
      <c r="BH7" s="1483"/>
      <c r="BI7" s="1483"/>
      <c r="BJ7" s="1483"/>
      <c r="BK7" s="1483"/>
      <c r="BL7" s="1483"/>
      <c r="BM7" s="1483"/>
      <c r="BN7" s="1483"/>
      <c r="BO7" s="1483"/>
      <c r="BP7" s="1483"/>
      <c r="BQ7" s="1483"/>
      <c r="BR7" s="1483"/>
      <c r="BS7" s="1483"/>
      <c r="BT7" s="1483"/>
      <c r="BU7" s="1652" t="s">
        <v>923</v>
      </c>
      <c r="BV7" s="1652"/>
      <c r="BW7" s="1652"/>
      <c r="BX7" s="1652" t="s">
        <v>923</v>
      </c>
      <c r="BY7" s="1652"/>
      <c r="BZ7" s="1652"/>
      <c r="CA7" s="1652"/>
      <c r="CB7" s="1652" t="s">
        <v>923</v>
      </c>
      <c r="CC7" s="1652"/>
      <c r="CD7" s="1652"/>
      <c r="CE7" s="1483"/>
      <c r="CF7" s="1483"/>
      <c r="CG7" s="1483"/>
      <c r="CH7" s="1483"/>
      <c r="CI7" s="1483"/>
      <c r="CJ7" s="1483"/>
      <c r="CK7" s="1483"/>
      <c r="CL7" s="1483"/>
      <c r="CM7" s="1483"/>
      <c r="CN7" s="1483"/>
      <c r="CO7" s="1483"/>
      <c r="CP7" s="1483"/>
      <c r="CQ7" s="1483"/>
      <c r="CR7" s="1483"/>
      <c r="CS7" s="1483"/>
      <c r="CT7" s="1483"/>
      <c r="CU7" s="1483"/>
      <c r="CV7" s="1483"/>
      <c r="CW7" s="1483"/>
      <c r="CX7" s="1483"/>
      <c r="CY7" s="1483"/>
      <c r="CZ7" s="1483"/>
      <c r="DA7" s="1483"/>
      <c r="DB7" s="1483"/>
      <c r="DC7" s="1483"/>
    </row>
    <row r="8" spans="1:118">
      <c r="B8" s="1514" t="s">
        <v>1022</v>
      </c>
      <c r="C8" s="1483"/>
      <c r="D8" s="1490"/>
      <c r="E8" s="1483">
        <f>CF!E70</f>
        <v>174.77300000000008</v>
      </c>
      <c r="F8" s="1483">
        <f>CF!F70</f>
        <v>58.831000000000074</v>
      </c>
      <c r="G8" s="1483">
        <f>CF!G70</f>
        <v>41.216000000000079</v>
      </c>
      <c r="H8" s="1485">
        <v>26.869</v>
      </c>
      <c r="I8" s="1483">
        <f>CF!I70</f>
        <v>25.938000000000088</v>
      </c>
      <c r="J8" s="1483">
        <f>CF!J70</f>
        <v>119.26700000000008</v>
      </c>
      <c r="K8" s="1483">
        <f>CF!K70</f>
        <v>82.563000000000073</v>
      </c>
      <c r="L8" s="1483">
        <f>CF!L70</f>
        <v>290.63300000000027</v>
      </c>
      <c r="M8" s="1483">
        <f>CF!M70</f>
        <v>220.20700000000039</v>
      </c>
      <c r="N8" s="1483">
        <f>CF!N70</f>
        <v>346.05600000000038</v>
      </c>
      <c r="O8" s="1483">
        <f>CF!O70</f>
        <v>432.63600000000042</v>
      </c>
      <c r="P8" s="1483">
        <f>CF!P70</f>
        <v>253.32800000000026</v>
      </c>
      <c r="Q8" s="1483">
        <f>CF!Q70</f>
        <v>252.21299999999999</v>
      </c>
      <c r="R8" s="1483">
        <f>CF!R70</f>
        <v>261.89399999999989</v>
      </c>
      <c r="S8" s="1483">
        <f>CF!S70</f>
        <v>610.91699999999992</v>
      </c>
      <c r="T8" s="2107">
        <f>CF!T70</f>
        <v>2228.8379999999997</v>
      </c>
      <c r="U8" s="2107">
        <f>CF!U70</f>
        <v>748.47599999999966</v>
      </c>
      <c r="V8" s="2107">
        <f>CF!V70-V9</f>
        <v>1412.5170000000019</v>
      </c>
      <c r="W8" s="2107">
        <f ca="1">CF!W70-W9</f>
        <v>558.20191214174361</v>
      </c>
      <c r="X8" s="2107">
        <f ca="1">CF!X70-X9</f>
        <v>347.20653921800869</v>
      </c>
      <c r="Y8" s="2107">
        <f ca="1">CF!Y70-Y9</f>
        <v>432.71985702003531</v>
      </c>
      <c r="Z8" s="2107">
        <f ca="1">CF!Z70-Z9</f>
        <v>653.60991358887736</v>
      </c>
      <c r="AA8" s="2107">
        <f ca="1">CF!AA70-AA9</f>
        <v>458.52300276138931</v>
      </c>
      <c r="AB8" s="2107">
        <f ca="1">CF!AB70-AB9</f>
        <v>322.02803697002014</v>
      </c>
      <c r="AC8" s="2107">
        <f ca="1">CF!AC70-AC9</f>
        <v>258.57984915158249</v>
      </c>
      <c r="AD8" s="2107">
        <f ca="1">CF!AD70-AD9</f>
        <v>293.37805551157135</v>
      </c>
      <c r="AE8" s="1483"/>
      <c r="AF8" s="1515"/>
      <c r="AG8" s="1484">
        <v>148.94</v>
      </c>
      <c r="AH8" s="1484">
        <v>273.86900000000003</v>
      </c>
      <c r="AI8" s="1484">
        <v>174.773</v>
      </c>
      <c r="AJ8" s="1484">
        <v>165.869</v>
      </c>
      <c r="AK8" s="1484">
        <v>124.003</v>
      </c>
      <c r="AL8" s="1484">
        <v>84.650999999999996</v>
      </c>
      <c r="AM8" s="1484">
        <v>58.831000000000003</v>
      </c>
      <c r="AN8" s="1484">
        <v>33.753</v>
      </c>
      <c r="AO8" s="1484">
        <v>16.774999999999999</v>
      </c>
      <c r="AP8" s="1484">
        <v>9.31</v>
      </c>
      <c r="AQ8" s="1484">
        <v>41.216000000000001</v>
      </c>
      <c r="AR8" s="1484">
        <v>20.978000000000002</v>
      </c>
      <c r="AS8" s="1484">
        <v>24.257000000000001</v>
      </c>
      <c r="AT8" s="1484">
        <v>21.722999999999999</v>
      </c>
      <c r="AU8" s="1484">
        <v>60.427999999999997</v>
      </c>
      <c r="AV8" s="1484">
        <v>68.843000000000004</v>
      </c>
      <c r="AW8" s="1484">
        <v>51.563000000000002</v>
      </c>
      <c r="AX8" s="1484">
        <v>42.584000000000003</v>
      </c>
      <c r="AY8" s="1484">
        <v>25.937999999999999</v>
      </c>
      <c r="AZ8" s="1483">
        <f>CF!AZ70</f>
        <v>44.210000000000122</v>
      </c>
      <c r="BA8" s="1483">
        <f>CF!BA70</f>
        <v>67.146000000000129</v>
      </c>
      <c r="BB8" s="1483">
        <f>CF!BB70</f>
        <v>42.573000000000128</v>
      </c>
      <c r="BC8" s="1483">
        <f>CF!BC70</f>
        <v>119.26700000000008</v>
      </c>
      <c r="BD8" s="1483">
        <f>CF!BD70</f>
        <v>81.125000000000085</v>
      </c>
      <c r="BE8" s="1483">
        <f>CF!BE70</f>
        <v>77.300000000000097</v>
      </c>
      <c r="BF8" s="1483">
        <f>CF!BF70</f>
        <v>84.639000000000095</v>
      </c>
      <c r="BG8" s="1483">
        <f>CF!BG70</f>
        <v>82.563000000000073</v>
      </c>
      <c r="BH8" s="1483">
        <f>CF!BH70</f>
        <v>327.66000000000008</v>
      </c>
      <c r="BI8" s="1483">
        <f>CF!BI70</f>
        <v>234.59800000000013</v>
      </c>
      <c r="BJ8" s="1483">
        <f>CF!BJ70</f>
        <v>343.45200000000011</v>
      </c>
      <c r="BK8" s="1483">
        <f>CF!BK70</f>
        <v>290.63300000000015</v>
      </c>
      <c r="BL8" s="1483">
        <f>CF!BL70</f>
        <v>260.83400000000017</v>
      </c>
      <c r="BM8" s="1483">
        <f>CF!BM70</f>
        <v>151.12700000000018</v>
      </c>
      <c r="BN8" s="1483">
        <f>CF!BN70</f>
        <v>160.6850000000002</v>
      </c>
      <c r="BO8" s="1483">
        <f>CF!BO70</f>
        <v>220.20700000000016</v>
      </c>
      <c r="BP8" s="1483">
        <f>CF!BP70</f>
        <v>222.04900000000018</v>
      </c>
      <c r="BQ8" s="1483">
        <f>CF!BQ70</f>
        <v>405.21700000000016</v>
      </c>
      <c r="BR8" s="1483">
        <f>CF!BR70</f>
        <v>283.14700000000016</v>
      </c>
      <c r="BS8" s="1483">
        <f>CF!BS70</f>
        <v>346.05600000000015</v>
      </c>
      <c r="BT8" s="1483">
        <f>CF!BT70</f>
        <v>1039.3020000000001</v>
      </c>
      <c r="BU8" s="1483">
        <f>CF!BU70</f>
        <v>509.0100000000001</v>
      </c>
      <c r="BV8" s="1483">
        <f>CF!BV70</f>
        <v>383.06400000000008</v>
      </c>
      <c r="BW8" s="1483">
        <f>CF!BW70</f>
        <v>432.63600000000008</v>
      </c>
      <c r="BX8" s="1483">
        <f>CF!BX70</f>
        <v>290.42500000000013</v>
      </c>
      <c r="BY8" s="1483">
        <f>CF!BY70</f>
        <v>279.97300000000013</v>
      </c>
      <c r="BZ8" s="1483">
        <f>CF!BZ70</f>
        <v>348.78800000000007</v>
      </c>
      <c r="CA8" s="1483">
        <f>CF!CA70</f>
        <v>253.32800000000006</v>
      </c>
      <c r="CB8" s="1483">
        <f>CF!CB70</f>
        <v>601.12200000000007</v>
      </c>
      <c r="CC8" s="1483">
        <f>CF!CC70</f>
        <v>621.43399999999997</v>
      </c>
      <c r="CD8" s="1483">
        <f>CF!CD70</f>
        <v>234.40299999999996</v>
      </c>
      <c r="CE8" s="1688">
        <f>CF!CE70</f>
        <v>252.21299999999994</v>
      </c>
      <c r="CF8" s="1688">
        <f>CF!CF70</f>
        <v>683.18500000000017</v>
      </c>
      <c r="CG8" s="1688">
        <f>CF!CG70</f>
        <v>518.57600000000025</v>
      </c>
      <c r="CH8" s="1688">
        <f>CF!CH70</f>
        <v>400.87000000000035</v>
      </c>
      <c r="CI8" s="1688">
        <f>CF!CI70</f>
        <v>261.89400000000001</v>
      </c>
      <c r="CJ8" s="1688">
        <f>CF!CJ70</f>
        <v>495.17400000000004</v>
      </c>
      <c r="CK8" s="1688">
        <f>CF!CK70</f>
        <v>408.33400000000006</v>
      </c>
      <c r="CL8" s="1688">
        <f>CF!CL70</f>
        <v>354.18100000000004</v>
      </c>
      <c r="CM8" s="1688">
        <f>CF!CM70</f>
        <v>610.91700000000014</v>
      </c>
      <c r="CN8" s="1688">
        <f>CF!CN70</f>
        <v>536.70900000000006</v>
      </c>
      <c r="CO8" s="1688">
        <f>CF!CO70</f>
        <v>336.13299999999992</v>
      </c>
      <c r="CP8" s="1688">
        <f>CF!CP70</f>
        <v>335.46899999999994</v>
      </c>
      <c r="CQ8" s="1688">
        <f>CF!CQ70</f>
        <v>2228.8379999999997</v>
      </c>
      <c r="CR8" s="1688">
        <f>CF!CR70</f>
        <v>633.75799999999981</v>
      </c>
      <c r="CS8" s="1688">
        <f>CF!CS70</f>
        <v>483.15999999999974</v>
      </c>
      <c r="CT8" s="1688">
        <f>CF!CT70</f>
        <v>987.91499999999974</v>
      </c>
      <c r="CU8" s="1688">
        <f>CF!CU70</f>
        <v>748.47599999999966</v>
      </c>
      <c r="CV8" s="1485">
        <v>4923.259</v>
      </c>
      <c r="CW8" s="1485">
        <v>1063.777</v>
      </c>
      <c r="CX8" s="1485">
        <v>1599.9880000000001</v>
      </c>
      <c r="CY8" s="1485">
        <v>1412.5170000000001</v>
      </c>
      <c r="CZ8" s="1688">
        <f ca="1">CF!CZ70-CZ9</f>
        <v>1270.7762364075172</v>
      </c>
      <c r="DA8" s="1688">
        <f ca="1">CF!DA70-DA9</f>
        <v>1293.0722701860154</v>
      </c>
      <c r="DB8" s="1688">
        <f ca="1">CF!DB70-DB9</f>
        <v>910.34845892073884</v>
      </c>
      <c r="DC8" s="1688">
        <f ca="1">CF!DC70-DC9</f>
        <v>558.2019121417419</v>
      </c>
      <c r="DE8" s="2087"/>
      <c r="DF8"/>
      <c r="DG8"/>
    </row>
    <row r="9" spans="1:118">
      <c r="B9" s="2343" t="s">
        <v>2659</v>
      </c>
      <c r="C9" s="1483"/>
      <c r="D9" s="1490"/>
      <c r="E9" s="1483"/>
      <c r="F9" s="1483"/>
      <c r="G9" s="1483"/>
      <c r="H9" s="1485"/>
      <c r="I9" s="1483"/>
      <c r="J9" s="1483"/>
      <c r="K9" s="1483"/>
      <c r="L9" s="1483"/>
      <c r="M9" s="1483"/>
      <c r="N9" s="1483"/>
      <c r="O9" s="1483"/>
      <c r="P9" s="1483"/>
      <c r="Q9" s="1483"/>
      <c r="R9" s="1483"/>
      <c r="S9" s="1483"/>
      <c r="T9" s="2107"/>
      <c r="U9" s="2107"/>
      <c r="V9" s="1483">
        <f>+CY9</f>
        <v>38.183999999999742</v>
      </c>
      <c r="W9" s="1483">
        <f>+DC9</f>
        <v>38.183999999999742</v>
      </c>
      <c r="X9" s="1491">
        <f>+W9</f>
        <v>38.183999999999742</v>
      </c>
      <c r="Y9" s="1491">
        <f>+X9</f>
        <v>38.183999999999742</v>
      </c>
      <c r="Z9" s="1491">
        <f>+Y9</f>
        <v>38.183999999999742</v>
      </c>
      <c r="AA9" s="1491">
        <f t="shared" ref="AA9:AD9" si="0">+Z9</f>
        <v>38.183999999999742</v>
      </c>
      <c r="AB9" s="1491">
        <f t="shared" si="0"/>
        <v>38.183999999999742</v>
      </c>
      <c r="AC9" s="1491">
        <f t="shared" si="0"/>
        <v>38.183999999999742</v>
      </c>
      <c r="AD9" s="1491">
        <f t="shared" si="0"/>
        <v>38.183999999999742</v>
      </c>
      <c r="AE9" s="1483"/>
      <c r="AF9" s="1515"/>
      <c r="AG9" s="1484"/>
      <c r="AH9" s="1484"/>
      <c r="AI9" s="1484"/>
      <c r="AJ9" s="1484"/>
      <c r="AK9" s="1484"/>
      <c r="AL9" s="1484"/>
      <c r="AM9" s="1484"/>
      <c r="AN9" s="1484"/>
      <c r="AO9" s="1484"/>
      <c r="AP9" s="1484"/>
      <c r="AQ9" s="1484"/>
      <c r="AR9" s="1484"/>
      <c r="AS9" s="1484"/>
      <c r="AT9" s="1484"/>
      <c r="AU9" s="1484"/>
      <c r="AV9" s="1484"/>
      <c r="AW9" s="1484"/>
      <c r="AX9" s="1484"/>
      <c r="AY9" s="1484"/>
      <c r="AZ9" s="1483"/>
      <c r="BA9" s="1483"/>
      <c r="BB9" s="1483"/>
      <c r="BC9" s="1483"/>
      <c r="BD9" s="1483"/>
      <c r="BE9" s="1483"/>
      <c r="BF9" s="1483"/>
      <c r="BG9" s="1483"/>
      <c r="BH9" s="1483"/>
      <c r="BI9" s="1483"/>
      <c r="BJ9" s="1483"/>
      <c r="BK9" s="1483"/>
      <c r="BL9" s="1483"/>
      <c r="BM9" s="1483"/>
      <c r="BN9" s="1483"/>
      <c r="BO9" s="1483"/>
      <c r="BP9" s="1483"/>
      <c r="BQ9" s="1483"/>
      <c r="BR9" s="1483"/>
      <c r="BS9" s="1483"/>
      <c r="BT9" s="1483"/>
      <c r="BU9" s="1483"/>
      <c r="BV9" s="1483"/>
      <c r="BW9" s="1483"/>
      <c r="BX9" s="1483"/>
      <c r="BY9" s="1483"/>
      <c r="BZ9" s="1483"/>
      <c r="CA9" s="1483"/>
      <c r="CB9" s="1483"/>
      <c r="CC9" s="1483"/>
      <c r="CD9" s="1483"/>
      <c r="CE9" s="1688"/>
      <c r="CF9" s="1688"/>
      <c r="CG9" s="1688"/>
      <c r="CH9" s="1688"/>
      <c r="CI9" s="1688"/>
      <c r="CJ9" s="1688"/>
      <c r="CK9" s="1688"/>
      <c r="CL9" s="1688"/>
      <c r="CM9" s="1688"/>
      <c r="CN9" s="1688"/>
      <c r="CO9" s="1688"/>
      <c r="CP9" s="1688"/>
      <c r="CQ9" s="1688"/>
      <c r="CR9" s="1688"/>
      <c r="CS9" s="1688"/>
      <c r="CT9" s="1688"/>
      <c r="CU9" s="1688"/>
      <c r="CV9" s="1688">
        <f>CF!CV70-CV8</f>
        <v>19.786999999999352</v>
      </c>
      <c r="CW9" s="1688">
        <f>CF!CW70-CW8</f>
        <v>39.448999999999614</v>
      </c>
      <c r="CX9" s="1688">
        <f>CF!CX70-CX8</f>
        <v>36.206999999999653</v>
      </c>
      <c r="CY9" s="1688">
        <f>CF!CY70-CY8</f>
        <v>38.183999999999742</v>
      </c>
      <c r="CZ9" s="1483">
        <f t="shared" ref="CZ9:DC9" si="1">+CY9</f>
        <v>38.183999999999742</v>
      </c>
      <c r="DA9" s="1483">
        <f t="shared" si="1"/>
        <v>38.183999999999742</v>
      </c>
      <c r="DB9" s="1483">
        <f t="shared" si="1"/>
        <v>38.183999999999742</v>
      </c>
      <c r="DC9" s="1483">
        <f t="shared" si="1"/>
        <v>38.183999999999742</v>
      </c>
      <c r="DE9" s="2087"/>
      <c r="DF9"/>
      <c r="DG9"/>
    </row>
    <row r="10" spans="1:118">
      <c r="B10" s="1514" t="s">
        <v>1126</v>
      </c>
      <c r="C10" s="1483"/>
      <c r="D10" s="1490"/>
      <c r="E10" s="1485">
        <f>AI10</f>
        <v>32.436999999999998</v>
      </c>
      <c r="F10" s="1485">
        <f>AM10</f>
        <v>28.89</v>
      </c>
      <c r="G10" s="1485"/>
      <c r="H10" s="1485">
        <v>46.101999999999997</v>
      </c>
      <c r="I10" s="1485">
        <f>AY10</f>
        <v>64.498999999999995</v>
      </c>
      <c r="J10" s="1485">
        <f>BC10</f>
        <v>52.104999999999997</v>
      </c>
      <c r="K10" s="1485">
        <f>BG10</f>
        <v>48.831000000000003</v>
      </c>
      <c r="L10" s="1485">
        <f>BK10</f>
        <v>63.301000000000002</v>
      </c>
      <c r="M10" s="1483">
        <f>BO10</f>
        <v>42.112000000000002</v>
      </c>
      <c r="N10" s="1483">
        <f>BS10</f>
        <v>248.50800000000001</v>
      </c>
      <c r="O10" s="1483">
        <f>BW10</f>
        <v>147.19200000000001</v>
      </c>
      <c r="P10" s="1483">
        <f>CA10</f>
        <v>635.721</v>
      </c>
      <c r="Q10" s="1483">
        <f>CE10</f>
        <v>166.49199999999999</v>
      </c>
      <c r="R10" s="1483">
        <f>CI10</f>
        <v>369.80799999999999</v>
      </c>
      <c r="S10" s="1483">
        <f>CM10</f>
        <v>529.39499999999998</v>
      </c>
      <c r="T10" s="1483">
        <f>CQ10</f>
        <v>0</v>
      </c>
      <c r="U10" s="1483">
        <f>CU10</f>
        <v>3.4089999999999998</v>
      </c>
      <c r="V10" s="1483">
        <f>CY10</f>
        <v>28.271000000000001</v>
      </c>
      <c r="W10" s="1483">
        <f t="shared" ref="W10:W14" si="2">+DC10</f>
        <v>28.271000000000001</v>
      </c>
      <c r="X10" s="1491">
        <f>+W10-CF!X35</f>
        <v>28.271000000000001</v>
      </c>
      <c r="Y10" s="1491">
        <f>+X10-CF!Y35</f>
        <v>28.271000000000001</v>
      </c>
      <c r="Z10" s="1491">
        <f>+Y10-CF!Z35</f>
        <v>28.271000000000001</v>
      </c>
      <c r="AA10" s="1491">
        <f>+Z10-CF!AA35</f>
        <v>28.271000000000001</v>
      </c>
      <c r="AB10" s="1491">
        <f>+AA10-CF!AB35</f>
        <v>28.271000000000001</v>
      </c>
      <c r="AC10" s="1491">
        <f>+AB10-CF!AC35</f>
        <v>28.271000000000001</v>
      </c>
      <c r="AD10" s="1491">
        <f>+AC10-CF!AD35</f>
        <v>28.271000000000001</v>
      </c>
      <c r="AE10" s="1483"/>
      <c r="AF10" s="1515"/>
      <c r="AG10" s="1485">
        <v>10.372999999999999</v>
      </c>
      <c r="AH10" s="1485">
        <v>36.709000000000003</v>
      </c>
      <c r="AI10" s="1485">
        <v>32.436999999999998</v>
      </c>
      <c r="AJ10" s="1485">
        <v>80.438999999999993</v>
      </c>
      <c r="AK10" s="1485">
        <v>106.67100000000001</v>
      </c>
      <c r="AL10" s="1485">
        <v>81.191000000000003</v>
      </c>
      <c r="AM10" s="1485">
        <v>28.89</v>
      </c>
      <c r="AN10" s="1485">
        <v>21.367000000000001</v>
      </c>
      <c r="AO10" s="1485">
        <v>6.4889999999999999</v>
      </c>
      <c r="AP10" s="1485">
        <v>2.3119999999999998</v>
      </c>
      <c r="AQ10" s="1485">
        <v>0</v>
      </c>
      <c r="AR10" s="1485">
        <v>0</v>
      </c>
      <c r="AS10" s="1485">
        <v>0</v>
      </c>
      <c r="AT10" s="1485">
        <v>3.5</v>
      </c>
      <c r="AU10" s="1485">
        <v>12.542999999999999</v>
      </c>
      <c r="AV10" s="1485">
        <v>19.795000000000002</v>
      </c>
      <c r="AW10" s="1485">
        <v>40.835999999999999</v>
      </c>
      <c r="AX10" s="1485">
        <v>54.988</v>
      </c>
      <c r="AY10" s="1485">
        <v>64.498999999999995</v>
      </c>
      <c r="AZ10" s="1485">
        <v>46.366999999999997</v>
      </c>
      <c r="BA10" s="1485">
        <v>40.973999999999997</v>
      </c>
      <c r="BB10" s="1485">
        <v>41.247999999999998</v>
      </c>
      <c r="BC10" s="1485">
        <v>52.104999999999997</v>
      </c>
      <c r="BD10" s="1485">
        <v>62.651000000000003</v>
      </c>
      <c r="BE10" s="1485">
        <v>53.524000000000001</v>
      </c>
      <c r="BF10" s="1485">
        <v>61.322000000000003</v>
      </c>
      <c r="BG10" s="1485">
        <v>48.831000000000003</v>
      </c>
      <c r="BH10" s="1485">
        <v>53.758000000000003</v>
      </c>
      <c r="BI10" s="1485">
        <v>67.727999999999994</v>
      </c>
      <c r="BJ10" s="1485">
        <v>64.004999999999995</v>
      </c>
      <c r="BK10" s="1485">
        <v>63.301000000000002</v>
      </c>
      <c r="BL10" s="1485">
        <v>37.694000000000003</v>
      </c>
      <c r="BM10" s="1485">
        <v>64.98</v>
      </c>
      <c r="BN10" s="1485">
        <v>101.892</v>
      </c>
      <c r="BO10" s="1485">
        <v>42.112000000000002</v>
      </c>
      <c r="BP10" s="1485">
        <v>29.72</v>
      </c>
      <c r="BQ10" s="1485">
        <v>175.85400000000001</v>
      </c>
      <c r="BR10" s="1485">
        <v>326.23399999999998</v>
      </c>
      <c r="BS10" s="1485">
        <v>248.50800000000001</v>
      </c>
      <c r="BT10" s="1485">
        <v>140.61099999999999</v>
      </c>
      <c r="BU10" s="1485">
        <v>206.11099999999999</v>
      </c>
      <c r="BV10" s="1485">
        <v>322.97899999999998</v>
      </c>
      <c r="BW10" s="1485">
        <v>147.19200000000001</v>
      </c>
      <c r="BX10" s="1485">
        <v>150.04</v>
      </c>
      <c r="BY10" s="1485">
        <v>94.245999999999995</v>
      </c>
      <c r="BZ10" s="1485">
        <v>700.24599999999998</v>
      </c>
      <c r="CA10" s="1485">
        <v>635.721</v>
      </c>
      <c r="CB10" s="1485">
        <v>283.91000000000003</v>
      </c>
      <c r="CC10" s="1485">
        <v>115.465</v>
      </c>
      <c r="CD10" s="1485">
        <v>164.78700000000001</v>
      </c>
      <c r="CE10" s="1485">
        <v>166.49199999999999</v>
      </c>
      <c r="CF10" s="1485">
        <v>233.28899999999999</v>
      </c>
      <c r="CG10" s="1485">
        <v>323.45999999999998</v>
      </c>
      <c r="CH10" s="1485">
        <v>346.03800000000001</v>
      </c>
      <c r="CI10" s="1485">
        <v>369.80799999999999</v>
      </c>
      <c r="CJ10" s="1485">
        <v>322.37400000000002</v>
      </c>
      <c r="CK10" s="1485">
        <v>100</v>
      </c>
      <c r="CL10" s="1485">
        <v>130.85900000000001</v>
      </c>
      <c r="CM10" s="1485">
        <v>529.39499999999998</v>
      </c>
      <c r="CN10" s="1485">
        <v>522.34299999999996</v>
      </c>
      <c r="CO10" s="1485">
        <f>95.397</f>
        <v>95.397000000000006</v>
      </c>
      <c r="CP10" s="1485"/>
      <c r="CQ10" s="1485"/>
      <c r="CR10" s="1485">
        <v>12.353</v>
      </c>
      <c r="CS10" s="1485">
        <v>3.3279999999999998</v>
      </c>
      <c r="CT10" s="1485">
        <v>0.443</v>
      </c>
      <c r="CU10" s="1485">
        <v>3.4089999999999998</v>
      </c>
      <c r="CV10" s="1485">
        <v>14.742000000000001</v>
      </c>
      <c r="CW10" s="1485">
        <v>4.242</v>
      </c>
      <c r="CX10" s="1485">
        <v>29.571999999999999</v>
      </c>
      <c r="CY10" s="1485">
        <v>28.271000000000001</v>
      </c>
      <c r="CZ10" s="1483">
        <f>+CY10-CF!CZ35</f>
        <v>28.271000000000001</v>
      </c>
      <c r="DA10" s="1483">
        <f>+CZ10-CF!DA35</f>
        <v>28.271000000000001</v>
      </c>
      <c r="DB10" s="1483">
        <f>+DA10-CF!DB35</f>
        <v>28.271000000000001</v>
      </c>
      <c r="DC10" s="1483">
        <f>+DB10-CF!DC35</f>
        <v>28.271000000000001</v>
      </c>
      <c r="DE10" s="2087"/>
      <c r="DF10"/>
      <c r="DG10"/>
    </row>
    <row r="11" spans="1:118">
      <c r="B11" s="1516" t="s">
        <v>1127</v>
      </c>
      <c r="C11" s="1483"/>
      <c r="D11" s="1490"/>
      <c r="E11" s="1485">
        <f>AI11</f>
        <v>4.9249999999999998</v>
      </c>
      <c r="F11" s="1485">
        <f>AM11</f>
        <v>6.9089999999999998</v>
      </c>
      <c r="G11" s="1485">
        <f>AQ11</f>
        <v>9.1519999999999992</v>
      </c>
      <c r="H11" s="1485">
        <f>AU11</f>
        <v>10.178000000000001</v>
      </c>
      <c r="I11" s="1485">
        <f>AY11</f>
        <v>11.919</v>
      </c>
      <c r="J11" s="1485">
        <f>BC11</f>
        <v>17.236999999999998</v>
      </c>
      <c r="K11" s="1485">
        <f>BG11</f>
        <v>26.864000000000001</v>
      </c>
      <c r="L11" s="1485">
        <f>BK11</f>
        <v>60.088999999999999</v>
      </c>
      <c r="M11" s="1483">
        <f>BO11</f>
        <v>66.028999999999996</v>
      </c>
      <c r="N11" s="1483">
        <f>BS11</f>
        <v>64.766999999999996</v>
      </c>
      <c r="O11" s="1483">
        <f>BW11</f>
        <v>116.358</v>
      </c>
      <c r="P11" s="1483">
        <f>CA11</f>
        <v>139.05699999999999</v>
      </c>
      <c r="Q11" s="1483">
        <f>CE11</f>
        <v>163.84</v>
      </c>
      <c r="R11" s="1483">
        <f>CI11</f>
        <v>184.84</v>
      </c>
      <c r="S11" s="1483">
        <f>CM11</f>
        <v>262.57</v>
      </c>
      <c r="T11" s="1483">
        <f>CQ11</f>
        <v>291.964</v>
      </c>
      <c r="U11" s="1483">
        <f>CU11</f>
        <v>396.245</v>
      </c>
      <c r="V11" s="1483">
        <f>CY11</f>
        <v>576.31299999999999</v>
      </c>
      <c r="W11" s="1483">
        <f t="shared" ca="1" si="2"/>
        <v>628.80697851885384</v>
      </c>
      <c r="X11" s="1491">
        <f ca="1">X106*X108/360</f>
        <v>660.30761014758616</v>
      </c>
      <c r="Y11" s="1491">
        <f ca="1">Y106*Y108/360</f>
        <v>712.73585332459072</v>
      </c>
      <c r="Z11" s="1491">
        <f ca="1">Z106*Z108/360</f>
        <v>762.184613657922</v>
      </c>
      <c r="AA11" s="1491">
        <f t="shared" ref="AA11:AD11" ca="1" si="3">AA106*AA108/360</f>
        <v>811.44963372706081</v>
      </c>
      <c r="AB11" s="1491">
        <f t="shared" ca="1" si="3"/>
        <v>860.49649020054414</v>
      </c>
      <c r="AC11" s="1491">
        <f t="shared" ca="1" si="3"/>
        <v>909.29777286951833</v>
      </c>
      <c r="AD11" s="1491">
        <f t="shared" ca="1" si="3"/>
        <v>957.83084867122636</v>
      </c>
      <c r="AE11" s="1483"/>
      <c r="AF11" s="1515"/>
      <c r="AG11" s="1485">
        <v>2.327</v>
      </c>
      <c r="AH11" s="1485">
        <v>5.42</v>
      </c>
      <c r="AI11" s="1485">
        <v>4.9249999999999998</v>
      </c>
      <c r="AJ11" s="1485">
        <v>6.3780000000000001</v>
      </c>
      <c r="AK11" s="1485">
        <v>6.3049999999999997</v>
      </c>
      <c r="AL11" s="1485">
        <v>8.25</v>
      </c>
      <c r="AM11" s="1485">
        <v>6.9089999999999998</v>
      </c>
      <c r="AN11" s="1485">
        <v>8.0670000000000002</v>
      </c>
      <c r="AO11" s="1485">
        <v>6.4089999999999998</v>
      </c>
      <c r="AP11" s="1485">
        <v>6.7210000000000001</v>
      </c>
      <c r="AQ11" s="1485">
        <v>9.1519999999999992</v>
      </c>
      <c r="AR11" s="1485">
        <v>10.675000000000001</v>
      </c>
      <c r="AS11" s="1485">
        <v>9.9649999999999999</v>
      </c>
      <c r="AT11" s="1485">
        <v>9.3930000000000007</v>
      </c>
      <c r="AU11" s="1485">
        <v>10.178000000000001</v>
      </c>
      <c r="AV11" s="1485">
        <v>10.079000000000001</v>
      </c>
      <c r="AW11" s="1485">
        <v>12.595000000000001</v>
      </c>
      <c r="AX11" s="1485">
        <v>12.875</v>
      </c>
      <c r="AY11" s="1485">
        <v>11.919</v>
      </c>
      <c r="AZ11" s="1485">
        <v>14.241</v>
      </c>
      <c r="BA11" s="1485">
        <v>15.72</v>
      </c>
      <c r="BB11" s="1485">
        <v>16.199000000000002</v>
      </c>
      <c r="BC11" s="1485">
        <v>17.236999999999998</v>
      </c>
      <c r="BD11" s="1485">
        <v>18.47</v>
      </c>
      <c r="BE11" s="1485">
        <v>23.347000000000001</v>
      </c>
      <c r="BF11" s="1485">
        <v>24.129000000000001</v>
      </c>
      <c r="BG11" s="1485">
        <v>26.864000000000001</v>
      </c>
      <c r="BH11" s="1485">
        <v>27.773</v>
      </c>
      <c r="BI11" s="1485">
        <v>28.14</v>
      </c>
      <c r="BJ11" s="1485">
        <v>49.176000000000002</v>
      </c>
      <c r="BK11" s="1485">
        <v>60.088999999999999</v>
      </c>
      <c r="BL11" s="1485">
        <v>59.155999999999999</v>
      </c>
      <c r="BM11" s="1485">
        <v>63.104999999999997</v>
      </c>
      <c r="BN11" s="1485">
        <v>62.375999999999998</v>
      </c>
      <c r="BO11" s="1485">
        <v>66.028999999999996</v>
      </c>
      <c r="BP11" s="1485">
        <v>60.021999999999998</v>
      </c>
      <c r="BQ11" s="1485">
        <v>67.311999999999998</v>
      </c>
      <c r="BR11" s="1485">
        <v>67.588999999999999</v>
      </c>
      <c r="BS11" s="1485">
        <v>64.766999999999996</v>
      </c>
      <c r="BT11" s="1485">
        <v>69.721999999999994</v>
      </c>
      <c r="BU11" s="1485">
        <v>106.255</v>
      </c>
      <c r="BV11" s="1485">
        <v>115.616</v>
      </c>
      <c r="BW11" s="1485">
        <v>116.358</v>
      </c>
      <c r="BX11" s="1485">
        <v>114.20699999999999</v>
      </c>
      <c r="BY11" s="1485">
        <v>140.316</v>
      </c>
      <c r="BZ11" s="1485">
        <v>144.185</v>
      </c>
      <c r="CA11" s="1485">
        <v>139.05699999999999</v>
      </c>
      <c r="CB11" s="1485">
        <v>158.56100000000001</v>
      </c>
      <c r="CC11" s="1485">
        <v>169.81200000000001</v>
      </c>
      <c r="CD11" s="1485">
        <v>181.97300000000001</v>
      </c>
      <c r="CE11" s="1485">
        <v>163.84</v>
      </c>
      <c r="CF11" s="1485">
        <v>185.16300000000001</v>
      </c>
      <c r="CG11" s="1485">
        <v>201.33600000000001</v>
      </c>
      <c r="CH11" s="1485">
        <v>200.48</v>
      </c>
      <c r="CI11" s="1485">
        <v>184.84</v>
      </c>
      <c r="CJ11" s="1485">
        <v>213.56</v>
      </c>
      <c r="CK11" s="1485">
        <v>237.83099999999999</v>
      </c>
      <c r="CL11" s="1485">
        <v>275.26400000000001</v>
      </c>
      <c r="CM11" s="1485">
        <v>262.57</v>
      </c>
      <c r="CN11" s="1485">
        <v>277.89999999999998</v>
      </c>
      <c r="CO11" s="1485">
        <v>293.85500000000002</v>
      </c>
      <c r="CP11" s="1485">
        <v>293.125</v>
      </c>
      <c r="CQ11" s="1485">
        <v>291.964</v>
      </c>
      <c r="CR11" s="1485">
        <v>326.44</v>
      </c>
      <c r="CS11" s="1485">
        <v>346.99400000000003</v>
      </c>
      <c r="CT11" s="1485">
        <v>377.52800000000002</v>
      </c>
      <c r="CU11" s="1485">
        <v>396.245</v>
      </c>
      <c r="CV11" s="1485">
        <v>429.99</v>
      </c>
      <c r="CW11" s="1485">
        <v>545.73400000000004</v>
      </c>
      <c r="CX11" s="1485">
        <v>597.24199999999996</v>
      </c>
      <c r="CY11" s="1485">
        <v>576.31299999999999</v>
      </c>
      <c r="CZ11" s="1483">
        <f t="shared" ref="CZ11:DC11" ca="1" si="4">CZ106*CZ108/90</f>
        <v>583.68244645312973</v>
      </c>
      <c r="DA11" s="1483">
        <f t="shared" ca="1" si="4"/>
        <v>595.46660396513153</v>
      </c>
      <c r="DB11" s="1483">
        <f t="shared" ca="1" si="4"/>
        <v>611.70885586405529</v>
      </c>
      <c r="DC11" s="1483">
        <f t="shared" ca="1" si="4"/>
        <v>628.80697851885384</v>
      </c>
      <c r="DE11" s="2087"/>
      <c r="DF11"/>
      <c r="DG11"/>
    </row>
    <row r="12" spans="1:118">
      <c r="B12" s="1516" t="s">
        <v>1405</v>
      </c>
      <c r="C12" s="1483"/>
      <c r="D12" s="1490"/>
      <c r="E12" s="1485"/>
      <c r="F12" s="1485"/>
      <c r="G12" s="1485"/>
      <c r="H12" s="1485"/>
      <c r="I12" s="1485"/>
      <c r="J12" s="1485"/>
      <c r="K12" s="1485"/>
      <c r="L12" s="1485"/>
      <c r="M12" s="1483">
        <f>BO12</f>
        <v>35.936</v>
      </c>
      <c r="N12" s="1483">
        <f>BS12</f>
        <v>46.822000000000003</v>
      </c>
      <c r="O12" s="1483">
        <f>BW12</f>
        <v>46.822000000000003</v>
      </c>
      <c r="P12" s="1483">
        <f>CA12</f>
        <v>0</v>
      </c>
      <c r="Q12" s="1483">
        <f>CE12</f>
        <v>0</v>
      </c>
      <c r="R12" s="1483">
        <f>CI12</f>
        <v>0</v>
      </c>
      <c r="S12" s="1483">
        <f>CM12</f>
        <v>0</v>
      </c>
      <c r="T12" s="1483">
        <f>CQ12</f>
        <v>0</v>
      </c>
      <c r="U12" s="1483">
        <f>CU12</f>
        <v>0</v>
      </c>
      <c r="V12" s="1483">
        <f>CY12</f>
        <v>0</v>
      </c>
      <c r="W12" s="1483">
        <f t="shared" si="2"/>
        <v>0</v>
      </c>
      <c r="X12" s="1491">
        <f t="shared" ref="X12:Z13" si="5">W12</f>
        <v>0</v>
      </c>
      <c r="Y12" s="1491">
        <f t="shared" si="5"/>
        <v>0</v>
      </c>
      <c r="Z12" s="1491">
        <f t="shared" si="5"/>
        <v>0</v>
      </c>
      <c r="AA12" s="1491">
        <f t="shared" ref="AA12:AA13" si="6">Z12</f>
        <v>0</v>
      </c>
      <c r="AB12" s="1491">
        <f t="shared" ref="AB12:AB13" si="7">AA12</f>
        <v>0</v>
      </c>
      <c r="AC12" s="1491">
        <f t="shared" ref="AC12:AC13" si="8">AB12</f>
        <v>0</v>
      </c>
      <c r="AD12" s="1491">
        <f t="shared" ref="AD12:AD13" si="9">AC12</f>
        <v>0</v>
      </c>
      <c r="AE12" s="1483"/>
      <c r="AF12" s="1515"/>
      <c r="AG12" s="1485"/>
      <c r="AH12" s="1485"/>
      <c r="AI12" s="1485"/>
      <c r="AJ12" s="1485"/>
      <c r="AK12" s="1485"/>
      <c r="AL12" s="1485"/>
      <c r="AM12" s="1485"/>
      <c r="AN12" s="1485"/>
      <c r="AO12" s="1485"/>
      <c r="AP12" s="1485"/>
      <c r="AQ12" s="1485"/>
      <c r="AR12" s="1485"/>
      <c r="AS12" s="1485"/>
      <c r="AT12" s="1485"/>
      <c r="AU12" s="1485"/>
      <c r="AV12" s="1485"/>
      <c r="AW12" s="1485"/>
      <c r="AX12" s="1485"/>
      <c r="AY12" s="1485"/>
      <c r="AZ12" s="1485"/>
      <c r="BA12" s="1485"/>
      <c r="BB12" s="1485"/>
      <c r="BC12" s="1485"/>
      <c r="BD12" s="1485"/>
      <c r="BE12" s="1485"/>
      <c r="BF12" s="1485"/>
      <c r="BG12" s="1485"/>
      <c r="BH12" s="1485"/>
      <c r="BI12" s="1485"/>
      <c r="BJ12" s="1485"/>
      <c r="BK12" s="1485"/>
      <c r="BL12" s="1485"/>
      <c r="BM12" s="1485"/>
      <c r="BN12" s="1485"/>
      <c r="BO12" s="1485">
        <v>35.936</v>
      </c>
      <c r="BP12" s="1485">
        <v>27.062999999999999</v>
      </c>
      <c r="BQ12" s="1485">
        <v>18.995999999999999</v>
      </c>
      <c r="BR12" s="1485">
        <v>15.163</v>
      </c>
      <c r="BS12" s="1485">
        <v>46.822000000000003</v>
      </c>
      <c r="BT12" s="1485">
        <f t="shared" ref="BT12:BY12" si="10">BS12</f>
        <v>46.822000000000003</v>
      </c>
      <c r="BU12" s="1485">
        <f t="shared" si="10"/>
        <v>46.822000000000003</v>
      </c>
      <c r="BV12" s="1485">
        <f t="shared" si="10"/>
        <v>46.822000000000003</v>
      </c>
      <c r="BW12" s="1485">
        <f t="shared" si="10"/>
        <v>46.822000000000003</v>
      </c>
      <c r="BX12" s="1485">
        <f t="shared" si="10"/>
        <v>46.822000000000003</v>
      </c>
      <c r="BY12" s="1483">
        <f t="shared" si="10"/>
        <v>46.822000000000003</v>
      </c>
      <c r="BZ12" s="1483"/>
      <c r="CA12" s="1483"/>
      <c r="CB12" s="1483"/>
      <c r="CC12" s="1483"/>
      <c r="CD12" s="1483"/>
      <c r="CE12" s="1483"/>
      <c r="CF12" s="1483"/>
      <c r="CG12" s="1483"/>
      <c r="CH12" s="1483"/>
      <c r="CI12" s="1483"/>
      <c r="CJ12" s="1483"/>
      <c r="CK12" s="1483"/>
      <c r="CL12" s="1483"/>
      <c r="CM12" s="1483"/>
      <c r="CN12" s="1483"/>
      <c r="CO12" s="1483"/>
      <c r="CP12" s="1483"/>
      <c r="CQ12" s="1483"/>
      <c r="CR12" s="1483"/>
      <c r="CS12" s="1483"/>
      <c r="CT12" s="1483"/>
      <c r="CU12" s="1483"/>
      <c r="CV12" s="1483"/>
      <c r="CW12" s="1483"/>
      <c r="CX12" s="1483"/>
      <c r="CY12" s="1483"/>
      <c r="CZ12" s="1483">
        <f t="shared" ref="CZ12:CZ13" si="11">CY12</f>
        <v>0</v>
      </c>
      <c r="DA12" s="1483">
        <f t="shared" ref="DA12:DA13" si="12">CZ12</f>
        <v>0</v>
      </c>
      <c r="DB12" s="1483">
        <f t="shared" ref="DB12:DB13" si="13">DA12</f>
        <v>0</v>
      </c>
      <c r="DC12" s="1483">
        <f t="shared" ref="DC12:DC13" si="14">DB12</f>
        <v>0</v>
      </c>
      <c r="DE12" s="2087"/>
      <c r="DF12"/>
      <c r="DG12"/>
    </row>
    <row r="13" spans="1:118" ht="13.5" customHeight="1">
      <c r="B13" s="1516" t="s">
        <v>1542</v>
      </c>
      <c r="C13" s="1483"/>
      <c r="D13" s="1490"/>
      <c r="E13" s="1485">
        <f>AI13</f>
        <v>15.468</v>
      </c>
      <c r="F13" s="1485">
        <f>AM13</f>
        <v>4.7E-2</v>
      </c>
      <c r="G13" s="1485">
        <f>AQ13</f>
        <v>1.9810000000000001</v>
      </c>
      <c r="H13" s="1485"/>
      <c r="I13" s="1485">
        <f>AY13</f>
        <v>0</v>
      </c>
      <c r="J13" s="1485"/>
      <c r="K13" s="1485"/>
      <c r="L13" s="1485"/>
      <c r="M13" s="1483"/>
      <c r="N13" s="1483"/>
      <c r="O13" s="1483"/>
      <c r="P13" s="1483"/>
      <c r="Q13" s="1483"/>
      <c r="R13" s="1483">
        <f>CI13</f>
        <v>0</v>
      </c>
      <c r="S13" s="1483">
        <f>CM13</f>
        <v>0</v>
      </c>
      <c r="T13" s="1483">
        <f>CQ13</f>
        <v>0</v>
      </c>
      <c r="U13" s="1483">
        <f>CU13</f>
        <v>0</v>
      </c>
      <c r="V13" s="1483">
        <f>CY13</f>
        <v>0</v>
      </c>
      <c r="W13" s="1483">
        <f t="shared" si="2"/>
        <v>0</v>
      </c>
      <c r="X13" s="1491">
        <f t="shared" si="5"/>
        <v>0</v>
      </c>
      <c r="Y13" s="1491">
        <f t="shared" si="5"/>
        <v>0</v>
      </c>
      <c r="Z13" s="1491">
        <f t="shared" si="5"/>
        <v>0</v>
      </c>
      <c r="AA13" s="1491">
        <f t="shared" si="6"/>
        <v>0</v>
      </c>
      <c r="AB13" s="1491">
        <f t="shared" si="7"/>
        <v>0</v>
      </c>
      <c r="AC13" s="1491">
        <f t="shared" si="8"/>
        <v>0</v>
      </c>
      <c r="AD13" s="1491">
        <f t="shared" si="9"/>
        <v>0</v>
      </c>
      <c r="AE13" s="1483"/>
      <c r="AF13" s="1515"/>
      <c r="AG13" s="1485">
        <v>26.817</v>
      </c>
      <c r="AH13" s="1485">
        <v>26.312000000000001</v>
      </c>
      <c r="AI13" s="1485">
        <v>15.468</v>
      </c>
      <c r="AJ13" s="1485">
        <v>15.231</v>
      </c>
      <c r="AK13" s="1485">
        <v>0.53600000000000003</v>
      </c>
      <c r="AL13" s="1485">
        <v>4.6989999999999998</v>
      </c>
      <c r="AM13" s="1485">
        <v>4.7E-2</v>
      </c>
      <c r="AN13" s="1485">
        <v>2.2869999999999999</v>
      </c>
      <c r="AO13" s="1485">
        <v>4.7E-2</v>
      </c>
      <c r="AP13" s="1485">
        <v>4.7E-2</v>
      </c>
      <c r="AQ13" s="1485">
        <v>1.9810000000000001</v>
      </c>
      <c r="AR13" s="1485">
        <v>0</v>
      </c>
      <c r="AS13" s="1485">
        <v>0</v>
      </c>
      <c r="AT13" s="1485">
        <v>0</v>
      </c>
      <c r="AU13" s="1485">
        <v>0</v>
      </c>
      <c r="AV13" s="1485">
        <v>0</v>
      </c>
      <c r="AW13" s="1485">
        <v>0</v>
      </c>
      <c r="AX13" s="1485">
        <v>0</v>
      </c>
      <c r="AY13" s="1485">
        <v>0</v>
      </c>
      <c r="AZ13" s="1485"/>
      <c r="BA13" s="1485"/>
      <c r="BB13" s="1485"/>
      <c r="BC13" s="1485"/>
      <c r="BD13" s="1485"/>
      <c r="BE13" s="1485"/>
      <c r="BF13" s="1485"/>
      <c r="BG13" s="1485"/>
      <c r="BH13" s="1485"/>
      <c r="BI13" s="1485"/>
      <c r="BJ13" s="1485"/>
      <c r="BK13" s="1485"/>
      <c r="BL13" s="1485"/>
      <c r="BM13" s="1485"/>
      <c r="BN13" s="1485"/>
      <c r="BO13" s="1485"/>
      <c r="BP13" s="1485"/>
      <c r="BQ13" s="1485"/>
      <c r="BR13" s="1485"/>
      <c r="BS13" s="1485"/>
      <c r="BT13" s="1485"/>
      <c r="BU13" s="1485"/>
      <c r="BV13" s="1485"/>
      <c r="BW13" s="1485"/>
      <c r="BX13" s="1485"/>
      <c r="BY13" s="1483"/>
      <c r="BZ13" s="1483"/>
      <c r="CA13" s="1483"/>
      <c r="CB13" s="1483"/>
      <c r="CC13" s="1483"/>
      <c r="CD13" s="1483"/>
      <c r="CE13" s="1483"/>
      <c r="CF13" s="1485">
        <v>843.47799999999995</v>
      </c>
      <c r="CG13" s="1485"/>
      <c r="CH13" s="1485"/>
      <c r="CI13" s="1485"/>
      <c r="CJ13" s="1485"/>
      <c r="CK13" s="1485"/>
      <c r="CL13" s="1485"/>
      <c r="CM13" s="1485"/>
      <c r="CN13" s="1485"/>
      <c r="CO13" s="1485"/>
      <c r="CP13" s="1485"/>
      <c r="CQ13" s="1485"/>
      <c r="CR13" s="1485"/>
      <c r="CS13" s="1485"/>
      <c r="CT13" s="1485"/>
      <c r="CU13" s="1485"/>
      <c r="CV13" s="1485"/>
      <c r="CW13" s="1485"/>
      <c r="CX13" s="1485"/>
      <c r="CY13" s="1485"/>
      <c r="CZ13" s="1483">
        <f t="shared" si="11"/>
        <v>0</v>
      </c>
      <c r="DA13" s="1483">
        <f t="shared" si="12"/>
        <v>0</v>
      </c>
      <c r="DB13" s="1483">
        <f t="shared" si="13"/>
        <v>0</v>
      </c>
      <c r="DC13" s="1483">
        <f t="shared" si="14"/>
        <v>0</v>
      </c>
      <c r="DE13" s="2087"/>
      <c r="DF13"/>
      <c r="DG13"/>
    </row>
    <row r="14" spans="1:118">
      <c r="B14" s="1516" t="s">
        <v>1128</v>
      </c>
      <c r="C14" s="1483"/>
      <c r="D14" s="1517"/>
      <c r="E14" s="1518">
        <f>AI14</f>
        <v>10.372999999999999</v>
      </c>
      <c r="F14" s="1518">
        <f>AM14</f>
        <v>8.5410000000000004</v>
      </c>
      <c r="G14" s="1518">
        <f>AQ14</f>
        <v>11.146000000000001</v>
      </c>
      <c r="H14" s="1518">
        <f>AU14</f>
        <v>3.1389999999999998</v>
      </c>
      <c r="I14" s="1518">
        <f>AY14</f>
        <v>4.726</v>
      </c>
      <c r="J14" s="1518">
        <f>BC14</f>
        <v>3.1030000000000002</v>
      </c>
      <c r="K14" s="1518">
        <f>BG14</f>
        <v>8.0030000000000001</v>
      </c>
      <c r="L14" s="1518">
        <f>BK14</f>
        <v>12.738</v>
      </c>
      <c r="M14" s="1519">
        <f>BO14</f>
        <v>15.227</v>
      </c>
      <c r="N14" s="1519">
        <f>BS14</f>
        <v>21.734000000000002</v>
      </c>
      <c r="O14" s="1519">
        <f>BW14</f>
        <v>24.834999999999994</v>
      </c>
      <c r="P14" s="1519">
        <f>CA14</f>
        <v>182.15600000000001</v>
      </c>
      <c r="Q14" s="1519">
        <f>CE14</f>
        <v>57.546999999999997</v>
      </c>
      <c r="R14" s="1519">
        <f>CI14</f>
        <v>72.117999999999995</v>
      </c>
      <c r="S14" s="1519">
        <f>CM14</f>
        <v>88.061000000000007</v>
      </c>
      <c r="T14" s="1519">
        <f>CQ14</f>
        <v>738.47799999999995</v>
      </c>
      <c r="U14" s="1519">
        <f>CU14</f>
        <v>319.39600000000002</v>
      </c>
      <c r="V14" s="1519">
        <f>CY14</f>
        <v>193.84300000000025</v>
      </c>
      <c r="W14" s="1519">
        <f t="shared" ca="1" si="2"/>
        <v>211.49936082828313</v>
      </c>
      <c r="X14" s="1520">
        <f ca="1">W14*(X106/W106)</f>
        <v>230.86608128834564</v>
      </c>
      <c r="Y14" s="1520">
        <f ca="1">X14*(Y106/X106)</f>
        <v>249.19678483483682</v>
      </c>
      <c r="Z14" s="1520">
        <f ca="1">Y14*(Z106/Y106)</f>
        <v>266.48575946920641</v>
      </c>
      <c r="AA14" s="1520">
        <f t="shared" ref="AA14:AD14" ca="1" si="15">Z14*(AA106/Z106)</f>
        <v>283.71049223491184</v>
      </c>
      <c r="AB14" s="1520">
        <f t="shared" ca="1" si="15"/>
        <v>300.85894756017171</v>
      </c>
      <c r="AC14" s="1520">
        <f t="shared" ca="1" si="15"/>
        <v>317.92154190027441</v>
      </c>
      <c r="AD14" s="1520">
        <f t="shared" ca="1" si="15"/>
        <v>334.8903619638599</v>
      </c>
      <c r="AE14" s="1483"/>
      <c r="AF14" s="1521"/>
      <c r="AG14" s="1518">
        <v>1.64</v>
      </c>
      <c r="AH14" s="1518">
        <v>3.9460000000000002</v>
      </c>
      <c r="AI14" s="1518">
        <v>10.372999999999999</v>
      </c>
      <c r="AJ14" s="1518">
        <v>13.432</v>
      </c>
      <c r="AK14" s="1518">
        <v>8.9130000000000003</v>
      </c>
      <c r="AL14" s="1518">
        <v>8.2119999999999997</v>
      </c>
      <c r="AM14" s="1518">
        <v>8.5410000000000004</v>
      </c>
      <c r="AN14" s="1518">
        <v>8.8849999999999998</v>
      </c>
      <c r="AO14" s="1518">
        <v>3.4209999999999998</v>
      </c>
      <c r="AP14" s="1518">
        <v>10.881</v>
      </c>
      <c r="AQ14" s="1518">
        <v>11.146000000000001</v>
      </c>
      <c r="AR14" s="1518">
        <v>8.6080000000000005</v>
      </c>
      <c r="AS14" s="1518">
        <v>6.2320000000000002</v>
      </c>
      <c r="AT14" s="1518">
        <v>6.5519999999999996</v>
      </c>
      <c r="AU14" s="1518">
        <v>3.1389999999999998</v>
      </c>
      <c r="AV14" s="1518">
        <v>2.1680000000000001</v>
      </c>
      <c r="AW14" s="1518">
        <v>1.6180000000000001</v>
      </c>
      <c r="AX14" s="1518">
        <v>3.22</v>
      </c>
      <c r="AY14" s="1518">
        <v>4.726</v>
      </c>
      <c r="AZ14" s="1518">
        <v>2.4279999999999999</v>
      </c>
      <c r="BA14" s="1518">
        <v>2.4580000000000002</v>
      </c>
      <c r="BB14" s="1518">
        <v>3.2890000000000001</v>
      </c>
      <c r="BC14" s="1518">
        <v>3.1030000000000002</v>
      </c>
      <c r="BD14" s="1518">
        <v>4.6749999999999998</v>
      </c>
      <c r="BE14" s="1518">
        <v>5.5659999999999998</v>
      </c>
      <c r="BF14" s="1518">
        <v>5.99</v>
      </c>
      <c r="BG14" s="1518">
        <v>8.0030000000000001</v>
      </c>
      <c r="BH14" s="1518">
        <v>9.5670000000000002</v>
      </c>
      <c r="BI14" s="1518">
        <v>9.5990000000000002</v>
      </c>
      <c r="BJ14" s="1518">
        <v>26.489000000000001</v>
      </c>
      <c r="BK14" s="1518">
        <v>12.738</v>
      </c>
      <c r="BL14" s="1518">
        <v>16.523</v>
      </c>
      <c r="BM14" s="1518">
        <v>14.513999999999999</v>
      </c>
      <c r="BN14" s="1518">
        <v>17.701000000000001</v>
      </c>
      <c r="BO14" s="1518">
        <v>15.227</v>
      </c>
      <c r="BP14" s="1518">
        <v>18.231000000000002</v>
      </c>
      <c r="BQ14" s="1518">
        <v>22.081</v>
      </c>
      <c r="BR14" s="1518">
        <v>21.960999999999999</v>
      </c>
      <c r="BS14" s="1518">
        <v>21.734000000000002</v>
      </c>
      <c r="BT14" s="1518">
        <f>64.014-BT12</f>
        <v>17.191999999999993</v>
      </c>
      <c r="BU14" s="1518">
        <f>64.527-BU12</f>
        <v>17.704999999999998</v>
      </c>
      <c r="BV14" s="1518">
        <f>64.067-BV12</f>
        <v>17.24499999999999</v>
      </c>
      <c r="BW14" s="1518">
        <f>71.657-BW12</f>
        <v>24.834999999999994</v>
      </c>
      <c r="BX14" s="1518">
        <f>126.277-BX12</f>
        <v>79.454999999999998</v>
      </c>
      <c r="BY14" s="1518">
        <f>116.654-BY12</f>
        <v>69.831999999999994</v>
      </c>
      <c r="BZ14" s="1518">
        <v>115.34399999999999</v>
      </c>
      <c r="CA14" s="1518">
        <v>182.15600000000001</v>
      </c>
      <c r="CB14" s="1518">
        <v>98.608000000000004</v>
      </c>
      <c r="CC14" s="1518">
        <v>70.218999999999994</v>
      </c>
      <c r="CD14" s="1518">
        <f>68.991+69.748</f>
        <v>138.739</v>
      </c>
      <c r="CE14" s="1518">
        <v>57.546999999999997</v>
      </c>
      <c r="CF14" s="1518">
        <v>58.908000000000001</v>
      </c>
      <c r="CG14" s="1518">
        <v>55.317</v>
      </c>
      <c r="CH14" s="1518">
        <v>59.008000000000003</v>
      </c>
      <c r="CI14" s="1518">
        <v>72.117999999999995</v>
      </c>
      <c r="CJ14" s="1518">
        <v>54.91</v>
      </c>
      <c r="CK14" s="1518">
        <v>0</v>
      </c>
      <c r="CL14" s="1518">
        <v>97.406999999999996</v>
      </c>
      <c r="CM14" s="1518">
        <v>88.061000000000007</v>
      </c>
      <c r="CN14" s="1518">
        <v>102.592</v>
      </c>
      <c r="CO14" s="2178">
        <f>81.73+523.003</f>
        <v>604.73300000000006</v>
      </c>
      <c r="CP14" s="2178">
        <f>493.425+120.004</f>
        <v>613.42899999999997</v>
      </c>
      <c r="CQ14" s="2178">
        <f>479.417+12.875+212.929+33.257</f>
        <v>738.47799999999995</v>
      </c>
      <c r="CR14" s="2178">
        <f>3.42+236.466+955.904</f>
        <v>1195.79</v>
      </c>
      <c r="CS14" s="2178">
        <f>3.411+233.87+1024.666</f>
        <v>1261.9469999999999</v>
      </c>
      <c r="CT14" s="2178">
        <f>25.305+172.37+96.923</f>
        <v>294.59800000000001</v>
      </c>
      <c r="CU14" s="2178">
        <f>15.065+304.331</f>
        <v>319.39600000000002</v>
      </c>
      <c r="CV14" s="2178">
        <f>206.026-CV9</f>
        <v>186.23900000000066</v>
      </c>
      <c r="CW14" s="2178">
        <f>235.871-CW9</f>
        <v>196.42200000000039</v>
      </c>
      <c r="CX14" s="2178">
        <f>217.006-CX9</f>
        <v>180.79900000000035</v>
      </c>
      <c r="CY14" s="2178">
        <f>232.027-CY9</f>
        <v>193.84300000000025</v>
      </c>
      <c r="CZ14" s="1519">
        <f t="shared" ref="CZ14:DC14" ca="1" si="16">CY14*(CZ106/CY106)</f>
        <v>196.32171488030667</v>
      </c>
      <c r="DA14" s="1519">
        <f t="shared" ca="1" si="16"/>
        <v>200.28531876326426</v>
      </c>
      <c r="DB14" s="1519">
        <f t="shared" ca="1" si="16"/>
        <v>205.74840364048049</v>
      </c>
      <c r="DC14" s="1519">
        <f t="shared" ca="1" si="16"/>
        <v>211.49936082828313</v>
      </c>
      <c r="DE14" s="2087"/>
      <c r="DF14"/>
      <c r="DG14"/>
    </row>
    <row r="15" spans="1:118">
      <c r="B15" s="1522" t="s">
        <v>1023</v>
      </c>
      <c r="C15" s="1483"/>
      <c r="D15" s="1490"/>
      <c r="E15" s="1483">
        <f t="shared" ref="E15:Z15" si="17">SUM(E8:E14)</f>
        <v>237.97600000000008</v>
      </c>
      <c r="F15" s="1483">
        <f t="shared" si="17"/>
        <v>103.21800000000007</v>
      </c>
      <c r="G15" s="1483">
        <f t="shared" si="17"/>
        <v>63.495000000000083</v>
      </c>
      <c r="H15" s="1483">
        <f t="shared" si="17"/>
        <v>86.287999999999997</v>
      </c>
      <c r="I15" s="1483">
        <f t="shared" si="17"/>
        <v>107.08200000000008</v>
      </c>
      <c r="J15" s="1483">
        <f t="shared" si="17"/>
        <v>191.71200000000007</v>
      </c>
      <c r="K15" s="1483">
        <f t="shared" si="17"/>
        <v>166.26100000000008</v>
      </c>
      <c r="L15" s="1483">
        <f t="shared" si="17"/>
        <v>426.76100000000025</v>
      </c>
      <c r="M15" s="1483">
        <f t="shared" si="17"/>
        <v>379.51100000000037</v>
      </c>
      <c r="N15" s="1483">
        <f t="shared" si="17"/>
        <v>727.8870000000004</v>
      </c>
      <c r="O15" s="1483">
        <f t="shared" si="17"/>
        <v>767.84300000000042</v>
      </c>
      <c r="P15" s="1483">
        <f t="shared" si="17"/>
        <v>1210.2620000000002</v>
      </c>
      <c r="Q15" s="1483">
        <f t="shared" si="17"/>
        <v>640.09199999999998</v>
      </c>
      <c r="R15" s="1483">
        <f t="shared" si="17"/>
        <v>888.65999999999985</v>
      </c>
      <c r="S15" s="1483">
        <f t="shared" si="17"/>
        <v>1490.9429999999998</v>
      </c>
      <c r="T15" s="1483">
        <f t="shared" si="17"/>
        <v>3259.2799999999997</v>
      </c>
      <c r="U15" s="1483">
        <f t="shared" si="17"/>
        <v>1467.5259999999996</v>
      </c>
      <c r="V15" s="1483">
        <f>SUM(V8:V14)</f>
        <v>2249.128000000002</v>
      </c>
      <c r="W15" s="1483">
        <f ca="1">SUM(W8:W14)</f>
        <v>1464.9632514888804</v>
      </c>
      <c r="X15" s="1491">
        <f t="shared" ca="1" si="17"/>
        <v>1304.8352306539402</v>
      </c>
      <c r="Y15" s="1491">
        <f t="shared" ca="1" si="17"/>
        <v>1461.1074951794626</v>
      </c>
      <c r="Z15" s="1491">
        <f t="shared" ca="1" si="17"/>
        <v>1748.7352867160055</v>
      </c>
      <c r="AA15" s="1491">
        <f t="shared" ref="AA15:AD15" ca="1" si="18">SUM(AA8:AA14)</f>
        <v>1620.1381287233617</v>
      </c>
      <c r="AB15" s="1491">
        <f t="shared" ca="1" si="18"/>
        <v>1549.8384747307359</v>
      </c>
      <c r="AC15" s="1491">
        <f t="shared" ca="1" si="18"/>
        <v>1552.254163921375</v>
      </c>
      <c r="AD15" s="1491">
        <f t="shared" ca="1" si="18"/>
        <v>1652.5542661466575</v>
      </c>
      <c r="AE15" s="1483"/>
      <c r="AF15" s="1483"/>
      <c r="AG15" s="1483">
        <f t="shared" ref="AG15:BL15" si="19">SUM(AG8:AG14)</f>
        <v>190.09699999999998</v>
      </c>
      <c r="AH15" s="1483">
        <f t="shared" si="19"/>
        <v>346.25600000000009</v>
      </c>
      <c r="AI15" s="1483">
        <f t="shared" si="19"/>
        <v>237.97599999999997</v>
      </c>
      <c r="AJ15" s="1483">
        <f t="shared" si="19"/>
        <v>281.34899999999999</v>
      </c>
      <c r="AK15" s="1483">
        <f t="shared" si="19"/>
        <v>246.42800000000003</v>
      </c>
      <c r="AL15" s="1483">
        <f t="shared" si="19"/>
        <v>187.00299999999999</v>
      </c>
      <c r="AM15" s="1483">
        <f t="shared" si="19"/>
        <v>103.218</v>
      </c>
      <c r="AN15" s="1483">
        <f t="shared" si="19"/>
        <v>74.359000000000009</v>
      </c>
      <c r="AO15" s="1483">
        <f t="shared" si="19"/>
        <v>33.140999999999998</v>
      </c>
      <c r="AP15" s="1483">
        <f t="shared" si="19"/>
        <v>29.271000000000001</v>
      </c>
      <c r="AQ15" s="1483">
        <f t="shared" si="19"/>
        <v>63.495000000000005</v>
      </c>
      <c r="AR15" s="1483">
        <f t="shared" si="19"/>
        <v>40.261000000000003</v>
      </c>
      <c r="AS15" s="1483">
        <f t="shared" si="19"/>
        <v>40.454000000000001</v>
      </c>
      <c r="AT15" s="1483">
        <f t="shared" si="19"/>
        <v>41.167999999999999</v>
      </c>
      <c r="AU15" s="1483">
        <f t="shared" si="19"/>
        <v>86.287999999999997</v>
      </c>
      <c r="AV15" s="1483">
        <f t="shared" si="19"/>
        <v>100.88500000000002</v>
      </c>
      <c r="AW15" s="1483">
        <f t="shared" si="19"/>
        <v>106.61199999999999</v>
      </c>
      <c r="AX15" s="1483">
        <f t="shared" si="19"/>
        <v>113.667</v>
      </c>
      <c r="AY15" s="1483">
        <f t="shared" si="19"/>
        <v>107.08199999999999</v>
      </c>
      <c r="AZ15" s="1483">
        <f t="shared" si="19"/>
        <v>107.24600000000011</v>
      </c>
      <c r="BA15" s="1483">
        <f t="shared" si="19"/>
        <v>126.29800000000012</v>
      </c>
      <c r="BB15" s="1483">
        <f t="shared" si="19"/>
        <v>103.30900000000013</v>
      </c>
      <c r="BC15" s="1483">
        <f t="shared" si="19"/>
        <v>191.71200000000007</v>
      </c>
      <c r="BD15" s="1483">
        <f t="shared" si="19"/>
        <v>166.92100000000011</v>
      </c>
      <c r="BE15" s="1483">
        <f t="shared" si="19"/>
        <v>159.73700000000011</v>
      </c>
      <c r="BF15" s="1483">
        <f t="shared" si="19"/>
        <v>176.0800000000001</v>
      </c>
      <c r="BG15" s="1483">
        <f t="shared" si="19"/>
        <v>166.26100000000008</v>
      </c>
      <c r="BH15" s="1483">
        <f t="shared" si="19"/>
        <v>418.7580000000001</v>
      </c>
      <c r="BI15" s="1483">
        <f t="shared" si="19"/>
        <v>340.06500000000011</v>
      </c>
      <c r="BJ15" s="1483">
        <f t="shared" si="19"/>
        <v>483.12200000000007</v>
      </c>
      <c r="BK15" s="1483">
        <f t="shared" si="19"/>
        <v>426.76100000000014</v>
      </c>
      <c r="BL15" s="1483">
        <f t="shared" si="19"/>
        <v>374.20700000000022</v>
      </c>
      <c r="BM15" s="1483">
        <f t="shared" ref="BM15:CP15" si="20">SUM(BM8:BM14)</f>
        <v>293.72600000000023</v>
      </c>
      <c r="BN15" s="1483">
        <f t="shared" si="20"/>
        <v>342.65400000000022</v>
      </c>
      <c r="BO15" s="1483">
        <f t="shared" si="20"/>
        <v>379.51100000000014</v>
      </c>
      <c r="BP15" s="1483">
        <f t="shared" si="20"/>
        <v>357.08500000000015</v>
      </c>
      <c r="BQ15" s="1483">
        <f t="shared" si="20"/>
        <v>689.46000000000015</v>
      </c>
      <c r="BR15" s="1483">
        <f t="shared" si="20"/>
        <v>714.09400000000005</v>
      </c>
      <c r="BS15" s="1483">
        <f t="shared" si="20"/>
        <v>727.88700000000017</v>
      </c>
      <c r="BT15" s="1483">
        <f t="shared" si="20"/>
        <v>1313.6489999999999</v>
      </c>
      <c r="BU15" s="1483">
        <f t="shared" si="20"/>
        <v>885.90300000000013</v>
      </c>
      <c r="BV15" s="1483">
        <f t="shared" si="20"/>
        <v>885.72600000000011</v>
      </c>
      <c r="BW15" s="1483">
        <f t="shared" si="20"/>
        <v>767.84300000000019</v>
      </c>
      <c r="BX15" s="1483">
        <f t="shared" si="20"/>
        <v>680.94900000000018</v>
      </c>
      <c r="BY15" s="1483">
        <f t="shared" si="20"/>
        <v>631.18900000000008</v>
      </c>
      <c r="BZ15" s="1483">
        <f t="shared" si="20"/>
        <v>1308.5630000000001</v>
      </c>
      <c r="CA15" s="1483">
        <f t="shared" si="20"/>
        <v>1210.2619999999999</v>
      </c>
      <c r="CB15" s="1483">
        <f t="shared" si="20"/>
        <v>1142.201</v>
      </c>
      <c r="CC15" s="1483">
        <f t="shared" si="20"/>
        <v>976.93000000000006</v>
      </c>
      <c r="CD15" s="1483">
        <f t="shared" si="20"/>
        <v>719.90200000000004</v>
      </c>
      <c r="CE15" s="1483">
        <f t="shared" si="20"/>
        <v>640.09199999999998</v>
      </c>
      <c r="CF15" s="1483">
        <f t="shared" si="20"/>
        <v>2004.0230000000001</v>
      </c>
      <c r="CG15" s="1483">
        <f t="shared" si="20"/>
        <v>1098.6890000000003</v>
      </c>
      <c r="CH15" s="1483">
        <f t="shared" si="20"/>
        <v>1006.3960000000004</v>
      </c>
      <c r="CI15" s="1483">
        <f t="shared" si="20"/>
        <v>888.66000000000008</v>
      </c>
      <c r="CJ15" s="1483">
        <f t="shared" si="20"/>
        <v>1086.018</v>
      </c>
      <c r="CK15" s="1483">
        <f t="shared" si="20"/>
        <v>746.16500000000008</v>
      </c>
      <c r="CL15" s="1483">
        <f t="shared" si="20"/>
        <v>857.71100000000013</v>
      </c>
      <c r="CM15" s="1483">
        <f t="shared" si="20"/>
        <v>1490.943</v>
      </c>
      <c r="CN15" s="1483">
        <f t="shared" si="20"/>
        <v>1439.5440000000003</v>
      </c>
      <c r="CO15" s="1483">
        <f t="shared" si="20"/>
        <v>1330.1179999999999</v>
      </c>
      <c r="CP15" s="1483">
        <f t="shared" si="20"/>
        <v>1242.0229999999999</v>
      </c>
      <c r="CQ15" s="1483">
        <f t="shared" ref="CQ15:CT15" si="21">SUM(CQ8:CQ14)</f>
        <v>3259.2799999999997</v>
      </c>
      <c r="CR15" s="1483">
        <f t="shared" si="21"/>
        <v>2168.3409999999994</v>
      </c>
      <c r="CS15" s="1483">
        <f t="shared" si="21"/>
        <v>2095.4289999999996</v>
      </c>
      <c r="CT15" s="1483">
        <f t="shared" si="21"/>
        <v>1660.4839999999997</v>
      </c>
      <c r="CU15" s="1483">
        <f>SUM(CU8:CU14)</f>
        <v>1467.5259999999996</v>
      </c>
      <c r="CV15" s="1483">
        <f>SUM(CV8:CV14)</f>
        <v>5574.0169999999998</v>
      </c>
      <c r="CW15" s="1483">
        <f>SUM(CW8:CW14)</f>
        <v>1849.6240000000003</v>
      </c>
      <c r="CX15" s="1483">
        <f>SUM(CX8:CX14)</f>
        <v>2443.808</v>
      </c>
      <c r="CY15" s="1483">
        <f>SUM(CY8:CY14)</f>
        <v>2249.1280000000002</v>
      </c>
      <c r="CZ15" s="1483">
        <f t="shared" ref="CZ15:DC15" ca="1" si="22">SUM(CZ8:CZ14)</f>
        <v>2117.235397740953</v>
      </c>
      <c r="DA15" s="1483">
        <f t="shared" ca="1" si="22"/>
        <v>2155.2791929144109</v>
      </c>
      <c r="DB15" s="1483">
        <f t="shared" ca="1" si="22"/>
        <v>1794.2607184252745</v>
      </c>
      <c r="DC15" s="1483">
        <f t="shared" ca="1" si="22"/>
        <v>1464.9632514888788</v>
      </c>
      <c r="DE15" s="2087"/>
      <c r="DF15"/>
      <c r="DG15"/>
    </row>
    <row r="16" spans="1:118" ht="12.75" customHeight="1">
      <c r="B16" s="1497"/>
      <c r="C16" s="1483"/>
      <c r="D16" s="1490"/>
      <c r="E16" s="1485"/>
      <c r="F16" s="1485"/>
      <c r="G16" s="1485"/>
      <c r="H16" s="1485"/>
      <c r="I16" s="1485"/>
      <c r="J16" s="1485"/>
      <c r="K16" s="1485"/>
      <c r="L16" s="1485"/>
      <c r="M16" s="1483"/>
      <c r="N16" s="1483"/>
      <c r="O16" s="1483"/>
      <c r="P16" s="1483"/>
      <c r="Q16" s="1483"/>
      <c r="R16" s="1483"/>
      <c r="S16" s="1483"/>
      <c r="T16" s="1483"/>
      <c r="U16" s="1483"/>
      <c r="V16" s="1483"/>
      <c r="W16" s="1483"/>
      <c r="X16" s="1491"/>
      <c r="Y16" s="1491"/>
      <c r="Z16" s="1491"/>
      <c r="AA16" s="1491"/>
      <c r="AB16" s="1491"/>
      <c r="AC16" s="1491"/>
      <c r="AD16" s="1491"/>
      <c r="AE16" s="1483"/>
      <c r="AF16" s="1483"/>
      <c r="AG16" s="1483"/>
      <c r="AH16" s="1483"/>
      <c r="AI16" s="1483"/>
      <c r="AJ16" s="1483"/>
      <c r="AK16" s="1483"/>
      <c r="AL16" s="1483"/>
      <c r="AM16" s="1483"/>
      <c r="AN16" s="1483"/>
      <c r="AO16" s="1483"/>
      <c r="AP16" s="1483"/>
      <c r="AQ16" s="1483"/>
      <c r="AR16" s="1483"/>
      <c r="AS16" s="1483"/>
      <c r="AT16" s="1483"/>
      <c r="AU16" s="1483"/>
      <c r="AV16" s="1483"/>
      <c r="AW16" s="1483"/>
      <c r="AX16" s="1483"/>
      <c r="AY16" s="1483"/>
      <c r="AZ16" s="1483"/>
      <c r="BA16" s="1483"/>
      <c r="BB16" s="1483"/>
      <c r="BC16" s="1483"/>
      <c r="BD16" s="1483"/>
      <c r="BE16" s="1483"/>
      <c r="BF16" s="1483"/>
      <c r="BG16" s="1483"/>
      <c r="BH16" s="1483"/>
      <c r="BI16" s="1483"/>
      <c r="BJ16" s="1483"/>
      <c r="BK16" s="1483"/>
      <c r="BL16" s="1483"/>
      <c r="BM16" s="1483"/>
      <c r="BN16" s="1483"/>
      <c r="BO16" s="1483"/>
      <c r="BP16" s="1483"/>
      <c r="BQ16" s="1483"/>
      <c r="BR16" s="1483"/>
      <c r="BS16" s="1483"/>
      <c r="BT16" s="1483"/>
      <c r="BU16" s="1483"/>
      <c r="BV16" s="1483"/>
      <c r="BW16" s="1483"/>
      <c r="BX16" s="1483"/>
      <c r="BY16" s="1483"/>
      <c r="BZ16" s="1483"/>
      <c r="CA16" s="1483"/>
      <c r="CB16" s="1483"/>
      <c r="CC16" s="1483"/>
      <c r="CD16" s="1483"/>
      <c r="CE16" s="1483"/>
      <c r="CF16" s="1483"/>
      <c r="CG16" s="1483"/>
      <c r="CH16" s="1483"/>
      <c r="CI16" s="1483"/>
      <c r="CJ16" s="1483"/>
      <c r="CK16" s="1483"/>
      <c r="CL16" s="1483"/>
      <c r="CM16" s="1483"/>
      <c r="CN16" s="1483"/>
      <c r="CO16" s="1483"/>
      <c r="CP16" s="1483"/>
      <c r="CQ16" s="1483"/>
      <c r="CR16" s="1483"/>
      <c r="CS16" s="1483"/>
      <c r="CT16" s="1483"/>
      <c r="CU16" s="1483"/>
      <c r="CV16" s="1483"/>
      <c r="CW16" s="1483"/>
      <c r="CX16" s="1483"/>
      <c r="CY16" s="1483"/>
      <c r="CZ16" s="1483"/>
      <c r="DA16" s="1483"/>
      <c r="DB16" s="1483"/>
      <c r="DC16" s="1483"/>
      <c r="DE16" s="2087"/>
      <c r="DF16"/>
      <c r="DG16"/>
    </row>
    <row r="17" spans="2:111">
      <c r="B17" s="1514" t="s">
        <v>1170</v>
      </c>
      <c r="C17" s="1483"/>
      <c r="D17" s="1490"/>
      <c r="E17" s="1485"/>
      <c r="F17" s="1485"/>
      <c r="G17" s="1485"/>
      <c r="H17" s="1485"/>
      <c r="I17" s="1485">
        <f>AY17</f>
        <v>17.655000000000001</v>
      </c>
      <c r="J17" s="1485">
        <f>BC17</f>
        <v>17.483000000000001</v>
      </c>
      <c r="K17" s="1485">
        <f>BG17</f>
        <v>25.087</v>
      </c>
      <c r="L17" s="1485">
        <f>BK17</f>
        <v>29.966000000000001</v>
      </c>
      <c r="M17" s="1483">
        <f>BO17</f>
        <v>45.625999999999998</v>
      </c>
      <c r="N17" s="1483">
        <f>BS17</f>
        <v>9.8030000000000008</v>
      </c>
      <c r="O17" s="1483">
        <f>BW17</f>
        <v>2.806</v>
      </c>
      <c r="P17" s="1483">
        <f>CA17</f>
        <v>161.80099999999999</v>
      </c>
      <c r="Q17" s="1483">
        <f>CE17</f>
        <v>127.819</v>
      </c>
      <c r="R17" s="1483">
        <f>CI17</f>
        <v>398.39</v>
      </c>
      <c r="S17" s="1483">
        <f>CM17</f>
        <v>0.439</v>
      </c>
      <c r="T17" s="1483">
        <f>CQ17</f>
        <v>4.5839999999999996</v>
      </c>
      <c r="U17" s="1483">
        <f>CU17</f>
        <v>10.042</v>
      </c>
      <c r="V17" s="1483">
        <f>CY17</f>
        <v>9.2430000000000003</v>
      </c>
      <c r="W17" s="1483">
        <f>+DC17</f>
        <v>9.2430000000000003</v>
      </c>
      <c r="X17" s="1491">
        <f>W17</f>
        <v>9.2430000000000003</v>
      </c>
      <c r="Y17" s="1491">
        <f>X17</f>
        <v>9.2430000000000003</v>
      </c>
      <c r="Z17" s="1491">
        <f>Y17</f>
        <v>9.2430000000000003</v>
      </c>
      <c r="AA17" s="1491">
        <f t="shared" ref="AA17:AD17" si="23">Z17</f>
        <v>9.2430000000000003</v>
      </c>
      <c r="AB17" s="1491">
        <f t="shared" si="23"/>
        <v>9.2430000000000003</v>
      </c>
      <c r="AC17" s="1491">
        <f t="shared" si="23"/>
        <v>9.2430000000000003</v>
      </c>
      <c r="AD17" s="1491">
        <f t="shared" si="23"/>
        <v>9.2430000000000003</v>
      </c>
      <c r="AE17" s="1483"/>
      <c r="AF17" s="1515"/>
      <c r="AG17" s="1484"/>
      <c r="AH17" s="1484"/>
      <c r="AI17" s="1484"/>
      <c r="AJ17" s="1484"/>
      <c r="AK17" s="1484"/>
      <c r="AL17" s="1484"/>
      <c r="AM17" s="1484"/>
      <c r="AN17" s="1484"/>
      <c r="AO17" s="1484"/>
      <c r="AP17" s="1484"/>
      <c r="AQ17" s="1484"/>
      <c r="AR17" s="1484"/>
      <c r="AS17" s="1484"/>
      <c r="AT17" s="1484"/>
      <c r="AU17" s="1484"/>
      <c r="AV17" s="1484"/>
      <c r="AW17" s="1484"/>
      <c r="AX17" s="1485">
        <v>1.2410000000000001</v>
      </c>
      <c r="AY17" s="1485">
        <v>17.655000000000001</v>
      </c>
      <c r="AZ17" s="1485">
        <v>27.559000000000001</v>
      </c>
      <c r="BA17" s="1485">
        <v>23.908999999999999</v>
      </c>
      <c r="BB17" s="1485">
        <v>24.469000000000001</v>
      </c>
      <c r="BC17" s="1485">
        <v>17.483000000000001</v>
      </c>
      <c r="BD17" s="1485">
        <v>18.446999999999999</v>
      </c>
      <c r="BE17" s="1485">
        <v>17.114999999999998</v>
      </c>
      <c r="BF17" s="1485">
        <v>20.385000000000002</v>
      </c>
      <c r="BG17" s="1485">
        <v>25.087</v>
      </c>
      <c r="BH17" s="1485">
        <v>10.981</v>
      </c>
      <c r="BI17" s="1485">
        <v>21.64</v>
      </c>
      <c r="BJ17" s="1485">
        <v>28.905000000000001</v>
      </c>
      <c r="BK17" s="1485">
        <v>29.966000000000001</v>
      </c>
      <c r="BL17" s="1485">
        <v>26.998000000000001</v>
      </c>
      <c r="BM17" s="1485">
        <v>108.642</v>
      </c>
      <c r="BN17" s="1485">
        <v>67.622</v>
      </c>
      <c r="BO17" s="1485">
        <v>45.625999999999998</v>
      </c>
      <c r="BP17" s="1485">
        <v>32.206000000000003</v>
      </c>
      <c r="BQ17" s="1485">
        <v>22.298999999999999</v>
      </c>
      <c r="BR17" s="1485">
        <v>18.061</v>
      </c>
      <c r="BS17" s="1485">
        <v>9.8030000000000008</v>
      </c>
      <c r="BT17" s="1485">
        <v>5.2249999999999996</v>
      </c>
      <c r="BU17" s="1485">
        <v>4.4969999999999999</v>
      </c>
      <c r="BV17" s="1485">
        <v>3.2229999999999999</v>
      </c>
      <c r="BW17" s="1485">
        <v>2.806</v>
      </c>
      <c r="BX17" s="1485">
        <v>2.145</v>
      </c>
      <c r="BY17" s="1485">
        <v>30.96</v>
      </c>
      <c r="BZ17" s="1485">
        <v>99.418999999999997</v>
      </c>
      <c r="CA17" s="1485">
        <v>161.80099999999999</v>
      </c>
      <c r="CB17" s="1485">
        <v>166.43700000000001</v>
      </c>
      <c r="CC17" s="1485">
        <v>53.46</v>
      </c>
      <c r="CD17" s="1485">
        <v>115.36199999999999</v>
      </c>
      <c r="CE17" s="1485">
        <v>127.819</v>
      </c>
      <c r="CF17" s="1485">
        <v>293.75099999999998</v>
      </c>
      <c r="CG17" s="1485">
        <v>375.971</v>
      </c>
      <c r="CH17" s="1485">
        <v>442.19499999999999</v>
      </c>
      <c r="CI17" s="1485">
        <v>398.39</v>
      </c>
      <c r="CJ17" s="1485">
        <v>224.17599999999999</v>
      </c>
      <c r="CK17" s="1485">
        <f>296.015-CK10</f>
        <v>196.01499999999999</v>
      </c>
      <c r="CL17" s="1485">
        <v>16.074999999999999</v>
      </c>
      <c r="CM17" s="1485">
        <v>0.439</v>
      </c>
      <c r="CN17" s="1485">
        <v>10.691000000000001</v>
      </c>
      <c r="CO17" s="1485">
        <v>4.0389999999999997</v>
      </c>
      <c r="CP17" s="1485">
        <v>4.077</v>
      </c>
      <c r="CQ17" s="1485">
        <v>4.5839999999999996</v>
      </c>
      <c r="CR17" s="1485">
        <v>3.9689999999999999</v>
      </c>
      <c r="CS17" s="1485">
        <v>7.694</v>
      </c>
      <c r="CT17" s="1485">
        <v>15.036</v>
      </c>
      <c r="CU17" s="1485">
        <v>10.042</v>
      </c>
      <c r="CV17" s="1485">
        <v>6.4610000000000003</v>
      </c>
      <c r="CW17" s="1485">
        <v>6.3890000000000002</v>
      </c>
      <c r="CX17" s="1485">
        <v>10.885</v>
      </c>
      <c r="CY17" s="1485">
        <v>9.2430000000000003</v>
      </c>
      <c r="CZ17" s="1483">
        <f t="shared" ref="CZ17:DC17" si="24">CY17</f>
        <v>9.2430000000000003</v>
      </c>
      <c r="DA17" s="1483">
        <f t="shared" si="24"/>
        <v>9.2430000000000003</v>
      </c>
      <c r="DB17" s="1483">
        <f t="shared" si="24"/>
        <v>9.2430000000000003</v>
      </c>
      <c r="DC17" s="1483">
        <f t="shared" si="24"/>
        <v>9.2430000000000003</v>
      </c>
      <c r="DE17" s="2087"/>
      <c r="DF17"/>
      <c r="DG17"/>
    </row>
    <row r="18" spans="2:111" hidden="1" outlineLevel="1">
      <c r="B18" s="1514" t="s">
        <v>65</v>
      </c>
      <c r="C18" s="1483"/>
      <c r="D18" s="1484"/>
      <c r="E18" s="1485"/>
      <c r="F18" s="1485">
        <f t="shared" ref="F18:K18" si="25">F164</f>
        <v>381.827</v>
      </c>
      <c r="G18" s="1485">
        <f t="shared" si="25"/>
        <v>499.87400000000002</v>
      </c>
      <c r="H18" s="1485">
        <f t="shared" si="25"/>
        <v>509.00800000000004</v>
      </c>
      <c r="I18" s="1485">
        <f t="shared" si="25"/>
        <v>563.76900000000001</v>
      </c>
      <c r="J18" s="1485">
        <f t="shared" si="25"/>
        <v>718.81700000000012</v>
      </c>
      <c r="K18" s="1485">
        <f t="shared" si="25"/>
        <v>895.87099999999987</v>
      </c>
      <c r="L18" s="1485">
        <f>L164</f>
        <v>1614.3790000000001</v>
      </c>
      <c r="M18" s="1483">
        <f>M164</f>
        <v>2095.7730000000001</v>
      </c>
      <c r="N18" s="1483">
        <f>BS18</f>
        <v>2586.3320000000003</v>
      </c>
      <c r="O18" s="1483">
        <f>BW18</f>
        <v>3666.4909999999995</v>
      </c>
      <c r="P18" s="1483">
        <f>CA18</f>
        <v>4553.6679999999997</v>
      </c>
      <c r="Q18" s="1483">
        <f>CE18</f>
        <v>5550.277</v>
      </c>
      <c r="R18" s="1483">
        <f>CI18</f>
        <v>6614.1299999999992</v>
      </c>
      <c r="S18" s="1483">
        <f>CM18</f>
        <v>7388.6049999999996</v>
      </c>
      <c r="T18" s="1483">
        <f>CQ18</f>
        <v>8395.616</v>
      </c>
      <c r="U18" s="1483">
        <f>CU18</f>
        <v>10650.897000000001</v>
      </c>
      <c r="V18" s="1483">
        <f ca="1">CY18</f>
        <v>13938.138497400434</v>
      </c>
      <c r="W18" s="1483">
        <f ca="1">DC18</f>
        <v>15873.70484122408</v>
      </c>
      <c r="X18" s="1491">
        <f ca="1">X164</f>
        <v>17726.853352103466</v>
      </c>
      <c r="Y18" s="1491">
        <f ca="1">Y164</f>
        <v>19386.796669412106</v>
      </c>
      <c r="Z18" s="1491">
        <f ca="1">Z164</f>
        <v>21005.206988787621</v>
      </c>
      <c r="AA18" s="1491">
        <f t="shared" ref="AA18:AD18" ca="1" si="26">AA164</f>
        <v>22631.283085465369</v>
      </c>
      <c r="AB18" s="1491">
        <f t="shared" ca="1" si="26"/>
        <v>24265.092264356696</v>
      </c>
      <c r="AC18" s="1491">
        <f t="shared" ca="1" si="26"/>
        <v>25906.762696917122</v>
      </c>
      <c r="AD18" s="1491">
        <f t="shared" ca="1" si="26"/>
        <v>27556.345012956641</v>
      </c>
      <c r="AE18" s="1483"/>
      <c r="AF18" s="1515"/>
      <c r="AG18" s="1484"/>
      <c r="AH18" s="1484"/>
      <c r="AI18" s="1484"/>
      <c r="AJ18" s="1483">
        <f t="shared" ref="AJ18:BP18" si="27">AJ164</f>
        <v>367.94100000000009</v>
      </c>
      <c r="AK18" s="1483">
        <f t="shared" si="27"/>
        <v>374.60899999999998</v>
      </c>
      <c r="AL18" s="1483">
        <f t="shared" si="27"/>
        <v>377.21599999999995</v>
      </c>
      <c r="AM18" s="1483">
        <f t="shared" si="27"/>
        <v>381.827</v>
      </c>
      <c r="AN18" s="1483">
        <f t="shared" si="27"/>
        <v>486.26600000000002</v>
      </c>
      <c r="AO18" s="1483">
        <f t="shared" si="27"/>
        <v>480.88</v>
      </c>
      <c r="AP18" s="1483">
        <f t="shared" si="27"/>
        <v>481.947</v>
      </c>
      <c r="AQ18" s="1483">
        <f t="shared" si="27"/>
        <v>499.87400000000002</v>
      </c>
      <c r="AR18" s="1483">
        <f t="shared" si="27"/>
        <v>495.43900000000002</v>
      </c>
      <c r="AS18" s="1483">
        <f t="shared" si="27"/>
        <v>497.32299999999998</v>
      </c>
      <c r="AT18" s="1483">
        <f t="shared" si="27"/>
        <v>498.86499999999995</v>
      </c>
      <c r="AU18" s="1483">
        <f t="shared" si="27"/>
        <v>509.00800000000004</v>
      </c>
      <c r="AV18" s="1483">
        <f t="shared" si="27"/>
        <v>514.11599999999999</v>
      </c>
      <c r="AW18" s="1483">
        <f t="shared" si="27"/>
        <v>518.10700000000008</v>
      </c>
      <c r="AX18" s="1483">
        <f t="shared" si="27"/>
        <v>525.63199999999995</v>
      </c>
      <c r="AY18" s="1483">
        <f t="shared" si="27"/>
        <v>563.76900000000001</v>
      </c>
      <c r="AZ18" s="1483">
        <f t="shared" si="27"/>
        <v>586.26799999999992</v>
      </c>
      <c r="BA18" s="1483">
        <f t="shared" si="27"/>
        <v>593.90999999999985</v>
      </c>
      <c r="BB18" s="1483">
        <f t="shared" si="27"/>
        <v>635.66600000000005</v>
      </c>
      <c r="BC18" s="1483">
        <f t="shared" si="27"/>
        <v>718.81700000000012</v>
      </c>
      <c r="BD18" s="1483">
        <f t="shared" si="27"/>
        <v>746.46900000000005</v>
      </c>
      <c r="BE18" s="1483">
        <f t="shared" si="27"/>
        <v>796.41699999999992</v>
      </c>
      <c r="BF18" s="1483">
        <f t="shared" si="27"/>
        <v>842.79899999999998</v>
      </c>
      <c r="BG18" s="1483">
        <f t="shared" si="27"/>
        <v>895.87099999999987</v>
      </c>
      <c r="BH18" s="1483">
        <f t="shared" si="27"/>
        <v>963.27300000000002</v>
      </c>
      <c r="BI18" s="1483">
        <f t="shared" si="27"/>
        <v>1154.7740000000001</v>
      </c>
      <c r="BJ18" s="1483">
        <f t="shared" si="27"/>
        <v>1487.0630000000001</v>
      </c>
      <c r="BK18" s="1483">
        <f t="shared" si="27"/>
        <v>1614.3790000000001</v>
      </c>
      <c r="BL18" s="1483">
        <f t="shared" si="27"/>
        <v>1772.2140000000002</v>
      </c>
      <c r="BM18" s="1483">
        <f t="shared" si="27"/>
        <v>1857.1999999999998</v>
      </c>
      <c r="BN18" s="1483">
        <f t="shared" si="27"/>
        <v>1910.6509999999998</v>
      </c>
      <c r="BO18" s="1483">
        <f t="shared" si="27"/>
        <v>2095.7730000000001</v>
      </c>
      <c r="BP18" s="1483">
        <f t="shared" si="27"/>
        <v>2151.7140000000004</v>
      </c>
      <c r="BQ18" s="1483">
        <f t="shared" ref="BQ18:BY18" si="28">BQ164</f>
        <v>2281.0190000000002</v>
      </c>
      <c r="BR18" s="1483">
        <f t="shared" si="28"/>
        <v>2442.2719999999999</v>
      </c>
      <c r="BS18" s="1483">
        <f t="shared" si="28"/>
        <v>2586.3320000000003</v>
      </c>
      <c r="BT18" s="1483">
        <f t="shared" si="28"/>
        <v>2694.7700000000004</v>
      </c>
      <c r="BU18" s="1483">
        <f t="shared" si="28"/>
        <v>3274.9990000000003</v>
      </c>
      <c r="BV18" s="1483">
        <f t="shared" si="28"/>
        <v>3535.9180000000001</v>
      </c>
      <c r="BW18" s="1483">
        <f t="shared" si="28"/>
        <v>3666.4909999999995</v>
      </c>
      <c r="BX18" s="1483">
        <f t="shared" si="28"/>
        <v>3978.2530000000002</v>
      </c>
      <c r="BY18" s="1483">
        <f t="shared" si="28"/>
        <v>4250.7860000000001</v>
      </c>
      <c r="BZ18" s="1483">
        <f t="shared" ref="BZ18:CH18" si="29">BZ164</f>
        <v>4358.2729999999992</v>
      </c>
      <c r="CA18" s="1483">
        <f t="shared" si="29"/>
        <v>4553.6679999999997</v>
      </c>
      <c r="CB18" s="1483">
        <f t="shared" si="29"/>
        <v>4802.2470000000003</v>
      </c>
      <c r="CC18" s="1483">
        <f t="shared" si="29"/>
        <v>5011.4180000000006</v>
      </c>
      <c r="CD18" s="1483">
        <f t="shared" si="29"/>
        <v>5296.5190000000002</v>
      </c>
      <c r="CE18" s="1483">
        <f>CE164</f>
        <v>5550.277</v>
      </c>
      <c r="CF18" s="1483">
        <f t="shared" si="29"/>
        <v>5611.0800000000008</v>
      </c>
      <c r="CG18" s="1483">
        <f t="shared" si="29"/>
        <v>5915.7949999999992</v>
      </c>
      <c r="CH18" s="1483">
        <f t="shared" si="29"/>
        <v>6305.1809999999996</v>
      </c>
      <c r="CI18" s="1483">
        <f t="shared" ref="CI18:CP18" si="30">CI164</f>
        <v>6614.1299999999992</v>
      </c>
      <c r="CJ18" s="1483">
        <f t="shared" si="30"/>
        <v>6897.1169999999993</v>
      </c>
      <c r="CK18" s="1483">
        <f t="shared" si="30"/>
        <v>7169.4079999999994</v>
      </c>
      <c r="CL18" s="1483">
        <f t="shared" si="30"/>
        <v>7361.7180000000008</v>
      </c>
      <c r="CM18" s="1483">
        <f t="shared" si="30"/>
        <v>7388.6049999999996</v>
      </c>
      <c r="CN18" s="1483">
        <f t="shared" si="30"/>
        <v>7509.4879999999994</v>
      </c>
      <c r="CO18" s="1483">
        <f t="shared" si="30"/>
        <v>7836.6730000000007</v>
      </c>
      <c r="CP18" s="1483">
        <f t="shared" si="30"/>
        <v>8015.3289999999997</v>
      </c>
      <c r="CQ18" s="1483">
        <f t="shared" ref="CQ18:CU18" si="31">CQ164</f>
        <v>8395.616</v>
      </c>
      <c r="CR18" s="1483">
        <f t="shared" si="31"/>
        <v>9891.1309999999994</v>
      </c>
      <c r="CS18" s="1483">
        <f t="shared" si="31"/>
        <v>10177.063</v>
      </c>
      <c r="CT18" s="1483">
        <f t="shared" si="31"/>
        <v>10681.936</v>
      </c>
      <c r="CU18" s="1483">
        <f t="shared" si="31"/>
        <v>10650.897000000001</v>
      </c>
      <c r="CV18" s="1483">
        <f>CV164</f>
        <v>11309.902</v>
      </c>
      <c r="CW18" s="1483">
        <f>CW164</f>
        <v>12728.386999999999</v>
      </c>
      <c r="CX18" s="1483">
        <f>CX164</f>
        <v>13267.737000000001</v>
      </c>
      <c r="CY18" s="1483">
        <f ca="1">CY164</f>
        <v>13938.138497400434</v>
      </c>
      <c r="CZ18" s="1483">
        <f t="shared" ref="CZ18:DC18" ca="1" si="32">CZ164</f>
        <v>14300.261237443738</v>
      </c>
      <c r="DA18" s="1483">
        <f t="shared" ca="1" si="32"/>
        <v>14546.74063803006</v>
      </c>
      <c r="DB18" s="1483">
        <f t="shared" ca="1" si="32"/>
        <v>15215.698073638419</v>
      </c>
      <c r="DC18" s="1483">
        <f t="shared" ca="1" si="32"/>
        <v>15873.70484122408</v>
      </c>
      <c r="DE18" s="2087"/>
      <c r="DF18"/>
      <c r="DG18"/>
    </row>
    <row r="19" spans="2:111" hidden="1" outlineLevel="1">
      <c r="B19" s="1514" t="s">
        <v>66</v>
      </c>
      <c r="C19" s="1483"/>
      <c r="D19" s="1484"/>
      <c r="E19" s="1485"/>
      <c r="F19" s="1485">
        <f t="shared" ref="F19:K19" si="33">-F165</f>
        <v>-56.600999999999999</v>
      </c>
      <c r="G19" s="1485">
        <f t="shared" si="33"/>
        <v>-109.82599999999999</v>
      </c>
      <c r="H19" s="1485">
        <f t="shared" si="33"/>
        <v>-165.45400000000001</v>
      </c>
      <c r="I19" s="1485">
        <f t="shared" si="33"/>
        <v>-220.40799999999999</v>
      </c>
      <c r="J19" s="1485">
        <f t="shared" si="33"/>
        <v>-280.02699999999999</v>
      </c>
      <c r="K19" s="1485">
        <f t="shared" si="33"/>
        <v>-349.476</v>
      </c>
      <c r="L19" s="1485">
        <f>-L165</f>
        <v>-451.65899999999999</v>
      </c>
      <c r="M19" s="1483">
        <f>-M165</f>
        <v>-602.94299999999998</v>
      </c>
      <c r="N19" s="1483">
        <f>-N165</f>
        <v>-778.21699999999998</v>
      </c>
      <c r="O19" s="1483">
        <f>BW19</f>
        <v>-1015.538</v>
      </c>
      <c r="P19" s="1483">
        <f>CA19</f>
        <v>-1327.7560000000001</v>
      </c>
      <c r="Q19" s="1483">
        <f>CE19</f>
        <v>-1634.5390000000002</v>
      </c>
      <c r="R19" s="1483">
        <f>CI19</f>
        <v>-2022.48</v>
      </c>
      <c r="S19" s="1483">
        <f>CM19</f>
        <v>-2390.335</v>
      </c>
      <c r="T19" s="1483">
        <f>CQ19</f>
        <v>-2789.18</v>
      </c>
      <c r="U19" s="1483">
        <f>CU19</f>
        <v>-3451.6869999999999</v>
      </c>
      <c r="V19" s="1483">
        <f ca="1">CY19</f>
        <v>-4543.5364974004333</v>
      </c>
      <c r="W19" s="1483">
        <f ca="1">DC19</f>
        <v>-5672.1069997807281</v>
      </c>
      <c r="X19" s="1491">
        <f ca="1">-X165</f>
        <v>-6725.3421580354361</v>
      </c>
      <c r="Y19" s="1491">
        <f ca="1">-Y165</f>
        <v>-7840.7722519921026</v>
      </c>
      <c r="Z19" s="1491">
        <f ca="1">-Z165</f>
        <v>-9015.2740529846178</v>
      </c>
      <c r="AA19" s="1491">
        <f t="shared" ref="AA19:AD19" ca="1" si="34">-AA165</f>
        <v>-10123.478410620137</v>
      </c>
      <c r="AB19" s="1491">
        <f t="shared" ca="1" si="34"/>
        <v>-10765.868681064947</v>
      </c>
      <c r="AC19" s="1491">
        <f t="shared" ca="1" si="34"/>
        <v>-11111.652440095009</v>
      </c>
      <c r="AD19" s="1491">
        <f t="shared" ca="1" si="34"/>
        <v>-11457.436199125072</v>
      </c>
      <c r="AE19" s="1483"/>
      <c r="AF19" s="1515"/>
      <c r="AG19" s="1484"/>
      <c r="AH19" s="1484"/>
      <c r="AI19" s="1484"/>
      <c r="AJ19" s="1483">
        <f t="shared" ref="AJ19:BQ19" si="35">-AJ165</f>
        <v>-25.94</v>
      </c>
      <c r="AK19" s="1483">
        <f t="shared" si="35"/>
        <v>-37.723999999999997</v>
      </c>
      <c r="AL19" s="1483">
        <f t="shared" si="35"/>
        <v>-49.938000000000002</v>
      </c>
      <c r="AM19" s="1483">
        <f t="shared" si="35"/>
        <v>-56.600999999999999</v>
      </c>
      <c r="AN19" s="1483">
        <f t="shared" si="35"/>
        <v>-68.658000000000001</v>
      </c>
      <c r="AO19" s="1483">
        <f t="shared" si="35"/>
        <v>-81.168000000000006</v>
      </c>
      <c r="AP19" s="1483">
        <f t="shared" si="35"/>
        <v>-95.248000000000005</v>
      </c>
      <c r="AQ19" s="1483">
        <f t="shared" si="35"/>
        <v>-109.82599999999999</v>
      </c>
      <c r="AR19" s="1483">
        <f t="shared" si="35"/>
        <v>-121.503</v>
      </c>
      <c r="AS19" s="1483">
        <f t="shared" si="35"/>
        <v>-136.40100000000001</v>
      </c>
      <c r="AT19" s="1483">
        <f t="shared" si="35"/>
        <v>-151.01900000000001</v>
      </c>
      <c r="AU19" s="1483">
        <f t="shared" si="35"/>
        <v>-165.45400000000001</v>
      </c>
      <c r="AV19" s="1483">
        <f t="shared" si="35"/>
        <v>-179.821</v>
      </c>
      <c r="AW19" s="1483">
        <f t="shared" si="35"/>
        <v>-193.559</v>
      </c>
      <c r="AX19" s="1483">
        <f t="shared" si="35"/>
        <v>-207.398</v>
      </c>
      <c r="AY19" s="1483">
        <f t="shared" si="35"/>
        <v>-220.40799999999999</v>
      </c>
      <c r="AZ19" s="1483">
        <f t="shared" si="35"/>
        <v>-235.28200000000001</v>
      </c>
      <c r="BA19" s="1483">
        <f t="shared" si="35"/>
        <v>-248.79300000000001</v>
      </c>
      <c r="BB19" s="1483">
        <f t="shared" si="35"/>
        <v>-264.661</v>
      </c>
      <c r="BC19" s="1483">
        <f t="shared" si="35"/>
        <v>-280.02699999999999</v>
      </c>
      <c r="BD19" s="1483">
        <f t="shared" si="35"/>
        <v>-297.233</v>
      </c>
      <c r="BE19" s="1483">
        <f t="shared" si="35"/>
        <v>-324.65199999999999</v>
      </c>
      <c r="BF19" s="1483">
        <f t="shared" si="35"/>
        <v>-342.88200000000001</v>
      </c>
      <c r="BG19" s="1483">
        <f t="shared" si="35"/>
        <v>-349.476</v>
      </c>
      <c r="BH19" s="1483">
        <f t="shared" si="35"/>
        <v>-369.71800000000002</v>
      </c>
      <c r="BI19" s="1483">
        <f t="shared" si="35"/>
        <v>-394.59899999999999</v>
      </c>
      <c r="BJ19" s="1483">
        <f t="shared" si="35"/>
        <v>-417.983</v>
      </c>
      <c r="BK19" s="1483">
        <f t="shared" si="35"/>
        <v>-451.65899999999999</v>
      </c>
      <c r="BL19" s="1483">
        <f t="shared" si="35"/>
        <v>-487.81900000000002</v>
      </c>
      <c r="BM19" s="1483">
        <f t="shared" si="35"/>
        <v>-526.18299999999999</v>
      </c>
      <c r="BN19" s="1483">
        <f t="shared" si="35"/>
        <v>-563.66899999999998</v>
      </c>
      <c r="BO19" s="1483">
        <f t="shared" si="35"/>
        <v>-602.94299999999998</v>
      </c>
      <c r="BP19" s="1483">
        <f t="shared" si="35"/>
        <v>-638.80600000000004</v>
      </c>
      <c r="BQ19" s="1483">
        <f t="shared" si="35"/>
        <v>-690.26300000000003</v>
      </c>
      <c r="BR19" s="1483">
        <f t="shared" ref="BR19:BY19" si="36">-BR165</f>
        <v>-739.26300000000003</v>
      </c>
      <c r="BS19" s="1483">
        <f t="shared" si="36"/>
        <v>-778.21699999999998</v>
      </c>
      <c r="BT19" s="1483">
        <f t="shared" si="36"/>
        <v>-820.44500000000005</v>
      </c>
      <c r="BU19" s="1483">
        <f t="shared" si="36"/>
        <v>-874.19</v>
      </c>
      <c r="BV19" s="1483">
        <f t="shared" si="36"/>
        <v>-953.02800000000002</v>
      </c>
      <c r="BW19" s="1483">
        <f t="shared" si="36"/>
        <v>-1015.538</v>
      </c>
      <c r="BX19" s="1483">
        <f t="shared" si="36"/>
        <v>-1097.271</v>
      </c>
      <c r="BY19" s="1483">
        <f t="shared" si="36"/>
        <v>-1165.5840000000001</v>
      </c>
      <c r="BZ19" s="1483">
        <f t="shared" ref="BZ19:CM19" si="37">-BZ165</f>
        <v>-1236.1790000000001</v>
      </c>
      <c r="CA19" s="1483">
        <f t="shared" si="37"/>
        <v>-1327.7560000000001</v>
      </c>
      <c r="CB19" s="1483">
        <f t="shared" si="37"/>
        <v>-1414.8779999999999</v>
      </c>
      <c r="CC19" s="1483">
        <f t="shared" si="37"/>
        <v>-1485.579</v>
      </c>
      <c r="CD19" s="1483">
        <f t="shared" si="37"/>
        <v>-1505.4559999999999</v>
      </c>
      <c r="CE19" s="1483">
        <f t="shared" si="37"/>
        <v>-1634.5390000000002</v>
      </c>
      <c r="CF19" s="1483">
        <f t="shared" si="37"/>
        <v>-1720.89</v>
      </c>
      <c r="CG19" s="1483">
        <f t="shared" si="37"/>
        <v>-1812.451</v>
      </c>
      <c r="CH19" s="1483">
        <f t="shared" si="37"/>
        <v>-1924.1610000000001</v>
      </c>
      <c r="CI19" s="1483">
        <f t="shared" si="37"/>
        <v>-2022.48</v>
      </c>
      <c r="CJ19" s="1483">
        <f t="shared" si="37"/>
        <v>-2130.8200000000002</v>
      </c>
      <c r="CK19" s="1483">
        <f t="shared" si="37"/>
        <v>-2245.2460000000001</v>
      </c>
      <c r="CL19" s="1483">
        <f t="shared" si="37"/>
        <v>-2378.3420000000001</v>
      </c>
      <c r="CM19" s="1483">
        <f t="shared" si="37"/>
        <v>-2390.335</v>
      </c>
      <c r="CN19" s="1483">
        <f t="shared" ref="CN19:CU19" si="38">-CN165</f>
        <v>-2518.605</v>
      </c>
      <c r="CO19" s="1483">
        <f t="shared" si="38"/>
        <v>-2651.873</v>
      </c>
      <c r="CP19" s="1483">
        <f t="shared" si="38"/>
        <v>-2796.7339999999999</v>
      </c>
      <c r="CQ19" s="1483">
        <f t="shared" si="38"/>
        <v>-2789.18</v>
      </c>
      <c r="CR19" s="1483">
        <f t="shared" si="38"/>
        <v>-3002.8989999999999</v>
      </c>
      <c r="CS19" s="1483">
        <f t="shared" si="38"/>
        <v>-3218.2689999999998</v>
      </c>
      <c r="CT19" s="1483">
        <f t="shared" si="38"/>
        <v>-3430.5369999999998</v>
      </c>
      <c r="CU19" s="1483">
        <f t="shared" si="38"/>
        <v>-3451.6869999999999</v>
      </c>
      <c r="CV19" s="1483">
        <f>-CV165</f>
        <v>-3704.0729999999999</v>
      </c>
      <c r="CW19" s="1483">
        <f>-CW165</f>
        <v>-3981.7919999999999</v>
      </c>
      <c r="CX19" s="1483">
        <f>-CX165</f>
        <v>-4261.5659999999998</v>
      </c>
      <c r="CY19" s="1483">
        <f ca="1">-CY165</f>
        <v>-4543.5364974004333</v>
      </c>
      <c r="CZ19" s="1483">
        <f t="shared" ref="CZ19:DC19" ca="1" si="39">-CZ165</f>
        <v>-4821.3362448008666</v>
      </c>
      <c r="DA19" s="1483">
        <f t="shared" ca="1" si="39"/>
        <v>-5099.738443207596</v>
      </c>
      <c r="DB19" s="1483">
        <f t="shared" ca="1" si="39"/>
        <v>-5381.9211109842718</v>
      </c>
      <c r="DC19" s="1483">
        <f t="shared" ca="1" si="39"/>
        <v>-5672.1069997807281</v>
      </c>
      <c r="DE19" s="2087"/>
      <c r="DF19"/>
      <c r="DG19"/>
    </row>
    <row r="20" spans="2:111" collapsed="1">
      <c r="B20" s="1514" t="s">
        <v>1024</v>
      </c>
      <c r="C20" s="1483"/>
      <c r="D20" s="1490"/>
      <c r="E20" s="1485">
        <f>AI20</f>
        <v>315.38</v>
      </c>
      <c r="F20" s="1485">
        <f t="shared" ref="F20:L20" si="40">SUM(F18:F19)</f>
        <v>325.226</v>
      </c>
      <c r="G20" s="1485">
        <f t="shared" si="40"/>
        <v>390.048</v>
      </c>
      <c r="H20" s="1485">
        <f t="shared" si="40"/>
        <v>343.55400000000003</v>
      </c>
      <c r="I20" s="1485">
        <f t="shared" si="40"/>
        <v>343.36099999999999</v>
      </c>
      <c r="J20" s="1485">
        <f t="shared" si="40"/>
        <v>438.79000000000013</v>
      </c>
      <c r="K20" s="1485">
        <f t="shared" si="40"/>
        <v>546.39499999999987</v>
      </c>
      <c r="L20" s="1485">
        <f t="shared" si="40"/>
        <v>1162.7200000000003</v>
      </c>
      <c r="M20" s="1483">
        <f>BO20</f>
        <v>1492.8300000000002</v>
      </c>
      <c r="N20" s="1483">
        <f t="shared" ref="N20:S20" si="41">SUM(N18:N19)</f>
        <v>1808.1150000000002</v>
      </c>
      <c r="O20" s="1483">
        <f t="shared" si="41"/>
        <v>2650.9529999999995</v>
      </c>
      <c r="P20" s="1483">
        <f t="shared" si="41"/>
        <v>3225.9119999999994</v>
      </c>
      <c r="Q20" s="1483">
        <f t="shared" si="41"/>
        <v>3915.7379999999998</v>
      </c>
      <c r="R20" s="1483">
        <f t="shared" si="41"/>
        <v>4591.6499999999996</v>
      </c>
      <c r="S20" s="1483">
        <f t="shared" si="41"/>
        <v>4998.2699999999995</v>
      </c>
      <c r="T20" s="1483">
        <f>CQ20</f>
        <v>5606.4359999999997</v>
      </c>
      <c r="U20" s="1483">
        <f>CU20</f>
        <v>7199.21</v>
      </c>
      <c r="V20" s="1483">
        <f>CY20</f>
        <v>9394.6020000000008</v>
      </c>
      <c r="W20" s="1483">
        <f ca="1">+DC20</f>
        <v>10201.597841443352</v>
      </c>
      <c r="X20" s="1483">
        <f ca="1">SUM(X18:X19)</f>
        <v>11001.511194068029</v>
      </c>
      <c r="Y20" s="1483">
        <f ca="1">SUM(Y18:Y19)</f>
        <v>11546.024417420003</v>
      </c>
      <c r="Z20" s="1483">
        <f ca="1">SUM(Z18:Z19)</f>
        <v>11989.932935803003</v>
      </c>
      <c r="AA20" s="1483">
        <f t="shared" ref="AA20:AD20" ca="1" si="42">SUM(AA18:AA19)</f>
        <v>12507.804674845233</v>
      </c>
      <c r="AB20" s="1483">
        <f t="shared" ca="1" si="42"/>
        <v>13499.223583291749</v>
      </c>
      <c r="AC20" s="1483">
        <f t="shared" ca="1" si="42"/>
        <v>14795.110256822112</v>
      </c>
      <c r="AD20" s="1483">
        <f t="shared" ca="1" si="42"/>
        <v>16098.908813831569</v>
      </c>
      <c r="AE20" s="1483"/>
      <c r="AF20" s="1515"/>
      <c r="AG20" s="1485">
        <v>63.192</v>
      </c>
      <c r="AH20" s="1485">
        <v>195.964</v>
      </c>
      <c r="AI20" s="1485">
        <v>315.38</v>
      </c>
      <c r="AJ20" s="1485">
        <f t="shared" ref="AJ20:BW20" si="43">SUM(AJ18:AJ19)</f>
        <v>342.00100000000009</v>
      </c>
      <c r="AK20" s="1485">
        <f t="shared" si="43"/>
        <v>336.88499999999999</v>
      </c>
      <c r="AL20" s="1485">
        <f t="shared" si="43"/>
        <v>327.27799999999996</v>
      </c>
      <c r="AM20" s="1485">
        <f t="shared" si="43"/>
        <v>325.226</v>
      </c>
      <c r="AN20" s="1485">
        <f t="shared" si="43"/>
        <v>417.608</v>
      </c>
      <c r="AO20" s="1485">
        <f t="shared" si="43"/>
        <v>399.71199999999999</v>
      </c>
      <c r="AP20" s="1485">
        <f t="shared" si="43"/>
        <v>386.69900000000001</v>
      </c>
      <c r="AQ20" s="1485">
        <f t="shared" si="43"/>
        <v>390.048</v>
      </c>
      <c r="AR20" s="1485">
        <f t="shared" si="43"/>
        <v>373.93600000000004</v>
      </c>
      <c r="AS20" s="1485">
        <f t="shared" si="43"/>
        <v>360.92199999999997</v>
      </c>
      <c r="AT20" s="1485">
        <f t="shared" si="43"/>
        <v>347.84599999999995</v>
      </c>
      <c r="AU20" s="1485">
        <f t="shared" si="43"/>
        <v>343.55400000000003</v>
      </c>
      <c r="AV20" s="1483">
        <f t="shared" si="43"/>
        <v>334.29499999999996</v>
      </c>
      <c r="AW20" s="1483">
        <f t="shared" si="43"/>
        <v>324.54800000000012</v>
      </c>
      <c r="AX20" s="1483">
        <f t="shared" si="43"/>
        <v>318.23399999999992</v>
      </c>
      <c r="AY20" s="1483">
        <f t="shared" si="43"/>
        <v>343.36099999999999</v>
      </c>
      <c r="AZ20" s="1483">
        <f t="shared" si="43"/>
        <v>350.98599999999988</v>
      </c>
      <c r="BA20" s="1483">
        <f t="shared" si="43"/>
        <v>345.11699999999985</v>
      </c>
      <c r="BB20" s="1483">
        <f t="shared" si="43"/>
        <v>371.00500000000005</v>
      </c>
      <c r="BC20" s="1483">
        <f t="shared" si="43"/>
        <v>438.79000000000013</v>
      </c>
      <c r="BD20" s="1483">
        <f t="shared" si="43"/>
        <v>449.23600000000005</v>
      </c>
      <c r="BE20" s="1483">
        <f t="shared" si="43"/>
        <v>471.76499999999993</v>
      </c>
      <c r="BF20" s="1483">
        <f t="shared" si="43"/>
        <v>499.91699999999997</v>
      </c>
      <c r="BG20" s="1483">
        <f t="shared" si="43"/>
        <v>546.39499999999987</v>
      </c>
      <c r="BH20" s="1483">
        <f t="shared" si="43"/>
        <v>593.55500000000006</v>
      </c>
      <c r="BI20" s="1483">
        <f t="shared" si="43"/>
        <v>760.17500000000018</v>
      </c>
      <c r="BJ20" s="1483">
        <f t="shared" si="43"/>
        <v>1069.0800000000002</v>
      </c>
      <c r="BK20" s="1483">
        <f t="shared" si="43"/>
        <v>1162.7200000000003</v>
      </c>
      <c r="BL20" s="1483">
        <f t="shared" si="43"/>
        <v>1284.3950000000002</v>
      </c>
      <c r="BM20" s="1483">
        <f t="shared" si="43"/>
        <v>1331.0169999999998</v>
      </c>
      <c r="BN20" s="1483">
        <f t="shared" si="43"/>
        <v>1346.982</v>
      </c>
      <c r="BO20" s="1483">
        <f t="shared" si="43"/>
        <v>1492.8300000000002</v>
      </c>
      <c r="BP20" s="1483">
        <f t="shared" si="43"/>
        <v>1512.9080000000004</v>
      </c>
      <c r="BQ20" s="1483">
        <f t="shared" si="43"/>
        <v>1590.7560000000003</v>
      </c>
      <c r="BR20" s="1483">
        <f t="shared" si="43"/>
        <v>1703.009</v>
      </c>
      <c r="BS20" s="1483">
        <f t="shared" si="43"/>
        <v>1808.1150000000002</v>
      </c>
      <c r="BT20" s="1483">
        <f t="shared" si="43"/>
        <v>1874.3250000000003</v>
      </c>
      <c r="BU20" s="1483">
        <f t="shared" si="43"/>
        <v>2400.8090000000002</v>
      </c>
      <c r="BV20" s="1483">
        <f t="shared" si="43"/>
        <v>2582.8900000000003</v>
      </c>
      <c r="BW20" s="1483">
        <f t="shared" si="43"/>
        <v>2650.9529999999995</v>
      </c>
      <c r="BX20" s="1485">
        <v>2881.1260000000002</v>
      </c>
      <c r="BY20" s="1485">
        <v>3085.2020000000002</v>
      </c>
      <c r="BZ20" s="1485">
        <v>3122.0940000000001</v>
      </c>
      <c r="CA20" s="1485">
        <v>3225.9119999999998</v>
      </c>
      <c r="CB20" s="1485">
        <v>3387.3690000000001</v>
      </c>
      <c r="CC20" s="1485">
        <v>3525.8389999999999</v>
      </c>
      <c r="CD20" s="1485">
        <v>3791.0630000000001</v>
      </c>
      <c r="CE20" s="1485">
        <v>3915.7379999999998</v>
      </c>
      <c r="CF20" s="1485">
        <v>3890.19</v>
      </c>
      <c r="CG20" s="1485">
        <v>4103.3440000000001</v>
      </c>
      <c r="CH20" s="1485">
        <v>4381.0200000000004</v>
      </c>
      <c r="CI20" s="1485">
        <v>4591.6499999999996</v>
      </c>
      <c r="CJ20" s="1485">
        <v>4766.2969999999996</v>
      </c>
      <c r="CK20" s="1485">
        <v>4922.38</v>
      </c>
      <c r="CL20" s="1485">
        <v>4983.3760000000002</v>
      </c>
      <c r="CM20" s="1485">
        <v>4998.2700000000004</v>
      </c>
      <c r="CN20" s="1485">
        <v>4990.8829999999998</v>
      </c>
      <c r="CO20" s="1485">
        <v>5184.8</v>
      </c>
      <c r="CP20" s="1485">
        <v>5218.5950000000003</v>
      </c>
      <c r="CQ20" s="1485">
        <v>5606.4359999999997</v>
      </c>
      <c r="CR20" s="1485">
        <v>6888.232</v>
      </c>
      <c r="CS20" s="1485">
        <v>6958.7939999999999</v>
      </c>
      <c r="CT20" s="1485">
        <v>7251.3990000000003</v>
      </c>
      <c r="CU20" s="1485">
        <v>7199.21</v>
      </c>
      <c r="CV20" s="1485">
        <v>7605.8289999999997</v>
      </c>
      <c r="CW20" s="1485">
        <v>8746.5949999999993</v>
      </c>
      <c r="CX20" s="1485">
        <v>9006.1710000000003</v>
      </c>
      <c r="CY20" s="1485">
        <v>9394.6020000000008</v>
      </c>
      <c r="CZ20" s="1483">
        <f t="shared" ref="CZ20:DC20" ca="1" si="44">SUM(CZ18:CZ19)</f>
        <v>9478.9249926428711</v>
      </c>
      <c r="DA20" s="1483">
        <f t="shared" ca="1" si="44"/>
        <v>9447.0021948224639</v>
      </c>
      <c r="DB20" s="1483">
        <f t="shared" ca="1" si="44"/>
        <v>9833.7769626541485</v>
      </c>
      <c r="DC20" s="1483">
        <f t="shared" ca="1" si="44"/>
        <v>10201.597841443352</v>
      </c>
      <c r="DE20" s="2087"/>
      <c r="DF20"/>
      <c r="DG20"/>
    </row>
    <row r="21" spans="2:111">
      <c r="B21" s="1514" t="s">
        <v>1129</v>
      </c>
      <c r="C21" s="1483"/>
      <c r="D21" s="1490"/>
      <c r="E21" s="1485"/>
      <c r="F21" s="1485"/>
      <c r="G21" s="1485"/>
      <c r="H21" s="1485">
        <f>AU21</f>
        <v>21.228000000000002</v>
      </c>
      <c r="I21" s="1485">
        <f>AY21</f>
        <v>22.018000000000001</v>
      </c>
      <c r="J21" s="1485">
        <f>BC21</f>
        <v>21.654</v>
      </c>
      <c r="K21" s="1485">
        <f>BG21</f>
        <v>16.919</v>
      </c>
      <c r="L21" s="1485">
        <f>BK21</f>
        <v>442.92599999999999</v>
      </c>
      <c r="M21" s="1483">
        <f>BO21</f>
        <v>342.82900000000001</v>
      </c>
      <c r="N21" s="1483">
        <f>BS21</f>
        <v>381.05</v>
      </c>
      <c r="O21" s="1483">
        <f>BW21</f>
        <v>774.36500000000001</v>
      </c>
      <c r="P21" s="1483">
        <f>CA21</f>
        <v>866.495</v>
      </c>
      <c r="Q21" s="1483">
        <f>CE21</f>
        <v>1042.5640000000001</v>
      </c>
      <c r="R21" s="1483">
        <f>CI21</f>
        <v>1042.153</v>
      </c>
      <c r="S21" s="1483">
        <f>CM21</f>
        <v>1002.129</v>
      </c>
      <c r="T21" s="1483">
        <f>CQ21</f>
        <v>1063.2</v>
      </c>
      <c r="U21" s="1483">
        <f>CU21</f>
        <v>2986.0639999999999</v>
      </c>
      <c r="V21" s="1483">
        <f>CY21</f>
        <v>4411.7619999999997</v>
      </c>
      <c r="W21" s="1483">
        <f>+DC21</f>
        <v>4411.7619999999997</v>
      </c>
      <c r="X21" s="1491">
        <f>W21</f>
        <v>4411.7619999999997</v>
      </c>
      <c r="Y21" s="1491">
        <f>X21</f>
        <v>4411.7619999999997</v>
      </c>
      <c r="Z21" s="1491">
        <f>Y21</f>
        <v>4411.7619999999997</v>
      </c>
      <c r="AA21" s="1491">
        <f t="shared" ref="AA21:AD21" si="45">Z21</f>
        <v>4411.7619999999997</v>
      </c>
      <c r="AB21" s="1491">
        <f t="shared" si="45"/>
        <v>4411.7619999999997</v>
      </c>
      <c r="AC21" s="1491">
        <f t="shared" si="45"/>
        <v>4411.7619999999997</v>
      </c>
      <c r="AD21" s="1491">
        <f t="shared" si="45"/>
        <v>4411.7619999999997</v>
      </c>
      <c r="AE21" s="1483"/>
      <c r="AF21" s="1515"/>
      <c r="AG21" s="1484"/>
      <c r="AH21" s="1484"/>
      <c r="AI21" s="1484"/>
      <c r="AJ21" s="1484"/>
      <c r="AK21" s="1484"/>
      <c r="AL21" s="1484"/>
      <c r="AM21" s="1484"/>
      <c r="AN21" s="1484"/>
      <c r="AO21" s="1484"/>
      <c r="AP21" s="1484"/>
      <c r="AQ21" s="1484"/>
      <c r="AR21" s="1484"/>
      <c r="AS21" s="1484"/>
      <c r="AT21" s="1484"/>
      <c r="AU21" s="1485">
        <v>21.228000000000002</v>
      </c>
      <c r="AV21" s="1485">
        <v>21.411999999999999</v>
      </c>
      <c r="AW21" s="1485">
        <v>21.059000000000001</v>
      </c>
      <c r="AX21" s="1485">
        <v>21.311</v>
      </c>
      <c r="AY21" s="1485">
        <v>22.018000000000001</v>
      </c>
      <c r="AZ21" s="1485">
        <v>21.841999999999999</v>
      </c>
      <c r="BA21" s="1485">
        <v>21.384</v>
      </c>
      <c r="BB21" s="1485">
        <v>21.344000000000001</v>
      </c>
      <c r="BC21" s="1485">
        <v>21.654</v>
      </c>
      <c r="BD21" s="1485">
        <v>22.277000000000001</v>
      </c>
      <c r="BE21" s="1485">
        <v>22.66</v>
      </c>
      <c r="BF21" s="1485">
        <v>22.71</v>
      </c>
      <c r="BG21" s="1485">
        <v>16.919</v>
      </c>
      <c r="BH21" s="1485">
        <v>17.109000000000002</v>
      </c>
      <c r="BI21" s="1485">
        <v>16.914000000000001</v>
      </c>
      <c r="BJ21" s="1485">
        <v>430.27699999999999</v>
      </c>
      <c r="BK21" s="1485">
        <v>442.92599999999999</v>
      </c>
      <c r="BL21" s="1485">
        <v>461.34699999999998</v>
      </c>
      <c r="BM21" s="1485">
        <v>458.84899999999999</v>
      </c>
      <c r="BN21" s="1485">
        <v>411.108</v>
      </c>
      <c r="BO21" s="1485">
        <v>342.82900000000001</v>
      </c>
      <c r="BP21" s="1485">
        <v>335.25900000000001</v>
      </c>
      <c r="BQ21" s="1485">
        <v>382.11200000000002</v>
      </c>
      <c r="BR21" s="1485">
        <v>377.55599999999998</v>
      </c>
      <c r="BS21" s="1485">
        <v>381.05</v>
      </c>
      <c r="BT21" s="1485">
        <v>359.31900000000002</v>
      </c>
      <c r="BU21" s="1485">
        <v>760.08699999999999</v>
      </c>
      <c r="BV21" s="1485">
        <v>778.25800000000004</v>
      </c>
      <c r="BW21" s="1485">
        <v>774.36500000000001</v>
      </c>
      <c r="BX21" s="1485">
        <v>789.87599999999998</v>
      </c>
      <c r="BY21" s="1485">
        <v>897.46100000000001</v>
      </c>
      <c r="BZ21" s="1485">
        <v>867.28</v>
      </c>
      <c r="CA21" s="1485">
        <v>866.495</v>
      </c>
      <c r="CB21" s="1485">
        <v>879.91399999999999</v>
      </c>
      <c r="CC21" s="1485">
        <v>863.18700000000001</v>
      </c>
      <c r="CD21" s="1485">
        <v>1043.2840000000001</v>
      </c>
      <c r="CE21" s="1485">
        <v>1042.5640000000001</v>
      </c>
      <c r="CF21" s="1485">
        <v>1018.777</v>
      </c>
      <c r="CG21" s="1485">
        <v>1012.102</v>
      </c>
      <c r="CH21" s="1485">
        <v>1036.1790000000001</v>
      </c>
      <c r="CI21" s="1485">
        <v>1042.153</v>
      </c>
      <c r="CJ21" s="1485">
        <v>1047.578</v>
      </c>
      <c r="CK21" s="1485">
        <v>1058.3630000000001</v>
      </c>
      <c r="CL21" s="1485">
        <v>1024.5550000000001</v>
      </c>
      <c r="CM21" s="1485">
        <v>1002.129</v>
      </c>
      <c r="CN21" s="1485">
        <v>984.43600000000004</v>
      </c>
      <c r="CO21" s="1485">
        <v>1007.739</v>
      </c>
      <c r="CP21" s="1485">
        <v>983.53</v>
      </c>
      <c r="CQ21" s="1485">
        <v>1063.2</v>
      </c>
      <c r="CR21" s="1485">
        <v>3336.9679999999998</v>
      </c>
      <c r="CS21" s="1485">
        <v>3190.1970000000001</v>
      </c>
      <c r="CT21" s="1485">
        <v>3118.6860000000001</v>
      </c>
      <c r="CU21" s="1485">
        <v>2986.0639999999999</v>
      </c>
      <c r="CV21" s="1485">
        <v>3053.0259999999998</v>
      </c>
      <c r="CW21" s="1485">
        <v>4225.5529999999999</v>
      </c>
      <c r="CX21" s="1485">
        <v>4226.49</v>
      </c>
      <c r="CY21" s="1485">
        <v>4411.7619999999997</v>
      </c>
      <c r="CZ21" s="1483">
        <f t="shared" ref="CZ21:DC21" si="46">CY21</f>
        <v>4411.7619999999997</v>
      </c>
      <c r="DA21" s="1483">
        <f t="shared" si="46"/>
        <v>4411.7619999999997</v>
      </c>
      <c r="DB21" s="1483">
        <f t="shared" si="46"/>
        <v>4411.7619999999997</v>
      </c>
      <c r="DC21" s="1483">
        <f t="shared" si="46"/>
        <v>4411.7619999999997</v>
      </c>
      <c r="DE21" s="2087"/>
      <c r="DF21"/>
      <c r="DG21"/>
    </row>
    <row r="22" spans="2:111" hidden="1" outlineLevel="1">
      <c r="B22" s="1514" t="s">
        <v>1243</v>
      </c>
      <c r="C22" s="1483"/>
      <c r="D22" s="1490"/>
      <c r="E22" s="1485">
        <f>AI22</f>
        <v>94.894000000000005</v>
      </c>
      <c r="F22" s="1485">
        <f>AM22</f>
        <v>103.691</v>
      </c>
      <c r="G22" s="1485"/>
      <c r="H22" s="1485"/>
      <c r="I22" s="1485"/>
      <c r="J22" s="1485"/>
      <c r="K22" s="1485"/>
      <c r="L22" s="1485"/>
      <c r="M22" s="1483"/>
      <c r="N22" s="1483"/>
      <c r="O22" s="1483"/>
      <c r="P22" s="1483"/>
      <c r="Q22" s="1483"/>
      <c r="R22" s="1483"/>
      <c r="S22" s="1483"/>
      <c r="T22" s="1483"/>
      <c r="U22" s="1483"/>
      <c r="V22" s="1483"/>
      <c r="W22" s="1483"/>
      <c r="X22" s="1491"/>
      <c r="Y22" s="1491"/>
      <c r="Z22" s="1491"/>
      <c r="AA22" s="1491"/>
      <c r="AB22" s="1491"/>
      <c r="AC22" s="1491"/>
      <c r="AD22" s="1491"/>
      <c r="AE22" s="1483"/>
      <c r="AF22" s="1515"/>
      <c r="AG22" s="1484">
        <v>174.54900000000001</v>
      </c>
      <c r="AH22" s="1484">
        <v>130.643</v>
      </c>
      <c r="AI22" s="1484">
        <v>94.894000000000005</v>
      </c>
      <c r="AJ22" s="1484">
        <v>89.257000000000005</v>
      </c>
      <c r="AK22" s="1484">
        <v>88.358000000000004</v>
      </c>
      <c r="AL22" s="1484">
        <v>91.066000000000003</v>
      </c>
      <c r="AM22" s="1484">
        <v>103.691</v>
      </c>
      <c r="AN22" s="1484"/>
      <c r="AO22" s="1484"/>
      <c r="AP22" s="1484"/>
      <c r="AQ22" s="1484"/>
      <c r="AR22" s="1484"/>
      <c r="AS22" s="1484"/>
      <c r="AT22" s="1484"/>
      <c r="AU22" s="1485"/>
      <c r="AV22" s="1485"/>
      <c r="AW22" s="1485"/>
      <c r="AX22" s="1485"/>
      <c r="AY22" s="1485"/>
      <c r="AZ22" s="1485"/>
      <c r="BA22" s="1485"/>
      <c r="BB22" s="1485"/>
      <c r="BC22" s="1485"/>
      <c r="BD22" s="1485"/>
      <c r="BE22" s="1485"/>
      <c r="BF22" s="1485"/>
      <c r="BG22" s="1485"/>
      <c r="BH22" s="1485"/>
      <c r="BI22" s="1485"/>
      <c r="BJ22" s="1485"/>
      <c r="BK22" s="1485"/>
      <c r="BL22" s="1485"/>
      <c r="BM22" s="1485"/>
      <c r="BN22" s="1485"/>
      <c r="BO22" s="1485"/>
      <c r="BP22" s="1485"/>
      <c r="BQ22" s="1485"/>
      <c r="BR22" s="1485"/>
      <c r="BS22" s="1485"/>
      <c r="BT22" s="1485"/>
      <c r="BU22" s="1485"/>
      <c r="BV22" s="1485"/>
      <c r="BW22" s="1485"/>
      <c r="BX22" s="1485"/>
      <c r="BY22" s="1483"/>
      <c r="BZ22" s="1483"/>
      <c r="CA22" s="1483"/>
      <c r="CB22" s="1483"/>
      <c r="CC22" s="1483"/>
      <c r="CD22" s="1483"/>
      <c r="CE22" s="1483"/>
      <c r="CF22" s="1483"/>
      <c r="CG22" s="1483"/>
      <c r="CH22" s="1483"/>
      <c r="CI22" s="1483"/>
      <c r="CJ22" s="1483"/>
      <c r="CK22" s="1483"/>
      <c r="CL22" s="1483"/>
      <c r="CM22" s="1483"/>
      <c r="CN22" s="1483"/>
      <c r="CO22" s="1483"/>
      <c r="CP22" s="1483"/>
      <c r="CQ22" s="1483"/>
      <c r="CR22" s="1483"/>
      <c r="CS22" s="1483"/>
      <c r="CT22" s="1483"/>
      <c r="CU22" s="1483"/>
      <c r="CV22" s="1483"/>
      <c r="CW22" s="1483"/>
      <c r="CX22" s="1483"/>
      <c r="CY22" s="1483"/>
      <c r="CZ22" s="1483"/>
      <c r="DA22" s="1483"/>
      <c r="DB22" s="1483"/>
      <c r="DC22" s="1483"/>
      <c r="DE22" s="2087"/>
      <c r="DF22"/>
      <c r="DG22"/>
    </row>
    <row r="23" spans="2:111" hidden="1" outlineLevel="1">
      <c r="B23" s="1514" t="s">
        <v>1543</v>
      </c>
      <c r="C23" s="1483"/>
      <c r="D23" s="1490"/>
      <c r="E23" s="1485">
        <f>AI23</f>
        <v>21.387</v>
      </c>
      <c r="F23" s="1485">
        <f>AM23</f>
        <v>27.997</v>
      </c>
      <c r="G23" s="1485">
        <f>AQ23</f>
        <v>2.4260000000000002</v>
      </c>
      <c r="H23" s="1485">
        <f>AU23</f>
        <v>1.835</v>
      </c>
      <c r="I23" s="1485"/>
      <c r="J23" s="1485"/>
      <c r="K23" s="1485"/>
      <c r="L23" s="1485"/>
      <c r="M23" s="1483"/>
      <c r="N23" s="1483"/>
      <c r="O23" s="1483"/>
      <c r="P23" s="1483"/>
      <c r="Q23" s="1483"/>
      <c r="R23" s="1483"/>
      <c r="S23" s="1483"/>
      <c r="T23" s="1483"/>
      <c r="U23" s="1483"/>
      <c r="V23" s="1483"/>
      <c r="W23" s="1483"/>
      <c r="X23" s="1491"/>
      <c r="Y23" s="1491"/>
      <c r="Z23" s="1491"/>
      <c r="AA23" s="1491"/>
      <c r="AB23" s="1491"/>
      <c r="AC23" s="1491"/>
      <c r="AD23" s="1491"/>
      <c r="AE23" s="1483"/>
      <c r="AF23" s="1515"/>
      <c r="AG23" s="1484">
        <v>11.683</v>
      </c>
      <c r="AH23" s="1484">
        <v>17.837</v>
      </c>
      <c r="AI23" s="1484">
        <v>21.387</v>
      </c>
      <c r="AJ23" s="1484">
        <v>20.399000000000001</v>
      </c>
      <c r="AK23" s="1484">
        <v>20.920999999999999</v>
      </c>
      <c r="AL23" s="1484">
        <v>27.875</v>
      </c>
      <c r="AM23" s="1484">
        <v>27.997</v>
      </c>
      <c r="AN23" s="1484">
        <v>27.992999999999999</v>
      </c>
      <c r="AO23" s="1484">
        <v>26.516999999999999</v>
      </c>
      <c r="AP23" s="1484">
        <v>1.5169999999999999</v>
      </c>
      <c r="AQ23" s="1484">
        <v>2.4260000000000002</v>
      </c>
      <c r="AR23" s="1484">
        <v>2.4180000000000001</v>
      </c>
      <c r="AS23" s="1484">
        <v>2.1869999999999998</v>
      </c>
      <c r="AT23" s="1484">
        <v>2.1930000000000001</v>
      </c>
      <c r="AU23" s="1485">
        <v>1.835</v>
      </c>
      <c r="AV23" s="1485">
        <v>0</v>
      </c>
      <c r="AW23" s="1485">
        <v>0</v>
      </c>
      <c r="AX23" s="1485">
        <v>0</v>
      </c>
      <c r="AY23" s="1485"/>
      <c r="AZ23" s="1485"/>
      <c r="BA23" s="1485"/>
      <c r="BB23" s="1485"/>
      <c r="BC23" s="1485"/>
      <c r="BD23" s="1485"/>
      <c r="BE23" s="1485"/>
      <c r="BF23" s="1485"/>
      <c r="BG23" s="1485"/>
      <c r="BH23" s="1485"/>
      <c r="BI23" s="1485"/>
      <c r="BJ23" s="1485"/>
      <c r="BK23" s="1485"/>
      <c r="BL23" s="1485"/>
      <c r="BM23" s="1485"/>
      <c r="BN23" s="1485"/>
      <c r="BO23" s="1485"/>
      <c r="BP23" s="1485"/>
      <c r="BQ23" s="1485"/>
      <c r="BR23" s="1485"/>
      <c r="BS23" s="1485"/>
      <c r="BT23" s="1485"/>
      <c r="BU23" s="1485"/>
      <c r="BV23" s="1485"/>
      <c r="BW23" s="1485"/>
      <c r="BX23" s="1485"/>
      <c r="BY23" s="1483"/>
      <c r="BZ23" s="1483"/>
      <c r="CA23" s="1483"/>
      <c r="CB23" s="1483"/>
      <c r="CC23" s="1483"/>
      <c r="CD23" s="1483"/>
      <c r="CE23" s="1483"/>
      <c r="CF23" s="1483"/>
      <c r="CG23" s="1483"/>
      <c r="CH23" s="1483"/>
      <c r="CI23" s="1483"/>
      <c r="CJ23" s="1483"/>
      <c r="CK23" s="1483"/>
      <c r="CL23" s="1483"/>
      <c r="CM23" s="1483"/>
      <c r="CN23" s="1483"/>
      <c r="CO23" s="1483"/>
      <c r="CP23" s="1483"/>
      <c r="CQ23" s="1483"/>
      <c r="CR23" s="1483"/>
      <c r="CS23" s="1483"/>
      <c r="CT23" s="1483"/>
      <c r="CU23" s="1483"/>
      <c r="CV23" s="1483"/>
      <c r="CW23" s="1483"/>
      <c r="CX23" s="1483"/>
      <c r="CY23" s="1483"/>
      <c r="CZ23" s="1483"/>
      <c r="DA23" s="1483"/>
      <c r="DB23" s="1483"/>
      <c r="DC23" s="1483"/>
      <c r="DE23" s="2087"/>
      <c r="DF23"/>
      <c r="DG23"/>
    </row>
    <row r="24" spans="2:111" collapsed="1">
      <c r="B24" s="1514" t="s">
        <v>1218</v>
      </c>
      <c r="C24" s="1483"/>
      <c r="D24" s="1490"/>
      <c r="E24" s="1485"/>
      <c r="F24" s="1485"/>
      <c r="G24" s="1485">
        <f>AQ24</f>
        <v>24.981000000000002</v>
      </c>
      <c r="H24" s="1485"/>
      <c r="I24" s="1485"/>
      <c r="J24" s="1485"/>
      <c r="K24" s="1485"/>
      <c r="L24" s="1485">
        <f>BK24</f>
        <v>67.206999999999994</v>
      </c>
      <c r="M24" s="1483">
        <f>BO24</f>
        <v>50.917999999999999</v>
      </c>
      <c r="N24" s="1483">
        <f>BS24</f>
        <v>51.015000000000001</v>
      </c>
      <c r="O24" s="1483">
        <f>BW24</f>
        <v>150.94499999999999</v>
      </c>
      <c r="P24" s="1483">
        <f>CA24</f>
        <v>148.63499999999999</v>
      </c>
      <c r="Q24" s="1483">
        <f>CE24</f>
        <v>201.56200000000001</v>
      </c>
      <c r="R24" s="1483">
        <f>CI24</f>
        <v>184.18199999999999</v>
      </c>
      <c r="S24" s="1483">
        <f>CM24</f>
        <v>147.52699999999999</v>
      </c>
      <c r="T24" s="1483">
        <f>CQ24</f>
        <v>224.565</v>
      </c>
      <c r="U24" s="1483">
        <f>CU24</f>
        <v>719.23099999999999</v>
      </c>
      <c r="V24" s="1483">
        <f>CY24</f>
        <v>2384.9720000000002</v>
      </c>
      <c r="W24" s="1483">
        <f>+DC24</f>
        <v>2368.2889999999993</v>
      </c>
      <c r="X24" s="1483">
        <f>W24-X219</f>
        <v>2352.9169999999995</v>
      </c>
      <c r="Y24" s="1483">
        <f>X24-Y219</f>
        <v>2349.1639999999993</v>
      </c>
      <c r="Z24" s="1483">
        <f>Y24-Z219</f>
        <v>2349.1639999999993</v>
      </c>
      <c r="AA24" s="1483">
        <f t="shared" ref="AA24:AD24" si="47">Z24-AA219</f>
        <v>2349.1639999999993</v>
      </c>
      <c r="AB24" s="1483">
        <f t="shared" si="47"/>
        <v>2349.1639999999993</v>
      </c>
      <c r="AC24" s="1483">
        <f t="shared" si="47"/>
        <v>2349.1639999999993</v>
      </c>
      <c r="AD24" s="1483">
        <f t="shared" si="47"/>
        <v>2349.1639999999993</v>
      </c>
      <c r="AE24" s="1483"/>
      <c r="AF24" s="1515"/>
      <c r="AG24" s="1484"/>
      <c r="AH24" s="1484"/>
      <c r="AI24" s="1484"/>
      <c r="AJ24" s="1484"/>
      <c r="AK24" s="1484"/>
      <c r="AL24" s="1484"/>
      <c r="AM24" s="1484"/>
      <c r="AN24" s="1484"/>
      <c r="AO24" s="1484"/>
      <c r="AP24" s="1484"/>
      <c r="AQ24" s="1484">
        <v>24.981000000000002</v>
      </c>
      <c r="AR24" s="1484">
        <v>24.626999999999999</v>
      </c>
      <c r="AS24" s="1484">
        <v>24.013000000000002</v>
      </c>
      <c r="AT24" s="1484">
        <v>23.846</v>
      </c>
      <c r="AU24" s="1485"/>
      <c r="AV24" s="1485"/>
      <c r="AW24" s="1485"/>
      <c r="AX24" s="1485"/>
      <c r="AY24" s="1485"/>
      <c r="AZ24" s="1485"/>
      <c r="BA24" s="1485"/>
      <c r="BB24" s="1485"/>
      <c r="BC24" s="1485"/>
      <c r="BD24" s="1485"/>
      <c r="BE24" s="1485"/>
      <c r="BF24" s="1485"/>
      <c r="BG24" s="1485"/>
      <c r="BH24" s="1485"/>
      <c r="BI24" s="1485"/>
      <c r="BJ24" s="1485">
        <v>70.191000000000003</v>
      </c>
      <c r="BK24" s="1485">
        <v>67.206999999999994</v>
      </c>
      <c r="BL24" s="1485">
        <v>73.052000000000007</v>
      </c>
      <c r="BM24" s="1485">
        <v>71.531999999999996</v>
      </c>
      <c r="BN24" s="1485">
        <v>62.350999999999999</v>
      </c>
      <c r="BO24" s="1485">
        <v>50.917999999999999</v>
      </c>
      <c r="BP24" s="1485">
        <v>49.378</v>
      </c>
      <c r="BQ24" s="1485">
        <v>54.619</v>
      </c>
      <c r="BR24" s="1485">
        <v>52.061999999999998</v>
      </c>
      <c r="BS24" s="1485">
        <v>51.015000000000001</v>
      </c>
      <c r="BT24" s="1485">
        <v>46.661000000000001</v>
      </c>
      <c r="BU24" s="1485">
        <v>157.34</v>
      </c>
      <c r="BV24" s="1485">
        <v>155.601</v>
      </c>
      <c r="BW24" s="1485">
        <v>150.94499999999999</v>
      </c>
      <c r="BX24" s="1485">
        <v>148.874</v>
      </c>
      <c r="BY24" s="1485">
        <v>163.77099999999999</v>
      </c>
      <c r="BZ24" s="1485">
        <v>153.505</v>
      </c>
      <c r="CA24" s="1485">
        <v>148.63499999999999</v>
      </c>
      <c r="CB24" s="1485">
        <v>145.35</v>
      </c>
      <c r="CC24" s="1485">
        <v>138.19900000000001</v>
      </c>
      <c r="CD24" s="1485">
        <v>200.648</v>
      </c>
      <c r="CE24" s="1485">
        <v>201.56200000000001</v>
      </c>
      <c r="CF24" s="1485">
        <v>191.935</v>
      </c>
      <c r="CG24" s="1485">
        <v>184.74</v>
      </c>
      <c r="CH24" s="1485">
        <v>182.345</v>
      </c>
      <c r="CI24" s="1485">
        <v>184.18199999999999</v>
      </c>
      <c r="CJ24" s="1485">
        <v>176.91399999999999</v>
      </c>
      <c r="CK24" s="1485">
        <v>170.13</v>
      </c>
      <c r="CL24" s="1485">
        <v>157.47499999999999</v>
      </c>
      <c r="CM24" s="1485">
        <v>147.52699999999999</v>
      </c>
      <c r="CN24" s="1485">
        <v>136.01</v>
      </c>
      <c r="CO24" s="1485">
        <v>131.38300000000001</v>
      </c>
      <c r="CP24" s="1485">
        <v>123.45399999999999</v>
      </c>
      <c r="CQ24" s="1485">
        <v>224.565</v>
      </c>
      <c r="CR24" s="1485">
        <v>867.53599999999994</v>
      </c>
      <c r="CS24" s="1485">
        <v>788.95500000000004</v>
      </c>
      <c r="CT24" s="1485">
        <v>803.26</v>
      </c>
      <c r="CU24" s="1485">
        <v>719.23099999999999</v>
      </c>
      <c r="CV24" s="1485">
        <v>710.70600000000002</v>
      </c>
      <c r="CW24" s="1485">
        <v>2382.23</v>
      </c>
      <c r="CX24" s="1485">
        <v>2335.1750000000002</v>
      </c>
      <c r="CY24" s="1485">
        <v>2384.9720000000002</v>
      </c>
      <c r="CZ24" s="1483">
        <f>CY24-CZ219</f>
        <v>2380.80125</v>
      </c>
      <c r="DA24" s="1483">
        <f>CZ24-DA219</f>
        <v>2376.6304999999998</v>
      </c>
      <c r="DB24" s="1483">
        <f>DA24-DB219</f>
        <v>2372.4597499999995</v>
      </c>
      <c r="DC24" s="1483">
        <f>DB24-DC219</f>
        <v>2368.2889999999993</v>
      </c>
      <c r="DE24" s="2087"/>
      <c r="DG24"/>
    </row>
    <row r="25" spans="2:111">
      <c r="B25" s="1514" t="s">
        <v>1406</v>
      </c>
      <c r="C25" s="1483"/>
      <c r="D25" s="1490"/>
      <c r="E25" s="1485"/>
      <c r="F25" s="1485"/>
      <c r="G25" s="1485"/>
      <c r="H25" s="1485"/>
      <c r="I25" s="1485"/>
      <c r="J25" s="1485"/>
      <c r="K25" s="1485"/>
      <c r="L25" s="1485"/>
      <c r="M25" s="1483">
        <f>BO25</f>
        <v>65.227999999999994</v>
      </c>
      <c r="N25" s="1483">
        <f>BS25</f>
        <v>5.1710000000000003</v>
      </c>
      <c r="O25" s="1483">
        <f>BW25</f>
        <v>0</v>
      </c>
      <c r="P25" s="1483">
        <f>CA25</f>
        <v>0</v>
      </c>
      <c r="Q25" s="1483">
        <f>CE25</f>
        <v>0</v>
      </c>
      <c r="R25" s="1483">
        <f>CI25</f>
        <v>0</v>
      </c>
      <c r="S25" s="1483">
        <f>CM25</f>
        <v>0</v>
      </c>
      <c r="T25" s="1483">
        <f>CQ25</f>
        <v>0</v>
      </c>
      <c r="U25" s="1483">
        <f>CU25</f>
        <v>0</v>
      </c>
      <c r="V25" s="1483">
        <f>CY25</f>
        <v>0</v>
      </c>
      <c r="W25" s="1483">
        <f>+DC25</f>
        <v>0</v>
      </c>
      <c r="X25" s="1491">
        <f>W25</f>
        <v>0</v>
      </c>
      <c r="Y25" s="1491">
        <f>X25</f>
        <v>0</v>
      </c>
      <c r="Z25" s="1491">
        <f>Y25</f>
        <v>0</v>
      </c>
      <c r="AA25" s="1491">
        <f t="shared" ref="AA25:AD25" si="48">Z25</f>
        <v>0</v>
      </c>
      <c r="AB25" s="1491">
        <f t="shared" si="48"/>
        <v>0</v>
      </c>
      <c r="AC25" s="1491">
        <f t="shared" si="48"/>
        <v>0</v>
      </c>
      <c r="AD25" s="1491">
        <f t="shared" si="48"/>
        <v>0</v>
      </c>
      <c r="AE25" s="1483"/>
      <c r="AF25" s="1515"/>
      <c r="AG25" s="1484"/>
      <c r="AH25" s="1484"/>
      <c r="AI25" s="1484"/>
      <c r="AJ25" s="1484"/>
      <c r="AK25" s="1484"/>
      <c r="AL25" s="1484"/>
      <c r="AM25" s="1484"/>
      <c r="AN25" s="1484"/>
      <c r="AO25" s="1484"/>
      <c r="AP25" s="1484"/>
      <c r="AQ25" s="1484"/>
      <c r="AR25" s="1484"/>
      <c r="AS25" s="1484"/>
      <c r="AT25" s="1484"/>
      <c r="AU25" s="1485"/>
      <c r="AV25" s="1485"/>
      <c r="AW25" s="1485"/>
      <c r="AX25" s="1485"/>
      <c r="AY25" s="1485"/>
      <c r="AZ25" s="1485"/>
      <c r="BA25" s="1485"/>
      <c r="BB25" s="1485"/>
      <c r="BC25" s="1485"/>
      <c r="BD25" s="1485"/>
      <c r="BE25" s="1485"/>
      <c r="BF25" s="1485"/>
      <c r="BG25" s="1485"/>
      <c r="BH25" s="1485"/>
      <c r="BI25" s="1485"/>
      <c r="BJ25" s="1485"/>
      <c r="BK25" s="1485"/>
      <c r="BL25" s="1485"/>
      <c r="BM25" s="1485"/>
      <c r="BN25" s="1485"/>
      <c r="BO25" s="1485">
        <v>65.227999999999994</v>
      </c>
      <c r="BP25" s="1485">
        <v>81.521000000000001</v>
      </c>
      <c r="BQ25" s="1485">
        <v>43.332000000000001</v>
      </c>
      <c r="BR25" s="1485">
        <v>43.938000000000002</v>
      </c>
      <c r="BS25" s="1485">
        <v>5.1710000000000003</v>
      </c>
      <c r="BT25" s="1485">
        <f>BS25</f>
        <v>5.1710000000000003</v>
      </c>
      <c r="BU25" s="1485">
        <v>0</v>
      </c>
      <c r="BV25" s="1485">
        <v>0</v>
      </c>
      <c r="BW25" s="1485">
        <v>0</v>
      </c>
      <c r="BX25" s="1485">
        <f t="shared" ref="BX25:CM25" si="49">BW25</f>
        <v>0</v>
      </c>
      <c r="BY25" s="1483">
        <f t="shared" si="49"/>
        <v>0</v>
      </c>
      <c r="BZ25" s="1483">
        <f t="shared" si="49"/>
        <v>0</v>
      </c>
      <c r="CA25" s="1483">
        <f t="shared" si="49"/>
        <v>0</v>
      </c>
      <c r="CB25" s="1483">
        <f t="shared" si="49"/>
        <v>0</v>
      </c>
      <c r="CC25" s="1483">
        <f t="shared" si="49"/>
        <v>0</v>
      </c>
      <c r="CD25" s="1483">
        <f t="shared" si="49"/>
        <v>0</v>
      </c>
      <c r="CE25" s="1483">
        <f t="shared" si="49"/>
        <v>0</v>
      </c>
      <c r="CF25" s="1483">
        <f t="shared" si="49"/>
        <v>0</v>
      </c>
      <c r="CG25" s="1483">
        <f t="shared" si="49"/>
        <v>0</v>
      </c>
      <c r="CH25" s="1483">
        <f t="shared" si="49"/>
        <v>0</v>
      </c>
      <c r="CI25" s="1483">
        <f t="shared" si="49"/>
        <v>0</v>
      </c>
      <c r="CJ25" s="1483">
        <f t="shared" si="49"/>
        <v>0</v>
      </c>
      <c r="CK25" s="1483">
        <f t="shared" si="49"/>
        <v>0</v>
      </c>
      <c r="CL25" s="1483">
        <f t="shared" si="49"/>
        <v>0</v>
      </c>
      <c r="CM25" s="1483">
        <f t="shared" si="49"/>
        <v>0</v>
      </c>
      <c r="CN25" s="1483"/>
      <c r="CO25" s="1483"/>
      <c r="CP25" s="1483"/>
      <c r="CQ25" s="1483"/>
      <c r="CR25" s="1483"/>
      <c r="CS25" s="1483"/>
      <c r="CT25" s="1483"/>
      <c r="CU25" s="1483"/>
      <c r="CV25" s="1483"/>
      <c r="CW25" s="1483"/>
      <c r="CX25" s="1483"/>
      <c r="CY25" s="1483"/>
      <c r="CZ25" s="1483">
        <f t="shared" ref="CZ25:DC25" si="50">CY25</f>
        <v>0</v>
      </c>
      <c r="DA25" s="1483">
        <f t="shared" si="50"/>
        <v>0</v>
      </c>
      <c r="DB25" s="1483">
        <f t="shared" si="50"/>
        <v>0</v>
      </c>
      <c r="DC25" s="1483">
        <f t="shared" si="50"/>
        <v>0</v>
      </c>
      <c r="DE25" s="2087"/>
      <c r="DG25"/>
    </row>
    <row r="26" spans="2:111" hidden="1" outlineLevel="1">
      <c r="B26" s="1514" t="s">
        <v>1131</v>
      </c>
      <c r="C26" s="1483"/>
      <c r="D26" s="1490"/>
      <c r="E26" s="1485">
        <f>AI26</f>
        <v>11.916</v>
      </c>
      <c r="F26" s="1485">
        <f>AM26</f>
        <v>11.333</v>
      </c>
      <c r="G26" s="1485">
        <f>AQ26</f>
        <v>7.25</v>
      </c>
      <c r="H26" s="1485">
        <f>AU26</f>
        <v>5.9539999999999997</v>
      </c>
      <c r="I26" s="1485">
        <f>AY26</f>
        <v>3.1640000000000001</v>
      </c>
      <c r="J26" s="1485">
        <f>BC26</f>
        <v>3.0750000000000002</v>
      </c>
      <c r="K26" s="1485">
        <f>BG26</f>
        <v>3.0059999999999998</v>
      </c>
      <c r="L26" s="1485">
        <f>BK26</f>
        <v>21.332999999999998</v>
      </c>
      <c r="M26" s="1483">
        <f>BO26</f>
        <v>0</v>
      </c>
      <c r="N26" s="1483">
        <f>BS26</f>
        <v>0</v>
      </c>
      <c r="O26" s="1483">
        <f>BW26</f>
        <v>0</v>
      </c>
      <c r="P26" s="1483">
        <f>CA26</f>
        <v>0</v>
      </c>
      <c r="Q26" s="1483">
        <f>CE26</f>
        <v>0</v>
      </c>
      <c r="R26" s="1483">
        <f>CI26</f>
        <v>0</v>
      </c>
      <c r="S26" s="1483">
        <f>CJ26</f>
        <v>0</v>
      </c>
      <c r="T26" s="1483">
        <f>CK26</f>
        <v>0</v>
      </c>
      <c r="U26" s="1483">
        <f>CL26</f>
        <v>0</v>
      </c>
      <c r="V26" s="1483">
        <f>CM26</f>
        <v>0</v>
      </c>
      <c r="W26" s="1483">
        <f>CN26</f>
        <v>0</v>
      </c>
      <c r="X26" s="1491"/>
      <c r="Y26" s="1491"/>
      <c r="Z26" s="1491"/>
      <c r="AA26" s="1491"/>
      <c r="AB26" s="1491"/>
      <c r="AC26" s="1491"/>
      <c r="AD26" s="1491"/>
      <c r="AE26" s="1483"/>
      <c r="AF26" s="1515"/>
      <c r="AG26" s="1484">
        <v>7.5759999999999996</v>
      </c>
      <c r="AH26" s="1484">
        <v>6.5960000000000001</v>
      </c>
      <c r="AI26" s="1484">
        <v>11.916</v>
      </c>
      <c r="AJ26" s="1484">
        <v>11.430999999999999</v>
      </c>
      <c r="AK26" s="1484">
        <v>11.394</v>
      </c>
      <c r="AL26" s="1484">
        <v>10.9</v>
      </c>
      <c r="AM26" s="1484">
        <v>11.333</v>
      </c>
      <c r="AN26" s="1484">
        <v>10.083</v>
      </c>
      <c r="AO26" s="1484">
        <v>9.109</v>
      </c>
      <c r="AP26" s="1484">
        <v>8.6950000000000003</v>
      </c>
      <c r="AQ26" s="1484">
        <v>7.25</v>
      </c>
      <c r="AR26" s="1484">
        <v>6.6390000000000002</v>
      </c>
      <c r="AS26" s="1484">
        <v>6.5369999999999999</v>
      </c>
      <c r="AT26" s="1484">
        <v>5.9560000000000004</v>
      </c>
      <c r="AU26" s="1485">
        <v>5.9539999999999997</v>
      </c>
      <c r="AV26" s="1485">
        <v>3.625</v>
      </c>
      <c r="AW26" s="1485">
        <v>3.3679999999999999</v>
      </c>
      <c r="AX26" s="1485">
        <v>3.1970000000000001</v>
      </c>
      <c r="AY26" s="1485">
        <v>3.1640000000000001</v>
      </c>
      <c r="AZ26" s="1485">
        <v>2.6589999999999998</v>
      </c>
      <c r="BA26" s="1485">
        <v>2.4729999999999999</v>
      </c>
      <c r="BB26" s="1485">
        <v>2.621</v>
      </c>
      <c r="BC26" s="1485">
        <v>3.0750000000000002</v>
      </c>
      <c r="BD26" s="1485">
        <v>2.867</v>
      </c>
      <c r="BE26" s="1485">
        <v>2.6589999999999998</v>
      </c>
      <c r="BF26" s="1485">
        <v>2.6850000000000001</v>
      </c>
      <c r="BG26" s="1485">
        <v>3.0059999999999998</v>
      </c>
      <c r="BH26" s="1485">
        <v>12.523999999999999</v>
      </c>
      <c r="BI26" s="1485">
        <v>14.603</v>
      </c>
      <c r="BJ26" s="1485">
        <v>22.474</v>
      </c>
      <c r="BK26" s="1485">
        <v>21.332999999999998</v>
      </c>
      <c r="BL26" s="1485">
        <v>20.253</v>
      </c>
      <c r="BM26" s="1485">
        <v>19.571000000000002</v>
      </c>
      <c r="BN26" s="1485">
        <v>18.363</v>
      </c>
      <c r="BO26" s="1485"/>
      <c r="BP26" s="1485"/>
      <c r="BQ26" s="1485"/>
      <c r="BR26" s="1485"/>
      <c r="BS26" s="1485"/>
      <c r="BT26" s="1485"/>
      <c r="BU26" s="1485"/>
      <c r="BV26" s="1485"/>
      <c r="BW26" s="1483"/>
      <c r="BX26" s="1483"/>
      <c r="BY26" s="1483"/>
      <c r="BZ26" s="1483"/>
      <c r="CA26" s="1483"/>
      <c r="CB26" s="1483"/>
      <c r="CC26" s="1483"/>
      <c r="CD26" s="1483"/>
      <c r="CE26" s="1483"/>
      <c r="CF26" s="1483"/>
      <c r="CG26" s="1483"/>
      <c r="CH26" s="1483"/>
      <c r="CI26" s="1483"/>
      <c r="CJ26" s="1483"/>
      <c r="CK26" s="1483"/>
      <c r="CL26" s="1483"/>
      <c r="CM26" s="1483"/>
      <c r="CN26" s="1483"/>
      <c r="CO26" s="1483"/>
      <c r="CP26" s="1483"/>
      <c r="CQ26" s="1483"/>
      <c r="CR26" s="1483"/>
      <c r="CS26" s="1483"/>
      <c r="CT26" s="1483"/>
      <c r="CU26" s="1483"/>
      <c r="CV26" s="1483"/>
      <c r="CW26" s="1483"/>
      <c r="CX26" s="1483"/>
      <c r="CY26" s="1483"/>
      <c r="CZ26" s="1483"/>
      <c r="DA26" s="1483"/>
      <c r="DB26" s="1483"/>
      <c r="DC26" s="1483"/>
      <c r="DE26" s="2087"/>
      <c r="DG26"/>
    </row>
    <row r="27" spans="2:111" collapsed="1">
      <c r="B27" s="1516" t="s">
        <v>1130</v>
      </c>
      <c r="C27" s="1483"/>
      <c r="D27" s="1490"/>
      <c r="E27" s="1485">
        <f>AI27</f>
        <v>1.9319999999999999</v>
      </c>
      <c r="F27" s="1485">
        <f>AM27</f>
        <v>3.589</v>
      </c>
      <c r="G27" s="1485">
        <f>AQ27</f>
        <v>3.8029999999999999</v>
      </c>
      <c r="H27" s="1485">
        <f>AU27</f>
        <v>5.673</v>
      </c>
      <c r="I27" s="1485">
        <f>AY27</f>
        <v>8.5180000000000007</v>
      </c>
      <c r="J27" s="1485">
        <f>BC27</f>
        <v>8.2829999999999995</v>
      </c>
      <c r="K27" s="1485">
        <f>BG27</f>
        <v>14.164</v>
      </c>
      <c r="L27" s="1485">
        <f>BK27</f>
        <v>30.954999999999998</v>
      </c>
      <c r="M27" s="1483">
        <f>BO27</f>
        <v>57.793999999999997</v>
      </c>
      <c r="N27" s="1483">
        <f>BS27</f>
        <v>55.109000000000002</v>
      </c>
      <c r="O27" s="1483">
        <f>BW27</f>
        <v>90.891999999999996</v>
      </c>
      <c r="P27" s="1483">
        <f>CA27</f>
        <v>146.72399999999999</v>
      </c>
      <c r="Q27" s="1483">
        <f>CE27</f>
        <v>208.02199999999999</v>
      </c>
      <c r="R27" s="1483">
        <f>CI27</f>
        <v>387.32400000000001</v>
      </c>
      <c r="S27" s="1483">
        <f>CM27</f>
        <v>178.125</v>
      </c>
      <c r="T27" s="1483">
        <f>CQ27</f>
        <v>198.63</v>
      </c>
      <c r="U27" s="1483">
        <f>CU27</f>
        <v>226.298</v>
      </c>
      <c r="V27" s="1483">
        <f>CY27</f>
        <v>246.351</v>
      </c>
      <c r="W27" s="1483">
        <f ca="1">+DC27</f>
        <v>268.7900983755323</v>
      </c>
      <c r="X27" s="1491">
        <f ca="1">W27*(X106/W106)</f>
        <v>293.40285690721436</v>
      </c>
      <c r="Y27" s="1491">
        <f ca="1">X27*(Y106/X106)</f>
        <v>316.69896328908857</v>
      </c>
      <c r="Z27" s="1491">
        <f ca="1">Y27*(Z106/Y106)</f>
        <v>338.67115826209033</v>
      </c>
      <c r="AA27" s="1491">
        <f t="shared" ref="AA27:AD27" ca="1" si="51">Z27*(AA106/Z106)</f>
        <v>360.56170959262226</v>
      </c>
      <c r="AB27" s="1491">
        <f t="shared" ca="1" si="51"/>
        <v>382.35532152512997</v>
      </c>
      <c r="AC27" s="1491">
        <f t="shared" ca="1" si="51"/>
        <v>404.03981453379487</v>
      </c>
      <c r="AD27" s="1491">
        <f t="shared" ca="1" si="51"/>
        <v>425.60513178272492</v>
      </c>
      <c r="AE27" s="1483"/>
      <c r="AF27" s="1515"/>
      <c r="AG27" s="1484">
        <v>3.375</v>
      </c>
      <c r="AH27" s="1484">
        <v>3.4119999999999999</v>
      </c>
      <c r="AI27" s="1484">
        <v>1.9319999999999999</v>
      </c>
      <c r="AJ27" s="1484">
        <v>3.3969999999999998</v>
      </c>
      <c r="AK27" s="1484">
        <v>4.8019999999999996</v>
      </c>
      <c r="AL27" s="1484">
        <v>4.617</v>
      </c>
      <c r="AM27" s="1484">
        <v>3.589</v>
      </c>
      <c r="AN27" s="1484">
        <v>1.6439999999999999</v>
      </c>
      <c r="AO27" s="1484">
        <v>1.877</v>
      </c>
      <c r="AP27" s="1484">
        <v>2.1360000000000001</v>
      </c>
      <c r="AQ27" s="1484">
        <v>3.8029999999999999</v>
      </c>
      <c r="AR27" s="1484">
        <v>3.605</v>
      </c>
      <c r="AS27" s="1484">
        <v>3.2850000000000001</v>
      </c>
      <c r="AT27" s="1484">
        <v>3.3769999999999998</v>
      </c>
      <c r="AU27" s="1485">
        <v>5.673</v>
      </c>
      <c r="AV27" s="1485">
        <v>6.9560000000000004</v>
      </c>
      <c r="AW27" s="1485">
        <v>9.0969999999999995</v>
      </c>
      <c r="AX27" s="1485">
        <v>9.8919999999999995</v>
      </c>
      <c r="AY27" s="1485">
        <v>8.5180000000000007</v>
      </c>
      <c r="AZ27" s="1485">
        <v>7.7539999999999996</v>
      </c>
      <c r="BA27" s="1485">
        <v>7.8040000000000003</v>
      </c>
      <c r="BB27" s="1485">
        <v>10.632</v>
      </c>
      <c r="BC27" s="1485">
        <v>8.2829999999999995</v>
      </c>
      <c r="BD27" s="1485">
        <v>9.6679999999999993</v>
      </c>
      <c r="BE27" s="1485">
        <v>9.2370000000000001</v>
      </c>
      <c r="BF27" s="1485">
        <v>8.843</v>
      </c>
      <c r="BG27" s="1485">
        <v>14.164</v>
      </c>
      <c r="BH27" s="1485">
        <v>20.754999999999999</v>
      </c>
      <c r="BI27" s="1485">
        <v>22.053999999999998</v>
      </c>
      <c r="BJ27" s="1485">
        <v>26.516999999999999</v>
      </c>
      <c r="BK27" s="1485">
        <v>30.954999999999998</v>
      </c>
      <c r="BL27" s="1485">
        <v>46.534999999999997</v>
      </c>
      <c r="BM27" s="1485">
        <v>47.645000000000003</v>
      </c>
      <c r="BN27" s="1485">
        <v>42.854999999999997</v>
      </c>
      <c r="BO27" s="1485">
        <v>57.793999999999997</v>
      </c>
      <c r="BP27" s="1485">
        <v>48.631999999999998</v>
      </c>
      <c r="BQ27" s="1485">
        <v>60.786999999999999</v>
      </c>
      <c r="BR27" s="1485">
        <v>53.857999999999997</v>
      </c>
      <c r="BS27" s="1485">
        <v>55.109000000000002</v>
      </c>
      <c r="BT27" s="1485">
        <f>68.589-BT25</f>
        <v>63.417999999999999</v>
      </c>
      <c r="BU27" s="1485">
        <v>71.239999999999995</v>
      </c>
      <c r="BV27" s="1485">
        <v>69.108000000000004</v>
      </c>
      <c r="BW27" s="1485">
        <v>90.891999999999996</v>
      </c>
      <c r="BX27" s="1485">
        <v>135.50200000000001</v>
      </c>
      <c r="BY27" s="1485">
        <v>142.709</v>
      </c>
      <c r="BZ27" s="1485">
        <v>158.09100000000001</v>
      </c>
      <c r="CA27" s="1485">
        <v>146.72399999999999</v>
      </c>
      <c r="CB27" s="1485">
        <v>131.25200000000001</v>
      </c>
      <c r="CC27" s="1485">
        <v>134.411</v>
      </c>
      <c r="CD27" s="1485">
        <v>115.42700000000001</v>
      </c>
      <c r="CE27" s="1485">
        <v>208.02199999999999</v>
      </c>
      <c r="CF27" s="1485">
        <v>212.423</v>
      </c>
      <c r="CG27" s="1485">
        <v>304.08300000000003</v>
      </c>
      <c r="CH27" s="1485">
        <v>337.702</v>
      </c>
      <c r="CI27" s="1485">
        <v>387.32400000000001</v>
      </c>
      <c r="CJ27" s="1485">
        <v>429.61500000000001</v>
      </c>
      <c r="CK27" s="1485">
        <v>508.76400000000001</v>
      </c>
      <c r="CL27" s="1485">
        <v>422.80799999999999</v>
      </c>
      <c r="CM27" s="1485">
        <v>178.125</v>
      </c>
      <c r="CN27" s="1485">
        <v>166.13</v>
      </c>
      <c r="CO27" s="1485">
        <f>10.524+157.415</f>
        <v>167.93899999999999</v>
      </c>
      <c r="CP27" s="1485">
        <f>10.464+123.523</f>
        <v>133.98699999999999</v>
      </c>
      <c r="CQ27" s="1485">
        <f>10.172+188.458</f>
        <v>198.63</v>
      </c>
      <c r="CR27" s="1485">
        <v>230.78899999999999</v>
      </c>
      <c r="CS27" s="1485">
        <v>227.976</v>
      </c>
      <c r="CT27" s="1485">
        <v>248.69200000000001</v>
      </c>
      <c r="CU27" s="1485">
        <v>226.298</v>
      </c>
      <c r="CV27" s="1485">
        <v>234.64500000000001</v>
      </c>
      <c r="CW27" s="1485">
        <v>263.54599999999999</v>
      </c>
      <c r="CX27" s="1485">
        <v>285.96699999999998</v>
      </c>
      <c r="CY27" s="1485">
        <v>246.351</v>
      </c>
      <c r="CZ27" s="1483">
        <f t="shared" ref="CZ27:DC27" ca="1" si="52">CY27*(CZ106/CY106)</f>
        <v>249.50114671398177</v>
      </c>
      <c r="DA27" s="1483">
        <f t="shared" ca="1" si="52"/>
        <v>254.53840769410735</v>
      </c>
      <c r="DB27" s="1483">
        <f t="shared" ca="1" si="52"/>
        <v>261.48132759622962</v>
      </c>
      <c r="DC27" s="1483">
        <f t="shared" ca="1" si="52"/>
        <v>268.7900983755323</v>
      </c>
      <c r="DE27" s="2087"/>
      <c r="DG27"/>
    </row>
    <row r="28" spans="2:111" ht="13.5" thickBot="1">
      <c r="B28" s="1523" t="s">
        <v>1025</v>
      </c>
      <c r="C28" s="1483"/>
      <c r="D28" s="1524"/>
      <c r="E28" s="1524">
        <f>SUM(E15:E27)</f>
        <v>683.48500000000024</v>
      </c>
      <c r="F28" s="1524">
        <f t="shared" ref="F28:Z28" si="53">SUM(F20:F27)+SUM(F15:F17)</f>
        <v>575.05400000000009</v>
      </c>
      <c r="G28" s="1524">
        <f t="shared" si="53"/>
        <v>492.00300000000004</v>
      </c>
      <c r="H28" s="1524">
        <f t="shared" si="53"/>
        <v>464.53200000000004</v>
      </c>
      <c r="I28" s="1524">
        <f t="shared" si="53"/>
        <v>501.79800000000012</v>
      </c>
      <c r="J28" s="1524">
        <f t="shared" si="53"/>
        <v>680.99700000000018</v>
      </c>
      <c r="K28" s="1524">
        <f t="shared" si="53"/>
        <v>771.83199999999988</v>
      </c>
      <c r="L28" s="1524">
        <f t="shared" si="53"/>
        <v>2181.8680000000004</v>
      </c>
      <c r="M28" s="1524">
        <f t="shared" si="53"/>
        <v>2434.7360000000003</v>
      </c>
      <c r="N28" s="1524">
        <f t="shared" si="53"/>
        <v>3038.1500000000005</v>
      </c>
      <c r="O28" s="1524">
        <f t="shared" si="53"/>
        <v>4437.8040000000001</v>
      </c>
      <c r="P28" s="1524">
        <f t="shared" si="53"/>
        <v>5759.8289999999997</v>
      </c>
      <c r="Q28" s="1524">
        <f t="shared" si="53"/>
        <v>6135.7969999999996</v>
      </c>
      <c r="R28" s="1524">
        <f t="shared" si="53"/>
        <v>7492.3589999999986</v>
      </c>
      <c r="S28" s="1524">
        <f t="shared" si="53"/>
        <v>7817.4329999999991</v>
      </c>
      <c r="T28" s="1524">
        <f t="shared" si="53"/>
        <v>10356.695</v>
      </c>
      <c r="U28" s="1524">
        <f t="shared" si="53"/>
        <v>12608.370999999999</v>
      </c>
      <c r="V28" s="1524">
        <f>SUM(V20:V27)+SUM(V15:V17)</f>
        <v>18696.058000000005</v>
      </c>
      <c r="W28" s="1524">
        <f ca="1">SUM(W20:W27)+SUM(W15:W17)</f>
        <v>18724.645191307762</v>
      </c>
      <c r="X28" s="1524">
        <f t="shared" ca="1" si="53"/>
        <v>19373.67128162918</v>
      </c>
      <c r="Y28" s="1524">
        <f t="shared" ca="1" si="53"/>
        <v>20093.999875888556</v>
      </c>
      <c r="Z28" s="1524">
        <f t="shared" ca="1" si="53"/>
        <v>20847.508380781102</v>
      </c>
      <c r="AA28" s="1524">
        <f t="shared" ref="AA28:AD28" ca="1" si="54">SUM(AA20:AA27)+SUM(AA15:AA17)</f>
        <v>21258.673513161215</v>
      </c>
      <c r="AB28" s="1524">
        <f t="shared" ca="1" si="54"/>
        <v>22201.586379547618</v>
      </c>
      <c r="AC28" s="1524">
        <f t="shared" ca="1" si="54"/>
        <v>23521.573235277283</v>
      </c>
      <c r="AD28" s="1524">
        <f t="shared" ca="1" si="54"/>
        <v>24947.237211760956</v>
      </c>
      <c r="AE28" s="1483"/>
      <c r="AF28" s="1524"/>
      <c r="AG28" s="1524">
        <f>AG15+SUM(AG17:AG27)</f>
        <v>450.47199999999998</v>
      </c>
      <c r="AH28" s="1524">
        <f>AH15+SUM(AH17:AH27)</f>
        <v>700.70800000000008</v>
      </c>
      <c r="AI28" s="1524">
        <f>AI15+SUM(AI17:AI27)</f>
        <v>683.48500000000001</v>
      </c>
      <c r="AJ28" s="1524">
        <f t="shared" ref="AJ28:BO28" si="55">SUM(AJ20:AJ27)+SUM(AJ15:AJ17)</f>
        <v>747.83400000000006</v>
      </c>
      <c r="AK28" s="1524">
        <f t="shared" si="55"/>
        <v>708.78800000000001</v>
      </c>
      <c r="AL28" s="1524">
        <f t="shared" si="55"/>
        <v>648.73899999999992</v>
      </c>
      <c r="AM28" s="1524">
        <f t="shared" si="55"/>
        <v>575.05400000000009</v>
      </c>
      <c r="AN28" s="1524">
        <f t="shared" si="55"/>
        <v>531.68700000000001</v>
      </c>
      <c r="AO28" s="1524">
        <f t="shared" si="55"/>
        <v>470.35599999999999</v>
      </c>
      <c r="AP28" s="1524">
        <f t="shared" si="55"/>
        <v>428.31800000000004</v>
      </c>
      <c r="AQ28" s="1524">
        <f t="shared" si="55"/>
        <v>492.00299999999999</v>
      </c>
      <c r="AR28" s="1524">
        <f t="shared" si="55"/>
        <v>451.4860000000001</v>
      </c>
      <c r="AS28" s="1524">
        <f t="shared" si="55"/>
        <v>437.39799999999997</v>
      </c>
      <c r="AT28" s="1524">
        <f t="shared" si="55"/>
        <v>424.38599999999997</v>
      </c>
      <c r="AU28" s="1524">
        <f t="shared" si="55"/>
        <v>464.53200000000004</v>
      </c>
      <c r="AV28" s="1524">
        <f t="shared" si="55"/>
        <v>467.173</v>
      </c>
      <c r="AW28" s="1524">
        <f t="shared" si="55"/>
        <v>464.68400000000008</v>
      </c>
      <c r="AX28" s="1524">
        <f t="shared" si="55"/>
        <v>467.54199999999992</v>
      </c>
      <c r="AY28" s="1524">
        <f t="shared" si="55"/>
        <v>501.798</v>
      </c>
      <c r="AZ28" s="1524">
        <f t="shared" si="55"/>
        <v>518.04600000000005</v>
      </c>
      <c r="BA28" s="1524">
        <f t="shared" si="55"/>
        <v>526.9849999999999</v>
      </c>
      <c r="BB28" s="1524">
        <f t="shared" si="55"/>
        <v>533.38000000000011</v>
      </c>
      <c r="BC28" s="1524">
        <f t="shared" si="55"/>
        <v>680.99700000000018</v>
      </c>
      <c r="BD28" s="1524">
        <f t="shared" si="55"/>
        <v>669.41600000000017</v>
      </c>
      <c r="BE28" s="1524">
        <f t="shared" si="55"/>
        <v>683.17300000000012</v>
      </c>
      <c r="BF28" s="1524">
        <f t="shared" si="55"/>
        <v>730.61999999999989</v>
      </c>
      <c r="BG28" s="1524">
        <f t="shared" si="55"/>
        <v>771.83199999999988</v>
      </c>
      <c r="BH28" s="1524">
        <f t="shared" si="55"/>
        <v>1073.6820000000002</v>
      </c>
      <c r="BI28" s="1524">
        <f t="shared" si="55"/>
        <v>1175.4510000000002</v>
      </c>
      <c r="BJ28" s="1524">
        <f t="shared" si="55"/>
        <v>2130.5660000000003</v>
      </c>
      <c r="BK28" s="1524">
        <f t="shared" si="55"/>
        <v>2181.8680000000004</v>
      </c>
      <c r="BL28" s="1524">
        <f t="shared" si="55"/>
        <v>2286.7870000000003</v>
      </c>
      <c r="BM28" s="1524">
        <f t="shared" si="55"/>
        <v>2330.982</v>
      </c>
      <c r="BN28" s="1524">
        <f t="shared" si="55"/>
        <v>2291.9349999999999</v>
      </c>
      <c r="BO28" s="1524">
        <f t="shared" si="55"/>
        <v>2434.7360000000003</v>
      </c>
      <c r="BP28" s="1524">
        <f t="shared" ref="BP28:CQ28" si="56">SUM(BP20:BP27)+SUM(BP15:BP17)</f>
        <v>2416.9890000000005</v>
      </c>
      <c r="BQ28" s="1524">
        <f t="shared" si="56"/>
        <v>2843.3650000000002</v>
      </c>
      <c r="BR28" s="1524">
        <f t="shared" si="56"/>
        <v>2962.5780000000004</v>
      </c>
      <c r="BS28" s="1524">
        <f t="shared" si="56"/>
        <v>3038.15</v>
      </c>
      <c r="BT28" s="1524">
        <f t="shared" si="56"/>
        <v>3667.768</v>
      </c>
      <c r="BU28" s="1524">
        <f t="shared" si="56"/>
        <v>4279.8760000000002</v>
      </c>
      <c r="BV28" s="1524">
        <f t="shared" si="56"/>
        <v>4474.8060000000005</v>
      </c>
      <c r="BW28" s="1524">
        <f t="shared" si="56"/>
        <v>4437.8039999999992</v>
      </c>
      <c r="BX28" s="1524">
        <f t="shared" si="56"/>
        <v>4638.4720000000007</v>
      </c>
      <c r="BY28" s="1524">
        <f t="shared" si="56"/>
        <v>4951.2920000000004</v>
      </c>
      <c r="BZ28" s="1524">
        <f t="shared" si="56"/>
        <v>5708.9520000000002</v>
      </c>
      <c r="CA28" s="1524">
        <f t="shared" si="56"/>
        <v>5759.8289999999997</v>
      </c>
      <c r="CB28" s="1524">
        <f t="shared" si="56"/>
        <v>5852.523000000001</v>
      </c>
      <c r="CC28" s="1524">
        <f t="shared" si="56"/>
        <v>5692.0259999999998</v>
      </c>
      <c r="CD28" s="1524">
        <f t="shared" si="56"/>
        <v>5985.6859999999997</v>
      </c>
      <c r="CE28" s="1524">
        <f t="shared" si="56"/>
        <v>6135.7969999999996</v>
      </c>
      <c r="CF28" s="1524">
        <f t="shared" si="56"/>
        <v>7611.0990000000011</v>
      </c>
      <c r="CG28" s="1524">
        <f t="shared" si="56"/>
        <v>7078.9290000000001</v>
      </c>
      <c r="CH28" s="1524">
        <f t="shared" si="56"/>
        <v>7385.8370000000014</v>
      </c>
      <c r="CI28" s="1524">
        <f t="shared" si="56"/>
        <v>7492.3589999999995</v>
      </c>
      <c r="CJ28" s="1524">
        <f t="shared" si="56"/>
        <v>7730.598</v>
      </c>
      <c r="CK28" s="1524">
        <f t="shared" si="56"/>
        <v>7601.8170000000009</v>
      </c>
      <c r="CL28" s="1524">
        <f t="shared" si="56"/>
        <v>7462.0000000000009</v>
      </c>
      <c r="CM28" s="1524">
        <f t="shared" si="56"/>
        <v>7817.4330000000009</v>
      </c>
      <c r="CN28" s="1524">
        <f t="shared" si="56"/>
        <v>7727.6940000000004</v>
      </c>
      <c r="CO28" s="1524">
        <f t="shared" si="56"/>
        <v>7826.0180000000009</v>
      </c>
      <c r="CP28" s="1524">
        <f t="shared" si="56"/>
        <v>7705.6659999999993</v>
      </c>
      <c r="CQ28" s="1524">
        <f t="shared" si="56"/>
        <v>10356.695</v>
      </c>
      <c r="CR28" s="1524">
        <f t="shared" ref="CR28:CU28" si="57">SUM(CR20:CR27)+SUM(CR15:CR17)</f>
        <v>13495.835000000001</v>
      </c>
      <c r="CS28" s="1524">
        <f t="shared" si="57"/>
        <v>13269.045</v>
      </c>
      <c r="CT28" s="1524">
        <f t="shared" si="57"/>
        <v>13097.557000000001</v>
      </c>
      <c r="CU28" s="1524">
        <f t="shared" si="57"/>
        <v>12608.370999999999</v>
      </c>
      <c r="CV28" s="1524">
        <f>SUM(CV20:CV27)+SUM(CV15:CV17)</f>
        <v>17184.684000000001</v>
      </c>
      <c r="CW28" s="1524">
        <f>SUM(CW20:CW27)+SUM(CW15:CW17)</f>
        <v>17473.936999999998</v>
      </c>
      <c r="CX28" s="1524">
        <f>SUM(CX20:CX27)+SUM(CX15:CX17)</f>
        <v>18308.495999999999</v>
      </c>
      <c r="CY28" s="1524">
        <f>SUM(CY20:CY27)+SUM(CY15:CY17)</f>
        <v>18696.058000000001</v>
      </c>
      <c r="CZ28" s="1524">
        <f t="shared" ref="CZ28:DC28" ca="1" si="58">SUM(CZ20:CZ27)+SUM(CZ15:CZ17)</f>
        <v>18647.467787097805</v>
      </c>
      <c r="DA28" s="1524">
        <f t="shared" ca="1" si="58"/>
        <v>18654.45529543098</v>
      </c>
      <c r="DB28" s="1524">
        <f t="shared" ca="1" si="58"/>
        <v>18682.983758675651</v>
      </c>
      <c r="DC28" s="1524">
        <f t="shared" ca="1" si="58"/>
        <v>18724.645191307762</v>
      </c>
      <c r="DE28" s="2087"/>
      <c r="DG28"/>
    </row>
    <row r="29" spans="2:111" ht="13.5" thickTop="1">
      <c r="B29" s="1483"/>
      <c r="C29" s="1483"/>
      <c r="D29" s="1483"/>
      <c r="E29" s="1483"/>
      <c r="F29" s="1483"/>
      <c r="G29" s="1483"/>
      <c r="H29" s="1483"/>
      <c r="I29" s="1483"/>
      <c r="J29" s="1483"/>
      <c r="K29" s="1483"/>
      <c r="L29" s="1483"/>
      <c r="M29" s="1483"/>
      <c r="N29" s="1483"/>
      <c r="O29" s="1483"/>
      <c r="P29" s="1483"/>
      <c r="Q29" s="1483"/>
      <c r="R29" s="1483"/>
      <c r="S29" s="1483"/>
      <c r="T29" s="1483"/>
      <c r="U29" s="1483"/>
      <c r="V29" s="1483"/>
      <c r="W29" s="1483"/>
      <c r="X29" s="1491"/>
      <c r="Y29" s="1491"/>
      <c r="Z29" s="1491"/>
      <c r="AA29" s="1491"/>
      <c r="AB29" s="1491"/>
      <c r="AC29" s="1491"/>
      <c r="AD29" s="1491"/>
      <c r="AE29" s="1483"/>
      <c r="AF29" s="1483"/>
      <c r="AG29" s="1483"/>
      <c r="AH29" s="1483"/>
      <c r="AI29" s="1483"/>
      <c r="AJ29" s="1483"/>
      <c r="AK29" s="1483"/>
      <c r="AL29" s="1483"/>
      <c r="AM29" s="1483"/>
      <c r="AN29" s="1483"/>
      <c r="AO29" s="1483"/>
      <c r="AP29" s="1483"/>
      <c r="AQ29" s="1483"/>
      <c r="AR29" s="1483"/>
      <c r="AS29" s="1483"/>
      <c r="AT29" s="1483"/>
      <c r="AU29" s="1483"/>
      <c r="AV29" s="1483"/>
      <c r="AW29" s="1483"/>
      <c r="AX29" s="1483"/>
      <c r="AY29" s="1483"/>
      <c r="AZ29" s="1483"/>
      <c r="BA29" s="1483"/>
      <c r="BB29" s="1483"/>
      <c r="BC29" s="1483"/>
      <c r="BD29" s="1483"/>
      <c r="BE29" s="1483"/>
      <c r="BF29" s="1483"/>
      <c r="BG29" s="1483"/>
      <c r="BH29" s="1483"/>
      <c r="BI29" s="1483"/>
      <c r="BJ29" s="1483"/>
      <c r="BK29" s="1483"/>
      <c r="BL29" s="1483"/>
      <c r="BM29" s="1483"/>
      <c r="BN29" s="1483"/>
      <c r="BO29" s="1483"/>
      <c r="BP29" s="1483"/>
      <c r="BQ29" s="1483"/>
      <c r="BR29" s="1483"/>
      <c r="BS29" s="1483"/>
      <c r="BT29" s="1483"/>
      <c r="BU29" s="1483"/>
      <c r="BV29" s="1483"/>
      <c r="BW29" s="1483"/>
      <c r="BX29" s="1483"/>
      <c r="BY29" s="1483"/>
      <c r="BZ29" s="1483"/>
      <c r="CA29" s="1483"/>
      <c r="CB29" s="1483"/>
      <c r="CC29" s="1483"/>
      <c r="CD29" s="1483"/>
      <c r="CE29" s="1483"/>
      <c r="CF29" s="1483"/>
      <c r="CG29" s="1483"/>
      <c r="CH29" s="1483"/>
      <c r="CI29" s="1483"/>
      <c r="CJ29" s="1483"/>
      <c r="CK29" s="1483"/>
      <c r="CL29" s="1483"/>
      <c r="CM29" s="1483"/>
      <c r="CN29" s="1483"/>
      <c r="CO29" s="1483"/>
      <c r="CP29" s="1483"/>
      <c r="CQ29" s="1483"/>
      <c r="CR29" s="1483"/>
      <c r="CS29" s="1483"/>
      <c r="CT29" s="1483"/>
      <c r="CU29" s="1483"/>
      <c r="CV29" s="1483"/>
      <c r="CW29" s="1483"/>
      <c r="CX29" s="1483"/>
      <c r="CY29" s="1483"/>
      <c r="CZ29" s="1483"/>
      <c r="DA29" s="1483"/>
      <c r="DB29" s="1483"/>
      <c r="DC29" s="1483"/>
      <c r="DE29" s="2087"/>
      <c r="DG29"/>
    </row>
    <row r="30" spans="2:111">
      <c r="B30" s="1494" t="s">
        <v>1062</v>
      </c>
      <c r="C30" s="1483"/>
      <c r="D30" s="1490"/>
      <c r="E30" s="1490"/>
      <c r="F30" s="1490"/>
      <c r="G30" s="1490"/>
      <c r="H30" s="1490"/>
      <c r="I30" s="1490"/>
      <c r="J30" s="1490"/>
      <c r="K30" s="1490"/>
      <c r="L30" s="1490"/>
      <c r="M30" s="1483"/>
      <c r="N30" s="1483"/>
      <c r="O30" s="1483"/>
      <c r="P30" s="1483"/>
      <c r="Q30" s="1483"/>
      <c r="R30" s="1483"/>
      <c r="S30" s="1483"/>
      <c r="T30" s="1483"/>
      <c r="U30" s="1483"/>
      <c r="V30" s="1483"/>
      <c r="W30" s="1483"/>
      <c r="X30" s="1491"/>
      <c r="Y30" s="1491"/>
      <c r="Z30" s="1491"/>
      <c r="AA30" s="1491"/>
      <c r="AB30" s="1491"/>
      <c r="AC30" s="1491"/>
      <c r="AD30" s="1491"/>
      <c r="AE30" s="1483"/>
      <c r="AF30" s="1483"/>
      <c r="AG30" s="1483"/>
      <c r="AH30" s="1483"/>
      <c r="AI30" s="1483"/>
      <c r="AJ30" s="1483"/>
      <c r="AK30" s="1483"/>
      <c r="AL30" s="1483"/>
      <c r="AM30" s="1483"/>
      <c r="AN30" s="1483"/>
      <c r="AO30" s="1483"/>
      <c r="AP30" s="1483"/>
      <c r="AQ30" s="1483"/>
      <c r="AR30" s="1483"/>
      <c r="AS30" s="1483"/>
      <c r="AT30" s="1483"/>
      <c r="AU30" s="1483"/>
      <c r="AV30" s="1483"/>
      <c r="AW30" s="1483"/>
      <c r="AX30" s="1483"/>
      <c r="AY30" s="1483"/>
      <c r="AZ30" s="1483"/>
      <c r="BA30" s="1483"/>
      <c r="BB30" s="1483"/>
      <c r="BC30" s="1483"/>
      <c r="BD30" s="1483"/>
      <c r="BE30" s="1483"/>
      <c r="BF30" s="1483"/>
      <c r="BG30" s="1483"/>
      <c r="BH30" s="1483"/>
      <c r="BI30" s="1483"/>
      <c r="BJ30" s="1483"/>
      <c r="BK30" s="1483"/>
      <c r="BL30" s="1483"/>
      <c r="BM30" s="1483"/>
      <c r="BN30" s="1483"/>
      <c r="BO30" s="1483"/>
      <c r="BP30" s="1483"/>
      <c r="BQ30" s="1483"/>
      <c r="BR30" s="1483"/>
      <c r="BS30" s="1483"/>
      <c r="BT30" s="1483"/>
      <c r="BU30" s="1483"/>
      <c r="BV30" s="1483"/>
      <c r="BW30" s="1483"/>
      <c r="BX30" s="1483"/>
      <c r="BY30" s="1483"/>
      <c r="BZ30" s="1483"/>
      <c r="CA30" s="1483"/>
      <c r="CB30" s="1483"/>
      <c r="CC30" s="1483"/>
      <c r="CD30" s="1483"/>
      <c r="CE30" s="1483"/>
      <c r="CF30" s="1483"/>
      <c r="CG30" s="1483"/>
      <c r="CH30" s="1483"/>
      <c r="CI30" s="1483"/>
      <c r="CJ30" s="1483"/>
      <c r="CK30" s="1483"/>
      <c r="CL30" s="1483"/>
      <c r="CM30" s="1483"/>
      <c r="CN30" s="1483"/>
      <c r="CO30" s="1483"/>
      <c r="CP30" s="1483"/>
      <c r="CQ30" s="1483"/>
      <c r="CR30" s="1483"/>
      <c r="CS30" s="1483"/>
      <c r="CT30" s="1483"/>
      <c r="CU30" s="1483"/>
      <c r="CV30" s="1483"/>
      <c r="CW30" s="1483"/>
      <c r="CX30" s="1483"/>
      <c r="CY30" s="1483"/>
      <c r="CZ30" s="1483"/>
      <c r="DA30" s="1483"/>
      <c r="DB30" s="1483"/>
      <c r="DC30" s="1483"/>
      <c r="DE30" s="2087"/>
      <c r="DG30"/>
    </row>
    <row r="31" spans="2:111" hidden="1" outlineLevel="1">
      <c r="B31" s="1514" t="s">
        <v>1156</v>
      </c>
      <c r="C31" s="1483"/>
      <c r="D31" s="1484"/>
      <c r="E31" s="1484">
        <f>AI31</f>
        <v>8.27</v>
      </c>
      <c r="F31" s="1484">
        <f>AM31</f>
        <v>4.242</v>
      </c>
      <c r="G31" s="1484">
        <f>AQ31</f>
        <v>7.2430000000000003</v>
      </c>
      <c r="H31" s="1484">
        <f>AU31</f>
        <v>3.8330000000000002</v>
      </c>
      <c r="I31" s="1484">
        <f>AY31</f>
        <v>2.835</v>
      </c>
      <c r="J31" s="1484">
        <f>BC31</f>
        <v>3.3370000000000002</v>
      </c>
      <c r="K31" s="1484">
        <f>BG31</f>
        <v>4.5149999999999997</v>
      </c>
      <c r="L31" s="1484">
        <f>BK31</f>
        <v>14.816000000000001</v>
      </c>
      <c r="M31" s="1483">
        <f>BO31</f>
        <v>74.316999999999993</v>
      </c>
      <c r="N31" s="1483">
        <f>BS31</f>
        <v>99.052999999999997</v>
      </c>
      <c r="O31" s="1483">
        <f>BW31</f>
        <v>145.85400000000001</v>
      </c>
      <c r="P31" s="1483">
        <f>CA31</f>
        <v>229.04300000000001</v>
      </c>
      <c r="Q31" s="1483">
        <f t="shared" ref="Q31:W31" si="59">CE31</f>
        <v>268.85300000000001</v>
      </c>
      <c r="R31" s="1483">
        <f t="shared" si="59"/>
        <v>248.39500000000001</v>
      </c>
      <c r="S31" s="1483">
        <f t="shared" si="59"/>
        <v>258.02699999999999</v>
      </c>
      <c r="T31" s="1483">
        <f t="shared" si="59"/>
        <v>299.13499999999999</v>
      </c>
      <c r="U31" s="1483">
        <f t="shared" si="59"/>
        <v>263.22300000000001</v>
      </c>
      <c r="V31" s="1483">
        <f t="shared" si="59"/>
        <v>293.29500000000002</v>
      </c>
      <c r="W31" s="1483">
        <f t="shared" si="59"/>
        <v>224.10900000000001</v>
      </c>
      <c r="X31" s="1491">
        <f ca="1">X107/360*X109</f>
        <v>798.76643039491955</v>
      </c>
      <c r="Y31" s="1491">
        <f ca="1">Y107/360*Y109</f>
        <v>859.5676329044129</v>
      </c>
      <c r="Z31" s="1491">
        <f ca="1">Z107/360*Z109</f>
        <v>916.40095693251737</v>
      </c>
      <c r="AA31" s="1491">
        <f t="shared" ref="AA31:AD31" ca="1" si="60">AA107/360*AA109</f>
        <v>972.65040650085803</v>
      </c>
      <c r="AB31" s="1491">
        <f t="shared" ca="1" si="60"/>
        <v>1028.2768731497729</v>
      </c>
      <c r="AC31" s="1491">
        <f t="shared" ca="1" si="60"/>
        <v>1083.2501094605655</v>
      </c>
      <c r="AD31" s="1491">
        <f t="shared" ca="1" si="60"/>
        <v>1137.5459446175382</v>
      </c>
      <c r="AE31" s="1483"/>
      <c r="AF31" s="1515"/>
      <c r="AG31" s="1484">
        <v>8.8379999999999992</v>
      </c>
      <c r="AH31" s="1484">
        <v>10.287000000000001</v>
      </c>
      <c r="AI31" s="1484">
        <v>8.27</v>
      </c>
      <c r="AJ31" s="1484">
        <v>12.451000000000001</v>
      </c>
      <c r="AK31" s="1484">
        <v>16.236000000000001</v>
      </c>
      <c r="AL31" s="1484">
        <v>20.814</v>
      </c>
      <c r="AM31" s="1484">
        <v>4.242</v>
      </c>
      <c r="AN31" s="1484">
        <v>18.869</v>
      </c>
      <c r="AO31" s="1484">
        <v>11.247</v>
      </c>
      <c r="AP31" s="1484">
        <v>9.8620000000000001</v>
      </c>
      <c r="AQ31" s="1484">
        <v>7.2430000000000003</v>
      </c>
      <c r="AR31" s="1484">
        <v>13.936999999999999</v>
      </c>
      <c r="AS31" s="1484">
        <v>12.901</v>
      </c>
      <c r="AT31" s="1484">
        <v>4.3710000000000004</v>
      </c>
      <c r="AU31" s="1484">
        <v>3.8330000000000002</v>
      </c>
      <c r="AV31" s="1484">
        <v>18.416</v>
      </c>
      <c r="AW31" s="1484">
        <v>17.895</v>
      </c>
      <c r="AX31" s="1484">
        <v>21.573</v>
      </c>
      <c r="AY31" s="1484">
        <v>2.835</v>
      </c>
      <c r="AZ31" s="1484">
        <v>3.8170000000000002</v>
      </c>
      <c r="BA31" s="1484">
        <v>4.3479999999999999</v>
      </c>
      <c r="BB31" s="1484">
        <v>3.274</v>
      </c>
      <c r="BC31" s="1484">
        <v>3.3370000000000002</v>
      </c>
      <c r="BD31" s="1484">
        <v>2.7989999999999999</v>
      </c>
      <c r="BE31" s="1484">
        <v>3.411</v>
      </c>
      <c r="BF31" s="1484">
        <v>2.42</v>
      </c>
      <c r="BG31" s="1484">
        <v>4.5149999999999997</v>
      </c>
      <c r="BH31" s="1484">
        <v>3.2330000000000001</v>
      </c>
      <c r="BI31" s="1484">
        <v>4.22</v>
      </c>
      <c r="BJ31" s="1484">
        <v>18.992000000000001</v>
      </c>
      <c r="BK31" s="1484">
        <v>14.816000000000001</v>
      </c>
      <c r="BL31" s="1484">
        <v>17.356999999999999</v>
      </c>
      <c r="BM31" s="1484">
        <v>17.84</v>
      </c>
      <c r="BN31" s="1484">
        <v>71.233999999999995</v>
      </c>
      <c r="BO31" s="1484">
        <v>74.316999999999993</v>
      </c>
      <c r="BP31" s="1484">
        <v>78.986999999999995</v>
      </c>
      <c r="BQ31" s="1484">
        <v>88.453999999999994</v>
      </c>
      <c r="BR31" s="1484">
        <v>104.288</v>
      </c>
      <c r="BS31" s="1484">
        <v>99.052999999999997</v>
      </c>
      <c r="BT31" s="1483">
        <f t="shared" ref="BT31:CP31" si="61">+BT33</f>
        <v>113.018</v>
      </c>
      <c r="BU31" s="1483">
        <f t="shared" si="61"/>
        <v>138.72499999999999</v>
      </c>
      <c r="BV31" s="1483">
        <f t="shared" si="61"/>
        <v>134.09100000000001</v>
      </c>
      <c r="BW31" s="1483">
        <f t="shared" si="61"/>
        <v>145.85400000000001</v>
      </c>
      <c r="BX31" s="1483">
        <f t="shared" si="61"/>
        <v>133.536</v>
      </c>
      <c r="BY31" s="1483">
        <f t="shared" si="61"/>
        <v>189.739</v>
      </c>
      <c r="BZ31" s="1483">
        <f t="shared" si="61"/>
        <v>181.09299999999999</v>
      </c>
      <c r="CA31" s="1483">
        <f t="shared" si="61"/>
        <v>229.04300000000001</v>
      </c>
      <c r="CB31" s="1483">
        <f t="shared" si="61"/>
        <v>194.51599999999999</v>
      </c>
      <c r="CC31" s="1483">
        <f t="shared" si="61"/>
        <v>224.989</v>
      </c>
      <c r="CD31" s="1483">
        <f t="shared" si="61"/>
        <v>244.71199999999999</v>
      </c>
      <c r="CE31" s="1483">
        <f t="shared" si="61"/>
        <v>268.85300000000001</v>
      </c>
      <c r="CF31" s="1483">
        <f t="shared" si="61"/>
        <v>248.39500000000001</v>
      </c>
      <c r="CG31" s="1483">
        <f t="shared" si="61"/>
        <v>258.02699999999999</v>
      </c>
      <c r="CH31" s="1483">
        <f t="shared" si="61"/>
        <v>299.13499999999999</v>
      </c>
      <c r="CI31" s="1483">
        <f t="shared" si="61"/>
        <v>263.22300000000001</v>
      </c>
      <c r="CJ31" s="1483">
        <f t="shared" si="61"/>
        <v>293.29500000000002</v>
      </c>
      <c r="CK31" s="1483">
        <f t="shared" si="61"/>
        <v>224.10900000000001</v>
      </c>
      <c r="CL31" s="1483">
        <f t="shared" si="61"/>
        <v>303.66899999999998</v>
      </c>
      <c r="CM31" s="1483">
        <f t="shared" si="61"/>
        <v>285.79599999999999</v>
      </c>
      <c r="CN31" s="1483">
        <f t="shared" si="61"/>
        <v>321.94200000000001</v>
      </c>
      <c r="CO31" s="1483">
        <f t="shared" si="61"/>
        <v>315.55399999999997</v>
      </c>
      <c r="CP31" s="1483">
        <f t="shared" si="61"/>
        <v>340.36599999999999</v>
      </c>
      <c r="CQ31" s="1483">
        <f t="shared" ref="CQ31:CV31" si="62">+CQ33</f>
        <v>402.77600000000001</v>
      </c>
      <c r="CR31" s="1483">
        <f t="shared" si="62"/>
        <v>475.34300000000002</v>
      </c>
      <c r="CS31" s="1483">
        <f t="shared" si="62"/>
        <v>498.21199999999999</v>
      </c>
      <c r="CT31" s="1483">
        <f t="shared" si="62"/>
        <v>534.60199999999998</v>
      </c>
      <c r="CU31" s="1483">
        <f t="shared" si="62"/>
        <v>581.73900000000003</v>
      </c>
      <c r="CV31" s="1483">
        <f t="shared" si="62"/>
        <v>515.95899999999995</v>
      </c>
      <c r="CW31" s="1483">
        <f t="shared" ref="CW31:CX31" si="63">+CW33</f>
        <v>612.59299999999996</v>
      </c>
      <c r="CX31" s="1483">
        <f t="shared" si="63"/>
        <v>657.22900000000004</v>
      </c>
      <c r="CY31" s="1483">
        <f t="shared" ref="CY31" si="64">+CY33</f>
        <v>719.25699999999995</v>
      </c>
      <c r="CZ31" s="1483">
        <f t="shared" ref="CZ31:DC31" ca="1" si="65">CZ107/90*CZ109</f>
        <v>708.21998290687168</v>
      </c>
      <c r="DA31" s="1483">
        <f t="shared" ca="1" si="65"/>
        <v>722.51846983659959</v>
      </c>
      <c r="DB31" s="1483">
        <f t="shared" ca="1" si="65"/>
        <v>742.22625346471091</v>
      </c>
      <c r="DC31" s="1483">
        <f t="shared" ca="1" si="65"/>
        <v>762.97252090500365</v>
      </c>
      <c r="DE31" s="2087"/>
      <c r="DG31"/>
    </row>
    <row r="32" spans="2:111" hidden="1" outlineLevel="1">
      <c r="B32" s="1514" t="s">
        <v>1155</v>
      </c>
      <c r="C32" s="1483"/>
      <c r="D32" s="1484"/>
      <c r="E32" s="1484">
        <f>AI32</f>
        <v>5.447000000000001</v>
      </c>
      <c r="F32" s="1484">
        <f>AM32</f>
        <v>6.8669999999999982</v>
      </c>
      <c r="G32" s="1484">
        <f>AQ32</f>
        <v>13.104000000000001</v>
      </c>
      <c r="H32" s="1484">
        <f>AU32</f>
        <v>14.218999999999999</v>
      </c>
      <c r="I32" s="1484">
        <f>AY32</f>
        <v>18.192999999999998</v>
      </c>
      <c r="J32" s="1484">
        <f>BC32</f>
        <v>19.22</v>
      </c>
      <c r="K32" s="1484">
        <f>BG32</f>
        <v>22.753999999999998</v>
      </c>
      <c r="L32" s="1484">
        <f>BK32</f>
        <v>50.28</v>
      </c>
      <c r="M32" s="1483">
        <f>BO32</f>
        <v>0</v>
      </c>
      <c r="N32" s="1483"/>
      <c r="O32" s="1483"/>
      <c r="P32" s="1483"/>
      <c r="Q32" s="1483"/>
      <c r="R32" s="1483"/>
      <c r="S32" s="1483"/>
      <c r="T32" s="1483"/>
      <c r="U32" s="1483"/>
      <c r="V32" s="1483"/>
      <c r="W32" s="1483"/>
      <c r="X32" s="1491"/>
      <c r="Y32" s="1491"/>
      <c r="Z32" s="1491"/>
      <c r="AA32" s="1491"/>
      <c r="AB32" s="1491"/>
      <c r="AC32" s="1491"/>
      <c r="AD32" s="1491"/>
      <c r="AE32" s="1483"/>
      <c r="AF32" s="1515"/>
      <c r="AG32" s="1484"/>
      <c r="AH32" s="1484"/>
      <c r="AI32" s="1484">
        <f>13.717-AI31</f>
        <v>5.447000000000001</v>
      </c>
      <c r="AJ32" s="1484"/>
      <c r="AK32" s="1484"/>
      <c r="AL32" s="1484"/>
      <c r="AM32" s="1484">
        <f>17.499-AM31-AM34</f>
        <v>6.8669999999999982</v>
      </c>
      <c r="AN32" s="1484"/>
      <c r="AO32" s="1484"/>
      <c r="AP32" s="1484"/>
      <c r="AQ32" s="1484">
        <f>20.347-AQ31</f>
        <v>13.104000000000001</v>
      </c>
      <c r="AR32" s="1484"/>
      <c r="AS32" s="1484"/>
      <c r="AT32" s="1484">
        <v>10.234999999999999</v>
      </c>
      <c r="AU32" s="1484">
        <f>18.052-AU31</f>
        <v>14.218999999999999</v>
      </c>
      <c r="AV32" s="1484"/>
      <c r="AW32" s="1484"/>
      <c r="AX32" s="1484"/>
      <c r="AY32" s="1484">
        <f>21.028-AY31</f>
        <v>18.192999999999998</v>
      </c>
      <c r="AZ32" s="1484">
        <f>20.474-AZ31</f>
        <v>16.657</v>
      </c>
      <c r="BA32" s="1484">
        <f>26.492-BA31</f>
        <v>22.144000000000002</v>
      </c>
      <c r="BB32" s="1484">
        <f>22.567-BB31</f>
        <v>19.292999999999999</v>
      </c>
      <c r="BC32" s="1484">
        <f>22.557-BC31</f>
        <v>19.22</v>
      </c>
      <c r="BD32" s="1484">
        <f>21.185-BD31</f>
        <v>18.385999999999999</v>
      </c>
      <c r="BE32" s="1484">
        <f>23.582-BE31</f>
        <v>20.170999999999999</v>
      </c>
      <c r="BF32" s="1484">
        <f>23.007-BF31</f>
        <v>20.587000000000003</v>
      </c>
      <c r="BG32" s="1484">
        <f>27.269-BG31</f>
        <v>22.753999999999998</v>
      </c>
      <c r="BH32" s="1484">
        <f>24.612-BH31</f>
        <v>21.378999999999998</v>
      </c>
      <c r="BI32" s="1484">
        <f>35.425-BI31</f>
        <v>31.204999999999998</v>
      </c>
      <c r="BJ32" s="1484">
        <f>94.339-BJ31</f>
        <v>75.346999999999994</v>
      </c>
      <c r="BK32" s="1484">
        <f>65.096-BK31</f>
        <v>50.28</v>
      </c>
      <c r="BL32" s="1484">
        <v>52.872999999999998</v>
      </c>
      <c r="BM32" s="1484">
        <f>74.722-BM31</f>
        <v>56.881999999999991</v>
      </c>
      <c r="BN32" s="1484"/>
      <c r="BO32" s="1484"/>
      <c r="BP32" s="1484"/>
      <c r="BQ32" s="1483"/>
      <c r="BR32" s="1483"/>
      <c r="BS32" s="1483"/>
      <c r="BT32" s="1483"/>
      <c r="BU32" s="1483"/>
      <c r="BV32" s="1483"/>
      <c r="BW32" s="1483"/>
      <c r="BX32" s="1483"/>
      <c r="BY32" s="1483"/>
      <c r="BZ32" s="1483"/>
      <c r="CA32" s="1483"/>
      <c r="CB32" s="1483"/>
      <c r="CC32" s="1483"/>
      <c r="CD32" s="1483"/>
      <c r="CE32" s="1483"/>
      <c r="CF32" s="1483"/>
      <c r="CG32" s="1483"/>
      <c r="CH32" s="1483"/>
      <c r="CI32" s="1483"/>
      <c r="CJ32" s="1483"/>
      <c r="CK32" s="1483"/>
      <c r="CL32" s="1483"/>
      <c r="CM32" s="1483"/>
      <c r="CN32" s="1483"/>
      <c r="CO32" s="1483"/>
      <c r="CP32" s="1483"/>
      <c r="CQ32" s="1483"/>
      <c r="CR32" s="1483"/>
      <c r="CS32" s="1483"/>
      <c r="CT32" s="1483"/>
      <c r="CU32" s="1483"/>
      <c r="CV32" s="1483"/>
      <c r="CW32" s="1483"/>
      <c r="CX32" s="1483"/>
      <c r="CY32" s="1483"/>
      <c r="CZ32" s="1483"/>
      <c r="DA32" s="1483"/>
      <c r="DB32" s="1483"/>
      <c r="DC32" s="1483"/>
      <c r="DE32" s="2087"/>
      <c r="DG32"/>
    </row>
    <row r="33" spans="2:111" collapsed="1">
      <c r="B33" s="1514" t="s">
        <v>1444</v>
      </c>
      <c r="C33" s="1483"/>
      <c r="D33" s="1490"/>
      <c r="E33" s="1485">
        <f t="shared" ref="E33:L33" si="66">0+(SUM(E31:E32))</f>
        <v>13.717000000000001</v>
      </c>
      <c r="F33" s="1485">
        <f t="shared" si="66"/>
        <v>11.108999999999998</v>
      </c>
      <c r="G33" s="1485">
        <f t="shared" si="66"/>
        <v>20.347000000000001</v>
      </c>
      <c r="H33" s="1485">
        <f t="shared" si="66"/>
        <v>18.052</v>
      </c>
      <c r="I33" s="1485">
        <f t="shared" si="66"/>
        <v>21.027999999999999</v>
      </c>
      <c r="J33" s="1485">
        <f t="shared" si="66"/>
        <v>22.556999999999999</v>
      </c>
      <c r="K33" s="1485">
        <f t="shared" si="66"/>
        <v>27.268999999999998</v>
      </c>
      <c r="L33" s="1485">
        <f t="shared" si="66"/>
        <v>65.096000000000004</v>
      </c>
      <c r="M33" s="1483">
        <f>SUM(M31:M32)</f>
        <v>74.316999999999993</v>
      </c>
      <c r="N33" s="1483">
        <f>BS33</f>
        <v>99.052999999999997</v>
      </c>
      <c r="O33" s="1483">
        <f>BW33</f>
        <v>145.85400000000001</v>
      </c>
      <c r="P33" s="1483">
        <f>CA33</f>
        <v>229.04300000000001</v>
      </c>
      <c r="Q33" s="1483">
        <f>CE33</f>
        <v>268.85300000000001</v>
      </c>
      <c r="R33" s="1483">
        <f>CI33</f>
        <v>263.22300000000001</v>
      </c>
      <c r="S33" s="1483">
        <f>CM33</f>
        <v>285.79599999999999</v>
      </c>
      <c r="T33" s="1483">
        <f>CQ33</f>
        <v>402.77600000000001</v>
      </c>
      <c r="U33" s="1483">
        <f>CU33</f>
        <v>581.73900000000003</v>
      </c>
      <c r="V33" s="1483">
        <f>CY33</f>
        <v>719.25699999999995</v>
      </c>
      <c r="W33" s="1483">
        <f ca="1">+DC33</f>
        <v>762.97252090500365</v>
      </c>
      <c r="X33" s="1491">
        <f ca="1">SUM(X31:X32)</f>
        <v>798.76643039491955</v>
      </c>
      <c r="Y33" s="1491">
        <f ca="1">SUM(Y31:Y32)</f>
        <v>859.5676329044129</v>
      </c>
      <c r="Z33" s="1491">
        <f ca="1">SUM(Z31:Z32)</f>
        <v>916.40095693251737</v>
      </c>
      <c r="AA33" s="1491">
        <f t="shared" ref="AA33:AD33" ca="1" si="67">SUM(AA31:AA32)</f>
        <v>972.65040650085803</v>
      </c>
      <c r="AB33" s="1491">
        <f t="shared" ca="1" si="67"/>
        <v>1028.2768731497729</v>
      </c>
      <c r="AC33" s="1491">
        <f t="shared" ca="1" si="67"/>
        <v>1083.2501094605655</v>
      </c>
      <c r="AD33" s="1491">
        <f t="shared" ca="1" si="67"/>
        <v>1137.5459446175382</v>
      </c>
      <c r="AE33" s="1483"/>
      <c r="AF33" s="1515"/>
      <c r="AG33" s="1484">
        <f t="shared" ref="AG33:BR33" si="68">SUM(AG31:AG32)</f>
        <v>8.8379999999999992</v>
      </c>
      <c r="AH33" s="1484">
        <f t="shared" si="68"/>
        <v>10.287000000000001</v>
      </c>
      <c r="AI33" s="1484">
        <f t="shared" si="68"/>
        <v>13.717000000000001</v>
      </c>
      <c r="AJ33" s="1484">
        <f t="shared" si="68"/>
        <v>12.451000000000001</v>
      </c>
      <c r="AK33" s="1484">
        <f t="shared" si="68"/>
        <v>16.236000000000001</v>
      </c>
      <c r="AL33" s="1484">
        <f t="shared" si="68"/>
        <v>20.814</v>
      </c>
      <c r="AM33" s="1484">
        <f t="shared" si="68"/>
        <v>11.108999999999998</v>
      </c>
      <c r="AN33" s="1484">
        <f t="shared" si="68"/>
        <v>18.869</v>
      </c>
      <c r="AO33" s="1484">
        <f t="shared" si="68"/>
        <v>11.247</v>
      </c>
      <c r="AP33" s="1484">
        <f t="shared" si="68"/>
        <v>9.8620000000000001</v>
      </c>
      <c r="AQ33" s="1484">
        <f t="shared" si="68"/>
        <v>20.347000000000001</v>
      </c>
      <c r="AR33" s="1484">
        <f t="shared" si="68"/>
        <v>13.936999999999999</v>
      </c>
      <c r="AS33" s="1484">
        <f t="shared" si="68"/>
        <v>12.901</v>
      </c>
      <c r="AT33" s="1484">
        <f t="shared" si="68"/>
        <v>14.606</v>
      </c>
      <c r="AU33" s="1484">
        <f t="shared" si="68"/>
        <v>18.052</v>
      </c>
      <c r="AV33" s="1484">
        <f t="shared" si="68"/>
        <v>18.416</v>
      </c>
      <c r="AW33" s="1484">
        <f t="shared" si="68"/>
        <v>17.895</v>
      </c>
      <c r="AX33" s="1484">
        <f t="shared" si="68"/>
        <v>21.573</v>
      </c>
      <c r="AY33" s="1484">
        <f t="shared" si="68"/>
        <v>21.027999999999999</v>
      </c>
      <c r="AZ33" s="1484">
        <f t="shared" si="68"/>
        <v>20.474</v>
      </c>
      <c r="BA33" s="1484">
        <f t="shared" si="68"/>
        <v>26.492000000000001</v>
      </c>
      <c r="BB33" s="1484">
        <f t="shared" si="68"/>
        <v>22.567</v>
      </c>
      <c r="BC33" s="1484">
        <f t="shared" si="68"/>
        <v>22.556999999999999</v>
      </c>
      <c r="BD33" s="1484">
        <f t="shared" si="68"/>
        <v>21.184999999999999</v>
      </c>
      <c r="BE33" s="1484">
        <f t="shared" si="68"/>
        <v>23.582000000000001</v>
      </c>
      <c r="BF33" s="1484">
        <f t="shared" si="68"/>
        <v>23.007000000000005</v>
      </c>
      <c r="BG33" s="1484">
        <f t="shared" si="68"/>
        <v>27.268999999999998</v>
      </c>
      <c r="BH33" s="1484">
        <f t="shared" si="68"/>
        <v>24.611999999999998</v>
      </c>
      <c r="BI33" s="1484">
        <f t="shared" si="68"/>
        <v>35.424999999999997</v>
      </c>
      <c r="BJ33" s="1484">
        <f t="shared" si="68"/>
        <v>94.338999999999999</v>
      </c>
      <c r="BK33" s="1484">
        <f t="shared" si="68"/>
        <v>65.096000000000004</v>
      </c>
      <c r="BL33" s="1484">
        <f t="shared" si="68"/>
        <v>70.22999999999999</v>
      </c>
      <c r="BM33" s="1484">
        <f t="shared" si="68"/>
        <v>74.721999999999994</v>
      </c>
      <c r="BN33" s="1484">
        <f t="shared" si="68"/>
        <v>71.233999999999995</v>
      </c>
      <c r="BO33" s="1484">
        <f t="shared" si="68"/>
        <v>74.316999999999993</v>
      </c>
      <c r="BP33" s="1485">
        <f t="shared" si="68"/>
        <v>78.986999999999995</v>
      </c>
      <c r="BQ33" s="1485">
        <f t="shared" si="68"/>
        <v>88.453999999999994</v>
      </c>
      <c r="BR33" s="1485">
        <f t="shared" si="68"/>
        <v>104.288</v>
      </c>
      <c r="BS33" s="1485">
        <v>99.052999999999997</v>
      </c>
      <c r="BT33" s="1485">
        <v>113.018</v>
      </c>
      <c r="BU33" s="1485">
        <v>138.72499999999999</v>
      </c>
      <c r="BV33" s="1485">
        <v>134.09100000000001</v>
      </c>
      <c r="BW33" s="1485">
        <v>145.85400000000001</v>
      </c>
      <c r="BX33" s="1485">
        <v>133.536</v>
      </c>
      <c r="BY33" s="1485">
        <v>189.739</v>
      </c>
      <c r="BZ33" s="1485">
        <v>181.09299999999999</v>
      </c>
      <c r="CA33" s="1485">
        <v>229.04300000000001</v>
      </c>
      <c r="CB33" s="1485">
        <v>194.51599999999999</v>
      </c>
      <c r="CC33" s="1485">
        <v>224.989</v>
      </c>
      <c r="CD33" s="1485">
        <v>244.71199999999999</v>
      </c>
      <c r="CE33" s="1485">
        <v>268.85300000000001</v>
      </c>
      <c r="CF33" s="1485">
        <v>248.39500000000001</v>
      </c>
      <c r="CG33" s="1485">
        <v>258.02699999999999</v>
      </c>
      <c r="CH33" s="1485">
        <v>299.13499999999999</v>
      </c>
      <c r="CI33" s="1485">
        <v>263.22300000000001</v>
      </c>
      <c r="CJ33" s="1485">
        <v>293.29500000000002</v>
      </c>
      <c r="CK33" s="1485">
        <v>224.10900000000001</v>
      </c>
      <c r="CL33" s="1485">
        <v>303.66899999999998</v>
      </c>
      <c r="CM33" s="1485">
        <v>285.79599999999999</v>
      </c>
      <c r="CN33" s="1485">
        <v>321.94200000000001</v>
      </c>
      <c r="CO33" s="1485">
        <v>315.55399999999997</v>
      </c>
      <c r="CP33" s="1485">
        <v>340.36599999999999</v>
      </c>
      <c r="CQ33" s="1485">
        <v>402.77600000000001</v>
      </c>
      <c r="CR33" s="1485">
        <v>475.34300000000002</v>
      </c>
      <c r="CS33" s="1485">
        <v>498.21199999999999</v>
      </c>
      <c r="CT33" s="1485">
        <v>534.60199999999998</v>
      </c>
      <c r="CU33" s="1485">
        <v>581.73900000000003</v>
      </c>
      <c r="CV33" s="1485">
        <v>515.95899999999995</v>
      </c>
      <c r="CW33" s="1485">
        <v>612.59299999999996</v>
      </c>
      <c r="CX33" s="1485">
        <v>657.22900000000004</v>
      </c>
      <c r="CY33" s="1485">
        <v>719.25699999999995</v>
      </c>
      <c r="CZ33" s="1483">
        <f t="shared" ref="CZ33:DC33" ca="1" si="69">SUM(CZ31:CZ32)</f>
        <v>708.21998290687168</v>
      </c>
      <c r="DA33" s="1483">
        <f t="shared" ca="1" si="69"/>
        <v>722.51846983659959</v>
      </c>
      <c r="DB33" s="1483">
        <f t="shared" ca="1" si="69"/>
        <v>742.22625346471091</v>
      </c>
      <c r="DC33" s="1483">
        <f t="shared" ca="1" si="69"/>
        <v>762.97252090500365</v>
      </c>
      <c r="DE33" s="2087"/>
      <c r="DG33"/>
    </row>
    <row r="34" spans="2:111" hidden="1" outlineLevel="1">
      <c r="B34" s="1514" t="s">
        <v>1248</v>
      </c>
      <c r="C34" s="1498"/>
      <c r="D34" s="1484"/>
      <c r="E34" s="1485"/>
      <c r="F34" s="1485">
        <f>AM34</f>
        <v>6.39</v>
      </c>
      <c r="G34" s="1485">
        <f>AQ34</f>
        <v>11.528</v>
      </c>
      <c r="H34" s="1485">
        <f>AU34</f>
        <v>0.82799999999999996</v>
      </c>
      <c r="I34" s="1485"/>
      <c r="J34" s="1485"/>
      <c r="K34" s="1485"/>
      <c r="L34" s="1485"/>
      <c r="M34" s="1483"/>
      <c r="N34" s="1483"/>
      <c r="O34" s="1498"/>
      <c r="P34" s="1498"/>
      <c r="Q34" s="1498"/>
      <c r="R34" s="1498"/>
      <c r="S34" s="1498"/>
      <c r="T34" s="1498"/>
      <c r="U34" s="1498"/>
      <c r="V34" s="1498"/>
      <c r="W34" s="1498"/>
      <c r="X34" s="1525"/>
      <c r="Y34" s="1525"/>
      <c r="Z34" s="1525"/>
      <c r="AA34" s="1525"/>
      <c r="AB34" s="1525"/>
      <c r="AC34" s="1525"/>
      <c r="AD34" s="1525"/>
      <c r="AE34" s="1498"/>
      <c r="AF34" s="1515"/>
      <c r="AG34" s="1484"/>
      <c r="AH34" s="1484"/>
      <c r="AI34" s="1484"/>
      <c r="AJ34" s="1484"/>
      <c r="AK34" s="1484"/>
      <c r="AL34" s="1484"/>
      <c r="AM34" s="1484">
        <v>6.39</v>
      </c>
      <c r="AN34" s="1484"/>
      <c r="AO34" s="1484"/>
      <c r="AP34" s="1484"/>
      <c r="AQ34" s="1484">
        <v>11.528</v>
      </c>
      <c r="AR34" s="1484">
        <v>4.2590000000000003</v>
      </c>
      <c r="AS34" s="1484">
        <v>2.5209999999999999</v>
      </c>
      <c r="AT34" s="1484">
        <v>1.5609999999999999</v>
      </c>
      <c r="AU34" s="1484">
        <v>0.82799999999999996</v>
      </c>
      <c r="AV34" s="1484"/>
      <c r="AW34" s="1484"/>
      <c r="AX34" s="1484"/>
      <c r="AY34" s="1484"/>
      <c r="AZ34" s="1484"/>
      <c r="BA34" s="1484"/>
      <c r="BB34" s="1484"/>
      <c r="BC34" s="1484"/>
      <c r="BD34" s="1484"/>
      <c r="BE34" s="1484"/>
      <c r="BF34" s="1484"/>
      <c r="BG34" s="1484"/>
      <c r="BH34" s="1484"/>
      <c r="BI34" s="1484"/>
      <c r="BJ34" s="1484"/>
      <c r="BK34" s="1484"/>
      <c r="BL34" s="1484"/>
      <c r="BM34" s="1484"/>
      <c r="BN34" s="1484"/>
      <c r="BO34" s="1484"/>
      <c r="BP34" s="1485"/>
      <c r="BQ34" s="1485"/>
      <c r="BR34" s="1485"/>
      <c r="BS34" s="1485"/>
      <c r="BT34" s="1485"/>
      <c r="BU34" s="1485"/>
      <c r="BV34" s="1485"/>
      <c r="BW34" s="1485"/>
      <c r="BX34" s="1498"/>
      <c r="BY34" s="1498"/>
      <c r="BZ34" s="1498"/>
      <c r="CA34" s="1498"/>
      <c r="CB34" s="1498"/>
      <c r="CC34" s="1498"/>
      <c r="CD34" s="1498"/>
      <c r="CE34" s="1498"/>
      <c r="CF34" s="1498"/>
      <c r="CG34" s="1498"/>
      <c r="CH34" s="1498"/>
      <c r="CI34" s="1498"/>
      <c r="CJ34" s="1498"/>
      <c r="CK34" s="1498"/>
      <c r="CL34" s="1498"/>
      <c r="CM34" s="1498"/>
      <c r="CN34" s="1498"/>
      <c r="CO34" s="1498"/>
      <c r="CP34" s="1498"/>
      <c r="CQ34" s="1498"/>
      <c r="CR34" s="1498"/>
      <c r="CS34" s="1498"/>
      <c r="CT34" s="1498"/>
      <c r="CU34" s="1498"/>
      <c r="CV34" s="1498"/>
      <c r="CW34" s="1498"/>
      <c r="CX34" s="1498"/>
      <c r="CY34" s="1498"/>
      <c r="CZ34" s="1498"/>
      <c r="DA34" s="1498"/>
      <c r="DB34" s="1498"/>
      <c r="DC34" s="1498"/>
      <c r="DE34" s="2087"/>
      <c r="DG34"/>
    </row>
    <row r="35" spans="2:111" hidden="1" outlineLevel="1">
      <c r="B35" s="1514" t="s">
        <v>1245</v>
      </c>
      <c r="C35" s="1498"/>
      <c r="D35" s="1484"/>
      <c r="E35" s="1485">
        <f>AI35</f>
        <v>89.343000000000004</v>
      </c>
      <c r="F35" s="1485">
        <f>AM35</f>
        <v>34.65</v>
      </c>
      <c r="G35" s="1485"/>
      <c r="H35" s="1485"/>
      <c r="I35" s="1485"/>
      <c r="J35" s="1485"/>
      <c r="K35" s="1485"/>
      <c r="L35" s="1485"/>
      <c r="M35" s="1483"/>
      <c r="N35" s="1483"/>
      <c r="O35" s="1498"/>
      <c r="P35" s="1498"/>
      <c r="Q35" s="1498"/>
      <c r="R35" s="1498"/>
      <c r="S35" s="1498"/>
      <c r="T35" s="1498"/>
      <c r="U35" s="1498"/>
      <c r="V35" s="1498"/>
      <c r="W35" s="1498"/>
      <c r="X35" s="1525"/>
      <c r="Y35" s="1525"/>
      <c r="Z35" s="1525"/>
      <c r="AA35" s="1525"/>
      <c r="AB35" s="1525"/>
      <c r="AC35" s="1525"/>
      <c r="AD35" s="1525"/>
      <c r="AE35" s="1498"/>
      <c r="AF35" s="1515"/>
      <c r="AG35" s="1484">
        <v>49.104999999999997</v>
      </c>
      <c r="AH35" s="1484">
        <v>61.136000000000003</v>
      </c>
      <c r="AI35" s="1484">
        <v>89.343000000000004</v>
      </c>
      <c r="AJ35" s="1484">
        <v>55.567999999999998</v>
      </c>
      <c r="AK35" s="1484">
        <v>23.253</v>
      </c>
      <c r="AL35" s="1484">
        <v>27.5</v>
      </c>
      <c r="AM35" s="1484">
        <v>34.65</v>
      </c>
      <c r="AN35" s="1484">
        <v>6.3</v>
      </c>
      <c r="AO35" s="1484">
        <v>0</v>
      </c>
      <c r="AP35" s="1484">
        <v>0</v>
      </c>
      <c r="AQ35" s="1484">
        <v>0</v>
      </c>
      <c r="AR35" s="1484">
        <v>0</v>
      </c>
      <c r="AS35" s="1484">
        <v>0</v>
      </c>
      <c r="AT35" s="1484">
        <v>0</v>
      </c>
      <c r="AU35" s="1484">
        <v>0</v>
      </c>
      <c r="AV35" s="1484"/>
      <c r="AW35" s="1484"/>
      <c r="AX35" s="1484"/>
      <c r="AY35" s="1484"/>
      <c r="AZ35" s="1484"/>
      <c r="BA35" s="1484"/>
      <c r="BB35" s="1484"/>
      <c r="BC35" s="1484"/>
      <c r="BD35" s="1484"/>
      <c r="BE35" s="1484"/>
      <c r="BF35" s="1484"/>
      <c r="BG35" s="1484"/>
      <c r="BH35" s="1484"/>
      <c r="BI35" s="1484"/>
      <c r="BJ35" s="1484"/>
      <c r="BK35" s="1484"/>
      <c r="BL35" s="1484"/>
      <c r="BM35" s="1484"/>
      <c r="BN35" s="1484"/>
      <c r="BO35" s="1484"/>
      <c r="BP35" s="1485"/>
      <c r="BQ35" s="1485"/>
      <c r="BR35" s="1485"/>
      <c r="BS35" s="1485"/>
      <c r="BT35" s="1485"/>
      <c r="BU35" s="1485"/>
      <c r="BV35" s="1485"/>
      <c r="BW35" s="1485"/>
      <c r="BX35" s="1498"/>
      <c r="BY35" s="1498"/>
      <c r="BZ35" s="1498"/>
      <c r="CA35" s="1498"/>
      <c r="CB35" s="1498"/>
      <c r="CC35" s="1498"/>
      <c r="CD35" s="1498"/>
      <c r="CE35" s="1498"/>
      <c r="CF35" s="1498"/>
      <c r="CG35" s="1498"/>
      <c r="CH35" s="1498"/>
      <c r="CI35" s="1498"/>
      <c r="CJ35" s="1498"/>
      <c r="CK35" s="1498"/>
      <c r="CL35" s="1498"/>
      <c r="CM35" s="1498"/>
      <c r="CN35" s="1498"/>
      <c r="CO35" s="1498"/>
      <c r="CP35" s="1498"/>
      <c r="CQ35" s="1498"/>
      <c r="CR35" s="1498"/>
      <c r="CS35" s="1498"/>
      <c r="CT35" s="1498"/>
      <c r="CU35" s="1498"/>
      <c r="CV35" s="1498"/>
      <c r="CW35" s="1498"/>
      <c r="CX35" s="1498"/>
      <c r="CY35" s="1498"/>
      <c r="CZ35" s="1498"/>
      <c r="DA35" s="1498"/>
      <c r="DB35" s="1498"/>
      <c r="DC35" s="1498"/>
      <c r="DE35" s="2087"/>
      <c r="DG35"/>
    </row>
    <row r="36" spans="2:111" collapsed="1">
      <c r="B36" s="1514" t="s">
        <v>1133</v>
      </c>
      <c r="C36" s="1483"/>
      <c r="D36" s="1490"/>
      <c r="E36" s="1485">
        <f>AI36</f>
        <v>2.1669999999999998</v>
      </c>
      <c r="F36" s="1485">
        <f>AM36</f>
        <v>2.1669999999999998</v>
      </c>
      <c r="G36" s="1485">
        <f>AQ36</f>
        <v>2.3109999999999999</v>
      </c>
      <c r="H36" s="1485">
        <f>AU36</f>
        <v>1.1140000000000001</v>
      </c>
      <c r="I36" s="1485">
        <f>AY36</f>
        <v>1.706</v>
      </c>
      <c r="J36" s="1485">
        <f>BC36</f>
        <v>0</v>
      </c>
      <c r="K36" s="1485">
        <f>BG36</f>
        <v>0</v>
      </c>
      <c r="L36" s="1485">
        <f>BK36</f>
        <v>0</v>
      </c>
      <c r="M36" s="1483">
        <f>BO36</f>
        <v>0</v>
      </c>
      <c r="N36" s="1483"/>
      <c r="O36" s="1483"/>
      <c r="P36" s="1483"/>
      <c r="Q36" s="1483"/>
      <c r="R36" s="1483"/>
      <c r="S36" s="1483"/>
      <c r="T36" s="1483"/>
      <c r="U36" s="1483"/>
      <c r="V36" s="1483"/>
      <c r="W36" s="1483"/>
      <c r="X36" s="1483"/>
      <c r="Y36" s="1483"/>
      <c r="Z36" s="1483"/>
      <c r="AA36" s="1483"/>
      <c r="AB36" s="1483"/>
      <c r="AC36" s="1483"/>
      <c r="AD36" s="1483"/>
      <c r="AE36" s="1483"/>
      <c r="AF36" s="1515"/>
      <c r="AG36" s="1484">
        <v>2.6219999999999999</v>
      </c>
      <c r="AH36" s="1484">
        <v>9.3640000000000008</v>
      </c>
      <c r="AI36" s="1484">
        <v>2.1669999999999998</v>
      </c>
      <c r="AJ36" s="1484">
        <v>8.6669999999999998</v>
      </c>
      <c r="AK36" s="1484">
        <v>2.1669999999999998</v>
      </c>
      <c r="AL36" s="1484">
        <v>10.41</v>
      </c>
      <c r="AM36" s="1484">
        <v>2.1669999999999998</v>
      </c>
      <c r="AN36" s="1484">
        <v>7.5830000000000002</v>
      </c>
      <c r="AO36" s="1484">
        <v>1.595</v>
      </c>
      <c r="AP36" s="1484">
        <v>6.3810000000000002</v>
      </c>
      <c r="AQ36" s="1484">
        <v>2.3109999999999999</v>
      </c>
      <c r="AR36" s="1484">
        <v>2.371</v>
      </c>
      <c r="AS36" s="1484">
        <v>1.03</v>
      </c>
      <c r="AT36" s="1484">
        <v>3.0710000000000002</v>
      </c>
      <c r="AU36" s="1484">
        <v>1.1140000000000001</v>
      </c>
      <c r="AV36" s="1484">
        <v>2.254</v>
      </c>
      <c r="AW36" s="1484">
        <v>1.6719999999999999</v>
      </c>
      <c r="AX36" s="1484">
        <v>2.367</v>
      </c>
      <c r="AY36" s="1484">
        <v>1.706</v>
      </c>
      <c r="AZ36" s="1484">
        <v>0.38200000000000001</v>
      </c>
      <c r="BA36" s="1484">
        <v>0.85699999999999998</v>
      </c>
      <c r="BB36" s="1484">
        <v>0</v>
      </c>
      <c r="BC36" s="1484"/>
      <c r="BD36" s="1484"/>
      <c r="BE36" s="1484"/>
      <c r="BF36" s="1484"/>
      <c r="BG36" s="1484"/>
      <c r="BH36" s="1484"/>
      <c r="BI36" s="1484"/>
      <c r="BJ36" s="1484"/>
      <c r="BK36" s="1484"/>
      <c r="BL36" s="1484"/>
      <c r="BM36" s="1484"/>
      <c r="BN36" s="1484"/>
      <c r="BO36" s="1484"/>
      <c r="BP36" s="1485"/>
      <c r="BQ36" s="1485"/>
      <c r="BR36" s="1485"/>
      <c r="BS36" s="1485"/>
      <c r="BT36" s="1485"/>
      <c r="BU36" s="1485"/>
      <c r="BV36" s="1485"/>
      <c r="BW36" s="1485"/>
      <c r="BX36" s="1483"/>
      <c r="BY36" s="1483"/>
      <c r="BZ36" s="1483"/>
      <c r="CA36" s="1483"/>
      <c r="CB36" s="1483"/>
      <c r="CC36" s="1483"/>
      <c r="CD36" s="1483"/>
      <c r="CE36" s="1483"/>
      <c r="CF36" s="1483"/>
      <c r="CG36" s="1483"/>
      <c r="CH36" s="1483"/>
      <c r="CI36" s="1483"/>
      <c r="CJ36" s="1483"/>
      <c r="CK36" s="1483"/>
      <c r="CL36" s="1483"/>
      <c r="CM36" s="1483"/>
      <c r="CN36" s="1483"/>
      <c r="CO36" s="1483"/>
      <c r="CP36" s="1483"/>
      <c r="CQ36" s="1483"/>
      <c r="CR36" s="1483"/>
      <c r="CS36" s="1483"/>
      <c r="CT36" s="1483"/>
      <c r="CU36" s="1483"/>
      <c r="CV36" s="1483"/>
      <c r="CW36" s="1483"/>
      <c r="CX36" s="1483"/>
      <c r="CY36" s="1483"/>
      <c r="CZ36" s="1483"/>
      <c r="DA36" s="1483"/>
      <c r="DB36" s="1483"/>
      <c r="DC36" s="1483"/>
      <c r="DE36" s="2087"/>
      <c r="DG36"/>
    </row>
    <row r="37" spans="2:111">
      <c r="B37" s="1514" t="s">
        <v>1144</v>
      </c>
      <c r="C37" s="1483"/>
      <c r="D37" s="1490"/>
      <c r="E37" s="1485"/>
      <c r="F37" s="1485"/>
      <c r="G37" s="1485"/>
      <c r="H37" s="1485"/>
      <c r="I37" s="1485"/>
      <c r="J37" s="1485">
        <f>BC37</f>
        <v>15.782999999999999</v>
      </c>
      <c r="K37" s="1485">
        <f>BG37</f>
        <v>23.337</v>
      </c>
      <c r="L37" s="1485">
        <f>BK37</f>
        <v>76.504000000000005</v>
      </c>
      <c r="M37" s="1483">
        <f>BO37</f>
        <v>89.518000000000001</v>
      </c>
      <c r="N37" s="1483">
        <f>BS37</f>
        <v>109.876</v>
      </c>
      <c r="O37" s="1483">
        <f>BW37</f>
        <v>91.667000000000002</v>
      </c>
      <c r="P37" s="1483">
        <f>CA37</f>
        <v>93.224000000000004</v>
      </c>
      <c r="Q37" s="1483">
        <f>CE37</f>
        <v>63.509</v>
      </c>
      <c r="R37" s="1483">
        <f>CI37</f>
        <v>64.600999999999999</v>
      </c>
      <c r="S37" s="1483">
        <f>CM37</f>
        <v>114.46899999999999</v>
      </c>
      <c r="T37" s="1483">
        <f>CQ37</f>
        <v>103.107</v>
      </c>
      <c r="U37" s="1483">
        <f>CU37</f>
        <v>144.84200000000001</v>
      </c>
      <c r="V37" s="1483">
        <f>CY37</f>
        <v>224.96799999999999</v>
      </c>
      <c r="W37" s="1483">
        <f>+DC37</f>
        <v>224.96799999999999</v>
      </c>
      <c r="X37" s="1491">
        <f>W37</f>
        <v>224.96799999999999</v>
      </c>
      <c r="Y37" s="1491">
        <f>X37</f>
        <v>224.96799999999999</v>
      </c>
      <c r="Z37" s="1491">
        <f>Y37</f>
        <v>224.96799999999999</v>
      </c>
      <c r="AA37" s="1491">
        <f t="shared" ref="AA37:AD37" si="70">Z37</f>
        <v>224.96799999999999</v>
      </c>
      <c r="AB37" s="1491">
        <f t="shared" si="70"/>
        <v>224.96799999999999</v>
      </c>
      <c r="AC37" s="1491">
        <f t="shared" si="70"/>
        <v>224.96799999999999</v>
      </c>
      <c r="AD37" s="1491">
        <f t="shared" si="70"/>
        <v>224.96799999999999</v>
      </c>
      <c r="AE37" s="1483"/>
      <c r="AF37" s="1515"/>
      <c r="AG37" s="1484"/>
      <c r="AH37" s="1484"/>
      <c r="AI37" s="1484"/>
      <c r="AJ37" s="1484"/>
      <c r="AK37" s="1484"/>
      <c r="AL37" s="1484"/>
      <c r="AM37" s="1484"/>
      <c r="AN37" s="1484"/>
      <c r="AO37" s="1484"/>
      <c r="AP37" s="1484"/>
      <c r="AQ37" s="1484"/>
      <c r="AR37" s="1484"/>
      <c r="AS37" s="1484"/>
      <c r="AT37" s="1484"/>
      <c r="AU37" s="1484"/>
      <c r="AV37" s="1484"/>
      <c r="AW37" s="1484"/>
      <c r="AX37" s="1484"/>
      <c r="AY37" s="1484"/>
      <c r="AZ37" s="1484"/>
      <c r="BA37" s="1484"/>
      <c r="BB37" s="1484">
        <v>5.157</v>
      </c>
      <c r="BC37" s="1484">
        <v>15.782999999999999</v>
      </c>
      <c r="BD37" s="1484">
        <v>18.295000000000002</v>
      </c>
      <c r="BE37" s="1484">
        <v>21.937999999999999</v>
      </c>
      <c r="BF37" s="1484">
        <v>18.597000000000001</v>
      </c>
      <c r="BG37" s="1484">
        <v>23.337</v>
      </c>
      <c r="BH37" s="1484">
        <v>39.790999999999997</v>
      </c>
      <c r="BI37" s="1484">
        <v>71.215999999999994</v>
      </c>
      <c r="BJ37" s="1484">
        <v>60.469000000000001</v>
      </c>
      <c r="BK37" s="1484">
        <v>76.504000000000005</v>
      </c>
      <c r="BL37" s="1484">
        <v>77.852000000000004</v>
      </c>
      <c r="BM37" s="1484">
        <v>53.029000000000003</v>
      </c>
      <c r="BN37" s="1484">
        <v>56.536999999999999</v>
      </c>
      <c r="BO37" s="1484">
        <v>89.518000000000001</v>
      </c>
      <c r="BP37" s="1485">
        <v>53.335999999999999</v>
      </c>
      <c r="BQ37" s="1485">
        <v>59.773000000000003</v>
      </c>
      <c r="BR37" s="1485">
        <v>64.597999999999999</v>
      </c>
      <c r="BS37" s="1485">
        <v>109.876</v>
      </c>
      <c r="BT37" s="1485">
        <v>98.992999999999995</v>
      </c>
      <c r="BU37" s="1485">
        <v>85.35</v>
      </c>
      <c r="BV37" s="1485">
        <v>97.012</v>
      </c>
      <c r="BW37" s="1485">
        <v>91.667000000000002</v>
      </c>
      <c r="BX37" s="1485">
        <v>125.57899999999999</v>
      </c>
      <c r="BY37" s="1485">
        <v>90.652000000000001</v>
      </c>
      <c r="BZ37" s="1485">
        <v>90.180999999999997</v>
      </c>
      <c r="CA37" s="1485">
        <v>93.224000000000004</v>
      </c>
      <c r="CB37" s="1485">
        <v>125.25</v>
      </c>
      <c r="CC37" s="1485">
        <v>119.703</v>
      </c>
      <c r="CD37" s="1485">
        <v>141.02500000000001</v>
      </c>
      <c r="CE37" s="1485">
        <v>63.509</v>
      </c>
      <c r="CF37" s="1485">
        <v>64.643000000000001</v>
      </c>
      <c r="CG37" s="1485">
        <v>101.015</v>
      </c>
      <c r="CH37" s="1485">
        <v>91.468000000000004</v>
      </c>
      <c r="CI37" s="1485">
        <v>64.600999999999999</v>
      </c>
      <c r="CJ37" s="1485">
        <v>80.516000000000005</v>
      </c>
      <c r="CK37" s="1485">
        <v>82.013999999999996</v>
      </c>
      <c r="CL37" s="1485">
        <v>138.95599999999999</v>
      </c>
      <c r="CM37" s="1485">
        <v>114.46899999999999</v>
      </c>
      <c r="CN37" s="1485">
        <v>123.65900000000001</v>
      </c>
      <c r="CO37" s="1485">
        <v>128.19300000000001</v>
      </c>
      <c r="CP37" s="1485">
        <v>131.607</v>
      </c>
      <c r="CQ37" s="1485">
        <v>103.107</v>
      </c>
      <c r="CR37" s="1485">
        <v>124.684</v>
      </c>
      <c r="CS37" s="1485">
        <v>163.38800000000001</v>
      </c>
      <c r="CT37" s="1485">
        <v>185.68299999999999</v>
      </c>
      <c r="CU37" s="1485">
        <v>144.84200000000001</v>
      </c>
      <c r="CV37" s="1485">
        <v>190.17599999999999</v>
      </c>
      <c r="CW37" s="1485">
        <v>192.381</v>
      </c>
      <c r="CX37" s="1485">
        <v>205.44399999999999</v>
      </c>
      <c r="CY37" s="1485">
        <v>224.96799999999999</v>
      </c>
      <c r="CZ37" s="1483">
        <f t="shared" ref="CZ37:DC37" si="71">CY37</f>
        <v>224.96799999999999</v>
      </c>
      <c r="DA37" s="1483">
        <f t="shared" si="71"/>
        <v>224.96799999999999</v>
      </c>
      <c r="DB37" s="1483">
        <f t="shared" si="71"/>
        <v>224.96799999999999</v>
      </c>
      <c r="DC37" s="1483">
        <f t="shared" si="71"/>
        <v>224.96799999999999</v>
      </c>
      <c r="DE37" s="2087"/>
      <c r="DG37"/>
    </row>
    <row r="38" spans="2:111" hidden="1" outlineLevel="1">
      <c r="B38" s="1514" t="s">
        <v>1177</v>
      </c>
      <c r="C38" s="1483"/>
      <c r="D38" s="1484"/>
      <c r="E38" s="1485"/>
      <c r="F38" s="1485"/>
      <c r="G38" s="1485"/>
      <c r="H38" s="1485"/>
      <c r="I38" s="1485"/>
      <c r="J38" s="1485">
        <f>BC38</f>
        <v>30</v>
      </c>
      <c r="K38" s="1485">
        <f>BG38</f>
        <v>0</v>
      </c>
      <c r="L38" s="1485">
        <f>BK38</f>
        <v>0</v>
      </c>
      <c r="M38" s="1483"/>
      <c r="N38" s="1483"/>
      <c r="O38" s="1483"/>
      <c r="P38" s="1483"/>
      <c r="Q38" s="1483"/>
      <c r="R38" s="1483"/>
      <c r="S38" s="1483"/>
      <c r="T38" s="1483"/>
      <c r="U38" s="1483"/>
      <c r="V38" s="1483"/>
      <c r="W38" s="1483"/>
      <c r="X38" s="1491"/>
      <c r="Y38" s="1491"/>
      <c r="Z38" s="1491"/>
      <c r="AA38" s="1491"/>
      <c r="AB38" s="1491"/>
      <c r="AC38" s="1491"/>
      <c r="AD38" s="1491"/>
      <c r="AE38" s="1483"/>
      <c r="AF38" s="1515"/>
      <c r="AG38" s="1484"/>
      <c r="AH38" s="1484"/>
      <c r="AI38" s="1484"/>
      <c r="AJ38" s="1484"/>
      <c r="AK38" s="1484"/>
      <c r="AL38" s="1484"/>
      <c r="AM38" s="1484"/>
      <c r="AN38" s="1484"/>
      <c r="AO38" s="1484"/>
      <c r="AP38" s="1484"/>
      <c r="AQ38" s="1484"/>
      <c r="AR38" s="1484"/>
      <c r="AS38" s="1484"/>
      <c r="AT38" s="1484"/>
      <c r="AU38" s="1484"/>
      <c r="AV38" s="1484"/>
      <c r="AW38" s="1484"/>
      <c r="AX38" s="1484"/>
      <c r="AY38" s="1484"/>
      <c r="AZ38" s="1484"/>
      <c r="BA38" s="1484"/>
      <c r="BB38" s="1484"/>
      <c r="BC38" s="1484">
        <v>30</v>
      </c>
      <c r="BD38" s="1484"/>
      <c r="BE38" s="1484"/>
      <c r="BF38" s="1484">
        <v>40</v>
      </c>
      <c r="BG38" s="1484">
        <v>0</v>
      </c>
      <c r="BH38" s="1484"/>
      <c r="BI38" s="1484"/>
      <c r="BJ38" s="1484"/>
      <c r="BK38" s="1484"/>
      <c r="BL38" s="1484"/>
      <c r="BM38" s="1484"/>
      <c r="BN38" s="1484"/>
      <c r="BO38" s="1484"/>
      <c r="BP38" s="1485"/>
      <c r="BQ38" s="1485"/>
      <c r="BR38" s="1485"/>
      <c r="BS38" s="1485"/>
      <c r="BT38" s="1485"/>
      <c r="BU38" s="1485"/>
      <c r="BV38" s="1485"/>
      <c r="BW38" s="1485"/>
      <c r="BX38" s="1483"/>
      <c r="BY38" s="1483"/>
      <c r="BZ38" s="1483"/>
      <c r="CA38" s="1483"/>
      <c r="CB38" s="1483"/>
      <c r="CC38" s="1483"/>
      <c r="CD38" s="1483"/>
      <c r="CE38" s="1483"/>
      <c r="CF38" s="1483"/>
      <c r="CG38" s="1483"/>
      <c r="CH38" s="1483"/>
      <c r="CI38" s="1483"/>
      <c r="CJ38" s="1483"/>
      <c r="CK38" s="1483"/>
      <c r="CL38" s="1483"/>
      <c r="CM38" s="1483"/>
      <c r="CN38" s="1483"/>
      <c r="CO38" s="1483"/>
      <c r="CP38" s="1483"/>
      <c r="CQ38" s="1483"/>
      <c r="CR38" s="1483"/>
      <c r="CS38" s="1483"/>
      <c r="CT38" s="1483"/>
      <c r="CU38" s="1483"/>
      <c r="CV38" s="1483"/>
      <c r="CW38" s="1483"/>
      <c r="CX38" s="1483"/>
      <c r="CY38" s="1483"/>
      <c r="CZ38" s="1483"/>
      <c r="DA38" s="1483"/>
      <c r="DB38" s="1483"/>
      <c r="DC38" s="1483"/>
      <c r="DE38" s="2087"/>
      <c r="DG38"/>
    </row>
    <row r="39" spans="2:111" hidden="1" outlineLevel="1">
      <c r="B39" s="1514" t="s">
        <v>1172</v>
      </c>
      <c r="C39" s="1483"/>
      <c r="D39" s="1484"/>
      <c r="E39" s="1485"/>
      <c r="F39" s="1485"/>
      <c r="G39" s="1485"/>
      <c r="H39" s="1485"/>
      <c r="I39" s="1485">
        <f>AY39</f>
        <v>1.952</v>
      </c>
      <c r="J39" s="1485">
        <f>BC39</f>
        <v>12.4</v>
      </c>
      <c r="K39" s="1485">
        <f>BG39</f>
        <v>13.468999999999999</v>
      </c>
      <c r="L39" s="1485">
        <f>BK39</f>
        <v>3.9729999999999999</v>
      </c>
      <c r="M39" s="1483"/>
      <c r="N39" s="1483"/>
      <c r="O39" s="1483"/>
      <c r="P39" s="1483"/>
      <c r="Q39" s="1483"/>
      <c r="R39" s="1483"/>
      <c r="S39" s="1483"/>
      <c r="T39" s="1483"/>
      <c r="U39" s="1483"/>
      <c r="V39" s="1483"/>
      <c r="W39" s="1483"/>
      <c r="X39" s="1491"/>
      <c r="Y39" s="1491"/>
      <c r="Z39" s="1491"/>
      <c r="AA39" s="1491"/>
      <c r="AB39" s="1491"/>
      <c r="AC39" s="1491"/>
      <c r="AD39" s="1491"/>
      <c r="AE39" s="1483"/>
      <c r="AF39" s="1515"/>
      <c r="AG39" s="1484"/>
      <c r="AH39" s="1484"/>
      <c r="AI39" s="1484"/>
      <c r="AJ39" s="1484"/>
      <c r="AK39" s="1484"/>
      <c r="AL39" s="1484"/>
      <c r="AM39" s="1484"/>
      <c r="AN39" s="1484"/>
      <c r="AO39" s="1484"/>
      <c r="AP39" s="1484"/>
      <c r="AQ39" s="1484"/>
      <c r="AR39" s="1484"/>
      <c r="AS39" s="1484"/>
      <c r="AT39" s="1484"/>
      <c r="AU39" s="1484"/>
      <c r="AV39" s="1484"/>
      <c r="AW39" s="1484"/>
      <c r="AX39" s="1484"/>
      <c r="AY39" s="1484">
        <v>1.952</v>
      </c>
      <c r="AZ39" s="1484">
        <v>2.0049999999999999</v>
      </c>
      <c r="BA39" s="1484">
        <v>2.0590000000000002</v>
      </c>
      <c r="BB39" s="1484">
        <v>2.1150000000000002</v>
      </c>
      <c r="BC39" s="1484">
        <v>12.4</v>
      </c>
      <c r="BD39" s="1484">
        <v>13.06</v>
      </c>
      <c r="BE39" s="1484">
        <v>13.56</v>
      </c>
      <c r="BF39" s="1484">
        <v>13.848000000000001</v>
      </c>
      <c r="BG39" s="1484">
        <v>13.468999999999999</v>
      </c>
      <c r="BH39" s="1484">
        <v>13.702999999999999</v>
      </c>
      <c r="BI39" s="1484">
        <v>13.686999999999999</v>
      </c>
      <c r="BJ39" s="1484">
        <v>14.141999999999999</v>
      </c>
      <c r="BK39" s="1484">
        <v>3.9729999999999999</v>
      </c>
      <c r="BL39" s="1484"/>
      <c r="BM39" s="1484"/>
      <c r="BN39" s="1484"/>
      <c r="BO39" s="1484"/>
      <c r="BP39" s="1485"/>
      <c r="BQ39" s="1485"/>
      <c r="BR39" s="1485"/>
      <c r="BS39" s="1485"/>
      <c r="BT39" s="1485"/>
      <c r="BU39" s="1485"/>
      <c r="BV39" s="1485"/>
      <c r="BW39" s="1485"/>
      <c r="BX39" s="1483"/>
      <c r="BY39" s="1483"/>
      <c r="BZ39" s="1483"/>
      <c r="CA39" s="1483"/>
      <c r="CB39" s="1483"/>
      <c r="CC39" s="1483"/>
      <c r="CD39" s="1483"/>
      <c r="CE39" s="1483"/>
      <c r="CF39" s="1483"/>
      <c r="CG39" s="1483"/>
      <c r="CH39" s="1483"/>
      <c r="CI39" s="1483"/>
      <c r="CJ39" s="1483"/>
      <c r="CK39" s="1483"/>
      <c r="CL39" s="1483"/>
      <c r="CM39" s="1483"/>
      <c r="CN39" s="1483"/>
      <c r="CO39" s="1483"/>
      <c r="CP39" s="1483"/>
      <c r="CQ39" s="1483"/>
      <c r="CR39" s="1483"/>
      <c r="CS39" s="1483"/>
      <c r="CT39" s="1483"/>
      <c r="CU39" s="1483"/>
      <c r="CV39" s="1483"/>
      <c r="CW39" s="1483"/>
      <c r="CX39" s="1483"/>
      <c r="CY39" s="1483"/>
      <c r="CZ39" s="1483"/>
      <c r="DA39" s="1483"/>
      <c r="DB39" s="1483"/>
      <c r="DC39" s="1483"/>
      <c r="DE39" s="2087"/>
      <c r="DG39"/>
    </row>
    <row r="40" spans="2:111" hidden="1" outlineLevel="1">
      <c r="B40" s="1514" t="s">
        <v>1247</v>
      </c>
      <c r="C40" s="1483"/>
      <c r="D40" s="1484"/>
      <c r="E40" s="1485"/>
      <c r="F40" s="1485"/>
      <c r="G40" s="1485"/>
      <c r="H40" s="1485"/>
      <c r="I40" s="1485"/>
      <c r="J40" s="1485"/>
      <c r="K40" s="1485"/>
      <c r="L40" s="1485"/>
      <c r="M40" s="1483"/>
      <c r="N40" s="1483"/>
      <c r="O40" s="1483"/>
      <c r="P40" s="1483"/>
      <c r="Q40" s="1483"/>
      <c r="R40" s="1483"/>
      <c r="S40" s="1483"/>
      <c r="T40" s="1483"/>
      <c r="U40" s="1483"/>
      <c r="V40" s="1483"/>
      <c r="W40" s="1483"/>
      <c r="X40" s="1491"/>
      <c r="Y40" s="1491"/>
      <c r="Z40" s="1491"/>
      <c r="AA40" s="1491"/>
      <c r="AB40" s="1491"/>
      <c r="AC40" s="1491"/>
      <c r="AD40" s="1491"/>
      <c r="AE40" s="1483"/>
      <c r="AF40" s="1515"/>
      <c r="AG40" s="1484"/>
      <c r="AH40" s="1484"/>
      <c r="AI40" s="1484"/>
      <c r="AJ40" s="1484"/>
      <c r="AK40" s="1484"/>
      <c r="AL40" s="1484">
        <v>45</v>
      </c>
      <c r="AM40" s="1484"/>
      <c r="AN40" s="1484">
        <v>1.25</v>
      </c>
      <c r="AO40" s="1484">
        <v>105</v>
      </c>
      <c r="AP40" s="1484">
        <v>100</v>
      </c>
      <c r="AQ40" s="1484"/>
      <c r="AR40" s="1484"/>
      <c r="AS40" s="1484"/>
      <c r="AT40" s="1484"/>
      <c r="AU40" s="1484"/>
      <c r="AV40" s="1484"/>
      <c r="AW40" s="1484"/>
      <c r="AX40" s="1484"/>
      <c r="AY40" s="1484"/>
      <c r="AZ40" s="1484"/>
      <c r="BA40" s="1484"/>
      <c r="BB40" s="1484"/>
      <c r="BC40" s="1484"/>
      <c r="BD40" s="1484"/>
      <c r="BE40" s="1484"/>
      <c r="BF40" s="1484"/>
      <c r="BG40" s="1484"/>
      <c r="BH40" s="1484"/>
      <c r="BI40" s="1484"/>
      <c r="BJ40" s="1484"/>
      <c r="BK40" s="1484"/>
      <c r="BL40" s="1484"/>
      <c r="BM40" s="1484"/>
      <c r="BN40" s="1484"/>
      <c r="BO40" s="1484"/>
      <c r="BP40" s="1485"/>
      <c r="BQ40" s="1485"/>
      <c r="BR40" s="1485"/>
      <c r="BS40" s="1485"/>
      <c r="BT40" s="1485"/>
      <c r="BU40" s="1485"/>
      <c r="BV40" s="1485"/>
      <c r="BW40" s="1485"/>
      <c r="BX40" s="1483"/>
      <c r="BY40" s="1483"/>
      <c r="BZ40" s="1483"/>
      <c r="CA40" s="1483"/>
      <c r="CB40" s="1483"/>
      <c r="CC40" s="1483"/>
      <c r="CD40" s="1483"/>
      <c r="CE40" s="1483"/>
      <c r="CF40" s="1483"/>
      <c r="CG40" s="1483"/>
      <c r="CH40" s="1483"/>
      <c r="CI40" s="1483"/>
      <c r="CJ40" s="1483"/>
      <c r="CK40" s="1483"/>
      <c r="CL40" s="1483"/>
      <c r="CM40" s="1483"/>
      <c r="CN40" s="1483"/>
      <c r="CO40" s="1483"/>
      <c r="CP40" s="1483"/>
      <c r="CQ40" s="1483"/>
      <c r="CR40" s="1483"/>
      <c r="CS40" s="1483"/>
      <c r="CT40" s="1483"/>
      <c r="CU40" s="1483"/>
      <c r="CV40" s="1483"/>
      <c r="CW40" s="1483"/>
      <c r="CX40" s="1483"/>
      <c r="CY40" s="1483"/>
      <c r="CZ40" s="1483"/>
      <c r="DA40" s="1483"/>
      <c r="DB40" s="1483"/>
      <c r="DC40" s="1483"/>
      <c r="DE40" s="2087"/>
      <c r="DG40"/>
    </row>
    <row r="41" spans="2:111" hidden="1" outlineLevel="1">
      <c r="B41" s="1514" t="s">
        <v>1249</v>
      </c>
      <c r="C41" s="1483"/>
      <c r="D41" s="1484"/>
      <c r="E41" s="1485"/>
      <c r="F41" s="1485"/>
      <c r="G41" s="1485">
        <f>AQ41</f>
        <v>1.9810000000000001</v>
      </c>
      <c r="H41" s="1485">
        <f>AU41</f>
        <v>12</v>
      </c>
      <c r="I41" s="1485"/>
      <c r="J41" s="1485"/>
      <c r="K41" s="1485"/>
      <c r="L41" s="1485"/>
      <c r="M41" s="1483"/>
      <c r="N41" s="1483"/>
      <c r="O41" s="1483"/>
      <c r="P41" s="1483"/>
      <c r="Q41" s="1483"/>
      <c r="R41" s="1483"/>
      <c r="S41" s="1483"/>
      <c r="T41" s="1483"/>
      <c r="U41" s="1483"/>
      <c r="V41" s="1483"/>
      <c r="W41" s="1483"/>
      <c r="X41" s="1491"/>
      <c r="Y41" s="1491"/>
      <c r="Z41" s="1491"/>
      <c r="AA41" s="1491"/>
      <c r="AB41" s="1491"/>
      <c r="AC41" s="1491"/>
      <c r="AD41" s="1491"/>
      <c r="AE41" s="1483"/>
      <c r="AF41" s="1515"/>
      <c r="AG41" s="1484"/>
      <c r="AH41" s="1484"/>
      <c r="AI41" s="1484"/>
      <c r="AJ41" s="1484"/>
      <c r="AK41" s="1484"/>
      <c r="AL41" s="1484"/>
      <c r="AM41" s="1484"/>
      <c r="AN41" s="1484"/>
      <c r="AO41" s="1484"/>
      <c r="AP41" s="1484"/>
      <c r="AQ41" s="1484">
        <v>1.9810000000000001</v>
      </c>
      <c r="AR41" s="1484">
        <v>1.9810000000000001</v>
      </c>
      <c r="AS41" s="1484">
        <v>6.9809999999999999</v>
      </c>
      <c r="AT41" s="1484">
        <v>9.4809999999999999</v>
      </c>
      <c r="AU41" s="1484">
        <v>12</v>
      </c>
      <c r="AV41" s="1484"/>
      <c r="AW41" s="1484"/>
      <c r="AX41" s="1484"/>
      <c r="AY41" s="1484"/>
      <c r="AZ41" s="1484"/>
      <c r="BA41" s="1484"/>
      <c r="BB41" s="1484"/>
      <c r="BC41" s="1484"/>
      <c r="BD41" s="1484"/>
      <c r="BE41" s="1484"/>
      <c r="BF41" s="1484"/>
      <c r="BG41" s="1484"/>
      <c r="BH41" s="1484"/>
      <c r="BI41" s="1484"/>
      <c r="BJ41" s="1484"/>
      <c r="BK41" s="1484"/>
      <c r="BL41" s="1484"/>
      <c r="BM41" s="1484"/>
      <c r="BN41" s="1484"/>
      <c r="BO41" s="1484"/>
      <c r="BP41" s="1485"/>
      <c r="BQ41" s="1485"/>
      <c r="BR41" s="1485"/>
      <c r="BS41" s="1485"/>
      <c r="BT41" s="1485"/>
      <c r="BU41" s="1485"/>
      <c r="BV41" s="1485"/>
      <c r="BW41" s="1485"/>
      <c r="BX41" s="1483"/>
      <c r="BY41" s="1483"/>
      <c r="BZ41" s="1483"/>
      <c r="CA41" s="1483"/>
      <c r="CB41" s="1483"/>
      <c r="CC41" s="1483"/>
      <c r="CD41" s="1483"/>
      <c r="CE41" s="1483"/>
      <c r="CF41" s="1483"/>
      <c r="CG41" s="1483"/>
      <c r="CH41" s="1483"/>
      <c r="CI41" s="1483"/>
      <c r="CJ41" s="1483"/>
      <c r="CK41" s="1483"/>
      <c r="CL41" s="1483"/>
      <c r="CM41" s="1483"/>
      <c r="CN41" s="1483"/>
      <c r="CO41" s="1483"/>
      <c r="CP41" s="1483"/>
      <c r="CQ41" s="1483"/>
      <c r="CR41" s="1483"/>
      <c r="CS41" s="1483"/>
      <c r="CT41" s="1483"/>
      <c r="CU41" s="1483"/>
      <c r="CV41" s="1483"/>
      <c r="CW41" s="1483"/>
      <c r="CX41" s="1483"/>
      <c r="CY41" s="1483"/>
      <c r="CZ41" s="1483"/>
      <c r="DA41" s="1483"/>
      <c r="DB41" s="1483"/>
      <c r="DC41" s="1483"/>
      <c r="DE41" s="2087"/>
      <c r="DG41"/>
    </row>
    <row r="42" spans="2:111" collapsed="1">
      <c r="B42" s="1516" t="s">
        <v>1362</v>
      </c>
      <c r="C42" s="1483"/>
      <c r="D42" s="1490"/>
      <c r="E42" s="1485">
        <f>AI42</f>
        <v>4.4260000000000002</v>
      </c>
      <c r="F42" s="1485">
        <f>AM42</f>
        <v>7.2060000000000004</v>
      </c>
      <c r="G42" s="1485">
        <f>AQ42</f>
        <v>5.5910000000000002</v>
      </c>
      <c r="H42" s="1485">
        <f>AU42</f>
        <v>2.6890000000000001</v>
      </c>
      <c r="I42" s="1485">
        <f>AY42</f>
        <v>0.67500000000000004</v>
      </c>
      <c r="J42" s="1485">
        <f>BC42</f>
        <v>1.552</v>
      </c>
      <c r="K42" s="1485">
        <f>BG42</f>
        <v>1.9770000000000001</v>
      </c>
      <c r="L42" s="1485">
        <f>BK42</f>
        <v>3.8079999999999998</v>
      </c>
      <c r="M42" s="1483">
        <f>BO42</f>
        <v>4.4989999999999997</v>
      </c>
      <c r="N42" s="1483">
        <f>BS42</f>
        <v>6.452</v>
      </c>
      <c r="O42" s="1483">
        <f>BW42</f>
        <v>7.9880000000000004</v>
      </c>
      <c r="P42" s="1483">
        <f>CA42</f>
        <v>11.542</v>
      </c>
      <c r="Q42" s="1483">
        <f>CE42</f>
        <v>15.206</v>
      </c>
      <c r="R42" s="1483">
        <f>CI42</f>
        <v>17.213999999999999</v>
      </c>
      <c r="S42" s="1483">
        <f>CM42</f>
        <v>21.361999999999998</v>
      </c>
      <c r="T42" s="1483">
        <f>CQ42</f>
        <v>40.121000000000002</v>
      </c>
      <c r="U42" s="1483">
        <f>CU42</f>
        <v>101.04600000000001</v>
      </c>
      <c r="V42" s="1483">
        <f>CY42</f>
        <v>78.704999999999998</v>
      </c>
      <c r="W42" s="1483">
        <f>+DC42</f>
        <v>78.704999999999998</v>
      </c>
      <c r="X42" s="1491">
        <f t="shared" ref="X42:Z44" si="72">W42</f>
        <v>78.704999999999998</v>
      </c>
      <c r="Y42" s="1491">
        <f t="shared" si="72"/>
        <v>78.704999999999998</v>
      </c>
      <c r="Z42" s="1491">
        <f t="shared" si="72"/>
        <v>78.704999999999998</v>
      </c>
      <c r="AA42" s="1491">
        <f t="shared" ref="AA42:AA44" si="73">Z42</f>
        <v>78.704999999999998</v>
      </c>
      <c r="AB42" s="1491">
        <f t="shared" ref="AB42:AB44" si="74">AA42</f>
        <v>78.704999999999998</v>
      </c>
      <c r="AC42" s="1491">
        <f t="shared" ref="AC42:AC44" si="75">AB42</f>
        <v>78.704999999999998</v>
      </c>
      <c r="AD42" s="1491">
        <f t="shared" ref="AD42:AD44" si="76">AC42</f>
        <v>78.704999999999998</v>
      </c>
      <c r="AE42" s="1483"/>
      <c r="AF42" s="1515"/>
      <c r="AG42" s="1484">
        <v>4.6870000000000003</v>
      </c>
      <c r="AH42" s="1484">
        <v>6.5350000000000001</v>
      </c>
      <c r="AI42" s="1484">
        <v>4.4260000000000002</v>
      </c>
      <c r="AJ42" s="1484">
        <v>5.415</v>
      </c>
      <c r="AK42" s="1484">
        <v>7</v>
      </c>
      <c r="AL42" s="1484">
        <v>7.0250000000000004</v>
      </c>
      <c r="AM42" s="1484">
        <v>7.2060000000000004</v>
      </c>
      <c r="AN42" s="1484">
        <v>7.39</v>
      </c>
      <c r="AO42" s="1484">
        <v>7.7560000000000002</v>
      </c>
      <c r="AP42" s="1484">
        <v>5.5620000000000003</v>
      </c>
      <c r="AQ42" s="1484">
        <v>5.5910000000000002</v>
      </c>
      <c r="AR42" s="1484">
        <v>4.133</v>
      </c>
      <c r="AS42" s="1484">
        <v>2.9830000000000001</v>
      </c>
      <c r="AT42" s="1484">
        <v>2.9329999999999998</v>
      </c>
      <c r="AU42" s="1484">
        <v>2.6890000000000001</v>
      </c>
      <c r="AV42" s="1484"/>
      <c r="AW42" s="1484"/>
      <c r="AX42" s="1484"/>
      <c r="AY42" s="1484">
        <v>0.67500000000000004</v>
      </c>
      <c r="AZ42" s="1484">
        <v>1.446</v>
      </c>
      <c r="BA42" s="1484">
        <v>0.89800000000000002</v>
      </c>
      <c r="BB42" s="1484">
        <v>0.95499999999999996</v>
      </c>
      <c r="BC42" s="1484">
        <v>1.552</v>
      </c>
      <c r="BD42" s="1484">
        <v>1.65</v>
      </c>
      <c r="BE42" s="1484">
        <v>1.7509999999999999</v>
      </c>
      <c r="BF42" s="1484">
        <v>1.855</v>
      </c>
      <c r="BG42" s="1484">
        <v>1.9770000000000001</v>
      </c>
      <c r="BH42" s="1484">
        <v>2.0859999999999999</v>
      </c>
      <c r="BI42" s="1484">
        <v>2.1970000000000001</v>
      </c>
      <c r="BJ42" s="1484">
        <v>3.7650000000000001</v>
      </c>
      <c r="BK42" s="1484">
        <v>3.8079999999999998</v>
      </c>
      <c r="BL42" s="1484">
        <v>3.629</v>
      </c>
      <c r="BM42" s="1484">
        <v>4.0380000000000003</v>
      </c>
      <c r="BN42" s="1484">
        <v>3.9860000000000002</v>
      </c>
      <c r="BO42" s="1484">
        <v>4.4989999999999997</v>
      </c>
      <c r="BP42" s="1485">
        <v>5.6749999999999998</v>
      </c>
      <c r="BQ42" s="1485">
        <v>6.0359999999999996</v>
      </c>
      <c r="BR42" s="1485">
        <v>6.3470000000000004</v>
      </c>
      <c r="BS42" s="1485">
        <v>6.452</v>
      </c>
      <c r="BT42" s="1485">
        <v>6.49</v>
      </c>
      <c r="BU42" s="1485">
        <v>7.9950000000000001</v>
      </c>
      <c r="BV42" s="1485">
        <v>7.6239999999999997</v>
      </c>
      <c r="BW42" s="1485">
        <v>7.9880000000000004</v>
      </c>
      <c r="BX42" s="1485">
        <v>8.3810000000000002</v>
      </c>
      <c r="BY42" s="1485">
        <v>9.4610000000000003</v>
      </c>
      <c r="BZ42" s="1485">
        <v>11.367000000000001</v>
      </c>
      <c r="CA42" s="1485">
        <v>11.542</v>
      </c>
      <c r="CB42" s="1485">
        <v>11.961</v>
      </c>
      <c r="CC42" s="1485">
        <v>12.978</v>
      </c>
      <c r="CD42" s="1485">
        <v>14.853</v>
      </c>
      <c r="CE42" s="1485">
        <v>15.206</v>
      </c>
      <c r="CF42" s="1485">
        <f>16.304+750</f>
        <v>766.30399999999997</v>
      </c>
      <c r="CG42" s="1485">
        <v>85.262</v>
      </c>
      <c r="CH42" s="1485">
        <v>16.978999999999999</v>
      </c>
      <c r="CI42" s="1485">
        <v>17.213999999999999</v>
      </c>
      <c r="CJ42" s="1485">
        <v>17.88</v>
      </c>
      <c r="CK42" s="1485"/>
      <c r="CL42" s="1485">
        <v>20.132000000000001</v>
      </c>
      <c r="CM42" s="1485">
        <v>21.361999999999998</v>
      </c>
      <c r="CN42" s="1485">
        <v>23.818999999999999</v>
      </c>
      <c r="CO42" s="1485">
        <v>26.832000000000001</v>
      </c>
      <c r="CP42" s="1485">
        <v>26.774999999999999</v>
      </c>
      <c r="CQ42" s="1485">
        <v>40.121000000000002</v>
      </c>
      <c r="CR42" s="1485">
        <v>48.325000000000003</v>
      </c>
      <c r="CS42" s="1485">
        <v>92.611000000000004</v>
      </c>
      <c r="CT42" s="1485">
        <v>92.12</v>
      </c>
      <c r="CU42" s="1485">
        <v>101.04600000000001</v>
      </c>
      <c r="CV42" s="1485">
        <v>99.201999999999998</v>
      </c>
      <c r="CW42" s="1485">
        <v>62.936999999999998</v>
      </c>
      <c r="CX42" s="1485">
        <v>60.201000000000001</v>
      </c>
      <c r="CY42" s="1485">
        <v>78.704999999999998</v>
      </c>
      <c r="CZ42" s="1483">
        <f t="shared" ref="CZ42:CZ44" si="77">CY42</f>
        <v>78.704999999999998</v>
      </c>
      <c r="DA42" s="1483">
        <f t="shared" ref="DA42:DA44" si="78">CZ42</f>
        <v>78.704999999999998</v>
      </c>
      <c r="DB42" s="1483">
        <f t="shared" ref="DB42:DB44" si="79">DA42</f>
        <v>78.704999999999998</v>
      </c>
      <c r="DC42" s="1483">
        <f t="shared" ref="DC42:DC44" si="80">DB42</f>
        <v>78.704999999999998</v>
      </c>
      <c r="DE42" s="2087"/>
      <c r="DG42"/>
    </row>
    <row r="43" spans="2:111">
      <c r="B43" s="1516" t="s">
        <v>1178</v>
      </c>
      <c r="C43" s="1483"/>
      <c r="D43" s="1490"/>
      <c r="E43" s="1485"/>
      <c r="F43" s="1485"/>
      <c r="G43" s="1485"/>
      <c r="H43" s="1485"/>
      <c r="I43" s="1485"/>
      <c r="J43" s="1485">
        <f>BC43</f>
        <v>1.159</v>
      </c>
      <c r="K43" s="1485">
        <f>BG43</f>
        <v>2.15</v>
      </c>
      <c r="L43" s="1485">
        <f>BK43</f>
        <v>16.581</v>
      </c>
      <c r="M43" s="1483">
        <f>BO43</f>
        <v>52.054000000000002</v>
      </c>
      <c r="N43" s="1483">
        <f>BS43</f>
        <v>58.911999999999999</v>
      </c>
      <c r="O43" s="1483">
        <f>BW43</f>
        <v>19.978000000000002</v>
      </c>
      <c r="P43" s="1483">
        <f>CA43</f>
        <v>87.44</v>
      </c>
      <c r="Q43" s="1483">
        <f>CE43</f>
        <v>52.16</v>
      </c>
      <c r="R43" s="1483">
        <f>CI43</f>
        <v>53.508000000000003</v>
      </c>
      <c r="S43" s="1483">
        <f>CM43</f>
        <v>59.466000000000001</v>
      </c>
      <c r="T43" s="1483">
        <f>CQ43</f>
        <v>768.40800000000002</v>
      </c>
      <c r="U43" s="1483">
        <f>CU43</f>
        <v>67.927999999999997</v>
      </c>
      <c r="V43" s="1483">
        <f>CY43</f>
        <v>64.491</v>
      </c>
      <c r="W43" s="1483">
        <f>+DC43</f>
        <v>64.491</v>
      </c>
      <c r="X43" s="1491">
        <f t="shared" si="72"/>
        <v>64.491</v>
      </c>
      <c r="Y43" s="1491">
        <f t="shared" si="72"/>
        <v>64.491</v>
      </c>
      <c r="Z43" s="1491">
        <f t="shared" si="72"/>
        <v>64.491</v>
      </c>
      <c r="AA43" s="1491">
        <f t="shared" si="73"/>
        <v>64.491</v>
      </c>
      <c r="AB43" s="1491">
        <f t="shared" si="74"/>
        <v>64.491</v>
      </c>
      <c r="AC43" s="1491">
        <f t="shared" si="75"/>
        <v>64.491</v>
      </c>
      <c r="AD43" s="1491">
        <f t="shared" si="76"/>
        <v>64.491</v>
      </c>
      <c r="AE43" s="1483"/>
      <c r="AF43" s="1515"/>
      <c r="AG43" s="1484"/>
      <c r="AH43" s="1484"/>
      <c r="AI43" s="1484"/>
      <c r="AJ43" s="1484"/>
      <c r="AK43" s="1484"/>
      <c r="AL43" s="1484"/>
      <c r="AM43" s="1484"/>
      <c r="AN43" s="1484"/>
      <c r="AO43" s="1484"/>
      <c r="AP43" s="1484"/>
      <c r="AQ43" s="1484"/>
      <c r="AR43" s="1484"/>
      <c r="AS43" s="1484"/>
      <c r="AT43" s="1484"/>
      <c r="AU43" s="1484"/>
      <c r="AV43" s="1484"/>
      <c r="AW43" s="1484"/>
      <c r="AX43" s="1484"/>
      <c r="AY43" s="1484"/>
      <c r="AZ43" s="1484"/>
      <c r="BA43" s="1484"/>
      <c r="BB43" s="1484"/>
      <c r="BC43" s="1484">
        <v>1.159</v>
      </c>
      <c r="BD43" s="1484">
        <v>1.2849999999999999</v>
      </c>
      <c r="BE43" s="1484">
        <v>1.3109999999999999</v>
      </c>
      <c r="BF43" s="1484">
        <v>1.337</v>
      </c>
      <c r="BG43" s="1484">
        <v>2.15</v>
      </c>
      <c r="BH43" s="1484">
        <v>2.242</v>
      </c>
      <c r="BI43" s="1484">
        <v>2.2879999999999998</v>
      </c>
      <c r="BJ43" s="1484">
        <v>3.1619999999999999</v>
      </c>
      <c r="BK43" s="1484">
        <v>16.581</v>
      </c>
      <c r="BL43" s="1484">
        <v>28.318999999999999</v>
      </c>
      <c r="BM43" s="1484">
        <v>37.088999999999999</v>
      </c>
      <c r="BN43" s="1484">
        <v>41.485999999999997</v>
      </c>
      <c r="BO43" s="1484">
        <v>52.054000000000002</v>
      </c>
      <c r="BP43" s="1485">
        <v>51.929000000000002</v>
      </c>
      <c r="BQ43" s="1485">
        <v>52.113</v>
      </c>
      <c r="BR43" s="1485">
        <v>53.100999999999999</v>
      </c>
      <c r="BS43" s="1485">
        <v>58.911999999999999</v>
      </c>
      <c r="BT43" s="1485">
        <v>56.225000000000001</v>
      </c>
      <c r="BU43" s="1485">
        <v>21.968</v>
      </c>
      <c r="BV43" s="1485">
        <v>22.48</v>
      </c>
      <c r="BW43" s="1485">
        <v>19.978000000000002</v>
      </c>
      <c r="BX43" s="1485">
        <v>20.204000000000001</v>
      </c>
      <c r="BY43" s="1485">
        <v>31.459</v>
      </c>
      <c r="BZ43" s="1485">
        <v>74.652000000000001</v>
      </c>
      <c r="CA43" s="1485">
        <v>87.44</v>
      </c>
      <c r="CB43" s="1485">
        <v>75.361000000000004</v>
      </c>
      <c r="CC43" s="1485">
        <v>72.790999999999997</v>
      </c>
      <c r="CD43" s="1485">
        <v>49.332000000000001</v>
      </c>
      <c r="CE43" s="1485">
        <v>52.16</v>
      </c>
      <c r="CF43" s="1485">
        <v>47.35</v>
      </c>
      <c r="CG43" s="1485">
        <v>40.36</v>
      </c>
      <c r="CH43" s="1485">
        <v>40.185000000000002</v>
      </c>
      <c r="CI43" s="1485">
        <v>53.508000000000003</v>
      </c>
      <c r="CJ43" s="1485">
        <v>54.122</v>
      </c>
      <c r="CK43" s="1485"/>
      <c r="CL43" s="1485">
        <v>57.767000000000003</v>
      </c>
      <c r="CM43" s="1485">
        <v>59.466000000000001</v>
      </c>
      <c r="CN43" s="1485">
        <v>54.939</v>
      </c>
      <c r="CO43" s="1485">
        <v>59.040999999999997</v>
      </c>
      <c r="CP43" s="1485">
        <v>55.024000000000001</v>
      </c>
      <c r="CQ43" s="1485">
        <v>768.40800000000002</v>
      </c>
      <c r="CR43" s="1485">
        <v>487.065</v>
      </c>
      <c r="CS43" s="1485">
        <v>511.33100000000002</v>
      </c>
      <c r="CT43" s="1485">
        <v>518.98500000000001</v>
      </c>
      <c r="CU43" s="1485">
        <v>67.927999999999997</v>
      </c>
      <c r="CV43" s="1485">
        <v>80.799000000000007</v>
      </c>
      <c r="CW43" s="1485">
        <v>83.022000000000006</v>
      </c>
      <c r="CX43" s="1485">
        <v>84.454999999999998</v>
      </c>
      <c r="CY43" s="1485">
        <v>64.491</v>
      </c>
      <c r="CZ43" s="1483">
        <f t="shared" si="77"/>
        <v>64.491</v>
      </c>
      <c r="DA43" s="1483">
        <f t="shared" si="78"/>
        <v>64.491</v>
      </c>
      <c r="DB43" s="1483">
        <f t="shared" si="79"/>
        <v>64.491</v>
      </c>
      <c r="DC43" s="1483">
        <f t="shared" si="80"/>
        <v>64.491</v>
      </c>
      <c r="DE43" s="2087"/>
      <c r="DG43"/>
    </row>
    <row r="44" spans="2:111">
      <c r="B44" s="1516" t="s">
        <v>1235</v>
      </c>
      <c r="C44" s="1483"/>
      <c r="D44" s="1490"/>
      <c r="E44" s="1485"/>
      <c r="F44" s="1485"/>
      <c r="G44" s="1485"/>
      <c r="H44" s="1485"/>
      <c r="I44" s="1485"/>
      <c r="J44" s="1485"/>
      <c r="K44" s="1485"/>
      <c r="L44" s="1485"/>
      <c r="M44" s="1483">
        <f>BO44</f>
        <v>19.149999999999999</v>
      </c>
      <c r="N44" s="1483">
        <f>BS44</f>
        <v>0</v>
      </c>
      <c r="O44" s="1483">
        <f>BW44</f>
        <v>0</v>
      </c>
      <c r="P44" s="1483">
        <f>CA44</f>
        <v>246.315</v>
      </c>
      <c r="Q44" s="1483">
        <f>CE44</f>
        <v>0</v>
      </c>
      <c r="R44" s="1483">
        <f>CI44</f>
        <v>0</v>
      </c>
      <c r="S44" s="1483">
        <f>CM44</f>
        <v>0</v>
      </c>
      <c r="T44" s="1483">
        <f>CQ44</f>
        <v>146.12100000000001</v>
      </c>
      <c r="U44" s="1483">
        <f>CU44</f>
        <v>0</v>
      </c>
      <c r="V44" s="1483">
        <f>CY44</f>
        <v>0</v>
      </c>
      <c r="W44" s="1483">
        <f>+DC44</f>
        <v>0</v>
      </c>
      <c r="X44" s="1491">
        <f t="shared" si="72"/>
        <v>0</v>
      </c>
      <c r="Y44" s="1491">
        <f t="shared" si="72"/>
        <v>0</v>
      </c>
      <c r="Z44" s="1491">
        <f t="shared" si="72"/>
        <v>0</v>
      </c>
      <c r="AA44" s="1491">
        <f t="shared" si="73"/>
        <v>0</v>
      </c>
      <c r="AB44" s="1491">
        <f t="shared" si="74"/>
        <v>0</v>
      </c>
      <c r="AC44" s="1491">
        <f t="shared" si="75"/>
        <v>0</v>
      </c>
      <c r="AD44" s="1491">
        <f t="shared" si="76"/>
        <v>0</v>
      </c>
      <c r="AE44" s="1483"/>
      <c r="AF44" s="1515"/>
      <c r="AG44" s="1484"/>
      <c r="AH44" s="1484"/>
      <c r="AI44" s="1484"/>
      <c r="AJ44" s="1484"/>
      <c r="AK44" s="1484"/>
      <c r="AL44" s="1484"/>
      <c r="AM44" s="1484"/>
      <c r="AN44" s="1484"/>
      <c r="AO44" s="1484"/>
      <c r="AP44" s="1484"/>
      <c r="AQ44" s="1484"/>
      <c r="AR44" s="1484"/>
      <c r="AS44" s="1484"/>
      <c r="AT44" s="1484"/>
      <c r="AU44" s="1484"/>
      <c r="AV44" s="1484"/>
      <c r="AW44" s="1484"/>
      <c r="AX44" s="1484"/>
      <c r="AY44" s="1484"/>
      <c r="AZ44" s="1484"/>
      <c r="BA44" s="1484"/>
      <c r="BB44" s="1484"/>
      <c r="BC44" s="1484"/>
      <c r="BD44" s="1484"/>
      <c r="BE44" s="1484"/>
      <c r="BF44" s="1484"/>
      <c r="BG44" s="1484"/>
      <c r="BH44" s="1484"/>
      <c r="BI44" s="1484"/>
      <c r="BJ44" s="1484"/>
      <c r="BK44" s="1484"/>
      <c r="BL44" s="1484">
        <v>32.25</v>
      </c>
      <c r="BM44" s="1484">
        <v>32.25</v>
      </c>
      <c r="BN44" s="1484">
        <v>32.25</v>
      </c>
      <c r="BO44" s="1484">
        <v>19.149999999999999</v>
      </c>
      <c r="BP44" s="1485">
        <v>19.149999999999999</v>
      </c>
      <c r="BQ44" s="1485">
        <v>0</v>
      </c>
      <c r="BR44" s="1485">
        <v>0</v>
      </c>
      <c r="BS44" s="1485">
        <v>0</v>
      </c>
      <c r="BT44" s="1485">
        <f>BS44</f>
        <v>0</v>
      </c>
      <c r="BU44" s="1485">
        <f>BT44</f>
        <v>0</v>
      </c>
      <c r="BV44" s="1485">
        <f>BU44</f>
        <v>0</v>
      </c>
      <c r="BW44" s="1485">
        <f>BV44</f>
        <v>0</v>
      </c>
      <c r="BX44" s="1485">
        <f>BW44</f>
        <v>0</v>
      </c>
      <c r="BY44" s="1485">
        <v>240.13399999999999</v>
      </c>
      <c r="BZ44" s="1485">
        <v>243.17599999999999</v>
      </c>
      <c r="CA44" s="1485">
        <v>246.315</v>
      </c>
      <c r="CB44" s="1485">
        <v>249.47399999999999</v>
      </c>
      <c r="CC44" s="1485"/>
      <c r="CD44" s="1485"/>
      <c r="CE44" s="1485"/>
      <c r="CF44" s="1485"/>
      <c r="CG44" s="1485"/>
      <c r="CH44" s="1485"/>
      <c r="CI44" s="1485"/>
      <c r="CJ44" s="1485"/>
      <c r="CK44" s="1485"/>
      <c r="CL44" s="1485"/>
      <c r="CM44" s="1485"/>
      <c r="CN44" s="1485"/>
      <c r="CO44" s="1485">
        <v>149.78</v>
      </c>
      <c r="CP44" s="1485">
        <v>151.535</v>
      </c>
      <c r="CQ44" s="1485">
        <v>146.12100000000001</v>
      </c>
      <c r="CR44" s="1485">
        <v>148.28200000000001</v>
      </c>
      <c r="CS44" s="1485"/>
      <c r="CT44" s="1485"/>
      <c r="CU44" s="1485"/>
      <c r="CV44" s="1485"/>
      <c r="CW44" s="1485"/>
      <c r="CX44" s="1485"/>
      <c r="CY44" s="1485"/>
      <c r="CZ44" s="1483">
        <f t="shared" si="77"/>
        <v>0</v>
      </c>
      <c r="DA44" s="1483">
        <f t="shared" si="78"/>
        <v>0</v>
      </c>
      <c r="DB44" s="1483">
        <f t="shared" si="79"/>
        <v>0</v>
      </c>
      <c r="DC44" s="1483">
        <f t="shared" si="80"/>
        <v>0</v>
      </c>
      <c r="DE44" s="2087"/>
      <c r="DG44"/>
    </row>
    <row r="45" spans="2:111">
      <c r="B45" s="1516" t="s">
        <v>1134</v>
      </c>
      <c r="C45" s="1483"/>
      <c r="D45" s="1517"/>
      <c r="E45" s="1518">
        <f>AI45</f>
        <v>1.6459999999999999</v>
      </c>
      <c r="F45" s="1518">
        <f>AM45</f>
        <v>1.8069999999999999</v>
      </c>
      <c r="G45" s="1518">
        <f>AQ45</f>
        <v>4.4130000000000003</v>
      </c>
      <c r="H45" s="1518">
        <f>AU45</f>
        <v>3.843</v>
      </c>
      <c r="I45" s="1518">
        <f>AY45</f>
        <v>6.8769999999999998</v>
      </c>
      <c r="J45" s="1518">
        <f>BC45</f>
        <v>7.9720000000000004</v>
      </c>
      <c r="K45" s="1518">
        <f>BG45</f>
        <v>10.151</v>
      </c>
      <c r="L45" s="1518">
        <f>BK45</f>
        <v>25.5</v>
      </c>
      <c r="M45" s="1519">
        <f>BO45</f>
        <v>50.454999999999998</v>
      </c>
      <c r="N45" s="1519">
        <f>BS45</f>
        <v>41.165999999999997</v>
      </c>
      <c r="O45" s="1519">
        <f>BW45</f>
        <v>52.628</v>
      </c>
      <c r="P45" s="1519">
        <f>CA45</f>
        <v>57.69</v>
      </c>
      <c r="Q45" s="1519">
        <f>CE45</f>
        <v>149.34399999999999</v>
      </c>
      <c r="R45" s="1519">
        <f>CI45</f>
        <v>147.958</v>
      </c>
      <c r="S45" s="1519">
        <f>CM45</f>
        <v>162.66399999999999</v>
      </c>
      <c r="T45" s="1519">
        <f>CQ45</f>
        <v>195.821</v>
      </c>
      <c r="U45" s="1519">
        <f>CU45</f>
        <v>133.13999999999999</v>
      </c>
      <c r="V45" s="1519">
        <f>CY45</f>
        <v>159.91399999999999</v>
      </c>
      <c r="W45" s="1519">
        <f ca="1">+DC45</f>
        <v>169.63336847330334</v>
      </c>
      <c r="X45" s="1520">
        <f ca="1">W45*(X107/W107)</f>
        <v>184.60536412015446</v>
      </c>
      <c r="Y45" s="1520">
        <f ca="1">X45*(Y107/X107)</f>
        <v>198.65731685765104</v>
      </c>
      <c r="Z45" s="1520">
        <f ca="1">Y45*(Z107/Y107)</f>
        <v>211.79224100710445</v>
      </c>
      <c r="AA45" s="1520">
        <f t="shared" ref="AA45:AD45" ca="1" si="81">Z45*(AA107/Z107)</f>
        <v>224.79222413607476</v>
      </c>
      <c r="AB45" s="1520">
        <f t="shared" ca="1" si="81"/>
        <v>237.64822776827981</v>
      </c>
      <c r="AC45" s="1520">
        <f t="shared" ca="1" si="81"/>
        <v>250.35326132984267</v>
      </c>
      <c r="AD45" s="1520">
        <f t="shared" ca="1" si="81"/>
        <v>262.90173862927702</v>
      </c>
      <c r="AE45" s="1483"/>
      <c r="AF45" s="1521"/>
      <c r="AG45" s="1526">
        <v>1.069</v>
      </c>
      <c r="AH45" s="1526">
        <v>2.9510000000000001</v>
      </c>
      <c r="AI45" s="1526">
        <v>1.6459999999999999</v>
      </c>
      <c r="AJ45" s="1526">
        <v>2.3039999999999998</v>
      </c>
      <c r="AK45" s="1526">
        <v>2.3090000000000002</v>
      </c>
      <c r="AL45" s="1526">
        <v>2.1789999999999998</v>
      </c>
      <c r="AM45" s="1526">
        <v>1.8069999999999999</v>
      </c>
      <c r="AN45" s="1526">
        <v>1.458</v>
      </c>
      <c r="AO45" s="1526">
        <v>1.3979999999999999</v>
      </c>
      <c r="AP45" s="1526">
        <v>3.3969999999999998</v>
      </c>
      <c r="AQ45" s="1526">
        <v>4.4130000000000003</v>
      </c>
      <c r="AR45" s="1526">
        <v>4.0469999999999997</v>
      </c>
      <c r="AS45" s="1526">
        <v>2.8290000000000002</v>
      </c>
      <c r="AT45" s="1526">
        <v>3.2429999999999999</v>
      </c>
      <c r="AU45" s="1526">
        <v>3.843</v>
      </c>
      <c r="AV45" s="1526">
        <v>3.7010000000000001</v>
      </c>
      <c r="AW45" s="1526">
        <v>4.7969999999999997</v>
      </c>
      <c r="AX45" s="1526">
        <v>6.9960000000000004</v>
      </c>
      <c r="AY45" s="1526">
        <v>6.8769999999999998</v>
      </c>
      <c r="AZ45" s="1526">
        <v>5.8310000000000004</v>
      </c>
      <c r="BA45" s="1526">
        <v>6.6630000000000003</v>
      </c>
      <c r="BB45" s="1526">
        <v>8.4280000000000008</v>
      </c>
      <c r="BC45" s="1526">
        <v>7.9720000000000004</v>
      </c>
      <c r="BD45" s="1526">
        <v>7.1139999999999999</v>
      </c>
      <c r="BE45" s="1526">
        <v>7.2380000000000004</v>
      </c>
      <c r="BF45" s="1526">
        <v>8.5169999999999995</v>
      </c>
      <c r="BG45" s="1526">
        <v>10.151</v>
      </c>
      <c r="BH45" s="1526">
        <v>10.840999999999999</v>
      </c>
      <c r="BI45" s="1526">
        <v>11.903</v>
      </c>
      <c r="BJ45" s="1526">
        <v>22.141999999999999</v>
      </c>
      <c r="BK45" s="1526">
        <v>25.5</v>
      </c>
      <c r="BL45" s="1526">
        <v>32.619</v>
      </c>
      <c r="BM45" s="1526">
        <v>34.445</v>
      </c>
      <c r="BN45" s="1526">
        <v>33.582999999999998</v>
      </c>
      <c r="BO45" s="1526">
        <v>50.454999999999998</v>
      </c>
      <c r="BP45" s="1518">
        <v>47.247</v>
      </c>
      <c r="BQ45" s="1518">
        <v>46.259</v>
      </c>
      <c r="BR45" s="1518">
        <v>51.826999999999998</v>
      </c>
      <c r="BS45" s="1518">
        <v>41.165999999999997</v>
      </c>
      <c r="BT45" s="1518">
        <v>41.381</v>
      </c>
      <c r="BU45" s="1518">
        <v>45.530999999999999</v>
      </c>
      <c r="BV45" s="1518">
        <v>49.817999999999998</v>
      </c>
      <c r="BW45" s="1518">
        <v>52.628</v>
      </c>
      <c r="BX45" s="1518">
        <v>55.573999999999998</v>
      </c>
      <c r="BY45" s="1518">
        <v>59.006</v>
      </c>
      <c r="BZ45" s="1518">
        <v>55.686999999999998</v>
      </c>
      <c r="CA45" s="1518">
        <v>57.69</v>
      </c>
      <c r="CB45" s="1518">
        <v>61.521000000000001</v>
      </c>
      <c r="CC45" s="1518">
        <v>60.698</v>
      </c>
      <c r="CD45" s="1518">
        <f>22.745+70.304+69.488</f>
        <v>162.53700000000001</v>
      </c>
      <c r="CE45" s="1518">
        <v>149.34399999999999</v>
      </c>
      <c r="CF45" s="1518">
        <f>69.689+69.329</f>
        <v>139.01799999999997</v>
      </c>
      <c r="CG45" s="1518">
        <v>122.871</v>
      </c>
      <c r="CH45" s="1518">
        <v>123.02200000000001</v>
      </c>
      <c r="CI45" s="1518">
        <v>147.958</v>
      </c>
      <c r="CJ45" s="1518">
        <v>149.34299999999999</v>
      </c>
      <c r="CK45" s="1518">
        <v>0</v>
      </c>
      <c r="CL45" s="1518">
        <v>147.67599999999999</v>
      </c>
      <c r="CM45" s="1518">
        <v>162.66399999999999</v>
      </c>
      <c r="CN45" s="1518">
        <v>141.99600000000001</v>
      </c>
      <c r="CO45" s="1518">
        <v>138.33199999999999</v>
      </c>
      <c r="CP45" s="1518">
        <f>640.063+118.744</f>
        <v>758.80700000000002</v>
      </c>
      <c r="CQ45" s="1518">
        <f>192.286+3.535</f>
        <v>195.821</v>
      </c>
      <c r="CR45" s="1518">
        <f>171.925+124.571</f>
        <v>296.49599999999998</v>
      </c>
      <c r="CS45" s="1518">
        <f>142.113+152.124</f>
        <v>294.23699999999997</v>
      </c>
      <c r="CT45" s="1518">
        <f>149.516+14.66</f>
        <v>164.17599999999999</v>
      </c>
      <c r="CU45" s="1518">
        <v>133.13999999999999</v>
      </c>
      <c r="CV45" s="1518">
        <v>133.93199999999999</v>
      </c>
      <c r="CW45" s="1518">
        <v>140.50200000000001</v>
      </c>
      <c r="CX45" s="1518">
        <v>149.29499999999999</v>
      </c>
      <c r="CY45" s="1518">
        <v>159.91399999999999</v>
      </c>
      <c r="CZ45" s="1519">
        <f t="shared" ref="CZ45:DC45" ca="1" si="82">CY45*(CZ107/CY107)</f>
        <v>157.46011557283342</v>
      </c>
      <c r="DA45" s="1519">
        <f t="shared" ca="1" si="82"/>
        <v>160.63912980401992</v>
      </c>
      <c r="DB45" s="1519">
        <f t="shared" ca="1" si="82"/>
        <v>165.0208049369777</v>
      </c>
      <c r="DC45" s="1519">
        <f t="shared" ca="1" si="82"/>
        <v>169.63336847330334</v>
      </c>
      <c r="DE45" s="2087"/>
      <c r="DG45"/>
    </row>
    <row r="46" spans="2:111">
      <c r="B46" s="1522" t="s">
        <v>1026</v>
      </c>
      <c r="C46" s="1483"/>
      <c r="D46" s="1483"/>
      <c r="E46" s="1485">
        <f t="shared" ref="E46:Z46" si="83">SUM(E33:E45)</f>
        <v>111.29900000000001</v>
      </c>
      <c r="F46" s="1485">
        <f t="shared" si="83"/>
        <v>63.329000000000008</v>
      </c>
      <c r="G46" s="1485">
        <f t="shared" si="83"/>
        <v>46.171000000000006</v>
      </c>
      <c r="H46" s="1485">
        <f t="shared" si="83"/>
        <v>38.525999999999996</v>
      </c>
      <c r="I46" s="1485">
        <f t="shared" si="83"/>
        <v>32.238</v>
      </c>
      <c r="J46" s="1485">
        <f t="shared" si="83"/>
        <v>91.423000000000016</v>
      </c>
      <c r="K46" s="1485">
        <f t="shared" si="83"/>
        <v>78.352999999999994</v>
      </c>
      <c r="L46" s="1485">
        <f t="shared" si="83"/>
        <v>191.46200000000002</v>
      </c>
      <c r="M46" s="1483">
        <f t="shared" si="83"/>
        <v>289.99299999999999</v>
      </c>
      <c r="N46" s="1483">
        <f t="shared" si="83"/>
        <v>315.459</v>
      </c>
      <c r="O46" s="1483">
        <f t="shared" si="83"/>
        <v>318.11500000000001</v>
      </c>
      <c r="P46" s="1483">
        <f t="shared" si="83"/>
        <v>725.25399999999991</v>
      </c>
      <c r="Q46" s="1483">
        <f t="shared" si="83"/>
        <v>549.07200000000012</v>
      </c>
      <c r="R46" s="1483">
        <f t="shared" si="83"/>
        <v>546.50400000000002</v>
      </c>
      <c r="S46" s="1483">
        <f t="shared" si="83"/>
        <v>643.75700000000006</v>
      </c>
      <c r="T46" s="1483">
        <f t="shared" si="83"/>
        <v>1656.354</v>
      </c>
      <c r="U46" s="1483">
        <f t="shared" si="83"/>
        <v>1028.6950000000002</v>
      </c>
      <c r="V46" s="1483">
        <f>SUM(V33:V45)</f>
        <v>1247.335</v>
      </c>
      <c r="W46" s="1483">
        <f ca="1">SUM(W33:W45)</f>
        <v>1300.769889378307</v>
      </c>
      <c r="X46" s="1491">
        <f t="shared" ca="1" si="83"/>
        <v>1351.535794515074</v>
      </c>
      <c r="Y46" s="1491">
        <f t="shared" ca="1" si="83"/>
        <v>1426.3889497620639</v>
      </c>
      <c r="Z46" s="1491">
        <f t="shared" ca="1" si="83"/>
        <v>1496.3571979396218</v>
      </c>
      <c r="AA46" s="1491">
        <f t="shared" ref="AA46:AD46" ca="1" si="84">SUM(AA33:AA45)</f>
        <v>1565.6066306369328</v>
      </c>
      <c r="AB46" s="1491">
        <f t="shared" ca="1" si="84"/>
        <v>1634.0891009180527</v>
      </c>
      <c r="AC46" s="1491">
        <f t="shared" ca="1" si="84"/>
        <v>1701.7673707904082</v>
      </c>
      <c r="AD46" s="1491">
        <f t="shared" ca="1" si="84"/>
        <v>1768.6116832468151</v>
      </c>
      <c r="AE46" s="1483"/>
      <c r="AF46" s="1483"/>
      <c r="AG46" s="1483">
        <f t="shared" ref="AG46:BL46" si="85">SUM(AG33:AG45)</f>
        <v>66.320999999999998</v>
      </c>
      <c r="AH46" s="1483">
        <f t="shared" si="85"/>
        <v>90.272999999999996</v>
      </c>
      <c r="AI46" s="1483">
        <f t="shared" si="85"/>
        <v>111.29900000000001</v>
      </c>
      <c r="AJ46" s="1483">
        <f t="shared" si="85"/>
        <v>84.405000000000015</v>
      </c>
      <c r="AK46" s="1483">
        <f t="shared" si="85"/>
        <v>50.965000000000003</v>
      </c>
      <c r="AL46" s="1483">
        <f t="shared" si="85"/>
        <v>112.92800000000001</v>
      </c>
      <c r="AM46" s="1483">
        <f t="shared" si="85"/>
        <v>63.329000000000008</v>
      </c>
      <c r="AN46" s="1483">
        <f t="shared" si="85"/>
        <v>42.85</v>
      </c>
      <c r="AO46" s="1483">
        <f t="shared" si="85"/>
        <v>126.996</v>
      </c>
      <c r="AP46" s="1483">
        <f t="shared" si="85"/>
        <v>125.202</v>
      </c>
      <c r="AQ46" s="1483">
        <f t="shared" si="85"/>
        <v>46.171000000000006</v>
      </c>
      <c r="AR46" s="1483">
        <f t="shared" si="85"/>
        <v>30.727999999999998</v>
      </c>
      <c r="AS46" s="1483">
        <f t="shared" si="85"/>
        <v>29.245000000000001</v>
      </c>
      <c r="AT46" s="1483">
        <f t="shared" si="85"/>
        <v>34.895000000000003</v>
      </c>
      <c r="AU46" s="1483">
        <f t="shared" si="85"/>
        <v>38.525999999999996</v>
      </c>
      <c r="AV46" s="1483">
        <f t="shared" si="85"/>
        <v>24.371000000000002</v>
      </c>
      <c r="AW46" s="1483">
        <f t="shared" si="85"/>
        <v>24.364000000000001</v>
      </c>
      <c r="AX46" s="1483">
        <f t="shared" si="85"/>
        <v>30.936</v>
      </c>
      <c r="AY46" s="1483">
        <f t="shared" si="85"/>
        <v>32.238</v>
      </c>
      <c r="AZ46" s="1483">
        <f t="shared" si="85"/>
        <v>30.138000000000002</v>
      </c>
      <c r="BA46" s="1483">
        <f t="shared" si="85"/>
        <v>36.969000000000001</v>
      </c>
      <c r="BB46" s="1483">
        <f t="shared" si="85"/>
        <v>39.221999999999994</v>
      </c>
      <c r="BC46" s="1483">
        <f t="shared" si="85"/>
        <v>91.423000000000016</v>
      </c>
      <c r="BD46" s="1483">
        <f t="shared" si="85"/>
        <v>62.588999999999999</v>
      </c>
      <c r="BE46" s="1483">
        <f t="shared" si="85"/>
        <v>69.38</v>
      </c>
      <c r="BF46" s="1483">
        <f t="shared" si="85"/>
        <v>107.16100000000002</v>
      </c>
      <c r="BG46" s="1483">
        <f t="shared" si="85"/>
        <v>78.352999999999994</v>
      </c>
      <c r="BH46" s="1483">
        <f t="shared" si="85"/>
        <v>93.274999999999991</v>
      </c>
      <c r="BI46" s="1483">
        <f t="shared" si="85"/>
        <v>136.71599999999998</v>
      </c>
      <c r="BJ46" s="1483">
        <f t="shared" si="85"/>
        <v>198.01899999999998</v>
      </c>
      <c r="BK46" s="1483">
        <f t="shared" si="85"/>
        <v>191.46200000000002</v>
      </c>
      <c r="BL46" s="1483">
        <f t="shared" si="85"/>
        <v>244.89899999999997</v>
      </c>
      <c r="BM46" s="1483">
        <f t="shared" ref="BM46:CP46" si="86">SUM(BM33:BM45)</f>
        <v>235.57300000000001</v>
      </c>
      <c r="BN46" s="1483">
        <f t="shared" si="86"/>
        <v>239.07599999999996</v>
      </c>
      <c r="BO46" s="1483">
        <f t="shared" si="86"/>
        <v>289.99299999999999</v>
      </c>
      <c r="BP46" s="1483">
        <f t="shared" si="86"/>
        <v>256.32400000000001</v>
      </c>
      <c r="BQ46" s="1483">
        <f t="shared" si="86"/>
        <v>252.63499999999999</v>
      </c>
      <c r="BR46" s="1483">
        <f t="shared" si="86"/>
        <v>280.161</v>
      </c>
      <c r="BS46" s="1483">
        <f t="shared" si="86"/>
        <v>315.459</v>
      </c>
      <c r="BT46" s="1483">
        <f t="shared" si="86"/>
        <v>316.10699999999997</v>
      </c>
      <c r="BU46" s="1483">
        <f t="shared" si="86"/>
        <v>299.56899999999996</v>
      </c>
      <c r="BV46" s="1483">
        <f t="shared" si="86"/>
        <v>311.02499999999998</v>
      </c>
      <c r="BW46" s="1483">
        <f t="shared" si="86"/>
        <v>318.11500000000001</v>
      </c>
      <c r="BX46" s="1483">
        <f t="shared" si="86"/>
        <v>343.274</v>
      </c>
      <c r="BY46" s="1483">
        <f t="shared" si="86"/>
        <v>620.45100000000002</v>
      </c>
      <c r="BZ46" s="1483">
        <f t="shared" si="86"/>
        <v>656.15600000000006</v>
      </c>
      <c r="CA46" s="1483">
        <f t="shared" si="86"/>
        <v>725.25399999999991</v>
      </c>
      <c r="CB46" s="1483">
        <f t="shared" si="86"/>
        <v>718.08299999999986</v>
      </c>
      <c r="CC46" s="1483">
        <f t="shared" si="86"/>
        <v>491.15899999999999</v>
      </c>
      <c r="CD46" s="1483">
        <f t="shared" si="86"/>
        <v>612.45899999999995</v>
      </c>
      <c r="CE46" s="1483">
        <f t="shared" si="86"/>
        <v>549.07200000000012</v>
      </c>
      <c r="CF46" s="1483">
        <f t="shared" si="86"/>
        <v>1265.71</v>
      </c>
      <c r="CG46" s="1483">
        <f t="shared" si="86"/>
        <v>607.53499999999997</v>
      </c>
      <c r="CH46" s="1483">
        <f t="shared" si="86"/>
        <v>570.78899999999999</v>
      </c>
      <c r="CI46" s="1483">
        <f t="shared" si="86"/>
        <v>546.50400000000002</v>
      </c>
      <c r="CJ46" s="1483">
        <f t="shared" si="86"/>
        <v>595.15600000000006</v>
      </c>
      <c r="CK46" s="1483">
        <f t="shared" si="86"/>
        <v>306.12299999999999</v>
      </c>
      <c r="CL46" s="1483">
        <f t="shared" si="86"/>
        <v>668.2</v>
      </c>
      <c r="CM46" s="1483">
        <f t="shared" si="86"/>
        <v>643.75700000000006</v>
      </c>
      <c r="CN46" s="1483">
        <f t="shared" si="86"/>
        <v>666.35500000000002</v>
      </c>
      <c r="CO46" s="1483">
        <f t="shared" si="86"/>
        <v>817.73199999999986</v>
      </c>
      <c r="CP46" s="1483">
        <f t="shared" si="86"/>
        <v>1464.114</v>
      </c>
      <c r="CQ46" s="1483">
        <f t="shared" ref="CQ46:CT46" si="87">SUM(CQ33:CQ45)</f>
        <v>1656.354</v>
      </c>
      <c r="CR46" s="1483">
        <f t="shared" si="87"/>
        <v>1580.1950000000002</v>
      </c>
      <c r="CS46" s="1483">
        <f t="shared" si="87"/>
        <v>1559.779</v>
      </c>
      <c r="CT46" s="1483">
        <f t="shared" si="87"/>
        <v>1495.5659999999998</v>
      </c>
      <c r="CU46" s="1483">
        <f>SUM(CU33:CU45)</f>
        <v>1028.6950000000002</v>
      </c>
      <c r="CV46" s="1483">
        <f>SUM(CV33:CV45)</f>
        <v>1020.068</v>
      </c>
      <c r="CW46" s="1483">
        <f>SUM(CW33:CW45)</f>
        <v>1091.4349999999999</v>
      </c>
      <c r="CX46" s="1483">
        <f>SUM(CX33:CX45)</f>
        <v>1156.624</v>
      </c>
      <c r="CY46" s="1483">
        <f>SUM(CY33:CY45)</f>
        <v>1247.335</v>
      </c>
      <c r="CZ46" s="1483">
        <f t="shared" ref="CZ46:DC46" ca="1" si="88">SUM(CZ33:CZ45)</f>
        <v>1233.8440984797053</v>
      </c>
      <c r="DA46" s="1483">
        <f t="shared" ca="1" si="88"/>
        <v>1251.3215996406193</v>
      </c>
      <c r="DB46" s="1483">
        <f t="shared" ca="1" si="88"/>
        <v>1275.4110584016885</v>
      </c>
      <c r="DC46" s="1483">
        <f t="shared" ca="1" si="88"/>
        <v>1300.769889378307</v>
      </c>
      <c r="DE46" s="2087"/>
      <c r="DG46"/>
    </row>
    <row r="47" spans="2:111">
      <c r="B47" s="1497"/>
      <c r="C47" s="1483"/>
      <c r="D47" s="1483"/>
      <c r="E47" s="1485"/>
      <c r="F47" s="1485"/>
      <c r="G47" s="1485"/>
      <c r="H47" s="1485"/>
      <c r="I47" s="1485"/>
      <c r="J47" s="1485"/>
      <c r="K47" s="1485"/>
      <c r="L47" s="1485"/>
      <c r="M47" s="1483"/>
      <c r="N47" s="1483"/>
      <c r="O47" s="1483"/>
      <c r="P47" s="1483"/>
      <c r="Q47" s="1483"/>
      <c r="R47" s="1483"/>
      <c r="S47" s="1483"/>
      <c r="T47" s="1483"/>
      <c r="U47" s="1483"/>
      <c r="V47" s="1483"/>
      <c r="W47" s="1483"/>
      <c r="X47" s="1483"/>
      <c r="Y47" s="1483"/>
      <c r="Z47" s="1483"/>
      <c r="AA47" s="1483"/>
      <c r="AB47" s="1483"/>
      <c r="AC47" s="1483"/>
      <c r="AD47" s="1483"/>
      <c r="AE47" s="1483"/>
      <c r="AF47" s="1483"/>
      <c r="AG47" s="1483"/>
      <c r="AH47" s="1483"/>
      <c r="AI47" s="1483"/>
      <c r="AJ47" s="1483"/>
      <c r="AK47" s="1483"/>
      <c r="AL47" s="1483"/>
      <c r="AM47" s="1483"/>
      <c r="AN47" s="1483"/>
      <c r="AO47" s="1483"/>
      <c r="AP47" s="1483"/>
      <c r="AQ47" s="1483"/>
      <c r="AR47" s="1483"/>
      <c r="AS47" s="1483"/>
      <c r="AT47" s="1483"/>
      <c r="AU47" s="1483"/>
      <c r="AV47" s="1483"/>
      <c r="AW47" s="1483"/>
      <c r="AX47" s="1483"/>
      <c r="AY47" s="1483"/>
      <c r="AZ47" s="1483"/>
      <c r="BA47" s="1483"/>
      <c r="BB47" s="1483"/>
      <c r="BC47" s="1483"/>
      <c r="BD47" s="1483"/>
      <c r="BE47" s="1483"/>
      <c r="BF47" s="1483"/>
      <c r="BG47" s="1483"/>
      <c r="BH47" s="1483"/>
      <c r="BI47" s="1483"/>
      <c r="BJ47" s="1483"/>
      <c r="BK47" s="1483"/>
      <c r="BL47" s="1483"/>
      <c r="BM47" s="1483"/>
      <c r="BN47" s="1483"/>
      <c r="BO47" s="1483"/>
      <c r="BP47" s="1483"/>
      <c r="BQ47" s="1483"/>
      <c r="BR47" s="1483"/>
      <c r="BS47" s="1483"/>
      <c r="BT47" s="1483"/>
      <c r="BU47" s="1483"/>
      <c r="BV47" s="1483"/>
      <c r="BW47" s="1483"/>
      <c r="BX47" s="1483"/>
      <c r="BY47" s="1483"/>
      <c r="BZ47" s="1483"/>
      <c r="CA47" s="1483"/>
      <c r="CB47" s="1483"/>
      <c r="CC47" s="1483"/>
      <c r="CD47" s="1483"/>
      <c r="CE47" s="1483"/>
      <c r="CF47" s="1483"/>
      <c r="CG47" s="1483"/>
      <c r="CH47" s="1483"/>
      <c r="CI47" s="1483"/>
      <c r="CJ47" s="1483"/>
      <c r="CK47" s="1483"/>
      <c r="CL47" s="1483"/>
      <c r="CM47" s="1483"/>
      <c r="CN47" s="1483"/>
      <c r="CO47" s="1483"/>
      <c r="CP47" s="1483"/>
      <c r="CQ47" s="1483"/>
      <c r="CR47" s="1483"/>
      <c r="CS47" s="1483"/>
      <c r="CT47" s="1483"/>
      <c r="CU47" s="1483"/>
      <c r="CV47" s="1483"/>
      <c r="CW47" s="1483"/>
      <c r="CX47" s="1483"/>
      <c r="CY47" s="1483"/>
      <c r="CZ47" s="1483"/>
      <c r="DA47" s="1483"/>
      <c r="DB47" s="1483"/>
      <c r="DC47" s="1483"/>
      <c r="DE47" s="2087"/>
      <c r="DG47"/>
    </row>
    <row r="48" spans="2:111">
      <c r="B48" s="1527" t="s">
        <v>68</v>
      </c>
      <c r="C48" s="1483"/>
      <c r="D48" s="1483"/>
      <c r="E48" s="1485"/>
      <c r="F48" s="1485"/>
      <c r="G48" s="1485"/>
      <c r="H48" s="1485"/>
      <c r="I48" s="1485"/>
      <c r="J48" s="1485">
        <f>BC48</f>
        <v>86.25</v>
      </c>
      <c r="K48" s="1485">
        <f>BG48</f>
        <v>86.25</v>
      </c>
      <c r="L48" s="1485">
        <f>BK48</f>
        <v>678.23599999999999</v>
      </c>
      <c r="M48" s="1483">
        <f>BO48</f>
        <v>608.51</v>
      </c>
      <c r="N48" s="1483">
        <f>BS48</f>
        <v>893.70600000000002</v>
      </c>
      <c r="O48" s="1483">
        <f>BW48</f>
        <v>916.33699999999999</v>
      </c>
      <c r="P48" s="1483">
        <f>CA48</f>
        <v>694.76900000000001</v>
      </c>
      <c r="Q48" s="1483">
        <f>CE48</f>
        <v>708.726</v>
      </c>
      <c r="R48" s="1483">
        <f>CI48</f>
        <v>724.202</v>
      </c>
      <c r="S48" s="1483">
        <f>CM48</f>
        <v>145.85300000000001</v>
      </c>
      <c r="T48" s="1483">
        <f>CQ48</f>
        <v>0</v>
      </c>
      <c r="U48" s="1483">
        <f t="shared" ref="U48:W58" si="89">CU48</f>
        <v>0</v>
      </c>
      <c r="V48" s="1483"/>
      <c r="W48" s="1483"/>
      <c r="X48" s="1483"/>
      <c r="Y48" s="1483"/>
      <c r="Z48" s="1483"/>
      <c r="AA48" s="1483"/>
      <c r="AB48" s="1483"/>
      <c r="AC48" s="1483"/>
      <c r="AD48" s="1483"/>
      <c r="AE48" s="1483"/>
      <c r="AF48" s="1515"/>
      <c r="AG48" s="1484"/>
      <c r="AH48" s="1484"/>
      <c r="AI48" s="1484"/>
      <c r="AJ48" s="1484"/>
      <c r="AK48" s="1484"/>
      <c r="AL48" s="1484"/>
      <c r="AM48" s="1484"/>
      <c r="AN48" s="1484"/>
      <c r="AO48" s="1484"/>
      <c r="AP48" s="1484"/>
      <c r="AQ48" s="1484"/>
      <c r="AR48" s="1484"/>
      <c r="AS48" s="1484"/>
      <c r="AT48" s="1484"/>
      <c r="AU48" s="1484"/>
      <c r="AV48" s="1484"/>
      <c r="AW48" s="1484"/>
      <c r="AX48" s="1484"/>
      <c r="AY48" s="1484"/>
      <c r="AZ48" s="1484">
        <v>88.052999999999997</v>
      </c>
      <c r="BA48" s="1484">
        <v>88.2</v>
      </c>
      <c r="BB48" s="1484">
        <v>88.212000000000003</v>
      </c>
      <c r="BC48" s="1484">
        <v>86.25</v>
      </c>
      <c r="BD48" s="1484">
        <v>86.25</v>
      </c>
      <c r="BE48" s="1484">
        <v>86.25</v>
      </c>
      <c r="BF48" s="1484">
        <v>86.25</v>
      </c>
      <c r="BG48" s="1484">
        <v>86.25</v>
      </c>
      <c r="BH48" s="1484">
        <v>282.25</v>
      </c>
      <c r="BI48" s="1484">
        <v>282.25</v>
      </c>
      <c r="BJ48" s="1484">
        <v>678.23599999999999</v>
      </c>
      <c r="BK48" s="1484">
        <v>678.23599999999999</v>
      </c>
      <c r="BL48" s="1484">
        <v>645.98599999999999</v>
      </c>
      <c r="BM48" s="1484">
        <v>645.98599999999999</v>
      </c>
      <c r="BN48" s="1484">
        <v>645.98599999999999</v>
      </c>
      <c r="BO48" s="1484">
        <v>608.51</v>
      </c>
      <c r="BP48" s="1485">
        <v>611.02499999999998</v>
      </c>
      <c r="BQ48" s="1485">
        <v>883.13099999999997</v>
      </c>
      <c r="BR48" s="1485">
        <v>888.36400000000003</v>
      </c>
      <c r="BS48" s="1485">
        <v>893.70600000000002</v>
      </c>
      <c r="BT48" s="1485">
        <v>899.18200000000002</v>
      </c>
      <c r="BU48" s="1485">
        <v>904.76900000000001</v>
      </c>
      <c r="BV48" s="1485">
        <v>910.495</v>
      </c>
      <c r="BW48" s="1485">
        <v>916.33699999999999</v>
      </c>
      <c r="BX48" s="1485">
        <v>922.32500000000005</v>
      </c>
      <c r="BY48" s="1485">
        <v>688.3</v>
      </c>
      <c r="BZ48" s="1485">
        <v>691.52</v>
      </c>
      <c r="CA48" s="1485">
        <v>694.76900000000001</v>
      </c>
      <c r="CB48" s="1485">
        <v>698.15899999999999</v>
      </c>
      <c r="CC48" s="1485">
        <v>701.57799999999997</v>
      </c>
      <c r="CD48" s="1485">
        <v>705.12699999999995</v>
      </c>
      <c r="CE48" s="1485">
        <v>708.726</v>
      </c>
      <c r="CF48" s="1485">
        <v>712.47799999999995</v>
      </c>
      <c r="CG48" s="1485">
        <v>716.26499999999999</v>
      </c>
      <c r="CH48" s="1485">
        <v>720.21500000000003</v>
      </c>
      <c r="CI48" s="1485">
        <v>724.202</v>
      </c>
      <c r="CJ48" s="1485">
        <v>728.36099999999999</v>
      </c>
      <c r="CK48" s="1485">
        <v>320.91399999999999</v>
      </c>
      <c r="CL48" s="1485">
        <v>322.75700000000001</v>
      </c>
      <c r="CM48" s="1485">
        <v>145.85300000000001</v>
      </c>
      <c r="CN48" s="1485">
        <v>147.80799999999999</v>
      </c>
      <c r="CO48" s="1485"/>
      <c r="CP48" s="1485"/>
      <c r="CQ48" s="1485"/>
      <c r="CR48" s="1485"/>
      <c r="CS48" s="1485"/>
      <c r="CT48" s="1485"/>
      <c r="CU48" s="1485"/>
      <c r="CV48" s="1485"/>
      <c r="CW48" s="1485"/>
      <c r="CX48" s="1485"/>
      <c r="CY48" s="1485"/>
      <c r="CZ48" s="1483"/>
      <c r="DA48" s="1483"/>
      <c r="DB48" s="1483"/>
      <c r="DC48" s="1483"/>
      <c r="DE48" s="2087"/>
      <c r="DG48"/>
    </row>
    <row r="49" spans="1:118">
      <c r="B49" s="1527" t="s">
        <v>1244</v>
      </c>
      <c r="C49" s="1483"/>
      <c r="D49" s="1515"/>
      <c r="E49" s="1485">
        <f>AI49</f>
        <v>185.90799999999999</v>
      </c>
      <c r="F49" s="1485">
        <f>AM49</f>
        <v>187.88200000000001</v>
      </c>
      <c r="G49" s="1485">
        <f>AQ49</f>
        <v>28.908000000000001</v>
      </c>
      <c r="H49" s="1485">
        <f>AU49</f>
        <v>29.22</v>
      </c>
      <c r="I49" s="1485"/>
      <c r="J49" s="1485"/>
      <c r="K49" s="1485"/>
      <c r="L49" s="1485"/>
      <c r="M49" s="1483"/>
      <c r="N49" s="1483"/>
      <c r="O49" s="1483">
        <f>BW49</f>
        <v>750</v>
      </c>
      <c r="P49" s="1483">
        <f>CA49</f>
        <v>1500</v>
      </c>
      <c r="Q49" s="1483">
        <f>CE49</f>
        <v>1500</v>
      </c>
      <c r="R49" s="1483">
        <f>CI49</f>
        <v>2250</v>
      </c>
      <c r="S49" s="1483">
        <f>CM49</f>
        <v>2750</v>
      </c>
      <c r="T49" s="1483">
        <f>CQ49</f>
        <v>3804.634</v>
      </c>
      <c r="U49" s="1483">
        <f t="shared" si="89"/>
        <v>3810.77</v>
      </c>
      <c r="V49" s="1483">
        <f>CY49</f>
        <v>6923.8490000000002</v>
      </c>
      <c r="W49" s="1483">
        <f ca="1">+DC49</f>
        <v>6923.8490000000002</v>
      </c>
      <c r="X49" s="2107">
        <f ca="1">Capital!X302+Capital!X248+Capital!X254+Capital!X260+Capital!X266+Capital!X272+Capital!X278+Capital!X284+Capital!X290</f>
        <v>7423.8490000000002</v>
      </c>
      <c r="Y49" s="2107">
        <f ca="1">Capital!Y302+Capital!Y248+Capital!Y254+Capital!Y260+Capital!Y266+Capital!Y272+Capital!Y278+Capital!Y284+Capital!Y290</f>
        <v>7923.8490000000002</v>
      </c>
      <c r="Z49" s="2107">
        <f ca="1">Capital!Z302+Capital!Z248+Capital!Z254+Capital!Z260+Capital!Z266+Capital!Z272+Capital!Z278+Capital!Z284+Capital!Z290</f>
        <v>8423.8490000000002</v>
      </c>
      <c r="AA49" s="2107">
        <f ca="1">Capital!AA302+Capital!AA248+Capital!AA254+Capital!AA260+Capital!AA266+Capital!AA272+Capital!AA278+Capital!AA284+Capital!AA290</f>
        <v>8423.8490000000002</v>
      </c>
      <c r="AB49" s="2107">
        <f ca="1">Capital!AB302+Capital!AB248+Capital!AB254+Capital!AB260+Capital!AB266+Capital!AB272+Capital!AB278+Capital!AB284+Capital!AB290</f>
        <v>8423.8490000000002</v>
      </c>
      <c r="AC49" s="2107">
        <f ca="1">Capital!AC302+Capital!AC248+Capital!AC254+Capital!AC260+Capital!AC266+Capital!AC272+Capital!AC278+Capital!AC284+Capital!AC290</f>
        <v>8423.8490000000002</v>
      </c>
      <c r="AD49" s="2107">
        <f ca="1">Capital!AD302+Capital!AD248+Capital!AD254+Capital!AD260+Capital!AD266+Capital!AD272+Capital!AD278+Capital!AD284+Capital!AD290</f>
        <v>8423.8490000000002</v>
      </c>
      <c r="AE49" s="1483"/>
      <c r="AF49" s="1515"/>
      <c r="AG49" s="1484">
        <v>184.929</v>
      </c>
      <c r="AH49" s="1484">
        <v>185.41800000000001</v>
      </c>
      <c r="AI49" s="1484">
        <v>185.90799999999999</v>
      </c>
      <c r="AJ49" s="1484">
        <v>186.399</v>
      </c>
      <c r="AK49" s="1484">
        <v>186.892</v>
      </c>
      <c r="AL49" s="1484">
        <v>187.387</v>
      </c>
      <c r="AM49" s="1484">
        <v>187.88200000000001</v>
      </c>
      <c r="AN49" s="1484">
        <v>164.67</v>
      </c>
      <c r="AO49" s="1484">
        <v>138.93</v>
      </c>
      <c r="AP49" s="1484">
        <v>139.303</v>
      </c>
      <c r="AQ49" s="1484">
        <v>28.908000000000001</v>
      </c>
      <c r="AR49" s="1484">
        <v>28.986000000000001</v>
      </c>
      <c r="AS49" s="1484">
        <v>29.064</v>
      </c>
      <c r="AT49" s="1484">
        <v>29.141999999999999</v>
      </c>
      <c r="AU49" s="1484">
        <v>29.22</v>
      </c>
      <c r="AV49" s="1484">
        <v>0</v>
      </c>
      <c r="AW49" s="1484"/>
      <c r="AX49" s="1484"/>
      <c r="AY49" s="1484"/>
      <c r="AZ49" s="1484"/>
      <c r="BA49" s="1484"/>
      <c r="BB49" s="1484"/>
      <c r="BC49" s="1484"/>
      <c r="BD49" s="1484"/>
      <c r="BE49" s="1484"/>
      <c r="BF49" s="1484"/>
      <c r="BG49" s="1484"/>
      <c r="BH49" s="1484"/>
      <c r="BI49" s="1484"/>
      <c r="BJ49" s="1484"/>
      <c r="BK49" s="1484"/>
      <c r="BL49" s="1484"/>
      <c r="BM49" s="1484"/>
      <c r="BN49" s="1484"/>
      <c r="BO49" s="1484"/>
      <c r="BP49" s="1485"/>
      <c r="BQ49" s="1485"/>
      <c r="BR49" s="1485"/>
      <c r="BS49" s="1485"/>
      <c r="BT49" s="1485">
        <f>Capital!BT236</f>
        <v>750</v>
      </c>
      <c r="BU49" s="1485">
        <v>750</v>
      </c>
      <c r="BV49" s="1485">
        <v>750</v>
      </c>
      <c r="BW49" s="1485">
        <v>750</v>
      </c>
      <c r="BX49" s="1485">
        <v>750</v>
      </c>
      <c r="BY49" s="1485">
        <v>750</v>
      </c>
      <c r="BZ49" s="1485">
        <v>1500</v>
      </c>
      <c r="CA49" s="1485">
        <v>1500</v>
      </c>
      <c r="CB49" s="1485">
        <v>1500</v>
      </c>
      <c r="CC49" s="1485">
        <v>1500</v>
      </c>
      <c r="CD49" s="1485">
        <v>1500</v>
      </c>
      <c r="CE49" s="1485">
        <v>1500</v>
      </c>
      <c r="CF49" s="1485">
        <v>2250</v>
      </c>
      <c r="CG49" s="1485">
        <v>2250</v>
      </c>
      <c r="CH49" s="1485">
        <v>2250</v>
      </c>
      <c r="CI49" s="1485">
        <v>2250</v>
      </c>
      <c r="CJ49" s="1485">
        <v>2250</v>
      </c>
      <c r="CK49" s="1485">
        <v>2250</v>
      </c>
      <c r="CL49" s="1485">
        <v>2250</v>
      </c>
      <c r="CM49" s="1485">
        <v>2750</v>
      </c>
      <c r="CN49" s="1485">
        <v>2750</v>
      </c>
      <c r="CO49" s="1485">
        <v>2750</v>
      </c>
      <c r="CP49" s="1485">
        <v>2720.4479999999999</v>
      </c>
      <c r="CQ49" s="1485">
        <v>3804.634</v>
      </c>
      <c r="CR49" s="1485">
        <v>3806.1669999999999</v>
      </c>
      <c r="CS49" s="1485">
        <v>3807.8159999999998</v>
      </c>
      <c r="CT49" s="1485">
        <v>3809.3319999999999</v>
      </c>
      <c r="CU49" s="1485">
        <v>3810.77</v>
      </c>
      <c r="CV49" s="1485">
        <v>5045.4489999999996</v>
      </c>
      <c r="CW49" s="1485">
        <v>5047.4260000000004</v>
      </c>
      <c r="CX49" s="1485">
        <v>5717.2759999999998</v>
      </c>
      <c r="CY49" s="1485">
        <v>6923.8490000000002</v>
      </c>
      <c r="CZ49" s="2107">
        <f ca="1">Capital!CZ302+Capital!CZ248+Capital!CZ254+Capital!CZ260+Capital!CZ266+Capital!CZ272+Capital!CZ278+Capital!CZ284+Capital!CZ290</f>
        <v>6923.8490000000002</v>
      </c>
      <c r="DA49" s="2107">
        <f ca="1">Capital!DA302+Capital!DA248+Capital!DA254+Capital!DA260+Capital!DA266+Capital!DA272+Capital!DA278+Capital!DA284+Capital!DA290</f>
        <v>6923.8490000000002</v>
      </c>
      <c r="DB49" s="2107">
        <f ca="1">Capital!DB302+Capital!DB248+Capital!DB254+Capital!DB260+Capital!DB266+Capital!DB272+Capital!DB278+Capital!DB284+Capital!DB290</f>
        <v>6923.8490000000002</v>
      </c>
      <c r="DC49" s="2107">
        <f ca="1">Capital!DC302+Capital!DC248+Capital!DC254+Capital!DC260+Capital!DC266+Capital!DC272+Capital!DC278+Capital!DC284+Capital!DC290</f>
        <v>6923.8490000000002</v>
      </c>
      <c r="DE49" s="2087"/>
      <c r="DG49"/>
    </row>
    <row r="50" spans="1:118" hidden="1" outlineLevel="1">
      <c r="B50" s="1527" t="s">
        <v>1246</v>
      </c>
      <c r="C50" s="1483"/>
      <c r="D50" s="1515"/>
      <c r="E50" s="1485"/>
      <c r="F50" s="1485">
        <f>AM50</f>
        <v>105</v>
      </c>
      <c r="G50" s="1485"/>
      <c r="H50" s="1485"/>
      <c r="I50" s="1485"/>
      <c r="J50" s="1485"/>
      <c r="K50" s="1485"/>
      <c r="L50" s="1485"/>
      <c r="M50" s="1483"/>
      <c r="N50" s="1483"/>
      <c r="O50" s="1483"/>
      <c r="P50" s="1483"/>
      <c r="Q50" s="1483"/>
      <c r="R50" s="1483"/>
      <c r="S50" s="1483"/>
      <c r="T50" s="1483"/>
      <c r="U50" s="1483">
        <f t="shared" si="89"/>
        <v>0</v>
      </c>
      <c r="V50" s="1483">
        <f t="shared" si="89"/>
        <v>0</v>
      </c>
      <c r="W50" s="1483">
        <f t="shared" si="89"/>
        <v>0</v>
      </c>
      <c r="X50" s="1491"/>
      <c r="Y50" s="1491"/>
      <c r="Z50" s="1491"/>
      <c r="AA50" s="1491"/>
      <c r="AB50" s="1491"/>
      <c r="AC50" s="1491"/>
      <c r="AD50" s="1491"/>
      <c r="AE50" s="1483"/>
      <c r="AF50" s="1515"/>
      <c r="AG50" s="1484"/>
      <c r="AH50" s="1484"/>
      <c r="AI50" s="1484"/>
      <c r="AJ50" s="1484">
        <v>125</v>
      </c>
      <c r="AK50" s="1484">
        <v>150</v>
      </c>
      <c r="AL50" s="1484">
        <v>105</v>
      </c>
      <c r="AM50" s="1484">
        <v>105</v>
      </c>
      <c r="AN50" s="1484">
        <v>103.75</v>
      </c>
      <c r="AO50" s="1484">
        <v>0</v>
      </c>
      <c r="AP50" s="1484">
        <v>0</v>
      </c>
      <c r="AQ50" s="1484"/>
      <c r="AR50" s="1484"/>
      <c r="AS50" s="1484"/>
      <c r="AT50" s="1484"/>
      <c r="AU50" s="1484"/>
      <c r="AV50" s="1484"/>
      <c r="AW50" s="1484"/>
      <c r="AX50" s="1484"/>
      <c r="AY50" s="1484"/>
      <c r="AZ50" s="1484"/>
      <c r="BA50" s="1484"/>
      <c r="BB50" s="1484"/>
      <c r="BC50" s="1484"/>
      <c r="BD50" s="1484"/>
      <c r="BE50" s="1484"/>
      <c r="BF50" s="1484"/>
      <c r="BG50" s="1484"/>
      <c r="BH50" s="1484"/>
      <c r="BI50" s="1484"/>
      <c r="BJ50" s="1484"/>
      <c r="BK50" s="1484"/>
      <c r="BL50" s="1484"/>
      <c r="BM50" s="1484"/>
      <c r="BN50" s="1484"/>
      <c r="BO50" s="1484"/>
      <c r="BP50" s="1485"/>
      <c r="BQ50" s="1485"/>
      <c r="BR50" s="1485"/>
      <c r="BS50" s="1485"/>
      <c r="BT50" s="1485"/>
      <c r="BU50" s="1485"/>
      <c r="BV50" s="1485"/>
      <c r="BW50" s="1483"/>
      <c r="BX50" s="1483"/>
      <c r="BY50" s="1483"/>
      <c r="BZ50" s="1483"/>
      <c r="CA50" s="1483"/>
      <c r="CB50" s="1483"/>
      <c r="CC50" s="1483"/>
      <c r="CD50" s="1483"/>
      <c r="CE50" s="1483"/>
      <c r="CF50" s="1483"/>
      <c r="CG50" s="1483"/>
      <c r="CH50" s="1483"/>
      <c r="CI50" s="1483"/>
      <c r="CJ50" s="1483"/>
      <c r="CK50" s="1483"/>
      <c r="CL50" s="1483"/>
      <c r="CM50" s="1483"/>
      <c r="CN50" s="1483"/>
      <c r="CO50" s="1483"/>
      <c r="CP50" s="1483"/>
      <c r="CQ50" s="1483"/>
      <c r="CR50" s="1483"/>
      <c r="CS50" s="1483"/>
      <c r="CT50" s="1483"/>
      <c r="CU50" s="1483"/>
      <c r="CV50" s="1483"/>
      <c r="CW50" s="1483"/>
      <c r="CX50" s="1483"/>
      <c r="CY50" s="1483"/>
      <c r="CZ50" s="1483"/>
      <c r="DA50" s="1483"/>
      <c r="DB50" s="1483"/>
      <c r="DC50" s="1483"/>
      <c r="DE50" s="2087"/>
      <c r="DG50"/>
    </row>
    <row r="51" spans="1:118" hidden="1" outlineLevel="1">
      <c r="B51" s="1527" t="s">
        <v>1251</v>
      </c>
      <c r="C51" s="1483"/>
      <c r="D51" s="1515"/>
      <c r="E51" s="1485"/>
      <c r="F51" s="1485"/>
      <c r="G51" s="1485">
        <f>AQ51</f>
        <v>25.353999999999999</v>
      </c>
      <c r="H51" s="1485">
        <f>AU51</f>
        <v>31.683</v>
      </c>
      <c r="I51" s="1485">
        <f>AY51</f>
        <v>35.823999999999998</v>
      </c>
      <c r="J51" s="1485"/>
      <c r="K51" s="1485"/>
      <c r="L51" s="1485"/>
      <c r="M51" s="1483"/>
      <c r="N51" s="1483"/>
      <c r="O51" s="1483"/>
      <c r="P51" s="1483"/>
      <c r="Q51" s="1483"/>
      <c r="R51" s="1483"/>
      <c r="S51" s="1483"/>
      <c r="T51" s="1483"/>
      <c r="U51" s="1483">
        <f t="shared" si="89"/>
        <v>0</v>
      </c>
      <c r="V51" s="1483">
        <f t="shared" si="89"/>
        <v>0</v>
      </c>
      <c r="W51" s="1483">
        <f t="shared" si="89"/>
        <v>0</v>
      </c>
      <c r="X51" s="1491"/>
      <c r="Y51" s="1491"/>
      <c r="Z51" s="1491"/>
      <c r="AA51" s="1491"/>
      <c r="AB51" s="1491"/>
      <c r="AC51" s="1491"/>
      <c r="AD51" s="1491"/>
      <c r="AE51" s="1483"/>
      <c r="AF51" s="1515"/>
      <c r="AG51" s="1484"/>
      <c r="AH51" s="1484"/>
      <c r="AI51" s="1484"/>
      <c r="AJ51" s="1484"/>
      <c r="AK51" s="1484"/>
      <c r="AL51" s="1484"/>
      <c r="AM51" s="1484"/>
      <c r="AN51" s="1484"/>
      <c r="AO51" s="1484"/>
      <c r="AP51" s="1484"/>
      <c r="AQ51" s="1484">
        <v>25.353999999999999</v>
      </c>
      <c r="AR51" s="1484">
        <v>25.602</v>
      </c>
      <c r="AS51" s="1484">
        <v>27.466000000000001</v>
      </c>
      <c r="AT51" s="1484">
        <v>28.475000000000001</v>
      </c>
      <c r="AU51" s="1484">
        <v>31.683</v>
      </c>
      <c r="AV51" s="1484">
        <v>30.218</v>
      </c>
      <c r="AW51" s="1484">
        <v>32.817999999999998</v>
      </c>
      <c r="AX51" s="1484">
        <v>33.064</v>
      </c>
      <c r="AY51" s="1484">
        <v>35.823999999999998</v>
      </c>
      <c r="AZ51" s="1484"/>
      <c r="BA51" s="1484"/>
      <c r="BB51" s="1484"/>
      <c r="BC51" s="1484"/>
      <c r="BD51" s="1484"/>
      <c r="BE51" s="1484"/>
      <c r="BF51" s="1484"/>
      <c r="BG51" s="1484"/>
      <c r="BH51" s="1484"/>
      <c r="BI51" s="1484"/>
      <c r="BJ51" s="1484"/>
      <c r="BK51" s="1484"/>
      <c r="BL51" s="1484"/>
      <c r="BM51" s="1484"/>
      <c r="BN51" s="1484"/>
      <c r="BO51" s="1484"/>
      <c r="BP51" s="1485"/>
      <c r="BQ51" s="1485"/>
      <c r="BR51" s="1485"/>
      <c r="BS51" s="1485"/>
      <c r="BT51" s="1485"/>
      <c r="BU51" s="1485"/>
      <c r="BV51" s="1485"/>
      <c r="BW51" s="1483"/>
      <c r="BX51" s="1483"/>
      <c r="BY51" s="1483"/>
      <c r="BZ51" s="1483"/>
      <c r="CA51" s="1483"/>
      <c r="CB51" s="1483"/>
      <c r="CC51" s="1483"/>
      <c r="CD51" s="1483"/>
      <c r="CE51" s="1483"/>
      <c r="CF51" s="1483"/>
      <c r="CG51" s="1483"/>
      <c r="CH51" s="1483"/>
      <c r="CI51" s="1483"/>
      <c r="CJ51" s="1483"/>
      <c r="CK51" s="1483"/>
      <c r="CL51" s="1483"/>
      <c r="CM51" s="1483"/>
      <c r="CN51" s="1483"/>
      <c r="CO51" s="1483"/>
      <c r="CP51" s="1483"/>
      <c r="CQ51" s="1483"/>
      <c r="CR51" s="1483"/>
      <c r="CS51" s="1483"/>
      <c r="CT51" s="1483"/>
      <c r="CU51" s="1483"/>
      <c r="CV51" s="1483"/>
      <c r="CW51" s="1483"/>
      <c r="CX51" s="1483"/>
      <c r="CY51" s="1483"/>
      <c r="CZ51" s="1483"/>
      <c r="DA51" s="1483"/>
      <c r="DB51" s="1483"/>
      <c r="DC51" s="1483"/>
      <c r="DE51" s="2087"/>
      <c r="DG51"/>
    </row>
    <row r="52" spans="1:118" hidden="1" outlineLevel="1">
      <c r="B52" s="1527" t="s">
        <v>1252</v>
      </c>
      <c r="C52" s="1483"/>
      <c r="D52" s="1515"/>
      <c r="E52" s="1485"/>
      <c r="F52" s="1485"/>
      <c r="G52" s="1485"/>
      <c r="H52" s="1485"/>
      <c r="I52" s="1485">
        <f>AY52</f>
        <v>86.25</v>
      </c>
      <c r="J52" s="1485"/>
      <c r="K52" s="1485"/>
      <c r="L52" s="1485"/>
      <c r="M52" s="1483"/>
      <c r="N52" s="1483"/>
      <c r="O52" s="1483"/>
      <c r="P52" s="1483"/>
      <c r="Q52" s="1483"/>
      <c r="R52" s="1483"/>
      <c r="S52" s="1483"/>
      <c r="T52" s="1483"/>
      <c r="U52" s="1483">
        <f t="shared" si="89"/>
        <v>0</v>
      </c>
      <c r="V52" s="1483">
        <f t="shared" si="89"/>
        <v>0</v>
      </c>
      <c r="W52" s="1483">
        <f t="shared" si="89"/>
        <v>0</v>
      </c>
      <c r="X52" s="1491"/>
      <c r="Y52" s="1491"/>
      <c r="Z52" s="1491"/>
      <c r="AA52" s="1491"/>
      <c r="AB52" s="1491"/>
      <c r="AC52" s="1491"/>
      <c r="AD52" s="1491"/>
      <c r="AE52" s="1483"/>
      <c r="AF52" s="1515"/>
      <c r="AG52" s="1484"/>
      <c r="AH52" s="1484"/>
      <c r="AI52" s="1484"/>
      <c r="AJ52" s="1484"/>
      <c r="AK52" s="1484"/>
      <c r="AL52" s="1484"/>
      <c r="AM52" s="1484"/>
      <c r="AN52" s="1484"/>
      <c r="AO52" s="1484"/>
      <c r="AP52" s="1484"/>
      <c r="AQ52" s="1484"/>
      <c r="AR52" s="1484"/>
      <c r="AS52" s="1484"/>
      <c r="AT52" s="1484"/>
      <c r="AU52" s="1484"/>
      <c r="AV52" s="1484">
        <v>86.25</v>
      </c>
      <c r="AW52" s="1484">
        <v>86.25</v>
      </c>
      <c r="AX52" s="1484">
        <v>86.25</v>
      </c>
      <c r="AY52" s="1484">
        <v>86.25</v>
      </c>
      <c r="AZ52" s="1484"/>
      <c r="BA52" s="1484"/>
      <c r="BB52" s="1484"/>
      <c r="BC52" s="1484"/>
      <c r="BD52" s="1484"/>
      <c r="BE52" s="1484"/>
      <c r="BF52" s="1484"/>
      <c r="BG52" s="1484"/>
      <c r="BH52" s="1484"/>
      <c r="BI52" s="1484"/>
      <c r="BJ52" s="1484"/>
      <c r="BK52" s="1484"/>
      <c r="BL52" s="1484"/>
      <c r="BM52" s="1484"/>
      <c r="BN52" s="1484"/>
      <c r="BO52" s="1484"/>
      <c r="BP52" s="1485"/>
      <c r="BQ52" s="1485"/>
      <c r="BR52" s="1485"/>
      <c r="BS52" s="1485"/>
      <c r="BT52" s="1485"/>
      <c r="BU52" s="1485"/>
      <c r="BV52" s="1485"/>
      <c r="BW52" s="1483"/>
      <c r="BX52" s="1483"/>
      <c r="BY52" s="1483"/>
      <c r="BZ52" s="1483"/>
      <c r="CA52" s="1483"/>
      <c r="CB52" s="1483"/>
      <c r="CC52" s="1483"/>
      <c r="CD52" s="1483"/>
      <c r="CE52" s="1483"/>
      <c r="CF52" s="1483"/>
      <c r="CG52" s="1483"/>
      <c r="CH52" s="1483"/>
      <c r="CI52" s="1483"/>
      <c r="CJ52" s="1483"/>
      <c r="CK52" s="1483"/>
      <c r="CL52" s="1483"/>
      <c r="CM52" s="1483"/>
      <c r="CN52" s="1483"/>
      <c r="CO52" s="1483"/>
      <c r="CP52" s="1483"/>
      <c r="CQ52" s="1483"/>
      <c r="CR52" s="1483"/>
      <c r="CS52" s="1483"/>
      <c r="CT52" s="1483"/>
      <c r="CU52" s="1483"/>
      <c r="CV52" s="1483"/>
      <c r="CW52" s="1483"/>
      <c r="CX52" s="1483"/>
      <c r="CY52" s="1483"/>
      <c r="CZ52" s="1483"/>
      <c r="DA52" s="1483"/>
      <c r="DB52" s="1483"/>
      <c r="DC52" s="1483"/>
      <c r="DE52" s="2087"/>
      <c r="DG52"/>
    </row>
    <row r="53" spans="1:118" hidden="1" outlineLevel="1">
      <c r="B53" s="1527" t="s">
        <v>1250</v>
      </c>
      <c r="C53" s="1483"/>
      <c r="D53" s="1515"/>
      <c r="E53" s="1485"/>
      <c r="F53" s="1485"/>
      <c r="G53" s="1485">
        <f>AQ53</f>
        <v>89.528999999999996</v>
      </c>
      <c r="H53" s="1485">
        <f>AU53</f>
        <v>22.280999999999999</v>
      </c>
      <c r="I53" s="1485"/>
      <c r="J53" s="1485"/>
      <c r="K53" s="1485"/>
      <c r="L53" s="1485"/>
      <c r="M53" s="1483"/>
      <c r="N53" s="1483"/>
      <c r="O53" s="1483"/>
      <c r="P53" s="1483"/>
      <c r="Q53" s="1483"/>
      <c r="R53" s="1483"/>
      <c r="S53" s="1483"/>
      <c r="T53" s="1483"/>
      <c r="U53" s="1483">
        <f t="shared" si="89"/>
        <v>0</v>
      </c>
      <c r="V53" s="1483">
        <f t="shared" si="89"/>
        <v>0</v>
      </c>
      <c r="W53" s="1483">
        <f t="shared" si="89"/>
        <v>0</v>
      </c>
      <c r="X53" s="1491"/>
      <c r="Y53" s="1491"/>
      <c r="Z53" s="1491"/>
      <c r="AA53" s="1491"/>
      <c r="AB53" s="1491"/>
      <c r="AC53" s="1491"/>
      <c r="AD53" s="1491"/>
      <c r="AE53" s="1483"/>
      <c r="AF53" s="1515"/>
      <c r="AG53" s="1484"/>
      <c r="AH53" s="1484"/>
      <c r="AI53" s="1484"/>
      <c r="AJ53" s="1484"/>
      <c r="AK53" s="1484"/>
      <c r="AL53" s="1484"/>
      <c r="AM53" s="1484"/>
      <c r="AN53" s="1484"/>
      <c r="AO53" s="1484"/>
      <c r="AP53" s="1484"/>
      <c r="AQ53" s="1484">
        <v>89.528999999999996</v>
      </c>
      <c r="AR53" s="1484">
        <v>89.528999999999996</v>
      </c>
      <c r="AS53" s="1484">
        <v>83.537999999999997</v>
      </c>
      <c r="AT53" s="1484">
        <v>81.037999999999997</v>
      </c>
      <c r="AU53" s="1484">
        <v>22.280999999999999</v>
      </c>
      <c r="AV53" s="1484"/>
      <c r="AW53" s="1484"/>
      <c r="AX53" s="1484"/>
      <c r="AY53" s="1484"/>
      <c r="AZ53" s="1484"/>
      <c r="BA53" s="1484"/>
      <c r="BB53" s="1484"/>
      <c r="BC53" s="1484"/>
      <c r="BD53" s="1484"/>
      <c r="BE53" s="1484"/>
      <c r="BF53" s="1484"/>
      <c r="BG53" s="1484"/>
      <c r="BH53" s="1484"/>
      <c r="BI53" s="1484"/>
      <c r="BJ53" s="1484"/>
      <c r="BK53" s="1484"/>
      <c r="BL53" s="1484"/>
      <c r="BM53" s="1484"/>
      <c r="BN53" s="1484"/>
      <c r="BO53" s="1484"/>
      <c r="BP53" s="1485"/>
      <c r="BQ53" s="1485"/>
      <c r="BR53" s="1485"/>
      <c r="BS53" s="1485"/>
      <c r="BT53" s="1485"/>
      <c r="BU53" s="1485"/>
      <c r="BV53" s="1485"/>
      <c r="BW53" s="1483"/>
      <c r="BX53" s="1483"/>
      <c r="BY53" s="1483"/>
      <c r="BZ53" s="1483"/>
      <c r="CA53" s="1483"/>
      <c r="CB53" s="1483"/>
      <c r="CC53" s="1483"/>
      <c r="CD53" s="1483"/>
      <c r="CE53" s="1483"/>
      <c r="CF53" s="1483"/>
      <c r="CG53" s="1483"/>
      <c r="CH53" s="1483"/>
      <c r="CI53" s="1483"/>
      <c r="CJ53" s="1483"/>
      <c r="CK53" s="1483"/>
      <c r="CL53" s="1483"/>
      <c r="CM53" s="1483"/>
      <c r="CN53" s="1483"/>
      <c r="CO53" s="1483"/>
      <c r="CP53" s="1483"/>
      <c r="CQ53" s="1483"/>
      <c r="CR53" s="1483"/>
      <c r="CS53" s="1483"/>
      <c r="CT53" s="1483"/>
      <c r="CU53" s="1483"/>
      <c r="CV53" s="1483"/>
      <c r="CW53" s="1483"/>
      <c r="CX53" s="1483"/>
      <c r="CY53" s="1483"/>
      <c r="CZ53" s="1483"/>
      <c r="DA53" s="1483"/>
      <c r="DB53" s="1483"/>
      <c r="DC53" s="1483"/>
      <c r="DE53" s="2087"/>
      <c r="DG53"/>
    </row>
    <row r="54" spans="1:118" hidden="1" outlineLevel="1">
      <c r="B54" s="1522" t="s">
        <v>1216</v>
      </c>
      <c r="C54" s="1483"/>
      <c r="D54" s="1515"/>
      <c r="E54" s="1485"/>
      <c r="F54" s="1485"/>
      <c r="G54" s="1485"/>
      <c r="H54" s="1485"/>
      <c r="I54" s="1485">
        <f>AY54</f>
        <v>12.798</v>
      </c>
      <c r="J54" s="1485">
        <f>BC54</f>
        <v>37.430999999999997</v>
      </c>
      <c r="K54" s="1485">
        <f>BG54</f>
        <v>28.103000000000002</v>
      </c>
      <c r="L54" s="1485">
        <f>BK54</f>
        <v>8.1669999999999998</v>
      </c>
      <c r="M54" s="1483"/>
      <c r="N54" s="1483"/>
      <c r="O54" s="1483"/>
      <c r="P54" s="1483"/>
      <c r="Q54" s="1483"/>
      <c r="R54" s="1483"/>
      <c r="S54" s="1483"/>
      <c r="T54" s="1483"/>
      <c r="U54" s="1483">
        <f t="shared" si="89"/>
        <v>0</v>
      </c>
      <c r="V54" s="1483">
        <f t="shared" si="89"/>
        <v>0</v>
      </c>
      <c r="W54" s="1483">
        <f t="shared" si="89"/>
        <v>0</v>
      </c>
      <c r="X54" s="1483"/>
      <c r="Y54" s="1483"/>
      <c r="Z54" s="1483"/>
      <c r="AA54" s="1483"/>
      <c r="AB54" s="1483"/>
      <c r="AC54" s="1483"/>
      <c r="AD54" s="1483"/>
      <c r="AE54" s="1483"/>
      <c r="AF54" s="1515"/>
      <c r="AG54" s="1484"/>
      <c r="AH54" s="1484"/>
      <c r="AI54" s="1484"/>
      <c r="AJ54" s="1484"/>
      <c r="AK54" s="1484"/>
      <c r="AL54" s="1484"/>
      <c r="AM54" s="1484"/>
      <c r="AN54" s="1484"/>
      <c r="AO54" s="1484"/>
      <c r="AP54" s="1484"/>
      <c r="AQ54" s="1484"/>
      <c r="AR54" s="1484"/>
      <c r="AS54" s="1484"/>
      <c r="AT54" s="1484"/>
      <c r="AU54" s="1484"/>
      <c r="AV54" s="1484"/>
      <c r="AW54" s="1484"/>
      <c r="AX54" s="1484"/>
      <c r="AY54" s="1484">
        <v>12.798</v>
      </c>
      <c r="AZ54" s="1484">
        <v>12.487</v>
      </c>
      <c r="BA54" s="1484">
        <v>12.167999999999999</v>
      </c>
      <c r="BB54" s="1484">
        <v>11.848000000000001</v>
      </c>
      <c r="BC54" s="1484">
        <v>37.430999999999997</v>
      </c>
      <c r="BD54" s="1484">
        <v>34.658000000000001</v>
      </c>
      <c r="BE54" s="1484">
        <v>31.79</v>
      </c>
      <c r="BF54" s="1484">
        <v>30.698</v>
      </c>
      <c r="BG54" s="1484">
        <v>28.103000000000002</v>
      </c>
      <c r="BH54" s="1484">
        <v>25.016999999999999</v>
      </c>
      <c r="BI54" s="1484">
        <v>22.728999999999999</v>
      </c>
      <c r="BJ54" s="1484">
        <v>19.670999999999999</v>
      </c>
      <c r="BK54" s="1484">
        <v>8.1669999999999998</v>
      </c>
      <c r="BL54" s="1484"/>
      <c r="BM54" s="1484"/>
      <c r="BN54" s="1484"/>
      <c r="BO54" s="1484"/>
      <c r="BP54" s="1485"/>
      <c r="BQ54" s="1485"/>
      <c r="BR54" s="1485"/>
      <c r="BS54" s="1485"/>
      <c r="BT54" s="1485"/>
      <c r="BU54" s="1485"/>
      <c r="BV54" s="1485"/>
      <c r="BW54" s="1483"/>
      <c r="BX54" s="1483"/>
      <c r="BY54" s="1483"/>
      <c r="BZ54" s="1483"/>
      <c r="CA54" s="1483"/>
      <c r="CB54" s="1483"/>
      <c r="CC54" s="1483"/>
      <c r="CD54" s="1483"/>
      <c r="CE54" s="1483"/>
      <c r="CF54" s="1483"/>
      <c r="CG54" s="1483"/>
      <c r="CH54" s="1483"/>
      <c r="CI54" s="1483"/>
      <c r="CJ54" s="1483"/>
      <c r="CK54" s="1483"/>
      <c r="CL54" s="1483"/>
      <c r="CM54" s="1483"/>
      <c r="CN54" s="1483"/>
      <c r="CO54" s="1483"/>
      <c r="CP54" s="1483"/>
      <c r="CQ54" s="1483"/>
      <c r="CR54" s="1483"/>
      <c r="CS54" s="1483"/>
      <c r="CT54" s="1483"/>
      <c r="CU54" s="1483"/>
      <c r="CV54" s="1483"/>
      <c r="CW54" s="1483"/>
      <c r="CX54" s="1483"/>
      <c r="CY54" s="1483"/>
      <c r="CZ54" s="1483"/>
      <c r="DA54" s="1483"/>
      <c r="DB54" s="1483"/>
      <c r="DC54" s="1483"/>
      <c r="DE54" s="2087"/>
      <c r="DG54"/>
    </row>
    <row r="55" spans="1:118" collapsed="1">
      <c r="B55" s="1528" t="s">
        <v>1215</v>
      </c>
      <c r="C55" s="1483"/>
      <c r="D55" s="1515"/>
      <c r="E55" s="1485">
        <f>AI55</f>
        <v>6.5060000000000002</v>
      </c>
      <c r="F55" s="1485">
        <f>AM55</f>
        <v>6.3440000000000003</v>
      </c>
      <c r="G55" s="1485">
        <f>AQ55</f>
        <v>3.633</v>
      </c>
      <c r="H55" s="1485">
        <f>AU55</f>
        <v>0.72299999999999998</v>
      </c>
      <c r="I55" s="1485">
        <f>AY55</f>
        <v>34.529000000000003</v>
      </c>
      <c r="J55" s="1485">
        <f>BC55</f>
        <v>94.653000000000006</v>
      </c>
      <c r="K55" s="1485">
        <f>BG55</f>
        <v>92.721999999999994</v>
      </c>
      <c r="L55" s="1485">
        <f>BK55</f>
        <v>93.603999999999999</v>
      </c>
      <c r="M55" s="1483">
        <f>BO55</f>
        <v>133.03100000000001</v>
      </c>
      <c r="N55" s="1483">
        <f>BS55</f>
        <v>154.577</v>
      </c>
      <c r="O55" s="1483">
        <f>BW55</f>
        <v>253.94499999999999</v>
      </c>
      <c r="P55" s="1483">
        <f>CA55</f>
        <v>390.26900000000001</v>
      </c>
      <c r="Q55" s="1483">
        <f>CE55</f>
        <v>545.85299999999995</v>
      </c>
      <c r="R55" s="1483">
        <f>CI55</f>
        <v>914.03200000000004</v>
      </c>
      <c r="S55" s="1483">
        <f>CM55</f>
        <v>1168.0419999999999</v>
      </c>
      <c r="T55" s="1483">
        <f>CQ55</f>
        <v>1287.1389999999999</v>
      </c>
      <c r="U55" s="1483">
        <f t="shared" si="89"/>
        <v>1410.742</v>
      </c>
      <c r="V55" s="1483">
        <f>CY55</f>
        <v>1620.2560000000001</v>
      </c>
      <c r="W55" s="1483">
        <f>+DC55</f>
        <v>1620.2560000000001</v>
      </c>
      <c r="X55" s="2107">
        <f>+Capital!X220+Capital!X225-X42</f>
        <v>1617.472</v>
      </c>
      <c r="Y55" s="2107">
        <f>+Capital!Y220+Capital!Y225-Y42</f>
        <v>1614.6880000000001</v>
      </c>
      <c r="Z55" s="2107">
        <f>+Capital!Z220+Capital!Z225-Z42</f>
        <v>1611.9040000000002</v>
      </c>
      <c r="AA55" s="2107">
        <f>+Capital!AA220+Capital!AA225-AA42</f>
        <v>1609.1200000000003</v>
      </c>
      <c r="AB55" s="2107">
        <f>+Capital!AB220+Capital!AB225-AB42</f>
        <v>1606.3360000000005</v>
      </c>
      <c r="AC55" s="2107">
        <f>+Capital!AC220+Capital!AC225-AC42</f>
        <v>1603.5520000000006</v>
      </c>
      <c r="AD55" s="2107">
        <f>+Capital!AD220+Capital!AD225-AD42</f>
        <v>1600.7680000000007</v>
      </c>
      <c r="AE55" s="1483"/>
      <c r="AF55" s="1515"/>
      <c r="AG55" s="1484">
        <v>8.0820000000000007</v>
      </c>
      <c r="AH55" s="1484">
        <v>9.3979999999999997</v>
      </c>
      <c r="AI55" s="1484">
        <v>6.5060000000000002</v>
      </c>
      <c r="AJ55" s="1484">
        <v>7.5810000000000004</v>
      </c>
      <c r="AK55" s="1484">
        <v>9.7759999999999998</v>
      </c>
      <c r="AL55" s="1484">
        <v>8.0820000000000007</v>
      </c>
      <c r="AM55" s="1484">
        <v>6.3440000000000003</v>
      </c>
      <c r="AN55" s="1484">
        <v>4.5759999999999996</v>
      </c>
      <c r="AO55" s="1484">
        <v>2.5649999999999999</v>
      </c>
      <c r="AP55" s="1484">
        <v>3.1920000000000002</v>
      </c>
      <c r="AQ55" s="1484">
        <v>3.633</v>
      </c>
      <c r="AR55" s="1484">
        <v>2.6720000000000002</v>
      </c>
      <c r="AS55" s="1484">
        <v>2.0070000000000001</v>
      </c>
      <c r="AT55" s="1484">
        <v>1.4039999999999999</v>
      </c>
      <c r="AU55" s="1484">
        <v>0.72299999999999998</v>
      </c>
      <c r="AV55" s="1484">
        <v>0</v>
      </c>
      <c r="AW55" s="1484"/>
      <c r="AX55" s="1484"/>
      <c r="AY55" s="1484">
        <v>34.529000000000003</v>
      </c>
      <c r="AZ55" s="1484">
        <v>49.249000000000002</v>
      </c>
      <c r="BA55" s="1484">
        <v>49.006</v>
      </c>
      <c r="BB55" s="1484">
        <v>48.747999999999998</v>
      </c>
      <c r="BC55" s="1484">
        <v>94.653000000000006</v>
      </c>
      <c r="BD55" s="1484">
        <v>94.191000000000003</v>
      </c>
      <c r="BE55" s="1484">
        <v>93.715000000000003</v>
      </c>
      <c r="BF55" s="1484">
        <v>93.22</v>
      </c>
      <c r="BG55" s="1484">
        <v>92.721999999999994</v>
      </c>
      <c r="BH55" s="1484">
        <v>92.147999999999996</v>
      </c>
      <c r="BI55" s="1484">
        <v>91.557000000000002</v>
      </c>
      <c r="BJ55" s="1484">
        <v>94.501000000000005</v>
      </c>
      <c r="BK55" s="1484">
        <v>93.603999999999999</v>
      </c>
      <c r="BL55" s="1484">
        <v>98.405000000000001</v>
      </c>
      <c r="BM55" s="1484">
        <v>97.361000000000004</v>
      </c>
      <c r="BN55" s="1484">
        <v>95.094999999999999</v>
      </c>
      <c r="BO55" s="1484">
        <v>133.03100000000001</v>
      </c>
      <c r="BP55" s="1485">
        <v>131.864</v>
      </c>
      <c r="BQ55" s="1485">
        <v>138.53200000000001</v>
      </c>
      <c r="BR55" s="1485">
        <v>154.179</v>
      </c>
      <c r="BS55" s="1485">
        <v>154.577</v>
      </c>
      <c r="BT55" s="1485">
        <v>152.173</v>
      </c>
      <c r="BU55" s="1485">
        <v>207.30500000000001</v>
      </c>
      <c r="BV55" s="1485">
        <v>261.92899999999997</v>
      </c>
      <c r="BW55" s="1485">
        <v>253.94499999999999</v>
      </c>
      <c r="BX55" s="1485">
        <v>296.91300000000001</v>
      </c>
      <c r="BY55" s="1485">
        <v>337.274</v>
      </c>
      <c r="BZ55" s="1485">
        <v>376.84800000000001</v>
      </c>
      <c r="CA55" s="1485">
        <v>390.26900000000001</v>
      </c>
      <c r="CB55" s="1485">
        <v>402.911</v>
      </c>
      <c r="CC55" s="1485">
        <v>464.62200000000001</v>
      </c>
      <c r="CD55" s="1485">
        <v>487.86799999999999</v>
      </c>
      <c r="CE55" s="1485">
        <v>545.85299999999995</v>
      </c>
      <c r="CF55" s="1485">
        <v>568.06700000000001</v>
      </c>
      <c r="CG55" s="1485">
        <v>684.87300000000005</v>
      </c>
      <c r="CH55" s="1485">
        <v>862.41</v>
      </c>
      <c r="CI55" s="1485">
        <v>914.03200000000004</v>
      </c>
      <c r="CJ55" s="1485">
        <v>1037.2470000000001</v>
      </c>
      <c r="CK55" s="1485">
        <v>1134.607</v>
      </c>
      <c r="CL55" s="1485">
        <v>1172.356</v>
      </c>
      <c r="CM55" s="1485">
        <v>1168.0419999999999</v>
      </c>
      <c r="CN55" s="1485">
        <v>1177.6379999999999</v>
      </c>
      <c r="CO55" s="1485">
        <v>1217.7460000000001</v>
      </c>
      <c r="CP55" s="1485">
        <v>1198.5809999999999</v>
      </c>
      <c r="CQ55" s="1485">
        <v>1287.1389999999999</v>
      </c>
      <c r="CR55" s="1485">
        <v>1552.145</v>
      </c>
      <c r="CS55" s="1485">
        <v>1514.8040000000001</v>
      </c>
      <c r="CT55" s="1485">
        <v>1446.4549999999999</v>
      </c>
      <c r="CU55" s="1485">
        <v>1410.742</v>
      </c>
      <c r="CV55" s="1485">
        <v>1523.309</v>
      </c>
      <c r="CW55" s="1485">
        <v>1584.287</v>
      </c>
      <c r="CX55" s="1485">
        <v>1612.1880000000001</v>
      </c>
      <c r="CY55" s="1485">
        <v>1620.2560000000001</v>
      </c>
      <c r="CZ55" s="2107">
        <f>+Capital!CZ220+Capital!CZ225-CZ42</f>
        <v>1620.2560000000001</v>
      </c>
      <c r="DA55" s="2107">
        <f>+Capital!DA220+Capital!DA225-DA42</f>
        <v>1620.2560000000001</v>
      </c>
      <c r="DB55" s="2107">
        <f>+Capital!DB220+Capital!DB225-DB42</f>
        <v>1620.2560000000001</v>
      </c>
      <c r="DC55" s="2107">
        <f>+Capital!DC220+Capital!DC225-DC42</f>
        <v>1620.2560000000001</v>
      </c>
      <c r="DE55" s="2087"/>
      <c r="DG55"/>
    </row>
    <row r="56" spans="1:118">
      <c r="B56" s="1528" t="s">
        <v>1179</v>
      </c>
      <c r="C56" s="1483"/>
      <c r="D56" s="1529"/>
      <c r="E56" s="1485"/>
      <c r="F56" s="1485"/>
      <c r="G56" s="1485"/>
      <c r="H56" s="1485"/>
      <c r="I56" s="1485"/>
      <c r="J56" s="1485">
        <f>BC56</f>
        <v>58.841000000000001</v>
      </c>
      <c r="K56" s="1485">
        <f>BG56</f>
        <v>96.745999999999995</v>
      </c>
      <c r="L56" s="1485">
        <f>BK56</f>
        <v>313.91500000000002</v>
      </c>
      <c r="M56" s="1483">
        <f>BO56</f>
        <v>386.44600000000003</v>
      </c>
      <c r="N56" s="1483">
        <f>BS56</f>
        <v>371.322</v>
      </c>
      <c r="O56" s="1483">
        <f>BW56</f>
        <v>100.337</v>
      </c>
      <c r="P56" s="1483">
        <f>CA56</f>
        <v>168.79499999999999</v>
      </c>
      <c r="Q56" s="1483">
        <f>CE56</f>
        <v>188.80199999999999</v>
      </c>
      <c r="R56" s="1483">
        <f>CI56</f>
        <v>199.7</v>
      </c>
      <c r="S56" s="1483">
        <f>CM56</f>
        <v>534.68600000000004</v>
      </c>
      <c r="T56" s="1483">
        <f>CQ56</f>
        <v>457.27600000000001</v>
      </c>
      <c r="U56" s="1483">
        <f t="shared" si="89"/>
        <v>1369.087</v>
      </c>
      <c r="V56" s="1483">
        <f>CY56</f>
        <v>1393.1179999999999</v>
      </c>
      <c r="W56" s="1483">
        <f>+DC56</f>
        <v>1393.1179999999999</v>
      </c>
      <c r="X56" s="2107">
        <f>-X43+Capital!X53+Capital!X95+Capital!X297+Capital!X101+Capital!X107</f>
        <v>1393.1179999999999</v>
      </c>
      <c r="Y56" s="2107">
        <f>-Y43+Capital!Y53+Capital!Y95+Capital!Y297+Capital!Y101+Capital!Y107</f>
        <v>1393.1179999999999</v>
      </c>
      <c r="Z56" s="2107">
        <f>-Z43+Capital!Z53+Capital!Z95+Capital!Z297+Capital!Z101+Capital!Z107</f>
        <v>1393.1179999999999</v>
      </c>
      <c r="AA56" s="2107">
        <f>-AA43+Capital!AA53+Capital!AA95+Capital!AA297+Capital!AA101+Capital!AA107</f>
        <v>1393.1179999999999</v>
      </c>
      <c r="AB56" s="2107">
        <f>-AB43+Capital!AB53+Capital!AB95+Capital!AB297+Capital!AB101+Capital!AB107</f>
        <v>1393.1179999999999</v>
      </c>
      <c r="AC56" s="2107">
        <f>-AC43+Capital!AC53+Capital!AC95+Capital!AC297+Capital!AC101+Capital!AC107</f>
        <v>1393.1179999999999</v>
      </c>
      <c r="AD56" s="2107">
        <f>-AD43+Capital!AD53+Capital!AD95+Capital!AD297+Capital!AD101+Capital!AD107</f>
        <v>1393.1179999999999</v>
      </c>
      <c r="AE56" s="1483"/>
      <c r="AF56" s="1515"/>
      <c r="AG56" s="1484"/>
      <c r="AH56" s="1484"/>
      <c r="AI56" s="1484"/>
      <c r="AJ56" s="1484"/>
      <c r="AK56" s="1484"/>
      <c r="AL56" s="1484"/>
      <c r="AM56" s="1484"/>
      <c r="AN56" s="1484"/>
      <c r="AO56" s="1484"/>
      <c r="AP56" s="1484"/>
      <c r="AQ56" s="1484"/>
      <c r="AR56" s="1484"/>
      <c r="AS56" s="1484"/>
      <c r="AT56" s="1484"/>
      <c r="AU56" s="1484"/>
      <c r="AV56" s="1484"/>
      <c r="AW56" s="1484"/>
      <c r="AX56" s="1484"/>
      <c r="AY56" s="1484"/>
      <c r="AZ56" s="1484"/>
      <c r="BA56" s="1484"/>
      <c r="BB56" s="1484"/>
      <c r="BC56" s="1484">
        <v>58.841000000000001</v>
      </c>
      <c r="BD56" s="1484">
        <v>58.51</v>
      </c>
      <c r="BE56" s="1484">
        <v>58.173000000000002</v>
      </c>
      <c r="BF56" s="1484">
        <v>57.828000000000003</v>
      </c>
      <c r="BG56" s="1484">
        <v>96.745999999999995</v>
      </c>
      <c r="BH56" s="1484">
        <v>120.764</v>
      </c>
      <c r="BI56" s="1484">
        <v>164.84100000000001</v>
      </c>
      <c r="BJ56" s="1484">
        <v>278.94600000000003</v>
      </c>
      <c r="BK56" s="1484">
        <v>313.91500000000002</v>
      </c>
      <c r="BL56" s="1484">
        <v>353.58499999999998</v>
      </c>
      <c r="BM56" s="1484">
        <v>375.30799999999999</v>
      </c>
      <c r="BN56" s="1484">
        <v>374.87200000000001</v>
      </c>
      <c r="BO56" s="1484">
        <v>386.44600000000003</v>
      </c>
      <c r="BP56" s="1485">
        <v>371.40600000000001</v>
      </c>
      <c r="BQ56" s="1485">
        <v>372.49099999999999</v>
      </c>
      <c r="BR56" s="1485">
        <v>394.26299999999998</v>
      </c>
      <c r="BS56" s="1485">
        <v>371.322</v>
      </c>
      <c r="BT56" s="1485">
        <v>247.71799999999999</v>
      </c>
      <c r="BU56" s="1485">
        <v>167.351</v>
      </c>
      <c r="BV56" s="1485">
        <v>179.02699999999999</v>
      </c>
      <c r="BW56" s="1485">
        <v>100.337</v>
      </c>
      <c r="BX56" s="1485">
        <v>126.617</v>
      </c>
      <c r="BY56" s="1485">
        <v>201.233</v>
      </c>
      <c r="BZ56" s="1485">
        <v>161.98400000000001</v>
      </c>
      <c r="CA56" s="1485">
        <v>168.79499999999999</v>
      </c>
      <c r="CB56" s="1485">
        <v>144.58199999999999</v>
      </c>
      <c r="CC56" s="1485">
        <v>141.50399999999999</v>
      </c>
      <c r="CD56" s="1485">
        <v>199.34899999999999</v>
      </c>
      <c r="CE56" s="1485">
        <v>188.80199999999999</v>
      </c>
      <c r="CF56" s="1485">
        <v>179.56</v>
      </c>
      <c r="CG56" s="1485">
        <v>164.91900000000001</v>
      </c>
      <c r="CH56" s="1485">
        <v>156.78700000000001</v>
      </c>
      <c r="CI56" s="1485">
        <v>199.7</v>
      </c>
      <c r="CJ56" s="1485">
        <v>191.761</v>
      </c>
      <c r="CK56" s="1485">
        <v>230.654</v>
      </c>
      <c r="CL56" s="1485">
        <v>160.643</v>
      </c>
      <c r="CM56" s="1485">
        <v>534.68600000000004</v>
      </c>
      <c r="CN56" s="1485">
        <v>512.44600000000003</v>
      </c>
      <c r="CO56" s="1485">
        <v>506.63099999999997</v>
      </c>
      <c r="CP56" s="1485">
        <v>484.04899999999998</v>
      </c>
      <c r="CQ56" s="1485">
        <v>457.27600000000001</v>
      </c>
      <c r="CR56" s="1485">
        <v>1139.807</v>
      </c>
      <c r="CS56" s="1485">
        <v>1074.663</v>
      </c>
      <c r="CT56" s="1485">
        <v>1058.4179999999999</v>
      </c>
      <c r="CU56" s="1485">
        <v>1369.087</v>
      </c>
      <c r="CV56" s="1485">
        <v>2432.61</v>
      </c>
      <c r="CW56" s="1485">
        <v>2511.4470000000001</v>
      </c>
      <c r="CX56" s="1485">
        <v>2551.5100000000002</v>
      </c>
      <c r="CY56" s="1485">
        <v>1393.1179999999999</v>
      </c>
      <c r="CZ56" s="2107">
        <f>-CZ43+Capital!CZ53+Capital!CZ95+Capital!CZ297+Capital!CZ101+Capital!CZ107</f>
        <v>1393.1179999999999</v>
      </c>
      <c r="DA56" s="2107">
        <f>-DA43+Capital!DA53+Capital!DA95+Capital!DA297+Capital!DA101+Capital!DA107</f>
        <v>1393.1179999999999</v>
      </c>
      <c r="DB56" s="2107">
        <f>-DB43+Capital!DB53+Capital!DB95+Capital!DB297+Capital!DB101+Capital!DB107</f>
        <v>1393.1179999999999</v>
      </c>
      <c r="DC56" s="2107">
        <f>-DC43+Capital!DC53+Capital!DC95+Capital!DC297+Capital!DC101+Capital!DC107</f>
        <v>1393.1179999999999</v>
      </c>
      <c r="DE56" s="2087"/>
      <c r="DG56"/>
    </row>
    <row r="57" spans="1:118" hidden="1" outlineLevel="1">
      <c r="B57" s="1528" t="s">
        <v>1236</v>
      </c>
      <c r="C57" s="1483"/>
      <c r="D57" s="1529"/>
      <c r="E57" s="1485"/>
      <c r="F57" s="1485"/>
      <c r="G57" s="1485"/>
      <c r="H57" s="1485"/>
      <c r="I57" s="1485"/>
      <c r="J57" s="1485"/>
      <c r="K57" s="1485"/>
      <c r="L57" s="1485">
        <f>BK57</f>
        <v>25.954999999999998</v>
      </c>
      <c r="M57" s="1483"/>
      <c r="N57" s="1483"/>
      <c r="O57" s="1483"/>
      <c r="P57" s="1483"/>
      <c r="Q57" s="1483"/>
      <c r="R57" s="1483"/>
      <c r="S57" s="1483"/>
      <c r="T57" s="1483"/>
      <c r="U57" s="1483">
        <f t="shared" si="89"/>
        <v>0</v>
      </c>
      <c r="V57" s="1483">
        <f t="shared" si="89"/>
        <v>0</v>
      </c>
      <c r="W57" s="1483">
        <f t="shared" si="89"/>
        <v>0</v>
      </c>
      <c r="X57" s="1491"/>
      <c r="Y57" s="1491"/>
      <c r="Z57" s="1491"/>
      <c r="AA57" s="1491"/>
      <c r="AB57" s="1491"/>
      <c r="AC57" s="1491"/>
      <c r="AD57" s="1491"/>
      <c r="AE57" s="1483"/>
      <c r="AF57" s="1515"/>
      <c r="AG57" s="1484"/>
      <c r="AH57" s="1484"/>
      <c r="AI57" s="1484"/>
      <c r="AJ57" s="1484"/>
      <c r="AK57" s="1484"/>
      <c r="AL57" s="1484"/>
      <c r="AM57" s="1484"/>
      <c r="AN57" s="1484"/>
      <c r="AO57" s="1484"/>
      <c r="AP57" s="1484"/>
      <c r="AQ57" s="1484"/>
      <c r="AR57" s="1484"/>
      <c r="AS57" s="1484"/>
      <c r="AT57" s="1484"/>
      <c r="AU57" s="1484"/>
      <c r="AV57" s="1484"/>
      <c r="AW57" s="1484"/>
      <c r="AX57" s="1484"/>
      <c r="AY57" s="1484"/>
      <c r="AZ57" s="1484"/>
      <c r="BA57" s="1484"/>
      <c r="BB57" s="1484"/>
      <c r="BC57" s="1484"/>
      <c r="BD57" s="1484"/>
      <c r="BE57" s="1484"/>
      <c r="BF57" s="1484"/>
      <c r="BG57" s="1484"/>
      <c r="BH57" s="1484"/>
      <c r="BI57" s="1484"/>
      <c r="BJ57" s="1484"/>
      <c r="BK57" s="1484">
        <v>25.954999999999998</v>
      </c>
      <c r="BL57" s="1484">
        <v>29.442</v>
      </c>
      <c r="BM57" s="1484">
        <v>24.114999999999998</v>
      </c>
      <c r="BN57" s="1484">
        <v>21.785</v>
      </c>
      <c r="BO57" s="1484"/>
      <c r="BP57" s="1490"/>
      <c r="BQ57" s="1490"/>
      <c r="BR57" s="1490"/>
      <c r="BS57" s="1490"/>
      <c r="BT57" s="1490"/>
      <c r="BU57" s="1483"/>
      <c r="BV57" s="1483"/>
      <c r="BW57" s="1483"/>
      <c r="BX57" s="1483"/>
      <c r="BY57" s="1483"/>
      <c r="BZ57" s="1483"/>
      <c r="CA57" s="1483"/>
      <c r="CB57" s="1483"/>
      <c r="CC57" s="1483"/>
      <c r="CD57" s="1483"/>
      <c r="CE57" s="1483"/>
      <c r="CF57" s="1483"/>
      <c r="CG57" s="1483"/>
      <c r="CH57" s="1483"/>
      <c r="CI57" s="1483"/>
      <c r="CJ57" s="1483"/>
      <c r="CK57" s="1483"/>
      <c r="CL57" s="1483"/>
      <c r="CM57" s="1483"/>
      <c r="CN57" s="1483"/>
      <c r="CO57" s="1483"/>
      <c r="CP57" s="1483"/>
      <c r="CQ57" s="1483"/>
      <c r="CR57" s="1483"/>
      <c r="CS57" s="1483"/>
      <c r="CT57" s="1483"/>
      <c r="CU57" s="1483"/>
      <c r="CV57" s="1483"/>
      <c r="CW57" s="1483"/>
      <c r="CX57" s="1483"/>
      <c r="CY57" s="1483"/>
      <c r="CZ57" s="1483"/>
      <c r="DA57" s="1483"/>
      <c r="DB57" s="1483"/>
      <c r="DC57" s="1483"/>
      <c r="DE57" s="2087"/>
      <c r="DG57"/>
    </row>
    <row r="58" spans="1:118" collapsed="1">
      <c r="B58" s="1528" t="s">
        <v>1253</v>
      </c>
      <c r="C58" s="1483"/>
      <c r="D58" s="1521"/>
      <c r="E58" s="1518">
        <f>AI58</f>
        <v>4.6559999999999997</v>
      </c>
      <c r="F58" s="1518">
        <f>AM58</f>
        <v>8.9779999999999998</v>
      </c>
      <c r="G58" s="1518">
        <f>AQ58</f>
        <v>14.214</v>
      </c>
      <c r="H58" s="1518">
        <f>AU58</f>
        <v>22.021999999999998</v>
      </c>
      <c r="I58" s="1518">
        <f>AY58</f>
        <v>26.452999999999999</v>
      </c>
      <c r="J58" s="1518">
        <f>BC58</f>
        <v>23.725999999999999</v>
      </c>
      <c r="K58" s="1518">
        <f>BG58</f>
        <v>34.630000000000003</v>
      </c>
      <c r="L58" s="1518">
        <f>BK58</f>
        <v>56.097000000000001</v>
      </c>
      <c r="M58" s="1519">
        <f>BO58</f>
        <v>100.095</v>
      </c>
      <c r="N58" s="1519">
        <f>BS58</f>
        <v>120.60299999999999</v>
      </c>
      <c r="O58" s="1519">
        <f>BW58</f>
        <v>228.76</v>
      </c>
      <c r="P58" s="1519">
        <f>CA58</f>
        <v>286.42399999999998</v>
      </c>
      <c r="Q58" s="1519">
        <f>CE58</f>
        <v>245.72499999999999</v>
      </c>
      <c r="R58" s="1519">
        <f>CI58</f>
        <v>274.95499999999998</v>
      </c>
      <c r="S58" s="1519">
        <f>CM58</f>
        <v>304.964</v>
      </c>
      <c r="T58" s="1519">
        <f>CQ58</f>
        <v>405.90600000000001</v>
      </c>
      <c r="U58" s="1519">
        <f t="shared" si="89"/>
        <v>623.24800000000005</v>
      </c>
      <c r="V58" s="1519">
        <f>CY58</f>
        <v>661.71</v>
      </c>
      <c r="W58" s="1519">
        <f>+DC58</f>
        <v>661.71</v>
      </c>
      <c r="X58" s="1520">
        <f>W58</f>
        <v>661.71</v>
      </c>
      <c r="Y58" s="1520">
        <f>X58</f>
        <v>661.71</v>
      </c>
      <c r="Z58" s="1520">
        <f>Y58</f>
        <v>661.71</v>
      </c>
      <c r="AA58" s="1520">
        <f t="shared" ref="AA58:AD58" si="90">Z58</f>
        <v>661.71</v>
      </c>
      <c r="AB58" s="1520">
        <f t="shared" si="90"/>
        <v>661.71</v>
      </c>
      <c r="AC58" s="1520">
        <f t="shared" si="90"/>
        <v>661.71</v>
      </c>
      <c r="AD58" s="1520">
        <f t="shared" si="90"/>
        <v>661.71</v>
      </c>
      <c r="AE58" s="1483"/>
      <c r="AF58" s="1521"/>
      <c r="AG58" s="1526">
        <v>2.532</v>
      </c>
      <c r="AH58" s="1526">
        <v>2.9159999999999999</v>
      </c>
      <c r="AI58" s="1526">
        <v>4.6559999999999997</v>
      </c>
      <c r="AJ58" s="1526">
        <v>7.2290000000000001</v>
      </c>
      <c r="AK58" s="1526">
        <v>6.7729999999999997</v>
      </c>
      <c r="AL58" s="1526">
        <v>7.617</v>
      </c>
      <c r="AM58" s="1526">
        <v>8.9779999999999998</v>
      </c>
      <c r="AN58" s="1526">
        <v>10.273</v>
      </c>
      <c r="AO58" s="1526">
        <v>11.586</v>
      </c>
      <c r="AP58" s="1526">
        <v>12.755000000000001</v>
      </c>
      <c r="AQ58" s="1526">
        <v>14.214</v>
      </c>
      <c r="AR58" s="1526">
        <v>14.884</v>
      </c>
      <c r="AS58" s="1526">
        <v>17.035</v>
      </c>
      <c r="AT58" s="1526">
        <v>17.873000000000001</v>
      </c>
      <c r="AU58" s="1526">
        <v>22.021999999999998</v>
      </c>
      <c r="AV58" s="1526">
        <v>23.411000000000001</v>
      </c>
      <c r="AW58" s="1526">
        <v>24.969000000000001</v>
      </c>
      <c r="AX58" s="1526">
        <v>26.094999999999999</v>
      </c>
      <c r="AY58" s="1526">
        <v>26.452999999999999</v>
      </c>
      <c r="AZ58" s="1526">
        <v>28.768999999999998</v>
      </c>
      <c r="BA58" s="1526">
        <v>29.542000000000002</v>
      </c>
      <c r="BB58" s="1526">
        <v>30.274000000000001</v>
      </c>
      <c r="BC58" s="1526">
        <v>23.725999999999999</v>
      </c>
      <c r="BD58" s="1526">
        <v>26.318000000000001</v>
      </c>
      <c r="BE58" s="1526">
        <v>26.738</v>
      </c>
      <c r="BF58" s="1526">
        <v>27.879000000000001</v>
      </c>
      <c r="BG58" s="1526">
        <v>34.630000000000003</v>
      </c>
      <c r="BH58" s="1526">
        <v>35.104999999999997</v>
      </c>
      <c r="BI58" s="1526">
        <v>34.683999999999997</v>
      </c>
      <c r="BJ58" s="1526">
        <v>46.515999999999998</v>
      </c>
      <c r="BK58" s="1526">
        <v>56.097000000000001</v>
      </c>
      <c r="BL58" s="1526">
        <v>71.34</v>
      </c>
      <c r="BM58" s="1526">
        <v>73.965999999999994</v>
      </c>
      <c r="BN58" s="1526">
        <v>77.870999999999995</v>
      </c>
      <c r="BO58" s="1526">
        <v>100.095</v>
      </c>
      <c r="BP58" s="1518">
        <v>113.17400000000001</v>
      </c>
      <c r="BQ58" s="1518">
        <v>103.95399999999999</v>
      </c>
      <c r="BR58" s="1518">
        <v>111.17700000000001</v>
      </c>
      <c r="BS58" s="1518">
        <v>120.60299999999999</v>
      </c>
      <c r="BT58" s="1518">
        <v>115.101</v>
      </c>
      <c r="BU58" s="1518">
        <v>203.017</v>
      </c>
      <c r="BV58" s="1518">
        <v>214.44200000000001</v>
      </c>
      <c r="BW58" s="1518">
        <v>228.76</v>
      </c>
      <c r="BX58" s="1518">
        <v>225.98699999999999</v>
      </c>
      <c r="BY58" s="1518">
        <v>238.684</v>
      </c>
      <c r="BZ58" s="1518">
        <v>253.3</v>
      </c>
      <c r="CA58" s="1518">
        <v>286.42399999999998</v>
      </c>
      <c r="CB58" s="1518">
        <v>291.06</v>
      </c>
      <c r="CC58" s="1518">
        <v>282.35000000000002</v>
      </c>
      <c r="CD58" s="1518">
        <v>174.327</v>
      </c>
      <c r="CE58" s="1518">
        <v>245.72499999999999</v>
      </c>
      <c r="CF58" s="1518">
        <v>197.96600000000001</v>
      </c>
      <c r="CG58" s="1518">
        <v>245.768</v>
      </c>
      <c r="CH58" s="1518">
        <v>255.452</v>
      </c>
      <c r="CI58" s="1518">
        <v>274.95499999999998</v>
      </c>
      <c r="CJ58" s="1518">
        <v>284.108</v>
      </c>
      <c r="CK58" s="1518">
        <v>449.30399999999997</v>
      </c>
      <c r="CL58" s="1518">
        <v>290.36399999999998</v>
      </c>
      <c r="CM58" s="1518">
        <v>304.964</v>
      </c>
      <c r="CN58" s="1518">
        <v>311.71800000000002</v>
      </c>
      <c r="CO58" s="1518">
        <v>331.31900000000002</v>
      </c>
      <c r="CP58" s="1518">
        <v>349.82100000000003</v>
      </c>
      <c r="CQ58" s="1518">
        <v>405.90600000000001</v>
      </c>
      <c r="CR58" s="1518">
        <v>598.41600000000005</v>
      </c>
      <c r="CS58" s="1518">
        <v>606.51800000000003</v>
      </c>
      <c r="CT58" s="1518">
        <v>664.07600000000002</v>
      </c>
      <c r="CU58" s="1518">
        <v>623.24800000000005</v>
      </c>
      <c r="CV58" s="1518">
        <v>645.40899999999999</v>
      </c>
      <c r="CW58" s="1518">
        <v>715.67899999999997</v>
      </c>
      <c r="CX58" s="1518">
        <v>728.68100000000004</v>
      </c>
      <c r="CY58" s="1518">
        <v>661.71</v>
      </c>
      <c r="CZ58" s="1519">
        <f t="shared" ref="CZ58:DC58" si="91">CY58</f>
        <v>661.71</v>
      </c>
      <c r="DA58" s="1519">
        <f t="shared" si="91"/>
        <v>661.71</v>
      </c>
      <c r="DB58" s="1519">
        <f t="shared" si="91"/>
        <v>661.71</v>
      </c>
      <c r="DC58" s="1519">
        <f t="shared" si="91"/>
        <v>661.71</v>
      </c>
      <c r="DE58" s="2087"/>
      <c r="DG58"/>
    </row>
    <row r="59" spans="1:118">
      <c r="B59" s="1523" t="s">
        <v>1027</v>
      </c>
      <c r="C59" s="1483"/>
      <c r="D59" s="1494"/>
      <c r="E59" s="1530">
        <f t="shared" ref="E59:Z59" si="92">SUM(E48:E58)+(E46)</f>
        <v>308.36900000000003</v>
      </c>
      <c r="F59" s="1530">
        <f t="shared" si="92"/>
        <v>371.53300000000002</v>
      </c>
      <c r="G59" s="1530">
        <f t="shared" si="92"/>
        <v>207.80900000000003</v>
      </c>
      <c r="H59" s="1530">
        <f t="shared" si="92"/>
        <v>144.45499999999998</v>
      </c>
      <c r="I59" s="1530">
        <f t="shared" si="92"/>
        <v>228.09199999999998</v>
      </c>
      <c r="J59" s="1530">
        <f t="shared" si="92"/>
        <v>392.32400000000001</v>
      </c>
      <c r="K59" s="1530">
        <f t="shared" si="92"/>
        <v>416.80399999999997</v>
      </c>
      <c r="L59" s="1530">
        <f t="shared" si="92"/>
        <v>1367.4359999999999</v>
      </c>
      <c r="M59" s="1494">
        <f t="shared" si="92"/>
        <v>1518.075</v>
      </c>
      <c r="N59" s="1494">
        <f t="shared" si="92"/>
        <v>1855.6670000000001</v>
      </c>
      <c r="O59" s="1494">
        <f t="shared" si="92"/>
        <v>2567.4939999999997</v>
      </c>
      <c r="P59" s="1494">
        <f t="shared" si="92"/>
        <v>3765.5110000000004</v>
      </c>
      <c r="Q59" s="1494">
        <f t="shared" si="92"/>
        <v>3738.1780000000003</v>
      </c>
      <c r="R59" s="1494">
        <f t="shared" si="92"/>
        <v>4909.393</v>
      </c>
      <c r="S59" s="1494">
        <f t="shared" si="92"/>
        <v>5547.3019999999997</v>
      </c>
      <c r="T59" s="1494">
        <f t="shared" si="92"/>
        <v>7611.3090000000002</v>
      </c>
      <c r="U59" s="1494">
        <f t="shared" si="92"/>
        <v>8242.5419999999995</v>
      </c>
      <c r="V59" s="1494">
        <f>SUM(V48:V58)+(V46)</f>
        <v>11846.268</v>
      </c>
      <c r="W59" s="1494">
        <f ca="1">SUM(W48:W58)+(W46)</f>
        <v>11899.702889378308</v>
      </c>
      <c r="X59" s="1531">
        <f t="shared" ca="1" si="92"/>
        <v>12447.684794515075</v>
      </c>
      <c r="Y59" s="1531">
        <f t="shared" ca="1" si="92"/>
        <v>13019.753949762066</v>
      </c>
      <c r="Z59" s="1531">
        <f t="shared" ca="1" si="92"/>
        <v>13586.938197939624</v>
      </c>
      <c r="AA59" s="1531">
        <f t="shared" ref="AA59:AD59" ca="1" si="93">SUM(AA48:AA58)+(AA46)</f>
        <v>13653.403630636934</v>
      </c>
      <c r="AB59" s="1531">
        <f t="shared" ca="1" si="93"/>
        <v>13719.102100918055</v>
      </c>
      <c r="AC59" s="1531">
        <f t="shared" ca="1" si="93"/>
        <v>13783.996370790412</v>
      </c>
      <c r="AD59" s="1531">
        <f t="shared" ca="1" si="93"/>
        <v>13848.056683246814</v>
      </c>
      <c r="AE59" s="1483"/>
      <c r="AF59" s="1494"/>
      <c r="AG59" s="1494">
        <f t="shared" ref="AG59:BL59" si="94">SUM(AG48:AG58)+(AG46)</f>
        <v>261.86400000000003</v>
      </c>
      <c r="AH59" s="1494">
        <f t="shared" si="94"/>
        <v>288.005</v>
      </c>
      <c r="AI59" s="1494">
        <f t="shared" si="94"/>
        <v>308.36900000000003</v>
      </c>
      <c r="AJ59" s="1494">
        <f t="shared" si="94"/>
        <v>410.61400000000003</v>
      </c>
      <c r="AK59" s="1494">
        <f t="shared" si="94"/>
        <v>404.40600000000006</v>
      </c>
      <c r="AL59" s="1494">
        <f t="shared" si="94"/>
        <v>421.01400000000001</v>
      </c>
      <c r="AM59" s="1494">
        <f t="shared" si="94"/>
        <v>371.53300000000002</v>
      </c>
      <c r="AN59" s="1494">
        <f t="shared" si="94"/>
        <v>326.11900000000003</v>
      </c>
      <c r="AO59" s="1494">
        <f t="shared" si="94"/>
        <v>280.077</v>
      </c>
      <c r="AP59" s="1494">
        <f t="shared" si="94"/>
        <v>280.452</v>
      </c>
      <c r="AQ59" s="1494">
        <f t="shared" si="94"/>
        <v>207.80900000000003</v>
      </c>
      <c r="AR59" s="1494">
        <f t="shared" si="94"/>
        <v>192.40100000000001</v>
      </c>
      <c r="AS59" s="1494">
        <f t="shared" si="94"/>
        <v>188.35499999999999</v>
      </c>
      <c r="AT59" s="1494">
        <f t="shared" si="94"/>
        <v>192.827</v>
      </c>
      <c r="AU59" s="1494">
        <f t="shared" si="94"/>
        <v>144.45499999999998</v>
      </c>
      <c r="AV59" s="1494">
        <f t="shared" si="94"/>
        <v>164.25000000000003</v>
      </c>
      <c r="AW59" s="1494">
        <f t="shared" si="94"/>
        <v>168.40100000000001</v>
      </c>
      <c r="AX59" s="1494">
        <f t="shared" si="94"/>
        <v>176.345</v>
      </c>
      <c r="AY59" s="1494">
        <f t="shared" si="94"/>
        <v>228.09199999999998</v>
      </c>
      <c r="AZ59" s="1494">
        <f t="shared" si="94"/>
        <v>208.696</v>
      </c>
      <c r="BA59" s="1494">
        <f t="shared" si="94"/>
        <v>215.88499999999999</v>
      </c>
      <c r="BB59" s="1494">
        <f t="shared" si="94"/>
        <v>218.30399999999997</v>
      </c>
      <c r="BC59" s="1494">
        <f t="shared" si="94"/>
        <v>392.32400000000001</v>
      </c>
      <c r="BD59" s="1494">
        <f t="shared" si="94"/>
        <v>362.51599999999996</v>
      </c>
      <c r="BE59" s="1494">
        <f t="shared" si="94"/>
        <v>366.04599999999999</v>
      </c>
      <c r="BF59" s="1494">
        <f t="shared" si="94"/>
        <v>403.036</v>
      </c>
      <c r="BG59" s="1494">
        <f t="shared" si="94"/>
        <v>416.80399999999997</v>
      </c>
      <c r="BH59" s="1494">
        <f t="shared" si="94"/>
        <v>648.55899999999997</v>
      </c>
      <c r="BI59" s="1494">
        <f t="shared" si="94"/>
        <v>732.77699999999993</v>
      </c>
      <c r="BJ59" s="1494">
        <f t="shared" si="94"/>
        <v>1315.8890000000001</v>
      </c>
      <c r="BK59" s="1494">
        <f t="shared" si="94"/>
        <v>1367.4359999999999</v>
      </c>
      <c r="BL59" s="1494">
        <f t="shared" si="94"/>
        <v>1443.6569999999997</v>
      </c>
      <c r="BM59" s="1494">
        <f t="shared" ref="BM59:CP59" si="95">SUM(BM48:BM58)+(BM46)</f>
        <v>1452.309</v>
      </c>
      <c r="BN59" s="1494">
        <f t="shared" si="95"/>
        <v>1454.6850000000002</v>
      </c>
      <c r="BO59" s="1494">
        <f t="shared" si="95"/>
        <v>1518.075</v>
      </c>
      <c r="BP59" s="1494">
        <f t="shared" si="95"/>
        <v>1483.7930000000001</v>
      </c>
      <c r="BQ59" s="1494">
        <f t="shared" si="95"/>
        <v>1750.7429999999999</v>
      </c>
      <c r="BR59" s="1494">
        <f t="shared" si="95"/>
        <v>1828.144</v>
      </c>
      <c r="BS59" s="1494">
        <f t="shared" si="95"/>
        <v>1855.6670000000001</v>
      </c>
      <c r="BT59" s="1494">
        <f t="shared" si="95"/>
        <v>2480.2809999999999</v>
      </c>
      <c r="BU59" s="1494">
        <f t="shared" si="95"/>
        <v>2532.011</v>
      </c>
      <c r="BV59" s="1494">
        <f t="shared" si="95"/>
        <v>2626.9180000000001</v>
      </c>
      <c r="BW59" s="1494">
        <f t="shared" si="95"/>
        <v>2567.4939999999997</v>
      </c>
      <c r="BX59" s="1494">
        <f t="shared" si="95"/>
        <v>2665.116</v>
      </c>
      <c r="BY59" s="1494">
        <f t="shared" si="95"/>
        <v>2835.942</v>
      </c>
      <c r="BZ59" s="1494">
        <f t="shared" si="95"/>
        <v>3639.808</v>
      </c>
      <c r="CA59" s="1494">
        <f t="shared" si="95"/>
        <v>3765.5110000000004</v>
      </c>
      <c r="CB59" s="1494">
        <f t="shared" si="95"/>
        <v>3754.7950000000001</v>
      </c>
      <c r="CC59" s="1494">
        <f t="shared" si="95"/>
        <v>3581.2129999999997</v>
      </c>
      <c r="CD59" s="1494">
        <f t="shared" si="95"/>
        <v>3679.13</v>
      </c>
      <c r="CE59" s="1494">
        <f t="shared" si="95"/>
        <v>3738.1780000000003</v>
      </c>
      <c r="CF59" s="1494">
        <f t="shared" si="95"/>
        <v>5173.7809999999999</v>
      </c>
      <c r="CG59" s="1494">
        <f t="shared" si="95"/>
        <v>4669.3599999999997</v>
      </c>
      <c r="CH59" s="1494">
        <f t="shared" si="95"/>
        <v>4815.6529999999993</v>
      </c>
      <c r="CI59" s="1494">
        <f t="shared" si="95"/>
        <v>4909.393</v>
      </c>
      <c r="CJ59" s="1494">
        <f t="shared" si="95"/>
        <v>5086.6330000000007</v>
      </c>
      <c r="CK59" s="1494">
        <f t="shared" si="95"/>
        <v>4691.601999999999</v>
      </c>
      <c r="CL59" s="1494">
        <f t="shared" si="95"/>
        <v>4864.32</v>
      </c>
      <c r="CM59" s="1494">
        <f t="shared" si="95"/>
        <v>5547.3019999999997</v>
      </c>
      <c r="CN59" s="1494">
        <f t="shared" si="95"/>
        <v>5565.9650000000001</v>
      </c>
      <c r="CO59" s="1494">
        <f t="shared" si="95"/>
        <v>5623.4280000000008</v>
      </c>
      <c r="CP59" s="1494">
        <f t="shared" si="95"/>
        <v>6217.012999999999</v>
      </c>
      <c r="CQ59" s="1494">
        <f t="shared" ref="CQ59:CT59" si="96">SUM(CQ48:CQ58)+(CQ46)</f>
        <v>7611.3090000000002</v>
      </c>
      <c r="CR59" s="1494">
        <f t="shared" si="96"/>
        <v>8676.73</v>
      </c>
      <c r="CS59" s="1494">
        <f t="shared" si="96"/>
        <v>8563.58</v>
      </c>
      <c r="CT59" s="1494">
        <f t="shared" si="96"/>
        <v>8473.8469999999998</v>
      </c>
      <c r="CU59" s="1494">
        <f>SUM(CU48:CU58)+(CU46)</f>
        <v>8242.5419999999995</v>
      </c>
      <c r="CV59" s="1494">
        <f>SUM(CV48:CV58)+(CV46)</f>
        <v>10666.844999999999</v>
      </c>
      <c r="CW59" s="1494">
        <f>SUM(CW48:CW58)+(CW46)</f>
        <v>10950.273999999999</v>
      </c>
      <c r="CX59" s="1494">
        <f>SUM(CX48:CX58)+(CX46)</f>
        <v>11766.279</v>
      </c>
      <c r="CY59" s="1494">
        <f>SUM(CY48:CY58)+(CY46)</f>
        <v>11846.268</v>
      </c>
      <c r="CZ59" s="1494">
        <f t="shared" ref="CZ59:DC59" ca="1" si="97">SUM(CZ48:CZ58)+(CZ46)</f>
        <v>11832.777098479706</v>
      </c>
      <c r="DA59" s="1494">
        <f t="shared" ca="1" si="97"/>
        <v>11850.254599640621</v>
      </c>
      <c r="DB59" s="1494">
        <f t="shared" ca="1" si="97"/>
        <v>11874.34405840169</v>
      </c>
      <c r="DC59" s="1494">
        <f t="shared" ca="1" si="97"/>
        <v>11899.702889378308</v>
      </c>
      <c r="DE59" s="2087"/>
      <c r="DG59"/>
    </row>
    <row r="60" spans="1:118">
      <c r="B60" s="1523"/>
      <c r="C60" s="1483"/>
      <c r="D60" s="1494"/>
      <c r="E60" s="1530"/>
      <c r="F60" s="1530"/>
      <c r="G60" s="1530"/>
      <c r="H60" s="1530"/>
      <c r="I60" s="1530"/>
      <c r="J60" s="1530"/>
      <c r="K60" s="1530"/>
      <c r="L60" s="1530"/>
      <c r="M60" s="1494"/>
      <c r="N60" s="1494"/>
      <c r="O60" s="1494"/>
      <c r="P60" s="1494"/>
      <c r="Q60" s="1494"/>
      <c r="R60" s="1494"/>
      <c r="S60" s="1494"/>
      <c r="T60" s="1494"/>
      <c r="U60" s="1494"/>
      <c r="V60" s="1494"/>
      <c r="W60" s="1494"/>
      <c r="X60" s="1531"/>
      <c r="Y60" s="1531"/>
      <c r="Z60" s="1531"/>
      <c r="AA60" s="1531"/>
      <c r="AB60" s="1531"/>
      <c r="AC60" s="1531"/>
      <c r="AD60" s="1531"/>
      <c r="AE60" s="1483"/>
      <c r="AF60" s="1494"/>
      <c r="AG60" s="1494"/>
      <c r="AH60" s="1494"/>
      <c r="AI60" s="1494"/>
      <c r="AJ60" s="1494"/>
      <c r="AK60" s="1494"/>
      <c r="AL60" s="1494"/>
      <c r="AM60" s="1494"/>
      <c r="AN60" s="1494"/>
      <c r="AO60" s="1494"/>
      <c r="AP60" s="1494"/>
      <c r="AQ60" s="1494"/>
      <c r="AR60" s="1494"/>
      <c r="AS60" s="1494"/>
      <c r="AT60" s="1494"/>
      <c r="AU60" s="1494"/>
      <c r="AV60" s="1494"/>
      <c r="AW60" s="1494"/>
      <c r="AX60" s="1494"/>
      <c r="AY60" s="1494"/>
      <c r="AZ60" s="1494"/>
      <c r="BA60" s="1494"/>
      <c r="BB60" s="1494"/>
      <c r="BC60" s="1494"/>
      <c r="BD60" s="1494"/>
      <c r="BE60" s="1494"/>
      <c r="BF60" s="1494"/>
      <c r="BG60" s="1494"/>
      <c r="BH60" s="1494"/>
      <c r="BI60" s="1494"/>
      <c r="BJ60" s="1494"/>
      <c r="BK60" s="1494"/>
      <c r="BL60" s="1494"/>
      <c r="BM60" s="1494"/>
      <c r="BN60" s="1494"/>
      <c r="BO60" s="1494"/>
      <c r="BP60" s="1494"/>
      <c r="BQ60" s="1494"/>
      <c r="BR60" s="1494"/>
      <c r="BS60" s="1494"/>
      <c r="BT60" s="1494"/>
      <c r="BU60" s="1494"/>
      <c r="BV60" s="1494"/>
      <c r="BW60" s="1494"/>
      <c r="BX60" s="1494"/>
      <c r="BY60" s="1494"/>
      <c r="BZ60" s="1494"/>
      <c r="CA60" s="1494"/>
      <c r="CB60" s="1494"/>
      <c r="CC60" s="1494"/>
      <c r="CD60" s="1494"/>
      <c r="CE60" s="1494"/>
      <c r="CF60" s="1494"/>
      <c r="CG60" s="1494"/>
      <c r="CH60" s="1494"/>
      <c r="CI60" s="1494"/>
      <c r="CJ60" s="1494"/>
      <c r="CK60" s="1494"/>
      <c r="CL60" s="1494"/>
      <c r="CM60" s="1494"/>
      <c r="CN60" s="1494"/>
      <c r="CO60" s="1494"/>
      <c r="CP60" s="1494"/>
      <c r="CQ60" s="1494"/>
      <c r="CR60" s="1494"/>
      <c r="CS60" s="1494"/>
      <c r="CT60" s="1494"/>
      <c r="CU60" s="1494"/>
      <c r="CV60" s="1494"/>
      <c r="CW60" s="1494"/>
      <c r="CX60" s="1494"/>
      <c r="CY60" s="1494"/>
      <c r="CZ60" s="1494"/>
      <c r="DA60" s="1494"/>
      <c r="DB60" s="1494"/>
      <c r="DC60" s="1494"/>
      <c r="DE60" s="2087"/>
      <c r="DG60"/>
    </row>
    <row r="61" spans="1:118" s="33" customFormat="1">
      <c r="A61" s="23"/>
      <c r="B61" s="2372" t="s">
        <v>573</v>
      </c>
      <c r="C61" s="1483"/>
      <c r="D61" s="1483"/>
      <c r="E61" s="1483"/>
      <c r="F61" s="1483"/>
      <c r="G61" s="1483"/>
      <c r="H61" s="1483"/>
      <c r="I61" s="1483"/>
      <c r="J61" s="1483"/>
      <c r="K61" s="1483"/>
      <c r="L61" s="1483"/>
      <c r="M61" s="1483"/>
      <c r="N61" s="1483"/>
      <c r="O61" s="1483"/>
      <c r="P61" s="1483">
        <f>CA61</f>
        <v>67.600999999999999</v>
      </c>
      <c r="Q61" s="1483">
        <f>CE61</f>
        <v>84.177999999999997</v>
      </c>
      <c r="R61" s="1483">
        <f>CI61</f>
        <v>123.902</v>
      </c>
      <c r="S61" s="1483">
        <f>CM61</f>
        <v>0</v>
      </c>
      <c r="T61" s="1483">
        <f>CQ61</f>
        <v>0</v>
      </c>
      <c r="U61" s="1483">
        <f>CU61</f>
        <v>0</v>
      </c>
      <c r="V61" s="1483">
        <f>CY61</f>
        <v>0</v>
      </c>
      <c r="W61" s="1483">
        <f>+DC61</f>
        <v>0</v>
      </c>
      <c r="X61" s="1491">
        <f>W61</f>
        <v>0</v>
      </c>
      <c r="Y61" s="1491">
        <f>X61</f>
        <v>0</v>
      </c>
      <c r="Z61" s="1491">
        <f>Y61</f>
        <v>0</v>
      </c>
      <c r="AA61" s="1491">
        <f t="shared" ref="AA61:AD61" si="98">Z61</f>
        <v>0</v>
      </c>
      <c r="AB61" s="1491">
        <f t="shared" si="98"/>
        <v>0</v>
      </c>
      <c r="AC61" s="1491">
        <f t="shared" si="98"/>
        <v>0</v>
      </c>
      <c r="AD61" s="1491">
        <f t="shared" si="98"/>
        <v>0</v>
      </c>
      <c r="AE61" s="1483"/>
      <c r="AF61" s="1483"/>
      <c r="AG61" s="1483"/>
      <c r="AH61" s="1483"/>
      <c r="AI61" s="1483"/>
      <c r="AJ61" s="1483"/>
      <c r="AK61" s="1483"/>
      <c r="AL61" s="1483"/>
      <c r="AM61" s="1483"/>
      <c r="AN61" s="1483"/>
      <c r="AO61" s="1483"/>
      <c r="AP61" s="1483"/>
      <c r="AQ61" s="1483"/>
      <c r="AR61" s="1483"/>
      <c r="AS61" s="1483"/>
      <c r="AT61" s="1483"/>
      <c r="AU61" s="1483"/>
      <c r="AV61" s="1483"/>
      <c r="AW61" s="1483"/>
      <c r="AX61" s="1483"/>
      <c r="AY61" s="1483"/>
      <c r="AZ61" s="1483"/>
      <c r="BA61" s="1483"/>
      <c r="BB61" s="1483"/>
      <c r="BC61" s="1483"/>
      <c r="BD61" s="1483"/>
      <c r="BE61" s="1483"/>
      <c r="BF61" s="1483"/>
      <c r="BG61" s="1483"/>
      <c r="BH61" s="1483"/>
      <c r="BI61" s="1483"/>
      <c r="BJ61" s="1483"/>
      <c r="BK61" s="1483"/>
      <c r="BL61" s="1483"/>
      <c r="BM61" s="1483"/>
      <c r="BN61" s="1483"/>
      <c r="BO61" s="1483"/>
      <c r="BP61" s="1483"/>
      <c r="BQ61" s="1483"/>
      <c r="BR61" s="1483"/>
      <c r="BS61" s="1483"/>
      <c r="BT61" s="1483"/>
      <c r="BU61" s="1483"/>
      <c r="BV61" s="1483"/>
      <c r="BW61" s="1483"/>
      <c r="BX61" s="1483"/>
      <c r="BY61" s="1485">
        <v>69.05</v>
      </c>
      <c r="BZ61" s="1485">
        <v>66.372</v>
      </c>
      <c r="CA61" s="1485">
        <v>67.600999999999999</v>
      </c>
      <c r="CB61" s="1485">
        <v>69.070999999999998</v>
      </c>
      <c r="CC61" s="1485">
        <v>75.853999999999999</v>
      </c>
      <c r="CD61" s="1485">
        <v>78.191000000000003</v>
      </c>
      <c r="CE61" s="1485">
        <v>84.177999999999997</v>
      </c>
      <c r="CF61" s="1485">
        <v>96.891000000000005</v>
      </c>
      <c r="CG61" s="1485">
        <v>96.614000000000004</v>
      </c>
      <c r="CH61" s="1485">
        <v>101.059</v>
      </c>
      <c r="CI61" s="1485">
        <v>123.902</v>
      </c>
      <c r="CJ61" s="1485">
        <v>126.959</v>
      </c>
      <c r="CK61" s="1485">
        <v>227.15600000000001</v>
      </c>
      <c r="CL61" s="1485">
        <v>0</v>
      </c>
      <c r="CM61" s="1485">
        <v>0</v>
      </c>
      <c r="CN61" s="1485">
        <v>0</v>
      </c>
      <c r="CO61" s="1485">
        <v>0</v>
      </c>
      <c r="CP61" s="1485">
        <v>0</v>
      </c>
      <c r="CQ61" s="1485">
        <v>0</v>
      </c>
      <c r="CR61" s="1485">
        <v>0</v>
      </c>
      <c r="CS61" s="1485">
        <v>0</v>
      </c>
      <c r="CT61" s="1485">
        <v>0</v>
      </c>
      <c r="CU61" s="1485">
        <v>0</v>
      </c>
      <c r="CV61" s="1485">
        <v>0</v>
      </c>
      <c r="CW61" s="1485">
        <v>0</v>
      </c>
      <c r="CX61" s="1485">
        <v>0</v>
      </c>
      <c r="CY61" s="1485">
        <v>0</v>
      </c>
      <c r="CZ61" s="1483">
        <v>0</v>
      </c>
      <c r="DA61" s="1483">
        <v>0</v>
      </c>
      <c r="DB61" s="1483">
        <v>0</v>
      </c>
      <c r="DC61" s="1483">
        <v>0</v>
      </c>
      <c r="DD61" s="23"/>
      <c r="DE61" s="2373"/>
      <c r="DF61" s="23"/>
      <c r="DH61" s="23"/>
      <c r="DI61"/>
      <c r="DJ61"/>
      <c r="DK61"/>
      <c r="DL61"/>
      <c r="DM61"/>
      <c r="DN61"/>
    </row>
    <row r="62" spans="1:118">
      <c r="B62" s="1497"/>
      <c r="C62" s="1483"/>
      <c r="D62" s="1483"/>
      <c r="E62" s="1485"/>
      <c r="F62" s="1485"/>
      <c r="G62" s="1485"/>
      <c r="H62" s="1485"/>
      <c r="I62" s="1485"/>
      <c r="J62" s="1485"/>
      <c r="K62" s="1485"/>
      <c r="L62" s="1485"/>
      <c r="M62" s="1483"/>
      <c r="N62" s="1483"/>
      <c r="O62" s="1483"/>
      <c r="P62" s="1483"/>
      <c r="Q62" s="1483"/>
      <c r="R62" s="1483"/>
      <c r="S62" s="1483"/>
      <c r="T62" s="1483"/>
      <c r="U62" s="1483"/>
      <c r="V62" s="1483"/>
      <c r="W62" s="1483"/>
      <c r="X62" s="1491"/>
      <c r="Y62" s="1491"/>
      <c r="Z62" s="1491"/>
      <c r="AA62" s="1491"/>
      <c r="AB62" s="1491"/>
      <c r="AC62" s="1491"/>
      <c r="AD62" s="1491"/>
      <c r="AE62" s="1483"/>
      <c r="AF62" s="1483"/>
      <c r="AG62" s="1483"/>
      <c r="AH62" s="1483"/>
      <c r="AI62" s="1483"/>
      <c r="AJ62" s="1483"/>
      <c r="AK62" s="1483"/>
      <c r="AL62" s="1483"/>
      <c r="AM62" s="1483"/>
      <c r="AN62" s="1483"/>
      <c r="AO62" s="1483"/>
      <c r="AP62" s="1483"/>
      <c r="AQ62" s="1483"/>
      <c r="AR62" s="1483"/>
      <c r="AS62" s="1483"/>
      <c r="AT62" s="1483"/>
      <c r="AU62" s="1483"/>
      <c r="AV62" s="1483"/>
      <c r="AW62" s="1483"/>
      <c r="AX62" s="1483"/>
      <c r="AY62" s="1483"/>
      <c r="AZ62" s="1483"/>
      <c r="BA62" s="1483"/>
      <c r="BB62" s="1483"/>
      <c r="BC62" s="1483"/>
      <c r="BD62" s="1483"/>
      <c r="BE62" s="1483"/>
      <c r="BF62" s="1483"/>
      <c r="BG62" s="1483"/>
      <c r="BH62" s="1483"/>
      <c r="BI62" s="1483"/>
      <c r="BJ62" s="1483"/>
      <c r="BK62" s="1483"/>
      <c r="BL62" s="1483"/>
      <c r="BM62" s="1483"/>
      <c r="BN62" s="1483"/>
      <c r="BO62" s="1483"/>
      <c r="BP62" s="1483"/>
      <c r="BQ62" s="1483"/>
      <c r="BR62" s="1483"/>
      <c r="BS62" s="1483"/>
      <c r="BT62" s="1483"/>
      <c r="BU62" s="1483"/>
      <c r="BV62" s="1483"/>
      <c r="BW62" s="1483"/>
      <c r="BX62" s="1483"/>
      <c r="BY62" s="1483"/>
      <c r="BZ62" s="1483"/>
      <c r="CA62" s="1483"/>
      <c r="CB62" s="1483"/>
      <c r="CC62" s="1483"/>
      <c r="CD62" s="1483"/>
      <c r="CE62" s="1483"/>
      <c r="CF62" s="1483"/>
      <c r="CG62" s="1483"/>
      <c r="CH62" s="1483"/>
      <c r="CI62" s="1483"/>
      <c r="CJ62" s="1483"/>
      <c r="CK62" s="1483"/>
      <c r="CL62" s="1483"/>
      <c r="CM62" s="1483"/>
      <c r="CN62" s="1483"/>
      <c r="CO62" s="1483"/>
      <c r="CP62" s="1483"/>
      <c r="CQ62" s="1483"/>
      <c r="CR62" s="1483"/>
      <c r="CS62" s="1483"/>
      <c r="CT62" s="1483"/>
      <c r="CU62" s="1483"/>
      <c r="CV62" s="1483"/>
      <c r="CW62" s="1483"/>
      <c r="CX62" s="1483"/>
      <c r="CY62" s="1483"/>
      <c r="CZ62" s="1483"/>
      <c r="DA62" s="1483"/>
      <c r="DB62" s="1483"/>
      <c r="DC62" s="1483"/>
      <c r="DE62" s="2087"/>
      <c r="DG62"/>
    </row>
    <row r="63" spans="1:118">
      <c r="B63" s="1497" t="s">
        <v>1063</v>
      </c>
      <c r="C63" s="1483"/>
      <c r="D63" s="1483"/>
      <c r="E63" s="1485"/>
      <c r="F63" s="1485"/>
      <c r="G63" s="1485"/>
      <c r="H63" s="1485"/>
      <c r="I63" s="1485"/>
      <c r="J63" s="1485"/>
      <c r="K63" s="1485"/>
      <c r="L63" s="1485"/>
      <c r="M63" s="1483"/>
      <c r="N63" s="1483"/>
      <c r="O63" s="1483"/>
      <c r="P63" s="1483"/>
      <c r="Q63" s="1483"/>
      <c r="R63" s="1483"/>
      <c r="S63" s="1483"/>
      <c r="T63" s="1483"/>
      <c r="U63" s="1483"/>
      <c r="V63" s="1483"/>
      <c r="W63" s="1483"/>
      <c r="X63" s="1491"/>
      <c r="Y63" s="1491"/>
      <c r="Z63" s="1491"/>
      <c r="AA63" s="1491"/>
      <c r="AB63" s="1491"/>
      <c r="AC63" s="1491"/>
      <c r="AD63" s="1491"/>
      <c r="AE63" s="1483"/>
      <c r="AF63" s="1483"/>
      <c r="AG63" s="1483"/>
      <c r="AH63" s="1483"/>
      <c r="AI63" s="1483"/>
      <c r="AJ63" s="1483"/>
      <c r="AK63" s="1483"/>
      <c r="AL63" s="1483"/>
      <c r="AM63" s="1483"/>
      <c r="AN63" s="1483"/>
      <c r="AO63" s="1483"/>
      <c r="AP63" s="1483"/>
      <c r="AQ63" s="1483"/>
      <c r="AR63" s="1483"/>
      <c r="AS63" s="1483"/>
      <c r="AT63" s="1483"/>
      <c r="AU63" s="1483"/>
      <c r="AV63" s="1483"/>
      <c r="AW63" s="1483"/>
      <c r="AX63" s="1483"/>
      <c r="AY63" s="1483"/>
      <c r="AZ63" s="1483"/>
      <c r="BA63" s="1483"/>
      <c r="BB63" s="1483"/>
      <c r="BC63" s="1483"/>
      <c r="BD63" s="1483"/>
      <c r="BE63" s="1483"/>
      <c r="BF63" s="1483"/>
      <c r="BG63" s="1483"/>
      <c r="BH63" s="1483"/>
      <c r="BI63" s="1483"/>
      <c r="BJ63" s="1483"/>
      <c r="BK63" s="1483"/>
      <c r="BL63" s="1483"/>
      <c r="BM63" s="1483"/>
      <c r="BN63" s="1483"/>
      <c r="BO63" s="1483"/>
      <c r="BP63" s="1483"/>
      <c r="BQ63" s="1483"/>
      <c r="BR63" s="1483"/>
      <c r="BS63" s="1483"/>
      <c r="BT63" s="1483"/>
      <c r="BU63" s="1483"/>
      <c r="BV63" s="1483"/>
      <c r="BW63" s="1483"/>
      <c r="BX63" s="1483"/>
      <c r="BY63" s="1483"/>
      <c r="BZ63" s="1483"/>
      <c r="CA63" s="1483"/>
      <c r="CB63" s="1483"/>
      <c r="CC63" s="1483"/>
      <c r="CD63" s="1483"/>
      <c r="CE63" s="1483"/>
      <c r="CF63" s="1483"/>
      <c r="CG63" s="1483"/>
      <c r="CH63" s="1483"/>
      <c r="CI63" s="1483"/>
      <c r="CJ63" s="1483"/>
      <c r="CK63" s="1483"/>
      <c r="CL63" s="1483"/>
      <c r="CM63" s="1483"/>
      <c r="CN63" s="1483"/>
      <c r="CO63" s="1483"/>
      <c r="CP63" s="1483"/>
      <c r="CQ63" s="1483"/>
      <c r="CR63" s="1483"/>
      <c r="CS63" s="1483"/>
      <c r="CT63" s="1483"/>
      <c r="CU63" s="1483"/>
      <c r="CV63" s="1483"/>
      <c r="CW63" s="1483"/>
      <c r="CX63" s="1483"/>
      <c r="CY63" s="1483"/>
      <c r="CZ63" s="1483"/>
      <c r="DA63" s="1483"/>
      <c r="DB63" s="1483"/>
      <c r="DC63" s="1483"/>
      <c r="DE63" s="2087"/>
      <c r="DG63"/>
    </row>
    <row r="64" spans="1:118">
      <c r="B64" s="1514" t="s">
        <v>1135</v>
      </c>
      <c r="C64" s="1483"/>
      <c r="D64" s="1515"/>
      <c r="E64" s="1485"/>
      <c r="F64" s="1485"/>
      <c r="G64" s="1485">
        <f t="shared" ref="G64:G70" si="99">AQ64</f>
        <v>2E-3</v>
      </c>
      <c r="H64" s="1485">
        <f t="shared" ref="H64:H70" si="100">AU64</f>
        <v>2E-3</v>
      </c>
      <c r="I64" s="1485">
        <f t="shared" ref="I64:I70" si="101">AY64</f>
        <v>2E-3</v>
      </c>
      <c r="J64" s="1485">
        <f t="shared" ref="J64:J70" si="102">BC64</f>
        <v>0</v>
      </c>
      <c r="K64" s="1485">
        <f t="shared" ref="K64:K70" si="103">BG64</f>
        <v>0</v>
      </c>
      <c r="L64" s="1485">
        <f t="shared" ref="L64:L70" si="104">BK64</f>
        <v>0</v>
      </c>
      <c r="M64" s="1483">
        <f t="shared" ref="M64:M70" si="105">BO64</f>
        <v>0</v>
      </c>
      <c r="N64" s="1483">
        <f>BS64</f>
        <v>0</v>
      </c>
      <c r="O64" s="1483">
        <f t="shared" ref="O64:O70" si="106">BW64</f>
        <v>0</v>
      </c>
      <c r="P64" s="1483">
        <f t="shared" ref="P64:P70" si="107">CA64</f>
        <v>0</v>
      </c>
      <c r="Q64" s="1483">
        <f t="shared" ref="Q64:Q70" si="108">CE64</f>
        <v>0</v>
      </c>
      <c r="R64" s="1483">
        <f t="shared" ref="R64:R70" si="109">CI64</f>
        <v>0</v>
      </c>
      <c r="S64" s="1483">
        <f t="shared" ref="S64:S70" si="110">CM64</f>
        <v>0</v>
      </c>
      <c r="T64" s="1483">
        <f t="shared" ref="T64:T70" si="111">CQ64</f>
        <v>0</v>
      </c>
      <c r="U64" s="1483">
        <f t="shared" ref="U64:W70" si="112">CU64</f>
        <v>0</v>
      </c>
      <c r="V64" s="1483">
        <f t="shared" si="112"/>
        <v>0</v>
      </c>
      <c r="W64" s="1483">
        <f t="shared" si="112"/>
        <v>0</v>
      </c>
      <c r="X64" s="1491">
        <f t="shared" ref="X64:Z65" si="113">W64</f>
        <v>0</v>
      </c>
      <c r="Y64" s="1491">
        <f t="shared" si="113"/>
        <v>0</v>
      </c>
      <c r="Z64" s="1491">
        <f t="shared" si="113"/>
        <v>0</v>
      </c>
      <c r="AA64" s="1491">
        <f t="shared" ref="AA64:AA65" si="114">Z64</f>
        <v>0</v>
      </c>
      <c r="AB64" s="1491">
        <f t="shared" ref="AB64:AB65" si="115">AA64</f>
        <v>0</v>
      </c>
      <c r="AC64" s="1491">
        <f t="shared" ref="AC64:AC65" si="116">AB64</f>
        <v>0</v>
      </c>
      <c r="AD64" s="1491">
        <f t="shared" ref="AD64:AD65" si="117">AC64</f>
        <v>0</v>
      </c>
      <c r="AE64" s="1483"/>
      <c r="AF64" s="1515"/>
      <c r="AG64" s="1484">
        <v>191.58</v>
      </c>
      <c r="AH64" s="1484">
        <v>0</v>
      </c>
      <c r="AI64" s="1484">
        <v>0</v>
      </c>
      <c r="AJ64" s="1484">
        <v>0</v>
      </c>
      <c r="AK64" s="1484">
        <v>0</v>
      </c>
      <c r="AL64" s="1484">
        <v>0</v>
      </c>
      <c r="AM64" s="1484">
        <v>0</v>
      </c>
      <c r="AN64" s="1484">
        <v>0</v>
      </c>
      <c r="AO64" s="1484">
        <v>0</v>
      </c>
      <c r="AP64" s="1484">
        <v>0</v>
      </c>
      <c r="AQ64" s="1484">
        <v>2E-3</v>
      </c>
      <c r="AR64" s="1484">
        <v>2E-3</v>
      </c>
      <c r="AS64" s="1484">
        <v>2E-3</v>
      </c>
      <c r="AT64" s="1484">
        <v>2E-3</v>
      </c>
      <c r="AU64" s="1484">
        <v>2E-3</v>
      </c>
      <c r="AV64" s="1484">
        <v>2E-3</v>
      </c>
      <c r="AW64" s="1484">
        <v>2E-3</v>
      </c>
      <c r="AX64" s="1484">
        <v>2E-3</v>
      </c>
      <c r="AY64" s="1484">
        <v>2E-3</v>
      </c>
      <c r="AZ64" s="1484">
        <v>2E-3</v>
      </c>
      <c r="BA64" s="1484">
        <v>2E-3</v>
      </c>
      <c r="BB64" s="1484">
        <v>2E-3</v>
      </c>
      <c r="BC64" s="1484">
        <v>0</v>
      </c>
      <c r="BD64" s="1484"/>
      <c r="BE64" s="1484"/>
      <c r="BF64" s="1484"/>
      <c r="BG64" s="1484"/>
      <c r="BH64" s="1484"/>
      <c r="BI64" s="1484"/>
      <c r="BJ64" s="1484"/>
      <c r="BK64" s="1484"/>
      <c r="BL64" s="1484"/>
      <c r="BM64" s="1484"/>
      <c r="BN64" s="1484">
        <v>0</v>
      </c>
      <c r="BO64" s="1484">
        <v>0</v>
      </c>
      <c r="BP64" s="1485">
        <v>0</v>
      </c>
      <c r="BQ64" s="1485">
        <v>0</v>
      </c>
      <c r="BR64" s="1485">
        <f>BQ64</f>
        <v>0</v>
      </c>
      <c r="BS64" s="1485">
        <v>0</v>
      </c>
      <c r="BT64" s="1485">
        <f t="shared" ref="BT64:CY64" si="118">BS64</f>
        <v>0</v>
      </c>
      <c r="BU64" s="1485">
        <f t="shared" si="118"/>
        <v>0</v>
      </c>
      <c r="BV64" s="1485">
        <f t="shared" si="118"/>
        <v>0</v>
      </c>
      <c r="BW64" s="1485">
        <f t="shared" si="118"/>
        <v>0</v>
      </c>
      <c r="BX64" s="1485">
        <f t="shared" si="118"/>
        <v>0</v>
      </c>
      <c r="BY64" s="1483">
        <f t="shared" si="118"/>
        <v>0</v>
      </c>
      <c r="BZ64" s="1483">
        <f t="shared" si="118"/>
        <v>0</v>
      </c>
      <c r="CA64" s="1483">
        <f t="shared" si="118"/>
        <v>0</v>
      </c>
      <c r="CB64" s="1483">
        <f t="shared" si="118"/>
        <v>0</v>
      </c>
      <c r="CC64" s="1483">
        <f t="shared" si="118"/>
        <v>0</v>
      </c>
      <c r="CD64" s="1483">
        <f t="shared" si="118"/>
        <v>0</v>
      </c>
      <c r="CE64" s="1483">
        <f t="shared" si="118"/>
        <v>0</v>
      </c>
      <c r="CF64" s="1483">
        <f t="shared" si="118"/>
        <v>0</v>
      </c>
      <c r="CG64" s="1483">
        <f t="shared" si="118"/>
        <v>0</v>
      </c>
      <c r="CH64" s="1483">
        <f t="shared" si="118"/>
        <v>0</v>
      </c>
      <c r="CI64" s="1483">
        <f t="shared" si="118"/>
        <v>0</v>
      </c>
      <c r="CJ64" s="1483">
        <f t="shared" si="118"/>
        <v>0</v>
      </c>
      <c r="CK64" s="1483">
        <f t="shared" si="118"/>
        <v>0</v>
      </c>
      <c r="CL64" s="1483">
        <f t="shared" si="118"/>
        <v>0</v>
      </c>
      <c r="CM64" s="1483">
        <f t="shared" si="118"/>
        <v>0</v>
      </c>
      <c r="CN64" s="1483">
        <f t="shared" si="118"/>
        <v>0</v>
      </c>
      <c r="CO64" s="1483">
        <f t="shared" si="118"/>
        <v>0</v>
      </c>
      <c r="CP64" s="1483">
        <f t="shared" si="118"/>
        <v>0</v>
      </c>
      <c r="CQ64" s="1483">
        <f t="shared" si="118"/>
        <v>0</v>
      </c>
      <c r="CR64" s="1483">
        <f t="shared" si="118"/>
        <v>0</v>
      </c>
      <c r="CS64" s="1483">
        <f t="shared" si="118"/>
        <v>0</v>
      </c>
      <c r="CT64" s="1483">
        <f t="shared" si="118"/>
        <v>0</v>
      </c>
      <c r="CU64" s="1483">
        <f t="shared" si="118"/>
        <v>0</v>
      </c>
      <c r="CV64" s="1483">
        <f t="shared" si="118"/>
        <v>0</v>
      </c>
      <c r="CW64" s="1483">
        <f t="shared" si="118"/>
        <v>0</v>
      </c>
      <c r="CX64" s="1483">
        <f t="shared" si="118"/>
        <v>0</v>
      </c>
      <c r="CY64" s="1483">
        <f t="shared" si="118"/>
        <v>0</v>
      </c>
      <c r="CZ64" s="1483">
        <f t="shared" ref="CZ64:CZ65" si="119">CY64</f>
        <v>0</v>
      </c>
      <c r="DA64" s="1483">
        <f t="shared" ref="DA64:DA65" si="120">CZ64</f>
        <v>0</v>
      </c>
      <c r="DB64" s="1483">
        <f t="shared" ref="DB64:DB65" si="121">DA64</f>
        <v>0</v>
      </c>
      <c r="DC64" s="1483">
        <f t="shared" ref="DC64:DC65" si="122">DB64</f>
        <v>0</v>
      </c>
      <c r="DE64" s="2087"/>
      <c r="DG64"/>
    </row>
    <row r="65" spans="2:111">
      <c r="B65" s="1516" t="s">
        <v>1028</v>
      </c>
      <c r="C65" s="1483"/>
      <c r="D65" s="1515"/>
      <c r="E65" s="1485">
        <f t="shared" ref="E65:E70" si="123">AI65</f>
        <v>7.6999999999999999E-2</v>
      </c>
      <c r="F65" s="1485">
        <f t="shared" ref="F65:F70" si="124">AM65</f>
        <v>0.08</v>
      </c>
      <c r="G65" s="1485">
        <f t="shared" si="99"/>
        <v>8.0000000000000002E-3</v>
      </c>
      <c r="H65" s="1485">
        <f t="shared" si="100"/>
        <v>1.4999999999999999E-2</v>
      </c>
      <c r="I65" s="1485">
        <f t="shared" si="101"/>
        <v>1.9E-2</v>
      </c>
      <c r="J65" s="1485">
        <f t="shared" si="102"/>
        <v>2.7E-2</v>
      </c>
      <c r="K65" s="1485">
        <f t="shared" si="103"/>
        <v>2.9000000000000001E-2</v>
      </c>
      <c r="L65" s="1485">
        <f t="shared" si="104"/>
        <v>3.6999999999999998E-2</v>
      </c>
      <c r="M65" s="1483">
        <f t="shared" si="105"/>
        <v>3.7999999999999999E-2</v>
      </c>
      <c r="N65" s="1483">
        <f>BS65</f>
        <v>3.9E-2</v>
      </c>
      <c r="O65" s="1483">
        <f t="shared" si="106"/>
        <v>4.5999999999999999E-2</v>
      </c>
      <c r="P65" s="1483">
        <f t="shared" si="107"/>
        <v>4.8000000000000001E-2</v>
      </c>
      <c r="Q65" s="1483">
        <f t="shared" si="108"/>
        <v>4.9000000000000002E-2</v>
      </c>
      <c r="R65" s="1483">
        <f t="shared" si="109"/>
        <v>0.05</v>
      </c>
      <c r="S65" s="1483">
        <f t="shared" si="110"/>
        <v>5.7000000000000002E-2</v>
      </c>
      <c r="T65" s="1483">
        <f t="shared" si="111"/>
        <v>6.2E-2</v>
      </c>
      <c r="U65" s="1483">
        <f t="shared" si="112"/>
        <v>7.1999999999999995E-2</v>
      </c>
      <c r="V65" s="1483">
        <f t="shared" ref="V65:V70" si="125">CY65</f>
        <v>7.9000000000000001E-2</v>
      </c>
      <c r="W65" s="1483">
        <f t="shared" ref="W65:W70" si="126">+DC65</f>
        <v>7.9000000000000001E-2</v>
      </c>
      <c r="X65" s="1491">
        <f t="shared" si="113"/>
        <v>7.9000000000000001E-2</v>
      </c>
      <c r="Y65" s="1491">
        <f t="shared" si="113"/>
        <v>7.9000000000000001E-2</v>
      </c>
      <c r="Z65" s="1491">
        <f t="shared" si="113"/>
        <v>7.9000000000000001E-2</v>
      </c>
      <c r="AA65" s="1491">
        <f t="shared" si="114"/>
        <v>7.9000000000000001E-2</v>
      </c>
      <c r="AB65" s="1491">
        <f t="shared" si="115"/>
        <v>7.9000000000000001E-2</v>
      </c>
      <c r="AC65" s="1491">
        <f t="shared" si="116"/>
        <v>7.9000000000000001E-2</v>
      </c>
      <c r="AD65" s="1491">
        <f t="shared" si="117"/>
        <v>7.9000000000000001E-2</v>
      </c>
      <c r="AE65" s="1483"/>
      <c r="AF65" s="1515"/>
      <c r="AG65" s="1484">
        <v>1.2999999999999999E-2</v>
      </c>
      <c r="AH65" s="1484">
        <v>7.6999999999999999E-2</v>
      </c>
      <c r="AI65" s="1484">
        <v>7.6999999999999999E-2</v>
      </c>
      <c r="AJ65" s="1484">
        <v>7.9000000000000001E-2</v>
      </c>
      <c r="AK65" s="1484">
        <v>0.08</v>
      </c>
      <c r="AL65" s="1484">
        <v>0.08</v>
      </c>
      <c r="AM65" s="1484">
        <v>0.08</v>
      </c>
      <c r="AN65" s="1484">
        <v>0.09</v>
      </c>
      <c r="AO65" s="1484">
        <v>9.8000000000000004E-2</v>
      </c>
      <c r="AP65" s="1484">
        <v>9.9000000000000005E-2</v>
      </c>
      <c r="AQ65" s="1484">
        <v>8.0000000000000002E-3</v>
      </c>
      <c r="AR65" s="1484">
        <v>8.9999999999999993E-3</v>
      </c>
      <c r="AS65" s="1484">
        <v>8.9999999999999993E-3</v>
      </c>
      <c r="AT65" s="1484">
        <v>8.9999999999999993E-3</v>
      </c>
      <c r="AU65" s="1484">
        <v>1.4999999999999999E-2</v>
      </c>
      <c r="AV65" s="1484">
        <v>1.7999999999999999E-2</v>
      </c>
      <c r="AW65" s="1484">
        <v>1.7999999999999999E-2</v>
      </c>
      <c r="AX65" s="1484">
        <v>1.7999999999999999E-2</v>
      </c>
      <c r="AY65" s="1484">
        <v>1.9E-2</v>
      </c>
      <c r="AZ65" s="1484">
        <v>2.4E-2</v>
      </c>
      <c r="BA65" s="1484">
        <v>2.4E-2</v>
      </c>
      <c r="BB65" s="1484">
        <v>2.4E-2</v>
      </c>
      <c r="BC65" s="1484">
        <v>2.7E-2</v>
      </c>
      <c r="BD65" s="1484">
        <v>2.9000000000000001E-2</v>
      </c>
      <c r="BE65" s="1484">
        <v>2.9000000000000001E-2</v>
      </c>
      <c r="BF65" s="1484">
        <v>2.9000000000000001E-2</v>
      </c>
      <c r="BG65" s="1484">
        <v>2.9000000000000001E-2</v>
      </c>
      <c r="BH65" s="1484">
        <v>3.1E-2</v>
      </c>
      <c r="BI65" s="1484">
        <v>3.2000000000000001E-2</v>
      </c>
      <c r="BJ65" s="1484">
        <v>3.5999999999999997E-2</v>
      </c>
      <c r="BK65" s="1484">
        <v>3.6999999999999998E-2</v>
      </c>
      <c r="BL65" s="1484">
        <v>3.6999999999999998E-2</v>
      </c>
      <c r="BM65" s="1484">
        <v>3.6999999999999998E-2</v>
      </c>
      <c r="BN65" s="1484">
        <v>3.6999999999999998E-2</v>
      </c>
      <c r="BO65" s="1484">
        <v>3.7999999999999999E-2</v>
      </c>
      <c r="BP65" s="1485">
        <v>3.7999999999999999E-2</v>
      </c>
      <c r="BQ65" s="1485">
        <v>3.9E-2</v>
      </c>
      <c r="BR65" s="1485">
        <v>3.9E-2</v>
      </c>
      <c r="BS65" s="1485">
        <v>3.9E-2</v>
      </c>
      <c r="BT65" s="1485">
        <v>0.04</v>
      </c>
      <c r="BU65" s="1485">
        <v>4.5999999999999999E-2</v>
      </c>
      <c r="BV65" s="1485">
        <v>4.5999999999999999E-2</v>
      </c>
      <c r="BW65" s="1485">
        <v>4.5999999999999999E-2</v>
      </c>
      <c r="BX65" s="1485">
        <v>4.7E-2</v>
      </c>
      <c r="BY65" s="1485">
        <v>4.7E-2</v>
      </c>
      <c r="BZ65" s="1485">
        <v>4.7E-2</v>
      </c>
      <c r="CA65" s="1485">
        <v>4.8000000000000001E-2</v>
      </c>
      <c r="CB65" s="1485">
        <v>4.8000000000000001E-2</v>
      </c>
      <c r="CC65" s="1485">
        <v>4.9000000000000002E-2</v>
      </c>
      <c r="CD65" s="1485">
        <v>4.9000000000000002E-2</v>
      </c>
      <c r="CE65" s="1485">
        <v>4.9000000000000002E-2</v>
      </c>
      <c r="CF65" s="1485">
        <v>0.05</v>
      </c>
      <c r="CG65" s="1485">
        <v>0.05</v>
      </c>
      <c r="CH65" s="1485">
        <v>0.05</v>
      </c>
      <c r="CI65" s="1485">
        <v>0.05</v>
      </c>
      <c r="CJ65" s="1485">
        <v>5.0999999999999997E-2</v>
      </c>
      <c r="CK65" s="1485">
        <v>5.2999999999999999E-2</v>
      </c>
      <c r="CL65" s="1485">
        <v>5.3999999999999999E-2</v>
      </c>
      <c r="CM65" s="1485">
        <v>5.7000000000000002E-2</v>
      </c>
      <c r="CN65" s="1485">
        <v>5.7000000000000002E-2</v>
      </c>
      <c r="CO65" s="1485">
        <v>5.7000000000000002E-2</v>
      </c>
      <c r="CP65" s="1485">
        <v>5.7000000000000002E-2</v>
      </c>
      <c r="CQ65" s="1485">
        <v>6.2E-2</v>
      </c>
      <c r="CR65" s="1485">
        <v>6.9000000000000006E-2</v>
      </c>
      <c r="CS65" s="1485">
        <v>7.0999999999999994E-2</v>
      </c>
      <c r="CT65" s="1485">
        <v>7.1999999999999995E-2</v>
      </c>
      <c r="CU65" s="1485">
        <v>7.1999999999999995E-2</v>
      </c>
      <c r="CV65" s="1485">
        <v>7.8E-2</v>
      </c>
      <c r="CW65" s="1485">
        <v>7.8E-2</v>
      </c>
      <c r="CX65" s="1485">
        <v>7.9000000000000001E-2</v>
      </c>
      <c r="CY65" s="1485">
        <v>7.9000000000000001E-2</v>
      </c>
      <c r="CZ65" s="1483">
        <f t="shared" si="119"/>
        <v>7.9000000000000001E-2</v>
      </c>
      <c r="DA65" s="1483">
        <f t="shared" si="120"/>
        <v>7.9000000000000001E-2</v>
      </c>
      <c r="DB65" s="1483">
        <f t="shared" si="121"/>
        <v>7.9000000000000001E-2</v>
      </c>
      <c r="DC65" s="1483">
        <f t="shared" si="122"/>
        <v>7.9000000000000001E-2</v>
      </c>
      <c r="DE65" s="2087"/>
      <c r="DG65"/>
    </row>
    <row r="66" spans="2:111">
      <c r="B66" s="1516" t="s">
        <v>1029</v>
      </c>
      <c r="C66" s="1483"/>
      <c r="D66" s="1515"/>
      <c r="E66" s="1485">
        <f t="shared" si="123"/>
        <v>553.07000000000005</v>
      </c>
      <c r="F66" s="1485">
        <f t="shared" si="124"/>
        <v>544.34299999999996</v>
      </c>
      <c r="G66" s="1485">
        <f t="shared" si="99"/>
        <v>638.06500000000005</v>
      </c>
      <c r="H66" s="1485">
        <f t="shared" si="100"/>
        <v>755.69799999999998</v>
      </c>
      <c r="I66" s="1485">
        <f t="shared" si="101"/>
        <v>776.12300000000005</v>
      </c>
      <c r="J66" s="1485">
        <f t="shared" si="102"/>
        <v>839.49699999999996</v>
      </c>
      <c r="K66" s="1485">
        <f t="shared" si="103"/>
        <v>904.57299999999998</v>
      </c>
      <c r="L66" s="1485">
        <f t="shared" si="104"/>
        <v>1376.915</v>
      </c>
      <c r="M66" s="1483">
        <f t="shared" si="105"/>
        <v>1524.8340000000001</v>
      </c>
      <c r="N66" s="1483">
        <f>BS66</f>
        <v>1665.662</v>
      </c>
      <c r="O66" s="1483">
        <f t="shared" si="106"/>
        <v>2341.5859999999998</v>
      </c>
      <c r="P66" s="1483">
        <f t="shared" si="107"/>
        <v>2437.623</v>
      </c>
      <c r="Q66" s="1483">
        <f t="shared" si="108"/>
        <v>2582.2379999999998</v>
      </c>
      <c r="R66" s="1483">
        <f t="shared" si="109"/>
        <v>2693.8870000000002</v>
      </c>
      <c r="S66" s="1483">
        <f t="shared" si="110"/>
        <v>3334.3049999999998</v>
      </c>
      <c r="T66" s="1483">
        <f t="shared" si="111"/>
        <v>4838.4440000000004</v>
      </c>
      <c r="U66" s="1483">
        <f t="shared" si="112"/>
        <v>7413.5190000000002</v>
      </c>
      <c r="V66" s="1483">
        <f t="shared" si="125"/>
        <v>10121.323</v>
      </c>
      <c r="W66" s="1483">
        <f t="shared" ca="1" si="126"/>
        <v>10325.944396004372</v>
      </c>
      <c r="X66" s="1483">
        <f ca="1">W66+CF!X52+CF!X46+IS!X26+IS!X202+IS!X208</f>
        <v>10539.006502342252</v>
      </c>
      <c r="Y66" s="1483">
        <f ca="1">X66+CF!Y52+CF!Y46+IS!Y26+IS!Y202+IS!Y208</f>
        <v>10768.051619636621</v>
      </c>
      <c r="Z66" s="1483">
        <f ca="1">Y66+CF!Z52+CF!Z46+IS!Z26+IS!Z202+IS!Z208</f>
        <v>11012.178801719137</v>
      </c>
      <c r="AA66" s="1483">
        <f ca="1">Z66+CF!AA52+CF!AA46+IS!AA26+IS!AA202+IS!AA208</f>
        <v>11271.338196708171</v>
      </c>
      <c r="AB66" s="1483">
        <f ca="1">AA66+CF!AB52+CF!AB46+IS!AB26+IS!AB202+IS!AB208</f>
        <v>11545.47155881859</v>
      </c>
      <c r="AC66" s="1483">
        <f ca="1">AB66+CF!AC52+CF!AC46+IS!AC26+IS!AC202+IS!AC208</f>
        <v>11834.514194669628</v>
      </c>
      <c r="AD66" s="1483">
        <f ca="1">AC66+CF!AD52+CF!AD46+IS!AD26+IS!AD202+IS!AD208</f>
        <v>12138.396251832279</v>
      </c>
      <c r="AE66" s="1483"/>
      <c r="AF66" s="1515"/>
      <c r="AG66" s="1484">
        <v>113.964</v>
      </c>
      <c r="AH66" s="1484">
        <v>561.62900000000002</v>
      </c>
      <c r="AI66" s="1484">
        <v>553.07000000000005</v>
      </c>
      <c r="AJ66" s="1484">
        <v>549.68100000000004</v>
      </c>
      <c r="AK66" s="1484">
        <v>546.25</v>
      </c>
      <c r="AL66" s="1484">
        <v>543.83699999999999</v>
      </c>
      <c r="AM66" s="1484">
        <v>544.34299999999996</v>
      </c>
      <c r="AN66" s="1484">
        <v>557.53399999999999</v>
      </c>
      <c r="AO66" s="1484">
        <v>563.85</v>
      </c>
      <c r="AP66" s="1484">
        <v>563.81899999999996</v>
      </c>
      <c r="AQ66" s="1484">
        <v>638.06500000000005</v>
      </c>
      <c r="AR66" s="1484">
        <v>638.13400000000001</v>
      </c>
      <c r="AS66" s="1484">
        <v>648.31399999999996</v>
      </c>
      <c r="AT66" s="1484">
        <v>650.60799999999995</v>
      </c>
      <c r="AU66" s="1484">
        <v>755.69799999999998</v>
      </c>
      <c r="AV66" s="1484">
        <v>768.05799999999999</v>
      </c>
      <c r="AW66" s="1484">
        <v>771.04600000000005</v>
      </c>
      <c r="AX66" s="1484">
        <v>772.11500000000001</v>
      </c>
      <c r="AY66" s="1484">
        <v>776.12300000000005</v>
      </c>
      <c r="AZ66" s="1484">
        <v>829.30200000000002</v>
      </c>
      <c r="BA66" s="1484">
        <v>832.92200000000003</v>
      </c>
      <c r="BB66" s="1484">
        <v>836.10799999999995</v>
      </c>
      <c r="BC66" s="1484">
        <v>839.49699999999996</v>
      </c>
      <c r="BD66" s="1484">
        <v>857.04</v>
      </c>
      <c r="BE66" s="1484">
        <v>871.99900000000002</v>
      </c>
      <c r="BF66" s="1484">
        <v>887.31899999999996</v>
      </c>
      <c r="BG66" s="1484">
        <v>904.57299999999998</v>
      </c>
      <c r="BH66" s="1484">
        <v>978.60699999999997</v>
      </c>
      <c r="BI66" s="1484">
        <v>995.55499999999995</v>
      </c>
      <c r="BJ66" s="1484">
        <v>1356.4269999999999</v>
      </c>
      <c r="BK66" s="1484">
        <v>1376.915</v>
      </c>
      <c r="BL66" s="1484">
        <v>1396.5250000000001</v>
      </c>
      <c r="BM66" s="1484">
        <v>1425.778</v>
      </c>
      <c r="BN66" s="1484">
        <v>1445.3630000000001</v>
      </c>
      <c r="BO66" s="1484">
        <v>1524.8340000000001</v>
      </c>
      <c r="BP66" s="1485">
        <v>1540.5830000000001</v>
      </c>
      <c r="BQ66" s="1485">
        <v>1608.6179999999999</v>
      </c>
      <c r="BR66" s="1485">
        <v>1636.9839999999999</v>
      </c>
      <c r="BS66" s="1485">
        <v>1665.662</v>
      </c>
      <c r="BT66" s="1485">
        <v>1691.7260000000001</v>
      </c>
      <c r="BU66" s="1485">
        <v>2288.8159999999998</v>
      </c>
      <c r="BV66" s="1485">
        <v>2320.107</v>
      </c>
      <c r="BW66" s="1485">
        <v>2341.5859999999998</v>
      </c>
      <c r="BX66" s="1485">
        <v>2372.66</v>
      </c>
      <c r="BY66" s="1485">
        <v>2399.0549999999998</v>
      </c>
      <c r="BZ66" s="1485">
        <v>2417.7809999999999</v>
      </c>
      <c r="CA66" s="1485">
        <v>2437.623</v>
      </c>
      <c r="CB66" s="1485">
        <v>2490.4009999999998</v>
      </c>
      <c r="CC66" s="1485">
        <v>2444.64</v>
      </c>
      <c r="CD66" s="1485">
        <v>2539.2350000000001</v>
      </c>
      <c r="CE66" s="1485">
        <v>2582.2379999999998</v>
      </c>
      <c r="CF66" s="1485">
        <v>2627.3339999999998</v>
      </c>
      <c r="CG66" s="1485">
        <v>2651.3960000000002</v>
      </c>
      <c r="CH66" s="1485">
        <v>2692.21</v>
      </c>
      <c r="CI66" s="1485">
        <v>2693.8870000000002</v>
      </c>
      <c r="CJ66" s="1485">
        <v>2743.2440000000001</v>
      </c>
      <c r="CK66" s="1485">
        <v>2797.1860000000001</v>
      </c>
      <c r="CL66" s="1485">
        <v>2870.752</v>
      </c>
      <c r="CM66" s="1485">
        <v>3334.3049999999998</v>
      </c>
      <c r="CN66" s="1485">
        <v>3383.0790000000002</v>
      </c>
      <c r="CO66" s="1485">
        <v>3418.223</v>
      </c>
      <c r="CP66" s="1485">
        <v>3467.143</v>
      </c>
      <c r="CQ66" s="1485">
        <v>4838.4440000000004</v>
      </c>
      <c r="CR66" s="1485">
        <v>6973.46</v>
      </c>
      <c r="CS66" s="1485">
        <v>7307.5749999999998</v>
      </c>
      <c r="CT66" s="1485">
        <v>7371.0240000000003</v>
      </c>
      <c r="CU66" s="1485">
        <v>7413.5190000000002</v>
      </c>
      <c r="CV66" s="1485">
        <v>9601.6270000000004</v>
      </c>
      <c r="CW66" s="1485">
        <v>9648.8169999999991</v>
      </c>
      <c r="CX66" s="1485">
        <v>9718.58</v>
      </c>
      <c r="CY66" s="1485">
        <v>10121.323</v>
      </c>
      <c r="CZ66" s="1483">
        <f ca="1">CY66+CF!CZ52+CF!CZ46+IS!DR26+IS!DR202+IS!DR208+CY61</f>
        <v>10170.834571985772</v>
      </c>
      <c r="DA66" s="1483">
        <f ca="1">CZ66+CF!DA52+CF!DA46+IS!DS26+IS!DS202+IS!DS208+CZ61</f>
        <v>10221.25281752471</v>
      </c>
      <c r="DB66" s="1483">
        <f ca="1">DA66+CF!DB52+CF!DB46+IS!DT26+IS!DT202+IS!DT208+DA61</f>
        <v>10272.933223993694</v>
      </c>
      <c r="DC66" s="1483">
        <f ca="1">DB66+CF!DC52+CF!DC46+IS!DU26+IS!DU202+IS!DU208+DB61</f>
        <v>10325.944396004372</v>
      </c>
      <c r="DD66" s="23"/>
      <c r="DE66" s="2087"/>
      <c r="DG66" s="1226"/>
    </row>
    <row r="67" spans="2:111">
      <c r="B67" s="1516" t="s">
        <v>1030</v>
      </c>
      <c r="C67" s="1483"/>
      <c r="D67" s="1515"/>
      <c r="E67" s="1485">
        <f t="shared" si="123"/>
        <v>-141.6</v>
      </c>
      <c r="F67" s="1485">
        <f t="shared" si="124"/>
        <v>-330.01499999999999</v>
      </c>
      <c r="G67" s="1485">
        <f t="shared" si="99"/>
        <v>-351.63299999999998</v>
      </c>
      <c r="H67" s="1485">
        <f t="shared" si="100"/>
        <v>-435.80399999999997</v>
      </c>
      <c r="I67" s="1485">
        <f t="shared" si="101"/>
        <v>-504.435</v>
      </c>
      <c r="J67" s="1485">
        <f t="shared" si="102"/>
        <v>-547.04700000000003</v>
      </c>
      <c r="K67" s="1485">
        <f t="shared" si="103"/>
        <v>-553.44399999999996</v>
      </c>
      <c r="L67" s="1485">
        <f t="shared" si="104"/>
        <v>-558.63199999999995</v>
      </c>
      <c r="M67" s="1483">
        <f t="shared" si="105"/>
        <v>-455.411</v>
      </c>
      <c r="N67" s="1483">
        <f>BS67</f>
        <v>-385.98</v>
      </c>
      <c r="O67" s="1483">
        <f t="shared" si="106"/>
        <v>-359.30399999999997</v>
      </c>
      <c r="P67" s="1483">
        <f t="shared" si="107"/>
        <v>-280.59000000000003</v>
      </c>
      <c r="Q67" s="1483">
        <f t="shared" si="108"/>
        <v>-131.12800000000016</v>
      </c>
      <c r="R67" s="1483">
        <f t="shared" si="109"/>
        <v>-36.442999999999998</v>
      </c>
      <c r="S67" s="1483">
        <f t="shared" si="110"/>
        <v>-295.99</v>
      </c>
      <c r="T67" s="1483">
        <f t="shared" si="111"/>
        <v>-108.21599999999999</v>
      </c>
      <c r="U67" s="1483">
        <f t="shared" si="112"/>
        <v>18.584</v>
      </c>
      <c r="V67" s="1483">
        <f t="shared" si="125"/>
        <v>252.68899999999999</v>
      </c>
      <c r="W67" s="1483">
        <f t="shared" ca="1" si="126"/>
        <v>23.219905925082145</v>
      </c>
      <c r="X67" s="1491">
        <f ca="1">W67+X111+CF!X61-IS!X202</f>
        <v>-88.798015228144095</v>
      </c>
      <c r="Y67" s="1491">
        <f ca="1">X67+Y111+CF!Y61-IS!Y202</f>
        <v>-169.58369351013278</v>
      </c>
      <c r="Z67" s="1491">
        <f ca="1">Y67+Z111+CF!Z61-IS!Z202</f>
        <v>-227.38661887766636</v>
      </c>
      <c r="AA67" s="1491">
        <f ca="1">Z67+AA111+CF!AA61-IS!AA202</f>
        <v>-141.84631418389188</v>
      </c>
      <c r="AB67" s="1491">
        <f ca="1">AA67+AB111+CF!AB61-IS!AB202</f>
        <v>461.2347198109685</v>
      </c>
      <c r="AC67" s="1491">
        <f ca="1">AB67+AC111+CF!AC61-IS!AC202</f>
        <v>1427.2846698172427</v>
      </c>
      <c r="AD67" s="1491">
        <f ca="1">AC67+AD111+CF!AD61-IS!AD202</f>
        <v>2485.0062766818546</v>
      </c>
      <c r="AE67" s="1483"/>
      <c r="AF67" s="1515"/>
      <c r="AG67" s="1484">
        <v>-66.63</v>
      </c>
      <c r="AH67" s="1484">
        <v>-98.715000000000003</v>
      </c>
      <c r="AI67" s="1484">
        <v>-141.6</v>
      </c>
      <c r="AJ67" s="1484">
        <v>-183.137</v>
      </c>
      <c r="AK67" s="1484">
        <v>-220.994</v>
      </c>
      <c r="AL67" s="1484">
        <v>-302.56799999999998</v>
      </c>
      <c r="AM67" s="1484">
        <v>-330.01499999999999</v>
      </c>
      <c r="AN67" s="1484">
        <v>-343.709</v>
      </c>
      <c r="AO67" s="1484">
        <v>-368.26600000000002</v>
      </c>
      <c r="AP67" s="1484">
        <v>-412.35399999999998</v>
      </c>
      <c r="AQ67" s="1484">
        <v>-351.63299999999998</v>
      </c>
      <c r="AR67" s="1484">
        <v>-377.18599999999998</v>
      </c>
      <c r="AS67" s="1484">
        <v>-398.38900000000001</v>
      </c>
      <c r="AT67" s="1484">
        <v>-418.10700000000003</v>
      </c>
      <c r="AU67" s="1484">
        <v>-435.80399999999997</v>
      </c>
      <c r="AV67" s="1484">
        <v>-465.94600000000003</v>
      </c>
      <c r="AW67" s="1484">
        <v>-475.15100000000001</v>
      </c>
      <c r="AX67" s="1484">
        <v>-481.76600000000002</v>
      </c>
      <c r="AY67" s="1484">
        <v>-504.435</v>
      </c>
      <c r="AZ67" s="1484">
        <v>-510.22899999999998</v>
      </c>
      <c r="BA67" s="1484">
        <v>-513.66</v>
      </c>
      <c r="BB67" s="1484">
        <v>-514.44299999999998</v>
      </c>
      <c r="BC67" s="1484">
        <v>-547.04700000000003</v>
      </c>
      <c r="BD67" s="1484">
        <v>-552.11699999999996</v>
      </c>
      <c r="BE67" s="1484">
        <v>-557.38699999999994</v>
      </c>
      <c r="BF67" s="1484">
        <v>-562.55499999999995</v>
      </c>
      <c r="BG67" s="1484">
        <v>-553.44399999999996</v>
      </c>
      <c r="BH67" s="1484">
        <v>-557.9</v>
      </c>
      <c r="BI67" s="1484">
        <v>-556.68299999999999</v>
      </c>
      <c r="BJ67" s="1484">
        <v>-552.55899999999997</v>
      </c>
      <c r="BK67" s="1484">
        <v>-558.63199999999995</v>
      </c>
      <c r="BL67" s="1484">
        <v>-553.21100000000001</v>
      </c>
      <c r="BM67" s="1484">
        <v>-550.98199999999997</v>
      </c>
      <c r="BN67" s="1484">
        <v>-543.59299999999996</v>
      </c>
      <c r="BO67" s="1484">
        <v>-455.411</v>
      </c>
      <c r="BP67" s="1485">
        <v>-439.95400000000001</v>
      </c>
      <c r="BQ67" s="1485">
        <v>-422.51400000000001</v>
      </c>
      <c r="BR67" s="1485">
        <v>-403.702</v>
      </c>
      <c r="BS67" s="1485">
        <v>-385.98</v>
      </c>
      <c r="BT67" s="1485">
        <v>-371.78100000000001</v>
      </c>
      <c r="BU67" s="1658">
        <f>-374.055-SUM(Rev!BU315:BU316)</f>
        <v>-376.387</v>
      </c>
      <c r="BV67" s="1658">
        <f>-362.859-SUM(Rev!BU315:BV316)</f>
        <v>-368.94399999999996</v>
      </c>
      <c r="BW67" s="1658">
        <f>-349.099-SUM(Rev!BU315:BW316)</f>
        <v>-359.30399999999997</v>
      </c>
      <c r="BX67" s="1658">
        <f>-323.954-SUM(Rev!BU315:BX316)</f>
        <v>-337.995</v>
      </c>
      <c r="BY67" s="1658">
        <f>-293.224-SUM(Rev!BU315:BY316)</f>
        <v>-311.12299999999999</v>
      </c>
      <c r="BZ67" s="1658">
        <f>-272.905-SUM(Rev!BU315:BZ316)</f>
        <v>-294.64</v>
      </c>
      <c r="CA67" s="1658">
        <f>-255.095-SUM(Rev!BU315:CA316)</f>
        <v>-280.59000000000003</v>
      </c>
      <c r="CB67" s="1658">
        <f>2028.657-SUM(CB65:CB66,CB69:CB70)</f>
        <v>-252.39399999999955</v>
      </c>
      <c r="CC67" s="1658">
        <f>2034.959-SUM(CC65:CC66,CC69:CC70)</f>
        <v>-216.78699999999958</v>
      </c>
      <c r="CD67" s="1658">
        <f>2228.365-SUM(CD65:CD66,CD69:CD70)</f>
        <v>-160.57100000000037</v>
      </c>
      <c r="CE67" s="1658">
        <f>2313.441-SUM(CE65:CE66,CE69:CE70)</f>
        <v>-131.12800000000016</v>
      </c>
      <c r="CF67" s="1658">
        <f>2340.427-SUM(CF65:CF66,CF69:CF70)</f>
        <v>-76.380999999999858</v>
      </c>
      <c r="CG67" s="1658">
        <f>2312.955-SUM(CG65:CG66,CG69:CG70)</f>
        <v>-102.12500000000045</v>
      </c>
      <c r="CH67" s="1658">
        <f>2469.125-SUM(CH65:CH66,CH69:CH70)</f>
        <v>-65.501000000000204</v>
      </c>
      <c r="CI67" s="1485">
        <v>-36.442999999999998</v>
      </c>
      <c r="CJ67" s="1485">
        <v>4.944</v>
      </c>
      <c r="CK67" s="1485">
        <v>16.271999999999998</v>
      </c>
      <c r="CL67" s="1485">
        <v>59.113</v>
      </c>
      <c r="CM67" s="1485">
        <v>-295.99</v>
      </c>
      <c r="CN67" s="1485">
        <v>-219.53800000000001</v>
      </c>
      <c r="CO67" s="1485">
        <v>-160.07900000000001</v>
      </c>
      <c r="CP67" s="1485">
        <v>-118.947</v>
      </c>
      <c r="CQ67" s="1485">
        <v>-108.21599999999999</v>
      </c>
      <c r="CR67" s="1485">
        <v>-139.327</v>
      </c>
      <c r="CS67" s="1485">
        <v>-94.616</v>
      </c>
      <c r="CT67" s="1485">
        <v>-43.165999999999997</v>
      </c>
      <c r="CU67" s="1485">
        <v>18.584</v>
      </c>
      <c r="CV67" s="1485">
        <v>61.768999999999998</v>
      </c>
      <c r="CW67" s="1485">
        <v>107.574</v>
      </c>
      <c r="CX67" s="1485">
        <v>187.47399999999999</v>
      </c>
      <c r="CY67" s="1485">
        <v>252.68899999999999</v>
      </c>
      <c r="CZ67" s="1483">
        <f ca="1">CY67+CZ111+CF!CZ61-IS!DR202</f>
        <v>168.07811663232923</v>
      </c>
      <c r="DA67" s="1483">
        <f ca="1">CZ67+DA111+CF!DA61-IS!DS202</f>
        <v>107.16987826565219</v>
      </c>
      <c r="DB67" s="1483">
        <f ca="1">DA67+DB111+CF!DB61-IS!DT202</f>
        <v>59.928476280267148</v>
      </c>
      <c r="DC67" s="1483">
        <f ca="1">DB67+DC111+CF!DC61-IS!DU202</f>
        <v>23.219905925082145</v>
      </c>
      <c r="DE67" s="2087"/>
      <c r="DG67"/>
    </row>
    <row r="68" spans="2:111">
      <c r="B68" s="2124" t="s">
        <v>1904</v>
      </c>
      <c r="C68" s="1483"/>
      <c r="D68" s="1515"/>
      <c r="E68" s="1485">
        <f t="shared" si="123"/>
        <v>0</v>
      </c>
      <c r="F68" s="1485">
        <f t="shared" si="124"/>
        <v>0</v>
      </c>
      <c r="G68" s="1485">
        <f t="shared" si="99"/>
        <v>0</v>
      </c>
      <c r="H68" s="1485">
        <f t="shared" si="100"/>
        <v>0</v>
      </c>
      <c r="I68" s="1485">
        <f t="shared" si="101"/>
        <v>0</v>
      </c>
      <c r="J68" s="1485">
        <f t="shared" si="102"/>
        <v>-4.93</v>
      </c>
      <c r="K68" s="1485">
        <f t="shared" si="103"/>
        <v>0</v>
      </c>
      <c r="L68" s="1485">
        <f t="shared" si="104"/>
        <v>0</v>
      </c>
      <c r="M68" s="1483">
        <f t="shared" si="105"/>
        <v>0</v>
      </c>
      <c r="N68" s="1483">
        <v>0</v>
      </c>
      <c r="O68" s="1483">
        <f t="shared" si="106"/>
        <v>0</v>
      </c>
      <c r="P68" s="1483">
        <f t="shared" si="107"/>
        <v>0</v>
      </c>
      <c r="Q68" s="1483">
        <f t="shared" si="108"/>
        <v>0</v>
      </c>
      <c r="R68" s="1483">
        <f t="shared" si="109"/>
        <v>0</v>
      </c>
      <c r="S68" s="1483">
        <f t="shared" si="110"/>
        <v>-424.387</v>
      </c>
      <c r="T68" s="1483">
        <f t="shared" si="111"/>
        <v>-1468.472</v>
      </c>
      <c r="U68" s="1483">
        <f t="shared" si="112"/>
        <v>-1969.645</v>
      </c>
      <c r="V68" s="1483">
        <f t="shared" si="125"/>
        <v>-2592.7919999999999</v>
      </c>
      <c r="W68" s="1483">
        <f t="shared" si="126"/>
        <v>-2592.7919999999999</v>
      </c>
      <c r="X68" s="1491">
        <f>+W68</f>
        <v>-2592.7919999999999</v>
      </c>
      <c r="Y68" s="1491">
        <f>+X68</f>
        <v>-2592.7919999999999</v>
      </c>
      <c r="Z68" s="1491">
        <f>+Y68</f>
        <v>-2592.7919999999999</v>
      </c>
      <c r="AA68" s="1491">
        <f t="shared" ref="AA68:AD68" si="127">+Z68</f>
        <v>-2592.7919999999999</v>
      </c>
      <c r="AB68" s="1491">
        <f t="shared" si="127"/>
        <v>-2592.7919999999999</v>
      </c>
      <c r="AC68" s="1491">
        <f t="shared" si="127"/>
        <v>-2592.7919999999999</v>
      </c>
      <c r="AD68" s="1491">
        <f t="shared" si="127"/>
        <v>-2592.7919999999999</v>
      </c>
      <c r="AE68" s="1483"/>
      <c r="AF68" s="1515"/>
      <c r="AG68" s="1484"/>
      <c r="AH68" s="1484"/>
      <c r="AI68" s="1484"/>
      <c r="AJ68" s="1484"/>
      <c r="AK68" s="1484"/>
      <c r="AL68" s="1484"/>
      <c r="AM68" s="1484"/>
      <c r="AN68" s="1484"/>
      <c r="AO68" s="1484"/>
      <c r="AP68" s="1484"/>
      <c r="AQ68" s="1484"/>
      <c r="AR68" s="1484"/>
      <c r="AS68" s="1484"/>
      <c r="AT68" s="1484"/>
      <c r="AU68" s="1484"/>
      <c r="AV68" s="1484"/>
      <c r="AW68" s="1484"/>
      <c r="AX68" s="1484"/>
      <c r="AY68" s="1484"/>
      <c r="AZ68" s="1484"/>
      <c r="BA68" s="1484"/>
      <c r="BB68" s="1484"/>
      <c r="BC68" s="1484">
        <f>-4.93</f>
        <v>-4.93</v>
      </c>
      <c r="BD68" s="1484"/>
      <c r="BE68" s="1484"/>
      <c r="BF68" s="1484"/>
      <c r="BG68" s="1484"/>
      <c r="BH68" s="1484"/>
      <c r="BI68" s="1484"/>
      <c r="BJ68" s="1484"/>
      <c r="BK68" s="1484"/>
      <c r="BL68" s="1484"/>
      <c r="BM68" s="1484"/>
      <c r="BN68" s="1484">
        <f>BM68</f>
        <v>0</v>
      </c>
      <c r="BO68" s="1484">
        <v>0</v>
      </c>
      <c r="BP68" s="1485">
        <v>0</v>
      </c>
      <c r="BQ68" s="1485">
        <f t="shared" ref="BQ68:CC68" si="128">BP68</f>
        <v>0</v>
      </c>
      <c r="BR68" s="1485">
        <f t="shared" si="128"/>
        <v>0</v>
      </c>
      <c r="BS68" s="1485">
        <f t="shared" si="128"/>
        <v>0</v>
      </c>
      <c r="BT68" s="1485">
        <f t="shared" si="128"/>
        <v>0</v>
      </c>
      <c r="BU68" s="1485">
        <f t="shared" si="128"/>
        <v>0</v>
      </c>
      <c r="BV68" s="1485">
        <f t="shared" si="128"/>
        <v>0</v>
      </c>
      <c r="BW68" s="1485">
        <f t="shared" si="128"/>
        <v>0</v>
      </c>
      <c r="BX68" s="1485">
        <f t="shared" si="128"/>
        <v>0</v>
      </c>
      <c r="BY68" s="1483">
        <f t="shared" si="128"/>
        <v>0</v>
      </c>
      <c r="BZ68" s="1483">
        <f t="shared" si="128"/>
        <v>0</v>
      </c>
      <c r="CA68" s="1483">
        <f t="shared" si="128"/>
        <v>0</v>
      </c>
      <c r="CB68" s="1483">
        <f t="shared" si="128"/>
        <v>0</v>
      </c>
      <c r="CC68" s="1483">
        <f t="shared" si="128"/>
        <v>0</v>
      </c>
      <c r="CD68" s="1485">
        <v>0</v>
      </c>
      <c r="CE68" s="1485">
        <v>0</v>
      </c>
      <c r="CF68" s="1485">
        <v>0</v>
      </c>
      <c r="CG68" s="1485"/>
      <c r="CH68" s="1485"/>
      <c r="CI68" s="1485"/>
      <c r="CJ68" s="1485"/>
      <c r="CK68" s="1485"/>
      <c r="CL68" s="1485"/>
      <c r="CM68" s="1485">
        <v>-424.387</v>
      </c>
      <c r="CN68" s="1485">
        <v>-523.14599999999996</v>
      </c>
      <c r="CO68" s="1485">
        <v>-621.79200000000003</v>
      </c>
      <c r="CP68" s="1485">
        <v>-1361.675</v>
      </c>
      <c r="CQ68" s="1485">
        <v>-1468.472</v>
      </c>
      <c r="CR68" s="1485">
        <v>-1591.9079999999999</v>
      </c>
      <c r="CS68" s="1485">
        <v>-1715.5329999999999</v>
      </c>
      <c r="CT68" s="1485">
        <v>-1842.8340000000001</v>
      </c>
      <c r="CU68" s="1485">
        <v>-1969.645</v>
      </c>
      <c r="CV68" s="1485">
        <v>-2115.9630000000002</v>
      </c>
      <c r="CW68" s="1485">
        <v>-2274.5030000000002</v>
      </c>
      <c r="CX68" s="1485">
        <v>-2433.6</v>
      </c>
      <c r="CY68" s="1485">
        <v>-2592.7919999999999</v>
      </c>
      <c r="CZ68" s="1483">
        <f t="shared" ref="CZ68:DC68" si="129">CY68</f>
        <v>-2592.7919999999999</v>
      </c>
      <c r="DA68" s="1483">
        <f t="shared" si="129"/>
        <v>-2592.7919999999999</v>
      </c>
      <c r="DB68" s="1483">
        <f t="shared" si="129"/>
        <v>-2592.7919999999999</v>
      </c>
      <c r="DC68" s="1483">
        <f t="shared" si="129"/>
        <v>-2592.7919999999999</v>
      </c>
      <c r="DE68" s="1498"/>
      <c r="DG68"/>
    </row>
    <row r="69" spans="2:111">
      <c r="B69" s="1516" t="s">
        <v>1032</v>
      </c>
      <c r="C69" s="1483"/>
      <c r="D69" s="1515"/>
      <c r="E69" s="1485">
        <f t="shared" si="123"/>
        <v>0</v>
      </c>
      <c r="F69" s="1485">
        <f t="shared" si="124"/>
        <v>0</v>
      </c>
      <c r="G69" s="1485">
        <f t="shared" si="99"/>
        <v>0</v>
      </c>
      <c r="H69" s="1485">
        <f t="shared" si="100"/>
        <v>0</v>
      </c>
      <c r="I69" s="1485">
        <f t="shared" si="101"/>
        <v>0</v>
      </c>
      <c r="J69" s="1485">
        <f t="shared" si="102"/>
        <v>0</v>
      </c>
      <c r="K69" s="1485">
        <f t="shared" si="103"/>
        <v>0</v>
      </c>
      <c r="L69" s="1485">
        <f t="shared" si="104"/>
        <v>0</v>
      </c>
      <c r="M69" s="1483">
        <f t="shared" si="105"/>
        <v>0</v>
      </c>
      <c r="N69" s="1483">
        <f>BS69</f>
        <v>0</v>
      </c>
      <c r="O69" s="1483">
        <f t="shared" si="106"/>
        <v>0</v>
      </c>
      <c r="P69" s="1483">
        <f t="shared" si="107"/>
        <v>-86.665999999999997</v>
      </c>
      <c r="Q69" s="1483">
        <f t="shared" si="108"/>
        <v>-36.676000000000002</v>
      </c>
      <c r="R69" s="1483">
        <f t="shared" si="109"/>
        <v>-84.662999999999997</v>
      </c>
      <c r="S69" s="1483">
        <f t="shared" si="110"/>
        <v>-11.411</v>
      </c>
      <c r="T69" s="1483">
        <f t="shared" si="111"/>
        <v>-7.3730000000000002</v>
      </c>
      <c r="U69" s="1483">
        <f t="shared" si="112"/>
        <v>-147.559</v>
      </c>
      <c r="V69" s="1483">
        <f t="shared" si="125"/>
        <v>-146.32</v>
      </c>
      <c r="W69" s="1483">
        <f t="shared" ca="1" si="126"/>
        <v>-146.32</v>
      </c>
      <c r="X69" s="1491">
        <f ca="1">+W69-IS!AT181</f>
        <v>-146.32</v>
      </c>
      <c r="Y69" s="1491">
        <f ca="1">+X69-IS!AU181</f>
        <v>-146.32</v>
      </c>
      <c r="Z69" s="1491">
        <f ca="1">+Y69-IS!AV181</f>
        <v>-146.32</v>
      </c>
      <c r="AA69" s="1491">
        <f ca="1">+Z69-IS!AW181</f>
        <v>-146.32</v>
      </c>
      <c r="AB69" s="1491">
        <f ca="1">+AA69-IS!AX181</f>
        <v>-146.32</v>
      </c>
      <c r="AC69" s="1491">
        <f ca="1">+AB69-IS!AY181</f>
        <v>-146.32</v>
      </c>
      <c r="AD69" s="1491">
        <f ca="1">+AC69-IS!AZ181</f>
        <v>-146.32</v>
      </c>
      <c r="AE69" s="1483"/>
      <c r="AF69" s="1515"/>
      <c r="AG69" s="1484"/>
      <c r="AH69" s="1484"/>
      <c r="AI69" s="1484"/>
      <c r="AJ69" s="1484"/>
      <c r="AK69" s="1484"/>
      <c r="AL69" s="1484"/>
      <c r="AM69" s="1484"/>
      <c r="AN69" s="1484"/>
      <c r="AO69" s="1484"/>
      <c r="AP69" s="1484"/>
      <c r="AQ69" s="1484"/>
      <c r="AR69" s="1484"/>
      <c r="AS69" s="1484"/>
      <c r="AT69" s="1484"/>
      <c r="AU69" s="1484"/>
      <c r="AV69" s="1484"/>
      <c r="AW69" s="1484"/>
      <c r="AX69" s="1484"/>
      <c r="AY69" s="1484"/>
      <c r="AZ69" s="1484"/>
      <c r="BA69" s="1484"/>
      <c r="BB69" s="1484"/>
      <c r="BC69" s="1484"/>
      <c r="BD69" s="1484"/>
      <c r="BE69" s="1484"/>
      <c r="BF69" s="1484"/>
      <c r="BG69" s="1484"/>
      <c r="BH69" s="1484"/>
      <c r="BI69" s="1484"/>
      <c r="BJ69" s="1484"/>
      <c r="BK69" s="1484"/>
      <c r="BL69" s="1484"/>
      <c r="BM69" s="1484"/>
      <c r="BN69" s="1484"/>
      <c r="BO69" s="1484">
        <v>0</v>
      </c>
      <c r="BP69" s="1485">
        <v>0</v>
      </c>
      <c r="BQ69" s="1485">
        <f t="shared" ref="BQ69:BZ69" si="130">BP69</f>
        <v>0</v>
      </c>
      <c r="BR69" s="1485">
        <f t="shared" si="130"/>
        <v>0</v>
      </c>
      <c r="BS69" s="1485">
        <f t="shared" si="130"/>
        <v>0</v>
      </c>
      <c r="BT69" s="1485">
        <f t="shared" si="130"/>
        <v>0</v>
      </c>
      <c r="BU69" s="1485">
        <f t="shared" si="130"/>
        <v>0</v>
      </c>
      <c r="BV69" s="1485">
        <f t="shared" si="130"/>
        <v>0</v>
      </c>
      <c r="BW69" s="1485">
        <f t="shared" si="130"/>
        <v>0</v>
      </c>
      <c r="BX69" s="1485">
        <f t="shared" si="130"/>
        <v>0</v>
      </c>
      <c r="BY69" s="1483">
        <f t="shared" si="130"/>
        <v>0</v>
      </c>
      <c r="BZ69" s="1483">
        <f t="shared" si="130"/>
        <v>0</v>
      </c>
      <c r="CA69" s="1485">
        <v>-86.665999999999997</v>
      </c>
      <c r="CB69" s="1485">
        <v>-99.031000000000006</v>
      </c>
      <c r="CC69" s="1485">
        <v>-37.165999999999997</v>
      </c>
      <c r="CD69" s="1485">
        <v>-36.706000000000003</v>
      </c>
      <c r="CE69" s="1485">
        <v>-36.676000000000002</v>
      </c>
      <c r="CF69" s="1485">
        <v>-36.308999999999997</v>
      </c>
      <c r="CG69" s="1485">
        <v>-36.283999999999999</v>
      </c>
      <c r="CH69" s="1485">
        <v>-35.902999999999999</v>
      </c>
      <c r="CI69" s="1485">
        <v>-84.662999999999997</v>
      </c>
      <c r="CJ69" s="1485">
        <v>-131.40799999999999</v>
      </c>
      <c r="CK69" s="1485">
        <v>-52.938000000000002</v>
      </c>
      <c r="CL69" s="1485">
        <v>-94.759</v>
      </c>
      <c r="CM69" s="1485">
        <v>-11.411</v>
      </c>
      <c r="CN69" s="1485">
        <v>-10.686999999999999</v>
      </c>
      <c r="CO69" s="1485">
        <v>-10.646000000000001</v>
      </c>
      <c r="CP69" s="1485">
        <v>-9.9130000000000003</v>
      </c>
      <c r="CQ69" s="1485">
        <v>-7.3730000000000002</v>
      </c>
      <c r="CR69" s="1485">
        <v>-6.6349999999999998</v>
      </c>
      <c r="CS69" s="1485">
        <v>-148.24600000000001</v>
      </c>
      <c r="CT69" s="1485">
        <v>-147.61699999999999</v>
      </c>
      <c r="CU69" s="1485">
        <v>-147.559</v>
      </c>
      <c r="CV69" s="1485">
        <v>-146.93600000000001</v>
      </c>
      <c r="CW69" s="1485">
        <v>-146.982</v>
      </c>
      <c r="CX69" s="1485">
        <v>-146.369</v>
      </c>
      <c r="CY69" s="1485">
        <v>-146.32</v>
      </c>
      <c r="CZ69" s="1483">
        <f ca="1">+CY69-IS!DR181</f>
        <v>-146.32</v>
      </c>
      <c r="DA69" s="1483">
        <f ca="1">+CZ69-IS!DS181</f>
        <v>-146.32</v>
      </c>
      <c r="DB69" s="1483">
        <f ca="1">+DA69-IS!DT181</f>
        <v>-146.32</v>
      </c>
      <c r="DC69" s="1483">
        <f ca="1">+DB69-IS!DU181</f>
        <v>-146.32</v>
      </c>
      <c r="DE69" s="1498"/>
      <c r="DG69"/>
    </row>
    <row r="70" spans="2:111">
      <c r="B70" s="1516" t="s">
        <v>1031</v>
      </c>
      <c r="C70" s="1483"/>
      <c r="D70" s="1521"/>
      <c r="E70" s="1518">
        <f t="shared" si="123"/>
        <v>-36.431000000000004</v>
      </c>
      <c r="F70" s="1518">
        <f t="shared" si="124"/>
        <v>-10.887</v>
      </c>
      <c r="G70" s="1518">
        <f t="shared" si="99"/>
        <v>-2.2480000000000002</v>
      </c>
      <c r="H70" s="1518">
        <f t="shared" si="100"/>
        <v>0.16599999999999993</v>
      </c>
      <c r="I70" s="1518">
        <f t="shared" si="101"/>
        <v>1.9970000000000001</v>
      </c>
      <c r="J70" s="1518">
        <f t="shared" si="102"/>
        <v>1.1259999999999999</v>
      </c>
      <c r="K70" s="1518">
        <f t="shared" si="103"/>
        <v>3.87</v>
      </c>
      <c r="L70" s="1518">
        <f t="shared" si="104"/>
        <v>-3.8879999999999999</v>
      </c>
      <c r="M70" s="1519">
        <f t="shared" si="105"/>
        <v>-152.80000000000001</v>
      </c>
      <c r="N70" s="1519">
        <f>BS70</f>
        <v>-97.238</v>
      </c>
      <c r="O70" s="1519">
        <f t="shared" si="106"/>
        <v>-112.018</v>
      </c>
      <c r="P70" s="1519">
        <f t="shared" si="107"/>
        <v>-143.69800000000001</v>
      </c>
      <c r="Q70" s="1519">
        <f t="shared" si="108"/>
        <v>-101.042</v>
      </c>
      <c r="R70" s="1519">
        <f t="shared" si="109"/>
        <v>-113.767</v>
      </c>
      <c r="S70" s="1519">
        <f t="shared" si="110"/>
        <v>-332.44299999999998</v>
      </c>
      <c r="T70" s="1519">
        <f t="shared" si="111"/>
        <v>-509.05900000000003</v>
      </c>
      <c r="U70" s="1519">
        <f t="shared" si="112"/>
        <v>-949.14200000000005</v>
      </c>
      <c r="V70" s="1519">
        <f t="shared" si="125"/>
        <v>-785.18899999999996</v>
      </c>
      <c r="W70" s="1519">
        <f t="shared" si="126"/>
        <v>-785.18899999999996</v>
      </c>
      <c r="X70" s="1520">
        <f>W70</f>
        <v>-785.18899999999996</v>
      </c>
      <c r="Y70" s="1520">
        <f>X70</f>
        <v>-785.18899999999996</v>
      </c>
      <c r="Z70" s="1520">
        <f>Y70</f>
        <v>-785.18899999999996</v>
      </c>
      <c r="AA70" s="1520">
        <f t="shared" ref="AA70:AD70" si="131">Z70</f>
        <v>-785.18899999999996</v>
      </c>
      <c r="AB70" s="1520">
        <f t="shared" si="131"/>
        <v>-785.18899999999996</v>
      </c>
      <c r="AC70" s="1520">
        <f t="shared" si="131"/>
        <v>-785.18899999999996</v>
      </c>
      <c r="AD70" s="1520">
        <f t="shared" si="131"/>
        <v>-785.18899999999996</v>
      </c>
      <c r="AE70" s="1483"/>
      <c r="AF70" s="1521"/>
      <c r="AG70" s="1526">
        <v>-50.318999999999996</v>
      </c>
      <c r="AH70" s="1526">
        <v>-50.288000000000004</v>
      </c>
      <c r="AI70" s="1526">
        <v>-36.431000000000004</v>
      </c>
      <c r="AJ70" s="1526">
        <v>-29.403000000000002</v>
      </c>
      <c r="AK70" s="1526">
        <v>-20.954000000000001</v>
      </c>
      <c r="AL70" s="1526">
        <v>-13.624000000000001</v>
      </c>
      <c r="AM70" s="1526">
        <v>-10.887</v>
      </c>
      <c r="AN70" s="1526">
        <v>-8.3469999999999995</v>
      </c>
      <c r="AO70" s="1526">
        <v>-5.4030000000000005</v>
      </c>
      <c r="AP70" s="1526">
        <v>-3.6979999999999995</v>
      </c>
      <c r="AQ70" s="1526">
        <v>-2.2480000000000002</v>
      </c>
      <c r="AR70" s="1526">
        <v>-1.8740000000000001</v>
      </c>
      <c r="AS70" s="1526">
        <v>-0.89300000000000002</v>
      </c>
      <c r="AT70" s="1526">
        <v>-0.95299999999999985</v>
      </c>
      <c r="AU70" s="1526">
        <v>0.16599999999999993</v>
      </c>
      <c r="AV70" s="1526">
        <v>0.79099999999999993</v>
      </c>
      <c r="AW70" s="1526">
        <v>0.36799999999999999</v>
      </c>
      <c r="AX70" s="1526">
        <v>0.82800000000000007</v>
      </c>
      <c r="AY70" s="1526">
        <v>1.9970000000000001</v>
      </c>
      <c r="AZ70" s="1526">
        <v>-9.7490000000000006</v>
      </c>
      <c r="BA70" s="1526">
        <v>-8.1880000000000006</v>
      </c>
      <c r="BB70" s="1526">
        <v>-6.6150000000000002</v>
      </c>
      <c r="BC70" s="1526">
        <v>1.1259999999999999</v>
      </c>
      <c r="BD70" s="1526">
        <v>1.948</v>
      </c>
      <c r="BE70" s="1526">
        <v>2.4860000000000002</v>
      </c>
      <c r="BF70" s="1526">
        <v>2.7909999999999999</v>
      </c>
      <c r="BG70" s="1526">
        <v>3.87</v>
      </c>
      <c r="BH70" s="1526">
        <v>4.3849999999999998</v>
      </c>
      <c r="BI70" s="1526">
        <v>3.77</v>
      </c>
      <c r="BJ70" s="1526">
        <v>10.773</v>
      </c>
      <c r="BK70" s="1526">
        <v>-3.8879999999999999</v>
      </c>
      <c r="BL70" s="1526">
        <v>-0.221</v>
      </c>
      <c r="BM70" s="1526">
        <v>3.84</v>
      </c>
      <c r="BN70" s="1526">
        <v>-64.557000000000002</v>
      </c>
      <c r="BO70" s="1526">
        <v>-152.80000000000001</v>
      </c>
      <c r="BP70" s="1518">
        <v>-167.471</v>
      </c>
      <c r="BQ70" s="1518">
        <v>-93.521000000000001</v>
      </c>
      <c r="BR70" s="1518">
        <v>-98.887</v>
      </c>
      <c r="BS70" s="1518">
        <v>-97.238</v>
      </c>
      <c r="BT70" s="1518">
        <v>-132.49799999999999</v>
      </c>
      <c r="BU70" s="1518">
        <v>-164.61</v>
      </c>
      <c r="BV70" s="1518">
        <v>-103.321</v>
      </c>
      <c r="BW70" s="1518">
        <v>-112.018</v>
      </c>
      <c r="BX70" s="1518">
        <v>-61.356000000000002</v>
      </c>
      <c r="BY70" s="1518">
        <v>-41.679000000000002</v>
      </c>
      <c r="BZ70" s="1518">
        <v>-120.416</v>
      </c>
      <c r="CA70" s="1518">
        <v>-143.69800000000001</v>
      </c>
      <c r="CB70" s="1518">
        <v>-110.367</v>
      </c>
      <c r="CC70" s="1518">
        <v>-155.77699999999999</v>
      </c>
      <c r="CD70" s="1518">
        <v>-113.642</v>
      </c>
      <c r="CE70" s="1518">
        <v>-101.042</v>
      </c>
      <c r="CF70" s="1518">
        <v>-174.267</v>
      </c>
      <c r="CG70" s="1518">
        <v>-200.08199999999999</v>
      </c>
      <c r="CH70" s="1518">
        <v>-121.73099999999999</v>
      </c>
      <c r="CI70" s="1518">
        <v>-113.767</v>
      </c>
      <c r="CJ70" s="1518">
        <v>-99.825000000000003</v>
      </c>
      <c r="CK70" s="1518">
        <v>-77.513999999999996</v>
      </c>
      <c r="CL70" s="1518">
        <v>-237.48</v>
      </c>
      <c r="CM70" s="1518">
        <v>-332.44299999999998</v>
      </c>
      <c r="CN70" s="1518">
        <v>-468.036</v>
      </c>
      <c r="CO70" s="1518">
        <v>-423.173</v>
      </c>
      <c r="CP70" s="1518">
        <v>-488.012</v>
      </c>
      <c r="CQ70" s="1518">
        <v>-509.05900000000003</v>
      </c>
      <c r="CR70" s="1518">
        <v>-416.55399999999997</v>
      </c>
      <c r="CS70" s="1518">
        <v>-643.78599999999994</v>
      </c>
      <c r="CT70" s="1518">
        <v>-713.76900000000001</v>
      </c>
      <c r="CU70" s="1518">
        <v>-949.14200000000005</v>
      </c>
      <c r="CV70" s="1518">
        <v>-882.73599999999999</v>
      </c>
      <c r="CW70" s="1518">
        <v>-811.32100000000003</v>
      </c>
      <c r="CX70" s="1518">
        <v>-783.947</v>
      </c>
      <c r="CY70" s="1518">
        <v>-785.18899999999996</v>
      </c>
      <c r="CZ70" s="1519">
        <f t="shared" ref="CZ70:DC70" si="132">CY70</f>
        <v>-785.18899999999996</v>
      </c>
      <c r="DA70" s="1519">
        <f t="shared" si="132"/>
        <v>-785.18899999999996</v>
      </c>
      <c r="DB70" s="1519">
        <f t="shared" si="132"/>
        <v>-785.18899999999996</v>
      </c>
      <c r="DC70" s="1519">
        <f t="shared" si="132"/>
        <v>-785.18899999999996</v>
      </c>
      <c r="DE70" s="1498"/>
      <c r="DG70"/>
    </row>
    <row r="71" spans="2:111">
      <c r="B71" s="1523" t="s">
        <v>1117</v>
      </c>
      <c r="C71" s="1483"/>
      <c r="D71" s="1494"/>
      <c r="E71" s="1494">
        <f t="shared" ref="E71:U71" si="133">SUM(E65:E70)</f>
        <v>375.11600000000004</v>
      </c>
      <c r="F71" s="1494">
        <f t="shared" si="133"/>
        <v>203.52100000000002</v>
      </c>
      <c r="G71" s="1494">
        <f t="shared" si="133"/>
        <v>284.19200000000012</v>
      </c>
      <c r="H71" s="1494">
        <f t="shared" si="133"/>
        <v>320.07499999999999</v>
      </c>
      <c r="I71" s="1494">
        <f t="shared" si="133"/>
        <v>273.70400000000006</v>
      </c>
      <c r="J71" s="1494">
        <f t="shared" si="133"/>
        <v>288.67299999999994</v>
      </c>
      <c r="K71" s="1494">
        <f t="shared" si="133"/>
        <v>355.02800000000002</v>
      </c>
      <c r="L71" s="1494">
        <f t="shared" si="133"/>
        <v>814.43200000000002</v>
      </c>
      <c r="M71" s="1494">
        <f t="shared" si="133"/>
        <v>916.66100000000006</v>
      </c>
      <c r="N71" s="1494">
        <f t="shared" si="133"/>
        <v>1182.4829999999999</v>
      </c>
      <c r="O71" s="1494">
        <f t="shared" si="133"/>
        <v>1870.3099999999995</v>
      </c>
      <c r="P71" s="1494">
        <f t="shared" si="133"/>
        <v>1926.7169999999994</v>
      </c>
      <c r="Q71" s="1494">
        <f t="shared" si="133"/>
        <v>2313.4409999999998</v>
      </c>
      <c r="R71" s="1494">
        <f t="shared" si="133"/>
        <v>2459.0640000000003</v>
      </c>
      <c r="S71" s="1494">
        <f t="shared" si="133"/>
        <v>2270.1309999999994</v>
      </c>
      <c r="T71" s="1494">
        <f t="shared" si="133"/>
        <v>2745.386</v>
      </c>
      <c r="U71" s="1494">
        <f t="shared" si="133"/>
        <v>4365.8290000000006</v>
      </c>
      <c r="V71" s="1494">
        <f>SUM(V65:V70)</f>
        <v>6849.7900000000009</v>
      </c>
      <c r="W71" s="1494">
        <f ca="1">SUM(W65:W70)</f>
        <v>6824.9423019294536</v>
      </c>
      <c r="X71" s="1531">
        <f ca="1">SUM(X64:X70)</f>
        <v>6925.986487114109</v>
      </c>
      <c r="Y71" s="1531">
        <f ca="1">SUM(Y64:Y70)</f>
        <v>7074.2459261264885</v>
      </c>
      <c r="Z71" s="1531">
        <f ca="1">SUM(Z64:Z70)</f>
        <v>7260.5701828414713</v>
      </c>
      <c r="AA71" s="1531">
        <f t="shared" ref="AA71:AD71" ca="1" si="134">SUM(AA64:AA70)</f>
        <v>7605.2698825242805</v>
      </c>
      <c r="AB71" s="1531">
        <f t="shared" ca="1" si="134"/>
        <v>8482.4842786295594</v>
      </c>
      <c r="AC71" s="1531">
        <f t="shared" ca="1" si="134"/>
        <v>9737.5768644868713</v>
      </c>
      <c r="AD71" s="1531">
        <f t="shared" ca="1" si="134"/>
        <v>11099.180528514134</v>
      </c>
      <c r="AE71" s="1494"/>
      <c r="AF71" s="1494"/>
      <c r="AG71" s="1494">
        <f t="shared" ref="AG71:BC71" si="135">SUM(AG65:AG70)</f>
        <v>-2.9719999999999871</v>
      </c>
      <c r="AH71" s="1494">
        <f t="shared" si="135"/>
        <v>412.70299999999997</v>
      </c>
      <c r="AI71" s="1494">
        <f t="shared" si="135"/>
        <v>375.11600000000004</v>
      </c>
      <c r="AJ71" s="1494">
        <f t="shared" si="135"/>
        <v>337.21999999999997</v>
      </c>
      <c r="AK71" s="1494">
        <f t="shared" si="135"/>
        <v>304.38200000000001</v>
      </c>
      <c r="AL71" s="1494">
        <f t="shared" si="135"/>
        <v>227.72500000000005</v>
      </c>
      <c r="AM71" s="1494">
        <f t="shared" si="135"/>
        <v>203.52100000000002</v>
      </c>
      <c r="AN71" s="1494">
        <f t="shared" si="135"/>
        <v>205.56800000000001</v>
      </c>
      <c r="AO71" s="1494">
        <f t="shared" si="135"/>
        <v>190.27899999999997</v>
      </c>
      <c r="AP71" s="1494">
        <f t="shared" si="135"/>
        <v>147.86600000000001</v>
      </c>
      <c r="AQ71" s="1494">
        <f t="shared" si="135"/>
        <v>284.19200000000012</v>
      </c>
      <c r="AR71" s="1494">
        <f t="shared" si="135"/>
        <v>259.08300000000003</v>
      </c>
      <c r="AS71" s="1494">
        <f t="shared" si="135"/>
        <v>249.04099999999997</v>
      </c>
      <c r="AT71" s="1494">
        <f t="shared" si="135"/>
        <v>231.55699999999993</v>
      </c>
      <c r="AU71" s="1494">
        <f t="shared" si="135"/>
        <v>320.07499999999999</v>
      </c>
      <c r="AV71" s="1494">
        <f t="shared" si="135"/>
        <v>302.92099999999999</v>
      </c>
      <c r="AW71" s="1494">
        <f t="shared" si="135"/>
        <v>296.28100000000006</v>
      </c>
      <c r="AX71" s="1494">
        <f t="shared" si="135"/>
        <v>291.19499999999999</v>
      </c>
      <c r="AY71" s="1494">
        <f t="shared" si="135"/>
        <v>273.70400000000006</v>
      </c>
      <c r="AZ71" s="1494">
        <f t="shared" si="135"/>
        <v>309.34800000000001</v>
      </c>
      <c r="BA71" s="1494">
        <f t="shared" si="135"/>
        <v>311.09800000000007</v>
      </c>
      <c r="BB71" s="1494">
        <f t="shared" si="135"/>
        <v>315.07399999999996</v>
      </c>
      <c r="BC71" s="1494">
        <f t="shared" si="135"/>
        <v>288.67299999999994</v>
      </c>
      <c r="BD71" s="1494">
        <f t="shared" ref="BD71:CP71" si="136">SUM(BD64:BD70)</f>
        <v>306.89999999999998</v>
      </c>
      <c r="BE71" s="1494">
        <f t="shared" si="136"/>
        <v>317.12700000000007</v>
      </c>
      <c r="BF71" s="1494">
        <f t="shared" si="136"/>
        <v>327.584</v>
      </c>
      <c r="BG71" s="1494">
        <f t="shared" si="136"/>
        <v>355.02800000000002</v>
      </c>
      <c r="BH71" s="1494">
        <f t="shared" si="136"/>
        <v>425.12299999999993</v>
      </c>
      <c r="BI71" s="1494">
        <f t="shared" si="136"/>
        <v>442.67399999999998</v>
      </c>
      <c r="BJ71" s="1494">
        <f t="shared" si="136"/>
        <v>814.67700000000002</v>
      </c>
      <c r="BK71" s="1494">
        <f t="shared" si="136"/>
        <v>814.43200000000002</v>
      </c>
      <c r="BL71" s="1494">
        <f t="shared" si="136"/>
        <v>843.13000000000011</v>
      </c>
      <c r="BM71" s="1494">
        <f t="shared" si="136"/>
        <v>878.67300000000012</v>
      </c>
      <c r="BN71" s="1494">
        <f t="shared" si="136"/>
        <v>837.25000000000011</v>
      </c>
      <c r="BO71" s="1494">
        <f t="shared" si="136"/>
        <v>916.66100000000006</v>
      </c>
      <c r="BP71" s="1494">
        <f t="shared" si="136"/>
        <v>933.19600000000014</v>
      </c>
      <c r="BQ71" s="1494">
        <f t="shared" si="136"/>
        <v>1092.6220000000001</v>
      </c>
      <c r="BR71" s="1494">
        <f t="shared" si="136"/>
        <v>1134.434</v>
      </c>
      <c r="BS71" s="1494">
        <f t="shared" si="136"/>
        <v>1182.4829999999999</v>
      </c>
      <c r="BT71" s="1494">
        <f t="shared" si="136"/>
        <v>1187.4870000000001</v>
      </c>
      <c r="BU71" s="1494">
        <f t="shared" si="136"/>
        <v>1747.8649999999998</v>
      </c>
      <c r="BV71" s="1494">
        <f t="shared" si="136"/>
        <v>1847.8879999999999</v>
      </c>
      <c r="BW71" s="1494">
        <f t="shared" si="136"/>
        <v>1870.3099999999995</v>
      </c>
      <c r="BX71" s="1494">
        <f t="shared" si="136"/>
        <v>1973.356</v>
      </c>
      <c r="BY71" s="1494">
        <f t="shared" si="136"/>
        <v>2046.2999999999997</v>
      </c>
      <c r="BZ71" s="1494">
        <f t="shared" si="136"/>
        <v>2002.7720000000002</v>
      </c>
      <c r="CA71" s="1494">
        <f t="shared" si="136"/>
        <v>1926.7169999999994</v>
      </c>
      <c r="CB71" s="1494">
        <f t="shared" si="136"/>
        <v>2028.6570000000004</v>
      </c>
      <c r="CC71" s="1494">
        <f t="shared" si="136"/>
        <v>2034.9589999999998</v>
      </c>
      <c r="CD71" s="1494">
        <f t="shared" si="136"/>
        <v>2228.3649999999998</v>
      </c>
      <c r="CE71" s="1494">
        <f t="shared" si="136"/>
        <v>2313.4409999999998</v>
      </c>
      <c r="CF71" s="1494">
        <f t="shared" si="136"/>
        <v>2340.4270000000001</v>
      </c>
      <c r="CG71" s="1494">
        <f t="shared" si="136"/>
        <v>2312.9549999999999</v>
      </c>
      <c r="CH71" s="1494">
        <f t="shared" si="136"/>
        <v>2469.125</v>
      </c>
      <c r="CI71" s="1494">
        <f t="shared" si="136"/>
        <v>2459.0640000000003</v>
      </c>
      <c r="CJ71" s="1494">
        <f t="shared" si="136"/>
        <v>2517.0060000000003</v>
      </c>
      <c r="CK71" s="1494">
        <f t="shared" si="136"/>
        <v>2683.0589999999997</v>
      </c>
      <c r="CL71" s="1494">
        <f t="shared" si="136"/>
        <v>2597.6799999999998</v>
      </c>
      <c r="CM71" s="1494">
        <f t="shared" si="136"/>
        <v>2270.1309999999994</v>
      </c>
      <c r="CN71" s="1494">
        <f t="shared" si="136"/>
        <v>2161.7290000000003</v>
      </c>
      <c r="CO71" s="1494">
        <f t="shared" si="136"/>
        <v>2202.5899999999992</v>
      </c>
      <c r="CP71" s="1494">
        <f t="shared" si="136"/>
        <v>1488.6529999999998</v>
      </c>
      <c r="CQ71" s="1494">
        <f t="shared" ref="CQ71:CU71" si="137">SUM(CQ64:CQ70)</f>
        <v>2745.386</v>
      </c>
      <c r="CR71" s="1494">
        <f t="shared" si="137"/>
        <v>4819.1049999999996</v>
      </c>
      <c r="CS71" s="1494">
        <f t="shared" si="137"/>
        <v>4705.4649999999992</v>
      </c>
      <c r="CT71" s="1494">
        <f t="shared" si="137"/>
        <v>4623.71</v>
      </c>
      <c r="CU71" s="1494">
        <f t="shared" si="137"/>
        <v>4365.8290000000006</v>
      </c>
      <c r="CV71" s="1494">
        <f>SUM(CV64:CV70)</f>
        <v>6517.8390000000009</v>
      </c>
      <c r="CW71" s="1494">
        <f>SUM(CW64:CW70)</f>
        <v>6523.6629999999986</v>
      </c>
      <c r="CX71" s="1494">
        <f>SUM(CX64:CX70)</f>
        <v>6542.2169999999996</v>
      </c>
      <c r="CY71" s="1494">
        <f>SUM(CY64:CY70)</f>
        <v>6849.7900000000009</v>
      </c>
      <c r="CZ71" s="1494">
        <f t="shared" ref="CZ71:DC71" ca="1" si="138">SUM(CZ64:CZ70)</f>
        <v>6814.6906886181005</v>
      </c>
      <c r="DA71" s="1494">
        <f t="shared" ca="1" si="138"/>
        <v>6804.2006957903614</v>
      </c>
      <c r="DB71" s="1494">
        <f t="shared" ca="1" si="138"/>
        <v>6808.6397002739614</v>
      </c>
      <c r="DC71" s="1494">
        <f t="shared" ca="1" si="138"/>
        <v>6824.9423019294536</v>
      </c>
      <c r="DE71" s="1498"/>
      <c r="DG71"/>
    </row>
    <row r="72" spans="2:111">
      <c r="B72" s="1497"/>
      <c r="C72" s="1483"/>
      <c r="D72" s="1483"/>
      <c r="E72" s="1483"/>
      <c r="F72" s="1483"/>
      <c r="G72" s="1483"/>
      <c r="H72" s="1483"/>
      <c r="I72" s="1483"/>
      <c r="J72" s="1483"/>
      <c r="K72" s="1483"/>
      <c r="L72" s="1483"/>
      <c r="M72" s="1491"/>
      <c r="N72" s="1483"/>
      <c r="O72" s="1483"/>
      <c r="P72" s="1483"/>
      <c r="Q72" s="1483"/>
      <c r="R72" s="1483"/>
      <c r="S72" s="1483"/>
      <c r="T72" s="1483"/>
      <c r="U72" s="1483"/>
      <c r="V72" s="1483"/>
      <c r="W72" s="1483"/>
      <c r="X72" s="1491"/>
      <c r="Y72" s="1491"/>
      <c r="Z72" s="1491"/>
      <c r="AA72" s="1491"/>
      <c r="AB72" s="1491"/>
      <c r="AC72" s="1491"/>
      <c r="AD72" s="1491"/>
      <c r="AE72" s="1483"/>
      <c r="AF72" s="1483"/>
      <c r="AG72" s="1483"/>
      <c r="AH72" s="1483"/>
      <c r="AI72" s="1483"/>
      <c r="AJ72" s="1483"/>
      <c r="AK72" s="1483"/>
      <c r="AL72" s="1483"/>
      <c r="AM72" s="1483"/>
      <c r="AN72" s="1483"/>
      <c r="AO72" s="1483"/>
      <c r="AP72" s="1483"/>
      <c r="AQ72" s="1483"/>
      <c r="AR72" s="1483"/>
      <c r="AS72" s="1483"/>
      <c r="AT72" s="1483"/>
      <c r="AU72" s="1483"/>
      <c r="AV72" s="1483"/>
      <c r="AW72" s="1483"/>
      <c r="AX72" s="1483"/>
      <c r="AY72" s="1483"/>
      <c r="AZ72" s="1483"/>
      <c r="BA72" s="1483"/>
      <c r="BB72" s="1483"/>
      <c r="BC72" s="1483"/>
      <c r="BD72" s="1483"/>
      <c r="BE72" s="1483"/>
      <c r="BF72" s="1483"/>
      <c r="BG72" s="1483"/>
      <c r="BH72" s="1483"/>
      <c r="BI72" s="1483"/>
      <c r="BJ72" s="1483"/>
      <c r="BK72" s="1483"/>
      <c r="BL72" s="1483"/>
      <c r="BM72" s="1483"/>
      <c r="BN72" s="1483"/>
      <c r="BO72" s="1483"/>
      <c r="BP72" s="1483"/>
      <c r="BQ72" s="1483"/>
      <c r="BR72" s="1483"/>
      <c r="BS72" s="1483"/>
      <c r="BT72" s="1483"/>
      <c r="BU72" s="1483"/>
      <c r="BV72" s="1483"/>
      <c r="BW72" s="1483"/>
      <c r="BX72" s="1483"/>
      <c r="BY72" s="1483"/>
      <c r="BZ72" s="1483"/>
      <c r="CA72" s="1483"/>
      <c r="CB72" s="1483"/>
      <c r="CC72" s="1483"/>
      <c r="CD72" s="1483"/>
      <c r="CE72" s="1483"/>
      <c r="CF72" s="1483"/>
      <c r="CG72" s="1483"/>
      <c r="CH72" s="1483"/>
      <c r="CI72" s="1483"/>
      <c r="CJ72" s="1483"/>
      <c r="CK72" s="1483"/>
      <c r="CL72" s="1483"/>
      <c r="CM72" s="1483"/>
      <c r="CN72" s="1483"/>
      <c r="CO72" s="1483"/>
      <c r="CP72" s="1483"/>
      <c r="CQ72" s="1483"/>
      <c r="CR72" s="1483"/>
      <c r="CS72" s="1483"/>
      <c r="CT72" s="1483"/>
      <c r="CU72" s="1483"/>
      <c r="CV72" s="1483"/>
      <c r="CW72" s="1483"/>
      <c r="CX72" s="1483"/>
      <c r="CY72" s="1483"/>
      <c r="CZ72" s="1483"/>
      <c r="DA72" s="1483"/>
      <c r="DB72" s="1483"/>
      <c r="DC72" s="1483"/>
      <c r="DE72" s="1498"/>
      <c r="DF72"/>
      <c r="DG72"/>
    </row>
    <row r="73" spans="2:111" ht="13.5" thickBot="1">
      <c r="B73" s="1523" t="s">
        <v>1064</v>
      </c>
      <c r="C73" s="1483"/>
      <c r="D73" s="1524"/>
      <c r="E73" s="1524">
        <f t="shared" ref="E73:O73" si="139">E59+E71+E64</f>
        <v>683.48500000000013</v>
      </c>
      <c r="F73" s="1524">
        <f t="shared" si="139"/>
        <v>575.05400000000009</v>
      </c>
      <c r="G73" s="1524">
        <f t="shared" si="139"/>
        <v>492.00300000000016</v>
      </c>
      <c r="H73" s="1524">
        <f t="shared" si="139"/>
        <v>464.53199999999998</v>
      </c>
      <c r="I73" s="1524">
        <f t="shared" si="139"/>
        <v>501.79800000000006</v>
      </c>
      <c r="J73" s="1524">
        <f t="shared" si="139"/>
        <v>680.99699999999996</v>
      </c>
      <c r="K73" s="1524">
        <f t="shared" si="139"/>
        <v>771.83199999999999</v>
      </c>
      <c r="L73" s="1524">
        <f t="shared" si="139"/>
        <v>2181.8679999999999</v>
      </c>
      <c r="M73" s="1524">
        <f t="shared" si="139"/>
        <v>2434.7359999999999</v>
      </c>
      <c r="N73" s="1524">
        <f t="shared" si="139"/>
        <v>3038.15</v>
      </c>
      <c r="O73" s="1524">
        <f t="shared" si="139"/>
        <v>4437.8039999999992</v>
      </c>
      <c r="P73" s="1524">
        <f t="shared" ref="P73:Z73" si="140">P59+P71+P61</f>
        <v>5759.8289999999997</v>
      </c>
      <c r="Q73" s="1524">
        <f t="shared" si="140"/>
        <v>6135.7970000000005</v>
      </c>
      <c r="R73" s="1524">
        <f t="shared" si="140"/>
        <v>7492.3590000000004</v>
      </c>
      <c r="S73" s="1524">
        <f t="shared" si="140"/>
        <v>7817.4329999999991</v>
      </c>
      <c r="T73" s="1524">
        <f t="shared" si="140"/>
        <v>10356.695</v>
      </c>
      <c r="U73" s="1524">
        <f t="shared" si="140"/>
        <v>12608.370999999999</v>
      </c>
      <c r="V73" s="1524">
        <f>V59+V71+V61</f>
        <v>18696.058000000001</v>
      </c>
      <c r="W73" s="1524">
        <f ca="1">W59+W71+W61</f>
        <v>18724.645191307762</v>
      </c>
      <c r="X73" s="1524">
        <f t="shared" ca="1" si="140"/>
        <v>19373.671281629184</v>
      </c>
      <c r="Y73" s="1524">
        <f t="shared" ca="1" si="140"/>
        <v>20093.999875888556</v>
      </c>
      <c r="Z73" s="1524">
        <f t="shared" ca="1" si="140"/>
        <v>20847.508380781095</v>
      </c>
      <c r="AA73" s="1524">
        <f t="shared" ref="AA73:AD73" ca="1" si="141">AA59+AA71+AA61</f>
        <v>21258.673513161215</v>
      </c>
      <c r="AB73" s="1524">
        <f t="shared" ca="1" si="141"/>
        <v>22201.586379547614</v>
      </c>
      <c r="AC73" s="1524">
        <f t="shared" ca="1" si="141"/>
        <v>23521.573235277283</v>
      </c>
      <c r="AD73" s="1524">
        <f t="shared" ca="1" si="141"/>
        <v>24947.237211760948</v>
      </c>
      <c r="AE73" s="1531"/>
      <c r="AF73" s="1524"/>
      <c r="AG73" s="1524">
        <f t="shared" ref="AG73:BC73" si="142">AG59+AG71+AG64</f>
        <v>450.47200000000009</v>
      </c>
      <c r="AH73" s="1524">
        <f t="shared" si="142"/>
        <v>700.70799999999997</v>
      </c>
      <c r="AI73" s="1524">
        <f t="shared" si="142"/>
        <v>683.48500000000013</v>
      </c>
      <c r="AJ73" s="1524">
        <f t="shared" si="142"/>
        <v>747.83400000000006</v>
      </c>
      <c r="AK73" s="1524">
        <f t="shared" si="142"/>
        <v>708.78800000000001</v>
      </c>
      <c r="AL73" s="1524">
        <f t="shared" si="142"/>
        <v>648.73900000000003</v>
      </c>
      <c r="AM73" s="1524">
        <f t="shared" si="142"/>
        <v>575.05400000000009</v>
      </c>
      <c r="AN73" s="1524">
        <f t="shared" si="142"/>
        <v>531.68700000000001</v>
      </c>
      <c r="AO73" s="1524">
        <f t="shared" si="142"/>
        <v>470.35599999999999</v>
      </c>
      <c r="AP73" s="1524">
        <f t="shared" si="142"/>
        <v>428.31799999999998</v>
      </c>
      <c r="AQ73" s="1524">
        <f t="shared" si="142"/>
        <v>492.00300000000016</v>
      </c>
      <c r="AR73" s="1524">
        <f t="shared" si="142"/>
        <v>451.48600000000005</v>
      </c>
      <c r="AS73" s="1524">
        <f t="shared" si="142"/>
        <v>437.39799999999997</v>
      </c>
      <c r="AT73" s="1524">
        <f t="shared" si="142"/>
        <v>424.38599999999991</v>
      </c>
      <c r="AU73" s="1524">
        <f t="shared" si="142"/>
        <v>464.53199999999998</v>
      </c>
      <c r="AV73" s="1524">
        <f t="shared" si="142"/>
        <v>467.17300000000006</v>
      </c>
      <c r="AW73" s="1524">
        <f t="shared" si="142"/>
        <v>464.68400000000008</v>
      </c>
      <c r="AX73" s="1524">
        <f t="shared" si="142"/>
        <v>467.54199999999997</v>
      </c>
      <c r="AY73" s="1524">
        <f t="shared" si="142"/>
        <v>501.79800000000006</v>
      </c>
      <c r="AZ73" s="1524">
        <f t="shared" si="142"/>
        <v>518.04599999999994</v>
      </c>
      <c r="BA73" s="1524">
        <f t="shared" si="142"/>
        <v>526.98500000000001</v>
      </c>
      <c r="BB73" s="1524">
        <f t="shared" si="142"/>
        <v>533.37999999999988</v>
      </c>
      <c r="BC73" s="1524">
        <f t="shared" si="142"/>
        <v>680.99699999999996</v>
      </c>
      <c r="BD73" s="1524">
        <f t="shared" ref="BD73:BX73" si="143">BD59+BD71</f>
        <v>669.41599999999994</v>
      </c>
      <c r="BE73" s="1524">
        <f t="shared" si="143"/>
        <v>683.173</v>
      </c>
      <c r="BF73" s="1524">
        <f t="shared" si="143"/>
        <v>730.62</v>
      </c>
      <c r="BG73" s="1524">
        <f t="shared" si="143"/>
        <v>771.83199999999999</v>
      </c>
      <c r="BH73" s="1524">
        <f t="shared" si="143"/>
        <v>1073.6819999999998</v>
      </c>
      <c r="BI73" s="1524">
        <f t="shared" si="143"/>
        <v>1175.451</v>
      </c>
      <c r="BJ73" s="1524">
        <f t="shared" si="143"/>
        <v>2130.5660000000003</v>
      </c>
      <c r="BK73" s="1524">
        <f t="shared" si="143"/>
        <v>2181.8679999999999</v>
      </c>
      <c r="BL73" s="1524">
        <f t="shared" si="143"/>
        <v>2286.7869999999998</v>
      </c>
      <c r="BM73" s="1524">
        <f t="shared" si="143"/>
        <v>2330.982</v>
      </c>
      <c r="BN73" s="1524">
        <f t="shared" si="143"/>
        <v>2291.9350000000004</v>
      </c>
      <c r="BO73" s="1524">
        <f t="shared" si="143"/>
        <v>2434.7359999999999</v>
      </c>
      <c r="BP73" s="1524">
        <f t="shared" si="143"/>
        <v>2416.9890000000005</v>
      </c>
      <c r="BQ73" s="1524">
        <f t="shared" si="143"/>
        <v>2843.3649999999998</v>
      </c>
      <c r="BR73" s="1524">
        <f t="shared" si="143"/>
        <v>2962.578</v>
      </c>
      <c r="BS73" s="1524">
        <f t="shared" si="143"/>
        <v>3038.15</v>
      </c>
      <c r="BT73" s="1524">
        <f t="shared" si="143"/>
        <v>3667.768</v>
      </c>
      <c r="BU73" s="1524">
        <f t="shared" si="143"/>
        <v>4279.8760000000002</v>
      </c>
      <c r="BV73" s="1524">
        <f t="shared" si="143"/>
        <v>4474.8060000000005</v>
      </c>
      <c r="BW73" s="1524">
        <f t="shared" si="143"/>
        <v>4437.8039999999992</v>
      </c>
      <c r="BX73" s="1524">
        <f t="shared" si="143"/>
        <v>4638.4719999999998</v>
      </c>
      <c r="BY73" s="1524">
        <f t="shared" ref="BY73:CP73" si="144">BY59+BY71+BY61</f>
        <v>4951.2920000000004</v>
      </c>
      <c r="BZ73" s="1524">
        <f t="shared" si="144"/>
        <v>5708.9520000000002</v>
      </c>
      <c r="CA73" s="1524">
        <f t="shared" si="144"/>
        <v>5759.8289999999997</v>
      </c>
      <c r="CB73" s="1524">
        <f t="shared" si="144"/>
        <v>5852.5230000000001</v>
      </c>
      <c r="CC73" s="1524">
        <f t="shared" si="144"/>
        <v>5692.0259999999998</v>
      </c>
      <c r="CD73" s="1524">
        <f t="shared" si="144"/>
        <v>5985.6859999999997</v>
      </c>
      <c r="CE73" s="1524">
        <f t="shared" si="144"/>
        <v>6135.7970000000005</v>
      </c>
      <c r="CF73" s="1524">
        <f t="shared" si="144"/>
        <v>7611.0990000000002</v>
      </c>
      <c r="CG73" s="1524">
        <f t="shared" si="144"/>
        <v>7078.9289999999992</v>
      </c>
      <c r="CH73" s="1524">
        <f t="shared" si="144"/>
        <v>7385.8369999999995</v>
      </c>
      <c r="CI73" s="1524">
        <f t="shared" si="144"/>
        <v>7492.3590000000004</v>
      </c>
      <c r="CJ73" s="1524">
        <f t="shared" si="144"/>
        <v>7730.5980000000009</v>
      </c>
      <c r="CK73" s="1524">
        <f t="shared" si="144"/>
        <v>7601.8169999999982</v>
      </c>
      <c r="CL73" s="1524">
        <f t="shared" si="144"/>
        <v>7462</v>
      </c>
      <c r="CM73" s="1524">
        <f t="shared" si="144"/>
        <v>7817.4329999999991</v>
      </c>
      <c r="CN73" s="1524">
        <f t="shared" si="144"/>
        <v>7727.6940000000004</v>
      </c>
      <c r="CO73" s="1524">
        <f t="shared" si="144"/>
        <v>7826.018</v>
      </c>
      <c r="CP73" s="1524">
        <f t="shared" si="144"/>
        <v>7705.6659999999993</v>
      </c>
      <c r="CQ73" s="1524">
        <f t="shared" ref="CQ73:CU73" si="145">CQ59+CQ71+CQ61</f>
        <v>10356.695</v>
      </c>
      <c r="CR73" s="1524">
        <f t="shared" si="145"/>
        <v>13495.834999999999</v>
      </c>
      <c r="CS73" s="1524">
        <f t="shared" si="145"/>
        <v>13269.044999999998</v>
      </c>
      <c r="CT73" s="1524">
        <f t="shared" si="145"/>
        <v>13097.557000000001</v>
      </c>
      <c r="CU73" s="1524">
        <f t="shared" si="145"/>
        <v>12608.370999999999</v>
      </c>
      <c r="CV73" s="1524">
        <f>CV59+CV71+CV61</f>
        <v>17184.684000000001</v>
      </c>
      <c r="CW73" s="1524">
        <f>CW59+CW71+CW61</f>
        <v>17473.936999999998</v>
      </c>
      <c r="CX73" s="1524">
        <f>CX59+CX71+CX61</f>
        <v>18308.495999999999</v>
      </c>
      <c r="CY73" s="1524">
        <f>CY59+CY71+CY61</f>
        <v>18696.058000000001</v>
      </c>
      <c r="CZ73" s="1524">
        <f t="shared" ref="CZ73:DC73" ca="1" si="146">CZ59+CZ71+CZ61</f>
        <v>18647.467787097805</v>
      </c>
      <c r="DA73" s="1524">
        <f t="shared" ca="1" si="146"/>
        <v>18654.455295430984</v>
      </c>
      <c r="DB73" s="1524">
        <f t="shared" ca="1" si="146"/>
        <v>18682.983758675651</v>
      </c>
      <c r="DC73" s="1524">
        <f t="shared" ca="1" si="146"/>
        <v>18724.645191307762</v>
      </c>
      <c r="DE73" s="1498"/>
      <c r="DF73"/>
      <c r="DG73"/>
    </row>
    <row r="74" spans="2:111" ht="12.75" customHeight="1" thickTop="1">
      <c r="B74" s="979"/>
      <c r="C74" s="23"/>
      <c r="D74" s="23"/>
      <c r="E74" s="23"/>
      <c r="F74" s="23"/>
      <c r="G74" s="23"/>
      <c r="H74" s="23"/>
      <c r="I74" s="842"/>
      <c r="J74" s="842"/>
      <c r="K74" s="842"/>
      <c r="L74" s="842"/>
      <c r="M74" s="842"/>
      <c r="N74" s="898"/>
      <c r="O74" s="898"/>
      <c r="P74" s="898"/>
      <c r="Q74" s="898"/>
      <c r="R74" s="898"/>
      <c r="S74" s="898"/>
      <c r="T74" s="898"/>
      <c r="U74" s="898"/>
      <c r="V74" s="898"/>
      <c r="W74" s="898"/>
      <c r="X74" s="898"/>
      <c r="Y74" s="898"/>
      <c r="Z74" s="898"/>
      <c r="AA74" s="898"/>
      <c r="AB74" s="898"/>
      <c r="AC74" s="898"/>
      <c r="AD74" s="898"/>
      <c r="AE74" s="898"/>
      <c r="AF74" s="842"/>
      <c r="AG74" s="842"/>
      <c r="AH74" s="842"/>
      <c r="AI74" s="842"/>
      <c r="AJ74" s="842"/>
      <c r="AK74" s="842"/>
      <c r="AL74" s="842"/>
      <c r="AM74" s="842"/>
      <c r="AN74" s="842"/>
      <c r="AO74" s="842"/>
      <c r="AP74" s="842"/>
      <c r="AQ74" s="842"/>
      <c r="AR74" s="842"/>
      <c r="AS74" s="842"/>
      <c r="AT74" s="842"/>
      <c r="AU74" s="842"/>
      <c r="AV74" s="842"/>
      <c r="AW74" s="842"/>
      <c r="AX74" s="842"/>
      <c r="AY74" s="842"/>
      <c r="AZ74" s="842"/>
      <c r="BA74" s="842"/>
      <c r="BB74" s="842"/>
      <c r="BC74" s="842"/>
      <c r="BD74" s="842"/>
      <c r="BE74" s="842"/>
      <c r="BF74" s="842"/>
      <c r="BG74" s="842"/>
      <c r="BH74" s="898"/>
      <c r="BI74" s="898"/>
      <c r="BJ74" s="898"/>
      <c r="BK74" s="898"/>
      <c r="BL74" s="898"/>
      <c r="BM74" s="898"/>
      <c r="BN74" s="898"/>
      <c r="BO74" s="898"/>
      <c r="BP74" s="898"/>
      <c r="BQ74" s="898"/>
      <c r="BR74" s="898"/>
      <c r="BS74" s="898"/>
      <c r="BT74" s="898"/>
      <c r="BU74" s="898"/>
      <c r="BV74" s="898"/>
      <c r="BW74" s="898"/>
      <c r="BX74" s="898"/>
      <c r="BY74" s="898"/>
      <c r="BZ74" s="898"/>
      <c r="CA74" s="898"/>
      <c r="CB74" s="898"/>
      <c r="CC74" s="898"/>
      <c r="CD74" s="898"/>
      <c r="CE74" s="898"/>
      <c r="CF74" s="898"/>
      <c r="CG74" s="898"/>
      <c r="CH74" s="898"/>
      <c r="CI74" s="898"/>
      <c r="CJ74" s="898"/>
      <c r="CK74" s="898"/>
      <c r="CL74" s="898"/>
      <c r="CM74" s="898"/>
      <c r="CN74" s="898"/>
      <c r="CO74" s="898"/>
      <c r="CP74" s="898"/>
      <c r="CQ74" s="898"/>
      <c r="CR74" s="898"/>
      <c r="CS74" s="898"/>
      <c r="CT74" s="898"/>
      <c r="CU74" s="898"/>
      <c r="CV74" s="898"/>
      <c r="CW74" s="898"/>
      <c r="CX74" s="898"/>
      <c r="CY74" s="898"/>
      <c r="CZ74" s="898"/>
      <c r="DA74" s="898"/>
      <c r="DB74" s="898"/>
      <c r="DC74" s="898"/>
      <c r="DF74"/>
      <c r="DG74"/>
    </row>
    <row r="75" spans="2:111" ht="12.75" hidden="1" customHeight="1" outlineLevel="1">
      <c r="B75" s="982" t="s">
        <v>1586</v>
      </c>
      <c r="C75" s="23"/>
      <c r="D75" s="23"/>
      <c r="E75" s="983">
        <f t="shared" ref="E75:Z75" si="147">E28-E73</f>
        <v>0</v>
      </c>
      <c r="F75" s="983">
        <f t="shared" si="147"/>
        <v>0</v>
      </c>
      <c r="G75" s="983">
        <f t="shared" si="147"/>
        <v>0</v>
      </c>
      <c r="H75" s="983">
        <f t="shared" si="147"/>
        <v>0</v>
      </c>
      <c r="I75" s="983">
        <f t="shared" si="147"/>
        <v>0</v>
      </c>
      <c r="J75" s="983">
        <f t="shared" si="147"/>
        <v>0</v>
      </c>
      <c r="K75" s="983">
        <f t="shared" si="147"/>
        <v>0</v>
      </c>
      <c r="L75" s="983">
        <f t="shared" si="147"/>
        <v>0</v>
      </c>
      <c r="M75" s="983">
        <f t="shared" si="147"/>
        <v>0</v>
      </c>
      <c r="N75" s="983">
        <f t="shared" si="147"/>
        <v>0</v>
      </c>
      <c r="O75" s="983">
        <f t="shared" si="147"/>
        <v>0</v>
      </c>
      <c r="P75" s="983">
        <f t="shared" si="147"/>
        <v>0</v>
      </c>
      <c r="Q75" s="983">
        <f t="shared" si="147"/>
        <v>0</v>
      </c>
      <c r="R75" s="983">
        <f t="shared" si="147"/>
        <v>0</v>
      </c>
      <c r="S75" s="983">
        <f t="shared" si="147"/>
        <v>0</v>
      </c>
      <c r="T75" s="983">
        <f t="shared" si="147"/>
        <v>0</v>
      </c>
      <c r="U75" s="983">
        <f t="shared" si="147"/>
        <v>0</v>
      </c>
      <c r="V75" s="983">
        <f>V28-V73</f>
        <v>0</v>
      </c>
      <c r="W75" s="983">
        <f ca="1">W28-W73</f>
        <v>0</v>
      </c>
      <c r="X75" s="983">
        <f t="shared" ca="1" si="147"/>
        <v>0</v>
      </c>
      <c r="Y75" s="983">
        <f t="shared" ca="1" si="147"/>
        <v>0</v>
      </c>
      <c r="Z75" s="983">
        <f t="shared" ca="1" si="147"/>
        <v>0</v>
      </c>
      <c r="AA75" s="983">
        <f t="shared" ref="AA75:AD75" ca="1" si="148">AA28-AA73</f>
        <v>0</v>
      </c>
      <c r="AB75" s="983">
        <f t="shared" ca="1" si="148"/>
        <v>0</v>
      </c>
      <c r="AC75" s="983">
        <f t="shared" ca="1" si="148"/>
        <v>0</v>
      </c>
      <c r="AD75" s="983">
        <f t="shared" ca="1" si="148"/>
        <v>0</v>
      </c>
      <c r="AE75" s="898"/>
      <c r="AF75" s="842"/>
      <c r="AG75" s="983">
        <f t="shared" ref="AG75:BL75" si="149">AG28-AG73</f>
        <v>0</v>
      </c>
      <c r="AH75" s="983">
        <f t="shared" si="149"/>
        <v>0</v>
      </c>
      <c r="AI75" s="983">
        <f t="shared" si="149"/>
        <v>0</v>
      </c>
      <c r="AJ75" s="983">
        <f t="shared" si="149"/>
        <v>0</v>
      </c>
      <c r="AK75" s="983">
        <f t="shared" si="149"/>
        <v>0</v>
      </c>
      <c r="AL75" s="983">
        <f t="shared" si="149"/>
        <v>0</v>
      </c>
      <c r="AM75" s="983">
        <f t="shared" si="149"/>
        <v>0</v>
      </c>
      <c r="AN75" s="983">
        <f t="shared" si="149"/>
        <v>0</v>
      </c>
      <c r="AO75" s="983">
        <f t="shared" si="149"/>
        <v>0</v>
      </c>
      <c r="AP75" s="983">
        <f t="shared" si="149"/>
        <v>0</v>
      </c>
      <c r="AQ75" s="983">
        <f t="shared" si="149"/>
        <v>0</v>
      </c>
      <c r="AR75" s="983">
        <f t="shared" si="149"/>
        <v>0</v>
      </c>
      <c r="AS75" s="983">
        <f t="shared" si="149"/>
        <v>0</v>
      </c>
      <c r="AT75" s="983">
        <f t="shared" si="149"/>
        <v>0</v>
      </c>
      <c r="AU75" s="983">
        <f t="shared" si="149"/>
        <v>0</v>
      </c>
      <c r="AV75" s="983">
        <f t="shared" si="149"/>
        <v>0</v>
      </c>
      <c r="AW75" s="983">
        <f t="shared" si="149"/>
        <v>0</v>
      </c>
      <c r="AX75" s="983">
        <f t="shared" si="149"/>
        <v>0</v>
      </c>
      <c r="AY75" s="983">
        <f t="shared" si="149"/>
        <v>0</v>
      </c>
      <c r="AZ75" s="983">
        <f t="shared" si="149"/>
        <v>0</v>
      </c>
      <c r="BA75" s="983">
        <f t="shared" si="149"/>
        <v>0</v>
      </c>
      <c r="BB75" s="983">
        <f t="shared" si="149"/>
        <v>0</v>
      </c>
      <c r="BC75" s="983">
        <f t="shared" si="149"/>
        <v>0</v>
      </c>
      <c r="BD75" s="983">
        <f t="shared" si="149"/>
        <v>0</v>
      </c>
      <c r="BE75" s="983">
        <f t="shared" si="149"/>
        <v>0</v>
      </c>
      <c r="BF75" s="983">
        <f t="shared" si="149"/>
        <v>0</v>
      </c>
      <c r="BG75" s="983">
        <f t="shared" si="149"/>
        <v>0</v>
      </c>
      <c r="BH75" s="983">
        <f t="shared" si="149"/>
        <v>0</v>
      </c>
      <c r="BI75" s="983">
        <f t="shared" si="149"/>
        <v>0</v>
      </c>
      <c r="BJ75" s="983">
        <f t="shared" si="149"/>
        <v>0</v>
      </c>
      <c r="BK75" s="983">
        <f t="shared" si="149"/>
        <v>0</v>
      </c>
      <c r="BL75" s="983">
        <f t="shared" si="149"/>
        <v>0</v>
      </c>
      <c r="BM75" s="983">
        <f t="shared" ref="BM75:CP75" si="150">BM28-BM73</f>
        <v>0</v>
      </c>
      <c r="BN75" s="983">
        <f t="shared" si="150"/>
        <v>0</v>
      </c>
      <c r="BO75" s="983">
        <f t="shared" si="150"/>
        <v>0</v>
      </c>
      <c r="BP75" s="983">
        <f t="shared" si="150"/>
        <v>0</v>
      </c>
      <c r="BQ75" s="983">
        <f t="shared" si="150"/>
        <v>0</v>
      </c>
      <c r="BR75" s="983">
        <f t="shared" si="150"/>
        <v>0</v>
      </c>
      <c r="BS75" s="983">
        <f t="shared" si="150"/>
        <v>0</v>
      </c>
      <c r="BT75" s="983">
        <f t="shared" si="150"/>
        <v>0</v>
      </c>
      <c r="BU75" s="983">
        <f t="shared" si="150"/>
        <v>0</v>
      </c>
      <c r="BV75" s="983">
        <f t="shared" si="150"/>
        <v>0</v>
      </c>
      <c r="BW75" s="983">
        <f t="shared" si="150"/>
        <v>0</v>
      </c>
      <c r="BX75" s="983">
        <f t="shared" si="150"/>
        <v>0</v>
      </c>
      <c r="BY75" s="983">
        <f t="shared" si="150"/>
        <v>0</v>
      </c>
      <c r="BZ75" s="983">
        <f t="shared" si="150"/>
        <v>0</v>
      </c>
      <c r="CA75" s="983">
        <f t="shared" si="150"/>
        <v>0</v>
      </c>
      <c r="CB75" s="983">
        <f t="shared" si="150"/>
        <v>0</v>
      </c>
      <c r="CC75" s="983">
        <f t="shared" si="150"/>
        <v>0</v>
      </c>
      <c r="CD75" s="983">
        <f t="shared" si="150"/>
        <v>0</v>
      </c>
      <c r="CE75" s="983">
        <f t="shared" si="150"/>
        <v>0</v>
      </c>
      <c r="CF75" s="983">
        <f t="shared" si="150"/>
        <v>0</v>
      </c>
      <c r="CG75" s="983">
        <f t="shared" si="150"/>
        <v>0</v>
      </c>
      <c r="CH75" s="983">
        <f t="shared" si="150"/>
        <v>0</v>
      </c>
      <c r="CI75" s="983">
        <f t="shared" si="150"/>
        <v>0</v>
      </c>
      <c r="CJ75" s="983">
        <f t="shared" si="150"/>
        <v>0</v>
      </c>
      <c r="CK75" s="983">
        <f t="shared" si="150"/>
        <v>0</v>
      </c>
      <c r="CL75" s="983">
        <f t="shared" si="150"/>
        <v>0</v>
      </c>
      <c r="CM75" s="983">
        <f t="shared" si="150"/>
        <v>0</v>
      </c>
      <c r="CN75" s="983">
        <f t="shared" si="150"/>
        <v>0</v>
      </c>
      <c r="CO75" s="983">
        <f t="shared" si="150"/>
        <v>0</v>
      </c>
      <c r="CP75" s="983">
        <f t="shared" si="150"/>
        <v>0</v>
      </c>
      <c r="CQ75" s="983">
        <f t="shared" ref="CQ75:CU75" si="151">CQ28-CQ73</f>
        <v>0</v>
      </c>
      <c r="CR75" s="983">
        <f t="shared" si="151"/>
        <v>0</v>
      </c>
      <c r="CS75" s="983">
        <f t="shared" si="151"/>
        <v>0</v>
      </c>
      <c r="CT75" s="983">
        <f t="shared" si="151"/>
        <v>0</v>
      </c>
      <c r="CU75" s="983">
        <f t="shared" si="151"/>
        <v>0</v>
      </c>
      <c r="CV75" s="983">
        <f>CV28-CV73</f>
        <v>0</v>
      </c>
      <c r="CW75" s="983">
        <f>CW28-CW73</f>
        <v>0</v>
      </c>
      <c r="CX75" s="983">
        <f>CX28-CX73</f>
        <v>0</v>
      </c>
      <c r="CY75" s="983">
        <f>CY28-CY73</f>
        <v>0</v>
      </c>
      <c r="CZ75" s="983">
        <f t="shared" ref="CZ75:DC75" ca="1" si="152">CZ28-CZ73</f>
        <v>0</v>
      </c>
      <c r="DA75" s="983">
        <f t="shared" ca="1" si="152"/>
        <v>0</v>
      </c>
      <c r="DB75" s="983">
        <f t="shared" ca="1" si="152"/>
        <v>0</v>
      </c>
      <c r="DC75" s="983">
        <f t="shared" ca="1" si="152"/>
        <v>0</v>
      </c>
      <c r="DF75"/>
      <c r="DG75"/>
    </row>
    <row r="76" spans="2:111" ht="12" customHeight="1" collapsed="1">
      <c r="B76" s="979"/>
      <c r="C76" s="23"/>
      <c r="D76" s="23"/>
      <c r="E76" s="23"/>
      <c r="F76" s="23"/>
      <c r="G76" s="23"/>
      <c r="H76" s="23"/>
      <c r="I76" s="842"/>
      <c r="J76" s="842"/>
      <c r="K76" s="842"/>
      <c r="L76" s="842"/>
      <c r="M76" s="842"/>
      <c r="N76" s="898"/>
      <c r="O76" s="898"/>
      <c r="P76" s="898"/>
      <c r="Q76" s="898"/>
      <c r="R76" s="898"/>
      <c r="S76" s="898"/>
      <c r="T76" s="898"/>
      <c r="U76" s="898"/>
      <c r="V76" s="898"/>
      <c r="W76" s="898"/>
      <c r="X76" s="898"/>
      <c r="Y76" s="898"/>
      <c r="Z76" s="898"/>
      <c r="AA76" s="898"/>
      <c r="AB76" s="898"/>
      <c r="AC76" s="898"/>
      <c r="AD76" s="898"/>
      <c r="AE76" s="898"/>
      <c r="AF76" s="842"/>
      <c r="AG76" s="842"/>
      <c r="AH76" s="842"/>
      <c r="AI76" s="842"/>
      <c r="AJ76" s="842"/>
      <c r="AK76" s="842"/>
      <c r="AL76" s="842"/>
      <c r="AM76" s="842"/>
      <c r="AN76" s="842"/>
      <c r="AO76" s="842"/>
      <c r="AP76" s="842"/>
      <c r="AQ76" s="842"/>
      <c r="AR76" s="842"/>
      <c r="AS76" s="842"/>
      <c r="AT76" s="842"/>
      <c r="AU76" s="842"/>
      <c r="AV76" s="842"/>
      <c r="AW76" s="842"/>
      <c r="AX76" s="842"/>
      <c r="AY76" s="842"/>
      <c r="AZ76" s="842"/>
      <c r="BA76" s="842"/>
      <c r="BB76" s="842"/>
      <c r="BC76" s="842"/>
      <c r="BD76" s="842"/>
      <c r="BE76" s="842"/>
      <c r="BF76" s="842"/>
      <c r="BG76" s="842"/>
      <c r="BH76" s="898"/>
      <c r="BI76" s="898"/>
      <c r="BJ76" s="898"/>
      <c r="BK76" s="898"/>
      <c r="BL76" s="898"/>
      <c r="BM76" s="898"/>
      <c r="BN76" s="898"/>
      <c r="BO76" s="898"/>
      <c r="BP76" s="898"/>
      <c r="BQ76" s="898"/>
      <c r="BR76" s="898"/>
      <c r="BS76" s="898"/>
      <c r="BT76" s="898"/>
      <c r="BU76" s="898"/>
      <c r="BV76" s="898"/>
      <c r="BW76" s="898"/>
      <c r="BX76" s="898"/>
      <c r="BY76" s="898"/>
      <c r="BZ76" s="898"/>
      <c r="CA76" s="898"/>
      <c r="CB76" s="2096"/>
      <c r="CC76" s="2096"/>
      <c r="CD76" s="2096"/>
      <c r="CE76" s="2096"/>
      <c r="CF76" s="2096"/>
      <c r="CG76" s="2096"/>
      <c r="CH76" s="2096"/>
      <c r="CI76" s="2096"/>
      <c r="CJ76" s="2096"/>
      <c r="CK76" s="2096"/>
      <c r="CL76" s="2096"/>
      <c r="CM76" s="2096"/>
      <c r="CN76" s="2096"/>
      <c r="CO76" s="2096"/>
      <c r="CP76" s="2096"/>
      <c r="CQ76" s="2096"/>
      <c r="CR76" s="2096"/>
      <c r="CS76" s="2096"/>
      <c r="CT76" s="2096"/>
      <c r="CU76" s="2096"/>
      <c r="CV76" s="2096"/>
      <c r="CW76" s="2096"/>
      <c r="CX76" s="2096"/>
      <c r="CY76" s="2096"/>
      <c r="CZ76" s="2096"/>
      <c r="DA76" s="2096"/>
      <c r="DB76" s="2096"/>
      <c r="DC76" s="2096"/>
      <c r="DF76"/>
      <c r="DG76"/>
    </row>
    <row r="77" spans="2:111" hidden="1" outlineLevel="1">
      <c r="B77" s="938" t="s">
        <v>852</v>
      </c>
      <c r="C77" s="23"/>
      <c r="D77" s="15"/>
      <c r="E77" s="15"/>
      <c r="F77" s="15"/>
      <c r="G77" s="15"/>
      <c r="H77" s="15"/>
      <c r="I77" s="15"/>
      <c r="J77" s="15"/>
      <c r="K77" s="15"/>
      <c r="L77" s="23"/>
      <c r="M77" s="23"/>
      <c r="N77" s="23"/>
      <c r="O77" s="23"/>
      <c r="P77" s="23"/>
      <c r="Q77" s="23"/>
      <c r="R77" s="23"/>
      <c r="S77" s="23"/>
      <c r="T77" s="23"/>
      <c r="U77" s="23"/>
      <c r="V77" s="23"/>
      <c r="W77" s="23"/>
      <c r="X77" s="23"/>
      <c r="Y77" s="23"/>
      <c r="Z77" s="23"/>
      <c r="AA77" s="23"/>
      <c r="AB77" s="23"/>
      <c r="AC77" s="23"/>
      <c r="AD77" s="23"/>
      <c r="AE77" s="23"/>
      <c r="AF77" s="23"/>
      <c r="AG77" s="23"/>
      <c r="AH77" s="23"/>
      <c r="AI77" s="23"/>
      <c r="AJ77" s="23"/>
      <c r="AK77" s="23"/>
      <c r="AL77" s="23"/>
      <c r="AM77" s="23"/>
      <c r="AN77" s="23"/>
      <c r="AO77" s="23"/>
      <c r="AP77" s="23"/>
      <c r="AQ77" s="23"/>
      <c r="AR77" s="23"/>
      <c r="AS77" s="23"/>
      <c r="AT77" s="23"/>
      <c r="AU77" s="23"/>
      <c r="AV77" s="23"/>
      <c r="AW77" s="23"/>
      <c r="AX77" s="23"/>
      <c r="AY77" s="23"/>
      <c r="AZ77" s="23"/>
      <c r="BA77" s="23"/>
      <c r="BB77" s="23"/>
      <c r="BC77" s="23"/>
      <c r="BD77" s="23"/>
      <c r="BE77" s="23"/>
      <c r="BF77" s="23"/>
      <c r="BG77" s="23"/>
      <c r="BH77" s="23"/>
      <c r="BI77" s="23"/>
      <c r="BJ77" s="23"/>
      <c r="BK77" s="23"/>
      <c r="BL77" s="23"/>
      <c r="BM77" s="23"/>
      <c r="BN77" s="23"/>
      <c r="BO77" s="23"/>
      <c r="BP77" s="23"/>
      <c r="BQ77" s="23"/>
      <c r="BR77" s="23"/>
      <c r="BS77" s="23"/>
      <c r="BT77" s="23"/>
      <c r="BU77" s="23"/>
      <c r="BV77" s="23"/>
      <c r="BW77" s="23"/>
      <c r="BX77" s="23"/>
      <c r="BY77" s="23"/>
      <c r="BZ77" s="23"/>
      <c r="CA77" s="23"/>
      <c r="CB77" s="23"/>
      <c r="CC77" s="23"/>
      <c r="CD77" s="23"/>
      <c r="CE77" s="23"/>
      <c r="CF77" s="23"/>
      <c r="CG77" s="23"/>
      <c r="CH77" s="23"/>
      <c r="CI77" s="23"/>
      <c r="CJ77" s="23"/>
      <c r="CK77" s="23"/>
      <c r="CL77" s="23"/>
      <c r="CM77" s="23"/>
      <c r="CN77" s="23"/>
      <c r="CO77" s="23"/>
      <c r="CP77" s="23"/>
      <c r="CQ77" s="23"/>
      <c r="CR77" s="23"/>
      <c r="CS77" s="23"/>
      <c r="CT77" s="23"/>
      <c r="CU77" s="23"/>
      <c r="CV77" s="23"/>
      <c r="CW77" s="23"/>
      <c r="CX77" s="23"/>
      <c r="CY77" s="23"/>
      <c r="CZ77" s="23"/>
      <c r="DA77" s="23"/>
      <c r="DB77" s="23"/>
      <c r="DC77" s="23"/>
      <c r="DF77"/>
      <c r="DG77"/>
    </row>
    <row r="78" spans="2:111" hidden="1" outlineLevel="1">
      <c r="B78" s="939" t="s">
        <v>1699</v>
      </c>
      <c r="C78" s="23"/>
      <c r="D78" s="15"/>
      <c r="E78" s="15"/>
      <c r="F78" s="15"/>
      <c r="G78" s="15"/>
      <c r="H78" s="15"/>
      <c r="I78" s="15"/>
      <c r="J78" s="15"/>
      <c r="K78" s="54">
        <f t="shared" ref="K78:Z78" si="153">K11+K14+K20+K21+K24+K12+K27+K25-K33-K37-K45-K58</f>
        <v>516.95799999999986</v>
      </c>
      <c r="L78" s="54">
        <f t="shared" si="153"/>
        <v>1553.4380000000003</v>
      </c>
      <c r="M78" s="54">
        <f t="shared" si="153"/>
        <v>1812.4060000000002</v>
      </c>
      <c r="N78" s="54">
        <f t="shared" si="153"/>
        <v>2063.0849999999996</v>
      </c>
      <c r="O78" s="54">
        <f t="shared" si="153"/>
        <v>3336.2609999999995</v>
      </c>
      <c r="P78" s="54">
        <f t="shared" si="153"/>
        <v>4042.598</v>
      </c>
      <c r="Q78" s="54">
        <f t="shared" si="153"/>
        <v>4861.8419999999996</v>
      </c>
      <c r="R78" s="54">
        <f t="shared" si="153"/>
        <v>5711.53</v>
      </c>
      <c r="S78" s="54">
        <f t="shared" si="153"/>
        <v>5808.7889999999998</v>
      </c>
      <c r="T78" s="54">
        <f t="shared" si="153"/>
        <v>7015.6629999999996</v>
      </c>
      <c r="U78" s="54">
        <f t="shared" si="153"/>
        <v>10363.475000000002</v>
      </c>
      <c r="V78" s="54">
        <f>V11+V14+V20+V21+V24+V12+V27+V25-V33-V37-V45-V58</f>
        <v>15441.993999999999</v>
      </c>
      <c r="W78" s="54">
        <f ca="1">W11+W14+W20+W21+W24+W12+W27+W25-W33-W37-W45-W58</f>
        <v>16271.461389787713</v>
      </c>
      <c r="X78" s="54">
        <f t="shared" ca="1" si="153"/>
        <v>17080.7169478961</v>
      </c>
      <c r="Y78" s="54">
        <f t="shared" ca="1" si="153"/>
        <v>17640.679069106453</v>
      </c>
      <c r="Z78" s="54">
        <f t="shared" ca="1" si="153"/>
        <v>18103.329269252601</v>
      </c>
      <c r="AA78" s="54">
        <f t="shared" ref="AA78:AD78" ca="1" si="154">AA11+AA14+AA20+AA21+AA24+AA12+AA27+AA25-AA33-AA37-AA45-AA58</f>
        <v>18640.331879762893</v>
      </c>
      <c r="AB78" s="54">
        <f t="shared" ca="1" si="154"/>
        <v>19651.257241659539</v>
      </c>
      <c r="AC78" s="54">
        <f t="shared" ca="1" si="154"/>
        <v>20967.014015335291</v>
      </c>
      <c r="AD78" s="54">
        <f t="shared" ca="1" si="154"/>
        <v>22291.035473002568</v>
      </c>
      <c r="AE78" s="23"/>
      <c r="AF78" s="23"/>
      <c r="AG78" s="23"/>
      <c r="AH78" s="23"/>
      <c r="AI78" s="23"/>
      <c r="AJ78" s="23"/>
      <c r="AK78" s="23"/>
      <c r="AL78" s="23"/>
      <c r="AM78" s="23"/>
      <c r="AN78" s="23"/>
      <c r="AO78" s="23"/>
      <c r="AP78" s="23"/>
      <c r="AQ78" s="23"/>
      <c r="AR78" s="23"/>
      <c r="AS78" s="23"/>
      <c r="AT78" s="23"/>
      <c r="AU78" s="23"/>
      <c r="AV78" s="23"/>
      <c r="AW78" s="23"/>
      <c r="AX78" s="23"/>
      <c r="AY78" s="23"/>
      <c r="AZ78" s="23"/>
      <c r="BA78" s="23"/>
      <c r="BB78" s="23"/>
      <c r="BC78" s="23"/>
      <c r="BD78" s="23"/>
      <c r="BE78" s="23"/>
      <c r="BF78" s="23"/>
      <c r="BG78" s="23"/>
      <c r="BH78" s="54">
        <f t="shared" ref="BH78:CP78" si="155">BH11+BH14+BH20+BH21+BH24+BH12+BH27+BH25-BH33-BH37-BH45-BH58</f>
        <v>558.4100000000002</v>
      </c>
      <c r="BI78" s="54">
        <f t="shared" si="155"/>
        <v>683.65400000000022</v>
      </c>
      <c r="BJ78" s="54">
        <f t="shared" si="155"/>
        <v>1448.2640000000001</v>
      </c>
      <c r="BK78" s="54">
        <f t="shared" si="155"/>
        <v>1553.4380000000003</v>
      </c>
      <c r="BL78" s="54">
        <f t="shared" si="155"/>
        <v>1688.9670000000003</v>
      </c>
      <c r="BM78" s="54">
        <f t="shared" si="155"/>
        <v>1750.4999999999998</v>
      </c>
      <c r="BN78" s="54">
        <f t="shared" si="155"/>
        <v>1704.1479999999999</v>
      </c>
      <c r="BO78" s="54">
        <f t="shared" si="155"/>
        <v>1812.4060000000002</v>
      </c>
      <c r="BP78" s="54">
        <f t="shared" si="155"/>
        <v>1840.2700000000004</v>
      </c>
      <c r="BQ78" s="54">
        <f t="shared" si="155"/>
        <v>1941.5550000000001</v>
      </c>
      <c r="BR78" s="54">
        <f t="shared" si="155"/>
        <v>2003.2459999999999</v>
      </c>
      <c r="BS78" s="54">
        <f t="shared" si="155"/>
        <v>2063.0849999999996</v>
      </c>
      <c r="BT78" s="54">
        <f t="shared" si="155"/>
        <v>2114.1370000000006</v>
      </c>
      <c r="BU78" s="54">
        <f t="shared" si="155"/>
        <v>3087.6350000000007</v>
      </c>
      <c r="BV78" s="54">
        <f t="shared" si="155"/>
        <v>3270.1770000000001</v>
      </c>
      <c r="BW78" s="54">
        <f t="shared" si="155"/>
        <v>3336.2609999999995</v>
      </c>
      <c r="BX78" s="54">
        <f t="shared" si="155"/>
        <v>3655.1859999999997</v>
      </c>
      <c r="BY78" s="54">
        <f t="shared" si="155"/>
        <v>3968.0320000000002</v>
      </c>
      <c r="BZ78" s="54">
        <f t="shared" si="155"/>
        <v>3980.2380000000012</v>
      </c>
      <c r="CA78" s="54">
        <f t="shared" si="155"/>
        <v>4042.5980000000009</v>
      </c>
      <c r="CB78" s="54">
        <f t="shared" si="155"/>
        <v>4128.7070000000012</v>
      </c>
      <c r="CC78" s="54">
        <f t="shared" si="155"/>
        <v>4213.9269999999988</v>
      </c>
      <c r="CD78" s="54">
        <f t="shared" si="155"/>
        <v>4748.5329999999985</v>
      </c>
      <c r="CE78" s="54">
        <f t="shared" si="155"/>
        <v>4861.8419999999996</v>
      </c>
      <c r="CF78" s="54">
        <f t="shared" si="155"/>
        <v>4907.3739999999998</v>
      </c>
      <c r="CG78" s="54">
        <f t="shared" si="155"/>
        <v>5133.2409999999991</v>
      </c>
      <c r="CH78" s="54">
        <f t="shared" si="155"/>
        <v>5427.6570000000011</v>
      </c>
      <c r="CI78" s="54">
        <f t="shared" si="155"/>
        <v>5711.53</v>
      </c>
      <c r="CJ78" s="54">
        <f t="shared" si="155"/>
        <v>5881.6119999999992</v>
      </c>
      <c r="CK78" s="54">
        <f t="shared" si="155"/>
        <v>6142.0410000000002</v>
      </c>
      <c r="CL78" s="54">
        <f t="shared" si="155"/>
        <v>6080.2200000000012</v>
      </c>
      <c r="CM78" s="54">
        <f t="shared" si="155"/>
        <v>5808.7890000000007</v>
      </c>
      <c r="CN78" s="54">
        <f t="shared" si="155"/>
        <v>5758.6360000000004</v>
      </c>
      <c r="CO78" s="54">
        <f t="shared" si="155"/>
        <v>6477.0509999999995</v>
      </c>
      <c r="CP78" s="54">
        <f t="shared" si="155"/>
        <v>5785.5190000000002</v>
      </c>
      <c r="CQ78" s="54">
        <f t="shared" ref="CQ78:CU78" si="156">CQ11+CQ14+CQ20+CQ21+CQ24+CQ12+CQ27+CQ25-CQ33-CQ37-CQ45-CQ58</f>
        <v>7015.6629999999996</v>
      </c>
      <c r="CR78" s="54">
        <f t="shared" si="156"/>
        <v>11350.816000000003</v>
      </c>
      <c r="CS78" s="54">
        <f t="shared" si="156"/>
        <v>11212.508000000002</v>
      </c>
      <c r="CT78" s="54">
        <f t="shared" si="156"/>
        <v>10545.626</v>
      </c>
      <c r="CU78" s="54">
        <f t="shared" si="156"/>
        <v>10363.475000000002</v>
      </c>
      <c r="CV78" s="54">
        <f>CV11+CV14+CV20+CV21+CV24+CV12+CV27+CV25-CV33-CV37-CV45-CV58</f>
        <v>10734.959000000001</v>
      </c>
      <c r="CW78" s="54">
        <f>CW11+CW14+CW20+CW21+CW24+CW12+CW27+CW25-CW33-CW37-CW45-CW58</f>
        <v>14698.924999999999</v>
      </c>
      <c r="CX78" s="54">
        <f>CX11+CX14+CX20+CX21+CX24+CX12+CX27+CX25-CX33-CX37-CX45-CX58</f>
        <v>14891.195000000002</v>
      </c>
      <c r="CY78" s="54">
        <f>CY11+CY14+CY20+CY21+CY24+CY12+CY27+CY25-CY33-CY37-CY45-CY58</f>
        <v>15441.993999999999</v>
      </c>
      <c r="CZ78" s="54">
        <f t="shared" ref="CZ78:DC78" ca="1" si="157">CZ11+CZ14+CZ20+CZ21+CZ24+CZ12+CZ27+CZ25-CZ33-CZ37-CZ45-CZ58</f>
        <v>15548.635452210583</v>
      </c>
      <c r="DA78" s="54">
        <f t="shared" ca="1" si="157"/>
        <v>15515.849425604345</v>
      </c>
      <c r="DB78" s="54">
        <f t="shared" ca="1" si="157"/>
        <v>15903.012241353219</v>
      </c>
      <c r="DC78" s="54">
        <f t="shared" ca="1" si="157"/>
        <v>16271.461389787713</v>
      </c>
      <c r="DF78"/>
      <c r="DG78"/>
    </row>
    <row r="79" spans="2:111" hidden="1" outlineLevel="1">
      <c r="B79" s="940" t="s">
        <v>899</v>
      </c>
      <c r="C79" s="23"/>
      <c r="D79" s="15"/>
      <c r="E79" s="15"/>
      <c r="F79" s="15"/>
      <c r="G79" s="15"/>
      <c r="H79" s="15"/>
      <c r="I79" s="15"/>
      <c r="J79" s="15"/>
      <c r="K79" s="984"/>
      <c r="L79" s="984">
        <f t="shared" ref="L79:Z79" si="158">L106/K78</f>
        <v>0.81136572023259179</v>
      </c>
      <c r="M79" s="984">
        <f t="shared" si="158"/>
        <v>0.45362608613926003</v>
      </c>
      <c r="N79" s="984">
        <f t="shared" si="158"/>
        <v>0.4869267702711203</v>
      </c>
      <c r="O79" s="984">
        <f t="shared" si="158"/>
        <v>0.57981808796050582</v>
      </c>
      <c r="P79" s="984">
        <f t="shared" si="158"/>
        <v>0.47052194057958907</v>
      </c>
      <c r="Q79" s="984">
        <f t="shared" si="158"/>
        <v>0.46687204614458327</v>
      </c>
      <c r="R79" s="984">
        <f t="shared" si="158"/>
        <v>0.44278814490475016</v>
      </c>
      <c r="S79" s="984">
        <f t="shared" si="158"/>
        <v>0.42786696384331341</v>
      </c>
      <c r="T79" s="984">
        <f t="shared" si="158"/>
        <v>0.46926596920631825</v>
      </c>
      <c r="U79" s="984">
        <f t="shared" si="158"/>
        <v>0.51484642292538851</v>
      </c>
      <c r="V79" s="984">
        <f t="shared" si="158"/>
        <v>0.42152154562055671</v>
      </c>
      <c r="W79" s="984">
        <f t="shared" ca="1" si="158"/>
        <v>0.32632823167728148</v>
      </c>
      <c r="X79" s="984">
        <f t="shared" ca="1" si="158"/>
        <v>0.33805124445902052</v>
      </c>
      <c r="Y79" s="984">
        <f t="shared" ca="1" si="158"/>
        <v>0.34760443316446127</v>
      </c>
      <c r="Z79" s="984">
        <f t="shared" ca="1" si="158"/>
        <v>0.35992140435835446</v>
      </c>
      <c r="AA79" s="984">
        <f t="shared" ref="AA79" ca="1" si="159">AA106/Z78</f>
        <v>0.37339277855508118</v>
      </c>
      <c r="AB79" s="984">
        <f t="shared" ref="AB79" ca="1" si="160">AB106/AA78</f>
        <v>0.38455482008158232</v>
      </c>
      <c r="AC79" s="984">
        <f t="shared" ref="AC79" ca="1" si="161">AC106/AB78</f>
        <v>0.38545934852211722</v>
      </c>
      <c r="AD79" s="984">
        <f t="shared" ref="AD79" ca="1" si="162">AD106/AC78</f>
        <v>0.38055289585594476</v>
      </c>
      <c r="AE79" s="23"/>
      <c r="AF79" s="23"/>
      <c r="AG79" s="23"/>
      <c r="AH79" s="23"/>
      <c r="AI79" s="23"/>
      <c r="AJ79" s="23"/>
      <c r="AK79" s="23"/>
      <c r="AL79" s="23"/>
      <c r="AM79" s="23"/>
      <c r="AN79" s="23"/>
      <c r="AO79" s="23"/>
      <c r="AP79" s="23"/>
      <c r="AQ79" s="23"/>
      <c r="AR79" s="23"/>
      <c r="AS79" s="23"/>
      <c r="AT79" s="23"/>
      <c r="AU79" s="23"/>
      <c r="AV79" s="23"/>
      <c r="AW79" s="23"/>
      <c r="AX79" s="23"/>
      <c r="AY79" s="23"/>
      <c r="AZ79" s="23"/>
      <c r="BA79" s="23"/>
      <c r="BB79" s="23"/>
      <c r="BC79" s="23"/>
      <c r="BD79" s="23"/>
      <c r="BE79" s="23"/>
      <c r="BF79" s="23"/>
      <c r="BG79" s="23"/>
      <c r="BH79" s="984"/>
      <c r="BI79" s="984">
        <f t="shared" ref="BI79:CY79" si="163">BI106/BH78*4</f>
        <v>0.65784638527246997</v>
      </c>
      <c r="BJ79" s="984">
        <f t="shared" si="163"/>
        <v>0.60721944141334627</v>
      </c>
      <c r="BK79" s="984">
        <f t="shared" si="163"/>
        <v>0.38311799506167382</v>
      </c>
      <c r="BL79" s="984">
        <f t="shared" si="163"/>
        <v>0.40740087470500913</v>
      </c>
      <c r="BM79" s="984">
        <f t="shared" si="163"/>
        <v>0.40745378684130584</v>
      </c>
      <c r="BN79" s="984">
        <f t="shared" si="163"/>
        <v>0.41984575835475574</v>
      </c>
      <c r="BO79" s="984">
        <f t="shared" si="163"/>
        <v>0.44757380227538923</v>
      </c>
      <c r="BP79" s="984">
        <f t="shared" si="163"/>
        <v>0.43970501090815195</v>
      </c>
      <c r="BQ79" s="984">
        <f t="shared" si="163"/>
        <v>0.46334070543996247</v>
      </c>
      <c r="BR79" s="984">
        <f t="shared" si="163"/>
        <v>0.46881597482430315</v>
      </c>
      <c r="BS79" s="984">
        <f t="shared" si="163"/>
        <v>0.48431795196396249</v>
      </c>
      <c r="BT79" s="984">
        <f t="shared" si="163"/>
        <v>0.48209162492093166</v>
      </c>
      <c r="BU79" s="984">
        <f t="shared" si="163"/>
        <v>0.54871940654744678</v>
      </c>
      <c r="BV79" s="984">
        <f t="shared" si="163"/>
        <v>0.41636268535626775</v>
      </c>
      <c r="BW79" s="984">
        <f t="shared" si="163"/>
        <v>0.41117529723926255</v>
      </c>
      <c r="BX79" s="984">
        <f t="shared" si="163"/>
        <v>0.42436607927257497</v>
      </c>
      <c r="BY79" s="984">
        <f t="shared" si="163"/>
        <v>0.42187839415011985</v>
      </c>
      <c r="BZ79" s="984">
        <f t="shared" si="163"/>
        <v>0.41149668147837515</v>
      </c>
      <c r="CA79" s="984">
        <f t="shared" si="163"/>
        <v>0.424211818489246</v>
      </c>
      <c r="CB79" s="984">
        <f t="shared" si="163"/>
        <v>0.43630556389727587</v>
      </c>
      <c r="CC79" s="984">
        <f t="shared" si="163"/>
        <v>0.44132945253804629</v>
      </c>
      <c r="CD79" s="984">
        <f t="shared" si="163"/>
        <v>0.46022154631534917</v>
      </c>
      <c r="CE79" s="984">
        <f t="shared" si="163"/>
        <v>0.42628660262021989</v>
      </c>
      <c r="CF79" s="984">
        <f t="shared" si="163"/>
        <v>0.42464070202199078</v>
      </c>
      <c r="CG79" s="984">
        <f t="shared" si="163"/>
        <v>0.43108269310633346</v>
      </c>
      <c r="CH79" s="984">
        <f t="shared" si="163"/>
        <v>0.42318994958545697</v>
      </c>
      <c r="CI79" s="984">
        <f t="shared" si="163"/>
        <v>0.41614788849037432</v>
      </c>
      <c r="CJ79" s="984">
        <f t="shared" si="163"/>
        <v>0.40623300586707939</v>
      </c>
      <c r="CK79" s="984">
        <f t="shared" si="163"/>
        <v>0.41156132026390052</v>
      </c>
      <c r="CL79" s="984">
        <f t="shared" si="163"/>
        <v>0.40406112560954893</v>
      </c>
      <c r="CM79" s="984">
        <f t="shared" si="163"/>
        <v>0.41980125719135153</v>
      </c>
      <c r="CN79" s="984">
        <f t="shared" si="163"/>
        <v>0.44289713398093811</v>
      </c>
      <c r="CO79" s="984">
        <f t="shared" si="163"/>
        <v>0.46231920197769044</v>
      </c>
      <c r="CP79" s="984">
        <f t="shared" si="163"/>
        <v>0.42405038959859975</v>
      </c>
      <c r="CQ79" s="984">
        <f t="shared" si="163"/>
        <v>0.50502781167947064</v>
      </c>
      <c r="CR79" s="984">
        <f t="shared" si="163"/>
        <v>0.4812979186714072</v>
      </c>
      <c r="CS79" s="984">
        <f t="shared" si="163"/>
        <v>0.31733753767130041</v>
      </c>
      <c r="CT79" s="984">
        <f t="shared" si="163"/>
        <v>0.32987303108278709</v>
      </c>
      <c r="CU79" s="984">
        <f t="shared" si="163"/>
        <v>0.35754994535175061</v>
      </c>
      <c r="CV79" s="984">
        <f t="shared" si="163"/>
        <v>0.36648903963197671</v>
      </c>
      <c r="CW79" s="984">
        <f t="shared" si="163"/>
        <v>0.39736379058364357</v>
      </c>
      <c r="CX79" s="984">
        <f t="shared" si="163"/>
        <v>0.31356333881559367</v>
      </c>
      <c r="CY79" s="984">
        <f t="shared" si="163"/>
        <v>0.32239749731300943</v>
      </c>
      <c r="CZ79" s="984">
        <f t="shared" ref="CZ79:DC79" ca="1" si="164">CZ106/CY78*4</f>
        <v>0.314873455094623</v>
      </c>
      <c r="DA79" s="984">
        <f t="shared" ca="1" si="164"/>
        <v>0.31902735605824678</v>
      </c>
      <c r="DB79" s="984">
        <f t="shared" ca="1" si="164"/>
        <v>0.3284218234566601</v>
      </c>
      <c r="DC79" s="984">
        <f t="shared" ca="1" si="164"/>
        <v>0.32938267788948017</v>
      </c>
      <c r="DF79"/>
      <c r="DG79"/>
    </row>
    <row r="80" spans="2:111" hidden="1" outlineLevel="1">
      <c r="B80" s="939" t="s">
        <v>897</v>
      </c>
      <c r="C80" s="23"/>
      <c r="D80" s="15"/>
      <c r="E80" s="15"/>
      <c r="F80" s="15"/>
      <c r="G80" s="15"/>
      <c r="H80" s="15"/>
      <c r="I80" s="15"/>
      <c r="J80" s="15"/>
      <c r="K80" s="54">
        <f t="shared" ref="K80:Z80" si="165">K78-K21-K24</f>
        <v>500.03899999999987</v>
      </c>
      <c r="L80" s="54">
        <f t="shared" si="165"/>
        <v>1043.3050000000003</v>
      </c>
      <c r="M80" s="54">
        <f t="shared" si="165"/>
        <v>1418.6590000000003</v>
      </c>
      <c r="N80" s="54">
        <f t="shared" si="165"/>
        <v>1631.0199999999995</v>
      </c>
      <c r="O80" s="54">
        <f t="shared" si="165"/>
        <v>2410.9509999999996</v>
      </c>
      <c r="P80" s="54">
        <f t="shared" si="165"/>
        <v>3027.4679999999998</v>
      </c>
      <c r="Q80" s="54">
        <f t="shared" si="165"/>
        <v>3617.7159999999994</v>
      </c>
      <c r="R80" s="54">
        <f t="shared" si="165"/>
        <v>4485.1949999999997</v>
      </c>
      <c r="S80" s="54">
        <f t="shared" si="165"/>
        <v>4659.1329999999998</v>
      </c>
      <c r="T80" s="54">
        <f t="shared" si="165"/>
        <v>5727.8980000000001</v>
      </c>
      <c r="U80" s="54">
        <f t="shared" si="165"/>
        <v>6658.1800000000021</v>
      </c>
      <c r="V80" s="54">
        <f>V78-V21-V24</f>
        <v>8645.26</v>
      </c>
      <c r="W80" s="54">
        <f ca="1">W78-W21-W24</f>
        <v>9491.4103897877158</v>
      </c>
      <c r="X80" s="54">
        <f t="shared" ca="1" si="165"/>
        <v>10316.037947896102</v>
      </c>
      <c r="Y80" s="54">
        <f t="shared" ca="1" si="165"/>
        <v>10879.753069106455</v>
      </c>
      <c r="Z80" s="54">
        <f t="shared" ca="1" si="165"/>
        <v>11342.403269252603</v>
      </c>
      <c r="AA80" s="54">
        <f t="shared" ref="AA80:AD80" ca="1" si="166">AA78-AA21-AA24</f>
        <v>11879.405879762895</v>
      </c>
      <c r="AB80" s="54">
        <f t="shared" ca="1" si="166"/>
        <v>12890.331241659542</v>
      </c>
      <c r="AC80" s="54">
        <f t="shared" ca="1" si="166"/>
        <v>14206.088015335294</v>
      </c>
      <c r="AD80" s="54">
        <f t="shared" ca="1" si="166"/>
        <v>15530.109473002571</v>
      </c>
      <c r="AE80" s="23"/>
      <c r="AF80" s="23"/>
      <c r="AG80" s="23"/>
      <c r="AH80" s="23"/>
      <c r="AI80" s="23"/>
      <c r="AJ80" s="23"/>
      <c r="AK80" s="23"/>
      <c r="AL80" s="23"/>
      <c r="AM80" s="23"/>
      <c r="AN80" s="23"/>
      <c r="AO80" s="23"/>
      <c r="AP80" s="23"/>
      <c r="AQ80" s="23"/>
      <c r="AR80" s="23"/>
      <c r="AS80" s="23"/>
      <c r="AT80" s="23"/>
      <c r="AU80" s="23"/>
      <c r="AV80" s="23"/>
      <c r="AW80" s="23"/>
      <c r="AX80" s="23"/>
      <c r="AY80" s="23"/>
      <c r="AZ80" s="23"/>
      <c r="BA80" s="23"/>
      <c r="BB80" s="23"/>
      <c r="BC80" s="23"/>
      <c r="BD80" s="23"/>
      <c r="BE80" s="23"/>
      <c r="BF80" s="23"/>
      <c r="BG80" s="23"/>
      <c r="BH80" s="54">
        <f t="shared" ref="BH80:CP80" si="167">BH78-BH21-BH24</f>
        <v>541.30100000000016</v>
      </c>
      <c r="BI80" s="54">
        <f t="shared" si="167"/>
        <v>666.74000000000024</v>
      </c>
      <c r="BJ80" s="54">
        <f t="shared" si="167"/>
        <v>947.79600000000005</v>
      </c>
      <c r="BK80" s="54">
        <f t="shared" si="167"/>
        <v>1043.3050000000003</v>
      </c>
      <c r="BL80" s="54">
        <f t="shared" si="167"/>
        <v>1154.5680000000004</v>
      </c>
      <c r="BM80" s="54">
        <f t="shared" si="167"/>
        <v>1220.1189999999999</v>
      </c>
      <c r="BN80" s="54">
        <f t="shared" si="167"/>
        <v>1230.6889999999999</v>
      </c>
      <c r="BO80" s="54">
        <f t="shared" si="167"/>
        <v>1418.6590000000003</v>
      </c>
      <c r="BP80" s="54">
        <f t="shared" si="167"/>
        <v>1455.6330000000005</v>
      </c>
      <c r="BQ80" s="54">
        <f t="shared" si="167"/>
        <v>1504.8240000000001</v>
      </c>
      <c r="BR80" s="54">
        <f t="shared" si="167"/>
        <v>1573.6279999999999</v>
      </c>
      <c r="BS80" s="54">
        <f t="shared" si="167"/>
        <v>1631.0199999999995</v>
      </c>
      <c r="BT80" s="54">
        <f t="shared" si="167"/>
        <v>1708.1570000000006</v>
      </c>
      <c r="BU80" s="54">
        <f t="shared" si="167"/>
        <v>2170.2080000000005</v>
      </c>
      <c r="BV80" s="54">
        <f t="shared" si="167"/>
        <v>2336.3179999999998</v>
      </c>
      <c r="BW80" s="54">
        <f t="shared" si="167"/>
        <v>2410.9509999999996</v>
      </c>
      <c r="BX80" s="54">
        <f t="shared" si="167"/>
        <v>2716.4359999999997</v>
      </c>
      <c r="BY80" s="54">
        <f t="shared" si="167"/>
        <v>2906.7999999999997</v>
      </c>
      <c r="BZ80" s="54">
        <f t="shared" si="167"/>
        <v>2959.4530000000013</v>
      </c>
      <c r="CA80" s="54">
        <f t="shared" si="167"/>
        <v>3027.4680000000008</v>
      </c>
      <c r="CB80" s="54">
        <f t="shared" si="167"/>
        <v>3103.4430000000016</v>
      </c>
      <c r="CC80" s="54">
        <f t="shared" si="167"/>
        <v>3212.5409999999988</v>
      </c>
      <c r="CD80" s="54">
        <f t="shared" si="167"/>
        <v>3504.6009999999983</v>
      </c>
      <c r="CE80" s="54">
        <f t="shared" si="167"/>
        <v>3617.7159999999994</v>
      </c>
      <c r="CF80" s="54">
        <f t="shared" si="167"/>
        <v>3696.6619999999998</v>
      </c>
      <c r="CG80" s="54">
        <f t="shared" si="167"/>
        <v>3936.3989999999994</v>
      </c>
      <c r="CH80" s="54">
        <f t="shared" si="167"/>
        <v>4209.1330000000007</v>
      </c>
      <c r="CI80" s="54">
        <f t="shared" si="167"/>
        <v>4485.1949999999997</v>
      </c>
      <c r="CJ80" s="54">
        <f t="shared" si="167"/>
        <v>4657.12</v>
      </c>
      <c r="CK80" s="54">
        <f t="shared" si="167"/>
        <v>4913.5479999999998</v>
      </c>
      <c r="CL80" s="54">
        <f t="shared" si="167"/>
        <v>4898.1900000000005</v>
      </c>
      <c r="CM80" s="54">
        <f t="shared" si="167"/>
        <v>4659.1330000000007</v>
      </c>
      <c r="CN80" s="54">
        <f t="shared" si="167"/>
        <v>4638.1900000000005</v>
      </c>
      <c r="CO80" s="54">
        <f t="shared" si="167"/>
        <v>5337.9290000000001</v>
      </c>
      <c r="CP80" s="54">
        <f t="shared" si="167"/>
        <v>4678.5350000000008</v>
      </c>
      <c r="CQ80" s="54">
        <f t="shared" ref="CQ80:CU80" si="168">CQ78-CQ21-CQ24</f>
        <v>5727.8980000000001</v>
      </c>
      <c r="CR80" s="54">
        <f t="shared" si="168"/>
        <v>7146.3120000000026</v>
      </c>
      <c r="CS80" s="54">
        <f t="shared" si="168"/>
        <v>7233.3560000000016</v>
      </c>
      <c r="CT80" s="54">
        <f t="shared" si="168"/>
        <v>6623.68</v>
      </c>
      <c r="CU80" s="54">
        <f t="shared" si="168"/>
        <v>6658.1800000000021</v>
      </c>
      <c r="CV80" s="54">
        <f>CV78-CV21-CV24</f>
        <v>6971.2270000000008</v>
      </c>
      <c r="CW80" s="54">
        <f>CW78-CW21-CW24</f>
        <v>8091.1419999999998</v>
      </c>
      <c r="CX80" s="54">
        <f>CX78-CX21-CX24</f>
        <v>8329.5300000000025</v>
      </c>
      <c r="CY80" s="54">
        <f>CY78-CY21-CY24</f>
        <v>8645.26</v>
      </c>
      <c r="CZ80" s="54">
        <f t="shared" ref="CZ80:DC80" ca="1" si="169">CZ78-CZ21-CZ24</f>
        <v>8756.0722022105838</v>
      </c>
      <c r="DA80" s="54">
        <f t="shared" ca="1" si="169"/>
        <v>8727.4569256043469</v>
      </c>
      <c r="DB80" s="54">
        <f t="shared" ca="1" si="169"/>
        <v>9118.7904913532202</v>
      </c>
      <c r="DC80" s="54">
        <f t="shared" ca="1" si="169"/>
        <v>9491.4103897877158</v>
      </c>
      <c r="DF80"/>
      <c r="DG80"/>
    </row>
    <row r="81" spans="2:112" hidden="1" outlineLevel="1">
      <c r="B81" s="940" t="s">
        <v>898</v>
      </c>
      <c r="C81" s="23"/>
      <c r="D81" s="15"/>
      <c r="E81" s="15"/>
      <c r="F81" s="15"/>
      <c r="G81" s="15"/>
      <c r="H81" s="15"/>
      <c r="I81" s="15"/>
      <c r="J81" s="15"/>
      <c r="K81" s="15"/>
      <c r="L81" s="984">
        <f t="shared" ref="L81:Z81" si="170">L106/K80</f>
        <v>0.83881857215137257</v>
      </c>
      <c r="M81" s="984">
        <f t="shared" si="170"/>
        <v>0.67543048293643737</v>
      </c>
      <c r="N81" s="984">
        <f t="shared" si="170"/>
        <v>0.62207267567470403</v>
      </c>
      <c r="O81" s="984">
        <f t="shared" si="170"/>
        <v>0.73341467302669516</v>
      </c>
      <c r="P81" s="984">
        <f t="shared" si="170"/>
        <v>0.65110572550002066</v>
      </c>
      <c r="Q81" s="984">
        <f t="shared" si="170"/>
        <v>0.62341732431193331</v>
      </c>
      <c r="R81" s="984">
        <f t="shared" si="170"/>
        <v>0.5950621884083771</v>
      </c>
      <c r="S81" s="984">
        <f t="shared" si="170"/>
        <v>0.5448536797173813</v>
      </c>
      <c r="T81" s="984">
        <f t="shared" si="170"/>
        <v>0.58505885107808686</v>
      </c>
      <c r="U81" s="984">
        <f t="shared" si="170"/>
        <v>0.63059590097449347</v>
      </c>
      <c r="V81" s="984">
        <f t="shared" si="170"/>
        <v>0.65609941455472798</v>
      </c>
      <c r="W81" s="984">
        <f t="shared" ca="1" si="170"/>
        <v>0.58288109271337019</v>
      </c>
      <c r="X81" s="984">
        <f t="shared" ca="1" si="170"/>
        <v>0.57953323542968893</v>
      </c>
      <c r="Y81" s="984">
        <f t="shared" ca="1" si="170"/>
        <v>0.57554392129072351</v>
      </c>
      <c r="Z81" s="984">
        <f t="shared" ca="1" si="170"/>
        <v>0.58358475087240946</v>
      </c>
      <c r="AA81" s="984">
        <f t="shared" ref="AA81" ca="1" si="171">AA106/Z80</f>
        <v>0.59596297684707311</v>
      </c>
      <c r="AB81" s="984">
        <f t="shared" ref="AB81" ca="1" si="172">AB106/AA80</f>
        <v>0.60341649614772441</v>
      </c>
      <c r="AC81" s="984">
        <f t="shared" ref="AC81" ca="1" si="173">AC106/AB80</f>
        <v>0.58763119985079804</v>
      </c>
      <c r="AD81" s="984">
        <f t="shared" ref="AD81" ca="1" si="174">AD106/AC80</f>
        <v>0.5616646815347569</v>
      </c>
      <c r="AE81" s="23"/>
      <c r="AF81" s="23"/>
      <c r="AG81" s="23"/>
      <c r="AH81" s="23"/>
      <c r="AI81" s="23"/>
      <c r="AJ81" s="23"/>
      <c r="AK81" s="23"/>
      <c r="AL81" s="23"/>
      <c r="AM81" s="23"/>
      <c r="AN81" s="23"/>
      <c r="AO81" s="23"/>
      <c r="AP81" s="23"/>
      <c r="AQ81" s="23"/>
      <c r="AR81" s="23"/>
      <c r="AS81" s="23"/>
      <c r="AT81" s="23"/>
      <c r="AU81" s="23"/>
      <c r="AV81" s="23"/>
      <c r="AW81" s="23"/>
      <c r="AX81" s="23"/>
      <c r="AY81" s="23"/>
      <c r="AZ81" s="23"/>
      <c r="BA81" s="23"/>
      <c r="BB81" s="23"/>
      <c r="BC81" s="23"/>
      <c r="BD81" s="23"/>
      <c r="BE81" s="23"/>
      <c r="BF81" s="23"/>
      <c r="BG81" s="23"/>
      <c r="BH81" s="984"/>
      <c r="BI81" s="984">
        <f t="shared" ref="BI81:CY81" si="175">BI106/BH80*4</f>
        <v>0.67863905664316149</v>
      </c>
      <c r="BJ81" s="984">
        <f t="shared" si="175"/>
        <v>0.62262351141374428</v>
      </c>
      <c r="BK81" s="984">
        <f t="shared" si="175"/>
        <v>0.58541711507539596</v>
      </c>
      <c r="BL81" s="984">
        <f t="shared" si="175"/>
        <v>0.60660305471554332</v>
      </c>
      <c r="BM81" s="984">
        <f t="shared" si="175"/>
        <v>0.5960463134263202</v>
      </c>
      <c r="BN81" s="984">
        <f t="shared" si="175"/>
        <v>0.60235108214854438</v>
      </c>
      <c r="BO81" s="984">
        <f t="shared" si="175"/>
        <v>0.61976015061481826</v>
      </c>
      <c r="BP81" s="984">
        <f t="shared" si="175"/>
        <v>0.56174457709710357</v>
      </c>
      <c r="BQ81" s="984">
        <f t="shared" si="175"/>
        <v>0.58577402408436718</v>
      </c>
      <c r="BR81" s="984">
        <f t="shared" si="175"/>
        <v>0.60487605195026128</v>
      </c>
      <c r="BS81" s="984">
        <f t="shared" si="175"/>
        <v>0.61654215608771579</v>
      </c>
      <c r="BT81" s="984">
        <f t="shared" si="175"/>
        <v>0.60980000245245336</v>
      </c>
      <c r="BU81" s="984">
        <f t="shared" si="175"/>
        <v>0.67913429503259903</v>
      </c>
      <c r="BV81" s="984">
        <f t="shared" si="175"/>
        <v>0.59237455580294596</v>
      </c>
      <c r="BW81" s="984">
        <f t="shared" si="175"/>
        <v>0.5755278177028984</v>
      </c>
      <c r="BX81" s="984">
        <f t="shared" si="175"/>
        <v>0.58723549337999836</v>
      </c>
      <c r="BY81" s="984">
        <f t="shared" si="175"/>
        <v>0.56767175814191828</v>
      </c>
      <c r="BZ81" s="984">
        <f t="shared" si="175"/>
        <v>0.56172836108435398</v>
      </c>
      <c r="CA81" s="984">
        <f t="shared" si="175"/>
        <v>0.57053245988363366</v>
      </c>
      <c r="CB81" s="984">
        <f t="shared" si="175"/>
        <v>0.58260169884537161</v>
      </c>
      <c r="CC81" s="984">
        <f t="shared" si="175"/>
        <v>0.58712855367409655</v>
      </c>
      <c r="CD81" s="984">
        <f t="shared" si="175"/>
        <v>0.60367789858557463</v>
      </c>
      <c r="CE81" s="984">
        <f t="shared" si="175"/>
        <v>0.57759385447872691</v>
      </c>
      <c r="CF81" s="984">
        <f t="shared" si="175"/>
        <v>0.5706738726865237</v>
      </c>
      <c r="CG81" s="984">
        <f t="shared" si="175"/>
        <v>0.57226871161063686</v>
      </c>
      <c r="CH81" s="984">
        <f t="shared" si="175"/>
        <v>0.55185869115402186</v>
      </c>
      <c r="CI81" s="984">
        <f t="shared" si="175"/>
        <v>0.5366207245054978</v>
      </c>
      <c r="CJ81" s="984">
        <f t="shared" si="175"/>
        <v>0.51730459879670787</v>
      </c>
      <c r="CK81" s="984">
        <f t="shared" si="175"/>
        <v>0.51977273508090849</v>
      </c>
      <c r="CL81" s="984">
        <f t="shared" si="175"/>
        <v>0.5050851238249835</v>
      </c>
      <c r="CM81" s="984">
        <f t="shared" si="175"/>
        <v>0.52110759280468899</v>
      </c>
      <c r="CN81" s="984">
        <f t="shared" si="175"/>
        <v>0.55218342125026254</v>
      </c>
      <c r="CO81" s="984">
        <f t="shared" si="175"/>
        <v>0.57400149627333064</v>
      </c>
      <c r="CP81" s="984">
        <f t="shared" si="175"/>
        <v>0.51454337440606646</v>
      </c>
      <c r="CQ81" s="984">
        <f t="shared" si="175"/>
        <v>0.62452199246131512</v>
      </c>
      <c r="CR81" s="984">
        <f t="shared" si="175"/>
        <v>0.58950491087655543</v>
      </c>
      <c r="CS81" s="984">
        <f t="shared" si="175"/>
        <v>0.50404180505972851</v>
      </c>
      <c r="CT81" s="984">
        <f t="shared" si="175"/>
        <v>0.51133996446462737</v>
      </c>
      <c r="CU81" s="984">
        <f t="shared" si="175"/>
        <v>0.56925878061742119</v>
      </c>
      <c r="CV81" s="984">
        <f t="shared" si="175"/>
        <v>0.57044117161146135</v>
      </c>
      <c r="CW81" s="984">
        <f t="shared" si="175"/>
        <v>0.61189859403516766</v>
      </c>
      <c r="CX81" s="984">
        <f t="shared" si="175"/>
        <v>0.56964072562315682</v>
      </c>
      <c r="CY81" s="984">
        <f t="shared" si="175"/>
        <v>0.57636913487315589</v>
      </c>
      <c r="CZ81" s="984">
        <f t="shared" ref="CZ81:DC81" ca="1" si="176">CZ106/CY80*4</f>
        <v>0.56242079524854516</v>
      </c>
      <c r="DA81" s="984">
        <f t="shared" ca="1" si="176"/>
        <v>0.56651429363270178</v>
      </c>
      <c r="DB81" s="984">
        <f t="shared" ca="1" si="176"/>
        <v>0.5838749597132028</v>
      </c>
      <c r="DC81" s="984">
        <f t="shared" ca="1" si="176"/>
        <v>0.57443766950596609</v>
      </c>
      <c r="DF81"/>
      <c r="DG81"/>
    </row>
    <row r="82" spans="2:112" hidden="1" outlineLevel="1">
      <c r="B82" s="940" t="s">
        <v>845</v>
      </c>
      <c r="C82" s="23"/>
      <c r="D82" s="15"/>
      <c r="E82" s="15"/>
      <c r="F82" s="15"/>
      <c r="G82" s="15"/>
      <c r="H82" s="15"/>
      <c r="I82" s="15"/>
      <c r="J82" s="15"/>
      <c r="K82" s="15"/>
      <c r="L82" s="54">
        <f>IS!S92</f>
        <v>409.34529999999978</v>
      </c>
      <c r="M82" s="54">
        <f>IS!M92</f>
        <v>85.467849999999927</v>
      </c>
      <c r="N82" s="54">
        <f>IS!N92</f>
        <v>151.60405000000011</v>
      </c>
      <c r="O82" s="54">
        <f>IS!O92</f>
        <v>181.62039999999996</v>
      </c>
      <c r="P82" s="54">
        <f>IS!P92</f>
        <v>248.33055000000002</v>
      </c>
      <c r="Q82" s="54">
        <f>IS!Q92</f>
        <v>321.30410000000006</v>
      </c>
      <c r="R82" s="54">
        <f>IS!R92</f>
        <v>370.4285000000001</v>
      </c>
      <c r="S82" s="54">
        <f>IS!S92</f>
        <v>409.34529999999978</v>
      </c>
      <c r="T82" s="2305">
        <f>IS!T92</f>
        <v>482.75370000000032</v>
      </c>
      <c r="U82" s="2305">
        <f>IS!U92</f>
        <v>529.07659999999964</v>
      </c>
      <c r="V82" s="2305">
        <f>IS!V92</f>
        <v>665.04685000000029</v>
      </c>
      <c r="W82" s="2305">
        <f ca="1">IS!W92</f>
        <v>963.22981332184372</v>
      </c>
      <c r="X82" s="2305">
        <f ca="1">IS!X92</f>
        <v>1199.6695142867115</v>
      </c>
      <c r="Y82" s="2305">
        <f ca="1">IS!Y92</f>
        <v>1330.4552457817631</v>
      </c>
      <c r="Z82" s="2305">
        <f ca="1">IS!Z92</f>
        <v>1449.7317301943986</v>
      </c>
      <c r="AA82" s="2305">
        <f ca="1">IS!AA92</f>
        <v>1663.3515186868824</v>
      </c>
      <c r="AB82" s="2305">
        <f ca="1">IS!AB92</f>
        <v>2185.1837159670786</v>
      </c>
      <c r="AC82" s="2305">
        <f ca="1">IS!AC92</f>
        <v>2577.216562038247</v>
      </c>
      <c r="AD82" s="2305">
        <f ca="1">IS!AD92</f>
        <v>2741.2723589335019</v>
      </c>
      <c r="AE82" s="23"/>
      <c r="AF82" s="23"/>
      <c r="AG82" s="23"/>
      <c r="AH82" s="23"/>
      <c r="AI82" s="23"/>
      <c r="AJ82" s="23"/>
      <c r="AK82" s="23"/>
      <c r="AL82" s="23"/>
      <c r="AM82" s="23"/>
      <c r="AN82" s="23"/>
      <c r="AO82" s="23"/>
      <c r="AP82" s="23"/>
      <c r="AQ82" s="23"/>
      <c r="AR82" s="23"/>
      <c r="AS82" s="23"/>
      <c r="AT82" s="23"/>
      <c r="AU82" s="23"/>
      <c r="AV82" s="23"/>
      <c r="AW82" s="23"/>
      <c r="AX82" s="23"/>
      <c r="AY82" s="23"/>
      <c r="AZ82" s="23"/>
      <c r="BA82" s="23"/>
      <c r="BB82" s="23"/>
      <c r="BC82" s="23"/>
      <c r="BD82" s="23"/>
      <c r="BE82" s="23"/>
      <c r="BF82" s="23"/>
      <c r="BG82" s="23"/>
      <c r="BH82" s="984"/>
      <c r="BI82" s="984"/>
      <c r="BJ82" s="984"/>
      <c r="BK82" s="984"/>
      <c r="BL82" s="984"/>
      <c r="BM82" s="984"/>
      <c r="BN82" s="984"/>
      <c r="BO82" s="984"/>
      <c r="BP82" s="54">
        <f>IS!CE92</f>
        <v>32.117150000000024</v>
      </c>
      <c r="BQ82" s="54">
        <f>IS!CF92</f>
        <v>35.274199999999979</v>
      </c>
      <c r="BR82" s="54">
        <f>IS!CG92</f>
        <v>39.630499999999998</v>
      </c>
      <c r="BS82" s="54">
        <f>IS!CH92</f>
        <v>44.5822</v>
      </c>
      <c r="BT82" s="54">
        <f>IS!CJ92</f>
        <v>44.167500000000011</v>
      </c>
      <c r="BU82" s="54">
        <f>IS!CK92</f>
        <v>44.173349999999964</v>
      </c>
      <c r="BV82" s="54">
        <f>IS!CL92</f>
        <v>46.348250000000007</v>
      </c>
      <c r="BW82" s="54">
        <f>IS!CM92</f>
        <v>46.931300000000007</v>
      </c>
      <c r="BX82" s="54">
        <f>IS!CO92</f>
        <v>56.256199999999993</v>
      </c>
      <c r="BY82" s="54">
        <f>IS!CP92</f>
        <v>61.577750000000002</v>
      </c>
      <c r="BZ82" s="54">
        <f>IS!CQ92</f>
        <v>64.050999999999974</v>
      </c>
      <c r="CA82" s="54">
        <f>IS!CR92</f>
        <v>66.445599999999999</v>
      </c>
      <c r="CB82" s="54">
        <f>IS!CS92</f>
        <v>248.33054999999996</v>
      </c>
      <c r="CC82" s="54">
        <f>IS!CT92</f>
        <v>75.733450000000019</v>
      </c>
      <c r="CD82" s="54">
        <f>IS!CU92</f>
        <v>79.411800000000014</v>
      </c>
      <c r="CE82" s="54">
        <f>IS!CV92</f>
        <v>77.671099999999981</v>
      </c>
      <c r="CF82" s="54">
        <f>IS!CW92</f>
        <v>88.487749999999991</v>
      </c>
      <c r="CG82" s="54">
        <f>IS!CX92</f>
        <v>85.985249999999951</v>
      </c>
      <c r="CH82" s="54">
        <f>IS!CY92</f>
        <v>89.599899999999963</v>
      </c>
      <c r="CI82" s="54">
        <f>IS!CZ92</f>
        <v>92.892150000000044</v>
      </c>
      <c r="CJ82" s="54">
        <f>IS!DA92</f>
        <v>101.95120000000007</v>
      </c>
      <c r="CK82" s="54">
        <f>IS!DB92</f>
        <v>95.40570000000001</v>
      </c>
      <c r="CL82" s="54">
        <f>IS!DC92</f>
        <v>103.48195000000003</v>
      </c>
      <c r="CM82" s="54">
        <f>IS!DD92</f>
        <v>105.6328</v>
      </c>
      <c r="CN82" s="54">
        <f>IS!DE92</f>
        <v>104.82485000000001</v>
      </c>
      <c r="CO82" s="54">
        <f>IS!DF92</f>
        <v>119.09170000000002</v>
      </c>
      <c r="CP82" s="54">
        <f>IS!DG92</f>
        <v>118.94479999999989</v>
      </c>
      <c r="CQ82" s="54">
        <f>IS!DH92</f>
        <v>122.33259999999999</v>
      </c>
      <c r="CR82" s="2305">
        <f>IS!DI92</f>
        <v>122.38459999999992</v>
      </c>
      <c r="CS82" s="2305">
        <f>IS!DJ92</f>
        <v>116.02304999999997</v>
      </c>
      <c r="CT82" s="2305">
        <f>IS!DK92</f>
        <v>134.27180000000001</v>
      </c>
      <c r="CU82" s="2305">
        <f>IS!DL92</f>
        <v>133.03679999999997</v>
      </c>
      <c r="CV82" s="2305">
        <f>IS!DM92</f>
        <v>145.74495000000005</v>
      </c>
      <c r="CW82" s="2305">
        <f>IS!DN92</f>
        <v>135.56465000000011</v>
      </c>
      <c r="CX82" s="2305">
        <f>IS!DO92</f>
        <v>166.99930000000003</v>
      </c>
      <c r="CY82" s="2305">
        <f>IS!DP92</f>
        <v>177.19</v>
      </c>
      <c r="CZ82" s="2305">
        <f ca="1">IS!DR92</f>
        <v>213.43708008512681</v>
      </c>
      <c r="DA82" s="2305">
        <f ca="1">IS!DS92</f>
        <v>236.56230948043498</v>
      </c>
      <c r="DB82" s="2305">
        <f ca="1">IS!DT92</f>
        <v>250.7937596027887</v>
      </c>
      <c r="DC82" s="2305">
        <f ca="1">IS!DU92</f>
        <v>262.43666415349304</v>
      </c>
      <c r="DF82"/>
      <c r="DG82"/>
    </row>
    <row r="83" spans="2:112" hidden="1" outlineLevel="1">
      <c r="B83" s="940" t="s">
        <v>887</v>
      </c>
      <c r="C83" s="23"/>
      <c r="D83" s="15"/>
      <c r="E83" s="15"/>
      <c r="F83" s="15"/>
      <c r="G83" s="15"/>
      <c r="H83" s="15"/>
      <c r="I83" s="15"/>
      <c r="J83" s="15"/>
      <c r="K83" s="15"/>
      <c r="L83" s="24">
        <f>IS!S93</f>
        <v>0.16750531452363651</v>
      </c>
      <c r="M83" s="24">
        <f>IS!M93</f>
        <v>0.12128604472952252</v>
      </c>
      <c r="N83" s="24">
        <f>IS!N93</f>
        <v>0.17178753984378639</v>
      </c>
      <c r="O83" s="24">
        <f>IS!O93</f>
        <v>0.15182935494819486</v>
      </c>
      <c r="P83" s="24">
        <f>IS!P93</f>
        <v>0.15819408912308955</v>
      </c>
      <c r="Q83" s="24">
        <f>IS!Q93</f>
        <v>0.17023852163003031</v>
      </c>
      <c r="R83" s="24">
        <f>IS!R93</f>
        <v>0.17207095429786615</v>
      </c>
      <c r="S83" s="24">
        <f>IS!S93</f>
        <v>0.16750531452363651</v>
      </c>
      <c r="T83" s="2338">
        <f>IS!T93</f>
        <v>0.1771009737452342</v>
      </c>
      <c r="U83" s="2338">
        <f>IS!U93</f>
        <v>0.14647791009330308</v>
      </c>
      <c r="V83" s="2338">
        <f>IS!V93</f>
        <v>0.15223939824577634</v>
      </c>
      <c r="W83" s="2338">
        <f ca="1">IS!W93</f>
        <v>0.19114893787319631</v>
      </c>
      <c r="X83" s="2338">
        <f ca="1">IS!X93</f>
        <v>0.21809842220804426</v>
      </c>
      <c r="Y83" s="2338">
        <f ca="1">IS!Y93</f>
        <v>0.22408297814169345</v>
      </c>
      <c r="Z83" s="2338">
        <f ca="1">IS!Z93</f>
        <v>0.2283308905952697</v>
      </c>
      <c r="AA83" s="2338">
        <f ca="1">IS!AA93</f>
        <v>0.24607056932654151</v>
      </c>
      <c r="AB83" s="2338">
        <f ca="1">IS!AB93</f>
        <v>0.30484287987938263</v>
      </c>
      <c r="AC83" s="2338">
        <f ca="1">IS!AC93</f>
        <v>0.34023735208527106</v>
      </c>
      <c r="AD83" s="2338">
        <f ca="1">IS!AD93</f>
        <v>0.34355839911802843</v>
      </c>
      <c r="AE83" s="23"/>
      <c r="AF83" s="23"/>
      <c r="AG83" s="23"/>
      <c r="AH83" s="23"/>
      <c r="AI83" s="23"/>
      <c r="AJ83" s="23"/>
      <c r="AK83" s="23"/>
      <c r="AL83" s="23"/>
      <c r="AM83" s="23"/>
      <c r="AN83" s="23"/>
      <c r="AO83" s="23"/>
      <c r="AP83" s="23"/>
      <c r="AQ83" s="23"/>
      <c r="AR83" s="23"/>
      <c r="AS83" s="23"/>
      <c r="AT83" s="23"/>
      <c r="AU83" s="23"/>
      <c r="AV83" s="23"/>
      <c r="AW83" s="23"/>
      <c r="AX83" s="23"/>
      <c r="AY83" s="23"/>
      <c r="AZ83" s="23"/>
      <c r="BA83" s="23"/>
      <c r="BB83" s="23"/>
      <c r="BC83" s="23"/>
      <c r="BD83" s="23"/>
      <c r="BE83" s="23"/>
      <c r="BF83" s="23"/>
      <c r="BG83" s="23"/>
      <c r="BH83" s="984"/>
      <c r="BI83" s="984"/>
      <c r="BJ83" s="984"/>
      <c r="BK83" s="984"/>
      <c r="BL83" s="984"/>
      <c r="BM83" s="984"/>
      <c r="BN83" s="984"/>
      <c r="BO83" s="984"/>
      <c r="BP83" s="24">
        <f>IS!CE93</f>
        <v>0.16120558547615593</v>
      </c>
      <c r="BQ83" s="24">
        <f>IS!CF93</f>
        <v>0.16547605644374383</v>
      </c>
      <c r="BR83" s="24">
        <f>IS!CG93</f>
        <v>0.17415559989101678</v>
      </c>
      <c r="BS83" s="24">
        <f>IS!CH93</f>
        <v>0.18380470991787329</v>
      </c>
      <c r="BT83" s="24">
        <f>IS!CJ93</f>
        <v>0.17762991204468953</v>
      </c>
      <c r="BU83" s="24">
        <f>IS!CK93</f>
        <v>0.15231296786050463</v>
      </c>
      <c r="BV83" s="24">
        <f>IS!CL93</f>
        <v>0.14421006614933696</v>
      </c>
      <c r="BW83" s="24">
        <f>IS!CM93</f>
        <v>0.13961249903318124</v>
      </c>
      <c r="BX83" s="24">
        <f>IS!CO93</f>
        <v>0.15893871715981678</v>
      </c>
      <c r="BY83" s="24">
        <f>IS!CL93</f>
        <v>0.14421006614933696</v>
      </c>
      <c r="BZ83" s="24">
        <f>IS!CM93</f>
        <v>0.13961249903318124</v>
      </c>
      <c r="CA83" s="24">
        <f>IS!CN93</f>
        <v>0.15182935494819491</v>
      </c>
      <c r="CB83" s="24">
        <f>IS!CO93</f>
        <v>0.15893871715981678</v>
      </c>
      <c r="CC83" s="24">
        <f>IS!CP93</f>
        <v>0.15973020225103826</v>
      </c>
      <c r="CD83" s="24">
        <f>IS!CQ93</f>
        <v>0.15690775291028097</v>
      </c>
      <c r="CE83" s="24">
        <f>IS!CR93</f>
        <v>0.15741075912782268</v>
      </c>
      <c r="CF83" s="24">
        <f>IS!CS93</f>
        <v>0.15819408912308952</v>
      </c>
      <c r="CG83" s="24">
        <f>IS!CT93</f>
        <v>0.17174987300205016</v>
      </c>
      <c r="CH83" s="24">
        <f>IS!CU93</f>
        <v>0.17432836476192567</v>
      </c>
      <c r="CI83" s="24">
        <f>IS!CV93</f>
        <v>0.16020109934307544</v>
      </c>
      <c r="CJ83" s="24">
        <f>IS!CW93</f>
        <v>0.17485658786821298</v>
      </c>
      <c r="CK83" s="24">
        <f>IS!CX93</f>
        <v>0.16659481839987283</v>
      </c>
      <c r="CL83" s="24">
        <f>IS!CY93</f>
        <v>0.16941730592148174</v>
      </c>
      <c r="CM83" s="24">
        <f>IS!CZ93</f>
        <v>0.17104563934860911</v>
      </c>
      <c r="CN83" s="24">
        <f>IS!DA93</f>
        <v>0.18054781760192121</v>
      </c>
      <c r="CO83" s="24">
        <f>IS!DB93</f>
        <v>0.16447755636122907</v>
      </c>
      <c r="CP83" s="24">
        <f>IS!DC93</f>
        <v>0.17099903992491258</v>
      </c>
      <c r="CQ83" s="24">
        <f>IS!DD93</f>
        <v>0.17025465798465608</v>
      </c>
      <c r="CR83" s="2338">
        <f>IS!DE93</f>
        <v>0.16427111786009238</v>
      </c>
      <c r="CS83" s="2338">
        <f>IS!DF93</f>
        <v>0.18516249102109231</v>
      </c>
      <c r="CT83" s="2338">
        <f>IS!DG93</f>
        <v>0.17870795784741761</v>
      </c>
      <c r="CU83" s="2338">
        <f>IS!DH93</f>
        <v>0.17815885554337074</v>
      </c>
      <c r="CV83" s="2338">
        <f>IS!DI93</f>
        <v>0.16754410222571461</v>
      </c>
      <c r="CW83" s="2338">
        <f>IS!DJ93</f>
        <v>0.13744266462596957</v>
      </c>
      <c r="CX83" s="2338">
        <f>IS!DK93</f>
        <v>0.14910639526490546</v>
      </c>
      <c r="CY83" s="2338">
        <f>IS!DL93</f>
        <v>0.14387396233924096</v>
      </c>
      <c r="CZ83" s="2338">
        <f>IS!DM93</f>
        <v>0.15461243710530032</v>
      </c>
      <c r="DA83" s="2338">
        <f>IS!DN93</f>
        <v>0.14277101708749121</v>
      </c>
      <c r="DB83" s="2338">
        <f>IS!DO93</f>
        <v>0.1565979102061944</v>
      </c>
      <c r="DC83" s="2338">
        <f>IS!DP93</f>
        <v>0.1537759240311006</v>
      </c>
      <c r="DF83"/>
      <c r="DG83"/>
    </row>
    <row r="84" spans="2:112" hidden="1" outlineLevel="1">
      <c r="B84" s="940" t="s">
        <v>888</v>
      </c>
      <c r="C84" s="23"/>
      <c r="D84" s="15"/>
      <c r="E84" s="15"/>
      <c r="F84" s="15"/>
      <c r="G84" s="15"/>
      <c r="H84" s="15"/>
      <c r="I84" s="15"/>
      <c r="J84" s="15"/>
      <c r="K84" s="15"/>
      <c r="L84" s="54">
        <f>IS!S94</f>
        <v>409.34529999999978</v>
      </c>
      <c r="M84" s="54">
        <f>IS!M94</f>
        <v>89.764349999999922</v>
      </c>
      <c r="N84" s="54">
        <f>IS!N94</f>
        <v>155.21480000000011</v>
      </c>
      <c r="O84" s="54">
        <f>IS!O94</f>
        <v>190.48119999999997</v>
      </c>
      <c r="P84" s="54">
        <f>IS!P94</f>
        <v>248.33055000000002</v>
      </c>
      <c r="Q84" s="54">
        <f>IS!Q94</f>
        <v>321.30410000000006</v>
      </c>
      <c r="R84" s="54">
        <f>IS!R94</f>
        <v>370.4285000000001</v>
      </c>
      <c r="S84" s="54">
        <f>IS!S94</f>
        <v>409.34529999999978</v>
      </c>
      <c r="T84" s="2305">
        <f>IS!T94</f>
        <v>482.75370000000032</v>
      </c>
      <c r="U84" s="2305">
        <f>IS!U94</f>
        <v>529.07659999999964</v>
      </c>
      <c r="V84" s="2305">
        <f>IS!V94</f>
        <v>665.04685000000029</v>
      </c>
      <c r="W84" s="2305">
        <f ca="1">IS!W94</f>
        <v>976.07572332184372</v>
      </c>
      <c r="X84" s="2305">
        <f ca="1">IS!X94</f>
        <v>1211.5059542867116</v>
      </c>
      <c r="Y84" s="2305">
        <f ca="1">IS!Y94</f>
        <v>1333.345055781763</v>
      </c>
      <c r="Z84" s="2305">
        <f ca="1">IS!Z94</f>
        <v>1449.7317301943986</v>
      </c>
      <c r="AA84" s="2305">
        <f ca="1">IS!AA94</f>
        <v>1663.3515186868824</v>
      </c>
      <c r="AB84" s="2305">
        <f ca="1">IS!AB94</f>
        <v>2185.1837159670786</v>
      </c>
      <c r="AC84" s="2305">
        <f ca="1">IS!AC94</f>
        <v>2577.216562038247</v>
      </c>
      <c r="AD84" s="2305">
        <f ca="1">IS!AD94</f>
        <v>2741.2723589335019</v>
      </c>
      <c r="AE84" s="23"/>
      <c r="AF84" s="23"/>
      <c r="AG84" s="23"/>
      <c r="AH84" s="23"/>
      <c r="AI84" s="23"/>
      <c r="AJ84" s="23"/>
      <c r="AK84" s="23"/>
      <c r="AL84" s="23"/>
      <c r="AM84" s="23"/>
      <c r="AN84" s="23"/>
      <c r="AO84" s="23"/>
      <c r="AP84" s="23"/>
      <c r="AQ84" s="23"/>
      <c r="AR84" s="23"/>
      <c r="AS84" s="23"/>
      <c r="AT84" s="23"/>
      <c r="AU84" s="23"/>
      <c r="AV84" s="23"/>
      <c r="AW84" s="23"/>
      <c r="AX84" s="23"/>
      <c r="AY84" s="23"/>
      <c r="AZ84" s="23"/>
      <c r="BA84" s="23"/>
      <c r="BB84" s="23"/>
      <c r="BC84" s="23"/>
      <c r="BD84" s="23"/>
      <c r="BE84" s="23"/>
      <c r="BF84" s="23"/>
      <c r="BG84" s="23"/>
      <c r="BH84" s="984"/>
      <c r="BI84" s="984"/>
      <c r="BJ84" s="984"/>
      <c r="BK84" s="984"/>
      <c r="BL84" s="984"/>
      <c r="BM84" s="984"/>
      <c r="BN84" s="984"/>
      <c r="BO84" s="984"/>
      <c r="BP84" s="54">
        <f>IS!CE94</f>
        <v>32.946550000000023</v>
      </c>
      <c r="BQ84" s="54">
        <f>IS!CF94</f>
        <v>36.164699999999982</v>
      </c>
      <c r="BR84" s="54">
        <f>IS!CG94</f>
        <v>40.575599999999994</v>
      </c>
      <c r="BS84" s="54">
        <f>IS!CH94</f>
        <v>45.527949999999997</v>
      </c>
      <c r="BT84" s="54">
        <f>IS!CJ94</f>
        <v>45.069700000000012</v>
      </c>
      <c r="BU84" s="54">
        <f>IS!CK94</f>
        <v>46.534799999999962</v>
      </c>
      <c r="BV84" s="54">
        <f>IS!CL94</f>
        <v>49.18030000000001</v>
      </c>
      <c r="BW84" s="54">
        <f>IS!CM94</f>
        <v>49.696400000000004</v>
      </c>
      <c r="BX84" s="54">
        <f>IS!CO94</f>
        <v>56.256199999999993</v>
      </c>
      <c r="BY84" s="54">
        <f>IS!CL94</f>
        <v>49.18030000000001</v>
      </c>
      <c r="BZ84" s="54">
        <f>IS!CM94</f>
        <v>49.696400000000004</v>
      </c>
      <c r="CA84" s="54">
        <f>IS!CN94</f>
        <v>190.4812</v>
      </c>
      <c r="CB84" s="54">
        <f>IS!CO94</f>
        <v>56.256199999999993</v>
      </c>
      <c r="CC84" s="54">
        <f>IS!CP94</f>
        <v>61.577750000000002</v>
      </c>
      <c r="CD84" s="54">
        <f>IS!CQ94</f>
        <v>64.050999999999974</v>
      </c>
      <c r="CE84" s="54">
        <f>IS!CR94</f>
        <v>66.445599999999999</v>
      </c>
      <c r="CF84" s="54">
        <f>IS!CS94</f>
        <v>248.33054999999996</v>
      </c>
      <c r="CG84" s="54">
        <f>IS!CT94</f>
        <v>75.733450000000019</v>
      </c>
      <c r="CH84" s="54">
        <f>IS!CU94</f>
        <v>79.411800000000014</v>
      </c>
      <c r="CI84" s="54">
        <f>IS!CV94</f>
        <v>77.671099999999981</v>
      </c>
      <c r="CJ84" s="54">
        <f>IS!CW94</f>
        <v>88.487749999999991</v>
      </c>
      <c r="CK84" s="54">
        <f>IS!CX94</f>
        <v>85.985249999999951</v>
      </c>
      <c r="CL84" s="54">
        <f>IS!CY94</f>
        <v>89.599899999999963</v>
      </c>
      <c r="CM84" s="54">
        <f>IS!CZ94</f>
        <v>92.892150000000044</v>
      </c>
      <c r="CN84" s="54">
        <f>IS!DA94</f>
        <v>101.95120000000007</v>
      </c>
      <c r="CO84" s="54">
        <f>IS!DB94</f>
        <v>95.40570000000001</v>
      </c>
      <c r="CP84" s="54">
        <f>IS!DC94</f>
        <v>103.48195000000003</v>
      </c>
      <c r="CQ84" s="54">
        <f>IS!DD94</f>
        <v>105.6328</v>
      </c>
      <c r="CR84" s="2305">
        <f>IS!DE94</f>
        <v>104.82485000000001</v>
      </c>
      <c r="CS84" s="2305">
        <f>IS!DF94</f>
        <v>119.09170000000002</v>
      </c>
      <c r="CT84" s="2305">
        <f>IS!DG94</f>
        <v>118.94479999999989</v>
      </c>
      <c r="CU84" s="2305">
        <f>IS!DH94</f>
        <v>122.33259999999999</v>
      </c>
      <c r="CV84" s="2305">
        <f>IS!DI94</f>
        <v>122.38459999999992</v>
      </c>
      <c r="CW84" s="2305">
        <f>IS!DJ94</f>
        <v>116.02304999999997</v>
      </c>
      <c r="CX84" s="2305">
        <f>IS!DK94</f>
        <v>134.27180000000001</v>
      </c>
      <c r="CY84" s="2305">
        <f>IS!DL94</f>
        <v>133.03679999999997</v>
      </c>
      <c r="CZ84" s="2305">
        <f>IS!DM94</f>
        <v>145.74495000000005</v>
      </c>
      <c r="DA84" s="2305">
        <f>IS!DN94</f>
        <v>135.56465000000011</v>
      </c>
      <c r="DB84" s="2305">
        <f>IS!DO94</f>
        <v>166.99930000000003</v>
      </c>
      <c r="DC84" s="2305">
        <f>IS!DP94</f>
        <v>177.19</v>
      </c>
      <c r="DF84"/>
      <c r="DG84"/>
    </row>
    <row r="85" spans="2:112" hidden="1" outlineLevel="1">
      <c r="B85" s="940" t="s">
        <v>895</v>
      </c>
      <c r="C85" s="23"/>
      <c r="D85" s="15"/>
      <c r="E85" s="15"/>
      <c r="F85" s="15"/>
      <c r="G85" s="15"/>
      <c r="H85" s="15"/>
      <c r="I85" s="15"/>
      <c r="J85" s="15"/>
      <c r="K85" s="15"/>
      <c r="L85" s="24">
        <f>IS!S95</f>
        <v>0.16750531452363651</v>
      </c>
      <c r="M85" s="24">
        <f>IS!M95</f>
        <v>0.12738313844581928</v>
      </c>
      <c r="N85" s="24">
        <f>IS!N95</f>
        <v>0.17587899953428246</v>
      </c>
      <c r="O85" s="24">
        <f>IS!O95</f>
        <v>0.15923672520134355</v>
      </c>
      <c r="P85" s="24">
        <f>IS!P95</f>
        <v>0.15819408912308955</v>
      </c>
      <c r="Q85" s="24">
        <f>IS!Q95</f>
        <v>0.17023852163003031</v>
      </c>
      <c r="R85" s="24">
        <f>IS!R95</f>
        <v>0.17207095429786615</v>
      </c>
      <c r="S85" s="24">
        <f>IS!S95</f>
        <v>0.16750531452363651</v>
      </c>
      <c r="T85" s="2338">
        <f>IS!T95</f>
        <v>0.1771009737452342</v>
      </c>
      <c r="U85" s="2338">
        <f>IS!U95</f>
        <v>0.14647791009330308</v>
      </c>
      <c r="V85" s="2338">
        <f>IS!V95</f>
        <v>0.15223939824577634</v>
      </c>
      <c r="W85" s="2338">
        <f ca="1">IS!W95</f>
        <v>0.19369815511974994</v>
      </c>
      <c r="X85" s="2338">
        <f ca="1">IS!X95</f>
        <v>0.22025027224492302</v>
      </c>
      <c r="Y85" s="2338">
        <f ca="1">IS!Y95</f>
        <v>0.22456969667891349</v>
      </c>
      <c r="Z85" s="2338">
        <f ca="1">IS!Z95</f>
        <v>0.2283308905952697</v>
      </c>
      <c r="AA85" s="2338">
        <f ca="1">IS!AA95</f>
        <v>0.24607056932654151</v>
      </c>
      <c r="AB85" s="2338">
        <f ca="1">IS!AB95</f>
        <v>0.30484287987938263</v>
      </c>
      <c r="AC85" s="2338">
        <f ca="1">IS!AC95</f>
        <v>0.34023735208527106</v>
      </c>
      <c r="AD85" s="2338">
        <f ca="1">IS!AD95</f>
        <v>0.34355839911802843</v>
      </c>
      <c r="AE85" s="23"/>
      <c r="AF85" s="23"/>
      <c r="AG85" s="23"/>
      <c r="AH85" s="23"/>
      <c r="AI85" s="23"/>
      <c r="AJ85" s="23"/>
      <c r="AK85" s="23"/>
      <c r="AL85" s="23"/>
      <c r="AM85" s="23"/>
      <c r="AN85" s="23"/>
      <c r="AO85" s="23"/>
      <c r="AP85" s="23"/>
      <c r="AQ85" s="23"/>
      <c r="AR85" s="23"/>
      <c r="AS85" s="23"/>
      <c r="AT85" s="23"/>
      <c r="AU85" s="23"/>
      <c r="AV85" s="23"/>
      <c r="AW85" s="23"/>
      <c r="AX85" s="23"/>
      <c r="AY85" s="23"/>
      <c r="AZ85" s="23"/>
      <c r="BA85" s="23"/>
      <c r="BB85" s="23"/>
      <c r="BC85" s="23"/>
      <c r="BD85" s="23"/>
      <c r="BE85" s="23"/>
      <c r="BF85" s="23"/>
      <c r="BG85" s="23"/>
      <c r="BH85" s="984"/>
      <c r="BI85" s="984"/>
      <c r="BJ85" s="984"/>
      <c r="BK85" s="984"/>
      <c r="BL85" s="984"/>
      <c r="BM85" s="984"/>
      <c r="BN85" s="984"/>
      <c r="BO85" s="984"/>
      <c r="BP85" s="24">
        <f>IS!CE95</f>
        <v>0.16536859223715195</v>
      </c>
      <c r="BQ85" s="24">
        <f>IS!CF95</f>
        <v>0.16965351272235976</v>
      </c>
      <c r="BR85" s="24">
        <f>IS!CG95</f>
        <v>0.17830882676065002</v>
      </c>
      <c r="BS85" s="24">
        <f>IS!CH95</f>
        <v>0.18770387380850292</v>
      </c>
      <c r="BT85" s="24">
        <f>IS!CJ95</f>
        <v>0.18125831996106964</v>
      </c>
      <c r="BU85" s="24">
        <f>IS!CK95</f>
        <v>0.16045542157873494</v>
      </c>
      <c r="BV85" s="24">
        <f>IS!CL95</f>
        <v>0.15302183612637452</v>
      </c>
      <c r="BW85" s="24">
        <f>IS!CM95</f>
        <v>0.14783819320906491</v>
      </c>
      <c r="BX85" s="24">
        <f>IS!CO95</f>
        <v>0.15893871715981678</v>
      </c>
      <c r="BY85" s="24">
        <f>IS!CP95</f>
        <v>0.15973020225103826</v>
      </c>
      <c r="BZ85" s="24">
        <f>IS!CQ95</f>
        <v>0.15690775291028097</v>
      </c>
      <c r="CA85" s="24">
        <f>IS!CR95</f>
        <v>0.15741075912782268</v>
      </c>
      <c r="CB85" s="24">
        <f>IS!CS95</f>
        <v>0.15819408912308952</v>
      </c>
      <c r="CC85" s="24">
        <f>IS!CT95</f>
        <v>0.17174987300205016</v>
      </c>
      <c r="CD85" s="24">
        <f>IS!CU95</f>
        <v>0.17432836476192567</v>
      </c>
      <c r="CE85" s="24">
        <f>IS!CV95</f>
        <v>0.16020109934307544</v>
      </c>
      <c r="CF85" s="24">
        <f>IS!CW95</f>
        <v>0.17485658786821298</v>
      </c>
      <c r="CG85" s="24">
        <f>IS!CX95</f>
        <v>0.16659481839987283</v>
      </c>
      <c r="CH85" s="24">
        <f>IS!CY95</f>
        <v>0.16941730592148174</v>
      </c>
      <c r="CI85" s="24">
        <f>IS!CZ95</f>
        <v>0.17104563934860911</v>
      </c>
      <c r="CJ85" s="24">
        <f>IS!DA95</f>
        <v>0.18054781760192121</v>
      </c>
      <c r="CK85" s="24">
        <f>IS!DB95</f>
        <v>0.16447755636122907</v>
      </c>
      <c r="CL85" s="24">
        <f>IS!DC95</f>
        <v>0.17099903992491258</v>
      </c>
      <c r="CM85" s="24">
        <f>IS!DD95</f>
        <v>0.17025465798465608</v>
      </c>
      <c r="CN85" s="24">
        <f>IS!DE95</f>
        <v>0.16427111786009238</v>
      </c>
      <c r="CO85" s="24">
        <f>IS!DF95</f>
        <v>0.18516249102109231</v>
      </c>
      <c r="CP85" s="24">
        <f>IS!DG95</f>
        <v>0.17870795784741761</v>
      </c>
      <c r="CQ85" s="24">
        <f>IS!DH95</f>
        <v>0.17815885554337074</v>
      </c>
      <c r="CR85" s="2338">
        <f>IS!DI95</f>
        <v>0.16754410222571461</v>
      </c>
      <c r="CS85" s="2338">
        <f>IS!DJ95</f>
        <v>0.13744266462596957</v>
      </c>
      <c r="CT85" s="2338">
        <f>IS!DK95</f>
        <v>0.14910639526490546</v>
      </c>
      <c r="CU85" s="2338">
        <f>IS!DL95</f>
        <v>0.14387396233924096</v>
      </c>
      <c r="CV85" s="2338">
        <f>IS!DM95</f>
        <v>0.15461243710530032</v>
      </c>
      <c r="CW85" s="2338">
        <f>IS!DN95</f>
        <v>0.14277101708749121</v>
      </c>
      <c r="CX85" s="2338">
        <f>IS!DO95</f>
        <v>0.1565979102061944</v>
      </c>
      <c r="CY85" s="2338">
        <f>IS!DP95</f>
        <v>0.1537759240311006</v>
      </c>
      <c r="CZ85" s="2338">
        <f ca="1">IS!DR95</f>
        <v>0.17571987913053919</v>
      </c>
      <c r="DA85" s="2338">
        <f ca="1">IS!DS95</f>
        <v>0.19113664649002216</v>
      </c>
      <c r="DB85" s="2338">
        <f ca="1">IS!DT95</f>
        <v>0.1973687777659997</v>
      </c>
      <c r="DC85" s="2338">
        <f ca="1">IS!DU95</f>
        <v>0.20101515950030796</v>
      </c>
      <c r="DF85"/>
      <c r="DG85"/>
    </row>
    <row r="86" spans="2:112" hidden="1" outlineLevel="1">
      <c r="B86" s="940" t="s">
        <v>1115</v>
      </c>
      <c r="C86" s="23"/>
      <c r="D86" s="15"/>
      <c r="E86" s="15"/>
      <c r="F86" s="15"/>
      <c r="G86" s="15"/>
      <c r="H86" s="15"/>
      <c r="I86" s="15"/>
      <c r="J86" s="15"/>
      <c r="K86" s="15"/>
      <c r="L86" s="54">
        <f>IS!S99</f>
        <v>-260.72600000000028</v>
      </c>
      <c r="M86" s="54">
        <f>IS!M99</f>
        <v>107.92399999999989</v>
      </c>
      <c r="N86" s="54">
        <f>IS!N99</f>
        <v>69.431000000000182</v>
      </c>
      <c r="O86" s="54">
        <f>IS!O99</f>
        <v>35.271999999999927</v>
      </c>
      <c r="P86" s="54">
        <f>IS!P99</f>
        <v>89.342000000000027</v>
      </c>
      <c r="Q86" s="54">
        <f>IS!Q99</f>
        <v>139.91900000000015</v>
      </c>
      <c r="R86" s="54">
        <f>IS!R99</f>
        <v>96.123000000000104</v>
      </c>
      <c r="S86" s="54">
        <f>IS!S99</f>
        <v>-260.72600000000028</v>
      </c>
      <c r="T86" s="2305">
        <f>IS!T99</f>
        <v>187.77400000000046</v>
      </c>
      <c r="U86" s="2305">
        <f>IS!U99</f>
        <v>122.10599999999951</v>
      </c>
      <c r="V86" s="2305">
        <f>IS!V99</f>
        <v>232.98200000000054</v>
      </c>
      <c r="W86" s="2305">
        <f ca="1">IS!W99</f>
        <v>473.96504010626268</v>
      </c>
      <c r="X86" s="2305">
        <f ca="1">IS!X99</f>
        <v>706.34788722766996</v>
      </c>
      <c r="Y86" s="2305">
        <f ca="1">IS!Y99</f>
        <v>807.15870873613721</v>
      </c>
      <c r="Z86" s="2305">
        <f ca="1">IS!Z99</f>
        <v>896.66352265972125</v>
      </c>
      <c r="AA86" s="2305">
        <f ca="1">IS!AA99</f>
        <v>1105.5236363805259</v>
      </c>
      <c r="AB86" s="2305">
        <f ca="1">IS!AB99</f>
        <v>1668.6655784405746</v>
      </c>
      <c r="AC86" s="2305">
        <f ca="1">IS!AC99</f>
        <v>2088.7104062960771</v>
      </c>
      <c r="AD86" s="2305">
        <f ca="1">IS!AD99</f>
        <v>2257.3166991772155</v>
      </c>
      <c r="AE86" s="23"/>
      <c r="AF86" s="23"/>
      <c r="AG86" s="23"/>
      <c r="AH86" s="23"/>
      <c r="AI86" s="23"/>
      <c r="AJ86" s="23"/>
      <c r="AK86" s="23"/>
      <c r="AL86" s="23"/>
      <c r="AM86" s="23"/>
      <c r="AN86" s="23"/>
      <c r="AO86" s="23"/>
      <c r="AP86" s="23"/>
      <c r="AQ86" s="23"/>
      <c r="AR86" s="23"/>
      <c r="AS86" s="23"/>
      <c r="AT86" s="23"/>
      <c r="AU86" s="23"/>
      <c r="AV86" s="23"/>
      <c r="AW86" s="23"/>
      <c r="AX86" s="23"/>
      <c r="AY86" s="23"/>
      <c r="AZ86" s="23"/>
      <c r="BA86" s="23"/>
      <c r="BB86" s="23"/>
      <c r="BC86" s="23"/>
      <c r="BD86" s="23"/>
      <c r="BE86" s="23"/>
      <c r="BF86" s="23"/>
      <c r="BG86" s="23"/>
      <c r="BH86" s="984"/>
      <c r="BI86" s="984"/>
      <c r="BJ86" s="984"/>
      <c r="BK86" s="984"/>
      <c r="BL86" s="984"/>
      <c r="BM86" s="984"/>
      <c r="BN86" s="984"/>
      <c r="BO86" s="984"/>
      <c r="BP86" s="54">
        <f>IS!CE99</f>
        <v>15.457000000000036</v>
      </c>
      <c r="BQ86" s="54">
        <f>IS!CF99</f>
        <v>17.439999999999969</v>
      </c>
      <c r="BR86" s="54">
        <f>IS!CG99</f>
        <v>18.812000000000001</v>
      </c>
      <c r="BS86" s="54">
        <f>IS!CH99</f>
        <v>17.721999999999998</v>
      </c>
      <c r="BT86" s="54">
        <f>IS!CJ99</f>
        <v>14.199000000000023</v>
      </c>
      <c r="BU86" s="54">
        <f>IS!CK99</f>
        <v>-2.8130000000000615</v>
      </c>
      <c r="BV86" s="54">
        <f>IS!CL99</f>
        <v>10.574000000000005</v>
      </c>
      <c r="BW86" s="54">
        <f>IS!CM99</f>
        <v>13.311999999999998</v>
      </c>
      <c r="BX86" s="54">
        <f>IS!CO99</f>
        <v>24.032000000000007</v>
      </c>
      <c r="BY86" s="54">
        <f>IS!CP99</f>
        <v>30.669</v>
      </c>
      <c r="BZ86" s="54">
        <f>IS!CQ99</f>
        <v>19.674999999999962</v>
      </c>
      <c r="CA86" s="54">
        <f>IS!CR99</f>
        <v>14.965999999999974</v>
      </c>
      <c r="CB86" s="54">
        <f>IS!CS99</f>
        <v>89.341999999999956</v>
      </c>
      <c r="CC86" s="54">
        <f>IS!CT99</f>
        <v>32.207000000000043</v>
      </c>
      <c r="CD86" s="54">
        <f>IS!CU99</f>
        <v>36.450000000000031</v>
      </c>
      <c r="CE86" s="54">
        <f>IS!CV99</f>
        <v>26.647999999999971</v>
      </c>
      <c r="CF86" s="54">
        <f>IS!CW99</f>
        <v>44.613999999999997</v>
      </c>
      <c r="CG86" s="54">
        <f>IS!CX99</f>
        <v>33.283999999999914</v>
      </c>
      <c r="CH86" s="54">
        <f>IS!CY99</f>
        <v>-25.287000000000063</v>
      </c>
      <c r="CI86" s="54">
        <f>IS!CZ99</f>
        <v>42.753000000000043</v>
      </c>
      <c r="CJ86" s="54">
        <f>IS!DA99</f>
        <v>45.373000000000069</v>
      </c>
      <c r="CK86" s="54">
        <f>IS!DB99</f>
        <v>41.337000000000032</v>
      </c>
      <c r="CL86" s="54">
        <f>IS!DC99</f>
        <v>10.079000000000031</v>
      </c>
      <c r="CM86" s="54">
        <f>IS!DD99</f>
        <v>42.961000000000006</v>
      </c>
      <c r="CN86" s="54">
        <f>IS!DE99</f>
        <v>-355.10299999999995</v>
      </c>
      <c r="CO86" s="54">
        <f>IS!DF99</f>
        <v>76.452000000000012</v>
      </c>
      <c r="CP86" s="54">
        <f>IS!DG99</f>
        <v>59.45899999999984</v>
      </c>
      <c r="CQ86" s="54">
        <f>IS!DH99</f>
        <v>41.131999999999962</v>
      </c>
      <c r="CR86" s="2305">
        <f>IS!DI99</f>
        <v>10.730999999999908</v>
      </c>
      <c r="CS86" s="2305">
        <f>IS!DJ99</f>
        <v>-37.327000000000062</v>
      </c>
      <c r="CT86" s="2305">
        <f>IS!DK99</f>
        <v>39.302</v>
      </c>
      <c r="CU86" s="2305">
        <f>IS!DL99</f>
        <v>56.466999999999913</v>
      </c>
      <c r="CV86" s="2305">
        <f>IS!DM99</f>
        <v>63.664000000000073</v>
      </c>
      <c r="CW86" s="2305">
        <f>IS!DN99</f>
        <v>42.062000000000168</v>
      </c>
      <c r="CX86" s="2305">
        <f>IS!DO99</f>
        <v>45.805000000000028</v>
      </c>
      <c r="CY86" s="2305">
        <f>IS!DP99</f>
        <v>79.899999999999949</v>
      </c>
      <c r="CZ86" s="2305">
        <f ca="1">IS!DR99</f>
        <v>96.458002345945076</v>
      </c>
      <c r="DA86" s="2305">
        <f ca="1">IS!DS99</f>
        <v>121.11282891771451</v>
      </c>
      <c r="DB86" s="2305">
        <f ca="1">IS!DT99</f>
        <v>135.73520266336971</v>
      </c>
      <c r="DC86" s="2305">
        <f ca="1">IS!DU99</f>
        <v>147.22698638391637</v>
      </c>
      <c r="DF86"/>
      <c r="DG86"/>
    </row>
    <row r="87" spans="2:112" hidden="1" outlineLevel="1">
      <c r="B87" s="940" t="s">
        <v>1700</v>
      </c>
      <c r="C87" s="23"/>
      <c r="D87" s="15"/>
      <c r="E87" s="15"/>
      <c r="F87" s="15"/>
      <c r="G87" s="15"/>
      <c r="H87" s="15"/>
      <c r="I87" s="15"/>
      <c r="J87" s="15"/>
      <c r="K87" s="15"/>
      <c r="L87" s="24">
        <f t="shared" ref="L87:Z87" si="177">L83*L79</f>
        <v>0.13590807016125717</v>
      </c>
      <c r="M87" s="24">
        <f t="shared" si="177"/>
        <v>5.5018513773964529E-2</v>
      </c>
      <c r="N87" s="24">
        <f t="shared" si="177"/>
        <v>8.3647951948956301E-2</v>
      </c>
      <c r="O87" s="24">
        <f t="shared" si="177"/>
        <v>8.8033406282339299E-2</v>
      </c>
      <c r="P87" s="24">
        <f t="shared" si="177"/>
        <v>7.4433789802416564E-2</v>
      </c>
      <c r="Q87" s="24">
        <f t="shared" si="177"/>
        <v>7.9479606926041155E-2</v>
      </c>
      <c r="R87" s="24">
        <f t="shared" si="177"/>
        <v>7.6190978645542196E-2</v>
      </c>
      <c r="S87" s="24">
        <f t="shared" si="177"/>
        <v>7.1669990352847629E-2</v>
      </c>
      <c r="T87" s="24">
        <f t="shared" si="177"/>
        <v>8.3107460091940047E-2</v>
      </c>
      <c r="U87" s="24">
        <f t="shared" si="177"/>
        <v>7.5413628049123757E-2</v>
      </c>
      <c r="V87" s="24">
        <f>V83*V79</f>
        <v>6.417218645290311E-2</v>
      </c>
      <c r="W87" s="24">
        <f ca="1">W83*W79</f>
        <v>6.2377294883150691E-2</v>
      </c>
      <c r="X87" s="24">
        <f t="shared" ca="1" si="177"/>
        <v>7.3728443041978245E-2</v>
      </c>
      <c r="Y87" s="24">
        <f t="shared" ca="1" si="177"/>
        <v>7.7892236598747722E-2</v>
      </c>
      <c r="Z87" s="24">
        <f t="shared" ca="1" si="177"/>
        <v>8.2181174801443255E-2</v>
      </c>
      <c r="AA87" s="24">
        <f t="shared" ref="AA87:AD87" ca="1" si="178">AA83*AA79</f>
        <v>9.1880973601468061E-2</v>
      </c>
      <c r="AB87" s="24">
        <f t="shared" ca="1" si="178"/>
        <v>0.1172287988251674</v>
      </c>
      <c r="AC87" s="24">
        <f t="shared" ca="1" si="178"/>
        <v>0.1311476680776788</v>
      </c>
      <c r="AD87" s="24">
        <f t="shared" ca="1" si="178"/>
        <v>0.13074214367999817</v>
      </c>
      <c r="AE87" s="23"/>
      <c r="AF87" s="23"/>
      <c r="AG87" s="23"/>
      <c r="AH87" s="23"/>
      <c r="AI87" s="23"/>
      <c r="AJ87" s="23"/>
      <c r="AK87" s="23"/>
      <c r="AL87" s="23"/>
      <c r="AM87" s="23"/>
      <c r="AN87" s="23"/>
      <c r="AO87" s="23"/>
      <c r="AP87" s="23"/>
      <c r="AQ87" s="23"/>
      <c r="AR87" s="23"/>
      <c r="AS87" s="23"/>
      <c r="AT87" s="23"/>
      <c r="AU87" s="23"/>
      <c r="AV87" s="23"/>
      <c r="AW87" s="23"/>
      <c r="AX87" s="23"/>
      <c r="AY87" s="23"/>
      <c r="AZ87" s="23"/>
      <c r="BA87" s="23"/>
      <c r="BB87" s="23"/>
      <c r="BC87" s="23"/>
      <c r="BD87" s="23"/>
      <c r="BE87" s="23"/>
      <c r="BF87" s="23"/>
      <c r="BG87" s="23"/>
      <c r="BH87" s="23"/>
      <c r="BI87" s="23"/>
      <c r="BJ87" s="23"/>
      <c r="BK87" s="23"/>
      <c r="BL87" s="23"/>
      <c r="BM87" s="23"/>
      <c r="BN87" s="23"/>
      <c r="BO87" s="23"/>
      <c r="BP87" s="24">
        <f t="shared" ref="BP87:CP87" si="179">BP83*BP79</f>
        <v>7.0882903720248164E-2</v>
      </c>
      <c r="BQ87" s="24">
        <f t="shared" si="179"/>
        <v>7.667179272606732E-2</v>
      </c>
      <c r="BR87" s="24">
        <f t="shared" si="179"/>
        <v>8.1646927334018335E-2</v>
      </c>
      <c r="BS87" s="24">
        <f t="shared" si="179"/>
        <v>8.901992066875461E-2</v>
      </c>
      <c r="BT87" s="24">
        <f t="shared" si="179"/>
        <v>8.5633892932186539E-2</v>
      </c>
      <c r="BU87" s="24">
        <f t="shared" si="179"/>
        <v>8.3577081333896436E-2</v>
      </c>
      <c r="BV87" s="24">
        <f t="shared" si="179"/>
        <v>6.004369039734294E-2</v>
      </c>
      <c r="BW87" s="24">
        <f t="shared" si="179"/>
        <v>5.7405210788284547E-2</v>
      </c>
      <c r="BX87" s="24">
        <f t="shared" si="179"/>
        <v>6.7448200245724177E-2</v>
      </c>
      <c r="BY87" s="24">
        <f t="shared" si="179"/>
        <v>6.0839111127364835E-2</v>
      </c>
      <c r="BZ87" s="24">
        <f t="shared" si="179"/>
        <v>5.7450080045056938E-2</v>
      </c>
      <c r="CA87" s="24">
        <f t="shared" si="179"/>
        <v>6.4407806762622963E-2</v>
      </c>
      <c r="CB87" s="24">
        <f t="shared" si="179"/>
        <v>6.9345846615523496E-2</v>
      </c>
      <c r="CC87" s="24">
        <f t="shared" si="179"/>
        <v>7.0493642713242127E-2</v>
      </c>
      <c r="CD87" s="24">
        <f t="shared" si="179"/>
        <v>7.2212328673236237E-2</v>
      </c>
      <c r="CE87" s="24">
        <f t="shared" si="179"/>
        <v>6.7102097724469303E-2</v>
      </c>
      <c r="CF87" s="24">
        <f t="shared" si="179"/>
        <v>6.7175649060958104E-2</v>
      </c>
      <c r="CG87" s="24">
        <f t="shared" si="179"/>
        <v>7.4038397794394542E-2</v>
      </c>
      <c r="CH87" s="24">
        <f t="shared" si="179"/>
        <v>7.3774011894914476E-2</v>
      </c>
      <c r="CI87" s="24">
        <f t="shared" si="179"/>
        <v>6.6667349225457542E-2</v>
      </c>
      <c r="CJ87" s="24">
        <f t="shared" si="179"/>
        <v>7.1032517285365249E-2</v>
      </c>
      <c r="CK87" s="24">
        <f t="shared" si="179"/>
        <v>6.8563983409776416E-2</v>
      </c>
      <c r="CL87" s="24">
        <f t="shared" si="179"/>
        <v>6.8454947328371207E-2</v>
      </c>
      <c r="CM87" s="24">
        <f t="shared" si="179"/>
        <v>7.1805174435644617E-2</v>
      </c>
      <c r="CN87" s="24">
        <f t="shared" si="179"/>
        <v>7.9964110962404078E-2</v>
      </c>
      <c r="CO87" s="24">
        <f t="shared" si="179"/>
        <v>7.6041132600164027E-2</v>
      </c>
      <c r="CP87" s="24">
        <f t="shared" si="179"/>
        <v>7.2512209501145689E-2</v>
      </c>
      <c r="CQ87" s="24">
        <f t="shared" ref="CQ87:CU87" si="180">CQ83*CQ79</f>
        <v>8.5983337350227576E-2</v>
      </c>
      <c r="CR87" s="24">
        <f t="shared" si="180"/>
        <v>7.9063347123887892E-2</v>
      </c>
      <c r="CS87" s="24">
        <f t="shared" si="180"/>
        <v>5.8759008969717703E-2</v>
      </c>
      <c r="CT87" s="24">
        <f t="shared" si="180"/>
        <v>5.8950935733742597E-2</v>
      </c>
      <c r="CU87" s="24">
        <f t="shared" si="180"/>
        <v>6.3700689063462643E-2</v>
      </c>
      <c r="CV87" s="24">
        <f>CV83*CV79</f>
        <v>6.1403077120703878E-2</v>
      </c>
      <c r="CW87" s="24">
        <f>CW83*CW79</f>
        <v>5.4614738203691733E-2</v>
      </c>
      <c r="CX87" s="24">
        <f>CX83*CX79</f>
        <v>4.6754299138021385E-2</v>
      </c>
      <c r="CY87" s="24">
        <f>CY83*CY79</f>
        <v>4.6384605386677456E-2</v>
      </c>
      <c r="CZ87" s="24">
        <f t="shared" ref="CZ87:DC87" ca="1" si="181">CZ83*CZ79</f>
        <v>4.8683352271946E-2</v>
      </c>
      <c r="DA87" s="24">
        <f t="shared" ca="1" si="181"/>
        <v>4.5547860103169094E-2</v>
      </c>
      <c r="DB87" s="24">
        <f t="shared" ca="1" si="181"/>
        <v>5.1430171219420687E-2</v>
      </c>
      <c r="DC87" s="24">
        <f t="shared" ca="1" si="181"/>
        <v>5.0651125652293183E-2</v>
      </c>
    </row>
    <row r="88" spans="2:112" hidden="1" outlineLevel="1">
      <c r="B88" s="940" t="s">
        <v>1697</v>
      </c>
      <c r="C88" s="23"/>
      <c r="D88" s="15"/>
      <c r="E88" s="15"/>
      <c r="F88" s="15"/>
      <c r="G88" s="15"/>
      <c r="H88" s="15"/>
      <c r="I88" s="15"/>
      <c r="J88" s="15"/>
      <c r="K88" s="15"/>
      <c r="L88" s="24">
        <f t="shared" ref="L88:Z88" si="182">L106/(AVERAGE(K78:L78))*L83</f>
        <v>6.7869880094844806E-2</v>
      </c>
      <c r="M88" s="24">
        <f t="shared" si="182"/>
        <v>5.0785389934887008E-2</v>
      </c>
      <c r="N88" s="24">
        <f t="shared" si="182"/>
        <v>7.8237338185019711E-2</v>
      </c>
      <c r="O88" s="24">
        <f t="shared" si="182"/>
        <v>6.7274962560280441E-2</v>
      </c>
      <c r="P88" s="24">
        <f t="shared" si="182"/>
        <v>6.7308658425374451E-2</v>
      </c>
      <c r="Q88" s="24">
        <f t="shared" si="182"/>
        <v>7.2167166043007783E-2</v>
      </c>
      <c r="R88" s="24">
        <f t="shared" si="182"/>
        <v>7.0068186383681591E-2</v>
      </c>
      <c r="S88" s="24">
        <f t="shared" si="182"/>
        <v>7.1064924504260649E-2</v>
      </c>
      <c r="T88" s="24">
        <f t="shared" si="182"/>
        <v>7.5286444988058809E-2</v>
      </c>
      <c r="U88" s="24">
        <f t="shared" si="182"/>
        <v>6.0886402996512205E-2</v>
      </c>
      <c r="V88" s="24">
        <f t="shared" si="182"/>
        <v>5.1543093442711713E-2</v>
      </c>
      <c r="W88" s="24">
        <f t="shared" ca="1" si="182"/>
        <v>6.0745812872350737E-2</v>
      </c>
      <c r="X88" s="24">
        <f t="shared" ca="1" si="182"/>
        <v>7.1939499851572469E-2</v>
      </c>
      <c r="Y88" s="24">
        <f t="shared" ca="1" si="182"/>
        <v>7.6636045689537302E-2</v>
      </c>
      <c r="Z88" s="24">
        <f t="shared" ca="1" si="182"/>
        <v>8.1117468218504407E-2</v>
      </c>
      <c r="AA88" s="24">
        <f t="shared" ref="AA88" ca="1" si="183">AA106/(AVERAGE(Z78:AA78))*AA83</f>
        <v>9.0538148168800542E-2</v>
      </c>
      <c r="AB88" s="24">
        <f t="shared" ref="AB88" ca="1" si="184">AB106/(AVERAGE(AA78:AB78))*AB83</f>
        <v>0.11413387462389572</v>
      </c>
      <c r="AC88" s="24">
        <f t="shared" ref="AC88" ca="1" si="185">AC106/(AVERAGE(AB78:AC78))*AC83</f>
        <v>0.12689937224221118</v>
      </c>
      <c r="AD88" s="24">
        <f t="shared" ref="AD88" ca="1" si="186">AD106/(AVERAGE(AC78:AD78))*AD83</f>
        <v>0.1267404513776117</v>
      </c>
      <c r="AE88" s="23"/>
      <c r="AF88" s="23"/>
      <c r="AG88" s="23"/>
      <c r="AH88" s="23"/>
      <c r="AI88" s="23"/>
      <c r="AJ88" s="23"/>
      <c r="AK88" s="23"/>
      <c r="AL88" s="23"/>
      <c r="AM88" s="23"/>
      <c r="AN88" s="23"/>
      <c r="AO88" s="23"/>
      <c r="AP88" s="23"/>
      <c r="AQ88" s="23"/>
      <c r="AR88" s="23"/>
      <c r="AS88" s="23"/>
      <c r="AT88" s="23"/>
      <c r="AU88" s="23"/>
      <c r="AV88" s="23"/>
      <c r="AW88" s="23"/>
      <c r="AX88" s="23"/>
      <c r="AY88" s="23"/>
      <c r="AZ88" s="23"/>
      <c r="BA88" s="23"/>
      <c r="BB88" s="23"/>
      <c r="BC88" s="23"/>
      <c r="BD88" s="23"/>
      <c r="BE88" s="23"/>
      <c r="BF88" s="23"/>
      <c r="BG88" s="23"/>
      <c r="BH88" s="23"/>
      <c r="BI88" s="23"/>
      <c r="BJ88" s="23"/>
      <c r="BK88" s="23"/>
      <c r="BL88" s="23"/>
      <c r="BM88" s="23"/>
      <c r="BN88" s="23"/>
      <c r="BO88" s="23"/>
      <c r="BP88" s="24">
        <f t="shared" ref="BP88:CY88" si="187">BP106/(AVERAGE(BO78:BP78))*BP83*4</f>
        <v>7.0342182005740495E-2</v>
      </c>
      <c r="BQ88" s="24">
        <f t="shared" si="187"/>
        <v>7.4618365471696813E-2</v>
      </c>
      <c r="BR88" s="24">
        <f t="shared" si="187"/>
        <v>8.0370087109590566E-2</v>
      </c>
      <c r="BS88" s="24">
        <f t="shared" si="187"/>
        <v>8.770992818833491E-2</v>
      </c>
      <c r="BT88" s="24">
        <f t="shared" si="187"/>
        <v>8.4587316642495927E-2</v>
      </c>
      <c r="BU88" s="24">
        <f t="shared" si="187"/>
        <v>6.7935849552806168E-2</v>
      </c>
      <c r="BV88" s="24">
        <f t="shared" si="187"/>
        <v>5.8319748995409107E-2</v>
      </c>
      <c r="BW88" s="24">
        <f t="shared" si="187"/>
        <v>5.6830988196665135E-2</v>
      </c>
      <c r="BX88" s="24">
        <f t="shared" si="187"/>
        <v>6.437145271930117E-2</v>
      </c>
      <c r="BY88" s="24">
        <f t="shared" si="187"/>
        <v>5.8342360731436033E-2</v>
      </c>
      <c r="BZ88" s="24">
        <f t="shared" si="187"/>
        <v>5.7361855100882916E-2</v>
      </c>
      <c r="CA88" s="24">
        <f t="shared" si="187"/>
        <v>6.3907176956689363E-2</v>
      </c>
      <c r="CB88" s="24">
        <f t="shared" si="187"/>
        <v>6.8615081883792617E-2</v>
      </c>
      <c r="CC88" s="24">
        <f t="shared" si="187"/>
        <v>6.9773550206244664E-2</v>
      </c>
      <c r="CD88" s="24">
        <f t="shared" si="187"/>
        <v>6.7904901450946367E-2</v>
      </c>
      <c r="CE88" s="24">
        <f t="shared" si="187"/>
        <v>6.6310945288579753E-2</v>
      </c>
      <c r="CF88" s="24">
        <f t="shared" si="187"/>
        <v>6.6862559284558074E-2</v>
      </c>
      <c r="CG88" s="24">
        <f t="shared" si="187"/>
        <v>7.2372879218627367E-2</v>
      </c>
      <c r="CH88" s="24">
        <f t="shared" si="187"/>
        <v>7.1717344982114697E-2</v>
      </c>
      <c r="CI88" s="24">
        <f t="shared" si="187"/>
        <v>6.4968386776341799E-2</v>
      </c>
      <c r="CJ88" s="24">
        <f t="shared" si="187"/>
        <v>6.999040526733516E-2</v>
      </c>
      <c r="CK88" s="24">
        <f t="shared" si="187"/>
        <v>6.7078906483868397E-2</v>
      </c>
      <c r="CL88" s="24">
        <f t="shared" si="187"/>
        <v>6.8801196954261803E-2</v>
      </c>
      <c r="CM88" s="24">
        <f t="shared" si="187"/>
        <v>7.3444516310332525E-2</v>
      </c>
      <c r="CN88" s="24">
        <f t="shared" si="187"/>
        <v>8.0310812156239142E-2</v>
      </c>
      <c r="CO88" s="24">
        <f t="shared" si="187"/>
        <v>7.1576398394643179E-2</v>
      </c>
      <c r="CP88" s="24">
        <f t="shared" si="187"/>
        <v>7.6601443100688546E-2</v>
      </c>
      <c r="CQ88" s="24">
        <f t="shared" si="187"/>
        <v>7.772067171971328E-2</v>
      </c>
      <c r="CR88" s="24">
        <f t="shared" si="187"/>
        <v>6.040153902914288E-2</v>
      </c>
      <c r="CS88" s="24">
        <f t="shared" si="187"/>
        <v>5.9119188215141991E-2</v>
      </c>
      <c r="CT88" s="24">
        <f t="shared" si="187"/>
        <v>6.0757768889747148E-2</v>
      </c>
      <c r="CU88" s="24">
        <f t="shared" si="187"/>
        <v>6.4255621779775909E-2</v>
      </c>
      <c r="CV88" s="24">
        <f t="shared" si="187"/>
        <v>6.0321941871466549E-2</v>
      </c>
      <c r="CW88" s="24">
        <f t="shared" si="187"/>
        <v>4.6102826875546378E-2</v>
      </c>
      <c r="CX88" s="24">
        <f t="shared" si="187"/>
        <v>4.6450500130269218E-2</v>
      </c>
      <c r="CY88" s="24">
        <f t="shared" si="187"/>
        <v>4.5542340029666152E-2</v>
      </c>
      <c r="CZ88" s="24">
        <f t="shared" ref="CZ88:DC88" ca="1" si="188">CZ106/(AVERAGE(CY78:CZ78))*CZ83*4</f>
        <v>4.8515828621199714E-2</v>
      </c>
      <c r="DA88" s="24">
        <f t="shared" ca="1" si="188"/>
        <v>4.5595932149400449E-2</v>
      </c>
      <c r="DB88" s="24">
        <f t="shared" ca="1" si="188"/>
        <v>5.0796416562271587E-2</v>
      </c>
      <c r="DC88" s="24">
        <f t="shared" ca="1" si="188"/>
        <v>5.0071089306468614E-2</v>
      </c>
    </row>
    <row r="89" spans="2:112" hidden="1" outlineLevel="1">
      <c r="B89" s="940" t="s">
        <v>1698</v>
      </c>
      <c r="C89" s="23"/>
      <c r="D89" s="15"/>
      <c r="E89" s="15"/>
      <c r="F89" s="15"/>
      <c r="G89" s="15"/>
      <c r="H89" s="15"/>
      <c r="I89" s="15"/>
      <c r="J89" s="15"/>
      <c r="K89" s="15"/>
      <c r="L89" s="24">
        <f t="shared" ref="L89:Z89" si="189">L85*K81</f>
        <v>0</v>
      </c>
      <c r="M89" s="24">
        <f t="shared" si="189"/>
        <v>0.10685134230728274</v>
      </c>
      <c r="N89" s="24">
        <f t="shared" si="189"/>
        <v>0.11879403759381785</v>
      </c>
      <c r="O89" s="24">
        <f t="shared" si="189"/>
        <v>9.9056815711677362E-2</v>
      </c>
      <c r="P89" s="24">
        <f t="shared" si="189"/>
        <v>0.11602186614896659</v>
      </c>
      <c r="Q89" s="24">
        <f t="shared" si="189"/>
        <v>0.11084327613397184</v>
      </c>
      <c r="R89" s="24">
        <f t="shared" si="189"/>
        <v>0.10727201392017667</v>
      </c>
      <c r="S89" s="24">
        <f t="shared" si="189"/>
        <v>9.9676079030468656E-2</v>
      </c>
      <c r="T89" s="24">
        <f t="shared" si="189"/>
        <v>9.6494117226622197E-2</v>
      </c>
      <c r="U89" s="24">
        <f t="shared" si="189"/>
        <v>8.5698197787507202E-2</v>
      </c>
      <c r="V89" s="24">
        <f t="shared" si="189"/>
        <v>9.600154050061005E-2</v>
      </c>
      <c r="W89" s="24">
        <f t="shared" ca="1" si="189"/>
        <v>0.12708524617439881</v>
      </c>
      <c r="X89" s="24">
        <f t="shared" ca="1" si="189"/>
        <v>0.128379719356538</v>
      </c>
      <c r="Y89" s="24">
        <f t="shared" ca="1" si="189"/>
        <v>0.1301456028957946</v>
      </c>
      <c r="Z89" s="24">
        <f t="shared" ca="1" si="189"/>
        <v>0.13141445612500471</v>
      </c>
      <c r="AA89" s="24">
        <f t="shared" ref="AA89" ca="1" si="190">AA85*Z81</f>
        <v>0.14360303189746168</v>
      </c>
      <c r="AB89" s="24">
        <f t="shared" ref="AB89" ca="1" si="191">AB85*AA81</f>
        <v>0.18167507016355161</v>
      </c>
      <c r="AC89" s="24">
        <f t="shared" ref="AC89" ca="1" si="192">AC85*AB81</f>
        <v>0.20530483085387391</v>
      </c>
      <c r="AD89" s="24">
        <f t="shared" ref="AD89" ca="1" si="193">AD85*AC81</f>
        <v>0.20188563429254641</v>
      </c>
      <c r="AE89" s="23"/>
      <c r="AF89" s="23"/>
      <c r="AG89" s="23"/>
      <c r="AH89" s="23"/>
      <c r="AI89" s="23"/>
      <c r="AJ89" s="23"/>
      <c r="AK89" s="23"/>
      <c r="AL89" s="23"/>
      <c r="AM89" s="23"/>
      <c r="AN89" s="23"/>
      <c r="AO89" s="23"/>
      <c r="AP89" s="23"/>
      <c r="AQ89" s="23"/>
      <c r="AR89" s="23"/>
      <c r="AS89" s="23"/>
      <c r="AT89" s="23"/>
      <c r="AU89" s="23"/>
      <c r="AV89" s="23"/>
      <c r="AW89" s="23"/>
      <c r="AX89" s="23"/>
      <c r="AY89" s="23"/>
      <c r="AZ89" s="23"/>
      <c r="BA89" s="23"/>
      <c r="BB89" s="23"/>
      <c r="BC89" s="23"/>
      <c r="BD89" s="23"/>
      <c r="BE89" s="23"/>
      <c r="BF89" s="23"/>
      <c r="BG89" s="23"/>
      <c r="BH89" s="23"/>
      <c r="BI89" s="23"/>
      <c r="BJ89" s="23"/>
      <c r="BK89" s="23"/>
      <c r="BL89" s="23"/>
      <c r="BM89" s="23"/>
      <c r="BN89" s="23"/>
      <c r="BO89" s="23"/>
      <c r="BP89" s="24">
        <f t="shared" ref="BP89:CY89" si="194">BP85*BO81</f>
        <v>0.10248886363185776</v>
      </c>
      <c r="BQ89" s="24">
        <f t="shared" si="194"/>
        <v>9.5301940757260062E-2</v>
      </c>
      <c r="BR89" s="24">
        <f t="shared" si="194"/>
        <v>0.10444867898134826</v>
      </c>
      <c r="BS89" s="24">
        <f t="shared" si="194"/>
        <v>0.1135375781250573</v>
      </c>
      <c r="BT89" s="24">
        <f t="shared" si="194"/>
        <v>0.11175339539763493</v>
      </c>
      <c r="BU89" s="24">
        <f t="shared" si="194"/>
        <v>9.7845716472221997E-2</v>
      </c>
      <c r="BV89" s="24">
        <f t="shared" si="194"/>
        <v>0.10392237680227925</v>
      </c>
      <c r="BW89" s="24">
        <f t="shared" si="194"/>
        <v>8.7575584032929935E-2</v>
      </c>
      <c r="BX89" s="24">
        <f t="shared" si="194"/>
        <v>9.1473653035487559E-2</v>
      </c>
      <c r="BY89" s="24">
        <f t="shared" si="194"/>
        <v>9.3799244126575379E-2</v>
      </c>
      <c r="BZ89" s="24">
        <f t="shared" si="194"/>
        <v>8.9072099960676901E-2</v>
      </c>
      <c r="CA89" s="24">
        <f t="shared" si="194"/>
        <v>8.8422087741915845E-2</v>
      </c>
      <c r="CB89" s="24">
        <f t="shared" si="194"/>
        <v>9.0254862806447039E-2</v>
      </c>
      <c r="CC89" s="24">
        <f t="shared" si="194"/>
        <v>0.10006176778747125</v>
      </c>
      <c r="CD89" s="24">
        <f t="shared" si="194"/>
        <v>0.10235316066703976</v>
      </c>
      <c r="CE89" s="24">
        <f t="shared" si="194"/>
        <v>9.6709863002526666E-2</v>
      </c>
      <c r="CF89" s="24">
        <f t="shared" si="194"/>
        <v>0.10099609056779933</v>
      </c>
      <c r="CG89" s="24">
        <f t="shared" si="194"/>
        <v>9.5071310185763563E-2</v>
      </c>
      <c r="CH89" s="24">
        <f t="shared" si="194"/>
        <v>9.695222338423147E-2</v>
      </c>
      <c r="CI89" s="24">
        <f t="shared" si="194"/>
        <v>9.4393022658526282E-2</v>
      </c>
      <c r="CJ89" s="24">
        <f t="shared" si="194"/>
        <v>9.6885700689429421E-2</v>
      </c>
      <c r="CK89" s="24">
        <f t="shared" si="194"/>
        <v>8.5084996304508512E-2</v>
      </c>
      <c r="CL89" s="24">
        <f t="shared" si="194"/>
        <v>8.888063867798128E-2</v>
      </c>
      <c r="CM89" s="24">
        <f t="shared" si="194"/>
        <v>8.5993095009960233E-2</v>
      </c>
      <c r="CN89" s="24">
        <f t="shared" si="194"/>
        <v>8.5602926795408096E-2</v>
      </c>
      <c r="CO89" s="24">
        <f t="shared" si="194"/>
        <v>0.10224365777924777</v>
      </c>
      <c r="CP89" s="24">
        <f t="shared" si="194"/>
        <v>0.102578635200369</v>
      </c>
      <c r="CQ89" s="24">
        <f t="shared" si="194"/>
        <v>9.1670458711608921E-2</v>
      </c>
      <c r="CR89" s="24">
        <f t="shared" si="194"/>
        <v>0.10463497654714556</v>
      </c>
      <c r="CS89" s="24">
        <f t="shared" si="194"/>
        <v>8.1023125760968498E-2</v>
      </c>
      <c r="CT89" s="24">
        <f t="shared" si="194"/>
        <v>7.5155856615272298E-2</v>
      </c>
      <c r="CU89" s="24">
        <f t="shared" si="194"/>
        <v>7.3568506789932611E-2</v>
      </c>
      <c r="CV89" s="24">
        <f t="shared" si="194"/>
        <v>8.8014487414850989E-2</v>
      </c>
      <c r="CW89" s="24">
        <f t="shared" si="194"/>
        <v>8.1442466259548457E-2</v>
      </c>
      <c r="CX89" s="24">
        <f t="shared" si="194"/>
        <v>9.5822041084015791E-2</v>
      </c>
      <c r="CY89" s="24">
        <f t="shared" si="194"/>
        <v>8.7597028948447592E-2</v>
      </c>
      <c r="CZ89" s="24">
        <f t="shared" ref="CZ89:DC89" ca="1" si="195">CZ85*CY81</f>
        <v>0.10127951471448439</v>
      </c>
      <c r="DA89" s="24">
        <f t="shared" ca="1" si="195"/>
        <v>0.10749922472005831</v>
      </c>
      <c r="DB89" s="24">
        <f t="shared" ca="1" si="195"/>
        <v>0.11181223372125502</v>
      </c>
      <c r="DC89" s="24">
        <f t="shared" ca="1" si="195"/>
        <v>0.11736771815498534</v>
      </c>
    </row>
    <row r="90" spans="2:112" hidden="1" outlineLevel="1">
      <c r="B90" s="940" t="s">
        <v>896</v>
      </c>
      <c r="C90" s="23"/>
      <c r="D90" s="15"/>
      <c r="E90" s="15"/>
      <c r="F90" s="15"/>
      <c r="G90" s="15"/>
      <c r="H90" s="15"/>
      <c r="I90" s="15"/>
      <c r="J90" s="15"/>
      <c r="K90" s="15"/>
      <c r="L90" s="24">
        <f t="shared" ref="L90:Z90" si="196">L86/K71</f>
        <v>-0.73438151357076142</v>
      </c>
      <c r="M90" s="24">
        <f t="shared" si="196"/>
        <v>0.1325144395112175</v>
      </c>
      <c r="N90" s="24">
        <f t="shared" si="196"/>
        <v>7.574337732269637E-2</v>
      </c>
      <c r="O90" s="24">
        <f t="shared" si="196"/>
        <v>2.9828758637544833E-2</v>
      </c>
      <c r="P90" s="24">
        <f t="shared" si="196"/>
        <v>4.776855173741254E-2</v>
      </c>
      <c r="Q90" s="24">
        <f t="shared" si="196"/>
        <v>7.2620421162007801E-2</v>
      </c>
      <c r="R90" s="24">
        <f t="shared" si="196"/>
        <v>4.1549795304915975E-2</v>
      </c>
      <c r="S90" s="24">
        <f t="shared" si="196"/>
        <v>-0.10602652065989346</v>
      </c>
      <c r="T90" s="24">
        <f t="shared" si="196"/>
        <v>8.2715050364935108E-2</v>
      </c>
      <c r="U90" s="24">
        <f t="shared" si="196"/>
        <v>4.4476805811641609E-2</v>
      </c>
      <c r="V90" s="24">
        <f t="shared" si="196"/>
        <v>5.336489358607506E-2</v>
      </c>
      <c r="W90" s="24">
        <f t="shared" ca="1" si="196"/>
        <v>6.9194097936763413E-2</v>
      </c>
      <c r="X90" s="24">
        <f t="shared" ca="1" si="196"/>
        <v>0.10349507087085279</v>
      </c>
      <c r="Y90" s="24">
        <f t="shared" ca="1" si="196"/>
        <v>0.11654061269652588</v>
      </c>
      <c r="Z90" s="24">
        <f t="shared" ca="1" si="196"/>
        <v>0.12675040308510879</v>
      </c>
      <c r="AA90" s="24">
        <f t="shared" ref="AA90" ca="1" si="197">AA86/Z71</f>
        <v>0.15226402452429322</v>
      </c>
      <c r="AB90" s="24">
        <f t="shared" ref="AB90" ca="1" si="198">AB86/AA71</f>
        <v>0.21940912080909933</v>
      </c>
      <c r="AC90" s="24">
        <f t="shared" ref="AC90" ca="1" si="199">AC86/AB71</f>
        <v>0.24623805216571903</v>
      </c>
      <c r="AD90" s="24">
        <f t="shared" ref="AD90" ca="1" si="200">AD86/AC71</f>
        <v>0.23181503269152026</v>
      </c>
      <c r="AE90" s="23"/>
      <c r="AF90" s="23"/>
      <c r="AG90" s="23"/>
      <c r="AH90" s="23"/>
      <c r="AI90" s="23"/>
      <c r="AJ90" s="23"/>
      <c r="AK90" s="23"/>
      <c r="AL90" s="23"/>
      <c r="AM90" s="23"/>
      <c r="AN90" s="23"/>
      <c r="AO90" s="23"/>
      <c r="AP90" s="23"/>
      <c r="AQ90" s="23"/>
      <c r="AR90" s="23"/>
      <c r="AS90" s="23"/>
      <c r="AT90" s="23"/>
      <c r="AU90" s="23"/>
      <c r="AV90" s="23"/>
      <c r="AW90" s="23"/>
      <c r="AX90" s="23"/>
      <c r="AY90" s="23"/>
      <c r="AZ90" s="23"/>
      <c r="BA90" s="23"/>
      <c r="BB90" s="23"/>
      <c r="BC90" s="23"/>
      <c r="BD90" s="23"/>
      <c r="BE90" s="23"/>
      <c r="BF90" s="23"/>
      <c r="BG90" s="23"/>
      <c r="BH90" s="23"/>
      <c r="BI90" s="23"/>
      <c r="BJ90" s="23"/>
      <c r="BK90" s="23"/>
      <c r="BL90" s="23"/>
      <c r="BM90" s="23"/>
      <c r="BN90" s="23"/>
      <c r="BO90" s="23"/>
      <c r="BP90" s="24">
        <f t="shared" ref="BP90:CY90" si="201">BP86/BO71*4</f>
        <v>6.7449144231073579E-2</v>
      </c>
      <c r="BQ90" s="24">
        <f t="shared" si="201"/>
        <v>7.4753856638905297E-2</v>
      </c>
      <c r="BR90" s="24">
        <f t="shared" si="201"/>
        <v>6.8869197215505454E-2</v>
      </c>
      <c r="BS90" s="24">
        <f t="shared" si="201"/>
        <v>6.2487548856963025E-2</v>
      </c>
      <c r="BT90" s="24">
        <f t="shared" si="201"/>
        <v>4.8031134485654416E-2</v>
      </c>
      <c r="BU90" s="24">
        <f t="shared" si="201"/>
        <v>-9.4754721525374553E-3</v>
      </c>
      <c r="BV90" s="24">
        <f t="shared" si="201"/>
        <v>2.4198665228721914E-2</v>
      </c>
      <c r="BW90" s="24">
        <f t="shared" si="201"/>
        <v>2.8815599213805162E-2</v>
      </c>
      <c r="BX90" s="24">
        <f t="shared" si="201"/>
        <v>5.1396827263929537E-2</v>
      </c>
      <c r="BY90" s="24">
        <f t="shared" si="201"/>
        <v>6.2166177820930438E-2</v>
      </c>
      <c r="BZ90" s="24">
        <f t="shared" si="201"/>
        <v>3.8459658896544915E-2</v>
      </c>
      <c r="CA90" s="24">
        <f t="shared" si="201"/>
        <v>2.9890571667668557E-2</v>
      </c>
      <c r="CB90" s="24">
        <f t="shared" si="201"/>
        <v>0.18548027551529359</v>
      </c>
      <c r="CC90" s="24">
        <f t="shared" si="201"/>
        <v>6.3504081764438322E-2</v>
      </c>
      <c r="CD90" s="24">
        <f t="shared" si="201"/>
        <v>7.1647635161199874E-2</v>
      </c>
      <c r="CE90" s="24">
        <f t="shared" si="201"/>
        <v>4.7834174383460472E-2</v>
      </c>
      <c r="CF90" s="24">
        <f t="shared" si="201"/>
        <v>7.7138772936072283E-2</v>
      </c>
      <c r="CG90" s="24">
        <f t="shared" si="201"/>
        <v>5.6885346135555452E-2</v>
      </c>
      <c r="CH90" s="24">
        <f t="shared" si="201"/>
        <v>-4.3731071291918888E-2</v>
      </c>
      <c r="CI90" s="24">
        <f t="shared" si="201"/>
        <v>6.926016301321325E-2</v>
      </c>
      <c r="CJ90" s="24">
        <f t="shared" si="201"/>
        <v>7.380531779571424E-2</v>
      </c>
      <c r="CK90" s="24">
        <f t="shared" si="201"/>
        <v>6.5692334464041838E-2</v>
      </c>
      <c r="CL90" s="24">
        <f t="shared" si="201"/>
        <v>1.5026132485346065E-2</v>
      </c>
      <c r="CM90" s="24">
        <f t="shared" si="201"/>
        <v>6.6152874872963577E-2</v>
      </c>
      <c r="CN90" s="24">
        <f t="shared" si="201"/>
        <v>-0.62569605013983787</v>
      </c>
      <c r="CO90" s="24">
        <f t="shared" si="201"/>
        <v>0.14146454065241296</v>
      </c>
      <c r="CP90" s="24">
        <f t="shared" si="201"/>
        <v>0.10798015064083621</v>
      </c>
      <c r="CQ90" s="24">
        <f t="shared" si="201"/>
        <v>0.11052139081438044</v>
      </c>
      <c r="CR90" s="24">
        <f t="shared" si="201"/>
        <v>1.563495989270712E-2</v>
      </c>
      <c r="CS90" s="24">
        <f t="shared" si="201"/>
        <v>-3.0982516463119242E-2</v>
      </c>
      <c r="CT90" s="24">
        <f t="shared" si="201"/>
        <v>3.3409663019489048E-2</v>
      </c>
      <c r="CU90" s="24">
        <f t="shared" si="201"/>
        <v>4.8849949499427871E-2</v>
      </c>
      <c r="CV90" s="24">
        <f t="shared" si="201"/>
        <v>5.8329357379778332E-2</v>
      </c>
      <c r="CW90" s="24">
        <f t="shared" si="201"/>
        <v>2.5813463634189283E-2</v>
      </c>
      <c r="CX90" s="24">
        <f t="shared" si="201"/>
        <v>2.808544831331725E-2</v>
      </c>
      <c r="CY90" s="24">
        <f t="shared" si="201"/>
        <v>4.8851941169178556E-2</v>
      </c>
      <c r="CZ90" s="24">
        <f t="shared" ref="CZ90:DC90" ca="1" si="202">CZ86/CY71*4</f>
        <v>5.6327567616493386E-2</v>
      </c>
      <c r="DA90" s="24">
        <f t="shared" ca="1" si="202"/>
        <v>7.1089259631400267E-2</v>
      </c>
      <c r="DB90" s="24">
        <f t="shared" ca="1" si="202"/>
        <v>7.9794943583805025E-2</v>
      </c>
      <c r="DC90" s="24">
        <f t="shared" ca="1" si="202"/>
        <v>8.6494214918138412E-2</v>
      </c>
    </row>
    <row r="91" spans="2:112" hidden="1" outlineLevel="1">
      <c r="B91" s="940" t="s">
        <v>1098</v>
      </c>
      <c r="C91" s="985"/>
      <c r="D91" s="985"/>
      <c r="E91" s="784">
        <v>0</v>
      </c>
      <c r="F91" s="784">
        <v>0</v>
      </c>
      <c r="G91" s="784">
        <v>0</v>
      </c>
      <c r="H91" s="784">
        <v>0</v>
      </c>
      <c r="I91" s="784">
        <v>0</v>
      </c>
      <c r="J91" s="784">
        <v>0</v>
      </c>
      <c r="K91" s="784">
        <v>0</v>
      </c>
      <c r="L91" s="784">
        <v>0</v>
      </c>
      <c r="M91" s="784">
        <v>0</v>
      </c>
      <c r="N91" s="784">
        <v>0</v>
      </c>
      <c r="O91" s="784">
        <v>0</v>
      </c>
      <c r="P91" s="784">
        <v>0</v>
      </c>
      <c r="Q91" s="784">
        <v>0</v>
      </c>
      <c r="R91" s="784">
        <v>0</v>
      </c>
      <c r="S91" s="784">
        <v>0</v>
      </c>
      <c r="T91" s="784">
        <v>0</v>
      </c>
      <c r="U91" s="784">
        <v>0</v>
      </c>
      <c r="V91" s="784">
        <v>0</v>
      </c>
      <c r="W91" s="784">
        <v>0</v>
      </c>
      <c r="X91" s="784">
        <v>0</v>
      </c>
      <c r="Y91" s="784">
        <v>0</v>
      </c>
      <c r="Z91" s="784">
        <v>0</v>
      </c>
      <c r="AA91" s="784">
        <v>0</v>
      </c>
      <c r="AB91" s="784">
        <v>0</v>
      </c>
      <c r="AC91" s="784">
        <v>0</v>
      </c>
      <c r="AD91" s="784">
        <v>0</v>
      </c>
      <c r="AE91" s="985"/>
      <c r="AF91" s="985"/>
      <c r="AG91" s="784">
        <v>0</v>
      </c>
      <c r="AH91" s="784">
        <v>0</v>
      </c>
      <c r="AI91" s="784">
        <v>0</v>
      </c>
      <c r="AJ91" s="784">
        <v>0</v>
      </c>
      <c r="AK91" s="784">
        <v>0</v>
      </c>
      <c r="AL91" s="784">
        <v>0</v>
      </c>
      <c r="AM91" s="784">
        <v>0</v>
      </c>
      <c r="AN91" s="784">
        <v>0</v>
      </c>
      <c r="AO91" s="784">
        <v>0</v>
      </c>
      <c r="AP91" s="784">
        <v>0</v>
      </c>
      <c r="AQ91" s="784">
        <v>0</v>
      </c>
      <c r="AR91" s="784">
        <v>0</v>
      </c>
      <c r="AS91" s="784">
        <v>0</v>
      </c>
      <c r="AT91" s="784">
        <v>0</v>
      </c>
      <c r="AU91" s="784">
        <v>0</v>
      </c>
      <c r="AV91" s="784">
        <v>0</v>
      </c>
      <c r="AW91" s="784">
        <v>0</v>
      </c>
      <c r="AX91" s="784">
        <v>0</v>
      </c>
      <c r="AY91" s="784">
        <v>0</v>
      </c>
      <c r="AZ91" s="784">
        <v>0</v>
      </c>
      <c r="BA91" s="784">
        <v>0</v>
      </c>
      <c r="BB91" s="784">
        <v>0</v>
      </c>
      <c r="BC91" s="784">
        <v>0</v>
      </c>
      <c r="BD91" s="784">
        <v>0</v>
      </c>
      <c r="BE91" s="784">
        <v>0</v>
      </c>
      <c r="BF91" s="784">
        <v>0</v>
      </c>
      <c r="BG91" s="784">
        <v>0</v>
      </c>
      <c r="BH91" s="784">
        <v>0</v>
      </c>
      <c r="BI91" s="784">
        <v>0</v>
      </c>
      <c r="BJ91" s="784">
        <v>0</v>
      </c>
      <c r="BK91" s="784">
        <v>0</v>
      </c>
      <c r="BL91" s="784">
        <v>0</v>
      </c>
      <c r="BM91" s="784">
        <v>0</v>
      </c>
      <c r="BN91" s="784">
        <v>0</v>
      </c>
      <c r="BO91" s="784">
        <v>0</v>
      </c>
      <c r="BP91" s="784">
        <v>0</v>
      </c>
      <c r="BQ91" s="784">
        <v>0</v>
      </c>
      <c r="BR91" s="784">
        <v>0</v>
      </c>
      <c r="BS91" s="784">
        <v>0</v>
      </c>
      <c r="BT91" s="784">
        <v>0</v>
      </c>
      <c r="BU91" s="784">
        <v>0</v>
      </c>
      <c r="BV91" s="784">
        <v>0</v>
      </c>
      <c r="BW91" s="784">
        <v>0</v>
      </c>
      <c r="BX91" s="784">
        <v>0</v>
      </c>
      <c r="BY91" s="784">
        <v>0</v>
      </c>
      <c r="BZ91" s="784">
        <v>0</v>
      </c>
      <c r="CA91" s="784">
        <v>0</v>
      </c>
      <c r="CB91" s="784">
        <v>0</v>
      </c>
      <c r="CC91" s="784">
        <v>0</v>
      </c>
      <c r="CD91" s="784">
        <v>0</v>
      </c>
      <c r="CE91" s="784">
        <v>0</v>
      </c>
      <c r="CF91" s="784">
        <v>0</v>
      </c>
      <c r="CG91" s="784">
        <v>0</v>
      </c>
      <c r="CH91" s="784">
        <v>0</v>
      </c>
      <c r="CI91" s="784">
        <v>0</v>
      </c>
      <c r="CJ91" s="784">
        <v>0</v>
      </c>
      <c r="CK91" s="784">
        <v>0</v>
      </c>
      <c r="CL91" s="784">
        <v>0</v>
      </c>
      <c r="CM91" s="784">
        <v>0</v>
      </c>
      <c r="CN91" s="784">
        <v>0</v>
      </c>
      <c r="CO91" s="784">
        <v>0</v>
      </c>
      <c r="CP91" s="784">
        <v>0</v>
      </c>
      <c r="CQ91" s="784">
        <v>0</v>
      </c>
      <c r="CR91" s="784">
        <v>0</v>
      </c>
      <c r="CS91" s="784">
        <v>0</v>
      </c>
      <c r="CT91" s="784">
        <v>0</v>
      </c>
      <c r="CU91" s="784">
        <v>0</v>
      </c>
      <c r="CV91" s="784">
        <v>0</v>
      </c>
      <c r="CW91" s="784">
        <v>0</v>
      </c>
      <c r="CX91" s="784">
        <v>0</v>
      </c>
      <c r="CY91" s="784">
        <v>0</v>
      </c>
      <c r="CZ91" s="784">
        <v>0</v>
      </c>
      <c r="DA91" s="784">
        <v>0</v>
      </c>
      <c r="DB91" s="784">
        <v>0</v>
      </c>
      <c r="DC91" s="784">
        <v>0</v>
      </c>
      <c r="DD91" s="985"/>
      <c r="DE91" s="985"/>
      <c r="DF91" s="985"/>
      <c r="DG91" s="985"/>
      <c r="DH91" s="985"/>
    </row>
    <row r="92" spans="2:112" ht="12" hidden="1" customHeight="1" outlineLevel="1">
      <c r="B92" s="979"/>
      <c r="C92" s="23"/>
      <c r="D92" s="23"/>
      <c r="E92" s="23"/>
      <c r="F92" s="23"/>
      <c r="G92" s="23"/>
      <c r="H92" s="23"/>
      <c r="I92" s="842"/>
      <c r="J92" s="842"/>
      <c r="K92" s="842"/>
      <c r="L92" s="842"/>
      <c r="M92" s="842"/>
      <c r="N92" s="898"/>
      <c r="O92" s="898"/>
      <c r="P92" s="898"/>
      <c r="Q92" s="898"/>
      <c r="R92" s="898"/>
      <c r="S92" s="898"/>
      <c r="T92" s="898"/>
      <c r="U92" s="898"/>
      <c r="V92" s="898"/>
      <c r="W92" s="898"/>
      <c r="X92" s="898"/>
      <c r="Y92" s="898"/>
      <c r="Z92" s="898"/>
      <c r="AA92" s="898"/>
      <c r="AB92" s="898"/>
      <c r="AC92" s="898"/>
      <c r="AD92" s="898"/>
      <c r="AE92" s="898"/>
      <c r="AF92" s="842"/>
      <c r="AG92" s="842"/>
      <c r="AH92" s="842"/>
      <c r="AI92" s="842"/>
      <c r="AJ92" s="842"/>
      <c r="AK92" s="842"/>
      <c r="AL92" s="842"/>
      <c r="AM92" s="842"/>
      <c r="AN92" s="842"/>
      <c r="AO92" s="842"/>
      <c r="AP92" s="842"/>
      <c r="AQ92" s="842"/>
      <c r="AR92" s="842"/>
      <c r="AS92" s="842"/>
      <c r="AT92" s="842"/>
      <c r="AU92" s="842"/>
      <c r="AV92" s="842"/>
      <c r="AW92" s="842"/>
      <c r="AX92" s="842"/>
      <c r="AY92" s="842"/>
      <c r="AZ92" s="842"/>
      <c r="BA92" s="842"/>
      <c r="BB92" s="842"/>
      <c r="BC92" s="842"/>
      <c r="BD92" s="842"/>
      <c r="BE92" s="842"/>
      <c r="BF92" s="842"/>
      <c r="BG92" s="842"/>
      <c r="BH92" s="898"/>
      <c r="BI92" s="898"/>
      <c r="BJ92" s="898"/>
      <c r="BK92" s="898"/>
      <c r="BL92" s="898"/>
      <c r="BM92" s="898"/>
      <c r="BN92" s="898"/>
      <c r="BO92" s="898"/>
      <c r="BP92" s="898"/>
      <c r="BQ92" s="898"/>
      <c r="BR92" s="898"/>
      <c r="BS92" s="898"/>
      <c r="BT92" s="898"/>
      <c r="BU92" s="898"/>
      <c r="BV92" s="898"/>
      <c r="BW92" s="898"/>
      <c r="BX92" s="898"/>
      <c r="BY92" s="898"/>
      <c r="BZ92" s="898"/>
      <c r="CA92" s="898"/>
      <c r="CB92" s="898"/>
      <c r="CC92" s="898"/>
      <c r="CD92" s="898"/>
      <c r="CE92" s="898"/>
      <c r="CF92" s="898"/>
      <c r="CG92" s="898"/>
      <c r="CH92" s="898"/>
      <c r="CI92" s="898"/>
      <c r="CJ92" s="898"/>
      <c r="CK92" s="898"/>
      <c r="CL92" s="898"/>
      <c r="CM92" s="898"/>
      <c r="CN92" s="898"/>
      <c r="CO92" s="898"/>
      <c r="CP92" s="898"/>
      <c r="CQ92" s="898"/>
      <c r="CR92" s="898"/>
      <c r="CS92" s="898"/>
      <c r="CT92" s="898"/>
      <c r="CU92" s="898"/>
      <c r="CV92" s="898"/>
      <c r="CW92" s="898"/>
      <c r="CX92" s="898"/>
      <c r="CY92" s="898"/>
      <c r="CZ92" s="922"/>
      <c r="DA92" s="922"/>
      <c r="DB92" s="922"/>
      <c r="DC92" s="922"/>
      <c r="DG92" s="768"/>
    </row>
    <row r="93" spans="2:112" ht="12" customHeight="1" collapsed="1">
      <c r="B93" s="979"/>
      <c r="C93" s="23"/>
      <c r="D93" s="23"/>
      <c r="E93" s="23"/>
      <c r="F93" s="23"/>
      <c r="G93" s="23"/>
      <c r="H93" s="23"/>
      <c r="I93" s="842"/>
      <c r="J93" s="842"/>
      <c r="K93" s="842"/>
      <c r="L93" s="842"/>
      <c r="M93" s="842"/>
      <c r="N93" s="898"/>
      <c r="O93" s="898"/>
      <c r="P93" s="898"/>
      <c r="Q93" s="898"/>
      <c r="R93" s="898"/>
      <c r="S93" s="898"/>
      <c r="T93" s="898"/>
      <c r="U93" s="898"/>
      <c r="V93" s="898"/>
      <c r="W93" s="898"/>
      <c r="X93" s="898"/>
      <c r="Y93" s="898"/>
      <c r="Z93" s="898"/>
      <c r="AA93" s="898"/>
      <c r="AB93" s="898"/>
      <c r="AC93" s="898"/>
      <c r="AD93" s="898"/>
      <c r="AE93" s="898"/>
      <c r="AF93" s="842"/>
      <c r="AG93" s="842"/>
      <c r="AH93" s="842"/>
      <c r="AI93" s="842"/>
      <c r="AJ93" s="842"/>
      <c r="AK93" s="842"/>
      <c r="AL93" s="842"/>
      <c r="AM93" s="842"/>
      <c r="AN93" s="842"/>
      <c r="AO93" s="842"/>
      <c r="AP93" s="842"/>
      <c r="AQ93" s="842"/>
      <c r="AR93" s="842"/>
      <c r="AS93" s="842"/>
      <c r="AT93" s="842"/>
      <c r="AU93" s="842"/>
      <c r="AV93" s="842"/>
      <c r="AW93" s="842"/>
      <c r="AX93" s="842"/>
      <c r="AY93" s="842"/>
      <c r="AZ93" s="842"/>
      <c r="BA93" s="842"/>
      <c r="BB93" s="842"/>
      <c r="BC93" s="842"/>
      <c r="BD93" s="842"/>
      <c r="BE93" s="842"/>
      <c r="BF93" s="842"/>
      <c r="BG93" s="842"/>
      <c r="BH93" s="898"/>
      <c r="BI93" s="898"/>
      <c r="BJ93" s="898"/>
      <c r="BK93" s="898"/>
      <c r="BL93" s="898"/>
      <c r="BM93" s="898"/>
      <c r="BN93" s="898"/>
      <c r="BO93" s="898"/>
      <c r="BP93" s="898"/>
      <c r="BQ93" s="898"/>
      <c r="BR93" s="898"/>
      <c r="BS93" s="898"/>
      <c r="BT93" s="898"/>
      <c r="BU93" s="898"/>
      <c r="BV93" s="898"/>
      <c r="BW93" s="898"/>
      <c r="BX93" s="898"/>
      <c r="BY93" s="898"/>
      <c r="BZ93" s="898"/>
      <c r="CA93" s="898"/>
      <c r="CB93" s="898"/>
      <c r="CC93" s="898"/>
      <c r="CD93" s="898"/>
      <c r="CE93" s="898"/>
      <c r="CF93" s="898"/>
      <c r="CG93" s="898"/>
      <c r="CH93" s="898"/>
      <c r="CI93" s="898"/>
      <c r="CJ93" s="898"/>
      <c r="CK93" s="898"/>
      <c r="CL93" s="898"/>
      <c r="CM93" s="898"/>
      <c r="CN93" s="898"/>
      <c r="CO93" s="898"/>
      <c r="CP93" s="898"/>
      <c r="CQ93" s="898"/>
      <c r="CR93" s="898"/>
      <c r="CS93" s="898"/>
      <c r="CT93" s="898"/>
      <c r="CU93" s="898"/>
      <c r="CV93" s="898"/>
      <c r="CW93" s="898"/>
      <c r="CX93" s="898"/>
      <c r="CY93" s="898"/>
      <c r="CZ93" s="922"/>
      <c r="DA93" s="922"/>
      <c r="DB93" s="922"/>
      <c r="DC93" s="922"/>
      <c r="DG93" s="768"/>
    </row>
    <row r="94" spans="2:112" ht="12.75" hidden="1" customHeight="1" outlineLevel="1">
      <c r="B94" s="986" t="s">
        <v>1693</v>
      </c>
      <c r="C94" s="23"/>
      <c r="D94" s="23"/>
      <c r="E94" s="23"/>
      <c r="F94" s="23"/>
      <c r="G94" s="23"/>
      <c r="H94" s="23"/>
      <c r="I94" s="987"/>
      <c r="J94" s="987"/>
      <c r="K94" s="987"/>
      <c r="L94" s="987"/>
      <c r="M94" s="987"/>
      <c r="N94" s="987"/>
      <c r="O94" s="987"/>
      <c r="P94" s="987"/>
      <c r="Q94" s="987"/>
      <c r="R94" s="987"/>
      <c r="S94" s="987"/>
      <c r="T94" s="987"/>
      <c r="U94" s="987"/>
      <c r="V94" s="987"/>
      <c r="W94" s="987"/>
      <c r="X94" s="987"/>
      <c r="Y94" s="987"/>
      <c r="Z94" s="987"/>
      <c r="AA94" s="987"/>
      <c r="AB94" s="987"/>
      <c r="AC94" s="987"/>
      <c r="AD94" s="987"/>
      <c r="AE94" s="987"/>
      <c r="AF94" s="987"/>
      <c r="AG94" s="987"/>
      <c r="AH94" s="987"/>
      <c r="AI94" s="987"/>
      <c r="AJ94" s="987"/>
      <c r="AK94" s="987"/>
      <c r="AL94" s="987"/>
      <c r="AM94" s="987"/>
      <c r="AN94" s="987"/>
      <c r="AO94" s="987"/>
      <c r="AP94" s="987"/>
      <c r="AQ94" s="987"/>
      <c r="AR94" s="987"/>
      <c r="AS94" s="987"/>
      <c r="AT94" s="987"/>
      <c r="AU94" s="987"/>
      <c r="AV94" s="987"/>
      <c r="AW94" s="987"/>
      <c r="AX94" s="987"/>
      <c r="AY94" s="987"/>
      <c r="AZ94" s="987"/>
      <c r="BA94" s="987"/>
      <c r="BB94" s="987"/>
      <c r="BC94" s="987"/>
      <c r="BD94" s="987"/>
      <c r="BE94" s="987"/>
      <c r="BF94" s="987"/>
      <c r="BG94" s="987"/>
      <c r="BH94" s="987"/>
      <c r="BI94" s="987"/>
      <c r="BJ94" s="987"/>
      <c r="BK94" s="987"/>
      <c r="BL94" s="987"/>
      <c r="BM94" s="987"/>
      <c r="BN94" s="987"/>
      <c r="BO94" s="987"/>
      <c r="BP94" s="987"/>
      <c r="BQ94" s="987"/>
      <c r="BR94" s="987"/>
      <c r="BS94" s="987"/>
      <c r="BT94" s="987"/>
      <c r="BU94" s="987"/>
      <c r="BV94" s="987"/>
      <c r="BW94" s="987"/>
      <c r="BX94" s="987"/>
      <c r="BY94" s="987"/>
      <c r="BZ94" s="987"/>
      <c r="CA94" s="987"/>
      <c r="CB94" s="987"/>
      <c r="CC94" s="987"/>
      <c r="CD94" s="987"/>
      <c r="CE94" s="987"/>
      <c r="CF94" s="987"/>
      <c r="CG94" s="987"/>
      <c r="CH94" s="987"/>
      <c r="CI94" s="987"/>
      <c r="CJ94" s="987"/>
      <c r="CK94" s="987"/>
      <c r="CL94" s="987"/>
      <c r="CM94" s="987"/>
      <c r="CN94" s="987"/>
      <c r="CO94" s="987"/>
      <c r="CP94" s="987"/>
      <c r="CQ94" s="987"/>
      <c r="CR94" s="987"/>
      <c r="CS94" s="987"/>
      <c r="CT94" s="987"/>
      <c r="CU94" s="987"/>
      <c r="CV94" s="987"/>
      <c r="CW94" s="987"/>
      <c r="CX94" s="987"/>
      <c r="CY94" s="987"/>
      <c r="CZ94" s="987"/>
      <c r="DA94" s="987"/>
      <c r="DB94" s="987"/>
      <c r="DC94" s="987"/>
    </row>
    <row r="95" spans="2:112" hidden="1" outlineLevel="1">
      <c r="B95" s="977" t="s">
        <v>1694</v>
      </c>
      <c r="C95" s="14"/>
      <c r="D95" s="195"/>
      <c r="E95" s="809"/>
      <c r="F95" s="809">
        <f>$AI$102</f>
        <v>375.11600000000004</v>
      </c>
      <c r="G95" s="809">
        <f t="shared" ref="G95:Z95" si="203">F102</f>
        <v>203.52100000000002</v>
      </c>
      <c r="H95" s="809">
        <f t="shared" si="203"/>
        <v>284.19200000000012</v>
      </c>
      <c r="I95" s="809">
        <f t="shared" si="203"/>
        <v>320.07499999999999</v>
      </c>
      <c r="J95" s="809">
        <f t="shared" si="203"/>
        <v>273.70400000000006</v>
      </c>
      <c r="K95" s="809">
        <f t="shared" si="203"/>
        <v>288.67300000000006</v>
      </c>
      <c r="L95" s="809">
        <f t="shared" si="203"/>
        <v>355.02800000000013</v>
      </c>
      <c r="M95" s="809">
        <f t="shared" si="203"/>
        <v>814.43200000000024</v>
      </c>
      <c r="N95" s="809">
        <f t="shared" si="203"/>
        <v>916.66100000000029</v>
      </c>
      <c r="O95" s="809">
        <f t="shared" si="203"/>
        <v>1182.4830000000004</v>
      </c>
      <c r="P95" s="809">
        <f t="shared" si="203"/>
        <v>1880.5149999999999</v>
      </c>
      <c r="Q95" s="809">
        <f t="shared" si="203"/>
        <v>2037.4840000000002</v>
      </c>
      <c r="R95" s="809">
        <f t="shared" si="203"/>
        <v>2367.9</v>
      </c>
      <c r="S95" s="809">
        <f t="shared" si="203"/>
        <v>2562.9480000000008</v>
      </c>
      <c r="T95" s="809">
        <f t="shared" si="203"/>
        <v>2299.5839999999994</v>
      </c>
      <c r="U95" s="809">
        <f t="shared" si="203"/>
        <v>2770.8010000000004</v>
      </c>
      <c r="V95" s="809">
        <f t="shared" si="203"/>
        <v>4531.4300000000012</v>
      </c>
      <c r="W95" s="809">
        <f t="shared" si="203"/>
        <v>7013.0290000000014</v>
      </c>
      <c r="X95" s="809">
        <f t="shared" ca="1" si="203"/>
        <v>7691.6154361106355</v>
      </c>
      <c r="Y95" s="809">
        <f t="shared" ca="1" si="203"/>
        <v>8611.0254296761868</v>
      </c>
      <c r="Z95" s="809">
        <f t="shared" ca="1" si="203"/>
        <v>9647.2292557066921</v>
      </c>
      <c r="AA95" s="809">
        <f t="shared" ref="AA95" ca="1" si="204">Z102</f>
        <v>10788.01996044893</v>
      </c>
      <c r="AB95" s="809">
        <f t="shared" ref="AB95" ca="1" si="205">AA102</f>
        <v>12152.702991818489</v>
      </c>
      <c r="AC95" s="809">
        <f t="shared" ref="AC95" ca="1" si="206">AB102</f>
        <v>14095.501932369481</v>
      </c>
      <c r="AD95" s="809">
        <f t="shared" ref="AD95" ca="1" si="207">AC102</f>
        <v>16473.254974516596</v>
      </c>
      <c r="AE95" s="195"/>
      <c r="AF95" s="195"/>
      <c r="AG95" s="195"/>
      <c r="AH95" s="809">
        <f t="shared" ref="AH95:BM95" si="208">AG102</f>
        <v>-2.9719999999999871</v>
      </c>
      <c r="AI95" s="809">
        <f t="shared" si="208"/>
        <v>412.70300000000003</v>
      </c>
      <c r="AJ95" s="809">
        <f t="shared" si="208"/>
        <v>375.11600000000004</v>
      </c>
      <c r="AK95" s="809">
        <f t="shared" si="208"/>
        <v>337.22</v>
      </c>
      <c r="AL95" s="809">
        <f t="shared" si="208"/>
        <v>304.38200000000012</v>
      </c>
      <c r="AM95" s="809">
        <f t="shared" si="208"/>
        <v>227.72500000000011</v>
      </c>
      <c r="AN95" s="809">
        <f t="shared" si="208"/>
        <v>203.52100000000007</v>
      </c>
      <c r="AO95" s="809">
        <f t="shared" si="208"/>
        <v>205.5680000000001</v>
      </c>
      <c r="AP95" s="809">
        <f t="shared" si="208"/>
        <v>190.27900000000005</v>
      </c>
      <c r="AQ95" s="809">
        <f t="shared" si="208"/>
        <v>147.8660000000001</v>
      </c>
      <c r="AR95" s="809">
        <f t="shared" si="208"/>
        <v>284.19200000000018</v>
      </c>
      <c r="AS95" s="809">
        <f t="shared" si="208"/>
        <v>259.08300000000014</v>
      </c>
      <c r="AT95" s="809">
        <f t="shared" si="208"/>
        <v>249.04100000000008</v>
      </c>
      <c r="AU95" s="809">
        <f t="shared" si="208"/>
        <v>231.55700000000007</v>
      </c>
      <c r="AV95" s="809">
        <f t="shared" si="208"/>
        <v>320.07500000000005</v>
      </c>
      <c r="AW95" s="809">
        <f t="shared" si="208"/>
        <v>302.92100000000011</v>
      </c>
      <c r="AX95" s="809">
        <f t="shared" si="208"/>
        <v>296.28100000000018</v>
      </c>
      <c r="AY95" s="809">
        <f t="shared" si="208"/>
        <v>291.19500000000011</v>
      </c>
      <c r="AZ95" s="809">
        <f t="shared" si="208"/>
        <v>273.70400000000012</v>
      </c>
      <c r="BA95" s="809">
        <f t="shared" si="208"/>
        <v>309.34800000000013</v>
      </c>
      <c r="BB95" s="809">
        <f t="shared" si="208"/>
        <v>311.09800000000013</v>
      </c>
      <c r="BC95" s="809">
        <f t="shared" si="208"/>
        <v>315.07400000000001</v>
      </c>
      <c r="BD95" s="809">
        <f t="shared" si="208"/>
        <v>288.67300000000006</v>
      </c>
      <c r="BE95" s="809">
        <f t="shared" si="208"/>
        <v>306.90000000000003</v>
      </c>
      <c r="BF95" s="809">
        <f t="shared" si="208"/>
        <v>317.12700000000012</v>
      </c>
      <c r="BG95" s="809">
        <f t="shared" si="208"/>
        <v>327.58400000000006</v>
      </c>
      <c r="BH95" s="809">
        <f t="shared" si="208"/>
        <v>355.02800000000008</v>
      </c>
      <c r="BI95" s="809">
        <f t="shared" si="208"/>
        <v>425.12300000000005</v>
      </c>
      <c r="BJ95" s="809">
        <f t="shared" si="208"/>
        <v>442.67400000000015</v>
      </c>
      <c r="BK95" s="809">
        <f t="shared" si="208"/>
        <v>814.67700000000013</v>
      </c>
      <c r="BL95" s="809">
        <f t="shared" si="208"/>
        <v>814.43200000000024</v>
      </c>
      <c r="BM95" s="809">
        <f t="shared" si="208"/>
        <v>843.13000000000045</v>
      </c>
      <c r="BN95" s="809">
        <f t="shared" ref="BN95:CY95" si="209">BM102</f>
        <v>878.67300000000034</v>
      </c>
      <c r="BO95" s="809">
        <f t="shared" si="209"/>
        <v>837.25000000000023</v>
      </c>
      <c r="BP95" s="809">
        <f t="shared" si="209"/>
        <v>916.66100000000017</v>
      </c>
      <c r="BQ95" s="809">
        <f t="shared" si="209"/>
        <v>933.19600000000014</v>
      </c>
      <c r="BR95" s="809">
        <f t="shared" si="209"/>
        <v>1092.6220000000001</v>
      </c>
      <c r="BS95" s="809">
        <f t="shared" si="209"/>
        <v>1134.434</v>
      </c>
      <c r="BT95" s="809">
        <f t="shared" si="209"/>
        <v>1182.4829999999999</v>
      </c>
      <c r="BU95" s="809">
        <f t="shared" si="209"/>
        <v>1187.4870000000001</v>
      </c>
      <c r="BV95" s="809">
        <f t="shared" si="209"/>
        <v>1750.1969999999994</v>
      </c>
      <c r="BW95" s="809">
        <f t="shared" si="209"/>
        <v>1853.9729999999995</v>
      </c>
      <c r="BX95" s="809">
        <f t="shared" si="209"/>
        <v>1880.5149999999994</v>
      </c>
      <c r="BY95" s="809">
        <f t="shared" si="209"/>
        <v>1987.3969999999997</v>
      </c>
      <c r="BZ95" s="809">
        <f t="shared" si="209"/>
        <v>2064.2019999999993</v>
      </c>
      <c r="CA95" s="809">
        <f t="shared" si="209"/>
        <v>2024.8299999999995</v>
      </c>
      <c r="CB95" s="809">
        <f t="shared" si="209"/>
        <v>2037.4839999999995</v>
      </c>
      <c r="CC95" s="809">
        <f t="shared" si="209"/>
        <v>2155.9989999999993</v>
      </c>
      <c r="CD95" s="809">
        <f t="shared" si="209"/>
        <v>2101.6289999999999</v>
      </c>
      <c r="CE95" s="809">
        <f t="shared" si="209"/>
        <v>2265.6859999999997</v>
      </c>
      <c r="CF95" s="809">
        <f t="shared" si="209"/>
        <v>2367.8999999999992</v>
      </c>
      <c r="CG95" s="809">
        <f t="shared" si="209"/>
        <v>2373.0559999999996</v>
      </c>
      <c r="CH95" s="809">
        <f t="shared" si="209"/>
        <v>2346.0160000000001</v>
      </c>
      <c r="CI95" s="809">
        <f t="shared" si="209"/>
        <v>2507.9340000000002</v>
      </c>
      <c r="CJ95" s="809">
        <f t="shared" si="209"/>
        <v>2562.9480000000003</v>
      </c>
      <c r="CK95" s="809">
        <f t="shared" si="209"/>
        <v>2667.585</v>
      </c>
      <c r="CL95" s="809">
        <f t="shared" si="209"/>
        <v>2753.9190000000003</v>
      </c>
      <c r="CM95" s="809">
        <f t="shared" si="209"/>
        <v>2710.4810000000002</v>
      </c>
      <c r="CN95" s="809">
        <f t="shared" si="209"/>
        <v>2299.5839999999994</v>
      </c>
      <c r="CO95" s="809">
        <f t="shared" si="209"/>
        <v>2190.4580000000001</v>
      </c>
      <c r="CP95" s="809">
        <f t="shared" si="209"/>
        <v>2231.2779999999993</v>
      </c>
      <c r="CQ95" s="809">
        <f t="shared" si="209"/>
        <v>1516.6079999999997</v>
      </c>
      <c r="CR95" s="809">
        <f t="shared" si="209"/>
        <v>2770.8009999999999</v>
      </c>
      <c r="CS95" s="809">
        <f t="shared" si="209"/>
        <v>4843.7820000000011</v>
      </c>
      <c r="CT95" s="809">
        <f t="shared" si="209"/>
        <v>4871.7530000000006</v>
      </c>
      <c r="CU95" s="809">
        <f t="shared" si="209"/>
        <v>4789.3690000000006</v>
      </c>
      <c r="CV95" s="809">
        <f t="shared" si="209"/>
        <v>4531.4300000000012</v>
      </c>
      <c r="CW95" s="809">
        <f t="shared" si="209"/>
        <v>6681.6940000000004</v>
      </c>
      <c r="CX95" s="809">
        <f t="shared" si="209"/>
        <v>6687.5639999999994</v>
      </c>
      <c r="CY95" s="809">
        <f t="shared" si="209"/>
        <v>6705.5050000000001</v>
      </c>
      <c r="CZ95" s="809">
        <f t="shared" ref="CZ95:DC95" si="210">CY102</f>
        <v>7013.0290000000005</v>
      </c>
      <c r="DA95" s="809">
        <f t="shared" ca="1" si="210"/>
        <v>7158.9985743317166</v>
      </c>
      <c r="DB95" s="809">
        <f t="shared" ca="1" si="210"/>
        <v>7330.5296487883688</v>
      </c>
      <c r="DC95" s="809">
        <f t="shared" ca="1" si="210"/>
        <v>7517.9452579207227</v>
      </c>
      <c r="DD95" s="14"/>
      <c r="DE95" s="14"/>
      <c r="DF95" s="14"/>
      <c r="DG95" s="14"/>
      <c r="DH95" s="14"/>
    </row>
    <row r="96" spans="2:112" hidden="1" outlineLevel="1">
      <c r="B96" s="939" t="s">
        <v>1065</v>
      </c>
      <c r="C96" s="23"/>
      <c r="D96" s="26"/>
      <c r="E96" s="54"/>
      <c r="F96" s="54">
        <f t="shared" ref="F96:Z96" si="211">F111</f>
        <v>-188.41499999999999</v>
      </c>
      <c r="G96" s="54">
        <f t="shared" si="211"/>
        <v>-21.618000000000009</v>
      </c>
      <c r="H96" s="54">
        <f t="shared" si="211"/>
        <v>-84.170999999999992</v>
      </c>
      <c r="I96" s="54">
        <f t="shared" si="211"/>
        <v>-68.631000000000014</v>
      </c>
      <c r="J96" s="54">
        <f t="shared" si="211"/>
        <v>-42.611999999999973</v>
      </c>
      <c r="K96" s="54">
        <f t="shared" si="211"/>
        <v>-6.3969999999999407</v>
      </c>
      <c r="L96" s="54">
        <f t="shared" si="211"/>
        <v>-5.187999999999918</v>
      </c>
      <c r="M96" s="54">
        <f t="shared" si="211"/>
        <v>107.92399999999994</v>
      </c>
      <c r="N96" s="54">
        <f t="shared" si="211"/>
        <v>69.43100000000004</v>
      </c>
      <c r="O96" s="54">
        <f t="shared" si="211"/>
        <v>36.880999999999958</v>
      </c>
      <c r="P96" s="54">
        <f t="shared" si="211"/>
        <v>92.610000000000099</v>
      </c>
      <c r="Q96" s="54">
        <f t="shared" si="211"/>
        <v>143.14399999999989</v>
      </c>
      <c r="R96" s="54">
        <f t="shared" si="211"/>
        <v>96.123000000000019</v>
      </c>
      <c r="S96" s="54">
        <f t="shared" si="211"/>
        <v>-260.7260000000004</v>
      </c>
      <c r="T96" s="54">
        <f t="shared" si="211"/>
        <v>187.77400000000051</v>
      </c>
      <c r="U96" s="54">
        <f t="shared" si="211"/>
        <v>126.79999999999995</v>
      </c>
      <c r="V96" s="54">
        <f>V111</f>
        <v>232.9820000000004</v>
      </c>
      <c r="W96" s="54">
        <f ca="1">W111</f>
        <v>473.96504010626251</v>
      </c>
      <c r="X96" s="54">
        <f t="shared" ca="1" si="211"/>
        <v>706.34788722767007</v>
      </c>
      <c r="Y96" s="54">
        <f t="shared" ca="1" si="211"/>
        <v>807.15870873613687</v>
      </c>
      <c r="Z96" s="54">
        <f t="shared" ca="1" si="211"/>
        <v>896.66352265972125</v>
      </c>
      <c r="AA96" s="54">
        <f t="shared" ref="AA96:AD96" ca="1" si="212">AA111</f>
        <v>1105.523636380525</v>
      </c>
      <c r="AB96" s="54">
        <f t="shared" ca="1" si="212"/>
        <v>1668.6655784405743</v>
      </c>
      <c r="AC96" s="54">
        <f t="shared" ca="1" si="212"/>
        <v>2088.7104062960771</v>
      </c>
      <c r="AD96" s="54">
        <f t="shared" ca="1" si="212"/>
        <v>2257.3166991772159</v>
      </c>
      <c r="AE96" s="54"/>
      <c r="AF96" s="54"/>
      <c r="AG96" s="54"/>
      <c r="AH96" s="54">
        <f t="shared" ref="AH96:BM96" si="213">AH111</f>
        <v>-32.085000000000001</v>
      </c>
      <c r="AI96" s="54">
        <f t="shared" si="213"/>
        <v>-42.885000000000005</v>
      </c>
      <c r="AJ96" s="54">
        <f t="shared" si="213"/>
        <v>-41.536999999999999</v>
      </c>
      <c r="AK96" s="54">
        <f t="shared" si="213"/>
        <v>-37.856999999999999</v>
      </c>
      <c r="AL96" s="54">
        <f t="shared" si="213"/>
        <v>-81.573999999999998</v>
      </c>
      <c r="AM96" s="54">
        <f t="shared" si="213"/>
        <v>-27.446999999999999</v>
      </c>
      <c r="AN96" s="54">
        <f t="shared" si="213"/>
        <v>-13.693999999999997</v>
      </c>
      <c r="AO96" s="54">
        <f t="shared" si="213"/>
        <v>-24.556999999999999</v>
      </c>
      <c r="AP96" s="54">
        <f t="shared" si="213"/>
        <v>-44.088000000000001</v>
      </c>
      <c r="AQ96" s="54">
        <f t="shared" si="213"/>
        <v>60.720999999999997</v>
      </c>
      <c r="AR96" s="54">
        <f t="shared" si="213"/>
        <v>-25.552999999999997</v>
      </c>
      <c r="AS96" s="54">
        <f t="shared" si="213"/>
        <v>-21.203000000000007</v>
      </c>
      <c r="AT96" s="54">
        <f t="shared" si="213"/>
        <v>-19.717999999999996</v>
      </c>
      <c r="AU96" s="54">
        <f t="shared" si="213"/>
        <v>-17.697000000000006</v>
      </c>
      <c r="AV96" s="54">
        <f t="shared" si="213"/>
        <v>-30.141999999999992</v>
      </c>
      <c r="AW96" s="54">
        <f t="shared" si="213"/>
        <v>-9.2049999999999983</v>
      </c>
      <c r="AX96" s="54">
        <f t="shared" si="213"/>
        <v>-6.6149999999999993</v>
      </c>
      <c r="AY96" s="54">
        <f t="shared" si="213"/>
        <v>-22.668999999999993</v>
      </c>
      <c r="AZ96" s="54">
        <f t="shared" si="213"/>
        <v>-5.7940000000000014</v>
      </c>
      <c r="BA96" s="54">
        <f t="shared" si="213"/>
        <v>-3.4310000000000005</v>
      </c>
      <c r="BB96" s="54">
        <f t="shared" si="213"/>
        <v>-0.78300000000000491</v>
      </c>
      <c r="BC96" s="54">
        <f t="shared" si="213"/>
        <v>-32.604000000000006</v>
      </c>
      <c r="BD96" s="54">
        <f t="shared" si="213"/>
        <v>-5.0699999999999985</v>
      </c>
      <c r="BE96" s="54">
        <f t="shared" si="213"/>
        <v>-5.269999999999996</v>
      </c>
      <c r="BF96" s="54">
        <f t="shared" si="213"/>
        <v>-5.168000000000001</v>
      </c>
      <c r="BG96" s="54">
        <f t="shared" si="213"/>
        <v>9.1109999999999847</v>
      </c>
      <c r="BH96" s="54">
        <f t="shared" si="213"/>
        <v>-4.4559999999999889</v>
      </c>
      <c r="BI96" s="54">
        <f t="shared" si="213"/>
        <v>1.2170000000000147</v>
      </c>
      <c r="BJ96" s="54">
        <f t="shared" si="213"/>
        <v>4.1239999999999934</v>
      </c>
      <c r="BK96" s="54">
        <f t="shared" si="213"/>
        <v>-6.0730000000000022</v>
      </c>
      <c r="BL96" s="54">
        <f t="shared" si="213"/>
        <v>3.7970000000000059</v>
      </c>
      <c r="BM96" s="54">
        <f t="shared" si="213"/>
        <v>0.70799999999998109</v>
      </c>
      <c r="BN96" s="54">
        <f t="shared" ref="BN96:CP96" si="214">BN111</f>
        <v>5.5559999999999601</v>
      </c>
      <c r="BO96" s="54">
        <f t="shared" si="214"/>
        <v>97.863</v>
      </c>
      <c r="BP96" s="54">
        <f t="shared" si="214"/>
        <v>15.457000000000029</v>
      </c>
      <c r="BQ96" s="54">
        <f t="shared" si="214"/>
        <v>17.439999999999998</v>
      </c>
      <c r="BR96" s="54">
        <f t="shared" si="214"/>
        <v>18.812000000000005</v>
      </c>
      <c r="BS96" s="54">
        <f t="shared" si="214"/>
        <v>17.721999999999994</v>
      </c>
      <c r="BT96" s="54">
        <f t="shared" si="214"/>
        <v>14.199000000000016</v>
      </c>
      <c r="BU96" s="54">
        <f t="shared" si="214"/>
        <v>-2.2740000000000284</v>
      </c>
      <c r="BV96" s="54">
        <f t="shared" si="214"/>
        <v>11.196000000000014</v>
      </c>
      <c r="BW96" s="54">
        <f t="shared" si="214"/>
        <v>13.76000000000001</v>
      </c>
      <c r="BX96" s="54">
        <f t="shared" si="214"/>
        <v>25.144999999999982</v>
      </c>
      <c r="BY96" s="54">
        <f t="shared" si="214"/>
        <v>30.73299999999999</v>
      </c>
      <c r="BZ96" s="54">
        <f t="shared" si="214"/>
        <v>20.63899999999996</v>
      </c>
      <c r="CA96" s="54">
        <f t="shared" si="214"/>
        <v>16.092999999999989</v>
      </c>
      <c r="CB96" s="54">
        <f t="shared" si="214"/>
        <v>32.406000000000006</v>
      </c>
      <c r="CC96" s="54">
        <f t="shared" si="214"/>
        <v>36.799999999999983</v>
      </c>
      <c r="CD96" s="54">
        <f t="shared" si="214"/>
        <v>27.326999999999945</v>
      </c>
      <c r="CE96" s="54">
        <f t="shared" si="214"/>
        <v>46.611000000000004</v>
      </c>
      <c r="CF96" s="54">
        <f t="shared" si="214"/>
        <v>33.283999999999899</v>
      </c>
      <c r="CG96" s="54">
        <f t="shared" si="214"/>
        <v>-25.286999999999992</v>
      </c>
      <c r="CH96" s="54">
        <f t="shared" si="214"/>
        <v>42.753000000000085</v>
      </c>
      <c r="CI96" s="54">
        <f t="shared" si="214"/>
        <v>45.373000000000033</v>
      </c>
      <c r="CJ96" s="54">
        <f t="shared" si="214"/>
        <v>41.337000000000025</v>
      </c>
      <c r="CK96" s="54">
        <f t="shared" si="214"/>
        <v>10.079000000000033</v>
      </c>
      <c r="CL96" s="54">
        <f t="shared" si="214"/>
        <v>42.960999999999999</v>
      </c>
      <c r="CM96" s="54">
        <f t="shared" si="214"/>
        <v>-355.10299999999995</v>
      </c>
      <c r="CN96" s="54">
        <f t="shared" si="214"/>
        <v>76.452000000000012</v>
      </c>
      <c r="CO96" s="54">
        <f t="shared" si="214"/>
        <v>59.458999999999875</v>
      </c>
      <c r="CP96" s="54">
        <f t="shared" si="214"/>
        <v>41.132000000000033</v>
      </c>
      <c r="CQ96" s="54">
        <f t="shared" ref="CQ96:CU96" si="215">CQ111</f>
        <v>10.730999999999902</v>
      </c>
      <c r="CR96" s="54">
        <f t="shared" si="215"/>
        <v>-31.110999999999983</v>
      </c>
      <c r="CS96" s="54">
        <f t="shared" si="215"/>
        <v>44.711000000000013</v>
      </c>
      <c r="CT96" s="54">
        <f t="shared" si="215"/>
        <v>51.449999999999939</v>
      </c>
      <c r="CU96" s="54">
        <f t="shared" si="215"/>
        <v>61.749999999999957</v>
      </c>
      <c r="CV96" s="54">
        <f>CV111</f>
        <v>42.06200000000014</v>
      </c>
      <c r="CW96" s="54">
        <f>CW111</f>
        <v>45.805000000000035</v>
      </c>
      <c r="CX96" s="54">
        <f>CX111</f>
        <v>79.899999999999963</v>
      </c>
      <c r="CY96" s="54">
        <f>CY111</f>
        <v>65.215000000000032</v>
      </c>
      <c r="CZ96" s="54">
        <f t="shared" ref="CZ96:DC96" ca="1" si="216">CZ111</f>
        <v>96.458002345945189</v>
      </c>
      <c r="DA96" s="54">
        <f t="shared" ca="1" si="216"/>
        <v>121.11282891771445</v>
      </c>
      <c r="DB96" s="54">
        <f t="shared" ca="1" si="216"/>
        <v>135.73520266336968</v>
      </c>
      <c r="DC96" s="54">
        <f t="shared" ca="1" si="216"/>
        <v>147.22698638391648</v>
      </c>
    </row>
    <row r="97" spans="2:118" hidden="1" outlineLevel="1">
      <c r="B97" s="939" t="s">
        <v>1066</v>
      </c>
      <c r="C97" s="23"/>
      <c r="D97" s="26"/>
      <c r="E97" s="54"/>
      <c r="F97" s="54">
        <f t="shared" ref="F97:Z97" si="217">F70-E70</f>
        <v>25.544000000000004</v>
      </c>
      <c r="G97" s="54">
        <f t="shared" si="217"/>
        <v>8.6389999999999993</v>
      </c>
      <c r="H97" s="54">
        <f t="shared" si="217"/>
        <v>2.4140000000000001</v>
      </c>
      <c r="I97" s="54">
        <f t="shared" si="217"/>
        <v>1.8310000000000002</v>
      </c>
      <c r="J97" s="54">
        <f t="shared" si="217"/>
        <v>-0.87100000000000022</v>
      </c>
      <c r="K97" s="54">
        <f t="shared" si="217"/>
        <v>2.7440000000000002</v>
      </c>
      <c r="L97" s="54">
        <f t="shared" si="217"/>
        <v>-7.758</v>
      </c>
      <c r="M97" s="54">
        <f t="shared" si="217"/>
        <v>-148.91200000000001</v>
      </c>
      <c r="N97" s="54">
        <f t="shared" si="217"/>
        <v>55.562000000000012</v>
      </c>
      <c r="O97" s="54">
        <f t="shared" si="217"/>
        <v>-14.780000000000001</v>
      </c>
      <c r="P97" s="54">
        <f t="shared" si="217"/>
        <v>-31.680000000000007</v>
      </c>
      <c r="Q97" s="54">
        <f t="shared" si="217"/>
        <v>42.656000000000006</v>
      </c>
      <c r="R97" s="54">
        <f t="shared" si="217"/>
        <v>-12.724999999999994</v>
      </c>
      <c r="S97" s="54">
        <f t="shared" si="217"/>
        <v>-218.67599999999999</v>
      </c>
      <c r="T97" s="54">
        <f t="shared" si="217"/>
        <v>-176.61600000000004</v>
      </c>
      <c r="U97" s="54">
        <f t="shared" si="217"/>
        <v>-440.08300000000003</v>
      </c>
      <c r="V97" s="54">
        <f t="shared" si="217"/>
        <v>163.95300000000009</v>
      </c>
      <c r="W97" s="54">
        <f t="shared" si="217"/>
        <v>0</v>
      </c>
      <c r="X97" s="54">
        <f t="shared" si="217"/>
        <v>0</v>
      </c>
      <c r="Y97" s="54">
        <f t="shared" si="217"/>
        <v>0</v>
      </c>
      <c r="Z97" s="54">
        <f t="shared" si="217"/>
        <v>0</v>
      </c>
      <c r="AA97" s="54">
        <f t="shared" ref="AA97" si="218">AA70-Z70</f>
        <v>0</v>
      </c>
      <c r="AB97" s="54">
        <f t="shared" ref="AB97" si="219">AB70-AA70</f>
        <v>0</v>
      </c>
      <c r="AC97" s="54">
        <f t="shared" ref="AC97" si="220">AC70-AB70</f>
        <v>0</v>
      </c>
      <c r="AD97" s="54">
        <f t="shared" ref="AD97" si="221">AD70-AC70</f>
        <v>0</v>
      </c>
      <c r="AE97" s="54"/>
      <c r="AF97" s="54"/>
      <c r="AG97" s="54"/>
      <c r="AH97" s="54">
        <f t="shared" ref="AH97:BM97" si="222">AH70-AG70</f>
        <v>3.0999999999991701E-2</v>
      </c>
      <c r="AI97" s="54">
        <f t="shared" si="222"/>
        <v>13.856999999999999</v>
      </c>
      <c r="AJ97" s="54">
        <f t="shared" si="222"/>
        <v>7.0280000000000022</v>
      </c>
      <c r="AK97" s="54">
        <f t="shared" si="222"/>
        <v>8.4490000000000016</v>
      </c>
      <c r="AL97" s="54">
        <f t="shared" si="222"/>
        <v>7.33</v>
      </c>
      <c r="AM97" s="54">
        <f t="shared" si="222"/>
        <v>2.7370000000000001</v>
      </c>
      <c r="AN97" s="54">
        <f t="shared" si="222"/>
        <v>2.5400000000000009</v>
      </c>
      <c r="AO97" s="54">
        <f t="shared" si="222"/>
        <v>2.9439999999999991</v>
      </c>
      <c r="AP97" s="54">
        <f t="shared" si="222"/>
        <v>1.705000000000001</v>
      </c>
      <c r="AQ97" s="54">
        <f t="shared" si="222"/>
        <v>1.4499999999999993</v>
      </c>
      <c r="AR97" s="54">
        <f t="shared" si="222"/>
        <v>0.37400000000000011</v>
      </c>
      <c r="AS97" s="54">
        <f t="shared" si="222"/>
        <v>0.98100000000000009</v>
      </c>
      <c r="AT97" s="54">
        <f t="shared" si="222"/>
        <v>-5.9999999999999831E-2</v>
      </c>
      <c r="AU97" s="54">
        <f t="shared" si="222"/>
        <v>1.1189999999999998</v>
      </c>
      <c r="AV97" s="54">
        <f t="shared" si="222"/>
        <v>0.625</v>
      </c>
      <c r="AW97" s="54">
        <f t="shared" si="222"/>
        <v>-0.42299999999999993</v>
      </c>
      <c r="AX97" s="54">
        <f t="shared" si="222"/>
        <v>0.46000000000000008</v>
      </c>
      <c r="AY97" s="54">
        <f t="shared" si="222"/>
        <v>1.169</v>
      </c>
      <c r="AZ97" s="54">
        <f t="shared" si="222"/>
        <v>-11.746</v>
      </c>
      <c r="BA97" s="54">
        <f t="shared" si="222"/>
        <v>1.5609999999999999</v>
      </c>
      <c r="BB97" s="54">
        <f t="shared" si="222"/>
        <v>1.5730000000000004</v>
      </c>
      <c r="BC97" s="54">
        <f t="shared" si="222"/>
        <v>7.7409999999999997</v>
      </c>
      <c r="BD97" s="54">
        <f t="shared" si="222"/>
        <v>0.82200000000000006</v>
      </c>
      <c r="BE97" s="54">
        <f t="shared" si="222"/>
        <v>0.53800000000000026</v>
      </c>
      <c r="BF97" s="54">
        <f t="shared" si="222"/>
        <v>0.30499999999999972</v>
      </c>
      <c r="BG97" s="54">
        <f t="shared" si="222"/>
        <v>1.0790000000000002</v>
      </c>
      <c r="BH97" s="54">
        <f t="shared" si="222"/>
        <v>0.51499999999999968</v>
      </c>
      <c r="BI97" s="54">
        <f t="shared" si="222"/>
        <v>-0.61499999999999977</v>
      </c>
      <c r="BJ97" s="54">
        <f t="shared" si="222"/>
        <v>7.0030000000000001</v>
      </c>
      <c r="BK97" s="54">
        <f t="shared" si="222"/>
        <v>-14.661</v>
      </c>
      <c r="BL97" s="54">
        <f t="shared" si="222"/>
        <v>3.6669999999999998</v>
      </c>
      <c r="BM97" s="54">
        <f t="shared" si="222"/>
        <v>4.0609999999999999</v>
      </c>
      <c r="BN97" s="54">
        <f t="shared" ref="BN97:CY97" si="223">BN70-BM70</f>
        <v>-68.397000000000006</v>
      </c>
      <c r="BO97" s="54">
        <f t="shared" si="223"/>
        <v>-88.243000000000009</v>
      </c>
      <c r="BP97" s="54">
        <f t="shared" si="223"/>
        <v>-14.670999999999992</v>
      </c>
      <c r="BQ97" s="54">
        <f t="shared" si="223"/>
        <v>73.95</v>
      </c>
      <c r="BR97" s="54">
        <f t="shared" si="223"/>
        <v>-5.3659999999999997</v>
      </c>
      <c r="BS97" s="54">
        <f t="shared" si="223"/>
        <v>1.6490000000000009</v>
      </c>
      <c r="BT97" s="54">
        <f t="shared" si="223"/>
        <v>-35.259999999999991</v>
      </c>
      <c r="BU97" s="54">
        <f t="shared" si="223"/>
        <v>-32.112000000000023</v>
      </c>
      <c r="BV97" s="54">
        <f t="shared" si="223"/>
        <v>61.289000000000016</v>
      </c>
      <c r="BW97" s="54">
        <f t="shared" si="223"/>
        <v>-8.6970000000000027</v>
      </c>
      <c r="BX97" s="54">
        <f t="shared" si="223"/>
        <v>50.661999999999999</v>
      </c>
      <c r="BY97" s="54">
        <f t="shared" si="223"/>
        <v>19.677</v>
      </c>
      <c r="BZ97" s="54">
        <f t="shared" si="223"/>
        <v>-78.736999999999995</v>
      </c>
      <c r="CA97" s="54">
        <f t="shared" si="223"/>
        <v>-23.282000000000011</v>
      </c>
      <c r="CB97" s="54">
        <f t="shared" si="223"/>
        <v>33.331000000000003</v>
      </c>
      <c r="CC97" s="54">
        <f t="shared" si="223"/>
        <v>-45.409999999999982</v>
      </c>
      <c r="CD97" s="54">
        <f t="shared" si="223"/>
        <v>42.134999999999991</v>
      </c>
      <c r="CE97" s="54">
        <f t="shared" si="223"/>
        <v>12.599999999999994</v>
      </c>
      <c r="CF97" s="54">
        <f t="shared" si="223"/>
        <v>-73.224999999999994</v>
      </c>
      <c r="CG97" s="54">
        <f t="shared" si="223"/>
        <v>-25.814999999999998</v>
      </c>
      <c r="CH97" s="54">
        <f t="shared" si="223"/>
        <v>78.350999999999999</v>
      </c>
      <c r="CI97" s="54">
        <f t="shared" si="223"/>
        <v>7.9639999999999986</v>
      </c>
      <c r="CJ97" s="54">
        <f t="shared" si="223"/>
        <v>13.941999999999993</v>
      </c>
      <c r="CK97" s="54">
        <f t="shared" si="223"/>
        <v>22.311000000000007</v>
      </c>
      <c r="CL97" s="54">
        <f t="shared" si="223"/>
        <v>-159.96600000000001</v>
      </c>
      <c r="CM97" s="54">
        <f t="shared" si="223"/>
        <v>-94.962999999999994</v>
      </c>
      <c r="CN97" s="54">
        <f t="shared" si="223"/>
        <v>-135.59300000000002</v>
      </c>
      <c r="CO97" s="54">
        <f t="shared" si="223"/>
        <v>44.863</v>
      </c>
      <c r="CP97" s="54">
        <f t="shared" si="223"/>
        <v>-64.838999999999999</v>
      </c>
      <c r="CQ97" s="54">
        <f t="shared" si="223"/>
        <v>-21.047000000000025</v>
      </c>
      <c r="CR97" s="54">
        <f t="shared" si="223"/>
        <v>92.505000000000052</v>
      </c>
      <c r="CS97" s="54">
        <f t="shared" si="223"/>
        <v>-227.23199999999997</v>
      </c>
      <c r="CT97" s="54">
        <f t="shared" si="223"/>
        <v>-69.983000000000061</v>
      </c>
      <c r="CU97" s="54">
        <f t="shared" si="223"/>
        <v>-235.37300000000005</v>
      </c>
      <c r="CV97" s="54">
        <f t="shared" si="223"/>
        <v>66.406000000000063</v>
      </c>
      <c r="CW97" s="54">
        <f t="shared" si="223"/>
        <v>71.414999999999964</v>
      </c>
      <c r="CX97" s="54">
        <f t="shared" si="223"/>
        <v>27.374000000000024</v>
      </c>
      <c r="CY97" s="54">
        <f t="shared" si="223"/>
        <v>-1.2419999999999618</v>
      </c>
      <c r="CZ97" s="54">
        <f t="shared" ref="CZ97:DC97" si="224">CZ70-CY70</f>
        <v>0</v>
      </c>
      <c r="DA97" s="54">
        <f t="shared" si="224"/>
        <v>0</v>
      </c>
      <c r="DB97" s="54">
        <f t="shared" si="224"/>
        <v>0</v>
      </c>
      <c r="DC97" s="54">
        <f t="shared" si="224"/>
        <v>0</v>
      </c>
    </row>
    <row r="98" spans="2:118" hidden="1" outlineLevel="1">
      <c r="B98" s="939" t="s">
        <v>1067</v>
      </c>
      <c r="C98" s="23"/>
      <c r="D98" s="789"/>
      <c r="E98" s="907"/>
      <c r="F98" s="907">
        <v>0</v>
      </c>
      <c r="G98" s="907">
        <v>0</v>
      </c>
      <c r="H98" s="907">
        <v>0</v>
      </c>
      <c r="I98" s="907">
        <v>0</v>
      </c>
      <c r="J98" s="907">
        <v>0</v>
      </c>
      <c r="K98" s="907">
        <v>0</v>
      </c>
      <c r="L98" s="907">
        <v>0</v>
      </c>
      <c r="M98" s="907">
        <v>0</v>
      </c>
      <c r="N98" s="907">
        <v>0</v>
      </c>
      <c r="O98" s="907">
        <v>0</v>
      </c>
      <c r="P98" s="907">
        <v>0</v>
      </c>
      <c r="Q98" s="907">
        <v>0</v>
      </c>
      <c r="R98" s="907">
        <v>0</v>
      </c>
      <c r="S98" s="907">
        <v>0</v>
      </c>
      <c r="T98" s="907">
        <v>0</v>
      </c>
      <c r="U98" s="907">
        <v>0</v>
      </c>
      <c r="V98" s="907">
        <v>0</v>
      </c>
      <c r="W98" s="907">
        <v>0</v>
      </c>
      <c r="X98" s="907">
        <v>0</v>
      </c>
      <c r="Y98" s="907">
        <v>0</v>
      </c>
      <c r="Z98" s="907">
        <v>0</v>
      </c>
      <c r="AA98" s="907">
        <v>0</v>
      </c>
      <c r="AB98" s="907">
        <v>0</v>
      </c>
      <c r="AC98" s="907">
        <v>0</v>
      </c>
      <c r="AD98" s="907">
        <v>0</v>
      </c>
      <c r="AE98" s="907"/>
      <c r="AF98" s="783"/>
      <c r="AG98" s="783"/>
      <c r="AH98" s="783">
        <v>0</v>
      </c>
      <c r="AI98" s="783">
        <v>0</v>
      </c>
      <c r="AJ98" s="783">
        <v>0</v>
      </c>
      <c r="AK98" s="783">
        <v>0</v>
      </c>
      <c r="AL98" s="783">
        <v>0</v>
      </c>
      <c r="AM98" s="783">
        <v>0</v>
      </c>
      <c r="AN98" s="783">
        <v>0</v>
      </c>
      <c r="AO98" s="783">
        <v>0</v>
      </c>
      <c r="AP98" s="783">
        <v>0</v>
      </c>
      <c r="AQ98" s="783">
        <v>0</v>
      </c>
      <c r="AR98" s="783">
        <v>0</v>
      </c>
      <c r="AS98" s="783">
        <v>0</v>
      </c>
      <c r="AT98" s="783">
        <v>0</v>
      </c>
      <c r="AU98" s="783">
        <v>0</v>
      </c>
      <c r="AV98" s="783">
        <v>0</v>
      </c>
      <c r="AW98" s="783">
        <v>0</v>
      </c>
      <c r="AX98" s="783">
        <v>0</v>
      </c>
      <c r="AY98" s="783">
        <v>0</v>
      </c>
      <c r="AZ98" s="783">
        <v>0</v>
      </c>
      <c r="BA98" s="783">
        <v>0</v>
      </c>
      <c r="BB98" s="783">
        <v>0</v>
      </c>
      <c r="BC98" s="783">
        <v>0</v>
      </c>
      <c r="BD98" s="783">
        <v>0</v>
      </c>
      <c r="BE98" s="783">
        <v>0</v>
      </c>
      <c r="BF98" s="783">
        <v>0</v>
      </c>
      <c r="BG98" s="783">
        <v>0</v>
      </c>
      <c r="BH98" s="783">
        <v>0</v>
      </c>
      <c r="BI98" s="783">
        <v>0</v>
      </c>
      <c r="BJ98" s="783">
        <v>0</v>
      </c>
      <c r="BK98" s="783">
        <v>0</v>
      </c>
      <c r="BL98" s="783">
        <v>0</v>
      </c>
      <c r="BM98" s="783">
        <v>0</v>
      </c>
      <c r="BN98" s="783">
        <v>0</v>
      </c>
      <c r="BO98" s="783">
        <v>0</v>
      </c>
      <c r="BP98" s="907">
        <v>0</v>
      </c>
      <c r="BQ98" s="907">
        <v>0</v>
      </c>
      <c r="BR98" s="907">
        <v>0</v>
      </c>
      <c r="BS98" s="907">
        <v>0</v>
      </c>
      <c r="BT98" s="907">
        <v>0</v>
      </c>
      <c r="BU98" s="907">
        <v>0</v>
      </c>
      <c r="BV98" s="907">
        <v>0</v>
      </c>
      <c r="BW98" s="907">
        <v>0</v>
      </c>
      <c r="BX98" s="907">
        <v>0</v>
      </c>
      <c r="BY98" s="907">
        <v>0</v>
      </c>
      <c r="BZ98" s="907">
        <v>0</v>
      </c>
      <c r="CA98" s="907">
        <v>0</v>
      </c>
      <c r="CB98" s="907">
        <v>0</v>
      </c>
      <c r="CC98" s="907">
        <v>0</v>
      </c>
      <c r="CD98" s="907">
        <v>0</v>
      </c>
      <c r="CE98" s="907">
        <v>0</v>
      </c>
      <c r="CF98" s="907">
        <v>0</v>
      </c>
      <c r="CG98" s="907">
        <v>0</v>
      </c>
      <c r="CH98" s="907">
        <v>0</v>
      </c>
      <c r="CI98" s="907">
        <v>0</v>
      </c>
      <c r="CJ98" s="907">
        <v>0</v>
      </c>
      <c r="CK98" s="907">
        <v>0</v>
      </c>
      <c r="CL98" s="907">
        <v>0</v>
      </c>
      <c r="CM98" s="907">
        <v>0</v>
      </c>
      <c r="CN98" s="907">
        <v>0</v>
      </c>
      <c r="CO98" s="907">
        <v>0</v>
      </c>
      <c r="CP98" s="907">
        <v>0</v>
      </c>
      <c r="CQ98" s="907">
        <v>0</v>
      </c>
      <c r="CR98" s="907">
        <v>0</v>
      </c>
      <c r="CS98" s="907">
        <v>0</v>
      </c>
      <c r="CT98" s="907">
        <v>0</v>
      </c>
      <c r="CU98" s="907">
        <v>0</v>
      </c>
      <c r="CV98" s="907">
        <v>0</v>
      </c>
      <c r="CW98" s="907">
        <v>0</v>
      </c>
      <c r="CX98" s="907">
        <v>0</v>
      </c>
      <c r="CY98" s="907">
        <v>0</v>
      </c>
      <c r="CZ98" s="907">
        <v>0</v>
      </c>
      <c r="DA98" s="907">
        <v>0</v>
      </c>
      <c r="DB98" s="907">
        <v>0</v>
      </c>
      <c r="DC98" s="907">
        <v>0</v>
      </c>
    </row>
    <row r="99" spans="2:118" hidden="1" outlineLevel="1">
      <c r="B99" s="939" t="s">
        <v>1068</v>
      </c>
      <c r="C99" s="23"/>
      <c r="D99" s="26"/>
      <c r="E99" s="54"/>
      <c r="F99" s="54">
        <f t="shared" ref="F99:Z99" si="225">(F65+F66)-(E65+E66)</f>
        <v>-8.7240000000000464</v>
      </c>
      <c r="G99" s="54">
        <f t="shared" si="225"/>
        <v>93.650000000000091</v>
      </c>
      <c r="H99" s="54">
        <f t="shared" si="225"/>
        <v>117.63999999999987</v>
      </c>
      <c r="I99" s="54">
        <f t="shared" si="225"/>
        <v>20.429000000000087</v>
      </c>
      <c r="J99" s="54">
        <f t="shared" si="225"/>
        <v>63.381999999999948</v>
      </c>
      <c r="K99" s="54">
        <f t="shared" si="225"/>
        <v>65.077999999999975</v>
      </c>
      <c r="L99" s="54">
        <f t="shared" si="225"/>
        <v>472.35</v>
      </c>
      <c r="M99" s="54">
        <f t="shared" si="225"/>
        <v>147.92000000000007</v>
      </c>
      <c r="N99" s="54">
        <f t="shared" si="225"/>
        <v>140.82899999999995</v>
      </c>
      <c r="O99" s="54">
        <f t="shared" si="225"/>
        <v>675.93099999999959</v>
      </c>
      <c r="P99" s="54">
        <f t="shared" si="225"/>
        <v>96.039000000000215</v>
      </c>
      <c r="Q99" s="54">
        <f t="shared" si="225"/>
        <v>144.61599999999999</v>
      </c>
      <c r="R99" s="54">
        <f t="shared" si="225"/>
        <v>111.65000000000055</v>
      </c>
      <c r="S99" s="54">
        <f t="shared" si="225"/>
        <v>640.42499999999927</v>
      </c>
      <c r="T99" s="54">
        <f t="shared" si="225"/>
        <v>1504.1440000000007</v>
      </c>
      <c r="U99" s="54">
        <f t="shared" si="225"/>
        <v>2575.085</v>
      </c>
      <c r="V99" s="54">
        <f t="shared" si="225"/>
        <v>2707.8109999999997</v>
      </c>
      <c r="W99" s="54">
        <f t="shared" ca="1" si="225"/>
        <v>204.62139600437149</v>
      </c>
      <c r="X99" s="54">
        <f t="shared" ca="1" si="225"/>
        <v>213.06210633788032</v>
      </c>
      <c r="Y99" s="54">
        <f t="shared" ca="1" si="225"/>
        <v>229.04511729436854</v>
      </c>
      <c r="Z99" s="54">
        <f t="shared" ca="1" si="225"/>
        <v>244.12718208251681</v>
      </c>
      <c r="AA99" s="54">
        <f t="shared" ref="AA99" ca="1" si="226">(AA65+AA66)-(Z65+Z66)</f>
        <v>259.1593949890339</v>
      </c>
      <c r="AB99" s="54">
        <f t="shared" ref="AB99" ca="1" si="227">(AB65+AB66)-(AA65+AA66)</f>
        <v>274.1333621104186</v>
      </c>
      <c r="AC99" s="54">
        <f t="shared" ref="AC99" ca="1" si="228">(AC65+AC66)-(AB65+AB66)</f>
        <v>289.04263585103763</v>
      </c>
      <c r="AD99" s="54">
        <f t="shared" ref="AD99" ca="1" si="229">(AD65+AD66)-(AC65+AC66)</f>
        <v>303.88205716265111</v>
      </c>
      <c r="AE99" s="54"/>
      <c r="AF99" s="54"/>
      <c r="AG99" s="54"/>
      <c r="AH99" s="54">
        <f t="shared" ref="AH99:BM99" si="230">(AH65+AH66)-(AG65+AG66)</f>
        <v>447.72900000000004</v>
      </c>
      <c r="AI99" s="54">
        <f t="shared" si="230"/>
        <v>-8.5589999999999691</v>
      </c>
      <c r="AJ99" s="54">
        <f t="shared" si="230"/>
        <v>-3.3870000000000573</v>
      </c>
      <c r="AK99" s="54">
        <f t="shared" si="230"/>
        <v>-3.42999999999995</v>
      </c>
      <c r="AL99" s="54">
        <f t="shared" si="230"/>
        <v>-2.4130000000000109</v>
      </c>
      <c r="AM99" s="54">
        <f t="shared" si="230"/>
        <v>0.50599999999997181</v>
      </c>
      <c r="AN99" s="54">
        <f t="shared" si="230"/>
        <v>13.201000000000022</v>
      </c>
      <c r="AO99" s="54">
        <f t="shared" si="230"/>
        <v>6.3239999999999554</v>
      </c>
      <c r="AP99" s="54">
        <f t="shared" si="230"/>
        <v>-2.9999999999972715E-2</v>
      </c>
      <c r="AQ99" s="54">
        <f t="shared" si="230"/>
        <v>74.155000000000086</v>
      </c>
      <c r="AR99" s="54">
        <f t="shared" si="230"/>
        <v>6.9999999999936335E-2</v>
      </c>
      <c r="AS99" s="54">
        <f t="shared" si="230"/>
        <v>10.17999999999995</v>
      </c>
      <c r="AT99" s="54">
        <f t="shared" si="230"/>
        <v>2.2939999999999827</v>
      </c>
      <c r="AU99" s="54">
        <f t="shared" si="230"/>
        <v>105.096</v>
      </c>
      <c r="AV99" s="54">
        <f t="shared" si="230"/>
        <v>12.363000000000056</v>
      </c>
      <c r="AW99" s="54">
        <f t="shared" si="230"/>
        <v>2.9880000000000564</v>
      </c>
      <c r="AX99" s="54">
        <f t="shared" si="230"/>
        <v>1.06899999999996</v>
      </c>
      <c r="AY99" s="54">
        <f t="shared" si="230"/>
        <v>4.0090000000000146</v>
      </c>
      <c r="AZ99" s="54">
        <f t="shared" si="230"/>
        <v>53.183999999999969</v>
      </c>
      <c r="BA99" s="54">
        <f t="shared" si="230"/>
        <v>3.6200000000000045</v>
      </c>
      <c r="BB99" s="54">
        <f t="shared" si="230"/>
        <v>3.1859999999999218</v>
      </c>
      <c r="BC99" s="54">
        <f t="shared" si="230"/>
        <v>3.3920000000000528</v>
      </c>
      <c r="BD99" s="54">
        <f t="shared" si="230"/>
        <v>17.544999999999959</v>
      </c>
      <c r="BE99" s="54">
        <f t="shared" si="230"/>
        <v>14.95900000000006</v>
      </c>
      <c r="BF99" s="54">
        <f t="shared" si="230"/>
        <v>15.319999999999936</v>
      </c>
      <c r="BG99" s="54">
        <f t="shared" si="230"/>
        <v>17.254000000000019</v>
      </c>
      <c r="BH99" s="54">
        <f t="shared" si="230"/>
        <v>74.035999999999945</v>
      </c>
      <c r="BI99" s="54">
        <f t="shared" si="230"/>
        <v>16.949000000000069</v>
      </c>
      <c r="BJ99" s="54">
        <f t="shared" si="230"/>
        <v>360.87599999999998</v>
      </c>
      <c r="BK99" s="54">
        <f t="shared" si="230"/>
        <v>20.489000000000033</v>
      </c>
      <c r="BL99" s="54">
        <f t="shared" si="230"/>
        <v>19.610000000000127</v>
      </c>
      <c r="BM99" s="54">
        <f t="shared" si="230"/>
        <v>29.252999999999929</v>
      </c>
      <c r="BN99" s="54">
        <f t="shared" ref="BN99:CY99" si="231">(BN65+BN66)-(BM65+BM66)</f>
        <v>19.585000000000036</v>
      </c>
      <c r="BO99" s="54">
        <f t="shared" si="231"/>
        <v>79.47199999999998</v>
      </c>
      <c r="BP99" s="54">
        <f t="shared" si="231"/>
        <v>15.749000000000024</v>
      </c>
      <c r="BQ99" s="54">
        <f t="shared" si="231"/>
        <v>68.035999999999831</v>
      </c>
      <c r="BR99" s="54">
        <f t="shared" si="231"/>
        <v>28.365999999999985</v>
      </c>
      <c r="BS99" s="54">
        <f t="shared" si="231"/>
        <v>28.678000000000111</v>
      </c>
      <c r="BT99" s="54">
        <f t="shared" si="231"/>
        <v>26.065000000000055</v>
      </c>
      <c r="BU99" s="54">
        <f t="shared" si="231"/>
        <v>597.09599999999955</v>
      </c>
      <c r="BV99" s="54">
        <f t="shared" si="231"/>
        <v>31.291000000000167</v>
      </c>
      <c r="BW99" s="54">
        <f t="shared" si="231"/>
        <v>21.478999999999814</v>
      </c>
      <c r="BX99" s="54">
        <f t="shared" si="231"/>
        <v>31.075000000000273</v>
      </c>
      <c r="BY99" s="54">
        <f t="shared" si="231"/>
        <v>26.394999999999982</v>
      </c>
      <c r="BZ99" s="54">
        <f t="shared" si="231"/>
        <v>18.726000000000113</v>
      </c>
      <c r="CA99" s="54">
        <f t="shared" si="231"/>
        <v>19.842999999999847</v>
      </c>
      <c r="CB99" s="54">
        <f t="shared" si="231"/>
        <v>52.777999999999793</v>
      </c>
      <c r="CC99" s="54">
        <f t="shared" si="231"/>
        <v>-45.759999999999764</v>
      </c>
      <c r="CD99" s="54">
        <f t="shared" si="231"/>
        <v>94.595000000000255</v>
      </c>
      <c r="CE99" s="54">
        <f t="shared" si="231"/>
        <v>43.002999999999702</v>
      </c>
      <c r="CF99" s="54">
        <f t="shared" si="231"/>
        <v>45.097000000000207</v>
      </c>
      <c r="CG99" s="54">
        <f t="shared" si="231"/>
        <v>24.062000000000353</v>
      </c>
      <c r="CH99" s="54">
        <f t="shared" si="231"/>
        <v>40.813999999999851</v>
      </c>
      <c r="CI99" s="54">
        <f t="shared" si="231"/>
        <v>1.6770000000001346</v>
      </c>
      <c r="CJ99" s="54">
        <f t="shared" si="231"/>
        <v>49.35799999999972</v>
      </c>
      <c r="CK99" s="54">
        <f t="shared" si="231"/>
        <v>53.94399999999996</v>
      </c>
      <c r="CL99" s="54">
        <f t="shared" si="231"/>
        <v>73.567000000000007</v>
      </c>
      <c r="CM99" s="54">
        <f t="shared" si="231"/>
        <v>463.55599999999959</v>
      </c>
      <c r="CN99" s="54">
        <f t="shared" si="231"/>
        <v>48.774000000000342</v>
      </c>
      <c r="CO99" s="54">
        <f t="shared" si="231"/>
        <v>35.143999999999778</v>
      </c>
      <c r="CP99" s="54">
        <f t="shared" si="231"/>
        <v>48.920000000000073</v>
      </c>
      <c r="CQ99" s="54">
        <f t="shared" si="231"/>
        <v>1371.3060000000005</v>
      </c>
      <c r="CR99" s="54">
        <f t="shared" si="231"/>
        <v>2135.0230000000001</v>
      </c>
      <c r="CS99" s="54">
        <f t="shared" si="231"/>
        <v>334.11699999999928</v>
      </c>
      <c r="CT99" s="54">
        <f t="shared" si="231"/>
        <v>63.450000000000728</v>
      </c>
      <c r="CU99" s="54">
        <f t="shared" si="231"/>
        <v>42.494999999999891</v>
      </c>
      <c r="CV99" s="54">
        <f t="shared" si="231"/>
        <v>2188.1139999999996</v>
      </c>
      <c r="CW99" s="54">
        <f t="shared" si="231"/>
        <v>47.18999999999869</v>
      </c>
      <c r="CX99" s="54">
        <f t="shared" si="231"/>
        <v>69.764000000001033</v>
      </c>
      <c r="CY99" s="54">
        <f t="shared" si="231"/>
        <v>402.74300000000039</v>
      </c>
      <c r="CZ99" s="54">
        <f t="shared" ref="CZ99:DC99" ca="1" si="232">(CZ65+CZ66)-(CY65+CY66)</f>
        <v>49.511571985771297</v>
      </c>
      <c r="DA99" s="54">
        <f t="shared" ca="1" si="232"/>
        <v>50.418245538938208</v>
      </c>
      <c r="DB99" s="54">
        <f t="shared" ca="1" si="232"/>
        <v>51.680406468984074</v>
      </c>
      <c r="DC99" s="54">
        <f t="shared" ca="1" si="232"/>
        <v>53.01117201067791</v>
      </c>
    </row>
    <row r="100" spans="2:118" hidden="1" outlineLevel="1">
      <c r="B100" s="939" t="s">
        <v>1096</v>
      </c>
      <c r="C100" s="23"/>
      <c r="D100" s="26"/>
      <c r="E100" s="54"/>
      <c r="F100" s="54">
        <f t="shared" ref="F100:Z100" si="233">F68-E68</f>
        <v>0</v>
      </c>
      <c r="G100" s="54">
        <f t="shared" si="233"/>
        <v>0</v>
      </c>
      <c r="H100" s="54">
        <f t="shared" si="233"/>
        <v>0</v>
      </c>
      <c r="I100" s="54">
        <f t="shared" si="233"/>
        <v>0</v>
      </c>
      <c r="J100" s="54">
        <f t="shared" si="233"/>
        <v>-4.93</v>
      </c>
      <c r="K100" s="54">
        <f t="shared" si="233"/>
        <v>4.93</v>
      </c>
      <c r="L100" s="54">
        <f t="shared" si="233"/>
        <v>0</v>
      </c>
      <c r="M100" s="54">
        <f t="shared" si="233"/>
        <v>0</v>
      </c>
      <c r="N100" s="54">
        <f t="shared" si="233"/>
        <v>0</v>
      </c>
      <c r="O100" s="54">
        <f t="shared" si="233"/>
        <v>0</v>
      </c>
      <c r="P100" s="54">
        <f t="shared" si="233"/>
        <v>0</v>
      </c>
      <c r="Q100" s="54">
        <f t="shared" si="233"/>
        <v>0</v>
      </c>
      <c r="R100" s="54">
        <f t="shared" si="233"/>
        <v>0</v>
      </c>
      <c r="S100" s="54">
        <f t="shared" si="233"/>
        <v>-424.387</v>
      </c>
      <c r="T100" s="54">
        <f t="shared" si="233"/>
        <v>-1044.085</v>
      </c>
      <c r="U100" s="54">
        <f t="shared" si="233"/>
        <v>-501.173</v>
      </c>
      <c r="V100" s="54">
        <f t="shared" si="233"/>
        <v>-623.14699999999993</v>
      </c>
      <c r="W100" s="54">
        <f t="shared" si="233"/>
        <v>0</v>
      </c>
      <c r="X100" s="54">
        <f t="shared" si="233"/>
        <v>0</v>
      </c>
      <c r="Y100" s="54">
        <f t="shared" si="233"/>
        <v>0</v>
      </c>
      <c r="Z100" s="54">
        <f t="shared" si="233"/>
        <v>0</v>
      </c>
      <c r="AA100" s="54">
        <f t="shared" ref="AA100" si="234">AA68-Z68</f>
        <v>0</v>
      </c>
      <c r="AB100" s="54">
        <f t="shared" ref="AB100" si="235">AB68-AA68</f>
        <v>0</v>
      </c>
      <c r="AC100" s="54">
        <f t="shared" ref="AC100" si="236">AC68-AB68</f>
        <v>0</v>
      </c>
      <c r="AD100" s="54">
        <f t="shared" ref="AD100" si="237">AD68-AC68</f>
        <v>0</v>
      </c>
      <c r="AE100" s="54"/>
      <c r="AF100" s="54"/>
      <c r="AG100" s="54"/>
      <c r="AH100" s="54">
        <f>AH68</f>
        <v>0</v>
      </c>
      <c r="AI100" s="54">
        <f>AI68</f>
        <v>0</v>
      </c>
      <c r="AJ100" s="54">
        <f t="shared" ref="AJ100:BO100" si="238">AJ68-AI68</f>
        <v>0</v>
      </c>
      <c r="AK100" s="54">
        <f t="shared" si="238"/>
        <v>0</v>
      </c>
      <c r="AL100" s="54">
        <f t="shared" si="238"/>
        <v>0</v>
      </c>
      <c r="AM100" s="54">
        <f t="shared" si="238"/>
        <v>0</v>
      </c>
      <c r="AN100" s="54">
        <f t="shared" si="238"/>
        <v>0</v>
      </c>
      <c r="AO100" s="54">
        <f t="shared" si="238"/>
        <v>0</v>
      </c>
      <c r="AP100" s="54">
        <f t="shared" si="238"/>
        <v>0</v>
      </c>
      <c r="AQ100" s="54">
        <f t="shared" si="238"/>
        <v>0</v>
      </c>
      <c r="AR100" s="54">
        <f t="shared" si="238"/>
        <v>0</v>
      </c>
      <c r="AS100" s="54">
        <f t="shared" si="238"/>
        <v>0</v>
      </c>
      <c r="AT100" s="54">
        <f t="shared" si="238"/>
        <v>0</v>
      </c>
      <c r="AU100" s="54">
        <f t="shared" si="238"/>
        <v>0</v>
      </c>
      <c r="AV100" s="54">
        <f t="shared" si="238"/>
        <v>0</v>
      </c>
      <c r="AW100" s="54">
        <f t="shared" si="238"/>
        <v>0</v>
      </c>
      <c r="AX100" s="54">
        <f t="shared" si="238"/>
        <v>0</v>
      </c>
      <c r="AY100" s="54">
        <f t="shared" si="238"/>
        <v>0</v>
      </c>
      <c r="AZ100" s="54">
        <f t="shared" si="238"/>
        <v>0</v>
      </c>
      <c r="BA100" s="54">
        <f t="shared" si="238"/>
        <v>0</v>
      </c>
      <c r="BB100" s="54">
        <f t="shared" si="238"/>
        <v>0</v>
      </c>
      <c r="BC100" s="54">
        <f t="shared" si="238"/>
        <v>-4.93</v>
      </c>
      <c r="BD100" s="54">
        <f t="shared" si="238"/>
        <v>4.93</v>
      </c>
      <c r="BE100" s="54">
        <f t="shared" si="238"/>
        <v>0</v>
      </c>
      <c r="BF100" s="54">
        <f t="shared" si="238"/>
        <v>0</v>
      </c>
      <c r="BG100" s="54">
        <f t="shared" si="238"/>
        <v>0</v>
      </c>
      <c r="BH100" s="54">
        <f t="shared" si="238"/>
        <v>0</v>
      </c>
      <c r="BI100" s="54">
        <f t="shared" si="238"/>
        <v>0</v>
      </c>
      <c r="BJ100" s="54">
        <f t="shared" si="238"/>
        <v>0</v>
      </c>
      <c r="BK100" s="54">
        <f t="shared" si="238"/>
        <v>0</v>
      </c>
      <c r="BL100" s="54">
        <f t="shared" si="238"/>
        <v>0</v>
      </c>
      <c r="BM100" s="54">
        <f t="shared" si="238"/>
        <v>0</v>
      </c>
      <c r="BN100" s="54">
        <f t="shared" si="238"/>
        <v>0</v>
      </c>
      <c r="BO100" s="54">
        <f t="shared" si="238"/>
        <v>0</v>
      </c>
      <c r="BP100" s="54">
        <f t="shared" ref="BP100:CY100" si="239">BP68-BO68</f>
        <v>0</v>
      </c>
      <c r="BQ100" s="54">
        <f t="shared" si="239"/>
        <v>0</v>
      </c>
      <c r="BR100" s="54">
        <f t="shared" si="239"/>
        <v>0</v>
      </c>
      <c r="BS100" s="54">
        <f t="shared" si="239"/>
        <v>0</v>
      </c>
      <c r="BT100" s="54">
        <f t="shared" si="239"/>
        <v>0</v>
      </c>
      <c r="BU100" s="54">
        <f t="shared" si="239"/>
        <v>0</v>
      </c>
      <c r="BV100" s="54">
        <f t="shared" si="239"/>
        <v>0</v>
      </c>
      <c r="BW100" s="54">
        <f t="shared" si="239"/>
        <v>0</v>
      </c>
      <c r="BX100" s="54">
        <f t="shared" si="239"/>
        <v>0</v>
      </c>
      <c r="BY100" s="54">
        <f t="shared" si="239"/>
        <v>0</v>
      </c>
      <c r="BZ100" s="54">
        <f t="shared" si="239"/>
        <v>0</v>
      </c>
      <c r="CA100" s="54">
        <f t="shared" si="239"/>
        <v>0</v>
      </c>
      <c r="CB100" s="54">
        <f t="shared" si="239"/>
        <v>0</v>
      </c>
      <c r="CC100" s="54">
        <f t="shared" si="239"/>
        <v>0</v>
      </c>
      <c r="CD100" s="54">
        <f t="shared" si="239"/>
        <v>0</v>
      </c>
      <c r="CE100" s="54">
        <f t="shared" si="239"/>
        <v>0</v>
      </c>
      <c r="CF100" s="54">
        <f t="shared" si="239"/>
        <v>0</v>
      </c>
      <c r="CG100" s="54">
        <f t="shared" si="239"/>
        <v>0</v>
      </c>
      <c r="CH100" s="54">
        <f t="shared" si="239"/>
        <v>0</v>
      </c>
      <c r="CI100" s="54">
        <f t="shared" si="239"/>
        <v>0</v>
      </c>
      <c r="CJ100" s="54">
        <f t="shared" si="239"/>
        <v>0</v>
      </c>
      <c r="CK100" s="54">
        <f t="shared" si="239"/>
        <v>0</v>
      </c>
      <c r="CL100" s="54">
        <f t="shared" si="239"/>
        <v>0</v>
      </c>
      <c r="CM100" s="54">
        <f t="shared" si="239"/>
        <v>-424.387</v>
      </c>
      <c r="CN100" s="54">
        <f t="shared" si="239"/>
        <v>-98.758999999999958</v>
      </c>
      <c r="CO100" s="54">
        <f t="shared" si="239"/>
        <v>-98.646000000000072</v>
      </c>
      <c r="CP100" s="54">
        <f t="shared" si="239"/>
        <v>-739.88299999999992</v>
      </c>
      <c r="CQ100" s="54">
        <f t="shared" si="239"/>
        <v>-106.79700000000003</v>
      </c>
      <c r="CR100" s="54">
        <f t="shared" si="239"/>
        <v>-123.43599999999992</v>
      </c>
      <c r="CS100" s="54">
        <f t="shared" si="239"/>
        <v>-123.625</v>
      </c>
      <c r="CT100" s="54">
        <f t="shared" si="239"/>
        <v>-127.30100000000016</v>
      </c>
      <c r="CU100" s="54">
        <f t="shared" si="239"/>
        <v>-126.81099999999992</v>
      </c>
      <c r="CV100" s="54">
        <f t="shared" si="239"/>
        <v>-146.31800000000021</v>
      </c>
      <c r="CW100" s="54">
        <f t="shared" si="239"/>
        <v>-158.53999999999996</v>
      </c>
      <c r="CX100" s="54">
        <f t="shared" si="239"/>
        <v>-159.09699999999975</v>
      </c>
      <c r="CY100" s="54">
        <f t="shared" si="239"/>
        <v>-159.19200000000001</v>
      </c>
      <c r="CZ100" s="54">
        <f t="shared" ref="CZ100:DC100" si="240">CZ68-CY68</f>
        <v>0</v>
      </c>
      <c r="DA100" s="54">
        <f t="shared" si="240"/>
        <v>0</v>
      </c>
      <c r="DB100" s="54">
        <f t="shared" si="240"/>
        <v>0</v>
      </c>
      <c r="DC100" s="54">
        <f t="shared" si="240"/>
        <v>0</v>
      </c>
    </row>
    <row r="101" spans="2:118" hidden="1" outlineLevel="1">
      <c r="B101" s="939" t="s">
        <v>1696</v>
      </c>
      <c r="C101" s="23"/>
      <c r="D101" s="26"/>
      <c r="E101" s="783"/>
      <c r="F101" s="783">
        <v>0</v>
      </c>
      <c r="G101" s="783">
        <v>0</v>
      </c>
      <c r="H101" s="783">
        <v>0</v>
      </c>
      <c r="I101" s="783">
        <v>0</v>
      </c>
      <c r="J101" s="783">
        <v>0</v>
      </c>
      <c r="K101" s="783">
        <v>0</v>
      </c>
      <c r="L101" s="783">
        <v>0</v>
      </c>
      <c r="M101" s="54">
        <f>SUM(BL101:BO101)</f>
        <v>-4.7029999999999905</v>
      </c>
      <c r="N101" s="54">
        <f>SUM(BP101:BS101)</f>
        <v>0</v>
      </c>
      <c r="O101" s="54">
        <f>SUM(BT101:BW101)</f>
        <v>0</v>
      </c>
      <c r="P101" s="54">
        <f>SUM(BX101:CA101)</f>
        <v>0</v>
      </c>
      <c r="Q101" s="54">
        <f>SUM(CB101:CE101)</f>
        <v>0</v>
      </c>
      <c r="R101" s="54">
        <f>SUM(CF101:CI101)</f>
        <v>0</v>
      </c>
      <c r="S101" s="54">
        <f>SUM(CJ101:CM101)</f>
        <v>0</v>
      </c>
      <c r="T101" s="54">
        <f>SUM(CN101:CQ101)</f>
        <v>0</v>
      </c>
      <c r="U101" s="54">
        <f>SUM(CR101:CU101)</f>
        <v>0</v>
      </c>
      <c r="V101" s="54">
        <f>SUM(CV101:CY101)</f>
        <v>0</v>
      </c>
      <c r="W101" s="54">
        <f>SUM(CZ101:DC101)</f>
        <v>0</v>
      </c>
      <c r="X101" s="907">
        <v>0</v>
      </c>
      <c r="Y101" s="907">
        <v>0</v>
      </c>
      <c r="Z101" s="907">
        <v>0</v>
      </c>
      <c r="AA101" s="907">
        <v>0</v>
      </c>
      <c r="AB101" s="907">
        <v>0</v>
      </c>
      <c r="AC101" s="907">
        <v>0</v>
      </c>
      <c r="AD101" s="907">
        <v>0</v>
      </c>
      <c r="AE101" s="54"/>
      <c r="AF101" s="54"/>
      <c r="AG101" s="54"/>
      <c r="AH101" s="783">
        <v>0</v>
      </c>
      <c r="AI101" s="783">
        <v>0</v>
      </c>
      <c r="AJ101" s="783">
        <v>0</v>
      </c>
      <c r="AK101" s="783">
        <v>0</v>
      </c>
      <c r="AL101" s="783">
        <v>0</v>
      </c>
      <c r="AM101" s="783">
        <v>0</v>
      </c>
      <c r="AN101" s="783">
        <v>0</v>
      </c>
      <c r="AO101" s="783">
        <v>0</v>
      </c>
      <c r="AP101" s="783">
        <v>0</v>
      </c>
      <c r="AQ101" s="783">
        <v>0</v>
      </c>
      <c r="AR101" s="783">
        <v>0</v>
      </c>
      <c r="AS101" s="783">
        <v>0</v>
      </c>
      <c r="AT101" s="783">
        <v>0</v>
      </c>
      <c r="AU101" s="783">
        <v>0</v>
      </c>
      <c r="AV101" s="783">
        <v>0</v>
      </c>
      <c r="AW101" s="783">
        <v>0</v>
      </c>
      <c r="AX101" s="783">
        <v>0</v>
      </c>
      <c r="AY101" s="783">
        <v>0</v>
      </c>
      <c r="AZ101" s="783">
        <v>0</v>
      </c>
      <c r="BA101" s="783">
        <v>0</v>
      </c>
      <c r="BB101" s="783">
        <v>0</v>
      </c>
      <c r="BC101" s="783">
        <v>0</v>
      </c>
      <c r="BD101" s="783">
        <v>0</v>
      </c>
      <c r="BE101" s="783">
        <v>0</v>
      </c>
      <c r="BF101" s="783">
        <v>0</v>
      </c>
      <c r="BG101" s="783">
        <v>0</v>
      </c>
      <c r="BH101" s="783">
        <v>0</v>
      </c>
      <c r="BI101" s="783">
        <v>0</v>
      </c>
      <c r="BJ101" s="783">
        <v>0</v>
      </c>
      <c r="BK101" s="783">
        <v>0</v>
      </c>
      <c r="BL101" s="54">
        <f>(IS!BZ50-13.594)+(IS!BZ45-35.923)</f>
        <v>1.623999999999997</v>
      </c>
      <c r="BM101" s="54">
        <f>(IS!CA50-12.823)+(IS!CA45-38.785)</f>
        <v>1.5210000000000061</v>
      </c>
      <c r="BN101" s="54">
        <f>(IS!CB50-13.88)+(IS!CB45-42.077)</f>
        <v>1.8330000000000002</v>
      </c>
      <c r="BO101" s="54">
        <f>(IS!CC50-14.744)+(IS!CC45-42.062)-13.479</f>
        <v>-9.6809999999999938</v>
      </c>
      <c r="BP101" s="783">
        <v>0</v>
      </c>
      <c r="BQ101" s="783">
        <v>0</v>
      </c>
      <c r="BR101" s="783">
        <v>0</v>
      </c>
      <c r="BS101" s="783">
        <v>0</v>
      </c>
      <c r="BT101" s="907">
        <v>0</v>
      </c>
      <c r="BU101" s="907">
        <v>0</v>
      </c>
      <c r="BV101" s="907">
        <v>0</v>
      </c>
      <c r="BW101" s="907">
        <v>0</v>
      </c>
      <c r="BX101" s="907">
        <v>0</v>
      </c>
      <c r="BY101" s="907">
        <v>0</v>
      </c>
      <c r="BZ101" s="907">
        <v>0</v>
      </c>
      <c r="CA101" s="907">
        <v>0</v>
      </c>
      <c r="CB101" s="907">
        <v>0</v>
      </c>
      <c r="CC101" s="907">
        <v>0</v>
      </c>
      <c r="CD101" s="907">
        <v>0</v>
      </c>
      <c r="CE101" s="907">
        <v>0</v>
      </c>
      <c r="CF101" s="907">
        <v>0</v>
      </c>
      <c r="CG101" s="907">
        <v>0</v>
      </c>
      <c r="CH101" s="907">
        <v>0</v>
      </c>
      <c r="CI101" s="907">
        <v>0</v>
      </c>
      <c r="CJ101" s="907">
        <v>0</v>
      </c>
      <c r="CK101" s="907">
        <v>0</v>
      </c>
      <c r="CL101" s="907">
        <v>0</v>
      </c>
      <c r="CM101" s="907">
        <v>0</v>
      </c>
      <c r="CN101" s="907">
        <v>0</v>
      </c>
      <c r="CO101" s="907">
        <v>0</v>
      </c>
      <c r="CP101" s="907">
        <v>0</v>
      </c>
      <c r="CQ101" s="907">
        <v>0</v>
      </c>
      <c r="CR101" s="907">
        <v>0</v>
      </c>
      <c r="CS101" s="907">
        <v>0</v>
      </c>
      <c r="CT101" s="907">
        <v>0</v>
      </c>
      <c r="CU101" s="907">
        <v>0</v>
      </c>
      <c r="CV101" s="907">
        <v>0</v>
      </c>
      <c r="CW101" s="907">
        <v>0</v>
      </c>
      <c r="CX101" s="907">
        <v>0</v>
      </c>
      <c r="CY101" s="907">
        <v>0</v>
      </c>
      <c r="CZ101" s="907">
        <v>0</v>
      </c>
      <c r="DA101" s="907">
        <v>0</v>
      </c>
      <c r="DB101" s="907">
        <v>0</v>
      </c>
      <c r="DC101" s="907">
        <v>0</v>
      </c>
    </row>
    <row r="102" spans="2:118" hidden="1" outlineLevel="1">
      <c r="B102" s="977" t="s">
        <v>1695</v>
      </c>
      <c r="C102" s="14"/>
      <c r="D102" s="195"/>
      <c r="E102" s="809"/>
      <c r="F102" s="809">
        <f t="shared" ref="F102:Z102" si="241">SUM(F95:F101)</f>
        <v>203.52100000000002</v>
      </c>
      <c r="G102" s="809">
        <f t="shared" si="241"/>
        <v>284.19200000000012</v>
      </c>
      <c r="H102" s="809">
        <f t="shared" si="241"/>
        <v>320.07499999999999</v>
      </c>
      <c r="I102" s="809">
        <f t="shared" si="241"/>
        <v>273.70400000000006</v>
      </c>
      <c r="J102" s="809">
        <f t="shared" si="241"/>
        <v>288.67300000000006</v>
      </c>
      <c r="K102" s="809">
        <f t="shared" si="241"/>
        <v>355.02800000000013</v>
      </c>
      <c r="L102" s="809">
        <f t="shared" si="241"/>
        <v>814.43200000000024</v>
      </c>
      <c r="M102" s="809">
        <f t="shared" si="241"/>
        <v>916.66100000000029</v>
      </c>
      <c r="N102" s="809">
        <f t="shared" si="241"/>
        <v>1182.4830000000004</v>
      </c>
      <c r="O102" s="809">
        <f t="shared" si="241"/>
        <v>1880.5149999999999</v>
      </c>
      <c r="P102" s="809">
        <f t="shared" si="241"/>
        <v>2037.4840000000002</v>
      </c>
      <c r="Q102" s="809">
        <f t="shared" si="241"/>
        <v>2367.9</v>
      </c>
      <c r="R102" s="809">
        <f t="shared" si="241"/>
        <v>2562.9480000000008</v>
      </c>
      <c r="S102" s="809">
        <f t="shared" si="241"/>
        <v>2299.5839999999994</v>
      </c>
      <c r="T102" s="809">
        <f t="shared" si="241"/>
        <v>2770.8010000000004</v>
      </c>
      <c r="U102" s="809">
        <f t="shared" si="241"/>
        <v>4531.4300000000012</v>
      </c>
      <c r="V102" s="809">
        <f>SUM(V95:V101)</f>
        <v>7013.0290000000014</v>
      </c>
      <c r="W102" s="809">
        <f ca="1">SUM(W95:W101)</f>
        <v>7691.6154361106355</v>
      </c>
      <c r="X102" s="809">
        <f t="shared" ca="1" si="241"/>
        <v>8611.0254296761868</v>
      </c>
      <c r="Y102" s="809">
        <f t="shared" ca="1" si="241"/>
        <v>9647.2292557066921</v>
      </c>
      <c r="Z102" s="809">
        <f t="shared" ca="1" si="241"/>
        <v>10788.01996044893</v>
      </c>
      <c r="AA102" s="809">
        <f t="shared" ref="AA102:AD102" ca="1" si="242">SUM(AA95:AA101)</f>
        <v>12152.702991818489</v>
      </c>
      <c r="AB102" s="809">
        <f t="shared" ca="1" si="242"/>
        <v>14095.501932369481</v>
      </c>
      <c r="AC102" s="809">
        <f t="shared" ca="1" si="242"/>
        <v>16473.254974516596</v>
      </c>
      <c r="AD102" s="809">
        <f t="shared" ca="1" si="242"/>
        <v>19034.453730856461</v>
      </c>
      <c r="AE102" s="195"/>
      <c r="AF102" s="195"/>
      <c r="AG102" s="809">
        <f>AG71</f>
        <v>-2.9719999999999871</v>
      </c>
      <c r="AH102" s="809">
        <f>SUM(AH95:AH101)</f>
        <v>412.70300000000003</v>
      </c>
      <c r="AI102" s="809">
        <f>AI71</f>
        <v>375.11600000000004</v>
      </c>
      <c r="AJ102" s="809">
        <f t="shared" ref="AJ102:BO102" si="243">SUM(AJ95:AJ101)</f>
        <v>337.22</v>
      </c>
      <c r="AK102" s="809">
        <f t="shared" si="243"/>
        <v>304.38200000000012</v>
      </c>
      <c r="AL102" s="809">
        <f t="shared" si="243"/>
        <v>227.72500000000011</v>
      </c>
      <c r="AM102" s="809">
        <f t="shared" si="243"/>
        <v>203.52100000000007</v>
      </c>
      <c r="AN102" s="809">
        <f t="shared" si="243"/>
        <v>205.5680000000001</v>
      </c>
      <c r="AO102" s="809">
        <f t="shared" si="243"/>
        <v>190.27900000000005</v>
      </c>
      <c r="AP102" s="809">
        <f t="shared" si="243"/>
        <v>147.8660000000001</v>
      </c>
      <c r="AQ102" s="809">
        <f t="shared" si="243"/>
        <v>284.19200000000018</v>
      </c>
      <c r="AR102" s="809">
        <f t="shared" si="243"/>
        <v>259.08300000000014</v>
      </c>
      <c r="AS102" s="809">
        <f t="shared" si="243"/>
        <v>249.04100000000008</v>
      </c>
      <c r="AT102" s="809">
        <f t="shared" si="243"/>
        <v>231.55700000000007</v>
      </c>
      <c r="AU102" s="809">
        <f t="shared" si="243"/>
        <v>320.07500000000005</v>
      </c>
      <c r="AV102" s="809">
        <f t="shared" si="243"/>
        <v>302.92100000000011</v>
      </c>
      <c r="AW102" s="809">
        <f t="shared" si="243"/>
        <v>296.28100000000018</v>
      </c>
      <c r="AX102" s="809">
        <f t="shared" si="243"/>
        <v>291.19500000000011</v>
      </c>
      <c r="AY102" s="809">
        <f t="shared" si="243"/>
        <v>273.70400000000012</v>
      </c>
      <c r="AZ102" s="809">
        <f t="shared" si="243"/>
        <v>309.34800000000013</v>
      </c>
      <c r="BA102" s="809">
        <f t="shared" si="243"/>
        <v>311.09800000000013</v>
      </c>
      <c r="BB102" s="809">
        <f t="shared" si="243"/>
        <v>315.07400000000001</v>
      </c>
      <c r="BC102" s="809">
        <f t="shared" si="243"/>
        <v>288.67300000000006</v>
      </c>
      <c r="BD102" s="809">
        <f t="shared" si="243"/>
        <v>306.90000000000003</v>
      </c>
      <c r="BE102" s="809">
        <f t="shared" si="243"/>
        <v>317.12700000000012</v>
      </c>
      <c r="BF102" s="809">
        <f t="shared" si="243"/>
        <v>327.58400000000006</v>
      </c>
      <c r="BG102" s="809">
        <f t="shared" si="243"/>
        <v>355.02800000000008</v>
      </c>
      <c r="BH102" s="809">
        <f t="shared" si="243"/>
        <v>425.12300000000005</v>
      </c>
      <c r="BI102" s="809">
        <f t="shared" si="243"/>
        <v>442.67400000000015</v>
      </c>
      <c r="BJ102" s="809">
        <f t="shared" si="243"/>
        <v>814.67700000000013</v>
      </c>
      <c r="BK102" s="809">
        <f t="shared" si="243"/>
        <v>814.43200000000024</v>
      </c>
      <c r="BL102" s="809">
        <f t="shared" si="243"/>
        <v>843.13000000000045</v>
      </c>
      <c r="BM102" s="809">
        <f t="shared" si="243"/>
        <v>878.67300000000034</v>
      </c>
      <c r="BN102" s="809">
        <f t="shared" si="243"/>
        <v>837.25000000000023</v>
      </c>
      <c r="BO102" s="809">
        <f t="shared" si="243"/>
        <v>916.66100000000017</v>
      </c>
      <c r="BP102" s="809">
        <f t="shared" ref="BP102:CP102" si="244">SUM(BP95:BP101)</f>
        <v>933.19600000000014</v>
      </c>
      <c r="BQ102" s="809">
        <f t="shared" si="244"/>
        <v>1092.6220000000001</v>
      </c>
      <c r="BR102" s="809">
        <f t="shared" si="244"/>
        <v>1134.434</v>
      </c>
      <c r="BS102" s="809">
        <f t="shared" si="244"/>
        <v>1182.4829999999999</v>
      </c>
      <c r="BT102" s="809">
        <f t="shared" si="244"/>
        <v>1187.4870000000001</v>
      </c>
      <c r="BU102" s="809">
        <f t="shared" si="244"/>
        <v>1750.1969999999994</v>
      </c>
      <c r="BV102" s="809">
        <f t="shared" si="244"/>
        <v>1853.9729999999995</v>
      </c>
      <c r="BW102" s="809">
        <f t="shared" si="244"/>
        <v>1880.5149999999994</v>
      </c>
      <c r="BX102" s="809">
        <f t="shared" si="244"/>
        <v>1987.3969999999997</v>
      </c>
      <c r="BY102" s="809">
        <f t="shared" si="244"/>
        <v>2064.2019999999993</v>
      </c>
      <c r="BZ102" s="809">
        <f t="shared" si="244"/>
        <v>2024.8299999999995</v>
      </c>
      <c r="CA102" s="809">
        <f t="shared" si="244"/>
        <v>2037.4839999999995</v>
      </c>
      <c r="CB102" s="809">
        <f t="shared" si="244"/>
        <v>2155.9989999999993</v>
      </c>
      <c r="CC102" s="809">
        <f t="shared" si="244"/>
        <v>2101.6289999999999</v>
      </c>
      <c r="CD102" s="809">
        <f t="shared" si="244"/>
        <v>2265.6859999999997</v>
      </c>
      <c r="CE102" s="809">
        <f t="shared" si="244"/>
        <v>2367.8999999999992</v>
      </c>
      <c r="CF102" s="809">
        <f t="shared" si="244"/>
        <v>2373.0559999999996</v>
      </c>
      <c r="CG102" s="809">
        <f t="shared" si="244"/>
        <v>2346.0160000000001</v>
      </c>
      <c r="CH102" s="809">
        <f t="shared" si="244"/>
        <v>2507.9340000000002</v>
      </c>
      <c r="CI102" s="809">
        <f t="shared" si="244"/>
        <v>2562.9480000000003</v>
      </c>
      <c r="CJ102" s="809">
        <f t="shared" si="244"/>
        <v>2667.585</v>
      </c>
      <c r="CK102" s="809">
        <f t="shared" si="244"/>
        <v>2753.9190000000003</v>
      </c>
      <c r="CL102" s="809">
        <f t="shared" si="244"/>
        <v>2710.4810000000002</v>
      </c>
      <c r="CM102" s="809">
        <f t="shared" si="244"/>
        <v>2299.5839999999994</v>
      </c>
      <c r="CN102" s="809">
        <f t="shared" si="244"/>
        <v>2190.4580000000001</v>
      </c>
      <c r="CO102" s="809">
        <f t="shared" si="244"/>
        <v>2231.2779999999993</v>
      </c>
      <c r="CP102" s="809">
        <f t="shared" si="244"/>
        <v>1516.6079999999997</v>
      </c>
      <c r="CQ102" s="809">
        <f t="shared" ref="CQ102:CU102" si="245">SUM(CQ95:CQ101)</f>
        <v>2770.8009999999999</v>
      </c>
      <c r="CR102" s="809">
        <f t="shared" si="245"/>
        <v>4843.7820000000011</v>
      </c>
      <c r="CS102" s="809">
        <f t="shared" si="245"/>
        <v>4871.7530000000006</v>
      </c>
      <c r="CT102" s="809">
        <f t="shared" si="245"/>
        <v>4789.3690000000006</v>
      </c>
      <c r="CU102" s="809">
        <f t="shared" si="245"/>
        <v>4531.4300000000012</v>
      </c>
      <c r="CV102" s="809">
        <f>SUM(CV95:CV101)</f>
        <v>6681.6940000000004</v>
      </c>
      <c r="CW102" s="809">
        <f>SUM(CW95:CW101)</f>
        <v>6687.5639999999994</v>
      </c>
      <c r="CX102" s="809">
        <f>SUM(CX95:CX101)</f>
        <v>6705.5050000000001</v>
      </c>
      <c r="CY102" s="809">
        <f>SUM(CY95:CY101)</f>
        <v>7013.0290000000005</v>
      </c>
      <c r="CZ102" s="809">
        <f t="shared" ref="CZ102:DC102" ca="1" si="246">SUM(CZ95:CZ101)</f>
        <v>7158.9985743317166</v>
      </c>
      <c r="DA102" s="809">
        <f t="shared" ca="1" si="246"/>
        <v>7330.5296487883688</v>
      </c>
      <c r="DB102" s="809">
        <f t="shared" ca="1" si="246"/>
        <v>7517.9452579207227</v>
      </c>
      <c r="DC102" s="809">
        <f t="shared" ca="1" si="246"/>
        <v>7718.1834163153171</v>
      </c>
      <c r="DD102" s="14"/>
      <c r="DE102" s="14"/>
      <c r="DF102" s="14"/>
      <c r="DG102" s="14"/>
      <c r="DH102" s="14"/>
    </row>
    <row r="103" spans="2:118" hidden="1" outlineLevel="1">
      <c r="B103" s="982" t="s">
        <v>1586</v>
      </c>
      <c r="C103" s="985"/>
      <c r="D103" s="988"/>
      <c r="E103" s="989"/>
      <c r="F103" s="989">
        <f t="shared" ref="F103:Z103" si="247">F102-F71</f>
        <v>0</v>
      </c>
      <c r="G103" s="989">
        <f t="shared" si="247"/>
        <v>0</v>
      </c>
      <c r="H103" s="989">
        <f t="shared" si="247"/>
        <v>0</v>
      </c>
      <c r="I103" s="989">
        <f t="shared" si="247"/>
        <v>0</v>
      </c>
      <c r="J103" s="989">
        <f t="shared" si="247"/>
        <v>0</v>
      </c>
      <c r="K103" s="989">
        <f t="shared" si="247"/>
        <v>0</v>
      </c>
      <c r="L103" s="989">
        <f t="shared" si="247"/>
        <v>0</v>
      </c>
      <c r="M103" s="989">
        <f t="shared" si="247"/>
        <v>0</v>
      </c>
      <c r="N103" s="989">
        <f t="shared" si="247"/>
        <v>0</v>
      </c>
      <c r="O103" s="989">
        <f t="shared" si="247"/>
        <v>10.205000000000382</v>
      </c>
      <c r="P103" s="989">
        <f t="shared" si="247"/>
        <v>110.76700000000073</v>
      </c>
      <c r="Q103" s="989">
        <f t="shared" si="247"/>
        <v>54.459000000000287</v>
      </c>
      <c r="R103" s="989">
        <f t="shared" si="247"/>
        <v>103.88400000000047</v>
      </c>
      <c r="S103" s="989">
        <f t="shared" si="247"/>
        <v>29.452999999999975</v>
      </c>
      <c r="T103" s="989">
        <f t="shared" si="247"/>
        <v>25.415000000000418</v>
      </c>
      <c r="U103" s="989">
        <f t="shared" si="247"/>
        <v>165.60100000000057</v>
      </c>
      <c r="V103" s="989">
        <f>V102-V71</f>
        <v>163.23900000000049</v>
      </c>
      <c r="W103" s="989">
        <f ca="1">W102-W71</f>
        <v>866.67313418118192</v>
      </c>
      <c r="X103" s="989">
        <f t="shared" ca="1" si="247"/>
        <v>1685.0389425620779</v>
      </c>
      <c r="Y103" s="989">
        <f t="shared" ca="1" si="247"/>
        <v>2572.9833295802036</v>
      </c>
      <c r="Z103" s="989">
        <f t="shared" ca="1" si="247"/>
        <v>3527.4497776074586</v>
      </c>
      <c r="AA103" s="989">
        <f t="shared" ref="AA103:AD103" ca="1" si="248">AA102-AA71</f>
        <v>4547.4331092942084</v>
      </c>
      <c r="AB103" s="989">
        <f t="shared" ca="1" si="248"/>
        <v>5613.017653739922</v>
      </c>
      <c r="AC103" s="989">
        <f t="shared" ca="1" si="248"/>
        <v>6735.6781100297248</v>
      </c>
      <c r="AD103" s="989">
        <f t="shared" ca="1" si="248"/>
        <v>7935.2732023423268</v>
      </c>
      <c r="AE103" s="988"/>
      <c r="AF103" s="988"/>
      <c r="AG103" s="988"/>
      <c r="AH103" s="989"/>
      <c r="AI103" s="989"/>
      <c r="AJ103" s="989">
        <f t="shared" ref="AJ103:BO103" si="249">AJ102-AJ71</f>
        <v>0</v>
      </c>
      <c r="AK103" s="989">
        <f t="shared" si="249"/>
        <v>0</v>
      </c>
      <c r="AL103" s="989">
        <f t="shared" si="249"/>
        <v>0</v>
      </c>
      <c r="AM103" s="989">
        <f t="shared" si="249"/>
        <v>0</v>
      </c>
      <c r="AN103" s="989">
        <f t="shared" si="249"/>
        <v>0</v>
      </c>
      <c r="AO103" s="989">
        <f t="shared" si="249"/>
        <v>0</v>
      </c>
      <c r="AP103" s="989">
        <f t="shared" si="249"/>
        <v>0</v>
      </c>
      <c r="AQ103" s="989">
        <f t="shared" si="249"/>
        <v>0</v>
      </c>
      <c r="AR103" s="989">
        <f t="shared" si="249"/>
        <v>0</v>
      </c>
      <c r="AS103" s="989">
        <f t="shared" si="249"/>
        <v>0</v>
      </c>
      <c r="AT103" s="989">
        <f t="shared" si="249"/>
        <v>0</v>
      </c>
      <c r="AU103" s="989">
        <f t="shared" si="249"/>
        <v>0</v>
      </c>
      <c r="AV103" s="989">
        <f t="shared" si="249"/>
        <v>0</v>
      </c>
      <c r="AW103" s="989">
        <f t="shared" si="249"/>
        <v>0</v>
      </c>
      <c r="AX103" s="989">
        <f t="shared" si="249"/>
        <v>0</v>
      </c>
      <c r="AY103" s="989">
        <f t="shared" si="249"/>
        <v>0</v>
      </c>
      <c r="AZ103" s="989">
        <f t="shared" si="249"/>
        <v>0</v>
      </c>
      <c r="BA103" s="989">
        <f t="shared" si="249"/>
        <v>0</v>
      </c>
      <c r="BB103" s="989">
        <f t="shared" si="249"/>
        <v>0</v>
      </c>
      <c r="BC103" s="989">
        <f t="shared" si="249"/>
        <v>0</v>
      </c>
      <c r="BD103" s="989">
        <f t="shared" si="249"/>
        <v>0</v>
      </c>
      <c r="BE103" s="989">
        <f t="shared" si="249"/>
        <v>0</v>
      </c>
      <c r="BF103" s="989">
        <f t="shared" si="249"/>
        <v>0</v>
      </c>
      <c r="BG103" s="989">
        <f t="shared" si="249"/>
        <v>0</v>
      </c>
      <c r="BH103" s="989">
        <f t="shared" si="249"/>
        <v>0</v>
      </c>
      <c r="BI103" s="989">
        <f t="shared" si="249"/>
        <v>0</v>
      </c>
      <c r="BJ103" s="989">
        <f t="shared" si="249"/>
        <v>0</v>
      </c>
      <c r="BK103" s="989">
        <f t="shared" si="249"/>
        <v>0</v>
      </c>
      <c r="BL103" s="989">
        <f t="shared" si="249"/>
        <v>0</v>
      </c>
      <c r="BM103" s="989">
        <f t="shared" si="249"/>
        <v>0</v>
      </c>
      <c r="BN103" s="989">
        <f t="shared" si="249"/>
        <v>0</v>
      </c>
      <c r="BO103" s="989">
        <f t="shared" si="249"/>
        <v>0</v>
      </c>
      <c r="BP103" s="989">
        <f t="shared" ref="BP103:CP103" si="250">BP102-BP71</f>
        <v>0</v>
      </c>
      <c r="BQ103" s="989">
        <f t="shared" si="250"/>
        <v>0</v>
      </c>
      <c r="BR103" s="989">
        <f t="shared" si="250"/>
        <v>0</v>
      </c>
      <c r="BS103" s="989">
        <f t="shared" si="250"/>
        <v>0</v>
      </c>
      <c r="BT103" s="989">
        <f t="shared" si="250"/>
        <v>0</v>
      </c>
      <c r="BU103" s="989">
        <f t="shared" si="250"/>
        <v>2.3319999999996526</v>
      </c>
      <c r="BV103" s="989">
        <f t="shared" si="250"/>
        <v>6.0849999999995816</v>
      </c>
      <c r="BW103" s="989">
        <f t="shared" si="250"/>
        <v>10.204999999999927</v>
      </c>
      <c r="BX103" s="989">
        <f t="shared" si="250"/>
        <v>14.040999999999713</v>
      </c>
      <c r="BY103" s="989">
        <f t="shared" si="250"/>
        <v>17.901999999999589</v>
      </c>
      <c r="BZ103" s="989">
        <f t="shared" si="250"/>
        <v>22.057999999999311</v>
      </c>
      <c r="CA103" s="989">
        <f t="shared" si="250"/>
        <v>110.76700000000005</v>
      </c>
      <c r="CB103" s="989">
        <f t="shared" si="250"/>
        <v>127.34199999999896</v>
      </c>
      <c r="CC103" s="989">
        <f t="shared" si="250"/>
        <v>66.670000000000073</v>
      </c>
      <c r="CD103" s="989">
        <f t="shared" si="250"/>
        <v>37.320999999999913</v>
      </c>
      <c r="CE103" s="989">
        <f t="shared" si="250"/>
        <v>54.458999999999378</v>
      </c>
      <c r="CF103" s="989">
        <f t="shared" si="250"/>
        <v>32.628999999999451</v>
      </c>
      <c r="CG103" s="989">
        <f t="shared" si="250"/>
        <v>33.061000000000149</v>
      </c>
      <c r="CH103" s="989">
        <f t="shared" si="250"/>
        <v>38.809000000000196</v>
      </c>
      <c r="CI103" s="989">
        <f t="shared" si="250"/>
        <v>103.88400000000001</v>
      </c>
      <c r="CJ103" s="989">
        <f t="shared" si="250"/>
        <v>150.57899999999972</v>
      </c>
      <c r="CK103" s="989">
        <f t="shared" si="250"/>
        <v>70.860000000000582</v>
      </c>
      <c r="CL103" s="989">
        <f t="shared" si="250"/>
        <v>112.80100000000039</v>
      </c>
      <c r="CM103" s="989">
        <f t="shared" si="250"/>
        <v>29.452999999999975</v>
      </c>
      <c r="CN103" s="989">
        <f t="shared" si="250"/>
        <v>28.728999999999814</v>
      </c>
      <c r="CO103" s="989">
        <f t="shared" si="250"/>
        <v>28.688000000000102</v>
      </c>
      <c r="CP103" s="989">
        <f t="shared" si="250"/>
        <v>27.954999999999927</v>
      </c>
      <c r="CQ103" s="989">
        <f t="shared" ref="CQ103:CU103" si="251">CQ102-CQ71</f>
        <v>25.414999999999964</v>
      </c>
      <c r="CR103" s="989">
        <f t="shared" si="251"/>
        <v>24.677000000001499</v>
      </c>
      <c r="CS103" s="989">
        <f t="shared" si="251"/>
        <v>166.28800000000138</v>
      </c>
      <c r="CT103" s="989">
        <f t="shared" si="251"/>
        <v>165.65900000000056</v>
      </c>
      <c r="CU103" s="989">
        <f t="shared" si="251"/>
        <v>165.60100000000057</v>
      </c>
      <c r="CV103" s="989">
        <f>CV102-CV71</f>
        <v>163.85499999999956</v>
      </c>
      <c r="CW103" s="989">
        <f>CW102-CW71</f>
        <v>163.90100000000075</v>
      </c>
      <c r="CX103" s="989">
        <f>CX102-CX71</f>
        <v>163.28800000000047</v>
      </c>
      <c r="CY103" s="989">
        <f>CY102-CY71</f>
        <v>163.23899999999958</v>
      </c>
      <c r="CZ103" s="989">
        <f t="shared" ref="CZ103:DC103" ca="1" si="252">CZ102-CZ71</f>
        <v>344.30788571361609</v>
      </c>
      <c r="DA103" s="989">
        <f t="shared" ca="1" si="252"/>
        <v>526.32895299800748</v>
      </c>
      <c r="DB103" s="989">
        <f t="shared" ca="1" si="252"/>
        <v>709.30555764676137</v>
      </c>
      <c r="DC103" s="989">
        <f t="shared" ca="1" si="252"/>
        <v>893.24111438586351</v>
      </c>
      <c r="DD103" s="985"/>
      <c r="DE103" s="985"/>
      <c r="DF103" s="985"/>
      <c r="DG103" s="985"/>
      <c r="DH103" s="985"/>
    </row>
    <row r="104" spans="2:118" s="15" customFormat="1" hidden="1" outlineLevel="1">
      <c r="B104" s="982"/>
      <c r="C104" s="985"/>
      <c r="D104" s="988"/>
      <c r="E104" s="988"/>
      <c r="F104" s="988"/>
      <c r="G104" s="988"/>
      <c r="H104" s="988"/>
      <c r="I104" s="988"/>
      <c r="J104" s="988"/>
      <c r="K104" s="988"/>
      <c r="L104" s="988"/>
      <c r="M104" s="988"/>
      <c r="N104" s="988"/>
      <c r="O104" s="988"/>
      <c r="P104" s="988"/>
      <c r="Q104" s="988"/>
      <c r="R104" s="988"/>
      <c r="S104" s="988"/>
      <c r="T104" s="988"/>
      <c r="U104" s="988"/>
      <c r="V104" s="988"/>
      <c r="W104" s="988"/>
      <c r="X104" s="988"/>
      <c r="Y104" s="988"/>
      <c r="Z104" s="988"/>
      <c r="AA104" s="988"/>
      <c r="AB104" s="988"/>
      <c r="AC104" s="988"/>
      <c r="AD104" s="988"/>
      <c r="AE104" s="988"/>
      <c r="AF104" s="988"/>
      <c r="AG104" s="988"/>
      <c r="AH104" s="989"/>
      <c r="AI104" s="989"/>
      <c r="AJ104" s="989"/>
      <c r="AK104" s="989"/>
      <c r="AL104" s="989"/>
      <c r="AM104" s="989"/>
      <c r="AN104" s="989"/>
      <c r="AO104" s="989"/>
      <c r="AP104" s="989"/>
      <c r="AQ104" s="989"/>
      <c r="AR104" s="989"/>
      <c r="AS104" s="989"/>
      <c r="AT104" s="989"/>
      <c r="AU104" s="989"/>
      <c r="AV104" s="989"/>
      <c r="AW104" s="989"/>
      <c r="AX104" s="989"/>
      <c r="AY104" s="989"/>
      <c r="AZ104" s="989"/>
      <c r="BA104" s="989"/>
      <c r="BB104" s="989"/>
      <c r="BC104" s="989"/>
      <c r="BD104" s="989"/>
      <c r="BE104" s="989"/>
      <c r="BF104" s="989"/>
      <c r="BG104" s="989"/>
      <c r="BH104" s="989"/>
      <c r="BI104" s="989"/>
      <c r="BJ104" s="989"/>
      <c r="BK104" s="989"/>
      <c r="BL104" s="989"/>
      <c r="BM104" s="989"/>
      <c r="BN104" s="989"/>
      <c r="BO104" s="989"/>
      <c r="BP104" s="989"/>
      <c r="BQ104" s="989"/>
      <c r="BR104" s="989"/>
      <c r="BS104" s="989"/>
      <c r="BT104" s="989"/>
      <c r="BU104" s="989"/>
      <c r="BV104" s="989"/>
      <c r="BW104" s="989"/>
      <c r="BX104" s="989"/>
      <c r="BY104" s="989"/>
      <c r="BZ104" s="989"/>
      <c r="CA104" s="989"/>
      <c r="CB104" s="989"/>
      <c r="CC104" s="989"/>
      <c r="CD104" s="989"/>
      <c r="CE104" s="989"/>
      <c r="CF104" s="989"/>
      <c r="CG104" s="989"/>
      <c r="CH104" s="989"/>
      <c r="CI104" s="989"/>
      <c r="CJ104" s="989"/>
      <c r="CK104" s="989"/>
      <c r="CL104" s="989"/>
      <c r="CM104" s="989"/>
      <c r="CN104" s="989"/>
      <c r="CO104" s="989"/>
      <c r="CP104" s="989"/>
      <c r="CQ104" s="989"/>
      <c r="CR104" s="989"/>
      <c r="CS104" s="989"/>
      <c r="CT104" s="989"/>
      <c r="CU104" s="989"/>
      <c r="CV104" s="989"/>
      <c r="CW104" s="989"/>
      <c r="CX104" s="989"/>
      <c r="CY104" s="989"/>
      <c r="CZ104" s="989"/>
      <c r="DA104" s="989"/>
      <c r="DB104" s="989"/>
      <c r="DC104" s="989"/>
      <c r="DD104" s="985"/>
      <c r="DE104" s="985"/>
      <c r="DF104" s="985"/>
      <c r="DG104" s="985"/>
      <c r="DH104" s="985"/>
      <c r="DI104"/>
      <c r="DJ104"/>
      <c r="DK104"/>
      <c r="DL104"/>
      <c r="DM104"/>
      <c r="DN104"/>
    </row>
    <row r="105" spans="2:118" s="15" customFormat="1" hidden="1" outlineLevel="1">
      <c r="B105" s="938" t="s">
        <v>846</v>
      </c>
      <c r="C105" s="23"/>
      <c r="L105" s="23"/>
      <c r="M105" s="23"/>
      <c r="N105" s="23"/>
      <c r="O105" s="23"/>
      <c r="P105" s="23"/>
      <c r="Q105" s="23"/>
      <c r="R105" s="23"/>
      <c r="S105" s="23"/>
      <c r="T105" s="23"/>
      <c r="U105" s="23"/>
      <c r="V105" s="23"/>
      <c r="W105" s="23"/>
      <c r="X105" s="23"/>
      <c r="Y105" s="23"/>
      <c r="Z105" s="23"/>
      <c r="AA105" s="23"/>
      <c r="AB105" s="23"/>
      <c r="AC105" s="23"/>
      <c r="AD105" s="23"/>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c r="BA105" s="23"/>
      <c r="BB105" s="23"/>
      <c r="BC105" s="23"/>
      <c r="BD105" s="23"/>
      <c r="BE105" s="23"/>
      <c r="BF105" s="23"/>
      <c r="BG105" s="23"/>
      <c r="BH105" s="23"/>
      <c r="BI105" s="23"/>
      <c r="BJ105" s="23"/>
      <c r="BK105" s="23"/>
      <c r="BL105" s="23"/>
      <c r="BM105" s="23"/>
      <c r="BN105" s="23"/>
      <c r="BO105" s="23"/>
      <c r="BP105" s="23"/>
      <c r="BQ105" s="23"/>
      <c r="BR105" s="23"/>
      <c r="BS105" s="23"/>
      <c r="BT105" s="23"/>
      <c r="BU105" s="23"/>
      <c r="BV105" s="23"/>
      <c r="BW105" s="23"/>
      <c r="BX105" s="23"/>
      <c r="BY105" s="23"/>
      <c r="BZ105" s="23"/>
      <c r="CA105" s="23"/>
      <c r="CB105" s="23"/>
      <c r="CC105" s="23"/>
      <c r="CD105" s="23"/>
      <c r="CE105" s="23"/>
      <c r="CF105" s="23"/>
      <c r="CG105" s="23"/>
      <c r="CH105" s="23"/>
      <c r="CI105" s="23"/>
      <c r="CJ105" s="23"/>
      <c r="CK105" s="23"/>
      <c r="CL105" s="23"/>
      <c r="CM105" s="23"/>
      <c r="CN105" s="23"/>
      <c r="CO105" s="23"/>
      <c r="CP105" s="23"/>
      <c r="CQ105" s="23"/>
      <c r="CR105" s="23"/>
      <c r="CS105" s="23"/>
      <c r="CT105" s="23"/>
      <c r="CU105" s="23"/>
      <c r="CV105" s="23"/>
      <c r="CW105" s="23"/>
      <c r="CX105" s="23"/>
      <c r="CY105" s="23"/>
      <c r="CZ105" s="23"/>
      <c r="DA105" s="23"/>
      <c r="DB105" s="23"/>
      <c r="DC105" s="23"/>
      <c r="DI105"/>
      <c r="DJ105"/>
      <c r="DK105"/>
      <c r="DL105"/>
      <c r="DM105"/>
      <c r="DN105"/>
    </row>
    <row r="106" spans="2:118" s="15" customFormat="1" hidden="1" outlineLevel="1">
      <c r="B106" s="990" t="s">
        <v>1099</v>
      </c>
      <c r="C106" s="23"/>
      <c r="E106" s="54"/>
      <c r="F106" s="54">
        <f>IS!F15</f>
        <v>63.414000000000001</v>
      </c>
      <c r="G106" s="54">
        <f>IS!G15</f>
        <v>77.188000000000002</v>
      </c>
      <c r="H106" s="54">
        <f>IS!H15</f>
        <v>117.94200000000001</v>
      </c>
      <c r="I106" s="54">
        <f>IS!I15</f>
        <v>163.67099999999999</v>
      </c>
      <c r="J106" s="54">
        <f>IS!J15</f>
        <v>221.05700000000002</v>
      </c>
      <c r="K106" s="54">
        <f>IS!K15</f>
        <v>288.09400000000005</v>
      </c>
      <c r="L106" s="54">
        <f>IS!L15</f>
        <v>419.44200000000006</v>
      </c>
      <c r="M106" s="54">
        <f>IS!M15</f>
        <v>704.68</v>
      </c>
      <c r="N106" s="54">
        <f>IS!N15</f>
        <v>882.50900000000013</v>
      </c>
      <c r="O106" s="54">
        <f>IS!O15</f>
        <v>1196.2139999999999</v>
      </c>
      <c r="P106" s="54">
        <f>IS!P15</f>
        <v>1569.7840000000001</v>
      </c>
      <c r="Q106" s="54">
        <f>IS!Q15</f>
        <v>1887.376</v>
      </c>
      <c r="R106" s="54">
        <f>IS!R15</f>
        <v>2152.7660000000001</v>
      </c>
      <c r="S106" s="54">
        <f>IS!S15</f>
        <v>2443.7749999999996</v>
      </c>
      <c r="T106" s="54">
        <f>IS!T15</f>
        <v>2725.8670000000002</v>
      </c>
      <c r="U106" s="2305">
        <f>IS!U15</f>
        <v>3611.9889999999996</v>
      </c>
      <c r="V106" s="2305">
        <f>IS!V15</f>
        <v>4368.4279999999999</v>
      </c>
      <c r="W106" s="2305">
        <f ca="1">IS!W15</f>
        <v>5039.1585955911905</v>
      </c>
      <c r="X106" s="2305">
        <f ca="1">IS!X15</f>
        <v>5500.5877719846403</v>
      </c>
      <c r="Y106" s="2305">
        <f ca="1">IS!Y15</f>
        <v>5937.3329327160309</v>
      </c>
      <c r="Z106" s="2305">
        <f ca="1">IS!Z15</f>
        <v>6349.2579843878229</v>
      </c>
      <c r="AA106" s="2305">
        <f ca="1">IS!AA15</f>
        <v>6759.6524169437562</v>
      </c>
      <c r="AB106" s="2305">
        <f ca="1">IS!AB15</f>
        <v>7168.2294722832021</v>
      </c>
      <c r="AC106" s="2305">
        <f ca="1">IS!AC15</f>
        <v>7574.760814010624</v>
      </c>
      <c r="AD106" s="2305">
        <f ca="1">IS!AD15</f>
        <v>7979.0579009880248</v>
      </c>
      <c r="AE106" s="54"/>
      <c r="AF106" s="54">
        <f>IS!AL15</f>
        <v>0.13600000000000001</v>
      </c>
      <c r="AG106" s="54">
        <f>IS!AM15</f>
        <v>0.89200000000000002</v>
      </c>
      <c r="AH106" s="54">
        <f>IS!AN15</f>
        <v>3.9329999999999998</v>
      </c>
      <c r="AI106" s="54">
        <f>IS!AO15</f>
        <v>8.0549999999999997</v>
      </c>
      <c r="AJ106" s="54">
        <f>Rev!AJ14</f>
        <v>12.613</v>
      </c>
      <c r="AK106" s="54">
        <f>Rev!AK14</f>
        <v>16.157</v>
      </c>
      <c r="AL106" s="54">
        <f>Rev!AL14</f>
        <v>17.178000000000001</v>
      </c>
      <c r="AM106" s="54">
        <f>Rev!AM14</f>
        <v>17.466000000000001</v>
      </c>
      <c r="AN106" s="54">
        <f>Rev!AN14</f>
        <v>20.158000000000001</v>
      </c>
      <c r="AO106" s="54">
        <f>Rev!AO14</f>
        <v>18.04</v>
      </c>
      <c r="AP106" s="54">
        <f>Rev!AP14</f>
        <v>20.187000000000001</v>
      </c>
      <c r="AQ106" s="54">
        <f>Rev!AQ14</f>
        <v>18.803000000000001</v>
      </c>
      <c r="AR106" s="54">
        <f>Rev!AR14</f>
        <v>25.435000000000002</v>
      </c>
      <c r="AS106" s="54">
        <f>Rev!AS14</f>
        <v>28.433999999999997</v>
      </c>
      <c r="AT106" s="54">
        <f>Rev!AT14</f>
        <v>30.919</v>
      </c>
      <c r="AU106" s="54">
        <f>Rev!AU14</f>
        <v>33.153999999999996</v>
      </c>
      <c r="AV106" s="54">
        <f>Rev!AV14</f>
        <v>36.82</v>
      </c>
      <c r="AW106" s="54">
        <f>Rev!AW14</f>
        <v>39.423000000000002</v>
      </c>
      <c r="AX106" s="54">
        <f>Rev!AX14</f>
        <v>42.439</v>
      </c>
      <c r="AY106" s="54">
        <f>Rev!AY14</f>
        <v>44.989000000000004</v>
      </c>
      <c r="AZ106" s="54">
        <f>Rev!AZ14</f>
        <v>48.683999999999997</v>
      </c>
      <c r="BA106" s="54">
        <f>Rev!BA14</f>
        <v>52.478999999999999</v>
      </c>
      <c r="BB106" s="54">
        <f>Rev!BB14</f>
        <v>58.095999999999997</v>
      </c>
      <c r="BC106" s="54">
        <f>Rev!BC14</f>
        <v>61.797999999999995</v>
      </c>
      <c r="BD106" s="54">
        <f>Rev!BD14</f>
        <v>64.869</v>
      </c>
      <c r="BE106" s="54">
        <f>Rev!BE14</f>
        <v>68.548000000000002</v>
      </c>
      <c r="BF106" s="54">
        <f>Rev!BF14</f>
        <v>73.725999999999999</v>
      </c>
      <c r="BG106" s="54">
        <f>Rev!BG14</f>
        <v>79.771999999999991</v>
      </c>
      <c r="BH106" s="54">
        <f>Rev!BH14</f>
        <v>85.109000000000009</v>
      </c>
      <c r="BI106" s="54">
        <f>Rev!BI14</f>
        <v>91.837000000000018</v>
      </c>
      <c r="BJ106" s="54">
        <f>Rev!BJ14</f>
        <v>103.782</v>
      </c>
      <c r="BK106" s="54">
        <f>Rev!BK14</f>
        <v>138.714</v>
      </c>
      <c r="BL106" s="54">
        <f>Rev!BL14</f>
        <v>158.21800000000002</v>
      </c>
      <c r="BM106" s="54">
        <f>Rev!BM14</f>
        <v>172.04399999999998</v>
      </c>
      <c r="BN106" s="54">
        <f>Rev!BN14</f>
        <v>183.73499999999996</v>
      </c>
      <c r="BO106" s="54">
        <f>Rev!BO14</f>
        <v>190.68299999999999</v>
      </c>
      <c r="BP106" s="54">
        <f>Rev!BP14</f>
        <v>199.23100000000002</v>
      </c>
      <c r="BQ106" s="54">
        <f>Rev!BQ14</f>
        <v>213.16799999999998</v>
      </c>
      <c r="BR106" s="54">
        <f>Rev!BR14</f>
        <v>227.55799999999999</v>
      </c>
      <c r="BS106" s="54">
        <f>Rev!BS14</f>
        <v>242.55199999999999</v>
      </c>
      <c r="BT106" s="54">
        <f>Rev!BT14</f>
        <v>248.64900000000003</v>
      </c>
      <c r="BU106" s="54">
        <f>Rev!BU14</f>
        <v>290.01699999999994</v>
      </c>
      <c r="BV106" s="54">
        <f>Rev!BV14</f>
        <v>321.39400000000001</v>
      </c>
      <c r="BW106" s="54">
        <f>Rev!BW14</f>
        <v>336.154</v>
      </c>
      <c r="BX106" s="54">
        <f>Rev!BX14</f>
        <v>353.94900000000001</v>
      </c>
      <c r="BY106" s="54">
        <f>Rev!BY14</f>
        <v>385.51099999999997</v>
      </c>
      <c r="BZ106" s="54">
        <f>Rev!BZ14</f>
        <v>408.20799999999997</v>
      </c>
      <c r="CA106" s="54">
        <f>Rev!CA14</f>
        <v>422.11599999999999</v>
      </c>
      <c r="CB106" s="54">
        <f>Rev!CB14</f>
        <v>440.952</v>
      </c>
      <c r="CC106" s="54">
        <f>Rev!CC14</f>
        <v>455.53000000000003</v>
      </c>
      <c r="CD106" s="54">
        <f>Rev!CD14</f>
        <v>484.83499999999998</v>
      </c>
      <c r="CE106" s="54">
        <f>Rev!CE14</f>
        <v>506.05899999999997</v>
      </c>
      <c r="CF106" s="54">
        <f>Rev!CF14</f>
        <v>516.1339999999999</v>
      </c>
      <c r="CG106" s="54">
        <f>Rev!CG14</f>
        <v>528.87099999999998</v>
      </c>
      <c r="CH106" s="54">
        <f>Rev!CH14</f>
        <v>543.08400000000006</v>
      </c>
      <c r="CI106" s="54">
        <f>Rev!CI14</f>
        <v>564.67700000000002</v>
      </c>
      <c r="CJ106" s="54">
        <f>Rev!CJ14</f>
        <v>580.053</v>
      </c>
      <c r="CK106" s="54">
        <f>Rev!CK14</f>
        <v>605.16100000000006</v>
      </c>
      <c r="CL106" s="54">
        <f>Rev!CL14</f>
        <v>620.43999999999994</v>
      </c>
      <c r="CM106" s="54">
        <f>Rev!CM14</f>
        <v>638.12099999999998</v>
      </c>
      <c r="CN106" s="54">
        <f>Rev!CN14</f>
        <v>643.17399999999998</v>
      </c>
      <c r="CO106" s="54">
        <f>Rev!CO14</f>
        <v>665.58199999999988</v>
      </c>
      <c r="CP106" s="54">
        <f>Rev!CP14</f>
        <v>686.649</v>
      </c>
      <c r="CQ106" s="54">
        <f>Rev!CQ14</f>
        <v>730.46199999999988</v>
      </c>
      <c r="CR106" s="54">
        <f>Rev!CR14</f>
        <v>844.15600000000006</v>
      </c>
      <c r="CS106" s="54">
        <f>Rev!CS14</f>
        <v>900.51</v>
      </c>
      <c r="CT106" s="54">
        <f>Rev!CT14</f>
        <v>924.67599999999993</v>
      </c>
      <c r="CU106" s="54">
        <f>Rev!CU14</f>
        <v>942.64700000000005</v>
      </c>
      <c r="CV106" s="54">
        <f>Rev!CV14</f>
        <v>949.5250000000002</v>
      </c>
      <c r="CW106" s="54">
        <f>Rev!CW14</f>
        <v>1066.421</v>
      </c>
      <c r="CX106" s="54">
        <f>Rev!CX14</f>
        <v>1152.261</v>
      </c>
      <c r="CY106" s="54">
        <f>Rev!CY14</f>
        <v>1200.221</v>
      </c>
      <c r="CZ106" s="54">
        <f ca="1">Rev!CZ14</f>
        <v>1215.5685010826094</v>
      </c>
      <c r="DA106" s="54">
        <f ca="1">Rev!DA14</f>
        <v>1240.1100146580661</v>
      </c>
      <c r="DB106" s="54">
        <f ca="1">Rev!DB14</f>
        <v>1273.9358902089878</v>
      </c>
      <c r="DC106" s="54">
        <f ca="1">Rev!DC14</f>
        <v>1309.5441896415268</v>
      </c>
      <c r="DI106"/>
      <c r="DJ106"/>
      <c r="DK106"/>
      <c r="DL106"/>
      <c r="DM106"/>
      <c r="DN106"/>
    </row>
    <row r="107" spans="2:118" s="15" customFormat="1" hidden="1" outlineLevel="1">
      <c r="B107" s="990" t="s">
        <v>847</v>
      </c>
      <c r="C107" s="23"/>
      <c r="E107" s="54"/>
      <c r="F107" s="54">
        <f>IS!F18</f>
        <v>54.463000000000008</v>
      </c>
      <c r="G107" s="54">
        <f>IS!G18</f>
        <v>56.006999999999991</v>
      </c>
      <c r="H107" s="54">
        <f>IS!H18</f>
        <v>73.176000000000002</v>
      </c>
      <c r="I107" s="54">
        <f>IS!I18</f>
        <v>82.438000000000002</v>
      </c>
      <c r="J107" s="54">
        <f>IS!J18</f>
        <v>95.556999999999988</v>
      </c>
      <c r="K107" s="54">
        <f>IS!K18</f>
        <v>112.142</v>
      </c>
      <c r="L107" s="54">
        <f>IS!L18</f>
        <v>165.411</v>
      </c>
      <c r="M107" s="54">
        <f>IS!M18</f>
        <v>264.68</v>
      </c>
      <c r="N107" s="54">
        <f>IS!N18</f>
        <v>314.58</v>
      </c>
      <c r="O107" s="54">
        <f>IS!O18</f>
        <v>418.72799999999995</v>
      </c>
      <c r="P107" s="54">
        <f>IS!P18</f>
        <v>529.75299999999993</v>
      </c>
      <c r="Q107" s="54">
        <f>IS!Q18</f>
        <v>594.79200000000003</v>
      </c>
      <c r="R107" s="54">
        <f>IS!R18</f>
        <v>678.82600000000002</v>
      </c>
      <c r="S107" s="54">
        <f>IS!S18</f>
        <v>767.55199999999991</v>
      </c>
      <c r="T107" s="54">
        <f>IS!T18</f>
        <v>836.43899999999996</v>
      </c>
      <c r="U107" s="2305">
        <f>IS!U18</f>
        <v>1169.4940000000001</v>
      </c>
      <c r="V107" s="2305">
        <f>IS!V18</f>
        <v>1433.165</v>
      </c>
      <c r="W107" s="2305">
        <f ca="1">IS!W18</f>
        <v>1662.9223365450925</v>
      </c>
      <c r="X107" s="2305">
        <f ca="1">IS!X18</f>
        <v>1809.693376982947</v>
      </c>
      <c r="Y107" s="2305">
        <f ca="1">IS!Y18</f>
        <v>1947.4452019308585</v>
      </c>
      <c r="Z107" s="2305">
        <f ca="1">IS!Z18</f>
        <v>2076.2073608948194</v>
      </c>
      <c r="AA107" s="2305">
        <f ca="1">IS!AA18</f>
        <v>2203.6466879236659</v>
      </c>
      <c r="AB107" s="2305">
        <f ca="1">IS!AB18</f>
        <v>2329.6745784920427</v>
      </c>
      <c r="AC107" s="2305">
        <f ca="1">IS!AC18</f>
        <v>2454.2225037394442</v>
      </c>
      <c r="AD107" s="2305">
        <f ca="1">IS!AD18</f>
        <v>2577.2357020191353</v>
      </c>
      <c r="AE107" s="54"/>
      <c r="AF107" s="54">
        <f>IS!AL18</f>
        <v>2.2310000000000003</v>
      </c>
      <c r="AG107" s="54">
        <f>IS!AM18</f>
        <v>3.8749999999999996</v>
      </c>
      <c r="AH107" s="54">
        <f>IS!AN18</f>
        <v>9.8519999999999985</v>
      </c>
      <c r="AI107" s="54">
        <f>IS!AO18</f>
        <v>15.206999999999999</v>
      </c>
      <c r="AJ107" s="54">
        <f>IS!AQ18</f>
        <v>14.337000000000002</v>
      </c>
      <c r="AK107" s="54">
        <f>IS!AR18</f>
        <v>14.866000000000001</v>
      </c>
      <c r="AL107" s="54">
        <f>IS!AS18</f>
        <v>14.978000000000002</v>
      </c>
      <c r="AM107" s="54">
        <f>IS!AT18</f>
        <v>10.282</v>
      </c>
      <c r="AN107" s="54">
        <f>IS!AV18</f>
        <v>14.434999999999997</v>
      </c>
      <c r="AO107" s="54">
        <f>IS!AW18</f>
        <v>14.979999999999999</v>
      </c>
      <c r="AP107" s="54">
        <f>IS!AX18</f>
        <v>13.968</v>
      </c>
      <c r="AQ107" s="54">
        <f>IS!AY18</f>
        <v>12.623999999999999</v>
      </c>
      <c r="AR107" s="54">
        <f>IS!BA18</f>
        <v>17.03</v>
      </c>
      <c r="AS107" s="54">
        <f>IS!BB18</f>
        <v>17.455000000000002</v>
      </c>
      <c r="AT107" s="54">
        <f>IS!BC18</f>
        <v>19.689999999999998</v>
      </c>
      <c r="AU107" s="54">
        <f>IS!BD18</f>
        <v>19.001000000000001</v>
      </c>
      <c r="AV107" s="54">
        <f>IS!BF18</f>
        <v>20.219999999999995</v>
      </c>
      <c r="AW107" s="54">
        <f>IS!BG18</f>
        <v>20.631</v>
      </c>
      <c r="AX107" s="54">
        <f>IS!BH18</f>
        <v>20.658999999999999</v>
      </c>
      <c r="AY107" s="54">
        <f>IS!BI18</f>
        <v>20.928000000000001</v>
      </c>
      <c r="AZ107" s="54">
        <f>IS!BK18</f>
        <v>21.928999999999998</v>
      </c>
      <c r="BA107" s="54">
        <f>IS!BL18</f>
        <v>23.317</v>
      </c>
      <c r="BB107" s="54">
        <f>IS!BM18</f>
        <v>25.119</v>
      </c>
      <c r="BC107" s="54">
        <f>IS!BN18</f>
        <v>25.192</v>
      </c>
      <c r="BD107" s="54">
        <f>IS!BP18</f>
        <v>25.271999999999998</v>
      </c>
      <c r="BE107" s="54">
        <f>IS!BQ18</f>
        <v>26.844999999999999</v>
      </c>
      <c r="BF107" s="54">
        <f>IS!BR18</f>
        <v>29.738</v>
      </c>
      <c r="BG107" s="54">
        <f>IS!BS18</f>
        <v>30.287000000000003</v>
      </c>
      <c r="BH107" s="54">
        <f>IS!BU18</f>
        <v>31.930999999999997</v>
      </c>
      <c r="BI107" s="54">
        <f>IS!BV18</f>
        <v>33.739000000000004</v>
      </c>
      <c r="BJ107" s="54">
        <f>IS!BW18</f>
        <v>40.24</v>
      </c>
      <c r="BK107" s="54">
        <f>IS!BX18</f>
        <v>59.500999999999998</v>
      </c>
      <c r="BL107" s="54">
        <f>IS!BZ18</f>
        <v>61.76100000000001</v>
      </c>
      <c r="BM107" s="54">
        <f>IS!CA18</f>
        <v>66.087999999999994</v>
      </c>
      <c r="BN107" s="54">
        <f>IS!CB18</f>
        <v>70.600999999999999</v>
      </c>
      <c r="BO107" s="54">
        <f>IS!CC18</f>
        <v>66.23</v>
      </c>
      <c r="BP107" s="54">
        <f>IS!CE18</f>
        <v>71.938999999999993</v>
      </c>
      <c r="BQ107" s="54">
        <f>IS!CF18</f>
        <v>75.177000000000007</v>
      </c>
      <c r="BR107" s="54">
        <f>IS!CG18</f>
        <v>81.930999999999997</v>
      </c>
      <c r="BS107" s="54">
        <f>IS!CH18</f>
        <v>85.533000000000001</v>
      </c>
      <c r="BT107" s="54">
        <f>IS!CJ18</f>
        <v>85.084000000000003</v>
      </c>
      <c r="BU107" s="54">
        <f>IS!CK18</f>
        <v>100.68599999999999</v>
      </c>
      <c r="BV107" s="54">
        <f>IS!CL18</f>
        <v>112.024</v>
      </c>
      <c r="BW107" s="54">
        <f>IS!CM18</f>
        <v>120.934</v>
      </c>
      <c r="BX107" s="54">
        <f>IS!CO18</f>
        <v>118.5</v>
      </c>
      <c r="BY107" s="54">
        <f>IS!CP18</f>
        <v>132.09099999999998</v>
      </c>
      <c r="BZ107" s="54">
        <f>IS!CQ18</f>
        <v>139.96700000000001</v>
      </c>
      <c r="CA107" s="54">
        <f>IS!CR18</f>
        <v>139.19499999999999</v>
      </c>
      <c r="CB107" s="54">
        <f>IS!CT18</f>
        <v>137.929</v>
      </c>
      <c r="CC107" s="54">
        <f>IS!CU18</f>
        <v>141.352</v>
      </c>
      <c r="CD107" s="54">
        <f>IS!CV18</f>
        <v>157.42500000000001</v>
      </c>
      <c r="CE107" s="54">
        <f>IS!CW18</f>
        <v>158.08600000000001</v>
      </c>
      <c r="CF107" s="54">
        <f>IS!CX18</f>
        <v>162.01</v>
      </c>
      <c r="CG107" s="54">
        <f>IS!CY18</f>
        <v>168.42099999999999</v>
      </c>
      <c r="CH107" s="54">
        <f>IS!CZ18</f>
        <v>174.11099999999999</v>
      </c>
      <c r="CI107" s="54">
        <f>IS!DA18</f>
        <v>174.28399999999999</v>
      </c>
      <c r="CJ107" s="54">
        <f>IS!DB18</f>
        <v>184.24799999999999</v>
      </c>
      <c r="CK107" s="54">
        <f>IS!DC18</f>
        <v>190.90100000000001</v>
      </c>
      <c r="CL107" s="54">
        <f>IS!DD18</f>
        <v>196.458</v>
      </c>
      <c r="CM107" s="54">
        <f>IS!DE18</f>
        <v>195.94499999999999</v>
      </c>
      <c r="CN107" s="54">
        <f>IS!DF18</f>
        <v>192.13</v>
      </c>
      <c r="CO107" s="54">
        <f>IS!DG18</f>
        <v>204.73599999999999</v>
      </c>
      <c r="CP107" s="54">
        <f>IS!DH18</f>
        <v>211.61699999999999</v>
      </c>
      <c r="CQ107" s="54">
        <f>IS!DI18</f>
        <v>227.95599999999999</v>
      </c>
      <c r="CR107" s="54">
        <f>IS!DJ18</f>
        <v>271.10000000000002</v>
      </c>
      <c r="CS107" s="54">
        <f>IS!DK18</f>
        <v>292.03300000000002</v>
      </c>
      <c r="CT107" s="54">
        <f>IS!DL18</f>
        <v>304.82100000000003</v>
      </c>
      <c r="CU107" s="54">
        <f>IS!DM18</f>
        <v>301.54000000000002</v>
      </c>
      <c r="CV107" s="54">
        <f>IS!DN18</f>
        <v>303.54000000000002</v>
      </c>
      <c r="CW107" s="54">
        <f>IS!DO18</f>
        <v>344.46899999999999</v>
      </c>
      <c r="CX107" s="54">
        <f>IS!DP18</f>
        <v>377.767</v>
      </c>
      <c r="CY107" s="54">
        <f>IS!DQ18</f>
        <v>407.38900000000001</v>
      </c>
      <c r="CZ107" s="54">
        <f ca="1">IS!DR18</f>
        <v>401.13760535726107</v>
      </c>
      <c r="DA107" s="54">
        <f ca="1">IS!DS18</f>
        <v>409.23630483716175</v>
      </c>
      <c r="DB107" s="54">
        <f ca="1">IS!DT18</f>
        <v>420.39884376896589</v>
      </c>
      <c r="DC107" s="54">
        <f ca="1">IS!DU18</f>
        <v>432.14958258170378</v>
      </c>
      <c r="DI107"/>
      <c r="DJ107"/>
      <c r="DK107"/>
      <c r="DL107"/>
      <c r="DM107"/>
      <c r="DN107"/>
    </row>
    <row r="108" spans="2:118" s="15" customFormat="1" hidden="1" outlineLevel="1">
      <c r="B108" s="990" t="s">
        <v>1100</v>
      </c>
      <c r="C108" s="23"/>
      <c r="D108" s="23"/>
      <c r="E108" s="54"/>
      <c r="F108" s="54">
        <f t="shared" ref="F108:N108" si="253">F11/(F106/360)</f>
        <v>39.222253760999145</v>
      </c>
      <c r="G108" s="54">
        <f t="shared" si="253"/>
        <v>42.684355081100684</v>
      </c>
      <c r="H108" s="54">
        <f t="shared" si="253"/>
        <v>31.066795543572265</v>
      </c>
      <c r="I108" s="54">
        <f t="shared" si="253"/>
        <v>26.216250893560865</v>
      </c>
      <c r="J108" s="54">
        <f t="shared" si="253"/>
        <v>28.071130975268815</v>
      </c>
      <c r="K108" s="54">
        <f t="shared" si="253"/>
        <v>33.569043437211462</v>
      </c>
      <c r="L108" s="54">
        <f t="shared" si="253"/>
        <v>51.57337605676112</v>
      </c>
      <c r="M108" s="54">
        <f t="shared" si="253"/>
        <v>33.73224726116819</v>
      </c>
      <c r="N108" s="54">
        <f t="shared" si="253"/>
        <v>26.420263136126653</v>
      </c>
      <c r="O108" s="54">
        <f>BW108</f>
        <v>31.153042950552425</v>
      </c>
      <c r="P108" s="54">
        <f>+CA108</f>
        <v>29.648556321011284</v>
      </c>
      <c r="Q108" s="54">
        <f>+CE108</f>
        <v>29.138104450271612</v>
      </c>
      <c r="R108" s="54">
        <f>+CI108</f>
        <v>29.460381775776238</v>
      </c>
      <c r="S108" s="54">
        <f>+CM108</f>
        <v>37.032631742255781</v>
      </c>
      <c r="T108" s="54">
        <f>CQ108</f>
        <v>35.972795299413249</v>
      </c>
      <c r="U108" s="54">
        <f>CU108</f>
        <v>37.831818273436397</v>
      </c>
      <c r="V108" s="54">
        <f>CY108</f>
        <v>43.215516142443768</v>
      </c>
      <c r="W108" s="54">
        <f>DC108</f>
        <v>43.215516142443768</v>
      </c>
      <c r="X108" s="2337">
        <f t="shared" ref="X108:Z109" si="254">W108</f>
        <v>43.215516142443768</v>
      </c>
      <c r="Y108" s="2337">
        <f t="shared" si="254"/>
        <v>43.215516142443768</v>
      </c>
      <c r="Z108" s="2337">
        <f t="shared" si="254"/>
        <v>43.215516142443768</v>
      </c>
      <c r="AA108" s="2337">
        <f t="shared" ref="AA108:AA109" si="255">Z108</f>
        <v>43.215516142443768</v>
      </c>
      <c r="AB108" s="2337">
        <f t="shared" ref="AB108:AB109" si="256">AA108</f>
        <v>43.215516142443768</v>
      </c>
      <c r="AC108" s="2337">
        <f t="shared" ref="AC108:AC109" si="257">AB108</f>
        <v>43.215516142443768</v>
      </c>
      <c r="AD108" s="2337">
        <f t="shared" ref="AD108:AD109" si="258">AC108</f>
        <v>43.215516142443768</v>
      </c>
      <c r="AE108" s="789"/>
      <c r="AF108" s="54"/>
      <c r="AG108" s="54"/>
      <c r="AH108" s="54"/>
      <c r="AI108" s="54"/>
      <c r="AJ108" s="54">
        <f t="shared" ref="AJ108:BO108" si="259">AJ11/(AJ106/90)</f>
        <v>45.510187901371609</v>
      </c>
      <c r="AK108" s="54">
        <f t="shared" si="259"/>
        <v>35.121000185678035</v>
      </c>
      <c r="AL108" s="54">
        <f t="shared" si="259"/>
        <v>43.223891023402025</v>
      </c>
      <c r="AM108" s="54">
        <f t="shared" si="259"/>
        <v>35.60116798351082</v>
      </c>
      <c r="AN108" s="54">
        <f t="shared" si="259"/>
        <v>36.016965968846115</v>
      </c>
      <c r="AO108" s="54">
        <f t="shared" si="259"/>
        <v>31.973946784922397</v>
      </c>
      <c r="AP108" s="54">
        <f t="shared" si="259"/>
        <v>29.964333481943825</v>
      </c>
      <c r="AQ108" s="54">
        <f t="shared" si="259"/>
        <v>43.805775674094555</v>
      </c>
      <c r="AR108" s="54">
        <f t="shared" si="259"/>
        <v>37.772754079024963</v>
      </c>
      <c r="AS108" s="54">
        <f t="shared" si="259"/>
        <v>31.541464443975528</v>
      </c>
      <c r="AT108" s="54">
        <f t="shared" si="259"/>
        <v>27.341440538180411</v>
      </c>
      <c r="AU108" s="54">
        <f t="shared" si="259"/>
        <v>27.629245339928822</v>
      </c>
      <c r="AV108" s="54">
        <f t="shared" si="259"/>
        <v>24.636338946224882</v>
      </c>
      <c r="AW108" s="54">
        <f t="shared" si="259"/>
        <v>28.753519519062479</v>
      </c>
      <c r="AX108" s="54">
        <f t="shared" si="259"/>
        <v>27.303895002238509</v>
      </c>
      <c r="AY108" s="54">
        <f t="shared" si="259"/>
        <v>23.84382849140901</v>
      </c>
      <c r="AZ108" s="54">
        <f t="shared" si="259"/>
        <v>26.326719250677844</v>
      </c>
      <c r="BA108" s="54">
        <f t="shared" si="259"/>
        <v>26.959355170639689</v>
      </c>
      <c r="BB108" s="54">
        <f t="shared" si="259"/>
        <v>25.094843018452224</v>
      </c>
      <c r="BC108" s="54">
        <f t="shared" si="259"/>
        <v>25.103239587041653</v>
      </c>
      <c r="BD108" s="54">
        <f t="shared" si="259"/>
        <v>25.625491374924849</v>
      </c>
      <c r="BE108" s="54">
        <f t="shared" si="259"/>
        <v>30.653410748672464</v>
      </c>
      <c r="BF108" s="54">
        <f t="shared" si="259"/>
        <v>29.455144725063072</v>
      </c>
      <c r="BG108" s="54">
        <f t="shared" si="259"/>
        <v>30.308378879807456</v>
      </c>
      <c r="BH108" s="54">
        <f t="shared" si="259"/>
        <v>29.369044401884636</v>
      </c>
      <c r="BI108" s="54">
        <f t="shared" si="259"/>
        <v>27.577120332763478</v>
      </c>
      <c r="BJ108" s="54">
        <f t="shared" si="259"/>
        <v>42.645545470312776</v>
      </c>
      <c r="BK108" s="54">
        <f t="shared" si="259"/>
        <v>38.986764133396775</v>
      </c>
      <c r="BL108" s="54">
        <f t="shared" si="259"/>
        <v>33.650027177691534</v>
      </c>
      <c r="BM108" s="54">
        <f t="shared" si="259"/>
        <v>33.011613308223481</v>
      </c>
      <c r="BN108" s="54">
        <f t="shared" si="259"/>
        <v>30.554004408523149</v>
      </c>
      <c r="BO108" s="54">
        <f t="shared" si="259"/>
        <v>31.164865247557461</v>
      </c>
      <c r="BP108" s="54">
        <f t="shared" ref="BP108:CP108" si="260">BP11/(BP106/90)</f>
        <v>27.114153921829434</v>
      </c>
      <c r="BQ108" s="54">
        <f t="shared" si="260"/>
        <v>28.41927493807701</v>
      </c>
      <c r="BR108" s="54">
        <f t="shared" si="260"/>
        <v>26.73169038223222</v>
      </c>
      <c r="BS108" s="54">
        <f t="shared" si="260"/>
        <v>24.032083841815361</v>
      </c>
      <c r="BT108" s="54">
        <f t="shared" si="260"/>
        <v>25.23629694871083</v>
      </c>
      <c r="BU108" s="54">
        <f t="shared" si="260"/>
        <v>32.973756710813511</v>
      </c>
      <c r="BV108" s="54">
        <f t="shared" si="260"/>
        <v>32.375962214602637</v>
      </c>
      <c r="BW108" s="54">
        <f t="shared" si="260"/>
        <v>31.153042950552425</v>
      </c>
      <c r="BX108" s="54">
        <f t="shared" si="260"/>
        <v>29.039861674987073</v>
      </c>
      <c r="BY108" s="54">
        <f t="shared" si="260"/>
        <v>32.757664502439624</v>
      </c>
      <c r="BZ108" s="54">
        <f t="shared" si="260"/>
        <v>31.789308391800258</v>
      </c>
      <c r="CA108" s="54">
        <f t="shared" si="260"/>
        <v>29.648556321011284</v>
      </c>
      <c r="CB108" s="54">
        <f t="shared" si="260"/>
        <v>32.362910248734558</v>
      </c>
      <c r="CC108" s="54">
        <f t="shared" si="260"/>
        <v>33.550106469387309</v>
      </c>
      <c r="CD108" s="54">
        <f t="shared" si="260"/>
        <v>33.77967762228387</v>
      </c>
      <c r="CE108" s="54">
        <f t="shared" si="260"/>
        <v>29.138104450271612</v>
      </c>
      <c r="CF108" s="54">
        <f t="shared" si="260"/>
        <v>32.287487357934189</v>
      </c>
      <c r="CG108" s="54">
        <f t="shared" si="260"/>
        <v>34.262116848910232</v>
      </c>
      <c r="CH108" s="54">
        <f t="shared" si="260"/>
        <v>33.223589720927144</v>
      </c>
      <c r="CI108" s="54">
        <f t="shared" si="260"/>
        <v>29.460381775776238</v>
      </c>
      <c r="CJ108" s="54">
        <f t="shared" si="260"/>
        <v>33.135592782038884</v>
      </c>
      <c r="CK108" s="54">
        <f t="shared" si="260"/>
        <v>35.370405561495204</v>
      </c>
      <c r="CL108" s="54">
        <f t="shared" si="260"/>
        <v>39.929340468054932</v>
      </c>
      <c r="CM108" s="54">
        <f t="shared" si="260"/>
        <v>37.032631742255781</v>
      </c>
      <c r="CN108" s="54">
        <f t="shared" si="260"/>
        <v>38.886833112034999</v>
      </c>
      <c r="CO108" s="54">
        <f t="shared" si="260"/>
        <v>39.73507396534162</v>
      </c>
      <c r="CP108" s="54">
        <f t="shared" si="260"/>
        <v>38.420284599555231</v>
      </c>
      <c r="CQ108" s="54">
        <f t="shared" ref="CQ108:CV108" si="261">CQ11/(CQ106/90)</f>
        <v>35.972795299413249</v>
      </c>
      <c r="CR108" s="54">
        <f t="shared" si="261"/>
        <v>34.803519728580966</v>
      </c>
      <c r="CS108" s="54">
        <f t="shared" si="261"/>
        <v>34.679748142719127</v>
      </c>
      <c r="CT108" s="54">
        <f t="shared" si="261"/>
        <v>36.745324848920063</v>
      </c>
      <c r="CU108" s="54">
        <f t="shared" si="261"/>
        <v>37.831818273436397</v>
      </c>
      <c r="CV108" s="54">
        <f t="shared" si="261"/>
        <v>40.756272873278739</v>
      </c>
      <c r="CW108" s="54">
        <f t="shared" ref="CW108" si="262">CW11/(CW106/90)</f>
        <v>46.056913732944125</v>
      </c>
      <c r="CX108" s="54">
        <f t="shared" ref="CX108:CY108" si="263">CX11/(CX106/90)</f>
        <v>46.648962344468828</v>
      </c>
      <c r="CY108" s="54">
        <f t="shared" si="263"/>
        <v>43.215516142443768</v>
      </c>
      <c r="CZ108" s="2337">
        <f t="shared" ref="CZ108:DC108" si="264">+CY108</f>
        <v>43.215516142443768</v>
      </c>
      <c r="DA108" s="2337">
        <f t="shared" si="264"/>
        <v>43.215516142443768</v>
      </c>
      <c r="DB108" s="2337">
        <f t="shared" si="264"/>
        <v>43.215516142443768</v>
      </c>
      <c r="DC108" s="2337">
        <f t="shared" si="264"/>
        <v>43.215516142443768</v>
      </c>
      <c r="DI108"/>
      <c r="DJ108"/>
      <c r="DK108"/>
      <c r="DL108"/>
      <c r="DM108"/>
      <c r="DN108"/>
    </row>
    <row r="109" spans="2:118" s="15" customFormat="1" hidden="1" outlineLevel="1">
      <c r="B109" s="17" t="s">
        <v>1101</v>
      </c>
      <c r="C109" s="23"/>
      <c r="D109" s="23"/>
      <c r="E109" s="54"/>
      <c r="F109" s="54">
        <f>F107/230*F33</f>
        <v>2.6305628999999997</v>
      </c>
      <c r="G109" s="54">
        <f t="shared" ref="G109:N109" si="265">360/(G107/G31)</f>
        <v>46.556323316728275</v>
      </c>
      <c r="H109" s="54">
        <f t="shared" si="265"/>
        <v>18.8570022958347</v>
      </c>
      <c r="I109" s="54">
        <f t="shared" si="265"/>
        <v>12.380213008564011</v>
      </c>
      <c r="J109" s="54">
        <f t="shared" si="265"/>
        <v>12.571763450087385</v>
      </c>
      <c r="K109" s="54">
        <f t="shared" si="265"/>
        <v>14.494123521963227</v>
      </c>
      <c r="L109" s="54">
        <f t="shared" si="265"/>
        <v>32.245497578758368</v>
      </c>
      <c r="M109" s="54">
        <f t="shared" si="265"/>
        <v>101.0810034758954</v>
      </c>
      <c r="N109" s="54">
        <f t="shared" si="265"/>
        <v>113.35456799542247</v>
      </c>
      <c r="O109" s="54">
        <f>BW109</f>
        <v>108.54565300081038</v>
      </c>
      <c r="P109" s="54">
        <f>CA109</f>
        <v>148.09346600093397</v>
      </c>
      <c r="Q109" s="54">
        <f>CE109</f>
        <v>153.060802348089</v>
      </c>
      <c r="R109" s="54">
        <f>CI109</f>
        <v>135.92796814394899</v>
      </c>
      <c r="S109" s="54">
        <f>CM109</f>
        <v>131.26969302610428</v>
      </c>
      <c r="T109" s="54">
        <f>CQ109</f>
        <v>159.02121462036536</v>
      </c>
      <c r="U109" s="54">
        <f>CU109</f>
        <v>173.63039729389135</v>
      </c>
      <c r="V109" s="54">
        <f>CY109</f>
        <v>158.89758928198847</v>
      </c>
      <c r="W109" s="54">
        <f>DC109</f>
        <v>158.89758928198847</v>
      </c>
      <c r="X109" s="2337">
        <f t="shared" si="254"/>
        <v>158.89758928198847</v>
      </c>
      <c r="Y109" s="2337">
        <f t="shared" si="254"/>
        <v>158.89758928198847</v>
      </c>
      <c r="Z109" s="2337">
        <f t="shared" si="254"/>
        <v>158.89758928198847</v>
      </c>
      <c r="AA109" s="2337">
        <f t="shared" si="255"/>
        <v>158.89758928198847</v>
      </c>
      <c r="AB109" s="2337">
        <f t="shared" si="256"/>
        <v>158.89758928198847</v>
      </c>
      <c r="AC109" s="2337">
        <f t="shared" si="257"/>
        <v>158.89758928198847</v>
      </c>
      <c r="AD109" s="2337">
        <f t="shared" si="258"/>
        <v>158.89758928198847</v>
      </c>
      <c r="AE109" s="789"/>
      <c r="AF109" s="54"/>
      <c r="AG109" s="54"/>
      <c r="AH109" s="54"/>
      <c r="AI109" s="54"/>
      <c r="AJ109" s="54">
        <f t="shared" ref="AJ109:BO109" si="266">AJ31/(AF107/90)</f>
        <v>502.28148812191841</v>
      </c>
      <c r="AK109" s="54">
        <f t="shared" si="266"/>
        <v>377.09419354838718</v>
      </c>
      <c r="AL109" s="54">
        <f t="shared" si="266"/>
        <v>190.14007308160782</v>
      </c>
      <c r="AM109" s="54">
        <f t="shared" si="266"/>
        <v>25.105543499704087</v>
      </c>
      <c r="AN109" s="54">
        <f t="shared" si="266"/>
        <v>118.4494664155681</v>
      </c>
      <c r="AO109" s="54">
        <f t="shared" si="266"/>
        <v>68.090273106417328</v>
      </c>
      <c r="AP109" s="54">
        <f t="shared" si="266"/>
        <v>59.258913072506331</v>
      </c>
      <c r="AQ109" s="54">
        <f t="shared" si="266"/>
        <v>63.39914413538223</v>
      </c>
      <c r="AR109" s="54">
        <f t="shared" si="266"/>
        <v>86.895046761343963</v>
      </c>
      <c r="AS109" s="54">
        <f t="shared" si="266"/>
        <v>77.50934579439253</v>
      </c>
      <c r="AT109" s="54">
        <f t="shared" si="266"/>
        <v>28.163659793814436</v>
      </c>
      <c r="AU109" s="54">
        <f t="shared" si="266"/>
        <v>27.326520912547533</v>
      </c>
      <c r="AV109" s="54">
        <f t="shared" si="266"/>
        <v>97.324721080446267</v>
      </c>
      <c r="AW109" s="54">
        <f t="shared" si="266"/>
        <v>92.268690919507293</v>
      </c>
      <c r="AX109" s="54">
        <f t="shared" si="266"/>
        <v>98.606907059421033</v>
      </c>
      <c r="AY109" s="54">
        <f t="shared" si="266"/>
        <v>13.428240618914792</v>
      </c>
      <c r="AZ109" s="54">
        <f t="shared" si="266"/>
        <v>16.989614243323444</v>
      </c>
      <c r="BA109" s="54">
        <f t="shared" si="266"/>
        <v>18.967573069652463</v>
      </c>
      <c r="BB109" s="54">
        <f t="shared" si="266"/>
        <v>14.263033060651532</v>
      </c>
      <c r="BC109" s="54">
        <f t="shared" si="266"/>
        <v>14.350630733944955</v>
      </c>
      <c r="BD109" s="54">
        <f t="shared" si="266"/>
        <v>11.487527931050208</v>
      </c>
      <c r="BE109" s="54">
        <f t="shared" si="266"/>
        <v>13.165930437020199</v>
      </c>
      <c r="BF109" s="54">
        <f t="shared" si="266"/>
        <v>8.67072733787173</v>
      </c>
      <c r="BG109" s="54">
        <f t="shared" si="266"/>
        <v>16.130120673229595</v>
      </c>
      <c r="BH109" s="54">
        <f t="shared" si="266"/>
        <v>11.513532763532764</v>
      </c>
      <c r="BI109" s="54">
        <f t="shared" si="266"/>
        <v>14.147886012292792</v>
      </c>
      <c r="BJ109" s="54">
        <f t="shared" si="266"/>
        <v>57.47797430896496</v>
      </c>
      <c r="BK109" s="54">
        <f t="shared" si="266"/>
        <v>44.02681018258658</v>
      </c>
      <c r="BL109" s="54">
        <f t="shared" si="266"/>
        <v>48.922050671760985</v>
      </c>
      <c r="BM109" s="54">
        <f t="shared" si="266"/>
        <v>47.588843771303232</v>
      </c>
      <c r="BN109" s="54">
        <f t="shared" si="266"/>
        <v>159.32057654075544</v>
      </c>
      <c r="BO109" s="54">
        <f t="shared" si="266"/>
        <v>112.41037965748475</v>
      </c>
      <c r="BP109" s="54">
        <f t="shared" ref="BP109:CP109" si="267">BP31/(BP107/90)</f>
        <v>98.8174703568301</v>
      </c>
      <c r="BQ109" s="54">
        <f t="shared" si="267"/>
        <v>105.89488806416855</v>
      </c>
      <c r="BR109" s="54">
        <f t="shared" si="267"/>
        <v>114.55883609378624</v>
      </c>
      <c r="BS109" s="54">
        <f t="shared" si="267"/>
        <v>104.22608817649328</v>
      </c>
      <c r="BT109" s="54">
        <f t="shared" si="267"/>
        <v>119.54797611771896</v>
      </c>
      <c r="BU109" s="54">
        <f t="shared" si="267"/>
        <v>124.00184732733447</v>
      </c>
      <c r="BV109" s="54">
        <f t="shared" si="267"/>
        <v>107.72861172605872</v>
      </c>
      <c r="BW109" s="54">
        <f t="shared" si="267"/>
        <v>108.54565300081038</v>
      </c>
      <c r="BX109" s="54">
        <f t="shared" si="267"/>
        <v>101.41974683544304</v>
      </c>
      <c r="BY109" s="54">
        <f t="shared" si="267"/>
        <v>129.27837627090418</v>
      </c>
      <c r="BZ109" s="54">
        <f t="shared" si="267"/>
        <v>116.44437617438395</v>
      </c>
      <c r="CA109" s="54">
        <f t="shared" si="267"/>
        <v>148.09346600093397</v>
      </c>
      <c r="CB109" s="54">
        <f t="shared" si="267"/>
        <v>126.9235621225413</v>
      </c>
      <c r="CC109" s="54">
        <f t="shared" si="267"/>
        <v>143.25237704454128</v>
      </c>
      <c r="CD109" s="54">
        <f t="shared" si="267"/>
        <v>139.90204859456884</v>
      </c>
      <c r="CE109" s="54">
        <f t="shared" si="267"/>
        <v>153.060802348089</v>
      </c>
      <c r="CF109" s="54">
        <f t="shared" si="267"/>
        <v>137.98870440096292</v>
      </c>
      <c r="CG109" s="54">
        <f t="shared" si="267"/>
        <v>137.88322121350663</v>
      </c>
      <c r="CH109" s="54">
        <f t="shared" si="267"/>
        <v>154.62635904681497</v>
      </c>
      <c r="CI109" s="54">
        <f t="shared" si="267"/>
        <v>135.92796814394899</v>
      </c>
      <c r="CJ109" s="54">
        <f t="shared" si="267"/>
        <v>143.2664126611958</v>
      </c>
      <c r="CK109" s="54">
        <f t="shared" si="267"/>
        <v>105.65586351040592</v>
      </c>
      <c r="CL109" s="54">
        <f t="shared" si="267"/>
        <v>139.11477262315609</v>
      </c>
      <c r="CM109" s="54">
        <f t="shared" si="267"/>
        <v>131.26969302610428</v>
      </c>
      <c r="CN109" s="54">
        <f t="shared" si="267"/>
        <v>150.80820277936814</v>
      </c>
      <c r="CO109" s="54">
        <f t="shared" si="267"/>
        <v>138.71453969990623</v>
      </c>
      <c r="CP109" s="54">
        <f t="shared" si="267"/>
        <v>144.75651767107558</v>
      </c>
      <c r="CQ109" s="54">
        <f t="shared" ref="CQ109:CV109" si="268">CQ31/(CQ107/90)</f>
        <v>159.02121462036536</v>
      </c>
      <c r="CR109" s="54">
        <f t="shared" si="268"/>
        <v>157.80475839173735</v>
      </c>
      <c r="CS109" s="54">
        <f t="shared" si="268"/>
        <v>153.5411408984601</v>
      </c>
      <c r="CT109" s="54">
        <f t="shared" si="268"/>
        <v>157.8440461779208</v>
      </c>
      <c r="CU109" s="54">
        <f t="shared" si="268"/>
        <v>173.63039729389135</v>
      </c>
      <c r="CV109" s="54">
        <f t="shared" si="268"/>
        <v>152.98250642419447</v>
      </c>
      <c r="CW109" s="54">
        <f t="shared" ref="CW109" si="269">CW31/(CW107/90)</f>
        <v>160.05321233550768</v>
      </c>
      <c r="CX109" s="54">
        <f t="shared" ref="CX109:CY109" si="270">CX31/(CX107/90)</f>
        <v>156.57961124185013</v>
      </c>
      <c r="CY109" s="54">
        <f t="shared" si="270"/>
        <v>158.89758928198847</v>
      </c>
      <c r="CZ109" s="2337">
        <f t="shared" ref="CZ109:DC109" si="271">CY109</f>
        <v>158.89758928198847</v>
      </c>
      <c r="DA109" s="2337">
        <f t="shared" si="271"/>
        <v>158.89758928198847</v>
      </c>
      <c r="DB109" s="2337">
        <f t="shared" si="271"/>
        <v>158.89758928198847</v>
      </c>
      <c r="DC109" s="2337">
        <f t="shared" si="271"/>
        <v>158.89758928198847</v>
      </c>
      <c r="DI109"/>
      <c r="DJ109"/>
      <c r="DK109"/>
      <c r="DL109"/>
      <c r="DM109"/>
      <c r="DN109"/>
    </row>
    <row r="110" spans="2:118" s="15" customFormat="1" hidden="1" outlineLevel="1">
      <c r="B110" s="990" t="s">
        <v>1562</v>
      </c>
      <c r="C110" s="23"/>
      <c r="E110" s="54"/>
      <c r="F110" s="54">
        <f>IS!F37</f>
        <v>-38.007000000000005</v>
      </c>
      <c r="G110" s="54">
        <f>IS!G37</f>
        <v>-11.830999999999989</v>
      </c>
      <c r="H110" s="54">
        <f>IS!H37</f>
        <v>1.6980000000000075</v>
      </c>
      <c r="I110" s="54">
        <f>IS!I37</f>
        <v>35.61399999999999</v>
      </c>
      <c r="J110" s="54">
        <f>IS!J37</f>
        <v>70.139000000000024</v>
      </c>
      <c r="K110" s="54">
        <f>IS!K37</f>
        <v>102.07200000000006</v>
      </c>
      <c r="L110" s="54">
        <f>IS!L37</f>
        <v>155.39000000000007</v>
      </c>
      <c r="M110" s="54">
        <f>IS!M37</f>
        <v>292.47599999999994</v>
      </c>
      <c r="N110" s="54">
        <f>IS!N37</f>
        <v>408.60800000000006</v>
      </c>
      <c r="O110" s="54">
        <f>IS!O37</f>
        <v>533.02099999999996</v>
      </c>
      <c r="P110" s="54">
        <f>IS!P37</f>
        <v>719.80500000000018</v>
      </c>
      <c r="Q110" s="54">
        <f>IS!Q37</f>
        <v>887.85699999999986</v>
      </c>
      <c r="R110" s="54">
        <f>IS!R37</f>
        <v>1000.898</v>
      </c>
      <c r="S110" s="54">
        <f>IS!S37</f>
        <v>1113.8909999999996</v>
      </c>
      <c r="T110" s="54">
        <f>IS!T37</f>
        <v>1271.6270000000004</v>
      </c>
      <c r="U110" s="2305">
        <f>IS!U37</f>
        <v>1657.4739999999999</v>
      </c>
      <c r="V110" s="2305">
        <f>IS!V37</f>
        <v>2052.0410000000002</v>
      </c>
      <c r="W110" s="2305">
        <f ca="1">IS!W37</f>
        <v>2396.2013118891828</v>
      </c>
      <c r="X110" s="2305">
        <f ca="1">IS!X37</f>
        <v>2626.6195144712165</v>
      </c>
      <c r="Y110" s="2305">
        <f ca="1">IS!Y37</f>
        <v>2847.0470495173977</v>
      </c>
      <c r="Z110" s="2305">
        <f ca="1">IS!Z37</f>
        <v>3057.2702817644613</v>
      </c>
      <c r="AA110" s="2305">
        <f ca="1">IS!AA37</f>
        <v>3268.4011351509503</v>
      </c>
      <c r="AB110" s="2305">
        <f ca="1">IS!AB37</f>
        <v>3480.2912002721851</v>
      </c>
      <c r="AC110" s="2305">
        <f ca="1">IS!AC37</f>
        <v>3692.8182551836308</v>
      </c>
      <c r="AD110" s="2305">
        <f ca="1">IS!AD37</f>
        <v>3905.8777316709748</v>
      </c>
      <c r="AE110" s="54"/>
      <c r="AF110" s="54">
        <f>IS!AL37</f>
        <v>-8.8369999999999997</v>
      </c>
      <c r="AG110" s="54">
        <f>IS!AM37</f>
        <v>-15.995000000000001</v>
      </c>
      <c r="AH110" s="54">
        <f>IS!AN37</f>
        <v>-16.645</v>
      </c>
      <c r="AI110" s="54">
        <f>IS!AO37</f>
        <v>-20.922999999999998</v>
      </c>
      <c r="AJ110" s="54">
        <f>IS!AQ37</f>
        <v>-16.292000000000002</v>
      </c>
      <c r="AK110" s="54">
        <f>IS!AR37</f>
        <v>-11.467000000000001</v>
      </c>
      <c r="AL110" s="54">
        <f>IS!AS37</f>
        <v>-8.6880000000000024</v>
      </c>
      <c r="AM110" s="54">
        <f>IS!AT37</f>
        <v>-1.5599999999999987</v>
      </c>
      <c r="AN110" s="54">
        <f>IS!AV37</f>
        <v>-1.5389999999999953</v>
      </c>
      <c r="AO110" s="54">
        <f>IS!AW37</f>
        <v>-6.9339999999999993</v>
      </c>
      <c r="AP110" s="54">
        <f>IS!AX37</f>
        <v>-1.504999999999999</v>
      </c>
      <c r="AQ110" s="54">
        <f>IS!AY37</f>
        <v>-1.852999999999998</v>
      </c>
      <c r="AR110" s="54">
        <f>IS!BA37</f>
        <v>-3.0739999999999981</v>
      </c>
      <c r="AS110" s="54">
        <f>IS!BB37</f>
        <v>0.28899999999999437</v>
      </c>
      <c r="AT110" s="54">
        <f>IS!BC37</f>
        <v>1.3800000000000026</v>
      </c>
      <c r="AU110" s="54">
        <f>IS!BD37</f>
        <v>3.1029999999999944</v>
      </c>
      <c r="AV110" s="54">
        <f>IS!BF37</f>
        <v>5.6570000000000054</v>
      </c>
      <c r="AW110" s="54">
        <f>IS!BG37</f>
        <v>7.5280000000000022</v>
      </c>
      <c r="AX110" s="54">
        <f>IS!BH37</f>
        <v>10.066000000000001</v>
      </c>
      <c r="AY110" s="54">
        <f>IS!BI37</f>
        <v>12.363000000000003</v>
      </c>
      <c r="AZ110" s="54">
        <f>IS!BK37</f>
        <v>14.337</v>
      </c>
      <c r="BA110" s="54">
        <f>IS!BL37</f>
        <v>16.055</v>
      </c>
      <c r="BB110" s="54">
        <f>IS!BM37</f>
        <v>17.918999999999997</v>
      </c>
      <c r="BC110" s="54">
        <f>IS!BN37</f>
        <v>21.827999999999996</v>
      </c>
      <c r="BD110" s="54">
        <f>IS!BP37</f>
        <v>22.835000000000001</v>
      </c>
      <c r="BE110" s="54">
        <f>IS!BQ37</f>
        <v>24.038000000000004</v>
      </c>
      <c r="BF110" s="54">
        <f>IS!BR37</f>
        <v>24.926999999999996</v>
      </c>
      <c r="BG110" s="54">
        <f>IS!BS37</f>
        <v>30.271999999999988</v>
      </c>
      <c r="BH110" s="54">
        <f>IS!BU37</f>
        <v>32.378000000000014</v>
      </c>
      <c r="BI110" s="54">
        <f>IS!BV37</f>
        <v>35.311000000000014</v>
      </c>
      <c r="BJ110" s="54">
        <f>IS!BW37</f>
        <v>40.638999999999996</v>
      </c>
      <c r="BK110" s="54">
        <f>IS!BX37</f>
        <v>47.061999999999998</v>
      </c>
      <c r="BL110" s="54">
        <f>IS!BZ37</f>
        <v>62.269000000000005</v>
      </c>
      <c r="BM110" s="54">
        <f>IS!CA37</f>
        <v>69.133999999999986</v>
      </c>
      <c r="BN110" s="54">
        <f>IS!CB37</f>
        <v>76.972999999999956</v>
      </c>
      <c r="BO110" s="54">
        <f>IS!CC37</f>
        <v>84.1</v>
      </c>
      <c r="BP110" s="54">
        <f>IS!CE37</f>
        <v>91.378000000000029</v>
      </c>
      <c r="BQ110" s="54">
        <f>IS!CF37</f>
        <v>99.533999999999992</v>
      </c>
      <c r="BR110" s="54">
        <f>IS!CG37</f>
        <v>106.036</v>
      </c>
      <c r="BS110" s="54">
        <f>IS!CH37</f>
        <v>111.66</v>
      </c>
      <c r="BT110" s="54">
        <f>IS!CJ37</f>
        <v>117.27200000000002</v>
      </c>
      <c r="BU110" s="54">
        <f>IS!CK37</f>
        <v>129.28399999999996</v>
      </c>
      <c r="BV110" s="54">
        <f>IS!CL37</f>
        <v>142.08600000000001</v>
      </c>
      <c r="BW110" s="54">
        <f>IS!CM37</f>
        <v>144.37900000000002</v>
      </c>
      <c r="BX110" s="54">
        <f>IS!CO37</f>
        <v>162.327</v>
      </c>
      <c r="BY110" s="54">
        <f>IS!CP37</f>
        <v>177.40600000000001</v>
      </c>
      <c r="BZ110" s="54">
        <f>IS!CQ37</f>
        <v>186.82799999999997</v>
      </c>
      <c r="CA110" s="54">
        <f>IS!CR37</f>
        <v>193.244</v>
      </c>
      <c r="CB110" s="54">
        <f>IS!CT37</f>
        <v>206.73500000000001</v>
      </c>
      <c r="CC110" s="54">
        <f>IS!CU37</f>
        <v>216.42</v>
      </c>
      <c r="CD110" s="54">
        <f>IS!CV37</f>
        <v>225.01599999999996</v>
      </c>
      <c r="CE110" s="54">
        <f>IS!CW37</f>
        <v>239.68599999999998</v>
      </c>
      <c r="CF110" s="54">
        <f>IS!CX37</f>
        <v>240.88799999999992</v>
      </c>
      <c r="CG110" s="54">
        <f>IS!CY37</f>
        <v>248.035</v>
      </c>
      <c r="CH110" s="54">
        <f>IS!CZ37</f>
        <v>248.44500000000008</v>
      </c>
      <c r="CI110" s="54">
        <f>IS!DA37</f>
        <v>263.53000000000003</v>
      </c>
      <c r="CJ110" s="54">
        <f>IS!DB37</f>
        <v>260.38800000000003</v>
      </c>
      <c r="CK110" s="54">
        <f>IS!DC37</f>
        <v>275.27700000000004</v>
      </c>
      <c r="CL110" s="54">
        <f>IS!DD37</f>
        <v>283.86099999999999</v>
      </c>
      <c r="CM110" s="54">
        <f>IS!DE37</f>
        <v>294.36500000000001</v>
      </c>
      <c r="CN110" s="54">
        <f>IS!DF37</f>
        <v>305.74799999999999</v>
      </c>
      <c r="CO110" s="54">
        <f>IS!DG37</f>
        <v>311.26199999999989</v>
      </c>
      <c r="CP110" s="54">
        <f>IS!DH37</f>
        <v>321.47200000000004</v>
      </c>
      <c r="CQ110" s="54">
        <f>IS!DI37</f>
        <v>333.14499999999987</v>
      </c>
      <c r="CR110" s="54">
        <f>IS!DJ37</f>
        <v>380.65000000000003</v>
      </c>
      <c r="CS110" s="54">
        <f>IS!DK37</f>
        <v>420.291</v>
      </c>
      <c r="CT110" s="54">
        <f>IS!DL37</f>
        <v>420.04199999999992</v>
      </c>
      <c r="CU110" s="54">
        <f>IS!DM37</f>
        <v>436.49099999999999</v>
      </c>
      <c r="CV110" s="54">
        <f>IS!DN37</f>
        <v>427.57400000000013</v>
      </c>
      <c r="CW110" s="54">
        <f>IS!DO37</f>
        <v>509.30799999999999</v>
      </c>
      <c r="CX110" s="54">
        <f>IS!DP37</f>
        <v>550.31899999999996</v>
      </c>
      <c r="CY110" s="54">
        <f>IS!DQ37</f>
        <v>564.84</v>
      </c>
      <c r="CZ110" s="54">
        <f ca="1">IS!DR37</f>
        <v>559.16151049800044</v>
      </c>
      <c r="DA110" s="54">
        <f ca="1">IS!DS37</f>
        <v>589.79672695274871</v>
      </c>
      <c r="DB110" s="54">
        <f ca="1">IS!DT37</f>
        <v>612.0595990789991</v>
      </c>
      <c r="DC110" s="54">
        <f ca="1">IS!DU37</f>
        <v>635.1834753594344</v>
      </c>
      <c r="DI110"/>
      <c r="DJ110"/>
      <c r="DK110"/>
      <c r="DL110"/>
      <c r="DM110"/>
      <c r="DN110"/>
    </row>
    <row r="111" spans="2:118" s="15" customFormat="1" hidden="1" outlineLevel="1">
      <c r="B111" s="991" t="s">
        <v>851</v>
      </c>
      <c r="C111" s="23"/>
      <c r="E111" s="54"/>
      <c r="F111" s="54">
        <f>IS!F63</f>
        <v>-188.41499999999999</v>
      </c>
      <c r="G111" s="54">
        <f>IS!G63</f>
        <v>-21.618000000000009</v>
      </c>
      <c r="H111" s="54">
        <f>IS!H63</f>
        <v>-84.170999999999992</v>
      </c>
      <c r="I111" s="54">
        <f>IS!I63</f>
        <v>-68.631000000000014</v>
      </c>
      <c r="J111" s="54">
        <f>IS!J63</f>
        <v>-42.611999999999973</v>
      </c>
      <c r="K111" s="54">
        <f>IS!K63</f>
        <v>-6.3969999999999407</v>
      </c>
      <c r="L111" s="54">
        <f>IS!L63</f>
        <v>-5.187999999999918</v>
      </c>
      <c r="M111" s="54">
        <f>IS!M63</f>
        <v>107.92399999999994</v>
      </c>
      <c r="N111" s="54">
        <f>IS!N63</f>
        <v>69.43100000000004</v>
      </c>
      <c r="O111" s="54">
        <f>IS!O63</f>
        <v>36.880999999999958</v>
      </c>
      <c r="P111" s="54">
        <f>IS!P63</f>
        <v>92.610000000000099</v>
      </c>
      <c r="Q111" s="54">
        <f>IS!Q63</f>
        <v>143.14399999999989</v>
      </c>
      <c r="R111" s="54">
        <f>IS!R63</f>
        <v>96.123000000000019</v>
      </c>
      <c r="S111" s="54">
        <f>IS!S63</f>
        <v>-260.7260000000004</v>
      </c>
      <c r="T111" s="54">
        <f>IS!T63</f>
        <v>187.77400000000051</v>
      </c>
      <c r="U111" s="2305">
        <f>IS!U63</f>
        <v>126.79999999999995</v>
      </c>
      <c r="V111" s="2305">
        <f>IS!V63</f>
        <v>232.9820000000004</v>
      </c>
      <c r="W111" s="2305">
        <f ca="1">IS!W63</f>
        <v>473.96504010626251</v>
      </c>
      <c r="X111" s="2305">
        <f ca="1">IS!X63</f>
        <v>706.34788722767007</v>
      </c>
      <c r="Y111" s="2305">
        <f ca="1">IS!Y63</f>
        <v>807.15870873613687</v>
      </c>
      <c r="Z111" s="2305">
        <f ca="1">IS!Z63</f>
        <v>896.66352265972125</v>
      </c>
      <c r="AA111" s="2305">
        <f ca="1">IS!AA63</f>
        <v>1105.523636380525</v>
      </c>
      <c r="AB111" s="2305">
        <f ca="1">IS!AB63</f>
        <v>1668.6655784405743</v>
      </c>
      <c r="AC111" s="2305">
        <f ca="1">IS!AC63</f>
        <v>2088.7104062960771</v>
      </c>
      <c r="AD111" s="2305">
        <f ca="1">IS!AD63</f>
        <v>2257.3166991772159</v>
      </c>
      <c r="AE111" s="54"/>
      <c r="AF111" s="54">
        <f>IS!AL63</f>
        <v>-18.009</v>
      </c>
      <c r="AG111" s="54">
        <f>IS!AM63</f>
        <v>-26.810999999999996</v>
      </c>
      <c r="AH111" s="54">
        <f>IS!AN63</f>
        <v>-32.085000000000001</v>
      </c>
      <c r="AI111" s="54">
        <f>IS!AO63</f>
        <v>-42.885000000000005</v>
      </c>
      <c r="AJ111" s="54">
        <f>IS!AQ63</f>
        <v>-41.536999999999999</v>
      </c>
      <c r="AK111" s="54">
        <f>IS!AR63</f>
        <v>-37.856999999999999</v>
      </c>
      <c r="AL111" s="54">
        <f>IS!AS63</f>
        <v>-81.573999999999998</v>
      </c>
      <c r="AM111" s="54">
        <f>IS!AT63</f>
        <v>-27.446999999999999</v>
      </c>
      <c r="AN111" s="54">
        <f>IS!AV63</f>
        <v>-13.693999999999997</v>
      </c>
      <c r="AO111" s="54">
        <f>IS!AW63</f>
        <v>-24.556999999999999</v>
      </c>
      <c r="AP111" s="54">
        <f>IS!AX63</f>
        <v>-44.088000000000001</v>
      </c>
      <c r="AQ111" s="54">
        <f>IS!AY63</f>
        <v>60.720999999999997</v>
      </c>
      <c r="AR111" s="54">
        <f>IS!BA63</f>
        <v>-25.552999999999997</v>
      </c>
      <c r="AS111" s="54">
        <f>IS!BB63</f>
        <v>-21.203000000000007</v>
      </c>
      <c r="AT111" s="54">
        <f>IS!BC63</f>
        <v>-19.717999999999996</v>
      </c>
      <c r="AU111" s="54">
        <f>IS!BD63</f>
        <v>-17.697000000000006</v>
      </c>
      <c r="AV111" s="54">
        <f>IS!BF63</f>
        <v>-30.141999999999992</v>
      </c>
      <c r="AW111" s="54">
        <f>IS!BG63</f>
        <v>-9.2049999999999983</v>
      </c>
      <c r="AX111" s="54">
        <f>IS!BH63</f>
        <v>-6.6149999999999993</v>
      </c>
      <c r="AY111" s="54">
        <f>IS!BI63</f>
        <v>-22.668999999999993</v>
      </c>
      <c r="AZ111" s="54">
        <f>IS!BK63</f>
        <v>-5.7940000000000014</v>
      </c>
      <c r="BA111" s="54">
        <f>IS!BL63</f>
        <v>-3.4310000000000005</v>
      </c>
      <c r="BB111" s="54">
        <f>IS!BM63</f>
        <v>-0.78300000000000491</v>
      </c>
      <c r="BC111" s="54">
        <f>IS!BN63</f>
        <v>-32.604000000000006</v>
      </c>
      <c r="BD111" s="54">
        <f>IS!BP63</f>
        <v>-5.0699999999999985</v>
      </c>
      <c r="BE111" s="54">
        <f>IS!BQ63</f>
        <v>-5.269999999999996</v>
      </c>
      <c r="BF111" s="54">
        <f>IS!BR63</f>
        <v>-5.168000000000001</v>
      </c>
      <c r="BG111" s="54">
        <f>IS!BS63</f>
        <v>9.1109999999999847</v>
      </c>
      <c r="BH111" s="54">
        <f>IS!BU63</f>
        <v>-4.4559999999999889</v>
      </c>
      <c r="BI111" s="54">
        <f>IS!BV63</f>
        <v>1.2170000000000147</v>
      </c>
      <c r="BJ111" s="54">
        <f>IS!BW63</f>
        <v>4.1239999999999934</v>
      </c>
      <c r="BK111" s="54">
        <f>IS!BX63</f>
        <v>-6.0730000000000022</v>
      </c>
      <c r="BL111" s="54">
        <f>IS!BZ63</f>
        <v>3.7970000000000059</v>
      </c>
      <c r="BM111" s="54">
        <f>IS!CA63</f>
        <v>0.70799999999998109</v>
      </c>
      <c r="BN111" s="54">
        <f>IS!CB63</f>
        <v>5.5559999999999601</v>
      </c>
      <c r="BO111" s="54">
        <f>IS!CC63</f>
        <v>97.863</v>
      </c>
      <c r="BP111" s="54">
        <f>IS!CE63</f>
        <v>15.457000000000029</v>
      </c>
      <c r="BQ111" s="54">
        <f>IS!CF63</f>
        <v>17.439999999999998</v>
      </c>
      <c r="BR111" s="54">
        <f>IS!CG63</f>
        <v>18.812000000000005</v>
      </c>
      <c r="BS111" s="54">
        <f>IS!CH63</f>
        <v>17.721999999999994</v>
      </c>
      <c r="BT111" s="54">
        <f>IS!CJ63</f>
        <v>14.199000000000016</v>
      </c>
      <c r="BU111" s="54">
        <f>IS!CK63</f>
        <v>-2.2740000000000284</v>
      </c>
      <c r="BV111" s="54">
        <f>IS!CL63</f>
        <v>11.196000000000014</v>
      </c>
      <c r="BW111" s="54">
        <f>IS!CM63</f>
        <v>13.76000000000001</v>
      </c>
      <c r="BX111" s="54">
        <f>IS!CO63</f>
        <v>25.144999999999982</v>
      </c>
      <c r="BY111" s="54">
        <f>IS!CP63</f>
        <v>30.73299999999999</v>
      </c>
      <c r="BZ111" s="54">
        <f>IS!CQ63</f>
        <v>20.63899999999996</v>
      </c>
      <c r="CA111" s="54">
        <f>IS!CR63</f>
        <v>16.092999999999989</v>
      </c>
      <c r="CB111" s="54">
        <f>IS!CT63</f>
        <v>32.406000000000006</v>
      </c>
      <c r="CC111" s="54">
        <f>IS!CU63</f>
        <v>36.799999999999983</v>
      </c>
      <c r="CD111" s="54">
        <f>IS!CV63</f>
        <v>27.326999999999945</v>
      </c>
      <c r="CE111" s="54">
        <f>IS!CW63</f>
        <v>46.611000000000004</v>
      </c>
      <c r="CF111" s="54">
        <f>IS!CX63</f>
        <v>33.283999999999899</v>
      </c>
      <c r="CG111" s="54">
        <f>IS!CY63</f>
        <v>-25.286999999999992</v>
      </c>
      <c r="CH111" s="54">
        <f>IS!CZ63</f>
        <v>42.753000000000085</v>
      </c>
      <c r="CI111" s="54">
        <f>IS!DA63</f>
        <v>45.373000000000033</v>
      </c>
      <c r="CJ111" s="54">
        <f>IS!DB63</f>
        <v>41.337000000000025</v>
      </c>
      <c r="CK111" s="54">
        <f>IS!DC63</f>
        <v>10.079000000000033</v>
      </c>
      <c r="CL111" s="54">
        <f>IS!DD63</f>
        <v>42.960999999999999</v>
      </c>
      <c r="CM111" s="54">
        <f>IS!DE63</f>
        <v>-355.10299999999995</v>
      </c>
      <c r="CN111" s="54">
        <f>IS!DF63</f>
        <v>76.452000000000012</v>
      </c>
      <c r="CO111" s="54">
        <f>IS!DG63</f>
        <v>59.458999999999875</v>
      </c>
      <c r="CP111" s="54">
        <f>IS!DH63</f>
        <v>41.132000000000033</v>
      </c>
      <c r="CQ111" s="54">
        <f>IS!DI63</f>
        <v>10.730999999999902</v>
      </c>
      <c r="CR111" s="54">
        <f>IS!DJ63</f>
        <v>-31.110999999999983</v>
      </c>
      <c r="CS111" s="54">
        <f>IS!DK63</f>
        <v>44.711000000000013</v>
      </c>
      <c r="CT111" s="54">
        <f>IS!DL63</f>
        <v>51.449999999999939</v>
      </c>
      <c r="CU111" s="54">
        <f>IS!DM63</f>
        <v>61.749999999999957</v>
      </c>
      <c r="CV111" s="54">
        <f>IS!DN63</f>
        <v>42.06200000000014</v>
      </c>
      <c r="CW111" s="54">
        <f>IS!DO63</f>
        <v>45.805000000000035</v>
      </c>
      <c r="CX111" s="54">
        <f>IS!DP63</f>
        <v>79.899999999999963</v>
      </c>
      <c r="CY111" s="54">
        <f>IS!DQ63</f>
        <v>65.215000000000032</v>
      </c>
      <c r="CZ111" s="54">
        <f ca="1">IS!DR63</f>
        <v>96.458002345945189</v>
      </c>
      <c r="DA111" s="54">
        <f ca="1">IS!DS63</f>
        <v>121.11282891771445</v>
      </c>
      <c r="DB111" s="54">
        <f ca="1">IS!DT63</f>
        <v>135.73520266336968</v>
      </c>
      <c r="DC111" s="54">
        <f ca="1">IS!DU63</f>
        <v>147.22698638391648</v>
      </c>
      <c r="DI111"/>
      <c r="DJ111"/>
      <c r="DK111"/>
      <c r="DL111"/>
      <c r="DM111"/>
      <c r="DN111"/>
    </row>
    <row r="112" spans="2:118" s="15" customFormat="1" hidden="1" outlineLevel="1">
      <c r="B112" s="991" t="s">
        <v>848</v>
      </c>
      <c r="C112" s="23"/>
      <c r="E112" s="26"/>
      <c r="F112" s="26">
        <f t="shared" ref="F112:Z112" si="272">F8+F10+F17</f>
        <v>87.721000000000075</v>
      </c>
      <c r="G112" s="26">
        <f t="shared" si="272"/>
        <v>41.216000000000079</v>
      </c>
      <c r="H112" s="26">
        <f t="shared" si="272"/>
        <v>72.971000000000004</v>
      </c>
      <c r="I112" s="26">
        <f t="shared" si="272"/>
        <v>108.09200000000008</v>
      </c>
      <c r="J112" s="26">
        <f t="shared" si="272"/>
        <v>188.85500000000008</v>
      </c>
      <c r="K112" s="26">
        <f t="shared" si="272"/>
        <v>156.48100000000005</v>
      </c>
      <c r="L112" s="54">
        <f t="shared" si="272"/>
        <v>383.90000000000026</v>
      </c>
      <c r="M112" s="54">
        <f t="shared" si="272"/>
        <v>307.94500000000039</v>
      </c>
      <c r="N112" s="54">
        <f t="shared" si="272"/>
        <v>604.36700000000042</v>
      </c>
      <c r="O112" s="54">
        <f t="shared" si="272"/>
        <v>582.63400000000047</v>
      </c>
      <c r="P112" s="54">
        <f t="shared" si="272"/>
        <v>1050.8500000000001</v>
      </c>
      <c r="Q112" s="54">
        <f t="shared" si="272"/>
        <v>546.524</v>
      </c>
      <c r="R112" s="54">
        <f t="shared" si="272"/>
        <v>1030.0919999999999</v>
      </c>
      <c r="S112" s="54">
        <f t="shared" si="272"/>
        <v>1140.751</v>
      </c>
      <c r="T112" s="54">
        <f t="shared" si="272"/>
        <v>2233.4219999999996</v>
      </c>
      <c r="U112" s="54">
        <f t="shared" si="272"/>
        <v>761.92699999999968</v>
      </c>
      <c r="V112" s="54">
        <f>V8+V10+V17</f>
        <v>1450.0310000000018</v>
      </c>
      <c r="W112" s="54">
        <f ca="1">W8+W10+W17</f>
        <v>595.71591214174362</v>
      </c>
      <c r="X112" s="54">
        <f t="shared" ca="1" si="272"/>
        <v>384.7205392180087</v>
      </c>
      <c r="Y112" s="54">
        <f t="shared" ca="1" si="272"/>
        <v>470.23385702003532</v>
      </c>
      <c r="Z112" s="54">
        <f t="shared" ca="1" si="272"/>
        <v>691.12391358887737</v>
      </c>
      <c r="AA112" s="54">
        <f t="shared" ref="AA112:AD112" ca="1" si="273">AA8+AA10+AA17</f>
        <v>496.03700276138932</v>
      </c>
      <c r="AB112" s="54">
        <f t="shared" ca="1" si="273"/>
        <v>359.54203697002015</v>
      </c>
      <c r="AC112" s="54">
        <f t="shared" ca="1" si="273"/>
        <v>296.0938491515825</v>
      </c>
      <c r="AD112" s="54">
        <f t="shared" ca="1" si="273"/>
        <v>330.89205551157136</v>
      </c>
      <c r="AE112" s="54"/>
      <c r="AF112" s="54"/>
      <c r="AG112" s="54"/>
      <c r="AH112" s="54"/>
      <c r="AI112" s="54"/>
      <c r="AJ112" s="54">
        <f t="shared" ref="AJ112:BO112" si="274">AJ8+AJ10+AJ17</f>
        <v>246.30799999999999</v>
      </c>
      <c r="AK112" s="54">
        <f t="shared" si="274"/>
        <v>230.67400000000001</v>
      </c>
      <c r="AL112" s="54">
        <f t="shared" si="274"/>
        <v>165.84199999999998</v>
      </c>
      <c r="AM112" s="54">
        <f t="shared" si="274"/>
        <v>87.721000000000004</v>
      </c>
      <c r="AN112" s="54">
        <f t="shared" si="274"/>
        <v>55.120000000000005</v>
      </c>
      <c r="AO112" s="54">
        <f t="shared" si="274"/>
        <v>23.263999999999999</v>
      </c>
      <c r="AP112" s="54">
        <f t="shared" si="274"/>
        <v>11.622</v>
      </c>
      <c r="AQ112" s="54">
        <f t="shared" si="274"/>
        <v>41.216000000000001</v>
      </c>
      <c r="AR112" s="54">
        <f t="shared" si="274"/>
        <v>20.978000000000002</v>
      </c>
      <c r="AS112" s="54">
        <f t="shared" si="274"/>
        <v>24.257000000000001</v>
      </c>
      <c r="AT112" s="54">
        <f t="shared" si="274"/>
        <v>25.222999999999999</v>
      </c>
      <c r="AU112" s="54">
        <f t="shared" si="274"/>
        <v>72.971000000000004</v>
      </c>
      <c r="AV112" s="54">
        <f t="shared" si="274"/>
        <v>88.638000000000005</v>
      </c>
      <c r="AW112" s="54">
        <f t="shared" si="274"/>
        <v>92.399000000000001</v>
      </c>
      <c r="AX112" s="54">
        <f t="shared" si="274"/>
        <v>98.813000000000002</v>
      </c>
      <c r="AY112" s="54">
        <f t="shared" si="274"/>
        <v>108.092</v>
      </c>
      <c r="AZ112" s="54">
        <f t="shared" si="274"/>
        <v>118.13600000000011</v>
      </c>
      <c r="BA112" s="54">
        <f t="shared" si="274"/>
        <v>132.02900000000011</v>
      </c>
      <c r="BB112" s="54">
        <f t="shared" si="274"/>
        <v>108.29000000000013</v>
      </c>
      <c r="BC112" s="54">
        <f t="shared" si="274"/>
        <v>188.85500000000008</v>
      </c>
      <c r="BD112" s="54">
        <f t="shared" si="274"/>
        <v>162.2230000000001</v>
      </c>
      <c r="BE112" s="54">
        <f t="shared" si="274"/>
        <v>147.93900000000011</v>
      </c>
      <c r="BF112" s="54">
        <f t="shared" si="274"/>
        <v>166.34600000000009</v>
      </c>
      <c r="BG112" s="54">
        <f t="shared" si="274"/>
        <v>156.48100000000005</v>
      </c>
      <c r="BH112" s="54">
        <f t="shared" si="274"/>
        <v>392.39900000000006</v>
      </c>
      <c r="BI112" s="54">
        <f t="shared" si="274"/>
        <v>323.96600000000012</v>
      </c>
      <c r="BJ112" s="54">
        <f t="shared" si="274"/>
        <v>436.36200000000008</v>
      </c>
      <c r="BK112" s="54">
        <f t="shared" si="274"/>
        <v>383.90000000000015</v>
      </c>
      <c r="BL112" s="54">
        <f t="shared" si="274"/>
        <v>325.52600000000018</v>
      </c>
      <c r="BM112" s="54">
        <f t="shared" si="274"/>
        <v>324.74900000000019</v>
      </c>
      <c r="BN112" s="54">
        <f t="shared" si="274"/>
        <v>330.19900000000024</v>
      </c>
      <c r="BO112" s="54">
        <f t="shared" si="274"/>
        <v>307.94500000000016</v>
      </c>
      <c r="BP112" s="54">
        <f t="shared" ref="BP112:CP112" si="275">BP8+BP10+BP17</f>
        <v>283.97500000000019</v>
      </c>
      <c r="BQ112" s="54">
        <f t="shared" si="275"/>
        <v>603.37000000000012</v>
      </c>
      <c r="BR112" s="54">
        <f t="shared" si="275"/>
        <v>627.44200000000012</v>
      </c>
      <c r="BS112" s="54">
        <f t="shared" si="275"/>
        <v>604.36700000000019</v>
      </c>
      <c r="BT112" s="54">
        <f t="shared" si="275"/>
        <v>1185.1379999999999</v>
      </c>
      <c r="BU112" s="54">
        <f t="shared" si="275"/>
        <v>719.61800000000005</v>
      </c>
      <c r="BV112" s="54">
        <f t="shared" si="275"/>
        <v>709.26600000000008</v>
      </c>
      <c r="BW112" s="54">
        <f t="shared" si="275"/>
        <v>582.63400000000013</v>
      </c>
      <c r="BX112" s="54">
        <f t="shared" si="275"/>
        <v>442.61000000000013</v>
      </c>
      <c r="BY112" s="54">
        <f t="shared" si="275"/>
        <v>405.17900000000009</v>
      </c>
      <c r="BZ112" s="54">
        <f t="shared" si="275"/>
        <v>1148.4530000000002</v>
      </c>
      <c r="CA112" s="54">
        <f t="shared" si="275"/>
        <v>1050.8500000000001</v>
      </c>
      <c r="CB112" s="54">
        <f t="shared" si="275"/>
        <v>1051.4690000000001</v>
      </c>
      <c r="CC112" s="54">
        <f t="shared" si="275"/>
        <v>790.35900000000004</v>
      </c>
      <c r="CD112" s="54">
        <f t="shared" si="275"/>
        <v>514.55199999999991</v>
      </c>
      <c r="CE112" s="54">
        <f t="shared" si="275"/>
        <v>546.52399999999989</v>
      </c>
      <c r="CF112" s="54">
        <f t="shared" si="275"/>
        <v>1210.2250000000001</v>
      </c>
      <c r="CG112" s="54">
        <f t="shared" si="275"/>
        <v>1218.0070000000003</v>
      </c>
      <c r="CH112" s="54">
        <f t="shared" si="275"/>
        <v>1189.1030000000003</v>
      </c>
      <c r="CI112" s="54">
        <f t="shared" si="275"/>
        <v>1030.0920000000001</v>
      </c>
      <c r="CJ112" s="54">
        <f t="shared" si="275"/>
        <v>1041.7239999999999</v>
      </c>
      <c r="CK112" s="54">
        <f t="shared" si="275"/>
        <v>704.34900000000005</v>
      </c>
      <c r="CL112" s="54">
        <f t="shared" si="275"/>
        <v>501.11500000000007</v>
      </c>
      <c r="CM112" s="54">
        <f t="shared" si="275"/>
        <v>1140.7510000000002</v>
      </c>
      <c r="CN112" s="54">
        <f t="shared" si="275"/>
        <v>1069.7430000000002</v>
      </c>
      <c r="CO112" s="54">
        <f t="shared" si="275"/>
        <v>435.5689999999999</v>
      </c>
      <c r="CP112" s="54">
        <f t="shared" si="275"/>
        <v>339.54599999999994</v>
      </c>
      <c r="CQ112" s="54">
        <f t="shared" ref="CQ112:CU112" si="276">CQ8+CQ10+CQ17</f>
        <v>2233.4219999999996</v>
      </c>
      <c r="CR112" s="54">
        <f t="shared" si="276"/>
        <v>650.07999999999981</v>
      </c>
      <c r="CS112" s="54">
        <f t="shared" si="276"/>
        <v>494.18199999999973</v>
      </c>
      <c r="CT112" s="54">
        <f t="shared" si="276"/>
        <v>1003.3939999999997</v>
      </c>
      <c r="CU112" s="54">
        <f t="shared" si="276"/>
        <v>761.92699999999968</v>
      </c>
      <c r="CV112" s="54">
        <f>CV8+CV10+CV17</f>
        <v>4944.4620000000004</v>
      </c>
      <c r="CW112" s="54">
        <f>CW8+CW10+CW17</f>
        <v>1074.4079999999999</v>
      </c>
      <c r="CX112" s="54">
        <f>CX8+CX10+CX17</f>
        <v>1640.4449999999999</v>
      </c>
      <c r="CY112" s="54">
        <f>CY8+CY10+CY17</f>
        <v>1450.0309999999999</v>
      </c>
      <c r="CZ112" s="54">
        <f t="shared" ref="CZ112:DC112" ca="1" si="277">CZ8+CZ10+CZ17</f>
        <v>1308.2902364075171</v>
      </c>
      <c r="DA112" s="54">
        <f t="shared" ca="1" si="277"/>
        <v>1330.5862701860153</v>
      </c>
      <c r="DB112" s="54">
        <f t="shared" ca="1" si="277"/>
        <v>947.86245892073885</v>
      </c>
      <c r="DC112" s="54">
        <f t="shared" ca="1" si="277"/>
        <v>595.71591214174191</v>
      </c>
      <c r="DI112"/>
      <c r="DJ112"/>
      <c r="DK112"/>
      <c r="DL112"/>
      <c r="DM112"/>
      <c r="DN112"/>
    </row>
    <row r="113" spans="1:118" s="15" customFormat="1" hidden="1" outlineLevel="1">
      <c r="B113" s="990" t="s">
        <v>1041</v>
      </c>
      <c r="C113" s="23"/>
      <c r="E113" s="54"/>
      <c r="F113" s="54">
        <f t="shared" ref="F113:L113" si="278">F42+F48+F56+F43+F44+F55+F49+F50+F51+F52+F53</f>
        <v>306.43200000000002</v>
      </c>
      <c r="G113" s="54">
        <f t="shared" si="278"/>
        <v>153.01499999999999</v>
      </c>
      <c r="H113" s="54">
        <f t="shared" si="278"/>
        <v>86.596000000000004</v>
      </c>
      <c r="I113" s="54">
        <f t="shared" si="278"/>
        <v>157.27799999999999</v>
      </c>
      <c r="J113" s="54">
        <f t="shared" si="278"/>
        <v>242.45499999999998</v>
      </c>
      <c r="K113" s="54">
        <f t="shared" si="278"/>
        <v>279.84500000000003</v>
      </c>
      <c r="L113" s="54">
        <f t="shared" si="278"/>
        <v>1106.144</v>
      </c>
      <c r="M113" s="54">
        <f t="shared" ref="M113:Z113" si="279">M42+M48+M56+M43+M44+M55+M49</f>
        <v>1203.69</v>
      </c>
      <c r="N113" s="54">
        <f t="shared" si="279"/>
        <v>1484.9690000000001</v>
      </c>
      <c r="O113" s="54">
        <f t="shared" si="279"/>
        <v>2048.585</v>
      </c>
      <c r="P113" s="54">
        <f t="shared" si="279"/>
        <v>3099.13</v>
      </c>
      <c r="Q113" s="54">
        <f t="shared" si="279"/>
        <v>3010.7469999999998</v>
      </c>
      <c r="R113" s="54">
        <f t="shared" si="279"/>
        <v>4158.6559999999999</v>
      </c>
      <c r="S113" s="54">
        <f t="shared" si="279"/>
        <v>4679.4089999999997</v>
      </c>
      <c r="T113" s="54">
        <f t="shared" si="279"/>
        <v>6503.6990000000005</v>
      </c>
      <c r="U113" s="54">
        <f t="shared" si="279"/>
        <v>6759.5730000000003</v>
      </c>
      <c r="V113" s="54">
        <f>V42+V48+V56+V43+V44+V55+V49</f>
        <v>10080.419</v>
      </c>
      <c r="W113" s="54">
        <f ca="1">W42+W48+W56+W43+W44+W55+W49</f>
        <v>10080.419</v>
      </c>
      <c r="X113" s="54">
        <f t="shared" ca="1" si="279"/>
        <v>10577.635</v>
      </c>
      <c r="Y113" s="54">
        <f t="shared" ca="1" si="279"/>
        <v>11074.851000000001</v>
      </c>
      <c r="Z113" s="54">
        <f t="shared" ca="1" si="279"/>
        <v>11572.066999999999</v>
      </c>
      <c r="AA113" s="54">
        <f t="shared" ref="AA113:AD113" ca="1" si="280">AA42+AA48+AA56+AA43+AA44+AA55+AA49</f>
        <v>11569.282999999999</v>
      </c>
      <c r="AB113" s="54">
        <f t="shared" ca="1" si="280"/>
        <v>11566.499</v>
      </c>
      <c r="AC113" s="54">
        <f t="shared" ca="1" si="280"/>
        <v>11563.715</v>
      </c>
      <c r="AD113" s="54">
        <f t="shared" ca="1" si="280"/>
        <v>11560.931</v>
      </c>
      <c r="AE113" s="54"/>
      <c r="AF113" s="54"/>
      <c r="AG113" s="54"/>
      <c r="AH113" s="54"/>
      <c r="AI113" s="54"/>
      <c r="AJ113" s="54">
        <f>AJ42+AJ48+AJ56+AJ43+AJ44+AJ55+(Capital!$BH$26-Capital!AJ29)</f>
        <v>262.99599999999998</v>
      </c>
      <c r="AK113" s="54">
        <f>AK42+AK48+AK56+AK43+AK44+AK55+(Capital!$BH$26-Capital!AK29)</f>
        <v>266.77600000000001</v>
      </c>
      <c r="AL113" s="54">
        <f>AL42+AL48+AL56+AL43+AL44+AL55+(Capital!$BH$26-Capital!AL29)</f>
        <v>265.10700000000003</v>
      </c>
      <c r="AM113" s="54">
        <f>AM42+AM48+AM56+AM43+AM44+AM55+(Capital!$BH$26-Capital!AM29)</f>
        <v>263.55</v>
      </c>
      <c r="AN113" s="54">
        <f>AN42+AN48+AN56+AN43+AN44+AN55+(Capital!$BH$26-Capital!AN29)</f>
        <v>261.96600000000001</v>
      </c>
      <c r="AO113" s="54">
        <f>AO42+AO48+AO56+AO43+AO44+AO55+(Capital!$BH$26-Capital!AO29)</f>
        <v>260.32100000000003</v>
      </c>
      <c r="AP113" s="54">
        <f>AP42+AP48+AP56+AP43+AP44+AP55+(Capital!$BH$26-Capital!AP29)</f>
        <v>258.75400000000002</v>
      </c>
      <c r="AQ113" s="54">
        <f>AQ42+AQ48+AQ56+AQ43+AQ44+AQ55+(Capital!$BH$26-Capital!AQ29)</f>
        <v>259.22399999999999</v>
      </c>
      <c r="AR113" s="54">
        <f>AR42+AR48+AR56+AR43+AR44+AR55+(Capital!$BH$26-Capital!AR29)</f>
        <v>256.80500000000001</v>
      </c>
      <c r="AS113" s="54">
        <f>AS42+AS48+AS56+AS43+AS44+AS55+(Capital!$BH$26-Capital!AS29)</f>
        <v>254.99</v>
      </c>
      <c r="AT113" s="54">
        <f>AT42+AT48+AT56+AT43+AT44+AT55+(Capital!$BH$26-Capital!AT29)</f>
        <v>254.33699999999999</v>
      </c>
      <c r="AU113" s="54">
        <f>AU42+AU48+AU56+AU43+AU44+AU55+(Capital!$BH$26-Capital!AU29)</f>
        <v>253.41200000000001</v>
      </c>
      <c r="AV113" s="54">
        <f>AV42+AV48+AV56+AV43+AV44+AV55+(Capital!$BH$26-Capital!AV29)</f>
        <v>250</v>
      </c>
      <c r="AW113" s="54">
        <f>AW42+AW48+AW56+AW43+AW44+AW55+(Capital!$BH$26-Capital!AW29)</f>
        <v>250</v>
      </c>
      <c r="AX113" s="54">
        <f>AX42+AX48+AX56+AX43+AX44+AX55+(Capital!$BH$26-Capital!AX29)</f>
        <v>250</v>
      </c>
      <c r="AY113" s="54">
        <f>AY42+AY48+AY56+AY43+AY44+AY55+(Capital!$BH$26-Capital!AY29)</f>
        <v>285.20400000000001</v>
      </c>
      <c r="AZ113" s="54">
        <f>AZ42+AZ48+AZ56+AZ43+AZ44+AZ55+(Capital!$BH$26-Capital!AZ29)</f>
        <v>388.74799999999999</v>
      </c>
      <c r="BA113" s="54">
        <f>BA42+BA48+BA56+BA43+BA44+BA55+(Capital!$BH$26-Capital!BA29)</f>
        <v>388.10399999999998</v>
      </c>
      <c r="BB113" s="54">
        <f>BB42+BB48+BB56+BB43+BB44+BB55+(Capital!$BH$26-Capital!BB29)</f>
        <v>387.91499999999996</v>
      </c>
      <c r="BC113" s="54">
        <f>BC42+BC48+BC56+BC43+BC44+BC55+(Capital!$BH$26-Capital!BC29)</f>
        <v>492.45499999999998</v>
      </c>
      <c r="BD113" s="54">
        <f>BD42+BD48+BD56+BD43+BD44+BD55+(Capital!$BH$26-Capital!BD29)</f>
        <v>491.88599999999997</v>
      </c>
      <c r="BE113" s="54">
        <f>BE42+BE48+BE56+BE43+BE44+BE55+(Capital!$BH$26-Capital!BE29)</f>
        <v>491.20000000000005</v>
      </c>
      <c r="BF113" s="54">
        <f>BF42+BF48+BF56+BF43+BF44+BF55+(Capital!$BH$26-Capital!BF29)</f>
        <v>490.49</v>
      </c>
      <c r="BG113" s="54">
        <f>BG42+BG48+BG56+BG43+BG44+BG55+(Capital!$BH$26-Capital!BG29)</f>
        <v>529.84500000000003</v>
      </c>
      <c r="BH113" s="54">
        <f>BH42+BH48+BH56+BH43+BH44+BH55+(Capital!$BH$26-Capital!BH29)</f>
        <v>568.06335903253216</v>
      </c>
      <c r="BI113" s="54">
        <f>BI42+BI48+BI56+BI43+BI44+BI55+(Capital!$BH$26-Capital!BI29)</f>
        <v>793.13300000000004</v>
      </c>
      <c r="BJ113" s="54">
        <f>BJ42+BJ48+BJ56+BJ43+BJ44+BJ55+(Capital!$BH$26-Capital!BJ29)</f>
        <v>1308.6100000000001</v>
      </c>
      <c r="BK113" s="54">
        <f>BK42+BK48+BK56+BK43+BK44+BK55+(Capital!$BH$26-Capital!BK29)</f>
        <v>1356.144</v>
      </c>
      <c r="BL113" s="54">
        <f>BL42+BL48+BL56+BL43+BL44+BL55+(Capital!$BH$26-Capital!BL29)</f>
        <v>1412.174</v>
      </c>
      <c r="BM113" s="54">
        <f>BM42+BM48+BM56+BM43+BM44+BM55+(Capital!$BH$26-Capital!BM29)</f>
        <v>1442.0319999999999</v>
      </c>
      <c r="BN113" s="54">
        <f>BN42+BN48+BN56+BN43+BN44+BN55+(Capital!$BH$26-Capital!BN29)</f>
        <v>1443.6750000000002</v>
      </c>
      <c r="BO113" s="54">
        <f>BO42+BO48+BO56+BO43+BO44+BO55</f>
        <v>1203.69</v>
      </c>
      <c r="BP113" s="54">
        <f>BP42+BP48+BP56+BP43+BP44+BP55</f>
        <v>1191.0490000000002</v>
      </c>
      <c r="BQ113" s="54">
        <f>BQ42+BQ48+BQ56+BQ43+BQ44+BQ55</f>
        <v>1452.3029999999999</v>
      </c>
      <c r="BR113" s="54">
        <f>BR42+BR48+BR56+BR43+BR44+BR55</f>
        <v>1496.2539999999999</v>
      </c>
      <c r="BS113" s="54">
        <f>BS42+BS48+BS56+BS43+BS44+BS55</f>
        <v>1484.9690000000001</v>
      </c>
      <c r="BT113" s="54">
        <f t="shared" ref="BT113:CP113" si="281">BT42+BT48+BT56+BT43+BT44+BT55+BT49</f>
        <v>2111.788</v>
      </c>
      <c r="BU113" s="54">
        <f t="shared" si="281"/>
        <v>2059.3879999999999</v>
      </c>
      <c r="BV113" s="54">
        <f t="shared" si="281"/>
        <v>2131.5549999999998</v>
      </c>
      <c r="BW113" s="54">
        <f t="shared" si="281"/>
        <v>2048.585</v>
      </c>
      <c r="BX113" s="54">
        <f t="shared" si="281"/>
        <v>2124.44</v>
      </c>
      <c r="BY113" s="54">
        <f t="shared" si="281"/>
        <v>2257.8609999999999</v>
      </c>
      <c r="BZ113" s="54">
        <f t="shared" si="281"/>
        <v>3059.547</v>
      </c>
      <c r="CA113" s="54">
        <f t="shared" si="281"/>
        <v>3099.13</v>
      </c>
      <c r="CB113" s="54">
        <f t="shared" si="281"/>
        <v>3082.4480000000003</v>
      </c>
      <c r="CC113" s="54">
        <f t="shared" si="281"/>
        <v>2893.473</v>
      </c>
      <c r="CD113" s="54">
        <f t="shared" si="281"/>
        <v>2956.529</v>
      </c>
      <c r="CE113" s="54">
        <f t="shared" si="281"/>
        <v>3010.7469999999998</v>
      </c>
      <c r="CF113" s="54">
        <f t="shared" si="281"/>
        <v>4523.759</v>
      </c>
      <c r="CG113" s="54">
        <f t="shared" si="281"/>
        <v>3941.6790000000001</v>
      </c>
      <c r="CH113" s="54">
        <f t="shared" si="281"/>
        <v>4046.576</v>
      </c>
      <c r="CI113" s="54">
        <f t="shared" si="281"/>
        <v>4158.6559999999999</v>
      </c>
      <c r="CJ113" s="54">
        <f t="shared" si="281"/>
        <v>4279.3710000000001</v>
      </c>
      <c r="CK113" s="54">
        <f t="shared" si="281"/>
        <v>3936.1750000000002</v>
      </c>
      <c r="CL113" s="54">
        <f t="shared" si="281"/>
        <v>3983.6550000000002</v>
      </c>
      <c r="CM113" s="54">
        <f t="shared" si="281"/>
        <v>4679.4089999999997</v>
      </c>
      <c r="CN113" s="54">
        <f t="shared" si="281"/>
        <v>4666.6499999999996</v>
      </c>
      <c r="CO113" s="54">
        <f t="shared" si="281"/>
        <v>4710.03</v>
      </c>
      <c r="CP113" s="54">
        <f t="shared" si="281"/>
        <v>4636.4120000000003</v>
      </c>
      <c r="CQ113" s="54">
        <f t="shared" ref="CQ113:CU113" si="282">CQ42+CQ48+CQ56+CQ43+CQ44+CQ55+CQ49</f>
        <v>6503.6990000000005</v>
      </c>
      <c r="CR113" s="54">
        <f t="shared" si="282"/>
        <v>7181.7909999999993</v>
      </c>
      <c r="CS113" s="54">
        <f t="shared" si="282"/>
        <v>7001.2250000000004</v>
      </c>
      <c r="CT113" s="54">
        <f t="shared" si="282"/>
        <v>6925.3099999999995</v>
      </c>
      <c r="CU113" s="54">
        <f t="shared" si="282"/>
        <v>6759.5730000000003</v>
      </c>
      <c r="CV113" s="54">
        <f>CV42+CV48+CV56+CV43+CV44+CV55+CV49</f>
        <v>9181.3689999999988</v>
      </c>
      <c r="CW113" s="54">
        <f>CW42+CW48+CW56+CW43+CW44+CW55+CW49</f>
        <v>9289.1190000000006</v>
      </c>
      <c r="CX113" s="54">
        <f>CX42+CX48+CX56+CX43+CX44+CX55+CX49</f>
        <v>10025.630000000001</v>
      </c>
      <c r="CY113" s="54">
        <f>CY42+CY48+CY56+CY43+CY44+CY55+CY49</f>
        <v>10080.419</v>
      </c>
      <c r="CZ113" s="54">
        <f t="shared" ref="CZ113:DC113" ca="1" si="283">CZ42+CZ48+CZ56+CZ43+CZ44+CZ55+CZ49</f>
        <v>10080.419</v>
      </c>
      <c r="DA113" s="54">
        <f t="shared" ca="1" si="283"/>
        <v>10080.419</v>
      </c>
      <c r="DB113" s="54">
        <f t="shared" ca="1" si="283"/>
        <v>10080.419</v>
      </c>
      <c r="DC113" s="54">
        <f t="shared" ca="1" si="283"/>
        <v>10080.419</v>
      </c>
      <c r="DI113"/>
      <c r="DJ113"/>
      <c r="DK113"/>
      <c r="DL113"/>
      <c r="DM113"/>
      <c r="DN113"/>
    </row>
    <row r="114" spans="1:118" s="15" customFormat="1" hidden="1" outlineLevel="1">
      <c r="B114" s="990" t="s">
        <v>849</v>
      </c>
      <c r="C114" s="23"/>
      <c r="E114" s="54"/>
      <c r="F114" s="54"/>
      <c r="G114" s="54"/>
      <c r="H114" s="54"/>
      <c r="I114" s="54"/>
      <c r="J114" s="54"/>
      <c r="K114" s="54"/>
      <c r="L114" s="54"/>
      <c r="M114" s="54">
        <f>M113+Lease!L29</f>
        <v>1843.6960847529276</v>
      </c>
      <c r="N114" s="54">
        <f>N113+Lease!M29</f>
        <v>2240.7336434396739</v>
      </c>
      <c r="O114" s="54">
        <f>O113+Lease!N29</f>
        <v>2889.9271668346673</v>
      </c>
      <c r="P114" s="54">
        <f>P113+Lease!O29</f>
        <v>3985.2231723400077</v>
      </c>
      <c r="Q114" s="54">
        <f>Q113+Lease!P29</f>
        <v>3948.2796763015094</v>
      </c>
      <c r="R114" s="54">
        <f>R113+Lease!Q29</f>
        <v>5151.0506989595142</v>
      </c>
      <c r="S114" s="54">
        <f>S113+Lease!R29</f>
        <v>5738.9290872430092</v>
      </c>
      <c r="T114" s="54">
        <f>T113+Lease!S29</f>
        <v>7638.3180525183143</v>
      </c>
      <c r="U114" s="54">
        <f>U113+Lease!T29</f>
        <v>7973.6325070372568</v>
      </c>
      <c r="V114" s="54">
        <f>V113+Lease!U29</f>
        <v>11378.580387772105</v>
      </c>
      <c r="W114" s="54">
        <f ca="1">W113+Lease!V29</f>
        <v>11467.681468960927</v>
      </c>
      <c r="X114" s="54">
        <f ca="1">X113+Lease!W29</f>
        <v>12059.354732300393</v>
      </c>
      <c r="Y114" s="54">
        <f ca="1">Y113+Lease!X29</f>
        <v>12656.761810789903</v>
      </c>
      <c r="Z114" s="54">
        <f ca="1">Z113+Lease!Y29</f>
        <v>13260.302512045489</v>
      </c>
      <c r="AA114" s="54">
        <f ca="1">AA113+Lease!Z29</f>
        <v>11569.282999999999</v>
      </c>
      <c r="AB114" s="54">
        <f ca="1">AB113+Lease!AA29</f>
        <v>11566.499</v>
      </c>
      <c r="AC114" s="54">
        <f ca="1">AC113+Lease!AB29</f>
        <v>11563.715</v>
      </c>
      <c r="AD114" s="54">
        <f ca="1">AD113+Lease!AC29</f>
        <v>11560.931</v>
      </c>
      <c r="AE114" s="54"/>
      <c r="AF114" s="54"/>
      <c r="AG114" s="54"/>
      <c r="AH114" s="54"/>
      <c r="AI114" s="54"/>
      <c r="AJ114" s="54"/>
      <c r="AK114" s="54"/>
      <c r="AL114" s="54"/>
      <c r="AM114" s="54"/>
      <c r="AN114" s="54"/>
      <c r="AO114" s="54"/>
      <c r="AP114" s="54"/>
      <c r="AQ114" s="54"/>
      <c r="AR114" s="54"/>
      <c r="AS114" s="54"/>
      <c r="AT114" s="54"/>
      <c r="AU114" s="54"/>
      <c r="AV114" s="54"/>
      <c r="AW114" s="54"/>
      <c r="AX114" s="54"/>
      <c r="AY114" s="54"/>
      <c r="AZ114" s="54"/>
      <c r="BA114" s="54"/>
      <c r="BB114" s="54"/>
      <c r="BC114" s="54"/>
      <c r="BD114" s="54"/>
      <c r="BE114" s="54"/>
      <c r="BF114" s="54"/>
      <c r="BG114" s="54"/>
      <c r="BH114" s="54"/>
      <c r="BI114" s="54"/>
      <c r="BJ114" s="54"/>
      <c r="BK114" s="54"/>
      <c r="BL114" s="54"/>
      <c r="BM114" s="54"/>
      <c r="BN114" s="54"/>
      <c r="BO114" s="54"/>
      <c r="BP114" s="54">
        <f>BP113+Lease!$L$29</f>
        <v>1831.0550847529278</v>
      </c>
      <c r="BQ114" s="54">
        <f>BQ113+Lease!$L$29</f>
        <v>2092.3090847529274</v>
      </c>
      <c r="BR114" s="54">
        <f>BR113+Lease!$L$29</f>
        <v>2136.2600847529275</v>
      </c>
      <c r="BS114" s="54">
        <f>BS113+Lease!$L$29</f>
        <v>2124.9750847529276</v>
      </c>
      <c r="BT114" s="54">
        <f>BT113+Lease!$M$29</f>
        <v>2867.5526434396743</v>
      </c>
      <c r="BU114" s="54">
        <f>BU113+Lease!$M$29</f>
        <v>2815.1526434396737</v>
      </c>
      <c r="BV114" s="54">
        <f>BV113+Lease!$M$29</f>
        <v>2887.3196434396741</v>
      </c>
      <c r="BW114" s="54">
        <f>BW113+Lease!$M$29</f>
        <v>2804.3496434396739</v>
      </c>
      <c r="BX114" s="54">
        <f>BX113+Lease!$N$19</f>
        <v>2810.2829648182051</v>
      </c>
      <c r="BY114" s="54">
        <f>BY113+Lease!$N$19</f>
        <v>2943.7039648182049</v>
      </c>
      <c r="BZ114" s="54">
        <f>BZ113+Lease!$N$19</f>
        <v>3745.389964818205</v>
      </c>
      <c r="CA114" s="54">
        <f>CA113+Lease!$N$19</f>
        <v>3784.9729648182051</v>
      </c>
      <c r="CB114" s="54">
        <f>CB113+Lease!$N$19</f>
        <v>3768.2909648182053</v>
      </c>
      <c r="CC114" s="54">
        <f>CC113+Lease!$N$19</f>
        <v>3579.315964818205</v>
      </c>
      <c r="CD114" s="54">
        <f>CD113+Lease!$N$19</f>
        <v>3642.371964818205</v>
      </c>
      <c r="CE114" s="54">
        <f>CE113+Lease!$N$19</f>
        <v>3696.5899648182049</v>
      </c>
      <c r="CF114" s="54">
        <f>CF113+Lease!$N$19</f>
        <v>5209.6019648182055</v>
      </c>
      <c r="CG114" s="54">
        <f>CG113+Lease!$N$19</f>
        <v>4627.5219648182056</v>
      </c>
      <c r="CH114" s="54">
        <f>CH113+Lease!$N$19</f>
        <v>4732.4189648182055</v>
      </c>
      <c r="CI114" s="54">
        <f>CI113+Lease!$N$19</f>
        <v>4844.4989648182054</v>
      </c>
      <c r="CJ114" s="54">
        <f>CJ113+Lease!$N$19</f>
        <v>4965.2139648182056</v>
      </c>
      <c r="CK114" s="54">
        <f>CK113+Lease!$N$19</f>
        <v>4622.0179648182057</v>
      </c>
      <c r="CL114" s="54">
        <f>CL113+Lease!$N$19</f>
        <v>4669.4979648182052</v>
      </c>
      <c r="CM114" s="54">
        <f>CM113+Lease!$N$19</f>
        <v>5365.2519648182051</v>
      </c>
      <c r="CN114" s="54">
        <f>CN113+Lease!$N$19</f>
        <v>5352.4929648182051</v>
      </c>
      <c r="CO114" s="54">
        <f>CO113+Lease!$N$19</f>
        <v>5395.8729648182052</v>
      </c>
      <c r="CP114" s="54">
        <f>CP113+Lease!$N$19</f>
        <v>5322.2549648182057</v>
      </c>
      <c r="CQ114" s="54">
        <f>CQ113+Lease!$N$19</f>
        <v>7189.541964818206</v>
      </c>
      <c r="CR114" s="54">
        <f>CR113+Lease!$N$19</f>
        <v>7867.6339648182047</v>
      </c>
      <c r="CS114" s="54">
        <f>CS113+Lease!$N$19</f>
        <v>7687.0679648182058</v>
      </c>
      <c r="CT114" s="54">
        <f>CT113+Lease!$N$19</f>
        <v>7611.152964818205</v>
      </c>
      <c r="CU114" s="54">
        <f>CU113+Lease!$N$19</f>
        <v>7445.4159648182058</v>
      </c>
      <c r="CV114" s="54">
        <f>CV113+Lease!$N$19</f>
        <v>9867.2119648182033</v>
      </c>
      <c r="CW114" s="54">
        <f>CW113+Lease!$N$19</f>
        <v>9974.9619648182052</v>
      </c>
      <c r="CX114" s="54">
        <f>CX113+Lease!$N$19</f>
        <v>10711.472964818206</v>
      </c>
      <c r="CY114" s="54">
        <f>CY113+Lease!$N$19</f>
        <v>10766.261964818204</v>
      </c>
      <c r="CZ114" s="54">
        <f ca="1">CZ113+Lease!$O$19</f>
        <v>10768.415942430463</v>
      </c>
      <c r="DA114" s="54">
        <f ca="1">DA113+Lease!$O$19</f>
        <v>10768.415942430463</v>
      </c>
      <c r="DB114" s="54">
        <f ca="1">DB113+Lease!$O$19</f>
        <v>10768.415942430463</v>
      </c>
      <c r="DC114" s="54">
        <f ca="1">DC113+Lease!$O$19</f>
        <v>10768.415942430463</v>
      </c>
      <c r="DI114"/>
      <c r="DJ114"/>
      <c r="DK114"/>
      <c r="DL114"/>
      <c r="DM114"/>
      <c r="DN114"/>
    </row>
    <row r="115" spans="1:118" hidden="1" outlineLevel="1">
      <c r="B115" s="990" t="s">
        <v>1496</v>
      </c>
      <c r="C115" s="23"/>
      <c r="D115" s="15"/>
      <c r="E115" s="26"/>
      <c r="F115" s="26">
        <f t="shared" ref="F115:Z115" si="284">(F113-F112)</f>
        <v>218.71099999999996</v>
      </c>
      <c r="G115" s="26">
        <f t="shared" si="284"/>
        <v>111.79899999999991</v>
      </c>
      <c r="H115" s="26">
        <f t="shared" si="284"/>
        <v>13.625</v>
      </c>
      <c r="I115" s="26">
        <f t="shared" si="284"/>
        <v>49.185999999999908</v>
      </c>
      <c r="J115" s="26">
        <f t="shared" si="284"/>
        <v>53.599999999999909</v>
      </c>
      <c r="K115" s="26">
        <f t="shared" si="284"/>
        <v>123.36399999999998</v>
      </c>
      <c r="L115" s="54">
        <f t="shared" si="284"/>
        <v>722.24399999999969</v>
      </c>
      <c r="M115" s="54">
        <f t="shared" si="284"/>
        <v>895.74499999999966</v>
      </c>
      <c r="N115" s="54">
        <f t="shared" si="284"/>
        <v>880.60199999999963</v>
      </c>
      <c r="O115" s="54">
        <f t="shared" si="284"/>
        <v>1465.9509999999996</v>
      </c>
      <c r="P115" s="54">
        <f t="shared" si="284"/>
        <v>2048.2799999999997</v>
      </c>
      <c r="Q115" s="54">
        <f t="shared" si="284"/>
        <v>2464.223</v>
      </c>
      <c r="R115" s="54">
        <f t="shared" si="284"/>
        <v>3128.5640000000003</v>
      </c>
      <c r="S115" s="54">
        <f t="shared" si="284"/>
        <v>3538.6579999999994</v>
      </c>
      <c r="T115" s="54">
        <f t="shared" si="284"/>
        <v>4270.277000000001</v>
      </c>
      <c r="U115" s="54">
        <f t="shared" si="284"/>
        <v>5997.6460000000006</v>
      </c>
      <c r="V115" s="54">
        <f>(V113-V112)</f>
        <v>8630.387999999999</v>
      </c>
      <c r="W115" s="54">
        <f ca="1">(W113-W112)</f>
        <v>9484.7030878582555</v>
      </c>
      <c r="X115" s="54">
        <f t="shared" ca="1" si="284"/>
        <v>10192.914460781991</v>
      </c>
      <c r="Y115" s="54">
        <f t="shared" ca="1" si="284"/>
        <v>10604.617142979965</v>
      </c>
      <c r="Z115" s="54">
        <f t="shared" ca="1" si="284"/>
        <v>10880.943086411122</v>
      </c>
      <c r="AA115" s="54">
        <f t="shared" ref="AA115:AD115" ca="1" si="285">(AA113-AA112)</f>
        <v>11073.24599723861</v>
      </c>
      <c r="AB115" s="54">
        <f t="shared" ca="1" si="285"/>
        <v>11206.956963029979</v>
      </c>
      <c r="AC115" s="54">
        <f t="shared" ca="1" si="285"/>
        <v>11267.621150848418</v>
      </c>
      <c r="AD115" s="54">
        <f t="shared" ca="1" si="285"/>
        <v>11230.038944488429</v>
      </c>
      <c r="AE115" s="54"/>
      <c r="AF115" s="54"/>
      <c r="AG115" s="54"/>
      <c r="AH115" s="54"/>
      <c r="AI115" s="54"/>
      <c r="AJ115" s="54"/>
      <c r="AK115" s="54"/>
      <c r="AL115" s="54"/>
      <c r="AM115" s="54"/>
      <c r="AN115" s="54"/>
      <c r="AO115" s="54"/>
      <c r="AP115" s="54"/>
      <c r="AQ115" s="54"/>
      <c r="AR115" s="54"/>
      <c r="AS115" s="54"/>
      <c r="AT115" s="54"/>
      <c r="AU115" s="54"/>
      <c r="AV115" s="54"/>
      <c r="AW115" s="54"/>
      <c r="AX115" s="54"/>
      <c r="AY115" s="54"/>
      <c r="AZ115" s="54"/>
      <c r="BA115" s="54"/>
      <c r="BB115" s="54"/>
      <c r="BC115" s="54"/>
      <c r="BD115" s="54"/>
      <c r="BE115" s="54"/>
      <c r="BF115" s="54"/>
      <c r="BG115" s="54"/>
      <c r="BH115" s="54"/>
      <c r="BI115" s="54"/>
      <c r="BJ115" s="54"/>
      <c r="BK115" s="54"/>
      <c r="BL115" s="54"/>
      <c r="BM115" s="54"/>
      <c r="BN115" s="54"/>
      <c r="BO115" s="54"/>
      <c r="BP115" s="54">
        <f t="shared" ref="BP115:CP115" si="286">(BP113-BP112)</f>
        <v>907.07400000000007</v>
      </c>
      <c r="BQ115" s="54">
        <f t="shared" si="286"/>
        <v>848.93299999999977</v>
      </c>
      <c r="BR115" s="54">
        <f t="shared" si="286"/>
        <v>868.81199999999978</v>
      </c>
      <c r="BS115" s="54">
        <f t="shared" si="286"/>
        <v>880.60199999999986</v>
      </c>
      <c r="BT115" s="54">
        <f t="shared" si="286"/>
        <v>926.65000000000009</v>
      </c>
      <c r="BU115" s="54">
        <f t="shared" si="286"/>
        <v>1339.77</v>
      </c>
      <c r="BV115" s="54">
        <f t="shared" si="286"/>
        <v>1422.2889999999998</v>
      </c>
      <c r="BW115" s="54">
        <f t="shared" si="286"/>
        <v>1465.951</v>
      </c>
      <c r="BX115" s="54">
        <f t="shared" si="286"/>
        <v>1681.83</v>
      </c>
      <c r="BY115" s="54">
        <f t="shared" si="286"/>
        <v>1852.6819999999998</v>
      </c>
      <c r="BZ115" s="54">
        <f t="shared" si="286"/>
        <v>1911.0939999999998</v>
      </c>
      <c r="CA115" s="54">
        <f t="shared" si="286"/>
        <v>2048.2799999999997</v>
      </c>
      <c r="CB115" s="54">
        <f t="shared" si="286"/>
        <v>2030.9790000000003</v>
      </c>
      <c r="CC115" s="54">
        <f t="shared" si="286"/>
        <v>2103.114</v>
      </c>
      <c r="CD115" s="54">
        <f t="shared" si="286"/>
        <v>2441.9769999999999</v>
      </c>
      <c r="CE115" s="54">
        <f t="shared" si="286"/>
        <v>2464.223</v>
      </c>
      <c r="CF115" s="54">
        <f t="shared" si="286"/>
        <v>3313.5339999999997</v>
      </c>
      <c r="CG115" s="54">
        <f t="shared" si="286"/>
        <v>2723.6719999999996</v>
      </c>
      <c r="CH115" s="54">
        <f t="shared" si="286"/>
        <v>2857.473</v>
      </c>
      <c r="CI115" s="54">
        <f t="shared" si="286"/>
        <v>3128.5639999999999</v>
      </c>
      <c r="CJ115" s="54">
        <f t="shared" si="286"/>
        <v>3237.6469999999999</v>
      </c>
      <c r="CK115" s="54">
        <f t="shared" si="286"/>
        <v>3231.826</v>
      </c>
      <c r="CL115" s="54">
        <f t="shared" si="286"/>
        <v>3482.54</v>
      </c>
      <c r="CM115" s="54">
        <f t="shared" si="286"/>
        <v>3538.6579999999994</v>
      </c>
      <c r="CN115" s="54">
        <f t="shared" si="286"/>
        <v>3596.9069999999992</v>
      </c>
      <c r="CO115" s="54">
        <f t="shared" si="286"/>
        <v>4274.4610000000002</v>
      </c>
      <c r="CP115" s="54">
        <f t="shared" si="286"/>
        <v>4296.866</v>
      </c>
      <c r="CQ115" s="54">
        <f t="shared" ref="CQ115:CU115" si="287">(CQ113-CQ112)</f>
        <v>4270.277000000001</v>
      </c>
      <c r="CR115" s="54">
        <f t="shared" si="287"/>
        <v>6531.7109999999993</v>
      </c>
      <c r="CS115" s="54">
        <f t="shared" si="287"/>
        <v>6507.0430000000006</v>
      </c>
      <c r="CT115" s="54">
        <f t="shared" si="287"/>
        <v>5921.9160000000002</v>
      </c>
      <c r="CU115" s="54">
        <f t="shared" si="287"/>
        <v>5997.6460000000006</v>
      </c>
      <c r="CV115" s="54">
        <f>(CV113-CV112)</f>
        <v>4236.9069999999983</v>
      </c>
      <c r="CW115" s="54">
        <f>(CW113-CW112)</f>
        <v>8214.7110000000011</v>
      </c>
      <c r="CX115" s="54">
        <f>(CX113-CX112)</f>
        <v>8385.1850000000013</v>
      </c>
      <c r="CY115" s="54">
        <f>(CY113-CY112)</f>
        <v>8630.387999999999</v>
      </c>
      <c r="CZ115" s="54">
        <f t="shared" ref="CZ115:DC115" ca="1" si="288">(CZ113-CZ112)</f>
        <v>8772.1287635924818</v>
      </c>
      <c r="DA115" s="54">
        <f t="shared" ca="1" si="288"/>
        <v>8749.8327298139848</v>
      </c>
      <c r="DB115" s="54">
        <f t="shared" ca="1" si="288"/>
        <v>9132.5565410792606</v>
      </c>
      <c r="DC115" s="54">
        <f t="shared" ca="1" si="288"/>
        <v>9484.7030878582573</v>
      </c>
    </row>
    <row r="116" spans="1:118" hidden="1" outlineLevel="1">
      <c r="B116" s="990" t="s">
        <v>850</v>
      </c>
      <c r="C116" s="23"/>
      <c r="D116" s="15"/>
      <c r="E116" s="26"/>
      <c r="F116" s="26"/>
      <c r="G116" s="26"/>
      <c r="H116" s="26"/>
      <c r="I116" s="26"/>
      <c r="J116" s="26"/>
      <c r="K116" s="26"/>
      <c r="L116" s="54"/>
      <c r="M116" s="54">
        <f t="shared" ref="M116:Z116" si="289">M114-M112</f>
        <v>1535.7510847529272</v>
      </c>
      <c r="N116" s="54">
        <f t="shared" si="289"/>
        <v>1636.3666434396735</v>
      </c>
      <c r="O116" s="54">
        <f t="shared" si="289"/>
        <v>2307.2931668346669</v>
      </c>
      <c r="P116" s="54">
        <f t="shared" si="289"/>
        <v>2934.3731723400078</v>
      </c>
      <c r="Q116" s="54">
        <f t="shared" si="289"/>
        <v>3401.7556763015095</v>
      </c>
      <c r="R116" s="54">
        <f t="shared" si="289"/>
        <v>4120.9586989595145</v>
      </c>
      <c r="S116" s="54">
        <f t="shared" si="289"/>
        <v>4598.178087243009</v>
      </c>
      <c r="T116" s="54">
        <f t="shared" si="289"/>
        <v>5404.8960525183147</v>
      </c>
      <c r="U116" s="54">
        <f t="shared" si="289"/>
        <v>7211.7055070372571</v>
      </c>
      <c r="V116" s="54">
        <f>V114-V112</f>
        <v>9928.5493877721019</v>
      </c>
      <c r="W116" s="54">
        <f ca="1">W114-W112</f>
        <v>10871.965556819183</v>
      </c>
      <c r="X116" s="54">
        <f t="shared" ca="1" si="289"/>
        <v>11674.634193082384</v>
      </c>
      <c r="Y116" s="54">
        <f t="shared" ca="1" si="289"/>
        <v>12186.527953769868</v>
      </c>
      <c r="Z116" s="54">
        <f t="shared" ca="1" si="289"/>
        <v>12569.178598456612</v>
      </c>
      <c r="AA116" s="54">
        <f t="shared" ref="AA116:AD116" ca="1" si="290">AA114-AA112</f>
        <v>11073.24599723861</v>
      </c>
      <c r="AB116" s="54">
        <f t="shared" ca="1" si="290"/>
        <v>11206.956963029979</v>
      </c>
      <c r="AC116" s="54">
        <f t="shared" ca="1" si="290"/>
        <v>11267.621150848418</v>
      </c>
      <c r="AD116" s="54">
        <f t="shared" ca="1" si="290"/>
        <v>11230.038944488429</v>
      </c>
      <c r="AE116" s="54"/>
      <c r="AF116" s="54"/>
      <c r="AG116" s="54"/>
      <c r="AH116" s="54"/>
      <c r="AI116" s="54"/>
      <c r="AJ116" s="54"/>
      <c r="AK116" s="54"/>
      <c r="AL116" s="54"/>
      <c r="AM116" s="54"/>
      <c r="AN116" s="54"/>
      <c r="AO116" s="54"/>
      <c r="AP116" s="54"/>
      <c r="AQ116" s="54"/>
      <c r="AR116" s="54"/>
      <c r="AS116" s="54"/>
      <c r="AT116" s="54"/>
      <c r="AU116" s="54"/>
      <c r="AV116" s="54"/>
      <c r="AW116" s="54"/>
      <c r="AX116" s="54"/>
      <c r="AY116" s="54"/>
      <c r="AZ116" s="54"/>
      <c r="BA116" s="54"/>
      <c r="BB116" s="54"/>
      <c r="BC116" s="54"/>
      <c r="BD116" s="54"/>
      <c r="BE116" s="54"/>
      <c r="BF116" s="54"/>
      <c r="BG116" s="54"/>
      <c r="BH116" s="54"/>
      <c r="BI116" s="54"/>
      <c r="BJ116" s="54"/>
      <c r="BK116" s="54"/>
      <c r="BL116" s="54"/>
      <c r="BM116" s="54"/>
      <c r="BN116" s="54"/>
      <c r="BO116" s="54"/>
      <c r="BP116" s="54">
        <f t="shared" ref="BP116:CP116" si="291">BP114-BP112</f>
        <v>1547.0800847529276</v>
      </c>
      <c r="BQ116" s="54">
        <f t="shared" si="291"/>
        <v>1488.9390847529273</v>
      </c>
      <c r="BR116" s="54">
        <f t="shared" si="291"/>
        <v>1508.8180847529275</v>
      </c>
      <c r="BS116" s="54">
        <f t="shared" si="291"/>
        <v>1520.6080847529274</v>
      </c>
      <c r="BT116" s="54">
        <f t="shared" si="291"/>
        <v>1682.4146434396744</v>
      </c>
      <c r="BU116" s="54">
        <f t="shared" si="291"/>
        <v>2095.5346434396738</v>
      </c>
      <c r="BV116" s="54">
        <f t="shared" si="291"/>
        <v>2178.053643439674</v>
      </c>
      <c r="BW116" s="54">
        <f t="shared" si="291"/>
        <v>2221.7156434396738</v>
      </c>
      <c r="BX116" s="54">
        <f t="shared" si="291"/>
        <v>2367.6729648182049</v>
      </c>
      <c r="BY116" s="54">
        <f t="shared" si="291"/>
        <v>2538.5249648182048</v>
      </c>
      <c r="BZ116" s="54">
        <f t="shared" si="291"/>
        <v>2596.9369648182046</v>
      </c>
      <c r="CA116" s="54">
        <f t="shared" si="291"/>
        <v>2734.1229648182052</v>
      </c>
      <c r="CB116" s="54">
        <f t="shared" si="291"/>
        <v>2716.8219648182053</v>
      </c>
      <c r="CC116" s="54">
        <f t="shared" si="291"/>
        <v>2788.9569648182051</v>
      </c>
      <c r="CD116" s="54">
        <f t="shared" si="291"/>
        <v>3127.8199648182053</v>
      </c>
      <c r="CE116" s="54">
        <f t="shared" si="291"/>
        <v>3150.065964818205</v>
      </c>
      <c r="CF116" s="54">
        <f t="shared" si="291"/>
        <v>3999.3769648182051</v>
      </c>
      <c r="CG116" s="54">
        <f t="shared" si="291"/>
        <v>3409.514964818205</v>
      </c>
      <c r="CH116" s="54">
        <f t="shared" si="291"/>
        <v>3543.3159648182054</v>
      </c>
      <c r="CI116" s="54">
        <f t="shared" si="291"/>
        <v>3814.4069648182053</v>
      </c>
      <c r="CJ116" s="54">
        <f t="shared" si="291"/>
        <v>3923.4899648182054</v>
      </c>
      <c r="CK116" s="54">
        <f t="shared" si="291"/>
        <v>3917.6689648182055</v>
      </c>
      <c r="CL116" s="54">
        <f t="shared" si="291"/>
        <v>4168.3829648182054</v>
      </c>
      <c r="CM116" s="54">
        <f t="shared" si="291"/>
        <v>4224.5009648182049</v>
      </c>
      <c r="CN116" s="54">
        <f t="shared" si="291"/>
        <v>4282.7499648182047</v>
      </c>
      <c r="CO116" s="54">
        <f t="shared" si="291"/>
        <v>4960.3039648182057</v>
      </c>
      <c r="CP116" s="54">
        <f t="shared" si="291"/>
        <v>4982.7089648182055</v>
      </c>
      <c r="CQ116" s="54">
        <f t="shared" ref="CQ116:CU116" si="292">CQ114-CQ112</f>
        <v>4956.1199648182064</v>
      </c>
      <c r="CR116" s="54">
        <f t="shared" si="292"/>
        <v>7217.5539648182048</v>
      </c>
      <c r="CS116" s="54">
        <f t="shared" si="292"/>
        <v>7192.885964818206</v>
      </c>
      <c r="CT116" s="54">
        <f t="shared" si="292"/>
        <v>6607.7589648182056</v>
      </c>
      <c r="CU116" s="54">
        <f t="shared" si="292"/>
        <v>6683.4889648182061</v>
      </c>
      <c r="CV116" s="54">
        <f>CV114-CV112</f>
        <v>4922.7499648182029</v>
      </c>
      <c r="CW116" s="54">
        <f>CW114-CW112</f>
        <v>8900.5539648182057</v>
      </c>
      <c r="CX116" s="54">
        <f>CX114-CX112</f>
        <v>9071.0279648182059</v>
      </c>
      <c r="CY116" s="54">
        <f>CY114-CY112</f>
        <v>9316.2309648182054</v>
      </c>
      <c r="CZ116" s="54">
        <f t="shared" ref="CZ116:DC116" ca="1" si="293">CZ114-CZ112</f>
        <v>9460.1257060229473</v>
      </c>
      <c r="DA116" s="54">
        <f t="shared" ca="1" si="293"/>
        <v>9437.8296722444484</v>
      </c>
      <c r="DB116" s="54">
        <f t="shared" ca="1" si="293"/>
        <v>9820.5534835097242</v>
      </c>
      <c r="DC116" s="54">
        <f t="shared" ca="1" si="293"/>
        <v>10172.700030288721</v>
      </c>
    </row>
    <row r="117" spans="1:118" collapsed="1"/>
    <row r="118" spans="1:118" ht="13.5" customHeight="1">
      <c r="A118" s="1163" t="s">
        <v>604</v>
      </c>
      <c r="B118" s="66" t="s">
        <v>1012</v>
      </c>
      <c r="C118" s="60"/>
      <c r="D118" s="60"/>
      <c r="E118" s="60"/>
      <c r="F118" s="275"/>
      <c r="G118" s="275"/>
      <c r="H118" s="275"/>
      <c r="I118" s="61"/>
      <c r="J118" s="61"/>
      <c r="K118" s="61"/>
      <c r="L118" s="61"/>
      <c r="M118" s="61"/>
      <c r="N118" s="275"/>
      <c r="O118" s="275"/>
      <c r="P118" s="275"/>
      <c r="Q118" s="275"/>
      <c r="R118" s="275"/>
      <c r="S118" s="275"/>
      <c r="T118" s="275"/>
      <c r="U118" s="275"/>
      <c r="V118" s="275"/>
      <c r="W118" s="275"/>
      <c r="X118" s="275"/>
      <c r="Y118" s="275"/>
      <c r="Z118" s="275"/>
      <c r="AA118" s="275"/>
      <c r="AB118" s="275"/>
      <c r="AC118" s="275"/>
      <c r="AD118" s="275"/>
      <c r="AE118" s="15"/>
      <c r="AF118" s="75"/>
      <c r="AG118" s="75"/>
      <c r="AH118" s="75"/>
      <c r="AI118" s="75"/>
      <c r="AJ118" s="75"/>
      <c r="AK118" s="75"/>
      <c r="AL118" s="75"/>
      <c r="AM118" s="75"/>
      <c r="AN118" s="75"/>
      <c r="AO118" s="75"/>
      <c r="AP118" s="75"/>
      <c r="AQ118" s="75"/>
      <c r="AR118" s="75"/>
      <c r="AS118" s="75"/>
      <c r="AT118" s="75"/>
      <c r="AU118" s="75"/>
      <c r="AV118" s="75"/>
      <c r="AW118" s="75"/>
      <c r="AX118" s="75"/>
      <c r="AY118" s="75"/>
      <c r="AZ118" s="75"/>
      <c r="BA118" s="75"/>
      <c r="BB118" s="75"/>
      <c r="BC118" s="75"/>
      <c r="BD118" s="75"/>
      <c r="BE118" s="75"/>
      <c r="BF118" s="75"/>
      <c r="BG118" s="75"/>
      <c r="BH118" s="75"/>
      <c r="BI118" s="75"/>
      <c r="BJ118" s="75"/>
      <c r="BK118" s="75"/>
      <c r="BL118" s="75"/>
      <c r="BM118" s="75"/>
      <c r="BN118" s="75"/>
      <c r="BO118" s="75"/>
      <c r="BP118" s="75"/>
      <c r="BQ118" s="75"/>
      <c r="BR118" s="75"/>
      <c r="BS118" s="75"/>
      <c r="BT118" s="75"/>
      <c r="BU118" s="75"/>
      <c r="BV118" s="75"/>
      <c r="BW118" s="275"/>
      <c r="BX118" s="275"/>
      <c r="BY118" s="275"/>
      <c r="BZ118" s="275"/>
      <c r="CA118" s="275"/>
      <c r="CB118" s="275"/>
      <c r="CC118" s="275"/>
      <c r="CD118" s="275"/>
      <c r="CE118" s="275"/>
      <c r="CF118" s="275"/>
      <c r="CG118" s="275"/>
      <c r="CH118" s="275"/>
      <c r="CI118" s="275"/>
      <c r="CJ118" s="275"/>
      <c r="CK118" s="275"/>
      <c r="CL118" s="275"/>
      <c r="CM118" s="275"/>
      <c r="CN118" s="275"/>
      <c r="CO118" s="275"/>
      <c r="CP118" s="275"/>
      <c r="CQ118" s="275"/>
      <c r="CR118" s="275"/>
      <c r="CS118" s="275"/>
      <c r="CT118" s="275"/>
      <c r="CU118" s="275"/>
      <c r="CV118" s="275"/>
      <c r="CW118" s="275"/>
      <c r="CX118" s="275"/>
      <c r="CY118" s="275"/>
      <c r="CZ118" s="275"/>
      <c r="DA118" s="275"/>
      <c r="DB118" s="275"/>
      <c r="DC118" s="275"/>
    </row>
    <row r="119" spans="1:118">
      <c r="B119" s="18"/>
      <c r="C119" s="1019"/>
      <c r="D119" s="1019"/>
      <c r="E119" s="1019"/>
      <c r="F119" s="56"/>
      <c r="G119" s="56"/>
      <c r="H119" s="56"/>
      <c r="I119" s="56"/>
      <c r="J119" s="56"/>
      <c r="K119" s="56"/>
      <c r="L119" s="56"/>
      <c r="M119" s="56"/>
      <c r="N119" s="56"/>
      <c r="O119" s="56"/>
      <c r="P119" s="56"/>
      <c r="Q119" s="56"/>
      <c r="R119" s="56"/>
      <c r="S119" s="56"/>
      <c r="T119" s="56"/>
      <c r="U119" s="56"/>
      <c r="V119" s="56"/>
      <c r="W119" s="56"/>
      <c r="X119" s="56"/>
      <c r="Y119" s="56"/>
      <c r="Z119" s="56"/>
      <c r="AA119" s="56"/>
      <c r="AB119" s="56"/>
      <c r="AC119" s="56"/>
      <c r="AD119" s="56"/>
      <c r="AE119" s="997"/>
      <c r="AF119" s="1020"/>
      <c r="AG119" s="1020"/>
      <c r="AH119" s="1020"/>
      <c r="AI119" s="1020"/>
      <c r="AJ119" s="56"/>
      <c r="AK119" s="56"/>
      <c r="AL119" s="56"/>
      <c r="AM119" s="56"/>
      <c r="AN119" s="56"/>
      <c r="AO119" s="56"/>
      <c r="AP119" s="56"/>
      <c r="AQ119" s="56"/>
      <c r="AR119" s="56"/>
      <c r="AS119" s="56"/>
      <c r="AT119" s="56"/>
      <c r="AU119" s="56"/>
      <c r="AV119" s="56"/>
      <c r="AW119" s="56"/>
      <c r="AX119" s="56"/>
      <c r="AY119" s="56"/>
      <c r="AZ119" s="56"/>
      <c r="BA119" s="56"/>
      <c r="BB119" s="56"/>
      <c r="BC119" s="56"/>
      <c r="BD119" s="56"/>
      <c r="BE119" s="56"/>
      <c r="BF119" s="56"/>
      <c r="BG119" s="56"/>
      <c r="BH119" s="56"/>
      <c r="BI119" s="56"/>
      <c r="BJ119" s="56"/>
      <c r="BK119" s="56"/>
      <c r="BL119" s="56"/>
      <c r="BM119" s="56"/>
      <c r="BN119" s="56"/>
      <c r="BO119" s="56"/>
      <c r="BP119" s="56"/>
      <c r="BQ119" s="56"/>
      <c r="BR119" s="56"/>
      <c r="BS119" s="56"/>
      <c r="BT119" s="56"/>
      <c r="BU119" s="56"/>
      <c r="BV119" s="56"/>
      <c r="BW119" s="56"/>
      <c r="BX119" s="56"/>
      <c r="BY119" s="56"/>
      <c r="BZ119" s="56"/>
      <c r="CA119" s="56"/>
      <c r="CB119" s="56"/>
    </row>
    <row r="120" spans="1:118">
      <c r="B120" s="15" t="s">
        <v>1589</v>
      </c>
      <c r="C120" s="15"/>
      <c r="D120" s="15"/>
      <c r="E120" s="15"/>
      <c r="F120" s="15"/>
      <c r="G120" s="15"/>
      <c r="H120" s="15"/>
      <c r="I120" s="772"/>
      <c r="J120" s="772"/>
      <c r="K120" s="772"/>
      <c r="L120" s="772"/>
      <c r="M120" s="772"/>
      <c r="N120" s="870">
        <f>BS120</f>
        <v>60800</v>
      </c>
      <c r="O120" s="870">
        <f>BW120</f>
        <v>82900</v>
      </c>
      <c r="P120" s="870">
        <f>CA120</f>
        <v>90400</v>
      </c>
      <c r="Q120" s="870">
        <f>CE120</f>
        <v>108100</v>
      </c>
      <c r="R120" s="870">
        <f>CI120</f>
        <v>117200</v>
      </c>
      <c r="S120" s="870">
        <f>CM120</f>
        <v>125000</v>
      </c>
      <c r="T120" s="870">
        <f>CQ120</f>
        <v>139900</v>
      </c>
      <c r="U120" s="870">
        <f>CU120</f>
        <v>197600</v>
      </c>
      <c r="V120" s="870">
        <f>CY120</f>
        <v>241000</v>
      </c>
      <c r="W120" s="870">
        <f>DC120</f>
        <v>263605</v>
      </c>
      <c r="X120" s="870">
        <f>Rev!X695</f>
        <v>285380</v>
      </c>
      <c r="Y120" s="870">
        <f>Rev!Y695</f>
        <v>305000</v>
      </c>
      <c r="Z120" s="870">
        <f>Rev!Z695</f>
        <v>324492</v>
      </c>
      <c r="AA120" s="870">
        <f>Rev!AA695</f>
        <v>343859</v>
      </c>
      <c r="AB120" s="870">
        <f>Rev!AB695</f>
        <v>363103</v>
      </c>
      <c r="AC120" s="870">
        <f>Rev!AC695</f>
        <v>382227</v>
      </c>
      <c r="AD120" s="870">
        <f>Rev!AD695</f>
        <v>401233</v>
      </c>
      <c r="AE120" s="15"/>
      <c r="AF120" s="789"/>
      <c r="AG120" s="789"/>
      <c r="AH120" s="789"/>
      <c r="AI120" s="789"/>
      <c r="AJ120" s="789"/>
      <c r="AK120" s="789"/>
      <c r="AL120" s="789"/>
      <c r="AM120" s="789"/>
      <c r="AN120" s="789"/>
      <c r="AO120" s="789"/>
      <c r="AP120" s="789"/>
      <c r="AQ120" s="789"/>
      <c r="AR120" s="789"/>
      <c r="AS120" s="789"/>
      <c r="AT120" s="789"/>
      <c r="AU120" s="789"/>
      <c r="AV120" s="789"/>
      <c r="AW120" s="789"/>
      <c r="AX120" s="789"/>
      <c r="AY120" s="789"/>
      <c r="AZ120" s="15"/>
      <c r="BA120" s="15"/>
      <c r="BB120" s="15"/>
      <c r="BC120" s="15"/>
      <c r="BD120" s="15"/>
      <c r="BE120" s="15"/>
      <c r="BF120" s="15"/>
      <c r="BG120" s="15"/>
      <c r="BH120" s="1021"/>
      <c r="BI120" s="1021"/>
      <c r="BJ120" s="1021"/>
      <c r="BK120" s="1021"/>
      <c r="BL120" s="870"/>
      <c r="BM120" s="870"/>
      <c r="BN120" s="870"/>
      <c r="BO120" s="870"/>
      <c r="BP120" s="870">
        <f>Rev!BP695-Rev!BP166</f>
        <v>54800.000000000007</v>
      </c>
      <c r="BQ120" s="870">
        <f>Rev!BQ695-Rev!BQ166</f>
        <v>56100</v>
      </c>
      <c r="BR120" s="870">
        <f>Rev!BR695-Rev!BR166</f>
        <v>58200</v>
      </c>
      <c r="BS120" s="870">
        <f>Rev!BS695-Rev!BS166</f>
        <v>60800</v>
      </c>
      <c r="BT120" s="870">
        <f>Rev!BT695-Rev!BT166</f>
        <v>63899.999999999993</v>
      </c>
      <c r="BU120" s="870">
        <f>Rev!BU695</f>
        <v>78700</v>
      </c>
      <c r="BV120" s="870">
        <f>Rev!BV695</f>
        <v>81400</v>
      </c>
      <c r="BW120" s="870">
        <f>Rev!BW695</f>
        <v>82900</v>
      </c>
      <c r="BX120" s="870">
        <f>Rev!BX695</f>
        <v>84600</v>
      </c>
      <c r="BY120" s="870">
        <f>Rev!BY695</f>
        <v>91300</v>
      </c>
      <c r="BZ120" s="870">
        <f>Rev!BZ695</f>
        <v>89000</v>
      </c>
      <c r="CA120" s="870">
        <f>Rev!CA695</f>
        <v>90400</v>
      </c>
      <c r="CB120" s="870">
        <f>Rev!CB695</f>
        <v>91200</v>
      </c>
      <c r="CC120" s="870">
        <f>Rev!CC695</f>
        <v>92890</v>
      </c>
      <c r="CD120" s="870">
        <f>Rev!CD695</f>
        <v>106800</v>
      </c>
      <c r="CE120" s="870">
        <f>Rev!CE695</f>
        <v>108100</v>
      </c>
      <c r="CF120" s="870">
        <f>Rev!CF695</f>
        <v>110800</v>
      </c>
      <c r="CG120" s="870">
        <f>Rev!CG695</f>
        <v>112400</v>
      </c>
      <c r="CH120" s="870">
        <f>Rev!CH695</f>
        <v>113800</v>
      </c>
      <c r="CI120" s="870">
        <f>Rev!CI695</f>
        <v>117200</v>
      </c>
      <c r="CJ120" s="870">
        <f>Rev!CJ695</f>
        <v>119400</v>
      </c>
      <c r="CK120" s="870">
        <f>Rev!CK695</f>
        <v>120500</v>
      </c>
      <c r="CL120" s="870">
        <f>Rev!CL695</f>
        <v>121500</v>
      </c>
      <c r="CM120" s="870">
        <f>Rev!CM695</f>
        <v>125000</v>
      </c>
      <c r="CN120" s="870">
        <f>Rev!CN695</f>
        <v>129200</v>
      </c>
      <c r="CO120" s="870">
        <f>Rev!CO695</f>
        <v>133200</v>
      </c>
      <c r="CP120" s="870">
        <f>Rev!CP695</f>
        <v>136600</v>
      </c>
      <c r="CQ120" s="870">
        <f>Rev!CQ695</f>
        <v>139900</v>
      </c>
      <c r="CR120" s="870">
        <f>Rev!CR695</f>
        <v>143900</v>
      </c>
      <c r="CS120" s="870">
        <f>Rev!CS695</f>
        <v>145200</v>
      </c>
      <c r="CT120" s="870">
        <f>Rev!CT695</f>
        <v>150400</v>
      </c>
      <c r="CU120" s="870">
        <f>Rev!CU695</f>
        <v>197600</v>
      </c>
      <c r="CV120" s="870">
        <f>Rev!CV695</f>
        <v>201200</v>
      </c>
      <c r="CW120" s="870">
        <f>Rev!CW695</f>
        <v>205200</v>
      </c>
      <c r="CX120" s="870">
        <f>Rev!CX695</f>
        <v>212600</v>
      </c>
      <c r="CY120" s="870">
        <f>Rev!CY695</f>
        <v>241000</v>
      </c>
      <c r="CZ120" s="870">
        <f>Rev!CZ695</f>
        <v>245180</v>
      </c>
      <c r="DA120" s="870">
        <f>Rev!DA695</f>
        <v>247805</v>
      </c>
      <c r="DB120" s="870">
        <f>Rev!DB695</f>
        <v>255530</v>
      </c>
      <c r="DC120" s="870">
        <f>Rev!DC695</f>
        <v>263605</v>
      </c>
    </row>
    <row r="121" spans="1:118">
      <c r="B121" s="18" t="s">
        <v>1588</v>
      </c>
      <c r="C121" s="15"/>
      <c r="D121" s="15"/>
      <c r="E121" s="15"/>
      <c r="F121" s="15"/>
      <c r="G121" s="15"/>
      <c r="H121" s="15"/>
      <c r="I121" s="772"/>
      <c r="J121" s="772"/>
      <c r="K121" s="772"/>
      <c r="L121" s="772"/>
      <c r="M121" s="772"/>
      <c r="N121" s="870">
        <f>SUM(BP121:BS121)</f>
        <v>5999.9999999999927</v>
      </c>
      <c r="O121" s="870">
        <f>SUM(BT121:BW121)</f>
        <v>8100</v>
      </c>
      <c r="P121" s="870">
        <f>SUM(BX121:CA121)</f>
        <v>7500</v>
      </c>
      <c r="Q121" s="870">
        <f>SUM(CB121:CE121)</f>
        <v>17700</v>
      </c>
      <c r="R121" s="870">
        <f>SUM(CF121:CI121)</f>
        <v>9100</v>
      </c>
      <c r="S121" s="870">
        <f>SUM(CJ121:CM121)</f>
        <v>7800</v>
      </c>
      <c r="T121" s="870">
        <f>SUM(CN121:CQ121)</f>
        <v>14900</v>
      </c>
      <c r="U121" s="870">
        <f>SUM(CR121:CU121)</f>
        <v>57700</v>
      </c>
      <c r="V121" s="870">
        <f>SUM(CV121:CY121)</f>
        <v>43400</v>
      </c>
      <c r="W121" s="870">
        <f>SUM(CZ121:DC121)</f>
        <v>22605</v>
      </c>
      <c r="X121" s="870">
        <f>X120-W120</f>
        <v>21775</v>
      </c>
      <c r="Y121" s="870">
        <f>Y120-X120</f>
        <v>19620</v>
      </c>
      <c r="Z121" s="870">
        <f>Z120-Y120</f>
        <v>19492</v>
      </c>
      <c r="AA121" s="870">
        <f t="shared" ref="AA121:AD121" si="294">AA120-Z120</f>
        <v>19367</v>
      </c>
      <c r="AB121" s="870">
        <f t="shared" si="294"/>
        <v>19244</v>
      </c>
      <c r="AC121" s="870">
        <f t="shared" si="294"/>
        <v>19124</v>
      </c>
      <c r="AD121" s="870">
        <f t="shared" si="294"/>
        <v>19006</v>
      </c>
      <c r="AE121" s="15"/>
      <c r="AF121" s="789"/>
      <c r="AG121" s="789"/>
      <c r="AH121" s="789"/>
      <c r="AI121" s="789"/>
      <c r="AJ121" s="789"/>
      <c r="AK121" s="789"/>
      <c r="AL121" s="789"/>
      <c r="AM121" s="789"/>
      <c r="AN121" s="789"/>
      <c r="AO121" s="789"/>
      <c r="AP121" s="789"/>
      <c r="AQ121" s="789"/>
      <c r="AR121" s="789"/>
      <c r="AS121" s="789"/>
      <c r="AT121" s="789"/>
      <c r="AU121" s="789"/>
      <c r="AV121" s="789"/>
      <c r="AW121" s="789"/>
      <c r="AX121" s="789"/>
      <c r="AY121" s="789"/>
      <c r="AZ121" s="15"/>
      <c r="BA121" s="15"/>
      <c r="BB121" s="15"/>
      <c r="BC121" s="15"/>
      <c r="BD121" s="15"/>
      <c r="BE121" s="15"/>
      <c r="BF121" s="15"/>
      <c r="BG121" s="15"/>
      <c r="BH121" s="1021"/>
      <c r="BI121" s="1021"/>
      <c r="BJ121" s="1021"/>
      <c r="BK121" s="1021"/>
      <c r="BL121" s="1021"/>
      <c r="BM121" s="1021"/>
      <c r="BN121" s="1021"/>
      <c r="BO121" s="1021"/>
      <c r="BP121" s="823"/>
      <c r="BQ121" s="823">
        <f t="shared" ref="BQ121:CY121" si="295">BQ120-BP120</f>
        <v>1299.9999999999927</v>
      </c>
      <c r="BR121" s="823">
        <f t="shared" si="295"/>
        <v>2100</v>
      </c>
      <c r="BS121" s="823">
        <f t="shared" si="295"/>
        <v>2600</v>
      </c>
      <c r="BT121" s="823">
        <f t="shared" si="295"/>
        <v>3099.9999999999927</v>
      </c>
      <c r="BU121" s="1">
        <f>BU120-BT120-Rev!BU166</f>
        <v>800.00000000000728</v>
      </c>
      <c r="BV121" s="823">
        <f t="shared" si="295"/>
        <v>2700</v>
      </c>
      <c r="BW121" s="823">
        <f t="shared" si="295"/>
        <v>1500</v>
      </c>
      <c r="BX121" s="823">
        <f t="shared" si="295"/>
        <v>1700</v>
      </c>
      <c r="BY121" s="823">
        <f t="shared" si="295"/>
        <v>6700</v>
      </c>
      <c r="BZ121" s="823">
        <f t="shared" si="295"/>
        <v>-2300</v>
      </c>
      <c r="CA121" s="823">
        <f t="shared" si="295"/>
        <v>1400</v>
      </c>
      <c r="CB121" s="823">
        <f t="shared" si="295"/>
        <v>800</v>
      </c>
      <c r="CC121" s="823">
        <f t="shared" si="295"/>
        <v>1690</v>
      </c>
      <c r="CD121" s="823">
        <f t="shared" si="295"/>
        <v>13910</v>
      </c>
      <c r="CE121" s="823">
        <f t="shared" si="295"/>
        <v>1300</v>
      </c>
      <c r="CF121" s="823">
        <f t="shared" si="295"/>
        <v>2700</v>
      </c>
      <c r="CG121" s="823">
        <f t="shared" si="295"/>
        <v>1600</v>
      </c>
      <c r="CH121" s="823">
        <f t="shared" si="295"/>
        <v>1400</v>
      </c>
      <c r="CI121" s="823">
        <f t="shared" si="295"/>
        <v>3400</v>
      </c>
      <c r="CJ121" s="823">
        <f t="shared" si="295"/>
        <v>2200</v>
      </c>
      <c r="CK121" s="823">
        <f t="shared" si="295"/>
        <v>1100</v>
      </c>
      <c r="CL121" s="823">
        <f t="shared" si="295"/>
        <v>1000</v>
      </c>
      <c r="CM121" s="823">
        <f t="shared" si="295"/>
        <v>3500</v>
      </c>
      <c r="CN121" s="823">
        <f t="shared" si="295"/>
        <v>4200</v>
      </c>
      <c r="CO121" s="823">
        <f t="shared" si="295"/>
        <v>4000</v>
      </c>
      <c r="CP121" s="823">
        <f t="shared" si="295"/>
        <v>3400</v>
      </c>
      <c r="CQ121" s="823">
        <f t="shared" si="295"/>
        <v>3300</v>
      </c>
      <c r="CR121" s="823">
        <f t="shared" si="295"/>
        <v>4000</v>
      </c>
      <c r="CS121" s="823">
        <f t="shared" si="295"/>
        <v>1300</v>
      </c>
      <c r="CT121" s="823">
        <f t="shared" si="295"/>
        <v>5200</v>
      </c>
      <c r="CU121" s="823">
        <f t="shared" si="295"/>
        <v>47200</v>
      </c>
      <c r="CV121" s="823">
        <f t="shared" si="295"/>
        <v>3600</v>
      </c>
      <c r="CW121" s="823">
        <f t="shared" si="295"/>
        <v>4000</v>
      </c>
      <c r="CX121" s="823">
        <f t="shared" si="295"/>
        <v>7400</v>
      </c>
      <c r="CY121" s="823">
        <f t="shared" si="295"/>
        <v>28400</v>
      </c>
      <c r="CZ121" s="823">
        <f t="shared" ref="CZ121:DC121" si="296">CZ120-CY120</f>
        <v>4180</v>
      </c>
      <c r="DA121" s="823">
        <f t="shared" si="296"/>
        <v>2625</v>
      </c>
      <c r="DB121" s="823">
        <f t="shared" si="296"/>
        <v>7725</v>
      </c>
      <c r="DC121" s="823">
        <f t="shared" si="296"/>
        <v>8075</v>
      </c>
    </row>
    <row r="122" spans="1:118">
      <c r="B122" s="14" t="s">
        <v>1594</v>
      </c>
      <c r="C122" s="15"/>
      <c r="D122" s="15"/>
      <c r="E122" s="15"/>
      <c r="F122" s="15"/>
      <c r="G122" s="15"/>
      <c r="H122" s="15"/>
      <c r="I122" s="772"/>
      <c r="J122" s="772"/>
      <c r="K122" s="772"/>
      <c r="L122" s="772"/>
      <c r="M122" s="772"/>
      <c r="N122" s="800">
        <f t="shared" ref="N122:S122" si="297">(N124*1000000)/N121</f>
        <v>47183.333333333394</v>
      </c>
      <c r="O122" s="800">
        <f t="shared" si="297"/>
        <v>57395.061728395063</v>
      </c>
      <c r="P122" s="800">
        <f t="shared" si="297"/>
        <v>73480</v>
      </c>
      <c r="Q122" s="800">
        <f t="shared" si="297"/>
        <v>34055.536723163837</v>
      </c>
      <c r="R122" s="800">
        <f t="shared" si="297"/>
        <v>42755.604395604394</v>
      </c>
      <c r="S122" s="800">
        <f t="shared" si="297"/>
        <v>71133.076923076922</v>
      </c>
      <c r="T122" s="800">
        <f>(T124*1000000)/T121</f>
        <v>50454.429530201342</v>
      </c>
      <c r="U122" s="800">
        <f>(U124*1000000)/U121</f>
        <v>16837.885615251296</v>
      </c>
      <c r="V122" s="800">
        <f>(V124*1000000)/V121</f>
        <v>27897.00460829493</v>
      </c>
      <c r="W122" s="800">
        <f>(W124*1000000)/W121</f>
        <v>76708.692767086934</v>
      </c>
      <c r="X122" s="1022">
        <v>75000</v>
      </c>
      <c r="Y122" s="1022">
        <v>72500</v>
      </c>
      <c r="Z122" s="1022">
        <v>70000</v>
      </c>
      <c r="AA122" s="1022">
        <v>70000</v>
      </c>
      <c r="AB122" s="1022">
        <v>70000</v>
      </c>
      <c r="AC122" s="1022">
        <v>70000</v>
      </c>
      <c r="AD122" s="1022">
        <v>70000</v>
      </c>
      <c r="AE122" s="15"/>
      <c r="AF122" s="789"/>
      <c r="AG122" s="789"/>
      <c r="AH122" s="789"/>
      <c r="AI122" s="789"/>
      <c r="AJ122" s="789"/>
      <c r="AK122" s="789"/>
      <c r="AL122" s="789"/>
      <c r="AM122" s="789"/>
      <c r="AN122" s="789"/>
      <c r="AO122" s="789"/>
      <c r="AP122" s="789"/>
      <c r="AQ122" s="789"/>
      <c r="AR122" s="789"/>
      <c r="AS122" s="789"/>
      <c r="AT122" s="789"/>
      <c r="AU122" s="789"/>
      <c r="AV122" s="789"/>
      <c r="AW122" s="789"/>
      <c r="AX122" s="789"/>
      <c r="AY122" s="789"/>
      <c r="AZ122" s="15"/>
      <c r="BA122" s="15"/>
      <c r="BB122" s="15"/>
      <c r="BC122" s="15"/>
      <c r="BD122" s="15"/>
      <c r="BE122" s="15"/>
      <c r="BF122" s="15"/>
      <c r="BG122" s="15"/>
      <c r="BH122" s="1021"/>
      <c r="BI122" s="1021"/>
      <c r="BJ122" s="1021"/>
      <c r="BK122" s="1021"/>
      <c r="BL122" s="1021"/>
      <c r="BM122" s="1021"/>
      <c r="BN122" s="1021"/>
      <c r="BO122" s="1021"/>
      <c r="BP122" s="15"/>
      <c r="BQ122" s="800">
        <f t="shared" ref="BQ122:CJ122" si="298">(BQ124*1000000)/BQ121</f>
        <v>48769.230769231042</v>
      </c>
      <c r="BR122" s="800">
        <f t="shared" si="298"/>
        <v>35238.095238095237</v>
      </c>
      <c r="BS122" s="800">
        <f t="shared" si="298"/>
        <v>31153.846153846152</v>
      </c>
      <c r="BT122" s="800">
        <f t="shared" si="298"/>
        <v>41580.64516129042</v>
      </c>
      <c r="BU122" s="800">
        <f t="shared" si="298"/>
        <v>152249.9999999986</v>
      </c>
      <c r="BV122" s="800">
        <f t="shared" si="298"/>
        <v>38222.222222222219</v>
      </c>
      <c r="BW122" s="800">
        <f t="shared" si="298"/>
        <v>74000</v>
      </c>
      <c r="BX122" s="800">
        <f t="shared" si="298"/>
        <v>82235.294117647063</v>
      </c>
      <c r="BY122" s="800">
        <f t="shared" si="298"/>
        <v>24014.925373134327</v>
      </c>
      <c r="BZ122" s="800">
        <f t="shared" si="298"/>
        <v>-45608.695652173912</v>
      </c>
      <c r="CA122" s="800">
        <f t="shared" si="298"/>
        <v>103928.57142857143</v>
      </c>
      <c r="CB122" s="800">
        <f t="shared" si="298"/>
        <v>128000</v>
      </c>
      <c r="CC122" s="800">
        <f t="shared" si="298"/>
        <v>94051.479289940835</v>
      </c>
      <c r="CD122" s="800">
        <f t="shared" si="298"/>
        <v>12546.728971962617</v>
      </c>
      <c r="CE122" s="800">
        <f t="shared" si="298"/>
        <v>128393.07692307692</v>
      </c>
      <c r="CF122" s="800">
        <f t="shared" si="298"/>
        <v>15433.333333333334</v>
      </c>
      <c r="CG122" s="800">
        <f t="shared" si="298"/>
        <v>51658.125</v>
      </c>
      <c r="CH122" s="800">
        <f t="shared" si="298"/>
        <v>92836.428571428565</v>
      </c>
      <c r="CI122" s="800">
        <f t="shared" si="298"/>
        <v>39641.76470588235</v>
      </c>
      <c r="CJ122" s="800">
        <f t="shared" si="298"/>
        <v>36117.727272727272</v>
      </c>
      <c r="CK122" s="800">
        <f t="shared" ref="CK122:CP122" si="299">(CK124*1000000)/CK121</f>
        <v>121634.54545454546</v>
      </c>
      <c r="CL122" s="800">
        <f t="shared" si="299"/>
        <v>136229</v>
      </c>
      <c r="CM122" s="800">
        <f t="shared" si="299"/>
        <v>58672</v>
      </c>
      <c r="CN122" s="800">
        <f t="shared" si="299"/>
        <v>30415.952380952382</v>
      </c>
      <c r="CO122" s="800">
        <f t="shared" si="299"/>
        <v>48503</v>
      </c>
      <c r="CP122" s="800">
        <f t="shared" si="299"/>
        <v>57062.352941176468</v>
      </c>
      <c r="CQ122" s="800">
        <f t="shared" ref="CQ122:CV122" si="300">(CQ124*1000000)/CQ121</f>
        <v>71515.15151515152</v>
      </c>
      <c r="CR122" s="800">
        <f t="shared" si="300"/>
        <v>41471.25</v>
      </c>
      <c r="CS122" s="800">
        <f t="shared" si="300"/>
        <v>167645.38461538462</v>
      </c>
      <c r="CT122" s="800">
        <f t="shared" si="300"/>
        <v>45745.576923076915</v>
      </c>
      <c r="CU122" s="800">
        <f t="shared" si="300"/>
        <v>7411.9703389830511</v>
      </c>
      <c r="CV122" s="800">
        <f t="shared" si="300"/>
        <v>70713.888888888891</v>
      </c>
      <c r="CW122" s="800">
        <f t="shared" ref="CW122:CX122" si="301">(CW124*1000000)/CW121</f>
        <v>77675.75</v>
      </c>
      <c r="CX122" s="800">
        <f t="shared" si="301"/>
        <v>37205.405405405407</v>
      </c>
      <c r="CY122" s="800">
        <f t="shared" ref="CY122" si="302">(CY124*1000000)/CY121</f>
        <v>13032.992957746479</v>
      </c>
      <c r="CZ122" s="1022">
        <v>75000</v>
      </c>
      <c r="DA122" s="1022">
        <v>75000</v>
      </c>
      <c r="DB122" s="1022">
        <v>80000</v>
      </c>
      <c r="DC122" s="1022">
        <v>75000</v>
      </c>
    </row>
    <row r="123" spans="1:118">
      <c r="B123" s="15"/>
      <c r="C123" s="15"/>
      <c r="D123" s="15"/>
      <c r="E123" s="15"/>
      <c r="F123" s="15"/>
      <c r="G123" s="15"/>
      <c r="H123" s="15"/>
      <c r="I123" s="772"/>
      <c r="J123" s="772"/>
      <c r="K123" s="772"/>
      <c r="L123" s="772"/>
      <c r="M123" s="772"/>
      <c r="N123" s="772"/>
      <c r="O123" s="772"/>
      <c r="P123" s="772"/>
      <c r="Q123" s="772"/>
      <c r="R123" s="772"/>
      <c r="S123" s="772"/>
      <c r="T123" s="772"/>
      <c r="U123" s="772"/>
      <c r="V123" s="772"/>
      <c r="W123" s="772"/>
      <c r="X123" s="15"/>
      <c r="Y123" s="15"/>
      <c r="Z123" s="15"/>
      <c r="AA123" s="15"/>
      <c r="AB123" s="15"/>
      <c r="AC123" s="15"/>
      <c r="AD123" s="15"/>
      <c r="AE123" s="15"/>
      <c r="AF123" s="789"/>
      <c r="AG123" s="789"/>
      <c r="AH123" s="789"/>
      <c r="AI123" s="789"/>
      <c r="AJ123" s="789"/>
      <c r="AK123" s="789"/>
      <c r="AL123" s="789"/>
      <c r="AM123" s="789"/>
      <c r="AN123" s="789"/>
      <c r="AO123" s="789"/>
      <c r="AP123" s="789"/>
      <c r="AQ123" s="789"/>
      <c r="AR123" s="789"/>
      <c r="AS123" s="789"/>
      <c r="AT123" s="789"/>
      <c r="AU123" s="789"/>
      <c r="AV123" s="789"/>
      <c r="AW123" s="789"/>
      <c r="AX123" s="789"/>
      <c r="AY123" s="789"/>
      <c r="AZ123" s="15"/>
      <c r="BA123" s="15"/>
      <c r="BB123" s="15"/>
      <c r="BC123" s="15"/>
      <c r="BD123" s="15"/>
      <c r="BE123" s="15"/>
      <c r="BF123" s="15"/>
      <c r="BG123" s="15"/>
      <c r="BH123" s="1021"/>
      <c r="BI123" s="1021"/>
      <c r="BJ123" s="1021"/>
      <c r="BK123" s="1021"/>
      <c r="BL123" s="1021"/>
      <c r="BM123" s="1021"/>
      <c r="BN123" s="1021"/>
      <c r="BO123" s="1021"/>
      <c r="BP123" s="15"/>
      <c r="BQ123" s="15"/>
      <c r="BR123" s="15"/>
      <c r="BS123" s="15"/>
      <c r="BT123" s="15"/>
      <c r="BU123" s="15"/>
      <c r="BV123" s="15"/>
      <c r="BW123" s="26"/>
      <c r="BX123" s="15"/>
      <c r="BY123" s="15"/>
      <c r="BZ123" s="15"/>
      <c r="CA123" s="15"/>
      <c r="CB123" s="15"/>
      <c r="CC123" s="15"/>
      <c r="CD123" s="15"/>
      <c r="CE123" s="15"/>
      <c r="CF123" s="15"/>
      <c r="CG123" s="15"/>
      <c r="CH123" s="15"/>
      <c r="CI123" s="15"/>
      <c r="CJ123" s="15"/>
      <c r="CK123" s="15"/>
      <c r="CL123" s="15"/>
      <c r="CM123" s="15"/>
      <c r="CN123" s="15"/>
      <c r="CO123" s="15"/>
      <c r="CP123" s="15"/>
      <c r="CQ123" s="15"/>
      <c r="CR123" s="15"/>
      <c r="CS123" s="15"/>
      <c r="CT123" s="15"/>
      <c r="CU123" s="15"/>
      <c r="CV123" s="15"/>
      <c r="CW123" s="15"/>
      <c r="CX123" s="15"/>
      <c r="CY123" s="15"/>
      <c r="CZ123" s="15"/>
      <c r="DA123" s="15"/>
      <c r="DB123" s="15"/>
      <c r="DC123" s="15"/>
    </row>
    <row r="124" spans="1:118">
      <c r="B124" s="23" t="s">
        <v>1974</v>
      </c>
      <c r="C124" s="15"/>
      <c r="D124" s="15"/>
      <c r="E124" s="15"/>
      <c r="F124" s="15"/>
      <c r="G124" s="15"/>
      <c r="H124" s="15"/>
      <c r="I124" s="26">
        <f>SUM(AV124:AY124)</f>
        <v>9.25</v>
      </c>
      <c r="J124" s="26">
        <f>SUM(AZ124:BC124)</f>
        <v>24.8</v>
      </c>
      <c r="K124" s="26">
        <f>SUM(BD124:BG124)</f>
        <v>130.6</v>
      </c>
      <c r="L124" s="15">
        <f>SUM(BH124:BK124)</f>
        <v>375.30000000000007</v>
      </c>
      <c r="M124" s="26">
        <f>SUM(BL124:BO124)</f>
        <v>403.6</v>
      </c>
      <c r="N124" s="26">
        <f>SUM(BP124:BS124)</f>
        <v>283.10000000000002</v>
      </c>
      <c r="O124" s="26">
        <f>SUM(BT124:BW124)</f>
        <v>464.9</v>
      </c>
      <c r="P124" s="54">
        <f>SUM(BX124:CA124)</f>
        <v>551.1</v>
      </c>
      <c r="Q124" s="54">
        <f>SUM(CB124:CE124)</f>
        <v>602.7829999999999</v>
      </c>
      <c r="R124" s="54">
        <f>SUM(CF124:CI124)</f>
        <v>389.07600000000002</v>
      </c>
      <c r="S124" s="54">
        <f>SUM(CJ124:CM124)</f>
        <v>554.83799999999997</v>
      </c>
      <c r="T124" s="54">
        <f>SUM(CN124:CQ124)</f>
        <v>751.77099999999996</v>
      </c>
      <c r="U124" s="54">
        <f>SUM(CR124:CU124)</f>
        <v>971.54599999999994</v>
      </c>
      <c r="V124" s="54">
        <f>SUM(CV124:CY124)</f>
        <v>1210.73</v>
      </c>
      <c r="W124" s="54">
        <f>SUM(CZ124:DC124)</f>
        <v>1734</v>
      </c>
      <c r="X124" s="54">
        <f>X122*X121/1000000</f>
        <v>1633.125</v>
      </c>
      <c r="Y124" s="54">
        <f>Y122*Y121/1000000</f>
        <v>1422.45</v>
      </c>
      <c r="Z124" s="54">
        <f>Z122*Z121/1000000</f>
        <v>1364.44</v>
      </c>
      <c r="AA124" s="54">
        <f t="shared" ref="AA124:AD124" si="303">AA122*AA121/1000000</f>
        <v>1355.69</v>
      </c>
      <c r="AB124" s="54">
        <f t="shared" si="303"/>
        <v>1347.08</v>
      </c>
      <c r="AC124" s="54">
        <f t="shared" si="303"/>
        <v>1338.68</v>
      </c>
      <c r="AD124" s="54">
        <f t="shared" si="303"/>
        <v>1330.42</v>
      </c>
      <c r="AE124" s="54"/>
      <c r="AF124" s="789"/>
      <c r="AG124" s="789"/>
      <c r="AH124" s="789"/>
      <c r="AI124" s="789"/>
      <c r="AJ124" s="789"/>
      <c r="AK124" s="789"/>
      <c r="AL124" s="789"/>
      <c r="AM124" s="789"/>
      <c r="AN124" s="789"/>
      <c r="AO124" s="789"/>
      <c r="AP124" s="789"/>
      <c r="AQ124" s="789"/>
      <c r="AR124" s="789"/>
      <c r="AS124" s="789"/>
      <c r="AT124" s="789"/>
      <c r="AU124" s="31"/>
      <c r="AV124" s="398">
        <v>2.4500000000000002</v>
      </c>
      <c r="AW124" s="398">
        <v>1</v>
      </c>
      <c r="AX124" s="398">
        <v>3.6</v>
      </c>
      <c r="AY124" s="398">
        <v>2.2000000000000002</v>
      </c>
      <c r="AZ124" s="398">
        <v>3.3</v>
      </c>
      <c r="BA124" s="398">
        <v>4.5</v>
      </c>
      <c r="BB124" s="398">
        <v>2.1</v>
      </c>
      <c r="BC124" s="398">
        <v>14.9</v>
      </c>
      <c r="BD124" s="398">
        <v>19.7</v>
      </c>
      <c r="BE124" s="398">
        <v>20.8</v>
      </c>
      <c r="BF124" s="398">
        <v>39.6</v>
      </c>
      <c r="BG124" s="398">
        <v>50.5</v>
      </c>
      <c r="BH124" s="398">
        <v>58.7</v>
      </c>
      <c r="BI124" s="398">
        <v>129.6</v>
      </c>
      <c r="BJ124" s="398">
        <v>83.9</v>
      </c>
      <c r="BK124" s="398">
        <v>103.1</v>
      </c>
      <c r="BL124" s="398">
        <v>115.6</v>
      </c>
      <c r="BM124" s="398">
        <v>72.599999999999994</v>
      </c>
      <c r="BN124" s="398">
        <v>81.900000000000006</v>
      </c>
      <c r="BO124" s="398">
        <v>133.5</v>
      </c>
      <c r="BP124" s="398">
        <v>64.7</v>
      </c>
      <c r="BQ124" s="398">
        <v>63.4</v>
      </c>
      <c r="BR124" s="398">
        <v>74</v>
      </c>
      <c r="BS124" s="398">
        <v>81</v>
      </c>
      <c r="BT124" s="398">
        <v>128.9</v>
      </c>
      <c r="BU124" s="398">
        <v>121.8</v>
      </c>
      <c r="BV124" s="398">
        <v>103.2</v>
      </c>
      <c r="BW124" s="398">
        <v>111</v>
      </c>
      <c r="BX124" s="398">
        <v>139.80000000000001</v>
      </c>
      <c r="BY124" s="398">
        <v>160.9</v>
      </c>
      <c r="BZ124" s="398">
        <v>104.9</v>
      </c>
      <c r="CA124" s="398">
        <v>145.5</v>
      </c>
      <c r="CB124" s="398">
        <v>102.4</v>
      </c>
      <c r="CC124" s="398">
        <v>158.947</v>
      </c>
      <c r="CD124" s="398">
        <v>174.52500000000001</v>
      </c>
      <c r="CE124" s="398">
        <v>166.911</v>
      </c>
      <c r="CF124" s="398">
        <v>41.67</v>
      </c>
      <c r="CG124" s="398">
        <v>82.653000000000006</v>
      </c>
      <c r="CH124" s="398">
        <v>129.971</v>
      </c>
      <c r="CI124" s="398">
        <v>134.78200000000001</v>
      </c>
      <c r="CJ124" s="398">
        <v>79.459000000000003</v>
      </c>
      <c r="CK124" s="398">
        <v>133.798</v>
      </c>
      <c r="CL124" s="398">
        <v>136.22900000000001</v>
      </c>
      <c r="CM124" s="398">
        <v>205.352</v>
      </c>
      <c r="CN124" s="398">
        <v>127.747</v>
      </c>
      <c r="CO124" s="398">
        <v>194.012</v>
      </c>
      <c r="CP124" s="398">
        <v>194.012</v>
      </c>
      <c r="CQ124" s="398">
        <v>236</v>
      </c>
      <c r="CR124" s="54">
        <f t="shared" ref="CR124:CW124" si="304">+CR133-CR127</f>
        <v>165.88499999999999</v>
      </c>
      <c r="CS124" s="54">
        <f t="shared" si="304"/>
        <v>217.93899999999999</v>
      </c>
      <c r="CT124" s="54">
        <f t="shared" si="304"/>
        <v>237.87699999999998</v>
      </c>
      <c r="CU124" s="54">
        <f t="shared" si="304"/>
        <v>349.84500000000003</v>
      </c>
      <c r="CV124" s="54">
        <f t="shared" si="304"/>
        <v>254.57000000000002</v>
      </c>
      <c r="CW124" s="54">
        <f t="shared" si="304"/>
        <v>310.70299999999997</v>
      </c>
      <c r="CX124" s="54">
        <f t="shared" ref="CX124:CY124" si="305">+CX133-CX127</f>
        <v>275.32</v>
      </c>
      <c r="CY124" s="54">
        <f t="shared" si="305"/>
        <v>370.137</v>
      </c>
      <c r="CZ124" s="54">
        <f t="shared" ref="CZ124:DC124" si="306">CZ122*CZ121/1000000</f>
        <v>313.5</v>
      </c>
      <c r="DA124" s="54">
        <f t="shared" si="306"/>
        <v>196.875</v>
      </c>
      <c r="DB124" s="54">
        <f t="shared" si="306"/>
        <v>618</v>
      </c>
      <c r="DC124" s="54">
        <f t="shared" si="306"/>
        <v>605.625</v>
      </c>
    </row>
    <row r="125" spans="1:118">
      <c r="B125" s="18" t="s">
        <v>955</v>
      </c>
      <c r="C125" s="15"/>
      <c r="D125" s="15"/>
      <c r="E125" s="15"/>
      <c r="F125" s="15"/>
      <c r="G125" s="15"/>
      <c r="H125" s="15"/>
      <c r="I125" s="56">
        <f t="shared" ref="I125:Z125" si="307">I124/I$106</f>
        <v>5.6515815263546994E-2</v>
      </c>
      <c r="J125" s="56">
        <f t="shared" si="307"/>
        <v>0.11218825913678372</v>
      </c>
      <c r="K125" s="56">
        <f t="shared" si="307"/>
        <v>0.4533242622199698</v>
      </c>
      <c r="L125" s="56">
        <f t="shared" si="307"/>
        <v>0.8947601813838385</v>
      </c>
      <c r="M125" s="56">
        <f t="shared" si="307"/>
        <v>0.5727422376113982</v>
      </c>
      <c r="N125" s="56">
        <f t="shared" si="307"/>
        <v>0.3207899296211143</v>
      </c>
      <c r="O125" s="56">
        <f t="shared" si="307"/>
        <v>0.38864283481049378</v>
      </c>
      <c r="P125" s="56">
        <f t="shared" si="307"/>
        <v>0.35106740800008152</v>
      </c>
      <c r="Q125" s="56">
        <f t="shared" si="307"/>
        <v>0.31937621332474286</v>
      </c>
      <c r="R125" s="56">
        <f t="shared" si="307"/>
        <v>0.18073306620412993</v>
      </c>
      <c r="S125" s="56">
        <f t="shared" si="307"/>
        <v>0.2270413601906886</v>
      </c>
      <c r="T125" s="56">
        <f t="shared" si="307"/>
        <v>0.27579151880851116</v>
      </c>
      <c r="U125" s="56">
        <f t="shared" si="307"/>
        <v>0.26897811704299213</v>
      </c>
      <c r="V125" s="56">
        <f>V124/V$106</f>
        <v>0.27715461946494258</v>
      </c>
      <c r="W125" s="56">
        <f ca="1">W124/W$106</f>
        <v>0.34410506577766647</v>
      </c>
      <c r="X125" s="56">
        <f t="shared" ca="1" si="307"/>
        <v>0.29690008917188138</v>
      </c>
      <c r="Y125" s="56">
        <f t="shared" ca="1" si="307"/>
        <v>0.23957726745656838</v>
      </c>
      <c r="Z125" s="56">
        <f t="shared" ca="1" si="307"/>
        <v>0.2148975523368272</v>
      </c>
      <c r="AA125" s="56">
        <f t="shared" ref="AA125:AD125" ca="1" si="308">AA124/AA$106</f>
        <v>0.20055617010747848</v>
      </c>
      <c r="AB125" s="56">
        <f t="shared" ca="1" si="308"/>
        <v>0.187923671418255</v>
      </c>
      <c r="AC125" s="56">
        <f t="shared" ca="1" si="308"/>
        <v>0.17672901268696384</v>
      </c>
      <c r="AD125" s="56">
        <f t="shared" ca="1" si="308"/>
        <v>0.16673898303648829</v>
      </c>
      <c r="AE125" s="998"/>
      <c r="AF125" s="789"/>
      <c r="AG125" s="789"/>
      <c r="AH125" s="789"/>
      <c r="AI125" s="789"/>
      <c r="AJ125" s="789"/>
      <c r="AK125" s="789"/>
      <c r="AL125" s="789"/>
      <c r="AM125" s="789"/>
      <c r="AN125" s="1021"/>
      <c r="AO125" s="1021"/>
      <c r="AP125" s="1021"/>
      <c r="AQ125" s="1021"/>
      <c r="AR125" s="1021"/>
      <c r="AS125" s="1021"/>
      <c r="AT125" s="1021"/>
      <c r="AU125" s="1021"/>
      <c r="AV125" s="56">
        <f t="shared" ref="AV125:CA125" si="309">AV124/AV$106</f>
        <v>6.6539923954372623E-2</v>
      </c>
      <c r="AW125" s="56">
        <f t="shared" si="309"/>
        <v>2.5365903152981761E-2</v>
      </c>
      <c r="AX125" s="56">
        <f t="shared" si="309"/>
        <v>8.4827634958410891E-2</v>
      </c>
      <c r="AY125" s="56">
        <f t="shared" si="309"/>
        <v>4.8900842428149099E-2</v>
      </c>
      <c r="AZ125" s="56">
        <f t="shared" si="309"/>
        <v>6.7784076904116336E-2</v>
      </c>
      <c r="BA125" s="56">
        <f t="shared" si="309"/>
        <v>8.5748585148345047E-2</v>
      </c>
      <c r="BB125" s="56">
        <f t="shared" si="309"/>
        <v>3.614706692371248E-2</v>
      </c>
      <c r="BC125" s="56">
        <f t="shared" si="309"/>
        <v>0.24110812647658503</v>
      </c>
      <c r="BD125" s="56">
        <f t="shared" si="309"/>
        <v>0.30368897316129428</v>
      </c>
      <c r="BE125" s="56">
        <f t="shared" si="309"/>
        <v>0.30343700764427844</v>
      </c>
      <c r="BF125" s="56">
        <f t="shared" si="309"/>
        <v>0.53712394541952635</v>
      </c>
      <c r="BG125" s="56">
        <f t="shared" si="309"/>
        <v>0.63305420448277594</v>
      </c>
      <c r="BH125" s="56">
        <f t="shared" si="309"/>
        <v>0.689703791608408</v>
      </c>
      <c r="BI125" s="56">
        <f t="shared" si="309"/>
        <v>1.411195923211777</v>
      </c>
      <c r="BJ125" s="56">
        <f t="shared" si="309"/>
        <v>0.80842535314409059</v>
      </c>
      <c r="BK125" s="56">
        <f t="shared" si="309"/>
        <v>0.74325590783915108</v>
      </c>
      <c r="BL125" s="56">
        <f t="shared" si="309"/>
        <v>0.73063747487643615</v>
      </c>
      <c r="BM125" s="56">
        <f t="shared" si="309"/>
        <v>0.42198507358582688</v>
      </c>
      <c r="BN125" s="56">
        <f t="shared" si="309"/>
        <v>0.44575067352436948</v>
      </c>
      <c r="BO125" s="56">
        <f t="shared" si="309"/>
        <v>0.7001148503012854</v>
      </c>
      <c r="BP125" s="56">
        <f t="shared" si="309"/>
        <v>0.3247486585922873</v>
      </c>
      <c r="BQ125" s="56">
        <f t="shared" si="309"/>
        <v>0.29741799894918564</v>
      </c>
      <c r="BR125" s="56">
        <f t="shared" si="309"/>
        <v>0.32519181922850438</v>
      </c>
      <c r="BS125" s="56">
        <f t="shared" si="309"/>
        <v>0.33394900887232432</v>
      </c>
      <c r="BT125" s="56">
        <f t="shared" si="309"/>
        <v>0.51840144138926758</v>
      </c>
      <c r="BU125" s="56">
        <f t="shared" si="309"/>
        <v>0.41997538075354213</v>
      </c>
      <c r="BV125" s="56">
        <f t="shared" si="309"/>
        <v>0.32110120288493249</v>
      </c>
      <c r="BW125" s="56">
        <f t="shared" si="309"/>
        <v>0.33020579853281534</v>
      </c>
      <c r="BX125" s="56">
        <f t="shared" si="309"/>
        <v>0.39497215700567034</v>
      </c>
      <c r="BY125" s="56">
        <f t="shared" si="309"/>
        <v>0.41736811660367673</v>
      </c>
      <c r="BZ125" s="56">
        <f t="shared" si="309"/>
        <v>0.25697683533884691</v>
      </c>
      <c r="CA125" s="56">
        <f t="shared" si="309"/>
        <v>0.34469198040349097</v>
      </c>
      <c r="CB125" s="56">
        <f t="shared" ref="CB125:CP125" si="310">CB124/CB$106</f>
        <v>0.23222482265643427</v>
      </c>
      <c r="CC125" s="56">
        <f t="shared" si="310"/>
        <v>0.34892762276908212</v>
      </c>
      <c r="CD125" s="56">
        <f t="shared" si="310"/>
        <v>0.35996782410510797</v>
      </c>
      <c r="CE125" s="56">
        <f t="shared" si="310"/>
        <v>0.32982517848709342</v>
      </c>
      <c r="CF125" s="56">
        <f t="shared" si="310"/>
        <v>8.0734847927088724E-2</v>
      </c>
      <c r="CG125" s="56">
        <f t="shared" si="310"/>
        <v>0.15628196667996544</v>
      </c>
      <c r="CH125" s="56">
        <f t="shared" si="310"/>
        <v>0.23932025248396194</v>
      </c>
      <c r="CI125" s="56">
        <f t="shared" si="310"/>
        <v>0.23868866626407664</v>
      </c>
      <c r="CJ125" s="56">
        <f t="shared" si="310"/>
        <v>0.13698575819795777</v>
      </c>
      <c r="CK125" s="56">
        <f t="shared" si="310"/>
        <v>0.22109488218837631</v>
      </c>
      <c r="CL125" s="56">
        <f t="shared" si="310"/>
        <v>0.21956837083360201</v>
      </c>
      <c r="CM125" s="56">
        <f t="shared" si="310"/>
        <v>0.32180730613786412</v>
      </c>
      <c r="CN125" s="56">
        <f t="shared" si="310"/>
        <v>0.19861965813294694</v>
      </c>
      <c r="CO125" s="56">
        <f t="shared" si="310"/>
        <v>0.29149225790360922</v>
      </c>
      <c r="CP125" s="56">
        <f t="shared" si="310"/>
        <v>0.28254901703781699</v>
      </c>
      <c r="CQ125" s="56">
        <f t="shared" ref="CQ125:CU125" si="311">CQ124/CQ$106</f>
        <v>0.32308319939983193</v>
      </c>
      <c r="CR125" s="56">
        <f t="shared" si="311"/>
        <v>0.19650988679817472</v>
      </c>
      <c r="CS125" s="56">
        <f t="shared" si="311"/>
        <v>0.24201730130703711</v>
      </c>
      <c r="CT125" s="56">
        <f t="shared" si="311"/>
        <v>0.25725443290406586</v>
      </c>
      <c r="CU125" s="56">
        <f t="shared" si="311"/>
        <v>0.37113044437631482</v>
      </c>
      <c r="CV125" s="56">
        <f>CV124/CV$106</f>
        <v>0.26810247228877593</v>
      </c>
      <c r="CW125" s="56">
        <f>CW124/CW$106</f>
        <v>0.29135116431503127</v>
      </c>
      <c r="CX125" s="56">
        <f>CX124/CX$106</f>
        <v>0.23893892095627639</v>
      </c>
      <c r="CY125" s="56">
        <f>CY124/CY$106</f>
        <v>0.30839070471188224</v>
      </c>
      <c r="CZ125" s="56">
        <f t="shared" ref="CZ125:DC125" ca="1" si="312">CZ124/CZ$106</f>
        <v>0.25790401752002517</v>
      </c>
      <c r="DA125" s="56">
        <f t="shared" ca="1" si="312"/>
        <v>0.15875607621335441</v>
      </c>
      <c r="DB125" s="56">
        <f t="shared" ca="1" si="312"/>
        <v>0.4851107538061572</v>
      </c>
      <c r="DC125" s="56">
        <f t="shared" ca="1" si="312"/>
        <v>0.46247007530596057</v>
      </c>
      <c r="DE125" s="56"/>
    </row>
    <row r="126" spans="1:118">
      <c r="B126" s="876"/>
      <c r="C126" s="15"/>
      <c r="D126" s="15"/>
      <c r="E126" s="15"/>
      <c r="F126" s="15"/>
      <c r="G126" s="15"/>
      <c r="H126" s="15"/>
      <c r="I126" s="56"/>
      <c r="J126" s="56"/>
      <c r="K126" s="56"/>
      <c r="L126" s="56"/>
      <c r="M126" s="56"/>
      <c r="N126" s="56"/>
      <c r="O126" s="56"/>
      <c r="P126" s="1023"/>
      <c r="Q126" s="1023"/>
      <c r="R126" s="1023"/>
      <c r="S126" s="1023"/>
      <c r="T126" s="1023"/>
      <c r="U126" s="1023"/>
      <c r="V126" s="1023"/>
      <c r="W126" s="1023"/>
      <c r="X126" s="1023"/>
      <c r="Y126" s="1023"/>
      <c r="Z126" s="1023"/>
      <c r="AA126" s="1023"/>
      <c r="AB126" s="1023"/>
      <c r="AC126" s="1023"/>
      <c r="AD126" s="1023"/>
      <c r="AE126" s="998"/>
      <c r="AF126" s="789"/>
      <c r="AG126" s="789"/>
      <c r="AH126" s="789"/>
      <c r="AI126" s="789"/>
      <c r="AJ126" s="789"/>
      <c r="AK126" s="789"/>
      <c r="AL126" s="789"/>
      <c r="AM126" s="789"/>
      <c r="AN126" s="1021"/>
      <c r="AO126" s="1021"/>
      <c r="AP126" s="1021"/>
      <c r="AQ126" s="1021"/>
      <c r="AR126" s="1021"/>
      <c r="AS126" s="1021"/>
      <c r="AT126" s="1021"/>
      <c r="AU126" s="1021"/>
      <c r="AV126" s="56"/>
      <c r="AW126" s="56"/>
      <c r="AX126" s="56"/>
      <c r="AY126" s="56"/>
      <c r="AZ126" s="56"/>
      <c r="BA126" s="56"/>
      <c r="BB126" s="56"/>
      <c r="BC126" s="56"/>
      <c r="BD126" s="56"/>
      <c r="BE126" s="56"/>
      <c r="BF126" s="56"/>
      <c r="BG126" s="56"/>
      <c r="BH126" s="56"/>
      <c r="BI126" s="56"/>
      <c r="BJ126" s="56"/>
      <c r="BK126" s="56"/>
      <c r="BL126" s="56"/>
      <c r="BM126" s="56"/>
      <c r="BN126" s="56"/>
      <c r="BO126" s="56"/>
      <c r="BP126" s="56"/>
      <c r="BQ126" s="56"/>
      <c r="BR126" s="56"/>
      <c r="BS126" s="56"/>
      <c r="BT126" s="56"/>
      <c r="BU126" s="56"/>
      <c r="BV126" s="56"/>
      <c r="BW126" s="56"/>
      <c r="BX126" s="1023"/>
      <c r="BY126" s="1023"/>
      <c r="BZ126" s="1023"/>
      <c r="CA126" s="1023"/>
      <c r="CB126" s="1023"/>
      <c r="CC126" s="1023"/>
      <c r="CD126" s="1023"/>
      <c r="CE126" s="1023"/>
      <c r="CF126" s="1023"/>
      <c r="CG126" s="1023"/>
      <c r="CH126" s="1023"/>
      <c r="CI126" s="1023"/>
      <c r="CJ126" s="1023"/>
      <c r="CK126" s="1023"/>
      <c r="CL126" s="1023"/>
      <c r="CM126" s="1023"/>
      <c r="CN126" s="1023"/>
      <c r="CO126" s="1023"/>
      <c r="CP126" s="1023"/>
      <c r="CQ126" s="1023"/>
      <c r="CR126" s="1023"/>
      <c r="CS126" s="1023"/>
      <c r="CT126" s="1023"/>
      <c r="CU126" s="1023"/>
      <c r="CV126" s="1023"/>
      <c r="CW126" s="1023"/>
      <c r="CX126" s="1023"/>
      <c r="CY126" s="1023"/>
      <c r="CZ126" s="1023"/>
      <c r="DA126" s="1023"/>
      <c r="DB126" s="1023"/>
      <c r="DC126" s="1023"/>
    </row>
    <row r="127" spans="1:118">
      <c r="B127" s="23" t="s">
        <v>1857</v>
      </c>
      <c r="C127" s="15"/>
      <c r="D127" s="15"/>
      <c r="E127" s="15"/>
      <c r="F127" s="15"/>
      <c r="G127" s="15"/>
      <c r="H127" s="15"/>
      <c r="I127" s="26">
        <f>SUM(AV127:AY127)</f>
        <v>13.684000000000001</v>
      </c>
      <c r="J127" s="26">
        <f>SUM(AZ127:BC127)</f>
        <v>20.612000000000002</v>
      </c>
      <c r="K127" s="26">
        <f>SUM(BD127:BG127)</f>
        <v>31.690999999999999</v>
      </c>
      <c r="L127" s="26">
        <f>SUM(BH127:BK127)</f>
        <v>41.511000000000024</v>
      </c>
      <c r="M127" s="26">
        <f>SUM(BL127:BO127)</f>
        <v>67.528000000000006</v>
      </c>
      <c r="N127" s="26">
        <f>SUM(BP127:BS127)</f>
        <v>59.08</v>
      </c>
      <c r="O127" s="26">
        <f>SUM(BT127:BW127)</f>
        <v>114.5</v>
      </c>
      <c r="P127" s="54">
        <f>SUM(BX127:CA127)</f>
        <v>131.60000000000002</v>
      </c>
      <c r="Q127" s="54">
        <f>SUM(CB127:CE127)</f>
        <v>161.71700000000001</v>
      </c>
      <c r="R127" s="54">
        <f>SUM(CF127:CI127)</f>
        <v>183.32999999999998</v>
      </c>
      <c r="S127" s="54">
        <f>SUM(CJ127:CM127)</f>
        <v>105.36599999999999</v>
      </c>
      <c r="T127" s="54">
        <f>SUM(CN127:CQ127)</f>
        <v>122.033</v>
      </c>
      <c r="U127" s="54">
        <f>SUM(CR127:CU127)</f>
        <v>141.81900000000002</v>
      </c>
      <c r="V127" s="54">
        <f>SUM(CV127:CY127)</f>
        <v>167.995</v>
      </c>
      <c r="W127" s="54">
        <f ca="1">SUM(CZ127:DC127)</f>
        <v>201.5663438236476</v>
      </c>
      <c r="X127" s="26">
        <f ca="1">+X128*IS!X15</f>
        <v>220.02351087938561</v>
      </c>
      <c r="Y127" s="26">
        <f ca="1">+Y128*IS!Y15</f>
        <v>237.49331730864125</v>
      </c>
      <c r="Z127" s="26">
        <f ca="1">+Z128*IS!Z15</f>
        <v>253.97031937551293</v>
      </c>
      <c r="AA127" s="26">
        <f ca="1">+AA128*IS!AA15</f>
        <v>270.38609667775023</v>
      </c>
      <c r="AB127" s="26">
        <f ca="1">+AB128*IS!AB15</f>
        <v>286.7291788913281</v>
      </c>
      <c r="AC127" s="26">
        <f ca="1">+AC128*IS!AC15</f>
        <v>302.99043256042495</v>
      </c>
      <c r="AD127" s="26">
        <f ca="1">+AD128*IS!AD15</f>
        <v>319.16231603952099</v>
      </c>
      <c r="AE127" s="54"/>
      <c r="AF127" s="976"/>
      <c r="AG127" s="976"/>
      <c r="AH127" s="976"/>
      <c r="AI127" s="976"/>
      <c r="AJ127" s="976"/>
      <c r="AK127" s="976"/>
      <c r="AL127" s="976"/>
      <c r="AM127" s="976"/>
      <c r="AN127" s="26"/>
      <c r="AO127" s="26"/>
      <c r="AP127" s="26"/>
      <c r="AQ127" s="26"/>
      <c r="AR127" s="26"/>
      <c r="AS127" s="26"/>
      <c r="AT127" s="26"/>
      <c r="AU127" s="26"/>
      <c r="AV127" s="398">
        <v>2.4580000000000002</v>
      </c>
      <c r="AW127" s="398">
        <v>3.2540000000000004</v>
      </c>
      <c r="AX127" s="398">
        <v>4.020999999999999</v>
      </c>
      <c r="AY127" s="398">
        <v>3.9510000000000005</v>
      </c>
      <c r="AZ127" s="398">
        <v>2.2229999999999999</v>
      </c>
      <c r="BA127" s="398">
        <v>5.39</v>
      </c>
      <c r="BB127" s="398">
        <v>4.979000000000001</v>
      </c>
      <c r="BC127" s="398">
        <v>8.02</v>
      </c>
      <c r="BD127" s="398">
        <v>6.9130000000000003</v>
      </c>
      <c r="BE127" s="398">
        <v>8.8709999999999987</v>
      </c>
      <c r="BF127" s="398">
        <v>7.02</v>
      </c>
      <c r="BG127" s="398">
        <v>8.8870000000000005</v>
      </c>
      <c r="BH127" s="398">
        <v>8.3559999999999945</v>
      </c>
      <c r="BI127" s="398">
        <v>10.231999999999999</v>
      </c>
      <c r="BJ127" s="398">
        <v>5.0210000000000292</v>
      </c>
      <c r="BK127" s="398">
        <v>17.902000000000001</v>
      </c>
      <c r="BL127" s="398">
        <v>10.043000000000006</v>
      </c>
      <c r="BM127" s="398">
        <v>11.858000000000004</v>
      </c>
      <c r="BN127" s="398">
        <v>13.545</v>
      </c>
      <c r="BO127" s="398">
        <v>32.081999999999994</v>
      </c>
      <c r="BP127" s="398">
        <v>10.268999999999991</v>
      </c>
      <c r="BQ127" s="398">
        <v>13.416000000000004</v>
      </c>
      <c r="BR127" s="398">
        <v>14.654999999999999</v>
      </c>
      <c r="BS127" s="398">
        <v>20.74</v>
      </c>
      <c r="BT127" s="398">
        <v>14.5</v>
      </c>
      <c r="BU127" s="398">
        <v>26.9</v>
      </c>
      <c r="BV127" s="398">
        <v>40.700000000000003</v>
      </c>
      <c r="BW127" s="398">
        <v>32.4</v>
      </c>
      <c r="BX127" s="398">
        <v>32.700000000000003</v>
      </c>
      <c r="BY127" s="398">
        <v>28</v>
      </c>
      <c r="BZ127" s="398">
        <v>26.6</v>
      </c>
      <c r="CA127" s="398">
        <v>44.3</v>
      </c>
      <c r="CB127" s="398">
        <v>43.09</v>
      </c>
      <c r="CC127" s="398">
        <v>37.536999999999999</v>
      </c>
      <c r="CD127" s="398">
        <v>37.593000000000004</v>
      </c>
      <c r="CE127" s="398">
        <v>43.497</v>
      </c>
      <c r="CF127" s="398">
        <v>33.997</v>
      </c>
      <c r="CG127" s="398">
        <v>40.21</v>
      </c>
      <c r="CH127" s="398">
        <v>41.064</v>
      </c>
      <c r="CI127" s="398">
        <v>68.058999999999997</v>
      </c>
      <c r="CJ127" s="398">
        <v>26.449000000000002</v>
      </c>
      <c r="CK127" s="398">
        <v>26.018000000000001</v>
      </c>
      <c r="CL127" s="398">
        <v>19.774999999999999</v>
      </c>
      <c r="CM127" s="398">
        <v>33.124000000000002</v>
      </c>
      <c r="CN127" s="398">
        <v>22.373000000000001</v>
      </c>
      <c r="CO127" s="398">
        <v>27.33</v>
      </c>
      <c r="CP127" s="398">
        <v>27.33</v>
      </c>
      <c r="CQ127" s="398">
        <v>45</v>
      </c>
      <c r="CR127" s="398">
        <v>31.815000000000001</v>
      </c>
      <c r="CS127" s="398">
        <v>31.928000000000001</v>
      </c>
      <c r="CT127" s="398">
        <v>41.6</v>
      </c>
      <c r="CU127" s="2305">
        <f>-CF!CU209</f>
        <v>36.475999999999999</v>
      </c>
      <c r="CV127" s="2305">
        <f>-CF!CV209</f>
        <v>22.672000000000001</v>
      </c>
      <c r="CW127" s="2305">
        <f>-CF!CW209</f>
        <v>37.869</v>
      </c>
      <c r="CX127" s="2305">
        <f>-CF!CX209</f>
        <v>44.914000000000001</v>
      </c>
      <c r="CY127" s="2305">
        <f>-CF!CY209</f>
        <v>62.54</v>
      </c>
      <c r="CZ127" s="54">
        <f t="shared" ref="CZ127:DC127" ca="1" si="313">CZ106*CZ128</f>
        <v>48.622740043304375</v>
      </c>
      <c r="DA127" s="54">
        <f t="shared" ca="1" si="313"/>
        <v>49.604400586322647</v>
      </c>
      <c r="DB127" s="54">
        <f t="shared" ca="1" si="313"/>
        <v>50.957435608359511</v>
      </c>
      <c r="DC127" s="54">
        <f t="shared" ca="1" si="313"/>
        <v>52.381767585661073</v>
      </c>
    </row>
    <row r="128" spans="1:118">
      <c r="B128" s="18" t="s">
        <v>955</v>
      </c>
      <c r="C128" s="15"/>
      <c r="D128" s="15"/>
      <c r="E128" s="15"/>
      <c r="F128" s="15"/>
      <c r="G128" s="15"/>
      <c r="H128" s="768"/>
      <c r="I128" s="56">
        <f t="shared" ref="I128:U128" si="314">I127/I$106</f>
        <v>8.360674768285159E-2</v>
      </c>
      <c r="J128" s="56">
        <f t="shared" si="314"/>
        <v>9.3242919247072023E-2</v>
      </c>
      <c r="K128" s="56">
        <f t="shared" si="314"/>
        <v>0.11000229091893615</v>
      </c>
      <c r="L128" s="56">
        <f t="shared" si="314"/>
        <v>9.8967199279042198E-2</v>
      </c>
      <c r="M128" s="56">
        <f t="shared" si="314"/>
        <v>9.5827893511948703E-2</v>
      </c>
      <c r="N128" s="56">
        <f t="shared" si="314"/>
        <v>6.6945492907154472E-2</v>
      </c>
      <c r="O128" s="56">
        <f t="shared" si="314"/>
        <v>9.5718659035925011E-2</v>
      </c>
      <c r="P128" s="56">
        <f t="shared" si="314"/>
        <v>8.3833189789168455E-2</v>
      </c>
      <c r="Q128" s="56">
        <f t="shared" si="314"/>
        <v>8.5683509804087801E-2</v>
      </c>
      <c r="R128" s="56">
        <f t="shared" si="314"/>
        <v>8.5160207844233879E-2</v>
      </c>
      <c r="S128" s="56">
        <f t="shared" si="314"/>
        <v>4.3116080653906354E-2</v>
      </c>
      <c r="T128" s="56">
        <f t="shared" si="314"/>
        <v>4.4768508514905533E-2</v>
      </c>
      <c r="U128" s="56">
        <f t="shared" si="314"/>
        <v>3.926340860949467E-2</v>
      </c>
      <c r="V128" s="56">
        <f>V127/V$106</f>
        <v>3.8456625587053282E-2</v>
      </c>
      <c r="W128" s="56">
        <f ca="1">W127/W$106</f>
        <v>3.9999999999999994E-2</v>
      </c>
      <c r="X128" s="1692">
        <v>0.04</v>
      </c>
      <c r="Y128" s="1692">
        <v>0.04</v>
      </c>
      <c r="Z128" s="1692">
        <v>0.04</v>
      </c>
      <c r="AA128" s="1692">
        <v>0.04</v>
      </c>
      <c r="AB128" s="1692">
        <v>0.04</v>
      </c>
      <c r="AC128" s="1692">
        <v>0.04</v>
      </c>
      <c r="AD128" s="1692">
        <v>0.04</v>
      </c>
      <c r="AE128" s="998"/>
      <c r="AF128" s="26"/>
      <c r="AG128" s="26"/>
      <c r="AH128" s="26"/>
      <c r="AI128" s="26"/>
      <c r="AJ128" s="26"/>
      <c r="AK128" s="26"/>
      <c r="AL128" s="26"/>
      <c r="AM128" s="26"/>
      <c r="AN128" s="1021"/>
      <c r="AO128" s="1021"/>
      <c r="AP128" s="1021"/>
      <c r="AQ128" s="1021"/>
      <c r="AR128" s="1021"/>
      <c r="AS128" s="1021"/>
      <c r="AT128" s="1021"/>
      <c r="AU128" s="1021"/>
      <c r="AV128" s="56">
        <f t="shared" ref="AV128:CP128" si="315">AV127/AV$106</f>
        <v>6.6757197175448132E-2</v>
      </c>
      <c r="AW128" s="56">
        <f t="shared" si="315"/>
        <v>8.2540648859802668E-2</v>
      </c>
      <c r="AX128" s="56">
        <f t="shared" si="315"/>
        <v>9.4747755602158368E-2</v>
      </c>
      <c r="AY128" s="56">
        <f t="shared" si="315"/>
        <v>8.7821467469825956E-2</v>
      </c>
      <c r="AZ128" s="56">
        <f t="shared" si="315"/>
        <v>4.5661819078136552E-2</v>
      </c>
      <c r="BA128" s="56">
        <f t="shared" si="315"/>
        <v>0.10270774976657329</v>
      </c>
      <c r="BB128" s="56">
        <f t="shared" si="315"/>
        <v>8.5702974387221173E-2</v>
      </c>
      <c r="BC128" s="56">
        <f t="shared" si="315"/>
        <v>0.12977766270753099</v>
      </c>
      <c r="BD128" s="56">
        <f t="shared" si="315"/>
        <v>0.10656862291695572</v>
      </c>
      <c r="BE128" s="56">
        <f t="shared" si="315"/>
        <v>0.12941296609674971</v>
      </c>
      <c r="BF128" s="56">
        <f t="shared" si="315"/>
        <v>9.5217426688006937E-2</v>
      </c>
      <c r="BG128" s="56">
        <f t="shared" si="315"/>
        <v>0.11140500426214714</v>
      </c>
      <c r="BH128" s="56">
        <f t="shared" si="315"/>
        <v>9.8179980965585237E-2</v>
      </c>
      <c r="BI128" s="56">
        <f t="shared" si="315"/>
        <v>0.11141478924616437</v>
      </c>
      <c r="BJ128" s="56">
        <f t="shared" si="315"/>
        <v>4.8380258619028629E-2</v>
      </c>
      <c r="BK128" s="56">
        <f t="shared" si="315"/>
        <v>0.12905690845913176</v>
      </c>
      <c r="BL128" s="56">
        <f t="shared" si="315"/>
        <v>6.3475710728235754E-2</v>
      </c>
      <c r="BM128" s="56">
        <f t="shared" si="315"/>
        <v>6.8924228685685082E-2</v>
      </c>
      <c r="BN128" s="56">
        <f t="shared" si="315"/>
        <v>7.3720303698261103E-2</v>
      </c>
      <c r="BO128" s="56">
        <f t="shared" si="315"/>
        <v>0.16824782492408866</v>
      </c>
      <c r="BP128" s="56">
        <f t="shared" si="315"/>
        <v>5.1543183540713994E-2</v>
      </c>
      <c r="BQ128" s="56">
        <f t="shared" si="315"/>
        <v>6.2936275613600559E-2</v>
      </c>
      <c r="BR128" s="56">
        <f t="shared" si="315"/>
        <v>6.4401163659374747E-2</v>
      </c>
      <c r="BS128" s="56">
        <f t="shared" si="315"/>
        <v>8.5507437580395126E-2</v>
      </c>
      <c r="BT128" s="56">
        <f t="shared" si="315"/>
        <v>5.831513498948316E-2</v>
      </c>
      <c r="BU128" s="56">
        <f t="shared" si="315"/>
        <v>9.2753183434074571E-2</v>
      </c>
      <c r="BV128" s="56">
        <f t="shared" si="315"/>
        <v>0.12663584261062746</v>
      </c>
      <c r="BW128" s="56">
        <f t="shared" si="315"/>
        <v>9.6384395247416363E-2</v>
      </c>
      <c r="BX128" s="56">
        <f t="shared" si="315"/>
        <v>9.2386191230940051E-2</v>
      </c>
      <c r="BY128" s="56">
        <f t="shared" si="315"/>
        <v>7.2630871752038209E-2</v>
      </c>
      <c r="BZ128" s="56">
        <f t="shared" si="315"/>
        <v>6.5162858150746683E-2</v>
      </c>
      <c r="CA128" s="56">
        <f t="shared" si="315"/>
        <v>0.10494745520188763</v>
      </c>
      <c r="CB128" s="56">
        <f t="shared" si="315"/>
        <v>9.7720386799470246E-2</v>
      </c>
      <c r="CC128" s="56">
        <f t="shared" si="315"/>
        <v>8.2402915285491624E-2</v>
      </c>
      <c r="CD128" s="56">
        <f t="shared" si="315"/>
        <v>7.7537719017810189E-2</v>
      </c>
      <c r="CE128" s="56">
        <f t="shared" si="315"/>
        <v>8.5952428471778988E-2</v>
      </c>
      <c r="CF128" s="56">
        <f t="shared" si="315"/>
        <v>6.5868553515172429E-2</v>
      </c>
      <c r="CG128" s="56">
        <f t="shared" si="315"/>
        <v>7.602988252333745E-2</v>
      </c>
      <c r="CH128" s="56">
        <f t="shared" si="315"/>
        <v>7.5612612413549274E-2</v>
      </c>
      <c r="CI128" s="56">
        <f t="shared" si="315"/>
        <v>0.1205273103030582</v>
      </c>
      <c r="CJ128" s="56">
        <f t="shared" si="315"/>
        <v>4.5597557464576513E-2</v>
      </c>
      <c r="CK128" s="56">
        <f t="shared" si="315"/>
        <v>4.2993517427593643E-2</v>
      </c>
      <c r="CL128" s="56">
        <f t="shared" si="315"/>
        <v>3.1872542066920251E-2</v>
      </c>
      <c r="CM128" s="56">
        <f t="shared" si="315"/>
        <v>5.1908650553735114E-2</v>
      </c>
      <c r="CN128" s="56">
        <f t="shared" si="315"/>
        <v>3.4785299156993292E-2</v>
      </c>
      <c r="CO128" s="56">
        <f t="shared" si="315"/>
        <v>4.1061807560901595E-2</v>
      </c>
      <c r="CP128" s="56">
        <f t="shared" si="315"/>
        <v>3.9801994905694173E-2</v>
      </c>
      <c r="CQ128" s="56">
        <f t="shared" ref="CQ128:CV128" si="316">CQ127/CQ$106</f>
        <v>6.1604847343188295E-2</v>
      </c>
      <c r="CR128" s="56">
        <f t="shared" si="316"/>
        <v>3.7688531503655719E-2</v>
      </c>
      <c r="CS128" s="56">
        <f t="shared" si="316"/>
        <v>3.5455464125884226E-2</v>
      </c>
      <c r="CT128" s="56">
        <f t="shared" si="316"/>
        <v>4.4988731188005317E-2</v>
      </c>
      <c r="CU128" s="56">
        <f t="shared" si="316"/>
        <v>3.8695291026227208E-2</v>
      </c>
      <c r="CV128" s="56">
        <f t="shared" si="316"/>
        <v>2.3877201758774121E-2</v>
      </c>
      <c r="CW128" s="56">
        <f t="shared" ref="CW128:CX128" si="317">CW127/CW$106</f>
        <v>3.5510365981165033E-2</v>
      </c>
      <c r="CX128" s="56">
        <f t="shared" si="317"/>
        <v>3.8979016038900909E-2</v>
      </c>
      <c r="CY128" s="56">
        <f t="shared" ref="CY128" si="318">CY127/CY$106</f>
        <v>5.210707028122321E-2</v>
      </c>
      <c r="CZ128" s="1023">
        <v>0.04</v>
      </c>
      <c r="DA128" s="1023">
        <v>0.04</v>
      </c>
      <c r="DB128" s="1023">
        <v>0.04</v>
      </c>
      <c r="DC128" s="1023">
        <v>0.04</v>
      </c>
    </row>
    <row r="129" spans="1:118">
      <c r="B129" s="18"/>
      <c r="C129" s="15"/>
      <c r="D129" s="15"/>
      <c r="E129" s="15"/>
      <c r="F129" s="15"/>
      <c r="G129" s="15"/>
      <c r="H129" s="768"/>
      <c r="I129" s="56"/>
      <c r="J129" s="56"/>
      <c r="K129" s="56"/>
      <c r="L129" s="56"/>
      <c r="M129" s="56"/>
      <c r="N129" s="56"/>
      <c r="O129" s="56"/>
      <c r="P129" s="56"/>
      <c r="Q129" s="56"/>
      <c r="R129" s="56"/>
      <c r="S129" s="56"/>
      <c r="T129" s="56"/>
      <c r="U129" s="56"/>
      <c r="V129" s="56"/>
      <c r="W129" s="56"/>
      <c r="X129" s="56"/>
      <c r="Y129" s="56"/>
      <c r="Z129" s="56"/>
      <c r="AA129" s="56"/>
      <c r="AB129" s="56"/>
      <c r="AC129" s="56"/>
      <c r="AD129" s="56"/>
      <c r="AE129" s="998"/>
      <c r="AF129" s="26"/>
      <c r="AG129" s="26"/>
      <c r="AH129" s="26"/>
      <c r="AI129" s="26"/>
      <c r="AJ129" s="26"/>
      <c r="AK129" s="26"/>
      <c r="AL129" s="26"/>
      <c r="AM129" s="26"/>
      <c r="AN129" s="1021"/>
      <c r="AO129" s="1021"/>
      <c r="AP129" s="1021"/>
      <c r="AQ129" s="1021"/>
      <c r="AR129" s="1021"/>
      <c r="AS129" s="1021"/>
      <c r="AT129" s="1021"/>
      <c r="AU129" s="1021"/>
      <c r="AV129" s="56"/>
      <c r="AW129" s="56"/>
      <c r="AX129" s="56"/>
      <c r="AY129" s="56"/>
      <c r="AZ129" s="56"/>
      <c r="BA129" s="56"/>
      <c r="BB129" s="56"/>
      <c r="BC129" s="56"/>
      <c r="BD129" s="56"/>
      <c r="BE129" s="56"/>
      <c r="BF129" s="56"/>
      <c r="BG129" s="56"/>
      <c r="BH129" s="56"/>
      <c r="BI129" s="56"/>
      <c r="BJ129" s="56"/>
      <c r="BK129" s="56"/>
      <c r="BL129" s="56"/>
      <c r="BM129" s="56"/>
      <c r="BN129" s="56"/>
      <c r="BO129" s="56"/>
      <c r="BP129" s="56"/>
      <c r="BQ129" s="56"/>
      <c r="BR129" s="56"/>
      <c r="BS129" s="56"/>
      <c r="BT129" s="56"/>
      <c r="BU129" s="56"/>
      <c r="BV129" s="56"/>
      <c r="BW129" s="1023"/>
      <c r="BX129" s="1023"/>
      <c r="BY129" s="1023"/>
      <c r="BZ129" s="1023"/>
      <c r="CA129" s="1023"/>
      <c r="CB129" s="1023"/>
      <c r="CC129" s="1023"/>
      <c r="CD129" s="1023"/>
      <c r="CE129" s="1023"/>
      <c r="CF129" s="1023"/>
      <c r="CG129" s="1023"/>
      <c r="CH129" s="1023"/>
      <c r="CI129" s="1023"/>
      <c r="CJ129" s="1023"/>
      <c r="CK129" s="1023"/>
      <c r="CL129" s="1023"/>
      <c r="CM129" s="1023"/>
      <c r="CN129" s="1023"/>
      <c r="CO129" s="1023"/>
      <c r="CP129" s="1023"/>
      <c r="CQ129" s="1023"/>
      <c r="CR129" s="1023"/>
      <c r="CS129" s="1023"/>
      <c r="CT129" s="1023"/>
      <c r="CU129" s="1023"/>
      <c r="CV129" s="1023"/>
      <c r="CW129" s="1023"/>
      <c r="CX129" s="1023"/>
      <c r="CY129" s="1023"/>
      <c r="CZ129" s="1023"/>
      <c r="DA129" s="1023"/>
      <c r="DB129" s="1023"/>
      <c r="DC129" s="1023"/>
    </row>
    <row r="130" spans="1:118">
      <c r="B130" s="2275" t="s">
        <v>2128</v>
      </c>
      <c r="C130" s="2280"/>
      <c r="D130" s="2280"/>
      <c r="E130" s="2280"/>
      <c r="F130" s="2280"/>
      <c r="G130" s="2280"/>
      <c r="H130" s="2289"/>
      <c r="I130" s="2290"/>
      <c r="J130" s="2290"/>
      <c r="K130" s="2290"/>
      <c r="L130" s="2290"/>
      <c r="M130" s="2290"/>
      <c r="N130" s="2290"/>
      <c r="O130" s="2290"/>
      <c r="P130" s="2290"/>
      <c r="Q130" s="2290"/>
      <c r="R130" s="2290"/>
      <c r="S130" s="2290"/>
      <c r="T130" s="2277">
        <f>+SUM(CN130:CQ130)</f>
        <v>0</v>
      </c>
      <c r="U130" s="2277">
        <f>+SUM(CR130:CU130)</f>
        <v>0</v>
      </c>
      <c r="V130" s="2277"/>
      <c r="W130" s="2277"/>
      <c r="X130" s="2291"/>
      <c r="Y130" s="2291"/>
      <c r="Z130" s="2291"/>
      <c r="AA130" s="2291"/>
      <c r="AB130" s="2291"/>
      <c r="AC130" s="2291"/>
      <c r="AD130" s="2291"/>
      <c r="AE130" s="2292"/>
      <c r="AF130" s="2276"/>
      <c r="AG130" s="2276"/>
      <c r="AH130" s="2276"/>
      <c r="AI130" s="2276"/>
      <c r="AJ130" s="2276"/>
      <c r="AK130" s="2276"/>
      <c r="AL130" s="2276"/>
      <c r="AM130" s="2276"/>
      <c r="AN130" s="2293"/>
      <c r="AO130" s="2293"/>
      <c r="AP130" s="2293"/>
      <c r="AQ130" s="2293"/>
      <c r="AR130" s="2293"/>
      <c r="AS130" s="2293"/>
      <c r="AT130" s="2293"/>
      <c r="AU130" s="2293"/>
      <c r="AV130" s="2290"/>
      <c r="AW130" s="2290"/>
      <c r="AX130" s="2290"/>
      <c r="AY130" s="2290"/>
      <c r="AZ130" s="2290"/>
      <c r="BA130" s="2290"/>
      <c r="BB130" s="2290"/>
      <c r="BC130" s="2290"/>
      <c r="BD130" s="2290"/>
      <c r="BE130" s="2290"/>
      <c r="BF130" s="2290"/>
      <c r="BG130" s="2290"/>
      <c r="BH130" s="2290"/>
      <c r="BI130" s="2290"/>
      <c r="BJ130" s="2290"/>
      <c r="BK130" s="2290"/>
      <c r="BL130" s="2290"/>
      <c r="BM130" s="2290"/>
      <c r="BN130" s="2290"/>
      <c r="BO130" s="2290"/>
      <c r="BP130" s="2290"/>
      <c r="BQ130" s="2290"/>
      <c r="BR130" s="2290"/>
      <c r="BS130" s="2290"/>
      <c r="BT130" s="2290"/>
      <c r="BU130" s="2290"/>
      <c r="BV130" s="2290"/>
      <c r="BW130" s="2294"/>
      <c r="BX130" s="2294"/>
      <c r="BY130" s="2294"/>
      <c r="BZ130" s="2294"/>
      <c r="CA130" s="2294"/>
      <c r="CB130" s="2294"/>
      <c r="CC130" s="2294"/>
      <c r="CD130" s="2294"/>
      <c r="CE130" s="2294"/>
      <c r="CF130" s="2294"/>
      <c r="CG130" s="2294"/>
      <c r="CH130" s="2294"/>
      <c r="CI130" s="2294"/>
      <c r="CJ130" s="2294"/>
      <c r="CK130" s="2294"/>
      <c r="CL130" s="2294"/>
      <c r="CM130" s="2294"/>
      <c r="CN130" s="2294"/>
      <c r="CO130" s="2294"/>
      <c r="CP130" s="2294"/>
      <c r="CQ130" s="2294"/>
      <c r="CR130" s="2291"/>
      <c r="CS130" s="2291"/>
      <c r="CT130" s="2291"/>
      <c r="CU130" s="2291"/>
      <c r="CV130" s="2291"/>
      <c r="CW130" s="2291"/>
      <c r="CX130" s="2291"/>
      <c r="CY130" s="2291"/>
      <c r="CZ130" s="2291"/>
      <c r="DA130" s="2291"/>
      <c r="DB130" s="2291"/>
      <c r="DC130" s="2291"/>
    </row>
    <row r="131" spans="1:118">
      <c r="B131" s="2275" t="s">
        <v>2129</v>
      </c>
      <c r="C131" s="2280"/>
      <c r="D131" s="2280"/>
      <c r="E131" s="2280"/>
      <c r="F131" s="2280"/>
      <c r="G131" s="2280"/>
      <c r="H131" s="2289"/>
      <c r="I131" s="2290"/>
      <c r="J131" s="2290"/>
      <c r="K131" s="2290"/>
      <c r="L131" s="2290"/>
      <c r="M131" s="2290"/>
      <c r="N131" s="2290"/>
      <c r="O131" s="2290"/>
      <c r="P131" s="2290"/>
      <c r="Q131" s="2290"/>
      <c r="R131" s="2290"/>
      <c r="S131" s="2290"/>
      <c r="T131" s="2290"/>
      <c r="U131" s="2277">
        <f>+SUM(CR131:CU131)</f>
        <v>0</v>
      </c>
      <c r="V131" s="2277"/>
      <c r="W131" s="2277"/>
      <c r="X131" s="2291"/>
      <c r="Y131" s="2291"/>
      <c r="Z131" s="2277"/>
      <c r="AA131" s="2277"/>
      <c r="AB131" s="2277"/>
      <c r="AC131" s="2277"/>
      <c r="AD131" s="2277"/>
      <c r="AE131" s="2292"/>
      <c r="AF131" s="2276"/>
      <c r="AG131" s="2276"/>
      <c r="AH131" s="2276"/>
      <c r="AI131" s="2276"/>
      <c r="AJ131" s="2276"/>
      <c r="AK131" s="2276"/>
      <c r="AL131" s="2276"/>
      <c r="AM131" s="2276"/>
      <c r="AN131" s="2293"/>
      <c r="AO131" s="2293"/>
      <c r="AP131" s="2293"/>
      <c r="AQ131" s="2293"/>
      <c r="AR131" s="2293"/>
      <c r="AS131" s="2293"/>
      <c r="AT131" s="2293"/>
      <c r="AU131" s="2293"/>
      <c r="AV131" s="2290"/>
      <c r="AW131" s="2290"/>
      <c r="AX131" s="2290"/>
      <c r="AY131" s="2290"/>
      <c r="AZ131" s="2290"/>
      <c r="BA131" s="2290"/>
      <c r="BB131" s="2290"/>
      <c r="BC131" s="2290"/>
      <c r="BD131" s="2290"/>
      <c r="BE131" s="2290"/>
      <c r="BF131" s="2290"/>
      <c r="BG131" s="2290"/>
      <c r="BH131" s="2290"/>
      <c r="BI131" s="2290"/>
      <c r="BJ131" s="2290"/>
      <c r="BK131" s="2290"/>
      <c r="BL131" s="2290"/>
      <c r="BM131" s="2290"/>
      <c r="BN131" s="2290"/>
      <c r="BO131" s="2290"/>
      <c r="BP131" s="2290"/>
      <c r="BQ131" s="2290"/>
      <c r="BR131" s="2290"/>
      <c r="BS131" s="2290"/>
      <c r="BT131" s="2290"/>
      <c r="BU131" s="2290"/>
      <c r="BV131" s="2290"/>
      <c r="BW131" s="2294"/>
      <c r="BX131" s="2294"/>
      <c r="BY131" s="2294"/>
      <c r="BZ131" s="2294"/>
      <c r="CA131" s="2294"/>
      <c r="CB131" s="2294"/>
      <c r="CC131" s="2294"/>
      <c r="CD131" s="2294"/>
      <c r="CE131" s="2294"/>
      <c r="CF131" s="2294"/>
      <c r="CG131" s="2294"/>
      <c r="CH131" s="2294"/>
      <c r="CI131" s="2294"/>
      <c r="CJ131" s="2294"/>
      <c r="CK131" s="2294"/>
      <c r="CL131" s="2294"/>
      <c r="CM131" s="2294"/>
      <c r="CN131" s="2294"/>
      <c r="CO131" s="2294"/>
      <c r="CP131" s="2294"/>
      <c r="CQ131" s="2294"/>
      <c r="CR131" s="2295"/>
      <c r="CS131" s="2295"/>
      <c r="CT131" s="2295"/>
      <c r="CU131" s="2295"/>
      <c r="CV131" s="2295"/>
      <c r="CW131" s="2295"/>
      <c r="CX131" s="2295"/>
      <c r="CY131" s="2295"/>
      <c r="CZ131" s="2291"/>
      <c r="DA131" s="2291"/>
      <c r="DB131" s="2291"/>
      <c r="DC131" s="2291"/>
    </row>
    <row r="132" spans="1:118">
      <c r="B132" s="18"/>
      <c r="C132" s="15"/>
      <c r="D132" s="15"/>
      <c r="E132" s="15"/>
      <c r="F132" s="15"/>
      <c r="G132" s="15"/>
      <c r="H132" s="768"/>
      <c r="I132" s="56"/>
      <c r="J132" s="56"/>
      <c r="K132" s="56"/>
      <c r="L132" s="56"/>
      <c r="M132" s="56"/>
      <c r="N132" s="56"/>
      <c r="O132" s="56"/>
      <c r="P132" s="56"/>
      <c r="Q132" s="56"/>
      <c r="R132" s="56"/>
      <c r="S132" s="56"/>
      <c r="T132" s="56"/>
      <c r="U132" s="950"/>
      <c r="V132" s="950"/>
      <c r="W132" s="950"/>
      <c r="X132" s="56"/>
      <c r="Y132" s="56"/>
      <c r="Z132" s="56"/>
      <c r="AA132" s="56"/>
      <c r="AB132" s="56"/>
      <c r="AC132" s="56"/>
      <c r="AD132" s="56"/>
      <c r="AE132" s="998"/>
      <c r="AF132" s="26"/>
      <c r="AG132" s="26"/>
      <c r="AH132" s="26"/>
      <c r="AI132" s="26"/>
      <c r="AJ132" s="26"/>
      <c r="AK132" s="26"/>
      <c r="AL132" s="26"/>
      <c r="AM132" s="26"/>
      <c r="AN132" s="1021"/>
      <c r="AO132" s="1021"/>
      <c r="AP132" s="1021"/>
      <c r="AQ132" s="1021"/>
      <c r="AR132" s="1021"/>
      <c r="AS132" s="1021"/>
      <c r="AT132" s="1021"/>
      <c r="AU132" s="1021"/>
      <c r="AV132" s="56"/>
      <c r="AW132" s="56"/>
      <c r="AX132" s="56"/>
      <c r="AY132" s="56"/>
      <c r="AZ132" s="56"/>
      <c r="BA132" s="56"/>
      <c r="BB132" s="56"/>
      <c r="BC132" s="56"/>
      <c r="BD132" s="56"/>
      <c r="BE132" s="56"/>
      <c r="BF132" s="56"/>
      <c r="BG132" s="56"/>
      <c r="BH132" s="56"/>
      <c r="BI132" s="56"/>
      <c r="BJ132" s="56"/>
      <c r="BK132" s="56"/>
      <c r="BL132" s="56"/>
      <c r="BM132" s="56"/>
      <c r="BN132" s="56"/>
      <c r="BO132" s="56"/>
      <c r="BP132" s="56"/>
      <c r="BQ132" s="56"/>
      <c r="BR132" s="56"/>
      <c r="BS132" s="56"/>
      <c r="BT132" s="56"/>
      <c r="BU132" s="56"/>
      <c r="BV132" s="56"/>
      <c r="BW132" s="1023"/>
      <c r="BX132" s="1023"/>
      <c r="BY132" s="1023"/>
      <c r="BZ132" s="1023"/>
      <c r="CA132" s="1023"/>
      <c r="CB132" s="1023"/>
      <c r="CC132" s="1023"/>
      <c r="CD132" s="1023"/>
      <c r="CE132" s="1023"/>
      <c r="CF132" s="1023"/>
      <c r="CG132" s="1023"/>
      <c r="CH132" s="1023"/>
      <c r="CI132" s="1023"/>
      <c r="CJ132" s="1023"/>
      <c r="CK132" s="1023"/>
      <c r="CL132" s="1023"/>
      <c r="CM132" s="1023"/>
      <c r="CN132" s="1023"/>
      <c r="CO132" s="1023"/>
      <c r="CP132" s="1023"/>
      <c r="CQ132" s="1023"/>
      <c r="CR132" s="1023"/>
      <c r="CS132" s="1023"/>
      <c r="CT132" s="1023"/>
      <c r="CU132" s="1023"/>
      <c r="CV132" s="1023"/>
      <c r="CW132" s="1023"/>
      <c r="CX132" s="1023"/>
      <c r="CY132" s="1023"/>
      <c r="CZ132" s="1023"/>
      <c r="DA132" s="1023"/>
      <c r="DB132" s="1023"/>
      <c r="DC132" s="1023"/>
    </row>
    <row r="133" spans="1:118">
      <c r="B133" s="21" t="s">
        <v>1592</v>
      </c>
      <c r="C133" s="15"/>
      <c r="D133" s="15"/>
      <c r="E133" s="15"/>
      <c r="F133" s="15"/>
      <c r="G133" s="15"/>
      <c r="H133" s="768"/>
      <c r="I133" s="950">
        <f t="shared" ref="I133:S133" si="319">I127+I124</f>
        <v>22.934000000000001</v>
      </c>
      <c r="J133" s="950">
        <f t="shared" si="319"/>
        <v>45.412000000000006</v>
      </c>
      <c r="K133" s="950">
        <f t="shared" si="319"/>
        <v>162.291</v>
      </c>
      <c r="L133" s="950">
        <f t="shared" si="319"/>
        <v>416.81100000000009</v>
      </c>
      <c r="M133" s="950">
        <f t="shared" si="319"/>
        <v>471.12800000000004</v>
      </c>
      <c r="N133" s="950">
        <f t="shared" si="319"/>
        <v>342.18</v>
      </c>
      <c r="O133" s="950">
        <f t="shared" si="319"/>
        <v>579.4</v>
      </c>
      <c r="P133" s="950">
        <f t="shared" si="319"/>
        <v>682.7</v>
      </c>
      <c r="Q133" s="950">
        <f t="shared" si="319"/>
        <v>764.49999999999989</v>
      </c>
      <c r="R133" s="950">
        <f t="shared" si="319"/>
        <v>572.40599999999995</v>
      </c>
      <c r="S133" s="950">
        <f t="shared" si="319"/>
        <v>660.20399999999995</v>
      </c>
      <c r="T133" s="950">
        <f t="shared" ref="T133:Z133" si="320">T127+T124+T130+T131</f>
        <v>873.80399999999997</v>
      </c>
      <c r="U133" s="950">
        <f t="shared" si="320"/>
        <v>1113.365</v>
      </c>
      <c r="V133" s="950">
        <f>V127+V124+V130+V131</f>
        <v>1378.7249999999999</v>
      </c>
      <c r="W133" s="950">
        <f ca="1">W127+W124+W130+W131</f>
        <v>1935.5663438236477</v>
      </c>
      <c r="X133" s="950">
        <f t="shared" ca="1" si="320"/>
        <v>1853.1485108793856</v>
      </c>
      <c r="Y133" s="950">
        <f t="shared" ca="1" si="320"/>
        <v>1659.9433173086413</v>
      </c>
      <c r="Z133" s="950">
        <f t="shared" ca="1" si="320"/>
        <v>1618.4103193755129</v>
      </c>
      <c r="AA133" s="950">
        <f t="shared" ref="AA133:AD133" ca="1" si="321">AA127+AA124+AA130+AA131</f>
        <v>1626.0760966777502</v>
      </c>
      <c r="AB133" s="950">
        <f t="shared" ca="1" si="321"/>
        <v>1633.809178891328</v>
      </c>
      <c r="AC133" s="950">
        <f t="shared" ca="1" si="321"/>
        <v>1641.6704325604251</v>
      </c>
      <c r="AD133" s="950">
        <f t="shared" ca="1" si="321"/>
        <v>1649.5823160395212</v>
      </c>
      <c r="AE133" s="998"/>
      <c r="AF133" s="26"/>
      <c r="AG133" s="26"/>
      <c r="AH133" s="1024">
        <v>169.64599999999999</v>
      </c>
      <c r="AI133" s="1024">
        <v>126.67400000000001</v>
      </c>
      <c r="AJ133" s="1024">
        <v>34.692</v>
      </c>
      <c r="AK133" s="1024">
        <v>7.4080000000000013</v>
      </c>
      <c r="AL133" s="1024">
        <v>35.06</v>
      </c>
      <c r="AM133" s="1024">
        <v>-19.369</v>
      </c>
      <c r="AN133" s="1024">
        <v>2.8359999999999999</v>
      </c>
      <c r="AO133" s="1024">
        <v>1.1880000000000002</v>
      </c>
      <c r="AP133" s="1024">
        <v>1.0670000000000002</v>
      </c>
      <c r="AQ133" s="1024">
        <v>1.4170000000000003</v>
      </c>
      <c r="AR133" s="1024">
        <v>0.34599999999999997</v>
      </c>
      <c r="AS133" s="1024">
        <v>1.1139999999999999</v>
      </c>
      <c r="AT133" s="1024">
        <v>1.4289999999999998</v>
      </c>
      <c r="AU133" s="1024">
        <v>4.8609999999999998</v>
      </c>
      <c r="AV133" s="950">
        <f t="shared" ref="AV133:CQ133" si="322">AV127+AV124</f>
        <v>4.9080000000000004</v>
      </c>
      <c r="AW133" s="950">
        <f t="shared" si="322"/>
        <v>4.2540000000000004</v>
      </c>
      <c r="AX133" s="950">
        <f t="shared" si="322"/>
        <v>7.6209999999999987</v>
      </c>
      <c r="AY133" s="950">
        <f t="shared" si="322"/>
        <v>6.1510000000000007</v>
      </c>
      <c r="AZ133" s="950">
        <f t="shared" si="322"/>
        <v>5.5229999999999997</v>
      </c>
      <c r="BA133" s="950">
        <f t="shared" si="322"/>
        <v>9.89</v>
      </c>
      <c r="BB133" s="950">
        <f t="shared" si="322"/>
        <v>7.0790000000000006</v>
      </c>
      <c r="BC133" s="950">
        <f t="shared" si="322"/>
        <v>22.92</v>
      </c>
      <c r="BD133" s="950">
        <f t="shared" si="322"/>
        <v>26.613</v>
      </c>
      <c r="BE133" s="950">
        <f t="shared" si="322"/>
        <v>29.670999999999999</v>
      </c>
      <c r="BF133" s="950">
        <f t="shared" si="322"/>
        <v>46.620000000000005</v>
      </c>
      <c r="BG133" s="950">
        <f t="shared" si="322"/>
        <v>59.387</v>
      </c>
      <c r="BH133" s="950">
        <f t="shared" si="322"/>
        <v>67.055999999999997</v>
      </c>
      <c r="BI133" s="950">
        <f t="shared" si="322"/>
        <v>139.83199999999999</v>
      </c>
      <c r="BJ133" s="950">
        <f t="shared" si="322"/>
        <v>88.921000000000035</v>
      </c>
      <c r="BK133" s="950">
        <f t="shared" si="322"/>
        <v>121.002</v>
      </c>
      <c r="BL133" s="950">
        <f t="shared" si="322"/>
        <v>125.643</v>
      </c>
      <c r="BM133" s="950">
        <f t="shared" si="322"/>
        <v>84.457999999999998</v>
      </c>
      <c r="BN133" s="950">
        <f t="shared" si="322"/>
        <v>95.445000000000007</v>
      </c>
      <c r="BO133" s="950">
        <f t="shared" si="322"/>
        <v>165.58199999999999</v>
      </c>
      <c r="BP133" s="950">
        <f t="shared" si="322"/>
        <v>74.968999999999994</v>
      </c>
      <c r="BQ133" s="950">
        <f t="shared" si="322"/>
        <v>76.816000000000003</v>
      </c>
      <c r="BR133" s="950">
        <f t="shared" si="322"/>
        <v>88.655000000000001</v>
      </c>
      <c r="BS133" s="950">
        <f t="shared" si="322"/>
        <v>101.74</v>
      </c>
      <c r="BT133" s="950">
        <f t="shared" si="322"/>
        <v>143.4</v>
      </c>
      <c r="BU133" s="950">
        <f t="shared" si="322"/>
        <v>148.69999999999999</v>
      </c>
      <c r="BV133" s="950">
        <f t="shared" si="322"/>
        <v>143.9</v>
      </c>
      <c r="BW133" s="950">
        <f t="shared" si="322"/>
        <v>143.4</v>
      </c>
      <c r="BX133" s="950">
        <f t="shared" si="322"/>
        <v>172.5</v>
      </c>
      <c r="BY133" s="950">
        <f t="shared" si="322"/>
        <v>188.9</v>
      </c>
      <c r="BZ133" s="950">
        <f t="shared" si="322"/>
        <v>131.5</v>
      </c>
      <c r="CA133" s="950">
        <f t="shared" si="322"/>
        <v>189.8</v>
      </c>
      <c r="CB133" s="950">
        <f t="shared" si="322"/>
        <v>145.49</v>
      </c>
      <c r="CC133" s="950">
        <f t="shared" si="322"/>
        <v>196.48400000000001</v>
      </c>
      <c r="CD133" s="950">
        <f t="shared" si="322"/>
        <v>212.11799999999999</v>
      </c>
      <c r="CE133" s="950">
        <f t="shared" si="322"/>
        <v>210.40800000000002</v>
      </c>
      <c r="CF133" s="950">
        <f t="shared" si="322"/>
        <v>75.667000000000002</v>
      </c>
      <c r="CG133" s="950">
        <f t="shared" si="322"/>
        <v>122.863</v>
      </c>
      <c r="CH133" s="950">
        <f t="shared" si="322"/>
        <v>171.035</v>
      </c>
      <c r="CI133" s="950">
        <f t="shared" si="322"/>
        <v>202.84100000000001</v>
      </c>
      <c r="CJ133" s="950">
        <f t="shared" si="322"/>
        <v>105.908</v>
      </c>
      <c r="CK133" s="950">
        <f t="shared" si="322"/>
        <v>159.816</v>
      </c>
      <c r="CL133" s="950">
        <f t="shared" si="322"/>
        <v>156.00400000000002</v>
      </c>
      <c r="CM133" s="950">
        <f t="shared" si="322"/>
        <v>238.476</v>
      </c>
      <c r="CN133" s="950">
        <f t="shared" si="322"/>
        <v>150.12</v>
      </c>
      <c r="CO133" s="950">
        <f t="shared" si="322"/>
        <v>221.34199999999998</v>
      </c>
      <c r="CP133" s="950">
        <f t="shared" si="322"/>
        <v>221.34199999999998</v>
      </c>
      <c r="CQ133" s="950">
        <f t="shared" si="322"/>
        <v>281</v>
      </c>
      <c r="CR133" s="2322">
        <f>-CF!CR38</f>
        <v>197.7</v>
      </c>
      <c r="CS133" s="2322">
        <f>-CF!CS38</f>
        <v>249.86699999999999</v>
      </c>
      <c r="CT133" s="2322">
        <f>-CF!CT38</f>
        <v>279.47699999999998</v>
      </c>
      <c r="CU133" s="2322">
        <f>-CF!CU38</f>
        <v>386.32100000000003</v>
      </c>
      <c r="CV133" s="2322">
        <f>-CF!CV38</f>
        <v>277.24200000000002</v>
      </c>
      <c r="CW133" s="2322">
        <f>-CF!CW38</f>
        <v>348.572</v>
      </c>
      <c r="CX133" s="2322">
        <f>-CF!CX38</f>
        <v>320.23399999999998</v>
      </c>
      <c r="CY133" s="2322">
        <f>-CF!CY38</f>
        <v>432.67700000000002</v>
      </c>
      <c r="CZ133" s="950">
        <f t="shared" ref="CZ133:DC133" ca="1" si="323">CZ127+CZ124+CZ130+CZ131</f>
        <v>362.12274004330436</v>
      </c>
      <c r="DA133" s="950">
        <f t="shared" ca="1" si="323"/>
        <v>246.47940058632264</v>
      </c>
      <c r="DB133" s="950">
        <f t="shared" ca="1" si="323"/>
        <v>668.95743560835956</v>
      </c>
      <c r="DC133" s="950">
        <f t="shared" ca="1" si="323"/>
        <v>658.00676758566112</v>
      </c>
    </row>
    <row r="134" spans="1:118">
      <c r="B134" s="18" t="s">
        <v>955</v>
      </c>
      <c r="C134" s="15"/>
      <c r="D134" s="15"/>
      <c r="E134" s="15"/>
      <c r="F134" s="15"/>
      <c r="G134" s="15"/>
      <c r="H134" s="15"/>
      <c r="I134" s="38">
        <f t="shared" ref="I134:Z134" si="324">I133/I106</f>
        <v>0.14012256294639858</v>
      </c>
      <c r="J134" s="38">
        <f t="shared" si="324"/>
        <v>0.20543117838385577</v>
      </c>
      <c r="K134" s="38">
        <f t="shared" si="324"/>
        <v>0.56332655313890589</v>
      </c>
      <c r="L134" s="38">
        <f t="shared" si="324"/>
        <v>0.9937273806628808</v>
      </c>
      <c r="M134" s="38">
        <f t="shared" si="324"/>
        <v>0.66857013112334684</v>
      </c>
      <c r="N134" s="38">
        <f t="shared" si="324"/>
        <v>0.38773542252826876</v>
      </c>
      <c r="O134" s="38">
        <f t="shared" si="324"/>
        <v>0.4843614938464188</v>
      </c>
      <c r="P134" s="38">
        <f t="shared" si="324"/>
        <v>0.43490059778925</v>
      </c>
      <c r="Q134" s="38">
        <f t="shared" si="324"/>
        <v>0.40505972312883065</v>
      </c>
      <c r="R134" s="38">
        <f t="shared" si="324"/>
        <v>0.26589327404836377</v>
      </c>
      <c r="S134" s="38">
        <f t="shared" si="324"/>
        <v>0.27015744084459498</v>
      </c>
      <c r="T134" s="38">
        <f t="shared" si="324"/>
        <v>0.32056002732341671</v>
      </c>
      <c r="U134" s="38">
        <f t="shared" si="324"/>
        <v>0.3082415256524868</v>
      </c>
      <c r="V134" s="38">
        <f>V133/V106</f>
        <v>0.31561124505199578</v>
      </c>
      <c r="W134" s="38">
        <f ca="1">W133/W106</f>
        <v>0.38410506577766645</v>
      </c>
      <c r="X134" s="38">
        <f t="shared" ca="1" si="324"/>
        <v>0.33690008917188136</v>
      </c>
      <c r="Y134" s="38">
        <f t="shared" ca="1" si="324"/>
        <v>0.27957726745656841</v>
      </c>
      <c r="Z134" s="38">
        <f t="shared" ca="1" si="324"/>
        <v>0.25489755233682715</v>
      </c>
      <c r="AA134" s="38">
        <f t="shared" ref="AA134:AD134" ca="1" si="325">AA133/AA106</f>
        <v>0.24055617010747848</v>
      </c>
      <c r="AB134" s="38">
        <f t="shared" ca="1" si="325"/>
        <v>0.22792367141825501</v>
      </c>
      <c r="AC134" s="38">
        <f t="shared" ca="1" si="325"/>
        <v>0.21672901268696385</v>
      </c>
      <c r="AD134" s="38">
        <f t="shared" ca="1" si="325"/>
        <v>0.2067389830364883</v>
      </c>
      <c r="AE134" s="15"/>
      <c r="AF134" s="15"/>
      <c r="AG134" s="15"/>
      <c r="AH134" s="15"/>
      <c r="AI134" s="15"/>
      <c r="AJ134" s="15"/>
      <c r="AK134" s="15"/>
      <c r="AL134" s="15"/>
      <c r="AM134" s="15"/>
      <c r="AN134" s="15"/>
      <c r="AO134" s="15"/>
      <c r="AP134" s="15"/>
      <c r="AQ134" s="15"/>
      <c r="AR134" s="15"/>
      <c r="AS134" s="15"/>
      <c r="AT134" s="15"/>
      <c r="AU134" s="15"/>
      <c r="AV134" s="38">
        <f t="shared" ref="AV134:CA134" si="326">AV133/AV106</f>
        <v>0.13329712112982076</v>
      </c>
      <c r="AW134" s="38">
        <f t="shared" si="326"/>
        <v>0.10790655201278442</v>
      </c>
      <c r="AX134" s="38">
        <f t="shared" si="326"/>
        <v>0.17957539056056926</v>
      </c>
      <c r="AY134" s="38">
        <f t="shared" si="326"/>
        <v>0.13672230989797507</v>
      </c>
      <c r="AZ134" s="38">
        <f t="shared" si="326"/>
        <v>0.1134458959822529</v>
      </c>
      <c r="BA134" s="38">
        <f t="shared" si="326"/>
        <v>0.18845633491491837</v>
      </c>
      <c r="BB134" s="38">
        <f t="shared" si="326"/>
        <v>0.12185004131093365</v>
      </c>
      <c r="BC134" s="38">
        <f t="shared" si="326"/>
        <v>0.37088578918411608</v>
      </c>
      <c r="BD134" s="38">
        <f t="shared" si="326"/>
        <v>0.41025759607825002</v>
      </c>
      <c r="BE134" s="38">
        <f t="shared" si="326"/>
        <v>0.43284997374102818</v>
      </c>
      <c r="BF134" s="38">
        <f t="shared" si="326"/>
        <v>0.63234137210753338</v>
      </c>
      <c r="BG134" s="38">
        <f t="shared" si="326"/>
        <v>0.74445920874492311</v>
      </c>
      <c r="BH134" s="38">
        <f t="shared" si="326"/>
        <v>0.78788377257399322</v>
      </c>
      <c r="BI134" s="38">
        <f t="shared" si="326"/>
        <v>1.5226107124579413</v>
      </c>
      <c r="BJ134" s="38">
        <f t="shared" si="326"/>
        <v>0.8568056117631192</v>
      </c>
      <c r="BK134" s="38">
        <f t="shared" si="326"/>
        <v>0.87231281629828272</v>
      </c>
      <c r="BL134" s="38">
        <f t="shared" si="326"/>
        <v>0.79411318560467192</v>
      </c>
      <c r="BM134" s="38">
        <f t="shared" si="326"/>
        <v>0.49090930227151197</v>
      </c>
      <c r="BN134" s="38">
        <f t="shared" si="326"/>
        <v>0.51947097722263058</v>
      </c>
      <c r="BO134" s="38">
        <f t="shared" si="326"/>
        <v>0.86836267522537403</v>
      </c>
      <c r="BP134" s="38">
        <f t="shared" si="326"/>
        <v>0.37629184213300132</v>
      </c>
      <c r="BQ134" s="38">
        <f t="shared" si="326"/>
        <v>0.36035427456278618</v>
      </c>
      <c r="BR134" s="38">
        <f t="shared" si="326"/>
        <v>0.38959298288787914</v>
      </c>
      <c r="BS134" s="38">
        <f t="shared" si="326"/>
        <v>0.4194564464527194</v>
      </c>
      <c r="BT134" s="38">
        <f t="shared" si="326"/>
        <v>0.57671657637875073</v>
      </c>
      <c r="BU134" s="38">
        <f t="shared" si="326"/>
        <v>0.5127285641876167</v>
      </c>
      <c r="BV134" s="38">
        <f t="shared" si="326"/>
        <v>0.44773704549555998</v>
      </c>
      <c r="BW134" s="38">
        <f t="shared" si="326"/>
        <v>0.42659019378023172</v>
      </c>
      <c r="BX134" s="38">
        <f t="shared" si="326"/>
        <v>0.48735834823661034</v>
      </c>
      <c r="BY134" s="38">
        <f t="shared" si="326"/>
        <v>0.48999898835571493</v>
      </c>
      <c r="BZ134" s="38">
        <f t="shared" si="326"/>
        <v>0.32213969348959354</v>
      </c>
      <c r="CA134" s="38">
        <f t="shared" si="326"/>
        <v>0.44963943560537867</v>
      </c>
      <c r="CB134" s="38">
        <f t="shared" ref="CB134:CT134" si="327">CB133/CB106</f>
        <v>0.3299452094559045</v>
      </c>
      <c r="CC134" s="38">
        <f t="shared" si="327"/>
        <v>0.43133053805457378</v>
      </c>
      <c r="CD134" s="38">
        <f t="shared" si="327"/>
        <v>0.43750554312291812</v>
      </c>
      <c r="CE134" s="38">
        <f t="shared" si="327"/>
        <v>0.41577760695887245</v>
      </c>
      <c r="CF134" s="38">
        <f t="shared" si="327"/>
        <v>0.14660340144226114</v>
      </c>
      <c r="CG134" s="38">
        <f t="shared" si="327"/>
        <v>0.23231184920330289</v>
      </c>
      <c r="CH134" s="38">
        <f t="shared" si="327"/>
        <v>0.31493286489751121</v>
      </c>
      <c r="CI134" s="38">
        <f t="shared" si="327"/>
        <v>0.35921597656713483</v>
      </c>
      <c r="CJ134" s="38">
        <f t="shared" si="327"/>
        <v>0.1825833156625343</v>
      </c>
      <c r="CK134" s="38">
        <f t="shared" si="327"/>
        <v>0.26408839961596997</v>
      </c>
      <c r="CL134" s="38">
        <f t="shared" si="327"/>
        <v>0.25144091290052228</v>
      </c>
      <c r="CM134" s="38">
        <f t="shared" si="327"/>
        <v>0.37371595669159924</v>
      </c>
      <c r="CN134" s="38">
        <f t="shared" si="327"/>
        <v>0.23340495728994021</v>
      </c>
      <c r="CO134" s="38">
        <f t="shared" si="327"/>
        <v>0.33255406546451077</v>
      </c>
      <c r="CP134" s="38">
        <f t="shared" si="327"/>
        <v>0.32235101194351112</v>
      </c>
      <c r="CQ134" s="38">
        <f t="shared" si="327"/>
        <v>0.38468804674302026</v>
      </c>
      <c r="CR134" s="38">
        <f t="shared" si="327"/>
        <v>0.23419841830183044</v>
      </c>
      <c r="CS134" s="38">
        <f t="shared" si="327"/>
        <v>0.27747276543292132</v>
      </c>
      <c r="CT134" s="38">
        <f t="shared" si="327"/>
        <v>0.30224316409207114</v>
      </c>
      <c r="CU134" s="38">
        <f>CU133/CU106</f>
        <v>0.40982573540254202</v>
      </c>
      <c r="CV134" s="38">
        <f>CV133/CV106</f>
        <v>0.29197967404755004</v>
      </c>
      <c r="CW134" s="38">
        <f>CW133/CW106</f>
        <v>0.32686153029619636</v>
      </c>
      <c r="CX134" s="38">
        <f>CX133/CX106</f>
        <v>0.27791793699517731</v>
      </c>
      <c r="CY134" s="38">
        <f>CY133/CY106</f>
        <v>0.36049777499310548</v>
      </c>
      <c r="CZ134" s="38">
        <f t="shared" ref="CZ134:DC134" ca="1" si="328">CZ133/CZ106</f>
        <v>0.29790401752002516</v>
      </c>
      <c r="DA134" s="38">
        <f t="shared" ca="1" si="328"/>
        <v>0.19875607621335439</v>
      </c>
      <c r="DB134" s="38">
        <f t="shared" ca="1" si="328"/>
        <v>0.52511075380615724</v>
      </c>
      <c r="DC134" s="38">
        <f t="shared" ca="1" si="328"/>
        <v>0.50247007530596055</v>
      </c>
    </row>
    <row r="135" spans="1:118">
      <c r="B135" s="18" t="s">
        <v>482</v>
      </c>
      <c r="C135" s="15"/>
      <c r="D135" s="15"/>
      <c r="E135" s="15"/>
      <c r="F135" s="15"/>
      <c r="G135" s="15"/>
      <c r="H135" s="15"/>
      <c r="I135" s="38"/>
      <c r="J135" s="38">
        <f t="shared" ref="J135:S135" si="329">J133/I133-1</f>
        <v>0.98011685706810869</v>
      </c>
      <c r="K135" s="38">
        <f t="shared" si="329"/>
        <v>2.5737470272174749</v>
      </c>
      <c r="L135" s="38">
        <f t="shared" si="329"/>
        <v>1.5682939904246083</v>
      </c>
      <c r="M135" s="38">
        <f t="shared" si="329"/>
        <v>0.13031565865584138</v>
      </c>
      <c r="N135" s="38">
        <f t="shared" si="329"/>
        <v>-0.27370056545142729</v>
      </c>
      <c r="O135" s="38">
        <f t="shared" si="329"/>
        <v>0.6932608568589631</v>
      </c>
      <c r="P135" s="38">
        <f t="shared" si="329"/>
        <v>0.17828788401794982</v>
      </c>
      <c r="Q135" s="38">
        <f t="shared" si="329"/>
        <v>0.11981836824373793</v>
      </c>
      <c r="R135" s="38">
        <f t="shared" si="329"/>
        <v>-0.25126749509483315</v>
      </c>
      <c r="S135" s="38">
        <f t="shared" si="329"/>
        <v>0.15338413643462867</v>
      </c>
      <c r="T135" s="38">
        <f t="shared" ref="T135:Z135" si="330">T133/S133-1</f>
        <v>0.32353636148826737</v>
      </c>
      <c r="U135" s="38">
        <f t="shared" si="330"/>
        <v>0.27415873582634087</v>
      </c>
      <c r="V135" s="38">
        <f t="shared" si="330"/>
        <v>0.23834052624251689</v>
      </c>
      <c r="W135" s="38">
        <f t="shared" ca="1" si="330"/>
        <v>0.40388137142914493</v>
      </c>
      <c r="X135" s="38">
        <f t="shared" ca="1" si="330"/>
        <v>-4.2580732614645678E-2</v>
      </c>
      <c r="Y135" s="38">
        <f t="shared" ca="1" si="330"/>
        <v>-0.10425780364416748</v>
      </c>
      <c r="Z135" s="38">
        <f t="shared" ca="1" si="330"/>
        <v>-2.5020732635899989E-2</v>
      </c>
      <c r="AA135" s="38">
        <f t="shared" ref="AA135" ca="1" si="331">AA133/Z133-1</f>
        <v>4.7366092581486718E-3</v>
      </c>
      <c r="AB135" s="38">
        <f t="shared" ref="AB135" ca="1" si="332">AB133/AA133-1</f>
        <v>4.7556705552571632E-3</v>
      </c>
      <c r="AC135" s="38">
        <f t="shared" ref="AC135" ca="1" si="333">AC133/AB133-1</f>
        <v>4.8116106646136636E-3</v>
      </c>
      <c r="AD135" s="38">
        <f t="shared" ref="AD135" ca="1" si="334">AD133/AC133-1</f>
        <v>4.8194103531220556E-3</v>
      </c>
      <c r="AE135" s="15"/>
      <c r="AF135" s="15"/>
      <c r="AG135" s="15"/>
      <c r="AH135" s="15"/>
      <c r="AI135" s="15"/>
      <c r="AJ135" s="15"/>
      <c r="AK135" s="15"/>
      <c r="AL135" s="15"/>
      <c r="AM135" s="15"/>
      <c r="AN135" s="15"/>
      <c r="AO135" s="15"/>
      <c r="AP135" s="15"/>
      <c r="AQ135" s="15"/>
      <c r="AR135" s="15"/>
      <c r="AS135" s="15"/>
      <c r="AT135" s="15"/>
      <c r="AU135" s="15"/>
      <c r="AV135" s="38"/>
      <c r="AW135" s="38"/>
      <c r="AX135" s="38"/>
      <c r="AY135" s="38"/>
      <c r="AZ135" s="38"/>
      <c r="BA135" s="38"/>
      <c r="BB135" s="38"/>
      <c r="BC135" s="38"/>
      <c r="BD135" s="38"/>
      <c r="BE135" s="38"/>
      <c r="BF135" s="38"/>
      <c r="BG135" s="38"/>
      <c r="BH135" s="38"/>
      <c r="BI135" s="38"/>
      <c r="BJ135" s="38"/>
      <c r="BK135" s="38"/>
      <c r="BL135" s="38"/>
      <c r="BM135" s="38"/>
      <c r="BN135" s="38"/>
      <c r="BO135" s="38"/>
      <c r="BP135" s="38"/>
      <c r="BQ135" s="38"/>
      <c r="BR135" s="38"/>
      <c r="BS135" s="38"/>
      <c r="BT135" s="38"/>
      <c r="BU135" s="38"/>
      <c r="BV135" s="38"/>
      <c r="BW135" s="38"/>
      <c r="BX135" s="38"/>
      <c r="BY135" s="38"/>
      <c r="BZ135" s="38"/>
      <c r="CA135" s="38"/>
      <c r="CB135" s="38"/>
      <c r="CC135" s="38"/>
      <c r="CD135" s="38"/>
      <c r="CE135" s="38"/>
      <c r="CF135" s="38"/>
      <c r="CG135" s="38"/>
      <c r="CH135" s="38"/>
      <c r="CI135" s="38"/>
      <c r="CJ135" s="38"/>
      <c r="CK135" s="38"/>
      <c r="CL135" s="38"/>
      <c r="CM135" s="38"/>
      <c r="CN135" s="38"/>
      <c r="CO135" s="38"/>
      <c r="CP135" s="38"/>
      <c r="CQ135" s="38"/>
      <c r="CR135" s="38"/>
      <c r="CS135" s="38"/>
      <c r="CT135" s="38"/>
      <c r="CU135" s="38"/>
      <c r="CV135" s="38"/>
      <c r="CW135" s="38"/>
      <c r="CX135" s="38"/>
      <c r="CY135" s="38"/>
      <c r="CZ135" s="38"/>
      <c r="DA135" s="38"/>
      <c r="DB135" s="38"/>
      <c r="DC135" s="38"/>
    </row>
    <row r="136" spans="1:118">
      <c r="B136" s="18"/>
      <c r="C136" s="15"/>
      <c r="D136" s="15"/>
      <c r="E136" s="15"/>
      <c r="F136" s="15"/>
      <c r="G136" s="15"/>
      <c r="H136" s="15"/>
      <c r="I136" s="38"/>
      <c r="J136" s="38"/>
      <c r="K136" s="38"/>
      <c r="L136" s="38"/>
      <c r="M136" s="38"/>
      <c r="N136" s="38"/>
      <c r="O136" s="38"/>
      <c r="P136" s="38"/>
      <c r="Q136" s="38"/>
      <c r="R136" s="38"/>
      <c r="S136" s="38"/>
      <c r="T136" s="38"/>
      <c r="U136" s="38"/>
      <c r="V136" s="38"/>
      <c r="W136" s="38"/>
      <c r="X136" s="38"/>
      <c r="Y136" s="38"/>
      <c r="Z136" s="38"/>
      <c r="AA136" s="38"/>
      <c r="AB136" s="38"/>
      <c r="AC136" s="38"/>
      <c r="AD136" s="38"/>
      <c r="AE136" s="15"/>
      <c r="AF136" s="15"/>
      <c r="AG136" s="15"/>
      <c r="AH136" s="15"/>
      <c r="AI136" s="15"/>
      <c r="AJ136" s="15"/>
      <c r="AK136" s="15"/>
      <c r="AL136" s="15"/>
      <c r="AM136" s="15"/>
      <c r="AN136" s="15"/>
      <c r="AO136" s="15"/>
      <c r="AP136" s="15"/>
      <c r="AQ136" s="15"/>
      <c r="AR136" s="15"/>
      <c r="AS136" s="15"/>
      <c r="AT136" s="15"/>
      <c r="AU136" s="15"/>
      <c r="AV136" s="38"/>
      <c r="AW136" s="38"/>
      <c r="AX136" s="38"/>
      <c r="AY136" s="38"/>
      <c r="AZ136" s="38"/>
      <c r="BA136" s="38"/>
      <c r="BB136" s="38"/>
      <c r="BC136" s="38"/>
      <c r="BD136" s="38"/>
      <c r="BE136" s="38"/>
      <c r="BF136" s="38"/>
      <c r="BG136" s="38"/>
      <c r="BH136" s="38"/>
      <c r="BI136" s="38"/>
      <c r="BJ136" s="38"/>
      <c r="BK136" s="38"/>
      <c r="BL136" s="38"/>
      <c r="BM136" s="38"/>
      <c r="BN136" s="38"/>
      <c r="BO136" s="38"/>
      <c r="BP136" s="38"/>
      <c r="BQ136" s="38"/>
      <c r="BR136" s="38"/>
      <c r="BS136" s="38"/>
      <c r="BT136" s="38"/>
      <c r="BU136" s="38"/>
      <c r="BV136" s="38"/>
      <c r="BW136" s="38"/>
      <c r="BX136" s="38"/>
      <c r="BY136" s="38"/>
      <c r="BZ136" s="38"/>
      <c r="CA136" s="38"/>
      <c r="CB136" s="38"/>
      <c r="CC136" s="38"/>
      <c r="CD136" s="38"/>
      <c r="CE136" s="38"/>
      <c r="CF136" s="38"/>
      <c r="CG136" s="38"/>
      <c r="CH136" s="38"/>
      <c r="CI136" s="38"/>
      <c r="CJ136" s="38"/>
      <c r="CK136" s="38"/>
      <c r="CL136" s="38"/>
      <c r="CM136" s="38"/>
      <c r="CN136" s="38"/>
      <c r="CO136" s="38"/>
      <c r="CP136" s="38"/>
      <c r="CQ136" s="38"/>
      <c r="CR136" s="38"/>
      <c r="CS136" s="38"/>
      <c r="CT136" s="38"/>
      <c r="CU136" s="38"/>
      <c r="CV136" s="38"/>
      <c r="CW136" s="38"/>
      <c r="CX136" s="38"/>
      <c r="CY136" s="38"/>
      <c r="CZ136" s="38"/>
      <c r="DA136" s="38"/>
      <c r="DB136" s="38"/>
      <c r="DC136" s="38"/>
    </row>
    <row r="137" spans="1:118" s="41" customFormat="1">
      <c r="A137" s="14"/>
      <c r="B137" s="21" t="s">
        <v>2125</v>
      </c>
      <c r="C137" s="14"/>
      <c r="D137" s="14"/>
      <c r="E137" s="14"/>
      <c r="F137" s="14"/>
      <c r="G137" s="14"/>
      <c r="H137" s="55"/>
      <c r="I137" s="950"/>
      <c r="J137" s="950"/>
      <c r="K137" s="950"/>
      <c r="L137" s="950"/>
      <c r="M137" s="950"/>
      <c r="N137" s="950"/>
      <c r="O137" s="950"/>
      <c r="P137" s="950"/>
      <c r="Q137" s="950"/>
      <c r="R137" s="950"/>
      <c r="S137" s="950"/>
      <c r="T137" s="950"/>
      <c r="U137" s="950"/>
      <c r="V137" s="950"/>
      <c r="W137" s="950"/>
      <c r="X137" s="950"/>
      <c r="Y137" s="950"/>
      <c r="Z137" s="950"/>
      <c r="AA137" s="950"/>
      <c r="AB137" s="950"/>
      <c r="AC137" s="950"/>
      <c r="AD137" s="950"/>
      <c r="AE137" s="2102"/>
      <c r="AF137" s="195"/>
      <c r="AG137" s="195"/>
      <c r="AH137" s="1024"/>
      <c r="AI137" s="1024"/>
      <c r="AJ137" s="1024"/>
      <c r="AK137" s="1024"/>
      <c r="AL137" s="1024"/>
      <c r="AM137" s="1024"/>
      <c r="AN137" s="1024"/>
      <c r="AO137" s="1024"/>
      <c r="AP137" s="1024"/>
      <c r="AQ137" s="1024"/>
      <c r="AR137" s="1024"/>
      <c r="AS137" s="1024"/>
      <c r="AT137" s="1024"/>
      <c r="AU137" s="1024"/>
      <c r="AV137" s="950"/>
      <c r="AW137" s="950"/>
      <c r="AX137" s="950"/>
      <c r="AY137" s="950"/>
      <c r="AZ137" s="950"/>
      <c r="BA137" s="950"/>
      <c r="BB137" s="950"/>
      <c r="BC137" s="950"/>
      <c r="BD137" s="950"/>
      <c r="BE137" s="950"/>
      <c r="BF137" s="950"/>
      <c r="BG137" s="950"/>
      <c r="BH137" s="950"/>
      <c r="BI137" s="950"/>
      <c r="BJ137" s="950"/>
      <c r="BK137" s="950"/>
      <c r="BL137" s="950"/>
      <c r="BM137" s="950"/>
      <c r="BN137" s="950"/>
      <c r="BO137" s="950"/>
      <c r="BP137" s="950"/>
      <c r="BQ137" s="950"/>
      <c r="BR137" s="950"/>
      <c r="BS137" s="950"/>
      <c r="BT137" s="950"/>
      <c r="BU137" s="950"/>
      <c r="BV137" s="950"/>
      <c r="BW137" s="950"/>
      <c r="BX137" s="950"/>
      <c r="BY137" s="950"/>
      <c r="BZ137" s="950"/>
      <c r="CA137" s="950"/>
      <c r="CB137" s="950"/>
      <c r="CC137" s="950"/>
      <c r="CD137" s="950"/>
      <c r="CE137" s="950"/>
      <c r="CF137" s="950"/>
      <c r="CG137" s="950"/>
      <c r="CH137" s="950"/>
      <c r="CI137" s="950"/>
      <c r="CJ137" s="950"/>
      <c r="CK137" s="950"/>
      <c r="CL137" s="950"/>
      <c r="CM137" s="950"/>
      <c r="CN137" s="950"/>
      <c r="CO137" s="950"/>
      <c r="CP137" s="950"/>
      <c r="CQ137" s="1483">
        <f>+CQ138</f>
        <v>275.39999999999998</v>
      </c>
      <c r="CR137" s="1483">
        <f>+CR138+CR141</f>
        <v>3616.5767546500001</v>
      </c>
      <c r="CS137" s="950"/>
      <c r="CT137" s="950"/>
      <c r="CU137" s="950"/>
      <c r="CV137" s="950"/>
      <c r="CW137" s="950"/>
      <c r="CX137" s="950"/>
      <c r="CY137" s="950"/>
      <c r="CZ137" s="950"/>
      <c r="DA137" s="950"/>
      <c r="DB137" s="950"/>
      <c r="DC137" s="950"/>
      <c r="DD137" s="14"/>
      <c r="DE137" s="14"/>
      <c r="DF137" s="14"/>
      <c r="DG137" s="14"/>
      <c r="DH137" s="14"/>
      <c r="DI137"/>
      <c r="DJ137"/>
      <c r="DK137"/>
      <c r="DL137"/>
      <c r="DM137"/>
      <c r="DN137"/>
    </row>
    <row r="138" spans="1:118" s="41" customFormat="1">
      <c r="A138" s="14"/>
      <c r="B138" s="164" t="s">
        <v>2126</v>
      </c>
      <c r="C138" s="14"/>
      <c r="D138" s="14"/>
      <c r="E138" s="14"/>
      <c r="F138" s="14"/>
      <c r="G138" s="14"/>
      <c r="H138" s="55"/>
      <c r="I138" s="950"/>
      <c r="J138" s="950"/>
      <c r="K138" s="950"/>
      <c r="L138" s="950"/>
      <c r="M138" s="950"/>
      <c r="N138" s="950"/>
      <c r="O138" s="950"/>
      <c r="P138" s="950"/>
      <c r="Q138" s="950"/>
      <c r="R138" s="950"/>
      <c r="S138" s="950"/>
      <c r="T138" s="950"/>
      <c r="U138" s="950"/>
      <c r="V138" s="950"/>
      <c r="W138" s="950"/>
      <c r="X138" s="950"/>
      <c r="Y138" s="950"/>
      <c r="Z138" s="950"/>
      <c r="AA138" s="950"/>
      <c r="AB138" s="950"/>
      <c r="AC138" s="950"/>
      <c r="AD138" s="950"/>
      <c r="AE138" s="2102"/>
      <c r="AF138" s="195"/>
      <c r="AG138" s="195"/>
      <c r="AH138" s="1024"/>
      <c r="AI138" s="1024"/>
      <c r="AJ138" s="1024"/>
      <c r="AK138" s="1024"/>
      <c r="AL138" s="1024"/>
      <c r="AM138" s="1024"/>
      <c r="AN138" s="1024"/>
      <c r="AO138" s="1024"/>
      <c r="AP138" s="1024"/>
      <c r="AQ138" s="1024"/>
      <c r="AR138" s="1024"/>
      <c r="AS138" s="1024"/>
      <c r="AT138" s="1024"/>
      <c r="AU138" s="1024"/>
      <c r="AV138" s="950"/>
      <c r="AW138" s="950"/>
      <c r="AX138" s="950"/>
      <c r="AY138" s="950"/>
      <c r="AZ138" s="950"/>
      <c r="BA138" s="950"/>
      <c r="BB138" s="950"/>
      <c r="BC138" s="950"/>
      <c r="BD138" s="950"/>
      <c r="BE138" s="950"/>
      <c r="BF138" s="950"/>
      <c r="BG138" s="950"/>
      <c r="BH138" s="950"/>
      <c r="BI138" s="950"/>
      <c r="BJ138" s="950"/>
      <c r="BK138" s="950"/>
      <c r="BL138" s="950"/>
      <c r="BM138" s="950"/>
      <c r="BN138" s="950"/>
      <c r="BO138" s="950"/>
      <c r="BP138" s="950"/>
      <c r="BQ138" s="950"/>
      <c r="BR138" s="950"/>
      <c r="BS138" s="950"/>
      <c r="BT138" s="950"/>
      <c r="BU138" s="950"/>
      <c r="BV138" s="950"/>
      <c r="BW138" s="950"/>
      <c r="BX138" s="950"/>
      <c r="BY138" s="950"/>
      <c r="BZ138" s="950"/>
      <c r="CA138" s="950"/>
      <c r="CB138" s="950"/>
      <c r="CC138" s="950"/>
      <c r="CD138" s="950"/>
      <c r="CE138" s="950"/>
      <c r="CF138" s="950"/>
      <c r="CG138" s="950"/>
      <c r="CH138" s="950"/>
      <c r="CI138" s="950"/>
      <c r="CJ138" s="950"/>
      <c r="CK138" s="950"/>
      <c r="CL138" s="950"/>
      <c r="CM138" s="950"/>
      <c r="CN138" s="950"/>
      <c r="CO138" s="950"/>
      <c r="CP138" s="950"/>
      <c r="CQ138" s="2175">
        <v>275.39999999999998</v>
      </c>
      <c r="CR138" s="2245">
        <f>+CR139*CR140*CR142</f>
        <v>1694.3598362499999</v>
      </c>
      <c r="CS138" s="950"/>
      <c r="CT138" s="950"/>
      <c r="CU138" s="950"/>
      <c r="CV138" s="950"/>
      <c r="CW138" s="950"/>
      <c r="CX138" s="950"/>
      <c r="CY138" s="950"/>
      <c r="CZ138" s="950"/>
      <c r="DA138" s="950"/>
      <c r="DB138" s="950"/>
      <c r="DC138" s="950"/>
      <c r="DD138" s="14"/>
      <c r="DE138" s="14"/>
      <c r="DF138" s="14"/>
      <c r="DG138" s="14"/>
      <c r="DH138" s="14"/>
      <c r="DI138"/>
      <c r="DJ138"/>
      <c r="DK138"/>
      <c r="DL138"/>
      <c r="DM138"/>
      <c r="DN138"/>
    </row>
    <row r="139" spans="1:118" s="41" customFormat="1">
      <c r="A139" s="14"/>
      <c r="B139" s="17" t="s">
        <v>2123</v>
      </c>
      <c r="C139" s="14"/>
      <c r="D139" s="14"/>
      <c r="E139" s="14"/>
      <c r="F139" s="14"/>
      <c r="G139" s="14"/>
      <c r="H139" s="55"/>
      <c r="I139" s="950"/>
      <c r="J139" s="950"/>
      <c r="K139" s="950"/>
      <c r="L139" s="950"/>
      <c r="M139" s="950"/>
      <c r="N139" s="950"/>
      <c r="O139" s="950"/>
      <c r="P139" s="950"/>
      <c r="Q139" s="950"/>
      <c r="R139" s="950"/>
      <c r="S139" s="950"/>
      <c r="T139" s="950"/>
      <c r="U139" s="950"/>
      <c r="V139" s="950"/>
      <c r="W139" s="950"/>
      <c r="X139" s="950"/>
      <c r="Y139" s="950"/>
      <c r="Z139" s="950"/>
      <c r="AA139" s="950"/>
      <c r="AB139" s="950"/>
      <c r="AC139" s="950"/>
      <c r="AD139" s="950"/>
      <c r="AE139" s="2102"/>
      <c r="AF139" s="195"/>
      <c r="AG139" s="195"/>
      <c r="AH139" s="1024"/>
      <c r="AI139" s="1024"/>
      <c r="AJ139" s="1024"/>
      <c r="AK139" s="1024"/>
      <c r="AL139" s="1024"/>
      <c r="AM139" s="1024"/>
      <c r="AN139" s="1024"/>
      <c r="AO139" s="1024"/>
      <c r="AP139" s="1024"/>
      <c r="AQ139" s="1024"/>
      <c r="AR139" s="1024"/>
      <c r="AS139" s="1024"/>
      <c r="AT139" s="1024"/>
      <c r="AU139" s="1024"/>
      <c r="AV139" s="950"/>
      <c r="AW139" s="950"/>
      <c r="AX139" s="950"/>
      <c r="AY139" s="950"/>
      <c r="AZ139" s="950"/>
      <c r="BA139" s="950"/>
      <c r="BB139" s="950"/>
      <c r="BC139" s="950"/>
      <c r="BD139" s="950"/>
      <c r="BE139" s="950"/>
      <c r="BF139" s="950"/>
      <c r="BG139" s="950"/>
      <c r="BH139" s="950"/>
      <c r="BI139" s="950"/>
      <c r="BJ139" s="950"/>
      <c r="BK139" s="950"/>
      <c r="BL139" s="950"/>
      <c r="BM139" s="950"/>
      <c r="BN139" s="950"/>
      <c r="BO139" s="950"/>
      <c r="BP139" s="950"/>
      <c r="BQ139" s="950"/>
      <c r="BR139" s="950"/>
      <c r="BS139" s="950"/>
      <c r="BT139" s="950"/>
      <c r="BU139" s="950"/>
      <c r="BV139" s="950"/>
      <c r="BW139" s="950"/>
      <c r="BX139" s="950"/>
      <c r="BY139" s="950"/>
      <c r="BZ139" s="950"/>
      <c r="CA139" s="950"/>
      <c r="CB139" s="950"/>
      <c r="CC139" s="950"/>
      <c r="CD139" s="950"/>
      <c r="CE139" s="950"/>
      <c r="CF139" s="950"/>
      <c r="CG139" s="950"/>
      <c r="CH139" s="950"/>
      <c r="CI139" s="950"/>
      <c r="CJ139" s="950"/>
      <c r="CK139" s="950"/>
      <c r="CL139" s="950"/>
      <c r="CM139" s="950"/>
      <c r="CN139" s="950"/>
      <c r="CO139" s="950"/>
      <c r="CP139" s="950"/>
      <c r="CQ139" s="950"/>
      <c r="CR139" s="2247">
        <v>5.7249999999999996</v>
      </c>
      <c r="CS139" s="950"/>
      <c r="CT139" s="950"/>
      <c r="CU139" s="950"/>
      <c r="CV139" s="950"/>
      <c r="CW139" s="950"/>
      <c r="CX139" s="950"/>
      <c r="CY139" s="950"/>
      <c r="CZ139" s="950"/>
      <c r="DA139" s="950"/>
      <c r="DB139" s="950"/>
      <c r="DC139" s="950"/>
      <c r="DD139" s="14"/>
      <c r="DE139" s="14"/>
      <c r="DF139" s="14"/>
      <c r="DG139" s="14"/>
      <c r="DH139" s="14"/>
      <c r="DI139"/>
      <c r="DJ139"/>
      <c r="DK139"/>
      <c r="DL139"/>
      <c r="DM139"/>
      <c r="DN139"/>
    </row>
    <row r="140" spans="1:118" s="41" customFormat="1">
      <c r="A140" s="14"/>
      <c r="B140" s="17" t="s">
        <v>2120</v>
      </c>
      <c r="C140" s="14"/>
      <c r="D140" s="14"/>
      <c r="E140" s="14"/>
      <c r="F140" s="14"/>
      <c r="G140" s="14"/>
      <c r="H140" s="55"/>
      <c r="I140" s="950"/>
      <c r="J140" s="950"/>
      <c r="K140" s="950"/>
      <c r="L140" s="950"/>
      <c r="M140" s="950"/>
      <c r="N140" s="950"/>
      <c r="O140" s="950"/>
      <c r="P140" s="950"/>
      <c r="Q140" s="950"/>
      <c r="R140" s="950"/>
      <c r="S140" s="950"/>
      <c r="T140" s="950"/>
      <c r="U140" s="950"/>
      <c r="V140" s="950"/>
      <c r="W140" s="950"/>
      <c r="X140" s="950"/>
      <c r="Y140" s="950"/>
      <c r="Z140" s="950"/>
      <c r="AA140" s="950"/>
      <c r="AB140" s="950"/>
      <c r="AC140" s="950"/>
      <c r="AD140" s="950"/>
      <c r="AE140" s="2102"/>
      <c r="AF140" s="195"/>
      <c r="AG140" s="195"/>
      <c r="AH140" s="1024"/>
      <c r="AI140" s="1024"/>
      <c r="AJ140" s="1024"/>
      <c r="AK140" s="1024"/>
      <c r="AL140" s="1024"/>
      <c r="AM140" s="1024"/>
      <c r="AN140" s="1024"/>
      <c r="AO140" s="1024"/>
      <c r="AP140" s="1024"/>
      <c r="AQ140" s="1024"/>
      <c r="AR140" s="1024"/>
      <c r="AS140" s="1024"/>
      <c r="AT140" s="1024"/>
      <c r="AU140" s="1024"/>
      <c r="AV140" s="950"/>
      <c r="AW140" s="950"/>
      <c r="AX140" s="950"/>
      <c r="AY140" s="950"/>
      <c r="AZ140" s="950"/>
      <c r="BA140" s="950"/>
      <c r="BB140" s="950"/>
      <c r="BC140" s="950"/>
      <c r="BD140" s="950"/>
      <c r="BE140" s="950"/>
      <c r="BF140" s="950"/>
      <c r="BG140" s="950"/>
      <c r="BH140" s="950"/>
      <c r="BI140" s="950"/>
      <c r="BJ140" s="950"/>
      <c r="BK140" s="950"/>
      <c r="BL140" s="950"/>
      <c r="BM140" s="950"/>
      <c r="BN140" s="950"/>
      <c r="BO140" s="950"/>
      <c r="BP140" s="950"/>
      <c r="BQ140" s="950"/>
      <c r="BR140" s="950"/>
      <c r="BS140" s="950"/>
      <c r="BT140" s="950"/>
      <c r="BU140" s="950"/>
      <c r="BV140" s="950"/>
      <c r="BW140" s="950"/>
      <c r="BX140" s="950"/>
      <c r="BY140" s="950"/>
      <c r="BZ140" s="950"/>
      <c r="CA140" s="950"/>
      <c r="CB140" s="950"/>
      <c r="CC140" s="950"/>
      <c r="CD140" s="950"/>
      <c r="CE140" s="950"/>
      <c r="CF140" s="950"/>
      <c r="CG140" s="950"/>
      <c r="CH140" s="950"/>
      <c r="CI140" s="950"/>
      <c r="CJ140" s="950"/>
      <c r="CK140" s="950"/>
      <c r="CL140" s="950"/>
      <c r="CM140" s="950"/>
      <c r="CN140" s="950"/>
      <c r="CO140" s="950"/>
      <c r="CP140" s="950"/>
      <c r="CQ140" s="950"/>
      <c r="CR140" s="2246">
        <v>1.45</v>
      </c>
      <c r="CS140" s="950"/>
      <c r="CT140" s="950"/>
      <c r="CU140" s="950"/>
      <c r="CV140" s="950"/>
      <c r="CW140" s="950"/>
      <c r="CX140" s="950"/>
      <c r="CY140" s="950"/>
      <c r="CZ140" s="950"/>
      <c r="DA140" s="950"/>
      <c r="DB140" s="950"/>
      <c r="DC140" s="950"/>
      <c r="DD140" s="14"/>
      <c r="DE140" s="14"/>
      <c r="DF140" s="14"/>
      <c r="DG140" s="14"/>
      <c r="DH140" s="14"/>
      <c r="DI140"/>
      <c r="DJ140"/>
      <c r="DK140"/>
      <c r="DL140"/>
      <c r="DM140"/>
      <c r="DN140"/>
    </row>
    <row r="141" spans="1:118" s="41" customFormat="1">
      <c r="A141" s="14"/>
      <c r="B141" s="164" t="s">
        <v>2127</v>
      </c>
      <c r="C141" s="14"/>
      <c r="D141" s="14"/>
      <c r="E141" s="14"/>
      <c r="F141" s="14"/>
      <c r="G141" s="14"/>
      <c r="H141" s="55"/>
      <c r="I141" s="950"/>
      <c r="J141" s="950"/>
      <c r="K141" s="950"/>
      <c r="L141" s="950"/>
      <c r="M141" s="950"/>
      <c r="N141" s="950"/>
      <c r="O141" s="950"/>
      <c r="P141" s="950"/>
      <c r="Q141" s="950"/>
      <c r="R141" s="950"/>
      <c r="S141" s="950"/>
      <c r="T141" s="950"/>
      <c r="U141" s="950"/>
      <c r="V141" s="950"/>
      <c r="W141" s="950"/>
      <c r="X141" s="950"/>
      <c r="Y141" s="950"/>
      <c r="Z141" s="950"/>
      <c r="AA141" s="950"/>
      <c r="AB141" s="950"/>
      <c r="AC141" s="950"/>
      <c r="AD141" s="950"/>
      <c r="AE141" s="2102"/>
      <c r="AF141" s="195"/>
      <c r="AG141" s="195"/>
      <c r="AH141" s="1024"/>
      <c r="AI141" s="1024"/>
      <c r="AJ141" s="1024"/>
      <c r="AK141" s="1024"/>
      <c r="AL141" s="1024"/>
      <c r="AM141" s="1024"/>
      <c r="AN141" s="1024"/>
      <c r="AO141" s="1024"/>
      <c r="AP141" s="1024"/>
      <c r="AQ141" s="1024"/>
      <c r="AR141" s="1024"/>
      <c r="AS141" s="1024"/>
      <c r="AT141" s="1024"/>
      <c r="AU141" s="1024"/>
      <c r="AV141" s="950"/>
      <c r="AW141" s="950"/>
      <c r="AX141" s="950"/>
      <c r="AY141" s="950"/>
      <c r="AZ141" s="950"/>
      <c r="BA141" s="950"/>
      <c r="BB141" s="950"/>
      <c r="BC141" s="950"/>
      <c r="BD141" s="950"/>
      <c r="BE141" s="950"/>
      <c r="BF141" s="950"/>
      <c r="BG141" s="950"/>
      <c r="BH141" s="950"/>
      <c r="BI141" s="950"/>
      <c r="BJ141" s="950"/>
      <c r="BK141" s="950"/>
      <c r="BL141" s="950"/>
      <c r="BM141" s="950"/>
      <c r="BN141" s="950"/>
      <c r="BO141" s="950"/>
      <c r="BP141" s="950"/>
      <c r="BQ141" s="950"/>
      <c r="BR141" s="950"/>
      <c r="BS141" s="950"/>
      <c r="BT141" s="950"/>
      <c r="BU141" s="950"/>
      <c r="BV141" s="950"/>
      <c r="BW141" s="950"/>
      <c r="BX141" s="950"/>
      <c r="BY141" s="950"/>
      <c r="BZ141" s="950"/>
      <c r="CA141" s="950"/>
      <c r="CB141" s="950"/>
      <c r="CC141" s="950"/>
      <c r="CD141" s="950"/>
      <c r="CE141" s="950"/>
      <c r="CF141" s="950"/>
      <c r="CG141" s="950"/>
      <c r="CH141" s="950"/>
      <c r="CI141" s="950"/>
      <c r="CJ141" s="950"/>
      <c r="CK141" s="950"/>
      <c r="CL141" s="950"/>
      <c r="CM141" s="950"/>
      <c r="CN141" s="950"/>
      <c r="CO141" s="950"/>
      <c r="CP141" s="950"/>
      <c r="CQ141" s="950"/>
      <c r="CR141" s="2245">
        <f>+CR142*CR143*CR144</f>
        <v>1922.2169184000002</v>
      </c>
      <c r="CS141" s="950"/>
      <c r="CT141" s="950"/>
      <c r="CU141" s="950"/>
      <c r="CV141" s="950"/>
      <c r="CW141" s="950"/>
      <c r="CX141" s="950"/>
      <c r="CY141" s="950"/>
      <c r="CZ141" s="950"/>
      <c r="DA141" s="950"/>
      <c r="DB141" s="950"/>
      <c r="DC141" s="950"/>
      <c r="DD141" s="14"/>
      <c r="DE141" s="14"/>
      <c r="DF141" s="14"/>
      <c r="DG141" s="14"/>
      <c r="DH141" s="14"/>
      <c r="DI141"/>
      <c r="DJ141"/>
      <c r="DK141"/>
      <c r="DL141"/>
      <c r="DM141"/>
      <c r="DN141"/>
    </row>
    <row r="142" spans="1:118" s="41" customFormat="1">
      <c r="A142" s="14"/>
      <c r="B142" s="17" t="s">
        <v>2119</v>
      </c>
      <c r="C142" s="14"/>
      <c r="D142" s="14"/>
      <c r="E142" s="14"/>
      <c r="F142" s="14"/>
      <c r="G142" s="14"/>
      <c r="H142" s="55"/>
      <c r="I142" s="950"/>
      <c r="J142" s="950"/>
      <c r="K142" s="950"/>
      <c r="L142" s="950"/>
      <c r="M142" s="950"/>
      <c r="N142" s="950"/>
      <c r="O142" s="950"/>
      <c r="P142" s="950"/>
      <c r="Q142" s="950"/>
      <c r="R142" s="950"/>
      <c r="S142" s="950"/>
      <c r="T142" s="950"/>
      <c r="U142" s="950"/>
      <c r="V142" s="950"/>
      <c r="W142" s="950"/>
      <c r="X142" s="950"/>
      <c r="Y142" s="950"/>
      <c r="Z142" s="950"/>
      <c r="AA142" s="950"/>
      <c r="AB142" s="950"/>
      <c r="AC142" s="950"/>
      <c r="AD142" s="950"/>
      <c r="AE142" s="2102"/>
      <c r="AF142" s="195"/>
      <c r="AG142" s="195"/>
      <c r="AH142" s="1024"/>
      <c r="AI142" s="1024"/>
      <c r="AJ142" s="1024"/>
      <c r="AK142" s="1024"/>
      <c r="AL142" s="1024"/>
      <c r="AM142" s="1024"/>
      <c r="AN142" s="1024"/>
      <c r="AO142" s="1024"/>
      <c r="AP142" s="1024"/>
      <c r="AQ142" s="1024"/>
      <c r="AR142" s="1024"/>
      <c r="AS142" s="1024"/>
      <c r="AT142" s="1024"/>
      <c r="AU142" s="1024"/>
      <c r="AV142" s="950"/>
      <c r="AW142" s="950"/>
      <c r="AX142" s="950"/>
      <c r="AY142" s="950"/>
      <c r="AZ142" s="950"/>
      <c r="BA142" s="950"/>
      <c r="BB142" s="950"/>
      <c r="BC142" s="950"/>
      <c r="BD142" s="950"/>
      <c r="BE142" s="950"/>
      <c r="BF142" s="950"/>
      <c r="BG142" s="950"/>
      <c r="BH142" s="950"/>
      <c r="BI142" s="950"/>
      <c r="BJ142" s="950"/>
      <c r="BK142" s="950"/>
      <c r="BL142" s="950"/>
      <c r="BM142" s="950"/>
      <c r="BN142" s="950"/>
      <c r="BO142" s="950"/>
      <c r="BP142" s="950"/>
      <c r="BQ142" s="950"/>
      <c r="BR142" s="950"/>
      <c r="BS142" s="950"/>
      <c r="BT142" s="950"/>
      <c r="BU142" s="950"/>
      <c r="BV142" s="950"/>
      <c r="BW142" s="950"/>
      <c r="BX142" s="950"/>
      <c r="BY142" s="950"/>
      <c r="BZ142" s="950"/>
      <c r="CA142" s="950"/>
      <c r="CB142" s="950"/>
      <c r="CC142" s="950"/>
      <c r="CD142" s="950"/>
      <c r="CE142" s="950"/>
      <c r="CF142" s="950"/>
      <c r="CG142" s="950"/>
      <c r="CH142" s="950"/>
      <c r="CI142" s="950"/>
      <c r="CJ142" s="950"/>
      <c r="CK142" s="950"/>
      <c r="CL142" s="950"/>
      <c r="CM142" s="950"/>
      <c r="CN142" s="950"/>
      <c r="CO142" s="950"/>
      <c r="CP142" s="950"/>
      <c r="CQ142" s="950"/>
      <c r="CR142" s="2244">
        <v>204.10900000000001</v>
      </c>
      <c r="CS142" s="950"/>
      <c r="CT142" s="950"/>
      <c r="CU142" s="950"/>
      <c r="CV142" s="950"/>
      <c r="CW142" s="950"/>
      <c r="CX142" s="950"/>
      <c r="CY142" s="950"/>
      <c r="CZ142" s="950"/>
      <c r="DA142" s="950"/>
      <c r="DB142" s="950"/>
      <c r="DC142" s="950"/>
      <c r="DD142" s="14"/>
      <c r="DE142" s="14"/>
      <c r="DF142" s="14"/>
      <c r="DG142" s="14"/>
      <c r="DH142" s="14"/>
      <c r="DI142"/>
      <c r="DJ142"/>
      <c r="DK142"/>
      <c r="DL142"/>
      <c r="DM142"/>
      <c r="DN142"/>
    </row>
    <row r="143" spans="1:118" s="41" customFormat="1">
      <c r="A143" s="14"/>
      <c r="B143" s="17" t="s">
        <v>2122</v>
      </c>
      <c r="C143" s="14"/>
      <c r="D143" s="14"/>
      <c r="E143" s="14"/>
      <c r="F143" s="14"/>
      <c r="G143" s="14"/>
      <c r="H143" s="55"/>
      <c r="I143" s="950"/>
      <c r="J143" s="950"/>
      <c r="K143" s="950"/>
      <c r="L143" s="950"/>
      <c r="M143" s="950"/>
      <c r="N143" s="950"/>
      <c r="O143" s="950"/>
      <c r="P143" s="950"/>
      <c r="Q143" s="950"/>
      <c r="R143" s="950"/>
      <c r="S143" s="950"/>
      <c r="T143" s="950"/>
      <c r="U143" s="950"/>
      <c r="V143" s="950"/>
      <c r="W143" s="950"/>
      <c r="X143" s="950"/>
      <c r="Y143" s="950"/>
      <c r="Z143" s="950"/>
      <c r="AA143" s="950"/>
      <c r="AB143" s="950"/>
      <c r="AC143" s="950"/>
      <c r="AD143" s="950"/>
      <c r="AE143" s="2102"/>
      <c r="AF143" s="195"/>
      <c r="AG143" s="195"/>
      <c r="AH143" s="1024"/>
      <c r="AI143" s="1024"/>
      <c r="AJ143" s="1024"/>
      <c r="AK143" s="1024"/>
      <c r="AL143" s="1024"/>
      <c r="AM143" s="1024"/>
      <c r="AN143" s="1024"/>
      <c r="AO143" s="1024"/>
      <c r="AP143" s="1024"/>
      <c r="AQ143" s="1024"/>
      <c r="AR143" s="1024"/>
      <c r="AS143" s="1024"/>
      <c r="AT143" s="1024"/>
      <c r="AU143" s="1024"/>
      <c r="AV143" s="950"/>
      <c r="AW143" s="950"/>
      <c r="AX143" s="950"/>
      <c r="AY143" s="950"/>
      <c r="AZ143" s="950"/>
      <c r="BA143" s="950"/>
      <c r="BB143" s="950"/>
      <c r="BC143" s="950"/>
      <c r="BD143" s="950"/>
      <c r="BE143" s="950"/>
      <c r="BF143" s="950"/>
      <c r="BG143" s="950"/>
      <c r="BH143" s="950"/>
      <c r="BI143" s="950"/>
      <c r="BJ143" s="950"/>
      <c r="BK143" s="950"/>
      <c r="BL143" s="950"/>
      <c r="BM143" s="950"/>
      <c r="BN143" s="950"/>
      <c r="BO143" s="950"/>
      <c r="BP143" s="950"/>
      <c r="BQ143" s="950"/>
      <c r="BR143" s="950"/>
      <c r="BS143" s="950"/>
      <c r="BT143" s="950"/>
      <c r="BU143" s="950"/>
      <c r="BV143" s="950"/>
      <c r="BW143" s="950"/>
      <c r="BX143" s="950"/>
      <c r="BY143" s="950"/>
      <c r="BZ143" s="950"/>
      <c r="CA143" s="950"/>
      <c r="CB143" s="950"/>
      <c r="CC143" s="950"/>
      <c r="CD143" s="950"/>
      <c r="CE143" s="950"/>
      <c r="CF143" s="950"/>
      <c r="CG143" s="950"/>
      <c r="CH143" s="950"/>
      <c r="CI143" s="950"/>
      <c r="CJ143" s="950"/>
      <c r="CK143" s="950"/>
      <c r="CL143" s="950"/>
      <c r="CM143" s="950"/>
      <c r="CN143" s="950"/>
      <c r="CO143" s="950"/>
      <c r="CP143" s="950"/>
      <c r="CQ143" s="950"/>
      <c r="CR143" s="2244">
        <v>3.27E-2</v>
      </c>
      <c r="CS143" s="950"/>
      <c r="CT143" s="950"/>
      <c r="CU143" s="950"/>
      <c r="CV143" s="950"/>
      <c r="CW143" s="950"/>
      <c r="CX143" s="950"/>
      <c r="CY143" s="950"/>
      <c r="CZ143" s="950"/>
      <c r="DA143" s="950"/>
      <c r="DB143" s="950"/>
      <c r="DC143" s="950"/>
      <c r="DD143" s="14"/>
      <c r="DE143" s="14"/>
      <c r="DF143" s="14"/>
      <c r="DG143" s="14"/>
      <c r="DH143" s="14"/>
      <c r="DI143"/>
      <c r="DJ143"/>
      <c r="DK143"/>
      <c r="DL143"/>
      <c r="DM143"/>
      <c r="DN143"/>
    </row>
    <row r="144" spans="1:118" s="41" customFormat="1">
      <c r="A144" s="14"/>
      <c r="B144" s="17" t="s">
        <v>2121</v>
      </c>
      <c r="C144" s="14"/>
      <c r="D144" s="14"/>
      <c r="E144" s="14"/>
      <c r="F144" s="14"/>
      <c r="G144" s="14"/>
      <c r="H144" s="55"/>
      <c r="I144" s="950"/>
      <c r="J144" s="950"/>
      <c r="K144" s="950"/>
      <c r="L144" s="950"/>
      <c r="M144" s="950"/>
      <c r="N144" s="950"/>
      <c r="O144" s="950"/>
      <c r="P144" s="950"/>
      <c r="Q144" s="950"/>
      <c r="R144" s="950"/>
      <c r="S144" s="950"/>
      <c r="T144" s="950"/>
      <c r="U144" s="950"/>
      <c r="V144" s="950"/>
      <c r="W144" s="950"/>
      <c r="X144" s="950"/>
      <c r="Y144" s="950"/>
      <c r="Z144" s="950"/>
      <c r="AA144" s="950"/>
      <c r="AB144" s="950"/>
      <c r="AC144" s="950"/>
      <c r="AD144" s="950"/>
      <c r="AE144" s="2102"/>
      <c r="AF144" s="195"/>
      <c r="AG144" s="195"/>
      <c r="AH144" s="1024"/>
      <c r="AI144" s="1024"/>
      <c r="AJ144" s="1024"/>
      <c r="AK144" s="1024"/>
      <c r="AL144" s="1024"/>
      <c r="AM144" s="1024"/>
      <c r="AN144" s="1024"/>
      <c r="AO144" s="1024"/>
      <c r="AP144" s="1024"/>
      <c r="AQ144" s="1024"/>
      <c r="AR144" s="1024"/>
      <c r="AS144" s="1024"/>
      <c r="AT144" s="1024"/>
      <c r="AU144" s="1024"/>
      <c r="AV144" s="950"/>
      <c r="AW144" s="950"/>
      <c r="AX144" s="950"/>
      <c r="AY144" s="950"/>
      <c r="AZ144" s="950"/>
      <c r="BA144" s="950"/>
      <c r="BB144" s="950"/>
      <c r="BC144" s="950"/>
      <c r="BD144" s="950"/>
      <c r="BE144" s="950"/>
      <c r="BF144" s="950"/>
      <c r="BG144" s="950"/>
      <c r="BH144" s="950"/>
      <c r="BI144" s="950"/>
      <c r="BJ144" s="950"/>
      <c r="BK144" s="950"/>
      <c r="BL144" s="950"/>
      <c r="BM144" s="950"/>
      <c r="BN144" s="950"/>
      <c r="BO144" s="950"/>
      <c r="BP144" s="950"/>
      <c r="BQ144" s="950"/>
      <c r="BR144" s="950"/>
      <c r="BS144" s="950"/>
      <c r="BT144" s="950"/>
      <c r="BU144" s="950"/>
      <c r="BV144" s="950"/>
      <c r="BW144" s="950"/>
      <c r="BX144" s="950"/>
      <c r="BY144" s="950"/>
      <c r="BZ144" s="950"/>
      <c r="CA144" s="950"/>
      <c r="CB144" s="950"/>
      <c r="CC144" s="950"/>
      <c r="CD144" s="950"/>
      <c r="CE144" s="950"/>
      <c r="CF144" s="950"/>
      <c r="CG144" s="950"/>
      <c r="CH144" s="950"/>
      <c r="CI144" s="950"/>
      <c r="CJ144" s="950"/>
      <c r="CK144" s="950"/>
      <c r="CL144" s="950"/>
      <c r="CM144" s="950"/>
      <c r="CN144" s="950"/>
      <c r="CO144" s="950"/>
      <c r="CP144" s="950"/>
      <c r="CQ144" s="950"/>
      <c r="CR144" s="2244">
        <v>288</v>
      </c>
      <c r="CS144" s="950"/>
      <c r="CT144" s="950"/>
      <c r="CU144" s="950"/>
      <c r="CV144" s="950"/>
      <c r="CW144" s="950"/>
      <c r="CX144" s="950"/>
      <c r="CY144" s="950"/>
      <c r="CZ144" s="950"/>
      <c r="DA144" s="950"/>
      <c r="DB144" s="950"/>
      <c r="DC144" s="950"/>
      <c r="DD144" s="14"/>
      <c r="DE144" s="14"/>
      <c r="DF144" s="14"/>
      <c r="DG144" s="14"/>
      <c r="DH144" s="14"/>
      <c r="DI144"/>
      <c r="DJ144"/>
      <c r="DK144"/>
      <c r="DL144"/>
      <c r="DM144"/>
      <c r="DN144"/>
    </row>
    <row r="145" spans="1:118" s="41" customFormat="1">
      <c r="A145" s="14"/>
      <c r="B145" s="164" t="s">
        <v>2472</v>
      </c>
      <c r="C145" s="14"/>
      <c r="D145" s="14"/>
      <c r="E145" s="14"/>
      <c r="F145" s="14"/>
      <c r="G145" s="14"/>
      <c r="H145" s="55"/>
      <c r="I145" s="950"/>
      <c r="J145" s="950"/>
      <c r="K145" s="950"/>
      <c r="L145" s="950"/>
      <c r="M145" s="950"/>
      <c r="N145" s="950"/>
      <c r="O145" s="950"/>
      <c r="P145" s="950"/>
      <c r="Q145" s="950"/>
      <c r="R145" s="950"/>
      <c r="S145" s="950"/>
      <c r="T145" s="950"/>
      <c r="U145" s="950"/>
      <c r="V145" s="950"/>
      <c r="W145" s="950"/>
      <c r="X145" s="950"/>
      <c r="Y145" s="950"/>
      <c r="Z145" s="950"/>
      <c r="AA145" s="950"/>
      <c r="AB145" s="950"/>
      <c r="AC145" s="950"/>
      <c r="AD145" s="950"/>
      <c r="AE145" s="2102"/>
      <c r="AF145" s="195"/>
      <c r="AG145" s="195"/>
      <c r="AH145" s="1024"/>
      <c r="AI145" s="1024"/>
      <c r="AJ145" s="1024"/>
      <c r="AK145" s="1024"/>
      <c r="AL145" s="1024"/>
      <c r="AM145" s="1024"/>
      <c r="AN145" s="1024"/>
      <c r="AO145" s="1024"/>
      <c r="AP145" s="1024"/>
      <c r="AQ145" s="1024"/>
      <c r="AR145" s="1024"/>
      <c r="AS145" s="1024"/>
      <c r="AT145" s="1024"/>
      <c r="AU145" s="1024"/>
      <c r="AV145" s="950"/>
      <c r="AW145" s="950"/>
      <c r="AX145" s="950"/>
      <c r="AY145" s="950"/>
      <c r="AZ145" s="950"/>
      <c r="BA145" s="950"/>
      <c r="BB145" s="950"/>
      <c r="BC145" s="950"/>
      <c r="BD145" s="950"/>
      <c r="BE145" s="950"/>
      <c r="BF145" s="950"/>
      <c r="BG145" s="950"/>
      <c r="BH145" s="950"/>
      <c r="BI145" s="950"/>
      <c r="BJ145" s="950"/>
      <c r="BK145" s="950"/>
      <c r="BL145" s="950"/>
      <c r="BM145" s="950"/>
      <c r="BN145" s="950"/>
      <c r="BO145" s="950"/>
      <c r="BP145" s="950"/>
      <c r="BQ145" s="950"/>
      <c r="BR145" s="950"/>
      <c r="BS145" s="950"/>
      <c r="BT145" s="950"/>
      <c r="BU145" s="950"/>
      <c r="BV145" s="950"/>
      <c r="BW145" s="950"/>
      <c r="BX145" s="950"/>
      <c r="BY145" s="950"/>
      <c r="BZ145" s="950"/>
      <c r="CA145" s="950"/>
      <c r="CB145" s="950"/>
      <c r="CC145" s="950"/>
      <c r="CD145" s="950"/>
      <c r="CE145" s="950"/>
      <c r="CF145" s="950"/>
      <c r="CG145" s="950"/>
      <c r="CH145" s="950"/>
      <c r="CI145" s="950"/>
      <c r="CJ145" s="950"/>
      <c r="CK145" s="950"/>
      <c r="CL145" s="950"/>
      <c r="CM145" s="950"/>
      <c r="CN145" s="950"/>
      <c r="CO145" s="950"/>
      <c r="CP145" s="950"/>
      <c r="CQ145" s="950"/>
      <c r="CR145" s="2244">
        <f>9.082+0.361+246.637-1.895</f>
        <v>254.18499999999997</v>
      </c>
      <c r="CS145" s="950"/>
      <c r="CT145" s="950"/>
      <c r="CU145" s="950"/>
      <c r="CV145" s="950"/>
      <c r="CW145" s="950"/>
      <c r="CX145" s="950"/>
      <c r="CY145" s="950"/>
      <c r="CZ145" s="950"/>
      <c r="DA145" s="950"/>
      <c r="DB145" s="950"/>
      <c r="DC145" s="950"/>
      <c r="DD145" s="14"/>
      <c r="DE145" s="14"/>
      <c r="DF145" s="14"/>
      <c r="DG145" s="14"/>
      <c r="DH145" s="14"/>
      <c r="DI145"/>
      <c r="DJ145"/>
      <c r="DK145"/>
      <c r="DL145"/>
      <c r="DM145"/>
      <c r="DN145"/>
    </row>
    <row r="146" spans="1:118" s="41" customFormat="1">
      <c r="A146" s="14"/>
      <c r="B146" s="17"/>
      <c r="C146" s="14"/>
      <c r="D146" s="14"/>
      <c r="E146" s="14"/>
      <c r="F146" s="14"/>
      <c r="G146" s="14"/>
      <c r="H146" s="55"/>
      <c r="I146" s="950"/>
      <c r="J146" s="950"/>
      <c r="K146" s="950"/>
      <c r="L146" s="950"/>
      <c r="M146" s="950"/>
      <c r="N146" s="950"/>
      <c r="O146" s="950"/>
      <c r="P146" s="950"/>
      <c r="Q146" s="950"/>
      <c r="R146" s="950"/>
      <c r="S146" s="950"/>
      <c r="T146" s="950"/>
      <c r="U146" s="950"/>
      <c r="V146" s="950"/>
      <c r="W146" s="950"/>
      <c r="X146" s="950"/>
      <c r="Y146" s="950"/>
      <c r="Z146" s="950"/>
      <c r="AA146" s="950"/>
      <c r="AB146" s="950"/>
      <c r="AC146" s="950"/>
      <c r="AD146" s="950"/>
      <c r="AE146" s="2102"/>
      <c r="AF146" s="195"/>
      <c r="AG146" s="195"/>
      <c r="AH146" s="1024"/>
      <c r="AI146" s="1024"/>
      <c r="AJ146" s="1024"/>
      <c r="AK146" s="1024"/>
      <c r="AL146" s="1024"/>
      <c r="AM146" s="1024"/>
      <c r="AN146" s="1024"/>
      <c r="AO146" s="1024"/>
      <c r="AP146" s="1024"/>
      <c r="AQ146" s="1024"/>
      <c r="AR146" s="1024"/>
      <c r="AS146" s="1024"/>
      <c r="AT146" s="1024"/>
      <c r="AU146" s="1024"/>
      <c r="AV146" s="950"/>
      <c r="AW146" s="950"/>
      <c r="AX146" s="950"/>
      <c r="AY146" s="950"/>
      <c r="AZ146" s="950"/>
      <c r="BA146" s="950"/>
      <c r="BB146" s="950"/>
      <c r="BC146" s="950"/>
      <c r="BD146" s="950"/>
      <c r="BE146" s="950"/>
      <c r="BF146" s="950"/>
      <c r="BG146" s="950"/>
      <c r="BH146" s="950"/>
      <c r="BI146" s="950"/>
      <c r="BJ146" s="950"/>
      <c r="BK146" s="950"/>
      <c r="BL146" s="950"/>
      <c r="BM146" s="950"/>
      <c r="BN146" s="950"/>
      <c r="BO146" s="950"/>
      <c r="BP146" s="950"/>
      <c r="BQ146" s="950"/>
      <c r="BR146" s="950"/>
      <c r="BS146" s="950"/>
      <c r="BT146" s="950"/>
      <c r="BU146" s="950"/>
      <c r="BV146" s="950"/>
      <c r="BW146" s="950"/>
      <c r="BX146" s="950"/>
      <c r="BY146" s="950"/>
      <c r="BZ146" s="950"/>
      <c r="CA146" s="950"/>
      <c r="CB146" s="950"/>
      <c r="CC146" s="950"/>
      <c r="CD146" s="950"/>
      <c r="CE146" s="950"/>
      <c r="CF146" s="950"/>
      <c r="CG146" s="950"/>
      <c r="CH146" s="950"/>
      <c r="CI146" s="950"/>
      <c r="CJ146" s="950"/>
      <c r="CK146" s="950"/>
      <c r="CL146" s="950"/>
      <c r="CM146" s="950"/>
      <c r="CN146" s="950"/>
      <c r="CO146" s="950"/>
      <c r="CP146" s="950"/>
      <c r="CQ146" s="950"/>
      <c r="CR146" s="2244"/>
      <c r="CS146" s="2244"/>
      <c r="CT146" s="2244"/>
      <c r="CU146" s="2244"/>
      <c r="CV146" s="2244"/>
      <c r="CW146" s="2244"/>
      <c r="CX146" s="2244"/>
      <c r="CY146" s="2244"/>
      <c r="CZ146" s="950"/>
      <c r="DA146" s="950"/>
      <c r="DB146" s="950"/>
      <c r="DC146" s="950"/>
      <c r="DD146" s="14"/>
      <c r="DE146" s="14"/>
      <c r="DF146" s="14"/>
      <c r="DG146" s="14"/>
      <c r="DH146" s="14"/>
      <c r="DI146"/>
      <c r="DJ146"/>
      <c r="DK146"/>
      <c r="DL146"/>
      <c r="DM146"/>
      <c r="DN146"/>
    </row>
    <row r="147" spans="1:118" s="41" customFormat="1">
      <c r="A147" s="14"/>
      <c r="B147" s="21" t="s">
        <v>2132</v>
      </c>
      <c r="C147" s="14"/>
      <c r="D147" s="14"/>
      <c r="E147" s="14"/>
      <c r="F147" s="14"/>
      <c r="G147" s="14"/>
      <c r="H147" s="55"/>
      <c r="I147" s="950"/>
      <c r="J147" s="950"/>
      <c r="K147" s="950"/>
      <c r="L147" s="950"/>
      <c r="M147" s="950"/>
      <c r="N147" s="950"/>
      <c r="O147" s="950"/>
      <c r="P147" s="950"/>
      <c r="Q147" s="950"/>
      <c r="R147" s="950"/>
      <c r="S147" s="950"/>
      <c r="T147" s="950"/>
      <c r="U147" s="950"/>
      <c r="V147" s="950"/>
      <c r="W147" s="950"/>
      <c r="X147" s="950"/>
      <c r="Y147" s="950"/>
      <c r="Z147" s="950"/>
      <c r="AA147" s="950"/>
      <c r="AB147" s="950"/>
      <c r="AC147" s="950"/>
      <c r="AD147" s="950"/>
      <c r="AE147" s="2102"/>
      <c r="AF147" s="195"/>
      <c r="AG147" s="195"/>
      <c r="AH147" s="1024"/>
      <c r="AI147" s="1024"/>
      <c r="AJ147" s="1024"/>
      <c r="AK147" s="1024"/>
      <c r="AL147" s="1024"/>
      <c r="AM147" s="1024"/>
      <c r="AN147" s="1024"/>
      <c r="AO147" s="1024"/>
      <c r="AP147" s="1024"/>
      <c r="AQ147" s="1024"/>
      <c r="AR147" s="1024"/>
      <c r="AS147" s="1024"/>
      <c r="AT147" s="1024"/>
      <c r="AU147" s="1024"/>
      <c r="AV147" s="950"/>
      <c r="AW147" s="950"/>
      <c r="AX147" s="950"/>
      <c r="AY147" s="950"/>
      <c r="AZ147" s="950"/>
      <c r="BA147" s="950"/>
      <c r="BB147" s="950"/>
      <c r="BC147" s="950"/>
      <c r="BD147" s="950"/>
      <c r="BE147" s="950"/>
      <c r="BF147" s="950"/>
      <c r="BG147" s="950"/>
      <c r="BH147" s="950"/>
      <c r="BI147" s="950"/>
      <c r="BJ147" s="950"/>
      <c r="BK147" s="950"/>
      <c r="BL147" s="950"/>
      <c r="BM147" s="950"/>
      <c r="BN147" s="950"/>
      <c r="BO147" s="950"/>
      <c r="BP147" s="950"/>
      <c r="BQ147" s="950"/>
      <c r="BR147" s="950"/>
      <c r="BS147" s="950"/>
      <c r="BT147" s="950"/>
      <c r="BU147" s="950"/>
      <c r="BV147" s="950"/>
      <c r="BW147" s="950"/>
      <c r="BX147" s="950"/>
      <c r="BY147" s="950"/>
      <c r="BZ147" s="950"/>
      <c r="CA147" s="950"/>
      <c r="CB147" s="950"/>
      <c r="CC147" s="950"/>
      <c r="CD147" s="950"/>
      <c r="CE147" s="950"/>
      <c r="CF147" s="950"/>
      <c r="CG147" s="950"/>
      <c r="CH147" s="950"/>
      <c r="CI147" s="950"/>
      <c r="CJ147" s="950"/>
      <c r="CK147" s="950"/>
      <c r="CL147" s="950"/>
      <c r="CM147" s="950"/>
      <c r="CN147" s="950"/>
      <c r="CO147" s="950"/>
      <c r="CP147" s="950"/>
      <c r="CQ147" s="950"/>
      <c r="CR147" s="854"/>
      <c r="CS147" s="854"/>
      <c r="CT147" s="854"/>
      <c r="CU147" s="854"/>
      <c r="CV147" s="854"/>
      <c r="CW147" s="854"/>
      <c r="CX147" s="854"/>
      <c r="CY147" s="854"/>
      <c r="CZ147" s="950"/>
      <c r="DA147" s="950"/>
      <c r="DB147" s="950"/>
      <c r="DC147" s="950"/>
      <c r="DD147" s="14"/>
      <c r="DE147" s="14"/>
      <c r="DF147" s="14"/>
      <c r="DG147" s="14"/>
      <c r="DH147" s="14"/>
      <c r="DI147"/>
      <c r="DJ147"/>
      <c r="DK147"/>
      <c r="DL147"/>
      <c r="DM147"/>
      <c r="DN147"/>
    </row>
    <row r="148" spans="1:118" s="41" customFormat="1">
      <c r="A148" s="14"/>
      <c r="B148" s="164" t="s">
        <v>2133</v>
      </c>
      <c r="C148" s="14"/>
      <c r="D148" s="14"/>
      <c r="E148" s="14"/>
      <c r="F148" s="14"/>
      <c r="G148" s="14"/>
      <c r="H148" s="55"/>
      <c r="I148" s="950"/>
      <c r="J148" s="950"/>
      <c r="K148" s="950"/>
      <c r="L148" s="950"/>
      <c r="M148" s="950"/>
      <c r="N148" s="950"/>
      <c r="O148" s="950"/>
      <c r="P148" s="950"/>
      <c r="Q148" s="950"/>
      <c r="R148" s="950"/>
      <c r="S148" s="950"/>
      <c r="T148" s="950"/>
      <c r="U148" s="950"/>
      <c r="V148" s="950"/>
      <c r="W148" s="950"/>
      <c r="X148" s="950"/>
      <c r="Y148" s="950"/>
      <c r="Z148" s="950"/>
      <c r="AA148" s="950"/>
      <c r="AB148" s="950"/>
      <c r="AC148" s="950"/>
      <c r="AD148" s="950"/>
      <c r="AE148" s="2102"/>
      <c r="AF148" s="195"/>
      <c r="AG148" s="195"/>
      <c r="AH148" s="1024"/>
      <c r="AI148" s="1024"/>
      <c r="AJ148" s="1024"/>
      <c r="AK148" s="1024"/>
      <c r="AL148" s="1024"/>
      <c r="AM148" s="1024"/>
      <c r="AN148" s="1024"/>
      <c r="AO148" s="1024"/>
      <c r="AP148" s="1024"/>
      <c r="AQ148" s="1024"/>
      <c r="AR148" s="1024"/>
      <c r="AS148" s="1024"/>
      <c r="AT148" s="1024"/>
      <c r="AU148" s="1024"/>
      <c r="AV148" s="950"/>
      <c r="AW148" s="950"/>
      <c r="AX148" s="950"/>
      <c r="AY148" s="950"/>
      <c r="AZ148" s="950"/>
      <c r="BA148" s="950"/>
      <c r="BB148" s="950"/>
      <c r="BC148" s="950"/>
      <c r="BD148" s="950"/>
      <c r="BE148" s="950"/>
      <c r="BF148" s="950"/>
      <c r="BG148" s="950"/>
      <c r="BH148" s="950"/>
      <c r="BI148" s="950"/>
      <c r="BJ148" s="950"/>
      <c r="BK148" s="950"/>
      <c r="BL148" s="950"/>
      <c r="BM148" s="950"/>
      <c r="BN148" s="950"/>
      <c r="BO148" s="950"/>
      <c r="BP148" s="950"/>
      <c r="BQ148" s="950"/>
      <c r="BR148" s="950"/>
      <c r="BS148" s="950"/>
      <c r="BT148" s="950"/>
      <c r="BU148" s="950"/>
      <c r="BV148" s="950"/>
      <c r="BW148" s="950"/>
      <c r="BX148" s="950"/>
      <c r="BY148" s="950"/>
      <c r="BZ148" s="950"/>
      <c r="CA148" s="950"/>
      <c r="CB148" s="950"/>
      <c r="CC148" s="950"/>
      <c r="CD148" s="950"/>
      <c r="CE148" s="950"/>
      <c r="CF148" s="950"/>
      <c r="CG148" s="950"/>
      <c r="CH148" s="950"/>
      <c r="CI148" s="950"/>
      <c r="CJ148" s="950"/>
      <c r="CK148" s="950"/>
      <c r="CL148" s="950"/>
      <c r="CM148" s="950"/>
      <c r="CN148" s="950"/>
      <c r="CO148" s="950"/>
      <c r="CP148" s="950"/>
      <c r="CQ148" s="950"/>
      <c r="CR148" s="2244"/>
      <c r="CS148" s="2244"/>
      <c r="CT148" s="2244"/>
      <c r="CU148" s="2244"/>
      <c r="CV148" s="2244"/>
      <c r="CW148" s="2244"/>
      <c r="CX148" s="2244"/>
      <c r="CY148" s="2244"/>
      <c r="CZ148" s="950"/>
      <c r="DA148" s="950"/>
      <c r="DB148" s="950"/>
      <c r="DC148" s="950"/>
      <c r="DD148" s="14"/>
      <c r="DE148" s="14"/>
      <c r="DF148" s="14"/>
      <c r="DG148" s="14"/>
      <c r="DH148" s="14"/>
      <c r="DI148"/>
      <c r="DJ148"/>
      <c r="DK148"/>
      <c r="DL148"/>
      <c r="DM148"/>
      <c r="DN148"/>
    </row>
    <row r="149" spans="1:118" s="41" customFormat="1">
      <c r="A149" s="14"/>
      <c r="B149" s="164" t="s">
        <v>422</v>
      </c>
      <c r="C149" s="14"/>
      <c r="D149" s="14"/>
      <c r="E149" s="14"/>
      <c r="F149" s="14"/>
      <c r="G149" s="14"/>
      <c r="H149" s="55"/>
      <c r="I149" s="950"/>
      <c r="J149" s="950"/>
      <c r="K149" s="950"/>
      <c r="L149" s="950"/>
      <c r="M149" s="950"/>
      <c r="N149" s="950"/>
      <c r="O149" s="950"/>
      <c r="P149" s="950"/>
      <c r="Q149" s="950"/>
      <c r="R149" s="950"/>
      <c r="S149" s="950"/>
      <c r="T149" s="950"/>
      <c r="U149" s="950"/>
      <c r="V149" s="950"/>
      <c r="W149" s="950"/>
      <c r="X149" s="950"/>
      <c r="Y149" s="950"/>
      <c r="Z149" s="950"/>
      <c r="AA149" s="950"/>
      <c r="AB149" s="950"/>
      <c r="AC149" s="950"/>
      <c r="AD149" s="950"/>
      <c r="AE149" s="2102"/>
      <c r="AF149" s="195"/>
      <c r="AG149" s="195"/>
      <c r="AH149" s="1024"/>
      <c r="AI149" s="1024"/>
      <c r="AJ149" s="1024"/>
      <c r="AK149" s="1024"/>
      <c r="AL149" s="1024"/>
      <c r="AM149" s="1024"/>
      <c r="AN149" s="1024"/>
      <c r="AO149" s="1024"/>
      <c r="AP149" s="1024"/>
      <c r="AQ149" s="1024"/>
      <c r="AR149" s="1024"/>
      <c r="AS149" s="1024"/>
      <c r="AT149" s="1024"/>
      <c r="AU149" s="1024"/>
      <c r="AV149" s="950"/>
      <c r="AW149" s="950"/>
      <c r="AX149" s="950"/>
      <c r="AY149" s="950"/>
      <c r="AZ149" s="950"/>
      <c r="BA149" s="950"/>
      <c r="BB149" s="950"/>
      <c r="BC149" s="950"/>
      <c r="BD149" s="950"/>
      <c r="BE149" s="950"/>
      <c r="BF149" s="950"/>
      <c r="BG149" s="950"/>
      <c r="BH149" s="950"/>
      <c r="BI149" s="950"/>
      <c r="BJ149" s="950"/>
      <c r="BK149" s="950"/>
      <c r="BL149" s="950"/>
      <c r="BM149" s="950"/>
      <c r="BN149" s="950"/>
      <c r="BO149" s="950"/>
      <c r="BP149" s="950"/>
      <c r="BQ149" s="950"/>
      <c r="BR149" s="950"/>
      <c r="BS149" s="950"/>
      <c r="BT149" s="950"/>
      <c r="BU149" s="950"/>
      <c r="BV149" s="950"/>
      <c r="BW149" s="950"/>
      <c r="BX149" s="950"/>
      <c r="BY149" s="950"/>
      <c r="BZ149" s="950"/>
      <c r="CA149" s="950"/>
      <c r="CB149" s="950"/>
      <c r="CC149" s="950"/>
      <c r="CD149" s="950"/>
      <c r="CE149" s="950"/>
      <c r="CF149" s="950"/>
      <c r="CG149" s="950"/>
      <c r="CH149" s="950"/>
      <c r="CI149" s="950"/>
      <c r="CJ149" s="950"/>
      <c r="CK149" s="950"/>
      <c r="CL149" s="950"/>
      <c r="CM149" s="950"/>
      <c r="CN149" s="950"/>
      <c r="CO149" s="950"/>
      <c r="CP149" s="950"/>
      <c r="CQ149" s="950"/>
      <c r="CR149" s="854"/>
      <c r="CS149" s="854"/>
      <c r="CT149" s="854"/>
      <c r="CU149" s="854"/>
      <c r="CV149" s="854"/>
      <c r="CW149" s="854"/>
      <c r="CX149" s="854"/>
      <c r="CY149" s="854"/>
      <c r="CZ149" s="950"/>
      <c r="DA149" s="950"/>
      <c r="DB149" s="950"/>
      <c r="DC149" s="950"/>
      <c r="DD149" s="14"/>
      <c r="DE149" s="14"/>
      <c r="DF149" s="14"/>
      <c r="DG149" s="14"/>
      <c r="DH149" s="14"/>
      <c r="DI149"/>
      <c r="DJ149"/>
      <c r="DK149"/>
      <c r="DL149"/>
      <c r="DM149"/>
      <c r="DN149"/>
    </row>
    <row r="150" spans="1:118" s="41" customFormat="1">
      <c r="A150" s="14"/>
      <c r="B150" s="164" t="s">
        <v>2134</v>
      </c>
      <c r="C150" s="14"/>
      <c r="D150" s="14"/>
      <c r="E150" s="14"/>
      <c r="F150" s="14"/>
      <c r="G150" s="14"/>
      <c r="H150" s="55"/>
      <c r="I150" s="950"/>
      <c r="J150" s="950"/>
      <c r="K150" s="950"/>
      <c r="L150" s="950"/>
      <c r="M150" s="950"/>
      <c r="N150" s="950"/>
      <c r="O150" s="950"/>
      <c r="P150" s="950"/>
      <c r="Q150" s="950"/>
      <c r="R150" s="950"/>
      <c r="S150" s="950"/>
      <c r="T150" s="950"/>
      <c r="U150" s="950"/>
      <c r="V150" s="950"/>
      <c r="W150" s="950"/>
      <c r="X150" s="950"/>
      <c r="Y150" s="950"/>
      <c r="Z150" s="950"/>
      <c r="AA150" s="950"/>
      <c r="AB150" s="950"/>
      <c r="AC150" s="950"/>
      <c r="AD150" s="950"/>
      <c r="AE150" s="2102"/>
      <c r="AF150" s="195"/>
      <c r="AG150" s="195"/>
      <c r="AH150" s="1024"/>
      <c r="AI150" s="1024"/>
      <c r="AJ150" s="1024"/>
      <c r="AK150" s="1024"/>
      <c r="AL150" s="1024"/>
      <c r="AM150" s="1024"/>
      <c r="AN150" s="1024"/>
      <c r="AO150" s="1024"/>
      <c r="AP150" s="1024"/>
      <c r="AQ150" s="1024"/>
      <c r="AR150" s="1024"/>
      <c r="AS150" s="1024"/>
      <c r="AT150" s="1024"/>
      <c r="AU150" s="1024"/>
      <c r="AV150" s="950"/>
      <c r="AW150" s="950"/>
      <c r="AX150" s="950"/>
      <c r="AY150" s="950"/>
      <c r="AZ150" s="950"/>
      <c r="BA150" s="950"/>
      <c r="BB150" s="950"/>
      <c r="BC150" s="950"/>
      <c r="BD150" s="950"/>
      <c r="BE150" s="950"/>
      <c r="BF150" s="950"/>
      <c r="BG150" s="950"/>
      <c r="BH150" s="950"/>
      <c r="BI150" s="950"/>
      <c r="BJ150" s="950"/>
      <c r="BK150" s="950"/>
      <c r="BL150" s="950"/>
      <c r="BM150" s="950"/>
      <c r="BN150" s="950"/>
      <c r="BO150" s="950"/>
      <c r="BP150" s="950"/>
      <c r="BQ150" s="950"/>
      <c r="BR150" s="950"/>
      <c r="BS150" s="950"/>
      <c r="BT150" s="950"/>
      <c r="BU150" s="950"/>
      <c r="BV150" s="950"/>
      <c r="BW150" s="950"/>
      <c r="BX150" s="950"/>
      <c r="BY150" s="950"/>
      <c r="BZ150" s="950"/>
      <c r="CA150" s="950"/>
      <c r="CB150" s="950"/>
      <c r="CC150" s="950"/>
      <c r="CD150" s="950"/>
      <c r="CE150" s="950"/>
      <c r="CF150" s="950"/>
      <c r="CG150" s="950"/>
      <c r="CH150" s="950"/>
      <c r="CI150" s="950"/>
      <c r="CJ150" s="950"/>
      <c r="CK150" s="950"/>
      <c r="CL150" s="950"/>
      <c r="CM150" s="950"/>
      <c r="CN150" s="950"/>
      <c r="CO150" s="950"/>
      <c r="CP150" s="950"/>
      <c r="CQ150" s="950"/>
      <c r="CR150" s="2250"/>
      <c r="CS150" s="2250"/>
      <c r="CT150" s="2250"/>
      <c r="CU150" s="2250"/>
      <c r="CV150" s="2250"/>
      <c r="CW150" s="2250"/>
      <c r="CX150" s="2250"/>
      <c r="CY150" s="2250"/>
      <c r="CZ150" s="950"/>
      <c r="DA150" s="950"/>
      <c r="DB150" s="950"/>
      <c r="DC150" s="950"/>
      <c r="DD150" s="14"/>
      <c r="DE150" s="14"/>
      <c r="DF150" s="14"/>
      <c r="DG150" s="14"/>
      <c r="DH150" s="14"/>
      <c r="DI150"/>
      <c r="DJ150"/>
      <c r="DK150"/>
      <c r="DL150"/>
      <c r="DM150"/>
      <c r="DN150"/>
    </row>
    <row r="151" spans="1:118" s="41" customFormat="1">
      <c r="A151" s="14"/>
      <c r="B151" s="164" t="s">
        <v>2472</v>
      </c>
      <c r="C151" s="14"/>
      <c r="D151" s="14"/>
      <c r="E151" s="14"/>
      <c r="F151" s="14"/>
      <c r="G151" s="14"/>
      <c r="H151" s="55"/>
      <c r="I151" s="950"/>
      <c r="J151" s="950"/>
      <c r="K151" s="950"/>
      <c r="L151" s="950"/>
      <c r="M151" s="950"/>
      <c r="N151" s="950"/>
      <c r="O151" s="950"/>
      <c r="P151" s="950"/>
      <c r="Q151" s="950"/>
      <c r="R151" s="950"/>
      <c r="S151" s="950"/>
      <c r="T151" s="950"/>
      <c r="U151" s="950"/>
      <c r="V151" s="950"/>
      <c r="W151" s="950"/>
      <c r="X151" s="950"/>
      <c r="Y151" s="950"/>
      <c r="Z151" s="950"/>
      <c r="AA151" s="950"/>
      <c r="AB151" s="950"/>
      <c r="AC151" s="950"/>
      <c r="AD151" s="950"/>
      <c r="AE151" s="2102"/>
      <c r="AF151" s="195"/>
      <c r="AG151" s="195"/>
      <c r="AH151" s="1024"/>
      <c r="AI151" s="1024"/>
      <c r="AJ151" s="1024"/>
      <c r="AK151" s="1024"/>
      <c r="AL151" s="1024"/>
      <c r="AM151" s="1024"/>
      <c r="AN151" s="1024"/>
      <c r="AO151" s="1024"/>
      <c r="AP151" s="1024"/>
      <c r="AQ151" s="1024"/>
      <c r="AR151" s="1024"/>
      <c r="AS151" s="1024"/>
      <c r="AT151" s="1024"/>
      <c r="AU151" s="1024"/>
      <c r="AV151" s="950"/>
      <c r="AW151" s="950"/>
      <c r="AX151" s="950"/>
      <c r="AY151" s="950"/>
      <c r="AZ151" s="950"/>
      <c r="BA151" s="950"/>
      <c r="BB151" s="950"/>
      <c r="BC151" s="950"/>
      <c r="BD151" s="950"/>
      <c r="BE151" s="950"/>
      <c r="BF151" s="950"/>
      <c r="BG151" s="950"/>
      <c r="BH151" s="950"/>
      <c r="BI151" s="950"/>
      <c r="BJ151" s="950"/>
      <c r="BK151" s="950"/>
      <c r="BL151" s="950"/>
      <c r="BM151" s="950"/>
      <c r="BN151" s="950"/>
      <c r="BO151" s="950"/>
      <c r="BP151" s="950"/>
      <c r="BQ151" s="950"/>
      <c r="BR151" s="950"/>
      <c r="BS151" s="950"/>
      <c r="BT151" s="950"/>
      <c r="BU151" s="950"/>
      <c r="BV151" s="950"/>
      <c r="BW151" s="950"/>
      <c r="BX151" s="950"/>
      <c r="BY151" s="950"/>
      <c r="BZ151" s="950"/>
      <c r="CA151" s="950"/>
      <c r="CB151" s="950"/>
      <c r="CC151" s="950"/>
      <c r="CD151" s="950"/>
      <c r="CE151" s="950"/>
      <c r="CF151" s="950"/>
      <c r="CG151" s="950"/>
      <c r="CH151" s="950"/>
      <c r="CI151" s="950"/>
      <c r="CJ151" s="950"/>
      <c r="CK151" s="950"/>
      <c r="CL151" s="950"/>
      <c r="CM151" s="950"/>
      <c r="CN151" s="950"/>
      <c r="CO151" s="950"/>
      <c r="CP151" s="950"/>
      <c r="CQ151" s="950"/>
      <c r="CR151" s="2244"/>
      <c r="CS151" s="2244"/>
      <c r="CT151" s="2244"/>
      <c r="CU151" s="2244"/>
      <c r="CV151" s="2244"/>
      <c r="CW151" s="2244"/>
      <c r="CX151" s="2244"/>
      <c r="CY151" s="2244"/>
      <c r="CZ151" s="950"/>
      <c r="DA151" s="950"/>
      <c r="DB151" s="950"/>
      <c r="DC151" s="950"/>
      <c r="DD151" s="14"/>
      <c r="DE151" s="14"/>
      <c r="DF151" s="14"/>
      <c r="DG151" s="14"/>
      <c r="DH151" s="14"/>
      <c r="DI151"/>
      <c r="DJ151"/>
      <c r="DK151"/>
      <c r="DL151"/>
      <c r="DM151"/>
      <c r="DN151"/>
    </row>
    <row r="152" spans="1:118" s="41" customFormat="1">
      <c r="A152" s="14"/>
      <c r="B152" s="17"/>
      <c r="C152" s="14"/>
      <c r="D152" s="14"/>
      <c r="E152" s="14"/>
      <c r="F152" s="14"/>
      <c r="G152" s="14"/>
      <c r="H152" s="55"/>
      <c r="I152" s="950"/>
      <c r="J152" s="950"/>
      <c r="K152" s="950"/>
      <c r="L152" s="950"/>
      <c r="M152" s="950"/>
      <c r="N152" s="950"/>
      <c r="O152" s="950"/>
      <c r="P152" s="950"/>
      <c r="Q152" s="950"/>
      <c r="R152" s="950"/>
      <c r="S152" s="950"/>
      <c r="T152" s="950"/>
      <c r="U152" s="950"/>
      <c r="V152" s="950"/>
      <c r="W152" s="950"/>
      <c r="X152" s="950"/>
      <c r="Y152" s="950"/>
      <c r="Z152" s="950"/>
      <c r="AA152" s="950"/>
      <c r="AB152" s="950"/>
      <c r="AC152" s="950"/>
      <c r="AD152" s="950"/>
      <c r="AE152" s="2102"/>
      <c r="AF152" s="195"/>
      <c r="AG152" s="195"/>
      <c r="AH152" s="1024"/>
      <c r="AI152" s="1024"/>
      <c r="AJ152" s="1024"/>
      <c r="AK152" s="1024"/>
      <c r="AL152" s="1024"/>
      <c r="AM152" s="1024"/>
      <c r="AN152" s="1024"/>
      <c r="AO152" s="1024"/>
      <c r="AP152" s="1024"/>
      <c r="AQ152" s="1024"/>
      <c r="AR152" s="1024"/>
      <c r="AS152" s="1024"/>
      <c r="AT152" s="1024"/>
      <c r="AU152" s="1024"/>
      <c r="AV152" s="950"/>
      <c r="AW152" s="950"/>
      <c r="AX152" s="950"/>
      <c r="AY152" s="950"/>
      <c r="AZ152" s="950"/>
      <c r="BA152" s="950"/>
      <c r="BB152" s="950"/>
      <c r="BC152" s="950"/>
      <c r="BD152" s="950"/>
      <c r="BE152" s="950"/>
      <c r="BF152" s="950"/>
      <c r="BG152" s="950"/>
      <c r="BH152" s="950"/>
      <c r="BI152" s="950"/>
      <c r="BJ152" s="950"/>
      <c r="BK152" s="950"/>
      <c r="BL152" s="950"/>
      <c r="BM152" s="950"/>
      <c r="BN152" s="950"/>
      <c r="BO152" s="950"/>
      <c r="BP152" s="950"/>
      <c r="BQ152" s="950"/>
      <c r="BR152" s="950"/>
      <c r="BS152" s="950"/>
      <c r="BT152" s="950"/>
      <c r="BU152" s="950"/>
      <c r="BV152" s="950"/>
      <c r="BW152" s="950"/>
      <c r="BX152" s="950"/>
      <c r="BY152" s="950"/>
      <c r="BZ152" s="950"/>
      <c r="CA152" s="950"/>
      <c r="CB152" s="950"/>
      <c r="CC152" s="950"/>
      <c r="CD152" s="950"/>
      <c r="CE152" s="950"/>
      <c r="CF152" s="950"/>
      <c r="CG152" s="950"/>
      <c r="CH152" s="950"/>
      <c r="CI152" s="950"/>
      <c r="CJ152" s="950"/>
      <c r="CK152" s="950"/>
      <c r="CL152" s="950"/>
      <c r="CM152" s="950"/>
      <c r="CN152" s="950"/>
      <c r="CO152" s="950"/>
      <c r="CP152" s="950"/>
      <c r="CQ152" s="950"/>
      <c r="CR152" s="2244"/>
      <c r="CS152" s="2244"/>
      <c r="CT152" s="2244"/>
      <c r="CU152" s="2244"/>
      <c r="CV152" s="2244"/>
      <c r="CW152" s="2244"/>
      <c r="CX152" s="2244"/>
      <c r="CY152" s="2244"/>
      <c r="CZ152" s="950"/>
      <c r="DA152" s="950"/>
      <c r="DB152" s="950"/>
      <c r="DC152" s="950"/>
      <c r="DD152" s="14"/>
      <c r="DE152" s="14"/>
      <c r="DF152" s="14"/>
      <c r="DG152" s="14"/>
      <c r="DH152" s="14"/>
      <c r="DI152"/>
      <c r="DJ152"/>
      <c r="DK152"/>
      <c r="DL152"/>
      <c r="DM152"/>
      <c r="DN152"/>
    </row>
    <row r="153" spans="1:118">
      <c r="A153" s="1163" t="s">
        <v>604</v>
      </c>
      <c r="B153" s="66" t="s">
        <v>67</v>
      </c>
      <c r="C153" s="60"/>
      <c r="D153" s="60"/>
      <c r="E153" s="60"/>
      <c r="F153" s="60"/>
      <c r="G153" s="60"/>
      <c r="H153" s="60"/>
      <c r="I153" s="60"/>
      <c r="J153" s="60"/>
      <c r="K153" s="275"/>
      <c r="L153" s="275"/>
      <c r="M153" s="275"/>
      <c r="N153" s="275"/>
      <c r="O153" s="60"/>
      <c r="P153" s="60"/>
      <c r="Q153" s="60"/>
      <c r="R153" s="275"/>
      <c r="S153" s="275"/>
      <c r="T153" s="275"/>
      <c r="U153" s="275"/>
      <c r="V153" s="275"/>
      <c r="W153" s="275"/>
      <c r="X153" s="60"/>
      <c r="Y153" s="60"/>
      <c r="Z153" s="60"/>
      <c r="AA153" s="60"/>
      <c r="AB153" s="60"/>
      <c r="AC153" s="60"/>
      <c r="AD153" s="60"/>
      <c r="AE153" s="15"/>
      <c r="AF153" s="276"/>
      <c r="AG153" s="276"/>
      <c r="AH153" s="276"/>
      <c r="AI153" s="276"/>
      <c r="AJ153" s="276"/>
      <c r="AK153" s="276"/>
      <c r="AL153" s="276"/>
      <c r="AM153" s="276"/>
      <c r="AN153" s="276"/>
      <c r="AO153" s="276"/>
      <c r="AP153" s="276"/>
      <c r="AQ153" s="276"/>
      <c r="AR153" s="276"/>
      <c r="AS153" s="276"/>
      <c r="AT153" s="276"/>
      <c r="AU153" s="276"/>
      <c r="AV153" s="276"/>
      <c r="AW153" s="276"/>
      <c r="AX153" s="276"/>
      <c r="AY153" s="276"/>
      <c r="AZ153" s="60"/>
      <c r="BA153" s="60"/>
      <c r="BB153" s="60"/>
      <c r="BC153" s="60"/>
      <c r="BD153" s="60"/>
      <c r="BE153" s="60"/>
      <c r="BF153" s="60"/>
      <c r="BG153" s="60"/>
      <c r="BH153" s="60"/>
      <c r="BI153" s="60"/>
      <c r="BJ153" s="60"/>
      <c r="BK153" s="60"/>
      <c r="BL153" s="60"/>
      <c r="BM153" s="60"/>
      <c r="BN153" s="60"/>
      <c r="BO153" s="60"/>
      <c r="BP153" s="60"/>
      <c r="BQ153" s="60"/>
      <c r="BR153" s="60"/>
      <c r="BS153" s="60"/>
      <c r="BT153" s="60"/>
      <c r="BU153" s="60"/>
      <c r="BV153" s="60"/>
      <c r="BW153" s="60"/>
      <c r="BX153" s="60"/>
      <c r="BY153" s="60"/>
      <c r="BZ153" s="60"/>
      <c r="CA153" s="60"/>
      <c r="CB153" s="60"/>
      <c r="CC153" s="60"/>
      <c r="CD153" s="275"/>
      <c r="CE153" s="275"/>
      <c r="CF153" s="275"/>
      <c r="CG153" s="275"/>
      <c r="CH153" s="275"/>
      <c r="CI153" s="275"/>
      <c r="CJ153" s="275"/>
      <c r="CK153" s="275"/>
      <c r="CL153" s="275"/>
      <c r="CM153" s="275"/>
      <c r="CN153" s="275"/>
      <c r="CO153" s="275"/>
      <c r="CP153" s="60"/>
      <c r="CQ153" s="60"/>
      <c r="CR153" s="60"/>
      <c r="CS153" s="60"/>
      <c r="CT153" s="60"/>
      <c r="CU153" s="60"/>
      <c r="CV153" s="60"/>
      <c r="CW153" s="60"/>
      <c r="CX153" s="60"/>
      <c r="CY153" s="60"/>
      <c r="CZ153" s="60"/>
      <c r="DA153" s="60"/>
      <c r="DB153" s="60"/>
      <c r="DC153" s="60"/>
    </row>
    <row r="154" spans="1:118">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c r="AA154" s="15"/>
      <c r="AB154" s="15"/>
      <c r="AC154" s="15"/>
      <c r="AD154" s="15"/>
      <c r="AE154" s="15"/>
      <c r="AF154" s="789"/>
      <c r="AG154" s="789"/>
      <c r="AH154" s="789"/>
      <c r="AI154" s="789"/>
      <c r="AJ154" s="789"/>
      <c r="AK154" s="789"/>
      <c r="AL154" s="789"/>
      <c r="AM154" s="789"/>
      <c r="AN154" s="789"/>
      <c r="AO154" s="789"/>
      <c r="AP154" s="789"/>
      <c r="AQ154" s="789"/>
      <c r="AR154" s="789"/>
      <c r="AS154" s="789"/>
      <c r="AT154" s="789"/>
      <c r="AU154" s="789"/>
      <c r="AV154" s="789"/>
      <c r="AW154" s="789"/>
      <c r="AX154" s="789"/>
      <c r="AY154" s="789"/>
      <c r="AZ154" s="15"/>
      <c r="BA154" s="15"/>
      <c r="BB154" s="15"/>
      <c r="BC154" s="15"/>
      <c r="BD154" s="15"/>
      <c r="BE154" s="15"/>
      <c r="BF154" s="15"/>
      <c r="BG154" s="15"/>
      <c r="BH154" s="15"/>
      <c r="BI154" s="15"/>
      <c r="BJ154" s="15"/>
      <c r="BK154" s="15"/>
      <c r="BL154" s="15"/>
      <c r="BM154" s="15"/>
      <c r="BN154" s="15"/>
      <c r="BO154" s="15"/>
      <c r="BP154" s="15"/>
      <c r="BQ154" s="15"/>
      <c r="BR154" s="15"/>
      <c r="BS154" s="15"/>
      <c r="BT154" s="15"/>
      <c r="BU154" s="15"/>
      <c r="BV154" s="15"/>
      <c r="BW154" s="15"/>
      <c r="BX154" s="15"/>
      <c r="BY154" s="15"/>
      <c r="BZ154" s="15"/>
      <c r="CA154" s="15"/>
      <c r="CB154" s="15"/>
      <c r="CC154" s="15"/>
      <c r="CD154" s="15"/>
      <c r="CE154" s="15"/>
      <c r="CF154" s="15"/>
      <c r="CG154" s="15"/>
      <c r="CH154" s="15"/>
      <c r="CI154" s="15"/>
      <c r="CJ154" s="15"/>
      <c r="CK154" s="15"/>
      <c r="CL154" s="15"/>
      <c r="CM154" s="15"/>
      <c r="CN154" s="15"/>
      <c r="CO154" s="15"/>
      <c r="CP154" s="15"/>
      <c r="CQ154" s="15"/>
      <c r="CR154" s="15"/>
      <c r="CS154" s="15"/>
      <c r="CT154" s="15"/>
      <c r="CU154" s="15"/>
      <c r="CV154" s="15"/>
      <c r="CW154" s="15"/>
      <c r="CX154" s="15"/>
      <c r="CY154" s="15"/>
      <c r="CZ154" s="15"/>
      <c r="DA154" s="15"/>
      <c r="DB154" s="15"/>
      <c r="DC154" s="15"/>
    </row>
    <row r="155" spans="1:118">
      <c r="B155" s="17" t="s">
        <v>1975</v>
      </c>
      <c r="C155" s="15"/>
      <c r="D155" s="15"/>
      <c r="E155" s="783">
        <v>51.305</v>
      </c>
      <c r="F155" s="783">
        <v>54.194000000000003</v>
      </c>
      <c r="G155" s="783">
        <v>61.761000000000003</v>
      </c>
      <c r="H155" s="783">
        <v>64.557000000000002</v>
      </c>
      <c r="I155" s="783">
        <v>89.96</v>
      </c>
      <c r="J155" s="783">
        <v>151.232</v>
      </c>
      <c r="K155" s="783">
        <v>191.24299999999999</v>
      </c>
      <c r="L155" s="783">
        <v>503.755</v>
      </c>
      <c r="M155" s="398">
        <v>651.82000000000005</v>
      </c>
      <c r="N155" s="26">
        <f>BS155</f>
        <v>925.36</v>
      </c>
      <c r="O155" s="26">
        <f>BW155</f>
        <v>1522.5609999999999</v>
      </c>
      <c r="P155" s="26"/>
      <c r="Q155" s="26"/>
      <c r="R155" s="26"/>
      <c r="S155" s="26"/>
      <c r="T155" s="26"/>
      <c r="U155" s="26"/>
      <c r="V155" s="26"/>
      <c r="W155" s="26"/>
      <c r="X155" s="15"/>
      <c r="Y155" s="15"/>
      <c r="Z155" s="15"/>
      <c r="AA155" s="15"/>
      <c r="AB155" s="15"/>
      <c r="AC155" s="15"/>
      <c r="AD155" s="15"/>
      <c r="AE155" s="15"/>
      <c r="AF155" s="789"/>
      <c r="AG155" s="789"/>
      <c r="AH155" s="789"/>
      <c r="AI155" s="54">
        <f>E155</f>
        <v>51.305</v>
      </c>
      <c r="AJ155" s="398">
        <v>51.453000000000003</v>
      </c>
      <c r="AK155" s="398">
        <v>51.473999999999997</v>
      </c>
      <c r="AL155" s="398">
        <v>51.640999999999998</v>
      </c>
      <c r="AM155" s="54">
        <f>F155</f>
        <v>54.194000000000003</v>
      </c>
      <c r="AN155" s="398">
        <v>54.220999999999997</v>
      </c>
      <c r="AO155" s="398">
        <v>54.220999999999997</v>
      </c>
      <c r="AP155" s="398">
        <v>54.220999999999997</v>
      </c>
      <c r="AQ155" s="54">
        <f>G155</f>
        <v>61.761000000000003</v>
      </c>
      <c r="AR155" s="398">
        <v>61.628999999999998</v>
      </c>
      <c r="AS155" s="398">
        <v>61.869</v>
      </c>
      <c r="AT155" s="398">
        <v>62.098999999999997</v>
      </c>
      <c r="AU155" s="54">
        <f>H155</f>
        <v>64.557000000000002</v>
      </c>
      <c r="AV155" s="398">
        <v>65.084999999999994</v>
      </c>
      <c r="AW155" s="398">
        <v>65.317999999999998</v>
      </c>
      <c r="AX155" s="398">
        <v>65.596999999999994</v>
      </c>
      <c r="AY155" s="26">
        <f>I155</f>
        <v>89.96</v>
      </c>
      <c r="AZ155" s="398">
        <v>103.27800000000001</v>
      </c>
      <c r="BA155" s="398">
        <v>104.735</v>
      </c>
      <c r="BB155" s="398">
        <v>136.40100000000001</v>
      </c>
      <c r="BC155" s="26">
        <f>J155</f>
        <v>151.232</v>
      </c>
      <c r="BD155" s="398">
        <v>148.43600000000001</v>
      </c>
      <c r="BE155" s="398">
        <v>171.089</v>
      </c>
      <c r="BF155" s="398">
        <v>178.54</v>
      </c>
      <c r="BG155" s="26">
        <f t="shared" ref="BG155:BG163" si="335">K155</f>
        <v>191.24299999999999</v>
      </c>
      <c r="BH155" s="398">
        <v>207.93600000000001</v>
      </c>
      <c r="BI155" s="398">
        <v>224.44800000000001</v>
      </c>
      <c r="BJ155" s="398">
        <v>314.209</v>
      </c>
      <c r="BK155" s="26">
        <f>L155</f>
        <v>503.755</v>
      </c>
      <c r="BL155" s="398">
        <v>531.89800000000002</v>
      </c>
      <c r="BM155" s="398">
        <v>637.11199999999997</v>
      </c>
      <c r="BN155" s="398">
        <v>629.82500000000005</v>
      </c>
      <c r="BO155" s="26">
        <f t="shared" ref="BO155:BO163" si="336">M155</f>
        <v>651.82000000000005</v>
      </c>
      <c r="BP155" s="398">
        <v>661.65499999999997</v>
      </c>
      <c r="BQ155" s="398">
        <v>777.399</v>
      </c>
      <c r="BR155" s="398">
        <v>903.62400000000002</v>
      </c>
      <c r="BS155" s="398">
        <v>925.36</v>
      </c>
      <c r="BT155" s="398">
        <v>970.654</v>
      </c>
      <c r="BU155" s="398">
        <v>1258.4110000000001</v>
      </c>
      <c r="BV155" s="398">
        <v>1415.423</v>
      </c>
      <c r="BW155" s="398">
        <v>1522.5609999999999</v>
      </c>
      <c r="BX155" s="398">
        <v>1576.807</v>
      </c>
      <c r="BY155" s="398">
        <v>1772.1759999999999</v>
      </c>
      <c r="BZ155" s="398">
        <v>1788.3889999999999</v>
      </c>
      <c r="CA155" s="398">
        <v>1833.8340000000001</v>
      </c>
      <c r="CB155" s="398">
        <v>1863.7139999999999</v>
      </c>
      <c r="CC155" s="398">
        <v>1880.085</v>
      </c>
      <c r="CD155" s="398">
        <v>2215.7649999999999</v>
      </c>
      <c r="CE155" s="398">
        <v>2304.36</v>
      </c>
      <c r="CF155" s="398">
        <v>2391.2269999999999</v>
      </c>
      <c r="CG155" s="398">
        <v>2441.9009999999998</v>
      </c>
      <c r="CH155" s="398">
        <v>2501.9029999999998</v>
      </c>
      <c r="CI155" s="398">
        <v>2640.9070000000002</v>
      </c>
      <c r="CJ155" s="398">
        <v>2707.3530000000001</v>
      </c>
      <c r="CK155" s="398">
        <v>2759.0549999999998</v>
      </c>
      <c r="CL155" s="2076"/>
      <c r="CM155" s="398">
        <v>3252.569</v>
      </c>
      <c r="CN155" s="2076"/>
      <c r="CO155" s="2076"/>
      <c r="CP155" s="2076"/>
      <c r="CQ155" s="398">
        <v>3820.7719999999999</v>
      </c>
      <c r="CR155" s="2323"/>
      <c r="CS155" s="2323"/>
      <c r="CT155" s="2323"/>
      <c r="CU155" s="398">
        <v>4760.8680000000004</v>
      </c>
      <c r="CV155" s="398"/>
      <c r="CW155" s="398"/>
      <c r="CX155" s="398"/>
      <c r="CY155" s="398"/>
      <c r="CZ155" s="15"/>
      <c r="DA155" s="15"/>
      <c r="DB155" s="15"/>
      <c r="DC155" s="15"/>
    </row>
    <row r="156" spans="1:118">
      <c r="B156" s="876" t="s">
        <v>1479</v>
      </c>
      <c r="C156" s="15"/>
      <c r="D156" s="15"/>
      <c r="E156" s="783">
        <v>243.851</v>
      </c>
      <c r="F156" s="783">
        <v>285.08999999999997</v>
      </c>
      <c r="G156" s="783">
        <v>384.334</v>
      </c>
      <c r="H156" s="783">
        <v>383.57400000000001</v>
      </c>
      <c r="I156" s="783">
        <v>402.62</v>
      </c>
      <c r="J156" s="783">
        <v>402.20800000000003</v>
      </c>
      <c r="K156" s="783">
        <v>417.85599999999999</v>
      </c>
      <c r="L156" s="783">
        <v>481.40899999999999</v>
      </c>
      <c r="M156" s="398">
        <v>472.709</v>
      </c>
      <c r="N156" s="26">
        <f t="shared" ref="N156:N163" si="337">BS156</f>
        <v>552.548</v>
      </c>
      <c r="O156" s="26">
        <f t="shared" ref="O156:O163" si="338">BW156</f>
        <v>884.654</v>
      </c>
      <c r="P156" s="15"/>
      <c r="Q156" s="15"/>
      <c r="R156" s="15"/>
      <c r="S156" s="15"/>
      <c r="T156" s="15"/>
      <c r="U156" s="15"/>
      <c r="V156" s="15"/>
      <c r="W156" s="15"/>
      <c r="X156" s="15"/>
      <c r="Y156" s="15"/>
      <c r="Z156" s="15"/>
      <c r="AA156" s="15"/>
      <c r="AB156" s="15"/>
      <c r="AC156" s="15"/>
      <c r="AD156" s="15"/>
      <c r="AE156" s="15"/>
      <c r="AF156" s="789"/>
      <c r="AG156" s="789"/>
      <c r="AH156" s="789"/>
      <c r="AI156" s="54">
        <f t="shared" ref="AI156:AI165" si="339">E156</f>
        <v>243.851</v>
      </c>
      <c r="AJ156" s="398">
        <v>278.84300000000002</v>
      </c>
      <c r="AK156" s="398">
        <v>280.46800000000002</v>
      </c>
      <c r="AL156" s="398">
        <v>279.12</v>
      </c>
      <c r="AM156" s="54">
        <f t="shared" ref="AM156:AM165" si="340">F156</f>
        <v>285.08999999999997</v>
      </c>
      <c r="AN156" s="398">
        <v>385.75400000000002</v>
      </c>
      <c r="AO156" s="398">
        <v>377.68400000000003</v>
      </c>
      <c r="AP156" s="398">
        <v>377.75700000000001</v>
      </c>
      <c r="AQ156" s="54">
        <f t="shared" ref="AQ156:AQ165" si="341">G156</f>
        <v>384.334</v>
      </c>
      <c r="AR156" s="398">
        <v>380.50299999999999</v>
      </c>
      <c r="AS156" s="398">
        <v>381.27699999999999</v>
      </c>
      <c r="AT156" s="398">
        <v>381.39499999999998</v>
      </c>
      <c r="AU156" s="54">
        <f t="shared" ref="AU156:AU165" si="342">H156</f>
        <v>383.57400000000001</v>
      </c>
      <c r="AV156" s="398">
        <v>385.79700000000003</v>
      </c>
      <c r="AW156" s="398">
        <v>387.12299999999999</v>
      </c>
      <c r="AX156" s="398">
        <v>392.46899999999999</v>
      </c>
      <c r="AY156" s="26">
        <f>I156</f>
        <v>402.62</v>
      </c>
      <c r="AZ156" s="398">
        <v>407.00099999999998</v>
      </c>
      <c r="BA156" s="398">
        <v>407.90600000000001</v>
      </c>
      <c r="BB156" s="398">
        <v>397.09399999999999</v>
      </c>
      <c r="BC156" s="26">
        <f t="shared" ref="BC156:BC165" si="343">J156</f>
        <v>402.20800000000003</v>
      </c>
      <c r="BD156" s="398">
        <v>398.79399999999998</v>
      </c>
      <c r="BE156" s="398">
        <v>410.52600000000001</v>
      </c>
      <c r="BF156" s="398">
        <v>416.72899999999998</v>
      </c>
      <c r="BG156" s="26">
        <f t="shared" si="335"/>
        <v>417.85599999999999</v>
      </c>
      <c r="BH156" s="398">
        <v>419.53300000000002</v>
      </c>
      <c r="BI156" s="398">
        <v>421.71499999999997</v>
      </c>
      <c r="BJ156" s="398">
        <v>392.88299999999998</v>
      </c>
      <c r="BK156" s="26">
        <f t="shared" ref="BK156:BK165" si="344">L156</f>
        <v>481.40899999999999</v>
      </c>
      <c r="BL156" s="398">
        <v>485.10199999999998</v>
      </c>
      <c r="BM156" s="398">
        <v>511.83600000000001</v>
      </c>
      <c r="BN156" s="398">
        <v>539.07899999999995</v>
      </c>
      <c r="BO156" s="26">
        <f t="shared" si="336"/>
        <v>472.709</v>
      </c>
      <c r="BP156" s="398">
        <v>481.54599999999999</v>
      </c>
      <c r="BQ156" s="398">
        <v>520.23800000000006</v>
      </c>
      <c r="BR156" s="398">
        <v>536.67399999999998</v>
      </c>
      <c r="BS156" s="398">
        <v>552.548</v>
      </c>
      <c r="BT156" s="398">
        <v>571.404</v>
      </c>
      <c r="BU156" s="398">
        <v>875.05100000000004</v>
      </c>
      <c r="BV156" s="398">
        <v>936.44200000000001</v>
      </c>
      <c r="BW156" s="398">
        <v>884.654</v>
      </c>
      <c r="BX156" s="398">
        <v>854.80899999999997</v>
      </c>
      <c r="BY156" s="398">
        <v>965.98</v>
      </c>
      <c r="BZ156" s="398">
        <v>947.32299999999998</v>
      </c>
      <c r="CA156" s="398">
        <v>958.39099999999996</v>
      </c>
      <c r="CB156" s="398">
        <v>975.44</v>
      </c>
      <c r="CC156" s="398">
        <v>976.76099999999997</v>
      </c>
      <c r="CD156" s="398">
        <v>1062.462</v>
      </c>
      <c r="CE156" s="398">
        <v>1078.8340000000001</v>
      </c>
      <c r="CF156" s="398">
        <v>1088.335</v>
      </c>
      <c r="CG156" s="398">
        <v>1101.328</v>
      </c>
      <c r="CH156" s="398">
        <v>1016.048</v>
      </c>
      <c r="CI156" s="398">
        <v>1039.847</v>
      </c>
      <c r="CJ156" s="398">
        <v>1069.414</v>
      </c>
      <c r="CK156" s="398">
        <v>1069.296</v>
      </c>
      <c r="CL156" s="2076"/>
      <c r="CM156" s="398">
        <v>1053.451</v>
      </c>
      <c r="CN156" s="2076"/>
      <c r="CO156" s="2076"/>
      <c r="CP156" s="2076"/>
      <c r="CQ156" s="398">
        <v>1204.9000000000001</v>
      </c>
      <c r="CR156" s="2323"/>
      <c r="CS156" s="2323"/>
      <c r="CT156" s="2323"/>
      <c r="CU156" s="398">
        <v>1599.424</v>
      </c>
      <c r="CV156" s="398"/>
      <c r="CW156" s="398"/>
      <c r="CX156" s="398"/>
      <c r="CY156" s="398"/>
      <c r="CZ156" s="15"/>
      <c r="DA156" s="15"/>
      <c r="DB156" s="15"/>
      <c r="DC156" s="15"/>
    </row>
    <row r="157" spans="1:118">
      <c r="B157" s="876" t="s">
        <v>1480</v>
      </c>
      <c r="C157" s="15"/>
      <c r="D157" s="15"/>
      <c r="E157" s="783"/>
      <c r="F157" s="783"/>
      <c r="G157" s="783"/>
      <c r="H157" s="783"/>
      <c r="I157" s="783"/>
      <c r="J157" s="783">
        <v>51.279000000000003</v>
      </c>
      <c r="K157" s="783">
        <v>50.526000000000003</v>
      </c>
      <c r="L157" s="783">
        <v>153.69200000000001</v>
      </c>
      <c r="M157" s="398">
        <v>196.00899999999999</v>
      </c>
      <c r="N157" s="26">
        <f t="shared" si="337"/>
        <v>277.24700000000001</v>
      </c>
      <c r="O157" s="26">
        <f t="shared" si="338"/>
        <v>339.63600000000002</v>
      </c>
      <c r="P157" s="15"/>
      <c r="Q157" s="15"/>
      <c r="R157" s="15"/>
      <c r="S157" s="15"/>
      <c r="T157" s="15"/>
      <c r="U157" s="15"/>
      <c r="V157" s="15"/>
      <c r="W157" s="15"/>
      <c r="X157" s="15"/>
      <c r="Y157" s="15"/>
      <c r="Z157" s="15"/>
      <c r="AA157" s="15"/>
      <c r="AB157" s="15"/>
      <c r="AC157" s="15"/>
      <c r="AD157" s="15"/>
      <c r="AE157" s="15"/>
      <c r="AF157" s="789"/>
      <c r="AG157" s="789"/>
      <c r="AH157" s="789"/>
      <c r="AI157" s="54"/>
      <c r="AJ157" s="398"/>
      <c r="AK157" s="398"/>
      <c r="AL157" s="398"/>
      <c r="AM157" s="54"/>
      <c r="AN157" s="398"/>
      <c r="AO157" s="398"/>
      <c r="AP157" s="398"/>
      <c r="AQ157" s="54"/>
      <c r="AR157" s="398"/>
      <c r="AS157" s="398"/>
      <c r="AT157" s="398"/>
      <c r="AU157" s="54"/>
      <c r="AV157" s="398"/>
      <c r="AW157" s="398"/>
      <c r="AX157" s="398"/>
      <c r="AY157" s="26"/>
      <c r="AZ157" s="398"/>
      <c r="BA157" s="398"/>
      <c r="BB157" s="398">
        <v>11.134</v>
      </c>
      <c r="BC157" s="26">
        <f t="shared" si="343"/>
        <v>51.279000000000003</v>
      </c>
      <c r="BD157" s="398">
        <v>50.526000000000003</v>
      </c>
      <c r="BE157" s="398">
        <v>50.526000000000003</v>
      </c>
      <c r="BF157" s="398">
        <v>50.526000000000003</v>
      </c>
      <c r="BG157" s="26">
        <f t="shared" si="335"/>
        <v>50.526000000000003</v>
      </c>
      <c r="BH157" s="398">
        <v>68.98</v>
      </c>
      <c r="BI157" s="398">
        <v>78.619</v>
      </c>
      <c r="BJ157" s="398">
        <v>109.273</v>
      </c>
      <c r="BK157" s="26">
        <f t="shared" si="344"/>
        <v>153.69200000000001</v>
      </c>
      <c r="BL157" s="398">
        <v>158.143</v>
      </c>
      <c r="BM157" s="398">
        <v>158.46899999999999</v>
      </c>
      <c r="BN157" s="398">
        <v>156.51</v>
      </c>
      <c r="BO157" s="26">
        <f t="shared" si="336"/>
        <v>196.00899999999999</v>
      </c>
      <c r="BP157" s="398">
        <v>199.71899999999999</v>
      </c>
      <c r="BQ157" s="398">
        <v>203.98</v>
      </c>
      <c r="BR157" s="398">
        <v>277.911</v>
      </c>
      <c r="BS157" s="398">
        <v>277.24700000000001</v>
      </c>
      <c r="BT157" s="398">
        <v>274.464</v>
      </c>
      <c r="BU157" s="398">
        <v>263.589</v>
      </c>
      <c r="BV157" s="398">
        <v>318.37700000000001</v>
      </c>
      <c r="BW157" s="398">
        <v>339.63600000000002</v>
      </c>
      <c r="BX157" s="398">
        <v>452.779</v>
      </c>
      <c r="BY157" s="398">
        <v>495.03800000000001</v>
      </c>
      <c r="BZ157" s="398">
        <v>525.76800000000003</v>
      </c>
      <c r="CA157" s="398">
        <v>509.35899999999998</v>
      </c>
      <c r="CB157" s="398">
        <v>535.71</v>
      </c>
      <c r="CC157" s="398">
        <v>584.53</v>
      </c>
      <c r="CD157" s="398">
        <v>727.35</v>
      </c>
      <c r="CE157" s="398">
        <v>754.13900000000001</v>
      </c>
      <c r="CF157" s="398">
        <v>794.072</v>
      </c>
      <c r="CG157" s="398">
        <v>980.76800000000003</v>
      </c>
      <c r="CH157" s="398">
        <v>1157.171</v>
      </c>
      <c r="CI157" s="398">
        <v>1862.5619999999999</v>
      </c>
      <c r="CJ157" s="398">
        <v>1968.182</v>
      </c>
      <c r="CK157" s="398">
        <v>2033.68</v>
      </c>
      <c r="CL157" s="2076"/>
      <c r="CM157" s="398">
        <v>2074.3820000000001</v>
      </c>
      <c r="CN157" s="2076"/>
      <c r="CO157" s="2076"/>
      <c r="CP157" s="2076"/>
      <c r="CQ157" s="398">
        <v>2383.3870000000002</v>
      </c>
      <c r="CR157" s="2323"/>
      <c r="CS157" s="2323"/>
      <c r="CT157" s="2323"/>
      <c r="CU157" s="398">
        <v>2785.799</v>
      </c>
      <c r="CV157" s="398"/>
      <c r="CW157" s="398"/>
      <c r="CX157" s="398"/>
      <c r="CY157" s="398"/>
      <c r="CZ157" s="15"/>
      <c r="DA157" s="15"/>
      <c r="DB157" s="15"/>
      <c r="DC157" s="15"/>
    </row>
    <row r="158" spans="1:118">
      <c r="B158" s="2176" t="s">
        <v>1481</v>
      </c>
      <c r="C158" s="15"/>
      <c r="D158" s="15"/>
      <c r="E158" s="783"/>
      <c r="F158" s="783"/>
      <c r="G158" s="783"/>
      <c r="H158" s="783"/>
      <c r="I158" s="783"/>
      <c r="J158" s="31"/>
      <c r="K158" s="783"/>
      <c r="L158" s="783">
        <v>96.040999999999997</v>
      </c>
      <c r="M158" s="398">
        <v>217.2</v>
      </c>
      <c r="N158" s="26">
        <f t="shared" si="337"/>
        <v>231.43700000000001</v>
      </c>
      <c r="O158" s="26">
        <f t="shared" si="338"/>
        <v>307.93299999999999</v>
      </c>
      <c r="P158" s="15"/>
      <c r="Q158" s="15"/>
      <c r="R158" s="15"/>
      <c r="S158" s="15"/>
      <c r="T158" s="15"/>
      <c r="U158" s="15"/>
      <c r="V158" s="15"/>
      <c r="W158" s="15"/>
      <c r="X158" s="15"/>
      <c r="Y158" s="15"/>
      <c r="Z158" s="15"/>
      <c r="AA158" s="15"/>
      <c r="AB158" s="15"/>
      <c r="AC158" s="15"/>
      <c r="AD158" s="15"/>
      <c r="AE158" s="15"/>
      <c r="AF158" s="789"/>
      <c r="AG158" s="789"/>
      <c r="AH158" s="789"/>
      <c r="AI158" s="54"/>
      <c r="AJ158" s="398"/>
      <c r="AK158" s="398"/>
      <c r="AL158" s="398"/>
      <c r="AM158" s="54"/>
      <c r="AN158" s="398"/>
      <c r="AO158" s="398"/>
      <c r="AP158" s="398"/>
      <c r="AQ158" s="54"/>
      <c r="AR158" s="398"/>
      <c r="AS158" s="398"/>
      <c r="AT158" s="398"/>
      <c r="AU158" s="54"/>
      <c r="AV158" s="398"/>
      <c r="AW158" s="398"/>
      <c r="AX158" s="398"/>
      <c r="AY158" s="26"/>
      <c r="AZ158" s="398"/>
      <c r="BA158" s="398"/>
      <c r="BB158" s="398"/>
      <c r="BC158" s="26"/>
      <c r="BD158" s="398"/>
      <c r="BE158" s="398"/>
      <c r="BF158" s="398"/>
      <c r="BG158" s="26"/>
      <c r="BH158" s="398"/>
      <c r="BI158" s="398">
        <v>36.281999999999996</v>
      </c>
      <c r="BJ158" s="398">
        <v>97.712999999999994</v>
      </c>
      <c r="BK158" s="26">
        <f t="shared" si="344"/>
        <v>96.040999999999997</v>
      </c>
      <c r="BL158" s="398">
        <v>97.037999999999997</v>
      </c>
      <c r="BM158" s="398">
        <v>148.79400000000001</v>
      </c>
      <c r="BN158" s="398">
        <v>149.06100000000001</v>
      </c>
      <c r="BO158" s="26">
        <f t="shared" si="336"/>
        <v>217.2</v>
      </c>
      <c r="BP158" s="398">
        <v>218.065</v>
      </c>
      <c r="BQ158" s="398">
        <v>222.52500000000001</v>
      </c>
      <c r="BR158" s="398">
        <v>231.74700000000001</v>
      </c>
      <c r="BS158" s="398">
        <v>231.43700000000001</v>
      </c>
      <c r="BT158" s="398">
        <v>195.13300000000001</v>
      </c>
      <c r="BU158" s="398">
        <v>235.88</v>
      </c>
      <c r="BV158" s="398">
        <v>245.52600000000001</v>
      </c>
      <c r="BW158" s="398">
        <v>307.93299999999999</v>
      </c>
      <c r="BX158" s="398">
        <v>308.233</v>
      </c>
      <c r="BY158" s="398">
        <v>311.44099999999997</v>
      </c>
      <c r="BZ158" s="398">
        <v>313.08600000000001</v>
      </c>
      <c r="CA158" s="398">
        <v>305.16899999999998</v>
      </c>
      <c r="CB158" s="398">
        <v>308.89</v>
      </c>
      <c r="CC158" s="398">
        <v>307.59899999999999</v>
      </c>
      <c r="CD158" s="398">
        <v>354.01</v>
      </c>
      <c r="CE158" s="398">
        <v>352.36700000000002</v>
      </c>
      <c r="CF158" s="398">
        <v>401.66199999999998</v>
      </c>
      <c r="CG158" s="398">
        <v>424.99700000000001</v>
      </c>
      <c r="CH158" s="398">
        <v>537.11300000000006</v>
      </c>
      <c r="CI158" s="398"/>
      <c r="CJ158" s="398"/>
      <c r="CK158" s="398"/>
      <c r="CL158" s="2076"/>
      <c r="CM158" s="398"/>
      <c r="CN158" s="2076"/>
      <c r="CO158" s="2076"/>
      <c r="CP158" s="2076"/>
      <c r="CQ158" s="398"/>
      <c r="CR158" s="2323"/>
      <c r="CS158" s="2323"/>
      <c r="CT158" s="2323"/>
      <c r="CU158" s="398"/>
      <c r="CV158" s="398"/>
      <c r="CW158" s="398"/>
      <c r="CX158" s="398"/>
      <c r="CY158" s="398"/>
      <c r="CZ158" s="15"/>
      <c r="DA158" s="15"/>
      <c r="DB158" s="15"/>
      <c r="DC158" s="15"/>
    </row>
    <row r="159" spans="1:118">
      <c r="B159" s="2176" t="s">
        <v>1482</v>
      </c>
      <c r="C159" s="15"/>
      <c r="D159" s="15"/>
      <c r="E159" s="783">
        <v>21.96</v>
      </c>
      <c r="F159" s="783">
        <v>28.704000000000001</v>
      </c>
      <c r="G159" s="783">
        <v>33.677</v>
      </c>
      <c r="H159" s="783">
        <v>40.023000000000003</v>
      </c>
      <c r="I159" s="783">
        <v>47.436999999999998</v>
      </c>
      <c r="J159" s="783">
        <v>65.024000000000001</v>
      </c>
      <c r="K159" s="783">
        <v>84.498999999999995</v>
      </c>
      <c r="L159" s="783">
        <v>128.423</v>
      </c>
      <c r="M159" s="398">
        <v>147.83199999999999</v>
      </c>
      <c r="N159" s="26">
        <f t="shared" si="337"/>
        <v>175.03</v>
      </c>
      <c r="O159" s="26">
        <f t="shared" si="338"/>
        <v>263.995</v>
      </c>
      <c r="P159" s="15"/>
      <c r="Q159" s="15"/>
      <c r="R159" s="15"/>
      <c r="S159" s="15"/>
      <c r="T159" s="15"/>
      <c r="U159" s="15"/>
      <c r="V159" s="15"/>
      <c r="W159" s="15"/>
      <c r="X159" s="15"/>
      <c r="Y159" s="15"/>
      <c r="Z159" s="15"/>
      <c r="AA159" s="15"/>
      <c r="AB159" s="15"/>
      <c r="AC159" s="15"/>
      <c r="AD159" s="15"/>
      <c r="AE159" s="15"/>
      <c r="AF159" s="789"/>
      <c r="AG159" s="789"/>
      <c r="AH159" s="789"/>
      <c r="AI159" s="54">
        <f t="shared" si="339"/>
        <v>21.96</v>
      </c>
      <c r="AJ159" s="398">
        <v>23.527000000000001</v>
      </c>
      <c r="AK159" s="398">
        <v>24.922999999999998</v>
      </c>
      <c r="AL159" s="398">
        <v>26.352</v>
      </c>
      <c r="AM159" s="54">
        <f t="shared" si="340"/>
        <v>28.704000000000001</v>
      </c>
      <c r="AN159" s="398">
        <v>30.69</v>
      </c>
      <c r="AO159" s="398">
        <v>31.728999999999999</v>
      </c>
      <c r="AP159" s="398">
        <v>32.319000000000003</v>
      </c>
      <c r="AQ159" s="54">
        <f t="shared" si="341"/>
        <v>33.677</v>
      </c>
      <c r="AR159" s="398">
        <v>33.822000000000003</v>
      </c>
      <c r="AS159" s="398">
        <v>34.387</v>
      </c>
      <c r="AT159" s="398">
        <v>35.262999999999998</v>
      </c>
      <c r="AU159" s="54">
        <f t="shared" si="342"/>
        <v>40.023000000000003</v>
      </c>
      <c r="AV159" s="398">
        <v>41.725999999999999</v>
      </c>
      <c r="AW159" s="398">
        <v>43.487000000000002</v>
      </c>
      <c r="AX159" s="398">
        <v>44.691000000000003</v>
      </c>
      <c r="AY159" s="26">
        <f>I159</f>
        <v>47.436999999999998</v>
      </c>
      <c r="AZ159" s="398">
        <v>51.905999999999999</v>
      </c>
      <c r="BA159" s="398">
        <v>56.487000000000002</v>
      </c>
      <c r="BB159" s="398">
        <v>60.779000000000003</v>
      </c>
      <c r="BC159" s="26">
        <f t="shared" si="343"/>
        <v>65.024000000000001</v>
      </c>
      <c r="BD159" s="398">
        <v>66.48</v>
      </c>
      <c r="BE159" s="398">
        <v>73.861000000000004</v>
      </c>
      <c r="BF159" s="398">
        <v>81.775000000000006</v>
      </c>
      <c r="BG159" s="26">
        <f t="shared" si="335"/>
        <v>84.498999999999995</v>
      </c>
      <c r="BH159" s="398">
        <v>115.095</v>
      </c>
      <c r="BI159" s="398">
        <v>92.587999999999994</v>
      </c>
      <c r="BJ159" s="398">
        <v>100.205</v>
      </c>
      <c r="BK159" s="26">
        <f t="shared" si="344"/>
        <v>128.423</v>
      </c>
      <c r="BL159" s="398">
        <v>133.88200000000001</v>
      </c>
      <c r="BM159" s="398">
        <v>135.88900000000001</v>
      </c>
      <c r="BN159" s="398">
        <v>138.30600000000001</v>
      </c>
      <c r="BO159" s="26">
        <f t="shared" si="336"/>
        <v>147.83199999999999</v>
      </c>
      <c r="BP159" s="398">
        <v>146</v>
      </c>
      <c r="BQ159" s="398">
        <v>156.52799999999999</v>
      </c>
      <c r="BR159" s="398">
        <v>168.25</v>
      </c>
      <c r="BS159" s="398">
        <v>175.03</v>
      </c>
      <c r="BT159" s="398">
        <v>184.13</v>
      </c>
      <c r="BU159" s="398">
        <v>209.92699999999999</v>
      </c>
      <c r="BV159" s="398">
        <v>222.94300000000001</v>
      </c>
      <c r="BW159" s="398">
        <v>263.995</v>
      </c>
      <c r="BX159" s="398">
        <v>298.57100000000003</v>
      </c>
      <c r="BY159" s="398">
        <v>336.41899999999998</v>
      </c>
      <c r="BZ159" s="398">
        <v>344.178</v>
      </c>
      <c r="CA159" s="398">
        <v>368.53</v>
      </c>
      <c r="CB159" s="398">
        <v>369.50700000000001</v>
      </c>
      <c r="CC159" s="398">
        <v>381.10599999999999</v>
      </c>
      <c r="CD159" s="398">
        <v>391.43799999999999</v>
      </c>
      <c r="CE159" s="398">
        <v>410.45600000000002</v>
      </c>
      <c r="CF159" s="398">
        <v>429.637</v>
      </c>
      <c r="CG159" s="398">
        <v>444.42599999999999</v>
      </c>
      <c r="CH159" s="398">
        <v>471.07799999999997</v>
      </c>
      <c r="CI159" s="398">
        <v>490.67700000000002</v>
      </c>
      <c r="CJ159" s="398">
        <v>530.23199999999997</v>
      </c>
      <c r="CK159" s="398">
        <v>545.54899999999998</v>
      </c>
      <c r="CL159" s="2076"/>
      <c r="CM159" s="398"/>
      <c r="CN159" s="2076"/>
      <c r="CO159" s="2076"/>
      <c r="CP159" s="2076"/>
      <c r="CQ159" s="398"/>
      <c r="CR159" s="2323"/>
      <c r="CS159" s="2323"/>
      <c r="CT159" s="2323"/>
      <c r="CU159" s="398"/>
      <c r="CV159" s="398"/>
      <c r="CW159" s="398"/>
      <c r="CX159" s="398"/>
      <c r="CY159" s="398"/>
      <c r="CZ159" s="15"/>
      <c r="DA159" s="15"/>
      <c r="DB159" s="15"/>
      <c r="DC159" s="15"/>
    </row>
    <row r="160" spans="1:118">
      <c r="B160" s="17" t="s">
        <v>1976</v>
      </c>
      <c r="C160" s="15"/>
      <c r="D160" s="15"/>
      <c r="E160" s="783">
        <v>12.438000000000001</v>
      </c>
      <c r="F160" s="783">
        <v>11.305999999999999</v>
      </c>
      <c r="G160" s="783">
        <v>17.579999999999998</v>
      </c>
      <c r="H160" s="783">
        <v>18.875</v>
      </c>
      <c r="I160" s="783">
        <v>21.710999999999999</v>
      </c>
      <c r="J160" s="783">
        <v>31.44</v>
      </c>
      <c r="K160" s="783">
        <v>35.912999999999997</v>
      </c>
      <c r="L160" s="783">
        <v>60.881</v>
      </c>
      <c r="M160" s="398">
        <v>74.179000000000002</v>
      </c>
      <c r="N160" s="26">
        <f t="shared" si="337"/>
        <v>85.471999999999994</v>
      </c>
      <c r="O160" s="26">
        <f t="shared" si="338"/>
        <v>114.26300000000001</v>
      </c>
      <c r="P160" s="15"/>
      <c r="Q160" s="15"/>
      <c r="R160" s="15"/>
      <c r="S160" s="15"/>
      <c r="T160" s="15"/>
      <c r="U160" s="15"/>
      <c r="V160" s="15"/>
      <c r="W160" s="15"/>
      <c r="X160" s="15"/>
      <c r="Y160" s="15"/>
      <c r="Z160" s="15"/>
      <c r="AA160" s="15"/>
      <c r="AB160" s="15"/>
      <c r="AC160" s="15"/>
      <c r="AD160" s="15"/>
      <c r="AE160" s="15"/>
      <c r="AF160" s="789"/>
      <c r="AG160" s="789"/>
      <c r="AH160" s="789"/>
      <c r="AI160" s="54">
        <f t="shared" si="339"/>
        <v>12.438000000000001</v>
      </c>
      <c r="AJ160" s="398">
        <v>12.821</v>
      </c>
      <c r="AK160" s="398">
        <v>14.702</v>
      </c>
      <c r="AL160" s="398">
        <v>17.061</v>
      </c>
      <c r="AM160" s="54">
        <f t="shared" si="340"/>
        <v>11.305999999999999</v>
      </c>
      <c r="AN160" s="398">
        <v>12.923</v>
      </c>
      <c r="AO160" s="398">
        <v>14.904</v>
      </c>
      <c r="AP160" s="398">
        <v>15.308</v>
      </c>
      <c r="AQ160" s="54">
        <f t="shared" si="341"/>
        <v>17.579999999999998</v>
      </c>
      <c r="AR160" s="398">
        <v>17.61</v>
      </c>
      <c r="AS160" s="398">
        <v>17.887</v>
      </c>
      <c r="AT160" s="398">
        <v>18.195</v>
      </c>
      <c r="AU160" s="54">
        <f t="shared" si="342"/>
        <v>18.875</v>
      </c>
      <c r="AV160" s="398">
        <v>19.513000000000002</v>
      </c>
      <c r="AW160" s="398">
        <v>20.2</v>
      </c>
      <c r="AX160" s="398">
        <v>20.847000000000001</v>
      </c>
      <c r="AY160" s="26">
        <f>I160</f>
        <v>21.710999999999999</v>
      </c>
      <c r="AZ160" s="398">
        <v>22.047000000000001</v>
      </c>
      <c r="BA160" s="398">
        <v>22.728000000000002</v>
      </c>
      <c r="BB160" s="398">
        <v>24.19</v>
      </c>
      <c r="BC160" s="26">
        <f t="shared" si="343"/>
        <v>31.44</v>
      </c>
      <c r="BD160" s="398">
        <v>26.523</v>
      </c>
      <c r="BE160" s="398">
        <v>32.770000000000003</v>
      </c>
      <c r="BF160" s="398">
        <v>40.283000000000001</v>
      </c>
      <c r="BG160" s="26">
        <f t="shared" si="335"/>
        <v>35.912999999999997</v>
      </c>
      <c r="BH160" s="398">
        <v>39.104999999999997</v>
      </c>
      <c r="BI160" s="398">
        <v>46.375999999999998</v>
      </c>
      <c r="BJ160" s="398">
        <v>51.661999999999999</v>
      </c>
      <c r="BK160" s="26">
        <f t="shared" si="344"/>
        <v>60.881</v>
      </c>
      <c r="BL160" s="398">
        <v>64.945999999999998</v>
      </c>
      <c r="BM160" s="398">
        <v>67.748000000000005</v>
      </c>
      <c r="BN160" s="398">
        <v>69.429000000000002</v>
      </c>
      <c r="BO160" s="26">
        <f t="shared" si="336"/>
        <v>74.179000000000002</v>
      </c>
      <c r="BP160" s="398">
        <v>74.162000000000006</v>
      </c>
      <c r="BQ160" s="398">
        <v>77.055999999999997</v>
      </c>
      <c r="BR160" s="398">
        <v>85.022000000000006</v>
      </c>
      <c r="BS160" s="398">
        <v>85.471999999999994</v>
      </c>
      <c r="BT160" s="398">
        <v>88.918000000000006</v>
      </c>
      <c r="BU160" s="398">
        <v>101.283</v>
      </c>
      <c r="BV160" s="398">
        <v>109.32</v>
      </c>
      <c r="BW160" s="398">
        <v>114.26300000000001</v>
      </c>
      <c r="BX160" s="398">
        <v>120.941</v>
      </c>
      <c r="BY160" s="398">
        <v>129.86799999999999</v>
      </c>
      <c r="BZ160" s="398">
        <v>130.244</v>
      </c>
      <c r="CA160" s="398">
        <v>138.14699999999999</v>
      </c>
      <c r="CB160" s="398">
        <v>160.989</v>
      </c>
      <c r="CC160" s="398">
        <v>156.92400000000001</v>
      </c>
      <c r="CD160" s="398">
        <v>154.935</v>
      </c>
      <c r="CE160" s="398">
        <v>150.38200000000001</v>
      </c>
      <c r="CF160" s="398">
        <v>158.179</v>
      </c>
      <c r="CG160" s="398">
        <v>169.614</v>
      </c>
      <c r="CH160" s="398">
        <v>174.994</v>
      </c>
      <c r="CI160" s="398">
        <v>189.714</v>
      </c>
      <c r="CJ160" s="398">
        <v>205.61500000000001</v>
      </c>
      <c r="CK160" s="398">
        <v>226.869</v>
      </c>
      <c r="CL160" s="2076"/>
      <c r="CM160" s="398">
        <v>387.90899999999999</v>
      </c>
      <c r="CN160" s="2076"/>
      <c r="CO160" s="2076"/>
      <c r="CP160" s="2076"/>
      <c r="CQ160" s="398">
        <v>450.91399999999999</v>
      </c>
      <c r="CR160" s="2323"/>
      <c r="CS160" s="2323"/>
      <c r="CT160" s="2323"/>
      <c r="CU160" s="398">
        <v>622.06899999999996</v>
      </c>
      <c r="CV160" s="398"/>
      <c r="CW160" s="398"/>
      <c r="CX160" s="398"/>
      <c r="CY160" s="398"/>
      <c r="CZ160" s="15"/>
      <c r="DA160" s="15"/>
      <c r="DB160" s="15"/>
      <c r="DC160" s="15"/>
    </row>
    <row r="161" spans="2:111">
      <c r="B161" s="876" t="s">
        <v>1483</v>
      </c>
      <c r="C161" s="15"/>
      <c r="D161" s="15"/>
      <c r="E161" s="783"/>
      <c r="F161" s="783"/>
      <c r="G161" s="783"/>
      <c r="H161" s="783"/>
      <c r="I161" s="783"/>
      <c r="J161" s="783">
        <v>15.416</v>
      </c>
      <c r="K161" s="783">
        <v>24.966999999999999</v>
      </c>
      <c r="L161" s="783">
        <v>50.978999999999999</v>
      </c>
      <c r="M161" s="398">
        <v>48.95</v>
      </c>
      <c r="N161" s="26">
        <f t="shared" si="337"/>
        <v>84.680999999999997</v>
      </c>
      <c r="O161" s="26">
        <f t="shared" si="338"/>
        <v>89.311999999999998</v>
      </c>
      <c r="P161" s="15"/>
      <c r="Q161" s="15"/>
      <c r="R161" s="15"/>
      <c r="S161" s="15"/>
      <c r="T161" s="15"/>
      <c r="U161" s="15"/>
      <c r="V161" s="15"/>
      <c r="W161" s="15"/>
      <c r="X161" s="15"/>
      <c r="Y161" s="15"/>
      <c r="Z161" s="15"/>
      <c r="AA161" s="15"/>
      <c r="AB161" s="15"/>
      <c r="AC161" s="15"/>
      <c r="AD161" s="15"/>
      <c r="AE161" s="15"/>
      <c r="AF161" s="789"/>
      <c r="AG161" s="789"/>
      <c r="AH161" s="789"/>
      <c r="AI161" s="54"/>
      <c r="AJ161" s="398"/>
      <c r="AK161" s="398"/>
      <c r="AL161" s="398"/>
      <c r="AM161" s="54"/>
      <c r="AN161" s="398"/>
      <c r="AO161" s="398"/>
      <c r="AP161" s="398"/>
      <c r="AQ161" s="54"/>
      <c r="AR161" s="398"/>
      <c r="AS161" s="398"/>
      <c r="AT161" s="398"/>
      <c r="AU161" s="54"/>
      <c r="AV161" s="398"/>
      <c r="AW161" s="398"/>
      <c r="AX161" s="398"/>
      <c r="AY161" s="26"/>
      <c r="AZ161" s="398"/>
      <c r="BA161" s="398"/>
      <c r="BB161" s="398">
        <v>3.96</v>
      </c>
      <c r="BC161" s="26">
        <f t="shared" si="343"/>
        <v>15.416</v>
      </c>
      <c r="BD161" s="398">
        <v>15.201000000000001</v>
      </c>
      <c r="BE161" s="398">
        <v>24.966999999999999</v>
      </c>
      <c r="BF161" s="398">
        <v>24.966999999999999</v>
      </c>
      <c r="BG161" s="26">
        <f t="shared" si="335"/>
        <v>24.966999999999999</v>
      </c>
      <c r="BH161" s="398">
        <v>24.966999999999999</v>
      </c>
      <c r="BI161" s="398">
        <v>44.292000000000002</v>
      </c>
      <c r="BJ161" s="398">
        <v>50.578000000000003</v>
      </c>
      <c r="BK161" s="26">
        <f t="shared" si="344"/>
        <v>50.978999999999999</v>
      </c>
      <c r="BL161" s="398">
        <v>51.207000000000001</v>
      </c>
      <c r="BM161" s="398">
        <v>51.24</v>
      </c>
      <c r="BN161" s="398">
        <v>50.139000000000003</v>
      </c>
      <c r="BO161" s="26">
        <f t="shared" si="336"/>
        <v>48.95</v>
      </c>
      <c r="BP161" s="398">
        <v>48.71</v>
      </c>
      <c r="BQ161" s="398">
        <v>49.64</v>
      </c>
      <c r="BR161" s="398">
        <v>80.673000000000002</v>
      </c>
      <c r="BS161" s="398">
        <v>84.680999999999997</v>
      </c>
      <c r="BT161" s="398">
        <v>83.290999999999997</v>
      </c>
      <c r="BU161" s="398">
        <v>81.552000000000007</v>
      </c>
      <c r="BV161" s="398">
        <v>83.572000000000003</v>
      </c>
      <c r="BW161" s="398">
        <v>89.311999999999998</v>
      </c>
      <c r="BX161" s="398">
        <v>93.003</v>
      </c>
      <c r="BY161" s="398">
        <v>96.206000000000003</v>
      </c>
      <c r="BZ161" s="398">
        <v>92.091999999999999</v>
      </c>
      <c r="CA161" s="398">
        <v>91.313999999999993</v>
      </c>
      <c r="CB161" s="398">
        <v>96.042000000000002</v>
      </c>
      <c r="CC161" s="398">
        <v>94.727999999999994</v>
      </c>
      <c r="CD161" s="398">
        <v>97.341999999999999</v>
      </c>
      <c r="CE161" s="398">
        <v>98.007000000000005</v>
      </c>
      <c r="CF161" s="398">
        <v>96.908000000000001</v>
      </c>
      <c r="CG161" s="398">
        <v>113.852</v>
      </c>
      <c r="CH161" s="398">
        <v>116.514</v>
      </c>
      <c r="CI161" s="398">
        <v>122.035</v>
      </c>
      <c r="CJ161" s="398">
        <v>122.07899999999999</v>
      </c>
      <c r="CK161" s="398">
        <v>122.04</v>
      </c>
      <c r="CL161" s="2076">
        <f>+CK161</f>
        <v>122.04</v>
      </c>
      <c r="CM161" s="398">
        <v>160.035</v>
      </c>
      <c r="CN161" s="2076">
        <f>+CM161</f>
        <v>160.035</v>
      </c>
      <c r="CO161" s="2076">
        <f>+CN161</f>
        <v>160.035</v>
      </c>
      <c r="CP161" s="2076">
        <f>+CO161</f>
        <v>160.035</v>
      </c>
      <c r="CQ161" s="398">
        <v>183.946</v>
      </c>
      <c r="CR161" s="2323">
        <f>+CQ161</f>
        <v>183.946</v>
      </c>
      <c r="CS161" s="2323">
        <f>+CR161</f>
        <v>183.946</v>
      </c>
      <c r="CT161" s="2323">
        <f>+CS161</f>
        <v>183.946</v>
      </c>
      <c r="CU161" s="398">
        <v>237.34899999999999</v>
      </c>
      <c r="CV161" s="398">
        <v>237.34899999999999</v>
      </c>
      <c r="CW161" s="398">
        <v>237.34899999999999</v>
      </c>
      <c r="CX161" s="398">
        <v>237.34899999999999</v>
      </c>
      <c r="CY161" s="398">
        <v>237.34899999999999</v>
      </c>
      <c r="CZ161" s="15"/>
      <c r="DA161" s="15"/>
      <c r="DB161" s="15"/>
      <c r="DC161" s="15"/>
    </row>
    <row r="162" spans="2:111">
      <c r="B162" s="2176" t="s">
        <v>1484</v>
      </c>
      <c r="C162" s="15"/>
      <c r="D162" s="15"/>
      <c r="E162" s="783">
        <v>1.2410000000000001</v>
      </c>
      <c r="F162" s="783">
        <v>2.5329999999999999</v>
      </c>
      <c r="G162" s="783">
        <v>2.5219999999999998</v>
      </c>
      <c r="H162" s="783">
        <v>1.9790000000000001</v>
      </c>
      <c r="I162" s="783">
        <v>2.0409999999999999</v>
      </c>
      <c r="J162" s="783">
        <v>2.218</v>
      </c>
      <c r="K162" s="783">
        <v>2.4380000000000002</v>
      </c>
      <c r="L162" s="783">
        <v>5.6980000000000004</v>
      </c>
      <c r="M162" s="398">
        <v>9.8659999999999997</v>
      </c>
      <c r="N162" s="26">
        <f t="shared" si="337"/>
        <v>11.428000000000001</v>
      </c>
      <c r="O162" s="26">
        <f t="shared" si="338"/>
        <v>15.602</v>
      </c>
      <c r="P162" s="15"/>
      <c r="Q162" s="15"/>
      <c r="R162" s="15"/>
      <c r="S162" s="15"/>
      <c r="T162" s="15"/>
      <c r="U162" s="15"/>
      <c r="V162" s="15"/>
      <c r="W162" s="15"/>
      <c r="X162" s="15"/>
      <c r="Y162" s="15"/>
      <c r="Z162" s="15"/>
      <c r="AA162" s="15"/>
      <c r="AB162" s="15"/>
      <c r="AC162" s="15"/>
      <c r="AD162" s="15"/>
      <c r="AE162" s="15"/>
      <c r="AF162" s="789"/>
      <c r="AG162" s="789"/>
      <c r="AH162" s="789"/>
      <c r="AI162" s="54">
        <f t="shared" si="339"/>
        <v>1.2410000000000001</v>
      </c>
      <c r="AJ162" s="398">
        <v>1.2969999999999999</v>
      </c>
      <c r="AK162" s="398">
        <v>3.0419999999999998</v>
      </c>
      <c r="AL162" s="398">
        <v>3.0419999999999998</v>
      </c>
      <c r="AM162" s="54">
        <f t="shared" si="340"/>
        <v>2.5329999999999999</v>
      </c>
      <c r="AN162" s="398">
        <v>2.6779999999999999</v>
      </c>
      <c r="AO162" s="398">
        <v>2.3420000000000001</v>
      </c>
      <c r="AP162" s="398">
        <v>2.3420000000000001</v>
      </c>
      <c r="AQ162" s="54">
        <f t="shared" si="341"/>
        <v>2.5219999999999998</v>
      </c>
      <c r="AR162" s="398">
        <v>1.875</v>
      </c>
      <c r="AS162" s="398">
        <v>1.903</v>
      </c>
      <c r="AT162" s="398">
        <v>1.913</v>
      </c>
      <c r="AU162" s="54">
        <f t="shared" si="342"/>
        <v>1.9790000000000001</v>
      </c>
      <c r="AV162" s="398">
        <v>1.9950000000000001</v>
      </c>
      <c r="AW162" s="398">
        <v>1.9790000000000001</v>
      </c>
      <c r="AX162" s="398">
        <v>2.028</v>
      </c>
      <c r="AY162" s="26">
        <f>I162</f>
        <v>2.0409999999999999</v>
      </c>
      <c r="AZ162" s="398">
        <v>2.036</v>
      </c>
      <c r="BA162" s="398">
        <v>2.0539999999999998</v>
      </c>
      <c r="BB162" s="398">
        <v>2.1080000000000001</v>
      </c>
      <c r="BC162" s="26">
        <f t="shared" si="343"/>
        <v>2.218</v>
      </c>
      <c r="BD162" s="398">
        <v>2.218</v>
      </c>
      <c r="BE162" s="398">
        <v>2.5009999999999999</v>
      </c>
      <c r="BF162" s="398">
        <v>2.544</v>
      </c>
      <c r="BG162" s="26">
        <f t="shared" si="335"/>
        <v>2.4380000000000002</v>
      </c>
      <c r="BH162" s="398">
        <v>2.4350000000000001</v>
      </c>
      <c r="BI162" s="398">
        <v>2.5680000000000001</v>
      </c>
      <c r="BJ162" s="398">
        <v>6.0069999999999997</v>
      </c>
      <c r="BK162" s="26">
        <f t="shared" si="344"/>
        <v>5.6980000000000004</v>
      </c>
      <c r="BL162" s="398">
        <v>6.633</v>
      </c>
      <c r="BM162" s="398">
        <v>7.85</v>
      </c>
      <c r="BN162" s="398">
        <v>8.1280000000000001</v>
      </c>
      <c r="BO162" s="26">
        <f t="shared" si="336"/>
        <v>9.8659999999999997</v>
      </c>
      <c r="BP162" s="398">
        <v>9.6150000000000002</v>
      </c>
      <c r="BQ162" s="398">
        <v>10.356</v>
      </c>
      <c r="BR162" s="398">
        <v>10.898999999999999</v>
      </c>
      <c r="BS162" s="398">
        <v>11.428000000000001</v>
      </c>
      <c r="BT162" s="398">
        <v>11.246</v>
      </c>
      <c r="BU162" s="398">
        <v>12.529</v>
      </c>
      <c r="BV162" s="398">
        <v>13.864000000000001</v>
      </c>
      <c r="BW162" s="398">
        <v>15.602</v>
      </c>
      <c r="BX162" s="398">
        <v>17.155999999999999</v>
      </c>
      <c r="BY162" s="398">
        <v>18.111999999999998</v>
      </c>
      <c r="BZ162" s="398">
        <v>17.628</v>
      </c>
      <c r="CA162" s="398">
        <v>18.143999999999998</v>
      </c>
      <c r="CB162" s="398">
        <v>18.748000000000001</v>
      </c>
      <c r="CC162" s="398">
        <v>18.385999999999999</v>
      </c>
      <c r="CD162" s="398">
        <v>20.006</v>
      </c>
      <c r="CE162" s="398">
        <v>21.981999999999999</v>
      </c>
      <c r="CF162" s="398">
        <v>21.006</v>
      </c>
      <c r="CG162" s="398">
        <v>21.373999999999999</v>
      </c>
      <c r="CH162" s="398">
        <v>22.815999999999999</v>
      </c>
      <c r="CI162" s="398">
        <v>24.134</v>
      </c>
      <c r="CJ162" s="398">
        <v>24.658000000000001</v>
      </c>
      <c r="CK162" s="398">
        <v>25.26</v>
      </c>
      <c r="CL162" s="2076"/>
      <c r="CM162" s="398"/>
      <c r="CN162" s="2076"/>
      <c r="CO162" s="2076"/>
      <c r="CP162" s="2076"/>
      <c r="CQ162" s="398"/>
      <c r="CR162" s="2323"/>
      <c r="CS162" s="2323"/>
      <c r="CT162" s="2323"/>
      <c r="CU162" s="398"/>
      <c r="CV162" s="398"/>
      <c r="CW162" s="398"/>
      <c r="CX162" s="398"/>
      <c r="CY162" s="398"/>
      <c r="CZ162" s="15"/>
      <c r="DA162" s="15"/>
      <c r="DB162" s="15"/>
      <c r="DC162" s="15"/>
    </row>
    <row r="163" spans="2:111">
      <c r="B163" s="876" t="s">
        <v>1485</v>
      </c>
      <c r="C163" s="15"/>
      <c r="D163" s="15"/>
      <c r="E163" s="31"/>
      <c r="F163" s="31"/>
      <c r="G163" s="31"/>
      <c r="H163" s="31"/>
      <c r="I163" s="31"/>
      <c r="J163" s="783"/>
      <c r="K163" s="783">
        <v>88.429000000000002</v>
      </c>
      <c r="L163" s="783">
        <v>133.501</v>
      </c>
      <c r="M163" s="398">
        <v>277.20800000000003</v>
      </c>
      <c r="N163" s="26">
        <f t="shared" si="337"/>
        <v>243.12899999999999</v>
      </c>
      <c r="O163" s="26">
        <f t="shared" si="338"/>
        <v>128.535</v>
      </c>
      <c r="P163" s="15"/>
      <c r="Q163" s="15"/>
      <c r="R163" s="15"/>
      <c r="S163" s="15"/>
      <c r="T163" s="15"/>
      <c r="U163" s="15"/>
      <c r="V163" s="15"/>
      <c r="W163" s="15"/>
      <c r="X163" s="15"/>
      <c r="Y163" s="15"/>
      <c r="Z163" s="15"/>
      <c r="AA163" s="15"/>
      <c r="AB163" s="15"/>
      <c r="AC163" s="15"/>
      <c r="AD163" s="15"/>
      <c r="AE163" s="15"/>
      <c r="AF163" s="789"/>
      <c r="AG163" s="789"/>
      <c r="AH163" s="789"/>
      <c r="AI163" s="54"/>
      <c r="AJ163" s="398"/>
      <c r="AK163" s="398"/>
      <c r="AL163" s="398"/>
      <c r="AM163" s="54"/>
      <c r="AN163" s="398"/>
      <c r="AO163" s="398"/>
      <c r="AP163" s="398"/>
      <c r="AQ163" s="54"/>
      <c r="AR163" s="398"/>
      <c r="AS163" s="398"/>
      <c r="AT163" s="398"/>
      <c r="AU163" s="54"/>
      <c r="AV163" s="398"/>
      <c r="AW163" s="398"/>
      <c r="AX163" s="398"/>
      <c r="AY163" s="26"/>
      <c r="AZ163" s="398"/>
      <c r="BA163" s="398"/>
      <c r="BB163" s="398"/>
      <c r="BC163" s="26"/>
      <c r="BD163" s="398">
        <v>38.290999999999997</v>
      </c>
      <c r="BE163" s="398">
        <v>30.177</v>
      </c>
      <c r="BF163" s="398">
        <v>47.435000000000002</v>
      </c>
      <c r="BG163" s="26">
        <f t="shared" si="335"/>
        <v>88.429000000000002</v>
      </c>
      <c r="BH163" s="398">
        <v>85.221999999999994</v>
      </c>
      <c r="BI163" s="398">
        <v>207.886</v>
      </c>
      <c r="BJ163" s="398">
        <v>364.53300000000002</v>
      </c>
      <c r="BK163" s="26">
        <f t="shared" si="344"/>
        <v>133.501</v>
      </c>
      <c r="BL163" s="398">
        <v>243.36500000000001</v>
      </c>
      <c r="BM163" s="398">
        <v>138.26300000000001</v>
      </c>
      <c r="BN163" s="398">
        <v>170.17400000000001</v>
      </c>
      <c r="BO163" s="26">
        <f t="shared" si="336"/>
        <v>277.20800000000003</v>
      </c>
      <c r="BP163" s="398">
        <v>312.24200000000002</v>
      </c>
      <c r="BQ163" s="398">
        <v>263.29700000000003</v>
      </c>
      <c r="BR163" s="398">
        <v>147.47200000000001</v>
      </c>
      <c r="BS163" s="398">
        <v>243.12899999999999</v>
      </c>
      <c r="BT163" s="398">
        <v>315.52999999999997</v>
      </c>
      <c r="BU163" s="398">
        <v>236.77699999999999</v>
      </c>
      <c r="BV163" s="398">
        <v>190.45099999999999</v>
      </c>
      <c r="BW163" s="398">
        <v>128.535</v>
      </c>
      <c r="BX163" s="398">
        <v>255.95400000000001</v>
      </c>
      <c r="BY163" s="398">
        <v>125.54600000000001</v>
      </c>
      <c r="BZ163" s="398">
        <v>199.565</v>
      </c>
      <c r="CA163" s="398">
        <v>330.78</v>
      </c>
      <c r="CB163" s="398">
        <v>473.20699999999999</v>
      </c>
      <c r="CC163" s="398">
        <v>611.29899999999998</v>
      </c>
      <c r="CD163" s="398">
        <v>273.21100000000001</v>
      </c>
      <c r="CE163" s="398">
        <v>379.75</v>
      </c>
      <c r="CF163" s="398">
        <v>230.054</v>
      </c>
      <c r="CG163" s="398">
        <v>217.535</v>
      </c>
      <c r="CH163" s="398">
        <v>307.54399999999998</v>
      </c>
      <c r="CI163" s="398">
        <v>244.25399999999999</v>
      </c>
      <c r="CJ163" s="398">
        <v>269.584</v>
      </c>
      <c r="CK163" s="398">
        <v>387.65899999999999</v>
      </c>
      <c r="CL163" s="2076"/>
      <c r="CM163" s="398">
        <v>460.25900000000001</v>
      </c>
      <c r="CN163" s="2076"/>
      <c r="CO163" s="2076"/>
      <c r="CP163" s="2076"/>
      <c r="CQ163" s="398">
        <v>351.697</v>
      </c>
      <c r="CR163" s="2323"/>
      <c r="CS163" s="2323"/>
      <c r="CT163" s="2323"/>
      <c r="CU163" s="398">
        <v>645.38800000000003</v>
      </c>
      <c r="CV163" s="398"/>
      <c r="CW163" s="398"/>
      <c r="CX163" s="398"/>
      <c r="CY163" s="398"/>
      <c r="CZ163" s="15"/>
      <c r="DA163" s="15"/>
      <c r="DB163" s="15"/>
      <c r="DC163" s="15"/>
    </row>
    <row r="164" spans="2:111">
      <c r="B164" s="14" t="s">
        <v>956</v>
      </c>
      <c r="C164" s="14"/>
      <c r="D164" s="14"/>
      <c r="E164" s="195">
        <f t="shared" ref="E164:O164" si="345">SUM(E155:E163)</f>
        <v>330.79499999999996</v>
      </c>
      <c r="F164" s="195">
        <f t="shared" si="345"/>
        <v>381.827</v>
      </c>
      <c r="G164" s="195">
        <f t="shared" si="345"/>
        <v>499.87400000000002</v>
      </c>
      <c r="H164" s="195">
        <f t="shared" si="345"/>
        <v>509.00800000000004</v>
      </c>
      <c r="I164" s="195">
        <f t="shared" si="345"/>
        <v>563.76900000000001</v>
      </c>
      <c r="J164" s="195">
        <f t="shared" si="345"/>
        <v>718.81700000000012</v>
      </c>
      <c r="K164" s="195">
        <f t="shared" si="345"/>
        <v>895.87099999999987</v>
      </c>
      <c r="L164" s="195">
        <f t="shared" si="345"/>
        <v>1614.3790000000001</v>
      </c>
      <c r="M164" s="195">
        <f t="shared" si="345"/>
        <v>2095.7730000000001</v>
      </c>
      <c r="N164" s="195">
        <f t="shared" si="345"/>
        <v>2586.3320000000003</v>
      </c>
      <c r="O164" s="195">
        <f t="shared" si="345"/>
        <v>3666.4909999999995</v>
      </c>
      <c r="P164" s="72">
        <f>CA164</f>
        <v>4553.6679999999997</v>
      </c>
      <c r="Q164" s="72">
        <f>CE164</f>
        <v>5550.277</v>
      </c>
      <c r="R164" s="72">
        <f>CI164</f>
        <v>6614.1299999999992</v>
      </c>
      <c r="S164" s="72">
        <f>CM164</f>
        <v>7388.6049999999996</v>
      </c>
      <c r="T164" s="72">
        <f>CQ164</f>
        <v>8395.616</v>
      </c>
      <c r="U164" s="72">
        <f>CU164</f>
        <v>10650.897000000001</v>
      </c>
      <c r="V164" s="72">
        <f ca="1">CY164</f>
        <v>13938.138497400434</v>
      </c>
      <c r="W164" s="72">
        <f ca="1">DC164</f>
        <v>15873.70484122408</v>
      </c>
      <c r="X164" s="72">
        <f ca="1">W164+X133+X137-X147</f>
        <v>17726.853352103466</v>
      </c>
      <c r="Y164" s="72">
        <f ca="1">X164+Y133+Y137-Y147</f>
        <v>19386.796669412106</v>
      </c>
      <c r="Z164" s="72">
        <f ca="1">Y164+Z133+Z137-Z147</f>
        <v>21005.206988787621</v>
      </c>
      <c r="AA164" s="72">
        <f t="shared" ref="AA164:AD164" ca="1" si="346">Z164+AA133+AA137-AA147</f>
        <v>22631.283085465369</v>
      </c>
      <c r="AB164" s="72">
        <f t="shared" ca="1" si="346"/>
        <v>24265.092264356696</v>
      </c>
      <c r="AC164" s="72">
        <f t="shared" ca="1" si="346"/>
        <v>25906.762696917122</v>
      </c>
      <c r="AD164" s="72">
        <f t="shared" ca="1" si="346"/>
        <v>27556.345012956641</v>
      </c>
      <c r="AE164" s="14"/>
      <c r="AF164" s="1159"/>
      <c r="AG164" s="1159"/>
      <c r="AH164" s="1159"/>
      <c r="AI164" s="195">
        <f t="shared" ref="AI164:BW164" si="347">SUM(AI155:AI163)</f>
        <v>330.79499999999996</v>
      </c>
      <c r="AJ164" s="195">
        <f t="shared" si="347"/>
        <v>367.94100000000009</v>
      </c>
      <c r="AK164" s="195">
        <f t="shared" si="347"/>
        <v>374.60899999999998</v>
      </c>
      <c r="AL164" s="195">
        <f t="shared" si="347"/>
        <v>377.21599999999995</v>
      </c>
      <c r="AM164" s="195">
        <f t="shared" si="347"/>
        <v>381.827</v>
      </c>
      <c r="AN164" s="195">
        <f t="shared" si="347"/>
        <v>486.26600000000002</v>
      </c>
      <c r="AO164" s="195">
        <f t="shared" si="347"/>
        <v>480.88</v>
      </c>
      <c r="AP164" s="195">
        <f t="shared" si="347"/>
        <v>481.947</v>
      </c>
      <c r="AQ164" s="195">
        <f t="shared" si="347"/>
        <v>499.87400000000002</v>
      </c>
      <c r="AR164" s="195">
        <f t="shared" si="347"/>
        <v>495.43900000000002</v>
      </c>
      <c r="AS164" s="195">
        <f t="shared" si="347"/>
        <v>497.32299999999998</v>
      </c>
      <c r="AT164" s="195">
        <f t="shared" si="347"/>
        <v>498.86499999999995</v>
      </c>
      <c r="AU164" s="195">
        <f t="shared" si="347"/>
        <v>509.00800000000004</v>
      </c>
      <c r="AV164" s="195">
        <f t="shared" si="347"/>
        <v>514.11599999999999</v>
      </c>
      <c r="AW164" s="195">
        <f t="shared" si="347"/>
        <v>518.10700000000008</v>
      </c>
      <c r="AX164" s="195">
        <f t="shared" si="347"/>
        <v>525.63199999999995</v>
      </c>
      <c r="AY164" s="195">
        <f t="shared" si="347"/>
        <v>563.76900000000001</v>
      </c>
      <c r="AZ164" s="195">
        <f t="shared" si="347"/>
        <v>586.26799999999992</v>
      </c>
      <c r="BA164" s="195">
        <f t="shared" si="347"/>
        <v>593.90999999999985</v>
      </c>
      <c r="BB164" s="195">
        <f t="shared" si="347"/>
        <v>635.66600000000005</v>
      </c>
      <c r="BC164" s="195">
        <f t="shared" si="347"/>
        <v>718.81700000000012</v>
      </c>
      <c r="BD164" s="195">
        <f t="shared" si="347"/>
        <v>746.46900000000005</v>
      </c>
      <c r="BE164" s="195">
        <f t="shared" si="347"/>
        <v>796.41699999999992</v>
      </c>
      <c r="BF164" s="195">
        <f t="shared" si="347"/>
        <v>842.79899999999998</v>
      </c>
      <c r="BG164" s="195">
        <f t="shared" si="347"/>
        <v>895.87099999999987</v>
      </c>
      <c r="BH164" s="195">
        <f t="shared" si="347"/>
        <v>963.27300000000002</v>
      </c>
      <c r="BI164" s="195">
        <f t="shared" si="347"/>
        <v>1154.7740000000001</v>
      </c>
      <c r="BJ164" s="195">
        <f t="shared" si="347"/>
        <v>1487.0630000000001</v>
      </c>
      <c r="BK164" s="195">
        <f t="shared" si="347"/>
        <v>1614.3790000000001</v>
      </c>
      <c r="BL164" s="195">
        <f t="shared" si="347"/>
        <v>1772.2140000000002</v>
      </c>
      <c r="BM164" s="195">
        <f>SUM(BM155:BM163)-0.001</f>
        <v>1857.1999999999998</v>
      </c>
      <c r="BN164" s="195">
        <f t="shared" si="347"/>
        <v>1910.6509999999998</v>
      </c>
      <c r="BO164" s="195">
        <f t="shared" si="347"/>
        <v>2095.7730000000001</v>
      </c>
      <c r="BP164" s="195">
        <f t="shared" si="347"/>
        <v>2151.7140000000004</v>
      </c>
      <c r="BQ164" s="195">
        <f t="shared" si="347"/>
        <v>2281.0190000000002</v>
      </c>
      <c r="BR164" s="195">
        <f t="shared" si="347"/>
        <v>2442.2719999999999</v>
      </c>
      <c r="BS164" s="195">
        <f t="shared" si="347"/>
        <v>2586.3320000000003</v>
      </c>
      <c r="BT164" s="195">
        <f t="shared" si="347"/>
        <v>2694.7700000000004</v>
      </c>
      <c r="BU164" s="195">
        <f t="shared" si="347"/>
        <v>3274.9990000000003</v>
      </c>
      <c r="BV164" s="195">
        <f t="shared" si="347"/>
        <v>3535.9180000000001</v>
      </c>
      <c r="BW164" s="195">
        <f t="shared" si="347"/>
        <v>3666.4909999999995</v>
      </c>
      <c r="BX164" s="195">
        <f t="shared" ref="BX164:CI164" si="348">SUM(BX155:BX163)</f>
        <v>3978.2530000000002</v>
      </c>
      <c r="BY164" s="195">
        <f t="shared" si="348"/>
        <v>4250.7860000000001</v>
      </c>
      <c r="BZ164" s="195">
        <f t="shared" si="348"/>
        <v>4358.2729999999992</v>
      </c>
      <c r="CA164" s="195">
        <f t="shared" si="348"/>
        <v>4553.6679999999997</v>
      </c>
      <c r="CB164" s="195">
        <f t="shared" si="348"/>
        <v>4802.2470000000003</v>
      </c>
      <c r="CC164" s="195">
        <f t="shared" si="348"/>
        <v>5011.4180000000006</v>
      </c>
      <c r="CD164" s="195">
        <f t="shared" si="348"/>
        <v>5296.5190000000002</v>
      </c>
      <c r="CE164" s="195">
        <f t="shared" si="348"/>
        <v>5550.277</v>
      </c>
      <c r="CF164" s="195">
        <f t="shared" si="348"/>
        <v>5611.0800000000008</v>
      </c>
      <c r="CG164" s="195">
        <f t="shared" si="348"/>
        <v>5915.7949999999992</v>
      </c>
      <c r="CH164" s="195">
        <f t="shared" si="348"/>
        <v>6305.1809999999996</v>
      </c>
      <c r="CI164" s="195">
        <f t="shared" si="348"/>
        <v>6614.1299999999992</v>
      </c>
      <c r="CJ164" s="195">
        <f>SUM(CJ155:CJ163)</f>
        <v>6897.1169999999993</v>
      </c>
      <c r="CK164" s="195">
        <f>SUM(CK155:CK163)</f>
        <v>7169.4079999999994</v>
      </c>
      <c r="CL164" s="2073">
        <f>+CL165+CL166</f>
        <v>7361.7180000000008</v>
      </c>
      <c r="CM164" s="195">
        <f>SUM(CM155:CM163)</f>
        <v>7388.6049999999996</v>
      </c>
      <c r="CN164" s="2073">
        <f>+CN165+CN166</f>
        <v>7509.4879999999994</v>
      </c>
      <c r="CO164" s="2073">
        <f>+CO165+CO166</f>
        <v>7836.6730000000007</v>
      </c>
      <c r="CP164" s="2073">
        <f>+CP165+CP166</f>
        <v>8015.3289999999997</v>
      </c>
      <c r="CQ164" s="195">
        <f>SUM(CQ155:CQ163)</f>
        <v>8395.616</v>
      </c>
      <c r="CR164" s="2324">
        <f>+CR165+CR166</f>
        <v>9891.1309999999994</v>
      </c>
      <c r="CS164" s="2324">
        <f>+CS165+CS166</f>
        <v>10177.063</v>
      </c>
      <c r="CT164" s="2324">
        <f>+CT165+CT166</f>
        <v>10681.936</v>
      </c>
      <c r="CU164" s="195">
        <f>SUM(CU155:CU163)</f>
        <v>10650.897000000001</v>
      </c>
      <c r="CV164" s="195">
        <f>+CV165+CV166</f>
        <v>11309.902</v>
      </c>
      <c r="CW164" s="195">
        <f>+CW165+CW166</f>
        <v>12728.386999999999</v>
      </c>
      <c r="CX164" s="195">
        <f>+CX165+CX166</f>
        <v>13267.737000000001</v>
      </c>
      <c r="CY164" s="195">
        <f ca="1">+CY165+CY166</f>
        <v>13938.138497400434</v>
      </c>
      <c r="CZ164" s="72">
        <f t="shared" ref="CZ164:DC164" ca="1" si="349">CY164+CZ133+CZ137-CZ147</f>
        <v>14300.261237443738</v>
      </c>
      <c r="DA164" s="72">
        <f t="shared" ca="1" si="349"/>
        <v>14546.74063803006</v>
      </c>
      <c r="DB164" s="72">
        <f t="shared" ca="1" si="349"/>
        <v>15215.698073638419</v>
      </c>
      <c r="DC164" s="72">
        <f t="shared" ca="1" si="349"/>
        <v>15873.70484122408</v>
      </c>
    </row>
    <row r="165" spans="2:111">
      <c r="B165" s="15" t="s">
        <v>66</v>
      </c>
      <c r="C165" s="15"/>
      <c r="D165" s="15"/>
      <c r="E165" s="783">
        <v>15.414999999999999</v>
      </c>
      <c r="F165" s="783">
        <v>56.600999999999999</v>
      </c>
      <c r="G165" s="783">
        <v>109.82599999999999</v>
      </c>
      <c r="H165" s="783">
        <v>165.45400000000001</v>
      </c>
      <c r="I165" s="783">
        <v>220.40799999999999</v>
      </c>
      <c r="J165" s="783">
        <v>280.02699999999999</v>
      </c>
      <c r="K165" s="783">
        <v>349.476</v>
      </c>
      <c r="L165" s="783">
        <v>451.65899999999999</v>
      </c>
      <c r="M165" s="398">
        <v>602.94299999999998</v>
      </c>
      <c r="N165" s="398">
        <f>BS165</f>
        <v>778.21699999999998</v>
      </c>
      <c r="O165" s="398">
        <f>BW165</f>
        <v>1015.538</v>
      </c>
      <c r="P165" s="395">
        <f>CA165</f>
        <v>1327.7560000000001</v>
      </c>
      <c r="Q165" s="395">
        <f>CE165</f>
        <v>1634.5390000000002</v>
      </c>
      <c r="R165" s="395">
        <f>CI165</f>
        <v>2022.48</v>
      </c>
      <c r="S165" s="395">
        <f>CM165</f>
        <v>2390.335</v>
      </c>
      <c r="T165" s="395">
        <f>CQ165</f>
        <v>2789.18</v>
      </c>
      <c r="U165" s="395">
        <f>CU165</f>
        <v>3451.6869999999999</v>
      </c>
      <c r="V165" s="395">
        <f ca="1">CY165</f>
        <v>4543.5364974004333</v>
      </c>
      <c r="W165" s="395">
        <f ca="1">DC165</f>
        <v>5672.1069997807281</v>
      </c>
      <c r="X165" s="87">
        <f ca="1">W165+X184</f>
        <v>6725.3421580354361</v>
      </c>
      <c r="Y165" s="87">
        <f ca="1">X165+Y184</f>
        <v>7840.7722519921026</v>
      </c>
      <c r="Z165" s="87">
        <f ca="1">Y165+Z184</f>
        <v>9015.2740529846178</v>
      </c>
      <c r="AA165" s="87">
        <f t="shared" ref="AA165:AD165" ca="1" si="350">Z165+AA184</f>
        <v>10123.478410620137</v>
      </c>
      <c r="AB165" s="87">
        <f t="shared" ca="1" si="350"/>
        <v>10765.868681064947</v>
      </c>
      <c r="AC165" s="87">
        <f t="shared" ca="1" si="350"/>
        <v>11111.652440095009</v>
      </c>
      <c r="AD165" s="87">
        <f t="shared" ca="1" si="350"/>
        <v>11457.436199125072</v>
      </c>
      <c r="AE165" s="15"/>
      <c r="AF165" s="124"/>
      <c r="AG165" s="124"/>
      <c r="AH165" s="124"/>
      <c r="AI165" s="54">
        <f t="shared" si="339"/>
        <v>15.414999999999999</v>
      </c>
      <c r="AJ165" s="398">
        <v>25.94</v>
      </c>
      <c r="AK165" s="398">
        <v>37.723999999999997</v>
      </c>
      <c r="AL165" s="398">
        <v>49.938000000000002</v>
      </c>
      <c r="AM165" s="54">
        <f t="shared" si="340"/>
        <v>56.600999999999999</v>
      </c>
      <c r="AN165" s="398">
        <v>68.658000000000001</v>
      </c>
      <c r="AO165" s="398">
        <v>81.168000000000006</v>
      </c>
      <c r="AP165" s="398">
        <v>95.248000000000005</v>
      </c>
      <c r="AQ165" s="54">
        <f t="shared" si="341"/>
        <v>109.82599999999999</v>
      </c>
      <c r="AR165" s="398">
        <v>121.503</v>
      </c>
      <c r="AS165" s="398">
        <v>136.40100000000001</v>
      </c>
      <c r="AT165" s="398">
        <v>151.01900000000001</v>
      </c>
      <c r="AU165" s="54">
        <f t="shared" si="342"/>
        <v>165.45400000000001</v>
      </c>
      <c r="AV165" s="398">
        <v>179.821</v>
      </c>
      <c r="AW165" s="398">
        <v>193.559</v>
      </c>
      <c r="AX165" s="398">
        <v>207.398</v>
      </c>
      <c r="AY165" s="26">
        <f>I165</f>
        <v>220.40799999999999</v>
      </c>
      <c r="AZ165" s="398">
        <v>235.28200000000001</v>
      </c>
      <c r="BA165" s="398">
        <v>248.79300000000001</v>
      </c>
      <c r="BB165" s="398">
        <v>264.661</v>
      </c>
      <c r="BC165" s="26">
        <f t="shared" si="343"/>
        <v>280.02699999999999</v>
      </c>
      <c r="BD165" s="398">
        <v>297.233</v>
      </c>
      <c r="BE165" s="398">
        <v>324.65199999999999</v>
      </c>
      <c r="BF165" s="398">
        <v>342.88200000000001</v>
      </c>
      <c r="BG165" s="398">
        <f>K165</f>
        <v>349.476</v>
      </c>
      <c r="BH165" s="398">
        <v>369.71800000000002</v>
      </c>
      <c r="BI165" s="398">
        <v>394.59899999999999</v>
      </c>
      <c r="BJ165" s="398">
        <v>417.983</v>
      </c>
      <c r="BK165" s="26">
        <f t="shared" si="344"/>
        <v>451.65899999999999</v>
      </c>
      <c r="BL165" s="398">
        <v>487.81900000000002</v>
      </c>
      <c r="BM165" s="398">
        <v>526.18299999999999</v>
      </c>
      <c r="BN165" s="398">
        <v>563.66899999999998</v>
      </c>
      <c r="BO165" s="26">
        <f>M165</f>
        <v>602.94299999999998</v>
      </c>
      <c r="BP165" s="1000">
        <v>638.80600000000004</v>
      </c>
      <c r="BQ165" s="1000">
        <v>690.26300000000003</v>
      </c>
      <c r="BR165" s="1000">
        <v>739.26300000000003</v>
      </c>
      <c r="BS165" s="1000">
        <v>778.21699999999998</v>
      </c>
      <c r="BT165" s="1000">
        <v>820.44500000000005</v>
      </c>
      <c r="BU165" s="1000">
        <v>874.19</v>
      </c>
      <c r="BV165" s="1000">
        <v>953.02800000000002</v>
      </c>
      <c r="BW165" s="1000">
        <v>1015.538</v>
      </c>
      <c r="BX165" s="1000">
        <v>1097.271</v>
      </c>
      <c r="BY165" s="1000">
        <v>1165.5840000000001</v>
      </c>
      <c r="BZ165" s="1000">
        <v>1236.1790000000001</v>
      </c>
      <c r="CA165" s="1000">
        <v>1327.7560000000001</v>
      </c>
      <c r="CB165" s="398">
        <v>1414.8779999999999</v>
      </c>
      <c r="CC165" s="398">
        <v>1485.579</v>
      </c>
      <c r="CD165" s="398">
        <v>1505.4559999999999</v>
      </c>
      <c r="CE165" s="1002">
        <f>-3915.738+CE164</f>
        <v>1634.5390000000002</v>
      </c>
      <c r="CF165" s="398">
        <v>1720.89</v>
      </c>
      <c r="CG165" s="398">
        <v>1812.451</v>
      </c>
      <c r="CH165" s="398">
        <v>1924.1610000000001</v>
      </c>
      <c r="CI165" s="398">
        <v>2022.48</v>
      </c>
      <c r="CJ165" s="398">
        <v>2130.8200000000002</v>
      </c>
      <c r="CK165" s="398">
        <v>2245.2460000000001</v>
      </c>
      <c r="CL165" s="2074">
        <f>+CK165+IS!DE45</f>
        <v>2378.3420000000001</v>
      </c>
      <c r="CM165" s="398">
        <v>2390.335</v>
      </c>
      <c r="CN165" s="2074">
        <f>+CM165+IS!DG45</f>
        <v>2518.605</v>
      </c>
      <c r="CO165" s="2074">
        <f>+CN165+IS!DH45</f>
        <v>2651.873</v>
      </c>
      <c r="CP165" s="2074">
        <f>+CO165+IS!DI45</f>
        <v>2796.7339999999999</v>
      </c>
      <c r="CQ165" s="398">
        <v>2789.18</v>
      </c>
      <c r="CR165" s="2325">
        <f>+CQ165+IS!DK45</f>
        <v>3002.8989999999999</v>
      </c>
      <c r="CS165" s="2325">
        <f>+CR165+IS!DL45</f>
        <v>3218.2689999999998</v>
      </c>
      <c r="CT165" s="2325">
        <f>+CS165+IS!DM45</f>
        <v>3430.5369999999998</v>
      </c>
      <c r="CU165" s="398">
        <v>3451.6869999999999</v>
      </c>
      <c r="CV165" s="398">
        <f>+CU165+IS!DO45</f>
        <v>3704.0729999999999</v>
      </c>
      <c r="CW165" s="398">
        <f>+CV165+IS!DP45</f>
        <v>3981.7919999999999</v>
      </c>
      <c r="CX165" s="398">
        <f>+CW165+IS!DQ45</f>
        <v>4261.5659999999998</v>
      </c>
      <c r="CY165" s="398">
        <f ca="1">+CX165+IS!DR45</f>
        <v>4543.5364974004333</v>
      </c>
      <c r="CZ165" s="87">
        <f ca="1">CY165+CZ184</f>
        <v>4821.3362448008666</v>
      </c>
      <c r="DA165" s="87">
        <f ca="1">CZ165+DA184</f>
        <v>5099.738443207596</v>
      </c>
      <c r="DB165" s="87">
        <f ca="1">DA165+DB184</f>
        <v>5381.9211109842718</v>
      </c>
      <c r="DC165" s="87">
        <f ca="1">DB165+DC184</f>
        <v>5672.1069997807281</v>
      </c>
    </row>
    <row r="166" spans="2:111">
      <c r="B166" s="14" t="s">
        <v>1120</v>
      </c>
      <c r="C166" s="14"/>
      <c r="D166" s="14"/>
      <c r="E166" s="195">
        <f t="shared" ref="E166:M166" si="351">E164-E165</f>
        <v>315.37999999999994</v>
      </c>
      <c r="F166" s="195">
        <f t="shared" si="351"/>
        <v>325.226</v>
      </c>
      <c r="G166" s="195">
        <f t="shared" si="351"/>
        <v>390.048</v>
      </c>
      <c r="H166" s="195">
        <f t="shared" si="351"/>
        <v>343.55400000000003</v>
      </c>
      <c r="I166" s="195">
        <f t="shared" si="351"/>
        <v>343.36099999999999</v>
      </c>
      <c r="J166" s="195">
        <f t="shared" si="351"/>
        <v>438.79000000000013</v>
      </c>
      <c r="K166" s="195">
        <f t="shared" si="351"/>
        <v>546.39499999999987</v>
      </c>
      <c r="L166" s="195">
        <f t="shared" si="351"/>
        <v>1162.7200000000003</v>
      </c>
      <c r="M166" s="195">
        <f t="shared" si="351"/>
        <v>1492.8300000000002</v>
      </c>
      <c r="N166" s="195">
        <f t="shared" ref="N166:S166" si="352">N164-N165</f>
        <v>1808.1150000000002</v>
      </c>
      <c r="O166" s="195">
        <f t="shared" si="352"/>
        <v>2650.9529999999995</v>
      </c>
      <c r="P166" s="72">
        <f t="shared" si="352"/>
        <v>3225.9119999999994</v>
      </c>
      <c r="Q166" s="72">
        <f t="shared" si="352"/>
        <v>3915.7379999999998</v>
      </c>
      <c r="R166" s="72">
        <f t="shared" si="352"/>
        <v>4591.6499999999996</v>
      </c>
      <c r="S166" s="72">
        <f t="shared" si="352"/>
        <v>4998.2699999999995</v>
      </c>
      <c r="T166" s="72">
        <f t="shared" ref="T166:Z166" si="353">T164-T165</f>
        <v>5606.4359999999997</v>
      </c>
      <c r="U166" s="72">
        <f t="shared" si="353"/>
        <v>7199.2100000000009</v>
      </c>
      <c r="V166" s="72">
        <f ca="1">V164-V165</f>
        <v>9394.6020000000008</v>
      </c>
      <c r="W166" s="72">
        <f ca="1">W164-W165</f>
        <v>10201.597841443352</v>
      </c>
      <c r="X166" s="72">
        <f t="shared" ca="1" si="353"/>
        <v>11001.511194068029</v>
      </c>
      <c r="Y166" s="72">
        <f t="shared" ca="1" si="353"/>
        <v>11546.024417420003</v>
      </c>
      <c r="Z166" s="72">
        <f t="shared" ca="1" si="353"/>
        <v>11989.932935803003</v>
      </c>
      <c r="AA166" s="72">
        <f t="shared" ref="AA166:AD166" ca="1" si="354">AA164-AA165</f>
        <v>12507.804674845233</v>
      </c>
      <c r="AB166" s="72">
        <f t="shared" ca="1" si="354"/>
        <v>13499.223583291749</v>
      </c>
      <c r="AC166" s="72">
        <f t="shared" ca="1" si="354"/>
        <v>14795.110256822112</v>
      </c>
      <c r="AD166" s="72">
        <f t="shared" ca="1" si="354"/>
        <v>16098.908813831569</v>
      </c>
      <c r="AE166" s="14"/>
      <c r="AF166" s="14"/>
      <c r="AG166" s="14"/>
      <c r="AH166" s="14"/>
      <c r="AI166" s="195">
        <f t="shared" ref="AI166:CI166" si="355">AI164-AI165</f>
        <v>315.37999999999994</v>
      </c>
      <c r="AJ166" s="195">
        <f t="shared" si="355"/>
        <v>342.00100000000009</v>
      </c>
      <c r="AK166" s="195">
        <f t="shared" si="355"/>
        <v>336.88499999999999</v>
      </c>
      <c r="AL166" s="195">
        <f t="shared" si="355"/>
        <v>327.27799999999996</v>
      </c>
      <c r="AM166" s="195">
        <f t="shared" si="355"/>
        <v>325.226</v>
      </c>
      <c r="AN166" s="195">
        <f t="shared" si="355"/>
        <v>417.608</v>
      </c>
      <c r="AO166" s="195">
        <f t="shared" si="355"/>
        <v>399.71199999999999</v>
      </c>
      <c r="AP166" s="195">
        <f t="shared" si="355"/>
        <v>386.69900000000001</v>
      </c>
      <c r="AQ166" s="195">
        <f t="shared" si="355"/>
        <v>390.048</v>
      </c>
      <c r="AR166" s="195">
        <f t="shared" si="355"/>
        <v>373.93600000000004</v>
      </c>
      <c r="AS166" s="195">
        <f t="shared" si="355"/>
        <v>360.92199999999997</v>
      </c>
      <c r="AT166" s="195">
        <f t="shared" si="355"/>
        <v>347.84599999999995</v>
      </c>
      <c r="AU166" s="195">
        <f t="shared" si="355"/>
        <v>343.55400000000003</v>
      </c>
      <c r="AV166" s="195">
        <f t="shared" si="355"/>
        <v>334.29499999999996</v>
      </c>
      <c r="AW166" s="195">
        <f t="shared" si="355"/>
        <v>324.54800000000012</v>
      </c>
      <c r="AX166" s="195">
        <f t="shared" si="355"/>
        <v>318.23399999999992</v>
      </c>
      <c r="AY166" s="195">
        <f t="shared" si="355"/>
        <v>343.36099999999999</v>
      </c>
      <c r="AZ166" s="195">
        <f t="shared" si="355"/>
        <v>350.98599999999988</v>
      </c>
      <c r="BA166" s="195">
        <f t="shared" si="355"/>
        <v>345.11699999999985</v>
      </c>
      <c r="BB166" s="195">
        <f t="shared" si="355"/>
        <v>371.00500000000005</v>
      </c>
      <c r="BC166" s="195">
        <f t="shared" si="355"/>
        <v>438.79000000000013</v>
      </c>
      <c r="BD166" s="195">
        <f t="shared" si="355"/>
        <v>449.23600000000005</v>
      </c>
      <c r="BE166" s="195">
        <f t="shared" si="355"/>
        <v>471.76499999999993</v>
      </c>
      <c r="BF166" s="195">
        <f t="shared" si="355"/>
        <v>499.91699999999997</v>
      </c>
      <c r="BG166" s="195">
        <f t="shared" si="355"/>
        <v>546.39499999999987</v>
      </c>
      <c r="BH166" s="195">
        <f t="shared" si="355"/>
        <v>593.55500000000006</v>
      </c>
      <c r="BI166" s="195">
        <f t="shared" si="355"/>
        <v>760.17500000000018</v>
      </c>
      <c r="BJ166" s="195">
        <f t="shared" si="355"/>
        <v>1069.0800000000002</v>
      </c>
      <c r="BK166" s="195">
        <f t="shared" si="355"/>
        <v>1162.7200000000003</v>
      </c>
      <c r="BL166" s="195">
        <f t="shared" si="355"/>
        <v>1284.3950000000002</v>
      </c>
      <c r="BM166" s="195">
        <f>BM164-BM165</f>
        <v>1331.0169999999998</v>
      </c>
      <c r="BN166" s="195">
        <f t="shared" si="355"/>
        <v>1346.982</v>
      </c>
      <c r="BO166" s="195">
        <f t="shared" si="355"/>
        <v>1492.8300000000002</v>
      </c>
      <c r="BP166" s="195">
        <f t="shared" si="355"/>
        <v>1512.9080000000004</v>
      </c>
      <c r="BQ166" s="195">
        <f t="shared" si="355"/>
        <v>1590.7560000000003</v>
      </c>
      <c r="BR166" s="195">
        <f t="shared" si="355"/>
        <v>1703.009</v>
      </c>
      <c r="BS166" s="195">
        <f t="shared" si="355"/>
        <v>1808.1150000000002</v>
      </c>
      <c r="BT166" s="195">
        <f t="shared" si="355"/>
        <v>1874.3250000000003</v>
      </c>
      <c r="BU166" s="195">
        <f t="shared" si="355"/>
        <v>2400.8090000000002</v>
      </c>
      <c r="BV166" s="195">
        <f t="shared" si="355"/>
        <v>2582.8900000000003</v>
      </c>
      <c r="BW166" s="195">
        <f t="shared" si="355"/>
        <v>2650.9529999999995</v>
      </c>
      <c r="BX166" s="195">
        <f t="shared" si="355"/>
        <v>2880.982</v>
      </c>
      <c r="BY166" s="195">
        <f t="shared" si="355"/>
        <v>3085.2020000000002</v>
      </c>
      <c r="BZ166" s="195">
        <f t="shared" si="355"/>
        <v>3122.0939999999991</v>
      </c>
      <c r="CA166" s="195">
        <f t="shared" si="355"/>
        <v>3225.9119999999994</v>
      </c>
      <c r="CB166" s="195">
        <f t="shared" si="355"/>
        <v>3387.3690000000006</v>
      </c>
      <c r="CC166" s="195">
        <f t="shared" si="355"/>
        <v>3525.8390000000009</v>
      </c>
      <c r="CD166" s="195">
        <f t="shared" si="355"/>
        <v>3791.0630000000001</v>
      </c>
      <c r="CE166" s="195">
        <f t="shared" si="355"/>
        <v>3915.7379999999998</v>
      </c>
      <c r="CF166" s="195">
        <f t="shared" si="355"/>
        <v>3890.1900000000005</v>
      </c>
      <c r="CG166" s="195">
        <f t="shared" si="355"/>
        <v>4103.3439999999991</v>
      </c>
      <c r="CH166" s="195">
        <f t="shared" si="355"/>
        <v>4381.0199999999995</v>
      </c>
      <c r="CI166" s="195">
        <f t="shared" si="355"/>
        <v>4591.6499999999996</v>
      </c>
      <c r="CJ166" s="195">
        <f>CJ164-CJ165</f>
        <v>4766.2969999999987</v>
      </c>
      <c r="CK166" s="195">
        <f>CK164-CK165</f>
        <v>4924.1619999999994</v>
      </c>
      <c r="CL166" s="2075">
        <f>+CL20</f>
        <v>4983.3760000000002</v>
      </c>
      <c r="CM166" s="195">
        <f>CM164-CM165</f>
        <v>4998.2699999999995</v>
      </c>
      <c r="CN166" s="2075">
        <f>+CN20</f>
        <v>4990.8829999999998</v>
      </c>
      <c r="CO166" s="2075">
        <f>+CO20</f>
        <v>5184.8</v>
      </c>
      <c r="CP166" s="2075">
        <f>+CP20</f>
        <v>5218.5950000000003</v>
      </c>
      <c r="CQ166" s="195">
        <f>CQ164-CQ165</f>
        <v>5606.4359999999997</v>
      </c>
      <c r="CR166" s="2324">
        <f>+CR20</f>
        <v>6888.232</v>
      </c>
      <c r="CS166" s="2324">
        <f>+CS20</f>
        <v>6958.7939999999999</v>
      </c>
      <c r="CT166" s="2324">
        <f>+CT20</f>
        <v>7251.3990000000003</v>
      </c>
      <c r="CU166" s="195">
        <f>CU164-CU165</f>
        <v>7199.2100000000009</v>
      </c>
      <c r="CV166" s="195">
        <f>+CV20</f>
        <v>7605.8289999999997</v>
      </c>
      <c r="CW166" s="195">
        <f>+CW20</f>
        <v>8746.5949999999993</v>
      </c>
      <c r="CX166" s="195">
        <f>+CX20</f>
        <v>9006.1710000000003</v>
      </c>
      <c r="CY166" s="195">
        <f>+CY20</f>
        <v>9394.6020000000008</v>
      </c>
      <c r="CZ166" s="72">
        <f t="shared" ref="CZ166:DC166" ca="1" si="356">CZ164-CZ165</f>
        <v>9478.9249926428711</v>
      </c>
      <c r="DA166" s="72">
        <f t="shared" ca="1" si="356"/>
        <v>9447.0021948224639</v>
      </c>
      <c r="DB166" s="72">
        <f t="shared" ca="1" si="356"/>
        <v>9833.7769626541485</v>
      </c>
      <c r="DC166" s="72">
        <f t="shared" ca="1" si="356"/>
        <v>10201.597841443352</v>
      </c>
    </row>
    <row r="167" spans="2:111" ht="12.75" customHeight="1">
      <c r="B167" s="18"/>
      <c r="C167" s="15"/>
      <c r="D167" s="15"/>
      <c r="E167" s="26"/>
      <c r="F167" s="820"/>
      <c r="G167" s="820"/>
      <c r="H167" s="820"/>
      <c r="I167" s="820"/>
      <c r="J167" s="820"/>
      <c r="K167" s="820"/>
      <c r="L167" s="820"/>
      <c r="M167" s="820"/>
      <c r="N167" s="820"/>
      <c r="O167" s="820"/>
      <c r="P167" s="820"/>
      <c r="Q167" s="820"/>
      <c r="R167" s="820"/>
      <c r="S167" s="820"/>
      <c r="T167" s="820"/>
      <c r="U167" s="820"/>
      <c r="V167" s="820"/>
      <c r="W167" s="820"/>
      <c r="X167" s="820"/>
      <c r="Y167" s="820"/>
      <c r="Z167" s="820"/>
      <c r="AA167" s="820"/>
      <c r="AB167" s="820"/>
      <c r="AC167" s="820"/>
      <c r="AD167" s="820"/>
      <c r="AE167" s="15"/>
      <c r="AF167" s="15"/>
      <c r="AG167" s="15"/>
      <c r="AH167" s="15"/>
      <c r="AI167" s="820"/>
      <c r="AJ167" s="820"/>
      <c r="AK167" s="820"/>
      <c r="AL167" s="820"/>
      <c r="AM167" s="820"/>
      <c r="AN167" s="820"/>
      <c r="AO167" s="820"/>
      <c r="AP167" s="820"/>
      <c r="AQ167" s="820"/>
      <c r="AR167" s="820"/>
      <c r="AS167" s="820"/>
      <c r="AT167" s="820"/>
      <c r="AU167" s="820"/>
      <c r="AV167" s="820"/>
      <c r="AW167" s="820"/>
      <c r="AX167" s="820"/>
      <c r="AY167" s="820"/>
      <c r="AZ167" s="820"/>
      <c r="BA167" s="820"/>
      <c r="BB167" s="820"/>
      <c r="BC167" s="820"/>
      <c r="BD167" s="820"/>
      <c r="BE167" s="820"/>
      <c r="BF167" s="820"/>
      <c r="BG167" s="820"/>
      <c r="BH167" s="820"/>
      <c r="BI167" s="820"/>
      <c r="BJ167" s="820"/>
      <c r="BK167" s="820"/>
      <c r="BL167" s="820"/>
      <c r="BM167" s="820"/>
      <c r="BN167" s="820"/>
      <c r="BO167" s="820"/>
      <c r="BP167" s="820"/>
      <c r="BQ167" s="820"/>
      <c r="BR167" s="820"/>
      <c r="BS167" s="820"/>
      <c r="BT167" s="820"/>
      <c r="BU167" s="820"/>
      <c r="BV167" s="820"/>
      <c r="BW167" s="820"/>
      <c r="BX167" s="820"/>
      <c r="BY167" s="820"/>
      <c r="BZ167" s="820"/>
      <c r="CA167" s="820"/>
      <c r="CB167" s="820"/>
      <c r="CC167" s="820"/>
      <c r="CD167" s="820"/>
      <c r="CE167" s="820"/>
      <c r="CF167" s="820"/>
      <c r="CG167" s="820"/>
      <c r="CH167" s="820"/>
      <c r="CI167" s="820"/>
      <c r="CJ167" s="820"/>
      <c r="CK167" s="820"/>
      <c r="CL167" s="820"/>
      <c r="CM167" s="820"/>
      <c r="CN167" s="820"/>
      <c r="CO167" s="820"/>
      <c r="CP167" s="820"/>
      <c r="CQ167" s="820"/>
      <c r="CR167" s="820"/>
      <c r="CS167" s="820"/>
      <c r="CT167" s="820"/>
      <c r="CU167" s="820"/>
      <c r="CV167" s="820"/>
      <c r="CW167" s="820"/>
      <c r="CX167" s="820"/>
      <c r="CY167" s="820"/>
      <c r="CZ167" s="820"/>
      <c r="DA167" s="820"/>
      <c r="DB167" s="820"/>
      <c r="DC167" s="820"/>
    </row>
    <row r="168" spans="2:111">
      <c r="B168" s="14" t="s">
        <v>11</v>
      </c>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c r="AA168" s="15"/>
      <c r="AB168" s="15"/>
      <c r="AC168" s="15"/>
      <c r="AD168" s="15"/>
      <c r="AE168" s="15"/>
      <c r="AF168" s="789"/>
      <c r="AG168" s="789"/>
      <c r="AH168" s="789"/>
      <c r="AI168" s="789"/>
      <c r="AJ168" s="789"/>
      <c r="AK168" s="789"/>
      <c r="AL168" s="789"/>
      <c r="AM168" s="789"/>
      <c r="AN168" s="789"/>
      <c r="AO168" s="789"/>
      <c r="AP168" s="789"/>
      <c r="AQ168" s="789"/>
      <c r="AR168" s="789"/>
      <c r="AS168" s="789"/>
      <c r="AT168" s="789"/>
      <c r="AU168" s="789"/>
      <c r="AV168" s="789"/>
      <c r="AW168" s="789"/>
      <c r="AX168" s="789"/>
      <c r="AY168" s="789"/>
      <c r="AZ168" s="15"/>
      <c r="BA168" s="15"/>
      <c r="BB168" s="15"/>
      <c r="BC168" s="15"/>
      <c r="BD168" s="15"/>
      <c r="BE168" s="15"/>
      <c r="BF168" s="15"/>
      <c r="BG168" s="15"/>
      <c r="BH168" s="15"/>
      <c r="BI168" s="15"/>
      <c r="BJ168" s="15"/>
      <c r="BK168" s="15"/>
      <c r="BL168" s="15"/>
      <c r="BM168" s="15"/>
      <c r="BN168" s="15"/>
      <c r="BO168" s="15"/>
      <c r="BP168" s="15"/>
      <c r="BQ168" s="15"/>
      <c r="BR168" s="15"/>
      <c r="BS168" s="15"/>
      <c r="BT168" s="195">
        <f t="shared" ref="BT168:BY168" si="357">BT166-BT161</f>
        <v>1791.0340000000003</v>
      </c>
      <c r="BU168" s="195">
        <f t="shared" si="357"/>
        <v>2319.2570000000001</v>
      </c>
      <c r="BV168" s="195">
        <f t="shared" si="357"/>
        <v>2499.3180000000002</v>
      </c>
      <c r="BW168" s="195">
        <f t="shared" si="357"/>
        <v>2561.6409999999996</v>
      </c>
      <c r="BX168" s="195">
        <f t="shared" si="357"/>
        <v>2787.9789999999998</v>
      </c>
      <c r="BY168" s="195">
        <f t="shared" si="357"/>
        <v>2988.9960000000001</v>
      </c>
      <c r="BZ168" s="195">
        <f t="shared" ref="BZ168:CE168" si="358">BZ166-BZ161</f>
        <v>3030.001999999999</v>
      </c>
      <c r="CA168" s="195">
        <f t="shared" si="358"/>
        <v>3134.5979999999995</v>
      </c>
      <c r="CB168" s="195">
        <f t="shared" si="358"/>
        <v>3291.3270000000007</v>
      </c>
      <c r="CC168" s="195">
        <f t="shared" si="358"/>
        <v>3431.1110000000008</v>
      </c>
      <c r="CD168" s="195">
        <f t="shared" si="358"/>
        <v>3693.721</v>
      </c>
      <c r="CE168" s="195">
        <f t="shared" si="358"/>
        <v>3817.7309999999998</v>
      </c>
      <c r="CF168" s="195">
        <f t="shared" ref="CF168:CK168" si="359">CF166-CF161</f>
        <v>3793.2820000000006</v>
      </c>
      <c r="CG168" s="195">
        <f t="shared" si="359"/>
        <v>3989.4919999999993</v>
      </c>
      <c r="CH168" s="195">
        <f t="shared" si="359"/>
        <v>4264.5059999999994</v>
      </c>
      <c r="CI168" s="195">
        <f t="shared" si="359"/>
        <v>4469.6149999999998</v>
      </c>
      <c r="CJ168" s="195">
        <f t="shared" si="359"/>
        <v>4644.2179999999989</v>
      </c>
      <c r="CK168" s="195">
        <f t="shared" si="359"/>
        <v>4802.1219999999994</v>
      </c>
      <c r="CL168" s="195">
        <f t="shared" ref="CL168:CQ168" si="360">CL166-CL161</f>
        <v>4861.3360000000002</v>
      </c>
      <c r="CM168" s="195">
        <f t="shared" si="360"/>
        <v>4838.2349999999997</v>
      </c>
      <c r="CN168" s="195">
        <f t="shared" si="360"/>
        <v>4830.848</v>
      </c>
      <c r="CO168" s="195">
        <f t="shared" si="360"/>
        <v>5024.7650000000003</v>
      </c>
      <c r="CP168" s="195">
        <f t="shared" si="360"/>
        <v>5058.5600000000004</v>
      </c>
      <c r="CQ168" s="195">
        <f t="shared" si="360"/>
        <v>5422.49</v>
      </c>
      <c r="CR168" s="15"/>
      <c r="CS168" s="15"/>
      <c r="CT168" s="15"/>
      <c r="CU168" s="15"/>
      <c r="CV168" s="15"/>
      <c r="CW168" s="15"/>
      <c r="CX168" s="15"/>
      <c r="CY168" s="15"/>
      <c r="CZ168" s="15"/>
      <c r="DA168" s="15"/>
      <c r="DB168" s="15"/>
      <c r="DC168" s="15"/>
    </row>
    <row r="169" spans="2:111">
      <c r="D169" s="15"/>
      <c r="E169" s="15"/>
      <c r="F169" s="15"/>
      <c r="G169" s="15"/>
      <c r="H169" s="15"/>
      <c r="I169" s="15"/>
      <c r="J169" s="15"/>
      <c r="K169" s="15"/>
      <c r="L169" s="15"/>
      <c r="M169" s="15"/>
      <c r="N169" s="15"/>
      <c r="O169" s="15"/>
      <c r="P169" s="15"/>
      <c r="Q169" s="26"/>
      <c r="R169" s="26"/>
      <c r="S169" s="26"/>
      <c r="T169" s="26"/>
      <c r="U169" s="26"/>
      <c r="V169" s="26"/>
      <c r="W169" s="26"/>
      <c r="X169" s="26"/>
      <c r="Y169" s="26"/>
      <c r="Z169" s="26"/>
      <c r="AA169" s="26"/>
      <c r="AB169" s="26"/>
      <c r="AC169" s="26"/>
      <c r="AD169" s="26"/>
      <c r="AE169" s="26"/>
      <c r="AF169" s="26"/>
      <c r="AG169" s="789"/>
      <c r="AH169" s="789"/>
      <c r="AI169" s="789"/>
      <c r="AJ169" s="789"/>
      <c r="AK169" s="789"/>
      <c r="AL169" s="789"/>
      <c r="AM169" s="789"/>
      <c r="AN169" s="789"/>
      <c r="AO169" s="789"/>
      <c r="AP169" s="789"/>
      <c r="AQ169" s="789"/>
      <c r="AR169" s="789"/>
      <c r="AS169" s="789"/>
      <c r="AT169" s="789"/>
      <c r="AU169" s="789"/>
      <c r="AV169" s="789"/>
      <c r="AW169" s="789"/>
      <c r="AX169" s="789"/>
      <c r="AY169" s="789"/>
      <c r="AZ169" s="15"/>
      <c r="BA169" s="15"/>
      <c r="BB169" s="15"/>
      <c r="BC169" s="15"/>
      <c r="BD169" s="15"/>
      <c r="BE169" s="15"/>
      <c r="BF169" s="15"/>
      <c r="BG169" s="15"/>
      <c r="BH169" s="15"/>
      <c r="BI169" s="15"/>
      <c r="BJ169" s="15"/>
      <c r="BK169" s="15"/>
      <c r="BL169" s="15"/>
      <c r="BM169" s="15"/>
      <c r="BN169" s="15"/>
      <c r="BO169" s="15"/>
      <c r="BP169" s="15"/>
      <c r="BQ169" s="15"/>
      <c r="BR169" s="15"/>
      <c r="BS169" s="15"/>
      <c r="BT169" s="15"/>
      <c r="BU169" s="885"/>
      <c r="BV169" s="15"/>
      <c r="BW169" s="15"/>
      <c r="BX169" s="15"/>
      <c r="BY169" s="15"/>
      <c r="BZ169" s="15"/>
      <c r="CA169" s="15"/>
      <c r="CB169" s="15"/>
      <c r="CC169" s="15"/>
      <c r="CD169" s="15"/>
      <c r="CE169" s="15"/>
      <c r="CF169" s="15"/>
      <c r="CG169" s="15"/>
      <c r="CH169" s="15"/>
      <c r="CI169" s="15"/>
      <c r="CJ169" s="15"/>
      <c r="CK169" s="15"/>
      <c r="CL169" s="15"/>
      <c r="CM169" s="15"/>
      <c r="CN169" s="15"/>
      <c r="CO169" s="15"/>
      <c r="CP169" s="15"/>
      <c r="CQ169" s="15"/>
      <c r="CR169" s="15"/>
      <c r="CS169" s="15"/>
      <c r="CT169" s="15"/>
      <c r="CU169" s="15"/>
      <c r="CV169" s="15"/>
      <c r="CW169" s="15"/>
      <c r="CX169" s="15"/>
      <c r="CY169" s="15"/>
      <c r="CZ169" s="15"/>
      <c r="DA169" s="15"/>
      <c r="DB169" s="15"/>
      <c r="DC169" s="15"/>
    </row>
    <row r="170" spans="2:111">
      <c r="B170" s="102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c r="AA170" s="15"/>
      <c r="AB170" s="15"/>
      <c r="AC170" s="15"/>
      <c r="AD170" s="15"/>
      <c r="AE170" s="15"/>
      <c r="AF170" s="15"/>
      <c r="AG170" s="789"/>
      <c r="AH170" s="789"/>
      <c r="AI170" s="789"/>
      <c r="AJ170" s="789"/>
      <c r="AK170" s="789"/>
      <c r="AL170" s="789"/>
      <c r="AM170" s="789"/>
      <c r="AN170" s="789"/>
      <c r="AO170" s="789"/>
      <c r="AP170" s="789"/>
      <c r="AQ170" s="789"/>
      <c r="AR170" s="789"/>
      <c r="AS170" s="789"/>
      <c r="AT170" s="789"/>
      <c r="AU170" s="789"/>
      <c r="AV170" s="789"/>
      <c r="AW170" s="789"/>
      <c r="AX170" s="789"/>
      <c r="AY170" s="789"/>
      <c r="AZ170" s="15"/>
      <c r="BA170" s="15"/>
      <c r="BB170" s="15"/>
      <c r="BC170" s="15"/>
      <c r="BD170" s="15"/>
      <c r="BE170" s="15"/>
      <c r="BF170" s="15"/>
      <c r="BG170" s="15"/>
      <c r="BH170" s="15"/>
      <c r="BI170" s="15"/>
      <c r="BJ170" s="15"/>
      <c r="BK170" s="15"/>
      <c r="BL170" s="15"/>
      <c r="BM170" s="15"/>
      <c r="BN170" s="15"/>
      <c r="BO170" s="15"/>
      <c r="BP170" s="15"/>
      <c r="BQ170" s="15"/>
      <c r="BR170" s="15"/>
      <c r="BS170" s="15"/>
      <c r="BT170" s="15"/>
      <c r="BU170" s="885"/>
      <c r="BV170" s="15"/>
      <c r="BW170" s="15"/>
      <c r="BX170" s="15"/>
      <c r="BY170" s="26"/>
      <c r="BZ170" s="26"/>
      <c r="CA170" s="26"/>
      <c r="CB170" s="26"/>
      <c r="CC170" s="26"/>
      <c r="CD170" s="26"/>
      <c r="CE170" s="26"/>
      <c r="CF170" s="26"/>
      <c r="CG170" s="26"/>
      <c r="CH170" s="26"/>
      <c r="CI170" s="26"/>
      <c r="CJ170" s="26"/>
      <c r="CK170" s="26"/>
      <c r="CL170" s="26"/>
      <c r="CM170" s="26"/>
      <c r="CN170" s="26"/>
      <c r="CO170" s="26"/>
      <c r="CP170" s="26"/>
      <c r="CQ170" s="26"/>
      <c r="CR170" s="15"/>
      <c r="CS170" s="15"/>
      <c r="CT170" s="15"/>
      <c r="CU170" s="15"/>
      <c r="CV170" s="15"/>
      <c r="CW170" s="15"/>
      <c r="CX170" s="15"/>
      <c r="CY170" s="15"/>
      <c r="CZ170" s="15"/>
      <c r="DA170" s="15"/>
      <c r="DB170" s="15"/>
      <c r="DC170" s="15"/>
    </row>
    <row r="171" spans="2:111">
      <c r="B171" s="16" t="s">
        <v>10</v>
      </c>
      <c r="C171" s="1025">
        <v>12.5</v>
      </c>
      <c r="D171" s="15"/>
      <c r="E171" s="15"/>
      <c r="F171" s="15"/>
      <c r="G171" s="15"/>
      <c r="H171" s="15"/>
      <c r="I171" s="15"/>
      <c r="J171" s="15"/>
      <c r="K171" s="15"/>
      <c r="L171" s="15"/>
      <c r="M171" s="15"/>
      <c r="N171" s="15"/>
      <c r="O171" s="15"/>
      <c r="P171" s="15"/>
      <c r="Q171" s="15"/>
      <c r="R171" s="15"/>
      <c r="S171" s="15"/>
      <c r="T171" s="15"/>
      <c r="U171" s="15"/>
      <c r="V171" s="15"/>
      <c r="W171" s="15"/>
      <c r="X171" s="15"/>
      <c r="Y171" s="15"/>
      <c r="Z171" s="15"/>
      <c r="AA171" s="15"/>
      <c r="AB171" s="15"/>
      <c r="AC171" s="15"/>
      <c r="AD171" s="15"/>
      <c r="AE171" s="15"/>
      <c r="AF171" s="15"/>
      <c r="AG171" s="15"/>
      <c r="AH171" s="15"/>
      <c r="AI171" s="789"/>
      <c r="AJ171" s="789"/>
      <c r="AK171" s="789"/>
      <c r="AL171" s="789"/>
      <c r="AM171" s="789"/>
      <c r="AN171" s="789"/>
      <c r="AO171" s="789"/>
      <c r="AP171" s="789"/>
      <c r="AQ171" s="789"/>
      <c r="AR171" s="789"/>
      <c r="AS171" s="789"/>
      <c r="AT171" s="789"/>
      <c r="AU171" s="789"/>
      <c r="AV171" s="789"/>
      <c r="AW171" s="789"/>
      <c r="AX171" s="789"/>
      <c r="AY171" s="789"/>
      <c r="AZ171" s="15"/>
      <c r="BA171" s="15"/>
      <c r="BB171" s="15"/>
      <c r="BC171" s="15"/>
      <c r="BD171" s="15"/>
      <c r="BE171" s="15"/>
      <c r="BF171" s="15"/>
      <c r="BG171" s="15"/>
      <c r="BH171" s="15"/>
      <c r="BI171" s="15"/>
      <c r="BJ171" s="15"/>
      <c r="BK171" s="15"/>
      <c r="BL171" s="15"/>
      <c r="BM171" s="15"/>
      <c r="BN171" s="15"/>
      <c r="BO171" s="15"/>
      <c r="BP171" s="15"/>
      <c r="BQ171" s="15"/>
      <c r="BR171" s="15"/>
      <c r="BS171" s="15"/>
      <c r="BT171" s="15"/>
      <c r="BU171" s="885"/>
      <c r="BV171" s="15"/>
      <c r="BW171" s="15"/>
      <c r="BX171" s="15"/>
      <c r="BY171" s="15"/>
      <c r="BZ171" s="15"/>
      <c r="CA171" s="15"/>
      <c r="CB171" s="15"/>
      <c r="CC171" s="15"/>
      <c r="CD171" s="15"/>
      <c r="CE171" s="15"/>
      <c r="CF171" s="15"/>
      <c r="CG171" s="15"/>
      <c r="CH171" s="15"/>
      <c r="CI171" s="15"/>
      <c r="CJ171" s="15"/>
      <c r="CK171" s="15"/>
      <c r="CL171" s="15"/>
      <c r="CM171" s="15"/>
      <c r="CN171" s="15"/>
      <c r="CO171" s="15"/>
      <c r="CP171" s="15"/>
      <c r="CQ171" s="15"/>
      <c r="CR171" s="26"/>
      <c r="CS171" s="26"/>
      <c r="CT171" s="26"/>
      <c r="CU171" s="26"/>
      <c r="CV171" s="26"/>
      <c r="CW171" s="26"/>
      <c r="CX171" s="26"/>
      <c r="CY171" s="26"/>
      <c r="CZ171" s="15"/>
      <c r="DA171" s="15"/>
      <c r="DB171" s="15"/>
      <c r="DC171" s="15"/>
    </row>
    <row r="172" spans="2:111">
      <c r="B172" s="16" t="s">
        <v>543</v>
      </c>
      <c r="C172" s="26"/>
      <c r="D172" s="15"/>
      <c r="E172" s="15"/>
      <c r="F172" s="15"/>
      <c r="G172" s="15"/>
      <c r="H172" s="15"/>
      <c r="I172" s="15"/>
      <c r="J172" s="15"/>
      <c r="K172" s="15"/>
      <c r="L172" s="15"/>
      <c r="M172" s="15"/>
      <c r="N172" s="15"/>
      <c r="O172" s="15"/>
      <c r="P172" s="26"/>
      <c r="Q172" s="26"/>
      <c r="R172" s="26"/>
      <c r="S172" s="26"/>
      <c r="T172" s="26"/>
      <c r="U172" s="26">
        <f>+SUM(CR172:CU172)</f>
        <v>843.51</v>
      </c>
      <c r="V172" s="26">
        <f>+SUM(CV172:CY172)</f>
        <v>1028.8919999999998</v>
      </c>
      <c r="W172" s="26">
        <f>+SUM(CZ172:DC172)</f>
        <v>1064.2491498038398</v>
      </c>
      <c r="X172" s="26">
        <f>+MIN(W172*(1-(1/$C$171)),($CR164-$CR161-$CR165)-$C172-SUM($R172:W172))</f>
        <v>979.10921781953266</v>
      </c>
      <c r="Y172" s="26">
        <f>+MIN(X172*(1-(1/$C$171)),($CR164-$CR161-$CR165)-$C172-SUM($R172:X172))</f>
        <v>900.78048039397004</v>
      </c>
      <c r="Z172" s="26">
        <f>+MIN(Y172*(1-(1/$C$171)),($CR164-$CR161-$CR165)-$C172-SUM($R172:Y172))</f>
        <v>828.7180419624525</v>
      </c>
      <c r="AA172" s="26">
        <f>+MIN(Z172*(1-(1/$C$171)),($CR164-$CR161-$CR165)-$C172-SUM($R172:Z172))</f>
        <v>762.42059860545635</v>
      </c>
      <c r="AB172" s="26">
        <f>+MIN(AA172*(1-(1/$C$171)),($CR164-$CR161-$CR165)-$C172-SUM($R172:AA172))</f>
        <v>296.60651141474773</v>
      </c>
      <c r="AC172" s="26">
        <f>+MIN(AB172*(1-(1/$C$171)),($CR164-$CR161-$CR165)-$C172-SUM($R172:AB172))</f>
        <v>0</v>
      </c>
      <c r="AD172" s="26">
        <f>+MIN(AC172*(1-(1/$C$171)),($CR164-$CR161-$CR165)-$C172-SUM($R172:AC172))</f>
        <v>0</v>
      </c>
      <c r="AE172" s="26"/>
      <c r="AF172" s="26"/>
      <c r="AG172" s="26"/>
      <c r="AH172" s="26"/>
      <c r="AI172" s="26"/>
      <c r="AJ172" s="26"/>
      <c r="AK172" s="26"/>
      <c r="AL172" s="26"/>
      <c r="AM172" s="26"/>
      <c r="AN172" s="26"/>
      <c r="AO172" s="26"/>
      <c r="AP172" s="789"/>
      <c r="AQ172" s="789"/>
      <c r="AR172" s="789"/>
      <c r="AS172" s="789"/>
      <c r="AT172" s="789"/>
      <c r="AU172" s="789"/>
      <c r="AV172" s="789"/>
      <c r="AW172" s="789"/>
      <c r="AX172" s="789"/>
      <c r="AY172" s="789"/>
      <c r="AZ172" s="15"/>
      <c r="BA172" s="15"/>
      <c r="BB172" s="15"/>
      <c r="BC172" s="15"/>
      <c r="BD172" s="15"/>
      <c r="BE172" s="15"/>
      <c r="BF172" s="15"/>
      <c r="BG172" s="15"/>
      <c r="BH172" s="15"/>
      <c r="BI172" s="15"/>
      <c r="BJ172" s="15"/>
      <c r="BK172" s="15"/>
      <c r="BL172" s="15"/>
      <c r="BM172" s="15"/>
      <c r="BN172" s="15"/>
      <c r="BO172" s="15"/>
      <c r="BP172" s="15"/>
      <c r="BQ172" s="15"/>
      <c r="BR172" s="15"/>
      <c r="BS172" s="15"/>
      <c r="BT172" s="15"/>
      <c r="BU172" s="885"/>
      <c r="BV172" s="15"/>
      <c r="BW172" s="398"/>
      <c r="BX172" s="26"/>
      <c r="BY172" s="26"/>
      <c r="BZ172" s="26"/>
      <c r="CA172" s="26"/>
      <c r="CB172" s="26">
        <f t="shared" ref="CB172:CG172" si="361">+CB184</f>
        <v>90.222000000000008</v>
      </c>
      <c r="CC172" s="26">
        <f t="shared" si="361"/>
        <v>96.944000000000003</v>
      </c>
      <c r="CD172" s="26">
        <f t="shared" si="361"/>
        <v>107.623</v>
      </c>
      <c r="CE172" s="26">
        <f t="shared" si="361"/>
        <v>103.45699999999999</v>
      </c>
      <c r="CF172" s="26">
        <f t="shared" si="361"/>
        <v>108.60300000000001</v>
      </c>
      <c r="CG172" s="26">
        <f t="shared" si="361"/>
        <v>110.18900000000001</v>
      </c>
      <c r="CH172" s="26">
        <f t="shared" ref="CH172:CM172" si="362">+CH184</f>
        <v>105.53399999999999</v>
      </c>
      <c r="CI172" s="26">
        <f t="shared" si="362"/>
        <v>106.68199999999999</v>
      </c>
      <c r="CJ172" s="26">
        <f t="shared" si="362"/>
        <v>113.61</v>
      </c>
      <c r="CK172" s="26">
        <f t="shared" si="362"/>
        <v>116.074</v>
      </c>
      <c r="CL172" s="26">
        <f t="shared" si="362"/>
        <v>121.349</v>
      </c>
      <c r="CM172" s="26">
        <f t="shared" si="362"/>
        <v>133.096</v>
      </c>
      <c r="CN172" s="26">
        <f t="shared" ref="CN172:CS172" si="363">+CN184</f>
        <v>122.52999999999999</v>
      </c>
      <c r="CO172" s="26">
        <f t="shared" si="363"/>
        <v>128.27000000000001</v>
      </c>
      <c r="CP172" s="26">
        <f t="shared" si="363"/>
        <v>133.268</v>
      </c>
      <c r="CQ172" s="26">
        <f t="shared" si="363"/>
        <v>144.86099999999999</v>
      </c>
      <c r="CR172" s="26">
        <f t="shared" si="363"/>
        <v>202.15300000000002</v>
      </c>
      <c r="CS172" s="26">
        <f t="shared" si="363"/>
        <v>213.71899999999999</v>
      </c>
      <c r="CT172" s="26">
        <f t="shared" ref="CT172:CY172" si="364">+CT184</f>
        <v>215.36999999999998</v>
      </c>
      <c r="CU172" s="26">
        <f t="shared" si="364"/>
        <v>212.26800000000003</v>
      </c>
      <c r="CV172" s="26">
        <f t="shared" si="364"/>
        <v>219.01300000000001</v>
      </c>
      <c r="CW172" s="26">
        <f t="shared" si="364"/>
        <v>252.386</v>
      </c>
      <c r="CX172" s="26">
        <f t="shared" si="364"/>
        <v>277.71899999999999</v>
      </c>
      <c r="CY172" s="26">
        <f t="shared" si="364"/>
        <v>279.774</v>
      </c>
      <c r="CZ172" s="26">
        <f>+MIN(CY172*(1-(1/$C$171/4)),($CW164-$CW161-$CW165)-SUM($BY172:CY172))</f>
        <v>274.17851999999999</v>
      </c>
      <c r="DA172" s="26">
        <f>+MIN(CZ172*(1-(1/$C$171/4)),($CW164-$CW161-$CW165)-SUM($BY172:CZ172))</f>
        <v>268.69494959999997</v>
      </c>
      <c r="DB172" s="26">
        <f>+MIN(DA172*(1-(1/$C$171/4)),($CW164-$CW161-$CW165)-SUM($BY172:DA172))</f>
        <v>263.32105060799995</v>
      </c>
      <c r="DC172" s="26">
        <f>+MIN(DB172*(1-(1/$C$171/4)),($CW164-$CW161-$CW165)-SUM($BY172:DB172))</f>
        <v>258.05462959583997</v>
      </c>
    </row>
    <row r="173" spans="2:111">
      <c r="B173" s="16" t="s">
        <v>544</v>
      </c>
      <c r="C173" s="15"/>
      <c r="D173" s="15"/>
      <c r="E173" s="15"/>
      <c r="F173" s="15"/>
      <c r="G173" s="15"/>
      <c r="H173" s="15"/>
      <c r="I173" s="15"/>
      <c r="J173" s="15"/>
      <c r="K173" s="15"/>
      <c r="L173" s="15"/>
      <c r="M173" s="15"/>
      <c r="N173" s="15"/>
      <c r="O173" s="15"/>
      <c r="P173" s="15"/>
      <c r="Q173" s="15"/>
      <c r="R173" s="15"/>
      <c r="S173" s="15"/>
      <c r="T173" s="15"/>
      <c r="U173" s="15"/>
      <c r="V173" s="15"/>
      <c r="W173" s="15"/>
      <c r="X173" s="26"/>
      <c r="Y173" s="26"/>
      <c r="Z173" s="26"/>
      <c r="AA173" s="26"/>
      <c r="AB173" s="26"/>
      <c r="AC173" s="26"/>
      <c r="AD173" s="26"/>
      <c r="AE173" s="15"/>
      <c r="AF173" s="789"/>
      <c r="AG173" s="789"/>
      <c r="AH173" s="789"/>
      <c r="AI173" s="789"/>
      <c r="AJ173" s="789"/>
      <c r="AK173" s="789"/>
      <c r="AL173" s="789"/>
      <c r="AM173" s="789"/>
      <c r="AN173" s="789"/>
      <c r="AO173" s="789"/>
      <c r="AP173" s="789"/>
      <c r="AQ173" s="789"/>
      <c r="AR173" s="789"/>
      <c r="AS173" s="789"/>
      <c r="AT173" s="789"/>
      <c r="AU173" s="789"/>
      <c r="AV173" s="789"/>
      <c r="AW173" s="789"/>
      <c r="AX173" s="789"/>
      <c r="AY173" s="789"/>
      <c r="AZ173" s="15"/>
      <c r="BA173" s="15"/>
      <c r="BB173" s="15"/>
      <c r="BC173" s="15"/>
      <c r="BD173" s="15"/>
      <c r="BE173" s="15"/>
      <c r="BF173" s="15"/>
      <c r="BG173" s="15"/>
      <c r="BH173" s="15"/>
      <c r="BI173" s="15"/>
      <c r="BJ173" s="15"/>
      <c r="BK173" s="15"/>
      <c r="BL173" s="15"/>
      <c r="BM173" s="15"/>
      <c r="BN173" s="15"/>
      <c r="BO173" s="15"/>
      <c r="BP173" s="15"/>
      <c r="BQ173" s="15"/>
      <c r="BR173" s="15"/>
      <c r="BS173" s="15"/>
      <c r="BT173" s="15"/>
      <c r="BU173" s="885"/>
      <c r="BV173" s="15"/>
      <c r="BW173" s="15"/>
      <c r="BX173" s="398"/>
      <c r="BY173" s="26"/>
      <c r="BZ173" s="26"/>
      <c r="CA173" s="26"/>
      <c r="CB173" s="26"/>
      <c r="CC173" s="26"/>
      <c r="CD173" s="26"/>
      <c r="CE173" s="26"/>
      <c r="CF173" s="26"/>
      <c r="CG173" s="26"/>
      <c r="CH173" s="26"/>
      <c r="CI173" s="26"/>
      <c r="CJ173" s="26"/>
      <c r="CK173" s="26"/>
      <c r="CL173" s="26"/>
      <c r="CM173" s="26"/>
      <c r="CN173" s="26"/>
      <c r="CO173" s="26"/>
      <c r="CP173" s="26"/>
      <c r="CQ173" s="26"/>
      <c r="CR173" s="26"/>
      <c r="CS173" s="26"/>
      <c r="CT173" s="26"/>
      <c r="CU173" s="26"/>
      <c r="CV173" s="26"/>
      <c r="CW173" s="26"/>
      <c r="CX173" s="26"/>
      <c r="CY173" s="26"/>
      <c r="CZ173" s="26"/>
      <c r="DA173" s="26"/>
      <c r="DB173" s="26"/>
      <c r="DC173" s="26"/>
    </row>
    <row r="174" spans="2:111">
      <c r="B174" s="809">
        <f ca="1">+CZ133</f>
        <v>362.12274004330436</v>
      </c>
      <c r="C174" s="15"/>
      <c r="D174" s="15"/>
      <c r="E174" s="15"/>
      <c r="F174" s="15"/>
      <c r="G174" s="15"/>
      <c r="H174" s="15"/>
      <c r="I174" s="15"/>
      <c r="J174" s="15"/>
      <c r="K174" s="15"/>
      <c r="L174" s="15"/>
      <c r="M174" s="15"/>
      <c r="N174" s="15"/>
      <c r="O174" s="15"/>
      <c r="P174" s="15"/>
      <c r="Q174" s="15"/>
      <c r="R174" s="15"/>
      <c r="S174" s="15"/>
      <c r="T174" s="15"/>
      <c r="U174" s="26"/>
      <c r="V174" s="26">
        <f t="shared" ref="V174:V177" si="365">+SUM(CV174:CY174)</f>
        <v>0</v>
      </c>
      <c r="W174" s="26">
        <f t="shared" ref="W174:W177" ca="1" si="366">+SUM(CZ174:DC174)</f>
        <v>25.348591803031308</v>
      </c>
      <c r="X174" s="26"/>
      <c r="Y174" s="26"/>
      <c r="Z174" s="26"/>
      <c r="AA174" s="26"/>
      <c r="AB174" s="26"/>
      <c r="AC174" s="26"/>
      <c r="AD174" s="26"/>
      <c r="AE174" s="15"/>
      <c r="AF174" s="789"/>
      <c r="AG174" s="789"/>
      <c r="AH174" s="789"/>
      <c r="AI174" s="789"/>
      <c r="AJ174" s="789"/>
      <c r="AK174" s="789"/>
      <c r="AL174" s="789"/>
      <c r="AM174" s="789"/>
      <c r="AN174" s="789"/>
      <c r="AO174" s="789"/>
      <c r="AP174" s="789"/>
      <c r="AQ174" s="789"/>
      <c r="AR174" s="789"/>
      <c r="AS174" s="789"/>
      <c r="AT174" s="789"/>
      <c r="AU174" s="789"/>
      <c r="AV174" s="789"/>
      <c r="AW174" s="789"/>
      <c r="AX174" s="789"/>
      <c r="AY174" s="789"/>
      <c r="AZ174" s="15"/>
      <c r="BA174" s="15"/>
      <c r="BB174" s="15"/>
      <c r="BC174" s="15"/>
      <c r="BD174" s="15"/>
      <c r="BE174" s="15"/>
      <c r="BF174" s="15"/>
      <c r="BG174" s="15"/>
      <c r="BH174" s="15"/>
      <c r="BI174" s="15"/>
      <c r="BJ174" s="15"/>
      <c r="BK174" s="15"/>
      <c r="BL174" s="15"/>
      <c r="BM174" s="15"/>
      <c r="BN174" s="15"/>
      <c r="BO174" s="15"/>
      <c r="BP174" s="15"/>
      <c r="BQ174" s="15"/>
      <c r="BR174" s="15"/>
      <c r="BS174" s="15"/>
      <c r="BT174" s="15"/>
      <c r="BU174" s="885"/>
      <c r="BV174" s="15"/>
      <c r="BW174" s="15"/>
      <c r="BX174" s="398"/>
      <c r="BY174" s="26"/>
      <c r="BZ174" s="26"/>
      <c r="CA174" s="26"/>
      <c r="CB174" s="26"/>
      <c r="CC174" s="26"/>
      <c r="CD174" s="26"/>
      <c r="CE174" s="26"/>
      <c r="CF174" s="26"/>
      <c r="CG174" s="26"/>
      <c r="CH174" s="26"/>
      <c r="CI174" s="26"/>
      <c r="CJ174" s="26"/>
      <c r="CK174" s="26"/>
      <c r="CL174" s="26"/>
      <c r="CM174" s="26"/>
      <c r="CN174" s="26"/>
      <c r="CO174" s="26"/>
      <c r="CP174" s="26"/>
      <c r="CQ174" s="26"/>
      <c r="CR174" s="54"/>
      <c r="CS174" s="54"/>
      <c r="CT174" s="54"/>
      <c r="CU174" s="54"/>
      <c r="CV174" s="54"/>
      <c r="CW174" s="54"/>
      <c r="CX174" s="54"/>
      <c r="CY174" s="54"/>
      <c r="CZ174" s="398">
        <f ca="1">+$B174/$C$171/4/2</f>
        <v>3.6212274004330438</v>
      </c>
      <c r="DA174" s="54">
        <f ca="1">+$B174/$C$171/4</f>
        <v>7.2424548008660876</v>
      </c>
      <c r="DB174" s="54">
        <f t="shared" ref="DB174:DD176" ca="1" si="367">+$B174/$C$171/4</f>
        <v>7.2424548008660876</v>
      </c>
      <c r="DC174" s="54">
        <f t="shared" ca="1" si="367"/>
        <v>7.2424548008660876</v>
      </c>
      <c r="DD174" s="54">
        <f t="shared" ca="1" si="367"/>
        <v>7.2424548008660876</v>
      </c>
      <c r="DE174" s="54"/>
      <c r="DF174" s="54"/>
      <c r="DG174" s="54"/>
    </row>
    <row r="175" spans="2:111">
      <c r="B175" s="809">
        <f ca="1">+DA133</f>
        <v>246.47940058632264</v>
      </c>
      <c r="C175" s="15"/>
      <c r="D175" s="15"/>
      <c r="E175" s="15"/>
      <c r="F175" s="15"/>
      <c r="G175" s="15"/>
      <c r="H175" s="15"/>
      <c r="I175" s="15"/>
      <c r="J175" s="15"/>
      <c r="K175" s="15"/>
      <c r="L175" s="15"/>
      <c r="M175" s="15"/>
      <c r="N175" s="15"/>
      <c r="O175" s="15"/>
      <c r="P175" s="15"/>
      <c r="Q175" s="15"/>
      <c r="R175" s="15"/>
      <c r="S175" s="15"/>
      <c r="T175" s="15"/>
      <c r="U175" s="26"/>
      <c r="V175" s="26">
        <f t="shared" si="365"/>
        <v>0</v>
      </c>
      <c r="W175" s="26">
        <f t="shared" ca="1" si="366"/>
        <v>12.323970029316133</v>
      </c>
      <c r="X175" s="26"/>
      <c r="Y175" s="26"/>
      <c r="Z175" s="26"/>
      <c r="AA175" s="26"/>
      <c r="AB175" s="26"/>
      <c r="AC175" s="26"/>
      <c r="AD175" s="26"/>
      <c r="AE175" s="15"/>
      <c r="AF175" s="789"/>
      <c r="AG175" s="789"/>
      <c r="AH175" s="789"/>
      <c r="AI175" s="789"/>
      <c r="AJ175" s="789"/>
      <c r="AK175" s="789"/>
      <c r="AL175" s="789"/>
      <c r="AM175" s="789"/>
      <c r="AN175" s="789"/>
      <c r="AO175" s="789"/>
      <c r="AP175" s="789"/>
      <c r="AQ175" s="789"/>
      <c r="AR175" s="789"/>
      <c r="AS175" s="789"/>
      <c r="AT175" s="789"/>
      <c r="AU175" s="789"/>
      <c r="AV175" s="789"/>
      <c r="AW175" s="789"/>
      <c r="AX175" s="789"/>
      <c r="AY175" s="789"/>
      <c r="AZ175" s="15"/>
      <c r="BA175" s="15"/>
      <c r="BB175" s="15"/>
      <c r="BC175" s="15"/>
      <c r="BD175" s="15"/>
      <c r="BE175" s="15"/>
      <c r="BF175" s="15"/>
      <c r="BG175" s="15"/>
      <c r="BH175" s="15"/>
      <c r="BI175" s="15"/>
      <c r="BJ175" s="15"/>
      <c r="BK175" s="15"/>
      <c r="BL175" s="15"/>
      <c r="BM175" s="15"/>
      <c r="BN175" s="15"/>
      <c r="BO175" s="15"/>
      <c r="BP175" s="15"/>
      <c r="BQ175" s="15"/>
      <c r="BR175" s="15"/>
      <c r="BS175" s="15"/>
      <c r="BT175" s="15"/>
      <c r="BU175" s="885"/>
      <c r="BV175" s="15"/>
      <c r="BW175" s="15"/>
      <c r="BX175" s="398"/>
      <c r="BY175" s="26"/>
      <c r="BZ175" s="26"/>
      <c r="CA175" s="26"/>
      <c r="CB175" s="26"/>
      <c r="CC175" s="26"/>
      <c r="CD175" s="26"/>
      <c r="CE175" s="26"/>
      <c r="CF175" s="26"/>
      <c r="CG175" s="26"/>
      <c r="CH175" s="26"/>
      <c r="CI175" s="26"/>
      <c r="CJ175" s="26"/>
      <c r="CK175" s="26"/>
      <c r="CL175" s="26"/>
      <c r="CM175" s="26"/>
      <c r="CN175" s="26"/>
      <c r="CO175" s="26"/>
      <c r="CP175" s="26"/>
      <c r="CQ175" s="26"/>
      <c r="CR175" s="54"/>
      <c r="CS175" s="54"/>
      <c r="CT175" s="54"/>
      <c r="CU175" s="54"/>
      <c r="CV175" s="54"/>
      <c r="CW175" s="54"/>
      <c r="CX175" s="54"/>
      <c r="CY175" s="54"/>
      <c r="CZ175" s="398"/>
      <c r="DA175" s="398">
        <f ca="1">+$B175/$C$171/4/2</f>
        <v>2.4647940058632263</v>
      </c>
      <c r="DB175" s="54">
        <f ca="1">+$B175/$C$171/4</f>
        <v>4.9295880117264526</v>
      </c>
      <c r="DC175" s="54">
        <f t="shared" ca="1" si="367"/>
        <v>4.9295880117264526</v>
      </c>
      <c r="DD175" s="54">
        <f t="shared" ca="1" si="367"/>
        <v>4.9295880117264526</v>
      </c>
      <c r="DE175" s="54"/>
      <c r="DF175" s="54"/>
      <c r="DG175" s="54"/>
    </row>
    <row r="176" spans="2:111">
      <c r="B176" s="809">
        <f ca="1">+DB133</f>
        <v>668.95743560835956</v>
      </c>
      <c r="C176" s="15"/>
      <c r="D176" s="15"/>
      <c r="E176" s="15"/>
      <c r="F176" s="15"/>
      <c r="G176" s="15"/>
      <c r="H176" s="15"/>
      <c r="I176" s="15"/>
      <c r="J176" s="15"/>
      <c r="K176" s="15"/>
      <c r="L176" s="15"/>
      <c r="M176" s="15"/>
      <c r="N176" s="15"/>
      <c r="O176" s="15"/>
      <c r="P176" s="15"/>
      <c r="Q176" s="15"/>
      <c r="R176" s="15"/>
      <c r="S176" s="15"/>
      <c r="T176" s="15"/>
      <c r="U176" s="26"/>
      <c r="V176" s="26">
        <f t="shared" si="365"/>
        <v>0</v>
      </c>
      <c r="W176" s="26">
        <f t="shared" ca="1" si="366"/>
        <v>20.068723068250787</v>
      </c>
      <c r="X176" s="26"/>
      <c r="Y176" s="26"/>
      <c r="Z176" s="26"/>
      <c r="AA176" s="26"/>
      <c r="AB176" s="26"/>
      <c r="AC176" s="26"/>
      <c r="AD176" s="26"/>
      <c r="AE176" s="15"/>
      <c r="AF176" s="789"/>
      <c r="AG176" s="789"/>
      <c r="AH176" s="789"/>
      <c r="AI176" s="789"/>
      <c r="AJ176" s="789"/>
      <c r="AK176" s="789"/>
      <c r="AL176" s="789"/>
      <c r="AM176" s="789"/>
      <c r="AN176" s="789"/>
      <c r="AO176" s="789"/>
      <c r="AP176" s="789"/>
      <c r="AQ176" s="789"/>
      <c r="AR176" s="789"/>
      <c r="AS176" s="789"/>
      <c r="AT176" s="789"/>
      <c r="AU176" s="789"/>
      <c r="AV176" s="789"/>
      <c r="AW176" s="789"/>
      <c r="AX176" s="789"/>
      <c r="AY176" s="789"/>
      <c r="AZ176" s="15"/>
      <c r="BA176" s="15"/>
      <c r="BB176" s="15"/>
      <c r="BC176" s="15"/>
      <c r="BD176" s="15"/>
      <c r="BE176" s="15"/>
      <c r="BF176" s="15"/>
      <c r="BG176" s="15"/>
      <c r="BH176" s="15"/>
      <c r="BI176" s="15"/>
      <c r="BJ176" s="15"/>
      <c r="BK176" s="15"/>
      <c r="BL176" s="15"/>
      <c r="BM176" s="15"/>
      <c r="BN176" s="15"/>
      <c r="BO176" s="15"/>
      <c r="BP176" s="15"/>
      <c r="BQ176" s="15"/>
      <c r="BR176" s="15"/>
      <c r="BS176" s="15"/>
      <c r="BT176" s="15"/>
      <c r="BU176" s="885"/>
      <c r="BV176" s="15"/>
      <c r="BW176" s="15"/>
      <c r="BX176" s="398"/>
      <c r="BY176" s="26"/>
      <c r="BZ176" s="26"/>
      <c r="CA176" s="26"/>
      <c r="CB176" s="26"/>
      <c r="CC176" s="26"/>
      <c r="CD176" s="26"/>
      <c r="CE176" s="26"/>
      <c r="CF176" s="26"/>
      <c r="CG176" s="26"/>
      <c r="CH176" s="26"/>
      <c r="CI176" s="26"/>
      <c r="CJ176" s="26"/>
      <c r="CK176" s="26"/>
      <c r="CL176" s="26"/>
      <c r="CM176" s="26"/>
      <c r="CN176" s="26"/>
      <c r="CO176" s="26"/>
      <c r="CP176" s="26"/>
      <c r="CQ176" s="26"/>
      <c r="CR176" s="54"/>
      <c r="CS176" s="54"/>
      <c r="CT176" s="54"/>
      <c r="CU176" s="54"/>
      <c r="CV176" s="54"/>
      <c r="CW176" s="54"/>
      <c r="CX176" s="54"/>
      <c r="CY176" s="54"/>
      <c r="CZ176" s="398"/>
      <c r="DA176" s="398"/>
      <c r="DB176" s="398">
        <f ca="1">+$B176/$C$171/4/2</f>
        <v>6.6895743560835959</v>
      </c>
      <c r="DC176" s="54">
        <f ca="1">+$B176/$C$171/4</f>
        <v>13.379148712167192</v>
      </c>
      <c r="DD176" s="54">
        <f t="shared" ca="1" si="367"/>
        <v>13.379148712167192</v>
      </c>
      <c r="DE176" s="54"/>
      <c r="DF176" s="54"/>
      <c r="DG176" s="54"/>
    </row>
    <row r="177" spans="1:112">
      <c r="B177" s="809">
        <f ca="1">+DC133</f>
        <v>658.00676758566112</v>
      </c>
      <c r="C177" s="15"/>
      <c r="D177" s="15"/>
      <c r="E177" s="15"/>
      <c r="F177" s="15"/>
      <c r="G177" s="15"/>
      <c r="H177" s="15"/>
      <c r="I177" s="15"/>
      <c r="J177" s="15"/>
      <c r="K177" s="15"/>
      <c r="L177" s="15"/>
      <c r="M177" s="15"/>
      <c r="N177" s="15"/>
      <c r="O177" s="15"/>
      <c r="P177" s="15"/>
      <c r="Q177" s="15"/>
      <c r="R177" s="15"/>
      <c r="S177" s="15"/>
      <c r="T177" s="15"/>
      <c r="U177" s="26"/>
      <c r="V177" s="26">
        <f t="shared" si="365"/>
        <v>0</v>
      </c>
      <c r="W177" s="26">
        <f t="shared" ca="1" si="366"/>
        <v>6.5800676758566112</v>
      </c>
      <c r="X177" s="26"/>
      <c r="Y177" s="26"/>
      <c r="Z177" s="26"/>
      <c r="AA177" s="26"/>
      <c r="AB177" s="26"/>
      <c r="AC177" s="26"/>
      <c r="AD177" s="26"/>
      <c r="AE177" s="15"/>
      <c r="AF177" s="789"/>
      <c r="AG177" s="789"/>
      <c r="AH177" s="789"/>
      <c r="AI177" s="789"/>
      <c r="AJ177" s="789"/>
      <c r="AK177" s="789"/>
      <c r="AL177" s="789"/>
      <c r="AM177" s="789"/>
      <c r="AN177" s="789"/>
      <c r="AO177" s="789"/>
      <c r="AP177" s="789"/>
      <c r="AQ177" s="789"/>
      <c r="AR177" s="789"/>
      <c r="AS177" s="789"/>
      <c r="AT177" s="789"/>
      <c r="AU177" s="789"/>
      <c r="AV177" s="789"/>
      <c r="AW177" s="789"/>
      <c r="AX177" s="789"/>
      <c r="AY177" s="789"/>
      <c r="AZ177" s="15"/>
      <c r="BA177" s="15"/>
      <c r="BB177" s="15"/>
      <c r="BC177" s="15"/>
      <c r="BD177" s="15"/>
      <c r="BE177" s="15"/>
      <c r="BF177" s="15"/>
      <c r="BG177" s="15"/>
      <c r="BH177" s="15"/>
      <c r="BI177" s="15"/>
      <c r="BJ177" s="15"/>
      <c r="BK177" s="15"/>
      <c r="BL177" s="15"/>
      <c r="BM177" s="15"/>
      <c r="BN177" s="15"/>
      <c r="BO177" s="15"/>
      <c r="BP177" s="15"/>
      <c r="BQ177" s="15"/>
      <c r="BR177" s="15"/>
      <c r="BS177" s="15"/>
      <c r="BT177" s="15"/>
      <c r="BU177" s="885"/>
      <c r="BV177" s="15"/>
      <c r="BW177" s="15"/>
      <c r="BX177" s="398"/>
      <c r="BY177" s="26"/>
      <c r="BZ177" s="26"/>
      <c r="CA177" s="26"/>
      <c r="CB177" s="26"/>
      <c r="CC177" s="26"/>
      <c r="CD177" s="26"/>
      <c r="CE177" s="26"/>
      <c r="CF177" s="26"/>
      <c r="CG177" s="26"/>
      <c r="CH177" s="26"/>
      <c r="CI177" s="26"/>
      <c r="CJ177" s="26"/>
      <c r="CK177" s="26"/>
      <c r="CL177" s="26"/>
      <c r="CM177" s="26"/>
      <c r="CN177" s="26"/>
      <c r="CO177" s="26"/>
      <c r="CP177" s="26"/>
      <c r="CQ177" s="26"/>
      <c r="CR177" s="54"/>
      <c r="CS177" s="54"/>
      <c r="CT177" s="54"/>
      <c r="CU177" s="54"/>
      <c r="CV177" s="54"/>
      <c r="CW177" s="54"/>
      <c r="CX177" s="54"/>
      <c r="CY177" s="54"/>
      <c r="CZ177" s="398"/>
      <c r="DA177" s="398"/>
      <c r="DB177" s="398"/>
      <c r="DC177" s="398">
        <f ca="1">+$B177/$C$171/4/2</f>
        <v>6.5800676758566112</v>
      </c>
      <c r="DD177" s="54">
        <f ca="1">+$B177/$C$171/4</f>
        <v>13.160135351713222</v>
      </c>
      <c r="DE177" s="54"/>
      <c r="DF177" s="54"/>
      <c r="DG177" s="54"/>
      <c r="DH177" s="54"/>
    </row>
    <row r="178" spans="1:112">
      <c r="B178" s="54">
        <f ca="1">+X133</f>
        <v>1853.1485108793856</v>
      </c>
      <c r="C178" s="15"/>
      <c r="D178" s="15"/>
      <c r="E178" s="15"/>
      <c r="F178" s="15"/>
      <c r="G178" s="15"/>
      <c r="H178" s="15"/>
      <c r="I178" s="15"/>
      <c r="J178" s="15"/>
      <c r="K178" s="15"/>
      <c r="L178" s="15"/>
      <c r="M178" s="15"/>
      <c r="N178" s="15"/>
      <c r="O178" s="15"/>
      <c r="P178" s="15"/>
      <c r="Q178" s="15"/>
      <c r="R178" s="15"/>
      <c r="S178" s="15"/>
      <c r="T178" s="15"/>
      <c r="U178" s="15"/>
      <c r="V178" s="15"/>
      <c r="W178" s="15"/>
      <c r="X178" s="398">
        <f ca="1">+$B178/$C$171/2</f>
        <v>74.125940435175423</v>
      </c>
      <c r="Y178" s="26">
        <f ca="1">+MIN($B178/$C$171,$B178-$C178-SUM($O178:X178))</f>
        <v>148.25188087035085</v>
      </c>
      <c r="Z178" s="26">
        <f ca="1">+MIN($B178/$C$171,$B178-$C178-SUM($O178:Y178))</f>
        <v>148.25188087035085</v>
      </c>
      <c r="AA178" s="26">
        <f ca="1">+MIN($B178/$C$171,$B178-$C178-SUM($O178:Z178))</f>
        <v>148.25188087035085</v>
      </c>
      <c r="AB178" s="26">
        <f ca="1">+MIN($B178/$C$171,$B178-$C178-SUM($O178:AA178))</f>
        <v>148.25188087035085</v>
      </c>
      <c r="AC178" s="26">
        <f ca="1">+MIN($B178/$C$171,$B178-$C178-SUM($O178:AB178))</f>
        <v>148.25188087035085</v>
      </c>
      <c r="AD178" s="26">
        <f ca="1">+MIN($B178/$C$171,$B178-$C178-SUM($O178:AC178))</f>
        <v>148.25188087035085</v>
      </c>
      <c r="AE178" s="26"/>
      <c r="AF178" s="26"/>
      <c r="AG178" s="26"/>
      <c r="AH178" s="26"/>
      <c r="AI178" s="26"/>
      <c r="AJ178" s="26"/>
      <c r="AK178" s="789"/>
      <c r="AL178" s="789"/>
      <c r="AM178" s="789"/>
      <c r="AN178" s="789"/>
      <c r="AO178" s="789"/>
      <c r="AP178" s="789"/>
      <c r="AQ178" s="789"/>
      <c r="AR178" s="789"/>
      <c r="AS178" s="789"/>
      <c r="AT178" s="789"/>
      <c r="AU178" s="789"/>
      <c r="AV178" s="789"/>
      <c r="AW178" s="789"/>
      <c r="AX178" s="789"/>
      <c r="AY178" s="789"/>
      <c r="AZ178" s="15"/>
      <c r="BA178" s="15"/>
      <c r="BB178" s="15"/>
      <c r="BC178" s="15"/>
      <c r="BD178" s="15"/>
      <c r="BE178" s="15"/>
      <c r="BF178" s="15"/>
      <c r="BG178" s="15"/>
      <c r="BH178" s="15"/>
      <c r="BI178" s="15"/>
      <c r="BJ178" s="15"/>
      <c r="BK178" s="15"/>
      <c r="BL178" s="15"/>
      <c r="BM178" s="15"/>
      <c r="BN178" s="15"/>
      <c r="BO178" s="15"/>
      <c r="BP178" s="15"/>
      <c r="BQ178" s="15"/>
      <c r="BR178" s="15"/>
      <c r="BS178" s="15"/>
      <c r="BT178" s="15"/>
      <c r="BU178" s="885"/>
      <c r="BV178" s="15"/>
      <c r="BW178" s="15"/>
      <c r="BX178" s="15"/>
      <c r="BY178" s="15"/>
      <c r="BZ178" s="15"/>
      <c r="CA178" s="15"/>
      <c r="CB178" s="15"/>
      <c r="CC178" s="15"/>
      <c r="CD178" s="15"/>
      <c r="CE178" s="15"/>
      <c r="CF178" s="15"/>
      <c r="CG178" s="15"/>
      <c r="CH178" s="15"/>
      <c r="CI178" s="15"/>
      <c r="CJ178" s="15"/>
      <c r="CK178" s="15"/>
      <c r="CL178" s="15"/>
      <c r="CM178" s="15"/>
      <c r="CN178" s="15"/>
      <c r="CO178" s="15"/>
      <c r="CP178" s="15"/>
      <c r="CQ178" s="15"/>
      <c r="CR178" s="15"/>
      <c r="CS178" s="15"/>
      <c r="CT178" s="15"/>
      <c r="CU178" s="15"/>
      <c r="CV178" s="15"/>
      <c r="CW178" s="15"/>
      <c r="CX178" s="15"/>
      <c r="CY178" s="15"/>
      <c r="CZ178" s="15"/>
      <c r="DA178" s="15"/>
      <c r="DB178" s="15"/>
      <c r="DC178" s="15"/>
    </row>
    <row r="179" spans="1:112">
      <c r="B179" s="54">
        <f ca="1">+Y133</f>
        <v>1659.9433173086413</v>
      </c>
      <c r="C179" s="15"/>
      <c r="D179" s="15"/>
      <c r="E179" s="15"/>
      <c r="F179" s="15"/>
      <c r="G179" s="15"/>
      <c r="H179" s="15"/>
      <c r="I179" s="15"/>
      <c r="J179" s="15"/>
      <c r="K179" s="15"/>
      <c r="L179" s="15"/>
      <c r="M179" s="15"/>
      <c r="N179" s="15"/>
      <c r="O179" s="15"/>
      <c r="P179" s="15"/>
      <c r="Q179" s="15"/>
      <c r="R179" s="15"/>
      <c r="S179" s="15"/>
      <c r="T179" s="15"/>
      <c r="U179" s="15"/>
      <c r="V179" s="15"/>
      <c r="W179" s="15"/>
      <c r="X179" s="26"/>
      <c r="Y179" s="398">
        <f ca="1">+$B179/$C$171/2</f>
        <v>66.397732692345656</v>
      </c>
      <c r="Z179" s="26">
        <f ca="1">+MIN($B179/$C$171,$B179-$C179-SUM($O179:Y179))</f>
        <v>132.79546538469131</v>
      </c>
      <c r="AA179" s="26">
        <f ca="1">+MIN($B179/$C$171,$B179-$C179-SUM($O179:Z179))</f>
        <v>132.79546538469131</v>
      </c>
      <c r="AB179" s="26">
        <f ca="1">+MIN($B179/$C$171,$B179-$C179-SUM($O179:AA179))</f>
        <v>132.79546538469131</v>
      </c>
      <c r="AC179" s="26">
        <f ca="1">+MIN($B179/$C$171,$B179-$C179-SUM($O179:AB179))</f>
        <v>132.79546538469131</v>
      </c>
      <c r="AD179" s="26">
        <f ca="1">+MIN($B179/$C$171,$B179-$C179-SUM($O179:AC179))</f>
        <v>132.79546538469131</v>
      </c>
      <c r="AE179" s="26"/>
      <c r="AF179" s="26"/>
      <c r="AG179" s="26"/>
      <c r="AH179" s="26"/>
      <c r="AI179" s="26"/>
      <c r="AJ179" s="26"/>
      <c r="AK179" s="26"/>
      <c r="AL179" s="789"/>
      <c r="AM179" s="789"/>
      <c r="AN179" s="789"/>
      <c r="AO179" s="789"/>
      <c r="AP179" s="789"/>
      <c r="AQ179" s="789"/>
      <c r="AR179" s="789"/>
      <c r="AS179" s="789"/>
      <c r="AT179" s="789"/>
      <c r="AU179" s="789"/>
      <c r="AV179" s="789"/>
      <c r="AW179" s="789"/>
      <c r="AX179" s="789"/>
      <c r="AY179" s="789"/>
      <c r="AZ179" s="15"/>
      <c r="BA179" s="15"/>
      <c r="BB179" s="15"/>
      <c r="BC179" s="15"/>
      <c r="BD179" s="15"/>
      <c r="BE179" s="15"/>
      <c r="BF179" s="15"/>
      <c r="BG179" s="15"/>
      <c r="BH179" s="15"/>
      <c r="BI179" s="15"/>
      <c r="BJ179" s="15"/>
      <c r="BK179" s="15"/>
      <c r="BL179" s="15"/>
      <c r="BM179" s="15"/>
      <c r="BN179" s="15"/>
      <c r="BO179" s="15"/>
      <c r="BP179" s="15"/>
      <c r="BQ179" s="15"/>
      <c r="BR179" s="15"/>
      <c r="BS179" s="15"/>
      <c r="BT179" s="15"/>
      <c r="BU179" s="885"/>
      <c r="BV179" s="15"/>
      <c r="BW179" s="15"/>
      <c r="BX179" s="15"/>
      <c r="BY179" s="15"/>
      <c r="BZ179" s="15"/>
      <c r="CA179" s="15"/>
      <c r="CB179" s="15"/>
      <c r="CC179" s="15"/>
      <c r="CD179" s="15"/>
      <c r="CE179" s="15"/>
      <c r="CF179" s="15"/>
      <c r="CG179" s="15"/>
      <c r="CH179" s="15"/>
      <c r="CI179" s="15"/>
      <c r="CJ179" s="15"/>
      <c r="CK179" s="15"/>
      <c r="CL179" s="15"/>
      <c r="CM179" s="15"/>
      <c r="CN179" s="15"/>
      <c r="CO179" s="15"/>
      <c r="CP179" s="15"/>
      <c r="CQ179" s="15"/>
      <c r="CR179" s="15"/>
      <c r="CS179" s="15"/>
      <c r="CT179" s="15"/>
      <c r="CU179" s="15"/>
      <c r="CV179" s="15"/>
      <c r="CW179" s="15"/>
      <c r="CX179" s="15"/>
      <c r="CY179" s="15"/>
      <c r="CZ179" s="15"/>
      <c r="DA179" s="15"/>
      <c r="DB179" s="15"/>
      <c r="DC179" s="15"/>
    </row>
    <row r="180" spans="1:112">
      <c r="B180" s="54">
        <f ca="1">+Z133</f>
        <v>1618.4103193755129</v>
      </c>
      <c r="C180" s="15"/>
      <c r="D180" s="15"/>
      <c r="E180" s="15"/>
      <c r="F180" s="15"/>
      <c r="G180" s="15"/>
      <c r="H180" s="15"/>
      <c r="I180" s="15"/>
      <c r="J180" s="15"/>
      <c r="K180" s="15"/>
      <c r="L180" s="15"/>
      <c r="M180" s="15"/>
      <c r="N180" s="15"/>
      <c r="O180" s="15"/>
      <c r="P180" s="15"/>
      <c r="Q180" s="15"/>
      <c r="R180" s="15"/>
      <c r="S180" s="15"/>
      <c r="T180" s="15"/>
      <c r="U180" s="15"/>
      <c r="V180" s="15"/>
      <c r="W180" s="15"/>
      <c r="X180" s="398"/>
      <c r="Y180" s="26"/>
      <c r="Z180" s="398">
        <f ca="1">+$B180/$C$171/2</f>
        <v>64.736412775020511</v>
      </c>
      <c r="AA180" s="398">
        <f t="shared" ref="AA180:AD180" ca="1" si="368">+$B180/$C$171/2</f>
        <v>64.736412775020511</v>
      </c>
      <c r="AB180" s="398">
        <f t="shared" ca="1" si="368"/>
        <v>64.736412775020511</v>
      </c>
      <c r="AC180" s="398">
        <f t="shared" ca="1" si="368"/>
        <v>64.736412775020511</v>
      </c>
      <c r="AD180" s="398">
        <f t="shared" ca="1" si="368"/>
        <v>64.736412775020511</v>
      </c>
      <c r="AE180" s="26"/>
      <c r="AF180" s="26"/>
      <c r="AG180" s="26"/>
      <c r="AH180" s="26"/>
      <c r="AI180" s="26"/>
      <c r="AJ180" s="26"/>
      <c r="AK180" s="26"/>
      <c r="AL180" s="26"/>
      <c r="AM180" s="789"/>
      <c r="AN180" s="789"/>
      <c r="AO180" s="789"/>
      <c r="AP180" s="789"/>
      <c r="AQ180" s="789"/>
      <c r="AR180" s="789"/>
      <c r="AS180" s="789"/>
      <c r="AT180" s="789"/>
      <c r="AU180" s="789"/>
      <c r="AV180" s="789"/>
      <c r="AW180" s="789"/>
      <c r="AX180" s="789"/>
      <c r="AY180" s="789"/>
      <c r="AZ180" s="15"/>
      <c r="BA180" s="15"/>
      <c r="BB180" s="15"/>
      <c r="BC180" s="15"/>
      <c r="BD180" s="15"/>
      <c r="BE180" s="15"/>
      <c r="BF180" s="15"/>
      <c r="BG180" s="15"/>
      <c r="BH180" s="15"/>
      <c r="BI180" s="15"/>
      <c r="BJ180" s="15"/>
      <c r="BK180" s="15"/>
      <c r="BL180" s="15"/>
      <c r="BM180" s="15"/>
      <c r="BN180" s="15"/>
      <c r="BO180" s="15"/>
      <c r="BP180" s="15"/>
      <c r="BQ180" s="15"/>
      <c r="BR180" s="15"/>
      <c r="BS180" s="15"/>
      <c r="BT180" s="15"/>
      <c r="BU180" s="885"/>
      <c r="BV180" s="15"/>
      <c r="BW180" s="15"/>
      <c r="BX180" s="15"/>
      <c r="BY180" s="15"/>
      <c r="BZ180" s="15"/>
      <c r="CA180" s="15"/>
      <c r="CB180" s="15"/>
      <c r="CC180" s="15"/>
      <c r="CD180" s="15"/>
      <c r="CE180" s="15"/>
      <c r="CF180" s="15"/>
      <c r="CG180" s="15"/>
      <c r="CH180" s="15"/>
      <c r="CI180" s="15"/>
      <c r="CJ180" s="15"/>
      <c r="CK180" s="15"/>
      <c r="CL180" s="15"/>
      <c r="CM180" s="15"/>
      <c r="CN180" s="15"/>
      <c r="CO180" s="15"/>
      <c r="CP180" s="15"/>
      <c r="CQ180" s="15"/>
      <c r="CR180" s="15"/>
      <c r="CS180" s="15"/>
      <c r="CT180" s="15"/>
      <c r="CU180" s="15"/>
      <c r="CV180" s="15"/>
      <c r="CW180" s="15"/>
      <c r="CX180" s="15"/>
      <c r="CY180" s="15"/>
      <c r="CZ180" s="15"/>
      <c r="DA180" s="15"/>
      <c r="DB180" s="15"/>
      <c r="DC180" s="15"/>
    </row>
    <row r="181" spans="1:112">
      <c r="B181" s="14"/>
      <c r="C181" s="15"/>
      <c r="D181" s="15"/>
      <c r="E181" s="15"/>
      <c r="F181" s="15"/>
      <c r="G181" s="15"/>
      <c r="H181" s="15"/>
      <c r="I181" s="15"/>
      <c r="J181" s="15"/>
      <c r="K181" s="15"/>
      <c r="L181" s="15"/>
      <c r="M181" s="15"/>
      <c r="N181" s="15"/>
      <c r="O181" s="15"/>
      <c r="P181" s="15"/>
      <c r="Q181" s="15"/>
      <c r="R181" s="15"/>
      <c r="S181" s="15"/>
      <c r="T181" s="15"/>
      <c r="U181" s="15"/>
      <c r="V181" s="15"/>
      <c r="W181" s="15"/>
      <c r="X181" s="15"/>
      <c r="Y181" s="398"/>
      <c r="Z181" s="26"/>
      <c r="AA181" s="26"/>
      <c r="AB181" s="26"/>
      <c r="AC181" s="26"/>
      <c r="AD181" s="26"/>
      <c r="AE181" s="26"/>
      <c r="AF181" s="26"/>
      <c r="AG181" s="26"/>
      <c r="AH181" s="26"/>
      <c r="AI181" s="26"/>
      <c r="AJ181" s="26"/>
      <c r="AK181" s="26"/>
      <c r="AL181" s="26"/>
      <c r="AM181" s="26"/>
      <c r="AN181" s="789"/>
      <c r="AO181" s="789"/>
      <c r="AP181" s="789"/>
      <c r="AQ181" s="789"/>
      <c r="AR181" s="789"/>
      <c r="AS181" s="789"/>
      <c r="AT181" s="789"/>
      <c r="AU181" s="789"/>
      <c r="AV181" s="789"/>
      <c r="AW181" s="789"/>
      <c r="AX181" s="789"/>
      <c r="AY181" s="789"/>
      <c r="AZ181" s="15"/>
      <c r="BA181" s="15"/>
      <c r="BB181" s="15"/>
      <c r="BC181" s="15"/>
      <c r="BD181" s="15"/>
      <c r="BE181" s="15"/>
      <c r="BF181" s="15"/>
      <c r="BG181" s="15"/>
      <c r="BH181" s="15"/>
      <c r="BI181" s="15"/>
      <c r="BJ181" s="15"/>
      <c r="BK181" s="15"/>
      <c r="BL181" s="15"/>
      <c r="BM181" s="15"/>
      <c r="BN181" s="15"/>
      <c r="BO181" s="15"/>
      <c r="BP181" s="15"/>
      <c r="BQ181" s="15"/>
      <c r="BR181" s="15"/>
      <c r="BS181" s="15"/>
      <c r="BT181" s="15"/>
      <c r="BU181" s="885"/>
      <c r="BV181" s="15"/>
      <c r="BW181" s="15"/>
      <c r="BX181" s="15"/>
      <c r="BY181" s="15"/>
      <c r="BZ181" s="15"/>
      <c r="CA181" s="15"/>
      <c r="CB181" s="15"/>
      <c r="CC181" s="15"/>
      <c r="CD181" s="15"/>
      <c r="CE181" s="15"/>
      <c r="CF181" s="15"/>
      <c r="CG181" s="15"/>
      <c r="CH181" s="15"/>
      <c r="CI181" s="15"/>
      <c r="CJ181" s="15"/>
      <c r="CK181" s="15"/>
      <c r="CL181" s="15"/>
      <c r="CM181" s="15"/>
      <c r="CN181" s="15"/>
      <c r="CO181" s="15"/>
      <c r="CP181" s="15"/>
      <c r="CQ181" s="15"/>
      <c r="CR181" s="15"/>
      <c r="CS181" s="15"/>
      <c r="CT181" s="15"/>
      <c r="CU181" s="15"/>
      <c r="CV181" s="15"/>
      <c r="CW181" s="15"/>
      <c r="CX181" s="15"/>
      <c r="CY181" s="15"/>
      <c r="CZ181" s="15"/>
      <c r="DA181" s="15"/>
      <c r="DB181" s="15"/>
      <c r="DC181" s="15"/>
    </row>
    <row r="182" spans="1:112">
      <c r="B182" s="16"/>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398"/>
      <c r="AA182" s="398"/>
      <c r="AB182" s="398"/>
      <c r="AC182" s="398"/>
      <c r="AD182" s="398"/>
      <c r="AE182" s="15"/>
      <c r="AF182" s="789"/>
      <c r="AG182" s="789"/>
      <c r="AH182" s="789"/>
      <c r="AI182" s="789"/>
      <c r="AJ182" s="789"/>
      <c r="AK182" s="789"/>
      <c r="AL182" s="789"/>
      <c r="AM182" s="789"/>
      <c r="AN182" s="789"/>
      <c r="AO182" s="789"/>
      <c r="AP182" s="789"/>
      <c r="AQ182" s="789"/>
      <c r="AR182" s="789"/>
      <c r="AS182" s="789"/>
      <c r="AT182" s="789"/>
      <c r="AU182" s="789"/>
      <c r="AV182" s="789"/>
      <c r="AW182" s="789"/>
      <c r="AX182" s="789"/>
      <c r="AY182" s="789"/>
      <c r="AZ182" s="15"/>
      <c r="BA182" s="15"/>
      <c r="BB182" s="15"/>
      <c r="BC182" s="15"/>
      <c r="BD182" s="15"/>
      <c r="BE182" s="15"/>
      <c r="BF182" s="15"/>
      <c r="BG182" s="15"/>
      <c r="BH182" s="15"/>
      <c r="BI182" s="15"/>
      <c r="BJ182" s="15"/>
      <c r="BK182" s="15"/>
      <c r="BL182" s="15"/>
      <c r="BM182" s="15"/>
      <c r="BN182" s="15"/>
      <c r="BO182" s="15"/>
      <c r="BP182" s="15"/>
      <c r="BQ182" s="15"/>
      <c r="BR182" s="15"/>
      <c r="BS182" s="15"/>
      <c r="BT182" s="15"/>
      <c r="BU182" s="885"/>
      <c r="BV182" s="15"/>
      <c r="BW182" s="15"/>
      <c r="BX182" s="15"/>
      <c r="BY182" s="15"/>
      <c r="BZ182" s="15"/>
      <c r="CA182" s="15"/>
      <c r="CB182" s="15"/>
      <c r="CC182" s="15"/>
      <c r="CD182" s="15"/>
      <c r="CE182" s="15"/>
      <c r="CF182" s="15"/>
      <c r="CG182" s="15"/>
      <c r="CH182" s="15"/>
      <c r="CI182" s="15"/>
      <c r="CJ182" s="15"/>
      <c r="CK182" s="15"/>
      <c r="CL182" s="15"/>
      <c r="CM182" s="15"/>
      <c r="CN182" s="15"/>
      <c r="CO182" s="15"/>
      <c r="CP182" s="15"/>
      <c r="CQ182" s="15"/>
      <c r="CR182" s="15"/>
      <c r="CS182" s="15"/>
      <c r="CT182" s="15"/>
      <c r="CU182" s="15"/>
      <c r="CV182" s="15"/>
      <c r="CW182" s="15"/>
      <c r="CX182" s="15"/>
      <c r="CY182" s="15"/>
      <c r="CZ182" s="15"/>
      <c r="DA182" s="15"/>
      <c r="DB182" s="15"/>
      <c r="DC182" s="15"/>
    </row>
    <row r="183" spans="1:112">
      <c r="B183" s="119" t="s">
        <v>486</v>
      </c>
      <c r="C183" s="15"/>
      <c r="D183" s="15"/>
      <c r="E183" s="15"/>
      <c r="F183" s="15"/>
      <c r="G183" s="15"/>
      <c r="H183" s="15"/>
      <c r="I183" s="15"/>
      <c r="J183" s="15"/>
      <c r="K183" s="15"/>
      <c r="L183" s="15"/>
      <c r="M183" s="15"/>
      <c r="N183" s="15"/>
      <c r="O183" s="15"/>
      <c r="P183" s="15"/>
      <c r="Q183" s="26"/>
      <c r="R183" s="26"/>
      <c r="S183" s="26"/>
      <c r="T183" s="26"/>
      <c r="U183" s="26"/>
      <c r="V183" s="26"/>
      <c r="W183" s="26"/>
      <c r="X183" s="398"/>
      <c r="Y183" s="398"/>
      <c r="Z183" s="398"/>
      <c r="AA183" s="398"/>
      <c r="AB183" s="398"/>
      <c r="AC183" s="398"/>
      <c r="AD183" s="398"/>
      <c r="AE183" s="15"/>
      <c r="AF183" s="789"/>
      <c r="AG183" s="789"/>
      <c r="AH183" s="789"/>
      <c r="AI183" s="789"/>
      <c r="AJ183" s="789"/>
      <c r="AK183" s="789"/>
      <c r="AL183" s="789"/>
      <c r="AM183" s="789"/>
      <c r="AN183" s="789"/>
      <c r="AO183" s="789"/>
      <c r="AP183" s="789"/>
      <c r="AQ183" s="789"/>
      <c r="AR183" s="789"/>
      <c r="AS183" s="789"/>
      <c r="AT183" s="789"/>
      <c r="AU183" s="789"/>
      <c r="AV183" s="789"/>
      <c r="AW183" s="789"/>
      <c r="AX183" s="789"/>
      <c r="AY183" s="789"/>
      <c r="AZ183" s="15"/>
      <c r="BA183" s="15"/>
      <c r="BB183" s="15"/>
      <c r="BC183" s="15"/>
      <c r="BD183" s="15"/>
      <c r="BE183" s="15"/>
      <c r="BF183" s="15"/>
      <c r="BG183" s="15"/>
      <c r="BH183" s="15"/>
      <c r="BI183" s="15"/>
      <c r="BJ183" s="15"/>
      <c r="BK183" s="15"/>
      <c r="BL183" s="15"/>
      <c r="BM183" s="15"/>
      <c r="BN183" s="15"/>
      <c r="BO183" s="15"/>
      <c r="BP183" s="26"/>
      <c r="BQ183" s="15"/>
      <c r="BR183" s="15"/>
      <c r="BS183" s="15"/>
      <c r="BT183" s="15"/>
      <c r="BU183" s="885"/>
      <c r="BV183" s="15"/>
      <c r="BW183" s="15"/>
      <c r="BX183" s="15"/>
      <c r="BY183" s="398"/>
      <c r="BZ183" s="398"/>
      <c r="CA183" s="398"/>
      <c r="CB183" s="398"/>
      <c r="CC183" s="398"/>
      <c r="CD183" s="398"/>
      <c r="CE183" s="398"/>
      <c r="CF183" s="398"/>
      <c r="CG183" s="398"/>
      <c r="CH183" s="398"/>
      <c r="CI183" s="398"/>
      <c r="CJ183" s="398"/>
      <c r="CK183" s="398"/>
      <c r="CL183" s="398"/>
      <c r="CM183" s="398"/>
      <c r="CN183" s="398"/>
      <c r="CO183" s="398"/>
      <c r="CP183" s="398"/>
      <c r="CQ183" s="398"/>
      <c r="CR183" s="398"/>
      <c r="CS183" s="398"/>
      <c r="CT183" s="398"/>
      <c r="CU183" s="398"/>
      <c r="CV183" s="398"/>
      <c r="CW183" s="398"/>
      <c r="CX183" s="398"/>
      <c r="CY183" s="398"/>
      <c r="CZ183" s="398"/>
      <c r="DA183" s="398"/>
      <c r="DB183" s="398"/>
      <c r="DC183" s="398"/>
    </row>
    <row r="184" spans="1:112">
      <c r="B184" s="14" t="s">
        <v>12</v>
      </c>
      <c r="C184" s="15"/>
      <c r="D184" s="15"/>
      <c r="E184" s="15"/>
      <c r="F184" s="15"/>
      <c r="G184" s="15"/>
      <c r="H184" s="15"/>
      <c r="I184" s="15"/>
      <c r="J184" s="15"/>
      <c r="K184" s="15"/>
      <c r="L184" s="15"/>
      <c r="M184" s="15"/>
      <c r="N184" s="195">
        <f>CF!N9</f>
        <v>167.97499999999999</v>
      </c>
      <c r="O184" s="195">
        <f>CF!O9</f>
        <v>237.27700000000002</v>
      </c>
      <c r="P184" s="195">
        <f>SUM(BX184:CA184)</f>
        <v>337.75800000000004</v>
      </c>
      <c r="Q184" s="195">
        <f>+SUM(CB184:CE184)</f>
        <v>398.24599999999998</v>
      </c>
      <c r="R184" s="195">
        <f>+SUM(CF184:CI184)</f>
        <v>431.00800000000004</v>
      </c>
      <c r="S184" s="195">
        <f>+SUM(CJ184:CM184)</f>
        <v>484.12900000000002</v>
      </c>
      <c r="T184" s="195">
        <f>+SUM(CN184:CQ184)</f>
        <v>528.92899999999997</v>
      </c>
      <c r="U184" s="195">
        <f>+SUM(CR184:CU184)</f>
        <v>843.51</v>
      </c>
      <c r="V184" s="195">
        <f>+SUM(CV184:CY184)</f>
        <v>1028.8919999999998</v>
      </c>
      <c r="W184" s="195">
        <f ca="1">+SUM(CZ184:DC184)</f>
        <v>1128.5705023802948</v>
      </c>
      <c r="X184" s="195">
        <f ca="1">SUM(X172:X183)</f>
        <v>1053.235158254708</v>
      </c>
      <c r="Y184" s="195">
        <f ca="1">SUM(Y172:Y183)</f>
        <v>1115.4300939566665</v>
      </c>
      <c r="Z184" s="195">
        <f ca="1">SUM(Z172:Z183)</f>
        <v>1174.5018009925152</v>
      </c>
      <c r="AA184" s="195">
        <f t="shared" ref="AA184:AD184" ca="1" si="369">SUM(AA172:AA183)</f>
        <v>1108.204357635519</v>
      </c>
      <c r="AB184" s="195">
        <f t="shared" ca="1" si="369"/>
        <v>642.39027044481043</v>
      </c>
      <c r="AC184" s="195">
        <f t="shared" ca="1" si="369"/>
        <v>345.7837590300627</v>
      </c>
      <c r="AD184" s="195">
        <f t="shared" ca="1" si="369"/>
        <v>345.7837590300627</v>
      </c>
      <c r="AE184" s="15"/>
      <c r="AF184" s="789"/>
      <c r="AG184" s="789"/>
      <c r="AH184" s="789"/>
      <c r="AI184" s="789"/>
      <c r="AJ184" s="789"/>
      <c r="AK184" s="789"/>
      <c r="AL184" s="789"/>
      <c r="AM184" s="789"/>
      <c r="AN184" s="789"/>
      <c r="AO184" s="789"/>
      <c r="AP184" s="789"/>
      <c r="AQ184" s="789"/>
      <c r="AR184" s="789"/>
      <c r="AS184" s="789"/>
      <c r="AT184" s="789"/>
      <c r="AU184" s="789"/>
      <c r="AV184" s="789"/>
      <c r="AW184" s="789"/>
      <c r="AX184" s="789"/>
      <c r="AY184" s="789"/>
      <c r="AZ184" s="15"/>
      <c r="BA184" s="15"/>
      <c r="BB184" s="15"/>
      <c r="BC184" s="15"/>
      <c r="BD184" s="15"/>
      <c r="BE184" s="15"/>
      <c r="BF184" s="15"/>
      <c r="BG184" s="15"/>
      <c r="BH184" s="15"/>
      <c r="BI184" s="15"/>
      <c r="BJ184" s="15"/>
      <c r="BK184" s="15"/>
      <c r="BL184" s="15"/>
      <c r="BM184" s="15"/>
      <c r="BN184" s="15"/>
      <c r="BO184" s="195">
        <f>CF!BO9</f>
        <v>42.731999999999999</v>
      </c>
      <c r="BP184" s="195">
        <f>CF!BP9</f>
        <v>40.4</v>
      </c>
      <c r="BQ184" s="195">
        <f>CF!BQ9</f>
        <v>43.521000000000008</v>
      </c>
      <c r="BR184" s="195">
        <f>CF!BR9</f>
        <v>43.036999999999985</v>
      </c>
      <c r="BS184" s="195">
        <f>CF!BS9</f>
        <v>41.017000000000003</v>
      </c>
      <c r="BT184" s="195">
        <f>CF!BT9</f>
        <v>47.301000000000002</v>
      </c>
      <c r="BU184" s="195">
        <f>CF!BU9</f>
        <v>56.816000000000003</v>
      </c>
      <c r="BV184" s="195">
        <f>CF!BV9</f>
        <v>65.237000000000009</v>
      </c>
      <c r="BW184" s="195">
        <f>CF!BW9</f>
        <v>67.923000000000002</v>
      </c>
      <c r="BX184" s="195">
        <f>CF!BX9</f>
        <v>75.779000000000011</v>
      </c>
      <c r="BY184" s="195">
        <f>CF!BY9</f>
        <v>82.671000000000006</v>
      </c>
      <c r="BZ184" s="195">
        <f>CF!BZ9</f>
        <v>88.288000000000011</v>
      </c>
      <c r="CA184" s="195">
        <f>CF!CA9</f>
        <v>91.02000000000001</v>
      </c>
      <c r="CB184" s="195">
        <f>CF!CB9</f>
        <v>90.222000000000008</v>
      </c>
      <c r="CC184" s="195">
        <f>CF!CC9</f>
        <v>96.944000000000003</v>
      </c>
      <c r="CD184" s="195">
        <f>CF!CD9</f>
        <v>107.623</v>
      </c>
      <c r="CE184" s="195">
        <f>CF!CE9</f>
        <v>103.45699999999999</v>
      </c>
      <c r="CF184" s="195">
        <f>CF!CF9</f>
        <v>108.60300000000001</v>
      </c>
      <c r="CG184" s="195">
        <f>CF!CG9</f>
        <v>110.18900000000001</v>
      </c>
      <c r="CH184" s="195">
        <f>CF!CH9</f>
        <v>105.53399999999999</v>
      </c>
      <c r="CI184" s="195">
        <f>CF!CI9</f>
        <v>106.68199999999999</v>
      </c>
      <c r="CJ184" s="195">
        <f>CF!CJ9</f>
        <v>113.61</v>
      </c>
      <c r="CK184" s="195">
        <f>CF!CK9</f>
        <v>116.074</v>
      </c>
      <c r="CL184" s="195">
        <f>CF!CL9</f>
        <v>121.349</v>
      </c>
      <c r="CM184" s="195">
        <f>CF!CM9</f>
        <v>133.096</v>
      </c>
      <c r="CN184" s="195">
        <f>CF!CN9</f>
        <v>122.52999999999999</v>
      </c>
      <c r="CO184" s="195">
        <f>CF!CO9</f>
        <v>128.27000000000001</v>
      </c>
      <c r="CP184" s="195">
        <f>CF!CP9</f>
        <v>133.268</v>
      </c>
      <c r="CQ184" s="195">
        <f>CF!CQ9</f>
        <v>144.86099999999999</v>
      </c>
      <c r="CR184" s="2339">
        <f>CF!CR9</f>
        <v>202.15300000000002</v>
      </c>
      <c r="CS184" s="2339">
        <f>CF!CS9</f>
        <v>213.71899999999999</v>
      </c>
      <c r="CT184" s="2339">
        <f>CF!CT9</f>
        <v>215.36999999999998</v>
      </c>
      <c r="CU184" s="2339">
        <f>CF!CU9</f>
        <v>212.26800000000003</v>
      </c>
      <c r="CV184" s="2339">
        <f>CF!CV9</f>
        <v>219.01300000000001</v>
      </c>
      <c r="CW184" s="2339">
        <f>CF!CW9</f>
        <v>252.386</v>
      </c>
      <c r="CX184" s="2339">
        <f>CF!CX9</f>
        <v>277.71899999999999</v>
      </c>
      <c r="CY184" s="2339">
        <f>CF!CY9</f>
        <v>279.774</v>
      </c>
      <c r="CZ184" s="195">
        <f ca="1">SUM(CZ172:CZ183)</f>
        <v>277.79974740043303</v>
      </c>
      <c r="DA184" s="195">
        <f ca="1">SUM(DA172:DA183)</f>
        <v>278.40219840672927</v>
      </c>
      <c r="DB184" s="195">
        <f ca="1">SUM(DB172:DB183)</f>
        <v>282.18266777667611</v>
      </c>
      <c r="DC184" s="195">
        <f ca="1">SUM(DC172:DC183)</f>
        <v>290.18588879645631</v>
      </c>
    </row>
    <row r="185" spans="1:112">
      <c r="B185" s="773" t="s">
        <v>13</v>
      </c>
      <c r="C185" s="15"/>
      <c r="D185" s="15"/>
      <c r="E185" s="15"/>
      <c r="F185" s="15"/>
      <c r="G185" s="15"/>
      <c r="H185" s="15"/>
      <c r="I185" s="15"/>
      <c r="J185" s="15"/>
      <c r="K185" s="15"/>
      <c r="L185" s="15"/>
      <c r="M185" s="15"/>
      <c r="N185" s="15"/>
      <c r="O185" s="820">
        <f t="shared" ref="O185:Z185" si="370">O133/O184</f>
        <v>2.4418717364093441</v>
      </c>
      <c r="P185" s="820">
        <f t="shared" si="370"/>
        <v>2.0212696664475747</v>
      </c>
      <c r="Q185" s="820">
        <f t="shared" si="370"/>
        <v>1.9196677430532885</v>
      </c>
      <c r="R185" s="820">
        <f t="shared" si="370"/>
        <v>1.3280635162224366</v>
      </c>
      <c r="S185" s="820">
        <f t="shared" si="370"/>
        <v>1.3636943872397644</v>
      </c>
      <c r="T185" s="820">
        <f t="shared" si="370"/>
        <v>1.6520251300269035</v>
      </c>
      <c r="U185" s="820">
        <f t="shared" si="370"/>
        <v>1.3199191473722895</v>
      </c>
      <c r="V185" s="820">
        <f t="shared" si="370"/>
        <v>1.3400094470556678</v>
      </c>
      <c r="W185" s="820">
        <f t="shared" ca="1" si="370"/>
        <v>1.7150601931747276</v>
      </c>
      <c r="X185" s="820">
        <f t="shared" ca="1" si="370"/>
        <v>1.759482197641594</v>
      </c>
      <c r="Y185" s="820">
        <f t="shared" ca="1" si="370"/>
        <v>1.4881643648509351</v>
      </c>
      <c r="Z185" s="820">
        <f t="shared" ca="1" si="370"/>
        <v>1.3779547362191118</v>
      </c>
      <c r="AA185" s="820">
        <f t="shared" ref="AA185:AD185" ca="1" si="371">AA133/AA184</f>
        <v>1.4673070769611209</v>
      </c>
      <c r="AB185" s="820">
        <f t="shared" ca="1" si="371"/>
        <v>2.5433280266838865</v>
      </c>
      <c r="AC185" s="820">
        <f t="shared" ca="1" si="371"/>
        <v>4.7476794085568867</v>
      </c>
      <c r="AD185" s="820">
        <f t="shared" ca="1" si="371"/>
        <v>4.7705604238517898</v>
      </c>
      <c r="AE185" s="15"/>
      <c r="AF185" s="789"/>
      <c r="AG185" s="789"/>
      <c r="AH185" s="789"/>
      <c r="AI185" s="789"/>
      <c r="AJ185" s="789"/>
      <c r="AK185" s="789"/>
      <c r="AL185" s="789"/>
      <c r="AM185" s="789"/>
      <c r="AN185" s="789"/>
      <c r="AO185" s="789"/>
      <c r="AP185" s="789"/>
      <c r="AQ185" s="789"/>
      <c r="AR185" s="789"/>
      <c r="AS185" s="789"/>
      <c r="AT185" s="789"/>
      <c r="AU185" s="789"/>
      <c r="AV185" s="789"/>
      <c r="AW185" s="789"/>
      <c r="AX185" s="789"/>
      <c r="AY185" s="789"/>
      <c r="AZ185" s="15"/>
      <c r="BA185" s="15"/>
      <c r="BB185" s="15"/>
      <c r="BC185" s="15"/>
      <c r="BD185" s="15"/>
      <c r="BE185" s="15"/>
      <c r="BF185" s="15"/>
      <c r="BG185" s="15"/>
      <c r="BH185" s="15"/>
      <c r="BI185" s="15"/>
      <c r="BJ185" s="15"/>
      <c r="BK185" s="15"/>
      <c r="BL185" s="15"/>
      <c r="BM185" s="15"/>
      <c r="BN185" s="15"/>
      <c r="BO185" s="820">
        <f t="shared" ref="BO185:DC185" si="372">BO133/BO184</f>
        <v>3.8748946925021062</v>
      </c>
      <c r="BP185" s="820">
        <f t="shared" si="372"/>
        <v>1.855668316831683</v>
      </c>
      <c r="BQ185" s="820">
        <f t="shared" si="372"/>
        <v>1.7650329725879459</v>
      </c>
      <c r="BR185" s="820">
        <f t="shared" si="372"/>
        <v>2.0599716522991853</v>
      </c>
      <c r="BS185" s="820">
        <f t="shared" si="372"/>
        <v>2.4804349416095763</v>
      </c>
      <c r="BT185" s="820">
        <f t="shared" si="372"/>
        <v>3.0316483795268598</v>
      </c>
      <c r="BU185" s="820">
        <f t="shared" si="372"/>
        <v>2.6172205012672483</v>
      </c>
      <c r="BV185" s="820">
        <f t="shared" si="372"/>
        <v>2.2058034550945012</v>
      </c>
      <c r="BW185" s="820">
        <f t="shared" si="372"/>
        <v>2.1112141689854687</v>
      </c>
      <c r="BX185" s="820">
        <f t="shared" si="372"/>
        <v>2.2763562464535028</v>
      </c>
      <c r="BY185" s="820">
        <f t="shared" si="372"/>
        <v>2.284960868986706</v>
      </c>
      <c r="BZ185" s="820">
        <f t="shared" si="372"/>
        <v>1.4894436389996373</v>
      </c>
      <c r="CA185" s="820">
        <f t="shared" si="372"/>
        <v>2.0852559876950121</v>
      </c>
      <c r="CB185" s="820">
        <f t="shared" si="372"/>
        <v>1.6125778634922745</v>
      </c>
      <c r="CC185" s="820">
        <f t="shared" si="372"/>
        <v>2.0267783462617595</v>
      </c>
      <c r="CD185" s="820">
        <f t="shared" si="372"/>
        <v>1.970935580684426</v>
      </c>
      <c r="CE185" s="820">
        <f t="shared" si="372"/>
        <v>2.0337724851870829</v>
      </c>
      <c r="CF185" s="820">
        <f t="shared" si="372"/>
        <v>0.69673029290166932</v>
      </c>
      <c r="CG185" s="820">
        <f t="shared" si="372"/>
        <v>1.1150205555908483</v>
      </c>
      <c r="CH185" s="820">
        <f t="shared" si="372"/>
        <v>1.6206625352966817</v>
      </c>
      <c r="CI185" s="820">
        <f t="shared" si="372"/>
        <v>1.9013610543484376</v>
      </c>
      <c r="CJ185" s="820">
        <f t="shared" si="372"/>
        <v>0.93220667194789197</v>
      </c>
      <c r="CK185" s="820">
        <f t="shared" si="372"/>
        <v>1.3768458052621604</v>
      </c>
      <c r="CL185" s="820">
        <f t="shared" si="372"/>
        <v>1.2855812573651206</v>
      </c>
      <c r="CM185" s="820">
        <f t="shared" si="372"/>
        <v>1.7917593316102662</v>
      </c>
      <c r="CN185" s="820">
        <f t="shared" si="372"/>
        <v>1.2251693462825433</v>
      </c>
      <c r="CO185" s="820">
        <f t="shared" si="372"/>
        <v>1.7255944492087001</v>
      </c>
      <c r="CP185" s="820">
        <f t="shared" si="372"/>
        <v>1.660878830627007</v>
      </c>
      <c r="CQ185" s="820">
        <f t="shared" si="372"/>
        <v>1.9397905578451069</v>
      </c>
      <c r="CR185" s="820">
        <f t="shared" si="372"/>
        <v>0.97797213002033101</v>
      </c>
      <c r="CS185" s="820">
        <f t="shared" si="372"/>
        <v>1.1691379802450881</v>
      </c>
      <c r="CT185" s="820">
        <f t="shared" si="372"/>
        <v>1.2976598412035103</v>
      </c>
      <c r="CU185" s="820">
        <f t="shared" si="372"/>
        <v>1.8199681534663725</v>
      </c>
      <c r="CV185" s="820">
        <f t="shared" si="372"/>
        <v>1.2658700625077051</v>
      </c>
      <c r="CW185" s="820">
        <f t="shared" si="372"/>
        <v>1.3811067174882918</v>
      </c>
      <c r="CX185" s="820">
        <f t="shared" si="372"/>
        <v>1.1530863930807758</v>
      </c>
      <c r="CY185" s="820">
        <f t="shared" si="372"/>
        <v>1.5465232652069172</v>
      </c>
      <c r="CZ185" s="820">
        <f t="shared" ca="1" si="372"/>
        <v>1.3035387664385611</v>
      </c>
      <c r="DA185" s="820">
        <f t="shared" ca="1" si="372"/>
        <v>0.88533568339942026</v>
      </c>
      <c r="DB185" s="820">
        <f t="shared" ca="1" si="372"/>
        <v>2.370653877784525</v>
      </c>
      <c r="DC185" s="820">
        <f t="shared" ca="1" si="372"/>
        <v>2.2675353729801921</v>
      </c>
    </row>
    <row r="186" spans="1:112">
      <c r="B186" s="773" t="s">
        <v>14</v>
      </c>
      <c r="C186" s="15"/>
      <c r="D186" s="15"/>
      <c r="E186" s="15"/>
      <c r="F186" s="15"/>
      <c r="G186" s="15"/>
      <c r="H186" s="15"/>
      <c r="I186" s="15"/>
      <c r="J186" s="15"/>
      <c r="K186" s="15"/>
      <c r="L186" s="15"/>
      <c r="M186" s="15"/>
      <c r="N186" s="15"/>
      <c r="O186" s="38">
        <f>O184/IS!O15</f>
        <v>0.19835664855953869</v>
      </c>
      <c r="P186" s="38">
        <f>P184/IS!P15</f>
        <v>0.21516208599399664</v>
      </c>
      <c r="Q186" s="38">
        <f>Q184/IS!Q15</f>
        <v>0.21100512033638236</v>
      </c>
      <c r="R186" s="38">
        <f>R184/IS!R15</f>
        <v>0.20021126309129744</v>
      </c>
      <c r="S186" s="38">
        <f>S184/IS!S15</f>
        <v>0.19810702703808661</v>
      </c>
      <c r="T186" s="38">
        <f>T184/IS!T15</f>
        <v>0.1940406483515153</v>
      </c>
      <c r="U186" s="38">
        <f>U184/IS!U15</f>
        <v>0.23353061152733304</v>
      </c>
      <c r="V186" s="38">
        <f>V184/IS!V15</f>
        <v>0.23552911939947274</v>
      </c>
      <c r="W186" s="38">
        <f ca="1">W184/IS!W15</f>
        <v>0.22396010781793854</v>
      </c>
      <c r="X186" s="38">
        <f ca="1">X184/IS!X15</f>
        <v>0.19147683882420721</v>
      </c>
      <c r="Y186" s="38">
        <f ca="1">Y184/IS!Y15</f>
        <v>0.18786719670214172</v>
      </c>
      <c r="Z186" s="38">
        <f ca="1">Z184/IS!Z15</f>
        <v>0.1849825292783023</v>
      </c>
      <c r="AA186" s="38">
        <f ca="1">AA184/IS!AA15</f>
        <v>0.16394398547145592</v>
      </c>
      <c r="AB186" s="38">
        <f ca="1">AB184/IS!AB15</f>
        <v>8.9616309428804913E-2</v>
      </c>
      <c r="AC186" s="38">
        <f ca="1">AC184/IS!AC15</f>
        <v>4.5649462408170728E-2</v>
      </c>
      <c r="AD186" s="38">
        <f ca="1">AD184/IS!AD15</f>
        <v>4.3336414313680474E-2</v>
      </c>
      <c r="AE186" s="15"/>
      <c r="AF186" s="789"/>
      <c r="AG186" s="789"/>
      <c r="AH186" s="789"/>
      <c r="AI186" s="789"/>
      <c r="AJ186" s="789"/>
      <c r="AK186" s="789"/>
      <c r="AL186" s="789"/>
      <c r="AM186" s="789"/>
      <c r="AN186" s="789"/>
      <c r="AO186" s="789"/>
      <c r="AP186" s="789"/>
      <c r="AQ186" s="789"/>
      <c r="AR186" s="789"/>
      <c r="AS186" s="789"/>
      <c r="AT186" s="789"/>
      <c r="AU186" s="789"/>
      <c r="AV186" s="789"/>
      <c r="AW186" s="789"/>
      <c r="AX186" s="789"/>
      <c r="AY186" s="789"/>
      <c r="AZ186" s="15"/>
      <c r="BA186" s="15"/>
      <c r="BB186" s="15"/>
      <c r="BC186" s="15"/>
      <c r="BD186" s="15"/>
      <c r="BE186" s="15"/>
      <c r="BF186" s="15"/>
      <c r="BG186" s="15"/>
      <c r="BH186" s="15"/>
      <c r="BI186" s="15"/>
      <c r="BJ186" s="15"/>
      <c r="BK186" s="15"/>
      <c r="BL186" s="15"/>
      <c r="BM186" s="15"/>
      <c r="BN186" s="15"/>
      <c r="BO186" s="38"/>
      <c r="BP186" s="38"/>
      <c r="BQ186" s="38"/>
      <c r="BR186" s="38"/>
      <c r="BS186" s="38"/>
      <c r="BT186" s="38">
        <f>BT184/IS!CJ15</f>
        <v>0.19023201380258917</v>
      </c>
      <c r="BU186" s="38">
        <f>BU184/IS!CK15</f>
        <v>0.19590575724871306</v>
      </c>
      <c r="BV186" s="38">
        <f>BV184/IS!CL15</f>
        <v>0.20298138733143745</v>
      </c>
      <c r="BW186" s="38">
        <f>BW184/IS!CM15</f>
        <v>0.2020591752589587</v>
      </c>
      <c r="BX186" s="38">
        <f>BX184/IS!CO15</f>
        <v>0.21409581606389624</v>
      </c>
      <c r="BY186" s="38">
        <f>BY184/IS!CP15</f>
        <v>0.21444524280759827</v>
      </c>
      <c r="BZ186" s="38">
        <f>BZ184/IS!CQ15</f>
        <v>0.21628189550425278</v>
      </c>
      <c r="CA186" s="38">
        <f>CA184/IS!CR15</f>
        <v>0.21562793165859626</v>
      </c>
      <c r="CB186" s="38">
        <f>CB184/IS!CT15</f>
        <v>0.20460730419637513</v>
      </c>
      <c r="CC186" s="38">
        <f>CC184/IS!CU15</f>
        <v>0.2128158408886352</v>
      </c>
      <c r="CD186" s="38">
        <f>CD184/IS!CV15</f>
        <v>0.22197861128012625</v>
      </c>
      <c r="CE186" s="38">
        <f>CE184/IS!CW15</f>
        <v>0.20443663683483546</v>
      </c>
      <c r="CF186" s="38">
        <f>CF184/IS!CX15</f>
        <v>0.21041628724323533</v>
      </c>
      <c r="CG186" s="38">
        <f>CG184/IS!CY15</f>
        <v>0.20834759326943625</v>
      </c>
      <c r="CH186" s="38">
        <f>CH184/IS!CZ15</f>
        <v>0.19432353006164788</v>
      </c>
      <c r="CI186" s="38">
        <f>CI184/IS!DA15</f>
        <v>0.18892570442925777</v>
      </c>
      <c r="CJ186" s="38">
        <f>CJ184/IS!DB15</f>
        <v>0.19586141266401519</v>
      </c>
      <c r="CK186" s="38">
        <f>CK184/IS!DC15</f>
        <v>0.19180680843610209</v>
      </c>
      <c r="CL186" s="38">
        <f>CL184/IS!DD15</f>
        <v>0.19558539101282962</v>
      </c>
      <c r="CM186" s="38">
        <f>CM184/IS!DE15</f>
        <v>0.20857486276113779</v>
      </c>
      <c r="CN186" s="38">
        <f>CN184/IS!DF15</f>
        <v>0.19050832278667978</v>
      </c>
      <c r="CO186" s="38">
        <f>CO184/IS!DG15</f>
        <v>0.19271855308587077</v>
      </c>
      <c r="CP186" s="38">
        <f>CP184/IS!DH15</f>
        <v>0.19408460508935424</v>
      </c>
      <c r="CQ186" s="38">
        <f>CQ184/IS!DI15</f>
        <v>0.19831421757736886</v>
      </c>
      <c r="CR186" s="38">
        <f>CR184/IS!DJ15</f>
        <v>0.23947350963565978</v>
      </c>
      <c r="CS186" s="38">
        <f>CS184/IS!DK15</f>
        <v>0.23733106795038367</v>
      </c>
      <c r="CT186" s="38">
        <f>CT184/IS!DL15</f>
        <v>0.23291401528751693</v>
      </c>
      <c r="CU186" s="38">
        <f>CU184/IS!DM15</f>
        <v>0.22518291576804469</v>
      </c>
      <c r="CV186" s="38">
        <f>CV184/IS!DN15</f>
        <v>0.23065532766383187</v>
      </c>
      <c r="CW186" s="38">
        <f>CW184/IS!DO15</f>
        <v>0.23666638222615644</v>
      </c>
      <c r="CX186" s="38">
        <f>CX184/IS!DP15</f>
        <v>0.24102091453238458</v>
      </c>
      <c r="CY186" s="38">
        <f>CY184/IS!DQ15</f>
        <v>0.23310207036870709</v>
      </c>
      <c r="CZ186" s="38">
        <f ca="1">CZ184/IS!DR15</f>
        <v>0.22853483547247158</v>
      </c>
      <c r="DA186" s="38">
        <f ca="1">DA184/IS!DS15</f>
        <v>0.22449798414336064</v>
      </c>
      <c r="DB186" s="38">
        <f ca="1">DB184/IS!DT15</f>
        <v>0.22150460627212909</v>
      </c>
      <c r="DC186" s="38">
        <f ca="1">DC184/IS!DU15</f>
        <v>0.22159304824672735</v>
      </c>
    </row>
    <row r="187" spans="1:112">
      <c r="B187" s="857"/>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c r="AA187" s="15"/>
      <c r="AB187" s="15"/>
      <c r="AC187" s="15"/>
      <c r="AD187" s="15"/>
      <c r="AE187" s="15"/>
      <c r="AF187" s="789"/>
      <c r="AG187" s="789"/>
      <c r="AH187" s="789"/>
      <c r="AI187" s="789"/>
      <c r="AJ187" s="789"/>
      <c r="AK187" s="789"/>
      <c r="AL187" s="789"/>
      <c r="AM187" s="789"/>
      <c r="AN187" s="789"/>
      <c r="AO187" s="789"/>
      <c r="AP187" s="789"/>
      <c r="AQ187" s="789"/>
      <c r="AR187" s="789"/>
      <c r="AS187" s="789"/>
      <c r="AT187" s="789"/>
      <c r="AU187" s="789"/>
      <c r="AV187" s="789"/>
      <c r="AW187" s="789"/>
      <c r="AX187" s="789"/>
      <c r="AY187" s="789"/>
      <c r="AZ187" s="15"/>
      <c r="BA187" s="15"/>
      <c r="BB187" s="15"/>
      <c r="BC187" s="15"/>
      <c r="BD187" s="15"/>
      <c r="BE187" s="15"/>
      <c r="BF187" s="15"/>
      <c r="BG187" s="15"/>
      <c r="BH187" s="15"/>
      <c r="BI187" s="15"/>
      <c r="BJ187" s="15"/>
      <c r="BK187" s="15"/>
      <c r="BL187" s="15"/>
      <c r="BM187" s="15"/>
      <c r="BN187" s="15"/>
      <c r="BO187" s="15"/>
      <c r="BP187" s="15"/>
      <c r="BQ187" s="15"/>
      <c r="BR187" s="15"/>
      <c r="BS187" s="15"/>
      <c r="BT187" s="15"/>
      <c r="BU187" s="15"/>
      <c r="BV187" s="15"/>
      <c r="BW187" s="15"/>
      <c r="BX187" s="15"/>
      <c r="BY187" s="15"/>
      <c r="BZ187" s="15"/>
      <c r="CA187" s="15"/>
      <c r="CB187" s="15"/>
      <c r="CC187" s="15"/>
      <c r="CD187" s="15"/>
      <c r="CE187" s="15"/>
      <c r="CF187" s="15"/>
      <c r="CG187" s="15"/>
      <c r="CH187" s="15"/>
      <c r="CI187" s="15"/>
      <c r="CJ187" s="15"/>
      <c r="CK187" s="15"/>
      <c r="CL187" s="15"/>
      <c r="CM187" s="15"/>
      <c r="CN187" s="15"/>
      <c r="CO187" s="15"/>
      <c r="CP187" s="15"/>
      <c r="CQ187" s="15"/>
      <c r="CR187" s="15"/>
      <c r="CS187" s="15"/>
      <c r="CT187" s="15"/>
      <c r="CU187" s="15"/>
      <c r="CV187" s="15"/>
      <c r="CW187" s="15"/>
      <c r="CX187" s="15"/>
      <c r="CY187" s="15"/>
      <c r="CZ187" s="15"/>
      <c r="DA187" s="15"/>
      <c r="DB187" s="15"/>
      <c r="DC187" s="15"/>
    </row>
    <row r="188" spans="1:112">
      <c r="A188" s="1163" t="s">
        <v>604</v>
      </c>
      <c r="B188" s="66" t="s">
        <v>1799</v>
      </c>
      <c r="C188" s="60"/>
      <c r="D188" s="60"/>
      <c r="E188" s="60"/>
      <c r="F188" s="60"/>
      <c r="G188" s="60"/>
      <c r="H188" s="60"/>
      <c r="I188" s="60"/>
      <c r="J188" s="60"/>
      <c r="K188" s="275"/>
      <c r="L188" s="275"/>
      <c r="M188" s="275"/>
      <c r="N188" s="275"/>
      <c r="O188" s="60"/>
      <c r="P188" s="60"/>
      <c r="Q188" s="60"/>
      <c r="R188" s="60"/>
      <c r="S188" s="60"/>
      <c r="T188" s="60"/>
      <c r="U188" s="60"/>
      <c r="V188" s="60"/>
      <c r="W188" s="60"/>
      <c r="X188" s="60"/>
      <c r="Y188" s="60"/>
      <c r="Z188" s="60"/>
      <c r="AA188" s="60"/>
      <c r="AB188" s="60"/>
      <c r="AC188" s="60"/>
      <c r="AD188" s="60"/>
      <c r="AE188" s="15"/>
      <c r="AF188" s="276"/>
      <c r="AG188" s="276"/>
      <c r="AH188" s="276"/>
      <c r="AI188" s="276"/>
      <c r="AJ188" s="276"/>
      <c r="AK188" s="276"/>
      <c r="AL188" s="276"/>
      <c r="AM188" s="276"/>
      <c r="AN188" s="276"/>
      <c r="AO188" s="276"/>
      <c r="AP188" s="276"/>
      <c r="AQ188" s="276"/>
      <c r="AR188" s="276"/>
      <c r="AS188" s="276"/>
      <c r="AT188" s="276"/>
      <c r="AU188" s="276"/>
      <c r="AV188" s="276"/>
      <c r="AW188" s="276"/>
      <c r="AX188" s="276"/>
      <c r="AY188" s="276"/>
      <c r="AZ188" s="60"/>
      <c r="BA188" s="60"/>
      <c r="BB188" s="60"/>
      <c r="BC188" s="60"/>
      <c r="BD188" s="60"/>
      <c r="BE188" s="60"/>
      <c r="BF188" s="60"/>
      <c r="BG188" s="60"/>
      <c r="BH188" s="60"/>
      <c r="BI188" s="60"/>
      <c r="BJ188" s="60"/>
      <c r="BK188" s="60"/>
      <c r="BL188" s="60"/>
      <c r="BM188" s="60"/>
      <c r="BN188" s="60"/>
      <c r="BO188" s="60"/>
      <c r="BP188" s="60"/>
      <c r="BQ188" s="60"/>
      <c r="BR188" s="60"/>
      <c r="BS188" s="60"/>
      <c r="BT188" s="60"/>
      <c r="BU188" s="60"/>
      <c r="BV188" s="60"/>
      <c r="BW188" s="60"/>
      <c r="BX188" s="60"/>
      <c r="BY188" s="60"/>
      <c r="BZ188" s="60"/>
      <c r="CA188" s="60"/>
      <c r="CB188" s="60"/>
      <c r="CC188" s="60"/>
      <c r="CD188" s="60"/>
      <c r="CE188" s="60"/>
      <c r="CF188" s="60"/>
      <c r="CG188" s="60"/>
      <c r="CH188" s="60"/>
      <c r="CI188" s="60"/>
      <c r="CJ188" s="60"/>
      <c r="CK188" s="60"/>
      <c r="CL188" s="60"/>
      <c r="CM188" s="60"/>
      <c r="CN188" s="60"/>
      <c r="CO188" s="60"/>
      <c r="CP188" s="60"/>
      <c r="CQ188" s="60"/>
      <c r="CR188" s="60"/>
      <c r="CS188" s="60"/>
      <c r="CT188" s="60"/>
      <c r="CU188" s="60"/>
      <c r="CV188" s="60"/>
      <c r="CW188" s="60"/>
      <c r="CX188" s="60"/>
      <c r="CY188" s="60"/>
      <c r="CZ188" s="60"/>
      <c r="DA188" s="60"/>
      <c r="DB188" s="60"/>
      <c r="DC188" s="60"/>
    </row>
    <row r="189" spans="1:112">
      <c r="B189" s="1026"/>
      <c r="C189" s="15"/>
      <c r="D189" s="15"/>
      <c r="E189" s="15"/>
      <c r="F189" s="15"/>
      <c r="G189" s="15"/>
      <c r="H189" s="15"/>
      <c r="I189" s="15"/>
      <c r="J189" s="15"/>
      <c r="K189" s="15"/>
      <c r="L189" s="15"/>
      <c r="M189" s="15"/>
      <c r="N189" s="15"/>
      <c r="O189" s="15"/>
      <c r="P189" s="999"/>
      <c r="Q189" s="999"/>
      <c r="R189" s="999"/>
      <c r="S189" s="999"/>
      <c r="T189" s="999"/>
      <c r="U189" s="999"/>
      <c r="V189" s="999"/>
      <c r="W189" s="999"/>
      <c r="X189" s="999"/>
      <c r="Y189" s="999"/>
      <c r="Z189" s="999"/>
      <c r="AA189" s="999"/>
      <c r="AB189" s="999"/>
      <c r="AC189" s="999"/>
      <c r="AD189" s="999"/>
      <c r="AE189" s="15"/>
      <c r="AF189" s="789"/>
      <c r="AG189" s="789"/>
      <c r="AH189" s="789"/>
      <c r="AI189" s="789"/>
      <c r="AJ189" s="789"/>
      <c r="AK189" s="789"/>
      <c r="AL189" s="789"/>
      <c r="AM189" s="789"/>
      <c r="AN189" s="789"/>
      <c r="AO189" s="789"/>
      <c r="AP189" s="789"/>
      <c r="AQ189" s="789"/>
      <c r="AR189" s="789"/>
      <c r="AS189" s="789"/>
      <c r="AT189" s="789"/>
      <c r="AU189" s="789"/>
      <c r="AV189" s="789"/>
      <c r="AW189" s="789"/>
      <c r="AX189" s="789"/>
      <c r="AY189" s="789"/>
      <c r="AZ189" s="15"/>
      <c r="BA189" s="15"/>
      <c r="BB189" s="15"/>
      <c r="BC189" s="15"/>
      <c r="BD189" s="15"/>
      <c r="BE189" s="15"/>
      <c r="BF189" s="15"/>
      <c r="BG189" s="15"/>
      <c r="BH189" s="15"/>
      <c r="BI189" s="15"/>
      <c r="BJ189" s="15"/>
      <c r="BK189" s="31"/>
      <c r="BL189" s="15"/>
      <c r="BM189" s="15"/>
      <c r="BN189" s="15"/>
      <c r="BO189" s="15"/>
      <c r="BP189" s="26"/>
      <c r="BQ189" s="26"/>
      <c r="BR189" s="26"/>
      <c r="BS189" s="26"/>
      <c r="BT189" s="26"/>
      <c r="BU189" s="26"/>
      <c r="BV189" s="26"/>
      <c r="BW189" s="26"/>
      <c r="BX189" s="26"/>
      <c r="BY189" s="26"/>
      <c r="BZ189" s="26"/>
      <c r="CA189" s="26"/>
      <c r="CB189" s="26"/>
      <c r="CC189" s="26"/>
      <c r="CD189" s="26"/>
      <c r="CE189" s="26"/>
      <c r="CF189" s="26"/>
      <c r="CG189" s="26"/>
      <c r="CH189" s="26"/>
      <c r="CI189" s="26"/>
      <c r="CJ189" s="26"/>
      <c r="CK189" s="26"/>
      <c r="CL189" s="26"/>
      <c r="CM189" s="26"/>
      <c r="CN189" s="26"/>
      <c r="CO189" s="26"/>
      <c r="CP189" s="26"/>
      <c r="CQ189" s="26"/>
      <c r="CR189" s="26"/>
      <c r="CS189" s="26"/>
      <c r="CT189" s="26"/>
      <c r="CU189" s="26"/>
      <c r="CV189" s="26"/>
      <c r="CW189" s="26"/>
      <c r="CX189" s="26"/>
      <c r="CY189" s="26"/>
      <c r="CZ189" s="26"/>
      <c r="DA189" s="26"/>
      <c r="DB189" s="26"/>
      <c r="DC189" s="26"/>
    </row>
    <row r="190" spans="1:112">
      <c r="B190" s="857" t="s">
        <v>1795</v>
      </c>
      <c r="C190" s="15"/>
      <c r="D190" s="15"/>
      <c r="E190" s="999"/>
      <c r="F190" s="999"/>
      <c r="G190" s="999"/>
      <c r="H190" s="999"/>
      <c r="I190" s="999"/>
      <c r="J190" s="999"/>
      <c r="K190" s="999"/>
      <c r="L190" s="999"/>
      <c r="M190" s="999"/>
      <c r="N190" s="999"/>
      <c r="O190" s="999"/>
      <c r="P190" s="999"/>
      <c r="Q190" s="999"/>
      <c r="R190" s="999"/>
      <c r="S190" s="999"/>
      <c r="T190" s="999"/>
      <c r="U190" s="999"/>
      <c r="V190" s="999"/>
      <c r="W190" s="999"/>
      <c r="X190" s="999"/>
      <c r="Y190" s="999"/>
      <c r="Z190" s="999"/>
      <c r="AA190" s="999"/>
      <c r="AB190" s="999"/>
      <c r="AC190" s="999"/>
      <c r="AD190" s="999"/>
      <c r="AE190" s="999"/>
      <c r="AF190" s="789"/>
      <c r="AG190" s="789"/>
      <c r="AH190" s="789"/>
      <c r="AI190" s="789"/>
      <c r="AJ190" s="789"/>
      <c r="AK190" s="789"/>
      <c r="AL190" s="789"/>
      <c r="AM190" s="789"/>
      <c r="AN190" s="789"/>
      <c r="AO190" s="789"/>
      <c r="AP190" s="789"/>
      <c r="AQ190" s="789"/>
      <c r="AR190" s="789"/>
      <c r="AS190" s="789"/>
      <c r="AT190" s="789"/>
      <c r="AU190" s="789"/>
      <c r="AV190" s="789"/>
      <c r="AW190" s="789"/>
      <c r="AX190" s="789"/>
      <c r="AY190" s="789"/>
      <c r="AZ190" s="15"/>
      <c r="BA190" s="15"/>
      <c r="BB190" s="15"/>
      <c r="BC190" s="15"/>
      <c r="BD190" s="15"/>
      <c r="BE190" s="15"/>
      <c r="BF190" s="15"/>
      <c r="BG190" s="15"/>
      <c r="BH190" s="15"/>
      <c r="BI190" s="15"/>
      <c r="BJ190" s="15"/>
      <c r="BK190" s="15"/>
      <c r="BL190" s="31"/>
      <c r="BM190" s="15"/>
      <c r="BN190" s="15"/>
      <c r="BO190" s="15"/>
      <c r="BP190" s="26"/>
      <c r="BQ190" s="26"/>
      <c r="BR190" s="26"/>
      <c r="BS190" s="26"/>
      <c r="BT190" s="26"/>
      <c r="BU190" s="26"/>
      <c r="BV190" s="26"/>
      <c r="BW190" s="26"/>
      <c r="BX190" s="26"/>
      <c r="BY190" s="26"/>
      <c r="BZ190" s="26"/>
      <c r="CA190" s="26"/>
      <c r="CB190" s="26"/>
      <c r="CC190" s="26"/>
      <c r="CD190" s="26"/>
      <c r="CE190" s="26"/>
      <c r="CF190" s="26"/>
      <c r="CG190" s="26"/>
      <c r="CH190" s="26"/>
      <c r="CI190" s="26"/>
      <c r="CJ190" s="26"/>
      <c r="CK190" s="26"/>
      <c r="CL190" s="26"/>
      <c r="CM190" s="26"/>
      <c r="CN190" s="26"/>
      <c r="CO190" s="26"/>
      <c r="CP190" s="26"/>
      <c r="CQ190" s="26"/>
      <c r="CR190" s="26"/>
      <c r="CS190" s="26"/>
      <c r="CT190" s="26"/>
      <c r="CU190" s="26"/>
      <c r="CV190" s="26"/>
      <c r="CW190" s="26"/>
      <c r="CX190" s="26"/>
      <c r="CY190" s="26"/>
      <c r="CZ190" s="26"/>
      <c r="DA190" s="26"/>
      <c r="DB190" s="26"/>
      <c r="DC190" s="26"/>
    </row>
    <row r="191" spans="1:112">
      <c r="B191" s="876" t="s">
        <v>148</v>
      </c>
      <c r="C191" s="15"/>
      <c r="D191" s="15"/>
      <c r="E191" s="15"/>
      <c r="F191" s="15"/>
      <c r="G191" s="15"/>
      <c r="H191" s="15"/>
      <c r="I191" s="15"/>
      <c r="J191" s="15"/>
      <c r="K191" s="15"/>
      <c r="L191" s="15"/>
      <c r="M191" s="26">
        <f>BO191</f>
        <v>0</v>
      </c>
      <c r="N191" s="999">
        <f>BS191</f>
        <v>0</v>
      </c>
      <c r="O191" s="999"/>
      <c r="P191" s="15"/>
      <c r="Q191" s="15"/>
      <c r="R191" s="15"/>
      <c r="S191" s="15"/>
      <c r="T191" s="15"/>
      <c r="U191" s="15"/>
      <c r="V191" s="15"/>
      <c r="W191" s="15"/>
      <c r="X191" s="999"/>
      <c r="Y191" s="999"/>
      <c r="Z191" s="999"/>
      <c r="AA191" s="999"/>
      <c r="AB191" s="999"/>
      <c r="AC191" s="999"/>
      <c r="AD191" s="999"/>
      <c r="AE191" s="999"/>
      <c r="AF191" s="789"/>
      <c r="AG191" s="789"/>
      <c r="AH191" s="789"/>
      <c r="AI191" s="789"/>
      <c r="AJ191" s="789"/>
      <c r="AK191" s="789"/>
      <c r="AL191" s="789"/>
      <c r="AM191" s="789"/>
      <c r="AN191" s="789"/>
      <c r="AO191" s="789"/>
      <c r="AP191" s="789"/>
      <c r="AQ191" s="789"/>
      <c r="AR191" s="789"/>
      <c r="AS191" s="789"/>
      <c r="AT191" s="789"/>
      <c r="AU191" s="789"/>
      <c r="AV191" s="789"/>
      <c r="AW191" s="789"/>
      <c r="AX191" s="789"/>
      <c r="AY191" s="789"/>
      <c r="AZ191" s="15"/>
      <c r="BA191" s="15"/>
      <c r="BB191" s="15"/>
      <c r="BC191" s="15"/>
      <c r="BD191" s="15"/>
      <c r="BE191" s="15"/>
      <c r="BF191" s="15"/>
      <c r="BG191" s="15"/>
      <c r="BH191" s="15"/>
      <c r="BI191" s="15"/>
      <c r="BJ191" s="15"/>
      <c r="BK191" s="15"/>
      <c r="BL191" s="15"/>
      <c r="BM191" s="31"/>
      <c r="BN191" s="15"/>
      <c r="BO191" s="398">
        <v>0</v>
      </c>
      <c r="BP191" s="398">
        <v>0</v>
      </c>
      <c r="BQ191" s="398">
        <v>0</v>
      </c>
      <c r="BR191" s="398">
        <v>0</v>
      </c>
      <c r="BS191" s="398">
        <v>0</v>
      </c>
      <c r="BT191" s="398">
        <v>0</v>
      </c>
      <c r="BU191" s="398">
        <v>407.38299999999998</v>
      </c>
      <c r="BV191" s="398">
        <v>407.38299999999998</v>
      </c>
      <c r="BW191" s="398">
        <v>408.73</v>
      </c>
      <c r="BX191" s="26"/>
      <c r="BY191" s="26"/>
      <c r="BZ191" s="26"/>
      <c r="CA191" s="26"/>
      <c r="CB191" s="26"/>
      <c r="CC191" s="26"/>
      <c r="CD191" s="26"/>
      <c r="CE191" s="26"/>
      <c r="CF191" s="26"/>
      <c r="CG191" s="26"/>
      <c r="CH191" s="26"/>
      <c r="CI191" s="26"/>
      <c r="CJ191" s="26"/>
      <c r="CK191" s="26"/>
      <c r="CL191" s="26"/>
      <c r="CM191" s="26"/>
      <c r="CN191" s="26"/>
      <c r="CO191" s="26"/>
      <c r="CP191" s="26"/>
      <c r="CQ191" s="26"/>
      <c r="CR191" s="26"/>
      <c r="CS191" s="26"/>
      <c r="CT191" s="26"/>
      <c r="CU191" s="26"/>
      <c r="CV191" s="26"/>
      <c r="CW191" s="26"/>
      <c r="CX191" s="26"/>
      <c r="CY191" s="26"/>
      <c r="CZ191" s="26"/>
      <c r="DA191" s="26"/>
      <c r="DB191" s="26"/>
      <c r="DC191" s="26"/>
    </row>
    <row r="192" spans="1:112">
      <c r="B192" s="876" t="s">
        <v>1225</v>
      </c>
      <c r="C192" s="15"/>
      <c r="D192" s="15"/>
      <c r="E192" s="15"/>
      <c r="F192" s="15"/>
      <c r="G192" s="15"/>
      <c r="H192" s="15"/>
      <c r="I192" s="15"/>
      <c r="J192" s="15"/>
      <c r="K192" s="15"/>
      <c r="L192" s="15"/>
      <c r="M192" s="26">
        <f>BO192</f>
        <v>324.67399999999998</v>
      </c>
      <c r="N192" s="999">
        <f>BS192</f>
        <v>362.56900000000002</v>
      </c>
      <c r="O192" s="999"/>
      <c r="P192" s="15"/>
      <c r="Q192" s="15"/>
      <c r="R192" s="15"/>
      <c r="S192" s="15"/>
      <c r="T192" s="15"/>
      <c r="U192" s="15"/>
      <c r="V192" s="15"/>
      <c r="W192" s="15"/>
      <c r="X192" s="999"/>
      <c r="Y192" s="999"/>
      <c r="Z192" s="999"/>
      <c r="AA192" s="999"/>
      <c r="AB192" s="999"/>
      <c r="AC192" s="999"/>
      <c r="AD192" s="999"/>
      <c r="AE192" s="999"/>
      <c r="AF192" s="789"/>
      <c r="AG192" s="789"/>
      <c r="AH192" s="789"/>
      <c r="AI192" s="789"/>
      <c r="AJ192" s="789"/>
      <c r="AK192" s="789"/>
      <c r="AL192" s="789"/>
      <c r="AM192" s="789"/>
      <c r="AN192" s="789"/>
      <c r="AO192" s="789"/>
      <c r="AP192" s="789"/>
      <c r="AQ192" s="789"/>
      <c r="AR192" s="789"/>
      <c r="AS192" s="789"/>
      <c r="AT192" s="789"/>
      <c r="AU192" s="789"/>
      <c r="AV192" s="789"/>
      <c r="AW192" s="789"/>
      <c r="AX192" s="789"/>
      <c r="AY192" s="789"/>
      <c r="AZ192" s="15"/>
      <c r="BA192" s="15"/>
      <c r="BB192" s="15"/>
      <c r="BC192" s="15"/>
      <c r="BD192" s="15"/>
      <c r="BE192" s="15"/>
      <c r="BF192" s="15"/>
      <c r="BG192" s="15"/>
      <c r="BH192" s="15"/>
      <c r="BI192" s="15"/>
      <c r="BJ192" s="15"/>
      <c r="BK192" s="15"/>
      <c r="BL192" s="15"/>
      <c r="BM192" s="20"/>
      <c r="BN192" s="31"/>
      <c r="BO192" s="398">
        <v>324.67399999999998</v>
      </c>
      <c r="BP192" s="398">
        <v>318.21199999999999</v>
      </c>
      <c r="BQ192" s="398">
        <v>364.17599999999999</v>
      </c>
      <c r="BR192" s="398">
        <v>359.14</v>
      </c>
      <c r="BS192" s="398">
        <v>362.56900000000002</v>
      </c>
      <c r="BT192" s="398">
        <v>340.75599999999997</v>
      </c>
      <c r="BU192" s="398">
        <v>334.137</v>
      </c>
      <c r="BV192" s="398">
        <v>351.14499999999998</v>
      </c>
      <c r="BW192" s="398">
        <v>345.48599999999999</v>
      </c>
      <c r="BX192" s="26"/>
      <c r="BY192" s="26"/>
      <c r="BZ192" s="26"/>
      <c r="CA192" s="26"/>
      <c r="CB192" s="26"/>
      <c r="CC192" s="26"/>
      <c r="CD192" s="26"/>
      <c r="CE192" s="26"/>
      <c r="CF192" s="26"/>
      <c r="CG192" s="26"/>
      <c r="CH192" s="26"/>
      <c r="CI192" s="26"/>
      <c r="CJ192" s="26"/>
      <c r="CK192" s="26"/>
      <c r="CL192" s="26"/>
      <c r="CM192" s="26"/>
      <c r="CN192" s="26"/>
      <c r="CO192" s="26"/>
      <c r="CP192" s="26"/>
      <c r="CQ192" s="26"/>
      <c r="CR192" s="26"/>
      <c r="CS192" s="26"/>
      <c r="CT192" s="26"/>
      <c r="CU192" s="26"/>
      <c r="CV192" s="26"/>
      <c r="CW192" s="26"/>
      <c r="CX192" s="26"/>
      <c r="CY192" s="26"/>
      <c r="CZ192" s="26"/>
      <c r="DA192" s="26"/>
      <c r="DB192" s="26"/>
      <c r="DC192" s="26"/>
    </row>
    <row r="193" spans="2:107">
      <c r="B193" s="876" t="s">
        <v>1796</v>
      </c>
      <c r="C193" s="15"/>
      <c r="D193" s="15"/>
      <c r="E193" s="15"/>
      <c r="F193" s="15"/>
      <c r="G193" s="15"/>
      <c r="H193" s="15"/>
      <c r="I193" s="15"/>
      <c r="J193" s="15"/>
      <c r="K193" s="15"/>
      <c r="L193" s="15"/>
      <c r="M193" s="26">
        <f>BO193</f>
        <v>18.155000000000001</v>
      </c>
      <c r="N193" s="999">
        <f>BS193</f>
        <v>18.481000000000002</v>
      </c>
      <c r="O193" s="15"/>
      <c r="P193" s="15"/>
      <c r="Q193" s="15"/>
      <c r="R193" s="15"/>
      <c r="S193" s="15"/>
      <c r="T193" s="15"/>
      <c r="U193" s="15"/>
      <c r="V193" s="15"/>
      <c r="W193" s="15"/>
      <c r="X193" s="999"/>
      <c r="Y193" s="999"/>
      <c r="Z193" s="999"/>
      <c r="AA193" s="999"/>
      <c r="AB193" s="999"/>
      <c r="AC193" s="999"/>
      <c r="AD193" s="999"/>
      <c r="AE193" s="999"/>
      <c r="AF193" s="976"/>
      <c r="AG193" s="976"/>
      <c r="AH193" s="976"/>
      <c r="AI193" s="976"/>
      <c r="AJ193" s="976"/>
      <c r="AK193" s="976"/>
      <c r="AL193" s="976"/>
      <c r="AM193" s="976"/>
      <c r="AN193" s="976"/>
      <c r="AO193" s="976"/>
      <c r="AP193" s="976"/>
      <c r="AQ193" s="976"/>
      <c r="AR193" s="976"/>
      <c r="AS193" s="976"/>
      <c r="AT193" s="976"/>
      <c r="AU193" s="976"/>
      <c r="AV193" s="976"/>
      <c r="AW193" s="976"/>
      <c r="AX193" s="976"/>
      <c r="AY193" s="976"/>
      <c r="AZ193" s="15"/>
      <c r="BA193" s="15"/>
      <c r="BB193" s="15"/>
      <c r="BC193" s="15"/>
      <c r="BD193" s="15"/>
      <c r="BE193" s="15"/>
      <c r="BF193" s="15"/>
      <c r="BG193" s="15"/>
      <c r="BH193" s="15"/>
      <c r="BI193" s="15"/>
      <c r="BJ193" s="15"/>
      <c r="BK193" s="15"/>
      <c r="BL193" s="15"/>
      <c r="BM193" s="20"/>
      <c r="BN193" s="20"/>
      <c r="BO193" s="398">
        <v>18.155000000000001</v>
      </c>
      <c r="BP193" s="398">
        <v>17.047000000000001</v>
      </c>
      <c r="BQ193" s="398">
        <v>17.936</v>
      </c>
      <c r="BR193" s="398">
        <v>18.416</v>
      </c>
      <c r="BS193" s="398">
        <v>18.481000000000002</v>
      </c>
      <c r="BT193" s="398">
        <v>18.562999999999999</v>
      </c>
      <c r="BU193" s="398">
        <v>18.567</v>
      </c>
      <c r="BV193" s="398">
        <v>19.73</v>
      </c>
      <c r="BW193" s="398">
        <v>20.149000000000001</v>
      </c>
      <c r="BX193" s="26"/>
      <c r="BY193" s="26"/>
      <c r="BZ193" s="26"/>
      <c r="CA193" s="26"/>
      <c r="CB193" s="26"/>
      <c r="CC193" s="26"/>
      <c r="CD193" s="26"/>
      <c r="CE193" s="26"/>
      <c r="CF193" s="26"/>
      <c r="CG193" s="26"/>
      <c r="CH193" s="26"/>
      <c r="CI193" s="26"/>
      <c r="CJ193" s="26"/>
      <c r="CK193" s="26"/>
      <c r="CL193" s="26"/>
      <c r="CM193" s="26"/>
      <c r="CN193" s="26"/>
      <c r="CO193" s="26"/>
      <c r="CP193" s="26"/>
      <c r="CQ193" s="26"/>
      <c r="CR193" s="26"/>
      <c r="CS193" s="26"/>
      <c r="CT193" s="26"/>
      <c r="CU193" s="26"/>
      <c r="CV193" s="26"/>
      <c r="CW193" s="26"/>
      <c r="CX193" s="26"/>
      <c r="CY193" s="26"/>
      <c r="CZ193" s="26"/>
      <c r="DA193" s="26"/>
      <c r="DB193" s="26"/>
      <c r="DC193" s="26"/>
    </row>
    <row r="194" spans="2:107">
      <c r="B194" s="14" t="s">
        <v>1797</v>
      </c>
      <c r="C194" s="15"/>
      <c r="D194" s="15"/>
      <c r="E194" s="15"/>
      <c r="F194" s="15"/>
      <c r="G194" s="15"/>
      <c r="H194" s="15"/>
      <c r="I194" s="15"/>
      <c r="J194" s="15"/>
      <c r="K194" s="15"/>
      <c r="L194" s="15"/>
      <c r="M194" s="1027">
        <f>SUM(M191:M193)</f>
        <v>342.82899999999995</v>
      </c>
      <c r="N194" s="1027">
        <f>SUM(N191:N193)</f>
        <v>381.05</v>
      </c>
      <c r="O194" s="195">
        <f>BW194</f>
        <v>774.36500000000001</v>
      </c>
      <c r="P194" s="195">
        <f>CA194</f>
        <v>774.36500000000001</v>
      </c>
      <c r="Q194" s="195">
        <f>CE194</f>
        <v>774.36500000000001</v>
      </c>
      <c r="R194" s="195">
        <f>CI194</f>
        <v>774.36500000000001</v>
      </c>
      <c r="S194" s="195">
        <f>CM194</f>
        <v>774.36500000000001</v>
      </c>
      <c r="T194" s="195">
        <f>CQ194</f>
        <v>774.36500000000001</v>
      </c>
      <c r="U194" s="195">
        <f>CU194</f>
        <v>774.36500000000001</v>
      </c>
      <c r="V194" s="195">
        <f>CY194</f>
        <v>774.36500000000001</v>
      </c>
      <c r="W194" s="195">
        <f>DC194</f>
        <v>774.36500000000001</v>
      </c>
      <c r="X194" s="195">
        <f>W194</f>
        <v>774.36500000000001</v>
      </c>
      <c r="Y194" s="195">
        <f>X194</f>
        <v>774.36500000000001</v>
      </c>
      <c r="Z194" s="195">
        <f>Y194</f>
        <v>774.36500000000001</v>
      </c>
      <c r="AA194" s="195">
        <f t="shared" ref="AA194:AD194" si="373">Z194</f>
        <v>774.36500000000001</v>
      </c>
      <c r="AB194" s="195">
        <f t="shared" si="373"/>
        <v>774.36500000000001</v>
      </c>
      <c r="AC194" s="195">
        <f t="shared" si="373"/>
        <v>774.36500000000001</v>
      </c>
      <c r="AD194" s="195">
        <f t="shared" si="373"/>
        <v>774.36500000000001</v>
      </c>
      <c r="AE194" s="999"/>
      <c r="AF194" s="26"/>
      <c r="AG194" s="26"/>
      <c r="AH194" s="26"/>
      <c r="AI194" s="26"/>
      <c r="AJ194" s="26"/>
      <c r="AK194" s="26"/>
      <c r="AL194" s="26"/>
      <c r="AM194" s="26"/>
      <c r="AN194" s="26"/>
      <c r="AO194" s="26"/>
      <c r="AP194" s="26"/>
      <c r="AQ194" s="26"/>
      <c r="AR194" s="26"/>
      <c r="AS194" s="26"/>
      <c r="AT194" s="26"/>
      <c r="AU194" s="26"/>
      <c r="AV194" s="26"/>
      <c r="AW194" s="26"/>
      <c r="AX194" s="26"/>
      <c r="AY194" s="26"/>
      <c r="AZ194" s="15"/>
      <c r="BA194" s="15"/>
      <c r="BB194" s="15"/>
      <c r="BC194" s="15"/>
      <c r="BD194" s="15"/>
      <c r="BE194" s="15"/>
      <c r="BF194" s="15"/>
      <c r="BG194" s="15"/>
      <c r="BH194" s="15"/>
      <c r="BI194" s="15"/>
      <c r="BJ194" s="15"/>
      <c r="BK194" s="15"/>
      <c r="BL194" s="15"/>
      <c r="BM194" s="20"/>
      <c r="BN194" s="20"/>
      <c r="BO194" s="26">
        <f t="shared" ref="BO194:BW194" si="374">SUM(BO191:BO193)</f>
        <v>342.82899999999995</v>
      </c>
      <c r="BP194" s="26">
        <f t="shared" si="374"/>
        <v>335.25900000000001</v>
      </c>
      <c r="BQ194" s="26">
        <f t="shared" si="374"/>
        <v>382.11199999999997</v>
      </c>
      <c r="BR194" s="26">
        <f t="shared" si="374"/>
        <v>377.55599999999998</v>
      </c>
      <c r="BS194" s="26">
        <f t="shared" si="374"/>
        <v>381.05</v>
      </c>
      <c r="BT194" s="26">
        <f t="shared" si="374"/>
        <v>359.31899999999996</v>
      </c>
      <c r="BU194" s="26">
        <f t="shared" si="374"/>
        <v>760.08699999999999</v>
      </c>
      <c r="BV194" s="26">
        <f t="shared" si="374"/>
        <v>778.25800000000004</v>
      </c>
      <c r="BW194" s="26">
        <f t="shared" si="374"/>
        <v>774.36500000000001</v>
      </c>
      <c r="BX194" s="26">
        <f t="shared" ref="BX194:CD194" si="375">BX209</f>
        <v>774.36500000000001</v>
      </c>
      <c r="BY194" s="26">
        <f t="shared" si="375"/>
        <v>774.36500000000001</v>
      </c>
      <c r="BZ194" s="26">
        <f t="shared" si="375"/>
        <v>774.36500000000001</v>
      </c>
      <c r="CA194" s="26">
        <f t="shared" si="375"/>
        <v>774.36500000000001</v>
      </c>
      <c r="CB194" s="26">
        <f t="shared" si="375"/>
        <v>774.36500000000001</v>
      </c>
      <c r="CC194" s="26">
        <f t="shared" si="375"/>
        <v>774.36500000000001</v>
      </c>
      <c r="CD194" s="26">
        <f t="shared" si="375"/>
        <v>774.36500000000001</v>
      </c>
      <c r="CE194" s="26">
        <f t="shared" ref="CE194:CM194" si="376">CE209</f>
        <v>774.36500000000001</v>
      </c>
      <c r="CF194" s="26">
        <f t="shared" si="376"/>
        <v>774.36500000000001</v>
      </c>
      <c r="CG194" s="26">
        <f t="shared" si="376"/>
        <v>774.36500000000001</v>
      </c>
      <c r="CH194" s="26">
        <f t="shared" si="376"/>
        <v>774.36500000000001</v>
      </c>
      <c r="CI194" s="26">
        <f t="shared" si="376"/>
        <v>774.36500000000001</v>
      </c>
      <c r="CJ194" s="26">
        <f t="shared" si="376"/>
        <v>774.36500000000001</v>
      </c>
      <c r="CK194" s="26">
        <f t="shared" si="376"/>
        <v>774.36500000000001</v>
      </c>
      <c r="CL194" s="26">
        <f t="shared" si="376"/>
        <v>774.36500000000001</v>
      </c>
      <c r="CM194" s="26">
        <f t="shared" si="376"/>
        <v>774.36500000000001</v>
      </c>
      <c r="CN194" s="26">
        <f t="shared" ref="CN194:CU194" si="377">CN209</f>
        <v>774.36500000000001</v>
      </c>
      <c r="CO194" s="26">
        <f t="shared" si="377"/>
        <v>774.36500000000001</v>
      </c>
      <c r="CP194" s="26">
        <f t="shared" si="377"/>
        <v>774.36500000000001</v>
      </c>
      <c r="CQ194" s="26">
        <f t="shared" si="377"/>
        <v>774.36500000000001</v>
      </c>
      <c r="CR194" s="26">
        <f t="shared" si="377"/>
        <v>774.36500000000001</v>
      </c>
      <c r="CS194" s="26">
        <f t="shared" si="377"/>
        <v>774.36500000000001</v>
      </c>
      <c r="CT194" s="26">
        <f t="shared" si="377"/>
        <v>774.36500000000001</v>
      </c>
      <c r="CU194" s="26">
        <f t="shared" si="377"/>
        <v>774.36500000000001</v>
      </c>
      <c r="CV194" s="26">
        <f>CV209</f>
        <v>774.36500000000001</v>
      </c>
      <c r="CW194" s="26">
        <f>CW209</f>
        <v>774.36500000000001</v>
      </c>
      <c r="CX194" s="26">
        <f>CX209</f>
        <v>774.36500000000001</v>
      </c>
      <c r="CY194" s="26">
        <f>CY209</f>
        <v>774.36500000000001</v>
      </c>
      <c r="CZ194" s="26">
        <f t="shared" ref="CZ194:DC194" si="378">CZ209</f>
        <v>774.36500000000001</v>
      </c>
      <c r="DA194" s="26">
        <f t="shared" si="378"/>
        <v>774.36500000000001</v>
      </c>
      <c r="DB194" s="26">
        <f t="shared" si="378"/>
        <v>774.36500000000001</v>
      </c>
      <c r="DC194" s="26">
        <f t="shared" si="378"/>
        <v>774.36500000000001</v>
      </c>
    </row>
    <row r="195" spans="2:107" ht="4.5" customHeight="1">
      <c r="B195" s="15"/>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c r="AA195" s="15"/>
      <c r="AB195" s="15"/>
      <c r="AC195" s="15"/>
      <c r="AD195" s="15"/>
      <c r="AE195" s="999"/>
      <c r="AF195" s="15"/>
      <c r="AG195" s="15"/>
      <c r="AH195" s="15"/>
      <c r="AI195" s="15"/>
      <c r="AJ195" s="15"/>
      <c r="AK195" s="15"/>
      <c r="AL195" s="15"/>
      <c r="AM195" s="15"/>
      <c r="AN195" s="15"/>
      <c r="AO195" s="15"/>
      <c r="AP195" s="15"/>
      <c r="AQ195" s="15"/>
      <c r="AR195" s="15"/>
      <c r="AS195" s="15"/>
      <c r="AT195" s="15"/>
      <c r="AU195" s="15"/>
      <c r="AV195" s="15"/>
      <c r="AW195" s="15"/>
      <c r="AX195" s="15"/>
      <c r="AY195" s="15"/>
      <c r="AZ195" s="15"/>
      <c r="BA195" s="15"/>
      <c r="BB195" s="15"/>
      <c r="BC195" s="15"/>
      <c r="BD195" s="15"/>
      <c r="BE195" s="15"/>
      <c r="BF195" s="15"/>
      <c r="BG195" s="15"/>
      <c r="BH195" s="15"/>
      <c r="BI195" s="15"/>
      <c r="BJ195" s="15"/>
      <c r="BK195" s="15"/>
      <c r="BL195" s="15"/>
      <c r="BM195" s="15"/>
      <c r="BN195" s="15"/>
      <c r="BO195" s="15"/>
      <c r="BP195" s="15"/>
      <c r="BQ195" s="15"/>
      <c r="BR195" s="15"/>
      <c r="BS195" s="15"/>
      <c r="BT195" s="15"/>
      <c r="BU195" s="15"/>
      <c r="BV195" s="26"/>
      <c r="BW195" s="26"/>
      <c r="BX195" s="26"/>
      <c r="BY195" s="26"/>
      <c r="BZ195" s="26"/>
      <c r="CA195" s="26"/>
      <c r="CB195" s="26"/>
      <c r="CC195" s="26"/>
      <c r="CD195" s="26"/>
      <c r="CE195" s="26"/>
      <c r="CF195" s="26"/>
      <c r="CG195" s="26"/>
      <c r="CH195" s="26"/>
      <c r="CI195" s="26"/>
      <c r="CJ195" s="26"/>
      <c r="CK195" s="26"/>
      <c r="CL195" s="26"/>
      <c r="CM195" s="26"/>
      <c r="CN195" s="26"/>
      <c r="CO195" s="26"/>
      <c r="CP195" s="26"/>
      <c r="CQ195" s="26"/>
      <c r="CR195" s="26"/>
      <c r="CS195" s="26"/>
      <c r="CT195" s="26"/>
      <c r="CU195" s="26"/>
      <c r="CV195" s="26"/>
      <c r="CW195" s="26"/>
      <c r="CX195" s="26"/>
      <c r="CY195" s="26"/>
      <c r="CZ195" s="26"/>
      <c r="DA195" s="26"/>
      <c r="DB195" s="26"/>
      <c r="DC195" s="26"/>
    </row>
    <row r="196" spans="2:107">
      <c r="B196" s="857" t="s">
        <v>1798</v>
      </c>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999"/>
      <c r="AF196" s="789"/>
      <c r="AG196" s="789"/>
      <c r="AH196" s="789"/>
      <c r="AI196" s="789"/>
      <c r="AJ196" s="789"/>
      <c r="AK196" s="789"/>
      <c r="AL196" s="789"/>
      <c r="AM196" s="789"/>
      <c r="AN196" s="789"/>
      <c r="AO196" s="789"/>
      <c r="AP196" s="789"/>
      <c r="AQ196" s="789"/>
      <c r="AR196" s="789"/>
      <c r="AS196" s="789"/>
      <c r="AT196" s="789"/>
      <c r="AU196" s="789"/>
      <c r="AV196" s="789"/>
      <c r="AW196" s="789"/>
      <c r="AX196" s="789"/>
      <c r="AY196" s="789"/>
      <c r="AZ196" s="15"/>
      <c r="BA196" s="15"/>
      <c r="BB196" s="15"/>
      <c r="BC196" s="15"/>
      <c r="BD196" s="15"/>
      <c r="BE196" s="15"/>
      <c r="BF196" s="15"/>
      <c r="BG196" s="15"/>
      <c r="BH196" s="15"/>
      <c r="BI196" s="15"/>
      <c r="BJ196" s="15"/>
      <c r="BK196" s="15"/>
      <c r="BL196" s="15"/>
      <c r="BM196" s="15"/>
      <c r="BN196" s="15"/>
      <c r="BO196" s="117"/>
      <c r="BP196" s="117"/>
      <c r="BQ196" s="117"/>
      <c r="BR196" s="117"/>
      <c r="BS196" s="117"/>
      <c r="BT196" s="117"/>
      <c r="BU196" s="117"/>
      <c r="BV196" s="398"/>
      <c r="BW196" s="398"/>
      <c r="BX196" s="26"/>
      <c r="BY196" s="26"/>
      <c r="BZ196" s="26"/>
      <c r="CA196" s="26"/>
      <c r="CB196" s="26"/>
      <c r="CC196" s="26"/>
      <c r="CD196" s="26"/>
      <c r="CE196" s="26"/>
      <c r="CF196" s="26"/>
      <c r="CG196" s="26"/>
      <c r="CH196" s="26"/>
      <c r="CI196" s="26"/>
      <c r="CJ196" s="26"/>
      <c r="CK196" s="26"/>
      <c r="CL196" s="26"/>
      <c r="CM196" s="26"/>
      <c r="CN196" s="26"/>
      <c r="CO196" s="26"/>
      <c r="CP196" s="26"/>
      <c r="CQ196" s="26"/>
      <c r="CR196" s="26"/>
      <c r="CS196" s="26"/>
      <c r="CT196" s="26"/>
      <c r="CU196" s="26"/>
      <c r="CV196" s="26"/>
      <c r="CW196" s="26"/>
      <c r="CX196" s="26"/>
      <c r="CY196" s="26"/>
      <c r="CZ196" s="26"/>
      <c r="DA196" s="26"/>
      <c r="DB196" s="26"/>
      <c r="DC196" s="26"/>
    </row>
    <row r="197" spans="2:107">
      <c r="B197" s="876" t="s">
        <v>1800</v>
      </c>
      <c r="C197" s="15"/>
      <c r="D197" s="15"/>
      <c r="E197" s="15"/>
      <c r="F197" s="15"/>
      <c r="G197" s="15"/>
      <c r="H197" s="15"/>
      <c r="I197" s="15"/>
      <c r="J197" s="15"/>
      <c r="K197" s="15"/>
      <c r="L197" s="15"/>
      <c r="M197" s="26">
        <f>BO197</f>
        <v>58.604999999999997</v>
      </c>
      <c r="N197" s="999">
        <f>BS197</f>
        <v>63.957000000000001</v>
      </c>
      <c r="O197" s="15"/>
      <c r="P197" s="15"/>
      <c r="Q197" s="15"/>
      <c r="R197" s="15"/>
      <c r="S197" s="15"/>
      <c r="T197" s="15"/>
      <c r="U197" s="15"/>
      <c r="V197" s="15"/>
      <c r="W197" s="15"/>
      <c r="X197" s="15"/>
      <c r="Y197" s="15"/>
      <c r="Z197" s="15"/>
      <c r="AA197" s="15"/>
      <c r="AB197" s="15"/>
      <c r="AC197" s="15"/>
      <c r="AD197" s="15"/>
      <c r="AE197" s="15"/>
      <c r="AF197" s="789"/>
      <c r="AG197" s="789"/>
      <c r="AH197" s="789"/>
      <c r="AI197" s="789"/>
      <c r="AJ197" s="789"/>
      <c r="AK197" s="789"/>
      <c r="AL197" s="789"/>
      <c r="AM197" s="789"/>
      <c r="AN197" s="789"/>
      <c r="AO197" s="789"/>
      <c r="AP197" s="789"/>
      <c r="AQ197" s="789"/>
      <c r="AR197" s="789"/>
      <c r="AS197" s="789"/>
      <c r="AT197" s="789"/>
      <c r="AU197" s="789"/>
      <c r="AV197" s="789"/>
      <c r="AW197" s="789"/>
      <c r="AX197" s="789"/>
      <c r="AY197" s="789"/>
      <c r="AZ197" s="15"/>
      <c r="BA197" s="15"/>
      <c r="BB197" s="15"/>
      <c r="BC197" s="15"/>
      <c r="BD197" s="15"/>
      <c r="BE197" s="15"/>
      <c r="BF197" s="15"/>
      <c r="BG197" s="15"/>
      <c r="BH197" s="15"/>
      <c r="BI197" s="15"/>
      <c r="BJ197" s="15"/>
      <c r="BK197" s="15"/>
      <c r="BL197" s="15"/>
      <c r="BM197" s="15"/>
      <c r="BN197" s="15"/>
      <c r="BO197" s="398">
        <v>58.604999999999997</v>
      </c>
      <c r="BP197" s="398">
        <v>57.143999999999998</v>
      </c>
      <c r="BQ197" s="398">
        <v>64.652000000000001</v>
      </c>
      <c r="BR197" s="398">
        <v>63.488999999999997</v>
      </c>
      <c r="BS197" s="398">
        <v>63.957000000000001</v>
      </c>
      <c r="BT197" s="398">
        <v>60.43</v>
      </c>
      <c r="BU197" s="398">
        <v>154.28399999999999</v>
      </c>
      <c r="BV197" s="398">
        <v>157.39599999999999</v>
      </c>
      <c r="BW197" s="398">
        <v>156.62100000000001</v>
      </c>
      <c r="BX197" s="26"/>
      <c r="BY197" s="26"/>
      <c r="BZ197" s="26"/>
      <c r="CA197" s="26"/>
      <c r="CB197" s="26"/>
      <c r="CC197" s="26"/>
      <c r="CD197" s="26"/>
      <c r="CE197" s="26"/>
      <c r="CF197" s="26"/>
      <c r="CG197" s="26"/>
      <c r="CH197" s="26"/>
      <c r="CI197" s="26"/>
      <c r="CJ197" s="26"/>
      <c r="CK197" s="26"/>
      <c r="CL197" s="26"/>
      <c r="CM197" s="26"/>
      <c r="CN197" s="26"/>
      <c r="CO197" s="26"/>
      <c r="CP197" s="26"/>
      <c r="CQ197" s="26"/>
      <c r="CR197" s="26"/>
      <c r="CS197" s="26"/>
      <c r="CT197" s="26"/>
      <c r="CU197" s="26"/>
      <c r="CV197" s="26"/>
      <c r="CW197" s="26"/>
      <c r="CX197" s="26"/>
      <c r="CY197" s="26"/>
      <c r="CZ197" s="26"/>
      <c r="DA197" s="26"/>
      <c r="DB197" s="26"/>
      <c r="DC197" s="26"/>
    </row>
    <row r="198" spans="2:107">
      <c r="B198" s="876" t="s">
        <v>1801</v>
      </c>
      <c r="C198" s="15"/>
      <c r="D198" s="15"/>
      <c r="E198" s="15"/>
      <c r="F198" s="15"/>
      <c r="G198" s="15"/>
      <c r="H198" s="15"/>
      <c r="I198" s="15"/>
      <c r="J198" s="15"/>
      <c r="K198" s="15"/>
      <c r="L198" s="15"/>
      <c r="M198" s="26">
        <f>BO198</f>
        <v>4.3490000000000002</v>
      </c>
      <c r="N198" s="999">
        <f>BS198</f>
        <v>4.6900000000000004</v>
      </c>
      <c r="O198" s="35"/>
      <c r="P198" s="15"/>
      <c r="Q198" s="15"/>
      <c r="R198" s="15"/>
      <c r="S198" s="15"/>
      <c r="T198" s="15"/>
      <c r="U198" s="15"/>
      <c r="V198" s="15"/>
      <c r="W198" s="15"/>
      <c r="X198" s="15"/>
      <c r="Y198" s="15"/>
      <c r="Z198" s="15"/>
      <c r="AA198" s="15"/>
      <c r="AB198" s="15"/>
      <c r="AC198" s="15"/>
      <c r="AD198" s="15"/>
      <c r="AE198" s="15"/>
      <c r="AF198" s="789"/>
      <c r="AG198" s="789"/>
      <c r="AH198" s="789"/>
      <c r="AI198" s="789"/>
      <c r="AJ198" s="789"/>
      <c r="AK198" s="789"/>
      <c r="AL198" s="789"/>
      <c r="AM198" s="789"/>
      <c r="AN198" s="789"/>
      <c r="AO198" s="789"/>
      <c r="AP198" s="789"/>
      <c r="AQ198" s="789"/>
      <c r="AR198" s="789"/>
      <c r="AS198" s="789"/>
      <c r="AT198" s="789"/>
      <c r="AU198" s="789"/>
      <c r="AV198" s="789"/>
      <c r="AW198" s="789"/>
      <c r="AX198" s="789"/>
      <c r="AY198" s="789"/>
      <c r="AZ198" s="15"/>
      <c r="BA198" s="15"/>
      <c r="BB198" s="15"/>
      <c r="BC198" s="15"/>
      <c r="BD198" s="15"/>
      <c r="BE198" s="15"/>
      <c r="BF198" s="15"/>
      <c r="BG198" s="15"/>
      <c r="BH198" s="15"/>
      <c r="BI198" s="15"/>
      <c r="BJ198" s="15"/>
      <c r="BK198" s="15"/>
      <c r="BL198" s="15"/>
      <c r="BM198" s="15"/>
      <c r="BN198" s="15"/>
      <c r="BO198" s="398">
        <v>4.3490000000000002</v>
      </c>
      <c r="BP198" s="398">
        <v>4.2809999999999997</v>
      </c>
      <c r="BQ198" s="398">
        <v>4.7480000000000002</v>
      </c>
      <c r="BR198" s="398">
        <v>4.6550000000000002</v>
      </c>
      <c r="BS198" s="398">
        <v>4.6900000000000004</v>
      </c>
      <c r="BT198" s="398">
        <v>4.4690000000000003</v>
      </c>
      <c r="BU198" s="398">
        <v>17.824999999999999</v>
      </c>
      <c r="BV198" s="398">
        <v>18.163</v>
      </c>
      <c r="BW198" s="398">
        <v>18.285</v>
      </c>
      <c r="BX198" s="26"/>
      <c r="BY198" s="26"/>
      <c r="BZ198" s="26"/>
      <c r="CA198" s="26"/>
      <c r="CB198" s="26"/>
      <c r="CC198" s="26"/>
      <c r="CD198" s="26"/>
      <c r="CE198" s="26"/>
      <c r="CF198" s="26"/>
      <c r="CG198" s="26"/>
      <c r="CH198" s="26"/>
      <c r="CI198" s="26"/>
      <c r="CJ198" s="26"/>
      <c r="CK198" s="26"/>
      <c r="CL198" s="26"/>
      <c r="CM198" s="26"/>
      <c r="CN198" s="26"/>
      <c r="CO198" s="26"/>
      <c r="CP198" s="26"/>
      <c r="CQ198" s="26"/>
      <c r="CR198" s="26"/>
      <c r="CS198" s="26"/>
      <c r="CT198" s="26"/>
      <c r="CU198" s="26"/>
      <c r="CV198" s="26"/>
      <c r="CW198" s="26"/>
      <c r="CX198" s="26"/>
      <c r="CY198" s="26"/>
      <c r="CZ198" s="26"/>
      <c r="DA198" s="26"/>
      <c r="DB198" s="26"/>
      <c r="DC198" s="26"/>
    </row>
    <row r="199" spans="2:107">
      <c r="B199" s="876" t="s">
        <v>1802</v>
      </c>
      <c r="C199" s="15"/>
      <c r="D199" s="15"/>
      <c r="E199" s="15"/>
      <c r="F199" s="15"/>
      <c r="G199" s="15"/>
      <c r="H199" s="15"/>
      <c r="I199" s="15"/>
      <c r="J199" s="15"/>
      <c r="K199" s="15"/>
      <c r="L199" s="15"/>
      <c r="M199" s="26">
        <f>BO199</f>
        <v>0.755</v>
      </c>
      <c r="N199" s="999">
        <f>BS199</f>
        <v>1.63</v>
      </c>
      <c r="O199" s="35"/>
      <c r="P199" s="35"/>
      <c r="Q199" s="35"/>
      <c r="R199" s="35"/>
      <c r="S199" s="35"/>
      <c r="T199" s="35"/>
      <c r="U199" s="35"/>
      <c r="V199" s="35"/>
      <c r="W199" s="35"/>
      <c r="X199" s="35"/>
      <c r="Y199" s="35"/>
      <c r="Z199" s="35"/>
      <c r="AA199" s="35"/>
      <c r="AB199" s="35"/>
      <c r="AC199" s="35"/>
      <c r="AD199" s="35"/>
      <c r="AE199" s="15"/>
      <c r="AF199" s="789"/>
      <c r="AG199" s="789"/>
      <c r="AH199" s="789"/>
      <c r="AI199" s="789"/>
      <c r="AJ199" s="789"/>
      <c r="AK199" s="789"/>
      <c r="AL199" s="789"/>
      <c r="AM199" s="789"/>
      <c r="AN199" s="789"/>
      <c r="AO199" s="789"/>
      <c r="AP199" s="789"/>
      <c r="AQ199" s="789"/>
      <c r="AR199" s="789"/>
      <c r="AS199" s="789"/>
      <c r="AT199" s="789"/>
      <c r="AU199" s="789"/>
      <c r="AV199" s="789"/>
      <c r="AW199" s="789"/>
      <c r="AX199" s="789"/>
      <c r="AY199" s="789"/>
      <c r="AZ199" s="15"/>
      <c r="BA199" s="15"/>
      <c r="BB199" s="15"/>
      <c r="BC199" s="15"/>
      <c r="BD199" s="15"/>
      <c r="BE199" s="15"/>
      <c r="BF199" s="15"/>
      <c r="BG199" s="15"/>
      <c r="BH199" s="15"/>
      <c r="BI199" s="15"/>
      <c r="BJ199" s="15"/>
      <c r="BK199" s="15"/>
      <c r="BL199" s="15"/>
      <c r="BM199" s="15"/>
      <c r="BN199" s="15"/>
      <c r="BO199" s="398">
        <v>0.755</v>
      </c>
      <c r="BP199" s="398">
        <v>1.593</v>
      </c>
      <c r="BQ199" s="398">
        <v>1.6160000000000001</v>
      </c>
      <c r="BR199" s="398">
        <v>1.631</v>
      </c>
      <c r="BS199" s="398">
        <v>1.63</v>
      </c>
      <c r="BT199" s="398">
        <v>1.6240000000000001</v>
      </c>
      <c r="BU199" s="398">
        <v>3.4769999999999999</v>
      </c>
      <c r="BV199" s="398">
        <v>3.48</v>
      </c>
      <c r="BW199" s="398">
        <v>3.4830000000000001</v>
      </c>
      <c r="BX199" s="26"/>
      <c r="BY199" s="26"/>
      <c r="BZ199" s="26"/>
      <c r="CA199" s="26"/>
      <c r="CB199" s="26"/>
      <c r="CC199" s="26"/>
      <c r="CD199" s="26"/>
      <c r="CE199" s="26"/>
      <c r="CF199" s="26"/>
      <c r="CG199" s="26"/>
      <c r="CH199" s="26"/>
      <c r="CI199" s="26"/>
      <c r="CJ199" s="26"/>
      <c r="CK199" s="26"/>
      <c r="CL199" s="26"/>
      <c r="CM199" s="26"/>
      <c r="CN199" s="26"/>
      <c r="CO199" s="26"/>
      <c r="CP199" s="26"/>
      <c r="CQ199" s="26"/>
      <c r="CR199" s="26"/>
      <c r="CS199" s="26"/>
      <c r="CT199" s="26"/>
      <c r="CU199" s="26"/>
      <c r="CV199" s="26"/>
      <c r="CW199" s="26"/>
      <c r="CX199" s="26"/>
      <c r="CY199" s="26"/>
      <c r="CZ199" s="26"/>
      <c r="DA199" s="26"/>
      <c r="DB199" s="26"/>
      <c r="DC199" s="26"/>
    </row>
    <row r="200" spans="2:107">
      <c r="B200" s="14" t="s">
        <v>1803</v>
      </c>
      <c r="C200" s="15"/>
      <c r="D200" s="15"/>
      <c r="E200" s="15"/>
      <c r="F200" s="15"/>
      <c r="G200" s="15"/>
      <c r="H200" s="15"/>
      <c r="I200" s="15"/>
      <c r="J200" s="15"/>
      <c r="K200" s="15"/>
      <c r="L200" s="15"/>
      <c r="M200" s="1027">
        <f>SUM(M197:M199)</f>
        <v>63.708999999999996</v>
      </c>
      <c r="N200" s="1027">
        <f>SUM(N197:N199)</f>
        <v>70.277000000000001</v>
      </c>
      <c r="O200" s="195">
        <f>BW200</f>
        <v>178.38900000000001</v>
      </c>
      <c r="P200" s="195">
        <f>CA200</f>
        <v>178.38900000000001</v>
      </c>
      <c r="Q200" s="195">
        <f>CE200</f>
        <v>178.38900000000001</v>
      </c>
      <c r="R200" s="195">
        <f>CI200</f>
        <v>178.38900000000001</v>
      </c>
      <c r="S200" s="195">
        <f>CM200</f>
        <v>178.38900000000001</v>
      </c>
      <c r="T200" s="195">
        <f>CQ200</f>
        <v>178.38900000000001</v>
      </c>
      <c r="U200" s="195">
        <f>CU200</f>
        <v>178.38900000000001</v>
      </c>
      <c r="V200" s="195">
        <f>CY200</f>
        <v>178.38900000000001</v>
      </c>
      <c r="W200" s="195">
        <f>DC200</f>
        <v>178.38900000000001</v>
      </c>
      <c r="X200" s="54">
        <f>W200</f>
        <v>178.38900000000001</v>
      </c>
      <c r="Y200" s="54">
        <f>X200</f>
        <v>178.38900000000001</v>
      </c>
      <c r="Z200" s="54">
        <f>Y200</f>
        <v>178.38900000000001</v>
      </c>
      <c r="AA200" s="54">
        <f t="shared" ref="AA200:AD200" si="379">Z200</f>
        <v>178.38900000000001</v>
      </c>
      <c r="AB200" s="54">
        <f t="shared" si="379"/>
        <v>178.38900000000001</v>
      </c>
      <c r="AC200" s="54">
        <f t="shared" si="379"/>
        <v>178.38900000000001</v>
      </c>
      <c r="AD200" s="54">
        <f t="shared" si="379"/>
        <v>178.38900000000001</v>
      </c>
      <c r="AE200" s="15"/>
      <c r="AF200" s="789"/>
      <c r="AG200" s="789"/>
      <c r="AH200" s="789"/>
      <c r="AI200" s="789"/>
      <c r="AJ200" s="789"/>
      <c r="AK200" s="789"/>
      <c r="AL200" s="789"/>
      <c r="AM200" s="789"/>
      <c r="AN200" s="789"/>
      <c r="AO200" s="789"/>
      <c r="AP200" s="789"/>
      <c r="AQ200" s="789"/>
      <c r="AR200" s="789"/>
      <c r="AS200" s="789"/>
      <c r="AT200" s="789"/>
      <c r="AU200" s="789"/>
      <c r="AV200" s="789"/>
      <c r="AW200" s="789"/>
      <c r="AX200" s="789"/>
      <c r="AY200" s="789"/>
      <c r="AZ200" s="15"/>
      <c r="BA200" s="15"/>
      <c r="BB200" s="15"/>
      <c r="BC200" s="15"/>
      <c r="BD200" s="15"/>
      <c r="BE200" s="15"/>
      <c r="BF200" s="15"/>
      <c r="BG200" s="15"/>
      <c r="BH200" s="15"/>
      <c r="BI200" s="15"/>
      <c r="BJ200" s="15"/>
      <c r="BK200" s="15"/>
      <c r="BL200" s="15"/>
      <c r="BM200" s="15"/>
      <c r="BN200" s="15"/>
      <c r="BO200" s="26">
        <f t="shared" ref="BO200:BW200" si="380">SUM(BO197:BO199)</f>
        <v>63.708999999999996</v>
      </c>
      <c r="BP200" s="26">
        <f t="shared" si="380"/>
        <v>63.018000000000001</v>
      </c>
      <c r="BQ200" s="26">
        <f t="shared" si="380"/>
        <v>71.016000000000005</v>
      </c>
      <c r="BR200" s="26">
        <f t="shared" si="380"/>
        <v>69.774999999999991</v>
      </c>
      <c r="BS200" s="26">
        <f t="shared" si="380"/>
        <v>70.277000000000001</v>
      </c>
      <c r="BT200" s="26">
        <f t="shared" si="380"/>
        <v>66.522999999999996</v>
      </c>
      <c r="BU200" s="26">
        <f t="shared" si="380"/>
        <v>175.58599999999998</v>
      </c>
      <c r="BV200" s="26">
        <f t="shared" si="380"/>
        <v>179.03899999999999</v>
      </c>
      <c r="BW200" s="26">
        <f t="shared" si="380"/>
        <v>178.38900000000001</v>
      </c>
      <c r="BX200" s="26">
        <f t="shared" ref="BX200:CD200" si="381">BW200</f>
        <v>178.38900000000001</v>
      </c>
      <c r="BY200" s="26">
        <f t="shared" si="381"/>
        <v>178.38900000000001</v>
      </c>
      <c r="BZ200" s="26">
        <f t="shared" si="381"/>
        <v>178.38900000000001</v>
      </c>
      <c r="CA200" s="26">
        <f t="shared" si="381"/>
        <v>178.38900000000001</v>
      </c>
      <c r="CB200" s="26">
        <f t="shared" si="381"/>
        <v>178.38900000000001</v>
      </c>
      <c r="CC200" s="26">
        <f t="shared" si="381"/>
        <v>178.38900000000001</v>
      </c>
      <c r="CD200" s="26">
        <f t="shared" si="381"/>
        <v>178.38900000000001</v>
      </c>
      <c r="CE200" s="26">
        <f t="shared" ref="CE200:CY200" si="382">CD200</f>
        <v>178.38900000000001</v>
      </c>
      <c r="CF200" s="26">
        <f t="shared" si="382"/>
        <v>178.38900000000001</v>
      </c>
      <c r="CG200" s="26">
        <f t="shared" si="382"/>
        <v>178.38900000000001</v>
      </c>
      <c r="CH200" s="26">
        <f t="shared" si="382"/>
        <v>178.38900000000001</v>
      </c>
      <c r="CI200" s="26">
        <f t="shared" si="382"/>
        <v>178.38900000000001</v>
      </c>
      <c r="CJ200" s="26">
        <f t="shared" si="382"/>
        <v>178.38900000000001</v>
      </c>
      <c r="CK200" s="26">
        <f t="shared" si="382"/>
        <v>178.38900000000001</v>
      </c>
      <c r="CL200" s="26">
        <f t="shared" si="382"/>
        <v>178.38900000000001</v>
      </c>
      <c r="CM200" s="26">
        <f t="shared" si="382"/>
        <v>178.38900000000001</v>
      </c>
      <c r="CN200" s="26">
        <f t="shared" si="382"/>
        <v>178.38900000000001</v>
      </c>
      <c r="CO200" s="26">
        <f t="shared" si="382"/>
        <v>178.38900000000001</v>
      </c>
      <c r="CP200" s="26">
        <f t="shared" si="382"/>
        <v>178.38900000000001</v>
      </c>
      <c r="CQ200" s="26">
        <f t="shared" si="382"/>
        <v>178.38900000000001</v>
      </c>
      <c r="CR200" s="26">
        <f t="shared" si="382"/>
        <v>178.38900000000001</v>
      </c>
      <c r="CS200" s="26">
        <f t="shared" si="382"/>
        <v>178.38900000000001</v>
      </c>
      <c r="CT200" s="26">
        <f t="shared" si="382"/>
        <v>178.38900000000001</v>
      </c>
      <c r="CU200" s="26">
        <f t="shared" si="382"/>
        <v>178.38900000000001</v>
      </c>
      <c r="CV200" s="26">
        <f t="shared" si="382"/>
        <v>178.38900000000001</v>
      </c>
      <c r="CW200" s="26">
        <f t="shared" si="382"/>
        <v>178.38900000000001</v>
      </c>
      <c r="CX200" s="26">
        <f t="shared" si="382"/>
        <v>178.38900000000001</v>
      </c>
      <c r="CY200" s="26">
        <f t="shared" si="382"/>
        <v>178.38900000000001</v>
      </c>
      <c r="CZ200" s="26">
        <f t="shared" ref="CZ200:DC200" si="383">CY200</f>
        <v>178.38900000000001</v>
      </c>
      <c r="DA200" s="26">
        <f t="shared" si="383"/>
        <v>178.38900000000001</v>
      </c>
      <c r="DB200" s="26">
        <f t="shared" si="383"/>
        <v>178.38900000000001</v>
      </c>
      <c r="DC200" s="26">
        <f t="shared" si="383"/>
        <v>178.38900000000001</v>
      </c>
    </row>
    <row r="201" spans="2:107">
      <c r="B201" s="15" t="s">
        <v>1804</v>
      </c>
      <c r="C201" s="15"/>
      <c r="D201" s="15"/>
      <c r="E201" s="15"/>
      <c r="F201" s="15"/>
      <c r="G201" s="15"/>
      <c r="H201" s="15"/>
      <c r="I201" s="15"/>
      <c r="J201" s="15"/>
      <c r="K201" s="15"/>
      <c r="L201" s="15"/>
      <c r="M201" s="26">
        <f>BO201</f>
        <v>-12.791</v>
      </c>
      <c r="N201" s="54">
        <f>BS201</f>
        <v>-19.262</v>
      </c>
      <c r="O201" s="54">
        <f>BW201</f>
        <v>-27.443999999999999</v>
      </c>
      <c r="P201" s="54">
        <f>CA201</f>
        <v>0</v>
      </c>
      <c r="Q201" s="54">
        <f>CE201</f>
        <v>0</v>
      </c>
      <c r="R201" s="54">
        <f>CI201</f>
        <v>0</v>
      </c>
      <c r="S201" s="54">
        <f>CM201</f>
        <v>0</v>
      </c>
      <c r="T201" s="54">
        <f>CQ201</f>
        <v>0</v>
      </c>
      <c r="U201" s="54">
        <f>CU201</f>
        <v>0</v>
      </c>
      <c r="V201" s="54">
        <f>CY201</f>
        <v>0</v>
      </c>
      <c r="W201" s="54">
        <f>DC201</f>
        <v>0</v>
      </c>
      <c r="X201" s="26">
        <f>-X200</f>
        <v>-178.38900000000001</v>
      </c>
      <c r="Y201" s="26">
        <f>-Y200</f>
        <v>-178.38900000000001</v>
      </c>
      <c r="Z201" s="26">
        <f>-Z200</f>
        <v>-178.38900000000001</v>
      </c>
      <c r="AA201" s="26">
        <f t="shared" ref="AA201:AD201" si="384">-AA200</f>
        <v>-178.38900000000001</v>
      </c>
      <c r="AB201" s="26">
        <f t="shared" si="384"/>
        <v>-178.38900000000001</v>
      </c>
      <c r="AC201" s="26">
        <f t="shared" si="384"/>
        <v>-178.38900000000001</v>
      </c>
      <c r="AD201" s="26">
        <f t="shared" si="384"/>
        <v>-178.38900000000001</v>
      </c>
      <c r="AE201" s="15"/>
      <c r="AF201" s="789"/>
      <c r="AG201" s="789"/>
      <c r="AH201" s="789"/>
      <c r="AI201" s="789"/>
      <c r="AJ201" s="789"/>
      <c r="AK201" s="789"/>
      <c r="AL201" s="789"/>
      <c r="AM201" s="789"/>
      <c r="AN201" s="789"/>
      <c r="AO201" s="789"/>
      <c r="AP201" s="789"/>
      <c r="AQ201" s="789"/>
      <c r="AR201" s="789"/>
      <c r="AS201" s="789"/>
      <c r="AT201" s="789"/>
      <c r="AU201" s="789"/>
      <c r="AV201" s="789"/>
      <c r="AW201" s="789"/>
      <c r="AX201" s="789"/>
      <c r="AY201" s="789"/>
      <c r="AZ201" s="15"/>
      <c r="BA201" s="15"/>
      <c r="BB201" s="15"/>
      <c r="BC201" s="15"/>
      <c r="BD201" s="15"/>
      <c r="BE201" s="15"/>
      <c r="BF201" s="15"/>
      <c r="BG201" s="15"/>
      <c r="BH201" s="15"/>
      <c r="BI201" s="15"/>
      <c r="BJ201" s="15"/>
      <c r="BK201" s="15"/>
      <c r="BL201" s="15"/>
      <c r="BM201" s="15"/>
      <c r="BN201" s="15"/>
      <c r="BO201" s="398">
        <v>-12.791</v>
      </c>
      <c r="BP201" s="398">
        <v>-13.64</v>
      </c>
      <c r="BQ201" s="398">
        <v>-16.396999999999998</v>
      </c>
      <c r="BR201" s="398">
        <v>-17.713000000000001</v>
      </c>
      <c r="BS201" s="398">
        <v>-19.262</v>
      </c>
      <c r="BT201" s="398">
        <v>-19.861999999999998</v>
      </c>
      <c r="BU201" s="398">
        <v>-18.245999999999999</v>
      </c>
      <c r="BV201" s="398">
        <v>-23.437999999999999</v>
      </c>
      <c r="BW201" s="398">
        <v>-27.443999999999999</v>
      </c>
      <c r="BX201" s="26">
        <f t="shared" ref="BX201:CD201" si="385">-BX215</f>
        <v>0</v>
      </c>
      <c r="BY201" s="26">
        <f t="shared" si="385"/>
        <v>0</v>
      </c>
      <c r="BZ201" s="26">
        <f t="shared" si="385"/>
        <v>0</v>
      </c>
      <c r="CA201" s="26">
        <f t="shared" si="385"/>
        <v>0</v>
      </c>
      <c r="CB201" s="26">
        <f t="shared" si="385"/>
        <v>0</v>
      </c>
      <c r="CC201" s="26">
        <f t="shared" si="385"/>
        <v>0</v>
      </c>
      <c r="CD201" s="26">
        <f t="shared" si="385"/>
        <v>0</v>
      </c>
      <c r="CE201" s="26">
        <f t="shared" ref="CE201:CM201" si="386">-CE215</f>
        <v>0</v>
      </c>
      <c r="CF201" s="26">
        <f t="shared" si="386"/>
        <v>0</v>
      </c>
      <c r="CG201" s="26">
        <f t="shared" si="386"/>
        <v>0</v>
      </c>
      <c r="CH201" s="26">
        <f t="shared" si="386"/>
        <v>0</v>
      </c>
      <c r="CI201" s="26">
        <f t="shared" si="386"/>
        <v>0</v>
      </c>
      <c r="CJ201" s="26">
        <f t="shared" si="386"/>
        <v>0</v>
      </c>
      <c r="CK201" s="26">
        <f t="shared" si="386"/>
        <v>0</v>
      </c>
      <c r="CL201" s="26">
        <f t="shared" si="386"/>
        <v>0</v>
      </c>
      <c r="CM201" s="26">
        <f t="shared" si="386"/>
        <v>0</v>
      </c>
      <c r="CN201" s="26">
        <f t="shared" ref="CN201:CU201" si="387">-CN215</f>
        <v>0</v>
      </c>
      <c r="CO201" s="26">
        <f t="shared" si="387"/>
        <v>0</v>
      </c>
      <c r="CP201" s="26">
        <f t="shared" si="387"/>
        <v>0</v>
      </c>
      <c r="CQ201" s="26">
        <f t="shared" si="387"/>
        <v>0</v>
      </c>
      <c r="CR201" s="26">
        <f t="shared" si="387"/>
        <v>0</v>
      </c>
      <c r="CS201" s="26">
        <f t="shared" si="387"/>
        <v>0</v>
      </c>
      <c r="CT201" s="26">
        <f t="shared" si="387"/>
        <v>0</v>
      </c>
      <c r="CU201" s="26">
        <f t="shared" si="387"/>
        <v>0</v>
      </c>
      <c r="CV201" s="26">
        <f>-CV215</f>
        <v>0</v>
      </c>
      <c r="CW201" s="26">
        <f>-CW215</f>
        <v>0</v>
      </c>
      <c r="CX201" s="26">
        <f>-CX215</f>
        <v>0</v>
      </c>
      <c r="CY201" s="26">
        <f>-CY215</f>
        <v>0</v>
      </c>
      <c r="CZ201" s="26">
        <f t="shared" ref="CZ201:DC201" si="388">-CZ215</f>
        <v>0</v>
      </c>
      <c r="DA201" s="26">
        <f t="shared" si="388"/>
        <v>0</v>
      </c>
      <c r="DB201" s="26">
        <f t="shared" si="388"/>
        <v>0</v>
      </c>
      <c r="DC201" s="26">
        <f t="shared" si="388"/>
        <v>0</v>
      </c>
    </row>
    <row r="202" spans="2:107">
      <c r="B202" s="14" t="s">
        <v>1805</v>
      </c>
      <c r="C202" s="15"/>
      <c r="D202" s="15"/>
      <c r="E202" s="15"/>
      <c r="F202" s="15"/>
      <c r="G202" s="15"/>
      <c r="H202" s="15"/>
      <c r="I202" s="15"/>
      <c r="J202" s="15"/>
      <c r="K202" s="15"/>
      <c r="L202" s="15"/>
      <c r="M202" s="1027">
        <f t="shared" ref="M202:S202" si="389">M201+M200</f>
        <v>50.917999999999992</v>
      </c>
      <c r="N202" s="1027">
        <f t="shared" si="389"/>
        <v>51.015000000000001</v>
      </c>
      <c r="O202" s="1027">
        <f t="shared" si="389"/>
        <v>150.94500000000002</v>
      </c>
      <c r="P202" s="1027">
        <f t="shared" si="389"/>
        <v>178.38900000000001</v>
      </c>
      <c r="Q202" s="1027">
        <f t="shared" si="389"/>
        <v>178.38900000000001</v>
      </c>
      <c r="R202" s="1027">
        <f t="shared" si="389"/>
        <v>178.38900000000001</v>
      </c>
      <c r="S202" s="1027">
        <f t="shared" si="389"/>
        <v>178.38900000000001</v>
      </c>
      <c r="T202" s="1027">
        <f>T201+T200</f>
        <v>178.38900000000001</v>
      </c>
      <c r="U202" s="1027">
        <f>U201+U200</f>
        <v>178.38900000000001</v>
      </c>
      <c r="V202" s="1027">
        <f>V201+V200</f>
        <v>178.38900000000001</v>
      </c>
      <c r="W202" s="1027">
        <f>W201+W200</f>
        <v>178.38900000000001</v>
      </c>
      <c r="X202" s="1028">
        <v>0</v>
      </c>
      <c r="Y202" s="1028">
        <v>0</v>
      </c>
      <c r="Z202" s="1028">
        <v>0</v>
      </c>
      <c r="AA202" s="1028">
        <v>0</v>
      </c>
      <c r="AB202" s="1028">
        <v>0</v>
      </c>
      <c r="AC202" s="1028">
        <v>0</v>
      </c>
      <c r="AD202" s="1028">
        <v>0</v>
      </c>
      <c r="AE202" s="15"/>
      <c r="AF202" s="789"/>
      <c r="AG202" s="789"/>
      <c r="AH202" s="789"/>
      <c r="AI202" s="789"/>
      <c r="AJ202" s="789"/>
      <c r="AK202" s="789"/>
      <c r="AL202" s="789"/>
      <c r="AM202" s="789"/>
      <c r="AN202" s="789"/>
      <c r="AO202" s="789"/>
      <c r="AP202" s="789"/>
      <c r="AQ202" s="789"/>
      <c r="AR202" s="789"/>
      <c r="AS202" s="789"/>
      <c r="AT202" s="789"/>
      <c r="AU202" s="789"/>
      <c r="AV202" s="789"/>
      <c r="AW202" s="789"/>
      <c r="AX202" s="789"/>
      <c r="AY202" s="789"/>
      <c r="AZ202" s="15"/>
      <c r="BA202" s="15"/>
      <c r="BB202" s="15"/>
      <c r="BC202" s="15"/>
      <c r="BD202" s="15"/>
      <c r="BE202" s="15"/>
      <c r="BF202" s="15"/>
      <c r="BG202" s="15"/>
      <c r="BH202" s="15"/>
      <c r="BI202" s="15"/>
      <c r="BJ202" s="15"/>
      <c r="BK202" s="15"/>
      <c r="BL202" s="15"/>
      <c r="BM202" s="15"/>
      <c r="BN202" s="15"/>
      <c r="BO202" s="26">
        <f t="shared" ref="BO202:CJ202" si="390">BO201+BO200</f>
        <v>50.917999999999992</v>
      </c>
      <c r="BP202" s="26">
        <f t="shared" si="390"/>
        <v>49.378</v>
      </c>
      <c r="BQ202" s="26">
        <f t="shared" si="390"/>
        <v>54.619000000000007</v>
      </c>
      <c r="BR202" s="26">
        <f t="shared" si="390"/>
        <v>52.061999999999991</v>
      </c>
      <c r="BS202" s="26">
        <f t="shared" si="390"/>
        <v>51.015000000000001</v>
      </c>
      <c r="BT202" s="26">
        <f t="shared" si="390"/>
        <v>46.661000000000001</v>
      </c>
      <c r="BU202" s="26">
        <f t="shared" si="390"/>
        <v>157.33999999999997</v>
      </c>
      <c r="BV202" s="26">
        <f t="shared" si="390"/>
        <v>155.601</v>
      </c>
      <c r="BW202" s="26">
        <f t="shared" si="390"/>
        <v>150.94500000000002</v>
      </c>
      <c r="BX202" s="26">
        <f t="shared" si="390"/>
        <v>178.38900000000001</v>
      </c>
      <c r="BY202" s="26">
        <f t="shared" si="390"/>
        <v>178.38900000000001</v>
      </c>
      <c r="BZ202" s="26">
        <f t="shared" si="390"/>
        <v>178.38900000000001</v>
      </c>
      <c r="CA202" s="26">
        <f t="shared" si="390"/>
        <v>178.38900000000001</v>
      </c>
      <c r="CB202" s="26">
        <f t="shared" si="390"/>
        <v>178.38900000000001</v>
      </c>
      <c r="CC202" s="26">
        <f t="shared" si="390"/>
        <v>178.38900000000001</v>
      </c>
      <c r="CD202" s="26">
        <f t="shared" si="390"/>
        <v>178.38900000000001</v>
      </c>
      <c r="CE202" s="26">
        <f t="shared" si="390"/>
        <v>178.38900000000001</v>
      </c>
      <c r="CF202" s="26">
        <f t="shared" si="390"/>
        <v>178.38900000000001</v>
      </c>
      <c r="CG202" s="26">
        <f t="shared" si="390"/>
        <v>178.38900000000001</v>
      </c>
      <c r="CH202" s="26">
        <f t="shared" si="390"/>
        <v>178.38900000000001</v>
      </c>
      <c r="CI202" s="26">
        <f t="shared" si="390"/>
        <v>178.38900000000001</v>
      </c>
      <c r="CJ202" s="26">
        <f t="shared" si="390"/>
        <v>178.38900000000001</v>
      </c>
      <c r="CK202" s="26">
        <f t="shared" ref="CK202:CU202" si="391">CK201+CK200</f>
        <v>178.38900000000001</v>
      </c>
      <c r="CL202" s="26">
        <f t="shared" si="391"/>
        <v>178.38900000000001</v>
      </c>
      <c r="CM202" s="26">
        <f t="shared" si="391"/>
        <v>178.38900000000001</v>
      </c>
      <c r="CN202" s="26">
        <f t="shared" si="391"/>
        <v>178.38900000000001</v>
      </c>
      <c r="CO202" s="26">
        <f t="shared" si="391"/>
        <v>178.38900000000001</v>
      </c>
      <c r="CP202" s="26">
        <f t="shared" si="391"/>
        <v>178.38900000000001</v>
      </c>
      <c r="CQ202" s="26">
        <f t="shared" si="391"/>
        <v>178.38900000000001</v>
      </c>
      <c r="CR202" s="26">
        <f t="shared" si="391"/>
        <v>178.38900000000001</v>
      </c>
      <c r="CS202" s="26">
        <f t="shared" si="391"/>
        <v>178.38900000000001</v>
      </c>
      <c r="CT202" s="26">
        <f t="shared" si="391"/>
        <v>178.38900000000001</v>
      </c>
      <c r="CU202" s="26">
        <f t="shared" si="391"/>
        <v>178.38900000000001</v>
      </c>
      <c r="CV202" s="26">
        <f>CV201+CV200</f>
        <v>178.38900000000001</v>
      </c>
      <c r="CW202" s="26">
        <f>CW201+CW200</f>
        <v>178.38900000000001</v>
      </c>
      <c r="CX202" s="26">
        <f>CX201+CX200</f>
        <v>178.38900000000001</v>
      </c>
      <c r="CY202" s="26">
        <f>CY201+CY200</f>
        <v>178.38900000000001</v>
      </c>
      <c r="CZ202" s="26">
        <f t="shared" ref="CZ202:DC202" si="392">CZ201+CZ200</f>
        <v>178.38900000000001</v>
      </c>
      <c r="DA202" s="26">
        <f t="shared" si="392"/>
        <v>178.38900000000001</v>
      </c>
      <c r="DB202" s="26">
        <f t="shared" si="392"/>
        <v>178.38900000000001</v>
      </c>
      <c r="DC202" s="26">
        <f t="shared" si="392"/>
        <v>178.38900000000001</v>
      </c>
    </row>
    <row r="203" spans="2:107">
      <c r="B203" s="18" t="s">
        <v>1806</v>
      </c>
      <c r="C203" s="15"/>
      <c r="D203" s="15"/>
      <c r="E203" s="15"/>
      <c r="F203" s="15"/>
      <c r="G203" s="15"/>
      <c r="H203" s="15"/>
      <c r="I203" s="15"/>
      <c r="J203" s="15"/>
      <c r="K203" s="15"/>
      <c r="L203" s="15"/>
      <c r="M203" s="820"/>
      <c r="N203" s="820">
        <f t="shared" ref="N203:Q203" si="393">N202/(N219)</f>
        <v>9.1836183618361851</v>
      </c>
      <c r="O203" s="820">
        <f t="shared" si="393"/>
        <v>11.072843309859158</v>
      </c>
      <c r="P203" s="820">
        <f t="shared" si="393"/>
        <v>10.692860996223702</v>
      </c>
      <c r="Q203" s="820">
        <f t="shared" si="393"/>
        <v>10.692860996223702</v>
      </c>
      <c r="R203" s="820" t="s">
        <v>981</v>
      </c>
      <c r="S203" s="820" t="s">
        <v>981</v>
      </c>
      <c r="T203" s="820" t="s">
        <v>981</v>
      </c>
      <c r="U203" s="820" t="s">
        <v>981</v>
      </c>
      <c r="V203" s="820" t="s">
        <v>981</v>
      </c>
      <c r="W203" s="820" t="s">
        <v>981</v>
      </c>
      <c r="X203" s="35"/>
      <c r="Y203" s="35"/>
      <c r="Z203" s="35"/>
      <c r="AA203" s="35"/>
      <c r="AB203" s="35"/>
      <c r="AC203" s="35"/>
      <c r="AD203" s="35"/>
      <c r="AE203" s="15"/>
      <c r="AF203" s="789"/>
      <c r="AG203" s="789"/>
      <c r="AH203" s="789"/>
      <c r="AI203" s="789"/>
      <c r="AJ203" s="789"/>
      <c r="AK203" s="789"/>
      <c r="AL203" s="789"/>
      <c r="AM203" s="789"/>
      <c r="AN203" s="789"/>
      <c r="AO203" s="789"/>
      <c r="AP203" s="789"/>
      <c r="AQ203" s="789"/>
      <c r="AR203" s="789"/>
      <c r="AS203" s="789"/>
      <c r="AT203" s="789"/>
      <c r="AU203" s="789"/>
      <c r="AV203" s="789"/>
      <c r="AW203" s="789"/>
      <c r="AX203" s="789"/>
      <c r="AY203" s="789"/>
      <c r="AZ203" s="15"/>
      <c r="BA203" s="15"/>
      <c r="BB203" s="15"/>
      <c r="BC203" s="15"/>
      <c r="BD203" s="15"/>
      <c r="BE203" s="15"/>
      <c r="BF203" s="15"/>
      <c r="BG203" s="15"/>
      <c r="BH203" s="15"/>
      <c r="BI203" s="15"/>
      <c r="BJ203" s="15"/>
      <c r="BK203" s="15"/>
      <c r="BL203" s="15"/>
      <c r="BM203" s="15"/>
      <c r="BN203" s="15"/>
      <c r="BO203" s="820">
        <f t="shared" ref="BO203:CJ203" si="394">BO202/(BO219*4)</f>
        <v>9.2645560407569114</v>
      </c>
      <c r="BP203" s="820">
        <f t="shared" si="394"/>
        <v>9.6743730407523518</v>
      </c>
      <c r="BQ203" s="820">
        <f t="shared" si="394"/>
        <v>9.9669708029197093</v>
      </c>
      <c r="BR203" s="820">
        <f t="shared" si="394"/>
        <v>8.9515130674002759</v>
      </c>
      <c r="BS203" s="820">
        <f t="shared" si="394"/>
        <v>8.7654639175257749</v>
      </c>
      <c r="BT203" s="820">
        <f t="shared" si="394"/>
        <v>8.4043587896253609</v>
      </c>
      <c r="BU203" s="820">
        <f t="shared" si="394"/>
        <v>10.827140104596751</v>
      </c>
      <c r="BV203" s="820">
        <f t="shared" si="394"/>
        <v>8.928218957998622</v>
      </c>
      <c r="BW203" s="820">
        <f t="shared" si="394"/>
        <v>8.8707686882933743</v>
      </c>
      <c r="BX203" s="820">
        <f t="shared" si="394"/>
        <v>10.692860996223702</v>
      </c>
      <c r="BY203" s="820">
        <f t="shared" si="394"/>
        <v>10.692860996223702</v>
      </c>
      <c r="BZ203" s="820">
        <f t="shared" si="394"/>
        <v>10.692860996223702</v>
      </c>
      <c r="CA203" s="820">
        <f t="shared" si="394"/>
        <v>10.692860996223702</v>
      </c>
      <c r="CB203" s="820">
        <f t="shared" si="394"/>
        <v>10.692860996223702</v>
      </c>
      <c r="CC203" s="820">
        <f t="shared" si="394"/>
        <v>10.692860996223702</v>
      </c>
      <c r="CD203" s="820">
        <f t="shared" si="394"/>
        <v>10.692860996223702</v>
      </c>
      <c r="CE203" s="820">
        <f t="shared" si="394"/>
        <v>10.692860996223702</v>
      </c>
      <c r="CF203" s="820">
        <f t="shared" si="394"/>
        <v>10.692860996223702</v>
      </c>
      <c r="CG203" s="820">
        <f t="shared" si="394"/>
        <v>10.692860996223702</v>
      </c>
      <c r="CH203" s="820">
        <f t="shared" si="394"/>
        <v>10.692860996223702</v>
      </c>
      <c r="CI203" s="820">
        <f t="shared" si="394"/>
        <v>10.692860996223702</v>
      </c>
      <c r="CJ203" s="820">
        <f t="shared" si="394"/>
        <v>10.692860996223702</v>
      </c>
      <c r="CK203" s="820">
        <f t="shared" ref="CK203:CP203" si="395">CK202/(CK219*4)</f>
        <v>10.692860996223702</v>
      </c>
      <c r="CL203" s="820">
        <f t="shared" si="395"/>
        <v>10.692860996223702</v>
      </c>
      <c r="CM203" s="820">
        <f t="shared" si="395"/>
        <v>10.692860996223702</v>
      </c>
      <c r="CN203" s="820">
        <f t="shared" si="395"/>
        <v>10.692860996223702</v>
      </c>
      <c r="CO203" s="820">
        <f t="shared" si="395"/>
        <v>10.692860996223702</v>
      </c>
      <c r="CP203" s="820">
        <f t="shared" si="395"/>
        <v>10.692860996223702</v>
      </c>
      <c r="CQ203" s="820">
        <f t="shared" ref="CQ203:CV203" si="396">CQ202/(CQ219*4)</f>
        <v>10.692860996223702</v>
      </c>
      <c r="CR203" s="820">
        <f t="shared" si="396"/>
        <v>10.692860996223702</v>
      </c>
      <c r="CS203" s="820">
        <f t="shared" si="396"/>
        <v>10.692860996223702</v>
      </c>
      <c r="CT203" s="820">
        <f t="shared" si="396"/>
        <v>10.692860996223702</v>
      </c>
      <c r="CU203" s="820">
        <f t="shared" si="396"/>
        <v>10.692860996223702</v>
      </c>
      <c r="CV203" s="820">
        <f t="shared" si="396"/>
        <v>10.692860996223702</v>
      </c>
      <c r="CW203" s="820">
        <f t="shared" ref="CW203:CX203" si="397">CW202/(CW219*4)</f>
        <v>10.692860996223702</v>
      </c>
      <c r="CX203" s="820">
        <f t="shared" si="397"/>
        <v>10.692860996223702</v>
      </c>
      <c r="CY203" s="820">
        <f t="shared" ref="CY203" si="398">CY202/(CY219*4)</f>
        <v>10.692860996223702</v>
      </c>
      <c r="CZ203" s="820"/>
      <c r="DA203" s="820"/>
      <c r="DB203" s="820"/>
      <c r="DC203" s="820"/>
    </row>
    <row r="204" spans="2:107" ht="3" customHeight="1">
      <c r="B204" s="14"/>
      <c r="C204" s="15"/>
      <c r="D204" s="15"/>
      <c r="E204" s="15"/>
      <c r="F204" s="15"/>
      <c r="G204" s="15"/>
      <c r="H204" s="15"/>
      <c r="I204" s="15"/>
      <c r="J204" s="15"/>
      <c r="K204" s="15"/>
      <c r="L204" s="15"/>
      <c r="M204" s="15"/>
      <c r="N204" s="15"/>
      <c r="O204" s="35"/>
      <c r="P204" s="35"/>
      <c r="Q204" s="35"/>
      <c r="R204" s="35"/>
      <c r="S204" s="35"/>
      <c r="T204" s="35"/>
      <c r="U204" s="35"/>
      <c r="V204" s="35"/>
      <c r="W204" s="35"/>
      <c r="X204" s="35"/>
      <c r="Y204" s="35"/>
      <c r="Z204" s="35"/>
      <c r="AA204" s="35"/>
      <c r="AB204" s="35"/>
      <c r="AC204" s="35"/>
      <c r="AD204" s="35"/>
      <c r="AE204" s="15"/>
      <c r="AF204" s="789"/>
      <c r="AG204" s="789"/>
      <c r="AH204" s="789"/>
      <c r="AI204" s="789"/>
      <c r="AJ204" s="789"/>
      <c r="AK204" s="789"/>
      <c r="AL204" s="789"/>
      <c r="AM204" s="789"/>
      <c r="AN204" s="789"/>
      <c r="AO204" s="789"/>
      <c r="AP204" s="789"/>
      <c r="AQ204" s="789"/>
      <c r="AR204" s="789"/>
      <c r="AS204" s="789"/>
      <c r="AT204" s="789"/>
      <c r="AU204" s="789"/>
      <c r="AV204" s="789"/>
      <c r="AW204" s="789"/>
      <c r="AX204" s="789"/>
      <c r="AY204" s="789"/>
      <c r="AZ204" s="15"/>
      <c r="BA204" s="15"/>
      <c r="BB204" s="15"/>
      <c r="BC204" s="15"/>
      <c r="BD204" s="15"/>
      <c r="BE204" s="15"/>
      <c r="BF204" s="15"/>
      <c r="BG204" s="15"/>
      <c r="BH204" s="15"/>
      <c r="BI204" s="15"/>
      <c r="BJ204" s="15"/>
      <c r="BK204" s="15"/>
      <c r="BL204" s="15"/>
      <c r="BM204" s="15"/>
      <c r="BN204" s="15"/>
      <c r="BO204" s="15"/>
      <c r="BP204" s="31"/>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row>
    <row r="205" spans="2:107">
      <c r="B205" s="857" t="s">
        <v>1807</v>
      </c>
      <c r="C205" s="15"/>
      <c r="D205" s="15"/>
      <c r="E205" s="15"/>
      <c r="F205" s="15"/>
      <c r="G205" s="15"/>
      <c r="H205" s="15"/>
      <c r="I205" s="15"/>
      <c r="J205" s="15"/>
      <c r="K205" s="15"/>
      <c r="L205" s="15"/>
      <c r="M205" s="15"/>
      <c r="N205" s="15"/>
      <c r="O205" s="35"/>
      <c r="P205" s="35"/>
      <c r="Q205" s="35"/>
      <c r="R205" s="35"/>
      <c r="S205" s="35"/>
      <c r="T205" s="35"/>
      <c r="U205" s="35"/>
      <c r="V205" s="35"/>
      <c r="W205" s="35"/>
      <c r="X205" s="35"/>
      <c r="Y205" s="35"/>
      <c r="Z205" s="35"/>
      <c r="AA205" s="35"/>
      <c r="AB205" s="35"/>
      <c r="AC205" s="35"/>
      <c r="AD205" s="35"/>
      <c r="AE205" s="15"/>
      <c r="AF205" s="789"/>
      <c r="AG205" s="789"/>
      <c r="AH205" s="789"/>
      <c r="AI205" s="789"/>
      <c r="AJ205" s="789"/>
      <c r="AK205" s="789"/>
      <c r="AL205" s="789"/>
      <c r="AM205" s="789"/>
      <c r="AN205" s="789"/>
      <c r="AO205" s="789"/>
      <c r="AP205" s="789"/>
      <c r="AQ205" s="789"/>
      <c r="AR205" s="789"/>
      <c r="AS205" s="789"/>
      <c r="AT205" s="789"/>
      <c r="AU205" s="789"/>
      <c r="AV205" s="789"/>
      <c r="AW205" s="789"/>
      <c r="AX205" s="789"/>
      <c r="AY205" s="789"/>
      <c r="AZ205" s="15"/>
      <c r="BA205" s="15"/>
      <c r="BB205" s="15"/>
      <c r="BC205" s="15"/>
      <c r="BD205" s="15"/>
      <c r="BE205" s="15"/>
      <c r="BF205" s="15"/>
      <c r="BG205" s="15"/>
      <c r="BH205" s="15"/>
      <c r="BI205" s="15"/>
      <c r="BJ205" s="15"/>
      <c r="BK205" s="15"/>
      <c r="BL205" s="15"/>
      <c r="BM205" s="15"/>
      <c r="BN205" s="15"/>
      <c r="BO205" s="15"/>
      <c r="BP205" s="31"/>
      <c r="BQ205" s="15"/>
      <c r="BR205" s="15"/>
      <c r="BS205" s="15"/>
      <c r="BT205" s="15"/>
      <c r="BU205" s="15"/>
      <c r="BV205" s="15"/>
      <c r="BW205" s="15"/>
      <c r="BX205" s="15"/>
      <c r="BY205" s="15"/>
      <c r="BZ205" s="15"/>
      <c r="CA205" s="15"/>
      <c r="CB205" s="15"/>
      <c r="CC205" s="15"/>
      <c r="CD205" s="15"/>
      <c r="CE205" s="15"/>
      <c r="CF205" s="15"/>
      <c r="CG205" s="15"/>
      <c r="CH205" s="15"/>
      <c r="CI205" s="15"/>
      <c r="CJ205" s="15"/>
      <c r="CK205" s="15"/>
      <c r="CL205" s="15"/>
      <c r="CM205" s="15"/>
      <c r="CN205" s="15"/>
      <c r="CO205" s="15"/>
      <c r="CP205" s="15"/>
      <c r="CQ205" s="15"/>
      <c r="CR205" s="15"/>
      <c r="CS205" s="15"/>
      <c r="CT205" s="15"/>
      <c r="CU205" s="15"/>
      <c r="CV205" s="15"/>
      <c r="CW205" s="15"/>
      <c r="CX205" s="15"/>
      <c r="CY205" s="15"/>
      <c r="CZ205" s="15"/>
      <c r="DA205" s="15"/>
      <c r="DB205" s="15"/>
      <c r="DC205" s="15"/>
    </row>
    <row r="206" spans="2:107">
      <c r="B206" s="876" t="s">
        <v>1808</v>
      </c>
      <c r="C206" s="15"/>
      <c r="D206" s="15"/>
      <c r="E206" s="15"/>
      <c r="F206" s="15"/>
      <c r="G206" s="15"/>
      <c r="H206" s="15"/>
      <c r="I206" s="15"/>
      <c r="J206" s="15"/>
      <c r="K206" s="15"/>
      <c r="L206" s="15"/>
      <c r="M206" s="15"/>
      <c r="N206" s="26">
        <f t="shared" ref="N206:W206" si="399">M209</f>
        <v>342.82899999999995</v>
      </c>
      <c r="O206" s="26">
        <f t="shared" si="399"/>
        <v>381.05</v>
      </c>
      <c r="P206" s="26">
        <f t="shared" si="399"/>
        <v>774.36500000000001</v>
      </c>
      <c r="Q206" s="26">
        <f t="shared" si="399"/>
        <v>774.36500000000001</v>
      </c>
      <c r="R206" s="26">
        <f t="shared" si="399"/>
        <v>774.36500000000001</v>
      </c>
      <c r="S206" s="26">
        <f t="shared" si="399"/>
        <v>774.36500000000001</v>
      </c>
      <c r="T206" s="26">
        <f t="shared" si="399"/>
        <v>774.36500000000001</v>
      </c>
      <c r="U206" s="26">
        <f t="shared" si="399"/>
        <v>774.36500000000001</v>
      </c>
      <c r="V206" s="26">
        <f t="shared" si="399"/>
        <v>774.36500000000001</v>
      </c>
      <c r="W206" s="26">
        <f t="shared" si="399"/>
        <v>774.36500000000001</v>
      </c>
      <c r="X206" s="26">
        <f>W209</f>
        <v>774.36500000000001</v>
      </c>
      <c r="Y206" s="26">
        <f>X209</f>
        <v>774.36500000000001</v>
      </c>
      <c r="Z206" s="26">
        <f>Y209</f>
        <v>774.36500000000001</v>
      </c>
      <c r="AA206" s="26">
        <f t="shared" ref="AA206:AD206" si="400">Z209</f>
        <v>774.36500000000001</v>
      </c>
      <c r="AB206" s="26">
        <f t="shared" si="400"/>
        <v>774.36500000000001</v>
      </c>
      <c r="AC206" s="26">
        <f t="shared" si="400"/>
        <v>774.36500000000001</v>
      </c>
      <c r="AD206" s="26">
        <f t="shared" si="400"/>
        <v>774.36500000000001</v>
      </c>
      <c r="AE206" s="15"/>
      <c r="AF206" s="789"/>
      <c r="AG206" s="789"/>
      <c r="AH206" s="789"/>
      <c r="AI206" s="789"/>
      <c r="AJ206" s="789"/>
      <c r="AK206" s="789"/>
      <c r="AL206" s="789"/>
      <c r="AM206" s="789"/>
      <c r="AN206" s="789"/>
      <c r="AO206" s="789"/>
      <c r="AP206" s="789"/>
      <c r="AQ206" s="789"/>
      <c r="AR206" s="789"/>
      <c r="AS206" s="789"/>
      <c r="AT206" s="789"/>
      <c r="AU206" s="789"/>
      <c r="AV206" s="789"/>
      <c r="AW206" s="789"/>
      <c r="AX206" s="789"/>
      <c r="AY206" s="789"/>
      <c r="AZ206" s="15"/>
      <c r="BA206" s="15"/>
      <c r="BB206" s="15"/>
      <c r="BC206" s="15"/>
      <c r="BD206" s="15"/>
      <c r="BE206" s="15"/>
      <c r="BF206" s="15"/>
      <c r="BG206" s="15"/>
      <c r="BH206" s="15"/>
      <c r="BI206" s="15"/>
      <c r="BJ206" s="15"/>
      <c r="BK206" s="15"/>
      <c r="BL206" s="15"/>
      <c r="BM206" s="15"/>
      <c r="BN206" s="15"/>
      <c r="BO206" s="15"/>
      <c r="BP206" s="26">
        <f>BO209</f>
        <v>342.82899999999995</v>
      </c>
      <c r="BQ206" s="26">
        <f t="shared" ref="BQ206:BV206" si="401">BP209</f>
        <v>335.25900000000001</v>
      </c>
      <c r="BR206" s="26">
        <f t="shared" si="401"/>
        <v>382.11199999999997</v>
      </c>
      <c r="BS206" s="26">
        <f t="shared" si="401"/>
        <v>377.55599999999998</v>
      </c>
      <c r="BT206" s="26">
        <f t="shared" si="401"/>
        <v>381.05</v>
      </c>
      <c r="BU206" s="26">
        <f t="shared" si="401"/>
        <v>359.31899999999996</v>
      </c>
      <c r="BV206" s="26">
        <f t="shared" si="401"/>
        <v>760.08699999999999</v>
      </c>
      <c r="BW206" s="26">
        <f t="shared" ref="BW206:CY206" si="402">BV209</f>
        <v>778.25800000000004</v>
      </c>
      <c r="BX206" s="26">
        <f t="shared" si="402"/>
        <v>774.36500000000001</v>
      </c>
      <c r="BY206" s="26">
        <f t="shared" si="402"/>
        <v>774.36500000000001</v>
      </c>
      <c r="BZ206" s="26">
        <f t="shared" si="402"/>
        <v>774.36500000000001</v>
      </c>
      <c r="CA206" s="26">
        <f t="shared" si="402"/>
        <v>774.36500000000001</v>
      </c>
      <c r="CB206" s="26">
        <f t="shared" si="402"/>
        <v>774.36500000000001</v>
      </c>
      <c r="CC206" s="26">
        <f t="shared" si="402"/>
        <v>774.36500000000001</v>
      </c>
      <c r="CD206" s="26">
        <f t="shared" si="402"/>
        <v>774.36500000000001</v>
      </c>
      <c r="CE206" s="26">
        <f t="shared" si="402"/>
        <v>774.36500000000001</v>
      </c>
      <c r="CF206" s="26">
        <f t="shared" si="402"/>
        <v>774.36500000000001</v>
      </c>
      <c r="CG206" s="26">
        <f t="shared" si="402"/>
        <v>774.36500000000001</v>
      </c>
      <c r="CH206" s="26">
        <f t="shared" si="402"/>
        <v>774.36500000000001</v>
      </c>
      <c r="CI206" s="26">
        <f t="shared" si="402"/>
        <v>774.36500000000001</v>
      </c>
      <c r="CJ206" s="26">
        <f t="shared" si="402"/>
        <v>774.36500000000001</v>
      </c>
      <c r="CK206" s="26">
        <f t="shared" si="402"/>
        <v>774.36500000000001</v>
      </c>
      <c r="CL206" s="26">
        <f t="shared" si="402"/>
        <v>774.36500000000001</v>
      </c>
      <c r="CM206" s="26">
        <f t="shared" si="402"/>
        <v>774.36500000000001</v>
      </c>
      <c r="CN206" s="26">
        <f t="shared" si="402"/>
        <v>774.36500000000001</v>
      </c>
      <c r="CO206" s="26">
        <f t="shared" si="402"/>
        <v>774.36500000000001</v>
      </c>
      <c r="CP206" s="26">
        <f t="shared" si="402"/>
        <v>774.36500000000001</v>
      </c>
      <c r="CQ206" s="26">
        <f t="shared" si="402"/>
        <v>774.36500000000001</v>
      </c>
      <c r="CR206" s="26">
        <f t="shared" si="402"/>
        <v>774.36500000000001</v>
      </c>
      <c r="CS206" s="26">
        <f t="shared" si="402"/>
        <v>774.36500000000001</v>
      </c>
      <c r="CT206" s="26">
        <f t="shared" si="402"/>
        <v>774.36500000000001</v>
      </c>
      <c r="CU206" s="26">
        <f t="shared" si="402"/>
        <v>774.36500000000001</v>
      </c>
      <c r="CV206" s="26">
        <f t="shared" si="402"/>
        <v>774.36500000000001</v>
      </c>
      <c r="CW206" s="26">
        <f t="shared" si="402"/>
        <v>774.36500000000001</v>
      </c>
      <c r="CX206" s="26">
        <f t="shared" si="402"/>
        <v>774.36500000000001</v>
      </c>
      <c r="CY206" s="26">
        <f t="shared" si="402"/>
        <v>774.36500000000001</v>
      </c>
      <c r="CZ206" s="26">
        <f t="shared" ref="CZ206:DC206" si="403">CY209</f>
        <v>774.36500000000001</v>
      </c>
      <c r="DA206" s="26">
        <f t="shared" si="403"/>
        <v>774.36500000000001</v>
      </c>
      <c r="DB206" s="26">
        <f t="shared" si="403"/>
        <v>774.36500000000001</v>
      </c>
      <c r="DC206" s="26">
        <f t="shared" si="403"/>
        <v>774.36500000000001</v>
      </c>
    </row>
    <row r="207" spans="2:107">
      <c r="B207" s="1029" t="s">
        <v>1792</v>
      </c>
      <c r="C207" s="15"/>
      <c r="D207" s="15"/>
      <c r="E207" s="15"/>
      <c r="F207" s="15"/>
      <c r="G207" s="15"/>
      <c r="H207" s="15"/>
      <c r="I207" s="15"/>
      <c r="J207" s="15"/>
      <c r="K207" s="15"/>
      <c r="L207" s="15"/>
      <c r="M207" s="15"/>
      <c r="N207" s="26">
        <f>SUM(BP207:BS207)</f>
        <v>0</v>
      </c>
      <c r="O207" s="26">
        <f>SUM(BT207:BW207)</f>
        <v>407.38299999999998</v>
      </c>
      <c r="P207" s="26">
        <f>SUM(BX207:CA207)</f>
        <v>0</v>
      </c>
      <c r="Q207" s="26">
        <f>SUM(CB207:CE207)</f>
        <v>0</v>
      </c>
      <c r="R207" s="26">
        <f>SUM(CF207:CI207)</f>
        <v>0</v>
      </c>
      <c r="S207" s="26">
        <f>SUM(CJ207:CM207)</f>
        <v>0</v>
      </c>
      <c r="T207" s="26">
        <f>SUM(CN207:CQ207)</f>
        <v>0</v>
      </c>
      <c r="U207" s="26">
        <f>SUM(CR207:CU207)</f>
        <v>0</v>
      </c>
      <c r="V207" s="26">
        <f>SUM(CV207:CY207)</f>
        <v>0</v>
      </c>
      <c r="W207" s="26">
        <f>SUM(CZ207:DC207)</f>
        <v>0</v>
      </c>
      <c r="X207" s="398">
        <v>0</v>
      </c>
      <c r="Y207" s="398">
        <v>0</v>
      </c>
      <c r="Z207" s="398">
        <v>0</v>
      </c>
      <c r="AA207" s="398">
        <v>0</v>
      </c>
      <c r="AB207" s="398">
        <v>0</v>
      </c>
      <c r="AC207" s="398">
        <v>0</v>
      </c>
      <c r="AD207" s="398">
        <v>0</v>
      </c>
      <c r="AE207" s="15"/>
      <c r="AF207" s="789"/>
      <c r="AG207" s="789"/>
      <c r="AH207" s="789"/>
      <c r="AI207" s="789"/>
      <c r="AJ207" s="789"/>
      <c r="AK207" s="789"/>
      <c r="AL207" s="789"/>
      <c r="AM207" s="789"/>
      <c r="AN207" s="789"/>
      <c r="AO207" s="789"/>
      <c r="AP207" s="789"/>
      <c r="AQ207" s="789"/>
      <c r="AR207" s="789"/>
      <c r="AS207" s="789"/>
      <c r="AT207" s="789"/>
      <c r="AU207" s="789"/>
      <c r="AV207" s="789"/>
      <c r="AW207" s="789"/>
      <c r="AX207" s="789"/>
      <c r="AY207" s="789"/>
      <c r="AZ207" s="15"/>
      <c r="BA207" s="15"/>
      <c r="BB207" s="15"/>
      <c r="BC207" s="15"/>
      <c r="BD207" s="15"/>
      <c r="BE207" s="15"/>
      <c r="BF207" s="15"/>
      <c r="BG207" s="15"/>
      <c r="BH207" s="15"/>
      <c r="BI207" s="15"/>
      <c r="BJ207" s="15"/>
      <c r="BK207" s="15"/>
      <c r="BL207" s="15"/>
      <c r="BM207" s="15"/>
      <c r="BN207" s="15"/>
      <c r="BO207" s="15"/>
      <c r="BP207" s="398">
        <v>0</v>
      </c>
      <c r="BQ207" s="398">
        <v>0</v>
      </c>
      <c r="BR207" s="398">
        <v>0</v>
      </c>
      <c r="BS207" s="398">
        <v>0</v>
      </c>
      <c r="BT207" s="398">
        <v>0</v>
      </c>
      <c r="BU207" s="398">
        <v>407.38299999999998</v>
      </c>
      <c r="BV207" s="398">
        <v>0</v>
      </c>
      <c r="BW207" s="398">
        <v>0</v>
      </c>
      <c r="BX207" s="398">
        <v>0</v>
      </c>
      <c r="BY207" s="398">
        <v>0</v>
      </c>
      <c r="BZ207" s="398">
        <v>0</v>
      </c>
      <c r="CA207" s="398">
        <v>0</v>
      </c>
      <c r="CB207" s="398">
        <v>0</v>
      </c>
      <c r="CC207" s="398">
        <v>0</v>
      </c>
      <c r="CD207" s="398">
        <v>0</v>
      </c>
      <c r="CE207" s="398">
        <v>0</v>
      </c>
      <c r="CF207" s="398">
        <v>0</v>
      </c>
      <c r="CG207" s="398">
        <v>0</v>
      </c>
      <c r="CH207" s="398">
        <v>0</v>
      </c>
      <c r="CI207" s="398">
        <v>0</v>
      </c>
      <c r="CJ207" s="398">
        <v>0</v>
      </c>
      <c r="CK207" s="398">
        <v>0</v>
      </c>
      <c r="CL207" s="398">
        <v>0</v>
      </c>
      <c r="CM207" s="398">
        <v>0</v>
      </c>
      <c r="CN207" s="398">
        <v>0</v>
      </c>
      <c r="CO207" s="398">
        <v>0</v>
      </c>
      <c r="CP207" s="398">
        <v>0</v>
      </c>
      <c r="CQ207" s="398">
        <v>0</v>
      </c>
      <c r="CR207" s="398">
        <v>0</v>
      </c>
      <c r="CS207" s="398">
        <v>0</v>
      </c>
      <c r="CT207" s="398">
        <v>0</v>
      </c>
      <c r="CU207" s="398">
        <v>0</v>
      </c>
      <c r="CV207" s="398">
        <v>0</v>
      </c>
      <c r="CW207" s="398">
        <v>0</v>
      </c>
      <c r="CX207" s="398">
        <v>0</v>
      </c>
      <c r="CY207" s="398">
        <v>0</v>
      </c>
      <c r="CZ207" s="398">
        <v>0</v>
      </c>
      <c r="DA207" s="398">
        <v>0</v>
      </c>
      <c r="DB207" s="398">
        <v>0</v>
      </c>
      <c r="DC207" s="398">
        <v>0</v>
      </c>
    </row>
    <row r="208" spans="2:107">
      <c r="B208" s="1030" t="s">
        <v>1548</v>
      </c>
      <c r="C208" s="15"/>
      <c r="D208" s="15"/>
      <c r="E208" s="15"/>
      <c r="F208" s="15"/>
      <c r="G208" s="15"/>
      <c r="H208" s="15"/>
      <c r="I208" s="15"/>
      <c r="J208" s="15"/>
      <c r="K208" s="15"/>
      <c r="L208" s="15"/>
      <c r="M208" s="14"/>
      <c r="N208" s="195">
        <f>SUM(BP208:BS208)</f>
        <v>38.22100000000006</v>
      </c>
      <c r="O208" s="195">
        <f>SUM(BT208:BW208)</f>
        <v>-14.06800000000004</v>
      </c>
      <c r="P208" s="195">
        <f>SUM(BX208:CA208)</f>
        <v>0</v>
      </c>
      <c r="Q208" s="195">
        <f>SUM(CB208:CE208)</f>
        <v>0</v>
      </c>
      <c r="R208" s="195">
        <f>SUM(CF208:CI208)</f>
        <v>0</v>
      </c>
      <c r="S208" s="195">
        <f>SUM(CJ208:CM208)</f>
        <v>0</v>
      </c>
      <c r="T208" s="195">
        <f>SUM(CN208:CQ208)</f>
        <v>0</v>
      </c>
      <c r="U208" s="195">
        <f>SUM(CR208:CU208)</f>
        <v>0</v>
      </c>
      <c r="V208" s="195">
        <f>SUM(CV208:CY208)</f>
        <v>0</v>
      </c>
      <c r="W208" s="195">
        <f>SUM(CZ208:DC208)</f>
        <v>0</v>
      </c>
      <c r="X208" s="274">
        <v>0</v>
      </c>
      <c r="Y208" s="274">
        <v>0</v>
      </c>
      <c r="Z208" s="274">
        <v>0</v>
      </c>
      <c r="AA208" s="274">
        <v>0</v>
      </c>
      <c r="AB208" s="274">
        <v>0</v>
      </c>
      <c r="AC208" s="274">
        <v>0</v>
      </c>
      <c r="AD208" s="274">
        <v>0</v>
      </c>
      <c r="AE208" s="15"/>
      <c r="AF208" s="789"/>
      <c r="AG208" s="789"/>
      <c r="AH208" s="789"/>
      <c r="AI208" s="789"/>
      <c r="AJ208" s="789"/>
      <c r="AK208" s="789"/>
      <c r="AL208" s="789"/>
      <c r="AM208" s="789"/>
      <c r="AN208" s="789"/>
      <c r="AO208" s="789"/>
      <c r="AP208" s="789"/>
      <c r="AQ208" s="789"/>
      <c r="AR208" s="789"/>
      <c r="AS208" s="789"/>
      <c r="AT208" s="789"/>
      <c r="AU208" s="789"/>
      <c r="AV208" s="789"/>
      <c r="AW208" s="789"/>
      <c r="AX208" s="789"/>
      <c r="AY208" s="789"/>
      <c r="AZ208" s="15"/>
      <c r="BA208" s="15"/>
      <c r="BB208" s="15"/>
      <c r="BC208" s="15"/>
      <c r="BD208" s="15"/>
      <c r="BE208" s="15"/>
      <c r="BF208" s="15"/>
      <c r="BG208" s="15"/>
      <c r="BH208" s="15"/>
      <c r="BI208" s="15"/>
      <c r="BJ208" s="15"/>
      <c r="BK208" s="15"/>
      <c r="BL208" s="15"/>
      <c r="BM208" s="15"/>
      <c r="BN208" s="15"/>
      <c r="BO208" s="15"/>
      <c r="BP208" s="195">
        <f t="shared" ref="BP208:BW208" si="404">BP209-(BP206+BP207)</f>
        <v>-7.5699999999999363</v>
      </c>
      <c r="BQ208" s="195">
        <f t="shared" si="404"/>
        <v>46.852999999999952</v>
      </c>
      <c r="BR208" s="195">
        <f t="shared" si="404"/>
        <v>-4.5559999999999832</v>
      </c>
      <c r="BS208" s="195">
        <f t="shared" si="404"/>
        <v>3.4940000000000282</v>
      </c>
      <c r="BT208" s="195">
        <f t="shared" si="404"/>
        <v>-21.731000000000051</v>
      </c>
      <c r="BU208" s="195">
        <f t="shared" si="404"/>
        <v>-6.6150000000000091</v>
      </c>
      <c r="BV208" s="195">
        <f t="shared" si="404"/>
        <v>18.171000000000049</v>
      </c>
      <c r="BW208" s="195">
        <f t="shared" si="404"/>
        <v>-3.8930000000000291</v>
      </c>
      <c r="BX208" s="274">
        <v>0</v>
      </c>
      <c r="BY208" s="274">
        <v>0</v>
      </c>
      <c r="BZ208" s="274">
        <v>0</v>
      </c>
      <c r="CA208" s="274">
        <v>0</v>
      </c>
      <c r="CB208" s="274">
        <v>0</v>
      </c>
      <c r="CC208" s="274">
        <v>0</v>
      </c>
      <c r="CD208" s="274">
        <v>0</v>
      </c>
      <c r="CE208" s="274">
        <v>0</v>
      </c>
      <c r="CF208" s="274">
        <v>0</v>
      </c>
      <c r="CG208" s="274">
        <v>0</v>
      </c>
      <c r="CH208" s="274">
        <v>0</v>
      </c>
      <c r="CI208" s="274">
        <v>0</v>
      </c>
      <c r="CJ208" s="274">
        <v>0</v>
      </c>
      <c r="CK208" s="274">
        <v>0</v>
      </c>
      <c r="CL208" s="274">
        <v>0</v>
      </c>
      <c r="CM208" s="274">
        <v>0</v>
      </c>
      <c r="CN208" s="274">
        <v>0</v>
      </c>
      <c r="CO208" s="274">
        <v>0</v>
      </c>
      <c r="CP208" s="274">
        <v>0</v>
      </c>
      <c r="CQ208" s="274">
        <v>0</v>
      </c>
      <c r="CR208" s="274">
        <v>0</v>
      </c>
      <c r="CS208" s="274">
        <v>0</v>
      </c>
      <c r="CT208" s="274">
        <v>0</v>
      </c>
      <c r="CU208" s="274">
        <v>0</v>
      </c>
      <c r="CV208" s="274">
        <v>0</v>
      </c>
      <c r="CW208" s="274">
        <v>0</v>
      </c>
      <c r="CX208" s="274">
        <v>0</v>
      </c>
      <c r="CY208" s="274">
        <v>0</v>
      </c>
      <c r="CZ208" s="274">
        <v>0</v>
      </c>
      <c r="DA208" s="274">
        <v>0</v>
      </c>
      <c r="DB208" s="274">
        <v>0</v>
      </c>
      <c r="DC208" s="274">
        <v>0</v>
      </c>
    </row>
    <row r="209" spans="2:107">
      <c r="B209" s="876" t="s">
        <v>1809</v>
      </c>
      <c r="C209" s="15"/>
      <c r="D209" s="15"/>
      <c r="E209" s="15"/>
      <c r="F209" s="15"/>
      <c r="G209" s="15"/>
      <c r="H209" s="15"/>
      <c r="I209" s="15"/>
      <c r="J209" s="15"/>
      <c r="K209" s="15"/>
      <c r="L209" s="15"/>
      <c r="M209" s="26">
        <f>BO209</f>
        <v>342.82899999999995</v>
      </c>
      <c r="N209" s="26">
        <f t="shared" ref="N209:S209" si="405">SUM(N206:N208)</f>
        <v>381.05</v>
      </c>
      <c r="O209" s="26">
        <f t="shared" si="405"/>
        <v>774.36500000000001</v>
      </c>
      <c r="P209" s="26">
        <f t="shared" si="405"/>
        <v>774.36500000000001</v>
      </c>
      <c r="Q209" s="26">
        <f t="shared" si="405"/>
        <v>774.36500000000001</v>
      </c>
      <c r="R209" s="26">
        <f t="shared" si="405"/>
        <v>774.36500000000001</v>
      </c>
      <c r="S209" s="26">
        <f t="shared" si="405"/>
        <v>774.36500000000001</v>
      </c>
      <c r="T209" s="26">
        <f t="shared" ref="T209:Z209" si="406">SUM(T206:T208)</f>
        <v>774.36500000000001</v>
      </c>
      <c r="U209" s="26">
        <f t="shared" si="406"/>
        <v>774.36500000000001</v>
      </c>
      <c r="V209" s="26">
        <f>SUM(V206:V208)</f>
        <v>774.36500000000001</v>
      </c>
      <c r="W209" s="26">
        <f>SUM(W206:W208)</f>
        <v>774.36500000000001</v>
      </c>
      <c r="X209" s="26">
        <f t="shared" si="406"/>
        <v>774.36500000000001</v>
      </c>
      <c r="Y209" s="26">
        <f t="shared" si="406"/>
        <v>774.36500000000001</v>
      </c>
      <c r="Z209" s="26">
        <f t="shared" si="406"/>
        <v>774.36500000000001</v>
      </c>
      <c r="AA209" s="26">
        <f t="shared" ref="AA209:AD209" si="407">SUM(AA206:AA208)</f>
        <v>774.36500000000001</v>
      </c>
      <c r="AB209" s="26">
        <f t="shared" si="407"/>
        <v>774.36500000000001</v>
      </c>
      <c r="AC209" s="26">
        <f t="shared" si="407"/>
        <v>774.36500000000001</v>
      </c>
      <c r="AD209" s="26">
        <f t="shared" si="407"/>
        <v>774.36500000000001</v>
      </c>
      <c r="AE209" s="15"/>
      <c r="AF209" s="789"/>
      <c r="AG209" s="789"/>
      <c r="AH209" s="789"/>
      <c r="AI209" s="789"/>
      <c r="AJ209" s="789"/>
      <c r="AK209" s="789"/>
      <c r="AL209" s="789"/>
      <c r="AM209" s="789"/>
      <c r="AN209" s="789"/>
      <c r="AO209" s="789"/>
      <c r="AP209" s="789"/>
      <c r="AQ209" s="789"/>
      <c r="AR209" s="789"/>
      <c r="AS209" s="789"/>
      <c r="AT209" s="789"/>
      <c r="AU209" s="789"/>
      <c r="AV209" s="789"/>
      <c r="AW209" s="789"/>
      <c r="AX209" s="789"/>
      <c r="AY209" s="789"/>
      <c r="AZ209" s="15"/>
      <c r="BA209" s="15"/>
      <c r="BB209" s="15"/>
      <c r="BC209" s="15"/>
      <c r="BD209" s="15"/>
      <c r="BE209" s="15"/>
      <c r="BF209" s="15"/>
      <c r="BG209" s="15"/>
      <c r="BH209" s="15"/>
      <c r="BI209" s="15"/>
      <c r="BJ209" s="15"/>
      <c r="BK209" s="15"/>
      <c r="BL209" s="15"/>
      <c r="BM209" s="15"/>
      <c r="BN209" s="15"/>
      <c r="BO209" s="26">
        <f>BO194</f>
        <v>342.82899999999995</v>
      </c>
      <c r="BP209" s="26">
        <f>BP194</f>
        <v>335.25900000000001</v>
      </c>
      <c r="BQ209" s="26">
        <f t="shared" ref="BQ209:BW209" si="408">BQ194</f>
        <v>382.11199999999997</v>
      </c>
      <c r="BR209" s="26">
        <f t="shared" si="408"/>
        <v>377.55599999999998</v>
      </c>
      <c r="BS209" s="26">
        <f t="shared" si="408"/>
        <v>381.05</v>
      </c>
      <c r="BT209" s="26">
        <f t="shared" si="408"/>
        <v>359.31899999999996</v>
      </c>
      <c r="BU209" s="26">
        <f t="shared" si="408"/>
        <v>760.08699999999999</v>
      </c>
      <c r="BV209" s="26">
        <f t="shared" si="408"/>
        <v>778.25800000000004</v>
      </c>
      <c r="BW209" s="26">
        <f t="shared" si="408"/>
        <v>774.36500000000001</v>
      </c>
      <c r="BX209" s="26">
        <f t="shared" ref="BX209:CJ209" si="409">SUM(BX206:BX208)</f>
        <v>774.36500000000001</v>
      </c>
      <c r="BY209" s="26">
        <f t="shared" si="409"/>
        <v>774.36500000000001</v>
      </c>
      <c r="BZ209" s="26">
        <f t="shared" si="409"/>
        <v>774.36500000000001</v>
      </c>
      <c r="CA209" s="26">
        <f t="shared" si="409"/>
        <v>774.36500000000001</v>
      </c>
      <c r="CB209" s="26">
        <f t="shared" si="409"/>
        <v>774.36500000000001</v>
      </c>
      <c r="CC209" s="26">
        <f t="shared" si="409"/>
        <v>774.36500000000001</v>
      </c>
      <c r="CD209" s="26">
        <f t="shared" si="409"/>
        <v>774.36500000000001</v>
      </c>
      <c r="CE209" s="26">
        <f t="shared" si="409"/>
        <v>774.36500000000001</v>
      </c>
      <c r="CF209" s="26">
        <f t="shared" si="409"/>
        <v>774.36500000000001</v>
      </c>
      <c r="CG209" s="26">
        <f t="shared" si="409"/>
        <v>774.36500000000001</v>
      </c>
      <c r="CH209" s="26">
        <f t="shared" si="409"/>
        <v>774.36500000000001</v>
      </c>
      <c r="CI209" s="26">
        <f t="shared" si="409"/>
        <v>774.36500000000001</v>
      </c>
      <c r="CJ209" s="26">
        <f t="shared" si="409"/>
        <v>774.36500000000001</v>
      </c>
      <c r="CK209" s="26">
        <f t="shared" ref="CK209:CU209" si="410">SUM(CK206:CK208)</f>
        <v>774.36500000000001</v>
      </c>
      <c r="CL209" s="26">
        <f t="shared" si="410"/>
        <v>774.36500000000001</v>
      </c>
      <c r="CM209" s="26">
        <f t="shared" si="410"/>
        <v>774.36500000000001</v>
      </c>
      <c r="CN209" s="26">
        <f t="shared" si="410"/>
        <v>774.36500000000001</v>
      </c>
      <c r="CO209" s="26">
        <f t="shared" si="410"/>
        <v>774.36500000000001</v>
      </c>
      <c r="CP209" s="26">
        <f t="shared" si="410"/>
        <v>774.36500000000001</v>
      </c>
      <c r="CQ209" s="26">
        <f t="shared" si="410"/>
        <v>774.36500000000001</v>
      </c>
      <c r="CR209" s="26">
        <f t="shared" si="410"/>
        <v>774.36500000000001</v>
      </c>
      <c r="CS209" s="26">
        <f t="shared" si="410"/>
        <v>774.36500000000001</v>
      </c>
      <c r="CT209" s="26">
        <f t="shared" si="410"/>
        <v>774.36500000000001</v>
      </c>
      <c r="CU209" s="26">
        <f t="shared" si="410"/>
        <v>774.36500000000001</v>
      </c>
      <c r="CV209" s="26">
        <f>SUM(CV206:CV208)</f>
        <v>774.36500000000001</v>
      </c>
      <c r="CW209" s="26">
        <f>SUM(CW206:CW208)</f>
        <v>774.36500000000001</v>
      </c>
      <c r="CX209" s="26">
        <f>SUM(CX206:CX208)</f>
        <v>774.36500000000001</v>
      </c>
      <c r="CY209" s="26">
        <f>SUM(CY206:CY208)</f>
        <v>774.36500000000001</v>
      </c>
      <c r="CZ209" s="26">
        <f t="shared" ref="CZ209:DC209" si="411">SUM(CZ206:CZ208)</f>
        <v>774.36500000000001</v>
      </c>
      <c r="DA209" s="26">
        <f t="shared" si="411"/>
        <v>774.36500000000001</v>
      </c>
      <c r="DB209" s="26">
        <f t="shared" si="411"/>
        <v>774.36500000000001</v>
      </c>
      <c r="DC209" s="26">
        <f t="shared" si="411"/>
        <v>774.36500000000001</v>
      </c>
    </row>
    <row r="210" spans="2:107">
      <c r="B210" s="170"/>
      <c r="C210" s="15"/>
      <c r="D210" s="15"/>
      <c r="E210" s="15"/>
      <c r="F210" s="15"/>
      <c r="G210" s="15"/>
      <c r="H210" s="15"/>
      <c r="I210" s="15"/>
      <c r="J210" s="15"/>
      <c r="K210" s="15"/>
      <c r="L210" s="15"/>
      <c r="M210" s="15"/>
      <c r="N210" s="15"/>
      <c r="O210" s="35"/>
      <c r="P210" s="35"/>
      <c r="Q210" s="35"/>
      <c r="R210" s="35"/>
      <c r="S210" s="35"/>
      <c r="T210" s="35"/>
      <c r="U210" s="35"/>
      <c r="V210" s="35"/>
      <c r="W210" s="35"/>
      <c r="X210" s="35"/>
      <c r="Y210" s="35"/>
      <c r="Z210" s="35"/>
      <c r="AA210" s="35"/>
      <c r="AB210" s="35"/>
      <c r="AC210" s="35"/>
      <c r="AD210" s="35"/>
      <c r="AE210" s="15"/>
      <c r="AF210" s="789"/>
      <c r="AG210" s="789"/>
      <c r="AH210" s="789"/>
      <c r="AI210" s="789"/>
      <c r="AJ210" s="789"/>
      <c r="AK210" s="789"/>
      <c r="AL210" s="789"/>
      <c r="AM210" s="789"/>
      <c r="AN210" s="789"/>
      <c r="AO210" s="789"/>
      <c r="AP210" s="789"/>
      <c r="AQ210" s="789"/>
      <c r="AR210" s="789"/>
      <c r="AS210" s="789"/>
      <c r="AT210" s="789"/>
      <c r="AU210" s="789"/>
      <c r="AV210" s="789"/>
      <c r="AW210" s="789"/>
      <c r="AX210" s="789"/>
      <c r="AY210" s="789"/>
      <c r="AZ210" s="15"/>
      <c r="BA210" s="15"/>
      <c r="BB210" s="15"/>
      <c r="BC210" s="15"/>
      <c r="BD210" s="15"/>
      <c r="BE210" s="15"/>
      <c r="BF210" s="15"/>
      <c r="BG210" s="15"/>
      <c r="BH210" s="15"/>
      <c r="BI210" s="15"/>
      <c r="BJ210" s="15"/>
      <c r="BK210" s="15"/>
      <c r="BL210" s="15"/>
      <c r="BM210" s="15"/>
      <c r="BN210" s="15"/>
      <c r="BO210" s="15"/>
      <c r="BP210" s="31"/>
      <c r="BQ210" s="15"/>
      <c r="BR210" s="15"/>
      <c r="BS210" s="15"/>
      <c r="BT210" s="15"/>
      <c r="BU210" s="15"/>
      <c r="BV210" s="15"/>
      <c r="BW210" s="15"/>
      <c r="BX210" s="15"/>
      <c r="BY210" s="15"/>
      <c r="BZ210" s="15"/>
      <c r="CA210" s="15"/>
      <c r="CB210" s="15"/>
      <c r="CC210" s="15"/>
      <c r="CD210" s="15"/>
      <c r="CE210" s="15"/>
      <c r="CF210" s="15"/>
      <c r="CG210" s="15"/>
      <c r="CH210" s="15"/>
      <c r="CI210" s="15"/>
      <c r="CJ210" s="15"/>
      <c r="CK210" s="15"/>
      <c r="CL210" s="15"/>
      <c r="CM210" s="15"/>
      <c r="CN210" s="15"/>
      <c r="CO210" s="15"/>
      <c r="CP210" s="15"/>
      <c r="CQ210" s="15"/>
      <c r="CR210" s="15"/>
      <c r="CS210" s="15"/>
      <c r="CT210" s="15"/>
      <c r="CU210" s="15"/>
      <c r="CV210" s="15"/>
      <c r="CW210" s="15"/>
      <c r="CX210" s="15"/>
      <c r="CY210" s="15"/>
      <c r="CZ210" s="15"/>
      <c r="DA210" s="15"/>
      <c r="DB210" s="15"/>
      <c r="DC210" s="15"/>
    </row>
    <row r="211" spans="2:107">
      <c r="B211" s="857" t="s">
        <v>1810</v>
      </c>
      <c r="C211" s="15"/>
      <c r="D211" s="15"/>
      <c r="E211" s="15"/>
      <c r="F211" s="15"/>
      <c r="G211" s="15"/>
      <c r="H211" s="15"/>
      <c r="I211" s="15"/>
      <c r="J211" s="15"/>
      <c r="K211" s="15"/>
      <c r="L211" s="15"/>
      <c r="M211" s="15"/>
      <c r="N211" s="15"/>
      <c r="O211" s="35"/>
      <c r="P211" s="35"/>
      <c r="Q211" s="35"/>
      <c r="R211" s="35"/>
      <c r="S211" s="35"/>
      <c r="T211" s="35"/>
      <c r="U211" s="35"/>
      <c r="V211" s="35"/>
      <c r="W211" s="35"/>
      <c r="X211" s="35"/>
      <c r="Y211" s="35"/>
      <c r="Z211" s="35"/>
      <c r="AA211" s="35"/>
      <c r="AB211" s="35"/>
      <c r="AC211" s="35"/>
      <c r="AD211" s="35"/>
      <c r="AE211" s="15"/>
      <c r="AF211" s="789"/>
      <c r="AG211" s="789"/>
      <c r="AH211" s="789"/>
      <c r="AI211" s="789"/>
      <c r="AJ211" s="789"/>
      <c r="AK211" s="789"/>
      <c r="AL211" s="789"/>
      <c r="AM211" s="789"/>
      <c r="AN211" s="789"/>
      <c r="AO211" s="789"/>
      <c r="AP211" s="789"/>
      <c r="AQ211" s="789"/>
      <c r="AR211" s="789"/>
      <c r="AS211" s="789"/>
      <c r="AT211" s="789"/>
      <c r="AU211" s="789"/>
      <c r="AV211" s="789"/>
      <c r="AW211" s="789"/>
      <c r="AX211" s="789"/>
      <c r="AY211" s="789"/>
      <c r="AZ211" s="15"/>
      <c r="BA211" s="15"/>
      <c r="BB211" s="15"/>
      <c r="BC211" s="15"/>
      <c r="BD211" s="15"/>
      <c r="BE211" s="15"/>
      <c r="BF211" s="15"/>
      <c r="BG211" s="15"/>
      <c r="BH211" s="15"/>
      <c r="BI211" s="15"/>
      <c r="BJ211" s="15"/>
      <c r="BK211" s="15"/>
      <c r="BL211" s="15"/>
      <c r="BM211" s="15"/>
      <c r="BN211" s="15"/>
      <c r="BO211" s="15"/>
      <c r="BP211" s="31"/>
      <c r="BQ211" s="15"/>
      <c r="BR211" s="15"/>
      <c r="BS211" s="15"/>
      <c r="BT211" s="15"/>
      <c r="BU211" s="15"/>
      <c r="BV211" s="15"/>
      <c r="BW211" s="15"/>
      <c r="BX211" s="15"/>
      <c r="BY211" s="15"/>
      <c r="BZ211" s="15"/>
      <c r="CA211" s="15"/>
      <c r="CB211" s="15"/>
      <c r="CC211" s="15"/>
      <c r="CD211" s="15"/>
      <c r="CE211" s="15"/>
      <c r="CF211" s="15"/>
      <c r="CG211" s="15"/>
      <c r="CH211" s="15"/>
      <c r="CI211" s="15"/>
      <c r="CJ211" s="15"/>
      <c r="CK211" s="15"/>
      <c r="CL211" s="15"/>
      <c r="CM211" s="15"/>
      <c r="CN211" s="15"/>
      <c r="CO211" s="15"/>
      <c r="CP211" s="15"/>
      <c r="CQ211" s="15"/>
      <c r="CR211" s="15"/>
      <c r="CS211" s="15"/>
      <c r="CT211" s="15"/>
      <c r="CU211" s="15"/>
      <c r="CV211" s="15"/>
      <c r="CW211" s="15"/>
      <c r="CX211" s="15"/>
      <c r="CY211" s="15"/>
      <c r="CZ211" s="15"/>
      <c r="DA211" s="15"/>
      <c r="DB211" s="15"/>
      <c r="DC211" s="15"/>
    </row>
    <row r="212" spans="2:107">
      <c r="B212" s="876" t="s">
        <v>1811</v>
      </c>
      <c r="C212" s="15"/>
      <c r="D212" s="15"/>
      <c r="E212" s="15"/>
      <c r="F212" s="15"/>
      <c r="G212" s="15"/>
      <c r="H212" s="15"/>
      <c r="I212" s="15"/>
      <c r="J212" s="15"/>
      <c r="K212" s="15"/>
      <c r="L212" s="15"/>
      <c r="M212" s="15"/>
      <c r="N212" s="26">
        <f t="shared" ref="N212:W212" si="412">M215</f>
        <v>12.791</v>
      </c>
      <c r="O212" s="26">
        <f t="shared" si="412"/>
        <v>19.262</v>
      </c>
      <c r="P212" s="26">
        <f t="shared" si="412"/>
        <v>27.444000000000003</v>
      </c>
      <c r="Q212" s="26">
        <f t="shared" si="412"/>
        <v>27.444000000000003</v>
      </c>
      <c r="R212" s="26">
        <f t="shared" si="412"/>
        <v>27.444000000000003</v>
      </c>
      <c r="S212" s="26">
        <f t="shared" si="412"/>
        <v>27.444000000000003</v>
      </c>
      <c r="T212" s="26">
        <f t="shared" si="412"/>
        <v>27.444000000000003</v>
      </c>
      <c r="U212" s="26">
        <f t="shared" si="412"/>
        <v>27.444000000000003</v>
      </c>
      <c r="V212" s="26">
        <f t="shared" si="412"/>
        <v>27.444000000000003</v>
      </c>
      <c r="W212" s="26">
        <f t="shared" si="412"/>
        <v>27.444000000000003</v>
      </c>
      <c r="X212" s="26">
        <f>W215</f>
        <v>27.444000000000003</v>
      </c>
      <c r="Y212" s="26">
        <f>X215</f>
        <v>27.444000000000003</v>
      </c>
      <c r="Z212" s="26">
        <f>Y215</f>
        <v>27.444000000000003</v>
      </c>
      <c r="AA212" s="26">
        <f t="shared" ref="AA212:AD212" si="413">Z215</f>
        <v>27.444000000000003</v>
      </c>
      <c r="AB212" s="26">
        <f t="shared" si="413"/>
        <v>27.444000000000003</v>
      </c>
      <c r="AC212" s="26">
        <f t="shared" si="413"/>
        <v>27.444000000000003</v>
      </c>
      <c r="AD212" s="26">
        <f t="shared" si="413"/>
        <v>27.444000000000003</v>
      </c>
      <c r="AE212" s="15"/>
      <c r="AF212" s="789"/>
      <c r="AG212" s="789"/>
      <c r="AH212" s="789"/>
      <c r="AI212" s="789"/>
      <c r="AJ212" s="789"/>
      <c r="AK212" s="789"/>
      <c r="AL212" s="789"/>
      <c r="AM212" s="789"/>
      <c r="AN212" s="789"/>
      <c r="AO212" s="789"/>
      <c r="AP212" s="789"/>
      <c r="AQ212" s="789"/>
      <c r="AR212" s="789"/>
      <c r="AS212" s="789"/>
      <c r="AT212" s="789"/>
      <c r="AU212" s="789"/>
      <c r="AV212" s="789"/>
      <c r="AW212" s="789"/>
      <c r="AX212" s="789"/>
      <c r="AY212" s="789"/>
      <c r="AZ212" s="15"/>
      <c r="BA212" s="15"/>
      <c r="BB212" s="15"/>
      <c r="BC212" s="15"/>
      <c r="BD212" s="15"/>
      <c r="BE212" s="15"/>
      <c r="BF212" s="15"/>
      <c r="BG212" s="15"/>
      <c r="BH212" s="15"/>
      <c r="BI212" s="15"/>
      <c r="BJ212" s="15"/>
      <c r="BK212" s="15"/>
      <c r="BL212" s="15"/>
      <c r="BM212" s="15"/>
      <c r="BN212" s="15"/>
      <c r="BO212" s="15"/>
      <c r="BP212" s="54">
        <f>BO215</f>
        <v>12.791</v>
      </c>
      <c r="BQ212" s="54">
        <f t="shared" ref="BQ212:BV212" si="414">BP215</f>
        <v>13.64</v>
      </c>
      <c r="BR212" s="54">
        <f t="shared" si="414"/>
        <v>16.396999999999998</v>
      </c>
      <c r="BS212" s="54">
        <f t="shared" si="414"/>
        <v>17.713000000000001</v>
      </c>
      <c r="BT212" s="54">
        <f t="shared" si="414"/>
        <v>19.262</v>
      </c>
      <c r="BU212" s="54">
        <f t="shared" si="414"/>
        <v>19.861999999999998</v>
      </c>
      <c r="BV212" s="54">
        <f t="shared" si="414"/>
        <v>18.245999999999999</v>
      </c>
      <c r="BW212" s="54">
        <f>BV215</f>
        <v>23.437999999999999</v>
      </c>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row>
    <row r="213" spans="2:107">
      <c r="B213" s="1029" t="s">
        <v>1812</v>
      </c>
      <c r="C213" s="15"/>
      <c r="D213" s="15"/>
      <c r="E213" s="15"/>
      <c r="F213" s="15"/>
      <c r="G213" s="15"/>
      <c r="H213" s="15"/>
      <c r="I213" s="15"/>
      <c r="J213" s="15"/>
      <c r="K213" s="15"/>
      <c r="L213" s="15"/>
      <c r="M213" s="15"/>
      <c r="N213" s="26">
        <f>SUM(BP213:BS213)</f>
        <v>5.5549999999999997</v>
      </c>
      <c r="O213" s="26">
        <f>SUM(BT213:BW213)</f>
        <v>13.631999999999998</v>
      </c>
      <c r="P213" s="26">
        <f>SUM(BX213:CA213)</f>
        <v>0</v>
      </c>
      <c r="Q213" s="26">
        <f>SUM(CB213:CE213)</f>
        <v>0</v>
      </c>
      <c r="R213" s="26">
        <f>SUM(CF213:CI213)</f>
        <v>0</v>
      </c>
      <c r="S213" s="26">
        <f>SUM(CJ213:CM213)</f>
        <v>0</v>
      </c>
      <c r="T213" s="26">
        <f>SUM(CN213:CQ213)</f>
        <v>0</v>
      </c>
      <c r="U213" s="26">
        <f>SUM(CR213:CU213)</f>
        <v>0</v>
      </c>
      <c r="V213" s="26">
        <f>SUM(CV213:CY213)</f>
        <v>0</v>
      </c>
      <c r="W213" s="26">
        <f>SUM(CZ213:DC213)</f>
        <v>0</v>
      </c>
      <c r="X213" s="398">
        <v>0</v>
      </c>
      <c r="Y213" s="398">
        <f>X213</f>
        <v>0</v>
      </c>
      <c r="Z213" s="398">
        <f>Y213</f>
        <v>0</v>
      </c>
      <c r="AA213" s="398">
        <f t="shared" ref="AA213:AD213" si="415">Z213</f>
        <v>0</v>
      </c>
      <c r="AB213" s="398">
        <f t="shared" si="415"/>
        <v>0</v>
      </c>
      <c r="AC213" s="398">
        <f t="shared" si="415"/>
        <v>0</v>
      </c>
      <c r="AD213" s="398">
        <f t="shared" si="415"/>
        <v>0</v>
      </c>
      <c r="AE213" s="15"/>
      <c r="AF213" s="789"/>
      <c r="AG213" s="789"/>
      <c r="AH213" s="789"/>
      <c r="AI213" s="789"/>
      <c r="AJ213" s="789"/>
      <c r="AK213" s="789"/>
      <c r="AL213" s="789"/>
      <c r="AM213" s="789"/>
      <c r="AN213" s="789"/>
      <c r="AO213" s="789"/>
      <c r="AP213" s="789"/>
      <c r="AQ213" s="789"/>
      <c r="AR213" s="789"/>
      <c r="AS213" s="789"/>
      <c r="AT213" s="789"/>
      <c r="AU213" s="789"/>
      <c r="AV213" s="789"/>
      <c r="AW213" s="789"/>
      <c r="AX213" s="789"/>
      <c r="AY213" s="789"/>
      <c r="AZ213" s="15"/>
      <c r="BA213" s="15"/>
      <c r="BB213" s="15"/>
      <c r="BC213" s="15"/>
      <c r="BD213" s="15"/>
      <c r="BE213" s="15"/>
      <c r="BF213" s="15"/>
      <c r="BG213" s="15"/>
      <c r="BH213" s="15"/>
      <c r="BI213" s="15"/>
      <c r="BJ213" s="15"/>
      <c r="BK213" s="15"/>
      <c r="BL213" s="15"/>
      <c r="BM213" s="15"/>
      <c r="BN213" s="15"/>
      <c r="BO213" s="54">
        <f>CF!BO11</f>
        <v>1.3740000000000001</v>
      </c>
      <c r="BP213" s="54">
        <f>CF!BP11</f>
        <v>1.276</v>
      </c>
      <c r="BQ213" s="54">
        <f>CF!BQ11</f>
        <v>1.3699999999999999</v>
      </c>
      <c r="BR213" s="54">
        <f>CF!BR11</f>
        <v>1.4539999999999995</v>
      </c>
      <c r="BS213" s="54">
        <f>CF!BS11</f>
        <v>1.4549999999999998</v>
      </c>
      <c r="BT213" s="54">
        <f>CF!BT11</f>
        <v>1.3879999999999999</v>
      </c>
      <c r="BU213" s="54">
        <f>CF!BU11</f>
        <v>3.633</v>
      </c>
      <c r="BV213" s="54">
        <f>CF!BV11</f>
        <v>4.3570000000000002</v>
      </c>
      <c r="BW213" s="54">
        <f>CF!BW11</f>
        <v>4.2539999999999987</v>
      </c>
      <c r="BX213" s="15"/>
      <c r="BY213" s="15"/>
      <c r="BZ213" s="15"/>
      <c r="CA213" s="15"/>
      <c r="CB213" s="15"/>
      <c r="CC213" s="15"/>
      <c r="CD213" s="15"/>
      <c r="CE213" s="15"/>
      <c r="CF213" s="15"/>
      <c r="CG213" s="15"/>
      <c r="CH213" s="15"/>
      <c r="CI213" s="15"/>
      <c r="CJ213" s="15"/>
      <c r="CK213" s="15"/>
      <c r="CL213" s="15"/>
      <c r="CM213" s="15"/>
      <c r="CN213" s="15"/>
      <c r="CO213" s="15"/>
      <c r="CP213" s="15"/>
      <c r="CQ213" s="15"/>
      <c r="CR213" s="15"/>
      <c r="CS213" s="15"/>
      <c r="CT213" s="15"/>
      <c r="CU213" s="15"/>
      <c r="CV213" s="15"/>
      <c r="CW213" s="15"/>
      <c r="CX213" s="15"/>
      <c r="CY213" s="15"/>
      <c r="CZ213" s="15"/>
      <c r="DA213" s="15"/>
      <c r="DB213" s="15"/>
      <c r="DC213" s="15"/>
    </row>
    <row r="214" spans="2:107">
      <c r="B214" s="1030" t="s">
        <v>1793</v>
      </c>
      <c r="C214" s="15"/>
      <c r="D214" s="15"/>
      <c r="E214" s="15"/>
      <c r="F214" s="15"/>
      <c r="G214" s="15"/>
      <c r="H214" s="15"/>
      <c r="I214" s="15"/>
      <c r="J214" s="15"/>
      <c r="K214" s="15"/>
      <c r="L214" s="15"/>
      <c r="M214" s="15"/>
      <c r="N214" s="195">
        <f>SUM(BP214:BS214)</f>
        <v>0.91600000000000215</v>
      </c>
      <c r="O214" s="195">
        <f>SUM(BT214:BW214)</f>
        <v>-5.4499999999999957</v>
      </c>
      <c r="P214" s="195">
        <f>SUM(BX214:CA214)</f>
        <v>0</v>
      </c>
      <c r="Q214" s="195">
        <f>SUM(CB214:CE214)</f>
        <v>0</v>
      </c>
      <c r="R214" s="195">
        <f>SUM(CF214:CI214)</f>
        <v>0</v>
      </c>
      <c r="S214" s="195">
        <f>SUM(CJ214:CM214)</f>
        <v>0</v>
      </c>
      <c r="T214" s="195">
        <f>SUM(CN214:CQ214)</f>
        <v>0</v>
      </c>
      <c r="U214" s="195">
        <f>SUM(CR214:CU214)</f>
        <v>0</v>
      </c>
      <c r="V214" s="195">
        <f>SUM(CV214:CY214)</f>
        <v>0</v>
      </c>
      <c r="W214" s="195">
        <f>SUM(CZ214:DC214)</f>
        <v>0</v>
      </c>
      <c r="X214" s="274">
        <v>0</v>
      </c>
      <c r="Y214" s="274">
        <v>0</v>
      </c>
      <c r="Z214" s="274">
        <v>0</v>
      </c>
      <c r="AA214" s="274">
        <v>0</v>
      </c>
      <c r="AB214" s="274">
        <v>0</v>
      </c>
      <c r="AC214" s="274">
        <v>0</v>
      </c>
      <c r="AD214" s="274">
        <v>0</v>
      </c>
      <c r="AE214" s="15"/>
      <c r="AF214" s="789"/>
      <c r="AG214" s="789"/>
      <c r="AH214" s="789"/>
      <c r="AI214" s="789"/>
      <c r="AJ214" s="789"/>
      <c r="AK214" s="789"/>
      <c r="AL214" s="789"/>
      <c r="AM214" s="789"/>
      <c r="AN214" s="789"/>
      <c r="AO214" s="789"/>
      <c r="AP214" s="789"/>
      <c r="AQ214" s="789"/>
      <c r="AR214" s="789"/>
      <c r="AS214" s="789"/>
      <c r="AT214" s="789"/>
      <c r="AU214" s="789"/>
      <c r="AV214" s="789"/>
      <c r="AW214" s="789"/>
      <c r="AX214" s="789"/>
      <c r="AY214" s="789"/>
      <c r="AZ214" s="15"/>
      <c r="BA214" s="15"/>
      <c r="BB214" s="15"/>
      <c r="BC214" s="15"/>
      <c r="BD214" s="15"/>
      <c r="BE214" s="15"/>
      <c r="BF214" s="15"/>
      <c r="BG214" s="15"/>
      <c r="BH214" s="15"/>
      <c r="BI214" s="15"/>
      <c r="BJ214" s="15"/>
      <c r="BK214" s="15"/>
      <c r="BL214" s="15"/>
      <c r="BM214" s="15"/>
      <c r="BN214" s="15"/>
      <c r="BO214" s="15"/>
      <c r="BP214" s="195">
        <f t="shared" ref="BP214:BW214" si="416">BP215-(BP212+BP213)</f>
        <v>-0.4269999999999996</v>
      </c>
      <c r="BQ214" s="195">
        <f t="shared" si="416"/>
        <v>1.3869999999999987</v>
      </c>
      <c r="BR214" s="195">
        <f t="shared" si="416"/>
        <v>-0.13799999999999812</v>
      </c>
      <c r="BS214" s="195">
        <f t="shared" si="416"/>
        <v>9.4000000000001194E-2</v>
      </c>
      <c r="BT214" s="195">
        <f t="shared" si="416"/>
        <v>-0.78800000000000026</v>
      </c>
      <c r="BU214" s="195">
        <f t="shared" si="416"/>
        <v>-5.2489999999999988</v>
      </c>
      <c r="BV214" s="195">
        <f t="shared" si="416"/>
        <v>0.83500000000000085</v>
      </c>
      <c r="BW214" s="195">
        <f t="shared" si="416"/>
        <v>-0.24799999999999756</v>
      </c>
      <c r="BX214" s="15"/>
      <c r="BY214" s="15"/>
      <c r="BZ214" s="15"/>
      <c r="CA214" s="15"/>
      <c r="CB214" s="15"/>
      <c r="CC214" s="15"/>
      <c r="CD214" s="15"/>
      <c r="CE214" s="15"/>
      <c r="CF214" s="15"/>
      <c r="CG214" s="15"/>
      <c r="CH214" s="15"/>
      <c r="CI214" s="15"/>
      <c r="CJ214" s="15"/>
      <c r="CK214" s="15"/>
      <c r="CL214" s="15"/>
      <c r="CM214" s="15"/>
      <c r="CN214" s="15"/>
      <c r="CO214" s="15"/>
      <c r="CP214" s="15"/>
      <c r="CQ214" s="15"/>
      <c r="CR214" s="15"/>
      <c r="CS214" s="15"/>
      <c r="CT214" s="15"/>
      <c r="CU214" s="15"/>
      <c r="CV214" s="15"/>
      <c r="CW214" s="15"/>
      <c r="CX214" s="15"/>
      <c r="CY214" s="15"/>
      <c r="CZ214" s="15"/>
      <c r="DA214" s="15"/>
      <c r="DB214" s="15"/>
      <c r="DC214" s="15"/>
    </row>
    <row r="215" spans="2:107">
      <c r="B215" s="876" t="s">
        <v>1813</v>
      </c>
      <c r="C215" s="15"/>
      <c r="D215" s="15"/>
      <c r="E215" s="15"/>
      <c r="F215" s="15"/>
      <c r="G215" s="15"/>
      <c r="H215" s="15"/>
      <c r="I215" s="15"/>
      <c r="J215" s="15"/>
      <c r="K215" s="15"/>
      <c r="L215" s="15"/>
      <c r="M215" s="26">
        <f>BO215</f>
        <v>12.791</v>
      </c>
      <c r="N215" s="26">
        <f t="shared" ref="N215:S215" si="417">SUM(N212:N214)</f>
        <v>19.262</v>
      </c>
      <c r="O215" s="26">
        <f t="shared" si="417"/>
        <v>27.444000000000003</v>
      </c>
      <c r="P215" s="26">
        <f t="shared" si="417"/>
        <v>27.444000000000003</v>
      </c>
      <c r="Q215" s="26">
        <f t="shared" si="417"/>
        <v>27.444000000000003</v>
      </c>
      <c r="R215" s="26">
        <f t="shared" si="417"/>
        <v>27.444000000000003</v>
      </c>
      <c r="S215" s="26">
        <f t="shared" si="417"/>
        <v>27.444000000000003</v>
      </c>
      <c r="T215" s="26">
        <f t="shared" ref="T215:Z215" si="418">SUM(T212:T214)</f>
        <v>27.444000000000003</v>
      </c>
      <c r="U215" s="26">
        <f t="shared" si="418"/>
        <v>27.444000000000003</v>
      </c>
      <c r="V215" s="26">
        <f>SUM(V212:V214)</f>
        <v>27.444000000000003</v>
      </c>
      <c r="W215" s="26">
        <f>SUM(W212:W214)</f>
        <v>27.444000000000003</v>
      </c>
      <c r="X215" s="26">
        <f t="shared" si="418"/>
        <v>27.444000000000003</v>
      </c>
      <c r="Y215" s="26">
        <f t="shared" si="418"/>
        <v>27.444000000000003</v>
      </c>
      <c r="Z215" s="26">
        <f t="shared" si="418"/>
        <v>27.444000000000003</v>
      </c>
      <c r="AA215" s="26">
        <f t="shared" ref="AA215:AD215" si="419">SUM(AA212:AA214)</f>
        <v>27.444000000000003</v>
      </c>
      <c r="AB215" s="26">
        <f t="shared" si="419"/>
        <v>27.444000000000003</v>
      </c>
      <c r="AC215" s="26">
        <f t="shared" si="419"/>
        <v>27.444000000000003</v>
      </c>
      <c r="AD215" s="26">
        <f t="shared" si="419"/>
        <v>27.444000000000003</v>
      </c>
      <c r="AE215" s="15"/>
      <c r="AF215" s="789"/>
      <c r="AG215" s="789"/>
      <c r="AH215" s="789"/>
      <c r="AI215" s="789"/>
      <c r="AJ215" s="789"/>
      <c r="AK215" s="789"/>
      <c r="AL215" s="789"/>
      <c r="AM215" s="789"/>
      <c r="AN215" s="789"/>
      <c r="AO215" s="789"/>
      <c r="AP215" s="789"/>
      <c r="AQ215" s="789"/>
      <c r="AR215" s="789"/>
      <c r="AS215" s="789"/>
      <c r="AT215" s="789"/>
      <c r="AU215" s="789"/>
      <c r="AV215" s="789"/>
      <c r="AW215" s="789"/>
      <c r="AX215" s="789"/>
      <c r="AY215" s="789"/>
      <c r="AZ215" s="15"/>
      <c r="BA215" s="15"/>
      <c r="BB215" s="15"/>
      <c r="BC215" s="15"/>
      <c r="BD215" s="15"/>
      <c r="BE215" s="15"/>
      <c r="BF215" s="15"/>
      <c r="BG215" s="15"/>
      <c r="BH215" s="15"/>
      <c r="BI215" s="15"/>
      <c r="BJ215" s="15"/>
      <c r="BK215" s="15"/>
      <c r="BL215" s="15"/>
      <c r="BM215" s="15"/>
      <c r="BN215" s="15"/>
      <c r="BO215" s="54">
        <f>-BO201</f>
        <v>12.791</v>
      </c>
      <c r="BP215" s="54">
        <f>-BP201</f>
        <v>13.64</v>
      </c>
      <c r="BQ215" s="54">
        <f t="shared" ref="BQ215:BW215" si="420">-BQ201</f>
        <v>16.396999999999998</v>
      </c>
      <c r="BR215" s="54">
        <f t="shared" si="420"/>
        <v>17.713000000000001</v>
      </c>
      <c r="BS215" s="54">
        <f t="shared" si="420"/>
        <v>19.262</v>
      </c>
      <c r="BT215" s="54">
        <f t="shared" si="420"/>
        <v>19.861999999999998</v>
      </c>
      <c r="BU215" s="54">
        <f t="shared" si="420"/>
        <v>18.245999999999999</v>
      </c>
      <c r="BV215" s="54">
        <f t="shared" si="420"/>
        <v>23.437999999999999</v>
      </c>
      <c r="BW215" s="54">
        <f t="shared" si="420"/>
        <v>27.443999999999999</v>
      </c>
      <c r="BX215" s="15"/>
      <c r="BY215" s="15"/>
      <c r="BZ215" s="15"/>
      <c r="CA215" s="15"/>
      <c r="CB215" s="15"/>
      <c r="CC215" s="15"/>
      <c r="CD215" s="15"/>
      <c r="CE215" s="15"/>
      <c r="CF215" s="15"/>
      <c r="CG215" s="15"/>
      <c r="CH215" s="15"/>
      <c r="CI215" s="15"/>
      <c r="CJ215" s="15"/>
      <c r="CK215" s="15"/>
      <c r="CL215" s="15"/>
      <c r="CM215" s="15"/>
      <c r="CN215" s="15"/>
      <c r="CO215" s="15"/>
      <c r="CP215" s="15"/>
      <c r="CQ215" s="15"/>
      <c r="CR215" s="15"/>
      <c r="CS215" s="15"/>
      <c r="CT215" s="15"/>
      <c r="CU215" s="15"/>
      <c r="CV215" s="15"/>
      <c r="CW215" s="15"/>
      <c r="CX215" s="15"/>
      <c r="CY215" s="15"/>
      <c r="CZ215" s="15"/>
      <c r="DA215" s="15"/>
      <c r="DB215" s="15"/>
      <c r="DC215" s="15"/>
    </row>
    <row r="216" spans="2:107">
      <c r="B216" s="15"/>
      <c r="C216" s="15"/>
      <c r="D216" s="15"/>
      <c r="E216" s="15"/>
      <c r="F216" s="15"/>
      <c r="G216" s="15"/>
      <c r="H216" s="15"/>
      <c r="I216" s="15"/>
      <c r="J216" s="15"/>
      <c r="K216" s="15"/>
      <c r="L216" s="15"/>
      <c r="M216" s="15"/>
      <c r="N216" s="15"/>
      <c r="O216" s="35"/>
      <c r="P216" s="35"/>
      <c r="Q216" s="35"/>
      <c r="R216" s="35"/>
      <c r="S216" s="35"/>
      <c r="T216" s="35"/>
      <c r="U216" s="35"/>
      <c r="V216" s="35"/>
      <c r="W216" s="35"/>
      <c r="X216" s="35"/>
      <c r="Y216" s="35"/>
      <c r="Z216" s="35"/>
      <c r="AA216" s="35"/>
      <c r="AB216" s="35"/>
      <c r="AC216" s="35"/>
      <c r="AD216" s="35"/>
      <c r="AE216" s="15"/>
      <c r="AF216" s="789"/>
      <c r="AG216" s="789"/>
      <c r="AH216" s="789"/>
      <c r="AI216" s="789"/>
      <c r="AJ216" s="789"/>
      <c r="AK216" s="789"/>
      <c r="AL216" s="789"/>
      <c r="AM216" s="789"/>
      <c r="AN216" s="789"/>
      <c r="AO216" s="789"/>
      <c r="AP216" s="789"/>
      <c r="AQ216" s="789"/>
      <c r="AR216" s="789"/>
      <c r="AS216" s="789"/>
      <c r="AT216" s="789"/>
      <c r="AU216" s="789"/>
      <c r="AV216" s="789"/>
      <c r="AW216" s="789"/>
      <c r="AX216" s="789"/>
      <c r="AY216" s="789"/>
      <c r="AZ216" s="15"/>
      <c r="BA216" s="15"/>
      <c r="BB216" s="15"/>
      <c r="BC216" s="15"/>
      <c r="BD216" s="15"/>
      <c r="BE216" s="15"/>
      <c r="BF216" s="15"/>
      <c r="BG216" s="15"/>
      <c r="BH216" s="15"/>
      <c r="BI216" s="15"/>
      <c r="BJ216" s="15"/>
      <c r="BK216" s="15"/>
      <c r="BL216" s="15"/>
      <c r="BM216" s="15"/>
      <c r="BN216" s="15"/>
      <c r="BO216" s="15"/>
      <c r="BP216" s="31"/>
      <c r="BQ216" s="15"/>
      <c r="BR216" s="15"/>
      <c r="BS216" s="15"/>
      <c r="BT216" s="15"/>
      <c r="BU216" s="15"/>
      <c r="BV216" s="15"/>
      <c r="BW216" s="15"/>
      <c r="BX216" s="15"/>
      <c r="BY216" s="15"/>
      <c r="BZ216" s="15"/>
      <c r="CA216" s="15"/>
      <c r="CB216" s="15"/>
      <c r="CC216" s="15"/>
      <c r="CD216" s="15"/>
      <c r="CE216" s="15"/>
      <c r="CF216" s="15"/>
      <c r="CG216" s="15"/>
      <c r="CH216" s="15"/>
      <c r="CI216" s="15"/>
      <c r="CJ216" s="15"/>
      <c r="CK216" s="15"/>
      <c r="CL216" s="15"/>
      <c r="CM216" s="15"/>
      <c r="CN216" s="15"/>
      <c r="CO216" s="15"/>
      <c r="CP216" s="15"/>
      <c r="CQ216" s="15"/>
      <c r="CR216" s="15"/>
      <c r="CS216" s="15"/>
      <c r="CT216" s="15"/>
      <c r="CU216" s="15"/>
      <c r="CV216" s="15"/>
      <c r="CW216" s="15"/>
      <c r="CX216" s="15"/>
      <c r="CY216" s="15"/>
      <c r="CZ216" s="15"/>
      <c r="DA216" s="15"/>
      <c r="DB216" s="15"/>
      <c r="DC216" s="15"/>
    </row>
    <row r="217" spans="2:107">
      <c r="B217" s="876" t="s">
        <v>1814</v>
      </c>
      <c r="C217" s="15"/>
      <c r="D217" s="15"/>
      <c r="E217" s="15"/>
      <c r="F217" s="15"/>
      <c r="G217" s="15"/>
      <c r="H217" s="15"/>
      <c r="I217" s="15"/>
      <c r="J217" s="15"/>
      <c r="K217" s="15"/>
      <c r="L217" s="15"/>
      <c r="M217" s="15"/>
      <c r="N217" s="26"/>
      <c r="O217" s="26"/>
      <c r="P217" s="26"/>
      <c r="Q217" s="26"/>
      <c r="R217" s="26"/>
      <c r="S217" s="26"/>
      <c r="T217" s="26"/>
      <c r="U217" s="26"/>
      <c r="V217" s="26"/>
      <c r="W217" s="26"/>
      <c r="X217" s="26"/>
      <c r="Y217" s="26"/>
      <c r="Z217" s="26"/>
      <c r="AA217" s="26"/>
      <c r="AB217" s="26"/>
      <c r="AC217" s="26"/>
      <c r="AD217" s="26"/>
      <c r="AE217" s="15"/>
      <c r="AF217" s="789"/>
      <c r="AG217" s="789"/>
      <c r="AH217" s="789"/>
      <c r="AI217" s="789"/>
      <c r="AJ217" s="789"/>
      <c r="AK217" s="789"/>
      <c r="AL217" s="789"/>
      <c r="AM217" s="789"/>
      <c r="AN217" s="789"/>
      <c r="AO217" s="789"/>
      <c r="AP217" s="789"/>
      <c r="AQ217" s="789"/>
      <c r="AR217" s="789"/>
      <c r="AS217" s="789"/>
      <c r="AT217" s="789"/>
      <c r="AU217" s="789"/>
      <c r="AV217" s="789"/>
      <c r="AW217" s="789"/>
      <c r="AX217" s="789"/>
      <c r="AY217" s="789"/>
      <c r="AZ217" s="15"/>
      <c r="BA217" s="15"/>
      <c r="BB217" s="15"/>
      <c r="BC217" s="15"/>
      <c r="BD217" s="15"/>
      <c r="BE217" s="15"/>
      <c r="BF217" s="15"/>
      <c r="BG217" s="15"/>
      <c r="BH217" s="15"/>
      <c r="BI217" s="15"/>
      <c r="BJ217" s="15"/>
      <c r="BK217" s="15"/>
      <c r="BL217" s="15"/>
      <c r="BM217" s="15"/>
      <c r="BN217" s="15"/>
      <c r="BO217" s="26">
        <f t="shared" ref="BO217:BW217" si="421">BN213</f>
        <v>0</v>
      </c>
      <c r="BP217" s="26">
        <f t="shared" si="421"/>
        <v>1.3740000000000001</v>
      </c>
      <c r="BQ217" s="26">
        <f t="shared" si="421"/>
        <v>1.276</v>
      </c>
      <c r="BR217" s="26">
        <f t="shared" si="421"/>
        <v>1.3699999999999999</v>
      </c>
      <c r="BS217" s="26">
        <f t="shared" si="421"/>
        <v>1.4539999999999995</v>
      </c>
      <c r="BT217" s="26">
        <f t="shared" si="421"/>
        <v>1.4549999999999998</v>
      </c>
      <c r="BU217" s="26">
        <f t="shared" si="421"/>
        <v>1.3879999999999999</v>
      </c>
      <c r="BV217" s="26">
        <f t="shared" si="421"/>
        <v>3.633</v>
      </c>
      <c r="BW217" s="26">
        <f t="shared" si="421"/>
        <v>4.3570000000000002</v>
      </c>
      <c r="BX217" s="26"/>
      <c r="BY217" s="26"/>
      <c r="BZ217" s="26"/>
      <c r="CA217" s="26"/>
      <c r="CB217" s="26"/>
      <c r="CC217" s="26"/>
      <c r="CD217" s="26"/>
      <c r="CE217" s="26"/>
      <c r="CF217" s="26"/>
      <c r="CG217" s="26"/>
      <c r="CH217" s="26"/>
      <c r="CI217" s="26"/>
      <c r="CJ217" s="26"/>
      <c r="CK217" s="26"/>
      <c r="CL217" s="26"/>
      <c r="CM217" s="26"/>
      <c r="CN217" s="26"/>
      <c r="CO217" s="26"/>
      <c r="CP217" s="26"/>
      <c r="CQ217" s="26"/>
      <c r="CR217" s="26"/>
      <c r="CS217" s="26"/>
      <c r="CT217" s="26"/>
      <c r="CU217" s="26"/>
      <c r="CV217" s="26"/>
      <c r="CW217" s="26"/>
      <c r="CX217" s="26"/>
      <c r="CY217" s="26"/>
      <c r="CZ217" s="26"/>
      <c r="DA217" s="26"/>
      <c r="DB217" s="26"/>
      <c r="DC217" s="26"/>
    </row>
    <row r="218" spans="2:107">
      <c r="B218" s="1031">
        <v>4.5</v>
      </c>
      <c r="C218" s="1032"/>
      <c r="D218" s="1032"/>
      <c r="E218" s="1032"/>
      <c r="F218" s="1032"/>
      <c r="G218" s="1032"/>
      <c r="H218" s="1032"/>
      <c r="I218" s="1032"/>
      <c r="J218" s="1032"/>
      <c r="K218" s="1032"/>
      <c r="L218" s="1032"/>
      <c r="M218" s="1032"/>
      <c r="N218" s="1033"/>
      <c r="O218" s="1033"/>
      <c r="P218" s="1033"/>
      <c r="Q218" s="1033"/>
      <c r="R218" s="1033"/>
      <c r="S218" s="1033"/>
      <c r="T218" s="1033"/>
      <c r="U218" s="1033"/>
      <c r="V218" s="1033"/>
      <c r="W218" s="1033"/>
      <c r="X218" s="1033"/>
      <c r="Y218" s="1033"/>
      <c r="Z218" s="1033"/>
      <c r="AA218" s="1033"/>
      <c r="AB218" s="1033"/>
      <c r="AC218" s="1033"/>
      <c r="AD218" s="1033"/>
      <c r="AE218" s="15"/>
      <c r="AF218" s="1033"/>
      <c r="AG218" s="1033"/>
      <c r="AH218" s="1033"/>
      <c r="AI218" s="1033"/>
      <c r="AJ218" s="1033"/>
      <c r="AK218" s="1033"/>
      <c r="AL218" s="1033"/>
      <c r="AM218" s="1033"/>
      <c r="AN218" s="1033"/>
      <c r="AO218" s="1033"/>
      <c r="AP218" s="1033"/>
      <c r="AQ218" s="1033"/>
      <c r="AR218" s="1033"/>
      <c r="AS218" s="1033"/>
      <c r="AT218" s="1033"/>
      <c r="AU218" s="1033"/>
      <c r="AV218" s="1033"/>
      <c r="AW218" s="1033"/>
      <c r="AX218" s="1033"/>
      <c r="AY218" s="1033"/>
      <c r="AZ218" s="1033"/>
      <c r="BA218" s="1033"/>
      <c r="BB218" s="1033"/>
      <c r="BC218" s="1033"/>
      <c r="BD218" s="1033"/>
      <c r="BE218" s="1033"/>
      <c r="BF218" s="1033"/>
      <c r="BG218" s="1033"/>
      <c r="BH218" s="1033"/>
      <c r="BI218" s="1033"/>
      <c r="BJ218" s="1033"/>
      <c r="BK218" s="1033"/>
      <c r="BL218" s="1033"/>
      <c r="BM218" s="1033"/>
      <c r="BN218" s="1033"/>
      <c r="BO218" s="1033">
        <f t="shared" ref="BO218:BW218" si="422">BO213-BN213</f>
        <v>1.3740000000000001</v>
      </c>
      <c r="BP218" s="1033">
        <f t="shared" si="422"/>
        <v>-9.8000000000000087E-2</v>
      </c>
      <c r="BQ218" s="1033">
        <f t="shared" si="422"/>
        <v>9.3999999999999861E-2</v>
      </c>
      <c r="BR218" s="1033">
        <f t="shared" si="422"/>
        <v>8.3999999999999631E-2</v>
      </c>
      <c r="BS218" s="1033">
        <f t="shared" si="422"/>
        <v>1.000000000000334E-3</v>
      </c>
      <c r="BT218" s="1033">
        <f t="shared" si="422"/>
        <v>-6.6999999999999948E-2</v>
      </c>
      <c r="BU218" s="1033">
        <f t="shared" si="422"/>
        <v>2.2450000000000001</v>
      </c>
      <c r="BV218" s="1033">
        <f t="shared" si="422"/>
        <v>0.7240000000000002</v>
      </c>
      <c r="BW218" s="1033">
        <f t="shared" si="422"/>
        <v>-0.10300000000000153</v>
      </c>
      <c r="BX218" s="1033"/>
      <c r="BY218" s="1033"/>
      <c r="BZ218" s="1033"/>
      <c r="CA218" s="1033"/>
      <c r="CB218" s="1033"/>
      <c r="CC218" s="1033"/>
      <c r="CD218" s="1033"/>
      <c r="CE218" s="1033"/>
      <c r="CF218" s="1033"/>
      <c r="CG218" s="1033"/>
      <c r="CH218" s="1033"/>
      <c r="CI218" s="1033"/>
      <c r="CJ218" s="1033"/>
      <c r="CK218" s="1033"/>
      <c r="CL218" s="1033"/>
      <c r="CM218" s="1033"/>
      <c r="CN218" s="1033"/>
      <c r="CO218" s="1033"/>
      <c r="CP218" s="1033"/>
      <c r="CQ218" s="1033"/>
      <c r="CR218" s="1033"/>
      <c r="CS218" s="1033"/>
      <c r="CT218" s="1033"/>
      <c r="CU218" s="1033"/>
      <c r="CV218" s="1033"/>
      <c r="CW218" s="1033"/>
      <c r="CX218" s="1033"/>
      <c r="CY218" s="1033"/>
      <c r="CZ218" s="1033"/>
      <c r="DA218" s="1033"/>
      <c r="DB218" s="1033"/>
      <c r="DC218" s="1033"/>
    </row>
    <row r="219" spans="2:107">
      <c r="B219" s="911" t="s">
        <v>1815</v>
      </c>
      <c r="C219" s="911"/>
      <c r="D219" s="911"/>
      <c r="E219" s="911"/>
      <c r="F219" s="911"/>
      <c r="G219" s="911"/>
      <c r="H219" s="911"/>
      <c r="I219" s="911"/>
      <c r="J219" s="911"/>
      <c r="K219" s="911"/>
      <c r="L219" s="911"/>
      <c r="M219" s="1034"/>
      <c r="N219" s="1034">
        <f>SUM(BP219:BS219)</f>
        <v>5.5549999999999997</v>
      </c>
      <c r="O219" s="1034">
        <f>SUM(BT219:BW219)</f>
        <v>13.631999999999998</v>
      </c>
      <c r="P219" s="1034">
        <f>SUM(BX219:CA219)</f>
        <v>16.683</v>
      </c>
      <c r="Q219" s="1034">
        <f>SUM(CB219:CE219)</f>
        <v>16.683</v>
      </c>
      <c r="R219" s="1034">
        <f>SUM(CF219:CI219)</f>
        <v>16.683</v>
      </c>
      <c r="S219" s="1034">
        <f>SUM(CJ219:CM219)</f>
        <v>16.683</v>
      </c>
      <c r="T219" s="1034">
        <f>SUM(CN219:CQ219)</f>
        <v>16.683</v>
      </c>
      <c r="U219" s="1034">
        <f>SUM(CR219:CU219)</f>
        <v>16.683</v>
      </c>
      <c r="V219" s="1034">
        <f>SUM(CV219:CY219)</f>
        <v>16.683</v>
      </c>
      <c r="W219" s="1034">
        <f>SUM(CZ219:DC219)</f>
        <v>16.683</v>
      </c>
      <c r="X219" s="1035">
        <f>69.174/$B$218</f>
        <v>15.372000000000002</v>
      </c>
      <c r="Y219" s="1035">
        <f>69.174-SUM(U219:X219)</f>
        <v>3.7530000000000001</v>
      </c>
      <c r="Z219" s="1035">
        <f>SUM(Z217:Z218)</f>
        <v>0</v>
      </c>
      <c r="AA219" s="1035">
        <f t="shared" ref="AA219:AD219" si="423">SUM(AA217:AA218)</f>
        <v>0</v>
      </c>
      <c r="AB219" s="1035">
        <f t="shared" si="423"/>
        <v>0</v>
      </c>
      <c r="AC219" s="1035">
        <f t="shared" si="423"/>
        <v>0</v>
      </c>
      <c r="AD219" s="1035">
        <f t="shared" si="423"/>
        <v>0</v>
      </c>
      <c r="AE219" s="15"/>
      <c r="AF219" s="1034"/>
      <c r="AG219" s="1034"/>
      <c r="AH219" s="1034"/>
      <c r="AI219" s="1034"/>
      <c r="AJ219" s="1034"/>
      <c r="AK219" s="1034"/>
      <c r="AL219" s="1034"/>
      <c r="AM219" s="1034"/>
      <c r="AN219" s="1034"/>
      <c r="AO219" s="1034"/>
      <c r="AP219" s="1034"/>
      <c r="AQ219" s="1034"/>
      <c r="AR219" s="1034"/>
      <c r="AS219" s="1034"/>
      <c r="AT219" s="1034"/>
      <c r="AU219" s="1034"/>
      <c r="AV219" s="1034"/>
      <c r="AW219" s="1034"/>
      <c r="AX219" s="1034"/>
      <c r="AY219" s="1034"/>
      <c r="AZ219" s="1034"/>
      <c r="BA219" s="1034"/>
      <c r="BB219" s="1034"/>
      <c r="BC219" s="1034"/>
      <c r="BD219" s="1034"/>
      <c r="BE219" s="1034"/>
      <c r="BF219" s="1034"/>
      <c r="BG219" s="1034"/>
      <c r="BH219" s="1034"/>
      <c r="BI219" s="1034"/>
      <c r="BJ219" s="1034"/>
      <c r="BK219" s="1034"/>
      <c r="BL219" s="1034"/>
      <c r="BM219" s="1034"/>
      <c r="BN219" s="1034"/>
      <c r="BO219" s="1034">
        <f t="shared" ref="BO219:BW219" si="424">SUM(BO217:BO218)</f>
        <v>1.3740000000000001</v>
      </c>
      <c r="BP219" s="1034">
        <f t="shared" si="424"/>
        <v>1.276</v>
      </c>
      <c r="BQ219" s="1034">
        <f t="shared" si="424"/>
        <v>1.3699999999999999</v>
      </c>
      <c r="BR219" s="1034">
        <f t="shared" si="424"/>
        <v>1.4539999999999995</v>
      </c>
      <c r="BS219" s="1034">
        <f t="shared" si="424"/>
        <v>1.4549999999999998</v>
      </c>
      <c r="BT219" s="1034">
        <f t="shared" si="424"/>
        <v>1.3879999999999999</v>
      </c>
      <c r="BU219" s="1034">
        <f t="shared" si="424"/>
        <v>3.633</v>
      </c>
      <c r="BV219" s="1034">
        <f t="shared" si="424"/>
        <v>4.3570000000000002</v>
      </c>
      <c r="BW219" s="1034">
        <f t="shared" si="424"/>
        <v>4.2539999999999987</v>
      </c>
      <c r="BX219" s="1035">
        <f t="shared" ref="BX219:CY219" si="425">16.683/4</f>
        <v>4.17075</v>
      </c>
      <c r="BY219" s="1035">
        <f t="shared" si="425"/>
        <v>4.17075</v>
      </c>
      <c r="BZ219" s="1035">
        <f t="shared" si="425"/>
        <v>4.17075</v>
      </c>
      <c r="CA219" s="1035">
        <f t="shared" si="425"/>
        <v>4.17075</v>
      </c>
      <c r="CB219" s="1035">
        <f t="shared" si="425"/>
        <v>4.17075</v>
      </c>
      <c r="CC219" s="1035">
        <f t="shared" si="425"/>
        <v>4.17075</v>
      </c>
      <c r="CD219" s="1035">
        <f t="shared" si="425"/>
        <v>4.17075</v>
      </c>
      <c r="CE219" s="1035">
        <f t="shared" si="425"/>
        <v>4.17075</v>
      </c>
      <c r="CF219" s="1035">
        <f t="shared" si="425"/>
        <v>4.17075</v>
      </c>
      <c r="CG219" s="1035">
        <f t="shared" si="425"/>
        <v>4.17075</v>
      </c>
      <c r="CH219" s="1035">
        <f t="shared" si="425"/>
        <v>4.17075</v>
      </c>
      <c r="CI219" s="1035">
        <f t="shared" si="425"/>
        <v>4.17075</v>
      </c>
      <c r="CJ219" s="1035">
        <f t="shared" si="425"/>
        <v>4.17075</v>
      </c>
      <c r="CK219" s="1035">
        <f t="shared" si="425"/>
        <v>4.17075</v>
      </c>
      <c r="CL219" s="1035">
        <f t="shared" si="425"/>
        <v>4.17075</v>
      </c>
      <c r="CM219" s="1035">
        <f t="shared" si="425"/>
        <v>4.17075</v>
      </c>
      <c r="CN219" s="1035">
        <f t="shared" si="425"/>
        <v>4.17075</v>
      </c>
      <c r="CO219" s="1035">
        <f t="shared" si="425"/>
        <v>4.17075</v>
      </c>
      <c r="CP219" s="1035">
        <f t="shared" si="425"/>
        <v>4.17075</v>
      </c>
      <c r="CQ219" s="1035">
        <f t="shared" si="425"/>
        <v>4.17075</v>
      </c>
      <c r="CR219" s="1035">
        <f t="shared" si="425"/>
        <v>4.17075</v>
      </c>
      <c r="CS219" s="1035">
        <f t="shared" si="425"/>
        <v>4.17075</v>
      </c>
      <c r="CT219" s="1035">
        <f t="shared" si="425"/>
        <v>4.17075</v>
      </c>
      <c r="CU219" s="1035">
        <f t="shared" si="425"/>
        <v>4.17075</v>
      </c>
      <c r="CV219" s="1035">
        <f t="shared" si="425"/>
        <v>4.17075</v>
      </c>
      <c r="CW219" s="1035">
        <f t="shared" si="425"/>
        <v>4.17075</v>
      </c>
      <c r="CX219" s="1035">
        <f t="shared" si="425"/>
        <v>4.17075</v>
      </c>
      <c r="CY219" s="1035">
        <f t="shared" si="425"/>
        <v>4.17075</v>
      </c>
      <c r="CZ219" s="1035">
        <f t="shared" ref="CZ219:DC219" si="426">+CY219</f>
        <v>4.17075</v>
      </c>
      <c r="DA219" s="1035">
        <f t="shared" si="426"/>
        <v>4.17075</v>
      </c>
      <c r="DB219" s="1035">
        <f t="shared" si="426"/>
        <v>4.17075</v>
      </c>
      <c r="DC219" s="1035">
        <f t="shared" si="426"/>
        <v>4.17075</v>
      </c>
    </row>
    <row r="220" spans="2:107">
      <c r="B220" s="773" t="s">
        <v>1816</v>
      </c>
      <c r="C220" s="15"/>
      <c r="D220" s="15"/>
      <c r="E220" s="15"/>
      <c r="F220" s="15"/>
      <c r="G220" s="15"/>
      <c r="H220" s="15"/>
      <c r="I220" s="15"/>
      <c r="J220" s="15"/>
      <c r="K220" s="15"/>
      <c r="L220" s="15"/>
      <c r="M220" s="15"/>
      <c r="N220" s="38">
        <f t="shared" ref="N220:Z220" si="427">N219/N106</f>
        <v>6.2945533699939596E-3</v>
      </c>
      <c r="O220" s="38">
        <f t="shared" si="427"/>
        <v>1.1395954235613358E-2</v>
      </c>
      <c r="P220" s="38">
        <f t="shared" si="427"/>
        <v>1.0627576787634476E-2</v>
      </c>
      <c r="Q220" s="38">
        <f t="shared" si="427"/>
        <v>8.8392561948440595E-3</v>
      </c>
      <c r="R220" s="38">
        <f t="shared" si="427"/>
        <v>7.7495649782651707E-3</v>
      </c>
      <c r="S220" s="38">
        <f t="shared" si="427"/>
        <v>6.8267332303505856E-3</v>
      </c>
      <c r="T220" s="38">
        <f t="shared" si="427"/>
        <v>6.1202545832206778E-3</v>
      </c>
      <c r="U220" s="38">
        <f t="shared" si="427"/>
        <v>4.6187848301863605E-3</v>
      </c>
      <c r="V220" s="38">
        <f t="shared" si="427"/>
        <v>3.8189939264192977E-3</v>
      </c>
      <c r="W220" s="38">
        <f t="shared" ca="1" si="427"/>
        <v>3.3106717487709396E-3</v>
      </c>
      <c r="X220" s="38">
        <f t="shared" ca="1" si="427"/>
        <v>2.7946104375048825E-3</v>
      </c>
      <c r="Y220" s="38">
        <f t="shared" ca="1" si="427"/>
        <v>6.3210199638968055E-4</v>
      </c>
      <c r="Z220" s="38">
        <f t="shared" ca="1" si="427"/>
        <v>0</v>
      </c>
      <c r="AA220" s="38">
        <f t="shared" ref="AA220:AD220" ca="1" si="428">AA219/AA106</f>
        <v>0</v>
      </c>
      <c r="AB220" s="38">
        <f t="shared" ca="1" si="428"/>
        <v>0</v>
      </c>
      <c r="AC220" s="38">
        <f t="shared" ca="1" si="428"/>
        <v>0</v>
      </c>
      <c r="AD220" s="38">
        <f t="shared" ca="1" si="428"/>
        <v>0</v>
      </c>
      <c r="AE220" s="15"/>
      <c r="AF220" s="789"/>
      <c r="AG220" s="789"/>
      <c r="AH220" s="789"/>
      <c r="AI220" s="789"/>
      <c r="AJ220" s="789"/>
      <c r="AK220" s="789"/>
      <c r="AL220" s="789"/>
      <c r="AM220" s="789"/>
      <c r="AN220" s="789"/>
      <c r="AO220" s="789"/>
      <c r="AP220" s="789"/>
      <c r="AQ220" s="789"/>
      <c r="AR220" s="789"/>
      <c r="AS220" s="789"/>
      <c r="AT220" s="789"/>
      <c r="AU220" s="789"/>
      <c r="AV220" s="789"/>
      <c r="AW220" s="789"/>
      <c r="AX220" s="789"/>
      <c r="AY220" s="789"/>
      <c r="AZ220" s="15"/>
      <c r="BA220" s="15"/>
      <c r="BB220" s="15"/>
      <c r="BC220" s="15"/>
      <c r="BD220" s="15"/>
      <c r="BE220" s="15"/>
      <c r="BF220" s="15"/>
      <c r="BG220" s="15"/>
      <c r="BH220" s="15"/>
      <c r="BI220" s="15"/>
      <c r="BJ220" s="15"/>
      <c r="BK220" s="15"/>
      <c r="BL220" s="15"/>
      <c r="BM220" s="15"/>
      <c r="BN220" s="15"/>
      <c r="BO220" s="38">
        <f t="shared" ref="BO220:DC220" si="429">BO219/BO106</f>
        <v>7.2056764368087362E-3</v>
      </c>
      <c r="BP220" s="38">
        <f t="shared" si="429"/>
        <v>6.4046257861477378E-3</v>
      </c>
      <c r="BQ220" s="38">
        <f t="shared" si="429"/>
        <v>6.4268558132552726E-3</v>
      </c>
      <c r="BR220" s="38">
        <f t="shared" si="429"/>
        <v>6.3895797994357462E-3</v>
      </c>
      <c r="BS220" s="38">
        <f t="shared" si="429"/>
        <v>5.9987136778917507E-3</v>
      </c>
      <c r="BT220" s="38">
        <f t="shared" si="429"/>
        <v>5.5821660252001809E-3</v>
      </c>
      <c r="BU220" s="38">
        <f t="shared" si="429"/>
        <v>1.2526851874200481E-2</v>
      </c>
      <c r="BV220" s="38">
        <f t="shared" si="429"/>
        <v>1.3556569195442354E-2</v>
      </c>
      <c r="BW220" s="38">
        <f t="shared" si="429"/>
        <v>1.2654914116744107E-2</v>
      </c>
      <c r="BX220" s="38">
        <f t="shared" si="429"/>
        <v>1.1783477280625175E-2</v>
      </c>
      <c r="BY220" s="38">
        <f t="shared" si="429"/>
        <v>1.0818757441421906E-2</v>
      </c>
      <c r="BZ220" s="38">
        <f t="shared" si="429"/>
        <v>1.0217217692940855E-2</v>
      </c>
      <c r="CA220" s="38">
        <f t="shared" si="429"/>
        <v>9.8805778506382141E-3</v>
      </c>
      <c r="CB220" s="38">
        <f t="shared" si="429"/>
        <v>9.4585124911555005E-3</v>
      </c>
      <c r="CC220" s="38">
        <f t="shared" si="429"/>
        <v>9.1558184971352041E-3</v>
      </c>
      <c r="CD220" s="38">
        <f t="shared" si="429"/>
        <v>8.602411129559541E-3</v>
      </c>
      <c r="CE220" s="38">
        <f t="shared" si="429"/>
        <v>8.2416279524719447E-3</v>
      </c>
      <c r="CF220" s="38">
        <f t="shared" si="429"/>
        <v>8.0807503477779048E-3</v>
      </c>
      <c r="CG220" s="38">
        <f t="shared" si="429"/>
        <v>7.8861385857798977E-3</v>
      </c>
      <c r="CH220" s="38">
        <f t="shared" si="429"/>
        <v>7.6797511987095907E-3</v>
      </c>
      <c r="CI220" s="38">
        <f t="shared" si="429"/>
        <v>7.386080892262302E-3</v>
      </c>
      <c r="CJ220" s="38">
        <f t="shared" si="429"/>
        <v>7.1902912320081095E-3</v>
      </c>
      <c r="CK220" s="38">
        <f t="shared" si="429"/>
        <v>6.8919675920953256E-3</v>
      </c>
      <c r="CL220" s="38">
        <f t="shared" si="429"/>
        <v>6.7222455031912846E-3</v>
      </c>
      <c r="CM220" s="38">
        <f t="shared" si="429"/>
        <v>6.5359861217543381E-3</v>
      </c>
      <c r="CN220" s="38">
        <f t="shared" si="429"/>
        <v>6.4846371277445915E-3</v>
      </c>
      <c r="CO220" s="38">
        <f t="shared" si="429"/>
        <v>6.2663203031331988E-3</v>
      </c>
      <c r="CP220" s="38">
        <f t="shared" si="429"/>
        <v>6.074064041453494E-3</v>
      </c>
      <c r="CQ220" s="38">
        <f t="shared" si="429"/>
        <v>5.7097426012578346E-3</v>
      </c>
      <c r="CR220" s="38">
        <f t="shared" si="429"/>
        <v>4.9407337032491621E-3</v>
      </c>
      <c r="CS220" s="38">
        <f t="shared" si="429"/>
        <v>4.6315421261285275E-3</v>
      </c>
      <c r="CT220" s="38">
        <f t="shared" si="429"/>
        <v>4.5104988125570476E-3</v>
      </c>
      <c r="CU220" s="38">
        <f t="shared" si="429"/>
        <v>4.4245088564436102E-3</v>
      </c>
      <c r="CV220" s="38">
        <f t="shared" si="429"/>
        <v>4.3924593875885303E-3</v>
      </c>
      <c r="CW220" s="38">
        <f t="shared" si="429"/>
        <v>3.9109788723215317E-3</v>
      </c>
      <c r="CX220" s="38">
        <f t="shared" si="429"/>
        <v>3.6196226375795068E-3</v>
      </c>
      <c r="CY220" s="38">
        <f t="shared" si="429"/>
        <v>3.4749850235914885E-3</v>
      </c>
      <c r="CZ220" s="38">
        <f t="shared" ca="1" si="429"/>
        <v>3.4311106254278942E-3</v>
      </c>
      <c r="DA220" s="38">
        <f t="shared" ca="1" si="429"/>
        <v>3.3632096755141479E-3</v>
      </c>
      <c r="DB220" s="38">
        <f t="shared" ca="1" si="429"/>
        <v>3.2739088615485927E-3</v>
      </c>
      <c r="DC220" s="38">
        <f t="shared" ca="1" si="429"/>
        <v>3.1848867972463736E-3</v>
      </c>
    </row>
    <row r="221" spans="2:107">
      <c r="B221" s="773"/>
      <c r="C221" s="15"/>
      <c r="D221" s="15"/>
      <c r="E221" s="15"/>
      <c r="F221" s="15"/>
      <c r="G221" s="15"/>
      <c r="H221" s="15"/>
      <c r="I221" s="15"/>
      <c r="J221" s="15"/>
      <c r="K221" s="15"/>
      <c r="L221" s="15"/>
      <c r="M221" s="15"/>
      <c r="N221" s="38"/>
      <c r="O221" s="38"/>
      <c r="P221" s="38"/>
      <c r="Q221" s="38"/>
      <c r="R221" s="38"/>
      <c r="S221" s="38"/>
      <c r="T221" s="38"/>
      <c r="U221" s="38"/>
      <c r="V221" s="38"/>
      <c r="W221" s="38"/>
      <c r="X221" s="38"/>
      <c r="Y221" s="38"/>
      <c r="Z221" s="38"/>
      <c r="AA221" s="38"/>
      <c r="AB221" s="38"/>
      <c r="AC221" s="38"/>
      <c r="AD221" s="38"/>
      <c r="AE221" s="15"/>
      <c r="AF221" s="789"/>
      <c r="AG221" s="789"/>
      <c r="AH221" s="789"/>
      <c r="AI221" s="789"/>
      <c r="AJ221" s="789"/>
      <c r="AK221" s="789"/>
      <c r="AL221" s="789"/>
      <c r="AM221" s="789"/>
      <c r="AN221" s="789"/>
      <c r="AO221" s="789"/>
      <c r="AP221" s="789"/>
      <c r="AQ221" s="789"/>
      <c r="AR221" s="789"/>
      <c r="AS221" s="789"/>
      <c r="AT221" s="789"/>
      <c r="AU221" s="789"/>
      <c r="AV221" s="789"/>
      <c r="AW221" s="789"/>
      <c r="AX221" s="789"/>
      <c r="AY221" s="789"/>
      <c r="AZ221" s="15"/>
      <c r="BA221" s="15"/>
      <c r="BB221" s="15"/>
      <c r="BC221" s="15"/>
      <c r="BD221" s="15"/>
      <c r="BE221" s="15"/>
      <c r="BF221" s="15"/>
      <c r="BG221" s="15"/>
      <c r="BH221" s="15"/>
      <c r="BI221" s="15"/>
      <c r="BJ221" s="15"/>
      <c r="BK221" s="15"/>
      <c r="BL221" s="15"/>
      <c r="BM221" s="15"/>
      <c r="BN221" s="15"/>
      <c r="BO221" s="38"/>
      <c r="BP221" s="38"/>
      <c r="BQ221" s="38"/>
      <c r="BR221" s="38"/>
      <c r="BS221" s="38"/>
      <c r="BT221" s="38"/>
      <c r="BU221" s="38"/>
      <c r="BV221" s="38"/>
      <c r="BW221" s="38"/>
      <c r="BX221" s="38"/>
      <c r="BY221" s="38"/>
      <c r="BZ221" s="38"/>
      <c r="CA221" s="38"/>
      <c r="CB221" s="38"/>
      <c r="CC221" s="38"/>
      <c r="CD221" s="38"/>
      <c r="CE221" s="38"/>
      <c r="CF221" s="38"/>
      <c r="CG221" s="38"/>
      <c r="CH221" s="38"/>
      <c r="CI221" s="38"/>
      <c r="CJ221" s="38"/>
      <c r="CK221" s="38"/>
      <c r="CL221" s="38"/>
      <c r="CM221" s="38"/>
      <c r="CN221" s="38"/>
      <c r="CO221" s="38"/>
      <c r="CP221" s="38"/>
      <c r="CQ221" s="38"/>
      <c r="CR221" s="38"/>
      <c r="CS221" s="38"/>
      <c r="CT221" s="38"/>
      <c r="CU221" s="38"/>
      <c r="CV221" s="38"/>
      <c r="CW221" s="38"/>
      <c r="CX221" s="38"/>
      <c r="CY221" s="38"/>
      <c r="CZ221" s="38"/>
      <c r="DA221" s="38"/>
      <c r="DB221" s="38"/>
      <c r="DC221" s="38"/>
    </row>
    <row r="222" spans="2:107">
      <c r="B222" s="14"/>
      <c r="C222" s="15"/>
      <c r="D222" s="15"/>
      <c r="E222" s="15"/>
      <c r="F222" s="15"/>
      <c r="G222" s="15"/>
      <c r="H222" s="15"/>
      <c r="I222" s="15"/>
      <c r="J222" s="15"/>
      <c r="K222" s="15"/>
      <c r="L222" s="15"/>
      <c r="M222" s="15"/>
      <c r="N222" s="15"/>
      <c r="O222" s="35"/>
      <c r="P222" s="35"/>
      <c r="Q222" s="35"/>
      <c r="R222" s="35"/>
      <c r="S222" s="35"/>
      <c r="T222" s="35"/>
      <c r="U222" s="35"/>
      <c r="V222" s="35"/>
      <c r="W222" s="35"/>
      <c r="X222" s="35"/>
      <c r="Y222" s="35"/>
      <c r="Z222" s="35"/>
      <c r="AA222" s="35"/>
      <c r="AB222" s="35"/>
      <c r="AC222" s="35"/>
      <c r="AD222" s="35"/>
      <c r="AE222" s="15"/>
      <c r="AF222" s="789"/>
      <c r="AG222" s="789"/>
      <c r="AH222" s="789"/>
      <c r="AI222" s="789"/>
      <c r="AJ222" s="789"/>
      <c r="AK222" s="789"/>
      <c r="AL222" s="789"/>
      <c r="AM222" s="789"/>
      <c r="AN222" s="789"/>
      <c r="AO222" s="789"/>
      <c r="AP222" s="789"/>
      <c r="AQ222" s="789"/>
      <c r="AR222" s="789"/>
      <c r="AS222" s="789"/>
      <c r="AT222" s="789"/>
      <c r="AU222" s="789"/>
      <c r="AV222" s="789"/>
      <c r="AW222" s="789"/>
      <c r="AX222" s="789"/>
      <c r="AY222" s="789"/>
      <c r="AZ222" s="15"/>
      <c r="BA222" s="15"/>
      <c r="BB222" s="15"/>
      <c r="BC222" s="15"/>
      <c r="BD222" s="15"/>
      <c r="BE222" s="15"/>
      <c r="BF222" s="15"/>
      <c r="BG222" s="15"/>
      <c r="BH222" s="15"/>
      <c r="BI222" s="15"/>
      <c r="BJ222" s="15"/>
      <c r="BK222" s="15"/>
      <c r="BL222" s="15"/>
      <c r="BM222" s="15"/>
      <c r="BN222" s="15"/>
      <c r="BO222" s="15"/>
      <c r="BP222" s="31"/>
      <c r="BQ222" s="15"/>
      <c r="BR222" s="15"/>
      <c r="BS222" s="15"/>
      <c r="BT222" s="15"/>
      <c r="BU222" s="15"/>
      <c r="BV222" s="15"/>
      <c r="BW222" s="15"/>
      <c r="BX222" s="15"/>
      <c r="BY222" s="15"/>
      <c r="BZ222" s="15"/>
      <c r="CA222" s="15"/>
      <c r="CB222" s="15"/>
      <c r="CC222" s="15"/>
      <c r="CD222" s="15"/>
      <c r="CE222" s="15"/>
      <c r="CF222" s="15"/>
      <c r="CG222" s="15"/>
      <c r="CH222" s="15"/>
      <c r="CI222" s="15"/>
      <c r="CJ222" s="15"/>
      <c r="CK222" s="15"/>
      <c r="CL222" s="15"/>
      <c r="CM222" s="15"/>
      <c r="CN222" s="15"/>
      <c r="CO222" s="15"/>
      <c r="CP222" s="15"/>
      <c r="CQ222" s="15"/>
      <c r="CR222" s="15"/>
      <c r="CS222" s="15"/>
      <c r="CT222" s="15"/>
      <c r="CU222" s="15"/>
      <c r="CV222" s="15"/>
      <c r="CW222" s="15"/>
      <c r="CX222" s="15"/>
      <c r="CY222" s="15"/>
      <c r="CZ222" s="15"/>
      <c r="DA222" s="15"/>
      <c r="DB222" s="15"/>
      <c r="DC222" s="15"/>
    </row>
    <row r="223" spans="2:107">
      <c r="B223" s="14" t="s">
        <v>1590</v>
      </c>
      <c r="C223" s="15"/>
      <c r="D223" s="15"/>
      <c r="E223" s="15"/>
      <c r="F223" s="15"/>
      <c r="G223" s="15"/>
      <c r="H223" s="15"/>
      <c r="I223" s="15"/>
      <c r="J223" s="15"/>
      <c r="K223" s="15"/>
      <c r="L223" s="15"/>
      <c r="M223" s="15"/>
      <c r="N223" s="26">
        <f>SUM(BP223:BS223)</f>
        <v>0.22600000000000001</v>
      </c>
      <c r="O223" s="26">
        <f>SUM(BT223:BW223)</f>
        <v>2.9129999999999998</v>
      </c>
      <c r="P223" s="26">
        <f>SUM(BX223:CA223)</f>
        <v>0</v>
      </c>
      <c r="Q223" s="26">
        <f>SUM(CB223:CE223)</f>
        <v>0</v>
      </c>
      <c r="R223" s="26">
        <f>SUM(CF223:CI223)</f>
        <v>0</v>
      </c>
      <c r="S223" s="26">
        <f>SUM(CJ223:CM223)</f>
        <v>0</v>
      </c>
      <c r="T223" s="26">
        <f>SUM(CN223:CQ223)</f>
        <v>0</v>
      </c>
      <c r="U223" s="26">
        <f>SUM(CR223:CU223)</f>
        <v>0</v>
      </c>
      <c r="V223" s="26">
        <f>SUM(CV223:CY223)</f>
        <v>0</v>
      </c>
      <c r="W223" s="26">
        <f>SUM(CZ223:DC223)</f>
        <v>0</v>
      </c>
      <c r="X223" s="35"/>
      <c r="Y223" s="35"/>
      <c r="Z223" s="35"/>
      <c r="AA223" s="35"/>
      <c r="AB223" s="35"/>
      <c r="AC223" s="35"/>
      <c r="AD223" s="35"/>
      <c r="AE223" s="15"/>
      <c r="AF223" s="789"/>
      <c r="AG223" s="789"/>
      <c r="AH223" s="789"/>
      <c r="AI223" s="789"/>
      <c r="AJ223" s="789"/>
      <c r="AK223" s="789"/>
      <c r="AL223" s="789"/>
      <c r="AM223" s="789"/>
      <c r="AN223" s="789"/>
      <c r="AO223" s="789"/>
      <c r="AP223" s="789"/>
      <c r="AQ223" s="789"/>
      <c r="AR223" s="789"/>
      <c r="AS223" s="789"/>
      <c r="AT223" s="789"/>
      <c r="AU223" s="789"/>
      <c r="AV223" s="789"/>
      <c r="AW223" s="789"/>
      <c r="AX223" s="789"/>
      <c r="AY223" s="789"/>
      <c r="AZ223" s="15"/>
      <c r="BA223" s="15"/>
      <c r="BB223" s="15"/>
      <c r="BC223" s="15"/>
      <c r="BD223" s="15"/>
      <c r="BE223" s="15"/>
      <c r="BF223" s="15"/>
      <c r="BG223" s="15"/>
      <c r="BH223" s="15"/>
      <c r="BI223" s="15"/>
      <c r="BJ223" s="15"/>
      <c r="BK223" s="15"/>
      <c r="BL223" s="15"/>
      <c r="BM223" s="15"/>
      <c r="BN223" s="15"/>
      <c r="BO223" s="195">
        <f>CF!BO30</f>
        <v>0</v>
      </c>
      <c r="BP223" s="195">
        <f>CF!BP30</f>
        <v>0.22600000000000001</v>
      </c>
      <c r="BQ223" s="195">
        <f>CF!BQ30</f>
        <v>0</v>
      </c>
      <c r="BR223" s="195">
        <f>CF!BR30</f>
        <v>0</v>
      </c>
      <c r="BS223" s="195">
        <f>CF!BS30</f>
        <v>0</v>
      </c>
      <c r="BT223" s="195">
        <f>CF!BT30</f>
        <v>0.56799999999999995</v>
      </c>
      <c r="BU223" s="195">
        <f>CF!BU30</f>
        <v>1.2230000000000001</v>
      </c>
      <c r="BV223" s="195">
        <f>CF!BV30</f>
        <v>1.1219999999999999</v>
      </c>
      <c r="BW223" s="195">
        <f>CF!BW30</f>
        <v>0</v>
      </c>
      <c r="BX223" s="15"/>
      <c r="BY223" s="15"/>
      <c r="BZ223" s="15"/>
      <c r="CA223" s="15"/>
      <c r="CB223" s="15"/>
      <c r="CC223" s="15"/>
      <c r="CD223" s="15"/>
      <c r="CE223" s="15"/>
      <c r="CF223" s="15"/>
      <c r="CG223" s="15"/>
      <c r="CH223" s="15"/>
      <c r="CI223" s="15"/>
      <c r="CJ223" s="15"/>
      <c r="CK223" s="15"/>
      <c r="CL223" s="15"/>
      <c r="CM223" s="15"/>
      <c r="CN223" s="15"/>
      <c r="CO223" s="15"/>
      <c r="CP223" s="15"/>
      <c r="CQ223" s="15"/>
      <c r="CR223" s="15"/>
      <c r="CS223" s="15"/>
      <c r="CT223" s="15"/>
      <c r="CU223" s="15"/>
      <c r="CV223" s="15"/>
      <c r="CW223" s="15"/>
      <c r="CX223" s="15"/>
      <c r="CY223" s="15"/>
      <c r="CZ223" s="15"/>
      <c r="DA223" s="15"/>
      <c r="DB223" s="15"/>
      <c r="DC223" s="15"/>
    </row>
    <row r="224" spans="2:107">
      <c r="B224" s="16" t="s">
        <v>1591</v>
      </c>
      <c r="C224" s="15"/>
      <c r="D224" s="15"/>
      <c r="E224" s="15"/>
      <c r="F224" s="15"/>
      <c r="G224" s="15"/>
      <c r="H224" s="15"/>
      <c r="I224" s="15"/>
      <c r="J224" s="15"/>
      <c r="K224" s="15"/>
      <c r="L224" s="15"/>
      <c r="M224" s="15"/>
      <c r="N224" s="26"/>
      <c r="O224" s="26">
        <f>SUM(BT224:BW224)</f>
        <v>0.21700000000000585</v>
      </c>
      <c r="P224" s="26">
        <f>SUM(BX224:CA224)</f>
        <v>0</v>
      </c>
      <c r="Q224" s="26">
        <f>SUM(CB224:CE224)</f>
        <v>0</v>
      </c>
      <c r="R224" s="26">
        <f>SUM(CF224:CI224)</f>
        <v>0</v>
      </c>
      <c r="S224" s="26">
        <f>SUM(CJ224:CM224)</f>
        <v>0</v>
      </c>
      <c r="T224" s="26">
        <f>SUM(CN224:CQ224)</f>
        <v>0</v>
      </c>
      <c r="U224" s="26">
        <f>SUM(CR224:CU224)</f>
        <v>0</v>
      </c>
      <c r="V224" s="26">
        <f>SUM(CV224:CY224)</f>
        <v>0</v>
      </c>
      <c r="W224" s="26">
        <f>SUM(CZ224:DC224)</f>
        <v>0</v>
      </c>
      <c r="X224" s="35"/>
      <c r="Y224" s="35"/>
      <c r="Z224" s="35"/>
      <c r="AA224" s="35"/>
      <c r="AB224" s="35"/>
      <c r="AC224" s="35"/>
      <c r="AD224" s="35"/>
      <c r="AE224" s="15"/>
      <c r="AF224" s="789"/>
      <c r="AG224" s="789"/>
      <c r="AH224" s="789"/>
      <c r="AI224" s="789"/>
      <c r="AJ224" s="789"/>
      <c r="AK224" s="789"/>
      <c r="AL224" s="789"/>
      <c r="AM224" s="789"/>
      <c r="AN224" s="789"/>
      <c r="AO224" s="789"/>
      <c r="AP224" s="789"/>
      <c r="AQ224" s="789"/>
      <c r="AR224" s="789"/>
      <c r="AS224" s="789"/>
      <c r="AT224" s="789"/>
      <c r="AU224" s="789"/>
      <c r="AV224" s="789"/>
      <c r="AW224" s="789"/>
      <c r="AX224" s="789"/>
      <c r="AY224" s="789"/>
      <c r="AZ224" s="15"/>
      <c r="BA224" s="15"/>
      <c r="BB224" s="15"/>
      <c r="BC224" s="15"/>
      <c r="BD224" s="15"/>
      <c r="BE224" s="15"/>
      <c r="BF224" s="15"/>
      <c r="BG224" s="15"/>
      <c r="BH224" s="15"/>
      <c r="BI224" s="15"/>
      <c r="BJ224" s="15"/>
      <c r="BK224" s="15"/>
      <c r="BL224" s="15"/>
      <c r="BM224" s="15"/>
      <c r="BN224" s="15"/>
      <c r="BO224" s="579">
        <f>(BO219+BO184+BO223)-IS!CG45</f>
        <v>-0.96000000000000085</v>
      </c>
      <c r="BP224" s="579">
        <f>(BP219+BP184+BP223)-IS!CH45</f>
        <v>-1.1700000000000017</v>
      </c>
      <c r="BQ224" s="579">
        <f>(BQ219+BQ184+BQ223)-IS!CI45</f>
        <v>-130.48000000000002</v>
      </c>
      <c r="BR224" s="579">
        <f>(BR219+BR184+BR223)-IS!CJ45</f>
        <v>-4.8310000000000173</v>
      </c>
      <c r="BS224" s="579">
        <f>(BS219+BS184+BS223)-IS!CK45</f>
        <v>-18.852999999999994</v>
      </c>
      <c r="BT224" s="579">
        <f>(BT219+BT184+BT223)-IS!CJ45</f>
        <v>-6.5000000000004832E-2</v>
      </c>
      <c r="BU224" s="579">
        <f>(BU219+BU184+BU223)-IS!CK45</f>
        <v>0.34700000000000841</v>
      </c>
      <c r="BV224" s="579">
        <f>(BV219+BV184+BV223)-IS!CL45</f>
        <v>-6.4999999999997726E-2</v>
      </c>
      <c r="BW224" s="579">
        <f>(BW219+BW184+BW223)-IS!CM45</f>
        <v>0</v>
      </c>
      <c r="BX224" s="885"/>
      <c r="BY224" s="15"/>
      <c r="BZ224" s="15"/>
      <c r="CA224" s="15"/>
      <c r="CB224" s="15"/>
      <c r="CC224" s="15"/>
      <c r="CD224" s="15"/>
      <c r="CE224" s="15"/>
      <c r="CF224" s="15"/>
      <c r="CG224" s="15"/>
      <c r="CH224" s="15"/>
      <c r="CI224" s="15"/>
      <c r="CJ224" s="15"/>
      <c r="CK224" s="15"/>
      <c r="CL224" s="15"/>
      <c r="CM224" s="15"/>
      <c r="CN224" s="15"/>
      <c r="CO224" s="15"/>
      <c r="CP224" s="15"/>
      <c r="CQ224" s="15"/>
      <c r="CR224" s="15"/>
      <c r="CS224" s="15"/>
      <c r="CT224" s="15"/>
      <c r="CU224" s="15"/>
      <c r="CV224" s="15"/>
      <c r="CW224" s="15"/>
      <c r="CX224" s="15"/>
      <c r="CY224" s="15"/>
      <c r="CZ224" s="15"/>
      <c r="DA224" s="15"/>
      <c r="DB224" s="15"/>
      <c r="DC224" s="15"/>
    </row>
    <row r="225" spans="1:112">
      <c r="B225" s="14"/>
      <c r="C225" s="15"/>
      <c r="D225" s="15"/>
      <c r="E225" s="15"/>
      <c r="F225" s="15"/>
      <c r="G225" s="15"/>
      <c r="H225" s="15"/>
      <c r="I225" s="15"/>
      <c r="J225" s="15"/>
      <c r="K225" s="15"/>
      <c r="L225" s="15"/>
      <c r="M225" s="15"/>
      <c r="N225" s="15"/>
      <c r="O225" s="35"/>
      <c r="P225" s="35"/>
      <c r="Q225" s="35"/>
      <c r="R225" s="35"/>
      <c r="S225" s="35"/>
      <c r="T225" s="35"/>
      <c r="U225" s="35"/>
      <c r="V225" s="35"/>
      <c r="W225" s="35"/>
      <c r="X225" s="35"/>
      <c r="Y225" s="35"/>
      <c r="Z225" s="35"/>
      <c r="AA225" s="35"/>
      <c r="AB225" s="35"/>
      <c r="AC225" s="35"/>
      <c r="AD225" s="35"/>
      <c r="AE225" s="15"/>
      <c r="AF225" s="789"/>
      <c r="AG225" s="789"/>
      <c r="AH225" s="789"/>
      <c r="AI225" s="789"/>
      <c r="AJ225" s="789"/>
      <c r="AK225" s="789"/>
      <c r="AL225" s="789"/>
      <c r="AM225" s="789"/>
      <c r="AN225" s="789"/>
      <c r="AO225" s="789"/>
      <c r="AP225" s="789"/>
      <c r="AQ225" s="789"/>
      <c r="AR225" s="789"/>
      <c r="AS225" s="789"/>
      <c r="AT225" s="789"/>
      <c r="AU225" s="789"/>
      <c r="AV225" s="789"/>
      <c r="AW225" s="789"/>
      <c r="AX225" s="789"/>
      <c r="AY225" s="789"/>
      <c r="AZ225" s="15"/>
      <c r="BA225" s="15"/>
      <c r="BB225" s="15"/>
      <c r="BC225" s="15"/>
      <c r="BD225" s="15"/>
      <c r="BE225" s="15"/>
      <c r="BF225" s="15"/>
      <c r="BG225" s="15"/>
      <c r="BH225" s="15"/>
      <c r="BI225" s="15"/>
      <c r="BJ225" s="15"/>
      <c r="BK225" s="15"/>
      <c r="BL225" s="15"/>
      <c r="BM225" s="15"/>
      <c r="BN225" s="15"/>
      <c r="BO225" s="15"/>
      <c r="BP225" s="31"/>
      <c r="BQ225" s="15"/>
      <c r="BR225" s="15"/>
      <c r="BS225" s="15"/>
      <c r="BT225" s="15"/>
      <c r="BU225" s="15"/>
      <c r="BV225" s="15"/>
      <c r="BW225" s="15"/>
      <c r="BX225" s="15"/>
      <c r="BY225" s="15"/>
      <c r="BZ225" s="15"/>
      <c r="CA225" s="15"/>
      <c r="CB225" s="15"/>
      <c r="CC225" s="15"/>
      <c r="CD225" s="15"/>
      <c r="CE225" s="15"/>
      <c r="CF225" s="15"/>
      <c r="CG225" s="15"/>
      <c r="CH225" s="15"/>
      <c r="CI225" s="15"/>
      <c r="CJ225" s="15"/>
      <c r="CK225" s="15"/>
      <c r="CL225" s="15"/>
      <c r="CM225" s="15"/>
      <c r="CN225" s="15"/>
      <c r="CO225" s="15"/>
      <c r="CP225" s="15"/>
      <c r="CQ225" s="15"/>
      <c r="CR225" s="15"/>
      <c r="CS225" s="15"/>
      <c r="CT225" s="15"/>
      <c r="CU225" s="15"/>
      <c r="CV225" s="15"/>
      <c r="CW225" s="15"/>
      <c r="CX225" s="15"/>
      <c r="CY225" s="15"/>
      <c r="CZ225" s="15"/>
      <c r="DA225" s="15"/>
      <c r="DB225" s="15"/>
      <c r="DC225" s="15"/>
    </row>
    <row r="226" spans="1:112">
      <c r="B226" s="908" t="s">
        <v>1549</v>
      </c>
      <c r="C226" s="48"/>
      <c r="D226" s="48"/>
      <c r="E226" s="48"/>
      <c r="F226" s="812"/>
      <c r="G226" s="812"/>
      <c r="H226" s="812"/>
      <c r="I226" s="812"/>
      <c r="J226" s="812"/>
      <c r="K226" s="812"/>
      <c r="L226" s="812"/>
      <c r="M226" s="909"/>
      <c r="N226" s="909">
        <f>SUM(BP226:BS226)</f>
        <v>173.756</v>
      </c>
      <c r="O226" s="909">
        <f>SUM(BT226:BW226)</f>
        <v>253.822</v>
      </c>
      <c r="P226" s="909">
        <f>SUM(BX226:CA226)</f>
        <v>337.75800000000004</v>
      </c>
      <c r="Q226" s="909">
        <f>SUM(CB226:CE226)</f>
        <v>393.54300000000001</v>
      </c>
      <c r="R226" s="909">
        <f>SUM(CF226:CI226)</f>
        <v>431.00800000000004</v>
      </c>
      <c r="S226" s="909">
        <f>SUM(CJ226:CM226)</f>
        <v>484.12900000000002</v>
      </c>
      <c r="T226" s="909">
        <f>SUM(CN226:CQ226)</f>
        <v>528.92899999999997</v>
      </c>
      <c r="U226" s="909">
        <f>SUM(CR226:CU226)</f>
        <v>843.51</v>
      </c>
      <c r="V226" s="909">
        <f>SUM(CV226:CY226)</f>
        <v>1028.8919999999998</v>
      </c>
      <c r="W226" s="909">
        <f ca="1">SUM(CZ226:DC226)</f>
        <v>1145.2535023802948</v>
      </c>
      <c r="X226" s="909">
        <f ca="1">X219+X184</f>
        <v>1068.6071582547081</v>
      </c>
      <c r="Y226" s="909">
        <f ca="1">Y219+Y184</f>
        <v>1119.1830939566664</v>
      </c>
      <c r="Z226" s="909">
        <f ca="1">Z219+Z184</f>
        <v>1174.5018009925152</v>
      </c>
      <c r="AA226" s="909">
        <f t="shared" ref="AA226:AD226" ca="1" si="430">AA219+AA184</f>
        <v>1108.204357635519</v>
      </c>
      <c r="AB226" s="909">
        <f t="shared" ca="1" si="430"/>
        <v>642.39027044481043</v>
      </c>
      <c r="AC226" s="909">
        <f t="shared" ca="1" si="430"/>
        <v>345.7837590300627</v>
      </c>
      <c r="AD226" s="909">
        <f t="shared" ca="1" si="430"/>
        <v>345.7837590300627</v>
      </c>
      <c r="AE226" s="15"/>
      <c r="AF226" s="812"/>
      <c r="AG226" s="812"/>
      <c r="AH226" s="812"/>
      <c r="AI226" s="812"/>
      <c r="AJ226" s="812"/>
      <c r="AK226" s="812"/>
      <c r="AL226" s="812"/>
      <c r="AM226" s="812"/>
      <c r="AN226" s="812"/>
      <c r="AO226" s="812"/>
      <c r="AP226" s="812"/>
      <c r="AQ226" s="812"/>
      <c r="AR226" s="812"/>
      <c r="AS226" s="812"/>
      <c r="AT226" s="812"/>
      <c r="AU226" s="812"/>
      <c r="AV226" s="812"/>
      <c r="AW226" s="812"/>
      <c r="AX226" s="812"/>
      <c r="AY226" s="812"/>
      <c r="AZ226" s="812"/>
      <c r="BA226" s="812"/>
      <c r="BB226" s="812"/>
      <c r="BC226" s="812"/>
      <c r="BD226" s="812"/>
      <c r="BE226" s="812"/>
      <c r="BF226" s="812"/>
      <c r="BG226" s="812"/>
      <c r="BH226" s="812"/>
      <c r="BI226" s="812"/>
      <c r="BJ226" s="812"/>
      <c r="BK226" s="812"/>
      <c r="BL226" s="812"/>
      <c r="BM226" s="812"/>
      <c r="BN226" s="812"/>
      <c r="BO226" s="909">
        <f t="shared" ref="BO226:BW226" si="431">BO223+BO219+BO184</f>
        <v>44.106000000000002</v>
      </c>
      <c r="BP226" s="909">
        <f t="shared" si="431"/>
        <v>41.902000000000001</v>
      </c>
      <c r="BQ226" s="909">
        <f t="shared" si="431"/>
        <v>44.891000000000005</v>
      </c>
      <c r="BR226" s="909">
        <f t="shared" si="431"/>
        <v>44.490999999999985</v>
      </c>
      <c r="BS226" s="909">
        <f t="shared" si="431"/>
        <v>42.472000000000001</v>
      </c>
      <c r="BT226" s="909">
        <f t="shared" si="431"/>
        <v>49.257000000000005</v>
      </c>
      <c r="BU226" s="909">
        <f t="shared" si="431"/>
        <v>61.672000000000004</v>
      </c>
      <c r="BV226" s="909">
        <f t="shared" si="431"/>
        <v>70.716000000000008</v>
      </c>
      <c r="BW226" s="909">
        <f t="shared" si="431"/>
        <v>72.177000000000007</v>
      </c>
      <c r="BX226" s="909">
        <f>IS!CO45</f>
        <v>75.779000000000011</v>
      </c>
      <c r="BY226" s="909">
        <f>IS!CP45</f>
        <v>82.671000000000006</v>
      </c>
      <c r="BZ226" s="909">
        <f>IS!CQ45</f>
        <v>88.288000000000011</v>
      </c>
      <c r="CA226" s="909">
        <f>IS!CR45</f>
        <v>91.02000000000001</v>
      </c>
      <c r="CB226" s="909">
        <f>IS!CT45</f>
        <v>90.222000000000008</v>
      </c>
      <c r="CC226" s="909">
        <f>IS!CU45</f>
        <v>94.248000000000005</v>
      </c>
      <c r="CD226" s="909">
        <f>IS!CV45</f>
        <v>105.52200000000001</v>
      </c>
      <c r="CE226" s="909">
        <f>IS!CW45</f>
        <v>103.551</v>
      </c>
      <c r="CF226" s="909">
        <f>IS!CX45</f>
        <v>108.60300000000001</v>
      </c>
      <c r="CG226" s="909">
        <f>IS!CY45</f>
        <v>110.18900000000001</v>
      </c>
      <c r="CH226" s="909">
        <f>IS!CZ45</f>
        <v>105.53399999999999</v>
      </c>
      <c r="CI226" s="909">
        <f>IS!DA45</f>
        <v>106.68199999999999</v>
      </c>
      <c r="CJ226" s="909">
        <f>IS!DB45</f>
        <v>113.61</v>
      </c>
      <c r="CK226" s="909">
        <f>IS!DC45</f>
        <v>116.074</v>
      </c>
      <c r="CL226" s="909">
        <f>IS!DD45</f>
        <v>121.349</v>
      </c>
      <c r="CM226" s="909">
        <f>IS!DE45</f>
        <v>133.096</v>
      </c>
      <c r="CN226" s="909">
        <f>IS!DF45</f>
        <v>122.52999999999999</v>
      </c>
      <c r="CO226" s="909">
        <f>IS!DG45</f>
        <v>128.27000000000001</v>
      </c>
      <c r="CP226" s="909">
        <f>IS!DH45</f>
        <v>133.268</v>
      </c>
      <c r="CQ226" s="909">
        <f>IS!DI45</f>
        <v>144.86099999999999</v>
      </c>
      <c r="CR226" s="909">
        <f>IS!DJ45</f>
        <v>202.15300000000002</v>
      </c>
      <c r="CS226" s="909">
        <f>IS!DK45</f>
        <v>213.71899999999999</v>
      </c>
      <c r="CT226" s="909">
        <f>IS!DL45</f>
        <v>215.36999999999998</v>
      </c>
      <c r="CU226" s="909">
        <f>IS!DM45</f>
        <v>212.26800000000003</v>
      </c>
      <c r="CV226" s="909">
        <f>IS!DN45</f>
        <v>219.01300000000001</v>
      </c>
      <c r="CW226" s="909">
        <f>IS!DO45</f>
        <v>252.386</v>
      </c>
      <c r="CX226" s="909">
        <f>IS!DP45</f>
        <v>277.71899999999999</v>
      </c>
      <c r="CY226" s="909">
        <f>IS!DQ45</f>
        <v>279.774</v>
      </c>
      <c r="CZ226" s="909">
        <f t="shared" ref="CZ226:DC226" ca="1" si="432">CZ219+CZ184</f>
        <v>281.97049740043303</v>
      </c>
      <c r="DA226" s="909">
        <f t="shared" ca="1" si="432"/>
        <v>282.57294840672927</v>
      </c>
      <c r="DB226" s="909">
        <f t="shared" ca="1" si="432"/>
        <v>286.35341777667611</v>
      </c>
      <c r="DC226" s="909">
        <f t="shared" ca="1" si="432"/>
        <v>294.35663879645631</v>
      </c>
    </row>
    <row r="227" spans="1:112">
      <c r="B227" s="170" t="s">
        <v>1586</v>
      </c>
      <c r="C227" s="15"/>
      <c r="D227" s="15"/>
      <c r="E227" s="15"/>
      <c r="F227" s="15"/>
      <c r="G227" s="15"/>
      <c r="H227" s="15"/>
      <c r="I227" s="15"/>
      <c r="J227" s="15"/>
      <c r="K227" s="15"/>
      <c r="L227" s="15"/>
      <c r="M227" s="15"/>
      <c r="N227" s="983"/>
      <c r="O227" s="983">
        <f>O226-IS!O45-O224</f>
        <v>-2.1316282072803006E-14</v>
      </c>
      <c r="P227" s="983">
        <f>P226-IS!P45</f>
        <v>0</v>
      </c>
      <c r="Q227" s="983">
        <f>Q226-IS!Q45</f>
        <v>0</v>
      </c>
      <c r="R227" s="983">
        <f>R226-IS!R45</f>
        <v>0</v>
      </c>
      <c r="S227" s="983">
        <f>S226-IS!S45</f>
        <v>0</v>
      </c>
      <c r="T227" s="983">
        <f>T226-IS!T45</f>
        <v>0</v>
      </c>
      <c r="U227" s="983">
        <f>U226-IS!U45</f>
        <v>0</v>
      </c>
      <c r="V227" s="983">
        <f>V226-IS!V45</f>
        <v>0</v>
      </c>
      <c r="W227" s="983">
        <f ca="1">W226-IS!W45</f>
        <v>0</v>
      </c>
      <c r="X227" s="983">
        <f ca="1">X226-IS!X45</f>
        <v>0</v>
      </c>
      <c r="Y227" s="983">
        <f ca="1">Y226-IS!Y45</f>
        <v>0</v>
      </c>
      <c r="Z227" s="983">
        <f ca="1">Z226-IS!Z45</f>
        <v>0</v>
      </c>
      <c r="AA227" s="983">
        <f ca="1">AA226-IS!AA45</f>
        <v>0</v>
      </c>
      <c r="AB227" s="983">
        <f ca="1">AB226-IS!AB45</f>
        <v>0</v>
      </c>
      <c r="AC227" s="983">
        <f ca="1">AC226-IS!AC45</f>
        <v>0</v>
      </c>
      <c r="AD227" s="983">
        <f ca="1">AD226-IS!AD45</f>
        <v>0</v>
      </c>
      <c r="AE227" s="15"/>
      <c r="AF227" s="15"/>
      <c r="AG227" s="15"/>
      <c r="AH227" s="15"/>
      <c r="AI227" s="15"/>
      <c r="AJ227" s="15"/>
      <c r="AK227" s="15"/>
      <c r="AL227" s="15"/>
      <c r="AM227" s="15"/>
      <c r="AN227" s="15"/>
      <c r="AO227" s="15"/>
      <c r="AP227" s="15"/>
      <c r="AQ227" s="15"/>
      <c r="AR227" s="15"/>
      <c r="AS227" s="15"/>
      <c r="AT227" s="15"/>
      <c r="AU227" s="15"/>
      <c r="AV227" s="15"/>
      <c r="AW227" s="15"/>
      <c r="AX227" s="15"/>
      <c r="AY227" s="15"/>
      <c r="AZ227" s="15"/>
      <c r="BA227" s="15"/>
      <c r="BB227" s="15"/>
      <c r="BC227" s="15"/>
      <c r="BD227" s="15"/>
      <c r="BE227" s="15"/>
      <c r="BF227" s="15"/>
      <c r="BG227" s="15"/>
      <c r="BH227" s="15"/>
      <c r="BI227" s="15"/>
      <c r="BJ227" s="15"/>
      <c r="BK227" s="15"/>
      <c r="BL227" s="15"/>
      <c r="BM227" s="15"/>
      <c r="BN227" s="15"/>
      <c r="BO227" s="15"/>
      <c r="BP227" s="983">
        <f>BP226-IS!CH45-BP224</f>
        <v>0</v>
      </c>
      <c r="BQ227" s="983">
        <f>BQ226-IS!CI45-BQ224</f>
        <v>0</v>
      </c>
      <c r="BR227" s="983">
        <f>BR226-IS!CJ45-BR224</f>
        <v>0</v>
      </c>
      <c r="BS227" s="983">
        <f>BS226-IS!CK45-BS224</f>
        <v>0</v>
      </c>
      <c r="BT227" s="983">
        <f>BT226-IS!CJ45-BT224</f>
        <v>7.1054273576010019E-15</v>
      </c>
      <c r="BU227" s="983">
        <f>BU226-IS!CK45-BU224</f>
        <v>0</v>
      </c>
      <c r="BV227" s="983">
        <f>BV226-IS!CL45-BV224</f>
        <v>0</v>
      </c>
      <c r="BW227" s="983">
        <f>BW226-IS!CM45-BW224</f>
        <v>0</v>
      </c>
      <c r="BX227" s="983">
        <f>BX226-IS!CO45</f>
        <v>0</v>
      </c>
      <c r="BY227" s="983">
        <f>BY226-IS!CP45</f>
        <v>0</v>
      </c>
      <c r="BZ227" s="983">
        <f>BZ226-IS!CQ45</f>
        <v>0</v>
      </c>
      <c r="CA227" s="983">
        <f>CA226-IS!CR45</f>
        <v>0</v>
      </c>
      <c r="CB227" s="983">
        <f>CB226-IS!CT45</f>
        <v>0</v>
      </c>
      <c r="CC227" s="983">
        <f>CC226-IS!CU45</f>
        <v>0</v>
      </c>
      <c r="CD227" s="983">
        <f>CD226-IS!CV45</f>
        <v>0</v>
      </c>
      <c r="CE227" s="983">
        <f>CE226-IS!CW45</f>
        <v>0</v>
      </c>
      <c r="CF227" s="983">
        <f>CF226-IS!CX45</f>
        <v>0</v>
      </c>
      <c r="CG227" s="983">
        <f>CG226-IS!CY45</f>
        <v>0</v>
      </c>
      <c r="CH227" s="983">
        <f>CH226-IS!CZ45</f>
        <v>0</v>
      </c>
      <c r="CI227" s="983">
        <f>CI226-IS!DA45</f>
        <v>0</v>
      </c>
      <c r="CJ227" s="983">
        <f>CJ226-IS!DB45</f>
        <v>0</v>
      </c>
      <c r="CK227" s="983">
        <f>CK226-IS!DC45</f>
        <v>0</v>
      </c>
      <c r="CL227" s="983">
        <f>CL226-IS!DD45</f>
        <v>0</v>
      </c>
      <c r="CM227" s="983">
        <f>CM226-IS!DE45</f>
        <v>0</v>
      </c>
      <c r="CN227" s="983">
        <f>CN226-IS!DF45</f>
        <v>0</v>
      </c>
      <c r="CO227" s="983">
        <f>CO226-IS!DG45</f>
        <v>0</v>
      </c>
      <c r="CP227" s="983">
        <f>CP226-IS!DH45</f>
        <v>0</v>
      </c>
      <c r="CQ227" s="983">
        <f>CQ226-IS!DI45</f>
        <v>0</v>
      </c>
      <c r="CR227" s="983">
        <f>CR226-IS!DJ45</f>
        <v>0</v>
      </c>
      <c r="CS227" s="983">
        <f>CS226-IS!DK45</f>
        <v>0</v>
      </c>
      <c r="CT227" s="983">
        <f>CT226-IS!DL45</f>
        <v>0</v>
      </c>
      <c r="CU227" s="983">
        <f>CU226-IS!DM45</f>
        <v>0</v>
      </c>
      <c r="CV227" s="983">
        <f>CV226-IS!DN45</f>
        <v>0</v>
      </c>
      <c r="CW227" s="983">
        <f>CW226-IS!DO45</f>
        <v>0</v>
      </c>
      <c r="CX227" s="983">
        <f>CX226-IS!DP45</f>
        <v>0</v>
      </c>
      <c r="CY227" s="983">
        <f>CY226-IS!DQ45</f>
        <v>0</v>
      </c>
      <c r="CZ227" s="983">
        <f ca="1">CZ226-IS!DR45</f>
        <v>0</v>
      </c>
      <c r="DA227" s="983">
        <f ca="1">DA226-IS!DS45</f>
        <v>0</v>
      </c>
      <c r="DB227" s="983">
        <f ca="1">DB226-IS!DT45</f>
        <v>0</v>
      </c>
      <c r="DC227" s="983">
        <f ca="1">DC226-IS!DU45</f>
        <v>0</v>
      </c>
    </row>
    <row r="228" spans="1:112">
      <c r="B228" s="876"/>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row>
    <row r="229" spans="1:112">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15"/>
      <c r="AU229" s="15"/>
      <c r="AV229" s="15"/>
      <c r="AW229" s="15"/>
      <c r="AX229" s="15"/>
      <c r="AY229" s="15"/>
      <c r="AZ229" s="15"/>
      <c r="BA229" s="15"/>
      <c r="BB229" s="15"/>
      <c r="BC229" s="15"/>
      <c r="BD229" s="15"/>
      <c r="BE229" s="15"/>
      <c r="BF229" s="15"/>
      <c r="BG229" s="15"/>
      <c r="BH229" s="15"/>
      <c r="BI229" s="15"/>
      <c r="BJ229" s="15"/>
      <c r="BK229" s="15"/>
      <c r="BL229" s="15"/>
      <c r="BM229" s="15"/>
      <c r="BN229" s="15"/>
      <c r="BO229" s="15"/>
      <c r="BP229" s="15"/>
      <c r="BQ229" s="15"/>
      <c r="BR229" s="15"/>
      <c r="BS229" s="15"/>
      <c r="BT229" s="15"/>
      <c r="BU229" s="15"/>
      <c r="BV229" s="15"/>
      <c r="BW229" s="15"/>
      <c r="BX229" s="15"/>
      <c r="BY229" s="15"/>
      <c r="BZ229" s="15"/>
      <c r="CA229" s="15"/>
      <c r="CB229" s="15"/>
      <c r="CC229" s="15"/>
      <c r="CD229" s="15"/>
      <c r="CE229" s="15"/>
      <c r="CF229" s="15"/>
      <c r="CG229" s="15"/>
      <c r="CH229" s="15"/>
      <c r="CI229" s="15"/>
      <c r="CJ229" s="15"/>
      <c r="CK229" s="15"/>
      <c r="CL229" s="15"/>
      <c r="CM229" s="15"/>
      <c r="CN229" s="15"/>
      <c r="CO229" s="15"/>
      <c r="CP229" s="15"/>
      <c r="CQ229" s="15"/>
      <c r="CR229" s="15"/>
      <c r="CS229" s="15"/>
      <c r="CT229" s="15"/>
      <c r="CU229" s="15"/>
      <c r="CV229" s="15"/>
      <c r="CW229" s="15"/>
      <c r="CX229" s="15"/>
      <c r="CY229" s="15"/>
      <c r="CZ229" s="15"/>
      <c r="DA229" s="15"/>
      <c r="DB229" s="15"/>
      <c r="DC229" s="15"/>
    </row>
    <row r="230" spans="1:112">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15"/>
      <c r="AU230" s="15"/>
      <c r="AV230" s="15"/>
      <c r="AW230" s="15"/>
      <c r="AX230" s="15"/>
      <c r="AY230" s="15"/>
      <c r="AZ230" s="15"/>
      <c r="BA230" s="15"/>
      <c r="BB230" s="15"/>
      <c r="BC230" s="15"/>
      <c r="BD230" s="15"/>
      <c r="BE230" s="15"/>
      <c r="BF230" s="15"/>
      <c r="BG230" s="15"/>
      <c r="BH230" s="15"/>
      <c r="BI230" s="15"/>
      <c r="BJ230" s="15"/>
      <c r="BK230" s="15"/>
      <c r="BL230" s="15"/>
      <c r="BM230" s="15"/>
      <c r="BN230" s="15"/>
      <c r="BO230" s="15"/>
      <c r="BP230" s="15"/>
      <c r="BQ230" s="15"/>
      <c r="BR230" s="15"/>
      <c r="BS230" s="15"/>
      <c r="BT230" s="15"/>
      <c r="BU230" s="15"/>
      <c r="BV230" s="15"/>
      <c r="BW230" s="15"/>
      <c r="BX230" s="15"/>
      <c r="BY230" s="15"/>
      <c r="BZ230" s="15"/>
      <c r="CA230" s="15"/>
      <c r="CB230" s="15"/>
      <c r="CC230" s="15"/>
      <c r="CD230" s="15"/>
      <c r="CE230" s="15"/>
      <c r="CF230" s="15"/>
      <c r="CG230" s="15"/>
      <c r="CH230" s="15"/>
      <c r="CI230" s="15"/>
      <c r="CJ230" s="15"/>
      <c r="CK230" s="15"/>
      <c r="CL230" s="15"/>
      <c r="CM230" s="15"/>
      <c r="CN230" s="15"/>
      <c r="CO230" s="15"/>
      <c r="CP230" s="15"/>
      <c r="CQ230" s="15"/>
      <c r="CR230" s="15"/>
      <c r="CS230" s="15"/>
      <c r="CT230" s="15"/>
      <c r="CU230" s="15"/>
      <c r="CV230" s="15"/>
      <c r="CW230" s="15"/>
      <c r="CX230" s="15"/>
      <c r="CY230" s="15"/>
      <c r="CZ230" s="15"/>
      <c r="DA230" s="15"/>
      <c r="DB230" s="15"/>
      <c r="DC230" s="15"/>
    </row>
    <row r="231" spans="1:112">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15"/>
      <c r="AU231" s="15"/>
      <c r="AV231" s="15"/>
      <c r="AW231" s="15"/>
      <c r="AX231" s="15"/>
      <c r="AY231" s="15"/>
      <c r="AZ231" s="15"/>
      <c r="BA231" s="15"/>
      <c r="BB231" s="15"/>
      <c r="BC231" s="15"/>
      <c r="BD231" s="15"/>
      <c r="BE231" s="15"/>
      <c r="BF231" s="15"/>
      <c r="BG231" s="15"/>
      <c r="BH231" s="15"/>
      <c r="BI231" s="15"/>
      <c r="BJ231" s="15"/>
      <c r="BK231" s="15"/>
      <c r="BL231" s="15"/>
      <c r="BM231" s="15"/>
      <c r="BN231" s="15"/>
      <c r="BO231" s="15"/>
      <c r="BP231" s="15"/>
      <c r="BQ231" s="15"/>
      <c r="BR231" s="15"/>
      <c r="BS231" s="15"/>
      <c r="BT231" s="15"/>
      <c r="BU231" s="15"/>
      <c r="BV231" s="15"/>
      <c r="BW231" s="15"/>
      <c r="BX231" s="15"/>
      <c r="BY231" s="15"/>
      <c r="BZ231" s="15"/>
      <c r="CA231" s="15"/>
      <c r="CB231" s="15"/>
      <c r="CC231" s="15"/>
      <c r="CD231" s="15"/>
      <c r="CE231" s="15"/>
      <c r="CF231" s="15"/>
      <c r="CG231" s="15"/>
      <c r="CH231" s="15"/>
      <c r="CI231" s="15"/>
      <c r="CJ231" s="15"/>
      <c r="CK231" s="15"/>
      <c r="CL231" s="15"/>
      <c r="CM231" s="15"/>
      <c r="CN231" s="15"/>
      <c r="CO231" s="15"/>
      <c r="CP231" s="15"/>
      <c r="CQ231" s="15"/>
      <c r="CR231" s="15"/>
      <c r="CS231" s="15"/>
      <c r="CT231" s="15"/>
      <c r="CU231" s="15"/>
      <c r="CV231" s="15"/>
      <c r="CW231" s="15"/>
      <c r="CX231" s="15"/>
      <c r="CY231" s="15"/>
      <c r="CZ231" s="15"/>
      <c r="DA231" s="15"/>
      <c r="DB231" s="15"/>
      <c r="DC231" s="15"/>
    </row>
    <row r="232" spans="1:112">
      <c r="A232"/>
      <c r="DD232"/>
      <c r="DE232"/>
      <c r="DF232"/>
      <c r="DG232"/>
      <c r="DH232"/>
    </row>
  </sheetData>
  <phoneticPr fontId="2" type="noConversion"/>
  <pageMargins left="0" right="0" top="0" bottom="0" header="0" footer="0"/>
  <pageSetup scale="93" orientation="landscape"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GI247"/>
  <sheetViews>
    <sheetView showGridLines="0" zoomScale="70" zoomScaleNormal="70" workbookViewId="0">
      <pane xSplit="2" ySplit="6" topLeftCell="C7" activePane="bottomRight" state="frozen"/>
      <selection activeCell="W275" sqref="W275"/>
      <selection pane="topRight" activeCell="W275" sqref="W275"/>
      <selection pane="bottomLeft" activeCell="W275" sqref="W275"/>
      <selection pane="bottomRight" activeCell="C7" sqref="C7"/>
    </sheetView>
  </sheetViews>
  <sheetFormatPr defaultRowHeight="12.75" outlineLevelRow="1" outlineLevelCol="1"/>
  <cols>
    <col min="1" max="1" width="2.42578125" bestFit="1" customWidth="1"/>
    <col min="2" max="2" width="47.28515625" customWidth="1"/>
    <col min="3" max="3" width="6.28515625" bestFit="1" customWidth="1"/>
    <col min="4" max="8" width="8.28515625" hidden="1" customWidth="1" outlineLevel="1"/>
    <col min="9" max="12" width="9.140625" hidden="1" customWidth="1" outlineLevel="1"/>
    <col min="13" max="13" width="9.140625" hidden="1" customWidth="1" outlineLevel="1" collapsed="1"/>
    <col min="14" max="14" width="9.140625" hidden="1" customWidth="1" outlineLevel="1"/>
    <col min="15" max="15" width="9.42578125" hidden="1" customWidth="1" outlineLevel="1"/>
    <col min="16" max="18" width="0" hidden="1" customWidth="1" outlineLevel="1" collapsed="1"/>
    <col min="19" max="19" width="10" hidden="1" customWidth="1" outlineLevel="1" collapsed="1"/>
    <col min="20" max="20" width="0" hidden="1" customWidth="1" outlineLevel="1" collapsed="1"/>
    <col min="21" max="21" width="10" bestFit="1" customWidth="1" collapsed="1"/>
    <col min="22" max="24" width="10" bestFit="1" customWidth="1"/>
    <col min="25" max="30" width="10" hidden="1" customWidth="1" outlineLevel="1"/>
    <col min="31" max="31" width="2.5703125" style="15" customWidth="1" collapsed="1"/>
    <col min="32" max="50" width="9.140625" hidden="1" customWidth="1" outlineLevel="1"/>
    <col min="51" max="51" width="9.7109375" hidden="1" customWidth="1" outlineLevel="1"/>
    <col min="52" max="62" width="9.140625" hidden="1" customWidth="1" outlineLevel="1"/>
    <col min="63" max="63" width="8.140625" hidden="1" customWidth="1" outlineLevel="1"/>
    <col min="64" max="64" width="9.42578125" hidden="1" customWidth="1" outlineLevel="1" collapsed="1"/>
    <col min="65" max="67" width="9.42578125" hidden="1" customWidth="1" outlineLevel="1"/>
    <col min="68" max="68" width="9.5703125" hidden="1" customWidth="1" outlineLevel="1" collapsed="1"/>
    <col min="69" max="69" width="9.5703125" hidden="1" customWidth="1" outlineLevel="1"/>
    <col min="70" max="70" width="7.85546875" hidden="1" customWidth="1" outlineLevel="1"/>
    <col min="71" max="71" width="9.42578125" hidden="1" customWidth="1" outlineLevel="1"/>
    <col min="72" max="72" width="9" hidden="1" customWidth="1" outlineLevel="1" collapsed="1"/>
    <col min="73" max="73" width="9.5703125" hidden="1" customWidth="1" outlineLevel="1"/>
    <col min="74" max="74" width="9" hidden="1" customWidth="1" outlineLevel="1"/>
    <col min="75" max="75" width="9.42578125" hidden="1" customWidth="1" outlineLevel="1"/>
    <col min="76" max="76" width="9.42578125" hidden="1" customWidth="1" outlineLevel="1" collapsed="1"/>
    <col min="77" max="79" width="9.42578125" hidden="1" customWidth="1" outlineLevel="1"/>
    <col min="80" max="80" width="9.42578125" hidden="1" customWidth="1" outlineLevel="1" collapsed="1"/>
    <col min="81" max="83" width="9.42578125" hidden="1" customWidth="1" outlineLevel="1"/>
    <col min="84" max="84" width="9.42578125" hidden="1" customWidth="1" outlineLevel="1" collapsed="1"/>
    <col min="85" max="87" width="9.42578125" hidden="1" customWidth="1" outlineLevel="1"/>
    <col min="88" max="88" width="9.42578125" hidden="1" customWidth="1" outlineLevel="1" collapsed="1"/>
    <col min="89" max="91" width="9.42578125" hidden="1" customWidth="1" outlineLevel="1"/>
    <col min="92" max="92" width="9.42578125" hidden="1" customWidth="1" outlineLevel="1" collapsed="1"/>
    <col min="93" max="95" width="9.42578125" hidden="1" customWidth="1" outlineLevel="1"/>
    <col min="96" max="96" width="9.42578125" hidden="1" customWidth="1" outlineLevel="1" collapsed="1"/>
    <col min="97" max="99" width="9.42578125" hidden="1" customWidth="1" outlineLevel="1"/>
    <col min="100" max="100" width="9.42578125" customWidth="1" collapsed="1"/>
    <col min="101" max="107" width="9.42578125" customWidth="1"/>
    <col min="108" max="109" width="9.42578125" style="15" customWidth="1"/>
    <col min="110" max="149" width="9.140625" style="15" hidden="1" customWidth="1" outlineLevel="1"/>
    <col min="150" max="150" width="9.140625" style="15" collapsed="1"/>
    <col min="151" max="151" width="9.140625" style="42"/>
    <col min="152" max="152" width="70.140625" bestFit="1" customWidth="1"/>
    <col min="153" max="154" width="13.42578125" bestFit="1" customWidth="1"/>
    <col min="155" max="155" width="12.42578125" bestFit="1" customWidth="1"/>
    <col min="156" max="156" width="19.5703125" bestFit="1" customWidth="1"/>
    <col min="157" max="157" width="11" bestFit="1" customWidth="1"/>
  </cols>
  <sheetData>
    <row r="1" spans="1:157" s="15" customFormat="1">
      <c r="B1" s="882" t="s">
        <v>952</v>
      </c>
      <c r="EU1" s="42"/>
      <c r="EV1"/>
      <c r="EW1"/>
      <c r="EX1"/>
      <c r="EY1"/>
      <c r="EZ1"/>
      <c r="FA1"/>
    </row>
    <row r="2" spans="1:157" s="15" customFormat="1">
      <c r="B2" s="528" t="s">
        <v>1719</v>
      </c>
      <c r="BP2" s="973"/>
      <c r="BQ2" s="973"/>
      <c r="BR2" s="973"/>
      <c r="BS2" s="973"/>
      <c r="BU2" s="1691"/>
      <c r="BV2" s="1691"/>
      <c r="EU2" s="42"/>
      <c r="EV2"/>
      <c r="EW2"/>
      <c r="EX2"/>
      <c r="EY2"/>
      <c r="EZ2"/>
      <c r="FA2"/>
    </row>
    <row r="3" spans="1:157" s="15" customFormat="1">
      <c r="B3" s="14" t="s">
        <v>1102</v>
      </c>
      <c r="I3" s="768"/>
      <c r="Q3" s="766" t="str">
        <f>IF(mode=2, "BASE CASE", IF(mode=1, "BULL CASE", IF(mode=3, "BEAR CASE", na)))</f>
        <v>BASE CASE</v>
      </c>
      <c r="BP3" s="26"/>
      <c r="BQ3" s="26"/>
      <c r="BR3" s="26"/>
      <c r="BS3" s="26"/>
      <c r="BT3" s="886"/>
      <c r="BU3" s="886"/>
      <c r="BV3" s="886"/>
      <c r="BY3" s="768"/>
      <c r="EU3" s="42"/>
      <c r="EV3"/>
      <c r="EW3"/>
      <c r="EX3"/>
      <c r="EY3"/>
      <c r="EZ3"/>
      <c r="FA3"/>
    </row>
    <row r="4" spans="1:157" s="15" customFormat="1">
      <c r="Z4" s="770"/>
      <c r="AA4" s="770"/>
      <c r="AB4" s="770"/>
      <c r="AC4" s="770"/>
      <c r="AD4" s="770"/>
      <c r="BP4" s="829"/>
      <c r="BQ4" s="829"/>
      <c r="BR4" s="829"/>
      <c r="BS4" s="829"/>
      <c r="BT4" s="829"/>
      <c r="BU4" s="829"/>
      <c r="BV4" s="829"/>
      <c r="BW4" s="829"/>
      <c r="BX4" s="124"/>
      <c r="BY4" s="124"/>
      <c r="BZ4" s="124"/>
      <c r="CA4" s="1525"/>
      <c r="CB4" s="124"/>
      <c r="CC4" s="124"/>
      <c r="CD4" s="1525"/>
      <c r="CE4" s="2042"/>
      <c r="CF4" s="124"/>
      <c r="CG4" s="124"/>
      <c r="CH4" s="124"/>
      <c r="CI4" s="124"/>
      <c r="CJ4" s="124"/>
      <c r="CK4" s="124"/>
      <c r="CL4" s="124"/>
      <c r="CM4" s="124"/>
      <c r="CN4" s="124"/>
      <c r="CO4" s="124"/>
      <c r="CP4" s="124"/>
      <c r="CQ4" s="124"/>
      <c r="CR4" s="124"/>
      <c r="CS4" s="124"/>
      <c r="CT4" s="124"/>
      <c r="CU4" s="124"/>
      <c r="CV4" s="124"/>
      <c r="CW4" s="124"/>
      <c r="CX4" s="124"/>
      <c r="CY4" s="124"/>
      <c r="CZ4" s="124"/>
      <c r="DA4" s="124"/>
      <c r="DB4" s="124"/>
      <c r="DC4" s="124"/>
      <c r="DD4" s="124"/>
      <c r="DE4" s="124"/>
      <c r="EU4" s="42"/>
      <c r="EV4"/>
      <c r="EW4"/>
      <c r="EX4"/>
      <c r="EY4"/>
      <c r="EZ4"/>
      <c r="FA4"/>
    </row>
    <row r="5" spans="1:157" s="15" customFormat="1">
      <c r="B5" s="773" t="s">
        <v>1122</v>
      </c>
      <c r="C5" s="974"/>
      <c r="D5" s="775"/>
      <c r="E5" s="775"/>
      <c r="F5" s="775"/>
      <c r="G5" s="775"/>
      <c r="H5" s="775"/>
      <c r="I5" s="775" t="s">
        <v>1052</v>
      </c>
      <c r="J5" s="775"/>
      <c r="K5" s="775"/>
      <c r="L5" s="776"/>
      <c r="M5" s="776"/>
      <c r="N5" s="775"/>
      <c r="O5" s="775"/>
      <c r="P5" s="775"/>
      <c r="Q5" s="775"/>
      <c r="R5" s="775"/>
      <c r="S5" s="775"/>
      <c r="T5" s="775"/>
      <c r="U5" s="775"/>
      <c r="V5" s="775"/>
      <c r="W5" s="775"/>
      <c r="X5" s="775"/>
      <c r="Y5" s="775"/>
      <c r="Z5" s="888"/>
      <c r="AA5" s="888"/>
      <c r="AB5" s="888"/>
      <c r="AC5" s="888"/>
      <c r="AD5" s="888"/>
      <c r="AE5" s="778"/>
      <c r="AF5" s="776" t="s">
        <v>1242</v>
      </c>
      <c r="AG5" s="775"/>
      <c r="AH5" s="775"/>
      <c r="AI5" s="779"/>
      <c r="AJ5" s="776" t="s">
        <v>1241</v>
      </c>
      <c r="AK5" s="775"/>
      <c r="AL5" s="775"/>
      <c r="AM5" s="779"/>
      <c r="AN5" s="776" t="s">
        <v>1240</v>
      </c>
      <c r="AO5" s="775"/>
      <c r="AP5" s="775"/>
      <c r="AQ5" s="779"/>
      <c r="AR5" s="776" t="s">
        <v>1239</v>
      </c>
      <c r="AS5" s="775"/>
      <c r="AT5" s="775"/>
      <c r="AU5" s="779"/>
      <c r="AV5" s="776" t="s">
        <v>1238</v>
      </c>
      <c r="AW5" s="775"/>
      <c r="AX5" s="775"/>
      <c r="AY5" s="779"/>
      <c r="AZ5" s="776" t="s">
        <v>1059</v>
      </c>
      <c r="BA5" s="775"/>
      <c r="BB5" s="775"/>
      <c r="BC5" s="779"/>
      <c r="BD5" s="776" t="s">
        <v>1058</v>
      </c>
      <c r="BE5" s="775"/>
      <c r="BF5" s="775"/>
      <c r="BG5" s="779"/>
      <c r="BH5" s="776"/>
      <c r="BI5" s="775" t="s">
        <v>1057</v>
      </c>
      <c r="BJ5" s="775"/>
      <c r="BK5" s="891"/>
      <c r="BL5" s="776"/>
      <c r="BM5" s="775" t="s">
        <v>1234</v>
      </c>
      <c r="BN5" s="775"/>
      <c r="BO5" s="891"/>
      <c r="BP5" s="776"/>
      <c r="BQ5" s="775" t="s">
        <v>843</v>
      </c>
      <c r="BR5" s="775"/>
      <c r="BS5" s="891"/>
      <c r="BT5" s="776"/>
      <c r="BU5" s="775" t="s">
        <v>634</v>
      </c>
      <c r="BV5" s="775"/>
      <c r="BW5" s="891"/>
      <c r="BX5" s="776"/>
      <c r="BY5" s="775">
        <v>2011</v>
      </c>
      <c r="BZ5" s="775"/>
      <c r="CA5" s="891"/>
      <c r="CB5" s="779" t="s">
        <v>1343</v>
      </c>
      <c r="CC5" s="779"/>
      <c r="CD5" s="779"/>
      <c r="CE5" s="779"/>
      <c r="CF5" s="1670">
        <f>Rev!CF5</f>
        <v>2013</v>
      </c>
      <c r="CG5" s="1671"/>
      <c r="CH5" s="1671"/>
      <c r="CI5" s="1666"/>
      <c r="CJ5" s="1670">
        <f>Rev!CJ5</f>
        <v>2014</v>
      </c>
      <c r="CK5" s="1671"/>
      <c r="CL5" s="1671"/>
      <c r="CM5" s="1666"/>
      <c r="CN5" s="1670">
        <f>Rev!CN5</f>
        <v>2015</v>
      </c>
      <c r="CO5" s="1671"/>
      <c r="CP5" s="1671"/>
      <c r="CQ5" s="1666"/>
      <c r="CR5" s="1670">
        <f>Rev!CR5</f>
        <v>2016</v>
      </c>
      <c r="CS5" s="1671"/>
      <c r="CT5" s="1671"/>
      <c r="CU5" s="1666"/>
      <c r="CV5" s="1670">
        <f>Rev!CV5</f>
        <v>2017</v>
      </c>
      <c r="CW5" s="1671"/>
      <c r="CX5" s="1671"/>
      <c r="CY5" s="1666"/>
      <c r="CZ5" s="1670" t="str">
        <f>Rev!CZ5</f>
        <v>2018E</v>
      </c>
      <c r="DA5" s="1671"/>
      <c r="DB5" s="1671"/>
      <c r="DC5" s="1666"/>
      <c r="DE5" s="1153"/>
      <c r="DF5" s="775" t="s">
        <v>1242</v>
      </c>
      <c r="DG5" s="775"/>
      <c r="DH5" s="775"/>
      <c r="DI5" s="779"/>
      <c r="DJ5" s="776" t="s">
        <v>1241</v>
      </c>
      <c r="DK5" s="775"/>
      <c r="DL5" s="775"/>
      <c r="DM5" s="779"/>
      <c r="DN5" s="776" t="s">
        <v>1240</v>
      </c>
      <c r="DO5" s="775"/>
      <c r="DP5" s="775"/>
      <c r="DQ5" s="779"/>
      <c r="DR5" s="776" t="s">
        <v>1239</v>
      </c>
      <c r="DS5" s="775"/>
      <c r="DT5" s="775"/>
      <c r="DU5" s="779"/>
      <c r="DV5" s="776" t="s">
        <v>1238</v>
      </c>
      <c r="DW5" s="775"/>
      <c r="DX5" s="775"/>
      <c r="DY5" s="779"/>
      <c r="DZ5" s="776" t="s">
        <v>1059</v>
      </c>
      <c r="EA5" s="775"/>
      <c r="EB5" s="775"/>
      <c r="EC5" s="779"/>
      <c r="ED5" s="776" t="s">
        <v>1058</v>
      </c>
      <c r="EE5" s="775"/>
      <c r="EF5" s="775"/>
      <c r="EG5" s="779"/>
      <c r="EH5" s="776" t="s">
        <v>1057</v>
      </c>
      <c r="EI5" s="775"/>
      <c r="EJ5" s="775"/>
      <c r="EK5" s="779"/>
      <c r="EL5" s="776" t="s">
        <v>982</v>
      </c>
      <c r="EM5" s="775"/>
      <c r="EN5" s="775"/>
      <c r="EO5" s="779"/>
      <c r="EP5" s="776" t="s">
        <v>983</v>
      </c>
      <c r="EQ5" s="775"/>
      <c r="ER5" s="775"/>
      <c r="ES5" s="779"/>
      <c r="EU5" s="42"/>
      <c r="EV5"/>
      <c r="EW5"/>
      <c r="EX5"/>
      <c r="EY5"/>
      <c r="EZ5"/>
      <c r="FA5"/>
    </row>
    <row r="6" spans="1:157" s="15" customFormat="1">
      <c r="B6" s="773" t="s">
        <v>468</v>
      </c>
      <c r="C6" s="974"/>
      <c r="D6" s="781" t="s">
        <v>1254</v>
      </c>
      <c r="E6" s="781" t="str">
        <f>AF5</f>
        <v>2000A</v>
      </c>
      <c r="F6" s="781" t="str">
        <f>AJ5</f>
        <v>2001A</v>
      </c>
      <c r="G6" s="781" t="str">
        <f>AN5</f>
        <v>2002A</v>
      </c>
      <c r="H6" s="781" t="str">
        <f>AR5</f>
        <v>2003A</v>
      </c>
      <c r="I6" s="781" t="str">
        <f>AV5</f>
        <v>2004A</v>
      </c>
      <c r="J6" s="781" t="str">
        <f>AZ5</f>
        <v>2005A</v>
      </c>
      <c r="K6" s="781" t="str">
        <f>BD5</f>
        <v>2006A</v>
      </c>
      <c r="L6" s="780" t="s">
        <v>1057</v>
      </c>
      <c r="M6" s="780" t="s">
        <v>1234</v>
      </c>
      <c r="N6" s="781" t="s">
        <v>843</v>
      </c>
      <c r="O6" s="781" t="s">
        <v>634</v>
      </c>
      <c r="P6" s="781">
        <v>2011</v>
      </c>
      <c r="Q6" s="781">
        <v>2012</v>
      </c>
      <c r="R6" s="2190">
        <f>IS!R7</f>
        <v>2013</v>
      </c>
      <c r="S6" s="2190">
        <f>IS!S7</f>
        <v>2014</v>
      </c>
      <c r="T6" s="2190">
        <f>IS!T7</f>
        <v>2015</v>
      </c>
      <c r="U6" s="2190">
        <f>IS!U7</f>
        <v>2016</v>
      </c>
      <c r="V6" s="2190">
        <f>IS!V7</f>
        <v>2017</v>
      </c>
      <c r="W6" s="2190" t="str">
        <f>IS!W7</f>
        <v>2018E</v>
      </c>
      <c r="X6" s="2190" t="str">
        <f>IS!X7</f>
        <v>2019E</v>
      </c>
      <c r="Y6" s="2190" t="str">
        <f>IS!Y7</f>
        <v>2020E</v>
      </c>
      <c r="Z6" s="2309" t="str">
        <f>IS!Z7</f>
        <v>2021E</v>
      </c>
      <c r="AA6" s="2309" t="str">
        <f>IS!AA7</f>
        <v>2022E</v>
      </c>
      <c r="AB6" s="2309" t="str">
        <f>IS!AB7</f>
        <v>2023E</v>
      </c>
      <c r="AC6" s="2309" t="str">
        <f>IS!AC7</f>
        <v>2024E</v>
      </c>
      <c r="AD6" s="2309" t="str">
        <f>IS!AD7</f>
        <v>2025E</v>
      </c>
      <c r="AE6" s="778"/>
      <c r="AF6" s="780" t="s">
        <v>1053</v>
      </c>
      <c r="AG6" s="781" t="s">
        <v>1054</v>
      </c>
      <c r="AH6" s="781" t="s">
        <v>1055</v>
      </c>
      <c r="AI6" s="782" t="s">
        <v>1056</v>
      </c>
      <c r="AJ6" s="780" t="s">
        <v>1053</v>
      </c>
      <c r="AK6" s="781" t="s">
        <v>1054</v>
      </c>
      <c r="AL6" s="781" t="s">
        <v>1055</v>
      </c>
      <c r="AM6" s="782" t="s">
        <v>1056</v>
      </c>
      <c r="AN6" s="780" t="s">
        <v>1053</v>
      </c>
      <c r="AO6" s="781" t="s">
        <v>1054</v>
      </c>
      <c r="AP6" s="781" t="s">
        <v>1055</v>
      </c>
      <c r="AQ6" s="782" t="s">
        <v>1056</v>
      </c>
      <c r="AR6" s="780" t="s">
        <v>1053</v>
      </c>
      <c r="AS6" s="781" t="s">
        <v>1054</v>
      </c>
      <c r="AT6" s="781" t="s">
        <v>1055</v>
      </c>
      <c r="AU6" s="782" t="s">
        <v>1056</v>
      </c>
      <c r="AV6" s="780" t="s">
        <v>1053</v>
      </c>
      <c r="AW6" s="781" t="s">
        <v>1054</v>
      </c>
      <c r="AX6" s="781" t="s">
        <v>1055</v>
      </c>
      <c r="AY6" s="782" t="s">
        <v>1056</v>
      </c>
      <c r="AZ6" s="780" t="s">
        <v>1053</v>
      </c>
      <c r="BA6" s="781" t="s">
        <v>1054</v>
      </c>
      <c r="BB6" s="781" t="s">
        <v>1055</v>
      </c>
      <c r="BC6" s="782" t="s">
        <v>1056</v>
      </c>
      <c r="BD6" s="780" t="s">
        <v>1053</v>
      </c>
      <c r="BE6" s="781" t="s">
        <v>1054</v>
      </c>
      <c r="BF6" s="781" t="s">
        <v>1055</v>
      </c>
      <c r="BG6" s="782" t="s">
        <v>1056</v>
      </c>
      <c r="BH6" s="780" t="s">
        <v>1053</v>
      </c>
      <c r="BI6" s="781" t="s">
        <v>1054</v>
      </c>
      <c r="BJ6" s="781" t="s">
        <v>1055</v>
      </c>
      <c r="BK6" s="782" t="s">
        <v>1056</v>
      </c>
      <c r="BL6" s="780" t="s">
        <v>1053</v>
      </c>
      <c r="BM6" s="781" t="s">
        <v>1054</v>
      </c>
      <c r="BN6" s="781" t="s">
        <v>1055</v>
      </c>
      <c r="BO6" s="782" t="s">
        <v>1056</v>
      </c>
      <c r="BP6" s="780" t="s">
        <v>1053</v>
      </c>
      <c r="BQ6" s="781" t="s">
        <v>1054</v>
      </c>
      <c r="BR6" s="781" t="s">
        <v>1055</v>
      </c>
      <c r="BS6" s="782" t="s">
        <v>1056</v>
      </c>
      <c r="BT6" s="780" t="s">
        <v>1053</v>
      </c>
      <c r="BU6" s="781" t="s">
        <v>1054</v>
      </c>
      <c r="BV6" s="781" t="s">
        <v>1055</v>
      </c>
      <c r="BW6" s="782" t="s">
        <v>1056</v>
      </c>
      <c r="BX6" s="780" t="s">
        <v>1791</v>
      </c>
      <c r="BY6" s="781" t="s">
        <v>1790</v>
      </c>
      <c r="BZ6" s="781" t="s">
        <v>1381</v>
      </c>
      <c r="CA6" s="782" t="s">
        <v>881</v>
      </c>
      <c r="CB6" s="780" t="s">
        <v>683</v>
      </c>
      <c r="CC6" s="781" t="s">
        <v>1622</v>
      </c>
      <c r="CD6" s="781" t="s">
        <v>799</v>
      </c>
      <c r="CE6" s="782" t="s">
        <v>1723</v>
      </c>
      <c r="CF6" s="1664" t="str">
        <f>Rev!CF6</f>
        <v>1Q13</v>
      </c>
      <c r="CG6" s="1664" t="str">
        <f>Rev!CG6</f>
        <v>2Q13</v>
      </c>
      <c r="CH6" s="1664" t="str">
        <f>Rev!CH6</f>
        <v>3Q13</v>
      </c>
      <c r="CI6" s="1672" t="str">
        <f>Rev!CI6</f>
        <v>4Q13</v>
      </c>
      <c r="CJ6" s="1664" t="str">
        <f>Rev!CJ6</f>
        <v>1Q14</v>
      </c>
      <c r="CK6" s="1664" t="str">
        <f>Rev!CK6</f>
        <v>2Q14</v>
      </c>
      <c r="CL6" s="1664" t="str">
        <f>Rev!CL6</f>
        <v>3Q14</v>
      </c>
      <c r="CM6" s="1672" t="str">
        <f>Rev!CM6</f>
        <v>4Q14</v>
      </c>
      <c r="CN6" s="1664" t="str">
        <f>Rev!CN6</f>
        <v>1Q15</v>
      </c>
      <c r="CO6" s="1664" t="str">
        <f>Rev!CO6</f>
        <v>2Q15</v>
      </c>
      <c r="CP6" s="1664" t="str">
        <f>Rev!CP6</f>
        <v>3Q15</v>
      </c>
      <c r="CQ6" s="1672" t="str">
        <f>Rev!CQ6</f>
        <v>4Q15</v>
      </c>
      <c r="CR6" s="1664" t="str">
        <f>Rev!CR6</f>
        <v>1Q16</v>
      </c>
      <c r="CS6" s="1664" t="str">
        <f>Rev!CS6</f>
        <v>2Q16</v>
      </c>
      <c r="CT6" s="1664" t="str">
        <f>Rev!CT6</f>
        <v>3Q16</v>
      </c>
      <c r="CU6" s="1672" t="str">
        <f>Rev!CU6</f>
        <v>4Q16</v>
      </c>
      <c r="CV6" s="1664" t="str">
        <f>Rev!CV6</f>
        <v>1Q17</v>
      </c>
      <c r="CW6" s="1664" t="str">
        <f>Rev!CW6</f>
        <v>2Q17</v>
      </c>
      <c r="CX6" s="1664" t="str">
        <f>Rev!CX6</f>
        <v>3Q17</v>
      </c>
      <c r="CY6" s="1672" t="str">
        <f>Rev!CY6</f>
        <v>4Q17</v>
      </c>
      <c r="CZ6" s="1664" t="str">
        <f>Rev!CZ6</f>
        <v>1Q18E</v>
      </c>
      <c r="DA6" s="1664" t="str">
        <f>Rev!DA6</f>
        <v>2Q18E</v>
      </c>
      <c r="DB6" s="1664" t="str">
        <f>Rev!DB6</f>
        <v>3Q18E</v>
      </c>
      <c r="DC6" s="1672" t="str">
        <f>Rev!DC6</f>
        <v>4Q18E</v>
      </c>
      <c r="DE6" s="1153"/>
      <c r="DF6" s="781" t="s">
        <v>1053</v>
      </c>
      <c r="DG6" s="781" t="s">
        <v>1054</v>
      </c>
      <c r="DH6" s="781" t="s">
        <v>1055</v>
      </c>
      <c r="DI6" s="782" t="s">
        <v>1056</v>
      </c>
      <c r="DJ6" s="780" t="s">
        <v>1053</v>
      </c>
      <c r="DK6" s="781" t="s">
        <v>1054</v>
      </c>
      <c r="DL6" s="781" t="s">
        <v>1055</v>
      </c>
      <c r="DM6" s="782" t="s">
        <v>1056</v>
      </c>
      <c r="DN6" s="780" t="s">
        <v>1053</v>
      </c>
      <c r="DO6" s="781" t="s">
        <v>1054</v>
      </c>
      <c r="DP6" s="781" t="s">
        <v>1055</v>
      </c>
      <c r="DQ6" s="782" t="s">
        <v>1056</v>
      </c>
      <c r="DR6" s="780" t="s">
        <v>1053</v>
      </c>
      <c r="DS6" s="781" t="s">
        <v>1054</v>
      </c>
      <c r="DT6" s="781" t="s">
        <v>1055</v>
      </c>
      <c r="DU6" s="782" t="s">
        <v>1056</v>
      </c>
      <c r="DV6" s="780" t="s">
        <v>1053</v>
      </c>
      <c r="DW6" s="781" t="s">
        <v>1054</v>
      </c>
      <c r="DX6" s="781" t="s">
        <v>1055</v>
      </c>
      <c r="DY6" s="782" t="s">
        <v>1056</v>
      </c>
      <c r="DZ6" s="780" t="s">
        <v>1053</v>
      </c>
      <c r="EA6" s="781" t="s">
        <v>1054</v>
      </c>
      <c r="EB6" s="781" t="s">
        <v>1055</v>
      </c>
      <c r="EC6" s="782" t="s">
        <v>1056</v>
      </c>
      <c r="ED6" s="780" t="s">
        <v>1053</v>
      </c>
      <c r="EE6" s="781" t="s">
        <v>1054</v>
      </c>
      <c r="EF6" s="781" t="s">
        <v>1055</v>
      </c>
      <c r="EG6" s="782" t="s">
        <v>1056</v>
      </c>
      <c r="EH6" s="780" t="s">
        <v>1053</v>
      </c>
      <c r="EI6" s="781" t="s">
        <v>1054</v>
      </c>
      <c r="EJ6" s="781" t="s">
        <v>1055</v>
      </c>
      <c r="EK6" s="782" t="s">
        <v>1056</v>
      </c>
      <c r="EL6" s="780" t="s">
        <v>1053</v>
      </c>
      <c r="EM6" s="781" t="s">
        <v>1054</v>
      </c>
      <c r="EN6" s="781" t="s">
        <v>1055</v>
      </c>
      <c r="EO6" s="782" t="s">
        <v>1056</v>
      </c>
      <c r="EP6" s="780" t="s">
        <v>1053</v>
      </c>
      <c r="EQ6" s="781" t="s">
        <v>1054</v>
      </c>
      <c r="ER6" s="781" t="s">
        <v>1055</v>
      </c>
      <c r="ES6" s="782" t="s">
        <v>1056</v>
      </c>
      <c r="EU6" s="42"/>
      <c r="EV6"/>
      <c r="EW6"/>
      <c r="EX6"/>
      <c r="EY6"/>
      <c r="EZ6"/>
      <c r="FA6"/>
    </row>
    <row r="7" spans="1:157" s="15" customFormat="1">
      <c r="A7" s="1163" t="s">
        <v>604</v>
      </c>
      <c r="B7" s="14" t="s">
        <v>1103</v>
      </c>
      <c r="C7" s="23"/>
      <c r="D7" s="23"/>
      <c r="E7" s="23"/>
      <c r="F7" s="23"/>
      <c r="G7" s="23"/>
      <c r="H7" s="23"/>
      <c r="I7" s="23"/>
      <c r="J7" s="23"/>
      <c r="K7" s="23"/>
      <c r="L7" s="23"/>
      <c r="M7" s="123"/>
      <c r="N7" s="23"/>
      <c r="O7" s="1652"/>
      <c r="P7" s="1652" t="s">
        <v>923</v>
      </c>
      <c r="Q7" s="1652"/>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c r="BM7" s="23"/>
      <c r="BN7" s="23"/>
      <c r="BO7" s="23"/>
      <c r="BP7" s="23"/>
      <c r="BQ7" s="23"/>
      <c r="BR7" s="23"/>
      <c r="BS7" s="23"/>
      <c r="BT7" s="23"/>
      <c r="BU7" s="1652" t="s">
        <v>923</v>
      </c>
      <c r="BV7" s="1652"/>
      <c r="BW7" s="1652"/>
      <c r="BX7" s="1652" t="s">
        <v>923</v>
      </c>
      <c r="BY7" s="1652"/>
      <c r="BZ7" s="1652"/>
      <c r="CA7" s="1652"/>
      <c r="CB7" s="1652" t="s">
        <v>923</v>
      </c>
      <c r="CC7" s="1652"/>
      <c r="CD7" s="1652"/>
      <c r="CE7" s="23"/>
      <c r="CF7" s="23"/>
      <c r="CG7" s="23"/>
      <c r="CH7" s="23"/>
      <c r="CI7" s="23"/>
      <c r="CJ7" s="23"/>
      <c r="CK7" s="23"/>
      <c r="CL7" s="23"/>
      <c r="CM7" s="23"/>
      <c r="CN7" s="23"/>
      <c r="CO7" s="23"/>
      <c r="CP7" s="23"/>
      <c r="CQ7" s="23"/>
      <c r="CR7" s="23"/>
      <c r="CS7" s="23"/>
      <c r="CT7" s="23"/>
      <c r="CU7" s="23"/>
      <c r="CV7" s="23"/>
      <c r="CW7" s="23"/>
      <c r="CX7" s="23"/>
      <c r="CY7" s="23"/>
      <c r="CZ7" s="23"/>
      <c r="DA7" s="23"/>
      <c r="DB7" s="23"/>
      <c r="DC7" s="23"/>
      <c r="DD7" s="23"/>
      <c r="EU7" s="42"/>
      <c r="EV7"/>
      <c r="EW7"/>
      <c r="EX7"/>
      <c r="EY7"/>
      <c r="EZ7"/>
      <c r="FA7"/>
    </row>
    <row r="8" spans="1:157" s="15" customFormat="1">
      <c r="B8" s="164" t="s">
        <v>1013</v>
      </c>
      <c r="C8" s="23"/>
      <c r="D8" s="783"/>
      <c r="E8" s="783">
        <v>-119.79</v>
      </c>
      <c r="F8" s="783">
        <f>SUM(AJ8:AM8)</f>
        <v>-188.41499999999999</v>
      </c>
      <c r="G8" s="783">
        <f>SUM(AN8:AQ8)</f>
        <v>-21.617999999999995</v>
      </c>
      <c r="H8" s="783">
        <f>SUM(AR8:AU8)</f>
        <v>-84.171000000000006</v>
      </c>
      <c r="I8" s="783">
        <f>SUM(AV8:AY8)</f>
        <v>-68.631</v>
      </c>
      <c r="J8" s="783">
        <f>SUM(AZ8:BC8)</f>
        <v>-42.612000000000009</v>
      </c>
      <c r="K8" s="783">
        <f>SUM(BD8:BG8)</f>
        <v>-6.3970000000000002</v>
      </c>
      <c r="L8" s="783">
        <f>SUM(BH8:BK8)</f>
        <v>-5.1879999999999997</v>
      </c>
      <c r="M8" s="54">
        <f>SUM(BL8:BO8)</f>
        <v>112.902</v>
      </c>
      <c r="N8" s="1483">
        <f>SUM(BP8:BS8)</f>
        <v>69.430999999999997</v>
      </c>
      <c r="O8" s="1483">
        <f t="shared" ref="O8:O31" si="0">SUM(BT8:BW8)</f>
        <v>36.881000000000014</v>
      </c>
      <c r="P8" s="1483">
        <f t="shared" ref="P8:P13" si="1">SUM(BX8:CA8)</f>
        <v>92.609999999999928</v>
      </c>
      <c r="Q8" s="1483">
        <f t="shared" ref="Q8:Q13" si="2">SUM(CB8:CE8)</f>
        <v>143.14399999999995</v>
      </c>
      <c r="R8" s="1483">
        <f>SUM(CF8:CI8)</f>
        <v>96.123000000000019</v>
      </c>
      <c r="S8" s="1483">
        <f>SUM(CJ8:CM8)</f>
        <v>-260.72599999999989</v>
      </c>
      <c r="T8" s="1483">
        <f>SUM(CN8:CQ8)</f>
        <v>187.77399999999983</v>
      </c>
      <c r="U8" s="1483">
        <f>SUM(CR8:CU8)</f>
        <v>126.79999999999993</v>
      </c>
      <c r="V8" s="1483">
        <f>SUM(CV8:CY8)</f>
        <v>232.98200000000017</v>
      </c>
      <c r="W8" s="1483">
        <f ca="1">SUM(CZ8:DC8)</f>
        <v>500.5330203109458</v>
      </c>
      <c r="X8" s="1483">
        <f ca="1">+IS!X63</f>
        <v>706.34788722767007</v>
      </c>
      <c r="Y8" s="1483">
        <f ca="1">+IS!Y63</f>
        <v>807.15870873613687</v>
      </c>
      <c r="Z8" s="1483">
        <f ca="1">+IS!Z63</f>
        <v>896.66352265972125</v>
      </c>
      <c r="AA8" s="1483">
        <f ca="1">+IS!AA63</f>
        <v>1105.523636380525</v>
      </c>
      <c r="AB8" s="1483">
        <f ca="1">+IS!AB63</f>
        <v>1668.6655784405743</v>
      </c>
      <c r="AC8" s="1483">
        <f ca="1">+IS!AC63</f>
        <v>2088.7104062960771</v>
      </c>
      <c r="AD8" s="1483">
        <f ca="1">+IS!AD63</f>
        <v>2257.3166991772159</v>
      </c>
      <c r="AE8" s="1483"/>
      <c r="AF8" s="1484"/>
      <c r="AG8" s="1484"/>
      <c r="AH8" s="1485">
        <f>DH8-AG8-AF8</f>
        <v>-76.905000000000001</v>
      </c>
      <c r="AI8" s="1485">
        <f t="shared" ref="AI8:AI14" si="3">DI8-AH8-AG8-AF8</f>
        <v>-42.885000000000005</v>
      </c>
      <c r="AJ8" s="1485">
        <f>DJ8</f>
        <v>-41.536999999999999</v>
      </c>
      <c r="AK8" s="1485">
        <f>DK8-AJ8</f>
        <v>-37.857000000000006</v>
      </c>
      <c r="AL8" s="1485">
        <f>DL8-AK8-AJ8</f>
        <v>-81.573999999999984</v>
      </c>
      <c r="AM8" s="1485">
        <f>DM8-AL8-AK8-AJ8</f>
        <v>-27.44700000000001</v>
      </c>
      <c r="AN8" s="1485">
        <f t="shared" ref="AN8:AN31" si="4">DN8</f>
        <v>-13.694000000000001</v>
      </c>
      <c r="AO8" s="1485">
        <f>DO8-AN8</f>
        <v>-24.556999999999995</v>
      </c>
      <c r="AP8" s="1485">
        <f>DP8-AO8-AN8</f>
        <v>-44.088000000000001</v>
      </c>
      <c r="AQ8" s="1485">
        <f>DQ8-AP8-AO8-AN8</f>
        <v>60.721000000000004</v>
      </c>
      <c r="AR8" s="1485">
        <f t="shared" ref="AR8:AR31" si="5">DR8</f>
        <v>-25.553000000000001</v>
      </c>
      <c r="AS8" s="1485">
        <f t="shared" ref="AS8:AS31" si="6">DS8-AR8</f>
        <v>-21.202999999999999</v>
      </c>
      <c r="AT8" s="1485">
        <f t="shared" ref="AT8:AT31" si="7">DT8-AS8-AR8</f>
        <v>-19.718</v>
      </c>
      <c r="AU8" s="1485">
        <f t="shared" ref="AU8:AU31" si="8">DU8-AT8-AS8-AR8</f>
        <v>-17.696999999999999</v>
      </c>
      <c r="AV8" s="1485">
        <f>DV8</f>
        <v>-30.141999999999999</v>
      </c>
      <c r="AW8" s="1485">
        <f t="shared" ref="AW8:AW31" si="9">DW8-AV8</f>
        <v>-9.2050000000000018</v>
      </c>
      <c r="AX8" s="1485">
        <f t="shared" ref="AX8:AX31" si="10">DX8-AW8-AV8</f>
        <v>-6.6150000000000055</v>
      </c>
      <c r="AY8" s="1485">
        <f t="shared" ref="AY8:AY31" si="11">DY8-AX8-AW8-AV8</f>
        <v>-22.668999999999993</v>
      </c>
      <c r="AZ8" s="1485">
        <f>DZ8</f>
        <v>-5.7939999999999996</v>
      </c>
      <c r="BA8" s="1485">
        <f t="shared" ref="BA8:BA31" si="12">EA8-AZ8</f>
        <v>-3.431</v>
      </c>
      <c r="BB8" s="1485">
        <f>EB8-BA8-AZ8</f>
        <v>-0.78299999999999947</v>
      </c>
      <c r="BC8" s="1485">
        <f t="shared" ref="BC8:BC14" si="13">EC8-BB8-BA8-AZ8</f>
        <v>-32.604000000000006</v>
      </c>
      <c r="BD8" s="1485">
        <f>ED8</f>
        <v>-5.07</v>
      </c>
      <c r="BE8" s="1485">
        <f>EE8-BD8</f>
        <v>-5.27</v>
      </c>
      <c r="BF8" s="1485">
        <f>EF8-BE8-BD8</f>
        <v>-5.1679999999999993</v>
      </c>
      <c r="BG8" s="1485">
        <f>EG8-BF8-BE8-BD8</f>
        <v>9.1109999999999989</v>
      </c>
      <c r="BH8" s="1485">
        <f>EH8</f>
        <v>-4.4560000000000004</v>
      </c>
      <c r="BI8" s="1485">
        <f>EI8-BH8</f>
        <v>1.2170000000000005</v>
      </c>
      <c r="BJ8" s="1485">
        <f>EJ8-BI8-BH8</f>
        <v>4.1239999999999997</v>
      </c>
      <c r="BK8" s="1485">
        <f>EK8-BJ8-BI8-BH8</f>
        <v>-6.0729999999999995</v>
      </c>
      <c r="BL8" s="1485">
        <v>3.7970000000000002</v>
      </c>
      <c r="BM8" s="1485">
        <f>EM8-BL8</f>
        <v>3.8530000000000002</v>
      </c>
      <c r="BN8" s="1485">
        <f>EN8-BM8-BL8</f>
        <v>7.3889999999999993</v>
      </c>
      <c r="BO8" s="1485">
        <v>97.863</v>
      </c>
      <c r="BP8" s="1485">
        <v>15.457000000000001</v>
      </c>
      <c r="BQ8" s="1485">
        <v>17.440000000000001</v>
      </c>
      <c r="BR8" s="1485">
        <v>18.812000000000001</v>
      </c>
      <c r="BS8" s="1485">
        <f>IS!CH63</f>
        <v>17.721999999999994</v>
      </c>
      <c r="BT8" s="1485">
        <f>IS!CJ63</f>
        <v>14.199000000000016</v>
      </c>
      <c r="BU8" s="1485">
        <f>IS!CK63</f>
        <v>-2.2740000000000284</v>
      </c>
      <c r="BV8" s="1485">
        <f>IS!CL63</f>
        <v>11.196000000000014</v>
      </c>
      <c r="BW8" s="1485">
        <f>IS!CM63</f>
        <v>13.76000000000001</v>
      </c>
      <c r="BX8" s="1485">
        <f>IS!CO63</f>
        <v>25.144999999999982</v>
      </c>
      <c r="BY8" s="1483">
        <f>IS!CP63</f>
        <v>30.73299999999999</v>
      </c>
      <c r="BZ8" s="1483">
        <f>IS!CQ63</f>
        <v>20.63899999999996</v>
      </c>
      <c r="CA8" s="1483">
        <f>IS!CR63</f>
        <v>16.092999999999989</v>
      </c>
      <c r="CB8" s="1483">
        <f>IS!CT63</f>
        <v>32.406000000000006</v>
      </c>
      <c r="CC8" s="1483">
        <f>IS!CU63</f>
        <v>36.799999999999983</v>
      </c>
      <c r="CD8" s="1688">
        <f>IS!CV63</f>
        <v>27.326999999999945</v>
      </c>
      <c r="CE8" s="1688">
        <f>IS!CW63</f>
        <v>46.611000000000004</v>
      </c>
      <c r="CF8" s="1688">
        <f>IS!CX63</f>
        <v>33.283999999999899</v>
      </c>
      <c r="CG8" s="1688">
        <f>IS!CY63</f>
        <v>-25.286999999999992</v>
      </c>
      <c r="CH8" s="1688">
        <f>IS!CZ63</f>
        <v>42.753000000000085</v>
      </c>
      <c r="CI8" s="1688">
        <f>IS!DA63</f>
        <v>45.373000000000033</v>
      </c>
      <c r="CJ8" s="1688">
        <f>IS!DB63</f>
        <v>41.337000000000025</v>
      </c>
      <c r="CK8" s="1688">
        <f>IS!DC63</f>
        <v>10.079000000000033</v>
      </c>
      <c r="CL8" s="1688">
        <f>IS!DD63</f>
        <v>42.960999999999999</v>
      </c>
      <c r="CM8" s="1688">
        <f>IS!DE63</f>
        <v>-355.10299999999995</v>
      </c>
      <c r="CN8" s="1688">
        <f>IS!DF63</f>
        <v>76.452000000000012</v>
      </c>
      <c r="CO8" s="1688">
        <f>IS!DG63</f>
        <v>59.458999999999875</v>
      </c>
      <c r="CP8" s="1688">
        <f>IS!DH63</f>
        <v>41.132000000000033</v>
      </c>
      <c r="CQ8" s="1688">
        <f>IS!DI63</f>
        <v>10.730999999999902</v>
      </c>
      <c r="CR8" s="1688">
        <f>IS!DJ63</f>
        <v>-31.110999999999983</v>
      </c>
      <c r="CS8" s="1688">
        <f>IS!DK63</f>
        <v>44.711000000000013</v>
      </c>
      <c r="CT8" s="1688">
        <f>IS!DL63</f>
        <v>51.449999999999939</v>
      </c>
      <c r="CU8" s="1688">
        <f>IS!DM63</f>
        <v>61.749999999999957</v>
      </c>
      <c r="CV8" s="1688">
        <f>IS!DN63</f>
        <v>42.06200000000014</v>
      </c>
      <c r="CW8" s="1688">
        <f>IS!DO63</f>
        <v>45.805000000000035</v>
      </c>
      <c r="CX8" s="1688">
        <f>IS!DP63</f>
        <v>79.899999999999963</v>
      </c>
      <c r="CY8" s="1688">
        <f>IS!DQ63</f>
        <v>65.215000000000032</v>
      </c>
      <c r="CZ8" s="1688">
        <f ca="1">IS!DR63</f>
        <v>96.458002345945189</v>
      </c>
      <c r="DA8" s="1688">
        <f ca="1">IS!DS63</f>
        <v>121.11282891771445</v>
      </c>
      <c r="DB8" s="1688">
        <f ca="1">IS!DT63</f>
        <v>135.73520266336968</v>
      </c>
      <c r="DC8" s="1688">
        <f ca="1">IS!DU63</f>
        <v>147.22698638391648</v>
      </c>
      <c r="DD8" s="1483"/>
      <c r="DE8" s="885"/>
      <c r="DF8" s="783"/>
      <c r="DG8" s="783"/>
      <c r="DH8" s="783">
        <v>-76.905000000000001</v>
      </c>
      <c r="DI8" s="783">
        <v>-119.79</v>
      </c>
      <c r="DJ8" s="783">
        <v>-41.536999999999999</v>
      </c>
      <c r="DK8" s="783">
        <v>-79.394000000000005</v>
      </c>
      <c r="DL8" s="783">
        <v>-160.96799999999999</v>
      </c>
      <c r="DM8" s="783">
        <v>-188.41499999999999</v>
      </c>
      <c r="DN8" s="783">
        <v>-13.694000000000001</v>
      </c>
      <c r="DO8" s="783">
        <v>-38.250999999999998</v>
      </c>
      <c r="DP8" s="783">
        <v>-82.338999999999999</v>
      </c>
      <c r="DQ8" s="783">
        <v>-21.617999999999999</v>
      </c>
      <c r="DR8" s="783">
        <v>-25.553000000000001</v>
      </c>
      <c r="DS8" s="783">
        <v>-46.756</v>
      </c>
      <c r="DT8" s="783">
        <v>-66.474000000000004</v>
      </c>
      <c r="DU8" s="783">
        <v>-84.171000000000006</v>
      </c>
      <c r="DV8" s="783">
        <v>-30.141999999999999</v>
      </c>
      <c r="DW8" s="783">
        <v>-39.347000000000001</v>
      </c>
      <c r="DX8" s="783">
        <v>-45.962000000000003</v>
      </c>
      <c r="DY8" s="783">
        <v>-68.631</v>
      </c>
      <c r="DZ8" s="981">
        <v>-5.7939999999999996</v>
      </c>
      <c r="EA8" s="981">
        <v>-9.2249999999999996</v>
      </c>
      <c r="EB8" s="783">
        <v>-10.007999999999999</v>
      </c>
      <c r="EC8" s="783">
        <v>-42.612000000000002</v>
      </c>
      <c r="ED8" s="783">
        <v>-5.07</v>
      </c>
      <c r="EE8" s="783">
        <v>-10.34</v>
      </c>
      <c r="EF8" s="783">
        <v>-15.507999999999999</v>
      </c>
      <c r="EG8" s="783">
        <v>-6.3970000000000002</v>
      </c>
      <c r="EH8" s="783">
        <v>-4.4560000000000004</v>
      </c>
      <c r="EI8" s="783">
        <v>-3.2389999999999999</v>
      </c>
      <c r="EJ8" s="783">
        <v>0.88500000000000001</v>
      </c>
      <c r="EK8" s="783">
        <v>-5.1879999999999997</v>
      </c>
      <c r="EL8" s="783">
        <v>5.4210000000000003</v>
      </c>
      <c r="EM8" s="783">
        <v>7.65</v>
      </c>
      <c r="EN8" s="783">
        <v>15.039</v>
      </c>
      <c r="EO8" s="783">
        <v>131.53800000000001</v>
      </c>
      <c r="EP8" s="783"/>
      <c r="EQ8" s="783"/>
      <c r="ER8" s="783"/>
      <c r="ES8" s="783"/>
      <c r="EU8" s="42"/>
      <c r="EV8"/>
      <c r="EW8"/>
      <c r="EX8"/>
      <c r="EY8"/>
      <c r="EZ8"/>
      <c r="FA8"/>
    </row>
    <row r="9" spans="1:157" s="15" customFormat="1">
      <c r="B9" s="17" t="s">
        <v>1014</v>
      </c>
      <c r="C9" s="23"/>
      <c r="D9" s="783"/>
      <c r="E9" s="783">
        <v>14.816000000000001</v>
      </c>
      <c r="F9" s="783">
        <f t="shared" ref="F9:F31" si="14">SUM(AJ9:AM9)</f>
        <v>49.645000000000003</v>
      </c>
      <c r="G9" s="783">
        <f t="shared" ref="G9:G31" si="15">SUM(AN9:AQ9)</f>
        <v>54.082000000000001</v>
      </c>
      <c r="H9" s="783">
        <f t="shared" ref="H9:H31" si="16">SUM(AR9:AU9)</f>
        <v>60.64200000000001</v>
      </c>
      <c r="I9" s="783">
        <f t="shared" ref="I9:I29" si="17">SUM(AV9:AY9)</f>
        <v>56.280999999999999</v>
      </c>
      <c r="J9" s="783">
        <f t="shared" ref="J9:J31" si="18">SUM(AZ9:BC9)</f>
        <v>64.501999999999995</v>
      </c>
      <c r="K9" s="783">
        <f t="shared" ref="K9:K31" si="19">SUM(BD9:BG9)</f>
        <v>71.736999999999995</v>
      </c>
      <c r="L9" s="783">
        <f t="shared" ref="L9:L31" si="20">SUM(BH9:BK9)</f>
        <v>97.887</v>
      </c>
      <c r="M9" s="54">
        <f>SUM(BL9:BO9)</f>
        <v>152.84200000000001</v>
      </c>
      <c r="N9" s="1483">
        <f>SUM(BP9:BS9)</f>
        <v>167.97499999999999</v>
      </c>
      <c r="O9" s="1483">
        <f t="shared" si="0"/>
        <v>237.27700000000002</v>
      </c>
      <c r="P9" s="1483">
        <f t="shared" si="1"/>
        <v>337.75800000000004</v>
      </c>
      <c r="Q9" s="1483">
        <f t="shared" si="2"/>
        <v>398.24599999999998</v>
      </c>
      <c r="R9" s="1483">
        <f t="shared" ref="R9:S31" si="21">SUM(CF9:CI9)</f>
        <v>431.00800000000004</v>
      </c>
      <c r="S9" s="1483">
        <f>SUM(CJ9:CM9)</f>
        <v>484.12900000000002</v>
      </c>
      <c r="T9" s="1483">
        <f t="shared" ref="T9:T21" si="22">SUM(CN9:CQ9)</f>
        <v>528.92899999999997</v>
      </c>
      <c r="U9" s="1483">
        <f t="shared" ref="U9:V31" si="23">SUM(CR9:CU9)</f>
        <v>843.51</v>
      </c>
      <c r="V9" s="1483">
        <f>SUM(CV9:CY9)</f>
        <v>1028.8919999999998</v>
      </c>
      <c r="W9" s="1483">
        <f ca="1">SUM(CZ9:DC9)</f>
        <v>1128.5705023802948</v>
      </c>
      <c r="X9" s="1483">
        <f ca="1">BS!X184</f>
        <v>1053.235158254708</v>
      </c>
      <c r="Y9" s="1483">
        <f ca="1">BS!Y184</f>
        <v>1115.4300939566665</v>
      </c>
      <c r="Z9" s="1483">
        <f ca="1">BS!Z184</f>
        <v>1174.5018009925152</v>
      </c>
      <c r="AA9" s="1483">
        <f ca="1">BS!AA184</f>
        <v>1108.204357635519</v>
      </c>
      <c r="AB9" s="1483">
        <f ca="1">BS!AB184</f>
        <v>642.39027044481043</v>
      </c>
      <c r="AC9" s="1483">
        <f ca="1">BS!AC184</f>
        <v>345.7837590300627</v>
      </c>
      <c r="AD9" s="1483">
        <f ca="1">BS!AD184</f>
        <v>345.7837590300627</v>
      </c>
      <c r="AE9" s="1483"/>
      <c r="AF9" s="1484"/>
      <c r="AG9" s="1484"/>
      <c r="AH9" s="1485">
        <f>DH9-AG9-AF9</f>
        <v>6.83</v>
      </c>
      <c r="AI9" s="1485">
        <f t="shared" si="3"/>
        <v>7.9860000000000007</v>
      </c>
      <c r="AJ9" s="1485">
        <f>DJ9</f>
        <v>10.525</v>
      </c>
      <c r="AK9" s="1485">
        <f>DK9-AJ9</f>
        <v>13.484</v>
      </c>
      <c r="AL9" s="1485">
        <f>DL9-AK9-AJ9</f>
        <v>12.435</v>
      </c>
      <c r="AM9" s="1485">
        <f>DM9-AL9-AK9-AJ9</f>
        <v>13.200999999999999</v>
      </c>
      <c r="AN9" s="1485">
        <f t="shared" si="4"/>
        <v>12.058999999999999</v>
      </c>
      <c r="AO9" s="1485">
        <f>DO9-AN9</f>
        <v>13.360000000000001</v>
      </c>
      <c r="AP9" s="1485">
        <f>DP9-AO9-AN9</f>
        <v>14.080000000000004</v>
      </c>
      <c r="AQ9" s="1485">
        <f>DQ9-AP9-AO9-AN9</f>
        <v>14.582999999999997</v>
      </c>
      <c r="AR9" s="1485">
        <f t="shared" si="5"/>
        <v>16.254000000000001</v>
      </c>
      <c r="AS9" s="1485">
        <f t="shared" si="6"/>
        <v>15.302</v>
      </c>
      <c r="AT9" s="1485">
        <f t="shared" si="7"/>
        <v>14.656000000000002</v>
      </c>
      <c r="AU9" s="1485">
        <f t="shared" si="8"/>
        <v>14.430000000000003</v>
      </c>
      <c r="AV9" s="1485">
        <f t="shared" ref="AV9:AV31" si="24">DV9</f>
        <v>14.315</v>
      </c>
      <c r="AW9" s="1485">
        <f t="shared" si="9"/>
        <v>13.923</v>
      </c>
      <c r="AX9" s="1485">
        <f t="shared" si="10"/>
        <v>13.930999999999996</v>
      </c>
      <c r="AY9" s="1485">
        <f t="shared" si="11"/>
        <v>14.112</v>
      </c>
      <c r="AZ9" s="1485">
        <f t="shared" ref="AZ9:AZ31" si="25">DZ9</f>
        <v>14.967000000000001</v>
      </c>
      <c r="BA9" s="1485">
        <f t="shared" si="12"/>
        <v>15.641</v>
      </c>
      <c r="BB9" s="1485">
        <f>EB9-BA9-AZ9</f>
        <v>15.895999999999999</v>
      </c>
      <c r="BC9" s="1485">
        <f t="shared" si="13"/>
        <v>17.997999999999998</v>
      </c>
      <c r="BD9" s="1485">
        <f>ED9</f>
        <v>16.701000000000001</v>
      </c>
      <c r="BE9" s="1485">
        <f>EE9-BD9</f>
        <v>17.033000000000001</v>
      </c>
      <c r="BF9" s="1485">
        <f>EF9-BE9-BD9</f>
        <v>18.466000000000001</v>
      </c>
      <c r="BG9" s="1485">
        <f>EG9-BF9-BE9-BD9</f>
        <v>19.536999999999992</v>
      </c>
      <c r="BH9" s="1485">
        <f>EH9</f>
        <v>20.097000000000001</v>
      </c>
      <c r="BI9" s="1485">
        <f>EI9-BH9</f>
        <v>21.5</v>
      </c>
      <c r="BJ9" s="1485">
        <f>EJ9-BI9-BH9</f>
        <v>22.898000000000003</v>
      </c>
      <c r="BK9" s="1485">
        <f>EK9-BJ9-BI9-BH9</f>
        <v>33.392000000000003</v>
      </c>
      <c r="BL9" s="1485">
        <f>35.946-BL11</f>
        <v>34.170999999999999</v>
      </c>
      <c r="BM9" s="1485">
        <f>EM9-BL9</f>
        <v>36.035999999999994</v>
      </c>
      <c r="BN9" s="1485">
        <f>EN9-BM9-BL9</f>
        <v>39.903000000000013</v>
      </c>
      <c r="BO9" s="1485">
        <f>44.106-BO11</f>
        <v>42.731999999999999</v>
      </c>
      <c r="BP9" s="1485">
        <v>40.4</v>
      </c>
      <c r="BQ9" s="1485">
        <f>83.921-BP9</f>
        <v>43.521000000000008</v>
      </c>
      <c r="BR9" s="1485">
        <f>126.958-BQ9-BP9</f>
        <v>43.036999999999985</v>
      </c>
      <c r="BS9" s="1485">
        <f>167.975-BR9-BQ9-BP9</f>
        <v>41.017000000000003</v>
      </c>
      <c r="BT9" s="1485">
        <v>47.301000000000002</v>
      </c>
      <c r="BU9" s="1658">
        <f>106.418-BT9-Rev!BU315</f>
        <v>56.816000000000003</v>
      </c>
      <c r="BV9" s="1658">
        <f>175.359-BU9-BT9-Rev!BV315-Rev!BU315</f>
        <v>65.237000000000009</v>
      </c>
      <c r="BW9" s="1658">
        <f>76.131-BW11-Rev!BW315</f>
        <v>67.923000000000002</v>
      </c>
      <c r="BX9" s="1658">
        <f>+IS!CO45</f>
        <v>75.779000000000011</v>
      </c>
      <c r="BY9" s="1658">
        <f>+IS!CP45</f>
        <v>82.671000000000006</v>
      </c>
      <c r="BZ9" s="1658">
        <f>+IS!CQ45</f>
        <v>88.288000000000011</v>
      </c>
      <c r="CA9" s="1658">
        <f>+IS!CR45</f>
        <v>91.02000000000001</v>
      </c>
      <c r="CB9" s="1658">
        <f>+IS!CT45</f>
        <v>90.222000000000008</v>
      </c>
      <c r="CC9" s="1658">
        <v>96.944000000000003</v>
      </c>
      <c r="CD9" s="1658">
        <v>107.623</v>
      </c>
      <c r="CE9" s="1485">
        <v>103.45699999999999</v>
      </c>
      <c r="CF9" s="1688">
        <f>+IS!CX45</f>
        <v>108.60300000000001</v>
      </c>
      <c r="CG9" s="1688">
        <f>+IS!CY45</f>
        <v>110.18900000000001</v>
      </c>
      <c r="CH9" s="1688">
        <f>+IS!CZ45</f>
        <v>105.53399999999999</v>
      </c>
      <c r="CI9" s="1688">
        <f>+IS!DA45</f>
        <v>106.68199999999999</v>
      </c>
      <c r="CJ9" s="1688">
        <f>+IS!DB45</f>
        <v>113.61</v>
      </c>
      <c r="CK9" s="1688">
        <f>+IS!DC45</f>
        <v>116.074</v>
      </c>
      <c r="CL9" s="1688">
        <f>+IS!DD45</f>
        <v>121.349</v>
      </c>
      <c r="CM9" s="1688">
        <f>+IS!DE45</f>
        <v>133.096</v>
      </c>
      <c r="CN9" s="1688">
        <f>+IS!DF45</f>
        <v>122.52999999999999</v>
      </c>
      <c r="CO9" s="1688">
        <f>+IS!DG45</f>
        <v>128.27000000000001</v>
      </c>
      <c r="CP9" s="1688">
        <f>+IS!DH45</f>
        <v>133.268</v>
      </c>
      <c r="CQ9" s="1688">
        <f>+IS!DI45</f>
        <v>144.86099999999999</v>
      </c>
      <c r="CR9" s="1688">
        <f>+IS!DJ45</f>
        <v>202.15300000000002</v>
      </c>
      <c r="CS9" s="1688">
        <f>+IS!DK45</f>
        <v>213.71899999999999</v>
      </c>
      <c r="CT9" s="1688">
        <f>+IS!DL45</f>
        <v>215.36999999999998</v>
      </c>
      <c r="CU9" s="1688">
        <f>+IS!DM45</f>
        <v>212.26800000000003</v>
      </c>
      <c r="CV9" s="1688">
        <f>+IS!DN45</f>
        <v>219.01300000000001</v>
      </c>
      <c r="CW9" s="1688">
        <f>+IS!DO45</f>
        <v>252.386</v>
      </c>
      <c r="CX9" s="1688">
        <f>+IS!DP45</f>
        <v>277.71899999999999</v>
      </c>
      <c r="CY9" s="1688">
        <f>+IS!DQ45</f>
        <v>279.774</v>
      </c>
      <c r="CZ9" s="1688">
        <f ca="1">BS!CZ184</f>
        <v>277.79974740043303</v>
      </c>
      <c r="DA9" s="1688">
        <f ca="1">BS!DA184</f>
        <v>278.40219840672927</v>
      </c>
      <c r="DB9" s="1688">
        <f ca="1">BS!DB184</f>
        <v>282.18266777667611</v>
      </c>
      <c r="DC9" s="1688">
        <f ca="1">BS!DC184</f>
        <v>290.18588879645631</v>
      </c>
      <c r="DD9" s="1483"/>
      <c r="DE9" s="885"/>
      <c r="DF9" s="783"/>
      <c r="DG9" s="783"/>
      <c r="DH9" s="783">
        <v>6.83</v>
      </c>
      <c r="DI9" s="783">
        <v>14.816000000000001</v>
      </c>
      <c r="DJ9" s="783">
        <v>10.525</v>
      </c>
      <c r="DK9" s="783">
        <v>24.009</v>
      </c>
      <c r="DL9" s="783">
        <v>36.444000000000003</v>
      </c>
      <c r="DM9" s="783">
        <v>49.645000000000003</v>
      </c>
      <c r="DN9" s="783">
        <v>12.058999999999999</v>
      </c>
      <c r="DO9" s="783">
        <v>25.419</v>
      </c>
      <c r="DP9" s="783">
        <v>39.499000000000002</v>
      </c>
      <c r="DQ9" s="783">
        <v>54.082000000000001</v>
      </c>
      <c r="DR9" s="783">
        <v>16.254000000000001</v>
      </c>
      <c r="DS9" s="783">
        <v>31.556000000000001</v>
      </c>
      <c r="DT9" s="783">
        <v>46.212000000000003</v>
      </c>
      <c r="DU9" s="783">
        <v>60.642000000000003</v>
      </c>
      <c r="DV9" s="783">
        <v>14.315</v>
      </c>
      <c r="DW9" s="783">
        <v>28.238</v>
      </c>
      <c r="DX9" s="783">
        <v>42.168999999999997</v>
      </c>
      <c r="DY9" s="783">
        <v>56.280999999999999</v>
      </c>
      <c r="DZ9" s="981">
        <v>14.967000000000001</v>
      </c>
      <c r="EA9" s="981">
        <v>30.608000000000001</v>
      </c>
      <c r="EB9" s="783">
        <v>46.503999999999998</v>
      </c>
      <c r="EC9" s="783">
        <v>64.501999999999995</v>
      </c>
      <c r="ED9" s="783">
        <v>16.701000000000001</v>
      </c>
      <c r="EE9" s="783">
        <v>33.734000000000002</v>
      </c>
      <c r="EF9" s="783">
        <v>52.2</v>
      </c>
      <c r="EG9" s="783">
        <v>71.736999999999995</v>
      </c>
      <c r="EH9" s="783">
        <v>20.097000000000001</v>
      </c>
      <c r="EI9" s="783">
        <v>41.597000000000001</v>
      </c>
      <c r="EJ9" s="783">
        <v>64.495000000000005</v>
      </c>
      <c r="EK9" s="783">
        <v>97.887</v>
      </c>
      <c r="EL9" s="783">
        <v>33.683999999999997</v>
      </c>
      <c r="EM9" s="783">
        <v>70.206999999999994</v>
      </c>
      <c r="EN9" s="783">
        <v>110.11</v>
      </c>
      <c r="EO9" s="783">
        <v>152.297</v>
      </c>
      <c r="EP9" s="783"/>
      <c r="EQ9" s="783"/>
      <c r="ER9" s="783"/>
      <c r="ES9" s="783"/>
      <c r="EU9" s="42"/>
      <c r="EV9"/>
      <c r="EW9"/>
      <c r="EX9"/>
      <c r="EY9"/>
      <c r="EZ9"/>
      <c r="FA9"/>
    </row>
    <row r="10" spans="1:157" s="15" customFormat="1">
      <c r="B10" s="17" t="s">
        <v>1185</v>
      </c>
      <c r="C10" s="23"/>
      <c r="D10" s="783"/>
      <c r="E10" s="783">
        <v>29.893000000000001</v>
      </c>
      <c r="F10" s="783">
        <f t="shared" si="14"/>
        <v>19.044</v>
      </c>
      <c r="G10" s="783">
        <f t="shared" si="15"/>
        <v>6.8780000000000001</v>
      </c>
      <c r="H10" s="783">
        <f t="shared" si="16"/>
        <v>2.9049999999999994</v>
      </c>
      <c r="I10" s="783">
        <f t="shared" si="17"/>
        <v>1.4670000000000003</v>
      </c>
      <c r="J10" s="783">
        <f>SUM(AZ10:BC10)</f>
        <v>8.2769999999999992</v>
      </c>
      <c r="K10" s="783">
        <f t="shared" si="19"/>
        <v>30.766999999999999</v>
      </c>
      <c r="L10" s="783">
        <f t="shared" si="20"/>
        <v>42.731000000000002</v>
      </c>
      <c r="M10" s="54">
        <f>SUM(BL10:BO10)</f>
        <v>55.085000000000001</v>
      </c>
      <c r="N10" s="1483">
        <f>SUM(BP10:BS10)</f>
        <v>53.055999999999997</v>
      </c>
      <c r="O10" s="1483">
        <f t="shared" si="0"/>
        <v>67.243000000000009</v>
      </c>
      <c r="P10" s="1483">
        <f t="shared" si="1"/>
        <v>71.137</v>
      </c>
      <c r="Q10" s="1483">
        <f t="shared" si="2"/>
        <v>83.936000000000007</v>
      </c>
      <c r="R10" s="1483">
        <f t="shared" si="21"/>
        <v>102.94</v>
      </c>
      <c r="S10" s="1483">
        <f>SUM(CJ10:CM10)</f>
        <v>117.99</v>
      </c>
      <c r="T10" s="1483">
        <f t="shared" si="22"/>
        <v>132.44299999999998</v>
      </c>
      <c r="U10" s="1483">
        <f t="shared" si="23"/>
        <v>155.56700000000001</v>
      </c>
      <c r="V10" s="1483">
        <f>SUM(CV10:CY10)</f>
        <v>175.5</v>
      </c>
      <c r="W10" s="1483">
        <f ca="1">SUM(CZ10:DC10)</f>
        <v>192.70392804362234</v>
      </c>
      <c r="X10" s="1483">
        <f ca="1">IS!X26</f>
        <v>200.47958950406345</v>
      </c>
      <c r="Y10" s="1483">
        <f ca="1">IS!Y26</f>
        <v>216.39761393542778</v>
      </c>
      <c r="Z10" s="1483">
        <f ca="1">IS!Z26</f>
        <v>231.411021354578</v>
      </c>
      <c r="AA10" s="1483">
        <f ca="1">IS!AA26</f>
        <v>246.36864239148056</v>
      </c>
      <c r="AB10" s="1483">
        <f ca="1">IS!AB26</f>
        <v>261.26002559100311</v>
      </c>
      <c r="AC10" s="1483">
        <f ca="1">IS!AC26</f>
        <v>276.07684879036162</v>
      </c>
      <c r="AD10" s="1483">
        <f ca="1">IS!AD26</f>
        <v>290.81224024211429</v>
      </c>
      <c r="AE10" s="1483"/>
      <c r="AF10" s="1484"/>
      <c r="AG10" s="1484"/>
      <c r="AH10" s="1485">
        <f>DH10-AG10-AF10</f>
        <v>20.114999999999998</v>
      </c>
      <c r="AI10" s="1485">
        <f t="shared" si="3"/>
        <v>9.7780000000000022</v>
      </c>
      <c r="AJ10" s="1485">
        <f>DJ10</f>
        <v>8.1489999999999991</v>
      </c>
      <c r="AK10" s="1485">
        <f>DK10-AJ10</f>
        <v>4.9930000000000003</v>
      </c>
      <c r="AL10" s="1485">
        <f>DL10-AK10-AJ10</f>
        <v>2.8990000000000009</v>
      </c>
      <c r="AM10" s="1485">
        <f>DM10-AL10-AK10-AJ10</f>
        <v>3.0030000000000001</v>
      </c>
      <c r="AN10" s="1485">
        <f t="shared" si="4"/>
        <v>2.581</v>
      </c>
      <c r="AO10" s="1485">
        <f>DO10-AN10</f>
        <v>1.5669999999999997</v>
      </c>
      <c r="AP10" s="1485">
        <f>DP10-AO10-AN10</f>
        <v>1.4920000000000004</v>
      </c>
      <c r="AQ10" s="1485">
        <f>DQ10-AP10-AO10-AN10</f>
        <v>1.2379999999999995</v>
      </c>
      <c r="AR10" s="1485">
        <f t="shared" si="5"/>
        <v>0.95799999999999996</v>
      </c>
      <c r="AS10" s="1485">
        <f t="shared" si="6"/>
        <v>0.71</v>
      </c>
      <c r="AT10" s="1485">
        <f t="shared" si="7"/>
        <v>0.49200000000000021</v>
      </c>
      <c r="AU10" s="1485">
        <f t="shared" si="8"/>
        <v>0.74499999999999944</v>
      </c>
      <c r="AV10" s="1485">
        <f>DV10</f>
        <v>0.67700000000000005</v>
      </c>
      <c r="AW10" s="1485">
        <f t="shared" si="9"/>
        <v>0.18299999999999994</v>
      </c>
      <c r="AX10" s="1485">
        <f t="shared" si="10"/>
        <v>0.15899999999999992</v>
      </c>
      <c r="AY10" s="1485">
        <f t="shared" si="11"/>
        <v>0.4480000000000004</v>
      </c>
      <c r="AZ10" s="1485">
        <f>DZ10</f>
        <v>2.444</v>
      </c>
      <c r="BA10" s="1485">
        <f t="shared" si="12"/>
        <v>2.4889999999999999</v>
      </c>
      <c r="BB10" s="1485">
        <f>EB10-BA10-AZ10</f>
        <v>1.3580000000000005</v>
      </c>
      <c r="BC10" s="1485">
        <f t="shared" si="13"/>
        <v>1.9859999999999989</v>
      </c>
      <c r="BD10" s="1485">
        <f>ED10</f>
        <v>7.758</v>
      </c>
      <c r="BE10" s="1485">
        <f>EE10-BD10</f>
        <v>8.897000000000002</v>
      </c>
      <c r="BF10" s="1485">
        <f>EF10-BE10-BD10</f>
        <v>6.8849999999999971</v>
      </c>
      <c r="BG10" s="1485">
        <f>EG10-BF10-BE10-BD10</f>
        <v>7.2269999999999994</v>
      </c>
      <c r="BH10" s="1485">
        <f>EH10</f>
        <v>10.497999999999999</v>
      </c>
      <c r="BI10" s="1485">
        <f>EI10-BH10</f>
        <v>10.045</v>
      </c>
      <c r="BJ10" s="1485">
        <f>EJ10-BI10-BH10</f>
        <v>10.489000000000003</v>
      </c>
      <c r="BK10" s="1485">
        <f>EK10-BJ10-BI10-BH10</f>
        <v>11.698999999999996</v>
      </c>
      <c r="BL10" s="1485">
        <v>12.340999999999999</v>
      </c>
      <c r="BM10" s="1485">
        <f>EM10-BL10</f>
        <v>17.048000000000002</v>
      </c>
      <c r="BN10" s="1485">
        <f>EN10-BM10-BL10</f>
        <v>12.561999999999999</v>
      </c>
      <c r="BO10" s="1485">
        <v>13.134</v>
      </c>
      <c r="BP10" s="1485">
        <v>11.538</v>
      </c>
      <c r="BQ10" s="1485">
        <v>13.459</v>
      </c>
      <c r="BR10" s="1485">
        <v>14.032999999999999</v>
      </c>
      <c r="BS10" s="1485">
        <f>IS!CH26</f>
        <v>14.026</v>
      </c>
      <c r="BT10" s="1485">
        <f>IS!CJ26</f>
        <v>14.974</v>
      </c>
      <c r="BU10" s="1658">
        <f>33.07-BT10-Rev!BU316</f>
        <v>18.065000000000001</v>
      </c>
      <c r="BV10" s="1658">
        <f>50.02-BU10-BT10-Rev!BV316-Rev!BU316</f>
        <v>16.901000000000003</v>
      </c>
      <c r="BW10" s="1658">
        <f>+IS!CM26</f>
        <v>17.303000000000001</v>
      </c>
      <c r="BX10" s="1658">
        <f>+IS!CO26</f>
        <v>15.445</v>
      </c>
      <c r="BY10" s="1658">
        <f>+IS!CP26</f>
        <v>18.215</v>
      </c>
      <c r="BZ10" s="1658">
        <f>+IS!CQ26</f>
        <v>19.102</v>
      </c>
      <c r="CA10" s="1658">
        <f>+IS!CR26</f>
        <v>18.375</v>
      </c>
      <c r="CB10" s="1658">
        <f>+IS!CT26</f>
        <v>18.881</v>
      </c>
      <c r="CC10" s="1658">
        <v>20.548999999999999</v>
      </c>
      <c r="CD10" s="1658">
        <v>22.582000000000001</v>
      </c>
      <c r="CE10" s="1485">
        <v>21.923999999999999</v>
      </c>
      <c r="CF10" s="1688">
        <f>IS!CX26</f>
        <v>23.836000000000002</v>
      </c>
      <c r="CG10" s="1688">
        <f>IS!CY26</f>
        <v>24.193999999999999</v>
      </c>
      <c r="CH10" s="1688">
        <f>IS!CZ26</f>
        <v>27.28</v>
      </c>
      <c r="CI10" s="1688">
        <f>IS!DA26</f>
        <v>27.630000000000003</v>
      </c>
      <c r="CJ10" s="1688">
        <f>IS!DB26</f>
        <v>24.981000000000002</v>
      </c>
      <c r="CK10" s="1688">
        <f>IS!DC26</f>
        <v>33.83</v>
      </c>
      <c r="CL10" s="1688">
        <f>IS!DD26</f>
        <v>27.661999999999999</v>
      </c>
      <c r="CM10" s="1688">
        <f>IS!DE26</f>
        <v>31.516999999999999</v>
      </c>
      <c r="CN10" s="1688">
        <f>IS!DF26</f>
        <v>30.613</v>
      </c>
      <c r="CO10" s="1688">
        <f>IS!DG26</f>
        <v>33.993000000000002</v>
      </c>
      <c r="CP10" s="1688">
        <f>IS!DH26</f>
        <v>33.969000000000001</v>
      </c>
      <c r="CQ10" s="2101">
        <v>33.868000000000002</v>
      </c>
      <c r="CR10" s="1485">
        <v>34.061</v>
      </c>
      <c r="CS10" s="1688">
        <f>IS!DK26</f>
        <v>39.323</v>
      </c>
      <c r="CT10" s="1485">
        <v>42.345999999999997</v>
      </c>
      <c r="CU10" s="1485">
        <v>39.837000000000003</v>
      </c>
      <c r="CV10" s="1485">
        <v>38.323</v>
      </c>
      <c r="CW10" s="1485">
        <v>45.625</v>
      </c>
      <c r="CX10" s="1485">
        <v>45.654000000000003</v>
      </c>
      <c r="CY10" s="1485">
        <v>45.898000000000003</v>
      </c>
      <c r="CZ10" s="1688">
        <f ca="1">IS!DR26</f>
        <v>46.484908248305615</v>
      </c>
      <c r="DA10" s="1688">
        <f ca="1">IS!DS26</f>
        <v>47.423407399783812</v>
      </c>
      <c r="DB10" s="1688">
        <f ca="1">IS!DT26</f>
        <v>48.716952535251529</v>
      </c>
      <c r="DC10" s="1688">
        <f ca="1">IS!DU26</f>
        <v>50.078659860281405</v>
      </c>
      <c r="DD10" s="1483"/>
      <c r="DE10" s="885"/>
      <c r="DF10" s="783"/>
      <c r="DG10" s="783"/>
      <c r="DH10" s="783">
        <v>20.114999999999998</v>
      </c>
      <c r="DI10" s="783">
        <v>29.893000000000001</v>
      </c>
      <c r="DJ10" s="783">
        <v>8.1489999999999991</v>
      </c>
      <c r="DK10" s="783">
        <v>13.141999999999999</v>
      </c>
      <c r="DL10" s="783">
        <v>16.041</v>
      </c>
      <c r="DM10" s="783">
        <v>19.044</v>
      </c>
      <c r="DN10" s="783">
        <v>2.581</v>
      </c>
      <c r="DO10" s="783">
        <v>4.1479999999999997</v>
      </c>
      <c r="DP10" s="783">
        <v>5.64</v>
      </c>
      <c r="DQ10" s="783">
        <v>6.8780000000000001</v>
      </c>
      <c r="DR10" s="783">
        <v>0.95799999999999996</v>
      </c>
      <c r="DS10" s="783">
        <v>1.6679999999999999</v>
      </c>
      <c r="DT10" s="783">
        <v>2.16</v>
      </c>
      <c r="DU10" s="783">
        <v>2.9049999999999998</v>
      </c>
      <c r="DV10" s="783">
        <v>0.67700000000000005</v>
      </c>
      <c r="DW10" s="783">
        <v>0.86</v>
      </c>
      <c r="DX10" s="783">
        <v>1.0189999999999999</v>
      </c>
      <c r="DY10" s="783">
        <v>1.4670000000000001</v>
      </c>
      <c r="DZ10" s="981">
        <v>2.444</v>
      </c>
      <c r="EA10" s="981">
        <v>4.9329999999999998</v>
      </c>
      <c r="EB10" s="783">
        <v>6.2910000000000004</v>
      </c>
      <c r="EC10" s="783">
        <v>8.2769999999999992</v>
      </c>
      <c r="ED10" s="783">
        <v>7.758</v>
      </c>
      <c r="EE10" s="783">
        <v>16.655000000000001</v>
      </c>
      <c r="EF10" s="783">
        <v>23.54</v>
      </c>
      <c r="EG10" s="783">
        <v>30.766999999999999</v>
      </c>
      <c r="EH10" s="783">
        <v>10.497999999999999</v>
      </c>
      <c r="EI10" s="783">
        <v>20.542999999999999</v>
      </c>
      <c r="EJ10" s="783">
        <v>31.032</v>
      </c>
      <c r="EK10" s="783">
        <v>42.731000000000002</v>
      </c>
      <c r="EL10" s="783">
        <v>12.340999999999999</v>
      </c>
      <c r="EM10" s="783">
        <v>29.388999999999999</v>
      </c>
      <c r="EN10" s="783">
        <v>41.951000000000001</v>
      </c>
      <c r="EO10" s="783">
        <v>55.085000000000001</v>
      </c>
      <c r="EP10" s="783"/>
      <c r="EQ10" s="783"/>
      <c r="ER10" s="783"/>
      <c r="ES10" s="783"/>
      <c r="EU10" s="42"/>
      <c r="EV10"/>
      <c r="EW10"/>
      <c r="EX10"/>
      <c r="EY10"/>
      <c r="EZ10"/>
      <c r="FA10"/>
    </row>
    <row r="11" spans="1:157" s="15" customFormat="1">
      <c r="B11" s="17" t="s">
        <v>1136</v>
      </c>
      <c r="C11" s="23"/>
      <c r="D11" s="783"/>
      <c r="E11" s="783"/>
      <c r="F11" s="783"/>
      <c r="G11" s="783">
        <f t="shared" si="15"/>
        <v>0</v>
      </c>
      <c r="H11" s="783">
        <f t="shared" si="16"/>
        <v>2.1059999999999999</v>
      </c>
      <c r="I11" s="783">
        <f t="shared" si="17"/>
        <v>2.2429999999999999</v>
      </c>
      <c r="J11" s="783">
        <f t="shared" si="18"/>
        <v>0.31900000000000001</v>
      </c>
      <c r="K11" s="783">
        <f t="shared" si="19"/>
        <v>1.0409999999999999</v>
      </c>
      <c r="L11" s="783">
        <f t="shared" si="20"/>
        <v>2.1930000000000001</v>
      </c>
      <c r="M11" s="54">
        <f>SUM(BL11:BO11)</f>
        <v>6.6099999999999994</v>
      </c>
      <c r="N11" s="1483">
        <f t="shared" ref="N11:N29" si="26">SUM(BP11:BS11)</f>
        <v>5.5549999999999997</v>
      </c>
      <c r="O11" s="1483">
        <f t="shared" si="0"/>
        <v>13.631999999999998</v>
      </c>
      <c r="P11" s="1483">
        <f t="shared" si="1"/>
        <v>0</v>
      </c>
      <c r="Q11" s="1483">
        <f t="shared" si="2"/>
        <v>0</v>
      </c>
      <c r="R11" s="1483">
        <f t="shared" si="21"/>
        <v>0</v>
      </c>
      <c r="S11" s="1483">
        <f>SUM(CJ11:CM11)</f>
        <v>0</v>
      </c>
      <c r="T11" s="1483">
        <f t="shared" si="22"/>
        <v>0</v>
      </c>
      <c r="U11" s="1483">
        <f t="shared" si="23"/>
        <v>0</v>
      </c>
      <c r="V11" s="1483">
        <f>SUM(CV11:CY11)</f>
        <v>0</v>
      </c>
      <c r="W11" s="1483">
        <f t="shared" ref="W11:W31" si="27">SUM(CZ11:DC11)</f>
        <v>16.683</v>
      </c>
      <c r="X11" s="1483">
        <f>BS!X219</f>
        <v>15.372000000000002</v>
      </c>
      <c r="Y11" s="1483">
        <f>BS!Y219</f>
        <v>3.7530000000000001</v>
      </c>
      <c r="Z11" s="1483">
        <f>BS!Z219</f>
        <v>0</v>
      </c>
      <c r="AA11" s="1483">
        <f>BS!AA219</f>
        <v>0</v>
      </c>
      <c r="AB11" s="1483">
        <f>BS!AB219</f>
        <v>0</v>
      </c>
      <c r="AC11" s="1483">
        <f>BS!AC219</f>
        <v>0</v>
      </c>
      <c r="AD11" s="1483">
        <f>BS!AD219</f>
        <v>0</v>
      </c>
      <c r="AE11" s="1483"/>
      <c r="AF11" s="1484"/>
      <c r="AG11" s="1484"/>
      <c r="AH11" s="1485">
        <f>DH11-AG11-AF11</f>
        <v>0</v>
      </c>
      <c r="AI11" s="1485">
        <f t="shared" si="3"/>
        <v>0</v>
      </c>
      <c r="AJ11" s="1485"/>
      <c r="AK11" s="1485"/>
      <c r="AL11" s="1485"/>
      <c r="AM11" s="1485"/>
      <c r="AN11" s="1485"/>
      <c r="AO11" s="1485"/>
      <c r="AP11" s="1485"/>
      <c r="AQ11" s="1485"/>
      <c r="AR11" s="1485">
        <f t="shared" si="5"/>
        <v>0.52500000000000002</v>
      </c>
      <c r="AS11" s="1485">
        <f t="shared" si="6"/>
        <v>0.51900000000000002</v>
      </c>
      <c r="AT11" s="1485">
        <f t="shared" si="7"/>
        <v>0.51800000000000013</v>
      </c>
      <c r="AU11" s="1485">
        <f t="shared" si="8"/>
        <v>0.54399999999999948</v>
      </c>
      <c r="AV11" s="1485">
        <f t="shared" si="24"/>
        <v>0.51400000000000001</v>
      </c>
      <c r="AW11" s="1485">
        <f t="shared" si="9"/>
        <v>0.58000000000000007</v>
      </c>
      <c r="AX11" s="1485">
        <f t="shared" si="10"/>
        <v>0.57399999999999984</v>
      </c>
      <c r="AY11" s="1485">
        <f t="shared" si="11"/>
        <v>0.57499999999999996</v>
      </c>
      <c r="AZ11" s="1485">
        <f t="shared" si="25"/>
        <v>0.08</v>
      </c>
      <c r="BA11" s="1485">
        <f t="shared" si="12"/>
        <v>0.08</v>
      </c>
      <c r="BB11" s="1485">
        <f>EB11-BA11-AZ11</f>
        <v>7.9999999999999974E-2</v>
      </c>
      <c r="BC11" s="1485">
        <f t="shared" si="13"/>
        <v>7.9000000000000029E-2</v>
      </c>
      <c r="BD11" s="1485">
        <f>ED11</f>
        <v>0.21099999999999999</v>
      </c>
      <c r="BE11" s="1485">
        <f>EE11-BD11</f>
        <v>0.39700000000000002</v>
      </c>
      <c r="BF11" s="1485">
        <f>EF11-BE11-BD11</f>
        <v>0.22499999999999995</v>
      </c>
      <c r="BG11" s="1485">
        <f>EG11-BF11-BE11-BD11</f>
        <v>0.20799999999999993</v>
      </c>
      <c r="BH11" s="1485">
        <f>EH11</f>
        <v>0.14499999999999999</v>
      </c>
      <c r="BI11" s="1485">
        <f>EI11-BH11</f>
        <v>0.12100000000000002</v>
      </c>
      <c r="BJ11" s="1485">
        <f>EJ11-BI11-BH11</f>
        <v>0.42299999999999993</v>
      </c>
      <c r="BK11" s="1485">
        <f>EK11-BJ11-BI11-BH11</f>
        <v>1.504</v>
      </c>
      <c r="BL11" s="1485">
        <f>EL11</f>
        <v>1.7749999999999999</v>
      </c>
      <c r="BM11" s="1485">
        <f>EM11-BL11</f>
        <v>1.7709999999999999</v>
      </c>
      <c r="BN11" s="1485">
        <f>EN11-BM11-BL11</f>
        <v>1.69</v>
      </c>
      <c r="BO11" s="1485">
        <f>EO11-BN11-BM11-BL11</f>
        <v>1.3740000000000001</v>
      </c>
      <c r="BP11" s="1485">
        <v>1.276</v>
      </c>
      <c r="BQ11" s="1485">
        <f>2.646-BP11</f>
        <v>1.3699999999999999</v>
      </c>
      <c r="BR11" s="1485">
        <f>4.1-BQ11-BP11</f>
        <v>1.4539999999999995</v>
      </c>
      <c r="BS11" s="1485">
        <f>5.555-BR11-BQ11-BP11</f>
        <v>1.4549999999999998</v>
      </c>
      <c r="BT11" s="1485">
        <v>1.3879999999999999</v>
      </c>
      <c r="BU11" s="1485">
        <f>5.021-BT11</f>
        <v>3.633</v>
      </c>
      <c r="BV11" s="1485">
        <f>9.378-BU11-BT11</f>
        <v>4.3570000000000002</v>
      </c>
      <c r="BW11" s="1485">
        <f>13.632-BV11-BU11-BT11</f>
        <v>4.2539999999999987</v>
      </c>
      <c r="BX11" s="1485"/>
      <c r="BY11" s="1485"/>
      <c r="BZ11" s="1485"/>
      <c r="CA11" s="1485"/>
      <c r="CB11" s="1485"/>
      <c r="CC11" s="1485"/>
      <c r="CD11" s="1485"/>
      <c r="CE11" s="1485"/>
      <c r="CF11" s="1485"/>
      <c r="CG11" s="1485"/>
      <c r="CH11" s="1485"/>
      <c r="CI11" s="1485"/>
      <c r="CJ11" s="1485"/>
      <c r="CK11" s="1485"/>
      <c r="CL11" s="1485"/>
      <c r="CM11" s="1485"/>
      <c r="CN11" s="1485"/>
      <c r="CO11" s="1485"/>
      <c r="CP11" s="1485"/>
      <c r="CQ11" s="1485"/>
      <c r="CR11" s="1485"/>
      <c r="CS11" s="1485"/>
      <c r="CT11" s="1485"/>
      <c r="CU11" s="1485"/>
      <c r="CV11" s="1485"/>
      <c r="CW11" s="1485"/>
      <c r="CX11" s="1485"/>
      <c r="CY11" s="1485"/>
      <c r="CZ11" s="1688">
        <f>BS!CZ219</f>
        <v>4.17075</v>
      </c>
      <c r="DA11" s="1688">
        <f>BS!DA219</f>
        <v>4.17075</v>
      </c>
      <c r="DB11" s="1688">
        <f>BS!DB219</f>
        <v>4.17075</v>
      </c>
      <c r="DC11" s="1688">
        <f>BS!DC219</f>
        <v>4.17075</v>
      </c>
      <c r="DD11" s="1483"/>
      <c r="DE11" s="885"/>
      <c r="DF11" s="783"/>
      <c r="DG11" s="783"/>
      <c r="DH11" s="783"/>
      <c r="DI11" s="783"/>
      <c r="DJ11" s="783"/>
      <c r="DK11" s="783"/>
      <c r="DL11" s="783"/>
      <c r="DM11" s="783"/>
      <c r="DN11" s="783"/>
      <c r="DO11" s="783"/>
      <c r="DP11" s="783"/>
      <c r="DQ11" s="783"/>
      <c r="DR11" s="783">
        <v>0.52500000000000002</v>
      </c>
      <c r="DS11" s="783">
        <v>1.044</v>
      </c>
      <c r="DT11" s="783">
        <v>1.5620000000000001</v>
      </c>
      <c r="DU11" s="783">
        <v>2.1059999999999999</v>
      </c>
      <c r="DV11" s="783">
        <v>0.51400000000000001</v>
      </c>
      <c r="DW11" s="783">
        <v>1.0940000000000001</v>
      </c>
      <c r="DX11" s="783">
        <v>1.6679999999999999</v>
      </c>
      <c r="DY11" s="783">
        <v>2.2429999999999999</v>
      </c>
      <c r="DZ11" s="981">
        <v>0.08</v>
      </c>
      <c r="EA11" s="981">
        <v>0.16</v>
      </c>
      <c r="EB11" s="783">
        <v>0.24</v>
      </c>
      <c r="EC11" s="783">
        <v>0.31900000000000001</v>
      </c>
      <c r="ED11" s="783">
        <v>0.21099999999999999</v>
      </c>
      <c r="EE11" s="783">
        <v>0.60799999999999998</v>
      </c>
      <c r="EF11" s="783">
        <v>0.83299999999999996</v>
      </c>
      <c r="EG11" s="783">
        <v>1.0409999999999999</v>
      </c>
      <c r="EH11" s="783">
        <v>0.14499999999999999</v>
      </c>
      <c r="EI11" s="783">
        <v>0.26600000000000001</v>
      </c>
      <c r="EJ11" s="783">
        <v>0.68899999999999995</v>
      </c>
      <c r="EK11" s="783">
        <v>2.1930000000000001</v>
      </c>
      <c r="EL11" s="783">
        <v>1.7749999999999999</v>
      </c>
      <c r="EM11" s="783">
        <v>3.5459999999999998</v>
      </c>
      <c r="EN11" s="783">
        <v>5.2359999999999998</v>
      </c>
      <c r="EO11" s="783">
        <v>6.61</v>
      </c>
      <c r="EP11" s="783"/>
      <c r="EQ11" s="783"/>
      <c r="ER11" s="783"/>
      <c r="ES11" s="783"/>
      <c r="EU11" s="42"/>
      <c r="EV11"/>
      <c r="EW11"/>
      <c r="EX11"/>
      <c r="EY11"/>
      <c r="EZ11"/>
      <c r="FA11"/>
    </row>
    <row r="12" spans="1:157" s="15" customFormat="1" hidden="1" outlineLevel="1">
      <c r="B12" s="17" t="s">
        <v>1180</v>
      </c>
      <c r="C12" s="23"/>
      <c r="D12" s="783"/>
      <c r="E12" s="783"/>
      <c r="F12" s="783"/>
      <c r="G12" s="783">
        <f t="shared" si="15"/>
        <v>0</v>
      </c>
      <c r="H12" s="783"/>
      <c r="I12" s="783">
        <f t="shared" si="17"/>
        <v>0</v>
      </c>
      <c r="J12" s="783">
        <f t="shared" si="18"/>
        <v>3.7999999999999999E-2</v>
      </c>
      <c r="K12" s="783">
        <f t="shared" si="19"/>
        <v>0</v>
      </c>
      <c r="L12" s="783">
        <f t="shared" si="20"/>
        <v>0</v>
      </c>
      <c r="M12" s="54"/>
      <c r="N12" s="1483">
        <f t="shared" si="26"/>
        <v>0</v>
      </c>
      <c r="O12" s="1483">
        <f t="shared" si="0"/>
        <v>0</v>
      </c>
      <c r="P12" s="1483">
        <f t="shared" si="1"/>
        <v>0</v>
      </c>
      <c r="Q12" s="1483">
        <f t="shared" si="2"/>
        <v>0</v>
      </c>
      <c r="R12" s="1483">
        <f t="shared" si="21"/>
        <v>0</v>
      </c>
      <c r="S12" s="1483">
        <f t="shared" si="21"/>
        <v>0</v>
      </c>
      <c r="T12" s="1483">
        <f t="shared" si="22"/>
        <v>0</v>
      </c>
      <c r="U12" s="1483">
        <f t="shared" si="23"/>
        <v>0</v>
      </c>
      <c r="V12" s="1483">
        <f t="shared" si="23"/>
        <v>0</v>
      </c>
      <c r="W12" s="1483">
        <f t="shared" si="27"/>
        <v>0</v>
      </c>
      <c r="X12" s="1483"/>
      <c r="Y12" s="1483"/>
      <c r="Z12" s="1483"/>
      <c r="AA12" s="1483"/>
      <c r="AB12" s="1483"/>
      <c r="AC12" s="1483"/>
      <c r="AD12" s="1483"/>
      <c r="AE12" s="1483"/>
      <c r="AF12" s="1484"/>
      <c r="AG12" s="1484"/>
      <c r="AH12" s="1485"/>
      <c r="AI12" s="1485">
        <f t="shared" si="3"/>
        <v>0</v>
      </c>
      <c r="AJ12" s="1485"/>
      <c r="AK12" s="1485"/>
      <c r="AL12" s="1485"/>
      <c r="AM12" s="1485"/>
      <c r="AN12" s="1485"/>
      <c r="AO12" s="1485"/>
      <c r="AP12" s="1485"/>
      <c r="AQ12" s="1485"/>
      <c r="AR12" s="1485">
        <f t="shared" si="5"/>
        <v>0</v>
      </c>
      <c r="AS12" s="1485">
        <f t="shared" si="6"/>
        <v>0</v>
      </c>
      <c r="AT12" s="1485">
        <f t="shared" si="7"/>
        <v>0</v>
      </c>
      <c r="AU12" s="1485">
        <f t="shared" si="8"/>
        <v>0</v>
      </c>
      <c r="AV12" s="1485">
        <f>DV12</f>
        <v>0</v>
      </c>
      <c r="AW12" s="1485">
        <f t="shared" si="9"/>
        <v>0</v>
      </c>
      <c r="AX12" s="1485">
        <f t="shared" si="10"/>
        <v>0</v>
      </c>
      <c r="AY12" s="1485">
        <f t="shared" si="11"/>
        <v>0</v>
      </c>
      <c r="AZ12" s="1485">
        <f t="shared" si="25"/>
        <v>0</v>
      </c>
      <c r="BA12" s="1485">
        <f t="shared" si="12"/>
        <v>0</v>
      </c>
      <c r="BB12" s="1485"/>
      <c r="BC12" s="1485">
        <f t="shared" si="13"/>
        <v>3.7999999999999999E-2</v>
      </c>
      <c r="BD12" s="1485">
        <f>ED12</f>
        <v>-0.37</v>
      </c>
      <c r="BE12" s="1485">
        <f>EE12-BD12</f>
        <v>-0.19999999999999996</v>
      </c>
      <c r="BF12" s="1485">
        <f>EF12-BE12-BD12</f>
        <v>0.56999999999999995</v>
      </c>
      <c r="BG12" s="1485">
        <f>EG12-BF12-BE12-BD12</f>
        <v>0</v>
      </c>
      <c r="BH12" s="1485"/>
      <c r="BI12" s="1485"/>
      <c r="BJ12" s="1485"/>
      <c r="BK12" s="1485"/>
      <c r="BL12" s="1485"/>
      <c r="BM12" s="1485"/>
      <c r="BN12" s="1485"/>
      <c r="BO12" s="1485"/>
      <c r="BP12" s="1485"/>
      <c r="BQ12" s="1485"/>
      <c r="BR12" s="1485"/>
      <c r="BS12" s="1485"/>
      <c r="BT12" s="1485"/>
      <c r="BU12" s="1485"/>
      <c r="BV12" s="1485"/>
      <c r="BW12" s="1485"/>
      <c r="BX12" s="1485"/>
      <c r="BY12" s="1485"/>
      <c r="BZ12" s="1485"/>
      <c r="CA12" s="1485"/>
      <c r="CB12" s="1485"/>
      <c r="CC12" s="1485"/>
      <c r="CD12" s="1485"/>
      <c r="CE12" s="1485"/>
      <c r="CF12" s="1485"/>
      <c r="CG12" s="1485"/>
      <c r="CH12" s="1485"/>
      <c r="CI12" s="1485"/>
      <c r="CJ12" s="1485"/>
      <c r="CK12" s="1485"/>
      <c r="CL12" s="1485"/>
      <c r="CM12" s="1485"/>
      <c r="CN12" s="1485"/>
      <c r="CO12" s="1485"/>
      <c r="CP12" s="1485"/>
      <c r="CQ12" s="1485"/>
      <c r="CR12" s="1485"/>
      <c r="CS12" s="1485"/>
      <c r="CT12" s="1485"/>
      <c r="CU12" s="1485"/>
      <c r="CV12" s="1485"/>
      <c r="CW12" s="1485"/>
      <c r="CX12" s="1485"/>
      <c r="CY12" s="1485"/>
      <c r="CZ12" s="1483"/>
      <c r="DA12" s="1483"/>
      <c r="DB12" s="1483"/>
      <c r="DC12" s="1483"/>
      <c r="DD12" s="1483"/>
      <c r="DE12" s="885"/>
      <c r="DF12" s="783"/>
      <c r="DG12" s="783"/>
      <c r="DH12" s="783"/>
      <c r="DI12" s="783"/>
      <c r="DJ12" s="783"/>
      <c r="DK12" s="783"/>
      <c r="DL12" s="783"/>
      <c r="DM12" s="783"/>
      <c r="DN12" s="783"/>
      <c r="DO12" s="783"/>
      <c r="DP12" s="783"/>
      <c r="DQ12" s="783"/>
      <c r="DR12" s="783"/>
      <c r="DS12" s="783"/>
      <c r="DT12" s="783"/>
      <c r="DU12" s="783"/>
      <c r="DV12" s="783"/>
      <c r="DW12" s="783"/>
      <c r="DX12" s="783"/>
      <c r="DY12" s="783"/>
      <c r="DZ12" s="981"/>
      <c r="EA12" s="981"/>
      <c r="EB12" s="783"/>
      <c r="EC12" s="783">
        <v>3.7999999999999999E-2</v>
      </c>
      <c r="ED12" s="783">
        <v>-0.37</v>
      </c>
      <c r="EE12" s="783">
        <v>-0.56999999999999995</v>
      </c>
      <c r="EF12" s="783"/>
      <c r="EG12" s="783"/>
      <c r="EH12" s="783"/>
      <c r="EI12" s="783"/>
      <c r="EJ12" s="783"/>
      <c r="EK12" s="783"/>
      <c r="EL12" s="783"/>
      <c r="EM12" s="783"/>
      <c r="EN12" s="783"/>
      <c r="EO12" s="783"/>
      <c r="EP12" s="783"/>
      <c r="EQ12" s="783"/>
      <c r="ER12" s="783"/>
      <c r="ES12" s="783"/>
      <c r="EU12" s="42"/>
      <c r="EV12"/>
      <c r="EW12"/>
      <c r="EX12"/>
      <c r="EY12"/>
      <c r="EZ12"/>
      <c r="FA12"/>
    </row>
    <row r="13" spans="1:157" s="15" customFormat="1" collapsed="1">
      <c r="B13" s="17" t="s">
        <v>1174</v>
      </c>
      <c r="C13" s="23"/>
      <c r="D13" s="783"/>
      <c r="E13" s="783">
        <v>8.4450000000000003</v>
      </c>
      <c r="F13" s="783">
        <f t="shared" si="14"/>
        <v>7.1950000000000003</v>
      </c>
      <c r="G13" s="783">
        <f t="shared" si="15"/>
        <v>5.9770000000000003</v>
      </c>
      <c r="H13" s="783">
        <f t="shared" si="16"/>
        <v>5.5739999999999998</v>
      </c>
      <c r="I13" s="783">
        <f t="shared" si="17"/>
        <v>2.6930000000000001</v>
      </c>
      <c r="J13" s="783">
        <f t="shared" si="18"/>
        <v>0.79600000000000004</v>
      </c>
      <c r="K13" s="783">
        <f t="shared" si="19"/>
        <v>0</v>
      </c>
      <c r="L13" s="783">
        <f t="shared" si="20"/>
        <v>3.2270000000000003</v>
      </c>
      <c r="M13" s="54">
        <f>SUM(BL13:BO13)</f>
        <v>6.641</v>
      </c>
      <c r="N13" s="1483">
        <f t="shared" si="26"/>
        <v>18.791000000000004</v>
      </c>
      <c r="O13" s="1483">
        <f t="shared" si="0"/>
        <v>27.914999999999999</v>
      </c>
      <c r="P13" s="1483">
        <f t="shared" si="1"/>
        <v>32.171999999999997</v>
      </c>
      <c r="Q13" s="1483">
        <f t="shared" si="2"/>
        <v>23.365000000000002</v>
      </c>
      <c r="R13" s="1483">
        <f t="shared" si="21"/>
        <v>23.868000000000002</v>
      </c>
      <c r="S13" s="1483">
        <f>SUM(CJ13:CM13)</f>
        <v>18.667000000000002</v>
      </c>
      <c r="T13" s="1483">
        <f t="shared" si="22"/>
        <v>16.05</v>
      </c>
      <c r="U13" s="1483">
        <f t="shared" si="23"/>
        <v>19.137</v>
      </c>
      <c r="V13" s="1483">
        <f>SUM(CV13:CY13)</f>
        <v>24.449000000000002</v>
      </c>
      <c r="W13" s="1483">
        <f t="shared" si="27"/>
        <v>0</v>
      </c>
      <c r="X13" s="1483">
        <f>Capital!X317+Capital!X348</f>
        <v>0</v>
      </c>
      <c r="Y13" s="1483">
        <f>Capital!Y317+Capital!Y348</f>
        <v>0</v>
      </c>
      <c r="Z13" s="1483">
        <f>Capital!Z317+Capital!Z348</f>
        <v>0</v>
      </c>
      <c r="AA13" s="1483">
        <f>Capital!AA317+Capital!AA348</f>
        <v>0</v>
      </c>
      <c r="AB13" s="1483">
        <f>Capital!AB317+Capital!AB348</f>
        <v>0</v>
      </c>
      <c r="AC13" s="1483">
        <f>Capital!AC317+Capital!AC348</f>
        <v>0</v>
      </c>
      <c r="AD13" s="1483">
        <f>Capital!AD317+Capital!AD348</f>
        <v>0</v>
      </c>
      <c r="AE13" s="1483"/>
      <c r="AF13" s="1484"/>
      <c r="AG13" s="1484"/>
      <c r="AH13" s="1485"/>
      <c r="AI13" s="1485">
        <f t="shared" si="3"/>
        <v>8.4450000000000003</v>
      </c>
      <c r="AJ13" s="1485">
        <f>DJ13</f>
        <v>1.8320000000000001</v>
      </c>
      <c r="AK13" s="1485">
        <f>DK13-AJ13</f>
        <v>1.8320000000000001</v>
      </c>
      <c r="AL13" s="1485">
        <f>DL13-AK13-AJ13</f>
        <v>2.2200000000000006</v>
      </c>
      <c r="AM13" s="1485">
        <f>DM13-AL13-AK13-AJ13</f>
        <v>1.3109999999999997</v>
      </c>
      <c r="AN13" s="1485">
        <f t="shared" si="4"/>
        <v>2.2570000000000001</v>
      </c>
      <c r="AO13" s="1485">
        <f>DO13-AN13</f>
        <v>0.72100000000000009</v>
      </c>
      <c r="AP13" s="1485">
        <f>DP13-AO13-AN13</f>
        <v>1.4469999999999996</v>
      </c>
      <c r="AQ13" s="1485">
        <f>DQ13-AP13-AO13-AN13</f>
        <v>1.5520000000000009</v>
      </c>
      <c r="AR13" s="1485">
        <f t="shared" si="5"/>
        <v>0</v>
      </c>
      <c r="AS13" s="1485">
        <f t="shared" si="6"/>
        <v>0</v>
      </c>
      <c r="AT13" s="1485">
        <f t="shared" si="7"/>
        <v>0</v>
      </c>
      <c r="AU13" s="1485">
        <f t="shared" si="8"/>
        <v>5.5739999999999998</v>
      </c>
      <c r="AV13" s="1485">
        <f>DV13</f>
        <v>0</v>
      </c>
      <c r="AW13" s="1485">
        <f t="shared" si="9"/>
        <v>0</v>
      </c>
      <c r="AX13" s="1485">
        <f t="shared" si="10"/>
        <v>0</v>
      </c>
      <c r="AY13" s="1485">
        <f t="shared" si="11"/>
        <v>2.6930000000000001</v>
      </c>
      <c r="AZ13" s="1485">
        <f t="shared" si="25"/>
        <v>0</v>
      </c>
      <c r="BA13" s="1485">
        <f t="shared" si="12"/>
        <v>0</v>
      </c>
      <c r="BB13" s="1485"/>
      <c r="BC13" s="1485">
        <f t="shared" si="13"/>
        <v>0.79600000000000004</v>
      </c>
      <c r="BD13" s="1485"/>
      <c r="BE13" s="1485"/>
      <c r="BF13" s="1485"/>
      <c r="BG13" s="1485"/>
      <c r="BH13" s="1485">
        <f>EH13</f>
        <v>0.38900000000000001</v>
      </c>
      <c r="BI13" s="1485">
        <f>EI13-BH13</f>
        <v>0.78400000000000003</v>
      </c>
      <c r="BJ13" s="1485">
        <f>EJ13-BI13-BH13</f>
        <v>0.81200000000000006</v>
      </c>
      <c r="BK13" s="1485">
        <f>EK13-BJ13-BI13-BH13</f>
        <v>1.242</v>
      </c>
      <c r="BL13" s="1485">
        <v>3.004</v>
      </c>
      <c r="BM13" s="1485">
        <f>EM13-BL13</f>
        <v>-0.42300000000000004</v>
      </c>
      <c r="BN13" s="1485">
        <f>EN13-BM13-BL13</f>
        <v>1.1720000000000002</v>
      </c>
      <c r="BO13" s="1485">
        <v>2.8879999999999999</v>
      </c>
      <c r="BP13" s="1485">
        <v>2.4369999999999998</v>
      </c>
      <c r="BQ13" s="1485">
        <v>3.2770000000000001</v>
      </c>
      <c r="BR13" s="1485">
        <f>12.21-BQ13-BP13</f>
        <v>6.4960000000000004</v>
      </c>
      <c r="BS13" s="1485">
        <f>18.791-BR13-BQ13-BP13</f>
        <v>6.5810000000000013</v>
      </c>
      <c r="BT13" s="1485">
        <v>5.5540000000000003</v>
      </c>
      <c r="BU13" s="1485">
        <f>12.243-BT13</f>
        <v>6.6890000000000001</v>
      </c>
      <c r="BV13" s="1485">
        <f>19.403-BU13-BT13</f>
        <v>7.1599999999999984</v>
      </c>
      <c r="BW13" s="1485">
        <v>8.5120000000000005</v>
      </c>
      <c r="BX13" s="1485">
        <v>7.2839999999999998</v>
      </c>
      <c r="BY13" s="1485">
        <v>8.3249999999999993</v>
      </c>
      <c r="BZ13" s="1485">
        <v>8.2070000000000007</v>
      </c>
      <c r="CA13" s="1485">
        <v>8.3559999999999999</v>
      </c>
      <c r="CB13" s="1485">
        <v>8.1069999999999993</v>
      </c>
      <c r="CC13" s="1485">
        <v>4.9020000000000001</v>
      </c>
      <c r="CD13" s="1485">
        <v>5.048</v>
      </c>
      <c r="CE13" s="1485">
        <v>5.3079999999999998</v>
      </c>
      <c r="CF13" s="1485">
        <v>5.7530000000000001</v>
      </c>
      <c r="CG13" s="1485">
        <v>5.8840000000000003</v>
      </c>
      <c r="CH13" s="1485">
        <v>5.9649999999999999</v>
      </c>
      <c r="CI13" s="1485">
        <v>6.266</v>
      </c>
      <c r="CJ13" s="1485">
        <v>6.4089999999999998</v>
      </c>
      <c r="CK13" s="1485">
        <v>4.7169999999999996</v>
      </c>
      <c r="CL13" s="1485">
        <v>3.714</v>
      </c>
      <c r="CM13" s="1485">
        <v>3.827</v>
      </c>
      <c r="CN13" s="1485">
        <v>3.774</v>
      </c>
      <c r="CO13" s="1485">
        <v>3.8109999999999999</v>
      </c>
      <c r="CP13" s="1485">
        <v>3.972</v>
      </c>
      <c r="CQ13" s="1485">
        <v>4.4930000000000003</v>
      </c>
      <c r="CR13" s="1485">
        <v>5.508</v>
      </c>
      <c r="CS13" s="1485">
        <v>5.5170000000000003</v>
      </c>
      <c r="CT13" s="1485">
        <v>2.6840000000000002</v>
      </c>
      <c r="CU13" s="1485">
        <v>5.4279999999999999</v>
      </c>
      <c r="CV13" s="1485">
        <v>11.58</v>
      </c>
      <c r="CW13" s="1485">
        <v>4.13</v>
      </c>
      <c r="CX13" s="1485">
        <v>4.3899999999999997</v>
      </c>
      <c r="CY13" s="1485">
        <v>4.3490000000000002</v>
      </c>
      <c r="CZ13" s="1688">
        <f>Capital!CZ317+Capital!CZ348</f>
        <v>0</v>
      </c>
      <c r="DA13" s="1688">
        <f>Capital!DA317+Capital!DA348</f>
        <v>0</v>
      </c>
      <c r="DB13" s="1688">
        <f>Capital!DB317+Capital!DB348</f>
        <v>0</v>
      </c>
      <c r="DC13" s="1688">
        <f>Capital!DC317+Capital!DC348</f>
        <v>0</v>
      </c>
      <c r="DD13" s="1483"/>
      <c r="DE13" s="885"/>
      <c r="DF13" s="783"/>
      <c r="DG13" s="783"/>
      <c r="DH13" s="783">
        <f>2.454+0.452+0.084</f>
        <v>2.99</v>
      </c>
      <c r="DI13" s="783">
        <v>8.4450000000000003</v>
      </c>
      <c r="DJ13" s="783">
        <v>1.8320000000000001</v>
      </c>
      <c r="DK13" s="783">
        <v>3.6640000000000001</v>
      </c>
      <c r="DL13" s="783">
        <v>5.8840000000000003</v>
      </c>
      <c r="DM13" s="783">
        <v>7.1950000000000003</v>
      </c>
      <c r="DN13" s="783">
        <v>2.2570000000000001</v>
      </c>
      <c r="DO13" s="783">
        <v>2.9780000000000002</v>
      </c>
      <c r="DP13" s="783">
        <v>4.4249999999999998</v>
      </c>
      <c r="DQ13" s="783">
        <v>5.9770000000000003</v>
      </c>
      <c r="DR13" s="783"/>
      <c r="DS13" s="783"/>
      <c r="DT13" s="783"/>
      <c r="DU13" s="783">
        <v>5.5739999999999998</v>
      </c>
      <c r="DV13" s="783"/>
      <c r="DW13" s="783"/>
      <c r="DX13" s="783"/>
      <c r="DY13" s="783">
        <v>2.6930000000000001</v>
      </c>
      <c r="DZ13" s="981"/>
      <c r="EA13" s="981"/>
      <c r="EB13" s="783"/>
      <c r="EC13" s="783">
        <v>0.79600000000000004</v>
      </c>
      <c r="ED13" s="783"/>
      <c r="EE13" s="783"/>
      <c r="EF13" s="783"/>
      <c r="EG13" s="783"/>
      <c r="EH13" s="783">
        <v>0.38900000000000001</v>
      </c>
      <c r="EI13" s="783">
        <v>1.173</v>
      </c>
      <c r="EJ13" s="783">
        <v>1.9850000000000001</v>
      </c>
      <c r="EK13" s="783">
        <v>3.2269999999999999</v>
      </c>
      <c r="EL13" s="783">
        <v>1.403</v>
      </c>
      <c r="EM13" s="783">
        <v>2.581</v>
      </c>
      <c r="EN13" s="783">
        <v>3.7530000000000001</v>
      </c>
      <c r="EO13" s="783">
        <v>4.8869999999999996</v>
      </c>
      <c r="EP13" s="783"/>
      <c r="EQ13" s="783"/>
      <c r="ER13" s="783"/>
      <c r="ES13" s="783"/>
      <c r="EU13" s="42"/>
      <c r="EV13"/>
      <c r="EW13"/>
      <c r="EX13"/>
      <c r="EY13"/>
      <c r="EZ13"/>
      <c r="FA13"/>
    </row>
    <row r="14" spans="1:157" s="15" customFormat="1" hidden="1" outlineLevel="1">
      <c r="B14" s="17" t="s">
        <v>1137</v>
      </c>
      <c r="C14" s="23"/>
      <c r="D14" s="783"/>
      <c r="E14" s="783"/>
      <c r="F14" s="783"/>
      <c r="G14" s="783">
        <f t="shared" si="15"/>
        <v>0</v>
      </c>
      <c r="H14" s="783">
        <f t="shared" si="16"/>
        <v>4.6929999999999996</v>
      </c>
      <c r="I14" s="783">
        <f t="shared" si="17"/>
        <v>5.1120000000000001</v>
      </c>
      <c r="J14" s="783">
        <f t="shared" si="18"/>
        <v>0.879</v>
      </c>
      <c r="K14" s="783">
        <f t="shared" si="19"/>
        <v>0.88</v>
      </c>
      <c r="L14" s="783">
        <f t="shared" si="20"/>
        <v>0</v>
      </c>
      <c r="M14" s="54"/>
      <c r="N14" s="1483">
        <f t="shared" si="26"/>
        <v>0</v>
      </c>
      <c r="O14" s="1483">
        <f t="shared" si="0"/>
        <v>0</v>
      </c>
      <c r="P14" s="1483"/>
      <c r="Q14" s="1483"/>
      <c r="R14" s="1483">
        <f t="shared" si="21"/>
        <v>0</v>
      </c>
      <c r="S14" s="1483">
        <f t="shared" si="21"/>
        <v>0</v>
      </c>
      <c r="T14" s="1483">
        <f t="shared" si="22"/>
        <v>0</v>
      </c>
      <c r="U14" s="1483">
        <f t="shared" si="23"/>
        <v>0</v>
      </c>
      <c r="V14" s="1483">
        <f t="shared" si="23"/>
        <v>0</v>
      </c>
      <c r="W14" s="1483">
        <f t="shared" si="27"/>
        <v>0</v>
      </c>
      <c r="X14" s="1483"/>
      <c r="Y14" s="1483"/>
      <c r="Z14" s="1483"/>
      <c r="AA14" s="1483"/>
      <c r="AB14" s="1483"/>
      <c r="AC14" s="1483"/>
      <c r="AD14" s="1483"/>
      <c r="AE14" s="1483"/>
      <c r="AF14" s="1484"/>
      <c r="AG14" s="1484"/>
      <c r="AH14" s="1485">
        <f>DH14-AG14-AF14</f>
        <v>0</v>
      </c>
      <c r="AI14" s="1485">
        <f t="shared" si="3"/>
        <v>0</v>
      </c>
      <c r="AJ14" s="1485"/>
      <c r="AK14" s="1485"/>
      <c r="AL14" s="1485"/>
      <c r="AM14" s="1485"/>
      <c r="AN14" s="1485"/>
      <c r="AO14" s="1485"/>
      <c r="AP14" s="1485"/>
      <c r="AQ14" s="1485"/>
      <c r="AR14" s="1485">
        <f t="shared" si="5"/>
        <v>2.0859999999999999</v>
      </c>
      <c r="AS14" s="1485">
        <f t="shared" si="6"/>
        <v>2.2509999999999999</v>
      </c>
      <c r="AT14" s="1485">
        <f t="shared" si="7"/>
        <v>2.9079999999999999</v>
      </c>
      <c r="AU14" s="1485">
        <f t="shared" si="8"/>
        <v>-2.552</v>
      </c>
      <c r="AV14" s="1485">
        <f t="shared" si="24"/>
        <v>2.6150000000000002</v>
      </c>
      <c r="AW14" s="1485">
        <f t="shared" si="9"/>
        <v>1.7359999999999998</v>
      </c>
      <c r="AX14" s="1485">
        <f t="shared" si="10"/>
        <v>1.6950000000000003</v>
      </c>
      <c r="AY14" s="1485">
        <f t="shared" si="11"/>
        <v>-0.93400000000000016</v>
      </c>
      <c r="AZ14" s="1485">
        <f t="shared" si="25"/>
        <v>0.90500000000000003</v>
      </c>
      <c r="BA14" s="1485">
        <f t="shared" si="12"/>
        <v>0.26800000000000002</v>
      </c>
      <c r="BB14" s="1485">
        <f>EB14-BA14-AZ14</f>
        <v>0.27800000000000002</v>
      </c>
      <c r="BC14" s="1485">
        <f t="shared" si="13"/>
        <v>-0.57200000000000006</v>
      </c>
      <c r="BD14" s="1485">
        <f>ED14</f>
        <v>0.20799999999999999</v>
      </c>
      <c r="BE14" s="1485">
        <f>EE14-BD14</f>
        <v>0.20799999999999999</v>
      </c>
      <c r="BF14" s="1485">
        <f>EF14-BE14-BD14</f>
        <v>0.22700000000000006</v>
      </c>
      <c r="BG14" s="1485">
        <f>EG14-BF14-BE14-BD14</f>
        <v>0.23699999999999996</v>
      </c>
      <c r="BH14" s="1485"/>
      <c r="BI14" s="1485"/>
      <c r="BJ14" s="1485"/>
      <c r="BK14" s="1485"/>
      <c r="BL14" s="1485"/>
      <c r="BM14" s="1485"/>
      <c r="BN14" s="1485"/>
      <c r="BO14" s="1485"/>
      <c r="BP14" s="1485"/>
      <c r="BQ14" s="1485"/>
      <c r="BR14" s="1485"/>
      <c r="BS14" s="1485"/>
      <c r="BT14" s="1485"/>
      <c r="BU14" s="1485"/>
      <c r="BV14" s="1485"/>
      <c r="BW14" s="1485"/>
      <c r="BX14" s="1485"/>
      <c r="BY14" s="1485"/>
      <c r="BZ14" s="1485"/>
      <c r="CA14" s="1485"/>
      <c r="CB14" s="1485"/>
      <c r="CC14" s="1485"/>
      <c r="CD14" s="1485"/>
      <c r="CE14" s="1485"/>
      <c r="CF14" s="1485"/>
      <c r="CG14" s="1485"/>
      <c r="CH14" s="1485"/>
      <c r="CI14" s="1485"/>
      <c r="CJ14" s="1485"/>
      <c r="CK14" s="1485"/>
      <c r="CL14" s="1485"/>
      <c r="CM14" s="1485"/>
      <c r="CN14" s="1485"/>
      <c r="CO14" s="1485"/>
      <c r="CP14" s="1485"/>
      <c r="CQ14" s="1485"/>
      <c r="CR14" s="1485"/>
      <c r="CS14" s="1485"/>
      <c r="CT14" s="1485"/>
      <c r="CU14" s="1485"/>
      <c r="CV14" s="1485"/>
      <c r="CW14" s="1485"/>
      <c r="CX14" s="1485"/>
      <c r="CY14" s="1485"/>
      <c r="CZ14" s="1483"/>
      <c r="DA14" s="1483"/>
      <c r="DB14" s="1483"/>
      <c r="DC14" s="1483"/>
      <c r="DD14" s="1483"/>
      <c r="DE14" s="885"/>
      <c r="DF14" s="783"/>
      <c r="DG14" s="783"/>
      <c r="DH14" s="783"/>
      <c r="DI14" s="783"/>
      <c r="DJ14" s="783"/>
      <c r="DK14" s="783"/>
      <c r="DL14" s="783"/>
      <c r="DM14" s="783"/>
      <c r="DN14" s="783"/>
      <c r="DO14" s="783"/>
      <c r="DP14" s="783"/>
      <c r="DQ14" s="783"/>
      <c r="DR14" s="783">
        <v>2.0859999999999999</v>
      </c>
      <c r="DS14" s="783">
        <v>4.3369999999999997</v>
      </c>
      <c r="DT14" s="783">
        <v>7.2450000000000001</v>
      </c>
      <c r="DU14" s="783">
        <v>4.6929999999999996</v>
      </c>
      <c r="DV14" s="783">
        <v>2.6150000000000002</v>
      </c>
      <c r="DW14" s="783">
        <v>4.351</v>
      </c>
      <c r="DX14" s="783">
        <v>6.0460000000000003</v>
      </c>
      <c r="DY14" s="783">
        <v>5.1120000000000001</v>
      </c>
      <c r="DZ14" s="981">
        <v>0.90500000000000003</v>
      </c>
      <c r="EA14" s="981">
        <v>1.173</v>
      </c>
      <c r="EB14" s="783">
        <v>1.4510000000000001</v>
      </c>
      <c r="EC14" s="783">
        <v>0.879</v>
      </c>
      <c r="ED14" s="783">
        <v>0.20799999999999999</v>
      </c>
      <c r="EE14" s="783">
        <v>0.41599999999999998</v>
      </c>
      <c r="EF14" s="783">
        <v>0.64300000000000002</v>
      </c>
      <c r="EG14" s="783">
        <v>0.88</v>
      </c>
      <c r="EH14" s="783"/>
      <c r="EI14" s="783"/>
      <c r="EJ14" s="783"/>
      <c r="EK14" s="783"/>
      <c r="EL14" s="783"/>
      <c r="EM14" s="783"/>
      <c r="EN14" s="783"/>
      <c r="EO14" s="783"/>
      <c r="EP14" s="783"/>
      <c r="EQ14" s="783"/>
      <c r="ER14" s="783"/>
      <c r="ES14" s="783"/>
      <c r="EU14" s="42"/>
      <c r="EV14"/>
      <c r="EW14"/>
      <c r="EX14"/>
      <c r="EY14"/>
      <c r="EZ14"/>
      <c r="FA14"/>
    </row>
    <row r="15" spans="1:157" s="15" customFormat="1" hidden="1" outlineLevel="1">
      <c r="B15" s="17" t="s">
        <v>1403</v>
      </c>
      <c r="C15" s="23"/>
      <c r="D15" s="783"/>
      <c r="E15" s="783">
        <v>0.78</v>
      </c>
      <c r="F15" s="783"/>
      <c r="G15" s="783">
        <f t="shared" si="15"/>
        <v>0</v>
      </c>
      <c r="H15" s="783"/>
      <c r="I15" s="783">
        <f t="shared" si="17"/>
        <v>0</v>
      </c>
      <c r="J15" s="783"/>
      <c r="K15" s="783"/>
      <c r="L15" s="783"/>
      <c r="M15" s="54"/>
      <c r="N15" s="1483">
        <f t="shared" si="26"/>
        <v>0</v>
      </c>
      <c r="O15" s="1483">
        <f t="shared" si="0"/>
        <v>0</v>
      </c>
      <c r="P15" s="1483"/>
      <c r="Q15" s="1483"/>
      <c r="R15" s="1483">
        <f t="shared" si="21"/>
        <v>0</v>
      </c>
      <c r="S15" s="1483">
        <f t="shared" si="21"/>
        <v>0</v>
      </c>
      <c r="T15" s="1483">
        <f t="shared" si="22"/>
        <v>0</v>
      </c>
      <c r="U15" s="1483">
        <f t="shared" si="23"/>
        <v>0</v>
      </c>
      <c r="V15" s="1483">
        <f t="shared" si="23"/>
        <v>0</v>
      </c>
      <c r="W15" s="1483">
        <f t="shared" si="27"/>
        <v>0</v>
      </c>
      <c r="X15" s="1483"/>
      <c r="Y15" s="1483"/>
      <c r="Z15" s="1483"/>
      <c r="AA15" s="1483"/>
      <c r="AB15" s="1483"/>
      <c r="AC15" s="1483"/>
      <c r="AD15" s="1483"/>
      <c r="AE15" s="1483"/>
      <c r="AF15" s="1484"/>
      <c r="AG15" s="1484"/>
      <c r="AH15" s="1485"/>
      <c r="AI15" s="1485"/>
      <c r="AJ15" s="1485"/>
      <c r="AK15" s="1485"/>
      <c r="AL15" s="1485"/>
      <c r="AM15" s="1485"/>
      <c r="AN15" s="1485"/>
      <c r="AO15" s="1485"/>
      <c r="AP15" s="1485"/>
      <c r="AQ15" s="1485"/>
      <c r="AR15" s="1485">
        <f t="shared" si="5"/>
        <v>0</v>
      </c>
      <c r="AS15" s="1485">
        <f t="shared" si="6"/>
        <v>0</v>
      </c>
      <c r="AT15" s="1485">
        <f t="shared" si="7"/>
        <v>0</v>
      </c>
      <c r="AU15" s="1485">
        <f t="shared" si="8"/>
        <v>0</v>
      </c>
      <c r="AV15" s="1485">
        <f>DV15</f>
        <v>0</v>
      </c>
      <c r="AW15" s="1485">
        <f t="shared" si="9"/>
        <v>0</v>
      </c>
      <c r="AX15" s="1485">
        <f t="shared" si="10"/>
        <v>0</v>
      </c>
      <c r="AY15" s="1485">
        <f t="shared" si="11"/>
        <v>0</v>
      </c>
      <c r="AZ15" s="1485">
        <f t="shared" si="25"/>
        <v>0</v>
      </c>
      <c r="BA15" s="1485">
        <f t="shared" si="12"/>
        <v>0</v>
      </c>
      <c r="BB15" s="1485"/>
      <c r="BC15" s="1485"/>
      <c r="BD15" s="1485"/>
      <c r="BE15" s="1485"/>
      <c r="BF15" s="1485"/>
      <c r="BG15" s="1485"/>
      <c r="BH15" s="1485"/>
      <c r="BI15" s="1485"/>
      <c r="BJ15" s="1485"/>
      <c r="BK15" s="1485"/>
      <c r="BL15" s="1485"/>
      <c r="BM15" s="1485"/>
      <c r="BN15" s="1485"/>
      <c r="BO15" s="1485"/>
      <c r="BP15" s="1485"/>
      <c r="BQ15" s="1485"/>
      <c r="BR15" s="1485"/>
      <c r="BS15" s="1485"/>
      <c r="BT15" s="1485"/>
      <c r="BU15" s="1485"/>
      <c r="BV15" s="1485"/>
      <c r="BW15" s="1485"/>
      <c r="BX15" s="1485"/>
      <c r="BY15" s="1485"/>
      <c r="BZ15" s="1485"/>
      <c r="CA15" s="1485"/>
      <c r="CB15" s="1485"/>
      <c r="CC15" s="1485"/>
      <c r="CD15" s="1485"/>
      <c r="CE15" s="1485"/>
      <c r="CF15" s="1485"/>
      <c r="CG15" s="1485"/>
      <c r="CH15" s="1485"/>
      <c r="CI15" s="1485"/>
      <c r="CJ15" s="1485"/>
      <c r="CK15" s="1485"/>
      <c r="CL15" s="1485"/>
      <c r="CM15" s="1485"/>
      <c r="CN15" s="1485"/>
      <c r="CO15" s="1485"/>
      <c r="CP15" s="1485"/>
      <c r="CQ15" s="1485"/>
      <c r="CR15" s="1485"/>
      <c r="CS15" s="1485"/>
      <c r="CT15" s="1485"/>
      <c r="CU15" s="1485"/>
      <c r="CV15" s="1485"/>
      <c r="CW15" s="1485"/>
      <c r="CX15" s="1485"/>
      <c r="CY15" s="1485"/>
      <c r="CZ15" s="1483"/>
      <c r="DA15" s="1483"/>
      <c r="DB15" s="1483"/>
      <c r="DC15" s="1483"/>
      <c r="DD15" s="1483"/>
      <c r="DE15" s="885"/>
      <c r="DF15" s="783"/>
      <c r="DG15" s="783"/>
      <c r="DH15" s="783"/>
      <c r="DI15" s="783">
        <v>0.78</v>
      </c>
      <c r="DJ15" s="783"/>
      <c r="DK15" s="783"/>
      <c r="DL15" s="783"/>
      <c r="DM15" s="783"/>
      <c r="DN15" s="783"/>
      <c r="DO15" s="783"/>
      <c r="DP15" s="783"/>
      <c r="DQ15" s="783"/>
      <c r="DR15" s="783"/>
      <c r="DS15" s="783"/>
      <c r="DT15" s="783"/>
      <c r="DU15" s="783"/>
      <c r="DV15" s="783"/>
      <c r="DW15" s="783"/>
      <c r="DX15" s="783"/>
      <c r="DY15" s="783"/>
      <c r="DZ15" s="981"/>
      <c r="EA15" s="981"/>
      <c r="EB15" s="783"/>
      <c r="EC15" s="783"/>
      <c r="ED15" s="783"/>
      <c r="EE15" s="783"/>
      <c r="EF15" s="783"/>
      <c r="EG15" s="783"/>
      <c r="EH15" s="783"/>
      <c r="EI15" s="783"/>
      <c r="EJ15" s="783"/>
      <c r="EK15" s="783"/>
      <c r="EL15" s="783"/>
      <c r="EM15" s="783"/>
      <c r="EN15" s="783"/>
      <c r="EO15" s="783"/>
      <c r="EP15" s="783"/>
      <c r="EQ15" s="783"/>
      <c r="ER15" s="783"/>
      <c r="ES15" s="783"/>
      <c r="EU15" s="42"/>
      <c r="EV15"/>
      <c r="EW15"/>
      <c r="EX15"/>
      <c r="EY15"/>
      <c r="EZ15"/>
      <c r="FA15"/>
    </row>
    <row r="16" spans="1:157" s="15" customFormat="1" hidden="1" outlineLevel="1">
      <c r="B16" s="17" t="s">
        <v>1138</v>
      </c>
      <c r="C16" s="23"/>
      <c r="D16" s="783"/>
      <c r="E16" s="783">
        <v>0.60799999999999998</v>
      </c>
      <c r="F16" s="783">
        <f t="shared" si="14"/>
        <v>0.52100000000000002</v>
      </c>
      <c r="G16" s="783">
        <f t="shared" si="15"/>
        <v>2.3289999999999997</v>
      </c>
      <c r="H16" s="783"/>
      <c r="I16" s="783">
        <f t="shared" si="17"/>
        <v>-0.05</v>
      </c>
      <c r="J16" s="783">
        <f t="shared" si="18"/>
        <v>-0.46400000000000002</v>
      </c>
      <c r="K16" s="783">
        <f t="shared" si="19"/>
        <v>0</v>
      </c>
      <c r="L16" s="783">
        <f t="shared" si="20"/>
        <v>0</v>
      </c>
      <c r="M16" s="54">
        <f>SUM(BL16:BO16)</f>
        <v>0</v>
      </c>
      <c r="N16" s="1483">
        <f t="shared" si="26"/>
        <v>0</v>
      </c>
      <c r="O16" s="1483">
        <f t="shared" si="0"/>
        <v>0</v>
      </c>
      <c r="P16" s="1483"/>
      <c r="Q16" s="1483"/>
      <c r="R16" s="1483">
        <f t="shared" si="21"/>
        <v>0</v>
      </c>
      <c r="S16" s="1483">
        <f t="shared" si="21"/>
        <v>0</v>
      </c>
      <c r="T16" s="1483">
        <f t="shared" si="22"/>
        <v>0</v>
      </c>
      <c r="U16" s="1483">
        <f t="shared" si="23"/>
        <v>0</v>
      </c>
      <c r="V16" s="1483">
        <f t="shared" si="23"/>
        <v>0</v>
      </c>
      <c r="W16" s="1483">
        <f t="shared" si="27"/>
        <v>0</v>
      </c>
      <c r="X16" s="1483"/>
      <c r="Y16" s="1483"/>
      <c r="Z16" s="1483"/>
      <c r="AA16" s="1483"/>
      <c r="AB16" s="1483"/>
      <c r="AC16" s="1483"/>
      <c r="AD16" s="1483"/>
      <c r="AE16" s="1483"/>
      <c r="AF16" s="1484"/>
      <c r="AG16" s="1484"/>
      <c r="AH16" s="1485">
        <f>DH16-AG16-AF16</f>
        <v>0</v>
      </c>
      <c r="AI16" s="1485">
        <f>DI16-AH16-AG16-AF16</f>
        <v>0.60799999999999998</v>
      </c>
      <c r="AJ16" s="1485">
        <f>DJ16</f>
        <v>0.46700000000000003</v>
      </c>
      <c r="AK16" s="1485">
        <f>DK16-AJ16</f>
        <v>-7.3000000000000009E-2</v>
      </c>
      <c r="AL16" s="1485">
        <f>DL16-AK16-AJ16</f>
        <v>-0.20200000000000001</v>
      </c>
      <c r="AM16" s="1485">
        <f>DM16-AL16-AK16-AJ16</f>
        <v>0.32900000000000001</v>
      </c>
      <c r="AN16" s="1485">
        <f t="shared" si="4"/>
        <v>0.48199999999999998</v>
      </c>
      <c r="AO16" s="1485">
        <f>DO16-AN16</f>
        <v>2.0110000000000001</v>
      </c>
      <c r="AP16" s="1485">
        <f>DP16-AO16-AN16</f>
        <v>-0.15500000000000003</v>
      </c>
      <c r="AQ16" s="1485">
        <f>DQ16-AP16-AO16-AN16</f>
        <v>-9.000000000000119E-3</v>
      </c>
      <c r="AR16" s="1485">
        <f t="shared" si="5"/>
        <v>0.154</v>
      </c>
      <c r="AS16" s="1485">
        <f t="shared" si="6"/>
        <v>0.12700000000000003</v>
      </c>
      <c r="AT16" s="1485">
        <f t="shared" si="7"/>
        <v>-0.11700000000000002</v>
      </c>
      <c r="AU16" s="1485">
        <f t="shared" si="8"/>
        <v>-0.16400000000000001</v>
      </c>
      <c r="AV16" s="1485">
        <f t="shared" si="24"/>
        <v>7.0000000000000007E-2</v>
      </c>
      <c r="AW16" s="1485">
        <f t="shared" si="9"/>
        <v>-0.11900000000000001</v>
      </c>
      <c r="AX16" s="1485">
        <f t="shared" si="10"/>
        <v>-5.6999999999999995E-2</v>
      </c>
      <c r="AY16" s="1485">
        <f t="shared" si="11"/>
        <v>5.5999999999999994E-2</v>
      </c>
      <c r="AZ16" s="1485">
        <f t="shared" si="25"/>
        <v>-5.8000000000000003E-2</v>
      </c>
      <c r="BA16" s="1485">
        <f t="shared" si="12"/>
        <v>5.0000000000000044E-3</v>
      </c>
      <c r="BB16" s="1485">
        <f>EB16-BA16-AZ16</f>
        <v>-0.40400000000000003</v>
      </c>
      <c r="BC16" s="1485">
        <f>-0.464-BB16-BA16-AZ16</f>
        <v>-6.9999999999999993E-3</v>
      </c>
      <c r="BD16" s="1485">
        <f>ED16</f>
        <v>1.7999999999999999E-2</v>
      </c>
      <c r="BE16" s="1485">
        <f>EE16-BD16</f>
        <v>0.13400000000000001</v>
      </c>
      <c r="BF16" s="1485">
        <f>EF16-BE16-BD16</f>
        <v>-0.13600000000000001</v>
      </c>
      <c r="BG16" s="1485">
        <f>EG16-BF16-BE16-BD16</f>
        <v>-1.5999999999999997E-2</v>
      </c>
      <c r="BH16" s="1485"/>
      <c r="BI16" s="1485"/>
      <c r="BJ16" s="1485"/>
      <c r="BK16" s="1485"/>
      <c r="BL16" s="1485"/>
      <c r="BM16" s="1485"/>
      <c r="BN16" s="1485"/>
      <c r="BO16" s="1485"/>
      <c r="BP16" s="1485"/>
      <c r="BQ16" s="1485"/>
      <c r="BR16" s="1485"/>
      <c r="BS16" s="1485"/>
      <c r="BT16" s="1485"/>
      <c r="BU16" s="1485"/>
      <c r="BV16" s="1485"/>
      <c r="BW16" s="1485"/>
      <c r="BX16" s="1485"/>
      <c r="BY16" s="1485"/>
      <c r="BZ16" s="1485"/>
      <c r="CA16" s="1485"/>
      <c r="CB16" s="1485"/>
      <c r="CC16" s="1485"/>
      <c r="CD16" s="1485"/>
      <c r="CE16" s="1485"/>
      <c r="CF16" s="1485"/>
      <c r="CG16" s="1485"/>
      <c r="CH16" s="1485"/>
      <c r="CI16" s="1485"/>
      <c r="CJ16" s="1485"/>
      <c r="CK16" s="1485"/>
      <c r="CL16" s="1485"/>
      <c r="CM16" s="1485"/>
      <c r="CN16" s="1485"/>
      <c r="CO16" s="1485"/>
      <c r="CP16" s="1485"/>
      <c r="CQ16" s="1485"/>
      <c r="CR16" s="1485"/>
      <c r="CS16" s="1485"/>
      <c r="CT16" s="1485"/>
      <c r="CU16" s="1485"/>
      <c r="CV16" s="1485"/>
      <c r="CW16" s="1485"/>
      <c r="CX16" s="1485"/>
      <c r="CY16" s="1485"/>
      <c r="CZ16" s="1483"/>
      <c r="DA16" s="1483"/>
      <c r="DB16" s="1483"/>
      <c r="DC16" s="1483"/>
      <c r="DD16" s="1483"/>
      <c r="DE16" s="885"/>
      <c r="DF16" s="783"/>
      <c r="DG16" s="783"/>
      <c r="DH16" s="783"/>
      <c r="DI16" s="783">
        <v>0.60799999999999998</v>
      </c>
      <c r="DJ16" s="783">
        <v>0.46700000000000003</v>
      </c>
      <c r="DK16" s="783">
        <v>0.39400000000000002</v>
      </c>
      <c r="DL16" s="783">
        <v>0.192</v>
      </c>
      <c r="DM16" s="783">
        <v>0.52100000000000002</v>
      </c>
      <c r="DN16" s="783">
        <v>0.48199999999999998</v>
      </c>
      <c r="DO16" s="783">
        <v>2.4929999999999999</v>
      </c>
      <c r="DP16" s="783">
        <v>2.3380000000000001</v>
      </c>
      <c r="DQ16" s="783">
        <v>2.3290000000000002</v>
      </c>
      <c r="DR16" s="783">
        <v>0.154</v>
      </c>
      <c r="DS16" s="783">
        <v>0.28100000000000003</v>
      </c>
      <c r="DT16" s="783">
        <v>0.16400000000000001</v>
      </c>
      <c r="DU16" s="783">
        <v>0</v>
      </c>
      <c r="DV16" s="783">
        <v>7.0000000000000007E-2</v>
      </c>
      <c r="DW16" s="783">
        <v>-4.9000000000000002E-2</v>
      </c>
      <c r="DX16" s="783">
        <v>-0.106</v>
      </c>
      <c r="DY16" s="783">
        <v>-0.05</v>
      </c>
      <c r="DZ16" s="981">
        <v>-5.8000000000000003E-2</v>
      </c>
      <c r="EA16" s="981">
        <v>-5.2999999999999999E-2</v>
      </c>
      <c r="EB16" s="783">
        <v>-0.45700000000000002</v>
      </c>
      <c r="EC16" s="783">
        <v>-0.46400000000000002</v>
      </c>
      <c r="ED16" s="783">
        <v>1.7999999999999999E-2</v>
      </c>
      <c r="EE16" s="783">
        <v>0.152</v>
      </c>
      <c r="EF16" s="783">
        <v>1.6E-2</v>
      </c>
      <c r="EG16" s="783"/>
      <c r="EH16" s="783"/>
      <c r="EI16" s="783"/>
      <c r="EJ16" s="783"/>
      <c r="EK16" s="783"/>
      <c r="EL16" s="783"/>
      <c r="EM16" s="783"/>
      <c r="EN16" s="783"/>
      <c r="EO16" s="783">
        <v>1.5820000000000001</v>
      </c>
      <c r="EP16" s="783"/>
      <c r="EQ16" s="783"/>
      <c r="ER16" s="783"/>
      <c r="ES16" s="783"/>
      <c r="EU16" s="42"/>
      <c r="EV16"/>
      <c r="EW16"/>
      <c r="EX16"/>
      <c r="EY16"/>
      <c r="EZ16"/>
      <c r="FA16"/>
    </row>
    <row r="17" spans="2:157" s="15" customFormat="1" hidden="1" outlineLevel="1">
      <c r="B17" s="17" t="s">
        <v>1139</v>
      </c>
      <c r="C17" s="23"/>
      <c r="D17" s="783"/>
      <c r="E17" s="783"/>
      <c r="F17" s="783"/>
      <c r="G17" s="783">
        <f t="shared" si="15"/>
        <v>0</v>
      </c>
      <c r="H17" s="783">
        <f t="shared" si="16"/>
        <v>3.1740000000000004</v>
      </c>
      <c r="I17" s="783">
        <f t="shared" si="17"/>
        <v>3.4489999999999998</v>
      </c>
      <c r="J17" s="783">
        <f t="shared" si="18"/>
        <v>1.07</v>
      </c>
      <c r="K17" s="783"/>
      <c r="L17" s="783"/>
      <c r="M17" s="54"/>
      <c r="N17" s="1483">
        <f t="shared" si="26"/>
        <v>0</v>
      </c>
      <c r="O17" s="1483">
        <f t="shared" si="0"/>
        <v>0</v>
      </c>
      <c r="P17" s="1483"/>
      <c r="Q17" s="1483"/>
      <c r="R17" s="1483">
        <f t="shared" si="21"/>
        <v>0</v>
      </c>
      <c r="S17" s="1483">
        <f t="shared" si="21"/>
        <v>0</v>
      </c>
      <c r="T17" s="1483">
        <f t="shared" si="22"/>
        <v>0</v>
      </c>
      <c r="U17" s="1483">
        <f t="shared" si="23"/>
        <v>0</v>
      </c>
      <c r="V17" s="1483">
        <f t="shared" si="23"/>
        <v>0</v>
      </c>
      <c r="W17" s="1483">
        <f t="shared" si="27"/>
        <v>0</v>
      </c>
      <c r="X17" s="1483"/>
      <c r="Y17" s="1483"/>
      <c r="Z17" s="1483"/>
      <c r="AA17" s="1483"/>
      <c r="AB17" s="1483"/>
      <c r="AC17" s="1483"/>
      <c r="AD17" s="1483"/>
      <c r="AE17" s="1483"/>
      <c r="AF17" s="1484"/>
      <c r="AG17" s="1484"/>
      <c r="AH17" s="1485">
        <f>DH17-AG17-AF17</f>
        <v>0</v>
      </c>
      <c r="AI17" s="1485">
        <f>DI17-AH17-AG17-AF17</f>
        <v>0</v>
      </c>
      <c r="AJ17" s="1485"/>
      <c r="AK17" s="1485"/>
      <c r="AL17" s="1485"/>
      <c r="AM17" s="1485"/>
      <c r="AN17" s="1485"/>
      <c r="AO17" s="1485"/>
      <c r="AP17" s="1485"/>
      <c r="AQ17" s="1485"/>
      <c r="AR17" s="1485">
        <f t="shared" si="5"/>
        <v>0.83299999999999996</v>
      </c>
      <c r="AS17" s="1485">
        <f t="shared" si="6"/>
        <v>0.74500000000000011</v>
      </c>
      <c r="AT17" s="1485">
        <f t="shared" si="7"/>
        <v>0.74999999999999978</v>
      </c>
      <c r="AU17" s="1485">
        <f t="shared" si="8"/>
        <v>0.84600000000000031</v>
      </c>
      <c r="AV17" s="1485">
        <f t="shared" si="24"/>
        <v>1.639</v>
      </c>
      <c r="AW17" s="1485">
        <f t="shared" si="9"/>
        <v>1.3270000000000002</v>
      </c>
      <c r="AX17" s="1485">
        <f t="shared" si="10"/>
        <v>1.0640000000000003</v>
      </c>
      <c r="AY17" s="1485">
        <f t="shared" si="11"/>
        <v>-0.58100000000000041</v>
      </c>
      <c r="AZ17" s="1485">
        <f t="shared" si="25"/>
        <v>0.56299999999999994</v>
      </c>
      <c r="BA17" s="1485">
        <f t="shared" si="12"/>
        <v>0.53600000000000003</v>
      </c>
      <c r="BB17" s="1485">
        <f>EB17-BA17-AZ17</f>
        <v>0.504</v>
      </c>
      <c r="BC17" s="1485">
        <f>EC17-BB17-BA17-AZ17</f>
        <v>-0.53299999999999992</v>
      </c>
      <c r="BD17" s="1485"/>
      <c r="BE17" s="1485"/>
      <c r="BF17" s="1485"/>
      <c r="BG17" s="1485"/>
      <c r="BH17" s="1485"/>
      <c r="BI17" s="1485"/>
      <c r="BJ17" s="1485"/>
      <c r="BK17" s="1485"/>
      <c r="BL17" s="1485"/>
      <c r="BM17" s="1485"/>
      <c r="BN17" s="1485"/>
      <c r="BO17" s="1485"/>
      <c r="BP17" s="1485"/>
      <c r="BQ17" s="1485"/>
      <c r="BR17" s="1485"/>
      <c r="BS17" s="1485"/>
      <c r="BT17" s="1485"/>
      <c r="BU17" s="1485"/>
      <c r="BV17" s="1485"/>
      <c r="BW17" s="1485"/>
      <c r="BX17" s="1485"/>
      <c r="BY17" s="1485"/>
      <c r="BZ17" s="1485"/>
      <c r="CA17" s="1485"/>
      <c r="CB17" s="1485"/>
      <c r="CC17" s="1485"/>
      <c r="CD17" s="1485"/>
      <c r="CE17" s="1485"/>
      <c r="CF17" s="1485"/>
      <c r="CG17" s="1485"/>
      <c r="CH17" s="1485"/>
      <c r="CI17" s="1485"/>
      <c r="CJ17" s="1485"/>
      <c r="CK17" s="1485"/>
      <c r="CL17" s="1485"/>
      <c r="CM17" s="1485"/>
      <c r="CN17" s="1485"/>
      <c r="CO17" s="1485"/>
      <c r="CP17" s="1485"/>
      <c r="CQ17" s="1485"/>
      <c r="CR17" s="1485"/>
      <c r="CS17" s="1485"/>
      <c r="CT17" s="1485"/>
      <c r="CU17" s="1485"/>
      <c r="CV17" s="1485"/>
      <c r="CW17" s="1485"/>
      <c r="CX17" s="1485"/>
      <c r="CY17" s="1485"/>
      <c r="CZ17" s="1483"/>
      <c r="DA17" s="1483"/>
      <c r="DB17" s="1483"/>
      <c r="DC17" s="1483"/>
      <c r="DD17" s="1483"/>
      <c r="DE17" s="885"/>
      <c r="DF17" s="783"/>
      <c r="DG17" s="783"/>
      <c r="DH17" s="783"/>
      <c r="DI17" s="783"/>
      <c r="DJ17" s="783"/>
      <c r="DK17" s="783"/>
      <c r="DL17" s="783"/>
      <c r="DM17" s="783"/>
      <c r="DN17" s="783"/>
      <c r="DO17" s="783"/>
      <c r="DP17" s="783"/>
      <c r="DQ17" s="783"/>
      <c r="DR17" s="783">
        <v>0.83299999999999996</v>
      </c>
      <c r="DS17" s="783">
        <v>1.5780000000000001</v>
      </c>
      <c r="DT17" s="783">
        <v>2.3279999999999998</v>
      </c>
      <c r="DU17" s="783">
        <v>3.1739999999999999</v>
      </c>
      <c r="DV17" s="783">
        <v>1.639</v>
      </c>
      <c r="DW17" s="783">
        <v>2.9660000000000002</v>
      </c>
      <c r="DX17" s="783">
        <v>4.03</v>
      </c>
      <c r="DY17" s="783">
        <v>3.4489999999999998</v>
      </c>
      <c r="DZ17" s="981">
        <v>0.56299999999999994</v>
      </c>
      <c r="EA17" s="981">
        <v>1.099</v>
      </c>
      <c r="EB17" s="783">
        <v>1.603</v>
      </c>
      <c r="EC17" s="783">
        <v>1.07</v>
      </c>
      <c r="ED17" s="783"/>
      <c r="EE17" s="783"/>
      <c r="EF17" s="783"/>
      <c r="EG17" s="783"/>
      <c r="EH17" s="783"/>
      <c r="EI17" s="783"/>
      <c r="EJ17" s="783"/>
      <c r="EK17" s="783"/>
      <c r="EL17" s="783"/>
      <c r="EM17" s="783"/>
      <c r="EN17" s="783"/>
      <c r="EO17" s="783"/>
      <c r="EP17" s="783"/>
      <c r="EQ17" s="783"/>
      <c r="ER17" s="783"/>
      <c r="ES17" s="783"/>
      <c r="EU17" s="42"/>
      <c r="EV17"/>
      <c r="EW17"/>
      <c r="EX17"/>
      <c r="EY17"/>
      <c r="EZ17"/>
      <c r="FA17"/>
    </row>
    <row r="18" spans="2:157" s="15" customFormat="1" ht="13.5" hidden="1" customHeight="1" outlineLevel="1" collapsed="1">
      <c r="B18" s="17" t="s">
        <v>1255</v>
      </c>
      <c r="C18" s="23"/>
      <c r="D18" s="783"/>
      <c r="E18" s="783"/>
      <c r="F18" s="783"/>
      <c r="G18" s="783">
        <f t="shared" si="15"/>
        <v>1.0999999999999999E-2</v>
      </c>
      <c r="H18" s="783">
        <f t="shared" si="16"/>
        <v>0.186</v>
      </c>
      <c r="I18" s="783">
        <f t="shared" si="17"/>
        <v>3.5999999999999997E-2</v>
      </c>
      <c r="J18" s="783">
        <f t="shared" si="18"/>
        <v>-1E-3</v>
      </c>
      <c r="K18" s="783">
        <f t="shared" si="19"/>
        <v>-9.6470000000000002</v>
      </c>
      <c r="L18" s="783">
        <f t="shared" si="20"/>
        <v>-1.3380000000000001</v>
      </c>
      <c r="M18" s="54"/>
      <c r="N18" s="1483">
        <f t="shared" si="26"/>
        <v>0</v>
      </c>
      <c r="O18" s="1483">
        <f t="shared" si="0"/>
        <v>0</v>
      </c>
      <c r="P18" s="1483"/>
      <c r="Q18" s="1483"/>
      <c r="R18" s="1483">
        <f t="shared" si="21"/>
        <v>0</v>
      </c>
      <c r="S18" s="1483">
        <f t="shared" si="21"/>
        <v>0</v>
      </c>
      <c r="T18" s="1483">
        <f t="shared" si="22"/>
        <v>0</v>
      </c>
      <c r="U18" s="1483">
        <f t="shared" si="23"/>
        <v>0</v>
      </c>
      <c r="V18" s="1483">
        <f t="shared" si="23"/>
        <v>0</v>
      </c>
      <c r="W18" s="1483">
        <f t="shared" si="27"/>
        <v>0</v>
      </c>
      <c r="X18" s="1483"/>
      <c r="Y18" s="1483"/>
      <c r="Z18" s="1483"/>
      <c r="AA18" s="1483"/>
      <c r="AB18" s="1483"/>
      <c r="AC18" s="1483"/>
      <c r="AD18" s="1483"/>
      <c r="AE18" s="1483"/>
      <c r="AF18" s="1484"/>
      <c r="AG18" s="1484"/>
      <c r="AH18" s="1485">
        <f>DH18-AG18-AF18</f>
        <v>0</v>
      </c>
      <c r="AI18" s="1485">
        <f>DI18-AH18-AG18-AF18</f>
        <v>0</v>
      </c>
      <c r="AJ18" s="1485"/>
      <c r="AK18" s="1485"/>
      <c r="AL18" s="1485"/>
      <c r="AM18" s="1485"/>
      <c r="AN18" s="1485"/>
      <c r="AO18" s="1485"/>
      <c r="AP18" s="1485"/>
      <c r="AQ18" s="1485">
        <f>0.011-AP18-AO18-AN18</f>
        <v>1.0999999999999999E-2</v>
      </c>
      <c r="AR18" s="1485">
        <f t="shared" si="5"/>
        <v>0</v>
      </c>
      <c r="AS18" s="1485">
        <f t="shared" si="6"/>
        <v>0</v>
      </c>
      <c r="AT18" s="1485">
        <f t="shared" si="7"/>
        <v>0</v>
      </c>
      <c r="AU18" s="1485">
        <f t="shared" si="8"/>
        <v>0.186</v>
      </c>
      <c r="AV18" s="1485">
        <f t="shared" si="24"/>
        <v>2E-3</v>
      </c>
      <c r="AW18" s="1485">
        <f t="shared" si="9"/>
        <v>0</v>
      </c>
      <c r="AX18" s="1485">
        <f t="shared" si="10"/>
        <v>3.3000000000000002E-2</v>
      </c>
      <c r="AY18" s="1485">
        <f t="shared" si="11"/>
        <v>9.9999999999999568E-4</v>
      </c>
      <c r="AZ18" s="1485">
        <f t="shared" si="25"/>
        <v>3.0000000000000001E-3</v>
      </c>
      <c r="BA18" s="1485">
        <f t="shared" si="12"/>
        <v>1E-3</v>
      </c>
      <c r="BB18" s="1485"/>
      <c r="BC18" s="1485">
        <f>-0.001-BB18-BA18-AZ18</f>
        <v>-5.0000000000000001E-3</v>
      </c>
      <c r="BD18" s="1485">
        <f>ED18</f>
        <v>1E-3</v>
      </c>
      <c r="BE18" s="1485">
        <f>EE18-BD18</f>
        <v>2E-3</v>
      </c>
      <c r="BF18" s="1485">
        <f>EF18-BE18-BD18</f>
        <v>3.0000000000000001E-3</v>
      </c>
      <c r="BG18" s="1485">
        <f>EG18-BF18-BE18-BD18</f>
        <v>-9.6530000000000005</v>
      </c>
      <c r="BH18" s="1485"/>
      <c r="BI18" s="1485"/>
      <c r="BJ18" s="1485"/>
      <c r="BK18" s="1485">
        <f>EK18-BJ18-BI18-BH18</f>
        <v>-1.3380000000000001</v>
      </c>
      <c r="BL18" s="1485"/>
      <c r="BM18" s="1485"/>
      <c r="BN18" s="1485"/>
      <c r="BO18" s="1485"/>
      <c r="BP18" s="1485"/>
      <c r="BQ18" s="1485"/>
      <c r="BR18" s="1485"/>
      <c r="BS18" s="1485"/>
      <c r="BT18" s="1485"/>
      <c r="BU18" s="1485"/>
      <c r="BV18" s="1485"/>
      <c r="BW18" s="1485"/>
      <c r="BX18" s="1485"/>
      <c r="BY18" s="1485"/>
      <c r="BZ18" s="1485"/>
      <c r="CA18" s="1485"/>
      <c r="CB18" s="1485"/>
      <c r="CC18" s="1485"/>
      <c r="CD18" s="1485"/>
      <c r="CE18" s="1485"/>
      <c r="CF18" s="1485"/>
      <c r="CG18" s="1485"/>
      <c r="CH18" s="1485"/>
      <c r="CI18" s="1485"/>
      <c r="CJ18" s="1485"/>
      <c r="CK18" s="1485"/>
      <c r="CL18" s="1485"/>
      <c r="CM18" s="1485"/>
      <c r="CN18" s="1485"/>
      <c r="CO18" s="1485"/>
      <c r="CP18" s="1485"/>
      <c r="CQ18" s="1485"/>
      <c r="CR18" s="1485"/>
      <c r="CS18" s="1485"/>
      <c r="CT18" s="1485"/>
      <c r="CU18" s="1485"/>
      <c r="CV18" s="1485"/>
      <c r="CW18" s="1485"/>
      <c r="CX18" s="1485"/>
      <c r="CY18" s="1485"/>
      <c r="CZ18" s="1483"/>
      <c r="DA18" s="1483"/>
      <c r="DB18" s="1483"/>
      <c r="DC18" s="1483"/>
      <c r="DD18" s="1483"/>
      <c r="DE18" s="885"/>
      <c r="DF18" s="783"/>
      <c r="DG18" s="783"/>
      <c r="DH18" s="783"/>
      <c r="DI18" s="783"/>
      <c r="DJ18" s="783"/>
      <c r="DK18" s="783"/>
      <c r="DL18" s="783"/>
      <c r="DM18" s="783"/>
      <c r="DN18" s="783"/>
      <c r="DO18" s="783">
        <v>1.0999999999999999E-2</v>
      </c>
      <c r="DP18" s="783">
        <v>1.0999999999999999E-2</v>
      </c>
      <c r="DQ18" s="783">
        <v>1.0999999999999999E-2</v>
      </c>
      <c r="DR18" s="783"/>
      <c r="DS18" s="783"/>
      <c r="DT18" s="783"/>
      <c r="DU18" s="783">
        <v>0.186</v>
      </c>
      <c r="DV18" s="783">
        <v>2E-3</v>
      </c>
      <c r="DW18" s="783">
        <v>2E-3</v>
      </c>
      <c r="DX18" s="783">
        <v>3.5000000000000003E-2</v>
      </c>
      <c r="DY18" s="783">
        <v>3.5999999999999997E-2</v>
      </c>
      <c r="DZ18" s="981">
        <v>3.0000000000000001E-3</v>
      </c>
      <c r="EA18" s="981">
        <v>4.0000000000000001E-3</v>
      </c>
      <c r="EB18" s="783">
        <v>-4.0000000000000001E-3</v>
      </c>
      <c r="EC18" s="783">
        <v>1E-3</v>
      </c>
      <c r="ED18" s="783">
        <v>1E-3</v>
      </c>
      <c r="EE18" s="783">
        <v>3.0000000000000001E-3</v>
      </c>
      <c r="EF18" s="783">
        <v>6.0000000000000001E-3</v>
      </c>
      <c r="EG18" s="783">
        <v>-9.6470000000000002</v>
      </c>
      <c r="EH18" s="783"/>
      <c r="EI18" s="783"/>
      <c r="EJ18" s="783"/>
      <c r="EK18" s="783">
        <v>-1.3380000000000001</v>
      </c>
      <c r="EL18" s="783"/>
      <c r="EM18" s="783"/>
      <c r="EN18" s="783"/>
      <c r="EO18" s="783"/>
      <c r="EP18" s="783"/>
      <c r="EQ18" s="783"/>
      <c r="ER18" s="783"/>
      <c r="ES18" s="783"/>
      <c r="EU18" s="42"/>
      <c r="EV18"/>
      <c r="EW18"/>
      <c r="EX18"/>
      <c r="EY18"/>
      <c r="EZ18"/>
      <c r="FA18"/>
    </row>
    <row r="19" spans="2:157" s="15" customFormat="1" collapsed="1">
      <c r="B19" s="17" t="s">
        <v>1256</v>
      </c>
      <c r="C19" s="23"/>
      <c r="D19" s="783"/>
      <c r="E19" s="783"/>
      <c r="F19" s="783">
        <f t="shared" si="14"/>
        <v>0</v>
      </c>
      <c r="G19" s="783">
        <f t="shared" si="15"/>
        <v>-114.158</v>
      </c>
      <c r="H19" s="783"/>
      <c r="I19" s="783">
        <f t="shared" si="17"/>
        <v>16.210999999999999</v>
      </c>
      <c r="J19" s="783"/>
      <c r="K19" s="783"/>
      <c r="L19" s="783"/>
      <c r="M19" s="54"/>
      <c r="N19" s="1483">
        <f t="shared" si="26"/>
        <v>0</v>
      </c>
      <c r="O19" s="1483">
        <f t="shared" si="0"/>
        <v>4.8310000000000004</v>
      </c>
      <c r="P19" s="1483"/>
      <c r="Q19" s="1483"/>
      <c r="R19" s="1483">
        <f t="shared" si="21"/>
        <v>0</v>
      </c>
      <c r="S19" s="1483">
        <f>SUM(CJ19:CM19)</f>
        <v>105.807</v>
      </c>
      <c r="T19" s="1483">
        <f t="shared" si="22"/>
        <v>0.28899999999999998</v>
      </c>
      <c r="U19" s="1483">
        <f t="shared" si="23"/>
        <v>12.275999999999998</v>
      </c>
      <c r="V19" s="1483">
        <f t="shared" ref="V19:V26" si="28">SUM(CV19:CY19)</f>
        <v>65.771999999999991</v>
      </c>
      <c r="W19" s="1483">
        <f t="shared" si="27"/>
        <v>0</v>
      </c>
      <c r="X19" s="1483"/>
      <c r="Y19" s="1483"/>
      <c r="Z19" s="1483"/>
      <c r="AA19" s="1483"/>
      <c r="AB19" s="1483"/>
      <c r="AC19" s="1483"/>
      <c r="AD19" s="1483"/>
      <c r="AE19" s="1483"/>
      <c r="AF19" s="1484"/>
      <c r="AG19" s="1484"/>
      <c r="AH19" s="1485"/>
      <c r="AI19" s="1485"/>
      <c r="AJ19" s="1485"/>
      <c r="AK19" s="1485"/>
      <c r="AL19" s="1485"/>
      <c r="AM19" s="1485"/>
      <c r="AN19" s="1485">
        <f t="shared" si="4"/>
        <v>-11.662000000000001</v>
      </c>
      <c r="AO19" s="1485">
        <f>DO19-AN19</f>
        <v>-15.525999999999998</v>
      </c>
      <c r="AP19" s="1485"/>
      <c r="AQ19" s="1485">
        <f>DQ19-AP19-AO19-AN19</f>
        <v>-86.97</v>
      </c>
      <c r="AR19" s="1485">
        <f t="shared" si="5"/>
        <v>0</v>
      </c>
      <c r="AS19" s="1485">
        <f t="shared" si="6"/>
        <v>0</v>
      </c>
      <c r="AT19" s="1485">
        <f t="shared" si="7"/>
        <v>0</v>
      </c>
      <c r="AU19" s="1485">
        <f t="shared" si="8"/>
        <v>0</v>
      </c>
      <c r="AV19" s="1485">
        <f>DV19</f>
        <v>16.210999999999999</v>
      </c>
      <c r="AW19" s="1485">
        <f t="shared" si="9"/>
        <v>0</v>
      </c>
      <c r="AX19" s="1485">
        <f t="shared" si="10"/>
        <v>0</v>
      </c>
      <c r="AY19" s="1485">
        <f t="shared" si="11"/>
        <v>0</v>
      </c>
      <c r="AZ19" s="1485">
        <f t="shared" si="25"/>
        <v>0</v>
      </c>
      <c r="BA19" s="1485">
        <f t="shared" si="12"/>
        <v>0</v>
      </c>
      <c r="BB19" s="1485"/>
      <c r="BC19" s="1485"/>
      <c r="BD19" s="1485"/>
      <c r="BE19" s="1485"/>
      <c r="BF19" s="1485"/>
      <c r="BG19" s="1485"/>
      <c r="BH19" s="1485"/>
      <c r="BI19" s="1485"/>
      <c r="BJ19" s="1485"/>
      <c r="BK19" s="1485"/>
      <c r="BL19" s="1485"/>
      <c r="BM19" s="1485"/>
      <c r="BN19" s="1485"/>
      <c r="BO19" s="1485"/>
      <c r="BP19" s="1485"/>
      <c r="BQ19" s="1485"/>
      <c r="BR19" s="1485"/>
      <c r="BS19" s="1485"/>
      <c r="BT19" s="1485"/>
      <c r="BU19" s="1485">
        <v>4.8310000000000004</v>
      </c>
      <c r="BV19" s="1486">
        <f>4.831-BU19</f>
        <v>0</v>
      </c>
      <c r="BW19" s="1486"/>
      <c r="BX19" s="1486"/>
      <c r="BY19" s="1485"/>
      <c r="BZ19" s="1485"/>
      <c r="CA19" s="1485"/>
      <c r="CB19" s="1485"/>
      <c r="CC19" s="1485"/>
      <c r="CD19" s="1485"/>
      <c r="CE19" s="1485"/>
      <c r="CF19" s="1485"/>
      <c r="CG19" s="1485"/>
      <c r="CH19" s="1485"/>
      <c r="CI19" s="1485"/>
      <c r="CJ19" s="1485"/>
      <c r="CK19" s="1485"/>
      <c r="CL19" s="1485"/>
      <c r="CM19" s="1485">
        <v>105.807</v>
      </c>
      <c r="CN19" s="1485"/>
      <c r="CO19" s="1485"/>
      <c r="CP19" s="1485"/>
      <c r="CQ19" s="1485">
        <v>0.28899999999999998</v>
      </c>
      <c r="CR19" s="1485"/>
      <c r="CS19" s="1485">
        <v>0.318</v>
      </c>
      <c r="CT19" s="1485">
        <v>10.180999999999999</v>
      </c>
      <c r="CU19" s="1485">
        <v>1.7769999999999999</v>
      </c>
      <c r="CV19" s="1485">
        <v>3.5030000000000001</v>
      </c>
      <c r="CW19" s="1485">
        <v>16.443999999999999</v>
      </c>
      <c r="CX19" s="1485">
        <v>22.155999999999999</v>
      </c>
      <c r="CY19" s="1485">
        <v>23.669</v>
      </c>
      <c r="CZ19" s="1483"/>
      <c r="DA19" s="1483"/>
      <c r="DB19" s="1483"/>
      <c r="DC19" s="1483"/>
      <c r="DD19" s="1483"/>
      <c r="DE19" s="885"/>
      <c r="DF19" s="783"/>
      <c r="DG19" s="783"/>
      <c r="DH19" s="783"/>
      <c r="DI19" s="783"/>
      <c r="DJ19" s="783"/>
      <c r="DK19" s="783"/>
      <c r="DL19" s="783"/>
      <c r="DM19" s="783"/>
      <c r="DN19" s="783">
        <v>-11.662000000000001</v>
      </c>
      <c r="DO19" s="783">
        <v>-27.187999999999999</v>
      </c>
      <c r="DP19" s="783">
        <v>-27.187999999999999</v>
      </c>
      <c r="DQ19" s="783">
        <v>-114.158</v>
      </c>
      <c r="DR19" s="783"/>
      <c r="DS19" s="783"/>
      <c r="DT19" s="783"/>
      <c r="DU19" s="783"/>
      <c r="DV19" s="783">
        <v>16.210999999999999</v>
      </c>
      <c r="DW19" s="783">
        <v>16.210999999999999</v>
      </c>
      <c r="DX19" s="783">
        <v>16.210999999999999</v>
      </c>
      <c r="DY19" s="783">
        <v>16.210999999999999</v>
      </c>
      <c r="DZ19" s="981"/>
      <c r="EA19" s="981"/>
      <c r="EB19" s="783"/>
      <c r="EC19" s="783"/>
      <c r="ED19" s="783"/>
      <c r="EE19" s="783"/>
      <c r="EF19" s="783"/>
      <c r="EG19" s="783"/>
      <c r="EH19" s="783"/>
      <c r="EI19" s="783"/>
      <c r="EJ19" s="783"/>
      <c r="EK19" s="783"/>
      <c r="EL19" s="783"/>
      <c r="EM19" s="783"/>
      <c r="EN19" s="783"/>
      <c r="EO19" s="783"/>
      <c r="EP19" s="783"/>
      <c r="EQ19" s="783"/>
      <c r="ER19" s="783"/>
      <c r="ES19" s="783"/>
      <c r="EU19" s="42"/>
      <c r="EV19"/>
      <c r="EW19"/>
      <c r="EX19"/>
      <c r="EY19"/>
      <c r="EZ19"/>
      <c r="FA19"/>
    </row>
    <row r="20" spans="2:157" s="15" customFormat="1">
      <c r="B20" s="17" t="s">
        <v>1173</v>
      </c>
      <c r="C20" s="23"/>
      <c r="D20" s="783"/>
      <c r="E20" s="783"/>
      <c r="F20" s="783">
        <f t="shared" si="14"/>
        <v>48.564999999999998</v>
      </c>
      <c r="G20" s="783">
        <f t="shared" si="15"/>
        <v>28.885000000000002</v>
      </c>
      <c r="H20" s="783"/>
      <c r="I20" s="783">
        <f t="shared" si="17"/>
        <v>17.684999999999999</v>
      </c>
      <c r="J20" s="783">
        <f t="shared" si="18"/>
        <v>33.814</v>
      </c>
      <c r="K20" s="783">
        <f t="shared" si="19"/>
        <v>5.0809999999999995</v>
      </c>
      <c r="L20" s="783">
        <f t="shared" si="20"/>
        <v>3.5430000000000001</v>
      </c>
      <c r="M20" s="54">
        <f>SUM(BL20:BO20)</f>
        <v>4.3870000000000005</v>
      </c>
      <c r="N20" s="1483">
        <f t="shared" si="26"/>
        <v>-6.0529999999999999</v>
      </c>
      <c r="O20" s="1483">
        <f t="shared" si="0"/>
        <v>6.2430000000000003</v>
      </c>
      <c r="P20" s="1483">
        <f t="shared" ref="P20:P30" si="29">SUM(BX20:CA20)</f>
        <v>2.9849999999999999</v>
      </c>
      <c r="Q20" s="1483">
        <f t="shared" ref="Q20:Q30" si="30">SUM(CB20:CE20)</f>
        <v>0</v>
      </c>
      <c r="R20" s="1483">
        <f t="shared" si="21"/>
        <v>-4.8369999999999997</v>
      </c>
      <c r="S20" s="1483">
        <f>SUM(CJ20:CM20)</f>
        <v>0</v>
      </c>
      <c r="T20" s="1483">
        <f t="shared" si="22"/>
        <v>0</v>
      </c>
      <c r="U20" s="1483">
        <f t="shared" si="23"/>
        <v>0</v>
      </c>
      <c r="V20" s="1483">
        <f t="shared" si="28"/>
        <v>0</v>
      </c>
      <c r="W20" s="1483">
        <f t="shared" si="27"/>
        <v>0</v>
      </c>
      <c r="X20" s="1483"/>
      <c r="Y20" s="1483"/>
      <c r="Z20" s="1483"/>
      <c r="AA20" s="1483"/>
      <c r="AB20" s="1483"/>
      <c r="AC20" s="1483"/>
      <c r="AD20" s="1483"/>
      <c r="AE20" s="1483"/>
      <c r="AF20" s="1484"/>
      <c r="AG20" s="1484"/>
      <c r="AH20" s="1485">
        <f>DH20-AG20-AF20</f>
        <v>0</v>
      </c>
      <c r="AI20" s="1485">
        <f>DI20-AH20-AG20-AF20</f>
        <v>0</v>
      </c>
      <c r="AJ20" s="1485"/>
      <c r="AK20" s="1485"/>
      <c r="AL20" s="1485">
        <f>DL20-AK20-AJ20</f>
        <v>48.564999999999998</v>
      </c>
      <c r="AM20" s="1485"/>
      <c r="AN20" s="1485"/>
      <c r="AO20" s="1485">
        <f>DO20-AN20</f>
        <v>9.9499999999999993</v>
      </c>
      <c r="AP20" s="1485">
        <f>DP20-AO20-AN20</f>
        <v>19.010000000000002</v>
      </c>
      <c r="AQ20" s="1485">
        <f>DQ20-AP20-AO20-AN20</f>
        <v>-7.4999999999999289E-2</v>
      </c>
      <c r="AR20" s="1485">
        <f t="shared" si="5"/>
        <v>0</v>
      </c>
      <c r="AS20" s="1485">
        <f t="shared" si="6"/>
        <v>0</v>
      </c>
      <c r="AT20" s="1485">
        <f t="shared" si="7"/>
        <v>0</v>
      </c>
      <c r="AU20" s="1485">
        <f t="shared" si="8"/>
        <v>0</v>
      </c>
      <c r="AV20" s="1485">
        <f t="shared" si="24"/>
        <v>0</v>
      </c>
      <c r="AW20" s="1485">
        <f t="shared" si="9"/>
        <v>0</v>
      </c>
      <c r="AX20" s="1485">
        <f t="shared" si="10"/>
        <v>0</v>
      </c>
      <c r="AY20" s="1485">
        <f t="shared" si="11"/>
        <v>17.684999999999999</v>
      </c>
      <c r="AZ20" s="1485">
        <f t="shared" si="25"/>
        <v>0.34300000000000003</v>
      </c>
      <c r="BA20" s="1485">
        <f t="shared" si="12"/>
        <v>0.34899999999999992</v>
      </c>
      <c r="BB20" s="1485">
        <f>EB20-BA20-AZ20</f>
        <v>0.35099999999999992</v>
      </c>
      <c r="BC20" s="1485">
        <f>EC20-BB20-BA20-AZ20</f>
        <v>32.771000000000001</v>
      </c>
      <c r="BD20" s="1485">
        <f>ED20</f>
        <v>0.96899999999999997</v>
      </c>
      <c r="BE20" s="1485">
        <f>EE20-BD20</f>
        <v>0.93099999999999994</v>
      </c>
      <c r="BF20" s="1485">
        <f>EF20-BE20-BD20</f>
        <v>2.4220000000000002</v>
      </c>
      <c r="BG20" s="1485">
        <f>EG20-BF20-BE20-BD20</f>
        <v>0.75899999999999934</v>
      </c>
      <c r="BH20" s="1485">
        <f>EH20</f>
        <v>0.83199999999999996</v>
      </c>
      <c r="BI20" s="1485">
        <f>EI20-BH20</f>
        <v>1.198</v>
      </c>
      <c r="BJ20" s="1485">
        <f>EJ20-BI20-BH20</f>
        <v>0.75000000000000033</v>
      </c>
      <c r="BK20" s="1485">
        <f>EK20-BJ20-BI20-BH20</f>
        <v>0.76299999999999979</v>
      </c>
      <c r="BL20" s="1485"/>
      <c r="BM20" s="1485">
        <f>EM20-BL20</f>
        <v>0.82499999999999996</v>
      </c>
      <c r="BN20" s="1485">
        <f>EN20-BM20-BL20</f>
        <v>1.2190000000000001</v>
      </c>
      <c r="BO20" s="1485">
        <v>2.343</v>
      </c>
      <c r="BP20" s="1485">
        <v>-5.8330000000000002</v>
      </c>
      <c r="BQ20" s="1485">
        <f>-6.053-BP20</f>
        <v>-0.21999999999999975</v>
      </c>
      <c r="BR20" s="1485">
        <f>-6.053-BQ20-BP20</f>
        <v>0</v>
      </c>
      <c r="BS20" s="1485">
        <f>-6.053-BR20-BQ20-BP20</f>
        <v>0</v>
      </c>
      <c r="BT20" s="1485">
        <v>3.3769999999999998</v>
      </c>
      <c r="BU20" s="1485">
        <f>4.357-BT20</f>
        <v>0.98000000000000043</v>
      </c>
      <c r="BV20" s="1485">
        <f>6.243-BU20-BT20</f>
        <v>1.8860000000000001</v>
      </c>
      <c r="BW20" s="1485"/>
      <c r="BX20" s="1485"/>
      <c r="BY20" s="1485">
        <v>0.10299999999999999</v>
      </c>
      <c r="BZ20" s="1485">
        <v>1.587</v>
      </c>
      <c r="CA20" s="1485">
        <v>1.2949999999999999</v>
      </c>
      <c r="CB20" s="1485"/>
      <c r="CC20" s="1485"/>
      <c r="CD20" s="1485"/>
      <c r="CE20" s="1485"/>
      <c r="CF20" s="1485"/>
      <c r="CG20" s="1485">
        <v>-4.8369999999999997</v>
      </c>
      <c r="CH20" s="1485"/>
      <c r="CI20" s="1485"/>
      <c r="CJ20" s="1485"/>
      <c r="CK20" s="1485"/>
      <c r="CL20" s="1485"/>
      <c r="CM20" s="1485"/>
      <c r="CN20" s="1485"/>
      <c r="CO20" s="1485"/>
      <c r="CP20" s="1485"/>
      <c r="CQ20" s="1485"/>
      <c r="CR20" s="1485"/>
      <c r="CS20" s="1485"/>
      <c r="CT20" s="1485"/>
      <c r="CU20" s="1485"/>
      <c r="CV20" s="1485"/>
      <c r="CW20" s="1485"/>
      <c r="CX20" s="1485"/>
      <c r="CY20" s="1485"/>
      <c r="CZ20" s="1483"/>
      <c r="DA20" s="1483"/>
      <c r="DB20" s="1483"/>
      <c r="DC20" s="1483"/>
      <c r="DD20" s="1483"/>
      <c r="DE20" s="885"/>
      <c r="DF20" s="783"/>
      <c r="DG20" s="783"/>
      <c r="DH20" s="783"/>
      <c r="DI20" s="783"/>
      <c r="DJ20" s="783"/>
      <c r="DK20" s="783"/>
      <c r="DL20" s="783">
        <v>48.564999999999998</v>
      </c>
      <c r="DM20" s="783">
        <v>48.564999999999998</v>
      </c>
      <c r="DN20" s="783"/>
      <c r="DO20" s="783">
        <v>9.9499999999999993</v>
      </c>
      <c r="DP20" s="783">
        <v>28.96</v>
      </c>
      <c r="DQ20" s="783">
        <v>28.885000000000002</v>
      </c>
      <c r="DR20" s="783"/>
      <c r="DS20" s="783"/>
      <c r="DT20" s="783"/>
      <c r="DU20" s="783"/>
      <c r="DV20" s="783"/>
      <c r="DW20" s="783"/>
      <c r="DX20" s="783"/>
      <c r="DY20" s="783">
        <v>17.684999999999999</v>
      </c>
      <c r="DZ20" s="981">
        <v>0.34300000000000003</v>
      </c>
      <c r="EA20" s="981">
        <v>0.69199999999999995</v>
      </c>
      <c r="EB20" s="783">
        <v>1.0429999999999999</v>
      </c>
      <c r="EC20" s="783">
        <v>33.814</v>
      </c>
      <c r="ED20" s="783">
        <v>0.96899999999999997</v>
      </c>
      <c r="EE20" s="783">
        <v>1.9</v>
      </c>
      <c r="EF20" s="783">
        <f>1.527+2.795</f>
        <v>4.3220000000000001</v>
      </c>
      <c r="EG20" s="783">
        <f>1.527+3.554</f>
        <v>5.0809999999999995</v>
      </c>
      <c r="EH20" s="783">
        <f>0.832</f>
        <v>0.83199999999999996</v>
      </c>
      <c r="EI20" s="783">
        <f>0.407+1.623</f>
        <v>2.0299999999999998</v>
      </c>
      <c r="EJ20" s="783">
        <f>0.407+2.373</f>
        <v>2.7800000000000002</v>
      </c>
      <c r="EK20" s="783">
        <f>0.407+3.136</f>
        <v>3.5430000000000001</v>
      </c>
      <c r="EL20" s="783">
        <v>0.39900000000000002</v>
      </c>
      <c r="EM20" s="783">
        <v>0.82499999999999996</v>
      </c>
      <c r="EN20" s="783">
        <f>0.799+1.245</f>
        <v>2.044</v>
      </c>
      <c r="EO20" s="783">
        <f>3.142+1.682</f>
        <v>4.8239999999999998</v>
      </c>
      <c r="EP20" s="783"/>
      <c r="EQ20" s="783"/>
      <c r="ER20" s="783"/>
      <c r="ES20" s="783"/>
      <c r="EU20" s="42"/>
      <c r="EV20"/>
      <c r="EW20"/>
      <c r="EX20"/>
      <c r="EY20"/>
      <c r="EZ20"/>
      <c r="FA20"/>
    </row>
    <row r="21" spans="2:157" s="15" customFormat="1">
      <c r="B21" s="17" t="s">
        <v>1184</v>
      </c>
      <c r="C21" s="23"/>
      <c r="D21" s="783"/>
      <c r="E21" s="783"/>
      <c r="F21" s="783"/>
      <c r="G21" s="783">
        <f t="shared" si="15"/>
        <v>0</v>
      </c>
      <c r="H21" s="783"/>
      <c r="I21" s="783">
        <f t="shared" si="17"/>
        <v>0</v>
      </c>
      <c r="J21" s="783"/>
      <c r="K21" s="783">
        <f t="shared" si="19"/>
        <v>-0.80200000000000005</v>
      </c>
      <c r="L21" s="783">
        <f t="shared" si="20"/>
        <v>-2.4870000000000001</v>
      </c>
      <c r="M21" s="54">
        <f>SUM(BL21:BO21)</f>
        <v>2.4859999999999998</v>
      </c>
      <c r="N21" s="1483">
        <f t="shared" si="26"/>
        <v>3.7129999999999996</v>
      </c>
      <c r="O21" s="1483">
        <f t="shared" si="0"/>
        <v>10.091999999999999</v>
      </c>
      <c r="P21" s="1483">
        <f t="shared" si="29"/>
        <v>10.370000000000001</v>
      </c>
      <c r="Q21" s="1483">
        <f t="shared" si="30"/>
        <v>-62.787999999999997</v>
      </c>
      <c r="R21" s="1483">
        <f t="shared" si="21"/>
        <v>100.899</v>
      </c>
      <c r="S21" s="1483">
        <f>SUM(CJ21:CM21)</f>
        <v>56.167999999999999</v>
      </c>
      <c r="T21" s="1483">
        <f t="shared" si="22"/>
        <v>18.149000000000001</v>
      </c>
      <c r="U21" s="1483">
        <f t="shared" si="23"/>
        <v>-7.6759999999999984</v>
      </c>
      <c r="V21" s="1483">
        <f t="shared" si="28"/>
        <v>7.9720000000000013</v>
      </c>
      <c r="W21" s="1483">
        <f t="shared" si="27"/>
        <v>0</v>
      </c>
      <c r="X21" s="1483"/>
      <c r="Y21" s="1483"/>
      <c r="Z21" s="1483"/>
      <c r="AA21" s="1483"/>
      <c r="AB21" s="1483"/>
      <c r="AC21" s="1483"/>
      <c r="AD21" s="1483"/>
      <c r="AE21" s="1483"/>
      <c r="AF21" s="1484"/>
      <c r="AG21" s="1484"/>
      <c r="AH21" s="1485"/>
      <c r="AI21" s="1485"/>
      <c r="AJ21" s="1485"/>
      <c r="AK21" s="1485"/>
      <c r="AL21" s="1485"/>
      <c r="AM21" s="1485"/>
      <c r="AN21" s="1485"/>
      <c r="AO21" s="1485"/>
      <c r="AP21" s="1485"/>
      <c r="AQ21" s="1485"/>
      <c r="AR21" s="1485">
        <f t="shared" si="5"/>
        <v>0</v>
      </c>
      <c r="AS21" s="1485">
        <f t="shared" si="6"/>
        <v>0</v>
      </c>
      <c r="AT21" s="1485">
        <f t="shared" si="7"/>
        <v>0</v>
      </c>
      <c r="AU21" s="1485">
        <f t="shared" si="8"/>
        <v>0</v>
      </c>
      <c r="AV21" s="1485">
        <f>DV21</f>
        <v>0</v>
      </c>
      <c r="AW21" s="1485">
        <f t="shared" si="9"/>
        <v>0</v>
      </c>
      <c r="AX21" s="1485">
        <f t="shared" si="10"/>
        <v>0</v>
      </c>
      <c r="AY21" s="1485">
        <f t="shared" si="11"/>
        <v>0</v>
      </c>
      <c r="AZ21" s="1485">
        <f t="shared" si="25"/>
        <v>0</v>
      </c>
      <c r="BA21" s="1485">
        <f t="shared" si="12"/>
        <v>0</v>
      </c>
      <c r="BB21" s="1485"/>
      <c r="BC21" s="1485"/>
      <c r="BD21" s="1485">
        <f>ED21</f>
        <v>-0.376</v>
      </c>
      <c r="BE21" s="1485">
        <f>EE21-BD21</f>
        <v>0</v>
      </c>
      <c r="BF21" s="1485">
        <f>EF21-BE21-BD21</f>
        <v>0</v>
      </c>
      <c r="BG21" s="1485">
        <f>EG21-BF21-BE21-BD21</f>
        <v>-0.42600000000000005</v>
      </c>
      <c r="BH21" s="1485">
        <f>EH21</f>
        <v>-0.23699999999999999</v>
      </c>
      <c r="BI21" s="1485">
        <f>EI21-BH21</f>
        <v>-0.14000000000000001</v>
      </c>
      <c r="BJ21" s="1485">
        <f>EJ21-BI21-BH21</f>
        <v>-2.2689999999999997</v>
      </c>
      <c r="BK21" s="1485">
        <f>EK21-BJ21-BI21-BH21</f>
        <v>0.15899999999999959</v>
      </c>
      <c r="BL21" s="1485">
        <v>0.38500000000000001</v>
      </c>
      <c r="BM21" s="1485">
        <f>EM21-BL21</f>
        <v>-1.125</v>
      </c>
      <c r="BN21" s="1485">
        <f>EN21-BM21-BL21</f>
        <v>1.0249999999999999</v>
      </c>
      <c r="BO21" s="1485">
        <v>2.2010000000000001</v>
      </c>
      <c r="BP21" s="1485">
        <f>2.67+0.169</f>
        <v>2.839</v>
      </c>
      <c r="BQ21" s="1485">
        <f>1.155+2.67-BP21</f>
        <v>0.98600000000000021</v>
      </c>
      <c r="BR21" s="1485">
        <f>0.785+2.679-BQ21-BP21</f>
        <v>-0.36100000000000021</v>
      </c>
      <c r="BS21" s="1485">
        <f>-0.015+2.579+1.149-BR21-BQ21-BP21</f>
        <v>0.24899999999999967</v>
      </c>
      <c r="BT21" s="1485">
        <f>0.499</f>
        <v>0.499</v>
      </c>
      <c r="BU21" s="1485">
        <f>1.398-BT21</f>
        <v>0.89899999999999991</v>
      </c>
      <c r="BV21" s="1485">
        <f>2.357-BU21-BT21</f>
        <v>0.95900000000000019</v>
      </c>
      <c r="BW21" s="1485">
        <f>1.888+0.491+5.356</f>
        <v>7.7349999999999994</v>
      </c>
      <c r="BX21" s="1485">
        <f>0.496+1.563</f>
        <v>2.0590000000000002</v>
      </c>
      <c r="BY21" s="1485">
        <v>3.0739999999999998</v>
      </c>
      <c r="BZ21" s="1485">
        <v>0.71099999999999997</v>
      </c>
      <c r="CA21" s="1485">
        <v>4.5259999999999998</v>
      </c>
      <c r="CB21" s="1485">
        <v>2.8570000000000002</v>
      </c>
      <c r="CC21" s="1485">
        <v>0.98399999999999999</v>
      </c>
      <c r="CD21" s="1485">
        <f>5.204-53.174+2.205</f>
        <v>-45.765000000000001</v>
      </c>
      <c r="CE21" s="1485">
        <f>9.861-11.852-19.457+0.584</f>
        <v>-20.864000000000001</v>
      </c>
      <c r="CF21" s="1485">
        <f>-18.99+3.085</f>
        <v>-15.904999999999998</v>
      </c>
      <c r="CG21" s="1485">
        <f>93.602-3.431+3.949</f>
        <v>94.12</v>
      </c>
      <c r="CH21" s="1485">
        <f>-4.951+5.498</f>
        <v>0.5470000000000006</v>
      </c>
      <c r="CI21" s="1485">
        <f>14.899+0.042+7.196</f>
        <v>22.137</v>
      </c>
      <c r="CJ21" s="1485">
        <f>-10.018+5.292</f>
        <v>-4.7260000000000009</v>
      </c>
      <c r="CK21" s="1485">
        <f>51.183-1.614+7.455</f>
        <v>57.024000000000001</v>
      </c>
      <c r="CL21" s="1485">
        <f>-5.825+5.957</f>
        <v>0.13199999999999967</v>
      </c>
      <c r="CM21" s="1485">
        <f>-2.125+5.863</f>
        <v>3.7380000000000004</v>
      </c>
      <c r="CN21" s="1485">
        <f>-0.708+4.87</f>
        <v>4.1619999999999999</v>
      </c>
      <c r="CO21" s="1485">
        <f>-0.223+5.169</f>
        <v>4.9459999999999997</v>
      </c>
      <c r="CP21" s="1485">
        <f>-0.732+4.321</f>
        <v>3.5889999999999995</v>
      </c>
      <c r="CQ21" s="1485">
        <f>1.633+3.819</f>
        <v>5.452</v>
      </c>
      <c r="CR21" s="1485">
        <f>-5.242+4.871</f>
        <v>-0.37099999999999955</v>
      </c>
      <c r="CS21" s="1485">
        <v>7.3109999999999999</v>
      </c>
      <c r="CT21" s="1485">
        <f>7.698-27.945-4.242+3.905</f>
        <v>-20.584</v>
      </c>
      <c r="CU21" s="1485">
        <f>0.371+1.891+3.706</f>
        <v>5.968</v>
      </c>
      <c r="CV21" s="1485">
        <v>8.3800000000000008</v>
      </c>
      <c r="CW21" s="1485">
        <v>3.7749999999999999</v>
      </c>
      <c r="CX21" s="1485">
        <v>-0.74399999999999999</v>
      </c>
      <c r="CY21" s="1485">
        <v>-3.4390000000000001</v>
      </c>
      <c r="CZ21" s="1483"/>
      <c r="DA21" s="1483"/>
      <c r="DB21" s="1483"/>
      <c r="DC21" s="1483"/>
      <c r="DD21" s="1483"/>
      <c r="DE21" s="885"/>
      <c r="DF21" s="783"/>
      <c r="DG21" s="783"/>
      <c r="DH21" s="783"/>
      <c r="DI21" s="783"/>
      <c r="DJ21" s="783"/>
      <c r="DK21" s="783"/>
      <c r="DL21" s="783"/>
      <c r="DM21" s="783"/>
      <c r="DN21" s="783"/>
      <c r="DO21" s="783"/>
      <c r="DP21" s="783"/>
      <c r="DQ21" s="783"/>
      <c r="DR21" s="783"/>
      <c r="DS21" s="783"/>
      <c r="DT21" s="783"/>
      <c r="DU21" s="783"/>
      <c r="DV21" s="783"/>
      <c r="DW21" s="783"/>
      <c r="DX21" s="783"/>
      <c r="DY21" s="783"/>
      <c r="DZ21" s="981"/>
      <c r="EA21" s="981"/>
      <c r="EB21" s="783"/>
      <c r="EC21" s="783"/>
      <c r="ED21" s="783">
        <v>-0.376</v>
      </c>
      <c r="EE21" s="783">
        <v>-0.376</v>
      </c>
      <c r="EF21" s="783">
        <v>-0.376</v>
      </c>
      <c r="EG21" s="783">
        <f>-0.376-0.426</f>
        <v>-0.80200000000000005</v>
      </c>
      <c r="EH21" s="783">
        <v>-0.23699999999999999</v>
      </c>
      <c r="EI21" s="783">
        <v>-0.377</v>
      </c>
      <c r="EJ21" s="783">
        <f>-1.494-1.152</f>
        <v>-2.6459999999999999</v>
      </c>
      <c r="EK21" s="783">
        <f>-1.494-0.993</f>
        <v>-2.4870000000000001</v>
      </c>
      <c r="EL21" s="783">
        <v>0.45</v>
      </c>
      <c r="EM21" s="783">
        <v>-0.74</v>
      </c>
      <c r="EN21" s="783">
        <v>0.28499999999999998</v>
      </c>
      <c r="EO21" s="783">
        <v>0.96799999999999997</v>
      </c>
      <c r="EP21" s="783"/>
      <c r="EQ21" s="783"/>
      <c r="ER21" s="783"/>
      <c r="ES21" s="783"/>
      <c r="EU21" s="42"/>
      <c r="EV21"/>
      <c r="EW21"/>
      <c r="EX21"/>
      <c r="EY21"/>
      <c r="EZ21"/>
      <c r="FA21"/>
    </row>
    <row r="22" spans="2:157" s="15" customFormat="1">
      <c r="B22" s="17" t="s">
        <v>1018</v>
      </c>
      <c r="C22" s="23"/>
      <c r="D22" s="783"/>
      <c r="E22" s="783"/>
      <c r="F22" s="783"/>
      <c r="G22" s="783">
        <f t="shared" si="15"/>
        <v>0</v>
      </c>
      <c r="H22" s="783"/>
      <c r="I22" s="783">
        <f t="shared" si="17"/>
        <v>0</v>
      </c>
      <c r="J22" s="783"/>
      <c r="K22" s="783"/>
      <c r="L22" s="783"/>
      <c r="M22" s="54"/>
      <c r="N22" s="1483">
        <f t="shared" si="26"/>
        <v>0</v>
      </c>
      <c r="O22" s="1483">
        <f t="shared" si="0"/>
        <v>0</v>
      </c>
      <c r="P22" s="1483"/>
      <c r="Q22" s="1483"/>
      <c r="R22" s="1483"/>
      <c r="S22" s="1483"/>
      <c r="T22" s="1483"/>
      <c r="U22" s="1483">
        <f t="shared" si="23"/>
        <v>0</v>
      </c>
      <c r="V22" s="1483">
        <f t="shared" si="28"/>
        <v>0</v>
      </c>
      <c r="W22" s="1483">
        <f t="shared" si="27"/>
        <v>0</v>
      </c>
      <c r="X22" s="1483"/>
      <c r="Y22" s="1483"/>
      <c r="Z22" s="1483"/>
      <c r="AA22" s="1483"/>
      <c r="AB22" s="1483"/>
      <c r="AC22" s="1483"/>
      <c r="AD22" s="1483"/>
      <c r="AE22" s="1483"/>
      <c r="AF22" s="1484"/>
      <c r="AG22" s="1484"/>
      <c r="AH22" s="1485"/>
      <c r="AI22" s="1485"/>
      <c r="AJ22" s="1485"/>
      <c r="AK22" s="1485"/>
      <c r="AL22" s="1485"/>
      <c r="AM22" s="1485"/>
      <c r="AN22" s="1485"/>
      <c r="AO22" s="1485"/>
      <c r="AP22" s="1485"/>
      <c r="AQ22" s="1485"/>
      <c r="AR22" s="1485">
        <f t="shared" si="5"/>
        <v>0</v>
      </c>
      <c r="AS22" s="1485">
        <f t="shared" si="6"/>
        <v>0</v>
      </c>
      <c r="AT22" s="1485">
        <f t="shared" si="7"/>
        <v>0</v>
      </c>
      <c r="AU22" s="1485">
        <f t="shared" si="8"/>
        <v>0</v>
      </c>
      <c r="AV22" s="1485">
        <f>DV22</f>
        <v>0</v>
      </c>
      <c r="AW22" s="1485">
        <f t="shared" si="9"/>
        <v>0</v>
      </c>
      <c r="AX22" s="1485">
        <f t="shared" si="10"/>
        <v>0</v>
      </c>
      <c r="AY22" s="1485">
        <f t="shared" si="11"/>
        <v>0</v>
      </c>
      <c r="AZ22" s="1485">
        <f t="shared" si="25"/>
        <v>0</v>
      </c>
      <c r="BA22" s="1485">
        <f t="shared" si="12"/>
        <v>0</v>
      </c>
      <c r="BB22" s="1485"/>
      <c r="BC22" s="1485"/>
      <c r="BD22" s="1485"/>
      <c r="BE22" s="1485"/>
      <c r="BF22" s="1485"/>
      <c r="BG22" s="1485"/>
      <c r="BH22" s="1485"/>
      <c r="BI22" s="1485"/>
      <c r="BJ22" s="1485"/>
      <c r="BK22" s="1485"/>
      <c r="BL22" s="1485"/>
      <c r="BM22" s="1485"/>
      <c r="BN22" s="1485"/>
      <c r="BO22" s="1485"/>
      <c r="BP22" s="1485"/>
      <c r="BQ22" s="1485"/>
      <c r="BR22" s="1485"/>
      <c r="BS22" s="1485"/>
      <c r="BT22" s="1485"/>
      <c r="BU22" s="1485"/>
      <c r="BV22" s="1485"/>
      <c r="BW22" s="1485"/>
      <c r="BX22" s="1485"/>
      <c r="BY22" s="1485"/>
      <c r="BZ22" s="1485"/>
      <c r="CA22" s="1485"/>
      <c r="CB22" s="1485"/>
      <c r="CC22" s="1485"/>
      <c r="CD22" s="1485"/>
      <c r="CE22" s="1485"/>
      <c r="CF22" s="1485"/>
      <c r="CG22" s="1485"/>
      <c r="CH22" s="1485"/>
      <c r="CI22" s="1485"/>
      <c r="CJ22" s="1485"/>
      <c r="CK22" s="1485"/>
      <c r="CL22" s="1485"/>
      <c r="CM22" s="1485"/>
      <c r="CN22" s="1485"/>
      <c r="CO22" s="1485"/>
      <c r="CP22" s="1485"/>
      <c r="CQ22" s="1485"/>
      <c r="CR22" s="1485"/>
      <c r="CS22" s="1485"/>
      <c r="CT22" s="1485"/>
      <c r="CU22" s="1485"/>
      <c r="CV22" s="1485"/>
      <c r="CW22" s="1485"/>
      <c r="CX22" s="1485"/>
      <c r="CY22" s="1485"/>
      <c r="CZ22" s="1483"/>
      <c r="DA22" s="1483"/>
      <c r="DB22" s="1483"/>
      <c r="DC22" s="1483"/>
      <c r="DD22" s="1483"/>
      <c r="DE22" s="885"/>
      <c r="DF22" s="783"/>
      <c r="DG22" s="783"/>
      <c r="DH22" s="783"/>
      <c r="DI22" s="783"/>
      <c r="DJ22" s="783"/>
      <c r="DK22" s="783"/>
      <c r="DL22" s="783"/>
      <c r="DM22" s="783"/>
      <c r="DN22" s="783"/>
      <c r="DO22" s="783"/>
      <c r="DP22" s="783"/>
      <c r="DQ22" s="783"/>
      <c r="DR22" s="783"/>
      <c r="DS22" s="783"/>
      <c r="DT22" s="783"/>
      <c r="DU22" s="783"/>
      <c r="DV22" s="783"/>
      <c r="DW22" s="783"/>
      <c r="DX22" s="783"/>
      <c r="DY22" s="783"/>
      <c r="DZ22" s="981"/>
      <c r="EA22" s="981"/>
      <c r="EB22" s="783"/>
      <c r="EC22" s="783"/>
      <c r="ED22" s="783"/>
      <c r="EE22" s="783"/>
      <c r="EF22" s="783"/>
      <c r="EG22" s="783"/>
      <c r="EH22" s="783"/>
      <c r="EI22" s="783"/>
      <c r="EJ22" s="783"/>
      <c r="EK22" s="783"/>
      <c r="EL22" s="783"/>
      <c r="EM22" s="783"/>
      <c r="EN22" s="783"/>
      <c r="EO22" s="783"/>
      <c r="EP22" s="783"/>
      <c r="EQ22" s="783"/>
      <c r="ER22" s="783"/>
      <c r="ES22" s="783"/>
      <c r="EU22" s="42"/>
      <c r="EV22"/>
      <c r="EW22"/>
      <c r="EX22"/>
      <c r="EY22"/>
      <c r="EZ22"/>
      <c r="FA22"/>
    </row>
    <row r="23" spans="2:157" s="15" customFormat="1">
      <c r="B23" s="1036" t="s">
        <v>1140</v>
      </c>
      <c r="C23" s="23"/>
      <c r="D23" s="783"/>
      <c r="E23" s="783">
        <v>-5.3550000000000004</v>
      </c>
      <c r="F23" s="783">
        <f t="shared" si="14"/>
        <v>-2.5049999999999999</v>
      </c>
      <c r="G23" s="783">
        <f t="shared" si="15"/>
        <v>-2.5110000000000001</v>
      </c>
      <c r="H23" s="783">
        <f t="shared" si="16"/>
        <v>-0.66199999999999992</v>
      </c>
      <c r="I23" s="783">
        <f t="shared" si="17"/>
        <v>-1.6910000000000003</v>
      </c>
      <c r="J23" s="783">
        <f t="shared" si="18"/>
        <v>-4.8539999999999992</v>
      </c>
      <c r="K23" s="783">
        <f t="shared" si="19"/>
        <v>-9.6660000000000004</v>
      </c>
      <c r="L23" s="783">
        <f t="shared" si="20"/>
        <v>-17.997</v>
      </c>
      <c r="M23" s="54">
        <f>SUM(BL23:BO23)</f>
        <v>-9.1519999999999992</v>
      </c>
      <c r="N23" s="1483">
        <f t="shared" si="26"/>
        <v>2.2770000000000001</v>
      </c>
      <c r="O23" s="1483">
        <f t="shared" si="0"/>
        <v>-39.885999999999996</v>
      </c>
      <c r="P23" s="1483">
        <f t="shared" si="29"/>
        <v>-23.061</v>
      </c>
      <c r="Q23" s="1483">
        <f t="shared" si="30"/>
        <v>-26.600999999999999</v>
      </c>
      <c r="R23" s="1483">
        <f t="shared" si="21"/>
        <v>-28.791999999999994</v>
      </c>
      <c r="S23" s="1483">
        <f>SUM(CJ23:CM23)</f>
        <v>-101.96600000000001</v>
      </c>
      <c r="T23" s="1483">
        <f t="shared" ref="T23:T31" si="31">SUM(CN23:CQ23)</f>
        <v>-44.582999999999998</v>
      </c>
      <c r="U23" s="1483">
        <f t="shared" si="23"/>
        <v>-100.23</v>
      </c>
      <c r="V23" s="1483">
        <f t="shared" si="28"/>
        <v>-161.774</v>
      </c>
      <c r="W23" s="1483">
        <f t="shared" ca="1" si="27"/>
        <v>-52.493978518853851</v>
      </c>
      <c r="X23" s="1483">
        <f ca="1">-(BS!X11-BS!W11)</f>
        <v>-31.500631628732322</v>
      </c>
      <c r="Y23" s="1483">
        <f ca="1">-(BS!Y11-BS!X11)</f>
        <v>-52.42824317700456</v>
      </c>
      <c r="Z23" s="1483">
        <f ca="1">-(BS!Z11-BS!Y11)</f>
        <v>-49.448760333331279</v>
      </c>
      <c r="AA23" s="1483">
        <f ca="1">-(BS!AA11-BS!Z11)</f>
        <v>-49.265020069138814</v>
      </c>
      <c r="AB23" s="1483">
        <f ca="1">-(BS!AB11-BS!AA11)</f>
        <v>-49.046856473483331</v>
      </c>
      <c r="AC23" s="1483">
        <f ca="1">-(BS!AC11-BS!AB11)</f>
        <v>-48.801282668974181</v>
      </c>
      <c r="AD23" s="1483">
        <f ca="1">-(BS!AD11-BS!AC11)</f>
        <v>-48.533075801708037</v>
      </c>
      <c r="AE23" s="1483"/>
      <c r="AF23" s="1484"/>
      <c r="AG23" s="1484"/>
      <c r="AH23" s="1485">
        <f>DH23-AG23-AF23</f>
        <v>-5.242</v>
      </c>
      <c r="AI23" s="1485">
        <f>DI23-AH23-AG23-AF23</f>
        <v>-0.11300000000000043</v>
      </c>
      <c r="AJ23" s="1485">
        <f>DJ23</f>
        <v>-1.92</v>
      </c>
      <c r="AK23" s="1485">
        <f>DK23-AJ23</f>
        <v>0.14599999999999991</v>
      </c>
      <c r="AL23" s="1485">
        <f>DL23-AK23-AJ23</f>
        <v>-1.7429999999999999</v>
      </c>
      <c r="AM23" s="1485">
        <f>DM23-AL23-AK23-AJ23</f>
        <v>1.012</v>
      </c>
      <c r="AN23" s="1485">
        <f t="shared" si="4"/>
        <v>-1.64</v>
      </c>
      <c r="AO23" s="1485">
        <f>DO23-AN23</f>
        <v>-0.3530000000000002</v>
      </c>
      <c r="AP23" s="1485">
        <f>DP23-AO23-AN23</f>
        <v>-0.15699999999999981</v>
      </c>
      <c r="AQ23" s="1485">
        <f>DQ23-AP23-AO23-AN23</f>
        <v>-0.36099999999999999</v>
      </c>
      <c r="AR23" s="1485">
        <f t="shared" si="5"/>
        <v>-1.677</v>
      </c>
      <c r="AS23" s="1485">
        <f t="shared" si="6"/>
        <v>0.79400000000000004</v>
      </c>
      <c r="AT23" s="1485">
        <f t="shared" si="7"/>
        <v>0.68900000000000006</v>
      </c>
      <c r="AU23" s="1485">
        <f t="shared" si="8"/>
        <v>-0.46799999999999997</v>
      </c>
      <c r="AV23" s="1485">
        <f t="shared" si="24"/>
        <v>2.9000000000000001E-2</v>
      </c>
      <c r="AW23" s="1485">
        <f t="shared" si="9"/>
        <v>-2.3969999999999998</v>
      </c>
      <c r="AX23" s="1485">
        <f t="shared" si="10"/>
        <v>-0.22300000000000039</v>
      </c>
      <c r="AY23" s="1485">
        <f t="shared" si="11"/>
        <v>0.9</v>
      </c>
      <c r="AZ23" s="1485">
        <f t="shared" si="25"/>
        <v>-2.2639999999999998</v>
      </c>
      <c r="BA23" s="1485">
        <f t="shared" si="12"/>
        <v>-1.4840000000000004</v>
      </c>
      <c r="BB23" s="1485">
        <f>EB23-BA23-AZ23</f>
        <v>-7.4999999999999734E-2</v>
      </c>
      <c r="BC23" s="1485">
        <f>EC23-BB23-BA23-AZ23</f>
        <v>-1.0309999999999997</v>
      </c>
      <c r="BD23" s="1485">
        <f t="shared" ref="BD23:BD31" si="32">ED23</f>
        <v>-1.2509999999999999</v>
      </c>
      <c r="BE23" s="1485">
        <f>EE23-BD23</f>
        <v>-5.0109999999999992</v>
      </c>
      <c r="BF23" s="1485">
        <f>EF23-BE23-BD23</f>
        <v>-0.64600000000000124</v>
      </c>
      <c r="BG23" s="1485">
        <f>EG23-BF23-BE23-BD23</f>
        <v>-2.7580000000000005</v>
      </c>
      <c r="BH23" s="1485">
        <f>EH23</f>
        <v>-0.91600000000000004</v>
      </c>
      <c r="BI23" s="1485">
        <f>EI23-BH23</f>
        <v>-0.49399999999999988</v>
      </c>
      <c r="BJ23" s="1485">
        <f>EJ23-BI23-BH23</f>
        <v>-5.6579999999999995</v>
      </c>
      <c r="BK23" s="1485">
        <f>EK23-BJ23-BI23-BH23</f>
        <v>-10.929</v>
      </c>
      <c r="BL23" s="1485">
        <v>2.5059999999999998</v>
      </c>
      <c r="BM23" s="1485">
        <f>EM23-BL23</f>
        <v>-4.0369999999999999</v>
      </c>
      <c r="BN23" s="1485">
        <f>EN23-BM23-BL23</f>
        <v>-2.2519999999999998</v>
      </c>
      <c r="BO23" s="1485">
        <v>-5.3689999999999998</v>
      </c>
      <c r="BP23" s="1485">
        <v>4.8120000000000003</v>
      </c>
      <c r="BQ23" s="1485">
        <v>-5.8380000000000001</v>
      </c>
      <c r="BR23" s="1485">
        <f>-0.023-BQ23-BP23</f>
        <v>1.0030000000000001</v>
      </c>
      <c r="BS23" s="1485">
        <v>2.2999999999999998</v>
      </c>
      <c r="BT23" s="1485">
        <v>-6.0860000000000003</v>
      </c>
      <c r="BU23" s="1485">
        <f>-31.757-BT23</f>
        <v>-25.670999999999999</v>
      </c>
      <c r="BV23" s="1485">
        <f>-38.486-BU23-BT23</f>
        <v>-6.7289999999999974</v>
      </c>
      <c r="BW23" s="1485">
        <v>-1.4</v>
      </c>
      <c r="BX23" s="1485">
        <v>3.0990000000000002</v>
      </c>
      <c r="BY23" s="1485">
        <v>-19.408999999999999</v>
      </c>
      <c r="BZ23" s="1485">
        <v>-9.9890000000000008</v>
      </c>
      <c r="CA23" s="1485">
        <v>3.238</v>
      </c>
      <c r="CB23" s="1485">
        <v>-19.677</v>
      </c>
      <c r="CC23" s="1485">
        <v>-14.864000000000001</v>
      </c>
      <c r="CD23" s="1485">
        <v>-12.359</v>
      </c>
      <c r="CE23" s="1485">
        <v>20.298999999999999</v>
      </c>
      <c r="CF23" s="1485">
        <v>-24.663</v>
      </c>
      <c r="CG23" s="1485">
        <v>-19.097999999999999</v>
      </c>
      <c r="CH23" s="1485">
        <v>2.633</v>
      </c>
      <c r="CI23" s="1485">
        <v>12.336</v>
      </c>
      <c r="CJ23" s="1485">
        <v>-28.995000000000001</v>
      </c>
      <c r="CK23" s="1485">
        <v>-24.51</v>
      </c>
      <c r="CL23" s="1485">
        <v>-50.889000000000003</v>
      </c>
      <c r="CM23" s="1485">
        <v>2.4279999999999999</v>
      </c>
      <c r="CN23" s="1485">
        <v>-30.791</v>
      </c>
      <c r="CO23" s="1485">
        <v>-10.991</v>
      </c>
      <c r="CP23" s="1485">
        <v>-0.22</v>
      </c>
      <c r="CQ23" s="1485">
        <v>-2.581</v>
      </c>
      <c r="CR23" s="1485">
        <v>-11.311999999999999</v>
      </c>
      <c r="CS23" s="1485">
        <v>-31.055</v>
      </c>
      <c r="CT23" s="1485">
        <v>-30.44</v>
      </c>
      <c r="CU23" s="1485">
        <v>-27.422999999999998</v>
      </c>
      <c r="CV23" s="1485">
        <v>-39.664000000000001</v>
      </c>
      <c r="CW23" s="1485">
        <v>-112.236</v>
      </c>
      <c r="CX23" s="1485">
        <v>-50.53</v>
      </c>
      <c r="CY23" s="1485">
        <v>40.655999999999999</v>
      </c>
      <c r="CZ23" s="1688">
        <f ca="1">BS!CY11-BS!CZ11</f>
        <v>-7.3694464531297399</v>
      </c>
      <c r="DA23" s="1688">
        <f ca="1">BS!CZ11-BS!DA11</f>
        <v>-11.784157512001798</v>
      </c>
      <c r="DB23" s="1688">
        <f ca="1">BS!DA11-BS!DB11</f>
        <v>-16.242251898923769</v>
      </c>
      <c r="DC23" s="1688">
        <f ca="1">BS!DB11-BS!DC11</f>
        <v>-17.098122654798544</v>
      </c>
      <c r="DD23" s="1483"/>
      <c r="DE23" s="885"/>
      <c r="DF23" s="783"/>
      <c r="DG23" s="783"/>
      <c r="DH23" s="783">
        <v>-5.242</v>
      </c>
      <c r="DI23" s="783">
        <v>-5.3550000000000004</v>
      </c>
      <c r="DJ23" s="783">
        <v>-1.92</v>
      </c>
      <c r="DK23" s="783">
        <v>-1.774</v>
      </c>
      <c r="DL23" s="783">
        <v>-3.5169999999999999</v>
      </c>
      <c r="DM23" s="783">
        <v>-2.5049999999999999</v>
      </c>
      <c r="DN23" s="783">
        <v>-1.64</v>
      </c>
      <c r="DO23" s="783">
        <v>-1.9930000000000001</v>
      </c>
      <c r="DP23" s="783">
        <v>-2.15</v>
      </c>
      <c r="DQ23" s="783">
        <v>-2.5110000000000001</v>
      </c>
      <c r="DR23" s="783">
        <v>-1.677</v>
      </c>
      <c r="DS23" s="783">
        <v>-0.88300000000000001</v>
      </c>
      <c r="DT23" s="783">
        <v>-0.19400000000000001</v>
      </c>
      <c r="DU23" s="783">
        <v>-0.66200000000000003</v>
      </c>
      <c r="DV23" s="783">
        <v>2.9000000000000001E-2</v>
      </c>
      <c r="DW23" s="783">
        <v>-2.3679999999999999</v>
      </c>
      <c r="DX23" s="783">
        <v>-2.5910000000000002</v>
      </c>
      <c r="DY23" s="783">
        <v>-1.6910000000000001</v>
      </c>
      <c r="DZ23" s="981">
        <v>-2.2639999999999998</v>
      </c>
      <c r="EA23" s="981">
        <v>-3.7480000000000002</v>
      </c>
      <c r="EB23" s="783">
        <v>-3.823</v>
      </c>
      <c r="EC23" s="783">
        <v>-4.8540000000000001</v>
      </c>
      <c r="ED23" s="783">
        <v>-1.2509999999999999</v>
      </c>
      <c r="EE23" s="783">
        <v>-6.2619999999999996</v>
      </c>
      <c r="EF23" s="783">
        <v>-6.9080000000000004</v>
      </c>
      <c r="EG23" s="783">
        <v>-9.6660000000000004</v>
      </c>
      <c r="EH23" s="783">
        <v>-0.91600000000000004</v>
      </c>
      <c r="EI23" s="783">
        <v>-1.41</v>
      </c>
      <c r="EJ23" s="783">
        <v>-7.0679999999999996</v>
      </c>
      <c r="EK23" s="783">
        <v>-17.997</v>
      </c>
      <c r="EL23" s="783">
        <v>2.5059999999999998</v>
      </c>
      <c r="EM23" s="783">
        <v>-1.5309999999999999</v>
      </c>
      <c r="EN23" s="783">
        <v>-3.7829999999999999</v>
      </c>
      <c r="EO23" s="783">
        <v>-9.1519999999999992</v>
      </c>
      <c r="EP23" s="783"/>
      <c r="EQ23" s="783"/>
      <c r="ER23" s="783"/>
      <c r="ES23" s="783"/>
      <c r="EU23" s="42"/>
      <c r="EV23"/>
      <c r="EW23"/>
      <c r="EX23"/>
      <c r="EY23"/>
      <c r="EZ23"/>
      <c r="FA23"/>
    </row>
    <row r="24" spans="2:157" s="15" customFormat="1">
      <c r="B24" s="1036" t="s">
        <v>1128</v>
      </c>
      <c r="C24" s="23"/>
      <c r="D24" s="783"/>
      <c r="E24" s="783">
        <v>-8.7759999999999998</v>
      </c>
      <c r="F24" s="783">
        <f t="shared" si="14"/>
        <v>2.0009999999999999</v>
      </c>
      <c r="G24" s="783">
        <f t="shared" si="15"/>
        <v>4.2899999999999991</v>
      </c>
      <c r="H24" s="783">
        <f t="shared" si="16"/>
        <v>6.8849999999999998</v>
      </c>
      <c r="I24" s="783">
        <f t="shared" si="17"/>
        <v>-1.458</v>
      </c>
      <c r="J24" s="783">
        <f t="shared" si="18"/>
        <v>1.623</v>
      </c>
      <c r="K24" s="783">
        <f t="shared" si="19"/>
        <v>-3.274</v>
      </c>
      <c r="L24" s="783">
        <f t="shared" si="20"/>
        <v>6.4650000000000007</v>
      </c>
      <c r="M24" s="54">
        <f>SUM(BL24:BO24)</f>
        <v>-2.0179999999999998</v>
      </c>
      <c r="N24" s="1483">
        <f t="shared" si="26"/>
        <v>0</v>
      </c>
      <c r="O24" s="1483">
        <f t="shared" si="0"/>
        <v>0</v>
      </c>
      <c r="P24" s="1483">
        <f t="shared" si="29"/>
        <v>0</v>
      </c>
      <c r="Q24" s="1483">
        <f t="shared" si="30"/>
        <v>16.468</v>
      </c>
      <c r="R24" s="1483">
        <f t="shared" si="21"/>
        <v>-109.113</v>
      </c>
      <c r="S24" s="1483">
        <f>SUM(CJ24:CM24)</f>
        <v>226.774</v>
      </c>
      <c r="T24" s="1483">
        <f t="shared" si="31"/>
        <v>-109.57899999999999</v>
      </c>
      <c r="U24" s="1483">
        <f t="shared" si="23"/>
        <v>29.02</v>
      </c>
      <c r="V24" s="1483">
        <f t="shared" si="28"/>
        <v>-34.936000000000007</v>
      </c>
      <c r="W24" s="1483">
        <f t="shared" ca="1" si="27"/>
        <v>-17.656360828282885</v>
      </c>
      <c r="X24" s="1483">
        <f ca="1">-(BS!X14-BS!W14)</f>
        <v>-19.36672046006251</v>
      </c>
      <c r="Y24" s="1483">
        <f ca="1">-(BS!Y14-BS!X14)</f>
        <v>-18.330703546491179</v>
      </c>
      <c r="Z24" s="1483">
        <f ca="1">-(BS!Z14-BS!Y14)</f>
        <v>-17.288974634369595</v>
      </c>
      <c r="AA24" s="1483">
        <f ca="1">-(BS!AA14-BS!Z14)</f>
        <v>-17.224732765705426</v>
      </c>
      <c r="AB24" s="1483">
        <f ca="1">-(BS!AB14-BS!AA14)</f>
        <v>-17.148455325259874</v>
      </c>
      <c r="AC24" s="1483">
        <f ca="1">-(BS!AC14-BS!AB14)</f>
        <v>-17.062594340102692</v>
      </c>
      <c r="AD24" s="1483">
        <f ca="1">-(BS!AD14-BS!AC14)</f>
        <v>-16.968820063585497</v>
      </c>
      <c r="AE24" s="1483"/>
      <c r="AF24" s="1484"/>
      <c r="AG24" s="1484"/>
      <c r="AH24" s="1485">
        <f>DH24-AG24-AF24</f>
        <v>-2.3490000000000002</v>
      </c>
      <c r="AI24" s="1485">
        <f>DI24-AH24-AG24-AF24</f>
        <v>-6.4269999999999996</v>
      </c>
      <c r="AJ24" s="1485">
        <f>DJ24</f>
        <v>-3.0590000000000002</v>
      </c>
      <c r="AK24" s="1485">
        <f>DK24-AJ24</f>
        <v>4.5190000000000001</v>
      </c>
      <c r="AL24" s="1485">
        <f>DL24-AK24-AJ24</f>
        <v>-1.3579999999999997</v>
      </c>
      <c r="AM24" s="1485">
        <f>DM24-AL24-AK24-AJ24</f>
        <v>1.8989999999999996</v>
      </c>
      <c r="AN24" s="1485">
        <f t="shared" si="4"/>
        <v>-0.34399999999999997</v>
      </c>
      <c r="AO24" s="1485">
        <f>DO24-AN24</f>
        <v>4.399</v>
      </c>
      <c r="AP24" s="1485">
        <f>DP24-AO24-AN24</f>
        <v>-1.4700000000000002</v>
      </c>
      <c r="AQ24" s="1485">
        <f>DQ24-AP24-AO24-AN24</f>
        <v>1.7049999999999996</v>
      </c>
      <c r="AR24" s="1485">
        <f t="shared" si="5"/>
        <v>2.5379999999999998</v>
      </c>
      <c r="AS24" s="1485">
        <f t="shared" si="6"/>
        <v>2.3759999999999999</v>
      </c>
      <c r="AT24" s="1485">
        <f t="shared" si="7"/>
        <v>-0.3199999999999994</v>
      </c>
      <c r="AU24" s="1485">
        <f t="shared" si="8"/>
        <v>2.290999999999999</v>
      </c>
      <c r="AV24" s="1485">
        <f t="shared" si="24"/>
        <v>0.97099999999999997</v>
      </c>
      <c r="AW24" s="1485">
        <f t="shared" si="9"/>
        <v>0.54999999999999993</v>
      </c>
      <c r="AX24" s="1485">
        <f t="shared" si="10"/>
        <v>-1.4769999999999999</v>
      </c>
      <c r="AY24" s="1485">
        <f t="shared" si="11"/>
        <v>-1.502</v>
      </c>
      <c r="AZ24" s="1485">
        <f t="shared" si="25"/>
        <v>2.298</v>
      </c>
      <c r="BA24" s="1485">
        <f t="shared" si="12"/>
        <v>-3.0000000000000249E-2</v>
      </c>
      <c r="BB24" s="1485">
        <f>EB24-BA24-AZ24</f>
        <v>-0.83099999999999974</v>
      </c>
      <c r="BC24" s="1485">
        <f>EC24-BB24-BA24-AZ24</f>
        <v>0.18599999999999994</v>
      </c>
      <c r="BD24" s="1485">
        <f t="shared" si="32"/>
        <v>-1.196</v>
      </c>
      <c r="BE24" s="1485">
        <f>EE24-BD24</f>
        <v>-0.85600000000000009</v>
      </c>
      <c r="BF24" s="1485">
        <f>EF24-BE24-BD24</f>
        <v>-0.25300000000000011</v>
      </c>
      <c r="BG24" s="1485">
        <f>EG24-BF24-BE24-BD24</f>
        <v>-0.96900000000000008</v>
      </c>
      <c r="BH24" s="1485">
        <f>EH24</f>
        <v>-1.3260000000000001</v>
      </c>
      <c r="BI24" s="1485">
        <f>EI24-BH24</f>
        <v>-1.4579999999999997</v>
      </c>
      <c r="BJ24" s="1485">
        <f>EJ24-BI24-BH24</f>
        <v>0.95899999999999985</v>
      </c>
      <c r="BK24" s="1485">
        <f>EK24-BJ24-BI24-BH24</f>
        <v>8.2900000000000009</v>
      </c>
      <c r="BL24" s="1485"/>
      <c r="BM24" s="1485">
        <f>EM24-BL24</f>
        <v>0.71899999999999997</v>
      </c>
      <c r="BN24" s="1485">
        <f>EN24-BM24-BL24</f>
        <v>-2.7369999999999997</v>
      </c>
      <c r="BO24" s="1485"/>
      <c r="BP24" s="1485"/>
      <c r="BQ24" s="1485"/>
      <c r="BR24" s="1485"/>
      <c r="BS24" s="1485"/>
      <c r="BT24" s="1485"/>
      <c r="BU24" s="1485"/>
      <c r="BV24" s="1485"/>
      <c r="BW24" s="1485"/>
      <c r="BX24" s="1485"/>
      <c r="BY24" s="1485"/>
      <c r="BZ24" s="1485"/>
      <c r="CA24" s="1485"/>
      <c r="CB24" s="1485"/>
      <c r="CC24" s="1485">
        <v>9.5310000000000006</v>
      </c>
      <c r="CD24" s="1485">
        <v>-1.6559999999999999</v>
      </c>
      <c r="CE24" s="1485">
        <v>8.593</v>
      </c>
      <c r="CF24" s="1485">
        <v>-1.609</v>
      </c>
      <c r="CG24" s="1485">
        <v>-74.153000000000006</v>
      </c>
      <c r="CH24" s="1485">
        <v>3.2709999999999999</v>
      </c>
      <c r="CI24" s="1485">
        <v>-36.622</v>
      </c>
      <c r="CJ24" s="1485">
        <v>-15.749000000000001</v>
      </c>
      <c r="CK24" s="1485">
        <v>-76.763999999999996</v>
      </c>
      <c r="CL24" s="1485">
        <v>23.34</v>
      </c>
      <c r="CM24" s="1485">
        <v>295.947</v>
      </c>
      <c r="CN24" s="1485">
        <v>-12.555</v>
      </c>
      <c r="CO24" s="1485">
        <v>-53.591999999999999</v>
      </c>
      <c r="CP24" s="1485">
        <v>-18.376000000000001</v>
      </c>
      <c r="CQ24" s="1485">
        <v>-25.056000000000001</v>
      </c>
      <c r="CR24" s="1485">
        <v>-28.655999999999999</v>
      </c>
      <c r="CS24" s="1485">
        <v>4.9009999999999998</v>
      </c>
      <c r="CT24" s="1485">
        <v>24.776</v>
      </c>
      <c r="CU24" s="1485">
        <v>27.998999999999999</v>
      </c>
      <c r="CV24" s="1485">
        <v>-20.637</v>
      </c>
      <c r="CW24" s="1485">
        <v>-13.29</v>
      </c>
      <c r="CX24" s="1485">
        <v>-19.681000000000001</v>
      </c>
      <c r="CY24" s="1485">
        <v>18.672000000000001</v>
      </c>
      <c r="CZ24" s="1688">
        <f ca="1">(BS!CY14-BS!CZ14)</f>
        <v>-2.4787148803064269</v>
      </c>
      <c r="DA24" s="1688">
        <f ca="1">(BS!CZ14-BS!DA14)</f>
        <v>-3.9636038829575853</v>
      </c>
      <c r="DB24" s="1688">
        <f ca="1">(BS!DA14-BS!DB14)</f>
        <v>-5.4630848772162324</v>
      </c>
      <c r="DC24" s="1688">
        <f ca="1">(BS!DB14-BS!DC14)</f>
        <v>-5.7509571878026406</v>
      </c>
      <c r="DD24" s="1483"/>
      <c r="DE24" s="885"/>
      <c r="DF24" s="783"/>
      <c r="DG24" s="783"/>
      <c r="DH24" s="783">
        <v>-2.3490000000000002</v>
      </c>
      <c r="DI24" s="783">
        <v>-8.7759999999999998</v>
      </c>
      <c r="DJ24" s="783">
        <v>-3.0590000000000002</v>
      </c>
      <c r="DK24" s="783">
        <v>1.46</v>
      </c>
      <c r="DL24" s="783">
        <v>0.10199999999999999</v>
      </c>
      <c r="DM24" s="783">
        <v>2.0009999999999999</v>
      </c>
      <c r="DN24" s="783">
        <v>-0.34399999999999997</v>
      </c>
      <c r="DO24" s="783">
        <v>4.0549999999999997</v>
      </c>
      <c r="DP24" s="783">
        <v>2.585</v>
      </c>
      <c r="DQ24" s="783">
        <v>4.29</v>
      </c>
      <c r="DR24" s="783">
        <v>2.5379999999999998</v>
      </c>
      <c r="DS24" s="783">
        <v>4.9139999999999997</v>
      </c>
      <c r="DT24" s="783">
        <v>4.5940000000000003</v>
      </c>
      <c r="DU24" s="783">
        <v>6.8849999999999998</v>
      </c>
      <c r="DV24" s="783">
        <v>0.97099999999999997</v>
      </c>
      <c r="DW24" s="783">
        <v>1.5209999999999999</v>
      </c>
      <c r="DX24" s="783">
        <v>4.3999999999999997E-2</v>
      </c>
      <c r="DY24" s="783">
        <v>-1.458</v>
      </c>
      <c r="DZ24" s="981">
        <v>2.298</v>
      </c>
      <c r="EA24" s="981">
        <v>2.2679999999999998</v>
      </c>
      <c r="EB24" s="783">
        <v>1.4370000000000001</v>
      </c>
      <c r="EC24" s="783">
        <v>1.623</v>
      </c>
      <c r="ED24" s="783">
        <v>-1.196</v>
      </c>
      <c r="EE24" s="783">
        <v>-2.052</v>
      </c>
      <c r="EF24" s="783">
        <v>-2.3050000000000002</v>
      </c>
      <c r="EG24" s="783">
        <v>-3.274</v>
      </c>
      <c r="EH24" s="783">
        <v>-1.3260000000000001</v>
      </c>
      <c r="EI24" s="783">
        <v>-2.7839999999999998</v>
      </c>
      <c r="EJ24" s="783">
        <v>-1.825</v>
      </c>
      <c r="EK24" s="783">
        <v>6.4649999999999999</v>
      </c>
      <c r="EL24" s="783">
        <v>-2.0979999999999999</v>
      </c>
      <c r="EM24" s="783">
        <v>0.71899999999999997</v>
      </c>
      <c r="EN24" s="783">
        <v>-2.0179999999999998</v>
      </c>
      <c r="EO24" s="783"/>
      <c r="EP24" s="783"/>
      <c r="EQ24" s="783"/>
      <c r="ER24" s="783"/>
      <c r="ES24" s="783"/>
      <c r="EU24" s="42"/>
      <c r="EV24"/>
      <c r="EW24"/>
      <c r="EX24"/>
      <c r="EY24"/>
      <c r="EZ24"/>
      <c r="FA24"/>
    </row>
    <row r="25" spans="2:157" s="15" customFormat="1">
      <c r="B25" s="1036" t="s">
        <v>1130</v>
      </c>
      <c r="C25" s="23"/>
      <c r="D25" s="783"/>
      <c r="E25" s="783">
        <v>-0.35399999999999998</v>
      </c>
      <c r="F25" s="783">
        <f t="shared" si="14"/>
        <v>-1.657</v>
      </c>
      <c r="G25" s="783">
        <f t="shared" si="15"/>
        <v>2.6040000000000001</v>
      </c>
      <c r="H25" s="783">
        <f t="shared" si="16"/>
        <v>0.379</v>
      </c>
      <c r="I25" s="783">
        <f t="shared" si="17"/>
        <v>-2.556</v>
      </c>
      <c r="J25" s="783">
        <f t="shared" si="18"/>
        <v>1.6220000000000008</v>
      </c>
      <c r="K25" s="783"/>
      <c r="L25" s="783"/>
      <c r="M25" s="54">
        <f>SUM(BL25:BO25)</f>
        <v>-94.228999999999999</v>
      </c>
      <c r="N25" s="1483">
        <f t="shared" si="26"/>
        <v>20.128999999999998</v>
      </c>
      <c r="O25" s="1483">
        <f t="shared" si="0"/>
        <v>11.105999999999998</v>
      </c>
      <c r="P25" s="1483">
        <f t="shared" si="29"/>
        <v>0</v>
      </c>
      <c r="Q25" s="1483">
        <f t="shared" si="30"/>
        <v>0</v>
      </c>
      <c r="R25" s="1483">
        <f t="shared" si="21"/>
        <v>0</v>
      </c>
      <c r="S25" s="1483">
        <f>SUM(CJ25:CM25)</f>
        <v>0</v>
      </c>
      <c r="T25" s="1483">
        <f t="shared" si="31"/>
        <v>0</v>
      </c>
      <c r="U25" s="1483">
        <f t="shared" si="23"/>
        <v>0</v>
      </c>
      <c r="V25" s="1483">
        <f t="shared" si="28"/>
        <v>0</v>
      </c>
      <c r="W25" s="1483">
        <f t="shared" ca="1" si="27"/>
        <v>-22.439098375532296</v>
      </c>
      <c r="X25" s="1483">
        <f ca="1">+(BS!W27-BS!X27)</f>
        <v>-24.612758531682061</v>
      </c>
      <c r="Y25" s="1483">
        <f ca="1">+(BS!X27-BS!Y27)</f>
        <v>-23.29610638187421</v>
      </c>
      <c r="Z25" s="1483">
        <f ca="1">+(BS!Y27-BS!Z27)</f>
        <v>-21.972194973001763</v>
      </c>
      <c r="AA25" s="1483">
        <f ca="1">+(BS!Z27-BS!AA27)</f>
        <v>-21.890551330531935</v>
      </c>
      <c r="AB25" s="1483">
        <f ca="1">+(BS!AA27-BS!AB27)</f>
        <v>-21.793611932507702</v>
      </c>
      <c r="AC25" s="1483">
        <f ca="1">+(BS!AB27-BS!AC27)</f>
        <v>-21.684493008664901</v>
      </c>
      <c r="AD25" s="1483">
        <f ca="1">+(BS!AC27-BS!AD27)</f>
        <v>-21.565317248930057</v>
      </c>
      <c r="AE25" s="1483"/>
      <c r="AF25" s="1484"/>
      <c r="AG25" s="1484"/>
      <c r="AH25" s="1485">
        <f>DH25-AG25-AF25</f>
        <v>-0.98699999999999999</v>
      </c>
      <c r="AI25" s="1485">
        <f>DI25-AH25-AG25-AF25</f>
        <v>0.63300000000000001</v>
      </c>
      <c r="AJ25" s="1485">
        <f>DJ25</f>
        <v>-1.4650000000000001</v>
      </c>
      <c r="AK25" s="1485">
        <f>DK25-AJ25</f>
        <v>-1.405</v>
      </c>
      <c r="AL25" s="1485">
        <f>DL25-AK25-AJ25</f>
        <v>0.18500000000000005</v>
      </c>
      <c r="AM25" s="1485">
        <f>DM25-AL25-AK25-AJ25</f>
        <v>1.028</v>
      </c>
      <c r="AN25" s="1485">
        <f t="shared" si="4"/>
        <v>1.9450000000000001</v>
      </c>
      <c r="AO25" s="1485">
        <f>DO25-AN25</f>
        <v>-0.35499999999999998</v>
      </c>
      <c r="AP25" s="1485">
        <f>DP25-AO25-AN25</f>
        <v>-0.25800000000000001</v>
      </c>
      <c r="AQ25" s="1485">
        <f>DQ25-AP25-AO25-AN25</f>
        <v>1.272</v>
      </c>
      <c r="AR25" s="1485">
        <f t="shared" si="5"/>
        <v>0.17199999999999999</v>
      </c>
      <c r="AS25" s="1485">
        <f t="shared" si="6"/>
        <v>0.32900000000000001</v>
      </c>
      <c r="AT25" s="1485">
        <f t="shared" si="7"/>
        <v>1.7000000000000015E-2</v>
      </c>
      <c r="AU25" s="1485">
        <f t="shared" si="8"/>
        <v>-0.13900000000000001</v>
      </c>
      <c r="AV25" s="1485">
        <f t="shared" si="24"/>
        <v>4.5999999999999999E-2</v>
      </c>
      <c r="AW25" s="1485">
        <f t="shared" si="9"/>
        <v>-0.21600000000000003</v>
      </c>
      <c r="AX25" s="1485">
        <f t="shared" si="10"/>
        <v>-1.3090000000000002</v>
      </c>
      <c r="AY25" s="1485">
        <f t="shared" si="11"/>
        <v>-1.077</v>
      </c>
      <c r="AZ25" s="1485">
        <f t="shared" si="25"/>
        <v>2.25</v>
      </c>
      <c r="BA25" s="1485">
        <f t="shared" si="12"/>
        <v>-0.13200000000000012</v>
      </c>
      <c r="BB25" s="1485">
        <f>EB25-BA25-AZ25</f>
        <v>-2.9079999999999999</v>
      </c>
      <c r="BC25" s="1485">
        <f>EC25-BB25-BA25-AZ25</f>
        <v>2.4120000000000008</v>
      </c>
      <c r="BD25" s="1485"/>
      <c r="BE25" s="1485"/>
      <c r="BF25" s="1485"/>
      <c r="BG25" s="1485"/>
      <c r="BH25" s="1485"/>
      <c r="BI25" s="1485"/>
      <c r="BJ25" s="1485"/>
      <c r="BK25" s="1485"/>
      <c r="BL25" s="1485"/>
      <c r="BM25" s="1485"/>
      <c r="BN25" s="1485"/>
      <c r="BO25" s="1485">
        <v>-94.228999999999999</v>
      </c>
      <c r="BP25" s="1485">
        <f>-3.248+8.871</f>
        <v>5.6230000000000002</v>
      </c>
      <c r="BQ25" s="1485">
        <f>-13.445+16.939-BP25</f>
        <v>-2.1290000000000004</v>
      </c>
      <c r="BR25" s="1485">
        <f>20.75-7.852-BQ25-BP25</f>
        <v>9.4039999999999999</v>
      </c>
      <c r="BS25" s="1485">
        <v>7.2309999999999999</v>
      </c>
      <c r="BT25" s="1485">
        <v>4.4550000000000001</v>
      </c>
      <c r="BU25" s="1485">
        <f>7.957-BT25</f>
        <v>3.5019999999999998</v>
      </c>
      <c r="BV25" s="1485">
        <f>12.717-BU25-BT25</f>
        <v>4.76</v>
      </c>
      <c r="BW25" s="1485">
        <v>-1.611</v>
      </c>
      <c r="BX25" s="1485"/>
      <c r="BY25" s="1485"/>
      <c r="BZ25" s="1485"/>
      <c r="CA25" s="1485"/>
      <c r="CB25" s="1485"/>
      <c r="CC25" s="1485"/>
      <c r="CD25" s="1485"/>
      <c r="CE25" s="1485"/>
      <c r="CF25" s="1485"/>
      <c r="CG25" s="1485"/>
      <c r="CH25" s="1485"/>
      <c r="CI25" s="1485"/>
      <c r="CJ25" s="1485"/>
      <c r="CK25" s="1485"/>
      <c r="CL25" s="1485"/>
      <c r="CM25" s="1485"/>
      <c r="CN25" s="1485"/>
      <c r="CO25" s="1485"/>
      <c r="CP25" s="1485"/>
      <c r="CQ25" s="1485"/>
      <c r="CR25" s="1485"/>
      <c r="CS25" s="1485"/>
      <c r="CT25" s="1485"/>
      <c r="CU25" s="1485"/>
      <c r="CV25" s="1485"/>
      <c r="CW25" s="1485"/>
      <c r="CX25" s="1485"/>
      <c r="CY25" s="1485"/>
      <c r="CZ25" s="1688">
        <f ca="1">+(BS!CY27-BS!CZ27)</f>
        <v>-3.1501467139817692</v>
      </c>
      <c r="DA25" s="1688">
        <f ca="1">+(BS!CZ27-BS!DA27)</f>
        <v>-5.0372609801255805</v>
      </c>
      <c r="DB25" s="1688">
        <f ca="1">+(BS!DA27-BS!DB27)</f>
        <v>-6.9429199021222701</v>
      </c>
      <c r="DC25" s="1688">
        <f ca="1">+(BS!DB27-BS!DC27)</f>
        <v>-7.3087707793026766</v>
      </c>
      <c r="DD25" s="1483"/>
      <c r="DE25" s="885"/>
      <c r="DF25" s="783"/>
      <c r="DG25" s="783"/>
      <c r="DH25" s="783">
        <v>-0.98699999999999999</v>
      </c>
      <c r="DI25" s="783">
        <v>-0.35399999999999998</v>
      </c>
      <c r="DJ25" s="783">
        <v>-1.4650000000000001</v>
      </c>
      <c r="DK25" s="783">
        <v>-2.87</v>
      </c>
      <c r="DL25" s="783">
        <v>-2.6850000000000001</v>
      </c>
      <c r="DM25" s="783">
        <v>-1.657</v>
      </c>
      <c r="DN25" s="783">
        <v>1.9450000000000001</v>
      </c>
      <c r="DO25" s="783">
        <v>1.59</v>
      </c>
      <c r="DP25" s="783">
        <v>1.3320000000000001</v>
      </c>
      <c r="DQ25" s="783">
        <v>2.6040000000000001</v>
      </c>
      <c r="DR25" s="783">
        <v>0.17199999999999999</v>
      </c>
      <c r="DS25" s="783">
        <v>0.501</v>
      </c>
      <c r="DT25" s="783">
        <v>0.51800000000000002</v>
      </c>
      <c r="DU25" s="783">
        <v>0.379</v>
      </c>
      <c r="DV25" s="783">
        <v>4.5999999999999999E-2</v>
      </c>
      <c r="DW25" s="783">
        <v>-0.17</v>
      </c>
      <c r="DX25" s="783">
        <v>-1.4790000000000001</v>
      </c>
      <c r="DY25" s="783">
        <v>-2.556</v>
      </c>
      <c r="DZ25" s="981">
        <v>2.25</v>
      </c>
      <c r="EA25" s="981">
        <v>2.1179999999999999</v>
      </c>
      <c r="EB25" s="783">
        <v>-0.79</v>
      </c>
      <c r="EC25" s="783">
        <v>1.6220000000000001</v>
      </c>
      <c r="ED25" s="783"/>
      <c r="EE25" s="783"/>
      <c r="EF25" s="783"/>
      <c r="EG25" s="783"/>
      <c r="EH25" s="783"/>
      <c r="EI25" s="783"/>
      <c r="EJ25" s="783"/>
      <c r="EK25" s="783"/>
      <c r="EL25" s="783"/>
      <c r="EM25" s="31"/>
      <c r="EN25" s="783"/>
      <c r="EO25" s="783">
        <f>+-7.137-111.067</f>
        <v>-118.20399999999999</v>
      </c>
      <c r="EP25" s="783"/>
      <c r="EQ25" s="783"/>
      <c r="ER25" s="783"/>
      <c r="ES25" s="783"/>
      <c r="EU25" s="42"/>
      <c r="EV25"/>
      <c r="EW25"/>
      <c r="EX25"/>
      <c r="EY25"/>
      <c r="EZ25"/>
      <c r="FA25"/>
    </row>
    <row r="26" spans="2:157" s="15" customFormat="1">
      <c r="B26" s="1036" t="s">
        <v>1132</v>
      </c>
      <c r="C26" s="23"/>
      <c r="D26" s="783"/>
      <c r="E26" s="783">
        <v>9.5739999999999998</v>
      </c>
      <c r="F26" s="783">
        <f t="shared" si="14"/>
        <v>-2.742</v>
      </c>
      <c r="G26" s="783">
        <f t="shared" si="15"/>
        <v>11.126000000000001</v>
      </c>
      <c r="H26" s="783">
        <f t="shared" si="16"/>
        <v>-6.5670000000000002</v>
      </c>
      <c r="I26" s="783">
        <f t="shared" si="17"/>
        <v>3.0859999999999999</v>
      </c>
      <c r="J26" s="783">
        <f t="shared" si="18"/>
        <v>3.7549999999999999</v>
      </c>
      <c r="K26" s="783">
        <f t="shared" si="19"/>
        <v>4.7560000000000002</v>
      </c>
      <c r="L26" s="783">
        <f t="shared" si="20"/>
        <v>-6.6820000000000057</v>
      </c>
      <c r="M26" s="54">
        <f>SUM(BL26:BO26)</f>
        <v>9.9369999999999994</v>
      </c>
      <c r="N26" s="1483">
        <f t="shared" si="26"/>
        <v>22.762</v>
      </c>
      <c r="O26" s="1483">
        <f t="shared" si="0"/>
        <v>30.363</v>
      </c>
      <c r="P26" s="1483">
        <f t="shared" si="29"/>
        <v>35.781999999999996</v>
      </c>
      <c r="Q26" s="1483">
        <f t="shared" si="30"/>
        <v>40.283999999999992</v>
      </c>
      <c r="R26" s="1483">
        <f t="shared" si="21"/>
        <v>7.2420000000000009</v>
      </c>
      <c r="S26" s="1483">
        <f>SUM(CJ26:CM26)</f>
        <v>10.681000000000001</v>
      </c>
      <c r="T26" s="1483">
        <f t="shared" si="31"/>
        <v>109.125</v>
      </c>
      <c r="U26" s="1483">
        <f t="shared" si="23"/>
        <v>61.564999999999998</v>
      </c>
      <c r="V26" s="1483">
        <f t="shared" si="28"/>
        <v>74.488</v>
      </c>
      <c r="W26" s="1483">
        <f t="shared" ca="1" si="27"/>
        <v>43.7155209050037</v>
      </c>
      <c r="X26" s="1483">
        <f ca="1">BS!X33-BS!W33</f>
        <v>35.793909489915904</v>
      </c>
      <c r="Y26" s="1483">
        <f ca="1">BS!Y33-BS!X33</f>
        <v>60.801202509493351</v>
      </c>
      <c r="Z26" s="1483">
        <f ca="1">BS!Z33-BS!Y33</f>
        <v>56.833324028104471</v>
      </c>
      <c r="AA26" s="1483">
        <f ca="1">BS!AA33-BS!Z33</f>
        <v>56.249449568340651</v>
      </c>
      <c r="AB26" s="1483">
        <f ca="1">BS!AB33-BS!AA33</f>
        <v>55.626466648914857</v>
      </c>
      <c r="AC26" s="1483">
        <f ca="1">BS!AC33-BS!AB33</f>
        <v>54.973236310792572</v>
      </c>
      <c r="AD26" s="1483">
        <f ca="1">BS!AD33-BS!AC33</f>
        <v>54.295835156972771</v>
      </c>
      <c r="AE26" s="1483"/>
      <c r="AF26" s="1484"/>
      <c r="AG26" s="1484"/>
      <c r="AH26" s="1485">
        <f>DH26-AG26-AF26</f>
        <v>6.1440000000000001</v>
      </c>
      <c r="AI26" s="1485">
        <f>DI26-AH26-AG26-AF26</f>
        <v>3.4299999999999997</v>
      </c>
      <c r="AJ26" s="1485">
        <f>DJ26</f>
        <v>-1.266</v>
      </c>
      <c r="AK26" s="1485">
        <f>DK26-AJ26</f>
        <v>3.7850000000000001</v>
      </c>
      <c r="AL26" s="1485">
        <f>DL26-AK26-AJ26</f>
        <v>-3.3260000000000005</v>
      </c>
      <c r="AM26" s="1485">
        <f>DM26-AL26-AK26-AJ26</f>
        <v>-1.9349999999999996</v>
      </c>
      <c r="AN26" s="1485">
        <f t="shared" si="4"/>
        <v>-0.105</v>
      </c>
      <c r="AO26" s="1485">
        <f>DO26-AN26</f>
        <v>-2.1829999999999998</v>
      </c>
      <c r="AP26" s="1485">
        <f>DP26-AO26-AN26</f>
        <v>-0.89200000000000035</v>
      </c>
      <c r="AQ26" s="1485">
        <f>DQ26-AP26-AO26-AN26</f>
        <v>14.306000000000001</v>
      </c>
      <c r="AR26" s="1485">
        <f t="shared" si="5"/>
        <v>-2.6419999999999999</v>
      </c>
      <c r="AS26" s="1485">
        <f t="shared" si="6"/>
        <v>-4.8040000000000003</v>
      </c>
      <c r="AT26" s="1485">
        <f t="shared" si="7"/>
        <v>1.7050000000000005</v>
      </c>
      <c r="AU26" s="1485">
        <f t="shared" si="8"/>
        <v>-0.82600000000000007</v>
      </c>
      <c r="AV26" s="1485">
        <f t="shared" si="24"/>
        <v>0.19</v>
      </c>
      <c r="AW26" s="1485">
        <f t="shared" si="9"/>
        <v>0.82299999999999995</v>
      </c>
      <c r="AX26" s="1485">
        <f t="shared" si="10"/>
        <v>1.8900000000000001</v>
      </c>
      <c r="AY26" s="1485">
        <f t="shared" si="11"/>
        <v>0.18299999999999977</v>
      </c>
      <c r="AZ26" s="1485">
        <f t="shared" si="25"/>
        <v>8.8999999999999996E-2</v>
      </c>
      <c r="BA26" s="1485">
        <f t="shared" si="12"/>
        <v>2.863</v>
      </c>
      <c r="BB26" s="1485">
        <f>EB26-BA26-AZ26</f>
        <v>1.1890000000000001</v>
      </c>
      <c r="BC26" s="1485">
        <f>EC26-BB26-BA26-AZ26</f>
        <v>-0.38600000000000012</v>
      </c>
      <c r="BD26" s="1485">
        <f t="shared" si="32"/>
        <v>-0.99299999999999999</v>
      </c>
      <c r="BE26" s="1485">
        <f>EE26-BD26</f>
        <v>2.597</v>
      </c>
      <c r="BF26" s="1485">
        <f>EF26-BE26-BD26</f>
        <v>-1.1339999999999999</v>
      </c>
      <c r="BG26" s="1485">
        <f>EG26-BF26-BE26-BD26</f>
        <v>4.2860000000000005</v>
      </c>
      <c r="BH26" s="1485">
        <f>EH26</f>
        <v>-2.657</v>
      </c>
      <c r="BI26" s="1485">
        <f>EI26-BH26</f>
        <v>7.95</v>
      </c>
      <c r="BJ26" s="1485">
        <f>EJ26-BI26-BH26</f>
        <v>17.786000000000001</v>
      </c>
      <c r="BK26" s="1485">
        <f>EK26-BJ26-BI26-BH26</f>
        <v>-29.761000000000006</v>
      </c>
      <c r="BL26" s="1485">
        <v>1.107</v>
      </c>
      <c r="BM26" s="1485">
        <f>EM26-BL26</f>
        <v>4.43</v>
      </c>
      <c r="BN26" s="1485">
        <f>EN26-BM26-BL26</f>
        <v>-0.52200000000000002</v>
      </c>
      <c r="BO26" s="1485">
        <v>4.9219999999999997</v>
      </c>
      <c r="BP26" s="1485">
        <v>6.282</v>
      </c>
      <c r="BQ26" s="1485">
        <f>12.965-BP26</f>
        <v>6.6829999999999998</v>
      </c>
      <c r="BR26" s="1485">
        <f>27.638-BQ26-BP26</f>
        <v>14.673000000000002</v>
      </c>
      <c r="BS26" s="1485">
        <v>-4.8760000000000003</v>
      </c>
      <c r="BT26" s="1485">
        <v>15.885999999999999</v>
      </c>
      <c r="BU26" s="1485">
        <f>19.06-BT26</f>
        <v>3.1739999999999995</v>
      </c>
      <c r="BV26" s="1485">
        <f>16.047-BU26-BT26</f>
        <v>-3.0129999999999981</v>
      </c>
      <c r="BW26" s="1485">
        <v>14.316000000000001</v>
      </c>
      <c r="BX26" s="1485">
        <v>-13.606</v>
      </c>
      <c r="BY26" s="1485">
        <v>4.0819999999999999</v>
      </c>
      <c r="BZ26" s="1485">
        <v>3.2000000000000001E-2</v>
      </c>
      <c r="CA26" s="1485">
        <v>45.274000000000001</v>
      </c>
      <c r="CB26" s="1485">
        <v>-33.737000000000002</v>
      </c>
      <c r="CC26" s="1485">
        <v>35.543999999999997</v>
      </c>
      <c r="CD26" s="1485">
        <v>17.5</v>
      </c>
      <c r="CE26" s="1485">
        <v>20.977</v>
      </c>
      <c r="CF26" s="1485">
        <v>-27.995999999999999</v>
      </c>
      <c r="CG26" s="1485">
        <v>28.391999999999999</v>
      </c>
      <c r="CH26" s="1485">
        <v>17.003</v>
      </c>
      <c r="CI26" s="1485">
        <v>-10.157</v>
      </c>
      <c r="CJ26" s="1485">
        <v>8.83</v>
      </c>
      <c r="CK26" s="1485">
        <v>-16.498000000000001</v>
      </c>
      <c r="CL26" s="1485">
        <v>34.777999999999999</v>
      </c>
      <c r="CM26" s="1485">
        <v>-16.428999999999998</v>
      </c>
      <c r="CN26" s="1485">
        <v>29.693000000000001</v>
      </c>
      <c r="CO26" s="1485">
        <v>19.600000000000001</v>
      </c>
      <c r="CP26" s="1485">
        <v>25.925999999999998</v>
      </c>
      <c r="CQ26" s="1485">
        <v>33.905999999999999</v>
      </c>
      <c r="CR26" s="1485">
        <v>-40.216999999999999</v>
      </c>
      <c r="CS26" s="1485">
        <v>29.591999999999999</v>
      </c>
      <c r="CT26" s="1485">
        <v>-0.90100000000000002</v>
      </c>
      <c r="CU26" s="1485">
        <v>73.090999999999994</v>
      </c>
      <c r="CV26" s="1485">
        <v>-65.414000000000001</v>
      </c>
      <c r="CW26" s="1485">
        <v>81.584999999999994</v>
      </c>
      <c r="CX26" s="1485">
        <v>28.780999999999999</v>
      </c>
      <c r="CY26" s="1485">
        <v>29.536000000000001</v>
      </c>
      <c r="CZ26" s="1688">
        <f ca="1">BS!CZ33-BS!CY33</f>
        <v>-11.03701709312827</v>
      </c>
      <c r="DA26" s="1688">
        <f ca="1">BS!DA33-BS!CZ33</f>
        <v>14.298486929727915</v>
      </c>
      <c r="DB26" s="1688">
        <f ca="1">BS!DB33-BS!DA33</f>
        <v>19.707783628111315</v>
      </c>
      <c r="DC26" s="1688">
        <f ca="1">BS!DC33-BS!DB33</f>
        <v>20.746267440292741</v>
      </c>
      <c r="DD26" s="1483"/>
      <c r="DE26" s="885"/>
      <c r="DF26" s="783"/>
      <c r="DG26" s="783"/>
      <c r="DH26" s="783">
        <v>6.1440000000000001</v>
      </c>
      <c r="DI26" s="783">
        <v>9.5739999999999998</v>
      </c>
      <c r="DJ26" s="783">
        <v>-1.266</v>
      </c>
      <c r="DK26" s="783">
        <v>2.5190000000000001</v>
      </c>
      <c r="DL26" s="783">
        <v>-0.80700000000000005</v>
      </c>
      <c r="DM26" s="783">
        <v>-2.742</v>
      </c>
      <c r="DN26" s="783">
        <v>-0.105</v>
      </c>
      <c r="DO26" s="783">
        <v>-2.2879999999999998</v>
      </c>
      <c r="DP26" s="783">
        <v>-3.18</v>
      </c>
      <c r="DQ26" s="783">
        <v>11.125999999999999</v>
      </c>
      <c r="DR26" s="783">
        <v>-2.6419999999999999</v>
      </c>
      <c r="DS26" s="783">
        <v>-7.4459999999999997</v>
      </c>
      <c r="DT26" s="783">
        <v>-5.7409999999999997</v>
      </c>
      <c r="DU26" s="783">
        <v>-6.5670000000000002</v>
      </c>
      <c r="DV26" s="783">
        <v>0.19</v>
      </c>
      <c r="DW26" s="783">
        <v>1.0129999999999999</v>
      </c>
      <c r="DX26" s="783">
        <v>2.903</v>
      </c>
      <c r="DY26" s="783">
        <v>3.0859999999999999</v>
      </c>
      <c r="DZ26" s="981">
        <v>8.8999999999999996E-2</v>
      </c>
      <c r="EA26" s="981">
        <v>2.952</v>
      </c>
      <c r="EB26" s="783">
        <v>4.141</v>
      </c>
      <c r="EC26" s="783">
        <v>3.7549999999999999</v>
      </c>
      <c r="ED26" s="783">
        <v>-0.99299999999999999</v>
      </c>
      <c r="EE26" s="783">
        <v>1.6040000000000001</v>
      </c>
      <c r="EF26" s="783">
        <v>0.47</v>
      </c>
      <c r="EG26" s="783">
        <v>4.7560000000000002</v>
      </c>
      <c r="EH26" s="783">
        <v>-2.657</v>
      </c>
      <c r="EI26" s="783">
        <v>5.2930000000000001</v>
      </c>
      <c r="EJ26" s="783">
        <v>23.079000000000001</v>
      </c>
      <c r="EK26" s="783">
        <v>-6.6820000000000004</v>
      </c>
      <c r="EL26" s="783">
        <v>1.107</v>
      </c>
      <c r="EM26" s="783">
        <v>5.5369999999999999</v>
      </c>
      <c r="EN26" s="783">
        <v>5.0149999999999997</v>
      </c>
      <c r="EO26" s="783">
        <v>9.9369999999999994</v>
      </c>
      <c r="EP26" s="783"/>
      <c r="EQ26" s="783"/>
      <c r="ER26" s="783"/>
      <c r="ES26" s="783"/>
      <c r="EU26" s="42"/>
      <c r="EV26"/>
      <c r="EW26"/>
      <c r="EX26"/>
      <c r="EY26"/>
      <c r="EZ26"/>
      <c r="FA26"/>
    </row>
    <row r="27" spans="2:157" s="15" customFormat="1" hidden="1" outlineLevel="1">
      <c r="B27" s="1036" t="s">
        <v>1386</v>
      </c>
      <c r="C27" s="23"/>
      <c r="D27" s="783"/>
      <c r="E27" s="783"/>
      <c r="F27" s="783"/>
      <c r="G27" s="783">
        <f t="shared" si="15"/>
        <v>0</v>
      </c>
      <c r="H27" s="783"/>
      <c r="I27" s="783">
        <f t="shared" si="17"/>
        <v>0</v>
      </c>
      <c r="J27" s="783"/>
      <c r="K27" s="783"/>
      <c r="L27" s="783"/>
      <c r="M27" s="54"/>
      <c r="N27" s="1483">
        <f t="shared" si="26"/>
        <v>0</v>
      </c>
      <c r="O27" s="1483">
        <f t="shared" si="0"/>
        <v>0</v>
      </c>
      <c r="P27" s="1483">
        <f t="shared" si="29"/>
        <v>0</v>
      </c>
      <c r="Q27" s="1483">
        <f t="shared" si="30"/>
        <v>0</v>
      </c>
      <c r="R27" s="1483">
        <f t="shared" si="21"/>
        <v>0</v>
      </c>
      <c r="S27" s="1483">
        <f t="shared" si="21"/>
        <v>0</v>
      </c>
      <c r="T27" s="1483">
        <f t="shared" si="31"/>
        <v>0</v>
      </c>
      <c r="U27" s="1483">
        <f t="shared" si="23"/>
        <v>0</v>
      </c>
      <c r="V27" s="1483">
        <f t="shared" si="23"/>
        <v>0</v>
      </c>
      <c r="W27" s="1483">
        <f t="shared" si="27"/>
        <v>0</v>
      </c>
      <c r="X27" s="1483"/>
      <c r="Y27" s="1483"/>
      <c r="Z27" s="1483"/>
      <c r="AA27" s="1483"/>
      <c r="AB27" s="1483"/>
      <c r="AC27" s="1483"/>
      <c r="AD27" s="1483"/>
      <c r="AE27" s="1483"/>
      <c r="AF27" s="1484"/>
      <c r="AG27" s="1484"/>
      <c r="AH27" s="1485"/>
      <c r="AI27" s="1485"/>
      <c r="AJ27" s="1485"/>
      <c r="AK27" s="1485"/>
      <c r="AL27" s="1485"/>
      <c r="AM27" s="1485"/>
      <c r="AN27" s="1485"/>
      <c r="AO27" s="1485"/>
      <c r="AP27" s="1485"/>
      <c r="AQ27" s="1485"/>
      <c r="AR27" s="1485">
        <f t="shared" si="5"/>
        <v>-3.7679999999999998</v>
      </c>
      <c r="AS27" s="1485">
        <f t="shared" si="6"/>
        <v>3.7679999999999998</v>
      </c>
      <c r="AT27" s="1485">
        <f t="shared" si="7"/>
        <v>0</v>
      </c>
      <c r="AU27" s="1485">
        <f t="shared" si="8"/>
        <v>0</v>
      </c>
      <c r="AV27" s="1485">
        <f>DV27</f>
        <v>0</v>
      </c>
      <c r="AW27" s="1485">
        <f t="shared" si="9"/>
        <v>0</v>
      </c>
      <c r="AX27" s="1485">
        <f t="shared" si="10"/>
        <v>0</v>
      </c>
      <c r="AY27" s="1485">
        <f t="shared" si="11"/>
        <v>0</v>
      </c>
      <c r="AZ27" s="1485">
        <f t="shared" si="25"/>
        <v>0</v>
      </c>
      <c r="BA27" s="1485">
        <f t="shared" si="12"/>
        <v>0</v>
      </c>
      <c r="BB27" s="1485"/>
      <c r="BC27" s="1485"/>
      <c r="BD27" s="1485"/>
      <c r="BE27" s="1485"/>
      <c r="BF27" s="1485"/>
      <c r="BG27" s="1485"/>
      <c r="BH27" s="1485"/>
      <c r="BI27" s="1485"/>
      <c r="BJ27" s="1485"/>
      <c r="BK27" s="1485"/>
      <c r="BL27" s="1485"/>
      <c r="BM27" s="1485"/>
      <c r="BN27" s="1485"/>
      <c r="BO27" s="1485"/>
      <c r="BP27" s="1485"/>
      <c r="BQ27" s="1485"/>
      <c r="BR27" s="1485"/>
      <c r="BS27" s="1485"/>
      <c r="BT27" s="1485"/>
      <c r="BU27" s="1485"/>
      <c r="BV27" s="1485"/>
      <c r="BW27" s="1485"/>
      <c r="BX27" s="1485"/>
      <c r="BY27" s="1485"/>
      <c r="BZ27" s="1485"/>
      <c r="CA27" s="1485"/>
      <c r="CB27" s="1485"/>
      <c r="CC27" s="1485"/>
      <c r="CD27" s="1485"/>
      <c r="CE27" s="1485"/>
      <c r="CF27" s="1485"/>
      <c r="CG27" s="1485"/>
      <c r="CH27" s="1485"/>
      <c r="CI27" s="1485"/>
      <c r="CJ27" s="1485"/>
      <c r="CK27" s="1485"/>
      <c r="CL27" s="1485"/>
      <c r="CM27" s="1485"/>
      <c r="CN27" s="1485"/>
      <c r="CO27" s="1485"/>
      <c r="CP27" s="1485"/>
      <c r="CQ27" s="1485"/>
      <c r="CR27" s="1485"/>
      <c r="CS27" s="1485"/>
      <c r="CT27" s="1485"/>
      <c r="CU27" s="1485"/>
      <c r="CV27" s="1485"/>
      <c r="CW27" s="1485"/>
      <c r="CX27" s="1485"/>
      <c r="CY27" s="1485"/>
      <c r="CZ27" s="1483"/>
      <c r="DA27" s="1483"/>
      <c r="DB27" s="1483"/>
      <c r="DC27" s="1483"/>
      <c r="DD27" s="1483"/>
      <c r="DE27" s="885"/>
      <c r="DF27" s="783"/>
      <c r="DG27" s="783"/>
      <c r="DH27" s="783"/>
      <c r="DI27" s="783"/>
      <c r="DJ27" s="783"/>
      <c r="DK27" s="783"/>
      <c r="DL27" s="783"/>
      <c r="DM27" s="783"/>
      <c r="DN27" s="783"/>
      <c r="DO27" s="783"/>
      <c r="DP27" s="783"/>
      <c r="DQ27" s="783"/>
      <c r="DR27" s="783">
        <v>-3.7679999999999998</v>
      </c>
      <c r="DS27" s="783"/>
      <c r="DT27" s="783"/>
      <c r="DU27" s="783"/>
      <c r="DV27" s="783"/>
      <c r="DW27" s="783"/>
      <c r="DX27" s="783"/>
      <c r="DY27" s="783"/>
      <c r="DZ27" s="981"/>
      <c r="EA27" s="981"/>
      <c r="EB27" s="783"/>
      <c r="EC27" s="783"/>
      <c r="ED27" s="783"/>
      <c r="EE27" s="783"/>
      <c r="EF27" s="783"/>
      <c r="EG27" s="783"/>
      <c r="EH27" s="783"/>
      <c r="EI27" s="783"/>
      <c r="EJ27" s="783"/>
      <c r="EK27" s="783"/>
      <c r="EL27" s="783"/>
      <c r="EM27" s="783"/>
      <c r="EN27" s="783"/>
      <c r="EO27" s="783"/>
      <c r="EP27" s="783"/>
      <c r="EQ27" s="783"/>
      <c r="ER27" s="783"/>
      <c r="ES27" s="783"/>
      <c r="EU27" s="42"/>
      <c r="EV27"/>
      <c r="EW27"/>
      <c r="EX27"/>
      <c r="EY27"/>
      <c r="EZ27"/>
      <c r="FA27"/>
    </row>
    <row r="28" spans="2:157" s="15" customFormat="1" hidden="1" outlineLevel="1">
      <c r="B28" s="1036" t="s">
        <v>1133</v>
      </c>
      <c r="C28" s="23"/>
      <c r="D28" s="783"/>
      <c r="E28" s="783"/>
      <c r="F28" s="783"/>
      <c r="G28" s="783">
        <f t="shared" si="15"/>
        <v>0</v>
      </c>
      <c r="H28" s="783"/>
      <c r="I28" s="783">
        <f t="shared" si="17"/>
        <v>0</v>
      </c>
      <c r="J28" s="783"/>
      <c r="K28" s="783"/>
      <c r="L28" s="783"/>
      <c r="M28" s="54"/>
      <c r="N28" s="1483">
        <f t="shared" si="26"/>
        <v>0</v>
      </c>
      <c r="O28" s="1483">
        <f t="shared" si="0"/>
        <v>0</v>
      </c>
      <c r="P28" s="1483">
        <f t="shared" si="29"/>
        <v>0</v>
      </c>
      <c r="Q28" s="1483">
        <f t="shared" si="30"/>
        <v>0</v>
      </c>
      <c r="R28" s="1483">
        <f t="shared" si="21"/>
        <v>0</v>
      </c>
      <c r="S28" s="1483">
        <f t="shared" si="21"/>
        <v>0</v>
      </c>
      <c r="T28" s="1483">
        <f t="shared" si="31"/>
        <v>0</v>
      </c>
      <c r="U28" s="1483">
        <f t="shared" si="23"/>
        <v>0</v>
      </c>
      <c r="V28" s="1483">
        <f t="shared" si="23"/>
        <v>0</v>
      </c>
      <c r="W28" s="1483">
        <f t="shared" si="27"/>
        <v>0</v>
      </c>
      <c r="X28" s="1483"/>
      <c r="Y28" s="1483"/>
      <c r="Z28" s="1483"/>
      <c r="AA28" s="1483"/>
      <c r="AB28" s="1483"/>
      <c r="AC28" s="1483"/>
      <c r="AD28" s="1483"/>
      <c r="AE28" s="1483"/>
      <c r="AF28" s="1484"/>
      <c r="AG28" s="1484"/>
      <c r="AH28" s="1485"/>
      <c r="AI28" s="1485"/>
      <c r="AJ28" s="1485">
        <f>DJ28</f>
        <v>6.5</v>
      </c>
      <c r="AK28" s="1485">
        <f>DK28-AJ28</f>
        <v>-6.5</v>
      </c>
      <c r="AL28" s="1485">
        <f>DL28-AK28-AJ28</f>
        <v>8.2430000000000003</v>
      </c>
      <c r="AM28" s="1485">
        <f>DM28-AL28-AK28-AJ28</f>
        <v>-8.2430000000000003</v>
      </c>
      <c r="AN28" s="1485">
        <f t="shared" si="4"/>
        <v>6.2009999999999996</v>
      </c>
      <c r="AO28" s="1485">
        <f>DO28-AN28</f>
        <v>-5.9879999999999995</v>
      </c>
      <c r="AP28" s="1485">
        <f>DP28-AO28-AN28</f>
        <v>4.7859999999999987</v>
      </c>
      <c r="AQ28" s="1485">
        <f>DQ28-AP28-AO28-AN28</f>
        <v>-4.9989999999999988</v>
      </c>
      <c r="AR28" s="1485">
        <f t="shared" si="5"/>
        <v>-0.99</v>
      </c>
      <c r="AS28" s="1485">
        <f t="shared" si="6"/>
        <v>-0.9910000000000001</v>
      </c>
      <c r="AT28" s="1485">
        <f t="shared" si="7"/>
        <v>0.9910000000000001</v>
      </c>
      <c r="AU28" s="1485">
        <f t="shared" si="8"/>
        <v>0.99</v>
      </c>
      <c r="AV28" s="1485">
        <f>DV28</f>
        <v>-3.5999999999999997E-2</v>
      </c>
      <c r="AW28" s="1485">
        <f t="shared" si="9"/>
        <v>0.53900000000000003</v>
      </c>
      <c r="AX28" s="1485">
        <f t="shared" si="10"/>
        <v>-0.56299999999999994</v>
      </c>
      <c r="AY28" s="1485">
        <f t="shared" si="11"/>
        <v>5.9999999999999908E-2</v>
      </c>
      <c r="AZ28" s="1485">
        <f t="shared" si="25"/>
        <v>0</v>
      </c>
      <c r="BA28" s="1485">
        <f t="shared" si="12"/>
        <v>0</v>
      </c>
      <c r="BB28" s="1485"/>
      <c r="BC28" s="1485"/>
      <c r="BD28" s="1485"/>
      <c r="BE28" s="1485"/>
      <c r="BF28" s="1485"/>
      <c r="BG28" s="1485"/>
      <c r="BH28" s="1485"/>
      <c r="BI28" s="1485"/>
      <c r="BJ28" s="1485"/>
      <c r="BK28" s="1485"/>
      <c r="BL28" s="1485"/>
      <c r="BM28" s="1485"/>
      <c r="BN28" s="1485"/>
      <c r="BO28" s="1485"/>
      <c r="BP28" s="1485"/>
      <c r="BQ28" s="1485"/>
      <c r="BR28" s="1485"/>
      <c r="BS28" s="1485"/>
      <c r="BT28" s="1485"/>
      <c r="BU28" s="1486"/>
      <c r="BV28" s="1486"/>
      <c r="BW28" s="1486"/>
      <c r="BX28" s="1486"/>
      <c r="BY28" s="1485"/>
      <c r="BZ28" s="1485"/>
      <c r="CA28" s="1485"/>
      <c r="CB28" s="1485"/>
      <c r="CC28" s="1485"/>
      <c r="CD28" s="1485"/>
      <c r="CE28" s="1485"/>
      <c r="CF28" s="1485"/>
      <c r="CG28" s="1485"/>
      <c r="CH28" s="1485"/>
      <c r="CI28" s="1485"/>
      <c r="CJ28" s="1485"/>
      <c r="CK28" s="1485"/>
      <c r="CL28" s="1485"/>
      <c r="CM28" s="1485"/>
      <c r="CN28" s="1485"/>
      <c r="CO28" s="1485"/>
      <c r="CP28" s="1485"/>
      <c r="CQ28" s="1485"/>
      <c r="CR28" s="1485"/>
      <c r="CS28" s="1485"/>
      <c r="CT28" s="1485"/>
      <c r="CU28" s="1485"/>
      <c r="CV28" s="1485"/>
      <c r="CW28" s="1485"/>
      <c r="CX28" s="1485"/>
      <c r="CY28" s="1485"/>
      <c r="CZ28" s="1483"/>
      <c r="DA28" s="1483"/>
      <c r="DB28" s="1483"/>
      <c r="DC28" s="1483"/>
      <c r="DD28" s="1483"/>
      <c r="DE28" s="885"/>
      <c r="DF28" s="783"/>
      <c r="DG28" s="783"/>
      <c r="DH28" s="783">
        <v>7.1970000000000001</v>
      </c>
      <c r="DI28" s="783"/>
      <c r="DJ28" s="783">
        <v>6.5</v>
      </c>
      <c r="DK28" s="783"/>
      <c r="DL28" s="783">
        <v>8.2430000000000003</v>
      </c>
      <c r="DM28" s="783"/>
      <c r="DN28" s="783">
        <v>6.2009999999999996</v>
      </c>
      <c r="DO28" s="783">
        <v>0.21299999999999999</v>
      </c>
      <c r="DP28" s="783">
        <v>4.9989999999999997</v>
      </c>
      <c r="DQ28" s="783"/>
      <c r="DR28" s="783">
        <v>-0.99</v>
      </c>
      <c r="DS28" s="783">
        <v>-1.9810000000000001</v>
      </c>
      <c r="DT28" s="783">
        <v>-0.99</v>
      </c>
      <c r="DU28" s="783"/>
      <c r="DV28" s="783">
        <v>-3.5999999999999997E-2</v>
      </c>
      <c r="DW28" s="783">
        <v>0.503</v>
      </c>
      <c r="DX28" s="783">
        <v>-0.06</v>
      </c>
      <c r="DY28" s="783"/>
      <c r="DZ28" s="981"/>
      <c r="EA28" s="981"/>
      <c r="EB28" s="783"/>
      <c r="EC28" s="783"/>
      <c r="ED28" s="783"/>
      <c r="EE28" s="783"/>
      <c r="EF28" s="783"/>
      <c r="EG28" s="783"/>
      <c r="EH28" s="783"/>
      <c r="EI28" s="783"/>
      <c r="EJ28" s="783"/>
      <c r="EK28" s="783"/>
      <c r="EL28" s="783"/>
      <c r="EM28" s="783"/>
      <c r="EN28" s="783"/>
      <c r="EO28" s="783"/>
      <c r="EP28" s="783"/>
      <c r="EQ28" s="783"/>
      <c r="ER28" s="783"/>
      <c r="ES28" s="783"/>
      <c r="EU28" s="42"/>
      <c r="EV28"/>
      <c r="EW28"/>
      <c r="EX28"/>
      <c r="EY28"/>
      <c r="EZ28"/>
      <c r="FA28"/>
    </row>
    <row r="29" spans="2:157" s="15" customFormat="1" hidden="1" outlineLevel="1">
      <c r="B29" s="1036" t="s">
        <v>1141</v>
      </c>
      <c r="C29" s="23"/>
      <c r="D29" s="783"/>
      <c r="E29" s="783"/>
      <c r="F29" s="783">
        <f t="shared" si="14"/>
        <v>-2.0880000000000001</v>
      </c>
      <c r="G29" s="783">
        <f t="shared" si="15"/>
        <v>-9.2789999999999999</v>
      </c>
      <c r="H29" s="783">
        <f t="shared" si="16"/>
        <v>-11.349999999999998</v>
      </c>
      <c r="I29" s="783">
        <f t="shared" si="17"/>
        <v>-0.76100000000000001</v>
      </c>
      <c r="J29" s="783">
        <f t="shared" si="18"/>
        <v>-3.0659999999999998</v>
      </c>
      <c r="K29" s="783">
        <f t="shared" si="19"/>
        <v>-12.804</v>
      </c>
      <c r="L29" s="783">
        <f t="shared" si="20"/>
        <v>-13.669</v>
      </c>
      <c r="M29" s="54">
        <f>SUM(BL29:BO29)</f>
        <v>-2.0339999999999998</v>
      </c>
      <c r="N29" s="1483">
        <f t="shared" si="26"/>
        <v>1.355</v>
      </c>
      <c r="O29" s="1483">
        <f t="shared" si="0"/>
        <v>-0.41199999999999998</v>
      </c>
      <c r="P29" s="1483">
        <f t="shared" si="29"/>
        <v>0</v>
      </c>
      <c r="Q29" s="1483">
        <f t="shared" si="30"/>
        <v>0</v>
      </c>
      <c r="R29" s="1483">
        <f t="shared" si="21"/>
        <v>0</v>
      </c>
      <c r="S29" s="1483">
        <f t="shared" si="21"/>
        <v>0</v>
      </c>
      <c r="T29" s="1483">
        <f t="shared" si="31"/>
        <v>0</v>
      </c>
      <c r="U29" s="1483">
        <f t="shared" si="23"/>
        <v>0</v>
      </c>
      <c r="V29" s="1483">
        <f t="shared" si="23"/>
        <v>0</v>
      </c>
      <c r="W29" s="1483">
        <f t="shared" si="27"/>
        <v>0</v>
      </c>
      <c r="X29" s="1483"/>
      <c r="Y29" s="1483"/>
      <c r="Z29" s="1483"/>
      <c r="AA29" s="1483"/>
      <c r="AB29" s="1483"/>
      <c r="AC29" s="1483"/>
      <c r="AD29" s="1483"/>
      <c r="AE29" s="1483"/>
      <c r="AF29" s="1484"/>
      <c r="AG29" s="1484"/>
      <c r="AH29" s="1485">
        <f>DH29-AG29-AF29</f>
        <v>0</v>
      </c>
      <c r="AI29" s="1485">
        <f>DI29-AH29-AG29-AF29</f>
        <v>0</v>
      </c>
      <c r="AJ29" s="1485"/>
      <c r="AK29" s="1485"/>
      <c r="AL29" s="1485">
        <f>DL29-AK29-AJ29</f>
        <v>-0.57399999999999995</v>
      </c>
      <c r="AM29" s="1485">
        <f>DM29-AL29-AK29-AJ29</f>
        <v>-1.5140000000000002</v>
      </c>
      <c r="AN29" s="1485">
        <f t="shared" si="4"/>
        <v>0.10199999999999999</v>
      </c>
      <c r="AO29" s="1485">
        <f>DO29-AN29</f>
        <v>-8.4779999999999998</v>
      </c>
      <c r="AP29" s="1485">
        <f>DP29-AO29-AN29</f>
        <v>-0.49299999999999999</v>
      </c>
      <c r="AQ29" s="1485">
        <f>DQ29-AP29-AO29-AN29</f>
        <v>-0.40999999999999981</v>
      </c>
      <c r="AR29" s="1485">
        <f t="shared" si="5"/>
        <v>-7.9189999999999996</v>
      </c>
      <c r="AS29" s="1485">
        <f t="shared" si="6"/>
        <v>-1.7380000000000004</v>
      </c>
      <c r="AT29" s="1485">
        <f t="shared" si="7"/>
        <v>-0.96000000000000174</v>
      </c>
      <c r="AU29" s="1485">
        <f t="shared" si="8"/>
        <v>-0.73299999999999788</v>
      </c>
      <c r="AV29" s="1485">
        <f t="shared" si="24"/>
        <v>-0.45800000000000002</v>
      </c>
      <c r="AW29" s="1485">
        <f t="shared" si="9"/>
        <v>-8.0000000000000071E-3</v>
      </c>
      <c r="AX29" s="1485">
        <f t="shared" si="10"/>
        <v>-0.29499999999999998</v>
      </c>
      <c r="AY29" s="1485">
        <f t="shared" si="11"/>
        <v>0</v>
      </c>
      <c r="AZ29" s="1485">
        <f t="shared" si="25"/>
        <v>-0.48199999999999998</v>
      </c>
      <c r="BA29" s="1485">
        <f t="shared" si="12"/>
        <v>-0.48599999999999999</v>
      </c>
      <c r="BB29" s="1485">
        <f>EB29-BA29-AZ29</f>
        <v>-0.48</v>
      </c>
      <c r="BC29" s="1485">
        <f>EC29-BB29-BA29-AZ29</f>
        <v>-1.6179999999999997</v>
      </c>
      <c r="BD29" s="1485">
        <f t="shared" si="32"/>
        <v>-2.9569999999999999</v>
      </c>
      <c r="BE29" s="1485">
        <f>EE29-BD29</f>
        <v>-3.1680000000000001</v>
      </c>
      <c r="BF29" s="1485">
        <f>EF29-BE29-BD29</f>
        <v>-3.0879999999999992</v>
      </c>
      <c r="BG29" s="1485">
        <f>EG29-BF29-BE29-BD29</f>
        <v>-3.5910000000000011</v>
      </c>
      <c r="BH29" s="1485">
        <f>EH29</f>
        <v>-3.5430000000000001</v>
      </c>
      <c r="BI29" s="1485">
        <f>EI29-BH29</f>
        <v>-3.3540000000000001</v>
      </c>
      <c r="BJ29" s="1485">
        <f>EJ29-BI29-BH29</f>
        <v>-3.2029999999999994</v>
      </c>
      <c r="BK29" s="1485">
        <f>EK29-BJ29-BI29-BH29</f>
        <v>-3.5690000000000008</v>
      </c>
      <c r="BL29" s="1485"/>
      <c r="BM29" s="1485">
        <f>EM29-BL29</f>
        <v>-1.44</v>
      </c>
      <c r="BN29" s="1485">
        <f>EN29-BM29-BL29</f>
        <v>-0.59399999999999986</v>
      </c>
      <c r="BO29" s="1485"/>
      <c r="BP29" s="1485">
        <v>-0.52100000000000002</v>
      </c>
      <c r="BQ29" s="1485">
        <f>0.536-BP29-BP30</f>
        <v>0.83099999999999996</v>
      </c>
      <c r="BR29" s="1485">
        <f>1.046-BQ29-BP29-BP30</f>
        <v>0.51000000000000012</v>
      </c>
      <c r="BS29" s="1485">
        <f>1.581-BR29-BQ29-BP29-BP30</f>
        <v>0.53499999999999981</v>
      </c>
      <c r="BT29" s="1485">
        <v>-0.41199999999999998</v>
      </c>
      <c r="BU29" s="1485"/>
      <c r="BV29" s="1485"/>
      <c r="BW29" s="1485"/>
      <c r="BX29" s="1485"/>
      <c r="BY29" s="1485"/>
      <c r="BZ29" s="1485"/>
      <c r="CA29" s="1485"/>
      <c r="CB29" s="1485"/>
      <c r="CC29" s="1485"/>
      <c r="CD29" s="1485"/>
      <c r="CE29" s="1485"/>
      <c r="CF29" s="1485"/>
      <c r="CG29" s="1485"/>
      <c r="CH29" s="1485"/>
      <c r="CI29" s="1485"/>
      <c r="CJ29" s="1485"/>
      <c r="CK29" s="1485"/>
      <c r="CL29" s="1485"/>
      <c r="CM29" s="1485"/>
      <c r="CN29" s="1485"/>
      <c r="CO29" s="1485"/>
      <c r="CP29" s="1485"/>
      <c r="CQ29" s="1485"/>
      <c r="CR29" s="1485"/>
      <c r="CS29" s="1485"/>
      <c r="CT29" s="1485"/>
      <c r="CU29" s="1485"/>
      <c r="CV29" s="1485"/>
      <c r="CW29" s="1485"/>
      <c r="CX29" s="1485"/>
      <c r="CY29" s="1485"/>
      <c r="CZ29" s="1483"/>
      <c r="DA29" s="1483"/>
      <c r="DB29" s="1483"/>
      <c r="DC29" s="1483"/>
      <c r="DD29" s="1483"/>
      <c r="DE29" s="885"/>
      <c r="DF29" s="783"/>
      <c r="DG29" s="783"/>
      <c r="DH29" s="783"/>
      <c r="DI29" s="783"/>
      <c r="DJ29" s="783"/>
      <c r="DK29" s="783"/>
      <c r="DL29" s="783">
        <v>-0.57399999999999995</v>
      </c>
      <c r="DM29" s="783">
        <v>-2.0880000000000001</v>
      </c>
      <c r="DN29" s="783">
        <v>0.10199999999999999</v>
      </c>
      <c r="DO29" s="783">
        <v>-8.3759999999999994</v>
      </c>
      <c r="DP29" s="783">
        <v>-8.8689999999999998</v>
      </c>
      <c r="DQ29" s="783">
        <v>-9.2789999999999999</v>
      </c>
      <c r="DR29" s="783">
        <v>-7.9189999999999996</v>
      </c>
      <c r="DS29" s="783">
        <v>-9.657</v>
      </c>
      <c r="DT29" s="783">
        <v>-10.617000000000001</v>
      </c>
      <c r="DU29" s="783">
        <v>-11.35</v>
      </c>
      <c r="DV29" s="783">
        <v>-0.45800000000000002</v>
      </c>
      <c r="DW29" s="783">
        <v>-0.46600000000000003</v>
      </c>
      <c r="DX29" s="783">
        <v>-0.76100000000000001</v>
      </c>
      <c r="DY29" s="783">
        <v>-0.76100000000000001</v>
      </c>
      <c r="DZ29" s="981">
        <v>-0.48199999999999998</v>
      </c>
      <c r="EA29" s="981">
        <v>-0.96799999999999997</v>
      </c>
      <c r="EB29" s="783">
        <v>-1.448</v>
      </c>
      <c r="EC29" s="783">
        <v>-3.0659999999999998</v>
      </c>
      <c r="ED29" s="783">
        <v>-2.9569999999999999</v>
      </c>
      <c r="EE29" s="783">
        <v>-6.125</v>
      </c>
      <c r="EF29" s="783">
        <v>-9.2129999999999992</v>
      </c>
      <c r="EG29" s="783">
        <v>-12.804</v>
      </c>
      <c r="EH29" s="783">
        <v>-3.5430000000000001</v>
      </c>
      <c r="EI29" s="783">
        <v>-6.8970000000000002</v>
      </c>
      <c r="EJ29" s="783">
        <v>-10.1</v>
      </c>
      <c r="EK29" s="783">
        <v>-13.669</v>
      </c>
      <c r="EL29" s="783">
        <v>-0.745</v>
      </c>
      <c r="EM29" s="783">
        <v>-1.44</v>
      </c>
      <c r="EN29" s="783">
        <v>-2.0339999999999998</v>
      </c>
      <c r="EO29" s="783">
        <v>-2.7629999999999999</v>
      </c>
      <c r="EP29" s="783"/>
      <c r="EQ29" s="783"/>
      <c r="ER29" s="783"/>
      <c r="ES29" s="783"/>
      <c r="EU29" s="42"/>
      <c r="EV29"/>
      <c r="EW29"/>
      <c r="EX29"/>
      <c r="EY29"/>
      <c r="EZ29"/>
      <c r="FA29"/>
    </row>
    <row r="30" spans="2:157" s="15" customFormat="1" hidden="1" outlineLevel="1">
      <c r="B30" s="1036" t="s">
        <v>1794</v>
      </c>
      <c r="C30" s="23"/>
      <c r="D30" s="783"/>
      <c r="E30" s="783">
        <v>1.4410000000000001</v>
      </c>
      <c r="F30" s="783">
        <f t="shared" si="14"/>
        <v>0.16100000000000003</v>
      </c>
      <c r="G30" s="783">
        <f t="shared" si="15"/>
        <v>2.3740000000000001</v>
      </c>
      <c r="H30" s="783">
        <f t="shared" si="16"/>
        <v>-0.497</v>
      </c>
      <c r="I30" s="783">
        <f>SUM(AV30:AY30)</f>
        <v>3.7589999999999999</v>
      </c>
      <c r="J30" s="783">
        <f t="shared" si="18"/>
        <v>2.37</v>
      </c>
      <c r="K30" s="783"/>
      <c r="L30" s="783"/>
      <c r="M30" s="54"/>
      <c r="N30" s="1483">
        <f>SUM(BP30:BS30)</f>
        <v>0.22600000000000001</v>
      </c>
      <c r="O30" s="1483">
        <f t="shared" si="0"/>
        <v>2.9129999999999998</v>
      </c>
      <c r="P30" s="1483">
        <f t="shared" si="29"/>
        <v>0</v>
      </c>
      <c r="Q30" s="1483">
        <f t="shared" si="30"/>
        <v>0</v>
      </c>
      <c r="R30" s="1483">
        <f t="shared" si="21"/>
        <v>0</v>
      </c>
      <c r="S30" s="1483">
        <f t="shared" si="21"/>
        <v>0</v>
      </c>
      <c r="T30" s="1483">
        <f t="shared" si="31"/>
        <v>0</v>
      </c>
      <c r="U30" s="1483">
        <f t="shared" si="23"/>
        <v>0</v>
      </c>
      <c r="V30" s="1483">
        <f t="shared" si="23"/>
        <v>0</v>
      </c>
      <c r="W30" s="1483">
        <f t="shared" si="27"/>
        <v>0</v>
      </c>
      <c r="X30" s="1483"/>
      <c r="Y30" s="1483"/>
      <c r="Z30" s="1483"/>
      <c r="AA30" s="1483"/>
      <c r="AB30" s="1483"/>
      <c r="AC30" s="1483"/>
      <c r="AD30" s="1483"/>
      <c r="AE30" s="1483"/>
      <c r="AF30" s="1484"/>
      <c r="AG30" s="1484"/>
      <c r="AH30" s="1485"/>
      <c r="AI30" s="1485"/>
      <c r="AJ30" s="1485">
        <f>DJ30-AI30-AH30-AG30</f>
        <v>0.65800000000000003</v>
      </c>
      <c r="AK30" s="1485">
        <f>DK30-AJ30-AI30-AH30</f>
        <v>5.0000000000000044E-3</v>
      </c>
      <c r="AL30" s="1485">
        <f>DL30-AK30-AJ30-AI30</f>
        <v>-0.13</v>
      </c>
      <c r="AM30" s="1485">
        <f>DM30-AL30-AK30-AJ30</f>
        <v>-0.372</v>
      </c>
      <c r="AN30" s="1485">
        <f t="shared" si="4"/>
        <v>-0.34899999999999998</v>
      </c>
      <c r="AO30" s="1485">
        <f>DO30-AN30</f>
        <v>-0.06</v>
      </c>
      <c r="AP30" s="1485">
        <f>DP30-AO30-AN30</f>
        <v>1.9990000000000001</v>
      </c>
      <c r="AQ30" s="1485">
        <f>DQ30-AP30-AO30-AN30</f>
        <v>0.78400000000000003</v>
      </c>
      <c r="AR30" s="1485">
        <f t="shared" si="5"/>
        <v>-0.36599999999999999</v>
      </c>
      <c r="AS30" s="1485">
        <f t="shared" si="6"/>
        <v>-0.76999999999999991</v>
      </c>
      <c r="AT30" s="1485">
        <f t="shared" si="7"/>
        <v>0.41399999999999992</v>
      </c>
      <c r="AU30" s="1485">
        <f t="shared" si="8"/>
        <v>0.22499999999999998</v>
      </c>
      <c r="AV30" s="1485">
        <f>DV30</f>
        <v>-0.14199999999999999</v>
      </c>
      <c r="AW30" s="1485">
        <f t="shared" si="9"/>
        <v>1.0959999999999999</v>
      </c>
      <c r="AX30" s="1485">
        <f t="shared" si="10"/>
        <v>2.1990000000000003</v>
      </c>
      <c r="AY30" s="1485">
        <f t="shared" si="11"/>
        <v>0.60599999999999976</v>
      </c>
      <c r="AZ30" s="1485">
        <f t="shared" si="25"/>
        <v>0</v>
      </c>
      <c r="BA30" s="1485">
        <f t="shared" si="12"/>
        <v>0</v>
      </c>
      <c r="BB30" s="1485"/>
      <c r="BC30" s="1485">
        <f>EC30-BB30-BA30-AZ30</f>
        <v>2.37</v>
      </c>
      <c r="BD30" s="1485"/>
      <c r="BE30" s="1485"/>
      <c r="BF30" s="1485"/>
      <c r="BG30" s="1485"/>
      <c r="BH30" s="1485"/>
      <c r="BI30" s="1485"/>
      <c r="BJ30" s="1485"/>
      <c r="BK30" s="1485"/>
      <c r="BL30" s="1485"/>
      <c r="BM30" s="1485"/>
      <c r="BN30" s="1485"/>
      <c r="BO30" s="1485"/>
      <c r="BP30" s="1485">
        <v>0.22600000000000001</v>
      </c>
      <c r="BQ30" s="1485"/>
      <c r="BR30" s="1485"/>
      <c r="BS30" s="1485"/>
      <c r="BT30" s="1485">
        <v>0.56799999999999995</v>
      </c>
      <c r="BU30" s="1485">
        <f>1.379-BT30-BT29</f>
        <v>1.2230000000000001</v>
      </c>
      <c r="BV30" s="1485">
        <f>2.501-BU30-BT30-BT29</f>
        <v>1.1219999999999999</v>
      </c>
      <c r="BW30" s="1485"/>
      <c r="BX30" s="1485"/>
      <c r="BY30" s="1485"/>
      <c r="BZ30" s="1485"/>
      <c r="CA30" s="1485"/>
      <c r="CB30" s="1485"/>
      <c r="CC30" s="1485"/>
      <c r="CD30" s="1485"/>
      <c r="CE30" s="1485"/>
      <c r="CF30" s="1485"/>
      <c r="CG30" s="1485"/>
      <c r="CH30" s="1485"/>
      <c r="CI30" s="1485"/>
      <c r="CJ30" s="1485"/>
      <c r="CK30" s="1485"/>
      <c r="CL30" s="1485"/>
      <c r="CM30" s="1485"/>
      <c r="CN30" s="1485"/>
      <c r="CO30" s="1485"/>
      <c r="CP30" s="1485"/>
      <c r="CQ30" s="1485"/>
      <c r="CR30" s="1485"/>
      <c r="CS30" s="1485"/>
      <c r="CT30" s="1485"/>
      <c r="CU30" s="1485"/>
      <c r="CV30" s="1485"/>
      <c r="CW30" s="1485"/>
      <c r="CX30" s="1485"/>
      <c r="CY30" s="1485"/>
      <c r="CZ30" s="1483"/>
      <c r="DA30" s="1483"/>
      <c r="DB30" s="1483"/>
      <c r="DC30" s="1483"/>
      <c r="DD30" s="1483"/>
      <c r="DE30" s="885"/>
      <c r="DF30" s="783"/>
      <c r="DG30" s="783"/>
      <c r="DH30" s="783">
        <v>2.746</v>
      </c>
      <c r="DI30" s="783">
        <v>1.4410000000000001</v>
      </c>
      <c r="DJ30" s="783">
        <v>0.65800000000000003</v>
      </c>
      <c r="DK30" s="783">
        <v>0.66300000000000003</v>
      </c>
      <c r="DL30" s="783">
        <v>0.53300000000000003</v>
      </c>
      <c r="DM30" s="783">
        <v>0.161</v>
      </c>
      <c r="DN30" s="783">
        <v>-0.34899999999999998</v>
      </c>
      <c r="DO30" s="783">
        <v>-0.40899999999999997</v>
      </c>
      <c r="DP30" s="783">
        <v>1.59</v>
      </c>
      <c r="DQ30" s="783">
        <v>2.3740000000000001</v>
      </c>
      <c r="DR30" s="783">
        <v>-0.36599999999999999</v>
      </c>
      <c r="DS30" s="783">
        <v>-1.1359999999999999</v>
      </c>
      <c r="DT30" s="783">
        <v>-0.72199999999999998</v>
      </c>
      <c r="DU30" s="783">
        <v>-0.497</v>
      </c>
      <c r="DV30" s="783">
        <v>-0.14199999999999999</v>
      </c>
      <c r="DW30" s="783">
        <v>0.95399999999999996</v>
      </c>
      <c r="DX30" s="783">
        <v>3.153</v>
      </c>
      <c r="DY30" s="783">
        <v>3.7589999999999999</v>
      </c>
      <c r="DZ30" s="981"/>
      <c r="EA30" s="981"/>
      <c r="EB30" s="783"/>
      <c r="EC30" s="783">
        <v>2.37</v>
      </c>
      <c r="ED30" s="783"/>
      <c r="EE30" s="783"/>
      <c r="EF30" s="783"/>
      <c r="EG30" s="783"/>
      <c r="EH30" s="783"/>
      <c r="EI30" s="783"/>
      <c r="EJ30" s="783"/>
      <c r="EK30" s="783"/>
      <c r="EL30" s="783"/>
      <c r="EM30" s="783"/>
      <c r="EN30" s="783"/>
      <c r="EO30" s="783"/>
      <c r="EP30" s="783"/>
      <c r="EQ30" s="783"/>
      <c r="ER30" s="783"/>
      <c r="ES30" s="783"/>
      <c r="EU30" s="42"/>
      <c r="EV30"/>
      <c r="EW30"/>
      <c r="EX30"/>
      <c r="EY30"/>
      <c r="EZ30"/>
      <c r="FA30"/>
    </row>
    <row r="31" spans="2:157" s="15" customFormat="1" collapsed="1">
      <c r="B31" s="1036" t="s">
        <v>1142</v>
      </c>
      <c r="C31" s="23"/>
      <c r="D31" s="930"/>
      <c r="E31" s="930">
        <v>0.64500000000000002</v>
      </c>
      <c r="F31" s="930">
        <f t="shared" si="14"/>
        <v>1.421</v>
      </c>
      <c r="G31" s="930">
        <f t="shared" si="15"/>
        <v>1.5009999999999999</v>
      </c>
      <c r="H31" s="930">
        <f t="shared" si="16"/>
        <v>-0.56299999999999994</v>
      </c>
      <c r="I31" s="930">
        <f>SUM(AV31:AY31)</f>
        <v>3.7000000000000005E-2</v>
      </c>
      <c r="J31" s="930">
        <f t="shared" si="18"/>
        <v>-0.47299999999999986</v>
      </c>
      <c r="K31" s="930">
        <f t="shared" si="19"/>
        <v>3.74</v>
      </c>
      <c r="L31" s="930">
        <f t="shared" si="20"/>
        <v>11.334999999999999</v>
      </c>
      <c r="M31" s="931">
        <f>SUM(BL31:BO31)</f>
        <v>24.100999999999999</v>
      </c>
      <c r="N31" s="1487">
        <f>SUM(BP31:BS31)</f>
        <v>-3.7249999999999996</v>
      </c>
      <c r="O31" s="1487">
        <f t="shared" si="0"/>
        <v>-25.530999999999999</v>
      </c>
      <c r="P31" s="1487">
        <f>SUM(BX31:CA31)</f>
        <v>9.6240000000000023</v>
      </c>
      <c r="Q31" s="1487">
        <f>SUM(CB31:CE31)</f>
        <v>25.201000000000001</v>
      </c>
      <c r="R31" s="1487">
        <f t="shared" si="21"/>
        <v>-13.602</v>
      </c>
      <c r="S31" s="1487">
        <f>SUM(CJ31:CM31)</f>
        <v>31.896000000000001</v>
      </c>
      <c r="T31" s="1487">
        <f t="shared" si="31"/>
        <v>56.197000000000003</v>
      </c>
      <c r="U31" s="1487">
        <f t="shared" si="23"/>
        <v>-123.38900000000001</v>
      </c>
      <c r="V31" s="1487">
        <f>SUM(CV31:CY31)</f>
        <v>25.888000000000005</v>
      </c>
      <c r="W31" s="1487">
        <f t="shared" ca="1" si="27"/>
        <v>9.7193684733033479</v>
      </c>
      <c r="X31" s="1487">
        <f ca="1">(BS!X45-BS!W45)</f>
        <v>14.971995646851127</v>
      </c>
      <c r="Y31" s="1487">
        <f ca="1">(BS!Y45-BS!X45)</f>
        <v>14.051952737496578</v>
      </c>
      <c r="Z31" s="1487">
        <f ca="1">(BS!Z45-BS!Y45)</f>
        <v>13.134924149453411</v>
      </c>
      <c r="AA31" s="1487">
        <f ca="1">(BS!AA45-BS!Z45)</f>
        <v>12.999983128970314</v>
      </c>
      <c r="AB31" s="1487">
        <f ca="1">(BS!AB45-BS!AA45)</f>
        <v>12.856003632205045</v>
      </c>
      <c r="AC31" s="1487">
        <f ca="1">(BS!AC45-BS!AB45)</f>
        <v>12.705033561562857</v>
      </c>
      <c r="AD31" s="1487">
        <f ca="1">(BS!AD45-BS!AC45)</f>
        <v>12.548477299434353</v>
      </c>
      <c r="AE31" s="1483"/>
      <c r="AF31" s="1488"/>
      <c r="AG31" s="1488"/>
      <c r="AH31" s="1489">
        <f>DH31-AG31-AF31</f>
        <v>2.1139999999999999</v>
      </c>
      <c r="AI31" s="1489">
        <f>DI31-AH31-AG31-AF31</f>
        <v>-1.4689999999999999</v>
      </c>
      <c r="AJ31" s="1489">
        <f>DJ31</f>
        <v>1.7170000000000001</v>
      </c>
      <c r="AK31" s="1489">
        <f>DK31-AJ31</f>
        <v>-1.363</v>
      </c>
      <c r="AL31" s="1489">
        <f>DL31-AK31-AJ31</f>
        <v>0.1359999999999999</v>
      </c>
      <c r="AM31" s="1489">
        <f>DM31-AL31-AK31-AJ31</f>
        <v>0.93100000000000005</v>
      </c>
      <c r="AN31" s="1489">
        <f t="shared" si="4"/>
        <v>0.122</v>
      </c>
      <c r="AO31" s="1489">
        <f>DO31-AN31</f>
        <v>1.677</v>
      </c>
      <c r="AP31" s="1489">
        <f>DP31-AO31-AN31</f>
        <v>0.80699999999999983</v>
      </c>
      <c r="AQ31" s="1489">
        <f>DQ31-AP31-AO31-AN31</f>
        <v>-1.105</v>
      </c>
      <c r="AR31" s="1489">
        <f t="shared" si="5"/>
        <v>-0.16300000000000001</v>
      </c>
      <c r="AS31" s="1489">
        <f t="shared" si="6"/>
        <v>-0.10300000000000001</v>
      </c>
      <c r="AT31" s="1489">
        <f t="shared" si="7"/>
        <v>-0.12300000000000003</v>
      </c>
      <c r="AU31" s="1489">
        <f t="shared" si="8"/>
        <v>-0.17399999999999996</v>
      </c>
      <c r="AV31" s="1489">
        <f t="shared" si="24"/>
        <v>-0.02</v>
      </c>
      <c r="AW31" s="1489">
        <f t="shared" si="9"/>
        <v>0.08</v>
      </c>
      <c r="AX31" s="1489">
        <f t="shared" si="10"/>
        <v>-9.2999999999999999E-2</v>
      </c>
      <c r="AY31" s="1489">
        <f t="shared" si="11"/>
        <v>7.0000000000000007E-2</v>
      </c>
      <c r="AZ31" s="1489">
        <f t="shared" si="25"/>
        <v>4.8999999999999932E-2</v>
      </c>
      <c r="BA31" s="1489">
        <f t="shared" si="12"/>
        <v>1.48</v>
      </c>
      <c r="BB31" s="1489">
        <f>EB31-BA31-AZ31</f>
        <v>1.319</v>
      </c>
      <c r="BC31" s="1489">
        <f>EC31-BB31-BA31-AZ31</f>
        <v>-3.3209999999999997</v>
      </c>
      <c r="BD31" s="1489">
        <f t="shared" si="32"/>
        <v>-0.86199999999999999</v>
      </c>
      <c r="BE31" s="1489">
        <f>EE31-BD31</f>
        <v>0.41299999999999998</v>
      </c>
      <c r="BF31" s="1489">
        <f>EF31-BE31-BD31</f>
        <v>2.282</v>
      </c>
      <c r="BG31" s="1489">
        <f>EG31-BF31-BE31-BD31</f>
        <v>1.907</v>
      </c>
      <c r="BH31" s="1489">
        <f>EH31</f>
        <v>1.024</v>
      </c>
      <c r="BI31" s="1489">
        <f>EI31-BH31</f>
        <v>0.49299999999999988</v>
      </c>
      <c r="BJ31" s="1489">
        <f>EJ31-BI31-BH31</f>
        <v>1.3160000000000003</v>
      </c>
      <c r="BK31" s="1489">
        <f>EK31-BJ31-BI31-BH31</f>
        <v>8.5019999999999989</v>
      </c>
      <c r="BL31" s="1489">
        <v>3.8980000000000001</v>
      </c>
      <c r="BM31" s="1489">
        <f>EM31-BL31</f>
        <v>7.3010000000000002</v>
      </c>
      <c r="BN31" s="1489">
        <f>EN31-BM31-BL31</f>
        <v>4.4659999999999993</v>
      </c>
      <c r="BO31" s="1489">
        <v>8.4359999999999999</v>
      </c>
      <c r="BP31" s="1489">
        <v>2.1680000000000001</v>
      </c>
      <c r="BQ31" s="1489">
        <f>1.527-BP31</f>
        <v>-0.64100000000000024</v>
      </c>
      <c r="BR31" s="1489">
        <f>0.005-BQ31-BP31</f>
        <v>-1.5219999999999998</v>
      </c>
      <c r="BS31" s="1489">
        <f>-3.73</f>
        <v>-3.73</v>
      </c>
      <c r="BT31" s="1489">
        <v>-1.891</v>
      </c>
      <c r="BU31" s="1489">
        <f>-19.184-BT31</f>
        <v>-17.292999999999999</v>
      </c>
      <c r="BV31" s="1489">
        <f>-13.51-BU31-BT31</f>
        <v>5.6739999999999995</v>
      </c>
      <c r="BW31" s="1489">
        <v>-12.021000000000001</v>
      </c>
      <c r="BX31" s="1489">
        <f>5.64-9.51</f>
        <v>-3.87</v>
      </c>
      <c r="BY31" s="1489">
        <f>-2.507+11.203</f>
        <v>8.6959999999999997</v>
      </c>
      <c r="BZ31" s="1489">
        <f>1.76+7.697</f>
        <v>9.4570000000000007</v>
      </c>
      <c r="CA31" s="1489">
        <f>2.516-7.175</f>
        <v>-4.6589999999999998</v>
      </c>
      <c r="CB31" s="1489">
        <f>5.37+15.237</f>
        <v>20.606999999999999</v>
      </c>
      <c r="CC31" s="1489">
        <v>3.552</v>
      </c>
      <c r="CD31" s="1489">
        <v>-20.021000000000001</v>
      </c>
      <c r="CE31" s="1720">
        <f>3.274+17.789</f>
        <v>21.063000000000002</v>
      </c>
      <c r="CF31" s="1489">
        <v>-18.956</v>
      </c>
      <c r="CG31" s="1489">
        <v>10.669</v>
      </c>
      <c r="CH31" s="1720">
        <f>4.066-2.442</f>
        <v>1.6239999999999997</v>
      </c>
      <c r="CI31" s="1489">
        <v>-6.9390000000000001</v>
      </c>
      <c r="CJ31" s="1489">
        <v>26.021000000000001</v>
      </c>
      <c r="CK31" s="1489">
        <v>-4.9880000000000004</v>
      </c>
      <c r="CL31" s="1489">
        <v>13.394</v>
      </c>
      <c r="CM31" s="1489">
        <v>-2.5310000000000001</v>
      </c>
      <c r="CN31" s="1489">
        <v>8.9329999999999998</v>
      </c>
      <c r="CO31" s="1489">
        <v>26.966999999999999</v>
      </c>
      <c r="CP31" s="1489">
        <v>-8.8580000000000005</v>
      </c>
      <c r="CQ31" s="1489">
        <v>29.155000000000001</v>
      </c>
      <c r="CR31" s="1489">
        <v>-25.785</v>
      </c>
      <c r="CS31" s="1489">
        <v>-35.509</v>
      </c>
      <c r="CT31" s="1489">
        <v>39.29</v>
      </c>
      <c r="CU31" s="1489">
        <v>-101.38500000000001</v>
      </c>
      <c r="CV31" s="1489">
        <v>50.225000000000001</v>
      </c>
      <c r="CW31" s="1489">
        <v>-17.751000000000001</v>
      </c>
      <c r="CX31" s="1489">
        <v>2.8650000000000002</v>
      </c>
      <c r="CY31" s="1489">
        <v>-9.4510000000000005</v>
      </c>
      <c r="CZ31" s="1689">
        <f ca="1">(BS!CZ45-BS!CY45)</f>
        <v>-2.453884427166571</v>
      </c>
      <c r="DA31" s="1689">
        <f ca="1">(BS!DA45-BS!CZ45)</f>
        <v>3.1790142311864997</v>
      </c>
      <c r="DB31" s="1689">
        <f ca="1">(BS!DB45-BS!DA45)</f>
        <v>4.3816751329577812</v>
      </c>
      <c r="DC31" s="1689">
        <f ca="1">(BS!DC45-BS!DB45)</f>
        <v>4.6125635363256379</v>
      </c>
      <c r="DD31" s="1483"/>
      <c r="DE31" s="885"/>
      <c r="DF31" s="930"/>
      <c r="DG31" s="930"/>
      <c r="DH31" s="930">
        <v>2.1139999999999999</v>
      </c>
      <c r="DI31" s="930">
        <v>0.64500000000000002</v>
      </c>
      <c r="DJ31" s="930">
        <v>1.7170000000000001</v>
      </c>
      <c r="DK31" s="930">
        <v>0.35399999999999998</v>
      </c>
      <c r="DL31" s="930">
        <v>0.49</v>
      </c>
      <c r="DM31" s="930">
        <v>1.421</v>
      </c>
      <c r="DN31" s="930">
        <v>0.122</v>
      </c>
      <c r="DO31" s="930">
        <v>1.7989999999999999</v>
      </c>
      <c r="DP31" s="930">
        <v>2.6059999999999999</v>
      </c>
      <c r="DQ31" s="930">
        <v>1.5009999999999999</v>
      </c>
      <c r="DR31" s="930">
        <v>-0.16300000000000001</v>
      </c>
      <c r="DS31" s="930">
        <v>-0.26600000000000001</v>
      </c>
      <c r="DT31" s="930">
        <v>-0.38900000000000001</v>
      </c>
      <c r="DU31" s="930">
        <v>-0.56299999999999994</v>
      </c>
      <c r="DV31" s="930">
        <v>-0.02</v>
      </c>
      <c r="DW31" s="930">
        <v>0.06</v>
      </c>
      <c r="DX31" s="930">
        <v>-3.3000000000000002E-2</v>
      </c>
      <c r="DY31" s="930">
        <v>3.6999999999999998E-2</v>
      </c>
      <c r="DZ31" s="1037">
        <f>-0.539+0.229+0.359</f>
        <v>4.8999999999999932E-2</v>
      </c>
      <c r="EA31" s="1037">
        <f>1.061+0.468</f>
        <v>1.5289999999999999</v>
      </c>
      <c r="EB31" s="930">
        <v>2.8479999999999999</v>
      </c>
      <c r="EC31" s="930">
        <v>-0.47299999999999998</v>
      </c>
      <c r="ED31" s="930">
        <v>-0.86199999999999999</v>
      </c>
      <c r="EE31" s="930">
        <v>-0.44900000000000001</v>
      </c>
      <c r="EF31" s="930">
        <v>1.833</v>
      </c>
      <c r="EG31" s="930">
        <v>3.74</v>
      </c>
      <c r="EH31" s="930">
        <v>1.024</v>
      </c>
      <c r="EI31" s="930">
        <v>1.5169999999999999</v>
      </c>
      <c r="EJ31" s="930">
        <v>2.8330000000000002</v>
      </c>
      <c r="EK31" s="930">
        <v>11.335000000000001</v>
      </c>
      <c r="EL31" s="930">
        <v>6.7409999999999997</v>
      </c>
      <c r="EM31" s="930">
        <v>11.199</v>
      </c>
      <c r="EN31" s="930">
        <v>15.664999999999999</v>
      </c>
      <c r="EO31" s="930">
        <v>29.949000000000002</v>
      </c>
      <c r="EP31" s="930"/>
      <c r="EQ31" s="930"/>
      <c r="ER31" s="930"/>
      <c r="ES31" s="930"/>
      <c r="EU31" s="42"/>
      <c r="EV31"/>
      <c r="EW31"/>
      <c r="EX31"/>
      <c r="EY31"/>
      <c r="EZ31"/>
      <c r="FA31"/>
    </row>
    <row r="32" spans="2:157" s="15" customFormat="1">
      <c r="B32" s="23" t="s">
        <v>1104</v>
      </c>
      <c r="C32" s="23"/>
      <c r="D32" s="54">
        <f>SUM(D8:D31)</f>
        <v>0</v>
      </c>
      <c r="E32" s="54">
        <f>SUM(E8:E31)</f>
        <v>-68.072999999999993</v>
      </c>
      <c r="F32" s="54">
        <f>SUM(F8:F31)</f>
        <v>-68.853999999999971</v>
      </c>
      <c r="G32" s="54">
        <f>SUM(G8:G31)</f>
        <v>-27.508999999999993</v>
      </c>
      <c r="H32" s="54">
        <f>SUM(H8:H31)</f>
        <v>-17.265999999999991</v>
      </c>
      <c r="I32" s="54">
        <f t="shared" ref="I32:S32" si="33">SUM(I8:I31)</f>
        <v>36.911999999999992</v>
      </c>
      <c r="J32" s="54">
        <f t="shared" si="33"/>
        <v>67.594999999999999</v>
      </c>
      <c r="K32" s="54">
        <f t="shared" si="33"/>
        <v>75.411999999999964</v>
      </c>
      <c r="L32" s="54">
        <f t="shared" si="33"/>
        <v>120.02000000000002</v>
      </c>
      <c r="M32" s="54">
        <f t="shared" si="33"/>
        <v>267.55800000000011</v>
      </c>
      <c r="N32" s="1483">
        <f t="shared" si="33"/>
        <v>355.49200000000002</v>
      </c>
      <c r="O32" s="1483">
        <f t="shared" si="33"/>
        <v>382.66700000000009</v>
      </c>
      <c r="P32" s="1483">
        <f t="shared" si="33"/>
        <v>569.37699999999995</v>
      </c>
      <c r="Q32" s="1483">
        <f t="shared" si="33"/>
        <v>641.25499999999988</v>
      </c>
      <c r="R32" s="1483">
        <f t="shared" si="33"/>
        <v>605.73600000000022</v>
      </c>
      <c r="S32" s="1483">
        <f t="shared" si="33"/>
        <v>689.42000000000019</v>
      </c>
      <c r="T32" s="1483">
        <f t="shared" ref="T32:Z32" si="34">SUM(T8:T31)</f>
        <v>894.79399999999976</v>
      </c>
      <c r="U32" s="1483">
        <f t="shared" si="34"/>
        <v>1016.58</v>
      </c>
      <c r="V32" s="1483">
        <f>SUM(V8:V31)</f>
        <v>1439.2330000000002</v>
      </c>
      <c r="W32" s="1483">
        <f ca="1">SUM(W8:W31)</f>
        <v>1799.3359023905009</v>
      </c>
      <c r="X32" s="1483">
        <f t="shared" ca="1" si="34"/>
        <v>1950.7204295027316</v>
      </c>
      <c r="Y32" s="1483">
        <f t="shared" ca="1" si="34"/>
        <v>2123.5375187698514</v>
      </c>
      <c r="Z32" s="1483">
        <f t="shared" ca="1" si="34"/>
        <v>2283.8346632436696</v>
      </c>
      <c r="AA32" s="1483">
        <f t="shared" ref="AA32:AD32" ca="1" si="35">SUM(AA8:AA31)</f>
        <v>2440.9657649394589</v>
      </c>
      <c r="AB32" s="1483">
        <f t="shared" ca="1" si="35"/>
        <v>2552.809421026257</v>
      </c>
      <c r="AC32" s="1483">
        <f t="shared" ca="1" si="35"/>
        <v>2690.7009139711149</v>
      </c>
      <c r="AD32" s="1483">
        <f t="shared" ca="1" si="35"/>
        <v>2873.6897977915769</v>
      </c>
      <c r="AE32" s="1483"/>
      <c r="AF32" s="1483"/>
      <c r="AG32" s="1483"/>
      <c r="AH32" s="1483">
        <f t="shared" ref="AH32:AM32" si="36">SUM(AH8:AH31)</f>
        <v>-50.280000000000008</v>
      </c>
      <c r="AI32" s="1483">
        <f t="shared" si="36"/>
        <v>-20.013999999999999</v>
      </c>
      <c r="AJ32" s="1483">
        <f t="shared" si="36"/>
        <v>-19.399000000000001</v>
      </c>
      <c r="AK32" s="1483">
        <f t="shared" si="36"/>
        <v>-18.434000000000001</v>
      </c>
      <c r="AL32" s="1483">
        <f t="shared" si="36"/>
        <v>-14.223999999999984</v>
      </c>
      <c r="AM32" s="1483">
        <f t="shared" si="36"/>
        <v>-16.797000000000008</v>
      </c>
      <c r="AN32" s="1483">
        <f t="shared" ref="AN32:AU32" si="37">SUM(AN8:AN31)</f>
        <v>-2.0450000000000026</v>
      </c>
      <c r="AO32" s="1483">
        <f t="shared" si="37"/>
        <v>-23.814999999999994</v>
      </c>
      <c r="AP32" s="1483">
        <f t="shared" si="37"/>
        <v>-3.8919999999999981</v>
      </c>
      <c r="AQ32" s="1483">
        <f t="shared" si="37"/>
        <v>2.2430000000000079</v>
      </c>
      <c r="AR32" s="1483">
        <f t="shared" si="37"/>
        <v>-19.557999999999996</v>
      </c>
      <c r="AS32" s="1483">
        <f t="shared" si="37"/>
        <v>-2.6880000000000011</v>
      </c>
      <c r="AT32" s="1483">
        <f t="shared" si="37"/>
        <v>1.9020000000000012</v>
      </c>
      <c r="AU32" s="1483">
        <f t="shared" si="37"/>
        <v>3.0780000000000038</v>
      </c>
      <c r="AV32" s="1483">
        <f t="shared" ref="AV32:BS32" si="38">SUM(AV8:AV31)</f>
        <v>6.480999999999999</v>
      </c>
      <c r="AW32" s="1483">
        <f t="shared" si="38"/>
        <v>8.8919999999999977</v>
      </c>
      <c r="AX32" s="1483">
        <f t="shared" si="38"/>
        <v>10.912999999999986</v>
      </c>
      <c r="AY32" s="1483">
        <f t="shared" si="38"/>
        <v>10.626000000000007</v>
      </c>
      <c r="AZ32" s="1483">
        <f t="shared" si="38"/>
        <v>15.393000000000002</v>
      </c>
      <c r="BA32" s="1483">
        <f t="shared" si="38"/>
        <v>18.149000000000004</v>
      </c>
      <c r="BB32" s="1483">
        <f t="shared" si="38"/>
        <v>15.494</v>
      </c>
      <c r="BC32" s="1483">
        <f t="shared" si="38"/>
        <v>18.55899999999999</v>
      </c>
      <c r="BD32" s="1483">
        <f t="shared" si="38"/>
        <v>12.790999999999995</v>
      </c>
      <c r="BE32" s="1483">
        <f t="shared" si="38"/>
        <v>16.107000000000003</v>
      </c>
      <c r="BF32" s="1483">
        <f t="shared" si="38"/>
        <v>20.655000000000005</v>
      </c>
      <c r="BG32" s="1483">
        <f t="shared" si="38"/>
        <v>25.858999999999991</v>
      </c>
      <c r="BH32" s="1483">
        <f t="shared" si="38"/>
        <v>19.850000000000005</v>
      </c>
      <c r="BI32" s="1483">
        <f t="shared" si="38"/>
        <v>37.862000000000009</v>
      </c>
      <c r="BJ32" s="1483">
        <f t="shared" si="38"/>
        <v>48.427000000000007</v>
      </c>
      <c r="BK32" s="1483">
        <f t="shared" si="38"/>
        <v>13.880999999999981</v>
      </c>
      <c r="BL32" s="1483">
        <f>SUM(BL8:BL31)</f>
        <v>62.983999999999995</v>
      </c>
      <c r="BM32" s="1483">
        <f>SUM(BM8:BM31)</f>
        <v>64.957999999999998</v>
      </c>
      <c r="BN32" s="1483">
        <f>SUM(BN8:BN31)</f>
        <v>63.321000000000005</v>
      </c>
      <c r="BO32" s="1483">
        <f>SUM(BO8:BO31)</f>
        <v>76.294999999999959</v>
      </c>
      <c r="BP32" s="1483">
        <f t="shared" si="38"/>
        <v>86.703999999999994</v>
      </c>
      <c r="BQ32" s="1483">
        <f t="shared" si="38"/>
        <v>78.739000000000033</v>
      </c>
      <c r="BR32" s="1483">
        <f t="shared" si="38"/>
        <v>107.53899999999997</v>
      </c>
      <c r="BS32" s="1483">
        <f t="shared" si="38"/>
        <v>82.509999999999977</v>
      </c>
      <c r="BT32" s="1483">
        <f t="shared" ref="BT32:CJ32" si="39">SUM(BT8:BT31)</f>
        <v>99.811999999999998</v>
      </c>
      <c r="BU32" s="1483">
        <f t="shared" si="39"/>
        <v>54.573999999999977</v>
      </c>
      <c r="BV32" s="1483">
        <f t="shared" si="39"/>
        <v>109.51000000000002</v>
      </c>
      <c r="BW32" s="1483">
        <f t="shared" si="39"/>
        <v>118.771</v>
      </c>
      <c r="BX32" s="1483">
        <f t="shared" si="39"/>
        <v>111.33500000000001</v>
      </c>
      <c r="BY32" s="1483">
        <f t="shared" si="39"/>
        <v>136.49</v>
      </c>
      <c r="BZ32" s="1483">
        <f t="shared" si="39"/>
        <v>138.03399999999996</v>
      </c>
      <c r="CA32" s="1483">
        <f t="shared" si="39"/>
        <v>183.518</v>
      </c>
      <c r="CB32" s="1483">
        <f t="shared" si="39"/>
        <v>119.66600000000003</v>
      </c>
      <c r="CC32" s="1483">
        <f t="shared" si="39"/>
        <v>193.94199999999998</v>
      </c>
      <c r="CD32" s="1483">
        <f t="shared" si="39"/>
        <v>100.27899999999995</v>
      </c>
      <c r="CE32" s="1483">
        <f t="shared" si="39"/>
        <v>227.36799999999999</v>
      </c>
      <c r="CF32" s="1483">
        <f t="shared" si="39"/>
        <v>82.346999999999923</v>
      </c>
      <c r="CG32" s="1483">
        <f t="shared" si="39"/>
        <v>150.07300000000004</v>
      </c>
      <c r="CH32" s="1483">
        <f t="shared" si="39"/>
        <v>206.6100000000001</v>
      </c>
      <c r="CI32" s="1483">
        <f t="shared" si="39"/>
        <v>166.70600000000002</v>
      </c>
      <c r="CJ32" s="1483">
        <f t="shared" si="39"/>
        <v>171.71800000000002</v>
      </c>
      <c r="CK32" s="1483">
        <f t="shared" ref="CK32:CQ32" si="40">SUM(CK8:CK31)</f>
        <v>98.964000000000055</v>
      </c>
      <c r="CL32" s="1483">
        <f t="shared" si="40"/>
        <v>216.441</v>
      </c>
      <c r="CM32" s="1483">
        <f t="shared" si="40"/>
        <v>202.29700000000005</v>
      </c>
      <c r="CN32" s="1483">
        <f t="shared" si="40"/>
        <v>232.81100000000001</v>
      </c>
      <c r="CO32" s="1483">
        <f t="shared" si="40"/>
        <v>212.46299999999991</v>
      </c>
      <c r="CP32" s="1483">
        <f t="shared" si="40"/>
        <v>214.40200000000002</v>
      </c>
      <c r="CQ32" s="1483">
        <f t="shared" si="40"/>
        <v>235.11799999999988</v>
      </c>
      <c r="CR32" s="1483">
        <f t="shared" ref="CR32:CU32" si="41">SUM(CR8:CR31)</f>
        <v>104.27000000000001</v>
      </c>
      <c r="CS32" s="1483">
        <f t="shared" si="41"/>
        <v>278.82799999999992</v>
      </c>
      <c r="CT32" s="1483">
        <f t="shared" si="41"/>
        <v>334.17199999999997</v>
      </c>
      <c r="CU32" s="1483">
        <f t="shared" si="41"/>
        <v>299.31</v>
      </c>
      <c r="CV32" s="1483">
        <f>SUM(CV8:CV31)</f>
        <v>247.37100000000012</v>
      </c>
      <c r="CW32" s="1483">
        <f>SUM(CW8:CW31)</f>
        <v>306.47300000000007</v>
      </c>
      <c r="CX32" s="1483">
        <f>SUM(CX8:CX31)</f>
        <v>390.51</v>
      </c>
      <c r="CY32" s="1483">
        <f>SUM(CY8:CY31)</f>
        <v>494.87900000000002</v>
      </c>
      <c r="CZ32" s="1483">
        <f t="shared" ref="CZ32:DC32" ca="1" si="42">SUM(CZ8:CZ31)</f>
        <v>398.42419842697109</v>
      </c>
      <c r="DA32" s="1483">
        <f t="shared" ca="1" si="42"/>
        <v>447.80166351005704</v>
      </c>
      <c r="DB32" s="1483">
        <f t="shared" ca="1" si="42"/>
        <v>466.24677505810416</v>
      </c>
      <c r="DC32" s="1483">
        <f t="shared" ca="1" si="42"/>
        <v>486.86326539536867</v>
      </c>
      <c r="DD32" s="1483"/>
      <c r="DE32" s="885"/>
      <c r="DF32" s="885">
        <f>SUM(DF8:DF31)</f>
        <v>0</v>
      </c>
      <c r="DG32" s="885">
        <f>SUM(DG8:DG31)</f>
        <v>0</v>
      </c>
      <c r="DH32" s="885">
        <f>SUM(DH8:DH31)</f>
        <v>-37.347000000000008</v>
      </c>
      <c r="DI32" s="885">
        <f t="shared" ref="DI32:ES32" si="43">SUM(DI8:DI31)</f>
        <v>-68.072999999999993</v>
      </c>
      <c r="DJ32" s="885">
        <f t="shared" si="43"/>
        <v>-19.399000000000001</v>
      </c>
      <c r="DK32" s="885">
        <f t="shared" si="43"/>
        <v>-37.833000000000013</v>
      </c>
      <c r="DL32" s="885">
        <f t="shared" si="43"/>
        <v>-52.057000000000002</v>
      </c>
      <c r="DM32" s="885">
        <f t="shared" si="43"/>
        <v>-68.853999999999971</v>
      </c>
      <c r="DN32" s="885">
        <f t="shared" si="43"/>
        <v>-2.0450000000000026</v>
      </c>
      <c r="DO32" s="885">
        <f t="shared" si="43"/>
        <v>-25.848999999999997</v>
      </c>
      <c r="DP32" s="885">
        <f t="shared" si="43"/>
        <v>-29.740999999999993</v>
      </c>
      <c r="DQ32" s="885">
        <f t="shared" si="43"/>
        <v>-27.508999999999997</v>
      </c>
      <c r="DR32" s="885">
        <f t="shared" si="43"/>
        <v>-19.557999999999996</v>
      </c>
      <c r="DS32" s="885">
        <f t="shared" si="43"/>
        <v>-22.246000000000002</v>
      </c>
      <c r="DT32" s="885">
        <f t="shared" si="43"/>
        <v>-20.343999999999998</v>
      </c>
      <c r="DU32" s="885">
        <f t="shared" si="43"/>
        <v>-17.266000000000002</v>
      </c>
      <c r="DV32" s="885">
        <f t="shared" si="43"/>
        <v>6.480999999999999</v>
      </c>
      <c r="DW32" s="885">
        <f t="shared" si="43"/>
        <v>15.372999999999998</v>
      </c>
      <c r="DX32" s="885">
        <f t="shared" si="43"/>
        <v>26.285999999999991</v>
      </c>
      <c r="DY32" s="885">
        <f t="shared" si="43"/>
        <v>36.911999999999992</v>
      </c>
      <c r="DZ32" s="885">
        <f t="shared" si="43"/>
        <v>15.393000000000002</v>
      </c>
      <c r="EA32" s="886">
        <f t="shared" si="43"/>
        <v>33.542000000000002</v>
      </c>
      <c r="EB32" s="885">
        <f t="shared" si="43"/>
        <v>49.027999999999992</v>
      </c>
      <c r="EC32" s="885">
        <f t="shared" si="43"/>
        <v>67.596999999999994</v>
      </c>
      <c r="ED32" s="885">
        <f t="shared" si="43"/>
        <v>12.790999999999995</v>
      </c>
      <c r="EE32" s="885">
        <f t="shared" si="43"/>
        <v>28.898</v>
      </c>
      <c r="EF32" s="885">
        <f t="shared" si="43"/>
        <v>49.552999999999997</v>
      </c>
      <c r="EG32" s="885">
        <f t="shared" si="43"/>
        <v>75.411999999999964</v>
      </c>
      <c r="EH32" s="885">
        <f t="shared" si="43"/>
        <v>19.850000000000005</v>
      </c>
      <c r="EI32" s="885">
        <f t="shared" si="43"/>
        <v>57.71200000000001</v>
      </c>
      <c r="EJ32" s="885">
        <f t="shared" si="43"/>
        <v>106.13900000000001</v>
      </c>
      <c r="EK32" s="885">
        <f t="shared" si="43"/>
        <v>120.02000000000004</v>
      </c>
      <c r="EL32" s="885">
        <f t="shared" si="43"/>
        <v>62.984000000000002</v>
      </c>
      <c r="EM32" s="885">
        <f t="shared" si="43"/>
        <v>127.94200000000001</v>
      </c>
      <c r="EN32" s="885">
        <f t="shared" si="43"/>
        <v>191.26300000000001</v>
      </c>
      <c r="EO32" s="885">
        <f t="shared" si="43"/>
        <v>267.55800000000005</v>
      </c>
      <c r="EP32" s="885">
        <f t="shared" si="43"/>
        <v>0</v>
      </c>
      <c r="EQ32" s="885">
        <f t="shared" si="43"/>
        <v>0</v>
      </c>
      <c r="ER32" s="885">
        <f t="shared" si="43"/>
        <v>0</v>
      </c>
      <c r="ES32" s="885">
        <f t="shared" si="43"/>
        <v>0</v>
      </c>
      <c r="EU32" s="42"/>
      <c r="EV32"/>
      <c r="EW32"/>
      <c r="EX32"/>
      <c r="EY32"/>
      <c r="EZ32"/>
      <c r="FA32"/>
    </row>
    <row r="33" spans="2:157" s="15" customFormat="1" ht="12.75" customHeight="1">
      <c r="B33" s="23"/>
      <c r="C33" s="23"/>
      <c r="D33" s="54"/>
      <c r="E33" s="54"/>
      <c r="F33" s="54"/>
      <c r="G33" s="54"/>
      <c r="H33" s="54"/>
      <c r="I33" s="54"/>
      <c r="J33" s="54"/>
      <c r="K33" s="54"/>
      <c r="L33" s="54"/>
      <c r="M33" s="23"/>
      <c r="N33" s="1483"/>
      <c r="O33" s="1483"/>
      <c r="P33" s="1483"/>
      <c r="Q33" s="1483"/>
      <c r="R33" s="1483"/>
      <c r="S33" s="1483"/>
      <c r="T33" s="1483"/>
      <c r="U33" s="1483"/>
      <c r="V33" s="1483"/>
      <c r="W33" s="1483"/>
      <c r="X33" s="1483"/>
      <c r="Y33" s="1483"/>
      <c r="Z33" s="1483"/>
      <c r="AA33" s="1483"/>
      <c r="AB33" s="1483"/>
      <c r="AC33" s="1483"/>
      <c r="AD33" s="1483"/>
      <c r="AE33" s="1483"/>
      <c r="AF33" s="1483"/>
      <c r="AG33" s="1483"/>
      <c r="AH33" s="1483"/>
      <c r="AI33" s="1483"/>
      <c r="AJ33" s="1483"/>
      <c r="AK33" s="1483"/>
      <c r="AL33" s="1483"/>
      <c r="AM33" s="1483"/>
      <c r="AN33" s="1483"/>
      <c r="AO33" s="1483"/>
      <c r="AP33" s="1483"/>
      <c r="AQ33" s="1483"/>
      <c r="AR33" s="1483"/>
      <c r="AS33" s="1483"/>
      <c r="AT33" s="1483"/>
      <c r="AU33" s="1483"/>
      <c r="AV33" s="1483"/>
      <c r="AW33" s="1483"/>
      <c r="AX33" s="1483"/>
      <c r="AY33" s="1483"/>
      <c r="AZ33" s="1483"/>
      <c r="BA33" s="1483"/>
      <c r="BB33" s="1483"/>
      <c r="BC33" s="1483"/>
      <c r="BD33" s="1483"/>
      <c r="BE33" s="1483"/>
      <c r="BF33" s="1483"/>
      <c r="BG33" s="1483"/>
      <c r="BH33" s="1483"/>
      <c r="BI33" s="1483"/>
      <c r="BJ33" s="1483"/>
      <c r="BK33" s="1483"/>
      <c r="BL33" s="1483"/>
      <c r="BM33" s="1483"/>
      <c r="BN33" s="1483"/>
      <c r="BO33" s="1483"/>
      <c r="BP33" s="1483"/>
      <c r="BQ33" s="1483"/>
      <c r="BR33" s="1483"/>
      <c r="BS33" s="1483"/>
      <c r="BT33" s="1483"/>
      <c r="BU33" s="1483"/>
      <c r="BV33" s="1483"/>
      <c r="BW33" s="1483"/>
      <c r="BX33" s="1483"/>
      <c r="BY33" s="1483"/>
      <c r="BZ33" s="1483"/>
      <c r="CA33" s="1483"/>
      <c r="CB33" s="1483"/>
      <c r="CC33" s="1483"/>
      <c r="CD33" s="1483"/>
      <c r="CE33" s="1483"/>
      <c r="CF33" s="1483"/>
      <c r="CG33" s="1483"/>
      <c r="CH33" s="1483"/>
      <c r="CI33" s="1483"/>
      <c r="CJ33" s="1483"/>
      <c r="CK33" s="1483"/>
      <c r="CL33" s="1483"/>
      <c r="CM33" s="1483"/>
      <c r="CN33" s="1483"/>
      <c r="CO33" s="1483"/>
      <c r="CP33" s="1483"/>
      <c r="CQ33" s="1483"/>
      <c r="CR33" s="1483"/>
      <c r="CS33" s="1483"/>
      <c r="CT33" s="1483"/>
      <c r="CU33" s="1483"/>
      <c r="CV33" s="1483"/>
      <c r="CW33" s="1483"/>
      <c r="CX33" s="1483"/>
      <c r="CY33" s="1483"/>
      <c r="CZ33" s="1483"/>
      <c r="DA33" s="1483"/>
      <c r="DB33" s="1483"/>
      <c r="DC33" s="1483"/>
      <c r="DD33" s="1483"/>
      <c r="DF33" s="783"/>
      <c r="DG33" s="783"/>
      <c r="DH33" s="783"/>
      <c r="EA33" s="886"/>
      <c r="EU33" s="42"/>
      <c r="EV33"/>
      <c r="EW33"/>
      <c r="EX33"/>
      <c r="EY33"/>
      <c r="EZ33"/>
      <c r="FA33"/>
    </row>
    <row r="34" spans="2:157" s="15" customFormat="1">
      <c r="B34" s="1038" t="s">
        <v>1015</v>
      </c>
      <c r="C34" s="23"/>
      <c r="D34" s="54"/>
      <c r="E34" s="54"/>
      <c r="F34" s="54"/>
      <c r="G34" s="54"/>
      <c r="H34" s="54"/>
      <c r="I34" s="54"/>
      <c r="J34" s="54"/>
      <c r="K34" s="54"/>
      <c r="L34" s="54"/>
      <c r="M34" s="23"/>
      <c r="N34" s="1483"/>
      <c r="O34" s="1483"/>
      <c r="P34" s="1483"/>
      <c r="Q34" s="1483"/>
      <c r="R34" s="1483"/>
      <c r="S34" s="1483"/>
      <c r="T34" s="1483"/>
      <c r="U34" s="1483"/>
      <c r="V34" s="1483"/>
      <c r="W34" s="1483"/>
      <c r="X34" s="1483"/>
      <c r="Y34" s="1483"/>
      <c r="Z34" s="1483"/>
      <c r="AA34" s="1483"/>
      <c r="AB34" s="1483"/>
      <c r="AC34" s="1483"/>
      <c r="AD34" s="1483"/>
      <c r="AE34" s="1483"/>
      <c r="AF34" s="1483"/>
      <c r="AG34" s="1483"/>
      <c r="AH34" s="1483"/>
      <c r="AI34" s="1483"/>
      <c r="AJ34" s="1483"/>
      <c r="AK34" s="1483"/>
      <c r="AL34" s="1483"/>
      <c r="AM34" s="1483"/>
      <c r="AN34" s="1483"/>
      <c r="AO34" s="1483"/>
      <c r="AP34" s="1483"/>
      <c r="AQ34" s="1483"/>
      <c r="AR34" s="1483"/>
      <c r="AS34" s="1483"/>
      <c r="AT34" s="1483"/>
      <c r="AU34" s="1483"/>
      <c r="AV34" s="1483"/>
      <c r="AW34" s="1483"/>
      <c r="AX34" s="1483"/>
      <c r="AY34" s="1483"/>
      <c r="AZ34" s="1483"/>
      <c r="BA34" s="1483"/>
      <c r="BB34" s="1483"/>
      <c r="BC34" s="1483"/>
      <c r="BD34" s="1483"/>
      <c r="BE34" s="1483"/>
      <c r="BF34" s="1483"/>
      <c r="BG34" s="1483"/>
      <c r="BH34" s="1483"/>
      <c r="BI34" s="1483"/>
      <c r="BJ34" s="1483"/>
      <c r="BK34" s="1483"/>
      <c r="BL34" s="1483"/>
      <c r="BM34" s="1483"/>
      <c r="BN34" s="1483"/>
      <c r="BO34" s="1483"/>
      <c r="BP34" s="1483"/>
      <c r="BQ34" s="1490"/>
      <c r="BR34" s="1483"/>
      <c r="BS34" s="1483"/>
      <c r="BT34" s="1483"/>
      <c r="BU34" s="1483"/>
      <c r="BV34" s="1483"/>
      <c r="BW34" s="1483"/>
      <c r="BX34" s="1483"/>
      <c r="BY34" s="1483"/>
      <c r="BZ34" s="1483"/>
      <c r="CA34" s="1483"/>
      <c r="CB34" s="1483"/>
      <c r="CC34" s="1483"/>
      <c r="CD34" s="1483"/>
      <c r="CE34" s="1483"/>
      <c r="CF34" s="1483"/>
      <c r="CG34" s="1483"/>
      <c r="CH34" s="1483"/>
      <c r="CI34" s="1483"/>
      <c r="CJ34" s="1483"/>
      <c r="CK34" s="1483"/>
      <c r="CL34" s="1483"/>
      <c r="CM34" s="1483"/>
      <c r="CN34" s="1483"/>
      <c r="CO34" s="1483"/>
      <c r="CP34" s="1483"/>
      <c r="CQ34" s="1483"/>
      <c r="CR34" s="1483"/>
      <c r="CS34" s="1483"/>
      <c r="CT34" s="1483"/>
      <c r="CU34" s="1483"/>
      <c r="CV34" s="1483"/>
      <c r="CW34" s="1483"/>
      <c r="CX34" s="1483"/>
      <c r="CY34" s="1483"/>
      <c r="CZ34" s="1483"/>
      <c r="DA34" s="1483"/>
      <c r="DB34" s="1483"/>
      <c r="DC34" s="1483"/>
      <c r="DD34" s="1483"/>
      <c r="DF34" s="783"/>
      <c r="DG34" s="783"/>
      <c r="DH34" s="783"/>
      <c r="EA34" s="886"/>
      <c r="EU34" s="42"/>
      <c r="EV34"/>
      <c r="EW34"/>
      <c r="EX34"/>
      <c r="EY34"/>
      <c r="EZ34"/>
      <c r="FA34"/>
    </row>
    <row r="35" spans="2:157" s="15" customFormat="1">
      <c r="B35" s="1039" t="s">
        <v>1171</v>
      </c>
      <c r="C35" s="23"/>
      <c r="D35" s="783"/>
      <c r="E35" s="783">
        <v>-114.968</v>
      </c>
      <c r="F35" s="783">
        <f t="shared" ref="F35:F42" si="44">SUM(AJ35:AM35)</f>
        <v>-168.411</v>
      </c>
      <c r="G35" s="783">
        <f t="shared" ref="G35:G42" si="45">SUM(AN35:AQ35)</f>
        <v>-14.662000000000001</v>
      </c>
      <c r="H35" s="783">
        <v>-46.097999999999999</v>
      </c>
      <c r="I35" s="783">
        <f t="shared" ref="I35:I42" si="46">SUM(AV35:AY35)</f>
        <v>-220.76900000000001</v>
      </c>
      <c r="J35" s="783">
        <f t="shared" ref="J35:J42" si="47">SUM(AZ35:BC35)</f>
        <v>-107.93199999999999</v>
      </c>
      <c r="K35" s="783">
        <f t="shared" ref="K35:K42" si="48">SUM(BD35:BG35)</f>
        <v>-88.421999999999997</v>
      </c>
      <c r="L35" s="783">
        <f t="shared" ref="L35:L42" si="49">SUM(BH35:BK35)</f>
        <v>-114.322</v>
      </c>
      <c r="M35" s="54">
        <f t="shared" ref="M35:M42" si="50">SUM(BL35:BO35)</f>
        <v>-240.55600000000001</v>
      </c>
      <c r="N35" s="1483">
        <f t="shared" ref="N35:N41" si="51">SUM(BP35:BS35)</f>
        <v>-172.65799999999999</v>
      </c>
      <c r="O35" s="1483">
        <f t="shared" ref="O35:O42" si="52">SUM(BT35:BW35)</f>
        <v>-68.256</v>
      </c>
      <c r="P35" s="1483">
        <f t="shared" ref="P35:P42" si="53">SUM(BX35:CA35)</f>
        <v>-647.03500000000008</v>
      </c>
      <c r="Q35" s="1483">
        <f t="shared" ref="Q35:Q42" si="54">SUM(CB35:CE35)</f>
        <v>499.25100000000003</v>
      </c>
      <c r="R35" s="1483">
        <f>SUM(CF35:CI35)</f>
        <v>-599.73799999999994</v>
      </c>
      <c r="S35" s="1483">
        <f t="shared" ref="S35:S42" si="55">SUM(CJ35:CM35)</f>
        <v>222.76</v>
      </c>
      <c r="T35" s="1483">
        <f t="shared" ref="T35:T42" si="56">SUM(CN35:CQ35)</f>
        <v>475.82600000000002</v>
      </c>
      <c r="U35" s="1483">
        <f t="shared" ref="U35:U42" si="57">SUM(CR35:CU35)</f>
        <v>5.5459999999999967</v>
      </c>
      <c r="V35" s="1483">
        <f t="shared" ref="V35:V42" si="58">SUM(CV35:CY35)</f>
        <v>-11.504999999999997</v>
      </c>
      <c r="W35" s="1483">
        <f t="shared" ref="W35:W42" si="59">SUM(CZ35:DC35)</f>
        <v>0</v>
      </c>
      <c r="X35" s="1483"/>
      <c r="Y35" s="1483"/>
      <c r="Z35" s="1483"/>
      <c r="AA35" s="1483"/>
      <c r="AB35" s="1483"/>
      <c r="AC35" s="1483"/>
      <c r="AD35" s="1483"/>
      <c r="AE35" s="1483"/>
      <c r="AF35" s="1484"/>
      <c r="AG35" s="1484"/>
      <c r="AH35" s="1485">
        <f>DH35-AG35-AF35</f>
        <v>-52.71</v>
      </c>
      <c r="AI35" s="1485">
        <f>DI35-AH35-AG35-AF35</f>
        <v>-62.258000000000003</v>
      </c>
      <c r="AJ35" s="1485">
        <f t="shared" ref="AJ35:AJ42" si="60">DJ35</f>
        <v>-72.555000000000007</v>
      </c>
      <c r="AK35" s="1485">
        <f>DK35-AJ35</f>
        <v>-61.259999999999991</v>
      </c>
      <c r="AL35" s="1485">
        <f>DL35-AK35-AJ35</f>
        <v>-16.806000000000012</v>
      </c>
      <c r="AM35" s="1485">
        <f>DM35-AL35-AK35-AJ35</f>
        <v>-17.789999999999992</v>
      </c>
      <c r="AN35" s="1485">
        <f t="shared" ref="AN35:AN42" si="61">DN35</f>
        <v>-11.788</v>
      </c>
      <c r="AO35" s="1485">
        <f t="shared" ref="AO35:AO42" si="62">DO35-AN35</f>
        <v>-2.8780000000000001</v>
      </c>
      <c r="AP35" s="1485">
        <f t="shared" ref="AP35:AP42" si="63">DP35-AO35-AN35</f>
        <v>3.9999999999995595E-3</v>
      </c>
      <c r="AQ35" s="1485">
        <f t="shared" ref="AQ35:AQ42" si="64">DQ35-AP35-AO35-AN35</f>
        <v>0</v>
      </c>
      <c r="AR35" s="1485">
        <f t="shared" ref="AR35:AR42" si="65">DR35</f>
        <v>0</v>
      </c>
      <c r="AS35" s="1485">
        <f t="shared" ref="AS35:AS42" si="66">DS35-AR35</f>
        <v>0</v>
      </c>
      <c r="AT35" s="1485">
        <f t="shared" ref="AT35:AT42" si="67">DT35-AS35-AR35</f>
        <v>-3.5</v>
      </c>
      <c r="AU35" s="1485">
        <f t="shared" ref="AU35:AU42" si="68">DU35-AT35-AS35-AR35</f>
        <v>-9.0389999999999997</v>
      </c>
      <c r="AV35" s="1485">
        <f t="shared" ref="AV35:AV42" si="69">DV35</f>
        <v>-17.744</v>
      </c>
      <c r="AW35" s="1485">
        <f t="shared" ref="AW35:AW42" si="70">DW35-AV35</f>
        <v>-27.642000000000003</v>
      </c>
      <c r="AX35" s="1485">
        <f t="shared" ref="AX35:AX42" si="71">DX35-AW35-AV35</f>
        <v>-22.295999999999999</v>
      </c>
      <c r="AY35" s="1485">
        <f t="shared" ref="AY35:AY42" si="72">DY35-AX35-AW35-AV35</f>
        <v>-153.08700000000002</v>
      </c>
      <c r="AZ35" s="1485">
        <f t="shared" ref="AZ35:AZ42" si="73">DZ35</f>
        <v>-31.736000000000001</v>
      </c>
      <c r="BA35" s="1485">
        <f>EA35-AZ35</f>
        <v>-24.641000000000002</v>
      </c>
      <c r="BB35" s="1485">
        <f>EB35-BA35-AZ35</f>
        <v>-44.315999999999988</v>
      </c>
      <c r="BC35" s="1485">
        <f>EC35-BB35-BA35-AZ35</f>
        <v>-7.2390000000000079</v>
      </c>
      <c r="BD35" s="1485">
        <f>ED35</f>
        <v>-24.747</v>
      </c>
      <c r="BE35" s="1485">
        <f>EE35-BD35</f>
        <v>-12.695999999999998</v>
      </c>
      <c r="BF35" s="1485">
        <f>EF35-BE35-BD35</f>
        <v>-31.176000000000002</v>
      </c>
      <c r="BG35" s="1485">
        <f>EG35-BF35-BE35-BD35</f>
        <v>-19.802999999999997</v>
      </c>
      <c r="BH35" s="1485">
        <f t="shared" ref="BH35:BH42" si="74">EH35</f>
        <v>-12.76</v>
      </c>
      <c r="BI35" s="1485">
        <f>EI35-BH35</f>
        <v>-45.391000000000005</v>
      </c>
      <c r="BJ35" s="1485">
        <f>EJ35-BI35-BH35</f>
        <v>-31.324999999999996</v>
      </c>
      <c r="BK35" s="1485">
        <f>EK35-BJ35-BI35-BH35</f>
        <v>-24.846000000000011</v>
      </c>
      <c r="BL35" s="1485">
        <f t="shared" ref="BL35:BL42" si="75">EL35</f>
        <v>-11.531000000000001</v>
      </c>
      <c r="BM35" s="1485">
        <f>EM35-BL35</f>
        <v>-155.64400000000001</v>
      </c>
      <c r="BN35" s="1485">
        <f>EN35-BM35-BL35</f>
        <v>-73.381</v>
      </c>
      <c r="BO35" s="1485"/>
      <c r="BP35" s="1485">
        <v>23.62</v>
      </c>
      <c r="BQ35" s="1485">
        <v>-136.15700000000001</v>
      </c>
      <c r="BR35" s="1485">
        <v>-146.04499999999999</v>
      </c>
      <c r="BS35" s="1485">
        <v>85.924000000000007</v>
      </c>
      <c r="BT35" s="1485">
        <v>112.285</v>
      </c>
      <c r="BU35" s="1485">
        <v>-64.986999999999995</v>
      </c>
      <c r="BV35" s="1485">
        <v>-115.554</v>
      </c>
      <c r="BW35" s="1485"/>
      <c r="BX35" s="1485">
        <v>-2.1850000000000001</v>
      </c>
      <c r="BY35" s="1485">
        <v>30.978999999999999</v>
      </c>
      <c r="BZ35" s="1485">
        <v>-677.22900000000004</v>
      </c>
      <c r="CA35" s="1485">
        <v>1.4</v>
      </c>
      <c r="CB35" s="1485">
        <v>346.36599999999999</v>
      </c>
      <c r="CC35" s="1485">
        <v>279.62099999999998</v>
      </c>
      <c r="CD35" s="1485">
        <v>-111.574</v>
      </c>
      <c r="CE35" s="1485">
        <v>-15.162000000000001</v>
      </c>
      <c r="CF35" s="1485">
        <v>-232.965</v>
      </c>
      <c r="CG35" s="1485">
        <v>-175.59299999999999</v>
      </c>
      <c r="CH35" s="1485">
        <f>-89.219-70.481+0.862-2.244</f>
        <v>-161.08199999999999</v>
      </c>
      <c r="CI35" s="1485">
        <f>18.641-48.739</f>
        <v>-30.097999999999999</v>
      </c>
      <c r="CJ35" s="1485">
        <f>221.654-16.791</f>
        <v>204.863</v>
      </c>
      <c r="CK35" s="1485">
        <v>250.73699999999999</v>
      </c>
      <c r="CL35" s="1485">
        <v>148.78899999999999</v>
      </c>
      <c r="CM35" s="1485">
        <v>-381.62900000000002</v>
      </c>
      <c r="CN35" s="1485">
        <f>-4.706-38.282</f>
        <v>-42.988</v>
      </c>
      <c r="CO35" s="1485">
        <v>433.96600000000001</v>
      </c>
      <c r="CP35" s="1485">
        <v>94.216999999999999</v>
      </c>
      <c r="CQ35" s="1485">
        <v>-9.3689999999999998</v>
      </c>
      <c r="CR35" s="1485">
        <f>3.419-16.408+22.825</f>
        <v>9.8359999999999985</v>
      </c>
      <c r="CS35" s="1485">
        <f>8.764-11.71</f>
        <v>-2.9460000000000015</v>
      </c>
      <c r="CT35" s="1485">
        <v>-2.1230000000000002</v>
      </c>
      <c r="CU35" s="1485">
        <v>0.77900000000000003</v>
      </c>
      <c r="CV35" s="1485">
        <v>-7.1040000000000001</v>
      </c>
      <c r="CW35" s="1485">
        <v>10.303000000000001</v>
      </c>
      <c r="CX35" s="1485">
        <v>-28.257999999999999</v>
      </c>
      <c r="CY35" s="1485">
        <v>13.554</v>
      </c>
      <c r="CZ35" s="1483"/>
      <c r="DA35" s="1483"/>
      <c r="DB35" s="1483"/>
      <c r="DC35" s="1483"/>
      <c r="DD35" s="1483"/>
      <c r="DE35" s="885"/>
      <c r="DF35" s="783"/>
      <c r="DG35" s="783"/>
      <c r="DH35" s="783">
        <v>-52.71</v>
      </c>
      <c r="DI35" s="783">
        <v>-114.968</v>
      </c>
      <c r="DJ35" s="783">
        <v>-72.555000000000007</v>
      </c>
      <c r="DK35" s="783">
        <v>-133.815</v>
      </c>
      <c r="DL35" s="783">
        <v>-150.62100000000001</v>
      </c>
      <c r="DM35" s="783">
        <v>-168.411</v>
      </c>
      <c r="DN35" s="783">
        <v>-11.788</v>
      </c>
      <c r="DO35" s="783">
        <v>-14.666</v>
      </c>
      <c r="DP35" s="783">
        <v>-14.662000000000001</v>
      </c>
      <c r="DQ35" s="783">
        <v>-14.662000000000001</v>
      </c>
      <c r="DR35" s="783"/>
      <c r="DS35" s="783"/>
      <c r="DT35" s="783">
        <v>-3.5</v>
      </c>
      <c r="DU35" s="783">
        <v>-12.539</v>
      </c>
      <c r="DV35" s="783">
        <v>-17.744</v>
      </c>
      <c r="DW35" s="783">
        <v>-45.386000000000003</v>
      </c>
      <c r="DX35" s="783">
        <v>-67.682000000000002</v>
      </c>
      <c r="DY35" s="783">
        <v>-220.76900000000001</v>
      </c>
      <c r="DZ35" s="783">
        <v>-31.736000000000001</v>
      </c>
      <c r="EA35" s="981">
        <v>-56.377000000000002</v>
      </c>
      <c r="EB35" s="783">
        <v>-100.693</v>
      </c>
      <c r="EC35" s="783">
        <v>-107.932</v>
      </c>
      <c r="ED35" s="783">
        <v>-24.747</v>
      </c>
      <c r="EE35" s="783">
        <v>-37.442999999999998</v>
      </c>
      <c r="EF35" s="783">
        <v>-68.619</v>
      </c>
      <c r="EG35" s="783">
        <v>-88.421999999999997</v>
      </c>
      <c r="EH35" s="783">
        <v>-12.76</v>
      </c>
      <c r="EI35" s="783">
        <v>-58.151000000000003</v>
      </c>
      <c r="EJ35" s="783">
        <v>-89.475999999999999</v>
      </c>
      <c r="EK35" s="783">
        <v>-114.322</v>
      </c>
      <c r="EL35" s="783">
        <v>-11.531000000000001</v>
      </c>
      <c r="EM35" s="783">
        <v>-167.17500000000001</v>
      </c>
      <c r="EN35" s="783">
        <v>-240.55600000000001</v>
      </c>
      <c r="EO35" s="783">
        <v>-240.55600000000001</v>
      </c>
      <c r="EP35" s="789"/>
      <c r="EQ35" s="789"/>
      <c r="ER35" s="789"/>
      <c r="ES35" s="789"/>
      <c r="EU35" s="42"/>
      <c r="EV35"/>
      <c r="EW35"/>
      <c r="EX35"/>
      <c r="EY35"/>
      <c r="EZ35"/>
      <c r="FA35"/>
    </row>
    <row r="36" spans="2:157" s="15" customFormat="1">
      <c r="B36" s="1039" t="s">
        <v>1363</v>
      </c>
      <c r="C36" s="23"/>
      <c r="D36" s="783"/>
      <c r="E36" s="783">
        <v>102.253</v>
      </c>
      <c r="F36" s="783">
        <f t="shared" si="44"/>
        <v>172.047</v>
      </c>
      <c r="G36" s="783">
        <f t="shared" si="45"/>
        <v>43.536000000000001</v>
      </c>
      <c r="H36" s="783"/>
      <c r="I36" s="783">
        <f t="shared" si="46"/>
        <v>7.0210000000000008</v>
      </c>
      <c r="J36" s="783">
        <f t="shared" si="47"/>
        <v>120.133</v>
      </c>
      <c r="K36" s="783">
        <f t="shared" si="48"/>
        <v>84.916999999999987</v>
      </c>
      <c r="L36" s="783">
        <f t="shared" si="49"/>
        <v>96.221000000000004</v>
      </c>
      <c r="M36" s="54">
        <f t="shared" si="50"/>
        <v>131.631</v>
      </c>
      <c r="N36" s="1483">
        <f t="shared" si="51"/>
        <v>0</v>
      </c>
      <c r="O36" s="1483">
        <f t="shared" si="52"/>
        <v>176.172</v>
      </c>
      <c r="P36" s="1483">
        <f t="shared" si="53"/>
        <v>0</v>
      </c>
      <c r="Q36" s="1483">
        <f t="shared" si="54"/>
        <v>0</v>
      </c>
      <c r="R36" s="1483">
        <f t="shared" ref="R36:R42" si="76">SUM(CF36:CI36)</f>
        <v>0</v>
      </c>
      <c r="S36" s="1483">
        <f t="shared" si="55"/>
        <v>0</v>
      </c>
      <c r="T36" s="1483">
        <f t="shared" si="56"/>
        <v>0</v>
      </c>
      <c r="U36" s="1483">
        <f t="shared" si="57"/>
        <v>0</v>
      </c>
      <c r="V36" s="1483">
        <f t="shared" si="58"/>
        <v>0</v>
      </c>
      <c r="W36" s="1483">
        <f t="shared" si="59"/>
        <v>0</v>
      </c>
      <c r="X36" s="1483"/>
      <c r="Y36" s="1483"/>
      <c r="Z36" s="1483"/>
      <c r="AA36" s="1483"/>
      <c r="AB36" s="1483"/>
      <c r="AC36" s="1483"/>
      <c r="AD36" s="1483"/>
      <c r="AE36" s="1483"/>
      <c r="AF36" s="1484"/>
      <c r="AG36" s="1484"/>
      <c r="AH36" s="1485">
        <f>DH36-AG36-AF36</f>
        <v>35.716999999999999</v>
      </c>
      <c r="AI36" s="1485">
        <f>DI36-AH36-AG36-AF36</f>
        <v>66.536000000000001</v>
      </c>
      <c r="AJ36" s="1485">
        <f t="shared" si="60"/>
        <v>24.617000000000001</v>
      </c>
      <c r="AK36" s="1485">
        <f>DK36-AJ36</f>
        <v>35.052999999999997</v>
      </c>
      <c r="AL36" s="1485">
        <f>DL36-AK36-AJ36</f>
        <v>42.495000000000005</v>
      </c>
      <c r="AM36" s="1485">
        <f>DM36-AL36-AK36-AJ36</f>
        <v>69.881999999999991</v>
      </c>
      <c r="AN36" s="1485">
        <f t="shared" si="61"/>
        <v>19.282</v>
      </c>
      <c r="AO36" s="1485">
        <f t="shared" si="62"/>
        <v>17.764999999999997</v>
      </c>
      <c r="AP36" s="1485">
        <f t="shared" si="63"/>
        <v>4.1769999999999996</v>
      </c>
      <c r="AQ36" s="1485">
        <f t="shared" si="64"/>
        <v>2.3120000000000047</v>
      </c>
      <c r="AR36" s="1485">
        <f t="shared" si="65"/>
        <v>0</v>
      </c>
      <c r="AS36" s="1485">
        <f t="shared" si="66"/>
        <v>0</v>
      </c>
      <c r="AT36" s="1485">
        <f t="shared" si="67"/>
        <v>0</v>
      </c>
      <c r="AU36" s="1485">
        <f t="shared" si="68"/>
        <v>0</v>
      </c>
      <c r="AV36" s="1485">
        <f t="shared" si="69"/>
        <v>2.0009999999999999</v>
      </c>
      <c r="AW36" s="1485">
        <f t="shared" si="70"/>
        <v>1.9870000000000001</v>
      </c>
      <c r="AX36" s="1485">
        <f t="shared" si="71"/>
        <v>1.0219999999999998</v>
      </c>
      <c r="AY36" s="1485">
        <f t="shared" si="72"/>
        <v>2.0110000000000006</v>
      </c>
      <c r="AZ36" s="1485">
        <f t="shared" si="73"/>
        <v>39.725000000000001</v>
      </c>
      <c r="BA36" s="1485">
        <f>EA36-AZ36</f>
        <v>33.664999999999999</v>
      </c>
      <c r="BB36" s="1485">
        <f>EB36-BA36-AZ36</f>
        <v>43.313999999999986</v>
      </c>
      <c r="BC36" s="1485">
        <f>EC36-BB36-BA36-AZ36</f>
        <v>3.4290000000000163</v>
      </c>
      <c r="BD36" s="1485">
        <f>ED36</f>
        <v>13.269</v>
      </c>
      <c r="BE36" s="1485">
        <f>EE36-BD36</f>
        <v>23.142000000000003</v>
      </c>
      <c r="BF36" s="1485">
        <f>EF36-BE36-BD36</f>
        <v>20.378</v>
      </c>
      <c r="BG36" s="1485">
        <f>EG36-BF36-BE36-BD36</f>
        <v>28.127999999999986</v>
      </c>
      <c r="BH36" s="1485">
        <f t="shared" si="74"/>
        <v>22.274999999999999</v>
      </c>
      <c r="BI36" s="1485">
        <f>EI36-BH36</f>
        <v>20.945999999999998</v>
      </c>
      <c r="BJ36" s="1485">
        <f>EJ36-BI36-BH36</f>
        <v>28.300000000000004</v>
      </c>
      <c r="BK36" s="1485">
        <f>EK36-BJ36-BI36-BH36</f>
        <v>24.699999999999996</v>
      </c>
      <c r="BL36" s="1485">
        <f t="shared" si="75"/>
        <v>9.6690000000000005</v>
      </c>
      <c r="BM36" s="1485">
        <f>EM36-BL36</f>
        <v>4.0069999999999997</v>
      </c>
      <c r="BN36" s="1485">
        <f>EN36-BM36-BL36</f>
        <v>57.465000000000003</v>
      </c>
      <c r="BO36" s="1485">
        <f>EO36-BN36-BM36-BL36</f>
        <v>60.489999999999995</v>
      </c>
      <c r="BP36" s="1485"/>
      <c r="BQ36" s="1485"/>
      <c r="BR36" s="1485"/>
      <c r="BS36" s="1485"/>
      <c r="BT36" s="1485"/>
      <c r="BU36" s="1485"/>
      <c r="BV36" s="1485"/>
      <c r="BW36" s="1485">
        <v>176.172</v>
      </c>
      <c r="BX36" s="1485"/>
      <c r="BY36" s="1483"/>
      <c r="BZ36" s="1483"/>
      <c r="CA36" s="1483"/>
      <c r="CB36" s="1483"/>
      <c r="CC36" s="1483"/>
      <c r="CD36" s="1483"/>
      <c r="CE36" s="1483"/>
      <c r="CF36" s="1483"/>
      <c r="CG36" s="1483"/>
      <c r="CH36" s="1483"/>
      <c r="CI36" s="1483"/>
      <c r="CJ36" s="1483"/>
      <c r="CK36" s="1483"/>
      <c r="CL36" s="1483"/>
      <c r="CM36" s="1483"/>
      <c r="CN36" s="1483"/>
      <c r="CO36" s="1483"/>
      <c r="CP36" s="1483"/>
      <c r="CQ36" s="1483"/>
      <c r="CR36" s="1483"/>
      <c r="CS36" s="1483"/>
      <c r="CT36" s="1483"/>
      <c r="CU36" s="1483"/>
      <c r="CV36" s="1483"/>
      <c r="CW36" s="1483"/>
      <c r="CX36" s="1483"/>
      <c r="CY36" s="1483"/>
      <c r="CZ36" s="1483"/>
      <c r="DA36" s="1483"/>
      <c r="DB36" s="1483"/>
      <c r="DC36" s="1483"/>
      <c r="DD36" s="1483"/>
      <c r="DE36" s="885"/>
      <c r="DF36" s="783"/>
      <c r="DG36" s="783"/>
      <c r="DH36" s="783">
        <v>35.716999999999999</v>
      </c>
      <c r="DI36" s="783">
        <v>102.253</v>
      </c>
      <c r="DJ36" s="783">
        <v>24.617000000000001</v>
      </c>
      <c r="DK36" s="783">
        <v>59.67</v>
      </c>
      <c r="DL36" s="783">
        <v>102.16500000000001</v>
      </c>
      <c r="DM36" s="783">
        <v>172.047</v>
      </c>
      <c r="DN36" s="783">
        <v>19.282</v>
      </c>
      <c r="DO36" s="783">
        <v>37.046999999999997</v>
      </c>
      <c r="DP36" s="783">
        <v>41.223999999999997</v>
      </c>
      <c r="DQ36" s="783">
        <v>43.536000000000001</v>
      </c>
      <c r="DR36" s="783"/>
      <c r="DS36" s="783"/>
      <c r="DT36" s="783"/>
      <c r="DU36" s="783">
        <v>0</v>
      </c>
      <c r="DV36" s="783">
        <v>2.0009999999999999</v>
      </c>
      <c r="DW36" s="783">
        <v>3.988</v>
      </c>
      <c r="DX36" s="783">
        <v>5.01</v>
      </c>
      <c r="DY36" s="783">
        <v>7.0209999999999999</v>
      </c>
      <c r="DZ36" s="783">
        <v>39.725000000000001</v>
      </c>
      <c r="EA36" s="981">
        <v>73.39</v>
      </c>
      <c r="EB36" s="783">
        <v>116.70399999999999</v>
      </c>
      <c r="EC36" s="783">
        <v>120.133</v>
      </c>
      <c r="ED36" s="783">
        <v>13.269</v>
      </c>
      <c r="EE36" s="783">
        <v>36.411000000000001</v>
      </c>
      <c r="EF36" s="783">
        <v>56.789000000000001</v>
      </c>
      <c r="EG36" s="783">
        <f>81.948+2.969</f>
        <v>84.916999999999987</v>
      </c>
      <c r="EH36" s="783">
        <v>22.274999999999999</v>
      </c>
      <c r="EI36" s="783">
        <v>43.220999999999997</v>
      </c>
      <c r="EJ36" s="783">
        <v>71.521000000000001</v>
      </c>
      <c r="EK36" s="783">
        <f>16+80.221</f>
        <v>96.221000000000004</v>
      </c>
      <c r="EL36" s="783">
        <v>9.6690000000000005</v>
      </c>
      <c r="EM36" s="783">
        <v>13.676</v>
      </c>
      <c r="EN36" s="783">
        <v>71.141000000000005</v>
      </c>
      <c r="EO36" s="783">
        <v>131.631</v>
      </c>
      <c r="EP36" s="789"/>
      <c r="EQ36" s="789"/>
      <c r="ER36" s="789"/>
      <c r="ES36" s="789"/>
      <c r="EU36" s="42"/>
      <c r="EV36"/>
      <c r="EW36"/>
      <c r="EX36"/>
      <c r="EY36"/>
      <c r="EZ36"/>
      <c r="FA36"/>
    </row>
    <row r="37" spans="2:157" s="15" customFormat="1">
      <c r="B37" s="1039" t="s">
        <v>1364</v>
      </c>
      <c r="C37" s="23"/>
      <c r="D37" s="783"/>
      <c r="E37" s="783"/>
      <c r="F37" s="783"/>
      <c r="G37" s="783"/>
      <c r="H37" s="783"/>
      <c r="I37" s="783">
        <f t="shared" si="46"/>
        <v>177.608</v>
      </c>
      <c r="J37" s="783"/>
      <c r="K37" s="783"/>
      <c r="L37" s="783"/>
      <c r="M37" s="54">
        <f t="shared" si="50"/>
        <v>114.361</v>
      </c>
      <c r="N37" s="1483">
        <f t="shared" si="51"/>
        <v>0</v>
      </c>
      <c r="O37" s="1483">
        <f t="shared" si="52"/>
        <v>0</v>
      </c>
      <c r="P37" s="1483">
        <f t="shared" si="53"/>
        <v>0</v>
      </c>
      <c r="Q37" s="1483">
        <f t="shared" si="54"/>
        <v>0</v>
      </c>
      <c r="R37" s="1483">
        <f t="shared" si="76"/>
        <v>0</v>
      </c>
      <c r="S37" s="1483">
        <f t="shared" si="55"/>
        <v>0</v>
      </c>
      <c r="T37" s="1483">
        <f t="shared" si="56"/>
        <v>0</v>
      </c>
      <c r="U37" s="1483">
        <f t="shared" si="57"/>
        <v>0</v>
      </c>
      <c r="V37" s="1483">
        <f t="shared" si="58"/>
        <v>0</v>
      </c>
      <c r="W37" s="1483">
        <f t="shared" si="59"/>
        <v>0</v>
      </c>
      <c r="X37" s="1483"/>
      <c r="Y37" s="1483"/>
      <c r="Z37" s="1483"/>
      <c r="AA37" s="1483"/>
      <c r="AB37" s="1483"/>
      <c r="AC37" s="1483"/>
      <c r="AD37" s="1483"/>
      <c r="AE37" s="1483"/>
      <c r="AF37" s="1484"/>
      <c r="AG37" s="1484"/>
      <c r="AH37" s="1485"/>
      <c r="AI37" s="1485"/>
      <c r="AJ37" s="1485"/>
      <c r="AK37" s="1485"/>
      <c r="AL37" s="1485"/>
      <c r="AM37" s="1485"/>
      <c r="AN37" s="1485">
        <f t="shared" si="61"/>
        <v>0</v>
      </c>
      <c r="AO37" s="1485">
        <f t="shared" si="62"/>
        <v>0</v>
      </c>
      <c r="AP37" s="1485">
        <f t="shared" si="63"/>
        <v>0</v>
      </c>
      <c r="AQ37" s="1485">
        <f t="shared" si="64"/>
        <v>0</v>
      </c>
      <c r="AR37" s="1485">
        <f t="shared" si="65"/>
        <v>0</v>
      </c>
      <c r="AS37" s="1485">
        <f t="shared" si="66"/>
        <v>0</v>
      </c>
      <c r="AT37" s="1485">
        <f t="shared" si="67"/>
        <v>0</v>
      </c>
      <c r="AU37" s="1485">
        <f t="shared" si="68"/>
        <v>0</v>
      </c>
      <c r="AV37" s="1485">
        <f t="shared" si="69"/>
        <v>8.5</v>
      </c>
      <c r="AW37" s="1485">
        <f t="shared" si="70"/>
        <v>4.4930000000000003</v>
      </c>
      <c r="AX37" s="1485">
        <f t="shared" si="71"/>
        <v>5.9930000000000003</v>
      </c>
      <c r="AY37" s="1485">
        <f t="shared" si="72"/>
        <v>158.62200000000001</v>
      </c>
      <c r="AZ37" s="1485">
        <f t="shared" si="73"/>
        <v>0</v>
      </c>
      <c r="BA37" s="1485"/>
      <c r="BB37" s="1485"/>
      <c r="BC37" s="1485"/>
      <c r="BD37" s="1485"/>
      <c r="BE37" s="1485"/>
      <c r="BF37" s="1485"/>
      <c r="BG37" s="1485"/>
      <c r="BH37" s="1485"/>
      <c r="BI37" s="1485"/>
      <c r="BJ37" s="1485"/>
      <c r="BK37" s="1485"/>
      <c r="BL37" s="1485">
        <f t="shared" si="75"/>
        <v>30.78</v>
      </c>
      <c r="BM37" s="1485">
        <f>EM37-BL37</f>
        <v>43.787999999999997</v>
      </c>
      <c r="BN37" s="1485">
        <f>EN37-BM37-BL37</f>
        <v>18.700000000000003</v>
      </c>
      <c r="BO37" s="1485">
        <f>EO37-BN37-BM37-BL37</f>
        <v>21.093000000000004</v>
      </c>
      <c r="BP37" s="1485"/>
      <c r="BQ37" s="1485"/>
      <c r="BR37" s="1485"/>
      <c r="BS37" s="1485"/>
      <c r="BT37" s="1485"/>
      <c r="BU37" s="1485"/>
      <c r="BV37" s="1485"/>
      <c r="BW37" s="1485"/>
      <c r="BX37" s="1485"/>
      <c r="BY37" s="1483"/>
      <c r="BZ37" s="1483"/>
      <c r="CA37" s="1483"/>
      <c r="CB37" s="1483"/>
      <c r="CC37" s="1483"/>
      <c r="CD37" s="1483"/>
      <c r="CE37" s="1483"/>
      <c r="CF37" s="1483"/>
      <c r="CG37" s="1483"/>
      <c r="CH37" s="1483"/>
      <c r="CI37" s="1483"/>
      <c r="CJ37" s="1483"/>
      <c r="CK37" s="1483"/>
      <c r="CL37" s="1483"/>
      <c r="CM37" s="1483"/>
      <c r="CN37" s="1483"/>
      <c r="CO37" s="1483"/>
      <c r="CP37" s="1483"/>
      <c r="CQ37" s="1483"/>
      <c r="CR37" s="1483"/>
      <c r="CS37" s="1483"/>
      <c r="CT37" s="1483"/>
      <c r="CU37" s="1483"/>
      <c r="CV37" s="1483"/>
      <c r="CW37" s="1483"/>
      <c r="CX37" s="1483"/>
      <c r="CY37" s="1483"/>
      <c r="CZ37" s="1483"/>
      <c r="DA37" s="1483"/>
      <c r="DB37" s="1483"/>
      <c r="DC37" s="1483"/>
      <c r="DD37" s="1483"/>
      <c r="DE37" s="885"/>
      <c r="DF37" s="783"/>
      <c r="DG37" s="783"/>
      <c r="DH37" s="783"/>
      <c r="DI37" s="783"/>
      <c r="DJ37" s="783"/>
      <c r="DK37" s="783"/>
      <c r="DL37" s="783"/>
      <c r="DM37" s="783"/>
      <c r="DN37" s="783"/>
      <c r="DO37" s="783"/>
      <c r="DP37" s="783"/>
      <c r="DQ37" s="783"/>
      <c r="DR37" s="783"/>
      <c r="DS37" s="783"/>
      <c r="DT37" s="783"/>
      <c r="DU37" s="783">
        <v>0</v>
      </c>
      <c r="DV37" s="783">
        <v>8.5</v>
      </c>
      <c r="DW37" s="783">
        <v>12.993</v>
      </c>
      <c r="DX37" s="783">
        <v>18.986000000000001</v>
      </c>
      <c r="DY37" s="783">
        <v>177.608</v>
      </c>
      <c r="DZ37" s="783"/>
      <c r="EA37" s="981"/>
      <c r="EB37" s="783"/>
      <c r="EC37" s="783"/>
      <c r="ED37" s="783"/>
      <c r="EE37" s="783"/>
      <c r="EF37" s="783"/>
      <c r="EG37" s="783"/>
      <c r="EH37" s="783"/>
      <c r="EI37" s="783"/>
      <c r="EJ37" s="783"/>
      <c r="EK37" s="783"/>
      <c r="EL37" s="783">
        <v>30.78</v>
      </c>
      <c r="EM37" s="783">
        <v>74.567999999999998</v>
      </c>
      <c r="EN37" s="783">
        <v>93.268000000000001</v>
      </c>
      <c r="EO37" s="783">
        <v>114.361</v>
      </c>
      <c r="EP37" s="789"/>
      <c r="EQ37" s="789"/>
      <c r="ER37" s="789"/>
      <c r="ES37" s="789"/>
      <c r="EU37" s="42"/>
      <c r="EV37"/>
      <c r="EW37"/>
      <c r="EX37"/>
      <c r="EY37"/>
      <c r="EZ37"/>
      <c r="FA37"/>
    </row>
    <row r="38" spans="2:157" s="15" customFormat="1">
      <c r="B38" s="1039" t="s">
        <v>1143</v>
      </c>
      <c r="C38" s="23"/>
      <c r="D38" s="783"/>
      <c r="E38" s="783">
        <v>-296.32</v>
      </c>
      <c r="F38" s="783">
        <f t="shared" si="44"/>
        <v>-57.790999999999997</v>
      </c>
      <c r="G38" s="783">
        <f t="shared" si="45"/>
        <v>-6.5080000000000009</v>
      </c>
      <c r="H38" s="783">
        <f>SUM(AR38:AU38)</f>
        <v>-7.75</v>
      </c>
      <c r="I38" s="783">
        <f t="shared" si="46"/>
        <v>-22.934000000000001</v>
      </c>
      <c r="J38" s="783">
        <f t="shared" si="47"/>
        <v>-45.411999999999999</v>
      </c>
      <c r="K38" s="783">
        <f t="shared" si="48"/>
        <v>-162.291</v>
      </c>
      <c r="L38" s="783">
        <f t="shared" si="49"/>
        <v>-416.81099999999998</v>
      </c>
      <c r="M38" s="54">
        <f t="shared" si="50"/>
        <v>-471.12800000000004</v>
      </c>
      <c r="N38" s="1483">
        <f t="shared" si="51"/>
        <v>-342.18</v>
      </c>
      <c r="O38" s="1483">
        <f t="shared" si="52"/>
        <v>-579.39700000000005</v>
      </c>
      <c r="P38" s="1483">
        <f t="shared" si="53"/>
        <v>-682.73299999999995</v>
      </c>
      <c r="Q38" s="1483">
        <f t="shared" si="54"/>
        <v>-764.50000000000011</v>
      </c>
      <c r="R38" s="1483">
        <f t="shared" si="76"/>
        <v>-572.40599999999995</v>
      </c>
      <c r="S38" s="1483">
        <f t="shared" si="55"/>
        <v>-660.20299999999997</v>
      </c>
      <c r="T38" s="1483">
        <f t="shared" si="56"/>
        <v>-868.12000000000012</v>
      </c>
      <c r="U38" s="1483">
        <f t="shared" si="57"/>
        <v>-1113.365</v>
      </c>
      <c r="V38" s="1483">
        <f t="shared" si="58"/>
        <v>-1378.7249999999999</v>
      </c>
      <c r="W38" s="1483">
        <f t="shared" ca="1" si="59"/>
        <v>-1935.5663438236479</v>
      </c>
      <c r="X38" s="1483">
        <f ca="1">-BS!X133</f>
        <v>-1853.1485108793856</v>
      </c>
      <c r="Y38" s="1483">
        <f ca="1">-BS!Y133</f>
        <v>-1659.9433173086413</v>
      </c>
      <c r="Z38" s="1483">
        <f ca="1">-BS!Z133</f>
        <v>-1618.4103193755129</v>
      </c>
      <c r="AA38" s="1483">
        <f ca="1">-BS!AA133</f>
        <v>-1626.0760966777502</v>
      </c>
      <c r="AB38" s="1483">
        <f ca="1">-BS!AB133</f>
        <v>-1633.809178891328</v>
      </c>
      <c r="AC38" s="1483">
        <f ca="1">-BS!AC133</f>
        <v>-1641.6704325604251</v>
      </c>
      <c r="AD38" s="1483">
        <f ca="1">-BS!AD133</f>
        <v>-1649.5823160395212</v>
      </c>
      <c r="AE38" s="1483"/>
      <c r="AF38" s="1484"/>
      <c r="AG38" s="1484"/>
      <c r="AH38" s="1485">
        <f>DH38-AG38-AF38</f>
        <v>-169.64599999999999</v>
      </c>
      <c r="AI38" s="1485">
        <f>DI38-AH38-AG38-AF38</f>
        <v>-126.67400000000001</v>
      </c>
      <c r="AJ38" s="1485">
        <f t="shared" si="60"/>
        <v>-34.692</v>
      </c>
      <c r="AK38" s="1485">
        <f>DK38-AJ38</f>
        <v>-7.4080000000000013</v>
      </c>
      <c r="AL38" s="1485">
        <f>DL38-AK38-AJ38</f>
        <v>-35.059999999999995</v>
      </c>
      <c r="AM38" s="1485">
        <f>DM38-AL38-AK38-AJ38</f>
        <v>19.369</v>
      </c>
      <c r="AN38" s="1485">
        <f t="shared" si="61"/>
        <v>-2.8359999999999999</v>
      </c>
      <c r="AO38" s="1485">
        <f t="shared" si="62"/>
        <v>-1.1880000000000002</v>
      </c>
      <c r="AP38" s="1485">
        <f t="shared" si="63"/>
        <v>-1.0670000000000002</v>
      </c>
      <c r="AQ38" s="1485">
        <f t="shared" si="64"/>
        <v>-1.4170000000000003</v>
      </c>
      <c r="AR38" s="1485">
        <f t="shared" si="65"/>
        <v>-0.34599999999999997</v>
      </c>
      <c r="AS38" s="1485">
        <f t="shared" si="66"/>
        <v>-1.1139999999999999</v>
      </c>
      <c r="AT38" s="1485">
        <f t="shared" si="67"/>
        <v>-1.4289999999999998</v>
      </c>
      <c r="AU38" s="1485">
        <f t="shared" si="68"/>
        <v>-4.8609999999999998</v>
      </c>
      <c r="AV38" s="1485">
        <f t="shared" si="69"/>
        <v>-4.9080000000000004</v>
      </c>
      <c r="AW38" s="1485">
        <f t="shared" si="70"/>
        <v>-4.2540000000000004</v>
      </c>
      <c r="AX38" s="1485">
        <f t="shared" si="71"/>
        <v>-7.6209999999999996</v>
      </c>
      <c r="AY38" s="1485">
        <f t="shared" si="72"/>
        <v>-6.1510000000000007</v>
      </c>
      <c r="AZ38" s="1485">
        <f t="shared" si="73"/>
        <v>-5.5229999999999997</v>
      </c>
      <c r="BA38" s="1485">
        <f>EA38-AZ38</f>
        <v>-9.89</v>
      </c>
      <c r="BB38" s="1485">
        <f>EB38-BA38-AZ38</f>
        <v>-7.0790000000000006</v>
      </c>
      <c r="BC38" s="1485">
        <f>EC38-BB38-BA38-AZ38</f>
        <v>-22.919999999999998</v>
      </c>
      <c r="BD38" s="1485">
        <f>ED38</f>
        <v>-26.613</v>
      </c>
      <c r="BE38" s="1485">
        <f>EE38-BD38</f>
        <v>-29.670999999999999</v>
      </c>
      <c r="BF38" s="1485">
        <f>EF38-BE38-BD38</f>
        <v>-46.620000000000005</v>
      </c>
      <c r="BG38" s="1485">
        <f>EG38-BF38-BE38-BD38</f>
        <v>-59.387</v>
      </c>
      <c r="BH38" s="1485">
        <f t="shared" si="74"/>
        <v>-67.055999999999997</v>
      </c>
      <c r="BI38" s="1485">
        <f>EI38-BH38</f>
        <v>-139.83199999999999</v>
      </c>
      <c r="BJ38" s="1485">
        <f>EJ38-BI38-BH38</f>
        <v>-88.921000000000035</v>
      </c>
      <c r="BK38" s="1485">
        <f>EK38-BJ38-BI38-BH38</f>
        <v>-121.00199999999994</v>
      </c>
      <c r="BL38" s="1485">
        <f t="shared" si="75"/>
        <v>-125.643</v>
      </c>
      <c r="BM38" s="1485">
        <f>EM38-BL38</f>
        <v>-84.457999999999998</v>
      </c>
      <c r="BN38" s="1485">
        <f>EN38-BM38-BL38</f>
        <v>-95.444999999999993</v>
      </c>
      <c r="BO38" s="1485">
        <f>EO38-BN38-BM38-BL38</f>
        <v>-165.58200000000002</v>
      </c>
      <c r="BP38" s="1485">
        <v>-74.968999999999994</v>
      </c>
      <c r="BQ38" s="1485">
        <v>-76.816000000000003</v>
      </c>
      <c r="BR38" s="1485">
        <v>-88.655000000000001</v>
      </c>
      <c r="BS38" s="1485">
        <v>-101.74</v>
      </c>
      <c r="BT38" s="1485">
        <v>-143.4</v>
      </c>
      <c r="BU38" s="1485">
        <f>-292.105-BT38</f>
        <v>-148.70500000000001</v>
      </c>
      <c r="BV38" s="1485">
        <v>-143.941</v>
      </c>
      <c r="BW38" s="1485">
        <v>-143.351</v>
      </c>
      <c r="BX38" s="1485">
        <v>-172.51599999999999</v>
      </c>
      <c r="BY38" s="1485">
        <v>-188.875</v>
      </c>
      <c r="BZ38" s="1485">
        <v>-131.52500000000001</v>
      </c>
      <c r="CA38" s="1485">
        <v>-189.81700000000001</v>
      </c>
      <c r="CB38" s="1485">
        <v>-145.49</v>
      </c>
      <c r="CC38" s="1485">
        <v>-196.48400000000001</v>
      </c>
      <c r="CD38" s="1485">
        <v>-212.11799999999999</v>
      </c>
      <c r="CE38" s="1485">
        <v>-210.40799999999999</v>
      </c>
      <c r="CF38" s="1485">
        <v>-75.667000000000002</v>
      </c>
      <c r="CG38" s="1485">
        <v>-122.863</v>
      </c>
      <c r="CH38" s="1485">
        <v>-171.035</v>
      </c>
      <c r="CI38" s="1485">
        <v>-202.84100000000001</v>
      </c>
      <c r="CJ38" s="1485">
        <v>-105.907</v>
      </c>
      <c r="CK38" s="1485">
        <v>-159.816</v>
      </c>
      <c r="CL38" s="1485">
        <v>-156.00299999999999</v>
      </c>
      <c r="CM38" s="1485">
        <v>-238.477</v>
      </c>
      <c r="CN38" s="1485">
        <v>-150.12</v>
      </c>
      <c r="CO38" s="1485">
        <v>-221.34200000000001</v>
      </c>
      <c r="CP38" s="1485">
        <v>-216.04599999999999</v>
      </c>
      <c r="CQ38" s="1485">
        <v>-280.61200000000002</v>
      </c>
      <c r="CR38" s="1485">
        <v>-197.7</v>
      </c>
      <c r="CS38" s="1485">
        <v>-249.86699999999999</v>
      </c>
      <c r="CT38" s="1485">
        <v>-279.47699999999998</v>
      </c>
      <c r="CU38" s="1485">
        <v>-386.32100000000003</v>
      </c>
      <c r="CV38" s="1485">
        <v>-277.24200000000002</v>
      </c>
      <c r="CW38" s="1485">
        <v>-348.572</v>
      </c>
      <c r="CX38" s="1485">
        <v>-320.23399999999998</v>
      </c>
      <c r="CY38" s="1485">
        <v>-432.67700000000002</v>
      </c>
      <c r="CZ38" s="1688">
        <f ca="1">-BS!CZ133</f>
        <v>-362.12274004330436</v>
      </c>
      <c r="DA38" s="1688">
        <f ca="1">-BS!DA133</f>
        <v>-246.47940058632264</v>
      </c>
      <c r="DB38" s="1688">
        <f ca="1">-BS!DB133</f>
        <v>-668.95743560835956</v>
      </c>
      <c r="DC38" s="1688">
        <f ca="1">-BS!DC133</f>
        <v>-658.00676758566112</v>
      </c>
      <c r="DD38" s="1483"/>
      <c r="DE38" s="885"/>
      <c r="DF38" s="783"/>
      <c r="DG38" s="783"/>
      <c r="DH38" s="783">
        <v>-169.64599999999999</v>
      </c>
      <c r="DI38" s="783">
        <v>-296.32</v>
      </c>
      <c r="DJ38" s="783">
        <v>-34.692</v>
      </c>
      <c r="DK38" s="783">
        <v>-42.1</v>
      </c>
      <c r="DL38" s="783">
        <v>-77.16</v>
      </c>
      <c r="DM38" s="783">
        <v>-57.790999999999997</v>
      </c>
      <c r="DN38" s="783">
        <v>-2.8359999999999999</v>
      </c>
      <c r="DO38" s="783">
        <v>-4.024</v>
      </c>
      <c r="DP38" s="783">
        <v>-5.0910000000000002</v>
      </c>
      <c r="DQ38" s="783">
        <v>-6.508</v>
      </c>
      <c r="DR38" s="783">
        <v>-0.34599999999999997</v>
      </c>
      <c r="DS38" s="783">
        <v>-1.46</v>
      </c>
      <c r="DT38" s="783">
        <v>-2.8889999999999998</v>
      </c>
      <c r="DU38" s="783">
        <v>-7.75</v>
      </c>
      <c r="DV38" s="783">
        <v>-4.9080000000000004</v>
      </c>
      <c r="DW38" s="783">
        <v>-9.1620000000000008</v>
      </c>
      <c r="DX38" s="783">
        <v>-16.783000000000001</v>
      </c>
      <c r="DY38" s="783">
        <v>-22.934000000000001</v>
      </c>
      <c r="DZ38" s="783">
        <v>-5.5229999999999997</v>
      </c>
      <c r="EA38" s="981">
        <v>-15.413</v>
      </c>
      <c r="EB38" s="783">
        <v>-22.492000000000001</v>
      </c>
      <c r="EC38" s="783">
        <v>-45.411999999999999</v>
      </c>
      <c r="ED38" s="783">
        <v>-26.613</v>
      </c>
      <c r="EE38" s="783">
        <v>-56.283999999999999</v>
      </c>
      <c r="EF38" s="783">
        <v>-102.904</v>
      </c>
      <c r="EG38" s="783">
        <v>-162.291</v>
      </c>
      <c r="EH38" s="783">
        <v>-67.055999999999997</v>
      </c>
      <c r="EI38" s="783">
        <v>-206.88800000000001</v>
      </c>
      <c r="EJ38" s="783">
        <v>-295.80900000000003</v>
      </c>
      <c r="EK38" s="783">
        <v>-416.81099999999998</v>
      </c>
      <c r="EL38" s="783">
        <v>-125.643</v>
      </c>
      <c r="EM38" s="783">
        <v>-210.101</v>
      </c>
      <c r="EN38" s="783">
        <v>-305.54599999999999</v>
      </c>
      <c r="EO38" s="783">
        <v>-471.12799999999999</v>
      </c>
      <c r="EP38" s="789"/>
      <c r="EQ38" s="789"/>
      <c r="ER38" s="789"/>
      <c r="ES38" s="789"/>
      <c r="ET38" s="885"/>
      <c r="EU38" s="1738"/>
      <c r="EV38"/>
      <c r="EW38"/>
      <c r="EX38"/>
      <c r="EY38"/>
      <c r="EZ38"/>
      <c r="FA38"/>
    </row>
    <row r="39" spans="2:157" s="15" customFormat="1">
      <c r="B39" s="1039" t="s">
        <v>1400</v>
      </c>
      <c r="C39" s="23"/>
      <c r="D39" s="783"/>
      <c r="E39" s="783">
        <v>-74.447999999999993</v>
      </c>
      <c r="F39" s="783">
        <f t="shared" si="44"/>
        <v>-44.343000000000004</v>
      </c>
      <c r="G39" s="783"/>
      <c r="H39" s="783"/>
      <c r="I39" s="783"/>
      <c r="J39" s="783"/>
      <c r="K39" s="783"/>
      <c r="L39" s="783"/>
      <c r="M39" s="54"/>
      <c r="N39" s="1483">
        <f t="shared" si="51"/>
        <v>0</v>
      </c>
      <c r="O39" s="1483">
        <f t="shared" si="52"/>
        <v>0</v>
      </c>
      <c r="P39" s="1483">
        <f t="shared" si="53"/>
        <v>0</v>
      </c>
      <c r="Q39" s="1483">
        <f t="shared" si="54"/>
        <v>0</v>
      </c>
      <c r="R39" s="1483">
        <f t="shared" si="76"/>
        <v>0</v>
      </c>
      <c r="S39" s="1483">
        <f t="shared" si="55"/>
        <v>0</v>
      </c>
      <c r="T39" s="1483">
        <f t="shared" si="56"/>
        <v>0</v>
      </c>
      <c r="U39" s="1483">
        <f t="shared" si="57"/>
        <v>0</v>
      </c>
      <c r="V39" s="1483">
        <f t="shared" si="58"/>
        <v>0</v>
      </c>
      <c r="W39" s="1483">
        <f t="shared" si="59"/>
        <v>0</v>
      </c>
      <c r="X39" s="1483"/>
      <c r="Y39" s="1483"/>
      <c r="Z39" s="1483"/>
      <c r="AA39" s="1483"/>
      <c r="AB39" s="1483"/>
      <c r="AC39" s="1483"/>
      <c r="AD39" s="1483"/>
      <c r="AE39" s="1483"/>
      <c r="AF39" s="1484"/>
      <c r="AG39" s="1484"/>
      <c r="AH39" s="1485"/>
      <c r="AI39" s="1485"/>
      <c r="AJ39" s="1485"/>
      <c r="AK39" s="1485"/>
      <c r="AL39" s="1485"/>
      <c r="AM39" s="1485">
        <f>DM39-AL39-AK39-AJ39</f>
        <v>-44.343000000000004</v>
      </c>
      <c r="AN39" s="1485">
        <f t="shared" si="61"/>
        <v>0</v>
      </c>
      <c r="AO39" s="1485">
        <f t="shared" si="62"/>
        <v>0</v>
      </c>
      <c r="AP39" s="1485">
        <f t="shared" si="63"/>
        <v>0</v>
      </c>
      <c r="AQ39" s="1485">
        <f t="shared" si="64"/>
        <v>0</v>
      </c>
      <c r="AR39" s="1485">
        <f t="shared" si="65"/>
        <v>0</v>
      </c>
      <c r="AS39" s="1485">
        <f t="shared" si="66"/>
        <v>0</v>
      </c>
      <c r="AT39" s="1485">
        <f t="shared" si="67"/>
        <v>0</v>
      </c>
      <c r="AU39" s="1485">
        <f t="shared" si="68"/>
        <v>0</v>
      </c>
      <c r="AV39" s="1485">
        <f t="shared" si="69"/>
        <v>0</v>
      </c>
      <c r="AW39" s="1485">
        <f t="shared" si="70"/>
        <v>0</v>
      </c>
      <c r="AX39" s="1485">
        <f t="shared" si="71"/>
        <v>0</v>
      </c>
      <c r="AY39" s="1485">
        <f t="shared" si="72"/>
        <v>0</v>
      </c>
      <c r="AZ39" s="1485">
        <f t="shared" si="73"/>
        <v>0</v>
      </c>
      <c r="BA39" s="1485"/>
      <c r="BB39" s="1485"/>
      <c r="BC39" s="1485"/>
      <c r="BD39" s="1485"/>
      <c r="BE39" s="1485"/>
      <c r="BF39" s="1485"/>
      <c r="BG39" s="1485"/>
      <c r="BH39" s="1485"/>
      <c r="BI39" s="1485"/>
      <c r="BJ39" s="1485"/>
      <c r="BK39" s="1485"/>
      <c r="BL39" s="1485"/>
      <c r="BM39" s="1485"/>
      <c r="BN39" s="1485"/>
      <c r="BO39" s="1485"/>
      <c r="BP39" s="1485"/>
      <c r="BQ39" s="1485"/>
      <c r="BR39" s="1485"/>
      <c r="BS39" s="1485"/>
      <c r="BT39" s="1485"/>
      <c r="BU39" s="1485"/>
      <c r="BV39" s="1485"/>
      <c r="BW39" s="1485"/>
      <c r="BX39" s="1485"/>
      <c r="BY39" s="1485"/>
      <c r="BZ39" s="1485"/>
      <c r="CA39" s="1485"/>
      <c r="CB39" s="1485"/>
      <c r="CC39" s="1485"/>
      <c r="CD39" s="1485"/>
      <c r="CE39" s="1485"/>
      <c r="CF39" s="1485"/>
      <c r="CG39" s="1485"/>
      <c r="CH39" s="1485"/>
      <c r="CI39" s="1485"/>
      <c r="CJ39" s="1485"/>
      <c r="CK39" s="1485"/>
      <c r="CL39" s="1485"/>
      <c r="CM39" s="1485"/>
      <c r="CN39" s="1485"/>
      <c r="CO39" s="1485"/>
      <c r="CP39" s="1485"/>
      <c r="CQ39" s="1485"/>
      <c r="CR39" s="1485"/>
      <c r="CS39" s="1485"/>
      <c r="CT39" s="1485"/>
      <c r="CU39" s="1485"/>
      <c r="CV39" s="1485"/>
      <c r="CW39" s="1485"/>
      <c r="CX39" s="1485"/>
      <c r="CY39" s="1485"/>
      <c r="CZ39" s="1483"/>
      <c r="DA39" s="1483"/>
      <c r="DB39" s="1483"/>
      <c r="DC39" s="1483"/>
      <c r="DD39" s="1483"/>
      <c r="DE39" s="885"/>
      <c r="DF39" s="783"/>
      <c r="DG39" s="783"/>
      <c r="DH39" s="783">
        <f>-102.754+51.364</f>
        <v>-51.390000000000008</v>
      </c>
      <c r="DI39" s="783">
        <v>-74.447999999999993</v>
      </c>
      <c r="DJ39" s="783"/>
      <c r="DK39" s="783"/>
      <c r="DL39" s="783"/>
      <c r="DM39" s="783">
        <v>-44.343000000000004</v>
      </c>
      <c r="DN39" s="783"/>
      <c r="DO39" s="783"/>
      <c r="DP39" s="783"/>
      <c r="DQ39" s="783"/>
      <c r="DR39" s="783"/>
      <c r="DS39" s="783"/>
      <c r="DT39" s="783"/>
      <c r="DU39" s="783"/>
      <c r="DV39" s="783"/>
      <c r="DW39" s="783"/>
      <c r="DX39" s="783"/>
      <c r="DY39" s="783"/>
      <c r="DZ39" s="783"/>
      <c r="EA39" s="981"/>
      <c r="EB39" s="783"/>
      <c r="EC39" s="783"/>
      <c r="ED39" s="783"/>
      <c r="EE39" s="783"/>
      <c r="EF39" s="783"/>
      <c r="EG39" s="783"/>
      <c r="EH39" s="783"/>
      <c r="EI39" s="783"/>
      <c r="EJ39" s="783"/>
      <c r="EK39" s="783"/>
      <c r="EL39" s="783"/>
      <c r="EM39" s="783"/>
      <c r="EN39" s="783"/>
      <c r="EO39" s="783"/>
      <c r="EP39" s="789"/>
      <c r="EQ39" s="789"/>
      <c r="ER39" s="789"/>
      <c r="ES39" s="789"/>
      <c r="EU39" s="42"/>
      <c r="EV39"/>
      <c r="EW39"/>
      <c r="EX39"/>
      <c r="EY39"/>
      <c r="EZ39"/>
      <c r="FA39"/>
    </row>
    <row r="40" spans="2:157" s="15" customFormat="1">
      <c r="B40" s="1039" t="s">
        <v>1144</v>
      </c>
      <c r="C40" s="23"/>
      <c r="D40" s="783"/>
      <c r="E40" s="783">
        <v>79.570999999999998</v>
      </c>
      <c r="F40" s="783">
        <f t="shared" si="44"/>
        <v>-54.692999999999998</v>
      </c>
      <c r="G40" s="783">
        <f t="shared" si="45"/>
        <v>-28.707999999999998</v>
      </c>
      <c r="H40" s="783">
        <f>SUM(AR40:AU40)</f>
        <v>2.4540000000000002</v>
      </c>
      <c r="I40" s="783">
        <f t="shared" si="46"/>
        <v>0.45800000000000002</v>
      </c>
      <c r="J40" s="783">
        <f t="shared" si="47"/>
        <v>12.871000000000002</v>
      </c>
      <c r="K40" s="783">
        <f t="shared" si="48"/>
        <v>7.5539999999999985</v>
      </c>
      <c r="L40" s="783">
        <f t="shared" si="49"/>
        <v>39.975000000000009</v>
      </c>
      <c r="M40" s="901">
        <f t="shared" si="50"/>
        <v>24.095999999999997</v>
      </c>
      <c r="N40" s="1491">
        <f t="shared" si="51"/>
        <v>-27.361999999999998</v>
      </c>
      <c r="O40" s="1483">
        <f t="shared" si="52"/>
        <v>0</v>
      </c>
      <c r="P40" s="1483">
        <f t="shared" si="53"/>
        <v>0</v>
      </c>
      <c r="Q40" s="1483">
        <f t="shared" si="54"/>
        <v>0</v>
      </c>
      <c r="R40" s="1483">
        <f t="shared" si="76"/>
        <v>0</v>
      </c>
      <c r="S40" s="1483">
        <f t="shared" si="55"/>
        <v>0</v>
      </c>
      <c r="T40" s="1483">
        <f t="shared" si="56"/>
        <v>0</v>
      </c>
      <c r="U40" s="1483">
        <f t="shared" si="57"/>
        <v>0</v>
      </c>
      <c r="V40" s="1483">
        <f t="shared" si="58"/>
        <v>0</v>
      </c>
      <c r="W40" s="1483">
        <f t="shared" si="59"/>
        <v>0</v>
      </c>
      <c r="X40" s="1483"/>
      <c r="Y40" s="1483"/>
      <c r="Z40" s="1483"/>
      <c r="AA40" s="1483"/>
      <c r="AB40" s="1483"/>
      <c r="AC40" s="1483"/>
      <c r="AD40" s="1483"/>
      <c r="AE40" s="1483"/>
      <c r="AF40" s="1484"/>
      <c r="AG40" s="1484"/>
      <c r="AH40" s="1485">
        <f>DH40-AG40-AF40</f>
        <v>0</v>
      </c>
      <c r="AI40" s="1485">
        <f>DI40-AH40-AG40-AF40</f>
        <v>79.570999999999998</v>
      </c>
      <c r="AJ40" s="1485">
        <f t="shared" si="60"/>
        <v>-33.774999999999999</v>
      </c>
      <c r="AK40" s="1485">
        <f>DK40-AJ40</f>
        <v>-32.315000000000005</v>
      </c>
      <c r="AL40" s="1485">
        <f>DL40-AK40-AJ40</f>
        <v>4.2469999999999999</v>
      </c>
      <c r="AM40" s="1485">
        <f>DM40-AL40-AK40-AJ40</f>
        <v>7.1500000000000057</v>
      </c>
      <c r="AN40" s="1485">
        <f t="shared" si="61"/>
        <v>-24</v>
      </c>
      <c r="AO40" s="1485">
        <f t="shared" si="62"/>
        <v>-4.7079999999999984</v>
      </c>
      <c r="AP40" s="1485">
        <f t="shared" si="63"/>
        <v>0</v>
      </c>
      <c r="AQ40" s="1485">
        <f t="shared" si="64"/>
        <v>0</v>
      </c>
      <c r="AR40" s="1485">
        <f t="shared" si="65"/>
        <v>0</v>
      </c>
      <c r="AS40" s="1485">
        <f t="shared" si="66"/>
        <v>0</v>
      </c>
      <c r="AT40" s="1485">
        <f t="shared" si="67"/>
        <v>0</v>
      </c>
      <c r="AU40" s="1485">
        <f t="shared" si="68"/>
        <v>2.4540000000000002</v>
      </c>
      <c r="AV40" s="1485">
        <f t="shared" si="69"/>
        <v>-0.19600000000000001</v>
      </c>
      <c r="AW40" s="1485">
        <f t="shared" si="70"/>
        <v>-1.3360000000000001</v>
      </c>
      <c r="AX40" s="1485">
        <f t="shared" si="71"/>
        <v>2.0830000000000002</v>
      </c>
      <c r="AY40" s="1485">
        <f t="shared" si="72"/>
        <v>-9.3000000000000138E-2</v>
      </c>
      <c r="AZ40" s="1485">
        <f t="shared" si="73"/>
        <v>-0.64300000000000002</v>
      </c>
      <c r="BA40" s="1485">
        <f>EA40-AZ40</f>
        <v>3.1550000000000002</v>
      </c>
      <c r="BB40" s="1485">
        <f>EB40-BA40-AZ40</f>
        <v>-0.26700000000000013</v>
      </c>
      <c r="BC40" s="1485">
        <f>EC40-BB40-BA40-AZ40</f>
        <v>10.626000000000001</v>
      </c>
      <c r="BD40" s="1485">
        <f>ED40</f>
        <v>2.512</v>
      </c>
      <c r="BE40" s="1485">
        <f>EE40-BD40</f>
        <v>3.6430000000000002</v>
      </c>
      <c r="BF40" s="1485">
        <f>EF40-BE40-BD40</f>
        <v>-3.3410000000000002</v>
      </c>
      <c r="BG40" s="1485">
        <f>EG40-BF40-BE40-BD40</f>
        <v>4.7399999999999984</v>
      </c>
      <c r="BH40" s="1485">
        <f t="shared" si="74"/>
        <v>16.454000000000001</v>
      </c>
      <c r="BI40" s="1485">
        <f>EI40-BH40</f>
        <v>31.424999999999997</v>
      </c>
      <c r="BJ40" s="1485">
        <f>EJ40-BI40-BH40</f>
        <v>-23.938999999999997</v>
      </c>
      <c r="BK40" s="1485">
        <f>EK40-BJ40-BI40-BH40</f>
        <v>16.035000000000004</v>
      </c>
      <c r="BL40" s="1485">
        <f t="shared" si="75"/>
        <v>-3.0649999999999999</v>
      </c>
      <c r="BM40" s="1485">
        <f>EM40-BL40</f>
        <v>-23.175999999999998</v>
      </c>
      <c r="BN40" s="1485">
        <f>EN40-BM40-BL40</f>
        <v>10.225999999999997</v>
      </c>
      <c r="BO40" s="1485">
        <f>EO40-BN40-BM40-BL40</f>
        <v>40.110999999999997</v>
      </c>
      <c r="BP40" s="1485">
        <v>-33.872</v>
      </c>
      <c r="BQ40" s="1485">
        <v>6.05</v>
      </c>
      <c r="BR40" s="1485">
        <v>0.46</v>
      </c>
      <c r="BS40" s="1485"/>
      <c r="BT40" s="1485"/>
      <c r="BU40" s="1485"/>
      <c r="BV40" s="1485"/>
      <c r="BW40" s="1485"/>
      <c r="BX40" s="1485"/>
      <c r="BY40" s="1485"/>
      <c r="BZ40" s="1485"/>
      <c r="CA40" s="1485"/>
      <c r="CB40" s="1485"/>
      <c r="CC40" s="1485"/>
      <c r="CD40" s="1485"/>
      <c r="CE40" s="1485"/>
      <c r="CF40" s="1485"/>
      <c r="CG40" s="1485"/>
      <c r="CH40" s="1485"/>
      <c r="CI40" s="1485"/>
      <c r="CJ40" s="1485"/>
      <c r="CK40" s="1485"/>
      <c r="CL40" s="1485"/>
      <c r="CM40" s="1485"/>
      <c r="CN40" s="1485"/>
      <c r="CO40" s="1485"/>
      <c r="CP40" s="1485"/>
      <c r="CQ40" s="1485"/>
      <c r="CR40" s="1485"/>
      <c r="CS40" s="1485"/>
      <c r="CT40" s="1485"/>
      <c r="CU40" s="1485"/>
      <c r="CV40" s="1485"/>
      <c r="CW40" s="1485"/>
      <c r="CX40" s="1485"/>
      <c r="CY40" s="1485"/>
      <c r="CZ40" s="1483"/>
      <c r="DA40" s="1483"/>
      <c r="DB40" s="1483"/>
      <c r="DC40" s="1483"/>
      <c r="DD40" s="1483"/>
      <c r="DE40" s="885"/>
      <c r="DF40" s="783"/>
      <c r="DG40" s="783"/>
      <c r="DH40" s="783"/>
      <c r="DI40" s="783">
        <v>79.570999999999998</v>
      </c>
      <c r="DJ40" s="783">
        <v>-33.774999999999999</v>
      </c>
      <c r="DK40" s="783">
        <v>-66.09</v>
      </c>
      <c r="DL40" s="783">
        <v>-61.843000000000004</v>
      </c>
      <c r="DM40" s="783">
        <v>-54.692999999999998</v>
      </c>
      <c r="DN40" s="783">
        <v>-24</v>
      </c>
      <c r="DO40" s="783">
        <v>-28.707999999999998</v>
      </c>
      <c r="DP40" s="783">
        <v>-28.707999999999998</v>
      </c>
      <c r="DQ40" s="783">
        <v>-28.707999999999998</v>
      </c>
      <c r="DR40" s="783"/>
      <c r="DS40" s="783"/>
      <c r="DT40" s="783"/>
      <c r="DU40" s="783">
        <v>2.4540000000000002</v>
      </c>
      <c r="DV40" s="783">
        <v>-0.19600000000000001</v>
      </c>
      <c r="DW40" s="783">
        <v>-1.532</v>
      </c>
      <c r="DX40" s="783">
        <v>0.55100000000000005</v>
      </c>
      <c r="DY40" s="783">
        <v>0.45800000000000002</v>
      </c>
      <c r="DZ40" s="783">
        <v>-0.64300000000000002</v>
      </c>
      <c r="EA40" s="981">
        <v>2.512</v>
      </c>
      <c r="EB40" s="783">
        <v>2.2450000000000001</v>
      </c>
      <c r="EC40" s="783">
        <v>12.871</v>
      </c>
      <c r="ED40" s="783">
        <v>2.512</v>
      </c>
      <c r="EE40" s="783">
        <v>6.1550000000000002</v>
      </c>
      <c r="EF40" s="783">
        <v>2.8140000000000001</v>
      </c>
      <c r="EG40" s="783">
        <v>7.5540000000000003</v>
      </c>
      <c r="EH40" s="783">
        <v>16.454000000000001</v>
      </c>
      <c r="EI40" s="783">
        <v>47.878999999999998</v>
      </c>
      <c r="EJ40" s="783">
        <v>23.94</v>
      </c>
      <c r="EK40" s="783">
        <v>39.975000000000001</v>
      </c>
      <c r="EL40" s="783">
        <v>-3.0649999999999999</v>
      </c>
      <c r="EM40" s="783">
        <v>-26.241</v>
      </c>
      <c r="EN40" s="783">
        <v>-16.015000000000001</v>
      </c>
      <c r="EO40" s="783">
        <v>24.096</v>
      </c>
      <c r="EP40" s="789"/>
      <c r="EQ40" s="789"/>
      <c r="ER40" s="789"/>
      <c r="ES40" s="789"/>
      <c r="EU40" s="42"/>
      <c r="EV40"/>
      <c r="EW40"/>
      <c r="EX40"/>
      <c r="EY40"/>
      <c r="EZ40"/>
      <c r="FA40"/>
    </row>
    <row r="41" spans="2:157" s="15" customFormat="1">
      <c r="B41" s="1039" t="s">
        <v>1051</v>
      </c>
      <c r="C41" s="23"/>
      <c r="D41" s="783"/>
      <c r="E41" s="783"/>
      <c r="F41" s="783"/>
      <c r="G41" s="783"/>
      <c r="H41" s="783">
        <f>SUM(AR41:AU41)</f>
        <v>0</v>
      </c>
      <c r="I41" s="783"/>
      <c r="J41" s="783">
        <f t="shared" si="47"/>
        <v>-88.507000000000005</v>
      </c>
      <c r="K41" s="783">
        <f t="shared" si="48"/>
        <v>-0.23600000000000065</v>
      </c>
      <c r="L41" s="783">
        <f t="shared" si="49"/>
        <v>-662.322</v>
      </c>
      <c r="M41" s="901">
        <f t="shared" si="50"/>
        <v>-23.241</v>
      </c>
      <c r="N41" s="1491">
        <f t="shared" si="51"/>
        <v>-28.175999999999998</v>
      </c>
      <c r="O41" s="1483">
        <f t="shared" si="52"/>
        <v>-113.289</v>
      </c>
      <c r="P41" s="1483">
        <f t="shared" si="53"/>
        <v>-65.947000000000003</v>
      </c>
      <c r="Q41" s="1483">
        <f t="shared" si="54"/>
        <v>-257.69</v>
      </c>
      <c r="R41" s="1483">
        <f t="shared" si="76"/>
        <v>-3.0670000000000002</v>
      </c>
      <c r="S41" s="1483">
        <f t="shared" si="55"/>
        <v>0</v>
      </c>
      <c r="T41" s="1483">
        <f t="shared" si="56"/>
        <v>-245.553</v>
      </c>
      <c r="U41" s="1483">
        <f t="shared" si="57"/>
        <v>-938.15</v>
      </c>
      <c r="V41" s="1483">
        <f t="shared" si="58"/>
        <v>-4010.5959999999995</v>
      </c>
      <c r="W41" s="1483">
        <f t="shared" si="59"/>
        <v>0</v>
      </c>
      <c r="X41" s="1688">
        <f>-BS!X138+BS!X147</f>
        <v>0</v>
      </c>
      <c r="Y41" s="1688">
        <f>-BS!Y138+BS!Y147</f>
        <v>0</v>
      </c>
      <c r="Z41" s="1688">
        <f>-BS!Z138+BS!Z147</f>
        <v>0</v>
      </c>
      <c r="AA41" s="1688">
        <f>-BS!AA138+BS!AA147</f>
        <v>0</v>
      </c>
      <c r="AB41" s="1688">
        <f>-BS!AB138+BS!AB147</f>
        <v>0</v>
      </c>
      <c r="AC41" s="1688">
        <f>-BS!AC138+BS!AC147</f>
        <v>0</v>
      </c>
      <c r="AD41" s="1688">
        <f>-BS!AD138+BS!AD147</f>
        <v>0</v>
      </c>
      <c r="AE41" s="1483"/>
      <c r="AF41" s="1484"/>
      <c r="AG41" s="1484"/>
      <c r="AH41" s="1485">
        <f>DH41-AG41-AF41</f>
        <v>0</v>
      </c>
      <c r="AI41" s="1485">
        <f>DI41-AH41-AG41-AF41</f>
        <v>0</v>
      </c>
      <c r="AJ41" s="1485"/>
      <c r="AK41" s="1485"/>
      <c r="AL41" s="1485"/>
      <c r="AM41" s="1485"/>
      <c r="AN41" s="1485">
        <f t="shared" si="61"/>
        <v>0</v>
      </c>
      <c r="AO41" s="1485">
        <f t="shared" si="62"/>
        <v>0</v>
      </c>
      <c r="AP41" s="1485">
        <f t="shared" si="63"/>
        <v>0</v>
      </c>
      <c r="AQ41" s="1485">
        <f t="shared" si="64"/>
        <v>0</v>
      </c>
      <c r="AR41" s="1485">
        <f t="shared" si="65"/>
        <v>0</v>
      </c>
      <c r="AS41" s="1485">
        <f t="shared" si="66"/>
        <v>0</v>
      </c>
      <c r="AT41" s="1485">
        <f t="shared" si="67"/>
        <v>0</v>
      </c>
      <c r="AU41" s="1485">
        <f t="shared" si="68"/>
        <v>0</v>
      </c>
      <c r="AV41" s="1485">
        <f t="shared" si="69"/>
        <v>0</v>
      </c>
      <c r="AW41" s="1485">
        <f t="shared" si="70"/>
        <v>0</v>
      </c>
      <c r="AX41" s="1485">
        <f t="shared" si="71"/>
        <v>0</v>
      </c>
      <c r="AY41" s="1485">
        <f t="shared" si="72"/>
        <v>0</v>
      </c>
      <c r="AZ41" s="1485">
        <f t="shared" si="73"/>
        <v>0</v>
      </c>
      <c r="BA41" s="1485"/>
      <c r="BB41" s="1485">
        <f>EB41-BA41-AZ41</f>
        <v>-34.726999999999997</v>
      </c>
      <c r="BC41" s="1485">
        <f>EC41-BB41-BA41-AZ41</f>
        <v>-53.780000000000008</v>
      </c>
      <c r="BD41" s="1485"/>
      <c r="BE41" s="1485">
        <f>EE41-BD41</f>
        <v>-9.766</v>
      </c>
      <c r="BF41" s="1485">
        <f>EF41-BE41-BD41</f>
        <v>0</v>
      </c>
      <c r="BG41" s="1485">
        <f>EG41-BF41-BE41-BD41</f>
        <v>9.5299999999999994</v>
      </c>
      <c r="BH41" s="1485">
        <f t="shared" si="74"/>
        <v>-6.5</v>
      </c>
      <c r="BI41" s="1485">
        <f>EI41-BH41</f>
        <v>-49.04</v>
      </c>
      <c r="BJ41" s="1485">
        <f>EJ41-BI41-BH41</f>
        <v>-606.71900000000005</v>
      </c>
      <c r="BK41" s="1485">
        <f>EK41-BJ41-BI41-BH41</f>
        <v>-6.2999999999952649E-2</v>
      </c>
      <c r="BL41" s="1485">
        <f t="shared" si="75"/>
        <v>-23.241</v>
      </c>
      <c r="BM41" s="1485"/>
      <c r="BN41" s="1485"/>
      <c r="BO41" s="1485"/>
      <c r="BP41" s="1485"/>
      <c r="BQ41" s="1485"/>
      <c r="BR41" s="1485">
        <v>-28.175999999999998</v>
      </c>
      <c r="BS41" s="1485"/>
      <c r="BT41" s="1485"/>
      <c r="BU41" s="1485">
        <v>-113.289</v>
      </c>
      <c r="BV41" s="1485"/>
      <c r="BW41" s="1485"/>
      <c r="BX41" s="1485">
        <f>-14.951</f>
        <v>-14.951000000000001</v>
      </c>
      <c r="BY41" s="1485">
        <f>-41.954-9.042</f>
        <v>-50.996000000000002</v>
      </c>
      <c r="BZ41" s="1485"/>
      <c r="CA41" s="1485"/>
      <c r="CB41" s="1485"/>
      <c r="CC41" s="1485"/>
      <c r="CD41" s="1485">
        <f>-188.798-84.236</f>
        <v>-273.03399999999999</v>
      </c>
      <c r="CE41" s="1485">
        <f>-22.918-13.54-24.656+76.458</f>
        <v>15.344000000000001</v>
      </c>
      <c r="CF41" s="1485">
        <v>-0.107</v>
      </c>
      <c r="CG41" s="1485">
        <v>-2.96</v>
      </c>
      <c r="CH41" s="1485"/>
      <c r="CI41" s="1485"/>
      <c r="CJ41" s="1485"/>
      <c r="CK41" s="1485"/>
      <c r="CL41" s="1485"/>
      <c r="CM41" s="1485"/>
      <c r="CN41" s="1485">
        <v>-10.247</v>
      </c>
      <c r="CO41" s="1485"/>
      <c r="CP41" s="1485"/>
      <c r="CQ41" s="1485">
        <v>-235.30600000000001</v>
      </c>
      <c r="CR41" s="1485">
        <v>-1601.627</v>
      </c>
      <c r="CS41" s="1485"/>
      <c r="CT41" s="1485">
        <f>-165.901+805.372</f>
        <v>639.471</v>
      </c>
      <c r="CU41" s="1485">
        <f>23.385+0.621</f>
        <v>24.006</v>
      </c>
      <c r="CV41" s="1485">
        <f>-36.041-41.739+47.767</f>
        <v>-30.012999999999998</v>
      </c>
      <c r="CW41" s="1485">
        <f>-3593.613-6.841</f>
        <v>-3600.4539999999997</v>
      </c>
      <c r="CX41" s="1485">
        <f>1.128-16.384</f>
        <v>-15.256</v>
      </c>
      <c r="CY41" s="1485">
        <f>-334.754-30.119</f>
        <v>-364.87300000000005</v>
      </c>
      <c r="CZ41" s="1688">
        <f>-BS!CZ138+BS!CZ147</f>
        <v>0</v>
      </c>
      <c r="DA41" s="1688">
        <f>-BS!DA138+BS!DA147</f>
        <v>0</v>
      </c>
      <c r="DB41" s="1688">
        <f>-BS!DB138+BS!DB147</f>
        <v>0</v>
      </c>
      <c r="DC41" s="1688">
        <f>-BS!DC138+BS!DC147</f>
        <v>0</v>
      </c>
      <c r="DD41" s="1483"/>
      <c r="DE41" s="885"/>
      <c r="DF41" s="783"/>
      <c r="DG41" s="783"/>
      <c r="DH41" s="783"/>
      <c r="DI41" s="783"/>
      <c r="DJ41" s="783"/>
      <c r="DK41" s="783"/>
      <c r="DL41" s="783"/>
      <c r="DM41" s="783"/>
      <c r="DN41" s="783"/>
      <c r="DO41" s="783"/>
      <c r="DP41" s="783"/>
      <c r="DQ41" s="783"/>
      <c r="DR41" s="783"/>
      <c r="DS41" s="783"/>
      <c r="DT41" s="783"/>
      <c r="DU41" s="783"/>
      <c r="DV41" s="783"/>
      <c r="DW41" s="783"/>
      <c r="DX41" s="783"/>
      <c r="DY41" s="783"/>
      <c r="DZ41" s="783"/>
      <c r="EA41" s="981"/>
      <c r="EB41" s="783">
        <v>-34.726999999999997</v>
      </c>
      <c r="EC41" s="783">
        <f>-34.748-53.759</f>
        <v>-88.507000000000005</v>
      </c>
      <c r="ED41" s="783"/>
      <c r="EE41" s="783">
        <v>-9.766</v>
      </c>
      <c r="EF41" s="783">
        <v>-9.766</v>
      </c>
      <c r="EG41" s="783">
        <f>-9.766+9.53</f>
        <v>-0.23600000000000065</v>
      </c>
      <c r="EH41" s="783">
        <v>-6.5</v>
      </c>
      <c r="EI41" s="783">
        <f>-6.5-49.04</f>
        <v>-55.54</v>
      </c>
      <c r="EJ41" s="783">
        <f>-71.471-49.059-541.729</f>
        <v>-662.25900000000001</v>
      </c>
      <c r="EK41" s="783">
        <f>-49.059-71.471-541.792</f>
        <v>-662.322</v>
      </c>
      <c r="EL41" s="783">
        <v>-23.241</v>
      </c>
      <c r="EM41" s="783">
        <v>-23.241</v>
      </c>
      <c r="EN41" s="783">
        <v>-23.241</v>
      </c>
      <c r="EO41" s="783">
        <v>-23.241</v>
      </c>
      <c r="EP41" s="789"/>
      <c r="EQ41" s="789"/>
      <c r="ER41" s="789"/>
      <c r="ES41" s="789"/>
      <c r="EU41" s="42"/>
      <c r="EV41"/>
      <c r="EW41"/>
      <c r="EX41"/>
      <c r="EY41"/>
      <c r="EZ41"/>
      <c r="FA41"/>
    </row>
    <row r="42" spans="2:157" s="15" customFormat="1">
      <c r="B42" s="1039" t="s">
        <v>1019</v>
      </c>
      <c r="C42" s="23"/>
      <c r="D42" s="930"/>
      <c r="E42" s="930">
        <f>26-24.246</f>
        <v>1.7540000000000013</v>
      </c>
      <c r="F42" s="930">
        <f t="shared" si="44"/>
        <v>0.1769999999999996</v>
      </c>
      <c r="G42" s="930">
        <f t="shared" si="45"/>
        <v>-1.1859999999999999</v>
      </c>
      <c r="H42" s="930">
        <f>SUM(AR42:AU42)</f>
        <v>2.2150000000000003</v>
      </c>
      <c r="I42" s="930">
        <f t="shared" si="46"/>
        <v>1.7509999999999999</v>
      </c>
      <c r="J42" s="930">
        <f t="shared" si="47"/>
        <v>0.125</v>
      </c>
      <c r="K42" s="930">
        <f t="shared" si="48"/>
        <v>8.0000000000000002E-3</v>
      </c>
      <c r="L42" s="930">
        <f t="shared" si="49"/>
        <v>2.5339999999999998</v>
      </c>
      <c r="M42" s="931">
        <f t="shared" si="50"/>
        <v>-13.202999999999999</v>
      </c>
      <c r="N42" s="1487">
        <f>SUM(BP42:BS42)</f>
        <v>12.197999999999999</v>
      </c>
      <c r="O42" s="1487">
        <f t="shared" si="52"/>
        <v>-16.199000000000002</v>
      </c>
      <c r="P42" s="1487">
        <f t="shared" si="53"/>
        <v>-100.78699999999999</v>
      </c>
      <c r="Q42" s="1487">
        <f t="shared" si="54"/>
        <v>96.332000000000008</v>
      </c>
      <c r="R42" s="1487">
        <f t="shared" si="76"/>
        <v>4.769999999999591</v>
      </c>
      <c r="S42" s="1487">
        <f t="shared" si="55"/>
        <v>1.6040000000000001</v>
      </c>
      <c r="T42" s="1487">
        <f t="shared" si="56"/>
        <v>-497.08</v>
      </c>
      <c r="U42" s="1487">
        <f t="shared" si="57"/>
        <v>453.81399999999996</v>
      </c>
      <c r="V42" s="1487">
        <f t="shared" si="58"/>
        <v>0</v>
      </c>
      <c r="W42" s="1487">
        <f t="shared" si="59"/>
        <v>0</v>
      </c>
      <c r="X42" s="1487"/>
      <c r="Y42" s="1487"/>
      <c r="Z42" s="1487"/>
      <c r="AA42" s="1487"/>
      <c r="AB42" s="1487"/>
      <c r="AC42" s="1487"/>
      <c r="AD42" s="1487"/>
      <c r="AE42" s="1483"/>
      <c r="AF42" s="1488"/>
      <c r="AG42" s="1488"/>
      <c r="AH42" s="1489"/>
      <c r="AI42" s="1489"/>
      <c r="AJ42" s="1489">
        <f t="shared" si="60"/>
        <v>1.2250000000000001</v>
      </c>
      <c r="AK42" s="1489">
        <f>DK42-AJ42</f>
        <v>14.173</v>
      </c>
      <c r="AL42" s="1489">
        <f>DL42-AK42-AJ42</f>
        <v>-19.750999999999998</v>
      </c>
      <c r="AM42" s="1489">
        <f>DM42-AL42-AK42-AJ42</f>
        <v>4.5299999999999976</v>
      </c>
      <c r="AN42" s="1489">
        <f t="shared" si="61"/>
        <v>-2.2359999999999998</v>
      </c>
      <c r="AO42" s="1489">
        <f t="shared" si="62"/>
        <v>2.9660000000000002</v>
      </c>
      <c r="AP42" s="1489">
        <f t="shared" si="63"/>
        <v>0</v>
      </c>
      <c r="AQ42" s="1489">
        <f t="shared" si="64"/>
        <v>-1.9160000000000004</v>
      </c>
      <c r="AR42" s="1489">
        <f t="shared" si="65"/>
        <v>1.9890000000000001</v>
      </c>
      <c r="AS42" s="1489">
        <f t="shared" si="66"/>
        <v>0.23100000000000009</v>
      </c>
      <c r="AT42" s="1489">
        <f t="shared" si="67"/>
        <v>-1.4000000000000234E-2</v>
      </c>
      <c r="AU42" s="1489">
        <f t="shared" si="68"/>
        <v>9.0000000000003411E-3</v>
      </c>
      <c r="AV42" s="1489">
        <f t="shared" si="69"/>
        <v>0</v>
      </c>
      <c r="AW42" s="1489">
        <f t="shared" si="70"/>
        <v>0</v>
      </c>
      <c r="AX42" s="1489">
        <f t="shared" si="71"/>
        <v>0</v>
      </c>
      <c r="AY42" s="1489">
        <f t="shared" si="72"/>
        <v>1.7509999999999999</v>
      </c>
      <c r="AZ42" s="1489">
        <f t="shared" si="73"/>
        <v>0</v>
      </c>
      <c r="BA42" s="1489">
        <f>EA42-AZ42</f>
        <v>0</v>
      </c>
      <c r="BB42" s="1489">
        <f>EB42-BA42-AZ42</f>
        <v>0</v>
      </c>
      <c r="BC42" s="1489">
        <f>EC42-BB42-BA42-AZ42</f>
        <v>0.125</v>
      </c>
      <c r="BD42" s="1489">
        <f>ED42</f>
        <v>6.0000000000000001E-3</v>
      </c>
      <c r="BE42" s="1489">
        <f>EE42-BD42</f>
        <v>0</v>
      </c>
      <c r="BF42" s="1489">
        <f>EF42-BE42-BD42</f>
        <v>2E-3</v>
      </c>
      <c r="BG42" s="1489">
        <f>EG42-BF42-BE42-BD42</f>
        <v>0</v>
      </c>
      <c r="BH42" s="1489">
        <f t="shared" si="74"/>
        <v>-0.47</v>
      </c>
      <c r="BI42" s="1489">
        <f>EI42-BH42</f>
        <v>0</v>
      </c>
      <c r="BJ42" s="1489">
        <f>EJ42-BI42-BH42</f>
        <v>1.347</v>
      </c>
      <c r="BK42" s="1489">
        <f>EK42-BJ42-BI42-BH42</f>
        <v>1.6569999999999998</v>
      </c>
      <c r="BL42" s="1489">
        <f t="shared" si="75"/>
        <v>-13.169</v>
      </c>
      <c r="BM42" s="1489">
        <f>EM42-BL42</f>
        <v>-0.73199999999999932</v>
      </c>
      <c r="BN42" s="1489">
        <f>EN42-BM42-BL42</f>
        <v>0</v>
      </c>
      <c r="BO42" s="1489">
        <f>EO42-BN42-BM42-BL42</f>
        <v>0.6980000000000004</v>
      </c>
      <c r="BP42" s="1489">
        <v>7.3360000000000003</v>
      </c>
      <c r="BQ42" s="1489">
        <v>2.863</v>
      </c>
      <c r="BR42" s="1489">
        <f>1.867</f>
        <v>1.867</v>
      </c>
      <c r="BS42" s="1489">
        <v>0.13200000000000001</v>
      </c>
      <c r="BT42" s="1489">
        <v>-0.442</v>
      </c>
      <c r="BU42" s="1489">
        <v>-0.47399999999999998</v>
      </c>
      <c r="BV42" s="1489"/>
      <c r="BW42" s="1489">
        <f>-14.861-0.422</f>
        <v>-15.283000000000001</v>
      </c>
      <c r="BX42" s="1489">
        <f>-94.138</f>
        <v>-94.138000000000005</v>
      </c>
      <c r="BY42" s="1489">
        <v>-0.84499999999999997</v>
      </c>
      <c r="BZ42" s="1489">
        <v>6.0999999999999999E-2</v>
      </c>
      <c r="CA42" s="1489">
        <f>-4.073-1.792</f>
        <v>-5.8650000000000002</v>
      </c>
      <c r="CB42" s="1489">
        <v>68.557000000000002</v>
      </c>
      <c r="CC42" s="1489">
        <v>10.743</v>
      </c>
      <c r="CD42" s="1720">
        <f>-0.133+29.251</f>
        <v>29.118000000000002</v>
      </c>
      <c r="CE42" s="1720">
        <v>-12.086</v>
      </c>
      <c r="CF42" s="1489">
        <v>-833.80100000000004</v>
      </c>
      <c r="CG42" s="1489">
        <v>838.96299999999997</v>
      </c>
      <c r="CH42" s="1489">
        <v>1.159</v>
      </c>
      <c r="CI42" s="1720">
        <v>-1.5510000000003299</v>
      </c>
      <c r="CJ42" s="1489">
        <v>-7.0999999999999994E-2</v>
      </c>
      <c r="CK42" s="1489">
        <v>0.58199999999999996</v>
      </c>
      <c r="CL42" s="1489">
        <v>0.89800000000000002</v>
      </c>
      <c r="CM42" s="1489">
        <v>0.19500000000000001</v>
      </c>
      <c r="CN42" s="1489">
        <v>3.5209999999999999</v>
      </c>
      <c r="CO42" s="1489">
        <v>-511.166</v>
      </c>
      <c r="CP42" s="1489">
        <v>14.273999999999999</v>
      </c>
      <c r="CQ42" s="1489">
        <v>-3.7090000000000001</v>
      </c>
      <c r="CR42" s="1489">
        <v>466.70400000000001</v>
      </c>
      <c r="CS42" s="1489">
        <v>-0.11700000000000001</v>
      </c>
      <c r="CT42" s="1489">
        <v>-21.850999999999999</v>
      </c>
      <c r="CU42" s="1489">
        <v>9.0779999999999994</v>
      </c>
      <c r="CV42" s="1489"/>
      <c r="CW42" s="1489"/>
      <c r="CX42" s="1489"/>
      <c r="CY42" s="1489"/>
      <c r="CZ42" s="1492"/>
      <c r="DA42" s="1492"/>
      <c r="DB42" s="1492"/>
      <c r="DC42" s="1492"/>
      <c r="DD42" s="1483"/>
      <c r="DE42" s="885"/>
      <c r="DF42" s="930"/>
      <c r="DG42" s="930"/>
      <c r="DH42" s="930">
        <f>-18.54+13</f>
        <v>-5.5399999999999991</v>
      </c>
      <c r="DI42" s="930">
        <f>+-24.246+26</f>
        <v>1.7540000000000013</v>
      </c>
      <c r="DJ42" s="930">
        <v>1.2250000000000001</v>
      </c>
      <c r="DK42" s="930">
        <f>+-0.822+16.22</f>
        <v>15.398</v>
      </c>
      <c r="DL42" s="930">
        <f>+-25.325+20.972</f>
        <v>-4.352999999999998</v>
      </c>
      <c r="DM42" s="930">
        <f>+-25.02+25.197</f>
        <v>0.1769999999999996</v>
      </c>
      <c r="DN42" s="930">
        <f>+-5.09+2.854</f>
        <v>-2.2359999999999998</v>
      </c>
      <c r="DO42" s="930">
        <f>+-5.09+5.82</f>
        <v>0.73000000000000043</v>
      </c>
      <c r="DP42" s="930">
        <f>+-5.09+5.82</f>
        <v>0.73000000000000043</v>
      </c>
      <c r="DQ42" s="930">
        <f>+-5.09+3.904</f>
        <v>-1.1859999999999999</v>
      </c>
      <c r="DR42" s="930">
        <v>1.9890000000000001</v>
      </c>
      <c r="DS42" s="930">
        <f>2.27-0.05</f>
        <v>2.2200000000000002</v>
      </c>
      <c r="DT42" s="930">
        <f>2.256-0.05</f>
        <v>2.206</v>
      </c>
      <c r="DU42" s="930">
        <f>2.265-0.05</f>
        <v>2.2150000000000003</v>
      </c>
      <c r="DV42" s="930"/>
      <c r="DW42" s="930"/>
      <c r="DX42" s="930"/>
      <c r="DY42" s="930">
        <v>1.7509999999999999</v>
      </c>
      <c r="DZ42" s="930"/>
      <c r="EA42" s="1037"/>
      <c r="EB42" s="930"/>
      <c r="EC42" s="930">
        <v>0.125</v>
      </c>
      <c r="ED42" s="930">
        <v>6.0000000000000001E-3</v>
      </c>
      <c r="EE42" s="930">
        <v>6.0000000000000001E-3</v>
      </c>
      <c r="EF42" s="930">
        <v>8.0000000000000002E-3</v>
      </c>
      <c r="EG42" s="930">
        <v>8.0000000000000002E-3</v>
      </c>
      <c r="EH42" s="930">
        <v>-0.47</v>
      </c>
      <c r="EI42" s="930">
        <v>-0.47</v>
      </c>
      <c r="EJ42" s="930">
        <v>0.877</v>
      </c>
      <c r="EK42" s="930">
        <f>1.657+0.877</f>
        <v>2.5339999999999998</v>
      </c>
      <c r="EL42" s="930">
        <v>-13.169</v>
      </c>
      <c r="EM42" s="930">
        <f>+-14.234+0.333</f>
        <v>-13.901</v>
      </c>
      <c r="EN42" s="930">
        <f>+-14.234+0.333</f>
        <v>-13.901</v>
      </c>
      <c r="EO42" s="930">
        <f>+-14.234+1.031</f>
        <v>-13.202999999999999</v>
      </c>
      <c r="EP42" s="1040"/>
      <c r="EQ42" s="1040"/>
      <c r="ER42" s="1040"/>
      <c r="ES42" s="1040"/>
      <c r="EU42" s="42"/>
      <c r="EV42"/>
      <c r="EW42"/>
      <c r="EX42"/>
      <c r="EY42"/>
      <c r="EZ42"/>
      <c r="FA42"/>
    </row>
    <row r="43" spans="2:157" s="15" customFormat="1">
      <c r="B43" s="1041" t="s">
        <v>1016</v>
      </c>
      <c r="C43" s="23"/>
      <c r="D43" s="54">
        <f>SUM(D35:D42)</f>
        <v>0</v>
      </c>
      <c r="E43" s="54">
        <f>SUM(E35:E42)</f>
        <v>-302.1579999999999</v>
      </c>
      <c r="F43" s="54">
        <f>SUM(F35:F42)</f>
        <v>-153.01400000000001</v>
      </c>
      <c r="G43" s="54">
        <f>SUM(G35:G42)</f>
        <v>-7.5279999999999987</v>
      </c>
      <c r="H43" s="54">
        <f t="shared" ref="H43:S43" si="77">SUM(H35:H42)</f>
        <v>-49.178999999999995</v>
      </c>
      <c r="I43" s="54">
        <f t="shared" si="77"/>
        <v>-56.864999999999988</v>
      </c>
      <c r="J43" s="54">
        <f t="shared" si="77"/>
        <v>-108.72199999999999</v>
      </c>
      <c r="K43" s="54">
        <f t="shared" si="77"/>
        <v>-158.46999999999997</v>
      </c>
      <c r="L43" s="978">
        <f t="shared" si="77"/>
        <v>-1054.7249999999999</v>
      </c>
      <c r="M43" s="978">
        <f t="shared" si="77"/>
        <v>-478.04</v>
      </c>
      <c r="N43" s="1483">
        <f t="shared" si="77"/>
        <v>-558.178</v>
      </c>
      <c r="O43" s="1483">
        <f t="shared" si="77"/>
        <v>-600.96900000000005</v>
      </c>
      <c r="P43" s="1483">
        <f t="shared" si="77"/>
        <v>-1496.5020000000002</v>
      </c>
      <c r="Q43" s="1483">
        <f t="shared" si="77"/>
        <v>-426.60700000000008</v>
      </c>
      <c r="R43" s="1483">
        <f t="shared" si="77"/>
        <v>-1170.4410000000003</v>
      </c>
      <c r="S43" s="1483">
        <f t="shared" si="77"/>
        <v>-435.839</v>
      </c>
      <c r="T43" s="1483">
        <f t="shared" ref="T43:Z43" si="78">SUM(T35:T42)</f>
        <v>-1134.9270000000001</v>
      </c>
      <c r="U43" s="1483">
        <f t="shared" si="78"/>
        <v>-1592.1550000000002</v>
      </c>
      <c r="V43" s="1483">
        <f>SUM(V35:V42)</f>
        <v>-5400.8259999999991</v>
      </c>
      <c r="W43" s="1483">
        <f ca="1">SUM(W35:W42)</f>
        <v>-1935.5663438236479</v>
      </c>
      <c r="X43" s="1483">
        <f t="shared" ca="1" si="78"/>
        <v>-1853.1485108793856</v>
      </c>
      <c r="Y43" s="1483">
        <f t="shared" ca="1" si="78"/>
        <v>-1659.9433173086413</v>
      </c>
      <c r="Z43" s="1483">
        <f t="shared" ca="1" si="78"/>
        <v>-1618.4103193755129</v>
      </c>
      <c r="AA43" s="1483">
        <f t="shared" ref="AA43:AD43" ca="1" si="79">SUM(AA35:AA42)</f>
        <v>-1626.0760966777502</v>
      </c>
      <c r="AB43" s="1483">
        <f t="shared" ca="1" si="79"/>
        <v>-1633.809178891328</v>
      </c>
      <c r="AC43" s="1483">
        <f t="shared" ca="1" si="79"/>
        <v>-1641.6704325604251</v>
      </c>
      <c r="AD43" s="1483">
        <f t="shared" ca="1" si="79"/>
        <v>-1649.5823160395212</v>
      </c>
      <c r="AE43" s="1483"/>
      <c r="AF43" s="1483"/>
      <c r="AG43" s="1483"/>
      <c r="AH43" s="1483">
        <f t="shared" ref="AH43:AM43" si="80">SUM(AH35:AH42)</f>
        <v>-186.63899999999998</v>
      </c>
      <c r="AI43" s="1483">
        <f t="shared" si="80"/>
        <v>-42.825000000000017</v>
      </c>
      <c r="AJ43" s="1483">
        <f t="shared" si="80"/>
        <v>-115.18</v>
      </c>
      <c r="AK43" s="1483">
        <f t="shared" si="80"/>
        <v>-51.757000000000005</v>
      </c>
      <c r="AL43" s="1483">
        <f t="shared" si="80"/>
        <v>-24.875</v>
      </c>
      <c r="AM43" s="1483">
        <f t="shared" si="80"/>
        <v>38.798000000000002</v>
      </c>
      <c r="AN43" s="1483">
        <f t="shared" ref="AN43:BK43" si="81">SUM(AN35:AN42)</f>
        <v>-21.577999999999999</v>
      </c>
      <c r="AO43" s="1483">
        <f t="shared" si="81"/>
        <v>11.956999999999997</v>
      </c>
      <c r="AP43" s="1483">
        <f t="shared" si="81"/>
        <v>3.113999999999999</v>
      </c>
      <c r="AQ43" s="1483">
        <f t="shared" si="81"/>
        <v>-1.0209999999999959</v>
      </c>
      <c r="AR43" s="1483">
        <f t="shared" si="81"/>
        <v>1.6430000000000002</v>
      </c>
      <c r="AS43" s="1483">
        <f t="shared" si="81"/>
        <v>-0.88299999999999979</v>
      </c>
      <c r="AT43" s="1483">
        <f t="shared" si="81"/>
        <v>-4.9430000000000005</v>
      </c>
      <c r="AU43" s="1483">
        <f t="shared" si="81"/>
        <v>-11.436999999999998</v>
      </c>
      <c r="AV43" s="1483">
        <f t="shared" si="81"/>
        <v>-12.347</v>
      </c>
      <c r="AW43" s="1483">
        <f t="shared" si="81"/>
        <v>-26.751999999999999</v>
      </c>
      <c r="AX43" s="1483">
        <f t="shared" si="81"/>
        <v>-20.819000000000003</v>
      </c>
      <c r="AY43" s="1483">
        <f t="shared" si="81"/>
        <v>3.0529999999999911</v>
      </c>
      <c r="AZ43" s="1483">
        <f t="shared" si="81"/>
        <v>1.8230000000000011</v>
      </c>
      <c r="BA43" s="1483">
        <f t="shared" si="81"/>
        <v>2.288999999999997</v>
      </c>
      <c r="BB43" s="1483">
        <f t="shared" si="81"/>
        <v>-43.075000000000003</v>
      </c>
      <c r="BC43" s="1483">
        <f t="shared" si="81"/>
        <v>-69.759</v>
      </c>
      <c r="BD43" s="1483">
        <f t="shared" si="81"/>
        <v>-35.573</v>
      </c>
      <c r="BE43" s="1483">
        <f t="shared" si="81"/>
        <v>-25.347999999999992</v>
      </c>
      <c r="BF43" s="1483">
        <f t="shared" si="81"/>
        <v>-60.757000000000005</v>
      </c>
      <c r="BG43" s="1483">
        <f t="shared" si="81"/>
        <v>-36.792000000000016</v>
      </c>
      <c r="BH43" s="1483">
        <f t="shared" si="81"/>
        <v>-48.056999999999995</v>
      </c>
      <c r="BI43" s="1483">
        <f t="shared" si="81"/>
        <v>-181.89199999999997</v>
      </c>
      <c r="BJ43" s="1483">
        <f t="shared" si="81"/>
        <v>-721.25700000000006</v>
      </c>
      <c r="BK43" s="1483">
        <f t="shared" si="81"/>
        <v>-103.51899999999991</v>
      </c>
      <c r="BL43" s="1483">
        <f t="shared" ref="BL43:BS43" si="82">SUM(BL35:BL42)</f>
        <v>-136.19999999999999</v>
      </c>
      <c r="BM43" s="1483">
        <f t="shared" si="82"/>
        <v>-216.215</v>
      </c>
      <c r="BN43" s="1483">
        <f t="shared" si="82"/>
        <v>-82.434999999999988</v>
      </c>
      <c r="BO43" s="1483">
        <f t="shared" si="82"/>
        <v>-43.190000000000026</v>
      </c>
      <c r="BP43" s="1483">
        <f t="shared" si="82"/>
        <v>-77.884999999999991</v>
      </c>
      <c r="BQ43" s="1483">
        <f t="shared" si="82"/>
        <v>-204.06</v>
      </c>
      <c r="BR43" s="1483">
        <f t="shared" si="82"/>
        <v>-260.54899999999998</v>
      </c>
      <c r="BS43" s="1483">
        <f t="shared" si="82"/>
        <v>-15.683999999999989</v>
      </c>
      <c r="BT43" s="1483">
        <f t="shared" ref="BT43:CJ43" si="83">SUM(BT35:BT42)</f>
        <v>-31.557000000000009</v>
      </c>
      <c r="BU43" s="1483">
        <f t="shared" si="83"/>
        <v>-327.45499999999998</v>
      </c>
      <c r="BV43" s="1483">
        <f t="shared" si="83"/>
        <v>-259.495</v>
      </c>
      <c r="BW43" s="1483">
        <f t="shared" si="83"/>
        <v>17.537999999999997</v>
      </c>
      <c r="BX43" s="1483">
        <f t="shared" si="83"/>
        <v>-283.78999999999996</v>
      </c>
      <c r="BY43" s="1483">
        <f t="shared" si="83"/>
        <v>-209.73700000000002</v>
      </c>
      <c r="BZ43" s="1483">
        <f t="shared" si="83"/>
        <v>-808.69299999999998</v>
      </c>
      <c r="CA43" s="1483">
        <f t="shared" si="83"/>
        <v>-194.28200000000001</v>
      </c>
      <c r="CB43" s="1483">
        <f t="shared" si="83"/>
        <v>269.43299999999999</v>
      </c>
      <c r="CC43" s="1483">
        <f t="shared" si="83"/>
        <v>93.879999999999967</v>
      </c>
      <c r="CD43" s="1483">
        <f t="shared" si="83"/>
        <v>-567.60799999999995</v>
      </c>
      <c r="CE43" s="1483">
        <f t="shared" si="83"/>
        <v>-222.31200000000001</v>
      </c>
      <c r="CF43" s="1483">
        <f t="shared" si="83"/>
        <v>-1142.54</v>
      </c>
      <c r="CG43" s="1483">
        <f t="shared" si="83"/>
        <v>537.54700000000003</v>
      </c>
      <c r="CH43" s="1483">
        <f t="shared" si="83"/>
        <v>-330.95799999999997</v>
      </c>
      <c r="CI43" s="1483">
        <f t="shared" si="83"/>
        <v>-234.49000000000035</v>
      </c>
      <c r="CJ43" s="1483">
        <f t="shared" si="83"/>
        <v>98.885000000000005</v>
      </c>
      <c r="CK43" s="1483">
        <f t="shared" ref="CK43:CQ43" si="84">SUM(CK35:CK42)</f>
        <v>91.502999999999986</v>
      </c>
      <c r="CL43" s="1483">
        <f t="shared" si="84"/>
        <v>-6.3159999999999989</v>
      </c>
      <c r="CM43" s="1483">
        <f t="shared" si="84"/>
        <v>-619.91099999999994</v>
      </c>
      <c r="CN43" s="1483">
        <f t="shared" si="84"/>
        <v>-199.83400000000003</v>
      </c>
      <c r="CO43" s="1483">
        <f t="shared" si="84"/>
        <v>-298.54200000000003</v>
      </c>
      <c r="CP43" s="1483">
        <f t="shared" si="84"/>
        <v>-107.55499999999999</v>
      </c>
      <c r="CQ43" s="1483">
        <f t="shared" si="84"/>
        <v>-528.99599999999998</v>
      </c>
      <c r="CR43" s="1483">
        <f t="shared" ref="CR43:CU43" si="85">SUM(CR35:CR42)</f>
        <v>-1322.787</v>
      </c>
      <c r="CS43" s="1483">
        <f t="shared" si="85"/>
        <v>-252.92999999999998</v>
      </c>
      <c r="CT43" s="1483">
        <f t="shared" si="85"/>
        <v>336.02000000000004</v>
      </c>
      <c r="CU43" s="1483">
        <f t="shared" si="85"/>
        <v>-352.45800000000008</v>
      </c>
      <c r="CV43" s="1483">
        <f>SUM(CV35:CV42)</f>
        <v>-314.35899999999998</v>
      </c>
      <c r="CW43" s="1483">
        <f>SUM(CW35:CW42)</f>
        <v>-3938.723</v>
      </c>
      <c r="CX43" s="1483">
        <f>SUM(CX35:CX42)</f>
        <v>-363.74799999999993</v>
      </c>
      <c r="CY43" s="1483">
        <f>SUM(CY35:CY42)</f>
        <v>-783.99600000000009</v>
      </c>
      <c r="CZ43" s="1483">
        <f t="shared" ref="CZ43:DC43" ca="1" si="86">SUM(CZ35:CZ42)</f>
        <v>-362.12274004330436</v>
      </c>
      <c r="DA43" s="1483">
        <f t="shared" ca="1" si="86"/>
        <v>-246.47940058632264</v>
      </c>
      <c r="DB43" s="1483">
        <f t="shared" ca="1" si="86"/>
        <v>-668.95743560835956</v>
      </c>
      <c r="DC43" s="1483">
        <f t="shared" ca="1" si="86"/>
        <v>-658.00676758566112</v>
      </c>
      <c r="DD43" s="1483"/>
      <c r="DE43" s="885"/>
      <c r="DF43" s="885">
        <f>SUM(DF35:DF42)</f>
        <v>0</v>
      </c>
      <c r="DG43" s="885">
        <f>SUM(DG35:DG42)</f>
        <v>0</v>
      </c>
      <c r="DH43" s="885">
        <f t="shared" ref="DH43:ES43" si="87">SUM(DH35:DH42)</f>
        <v>-243.56899999999999</v>
      </c>
      <c r="DI43" s="885">
        <f t="shared" si="87"/>
        <v>-302.1579999999999</v>
      </c>
      <c r="DJ43" s="885">
        <f t="shared" si="87"/>
        <v>-115.18</v>
      </c>
      <c r="DK43" s="885">
        <f t="shared" si="87"/>
        <v>-166.93700000000001</v>
      </c>
      <c r="DL43" s="885">
        <f t="shared" si="87"/>
        <v>-191.81200000000001</v>
      </c>
      <c r="DM43" s="885">
        <f t="shared" si="87"/>
        <v>-153.01400000000001</v>
      </c>
      <c r="DN43" s="885">
        <f t="shared" si="87"/>
        <v>-21.577999999999999</v>
      </c>
      <c r="DO43" s="885">
        <f t="shared" si="87"/>
        <v>-9.6210000000000022</v>
      </c>
      <c r="DP43" s="885">
        <f t="shared" si="87"/>
        <v>-6.5070000000000014</v>
      </c>
      <c r="DQ43" s="885">
        <f t="shared" si="87"/>
        <v>-7.5279999999999951</v>
      </c>
      <c r="DR43" s="885">
        <f t="shared" si="87"/>
        <v>1.6430000000000002</v>
      </c>
      <c r="DS43" s="885">
        <f t="shared" si="87"/>
        <v>0.76000000000000023</v>
      </c>
      <c r="DT43" s="885">
        <f t="shared" si="87"/>
        <v>-4.1829999999999998</v>
      </c>
      <c r="DU43" s="885">
        <f t="shared" si="87"/>
        <v>-15.620000000000001</v>
      </c>
      <c r="DV43" s="885">
        <f t="shared" si="87"/>
        <v>-12.347</v>
      </c>
      <c r="DW43" s="885">
        <f t="shared" si="87"/>
        <v>-39.099000000000004</v>
      </c>
      <c r="DX43" s="885">
        <f t="shared" si="87"/>
        <v>-59.918000000000006</v>
      </c>
      <c r="DY43" s="885">
        <f t="shared" si="87"/>
        <v>-56.865000000000016</v>
      </c>
      <c r="DZ43" s="885">
        <f t="shared" si="87"/>
        <v>1.8230000000000011</v>
      </c>
      <c r="EA43" s="886">
        <f t="shared" si="87"/>
        <v>4.1119999999999983</v>
      </c>
      <c r="EB43" s="885">
        <f t="shared" si="87"/>
        <v>-38.963000000000001</v>
      </c>
      <c r="EC43" s="885">
        <f t="shared" si="87"/>
        <v>-108.72200000000001</v>
      </c>
      <c r="ED43" s="885">
        <f t="shared" si="87"/>
        <v>-35.573</v>
      </c>
      <c r="EE43" s="885">
        <f t="shared" si="87"/>
        <v>-60.920999999999992</v>
      </c>
      <c r="EF43" s="885">
        <f t="shared" si="87"/>
        <v>-121.678</v>
      </c>
      <c r="EG43" s="885">
        <f t="shared" si="87"/>
        <v>-158.46999999999997</v>
      </c>
      <c r="EH43" s="885">
        <f t="shared" si="87"/>
        <v>-48.056999999999995</v>
      </c>
      <c r="EI43" s="885">
        <f t="shared" si="87"/>
        <v>-229.94900000000001</v>
      </c>
      <c r="EJ43" s="885">
        <f t="shared" si="87"/>
        <v>-951.20600000000013</v>
      </c>
      <c r="EK43" s="885">
        <f t="shared" si="87"/>
        <v>-1054.7249999999999</v>
      </c>
      <c r="EL43" s="885">
        <f t="shared" si="87"/>
        <v>-136.19999999999999</v>
      </c>
      <c r="EM43" s="885">
        <f t="shared" si="87"/>
        <v>-352.41500000000002</v>
      </c>
      <c r="EN43" s="885">
        <f t="shared" si="87"/>
        <v>-434.84999999999997</v>
      </c>
      <c r="EO43" s="885">
        <f t="shared" si="87"/>
        <v>-478.03999999999996</v>
      </c>
      <c r="EP43" s="885">
        <f t="shared" si="87"/>
        <v>0</v>
      </c>
      <c r="EQ43" s="885">
        <f t="shared" si="87"/>
        <v>0</v>
      </c>
      <c r="ER43" s="885">
        <f t="shared" si="87"/>
        <v>0</v>
      </c>
      <c r="ES43" s="885">
        <f t="shared" si="87"/>
        <v>0</v>
      </c>
      <c r="EU43" s="42"/>
      <c r="EV43"/>
      <c r="EW43"/>
      <c r="EX43"/>
      <c r="EY43"/>
      <c r="EZ43"/>
      <c r="FA43"/>
    </row>
    <row r="44" spans="2:157" s="15" customFormat="1" ht="12.75" customHeight="1">
      <c r="B44" s="23"/>
      <c r="C44" s="23"/>
      <c r="D44" s="54"/>
      <c r="E44" s="54"/>
      <c r="F44" s="54"/>
      <c r="G44" s="54"/>
      <c r="H44" s="166"/>
      <c r="I44" s="54"/>
      <c r="J44" s="54"/>
      <c r="K44" s="54"/>
      <c r="L44" s="54"/>
      <c r="M44" s="23"/>
      <c r="N44" s="1483"/>
      <c r="O44" s="1483"/>
      <c r="P44" s="1483"/>
      <c r="Q44" s="1483"/>
      <c r="R44" s="1483"/>
      <c r="S44" s="1483"/>
      <c r="T44" s="1483"/>
      <c r="U44" s="1483"/>
      <c r="V44" s="1483"/>
      <c r="W44" s="1483"/>
      <c r="X44" s="1483"/>
      <c r="Y44" s="1483"/>
      <c r="Z44" s="1483"/>
      <c r="AA44" s="1483"/>
      <c r="AB44" s="1483"/>
      <c r="AC44" s="1483"/>
      <c r="AD44" s="1483"/>
      <c r="AE44" s="1483"/>
      <c r="AF44" s="1483"/>
      <c r="AG44" s="1483"/>
      <c r="AH44" s="1483"/>
      <c r="AI44" s="1483"/>
      <c r="AJ44" s="1483"/>
      <c r="AK44" s="1483"/>
      <c r="AL44" s="1483"/>
      <c r="AM44" s="1483"/>
      <c r="AN44" s="1483"/>
      <c r="AO44" s="1483"/>
      <c r="AP44" s="1483"/>
      <c r="AQ44" s="1483"/>
      <c r="AR44" s="1483"/>
      <c r="AS44" s="1483"/>
      <c r="AT44" s="1483"/>
      <c r="AU44" s="1483"/>
      <c r="AV44" s="1483"/>
      <c r="AW44" s="1483"/>
      <c r="AX44" s="1483"/>
      <c r="AY44" s="1483"/>
      <c r="AZ44" s="1483"/>
      <c r="BA44" s="1483"/>
      <c r="BB44" s="1483"/>
      <c r="BC44" s="1483"/>
      <c r="BD44" s="1483"/>
      <c r="BE44" s="1483"/>
      <c r="BF44" s="1483"/>
      <c r="BG44" s="1483"/>
      <c r="BH44" s="1483"/>
      <c r="BI44" s="1483"/>
      <c r="BJ44" s="1483"/>
      <c r="BK44" s="1483"/>
      <c r="BL44" s="1483"/>
      <c r="BM44" s="1483"/>
      <c r="BN44" s="1483"/>
      <c r="BO44" s="1483"/>
      <c r="BP44" s="1483"/>
      <c r="BQ44" s="1483"/>
      <c r="BR44" s="1483"/>
      <c r="BS44" s="1483"/>
      <c r="BT44" s="1483"/>
      <c r="BU44" s="1483"/>
      <c r="BV44" s="1483"/>
      <c r="BW44" s="1483"/>
      <c r="BX44" s="1483"/>
      <c r="BY44" s="1483"/>
      <c r="BZ44" s="1483"/>
      <c r="CA44" s="1483"/>
      <c r="CB44" s="1483"/>
      <c r="CC44" s="1483"/>
      <c r="CD44" s="1483"/>
      <c r="CE44" s="1483"/>
      <c r="CF44" s="1483"/>
      <c r="CG44" s="1483"/>
      <c r="CH44" s="1483"/>
      <c r="CI44" s="1483"/>
      <c r="CJ44" s="1483"/>
      <c r="CK44" s="1483"/>
      <c r="CL44" s="1483"/>
      <c r="CM44" s="1483"/>
      <c r="CN44" s="1483"/>
      <c r="CO44" s="1483"/>
      <c r="CP44" s="1483"/>
      <c r="CQ44" s="1483"/>
      <c r="CR44" s="1483"/>
      <c r="CS44" s="1483"/>
      <c r="CT44" s="1483"/>
      <c r="CU44" s="1483"/>
      <c r="CV44" s="1483"/>
      <c r="CW44" s="1483"/>
      <c r="CX44" s="1483"/>
      <c r="CY44" s="1483"/>
      <c r="CZ44" s="1483"/>
      <c r="DA44" s="1483"/>
      <c r="DB44" s="1483"/>
      <c r="DC44" s="1483"/>
      <c r="DD44" s="1483"/>
      <c r="DF44" s="783"/>
      <c r="DG44" s="783"/>
      <c r="DH44" s="783"/>
      <c r="EA44" s="886"/>
      <c r="EU44" s="42"/>
      <c r="EV44"/>
      <c r="EW44"/>
      <c r="EX44"/>
      <c r="EY44"/>
      <c r="EZ44"/>
      <c r="FA44"/>
    </row>
    <row r="45" spans="2:157" s="15" customFormat="1">
      <c r="B45" s="14" t="s">
        <v>1105</v>
      </c>
      <c r="C45" s="23"/>
      <c r="D45" s="783"/>
      <c r="E45" s="783"/>
      <c r="F45" s="783"/>
      <c r="G45" s="783"/>
      <c r="H45" s="783"/>
      <c r="I45" s="783"/>
      <c r="J45" s="783"/>
      <c r="K45" s="783"/>
      <c r="L45" s="783"/>
      <c r="M45" s="23"/>
      <c r="N45" s="1483"/>
      <c r="O45" s="1483"/>
      <c r="P45" s="1483"/>
      <c r="Q45" s="1483"/>
      <c r="R45" s="1483"/>
      <c r="S45" s="1483"/>
      <c r="T45" s="1483"/>
      <c r="U45" s="1483"/>
      <c r="V45" s="1483"/>
      <c r="W45" s="1483"/>
      <c r="X45" s="1483"/>
      <c r="Y45" s="1483"/>
      <c r="Z45" s="1483"/>
      <c r="AA45" s="1483"/>
      <c r="AB45" s="1483"/>
      <c r="AC45" s="1483"/>
      <c r="AD45" s="1483"/>
      <c r="AE45" s="1483"/>
      <c r="AF45" s="1483"/>
      <c r="AG45" s="1483"/>
      <c r="AH45" s="1483"/>
      <c r="AI45" s="1483"/>
      <c r="AJ45" s="1483"/>
      <c r="AK45" s="1483"/>
      <c r="AL45" s="1483"/>
      <c r="AM45" s="1483"/>
      <c r="AN45" s="1483"/>
      <c r="AO45" s="1483"/>
      <c r="AP45" s="1483"/>
      <c r="AQ45" s="1483"/>
      <c r="AR45" s="1483"/>
      <c r="AS45" s="1483"/>
      <c r="AT45" s="1483"/>
      <c r="AU45" s="1483"/>
      <c r="AV45" s="1483"/>
      <c r="AW45" s="1483"/>
      <c r="AX45" s="1483"/>
      <c r="AY45" s="1483"/>
      <c r="AZ45" s="1483"/>
      <c r="BA45" s="1483"/>
      <c r="BB45" s="1483"/>
      <c r="BC45" s="1483"/>
      <c r="BD45" s="1483"/>
      <c r="BE45" s="1483"/>
      <c r="BF45" s="1483"/>
      <c r="BG45" s="1483"/>
      <c r="BH45" s="1483"/>
      <c r="BI45" s="1483"/>
      <c r="BJ45" s="1483"/>
      <c r="BK45" s="1483"/>
      <c r="BL45" s="1483"/>
      <c r="BM45" s="1483"/>
      <c r="BN45" s="1483"/>
      <c r="BO45" s="1483"/>
      <c r="BP45" s="1483"/>
      <c r="BQ45" s="1483"/>
      <c r="BR45" s="1483"/>
      <c r="BS45" s="1483"/>
      <c r="BT45" s="1483"/>
      <c r="BU45" s="1483"/>
      <c r="BV45" s="1483"/>
      <c r="BW45" s="1483"/>
      <c r="BX45" s="1483"/>
      <c r="BY45" s="1483"/>
      <c r="BZ45" s="1483"/>
      <c r="CA45" s="1483"/>
      <c r="CB45" s="1483"/>
      <c r="CC45" s="1483"/>
      <c r="CD45" s="1483"/>
      <c r="CE45" s="1483"/>
      <c r="CF45" s="1483"/>
      <c r="CG45" s="1483"/>
      <c r="CH45" s="1483"/>
      <c r="CI45" s="1483"/>
      <c r="CJ45" s="1483"/>
      <c r="CK45" s="1483"/>
      <c r="CL45" s="1483"/>
      <c r="CM45" s="1483"/>
      <c r="CN45" s="1483"/>
      <c r="CO45" s="1483"/>
      <c r="CP45" s="1483"/>
      <c r="CQ45" s="1483"/>
      <c r="CR45" s="1483"/>
      <c r="CS45" s="1483"/>
      <c r="CT45" s="1483"/>
      <c r="CU45" s="1483"/>
      <c r="CV45" s="1483"/>
      <c r="CW45" s="1483"/>
      <c r="CX45" s="1483"/>
      <c r="CY45" s="1483"/>
      <c r="CZ45" s="1483"/>
      <c r="DA45" s="1483"/>
      <c r="DB45" s="1483"/>
      <c r="DC45" s="1483"/>
      <c r="DD45" s="1483"/>
      <c r="DF45" s="783"/>
      <c r="DG45" s="783"/>
      <c r="DH45" s="783"/>
      <c r="EA45" s="886"/>
      <c r="EU45" s="42"/>
      <c r="EV45"/>
      <c r="EW45"/>
      <c r="EX45"/>
      <c r="EY45"/>
      <c r="EZ45"/>
      <c r="FA45"/>
    </row>
    <row r="46" spans="2:157" s="15" customFormat="1" ht="12.75" customHeight="1">
      <c r="B46" s="1039" t="s">
        <v>1175</v>
      </c>
      <c r="C46" s="23"/>
      <c r="D46" s="783"/>
      <c r="E46" s="783">
        <v>254.56</v>
      </c>
      <c r="F46" s="401">
        <f>SUM(AJ46:AM46)</f>
        <v>1.9</v>
      </c>
      <c r="G46" s="783">
        <f>SUM(AN46:AQ46)</f>
        <v>0.53700000000000003</v>
      </c>
      <c r="H46" s="783">
        <f>SUM(AR46:AU46)</f>
        <v>106.56399999999999</v>
      </c>
      <c r="I46" s="783">
        <f>SUM(AV46:AY46)</f>
        <v>7.2889999999999997</v>
      </c>
      <c r="J46" s="783">
        <f>SUM(AZ46:BC46)</f>
        <v>12.989000000000001</v>
      </c>
      <c r="K46" s="783">
        <f t="shared" ref="K46:K63" si="88">SUM(BD46:BG46)</f>
        <v>0</v>
      </c>
      <c r="L46" s="783">
        <f t="shared" ref="L46:L63" si="89">SUM(BH46:BK46)</f>
        <v>339.90800000000002</v>
      </c>
      <c r="M46" s="54"/>
      <c r="N46" s="1491">
        <f>SUM(CF!BP46:BS46)</f>
        <v>0</v>
      </c>
      <c r="O46" s="1483">
        <f t="shared" ref="O46:O62" si="90">SUM(BT46:BW46)</f>
        <v>0</v>
      </c>
      <c r="P46" s="1483"/>
      <c r="Q46" s="1483"/>
      <c r="R46" s="1483"/>
      <c r="S46" s="1483"/>
      <c r="T46" s="1483">
        <f>+SUM(CN46:CQ46)</f>
        <v>829.49599999999998</v>
      </c>
      <c r="U46" s="1483">
        <f>+SUM(CR46:CU46)</f>
        <v>0</v>
      </c>
      <c r="V46" s="1483">
        <f t="shared" ref="V46:V63" si="91">SUM(CV46:CY46)</f>
        <v>2502.9979999999996</v>
      </c>
      <c r="W46" s="1483">
        <f t="shared" ref="W46:W63" si="92">SUM(CZ46:DC46)</f>
        <v>0</v>
      </c>
      <c r="X46" s="1483">
        <f>Capital!X10</f>
        <v>0</v>
      </c>
      <c r="Y46" s="1483">
        <f>Capital!Y10</f>
        <v>0</v>
      </c>
      <c r="Z46" s="1483">
        <f>Capital!Z10</f>
        <v>0</v>
      </c>
      <c r="AA46" s="1483">
        <f>Capital!AA10</f>
        <v>0</v>
      </c>
      <c r="AB46" s="1483">
        <f>Capital!AB10</f>
        <v>0</v>
      </c>
      <c r="AC46" s="1483">
        <f>Capital!AC10</f>
        <v>0</v>
      </c>
      <c r="AD46" s="1483">
        <f>Capital!AD10</f>
        <v>0</v>
      </c>
      <c r="AE46" s="1483"/>
      <c r="AF46" s="1484"/>
      <c r="AG46" s="1484"/>
      <c r="AH46" s="1484"/>
      <c r="AI46" s="1484">
        <f>DI46-AH46-AG46-AF46</f>
        <v>254.56</v>
      </c>
      <c r="AJ46" s="1484"/>
      <c r="AK46" s="1484"/>
      <c r="AL46" s="1484"/>
      <c r="AM46" s="1484">
        <f>DM46-AL46-AK46-AJ46-0.018</f>
        <v>1.9</v>
      </c>
      <c r="AN46" s="1484">
        <f t="shared" ref="AN46:AN63" si="93">DN46</f>
        <v>0</v>
      </c>
      <c r="AO46" s="1484">
        <f>DO46-AN46</f>
        <v>0</v>
      </c>
      <c r="AP46" s="1484">
        <f>DP46-AO46-AN46</f>
        <v>0</v>
      </c>
      <c r="AQ46" s="1484">
        <f>DQ46-AP46-AO46-AN46</f>
        <v>0.53700000000000003</v>
      </c>
      <c r="AR46" s="1484">
        <f t="shared" ref="AR46:AR63" si="94">DR46</f>
        <v>0</v>
      </c>
      <c r="AS46" s="1484">
        <f>DS46-AR46</f>
        <v>0</v>
      </c>
      <c r="AT46" s="1484">
        <f>DT46-AS46-AR46</f>
        <v>0</v>
      </c>
      <c r="AU46" s="1484">
        <f>DU46-AT46-AS46-AR46</f>
        <v>106.56399999999999</v>
      </c>
      <c r="AV46" s="1484">
        <f t="shared" ref="AV46:AV63" si="95">DV46</f>
        <v>0</v>
      </c>
      <c r="AW46" s="1484">
        <f>DW46-AV46</f>
        <v>0</v>
      </c>
      <c r="AX46" s="1484">
        <f>DX46-AW46-AV46</f>
        <v>0</v>
      </c>
      <c r="AY46" s="1484">
        <f>DY46-AX46-AW46-AV46</f>
        <v>7.2889999999999997</v>
      </c>
      <c r="AZ46" s="1484">
        <f t="shared" ref="AZ46:AZ63" si="96">DZ46</f>
        <v>0</v>
      </c>
      <c r="BA46" s="1484">
        <f>EA46-AZ46</f>
        <v>0</v>
      </c>
      <c r="BB46" s="1484">
        <f>EB46-BA46-AZ46</f>
        <v>0</v>
      </c>
      <c r="BC46" s="1484">
        <f>EC46-BB46-BA46-AZ46</f>
        <v>12.989000000000001</v>
      </c>
      <c r="BD46" s="1484"/>
      <c r="BE46" s="1484"/>
      <c r="BF46" s="1484"/>
      <c r="BG46" s="1484"/>
      <c r="BH46" s="1484"/>
      <c r="BI46" s="1484"/>
      <c r="BJ46" s="1484">
        <f>EJ46-BI46-BH46</f>
        <v>339.94600000000003</v>
      </c>
      <c r="BK46" s="1484">
        <f>EK46-BJ46-BI46-BH46</f>
        <v>-3.8000000000010914E-2</v>
      </c>
      <c r="BL46" s="1484"/>
      <c r="BM46" s="1484"/>
      <c r="BN46" s="1484"/>
      <c r="BO46" s="1484"/>
      <c r="BP46" s="1483"/>
      <c r="BQ46" s="1483"/>
      <c r="BR46" s="1483"/>
      <c r="BS46" s="1483"/>
      <c r="BT46" s="1483"/>
      <c r="BU46" s="1483"/>
      <c r="BV46" s="1483"/>
      <c r="BW46" s="1483"/>
      <c r="BX46" s="1483"/>
      <c r="BY46" s="1483"/>
      <c r="BZ46" s="1483"/>
      <c r="CA46" s="1483"/>
      <c r="CB46" s="1483"/>
      <c r="CC46" s="1483"/>
      <c r="CD46" s="1483"/>
      <c r="CE46" s="1483"/>
      <c r="CF46" s="1483"/>
      <c r="CG46" s="1483"/>
      <c r="CH46" s="1483"/>
      <c r="CI46" s="1483"/>
      <c r="CJ46" s="1483"/>
      <c r="CK46" s="1483"/>
      <c r="CL46" s="1483"/>
      <c r="CM46" s="1483"/>
      <c r="CN46" s="1483"/>
      <c r="CO46" s="1483"/>
      <c r="CP46" s="1483"/>
      <c r="CQ46" s="1485">
        <v>829.49599999999998</v>
      </c>
      <c r="CR46" s="1485"/>
      <c r="CS46" s="1485"/>
      <c r="CT46" s="1485"/>
      <c r="CU46" s="1485"/>
      <c r="CV46" s="1485">
        <v>2126.2579999999998</v>
      </c>
      <c r="CW46" s="1485">
        <v>8.3000000000000004E-2</v>
      </c>
      <c r="CX46" s="1485">
        <v>21.506</v>
      </c>
      <c r="CY46" s="1485">
        <f>0.071+355.08</f>
        <v>355.15100000000001</v>
      </c>
      <c r="CZ46" s="1688">
        <f>Capital!CZ10</f>
        <v>0</v>
      </c>
      <c r="DA46" s="1688">
        <f>Capital!DA10</f>
        <v>0</v>
      </c>
      <c r="DB46" s="1688">
        <f>Capital!DB10</f>
        <v>0</v>
      </c>
      <c r="DC46" s="1688">
        <f>Capital!DC10</f>
        <v>0</v>
      </c>
      <c r="DD46" s="1483"/>
      <c r="DF46" s="783"/>
      <c r="DG46" s="783"/>
      <c r="DH46" s="783">
        <f>0.253+251.71</f>
        <v>251.96299999999999</v>
      </c>
      <c r="DI46" s="783">
        <v>254.56</v>
      </c>
      <c r="DJ46" s="783"/>
      <c r="DK46" s="783"/>
      <c r="DL46" s="783"/>
      <c r="DM46" s="783">
        <v>1.9179999999999999</v>
      </c>
      <c r="DN46" s="783"/>
      <c r="DO46" s="783"/>
      <c r="DP46" s="783"/>
      <c r="DQ46" s="783">
        <v>0.53700000000000003</v>
      </c>
      <c r="DR46" s="783"/>
      <c r="DS46" s="783"/>
      <c r="DT46" s="783"/>
      <c r="DU46" s="783">
        <v>106.56399999999999</v>
      </c>
      <c r="DV46" s="31"/>
      <c r="DW46" s="31"/>
      <c r="DX46" s="31"/>
      <c r="DY46" s="783">
        <v>7.2889999999999997</v>
      </c>
      <c r="DZ46" s="31"/>
      <c r="EA46" s="981"/>
      <c r="EB46" s="31"/>
      <c r="EC46" s="783">
        <v>12.989000000000001</v>
      </c>
      <c r="ED46" s="31"/>
      <c r="EE46" s="31"/>
      <c r="EF46" s="31"/>
      <c r="EG46" s="31"/>
      <c r="EH46" s="31"/>
      <c r="EI46" s="31"/>
      <c r="EJ46" s="783">
        <v>339.94600000000003</v>
      </c>
      <c r="EK46" s="783">
        <v>339.90800000000002</v>
      </c>
      <c r="EL46" s="31"/>
      <c r="EM46" s="31"/>
      <c r="EN46" s="31"/>
      <c r="EO46" s="31"/>
      <c r="EU46" s="42"/>
      <c r="EV46"/>
      <c r="EW46"/>
      <c r="EX46"/>
      <c r="EY46"/>
      <c r="EZ46"/>
      <c r="FA46"/>
    </row>
    <row r="47" spans="2:157" s="15" customFormat="1" hidden="1" outlineLevel="1">
      <c r="B47" s="1039" t="s">
        <v>1404</v>
      </c>
      <c r="C47" s="23"/>
      <c r="D47" s="783"/>
      <c r="E47" s="783">
        <v>94.352999999999994</v>
      </c>
      <c r="F47" s="783">
        <f t="shared" ref="F47:F62" si="97">SUM(AJ47:AM47)</f>
        <v>0</v>
      </c>
      <c r="G47" s="783"/>
      <c r="H47" s="783"/>
      <c r="I47" s="783"/>
      <c r="J47" s="783"/>
      <c r="K47" s="783"/>
      <c r="L47" s="783"/>
      <c r="M47" s="54"/>
      <c r="N47" s="1491">
        <f>SUM(CF!BP47:BS47)</f>
        <v>0</v>
      </c>
      <c r="O47" s="1483">
        <f t="shared" si="90"/>
        <v>0</v>
      </c>
      <c r="P47" s="1483"/>
      <c r="Q47" s="1483"/>
      <c r="R47" s="1483"/>
      <c r="S47" s="1483"/>
      <c r="T47" s="1483"/>
      <c r="U47" s="1483"/>
      <c r="V47" s="1483">
        <f t="shared" si="91"/>
        <v>0</v>
      </c>
      <c r="W47" s="1483">
        <f t="shared" si="92"/>
        <v>0</v>
      </c>
      <c r="X47" s="1483"/>
      <c r="Y47" s="1483"/>
      <c r="Z47" s="1483"/>
      <c r="AA47" s="1483"/>
      <c r="AB47" s="1483"/>
      <c r="AC47" s="1483"/>
      <c r="AD47" s="1483"/>
      <c r="AE47" s="1483"/>
      <c r="AF47" s="1484"/>
      <c r="AG47" s="1484"/>
      <c r="AH47" s="1484"/>
      <c r="AI47" s="1484"/>
      <c r="AJ47" s="1484"/>
      <c r="AK47" s="1484"/>
      <c r="AL47" s="1484"/>
      <c r="AM47" s="1484"/>
      <c r="AN47" s="1484">
        <f t="shared" si="93"/>
        <v>0</v>
      </c>
      <c r="AO47" s="1484">
        <f>DO47-AN47</f>
        <v>0</v>
      </c>
      <c r="AP47" s="1484">
        <f>DP47-AO47-AN47</f>
        <v>0</v>
      </c>
      <c r="AQ47" s="1484">
        <f>DQ47-AP47-AO47-AN47</f>
        <v>0</v>
      </c>
      <c r="AR47" s="1484">
        <f t="shared" si="94"/>
        <v>0</v>
      </c>
      <c r="AS47" s="1484">
        <f>DS47-AR47</f>
        <v>0</v>
      </c>
      <c r="AT47" s="1484">
        <f>DT47-AS47-AR47</f>
        <v>0</v>
      </c>
      <c r="AU47" s="1484">
        <f>DU47-AT47-AS47-AR47</f>
        <v>0</v>
      </c>
      <c r="AV47" s="1484">
        <f t="shared" si="95"/>
        <v>0</v>
      </c>
      <c r="AW47" s="1484">
        <f>DW47-AV47</f>
        <v>0</v>
      </c>
      <c r="AX47" s="1484">
        <f>DX47-AW47-AV47</f>
        <v>0</v>
      </c>
      <c r="AY47" s="1484">
        <f>DY47-AX47-AW47-AV47</f>
        <v>0</v>
      </c>
      <c r="AZ47" s="1484">
        <f t="shared" si="96"/>
        <v>0</v>
      </c>
      <c r="BA47" s="1484">
        <f>EA47-AZ47</f>
        <v>0</v>
      </c>
      <c r="BB47" s="1484">
        <f>EB47-BA47-AZ47</f>
        <v>0</v>
      </c>
      <c r="BC47" s="1484">
        <f>EC47-BB47-BA47-AZ47</f>
        <v>0</v>
      </c>
      <c r="BD47" s="1484"/>
      <c r="BE47" s="1484"/>
      <c r="BF47" s="1484"/>
      <c r="BG47" s="1484"/>
      <c r="BH47" s="1484"/>
      <c r="BI47" s="1484"/>
      <c r="BJ47" s="1484"/>
      <c r="BK47" s="1484"/>
      <c r="BL47" s="1484"/>
      <c r="BM47" s="1484"/>
      <c r="BN47" s="1484"/>
      <c r="BO47" s="1484"/>
      <c r="BP47" s="1483"/>
      <c r="BQ47" s="1483"/>
      <c r="BR47" s="1483"/>
      <c r="BS47" s="1483"/>
      <c r="BT47" s="1483"/>
      <c r="BU47" s="1483"/>
      <c r="BV47" s="1483"/>
      <c r="BW47" s="1483"/>
      <c r="BX47" s="1483"/>
      <c r="BY47" s="1483"/>
      <c r="BZ47" s="1483"/>
      <c r="CA47" s="1483"/>
      <c r="CB47" s="1483"/>
      <c r="CC47" s="1483"/>
      <c r="CD47" s="1483"/>
      <c r="CE47" s="1483"/>
      <c r="CF47" s="1483"/>
      <c r="CG47" s="1483"/>
      <c r="CH47" s="1483"/>
      <c r="CI47" s="1483"/>
      <c r="CJ47" s="1483"/>
      <c r="CK47" s="1483"/>
      <c r="CL47" s="1483"/>
      <c r="CM47" s="1483"/>
      <c r="CN47" s="1483"/>
      <c r="CO47" s="1483"/>
      <c r="CP47" s="1483"/>
      <c r="CQ47" s="1483"/>
      <c r="CR47" s="1483"/>
      <c r="CS47" s="1483"/>
      <c r="CT47" s="1483"/>
      <c r="CU47" s="1483"/>
      <c r="CV47" s="1483"/>
      <c r="CW47" s="1483"/>
      <c r="CX47" s="1483"/>
      <c r="CY47" s="1483"/>
      <c r="CZ47" s="1483"/>
      <c r="DA47" s="1483"/>
      <c r="DB47" s="1483"/>
      <c r="DC47" s="1483"/>
      <c r="DD47" s="1483"/>
      <c r="DF47" s="783"/>
      <c r="DG47" s="783"/>
      <c r="DH47" s="783">
        <v>94.418000000000006</v>
      </c>
      <c r="DI47" s="783">
        <v>94.352999999999994</v>
      </c>
      <c r="DJ47" s="783"/>
      <c r="DK47" s="783"/>
      <c r="DL47" s="783"/>
      <c r="DM47" s="783"/>
      <c r="DN47" s="783"/>
      <c r="DO47" s="783"/>
      <c r="DP47" s="783"/>
      <c r="DQ47" s="783"/>
      <c r="DR47" s="783"/>
      <c r="DS47" s="783"/>
      <c r="DT47" s="783"/>
      <c r="DU47" s="783"/>
      <c r="DV47" s="31"/>
      <c r="DW47" s="31"/>
      <c r="DX47" s="31"/>
      <c r="DY47" s="783"/>
      <c r="DZ47" s="31"/>
      <c r="EA47" s="981"/>
      <c r="EB47" s="31"/>
      <c r="EC47" s="783"/>
      <c r="ED47" s="31"/>
      <c r="EE47" s="31"/>
      <c r="EF47" s="31"/>
      <c r="EG47" s="31"/>
      <c r="EH47" s="31"/>
      <c r="EI47" s="31"/>
      <c r="EJ47" s="783"/>
      <c r="EK47" s="783"/>
      <c r="EL47" s="31"/>
      <c r="EM47" s="31"/>
      <c r="EN47" s="31"/>
      <c r="EO47" s="31"/>
      <c r="EU47" s="42"/>
      <c r="EV47"/>
      <c r="EW47"/>
      <c r="EX47"/>
      <c r="EY47"/>
      <c r="EZ47"/>
      <c r="FA47"/>
    </row>
    <row r="48" spans="2:157" s="15" customFormat="1" collapsed="1">
      <c r="B48" s="1039" t="s">
        <v>96</v>
      </c>
      <c r="C48" s="23"/>
      <c r="D48" s="783"/>
      <c r="E48" s="783"/>
      <c r="F48" s="783"/>
      <c r="G48" s="783"/>
      <c r="H48" s="783"/>
      <c r="I48" s="783"/>
      <c r="J48" s="783"/>
      <c r="K48" s="783"/>
      <c r="L48" s="783"/>
      <c r="M48" s="54"/>
      <c r="N48" s="1491"/>
      <c r="O48" s="1483"/>
      <c r="P48" s="1483">
        <f>+SUM(BX48:CA48)</f>
        <v>-86.665999999999997</v>
      </c>
      <c r="Q48" s="1483">
        <f>+SUM(CB48:CE48)</f>
        <v>-13.364000000000001</v>
      </c>
      <c r="R48" s="1483">
        <f t="shared" ref="R48:S63" si="98">SUM(CF48:CI48)</f>
        <v>-48.798999999999999</v>
      </c>
      <c r="S48" s="1483">
        <f>SUM(CJ48:CM48)</f>
        <v>-297.95800000000003</v>
      </c>
      <c r="T48" s="1483">
        <f t="shared" ref="T48:T63" si="99">SUM(CN48:CQ48)</f>
        <v>0</v>
      </c>
      <c r="U48" s="1483">
        <f t="shared" ref="U48:U63" si="100">SUM(CR48:CU48)</f>
        <v>0</v>
      </c>
      <c r="V48" s="1483">
        <f t="shared" si="91"/>
        <v>0</v>
      </c>
      <c r="W48" s="1483">
        <f t="shared" ca="1" si="92"/>
        <v>0</v>
      </c>
      <c r="X48" s="2107">
        <f>-IS!AT181</f>
        <v>0</v>
      </c>
      <c r="Y48" s="2107">
        <f>-IS!AU181</f>
        <v>0</v>
      </c>
      <c r="Z48" s="2107">
        <f>-IS!AV181</f>
        <v>0</v>
      </c>
      <c r="AA48" s="2107">
        <f>-IS!AW181</f>
        <v>0</v>
      </c>
      <c r="AB48" s="2107">
        <f>-IS!AX181</f>
        <v>0</v>
      </c>
      <c r="AC48" s="2107">
        <f>-IS!AY181</f>
        <v>0</v>
      </c>
      <c r="AD48" s="2107">
        <f>-IS!AZ181</f>
        <v>0</v>
      </c>
      <c r="AE48" s="1483"/>
      <c r="AF48" s="1484"/>
      <c r="AG48" s="1484"/>
      <c r="AH48" s="1484"/>
      <c r="AI48" s="1484"/>
      <c r="AJ48" s="1484"/>
      <c r="AK48" s="1484"/>
      <c r="AL48" s="1484"/>
      <c r="AM48" s="1484"/>
      <c r="AN48" s="1484"/>
      <c r="AO48" s="1484"/>
      <c r="AP48" s="1484"/>
      <c r="AQ48" s="1484"/>
      <c r="AR48" s="1484"/>
      <c r="AS48" s="1484"/>
      <c r="AT48" s="1484"/>
      <c r="AU48" s="1484"/>
      <c r="AV48" s="1484"/>
      <c r="AW48" s="1484"/>
      <c r="AX48" s="1484"/>
      <c r="AY48" s="1484"/>
      <c r="AZ48" s="1484"/>
      <c r="BA48" s="1484"/>
      <c r="BB48" s="1484"/>
      <c r="BC48" s="1484"/>
      <c r="BD48" s="1484"/>
      <c r="BE48" s="1484"/>
      <c r="BF48" s="1484"/>
      <c r="BG48" s="1484"/>
      <c r="BH48" s="1484"/>
      <c r="BI48" s="1484"/>
      <c r="BJ48" s="1484"/>
      <c r="BK48" s="1484"/>
      <c r="BL48" s="1484"/>
      <c r="BM48" s="1484"/>
      <c r="BN48" s="1484"/>
      <c r="BO48" s="1484"/>
      <c r="BP48" s="1483"/>
      <c r="BQ48" s="1483"/>
      <c r="BR48" s="1483"/>
      <c r="BS48" s="1483"/>
      <c r="BT48" s="1483"/>
      <c r="BU48" s="1483"/>
      <c r="BV48" s="1483"/>
      <c r="BW48" s="1483"/>
      <c r="BX48" s="1483"/>
      <c r="BY48" s="1483"/>
      <c r="BZ48" s="1483"/>
      <c r="CA48" s="1485">
        <v>-86.665999999999997</v>
      </c>
      <c r="CB48" s="1485">
        <v>-13.364000000000001</v>
      </c>
      <c r="CC48" s="1485"/>
      <c r="CD48" s="1485"/>
      <c r="CE48" s="1485"/>
      <c r="CF48" s="1485"/>
      <c r="CG48" s="1485"/>
      <c r="CH48" s="1485"/>
      <c r="CI48" s="1485">
        <v>-48.798999999999999</v>
      </c>
      <c r="CJ48" s="1485">
        <v>-47.12</v>
      </c>
      <c r="CK48" s="1485">
        <v>-208.26300000000001</v>
      </c>
      <c r="CL48" s="1485">
        <v>-42.575000000000003</v>
      </c>
      <c r="CM48" s="1485"/>
      <c r="CN48" s="1485"/>
      <c r="CO48" s="1485"/>
      <c r="CP48" s="1485"/>
      <c r="CQ48" s="1485"/>
      <c r="CR48" s="1485"/>
      <c r="CS48" s="1485"/>
      <c r="CT48" s="1485"/>
      <c r="CU48" s="1485"/>
      <c r="CV48" s="1485"/>
      <c r="CW48" s="1485"/>
      <c r="CX48" s="1485"/>
      <c r="CY48" s="1485"/>
      <c r="CZ48" s="1688">
        <f ca="1">-IS!DR181</f>
        <v>0</v>
      </c>
      <c r="DA48" s="1688">
        <f ca="1">-IS!DS181</f>
        <v>0</v>
      </c>
      <c r="DB48" s="1688">
        <f ca="1">-IS!DT181</f>
        <v>0</v>
      </c>
      <c r="DC48" s="1688">
        <f ca="1">-IS!DU181</f>
        <v>0</v>
      </c>
      <c r="DD48" s="1483"/>
      <c r="DE48" s="885"/>
      <c r="DF48" s="783"/>
      <c r="DG48" s="783"/>
      <c r="DH48" s="783"/>
      <c r="DI48" s="783"/>
      <c r="DJ48" s="783"/>
      <c r="DK48" s="783"/>
      <c r="DL48" s="783"/>
      <c r="DM48" s="783"/>
      <c r="DN48" s="783"/>
      <c r="DO48" s="783"/>
      <c r="DP48" s="783"/>
      <c r="DQ48" s="783"/>
      <c r="DR48" s="783"/>
      <c r="DS48" s="783"/>
      <c r="DT48" s="783"/>
      <c r="DU48" s="783"/>
      <c r="DV48" s="31"/>
      <c r="DW48" s="31"/>
      <c r="DX48" s="31"/>
      <c r="DY48" s="783"/>
      <c r="DZ48" s="31"/>
      <c r="EA48" s="981"/>
      <c r="EB48" s="31"/>
      <c r="EC48" s="783"/>
      <c r="ED48" s="31"/>
      <c r="EE48" s="31"/>
      <c r="EF48" s="31"/>
      <c r="EG48" s="31"/>
      <c r="EH48" s="31"/>
      <c r="EI48" s="31"/>
      <c r="EJ48" s="783"/>
      <c r="EK48" s="783"/>
      <c r="EL48" s="31"/>
      <c r="EM48" s="31"/>
      <c r="EN48" s="31"/>
      <c r="EO48" s="31"/>
      <c r="EU48" s="42"/>
      <c r="EV48"/>
      <c r="EW48"/>
      <c r="EX48"/>
      <c r="EY48"/>
      <c r="EZ48"/>
      <c r="FA48"/>
    </row>
    <row r="49" spans="2:157" s="15" customFormat="1">
      <c r="B49" s="1039" t="s">
        <v>1181</v>
      </c>
      <c r="C49" s="23"/>
      <c r="D49" s="783"/>
      <c r="E49" s="783"/>
      <c r="F49" s="783">
        <f t="shared" si="97"/>
        <v>0</v>
      </c>
      <c r="G49" s="783"/>
      <c r="H49" s="783"/>
      <c r="I49" s="783"/>
      <c r="J49" s="783">
        <f>SUM(AZ49:BC49)</f>
        <v>60</v>
      </c>
      <c r="K49" s="783">
        <f t="shared" si="88"/>
        <v>38.896000000000001</v>
      </c>
      <c r="L49" s="783">
        <f t="shared" si="89"/>
        <v>-2.15</v>
      </c>
      <c r="M49" s="54">
        <f>SUM(BL49:BO49)</f>
        <v>123.07700000000001</v>
      </c>
      <c r="N49" s="1491">
        <f>SUM(CF!BP49:BS49)</f>
        <v>29.474</v>
      </c>
      <c r="O49" s="1483">
        <f t="shared" si="90"/>
        <v>-535.38400000000001</v>
      </c>
      <c r="P49" s="1483">
        <f t="shared" ref="P49:P63" si="101">SUM(BX49:CA49)</f>
        <v>-22.829000000000001</v>
      </c>
      <c r="Q49" s="1483">
        <f t="shared" ref="Q49:Q63" si="102">SUM(CB49:CE49)</f>
        <v>-329.11099999999999</v>
      </c>
      <c r="R49" s="1483">
        <f t="shared" si="98"/>
        <v>0</v>
      </c>
      <c r="S49" s="1483">
        <f>SUM(CJ49:CM49)</f>
        <v>0</v>
      </c>
      <c r="T49" s="1483">
        <f t="shared" si="99"/>
        <v>0</v>
      </c>
      <c r="U49" s="1483">
        <f t="shared" si="100"/>
        <v>0</v>
      </c>
      <c r="V49" s="1483">
        <f t="shared" si="91"/>
        <v>0</v>
      </c>
      <c r="W49" s="1483">
        <f t="shared" si="92"/>
        <v>0</v>
      </c>
      <c r="X49" s="2107">
        <f>(BS!X43+BS!X56)-(BS!W56+BS!W43)</f>
        <v>0</v>
      </c>
      <c r="Y49" s="2107">
        <f>(BS!Y43+BS!Y56)-(BS!X56+BS!X43)</f>
        <v>0</v>
      </c>
      <c r="Z49" s="2107">
        <f>(BS!Z43+BS!Z56)-(BS!Y56+BS!Y43)</f>
        <v>0</v>
      </c>
      <c r="AA49" s="2107">
        <f>(BS!AA43+BS!AA56)-(BS!Z56+BS!Z43)</f>
        <v>0</v>
      </c>
      <c r="AB49" s="2107">
        <f>(BS!AB43+BS!AB56)-(BS!AA56+BS!AA43)</f>
        <v>0</v>
      </c>
      <c r="AC49" s="2107">
        <f>(BS!AC43+BS!AC56)-(BS!AB56+BS!AB43)</f>
        <v>0</v>
      </c>
      <c r="AD49" s="2107">
        <f>(BS!AD43+BS!AD56)-(BS!AC56+BS!AC43)</f>
        <v>0</v>
      </c>
      <c r="AE49" s="1483"/>
      <c r="AF49" s="1484"/>
      <c r="AG49" s="1484"/>
      <c r="AH49" s="1485"/>
      <c r="AI49" s="1485">
        <f>DI49-AH49-AG49-AF49</f>
        <v>0</v>
      </c>
      <c r="AJ49" s="1485"/>
      <c r="AK49" s="1485"/>
      <c r="AL49" s="1485"/>
      <c r="AM49" s="1485">
        <f>DM49-AL49-AK49-AJ49</f>
        <v>0</v>
      </c>
      <c r="AN49" s="1485">
        <f t="shared" si="93"/>
        <v>0</v>
      </c>
      <c r="AO49" s="1485">
        <f t="shared" ref="AO49:AO63" si="103">DO49-AN49</f>
        <v>0</v>
      </c>
      <c r="AP49" s="1485">
        <f t="shared" ref="AP49:AP63" si="104">DP49-AO49-AN49</f>
        <v>0</v>
      </c>
      <c r="AQ49" s="1485">
        <f t="shared" ref="AQ49:AQ63" si="105">DQ49-AP49-AO49-AN49</f>
        <v>0</v>
      </c>
      <c r="AR49" s="1485">
        <f t="shared" si="94"/>
        <v>0</v>
      </c>
      <c r="AS49" s="1485">
        <f t="shared" ref="AS49:AS63" si="106">DS49-AR49</f>
        <v>0</v>
      </c>
      <c r="AT49" s="1485">
        <f t="shared" ref="AT49:AT63" si="107">DT49-AS49-AR49</f>
        <v>0</v>
      </c>
      <c r="AU49" s="1485">
        <f t="shared" ref="AU49:AU63" si="108">DU49-AT49-AS49-AR49</f>
        <v>0</v>
      </c>
      <c r="AV49" s="1485">
        <f t="shared" si="95"/>
        <v>0</v>
      </c>
      <c r="AW49" s="1485">
        <f t="shared" ref="AW49:AW63" si="109">DW49-AV49</f>
        <v>0</v>
      </c>
      <c r="AX49" s="1485">
        <f t="shared" ref="AX49:AX63" si="110">DX49-AW49-AV49</f>
        <v>0</v>
      </c>
      <c r="AY49" s="1485">
        <f t="shared" ref="AY49:AY62" si="111">DY49-AX49-AW49-AV49</f>
        <v>0</v>
      </c>
      <c r="AZ49" s="1485">
        <f t="shared" si="96"/>
        <v>0</v>
      </c>
      <c r="BA49" s="1485">
        <f t="shared" ref="BA49:BA63" si="112">EA49-AZ49</f>
        <v>0</v>
      </c>
      <c r="BB49" s="1485">
        <f t="shared" ref="BB49:BB63" si="113">EB49-BA49-AZ49</f>
        <v>0</v>
      </c>
      <c r="BC49" s="1485">
        <f t="shared" ref="BC49:BC62" si="114">EC49-BB49-BA49-AZ49</f>
        <v>60</v>
      </c>
      <c r="BD49" s="1485">
        <f>ED49</f>
        <v>-0.20499999999999999</v>
      </c>
      <c r="BE49" s="1485">
        <f>EE49-BD49</f>
        <v>-0.31100000000000005</v>
      </c>
      <c r="BF49" s="1485">
        <f>EF49-BE49-BD49</f>
        <v>-0.31899999999999995</v>
      </c>
      <c r="BG49" s="1485">
        <f>EG49-BF49-BE49-BD49</f>
        <v>39.731000000000002</v>
      </c>
      <c r="BH49" s="1485">
        <f t="shared" ref="BH49:BH60" si="115">EH49</f>
        <v>-0.497</v>
      </c>
      <c r="BI49" s="1485">
        <f>EI49-BH49</f>
        <v>-0.53300000000000003</v>
      </c>
      <c r="BJ49" s="1485">
        <f>EJ49-BI49-BH49</f>
        <v>-0.54300000000000004</v>
      </c>
      <c r="BK49" s="1485">
        <f>EK49-BJ49-BI49-BH49</f>
        <v>-0.57699999999999985</v>
      </c>
      <c r="BL49" s="1485">
        <f>EL49</f>
        <v>-3.0920000000000001</v>
      </c>
      <c r="BM49" s="1485">
        <f>EM49-BL49</f>
        <v>-4.33</v>
      </c>
      <c r="BN49" s="1485">
        <f>EN49-BM49-BL49</f>
        <v>-4.0339999999999989</v>
      </c>
      <c r="BO49" s="1485">
        <f>EO49-BN49-BM49-BL49</f>
        <v>134.53300000000002</v>
      </c>
      <c r="BP49" s="1485">
        <v>0.74399999999999999</v>
      </c>
      <c r="BQ49" s="1485"/>
      <c r="BR49" s="1485">
        <v>27.934999999999999</v>
      </c>
      <c r="BS49" s="1485">
        <v>0.79500000000000004</v>
      </c>
      <c r="BT49" s="1485">
        <v>-114.34</v>
      </c>
      <c r="BU49" s="1485">
        <v>-343.68799999999999</v>
      </c>
      <c r="BV49" s="1485">
        <f>-11.049+16.853</f>
        <v>5.804000000000002</v>
      </c>
      <c r="BW49" s="1485">
        <f>-88.93+5.77</f>
        <v>-83.160000000000011</v>
      </c>
      <c r="BX49" s="1485">
        <v>-10.102</v>
      </c>
      <c r="BY49" s="1485"/>
      <c r="BZ49" s="1485">
        <v>-11.170999999999999</v>
      </c>
      <c r="CA49" s="1485">
        <v>-1.556</v>
      </c>
      <c r="CB49" s="1485">
        <v>-67.129000000000005</v>
      </c>
      <c r="CC49" s="1485">
        <v>-10.17</v>
      </c>
      <c r="CD49" s="1485">
        <v>-238.48</v>
      </c>
      <c r="CE49" s="1485">
        <v>-13.332000000000001</v>
      </c>
      <c r="CF49" s="1485"/>
      <c r="CG49" s="1485"/>
      <c r="CH49" s="1485"/>
      <c r="CI49" s="1485"/>
      <c r="CJ49" s="1485"/>
      <c r="CK49" s="1485"/>
      <c r="CL49" s="1485"/>
      <c r="CM49" s="1485"/>
      <c r="CN49" s="1485"/>
      <c r="CO49" s="1485"/>
      <c r="CP49" s="1485"/>
      <c r="CQ49" s="1485"/>
      <c r="CR49" s="1485"/>
      <c r="CS49" s="1485"/>
      <c r="CT49" s="1485"/>
      <c r="CU49" s="1485"/>
      <c r="CV49" s="1485"/>
      <c r="CW49" s="1485"/>
      <c r="CX49" s="1485"/>
      <c r="CY49" s="1485"/>
      <c r="CZ49" s="1688">
        <f>(BS!CZ43+BS!CZ56)-(BS!CY56+BS!CY43)</f>
        <v>0</v>
      </c>
      <c r="DA49" s="1688">
        <f>(BS!DA43+BS!DA56)-(BS!CZ56+BS!CZ43)</f>
        <v>0</v>
      </c>
      <c r="DB49" s="1688">
        <f>(BS!DB43+BS!DB56)-(BS!DA56+BS!DA43)</f>
        <v>0</v>
      </c>
      <c r="DC49" s="1688">
        <f>(BS!DC43+BS!DC56)-(BS!DB56+BS!DB43)</f>
        <v>0</v>
      </c>
      <c r="DD49" s="1483"/>
      <c r="DE49" s="885"/>
      <c r="DF49" s="783"/>
      <c r="DG49" s="783"/>
      <c r="DH49" s="783"/>
      <c r="DI49" s="31"/>
      <c r="DJ49" s="31"/>
      <c r="DK49" s="31"/>
      <c r="DL49" s="31"/>
      <c r="DM49" s="31"/>
      <c r="DN49" s="31"/>
      <c r="DO49" s="31"/>
      <c r="DP49" s="31"/>
      <c r="DQ49" s="31"/>
      <c r="DR49" s="31"/>
      <c r="DS49" s="31"/>
      <c r="DT49" s="31"/>
      <c r="DU49" s="31"/>
      <c r="DV49" s="31"/>
      <c r="DW49" s="31"/>
      <c r="DX49" s="31"/>
      <c r="DY49" s="31"/>
      <c r="DZ49" s="31"/>
      <c r="EA49" s="981"/>
      <c r="EB49" s="31"/>
      <c r="EC49" s="783">
        <v>60</v>
      </c>
      <c r="ED49" s="783">
        <v>-0.20499999999999999</v>
      </c>
      <c r="EE49" s="783">
        <v>-0.51600000000000001</v>
      </c>
      <c r="EF49" s="783">
        <v>-0.83499999999999996</v>
      </c>
      <c r="EG49" s="783">
        <f>40-1.104</f>
        <v>38.896000000000001</v>
      </c>
      <c r="EH49" s="783">
        <v>-0.497</v>
      </c>
      <c r="EI49" s="783">
        <v>-1.03</v>
      </c>
      <c r="EJ49" s="783">
        <v>-1.573</v>
      </c>
      <c r="EK49" s="783">
        <v>-2.15</v>
      </c>
      <c r="EL49" s="783">
        <v>-3.0920000000000001</v>
      </c>
      <c r="EM49" s="783">
        <v>-7.4219999999999997</v>
      </c>
      <c r="EN49" s="783">
        <v>-11.456</v>
      </c>
      <c r="EO49" s="783">
        <f>142.373-19.296</f>
        <v>123.077</v>
      </c>
      <c r="EU49" s="42"/>
      <c r="EV49"/>
      <c r="EW49"/>
      <c r="EX49"/>
      <c r="EY49"/>
      <c r="EZ49"/>
      <c r="FA49"/>
    </row>
    <row r="50" spans="2:157" s="15" customFormat="1" hidden="1" outlineLevel="1">
      <c r="B50" s="1039" t="s">
        <v>1182</v>
      </c>
      <c r="C50" s="23"/>
      <c r="D50" s="783"/>
      <c r="E50" s="783"/>
      <c r="F50" s="783">
        <f t="shared" si="97"/>
        <v>0</v>
      </c>
      <c r="G50" s="783"/>
      <c r="H50" s="783"/>
      <c r="I50" s="783"/>
      <c r="J50" s="783">
        <f>SUM(AZ50:BC50)</f>
        <v>38.142000000000003</v>
      </c>
      <c r="K50" s="783">
        <f t="shared" si="88"/>
        <v>0</v>
      </c>
      <c r="L50" s="783">
        <f t="shared" si="89"/>
        <v>0</v>
      </c>
      <c r="M50" s="54"/>
      <c r="N50" s="1491">
        <f>SUM(CF!BP50:BS50)</f>
        <v>0</v>
      </c>
      <c r="O50" s="1483">
        <f t="shared" si="90"/>
        <v>0</v>
      </c>
      <c r="P50" s="1483">
        <f t="shared" si="101"/>
        <v>0</v>
      </c>
      <c r="Q50" s="1483">
        <f t="shared" si="102"/>
        <v>0</v>
      </c>
      <c r="R50" s="1483">
        <f t="shared" si="98"/>
        <v>0</v>
      </c>
      <c r="S50" s="1483">
        <f t="shared" si="98"/>
        <v>0</v>
      </c>
      <c r="T50" s="1483">
        <f t="shared" si="99"/>
        <v>0</v>
      </c>
      <c r="U50" s="1483">
        <f t="shared" si="100"/>
        <v>0</v>
      </c>
      <c r="V50" s="1483">
        <f t="shared" si="91"/>
        <v>0</v>
      </c>
      <c r="W50" s="1483">
        <f t="shared" si="92"/>
        <v>0</v>
      </c>
      <c r="X50" s="2107"/>
      <c r="Y50" s="2107"/>
      <c r="Z50" s="2107"/>
      <c r="AA50" s="2107"/>
      <c r="AB50" s="2107"/>
      <c r="AC50" s="2107"/>
      <c r="AD50" s="2107"/>
      <c r="AE50" s="1483"/>
      <c r="AF50" s="1484"/>
      <c r="AG50" s="1484"/>
      <c r="AH50" s="1485"/>
      <c r="AI50" s="1485">
        <f>DI50-AH50-AG50-AF50</f>
        <v>0</v>
      </c>
      <c r="AJ50" s="1485"/>
      <c r="AK50" s="1485"/>
      <c r="AL50" s="1485"/>
      <c r="AM50" s="1485">
        <f>DM50-AL50-AK50-AJ50</f>
        <v>0</v>
      </c>
      <c r="AN50" s="1485">
        <f t="shared" si="93"/>
        <v>0</v>
      </c>
      <c r="AO50" s="1485">
        <f t="shared" si="103"/>
        <v>0</v>
      </c>
      <c r="AP50" s="1485">
        <f t="shared" si="104"/>
        <v>0</v>
      </c>
      <c r="AQ50" s="1485">
        <f t="shared" si="105"/>
        <v>0</v>
      </c>
      <c r="AR50" s="1485">
        <f t="shared" si="94"/>
        <v>0</v>
      </c>
      <c r="AS50" s="1485">
        <f t="shared" si="106"/>
        <v>0</v>
      </c>
      <c r="AT50" s="1485">
        <f t="shared" si="107"/>
        <v>0</v>
      </c>
      <c r="AU50" s="1485">
        <f t="shared" si="108"/>
        <v>0</v>
      </c>
      <c r="AV50" s="1485">
        <f t="shared" si="95"/>
        <v>0</v>
      </c>
      <c r="AW50" s="1485">
        <f t="shared" si="109"/>
        <v>0</v>
      </c>
      <c r="AX50" s="1485">
        <f t="shared" si="110"/>
        <v>0</v>
      </c>
      <c r="AY50" s="1485">
        <f t="shared" si="111"/>
        <v>0</v>
      </c>
      <c r="AZ50" s="1485">
        <f t="shared" si="96"/>
        <v>0</v>
      </c>
      <c r="BA50" s="1485">
        <f t="shared" si="112"/>
        <v>0</v>
      </c>
      <c r="BB50" s="1485">
        <f t="shared" si="113"/>
        <v>0</v>
      </c>
      <c r="BC50" s="1485">
        <f t="shared" si="114"/>
        <v>38.142000000000003</v>
      </c>
      <c r="BD50" s="1485"/>
      <c r="BE50" s="1485"/>
      <c r="BF50" s="1485"/>
      <c r="BG50" s="1485"/>
      <c r="BH50" s="1485"/>
      <c r="BI50" s="1485"/>
      <c r="BJ50" s="1485"/>
      <c r="BK50" s="1485"/>
      <c r="BL50" s="1485"/>
      <c r="BM50" s="1485"/>
      <c r="BN50" s="1485"/>
      <c r="BO50" s="1485"/>
      <c r="BP50" s="1485"/>
      <c r="BQ50" s="1485"/>
      <c r="BR50" s="1485"/>
      <c r="BS50" s="1485"/>
      <c r="BT50" s="1485"/>
      <c r="BU50" s="1485"/>
      <c r="BV50" s="1485"/>
      <c r="BW50" s="1485"/>
      <c r="BX50" s="1485"/>
      <c r="BY50" s="1485"/>
      <c r="BZ50" s="1485"/>
      <c r="CA50" s="1485"/>
      <c r="CB50" s="1485"/>
      <c r="CC50" s="1485"/>
      <c r="CD50" s="1485"/>
      <c r="CE50" s="1485"/>
      <c r="CF50" s="1485"/>
      <c r="CG50" s="1485"/>
      <c r="CH50" s="1485"/>
      <c r="CI50" s="1485"/>
      <c r="CJ50" s="1485"/>
      <c r="CK50" s="1485"/>
      <c r="CL50" s="1485"/>
      <c r="CM50" s="1485"/>
      <c r="CN50" s="1485"/>
      <c r="CO50" s="1485"/>
      <c r="CP50" s="1485"/>
      <c r="CQ50" s="1485"/>
      <c r="CR50" s="1485"/>
      <c r="CS50" s="1485"/>
      <c r="CT50" s="1485"/>
      <c r="CU50" s="1485"/>
      <c r="CV50" s="1485"/>
      <c r="CW50" s="1485"/>
      <c r="CX50" s="1485"/>
      <c r="CY50" s="1485"/>
      <c r="CZ50" s="1688"/>
      <c r="DA50" s="1688"/>
      <c r="DB50" s="1688"/>
      <c r="DC50" s="1688"/>
      <c r="DD50" s="1483"/>
      <c r="DF50" s="783"/>
      <c r="DG50" s="783"/>
      <c r="DH50" s="783"/>
      <c r="DI50" s="31"/>
      <c r="DJ50" s="31"/>
      <c r="DK50" s="31"/>
      <c r="DL50" s="31"/>
      <c r="DM50" s="31"/>
      <c r="DN50" s="31"/>
      <c r="DO50" s="31"/>
      <c r="DP50" s="31"/>
      <c r="DQ50" s="31"/>
      <c r="DR50" s="31"/>
      <c r="DS50" s="31"/>
      <c r="DT50" s="31"/>
      <c r="DU50" s="31"/>
      <c r="DV50" s="31"/>
      <c r="DW50" s="31"/>
      <c r="DX50" s="31"/>
      <c r="DY50" s="31"/>
      <c r="DZ50" s="31"/>
      <c r="EA50" s="981"/>
      <c r="EB50" s="31"/>
      <c r="EC50" s="783">
        <v>38.142000000000003</v>
      </c>
      <c r="ED50" s="31"/>
      <c r="EE50" s="31"/>
      <c r="EF50" s="31"/>
      <c r="EG50" s="31"/>
      <c r="EH50" s="31"/>
      <c r="EI50" s="31"/>
      <c r="EJ50" s="31"/>
      <c r="EK50" s="31"/>
      <c r="EL50" s="31"/>
      <c r="EM50" s="31"/>
      <c r="EN50" s="31"/>
      <c r="EO50" s="31"/>
      <c r="EU50" s="42"/>
      <c r="EV50"/>
      <c r="EW50"/>
      <c r="EX50"/>
      <c r="EY50"/>
      <c r="EZ50"/>
      <c r="FA50"/>
    </row>
    <row r="51" spans="2:157" s="15" customFormat="1" hidden="1" outlineLevel="1">
      <c r="B51" s="1039" t="s">
        <v>1183</v>
      </c>
      <c r="C51" s="23"/>
      <c r="D51" s="783"/>
      <c r="E51" s="783"/>
      <c r="F51" s="783">
        <f t="shared" si="97"/>
        <v>0</v>
      </c>
      <c r="G51" s="783"/>
      <c r="H51" s="783"/>
      <c r="I51" s="783"/>
      <c r="J51" s="783">
        <f>SUM(AZ51:BC51)</f>
        <v>30</v>
      </c>
      <c r="K51" s="783">
        <f t="shared" si="88"/>
        <v>-30</v>
      </c>
      <c r="L51" s="783">
        <f t="shared" si="89"/>
        <v>0</v>
      </c>
      <c r="M51" s="54"/>
      <c r="N51" s="1491">
        <f>SUM(CF!BP51:BS51)</f>
        <v>0</v>
      </c>
      <c r="O51" s="1483">
        <f t="shared" si="90"/>
        <v>0</v>
      </c>
      <c r="P51" s="1483">
        <f t="shared" si="101"/>
        <v>0</v>
      </c>
      <c r="Q51" s="1483">
        <f t="shared" si="102"/>
        <v>0</v>
      </c>
      <c r="R51" s="1483">
        <f t="shared" si="98"/>
        <v>0</v>
      </c>
      <c r="S51" s="1483">
        <f t="shared" si="98"/>
        <v>0</v>
      </c>
      <c r="T51" s="1483">
        <f t="shared" si="99"/>
        <v>0</v>
      </c>
      <c r="U51" s="1483">
        <f t="shared" si="100"/>
        <v>0</v>
      </c>
      <c r="V51" s="1483">
        <f t="shared" si="91"/>
        <v>0</v>
      </c>
      <c r="W51" s="1483">
        <f t="shared" si="92"/>
        <v>0</v>
      </c>
      <c r="X51" s="2107"/>
      <c r="Y51" s="2107"/>
      <c r="Z51" s="2107"/>
      <c r="AA51" s="2107"/>
      <c r="AB51" s="2107"/>
      <c r="AC51" s="2107"/>
      <c r="AD51" s="2107"/>
      <c r="AE51" s="1483"/>
      <c r="AF51" s="1484"/>
      <c r="AG51" s="1484"/>
      <c r="AH51" s="1485"/>
      <c r="AI51" s="1485">
        <f>DI51-AH51-AG51-AF51</f>
        <v>0</v>
      </c>
      <c r="AJ51" s="1485"/>
      <c r="AK51" s="1485"/>
      <c r="AL51" s="1485"/>
      <c r="AM51" s="1485">
        <f>DM51-AL51-AK51-AJ51</f>
        <v>0</v>
      </c>
      <c r="AN51" s="1485">
        <f t="shared" si="93"/>
        <v>0</v>
      </c>
      <c r="AO51" s="1485">
        <f t="shared" si="103"/>
        <v>0</v>
      </c>
      <c r="AP51" s="1485">
        <f t="shared" si="104"/>
        <v>0</v>
      </c>
      <c r="AQ51" s="1485">
        <f t="shared" si="105"/>
        <v>0</v>
      </c>
      <c r="AR51" s="1485">
        <f t="shared" si="94"/>
        <v>0</v>
      </c>
      <c r="AS51" s="1485">
        <f t="shared" si="106"/>
        <v>0</v>
      </c>
      <c r="AT51" s="1485">
        <f t="shared" si="107"/>
        <v>0</v>
      </c>
      <c r="AU51" s="1485">
        <f t="shared" si="108"/>
        <v>0</v>
      </c>
      <c r="AV51" s="1485">
        <f t="shared" si="95"/>
        <v>0</v>
      </c>
      <c r="AW51" s="1485">
        <f t="shared" si="109"/>
        <v>0</v>
      </c>
      <c r="AX51" s="1485">
        <f t="shared" si="110"/>
        <v>0</v>
      </c>
      <c r="AY51" s="1485">
        <f t="shared" si="111"/>
        <v>0</v>
      </c>
      <c r="AZ51" s="1485">
        <f t="shared" si="96"/>
        <v>0</v>
      </c>
      <c r="BA51" s="1485">
        <f t="shared" si="112"/>
        <v>0</v>
      </c>
      <c r="BB51" s="1485">
        <f t="shared" si="113"/>
        <v>0</v>
      </c>
      <c r="BC51" s="1485">
        <f t="shared" si="114"/>
        <v>30</v>
      </c>
      <c r="BD51" s="1485">
        <f>ED51</f>
        <v>-30</v>
      </c>
      <c r="BE51" s="1485">
        <f>EE51-BD51</f>
        <v>0</v>
      </c>
      <c r="BF51" s="1485">
        <f>EF51-BE51-BD51</f>
        <v>40</v>
      </c>
      <c r="BG51" s="1485">
        <f>EG51-BF51-BE51-BD51</f>
        <v>-40</v>
      </c>
      <c r="BH51" s="1485"/>
      <c r="BI51" s="1485"/>
      <c r="BJ51" s="1485"/>
      <c r="BK51" s="1485"/>
      <c r="BL51" s="1485"/>
      <c r="BM51" s="1485"/>
      <c r="BN51" s="1485"/>
      <c r="BO51" s="1485"/>
      <c r="BP51" s="1485"/>
      <c r="BQ51" s="1485"/>
      <c r="BR51" s="1485"/>
      <c r="BS51" s="1485"/>
      <c r="BT51" s="1485"/>
      <c r="BU51" s="1485"/>
      <c r="BV51" s="1485"/>
      <c r="BW51" s="1485"/>
      <c r="BX51" s="1485"/>
      <c r="BY51" s="1485"/>
      <c r="BZ51" s="1485"/>
      <c r="CA51" s="1485"/>
      <c r="CB51" s="1485"/>
      <c r="CC51" s="1485"/>
      <c r="CD51" s="1485"/>
      <c r="CE51" s="1485"/>
      <c r="CF51" s="1485"/>
      <c r="CG51" s="1485"/>
      <c r="CH51" s="1485"/>
      <c r="CI51" s="1485"/>
      <c r="CJ51" s="1485"/>
      <c r="CK51" s="1485"/>
      <c r="CL51" s="1485"/>
      <c r="CM51" s="1485"/>
      <c r="CN51" s="1485"/>
      <c r="CO51" s="1485"/>
      <c r="CP51" s="1485"/>
      <c r="CQ51" s="1485"/>
      <c r="CR51" s="1485"/>
      <c r="CS51" s="1485"/>
      <c r="CT51" s="1485"/>
      <c r="CU51" s="1485"/>
      <c r="CV51" s="1485"/>
      <c r="CW51" s="1485"/>
      <c r="CX51" s="1485"/>
      <c r="CY51" s="1485"/>
      <c r="CZ51" s="1688"/>
      <c r="DA51" s="1688"/>
      <c r="DB51" s="1688"/>
      <c r="DC51" s="1688"/>
      <c r="DD51" s="1483"/>
      <c r="DF51" s="783"/>
      <c r="DG51" s="783"/>
      <c r="DH51" s="783"/>
      <c r="DI51" s="31"/>
      <c r="DJ51" s="31"/>
      <c r="DK51" s="31"/>
      <c r="DL51" s="31"/>
      <c r="DM51" s="31"/>
      <c r="DN51" s="31"/>
      <c r="DO51" s="31"/>
      <c r="DP51" s="31"/>
      <c r="DQ51" s="31"/>
      <c r="DR51" s="31"/>
      <c r="DS51" s="31"/>
      <c r="DT51" s="31"/>
      <c r="DU51" s="31"/>
      <c r="DV51" s="31"/>
      <c r="DW51" s="31"/>
      <c r="DX51" s="31"/>
      <c r="DY51" s="31"/>
      <c r="DZ51" s="31"/>
      <c r="EA51" s="981"/>
      <c r="EB51" s="31"/>
      <c r="EC51" s="783">
        <v>30</v>
      </c>
      <c r="ED51" s="783">
        <v>-30</v>
      </c>
      <c r="EE51" s="783">
        <v>-30</v>
      </c>
      <c r="EF51" s="783">
        <f>40-30</f>
        <v>10</v>
      </c>
      <c r="EG51" s="783">
        <f>40-70</f>
        <v>-30</v>
      </c>
      <c r="EH51" s="31"/>
      <c r="EI51" s="31"/>
      <c r="EJ51" s="31"/>
      <c r="EK51" s="31"/>
      <c r="EL51" s="31"/>
      <c r="EM51" s="31"/>
      <c r="EN51" s="31"/>
      <c r="EO51" s="31"/>
      <c r="EU51" s="42"/>
      <c r="EV51"/>
      <c r="EW51"/>
      <c r="EX51"/>
      <c r="EY51"/>
      <c r="EZ51"/>
      <c r="FA51"/>
    </row>
    <row r="52" spans="2:157" s="15" customFormat="1" collapsed="1">
      <c r="B52" s="1039" t="s">
        <v>1176</v>
      </c>
      <c r="C52" s="23"/>
      <c r="D52" s="783"/>
      <c r="E52" s="783"/>
      <c r="F52" s="783">
        <f t="shared" si="97"/>
        <v>0</v>
      </c>
      <c r="G52" s="783"/>
      <c r="H52" s="783"/>
      <c r="I52" s="783"/>
      <c r="J52" s="783">
        <f>SUM(AZ52:BC52)</f>
        <v>0</v>
      </c>
      <c r="K52" s="783">
        <f t="shared" si="88"/>
        <v>38.835999999999999</v>
      </c>
      <c r="L52" s="783">
        <f t="shared" si="89"/>
        <v>36.356000000000002</v>
      </c>
      <c r="M52" s="54">
        <f>SUM(BL52:BO52)</f>
        <v>26.23</v>
      </c>
      <c r="N52" s="1491">
        <f>SUM(CF!BP52:BS52)</f>
        <v>37.006</v>
      </c>
      <c r="O52" s="1483">
        <f t="shared" si="90"/>
        <v>39.817</v>
      </c>
      <c r="P52" s="1483">
        <f t="shared" si="101"/>
        <v>38.893000000000001</v>
      </c>
      <c r="Q52" s="1483">
        <f t="shared" si="102"/>
        <v>56.136999999999993</v>
      </c>
      <c r="R52" s="1483">
        <f t="shared" si="98"/>
        <v>59.221999999999994</v>
      </c>
      <c r="S52" s="1483">
        <f>SUM(CJ52:CM52)</f>
        <v>29.32</v>
      </c>
      <c r="T52" s="1483">
        <f t="shared" si="99"/>
        <v>30.04</v>
      </c>
      <c r="U52" s="1483">
        <f t="shared" si="100"/>
        <v>34.179000000000002</v>
      </c>
      <c r="V52" s="1483">
        <f t="shared" si="91"/>
        <v>20.119000000000003</v>
      </c>
      <c r="W52" s="1483">
        <f t="shared" si="92"/>
        <v>11.917467960752306</v>
      </c>
      <c r="X52" s="2107">
        <f>IS!X199</f>
        <v>12.582516833815548</v>
      </c>
      <c r="Y52" s="2107">
        <f>IS!Y199</f>
        <v>12.647503358941956</v>
      </c>
      <c r="Z52" s="2107">
        <f>IS!Z199</f>
        <v>12.716160727940084</v>
      </c>
      <c r="AA52" s="2107">
        <f>IS!AA199</f>
        <v>12.790752597553581</v>
      </c>
      <c r="AB52" s="2107">
        <f>IS!AB199</f>
        <v>12.873336519415531</v>
      </c>
      <c r="AC52" s="2107">
        <f>IS!AC199</f>
        <v>12.965787060674991</v>
      </c>
      <c r="AD52" s="2107">
        <f>IS!AD199</f>
        <v>13.069816920536537</v>
      </c>
      <c r="AE52" s="1483"/>
      <c r="AF52" s="1484"/>
      <c r="AG52" s="1484"/>
      <c r="AH52" s="1485">
        <f>DH52-AG52-AF52</f>
        <v>3.0550000000000002</v>
      </c>
      <c r="AI52" s="1485">
        <f>DI52-AH52-AG52-AF52</f>
        <v>-3.0550000000000002</v>
      </c>
      <c r="AJ52" s="1485">
        <f>DJ52</f>
        <v>1.508</v>
      </c>
      <c r="AK52" s="1485"/>
      <c r="AL52" s="1485">
        <f>DL52-AK52-AJ52</f>
        <v>0.36899999999999999</v>
      </c>
      <c r="AM52" s="1485">
        <f>DM52-AL52-AK52-AJ52</f>
        <v>-1.877</v>
      </c>
      <c r="AN52" s="1485">
        <f t="shared" si="93"/>
        <v>0.34100000000000003</v>
      </c>
      <c r="AO52" s="1485">
        <f t="shared" si="103"/>
        <v>2.3999999999999966E-2</v>
      </c>
      <c r="AP52" s="1485">
        <f t="shared" si="104"/>
        <v>0.1720000000000001</v>
      </c>
      <c r="AQ52" s="1485">
        <f t="shared" si="105"/>
        <v>-0.53700000000000014</v>
      </c>
      <c r="AR52" s="1485">
        <f t="shared" si="94"/>
        <v>0.159</v>
      </c>
      <c r="AS52" s="1485">
        <f t="shared" si="106"/>
        <v>0.223</v>
      </c>
      <c r="AT52" s="1485">
        <f t="shared" si="107"/>
        <v>1.1389999999999998</v>
      </c>
      <c r="AU52" s="1485">
        <f t="shared" si="108"/>
        <v>-1.5209999999999999</v>
      </c>
      <c r="AV52" s="1485">
        <f t="shared" si="95"/>
        <v>2.06</v>
      </c>
      <c r="AW52" s="1485">
        <f t="shared" si="109"/>
        <v>0.5299999999999998</v>
      </c>
      <c r="AX52" s="1485">
        <f t="shared" si="110"/>
        <v>1.0409999999999999</v>
      </c>
      <c r="AY52" s="1485">
        <f t="shared" si="111"/>
        <v>-3.6309999999999998</v>
      </c>
      <c r="AZ52" s="1485">
        <f t="shared" si="96"/>
        <v>4.3470000000000004</v>
      </c>
      <c r="BA52" s="1485">
        <f t="shared" si="112"/>
        <v>3.2849999999999993</v>
      </c>
      <c r="BB52" s="1485">
        <f t="shared" si="113"/>
        <v>3.5850000000000009</v>
      </c>
      <c r="BC52" s="1485">
        <f t="shared" si="114"/>
        <v>-11.217000000000001</v>
      </c>
      <c r="BD52" s="1485">
        <f>ED52</f>
        <v>14.714</v>
      </c>
      <c r="BE52" s="1485">
        <f>EE52-BD52</f>
        <v>5.8620000000000001</v>
      </c>
      <c r="BF52" s="1485">
        <f>EF52-BE52-BD52</f>
        <v>8.1799999999999979</v>
      </c>
      <c r="BG52" s="1485">
        <f>EG52-BF52-BE52-BD52</f>
        <v>10.079999999999997</v>
      </c>
      <c r="BH52" s="1485">
        <f t="shared" si="115"/>
        <v>10.286</v>
      </c>
      <c r="BI52" s="1485">
        <f>EI52-BH52</f>
        <v>6.8759999999999994</v>
      </c>
      <c r="BJ52" s="1485">
        <f>EJ52-BI52-BH52</f>
        <v>10.406000000000001</v>
      </c>
      <c r="BK52" s="1485">
        <f>EK52-BJ52-BI52-BH52</f>
        <v>8.7880000000000056</v>
      </c>
      <c r="BL52" s="1485">
        <f>EL52</f>
        <v>7.2380000000000004</v>
      </c>
      <c r="BM52" s="1485">
        <f>EM52-BL52</f>
        <v>12</v>
      </c>
      <c r="BN52" s="1485">
        <f>EN52-BM52-BL52</f>
        <v>6.8489999999999993</v>
      </c>
      <c r="BO52" s="1485">
        <f>EO52-BN52-BM52-BL52</f>
        <v>0.14299999999999979</v>
      </c>
      <c r="BP52" s="1485">
        <v>4.0620000000000003</v>
      </c>
      <c r="BQ52" s="1485">
        <v>4.8920000000000003</v>
      </c>
      <c r="BR52" s="1485">
        <v>14.096</v>
      </c>
      <c r="BS52" s="1485">
        <v>13.956</v>
      </c>
      <c r="BT52" s="1485">
        <v>10.882999999999999</v>
      </c>
      <c r="BU52" s="1485">
        <v>11.27</v>
      </c>
      <c r="BV52" s="1485">
        <v>14.026</v>
      </c>
      <c r="BW52" s="1485">
        <v>3.6379999999999999</v>
      </c>
      <c r="BX52" s="1485">
        <v>15.667999999999999</v>
      </c>
      <c r="BY52" s="1485">
        <v>8.9290000000000003</v>
      </c>
      <c r="BZ52" s="1485">
        <v>11.106999999999999</v>
      </c>
      <c r="CA52" s="1485">
        <v>3.1890000000000001</v>
      </c>
      <c r="CB52" s="1485">
        <v>30.46</v>
      </c>
      <c r="CC52" s="1485">
        <v>6.0129999999999999</v>
      </c>
      <c r="CD52" s="1485">
        <v>13.666</v>
      </c>
      <c r="CE52" s="1485">
        <v>5.9980000000000002</v>
      </c>
      <c r="CF52" s="1485">
        <f>18.99+14.368</f>
        <v>33.357999999999997</v>
      </c>
      <c r="CG52" s="1485">
        <f>1.512+3.431</f>
        <v>4.9429999999999996</v>
      </c>
      <c r="CH52" s="1485">
        <f>12.202+4.951</f>
        <v>17.152999999999999</v>
      </c>
      <c r="CI52" s="1485">
        <f>3.81-0.042</f>
        <v>3.7680000000000002</v>
      </c>
      <c r="CJ52" s="1485">
        <v>14.387</v>
      </c>
      <c r="CK52" s="1485">
        <v>1.4339999999999999</v>
      </c>
      <c r="CL52" s="1485">
        <v>12.362</v>
      </c>
      <c r="CM52" s="1485">
        <v>1.137</v>
      </c>
      <c r="CN52" s="1485">
        <v>16.384</v>
      </c>
      <c r="CO52" s="1485">
        <v>0.18099999999999999</v>
      </c>
      <c r="CP52" s="1485">
        <v>13.29</v>
      </c>
      <c r="CQ52" s="1485">
        <v>0.185</v>
      </c>
      <c r="CR52" s="1485">
        <v>16.303999999999998</v>
      </c>
      <c r="CS52" s="1485">
        <v>1.335</v>
      </c>
      <c r="CT52" s="1485">
        <v>16.504000000000001</v>
      </c>
      <c r="CU52" s="1485">
        <v>3.5999999999999997E-2</v>
      </c>
      <c r="CV52" s="1485">
        <v>20.074000000000002</v>
      </c>
      <c r="CW52" s="1485">
        <v>4.4999999999999998E-2</v>
      </c>
      <c r="CX52" s="1485"/>
      <c r="CY52" s="1485"/>
      <c r="CZ52" s="1688">
        <f>IS!DR199</f>
        <v>3.026663737466353</v>
      </c>
      <c r="DA52" s="1688">
        <f>IS!DS199</f>
        <v>2.9948381391554189</v>
      </c>
      <c r="DB52" s="1688">
        <f>IS!DT199</f>
        <v>2.9634539337335557</v>
      </c>
      <c r="DC52" s="1688">
        <f>IS!DU199</f>
        <v>2.9325121503969789</v>
      </c>
      <c r="DD52" s="1483"/>
      <c r="DE52" s="885"/>
      <c r="DF52" s="783"/>
      <c r="DG52" s="783"/>
      <c r="DH52" s="783">
        <v>3.0550000000000002</v>
      </c>
      <c r="DI52" s="783"/>
      <c r="DJ52" s="783">
        <v>1.508</v>
      </c>
      <c r="DK52" s="783">
        <v>1.51</v>
      </c>
      <c r="DL52" s="783">
        <v>1.877</v>
      </c>
      <c r="DM52" s="783"/>
      <c r="DN52" s="783">
        <v>0.34100000000000003</v>
      </c>
      <c r="DO52" s="783">
        <v>0.36499999999999999</v>
      </c>
      <c r="DP52" s="783">
        <v>0.53700000000000003</v>
      </c>
      <c r="DQ52" s="783"/>
      <c r="DR52" s="783">
        <v>0.159</v>
      </c>
      <c r="DS52" s="783">
        <v>0.38200000000000001</v>
      </c>
      <c r="DT52" s="783">
        <v>1.5209999999999999</v>
      </c>
      <c r="DU52" s="783"/>
      <c r="DV52" s="783">
        <v>2.06</v>
      </c>
      <c r="DW52" s="783">
        <v>2.59</v>
      </c>
      <c r="DX52" s="783">
        <v>3.6309999999999998</v>
      </c>
      <c r="DY52" s="783"/>
      <c r="DZ52" s="783">
        <v>4.3470000000000004</v>
      </c>
      <c r="EA52" s="981">
        <v>7.6319999999999997</v>
      </c>
      <c r="EB52" s="783">
        <v>11.217000000000001</v>
      </c>
      <c r="EC52" s="1005">
        <v>0</v>
      </c>
      <c r="ED52" s="783">
        <v>14.714</v>
      </c>
      <c r="EE52" s="783">
        <v>20.576000000000001</v>
      </c>
      <c r="EF52" s="783">
        <v>28.756</v>
      </c>
      <c r="EG52" s="783">
        <v>38.835999999999999</v>
      </c>
      <c r="EH52" s="783">
        <v>10.286</v>
      </c>
      <c r="EI52" s="783">
        <v>17.161999999999999</v>
      </c>
      <c r="EJ52" s="783">
        <v>27.568000000000001</v>
      </c>
      <c r="EK52" s="783">
        <v>36.356000000000002</v>
      </c>
      <c r="EL52" s="783">
        <v>7.2380000000000004</v>
      </c>
      <c r="EM52" s="783">
        <v>19.238</v>
      </c>
      <c r="EN52" s="783">
        <v>26.087</v>
      </c>
      <c r="EO52" s="783">
        <v>26.23</v>
      </c>
      <c r="EP52" s="789"/>
      <c r="EQ52" s="789"/>
      <c r="ER52" s="789"/>
      <c r="ES52" s="789"/>
      <c r="EU52" s="42"/>
      <c r="EV52"/>
      <c r="EW52"/>
      <c r="EX52"/>
      <c r="EY52"/>
      <c r="EZ52"/>
      <c r="FA52"/>
    </row>
    <row r="53" spans="2:157" s="15" customFormat="1">
      <c r="B53" s="1039" t="s">
        <v>1365</v>
      </c>
      <c r="C53" s="23"/>
      <c r="D53" s="783"/>
      <c r="E53" s="783"/>
      <c r="F53" s="783">
        <f t="shared" si="97"/>
        <v>0</v>
      </c>
      <c r="G53" s="783">
        <f>SUM(AN53:AQ53)</f>
        <v>30</v>
      </c>
      <c r="H53" s="783">
        <f>SUM(AR53:AU53)</f>
        <v>10</v>
      </c>
      <c r="I53" s="783"/>
      <c r="J53" s="783"/>
      <c r="K53" s="783"/>
      <c r="L53" s="783"/>
      <c r="M53" s="54"/>
      <c r="N53" s="1491">
        <f>SUM(CF!BP53:BS53)</f>
        <v>373.75</v>
      </c>
      <c r="O53" s="1483">
        <f t="shared" si="90"/>
        <v>0</v>
      </c>
      <c r="P53" s="1483">
        <f t="shared" si="101"/>
        <v>0</v>
      </c>
      <c r="Q53" s="1483">
        <f t="shared" si="102"/>
        <v>-250.00700000000001</v>
      </c>
      <c r="R53" s="1483">
        <f t="shared" si="98"/>
        <v>0</v>
      </c>
      <c r="S53" s="1483">
        <f>SUM(CJ53:CM53)</f>
        <v>-29.512999999999998</v>
      </c>
      <c r="T53" s="1483">
        <f t="shared" si="99"/>
        <v>1100</v>
      </c>
      <c r="U53" s="1483">
        <f t="shared" si="100"/>
        <v>0</v>
      </c>
      <c r="V53" s="1483">
        <f t="shared" si="91"/>
        <v>0</v>
      </c>
      <c r="W53" s="1483">
        <f t="shared" si="92"/>
        <v>0</v>
      </c>
      <c r="X53" s="2107">
        <f ca="1">(Capital!X25-Capital!W25)+(Capital!X32-Capital!W32)+(Capital!X227-Capital!W227)</f>
        <v>0</v>
      </c>
      <c r="Y53" s="2107">
        <f ca="1">(Capital!Y25-Capital!X25)+(Capital!Y32-Capital!X32)+(Capital!Y227-Capital!X227)</f>
        <v>0</v>
      </c>
      <c r="Z53" s="2107">
        <f ca="1">(Capital!Z25-Capital!Y25)+(Capital!Z32-Capital!Y32)+(Capital!Z227-Capital!Y227)</f>
        <v>0</v>
      </c>
      <c r="AA53" s="2107">
        <f ca="1">(Capital!AA25-Capital!Z25)+(Capital!AA32-Capital!Z32)+(Capital!AA227-Capital!Z227)</f>
        <v>0</v>
      </c>
      <c r="AB53" s="2107">
        <f ca="1">(Capital!AB25-Capital!AA25)+(Capital!AB32-Capital!AA32)+(Capital!AB227-Capital!AA227)</f>
        <v>0</v>
      </c>
      <c r="AC53" s="2107">
        <f ca="1">(Capital!AC25-Capital!AB25)+(Capital!AC32-Capital!AB32)+(Capital!AC227-Capital!AB227)</f>
        <v>0</v>
      </c>
      <c r="AD53" s="2107">
        <f ca="1">(Capital!AD25-Capital!AC25)+(Capital!AD32-Capital!AC32)+(Capital!AD227-Capital!AC227)</f>
        <v>0</v>
      </c>
      <c r="AE53" s="1483"/>
      <c r="AF53" s="1484"/>
      <c r="AG53" s="1484"/>
      <c r="AH53" s="1485"/>
      <c r="AI53" s="1485"/>
      <c r="AJ53" s="1485"/>
      <c r="AK53" s="1485"/>
      <c r="AL53" s="1485"/>
      <c r="AM53" s="1485"/>
      <c r="AN53" s="1485">
        <f t="shared" si="93"/>
        <v>0</v>
      </c>
      <c r="AO53" s="1485">
        <f t="shared" si="103"/>
        <v>0</v>
      </c>
      <c r="AP53" s="1485">
        <f t="shared" si="104"/>
        <v>0</v>
      </c>
      <c r="AQ53" s="1485">
        <f t="shared" si="105"/>
        <v>30</v>
      </c>
      <c r="AR53" s="1485">
        <f t="shared" si="94"/>
        <v>0</v>
      </c>
      <c r="AS53" s="1485">
        <f t="shared" si="106"/>
        <v>10</v>
      </c>
      <c r="AT53" s="1485">
        <f t="shared" si="107"/>
        <v>0</v>
      </c>
      <c r="AU53" s="1485">
        <f t="shared" si="108"/>
        <v>0</v>
      </c>
      <c r="AV53" s="1485">
        <f t="shared" si="95"/>
        <v>0</v>
      </c>
      <c r="AW53" s="1485">
        <f t="shared" si="109"/>
        <v>0</v>
      </c>
      <c r="AX53" s="1485">
        <f t="shared" si="110"/>
        <v>0</v>
      </c>
      <c r="AY53" s="1485">
        <f t="shared" si="111"/>
        <v>0</v>
      </c>
      <c r="AZ53" s="1485">
        <f t="shared" si="96"/>
        <v>0</v>
      </c>
      <c r="BA53" s="1485">
        <f t="shared" si="112"/>
        <v>0</v>
      </c>
      <c r="BB53" s="1485">
        <f t="shared" si="113"/>
        <v>0</v>
      </c>
      <c r="BC53" s="1485">
        <f t="shared" si="114"/>
        <v>0</v>
      </c>
      <c r="BD53" s="1485"/>
      <c r="BE53" s="1485"/>
      <c r="BF53" s="1485"/>
      <c r="BG53" s="1485"/>
      <c r="BH53" s="1485"/>
      <c r="BI53" s="1485"/>
      <c r="BJ53" s="1485"/>
      <c r="BK53" s="1485"/>
      <c r="BL53" s="1485"/>
      <c r="BM53" s="1485"/>
      <c r="BN53" s="1485"/>
      <c r="BO53" s="1485"/>
      <c r="BP53" s="1485"/>
      <c r="BQ53" s="1485">
        <v>373.75</v>
      </c>
      <c r="BR53" s="1485"/>
      <c r="BS53" s="1485"/>
      <c r="BT53" s="1485"/>
      <c r="BU53" s="1485"/>
      <c r="BV53" s="1485"/>
      <c r="BW53" s="1485">
        <f>(Capital!BW25-Capital!BV25)+(Capital!BW32-Capital!BV32)+(Capital!BW227-Capital!BV227)</f>
        <v>0</v>
      </c>
      <c r="BX53" s="1485">
        <v>0</v>
      </c>
      <c r="BY53" s="1485"/>
      <c r="BZ53" s="1485"/>
      <c r="CA53" s="1485"/>
      <c r="CB53" s="1485"/>
      <c r="CC53" s="1485">
        <v>-250.00700000000001</v>
      </c>
      <c r="CD53" s="1485"/>
      <c r="CE53" s="1485"/>
      <c r="CF53" s="1485"/>
      <c r="CG53" s="1485"/>
      <c r="CH53" s="1485"/>
      <c r="CI53" s="1485"/>
      <c r="CJ53" s="1485"/>
      <c r="CK53" s="1485">
        <v>-29.478999999999999</v>
      </c>
      <c r="CL53" s="1485"/>
      <c r="CM53" s="1485">
        <v>-3.4000000000000002E-2</v>
      </c>
      <c r="CN53" s="1485"/>
      <c r="CO53" s="1485"/>
      <c r="CP53" s="1485"/>
      <c r="CQ53" s="1485">
        <v>1100</v>
      </c>
      <c r="CR53" s="1485"/>
      <c r="CS53" s="1485"/>
      <c r="CT53" s="1485"/>
      <c r="CU53" s="1485"/>
      <c r="CV53" s="1485"/>
      <c r="CW53" s="1485"/>
      <c r="CX53" s="1485"/>
      <c r="CY53" s="1485"/>
      <c r="CZ53" s="1658"/>
      <c r="DA53" s="1658"/>
      <c r="DB53" s="1658"/>
      <c r="DC53" s="1658"/>
      <c r="DD53" s="1483"/>
      <c r="DE53" s="885"/>
      <c r="DF53" s="783"/>
      <c r="DG53" s="783"/>
      <c r="DH53" s="783"/>
      <c r="DI53" s="783"/>
      <c r="DJ53" s="783"/>
      <c r="DK53" s="783"/>
      <c r="DL53" s="783"/>
      <c r="DM53" s="783"/>
      <c r="DN53" s="783"/>
      <c r="DO53" s="783"/>
      <c r="DP53" s="783"/>
      <c r="DQ53" s="783">
        <v>30</v>
      </c>
      <c r="DR53" s="783"/>
      <c r="DS53" s="783">
        <v>10</v>
      </c>
      <c r="DT53" s="783">
        <v>10</v>
      </c>
      <c r="DU53" s="783">
        <v>10</v>
      </c>
      <c r="DV53" s="783"/>
      <c r="DW53" s="783"/>
      <c r="DX53" s="783"/>
      <c r="DY53" s="783"/>
      <c r="DZ53" s="783"/>
      <c r="EA53" s="981"/>
      <c r="EB53" s="783"/>
      <c r="EC53" s="1005"/>
      <c r="ED53" s="783"/>
      <c r="EE53" s="783"/>
      <c r="EF53" s="783"/>
      <c r="EG53" s="783"/>
      <c r="EH53" s="783"/>
      <c r="EI53" s="783"/>
      <c r="EJ53" s="783"/>
      <c r="EK53" s="783"/>
      <c r="EL53" s="783"/>
      <c r="EM53" s="783"/>
      <c r="EN53" s="783"/>
      <c r="EO53" s="783"/>
      <c r="EP53" s="789"/>
      <c r="EQ53" s="789"/>
      <c r="ER53" s="789"/>
      <c r="ES53" s="789"/>
      <c r="EU53" s="42"/>
      <c r="EV53"/>
      <c r="EW53"/>
      <c r="EX53"/>
      <c r="EY53"/>
      <c r="EZ53"/>
      <c r="FA53"/>
    </row>
    <row r="54" spans="2:157" s="15" customFormat="1" hidden="1" outlineLevel="1">
      <c r="B54" s="1039" t="s">
        <v>1384</v>
      </c>
      <c r="C54" s="23"/>
      <c r="D54" s="783"/>
      <c r="E54" s="783"/>
      <c r="F54" s="783">
        <f t="shared" si="97"/>
        <v>0</v>
      </c>
      <c r="G54" s="783"/>
      <c r="H54" s="783"/>
      <c r="I54" s="783">
        <f t="shared" ref="I54:I62" si="116">SUM(AV54:AY54)</f>
        <v>86.25</v>
      </c>
      <c r="J54" s="783"/>
      <c r="K54" s="783">
        <f t="shared" si="88"/>
        <v>0</v>
      </c>
      <c r="L54" s="783">
        <f t="shared" si="89"/>
        <v>645.98599999999999</v>
      </c>
      <c r="M54" s="54"/>
      <c r="N54" s="1491">
        <f>SUM(CF!BP54:BS54)</f>
        <v>0</v>
      </c>
      <c r="O54" s="1483">
        <f t="shared" si="90"/>
        <v>0</v>
      </c>
      <c r="P54" s="1483">
        <f t="shared" si="101"/>
        <v>0</v>
      </c>
      <c r="Q54" s="1483">
        <f t="shared" si="102"/>
        <v>0</v>
      </c>
      <c r="R54" s="1483">
        <f t="shared" si="98"/>
        <v>0</v>
      </c>
      <c r="S54" s="1483">
        <f t="shared" si="98"/>
        <v>0</v>
      </c>
      <c r="T54" s="1483">
        <f t="shared" si="99"/>
        <v>0</v>
      </c>
      <c r="U54" s="1483">
        <f t="shared" si="100"/>
        <v>0</v>
      </c>
      <c r="V54" s="1483">
        <f t="shared" si="91"/>
        <v>0</v>
      </c>
      <c r="W54" s="1483">
        <f t="shared" si="92"/>
        <v>0</v>
      </c>
      <c r="X54" s="1483"/>
      <c r="Y54" s="1483"/>
      <c r="Z54" s="1483"/>
      <c r="AA54" s="1483"/>
      <c r="AB54" s="1483"/>
      <c r="AC54" s="1483"/>
      <c r="AD54" s="1483"/>
      <c r="AE54" s="1483"/>
      <c r="AF54" s="1484"/>
      <c r="AG54" s="1484"/>
      <c r="AH54" s="1485"/>
      <c r="AI54" s="1485"/>
      <c r="AJ54" s="1485"/>
      <c r="AK54" s="1485"/>
      <c r="AL54" s="1485"/>
      <c r="AM54" s="1485"/>
      <c r="AN54" s="1485">
        <f t="shared" si="93"/>
        <v>0</v>
      </c>
      <c r="AO54" s="1485">
        <f t="shared" si="103"/>
        <v>0</v>
      </c>
      <c r="AP54" s="1485">
        <f t="shared" si="104"/>
        <v>0</v>
      </c>
      <c r="AQ54" s="1485">
        <f t="shared" si="105"/>
        <v>0</v>
      </c>
      <c r="AR54" s="1485">
        <f t="shared" si="94"/>
        <v>0</v>
      </c>
      <c r="AS54" s="1485">
        <f t="shared" si="106"/>
        <v>0</v>
      </c>
      <c r="AT54" s="1485">
        <f t="shared" si="107"/>
        <v>0</v>
      </c>
      <c r="AU54" s="1485">
        <f t="shared" si="108"/>
        <v>0</v>
      </c>
      <c r="AV54" s="1485">
        <f t="shared" si="95"/>
        <v>86.25</v>
      </c>
      <c r="AW54" s="1485">
        <f t="shared" si="109"/>
        <v>0</v>
      </c>
      <c r="AX54" s="1485">
        <f t="shared" si="110"/>
        <v>0</v>
      </c>
      <c r="AY54" s="1485">
        <f t="shared" si="111"/>
        <v>0</v>
      </c>
      <c r="AZ54" s="1485">
        <f t="shared" si="96"/>
        <v>0</v>
      </c>
      <c r="BA54" s="1485">
        <f t="shared" si="112"/>
        <v>0</v>
      </c>
      <c r="BB54" s="1485">
        <f t="shared" si="113"/>
        <v>0</v>
      </c>
      <c r="BC54" s="1485">
        <f t="shared" si="114"/>
        <v>0</v>
      </c>
      <c r="BD54" s="1485"/>
      <c r="BE54" s="1485"/>
      <c r="BF54" s="1485"/>
      <c r="BG54" s="1485"/>
      <c r="BH54" s="1485">
        <f t="shared" si="115"/>
        <v>250</v>
      </c>
      <c r="BI54" s="1485">
        <f>EI54-BH54</f>
        <v>0</v>
      </c>
      <c r="BJ54" s="1485">
        <f>EJ54-BI54-BH54</f>
        <v>395.98599999999999</v>
      </c>
      <c r="BK54" s="1485">
        <f>EK54-BJ54-BI54-BH54</f>
        <v>0</v>
      </c>
      <c r="BL54" s="1485"/>
      <c r="BM54" s="1485"/>
      <c r="BN54" s="1485"/>
      <c r="BO54" s="1485"/>
      <c r="BP54" s="1485"/>
      <c r="BQ54" s="1485"/>
      <c r="BR54" s="1485"/>
      <c r="BS54" s="1485"/>
      <c r="BT54" s="1485"/>
      <c r="BU54" s="1485"/>
      <c r="BV54" s="1485"/>
      <c r="BW54" s="1485"/>
      <c r="BX54" s="1485"/>
      <c r="BY54" s="1485"/>
      <c r="BZ54" s="1485"/>
      <c r="CA54" s="1485"/>
      <c r="CB54" s="1485"/>
      <c r="CC54" s="1485"/>
      <c r="CD54" s="1485"/>
      <c r="CE54" s="1485"/>
      <c r="CF54" s="1485"/>
      <c r="CG54" s="1485"/>
      <c r="CH54" s="1485"/>
      <c r="CI54" s="1485"/>
      <c r="CJ54" s="1485"/>
      <c r="CK54" s="1485"/>
      <c r="CL54" s="1485"/>
      <c r="CM54" s="1485"/>
      <c r="CN54" s="1485"/>
      <c r="CO54" s="1485"/>
      <c r="CP54" s="1485"/>
      <c r="CQ54" s="1485"/>
      <c r="CR54" s="1485"/>
      <c r="CS54" s="1485"/>
      <c r="CT54" s="1485"/>
      <c r="CU54" s="1485"/>
      <c r="CV54" s="1485"/>
      <c r="CW54" s="1485"/>
      <c r="CX54" s="1485"/>
      <c r="CY54" s="1485"/>
      <c r="CZ54" s="1688"/>
      <c r="DA54" s="1688"/>
      <c r="DB54" s="1688"/>
      <c r="DC54" s="1688"/>
      <c r="DD54" s="1483"/>
      <c r="DF54" s="783"/>
      <c r="DG54" s="783"/>
      <c r="DH54" s="783"/>
      <c r="DI54" s="783"/>
      <c r="DJ54" s="783"/>
      <c r="DK54" s="783"/>
      <c r="DL54" s="783"/>
      <c r="DM54" s="783"/>
      <c r="DN54" s="783"/>
      <c r="DO54" s="783"/>
      <c r="DP54" s="783"/>
      <c r="DQ54" s="783"/>
      <c r="DR54" s="783"/>
      <c r="DS54" s="783"/>
      <c r="DT54" s="783"/>
      <c r="DU54" s="783"/>
      <c r="DV54" s="783">
        <v>86.25</v>
      </c>
      <c r="DW54" s="783">
        <v>86.25</v>
      </c>
      <c r="DX54" s="783">
        <v>86.25</v>
      </c>
      <c r="DY54" s="783">
        <v>86.25</v>
      </c>
      <c r="DZ54" s="783"/>
      <c r="EA54" s="981"/>
      <c r="EB54" s="783"/>
      <c r="EC54" s="783"/>
      <c r="ED54" s="783"/>
      <c r="EE54" s="783"/>
      <c r="EF54" s="783"/>
      <c r="EG54" s="783"/>
      <c r="EH54" s="783">
        <v>250</v>
      </c>
      <c r="EI54" s="783">
        <v>250</v>
      </c>
      <c r="EJ54" s="783">
        <v>645.98599999999999</v>
      </c>
      <c r="EK54" s="783">
        <v>645.98599999999999</v>
      </c>
      <c r="EL54" s="783"/>
      <c r="EM54" s="783"/>
      <c r="EN54" s="783"/>
      <c r="EO54" s="783"/>
      <c r="EP54" s="789"/>
      <c r="EQ54" s="789"/>
      <c r="ER54" s="789"/>
      <c r="ES54" s="789"/>
      <c r="EU54" s="42"/>
      <c r="EV54"/>
      <c r="EW54"/>
      <c r="EX54"/>
      <c r="EY54"/>
      <c r="EZ54"/>
      <c r="FA54"/>
    </row>
    <row r="55" spans="2:157" s="15" customFormat="1" collapsed="1">
      <c r="B55" s="1039" t="s">
        <v>1401</v>
      </c>
      <c r="C55" s="23"/>
      <c r="D55" s="783"/>
      <c r="E55" s="783">
        <f>6.884-9.955</f>
        <v>-3.0709999999999997</v>
      </c>
      <c r="F55" s="783">
        <f t="shared" si="97"/>
        <v>2.4449999999999932</v>
      </c>
      <c r="G55" s="783">
        <f>SUM(AN55:AQ55)</f>
        <v>-6.1180000000000003</v>
      </c>
      <c r="H55" s="783">
        <f>SUM(AR55:AU55)</f>
        <v>-6.0739999999999998</v>
      </c>
      <c r="I55" s="783">
        <f t="shared" si="116"/>
        <v>-3.6320000000000001</v>
      </c>
      <c r="J55" s="783">
        <f>SUM(AZ55:BC55)</f>
        <v>-5.5229999999999997</v>
      </c>
      <c r="K55" s="783">
        <f t="shared" si="88"/>
        <v>-1.5060000000000002</v>
      </c>
      <c r="L55" s="783">
        <f t="shared" si="89"/>
        <v>-2.4059999999999997</v>
      </c>
      <c r="M55" s="54">
        <f>SUM(BL55:BO55)</f>
        <v>-3.8319999999999999</v>
      </c>
      <c r="N55" s="1491">
        <f>SUM(CF!BP55:BS55)</f>
        <v>-21.872</v>
      </c>
      <c r="O55" s="1483">
        <f t="shared" si="90"/>
        <v>-16.133000000000003</v>
      </c>
      <c r="P55" s="1483">
        <f t="shared" si="101"/>
        <v>-10.426</v>
      </c>
      <c r="Q55" s="1483">
        <f t="shared" si="102"/>
        <v>-12.378</v>
      </c>
      <c r="R55" s="1483">
        <f t="shared" si="98"/>
        <v>-40.132999999999996</v>
      </c>
      <c r="S55" s="1483">
        <f>SUM(CJ55:CM55)</f>
        <v>-18.03</v>
      </c>
      <c r="T55" s="1483">
        <f t="shared" si="99"/>
        <v>-28.664000000000001</v>
      </c>
      <c r="U55" s="1483">
        <f t="shared" si="100"/>
        <v>-114.38500000000001</v>
      </c>
      <c r="V55" s="1483">
        <f t="shared" si="91"/>
        <v>-93.47</v>
      </c>
      <c r="W55" s="1483">
        <f t="shared" si="92"/>
        <v>0</v>
      </c>
      <c r="X55" s="2107">
        <f>((BS!X55+BS!X42)-(BS!W42+BS!W55))</f>
        <v>-2.7840000000001055</v>
      </c>
      <c r="Y55" s="2107">
        <f>((BS!Y55+BS!Y42)-(BS!X42+BS!X55))</f>
        <v>-2.7839999999998781</v>
      </c>
      <c r="Z55" s="2107">
        <f>((BS!Z55+BS!Z42)-(BS!Y42+BS!Y55))</f>
        <v>-2.7839999999998781</v>
      </c>
      <c r="AA55" s="2107">
        <f>((BS!AA55+BS!AA42)-(BS!Z42+BS!Z55))</f>
        <v>-2.7839999999998781</v>
      </c>
      <c r="AB55" s="2107">
        <f>((BS!AB55+BS!AB42)-(BS!AA42+BS!AA55))</f>
        <v>-2.7839999999998781</v>
      </c>
      <c r="AC55" s="2107">
        <f>((BS!AC55+BS!AC42)-(BS!AB42+BS!AB55))</f>
        <v>-2.7839999999998781</v>
      </c>
      <c r="AD55" s="2107">
        <f>((BS!AD55+BS!AD42)-(BS!AC42+BS!AC55))</f>
        <v>-2.7839999999998781</v>
      </c>
      <c r="AE55" s="1483"/>
      <c r="AF55" s="1484"/>
      <c r="AG55" s="1484"/>
      <c r="AH55" s="1485">
        <f>DH55-AG55-AF55</f>
        <v>2.1970000000000001</v>
      </c>
      <c r="AI55" s="1485">
        <f>DI55-AH55-AG55-AF55</f>
        <v>-5.2679999999999998</v>
      </c>
      <c r="AJ55" s="1485">
        <f>DJ55</f>
        <v>127.06399999999999</v>
      </c>
      <c r="AK55" s="1485">
        <f>DK55-AJ55</f>
        <v>28.78</v>
      </c>
      <c r="AL55" s="1485">
        <f>DL55-AK55-AJ55</f>
        <v>-2.046999999999997</v>
      </c>
      <c r="AM55" s="1485">
        <f>DM55-AL55-AK55-AJ55</f>
        <v>-151.352</v>
      </c>
      <c r="AN55" s="1485">
        <f t="shared" si="93"/>
        <v>-1.7170000000000001</v>
      </c>
      <c r="AO55" s="1485">
        <f t="shared" si="103"/>
        <v>-1.7770000000000001</v>
      </c>
      <c r="AP55" s="1485">
        <f t="shared" si="104"/>
        <v>-1.7069999999999994</v>
      </c>
      <c r="AQ55" s="1485">
        <f t="shared" si="105"/>
        <v>-0.91700000000000115</v>
      </c>
      <c r="AR55" s="1485">
        <f t="shared" si="94"/>
        <v>-2.5179999999999998</v>
      </c>
      <c r="AS55" s="1485">
        <f t="shared" si="106"/>
        <v>-1.8769999999999998</v>
      </c>
      <c r="AT55" s="1485">
        <f t="shared" si="107"/>
        <v>-0.70700000000000074</v>
      </c>
      <c r="AU55" s="1485">
        <f t="shared" si="108"/>
        <v>-0.97199999999999953</v>
      </c>
      <c r="AV55" s="1485">
        <f t="shared" si="95"/>
        <v>-3.5270000000000001</v>
      </c>
      <c r="AW55" s="1485">
        <f t="shared" si="109"/>
        <v>0</v>
      </c>
      <c r="AX55" s="1485">
        <f t="shared" si="110"/>
        <v>0</v>
      </c>
      <c r="AY55" s="1485">
        <f t="shared" si="111"/>
        <v>-0.10499999999999998</v>
      </c>
      <c r="AZ55" s="1485">
        <f t="shared" si="96"/>
        <v>-3.222</v>
      </c>
      <c r="BA55" s="1485">
        <f t="shared" si="112"/>
        <v>-0.78999999999999959</v>
      </c>
      <c r="BB55" s="1485">
        <f t="shared" si="113"/>
        <v>-0.20100000000000051</v>
      </c>
      <c r="BC55" s="1485">
        <f t="shared" si="114"/>
        <v>-1.31</v>
      </c>
      <c r="BD55" s="1485">
        <f>ED55</f>
        <v>-0.36399999999999999</v>
      </c>
      <c r="BE55" s="1485">
        <f>EE55-BD55</f>
        <v>-0.375</v>
      </c>
      <c r="BF55" s="1485">
        <f>EF55-BE55-BD55</f>
        <v>-0.3909999999999999</v>
      </c>
      <c r="BG55" s="1485">
        <f>EG55-BF55-BE55-BD55</f>
        <v>-0.37600000000000022</v>
      </c>
      <c r="BH55" s="1485">
        <f t="shared" si="115"/>
        <v>-0.46500000000000002</v>
      </c>
      <c r="BI55" s="1485">
        <f>EI55-BH55</f>
        <v>-0.47999999999999993</v>
      </c>
      <c r="BJ55" s="1485">
        <f>EJ55-BI55-BH55</f>
        <v>-0.5</v>
      </c>
      <c r="BK55" s="1485">
        <f>EK55-BJ55-BI55-BH55</f>
        <v>-0.96100000000000008</v>
      </c>
      <c r="BL55" s="1485">
        <f>EL55</f>
        <v>-0.96599999999999997</v>
      </c>
      <c r="BM55" s="1485">
        <f>EM55-BL55</f>
        <v>-0.95199999999999996</v>
      </c>
      <c r="BN55" s="1485">
        <f>EN55-BM55-BL55</f>
        <v>-0.95600000000000018</v>
      </c>
      <c r="BO55" s="1485">
        <f>EO55-BN55-BM55-BL55</f>
        <v>-0.95799999999999952</v>
      </c>
      <c r="BP55" s="1485">
        <v>-0.96899999999999997</v>
      </c>
      <c r="BQ55" s="1485">
        <v>-1.369</v>
      </c>
      <c r="BR55" s="1485">
        <v>-1.427</v>
      </c>
      <c r="BS55" s="1485">
        <f>-1.514-16.593</f>
        <v>-18.106999999999999</v>
      </c>
      <c r="BT55" s="1485">
        <v>-1.554</v>
      </c>
      <c r="BU55" s="1485">
        <v>-10.847</v>
      </c>
      <c r="BV55" s="1485">
        <v>-1.7130000000000001</v>
      </c>
      <c r="BW55" s="1485">
        <v>-2.0190000000000001</v>
      </c>
      <c r="BX55" s="1485">
        <v>-1.968</v>
      </c>
      <c r="BY55" s="1485">
        <v>-2.355</v>
      </c>
      <c r="BZ55" s="1485">
        <v>-3.081</v>
      </c>
      <c r="CA55" s="1485">
        <v>-3.0219999999999998</v>
      </c>
      <c r="CB55" s="1485">
        <v>-2.8260000000000001</v>
      </c>
      <c r="CC55" s="1485">
        <v>-3.032</v>
      </c>
      <c r="CD55" s="1485">
        <v>-3.0489999999999999</v>
      </c>
      <c r="CE55" s="1485">
        <v>-3.4710000000000001</v>
      </c>
      <c r="CF55" s="1485">
        <v>-3.516</v>
      </c>
      <c r="CG55" s="1485">
        <v>-4.157</v>
      </c>
      <c r="CH55" s="1485">
        <v>-4.5529999999999999</v>
      </c>
      <c r="CI55" s="1485">
        <v>-27.907</v>
      </c>
      <c r="CJ55" s="1485">
        <v>-4.25</v>
      </c>
      <c r="CK55" s="1485">
        <v>-5.0330000000000004</v>
      </c>
      <c r="CL55" s="1485">
        <v>-3.8570000000000002</v>
      </c>
      <c r="CM55" s="1485">
        <v>-4.8899999999999997</v>
      </c>
      <c r="CN55" s="1485">
        <v>-5.2960000000000003</v>
      </c>
      <c r="CO55" s="1485">
        <v>-8.3420000000000005</v>
      </c>
      <c r="CP55" s="1485">
        <v>-6.5759999999999996</v>
      </c>
      <c r="CQ55" s="1485">
        <v>-8.4499999999999993</v>
      </c>
      <c r="CR55" s="1485">
        <v>-33.231999999999999</v>
      </c>
      <c r="CS55" s="1485">
        <v>-12.103</v>
      </c>
      <c r="CT55" s="1485">
        <v>-55.527999999999999</v>
      </c>
      <c r="CU55" s="1485">
        <v>-13.522</v>
      </c>
      <c r="CV55" s="1485">
        <v>-16.596</v>
      </c>
      <c r="CW55" s="1485">
        <v>-27.864000000000001</v>
      </c>
      <c r="CX55" s="1485">
        <v>-15.792</v>
      </c>
      <c r="CY55" s="1485">
        <v>-33.218000000000004</v>
      </c>
      <c r="CZ55" s="1688">
        <f>((BS!CZ55+BS!CZ42)-(BS!CY42+BS!CY55))</f>
        <v>0</v>
      </c>
      <c r="DA55" s="1688">
        <f>((BS!DA55+BS!DA42)-(BS!CZ42+BS!CZ55))</f>
        <v>0</v>
      </c>
      <c r="DB55" s="1688">
        <f>((BS!DB55+BS!DB42)-(BS!DA42+BS!DA55))</f>
        <v>0</v>
      </c>
      <c r="DC55" s="1688">
        <f>((BS!DC55+BS!DC42)-(BS!DB42+BS!DB55))</f>
        <v>0</v>
      </c>
      <c r="DD55" s="1483"/>
      <c r="DE55" s="885"/>
      <c r="DF55" s="783"/>
      <c r="DG55" s="783"/>
      <c r="DH55" s="783">
        <f>6.884-4.687</f>
        <v>2.1970000000000001</v>
      </c>
      <c r="DI55" s="783">
        <f>+-9.955+6.884</f>
        <v>-3.0709999999999997</v>
      </c>
      <c r="DJ55" s="783">
        <f>128.004-0.94</f>
        <v>127.06399999999999</v>
      </c>
      <c r="DK55" s="783">
        <f>158.004-2.16</f>
        <v>155.84399999999999</v>
      </c>
      <c r="DL55" s="783">
        <f>158.004-4.207</f>
        <v>153.797</v>
      </c>
      <c r="DM55" s="783">
        <f>8.004-5.559</f>
        <v>2.4449999999999994</v>
      </c>
      <c r="DN55" s="783">
        <v>-1.7170000000000001</v>
      </c>
      <c r="DO55" s="783">
        <v>-3.4940000000000002</v>
      </c>
      <c r="DP55" s="783">
        <v>-5.2009999999999996</v>
      </c>
      <c r="DQ55" s="783">
        <v>-6.1180000000000003</v>
      </c>
      <c r="DR55" s="783">
        <v>-2.5179999999999998</v>
      </c>
      <c r="DS55" s="783">
        <v>-4.3949999999999996</v>
      </c>
      <c r="DT55" s="783">
        <v>-5.1020000000000003</v>
      </c>
      <c r="DU55" s="783">
        <v>-6.0739999999999998</v>
      </c>
      <c r="DV55" s="783">
        <v>-3.5270000000000001</v>
      </c>
      <c r="DW55" s="783">
        <v>-3.5270000000000001</v>
      </c>
      <c r="DX55" s="783">
        <v>-3.5270000000000001</v>
      </c>
      <c r="DY55" s="783">
        <v>-3.6320000000000001</v>
      </c>
      <c r="DZ55" s="783">
        <v>-3.222</v>
      </c>
      <c r="EA55" s="981">
        <v>-4.0119999999999996</v>
      </c>
      <c r="EB55" s="783">
        <v>-4.2130000000000001</v>
      </c>
      <c r="EC55" s="783">
        <v>-5.5229999999999997</v>
      </c>
      <c r="ED55" s="783">
        <v>-0.36399999999999999</v>
      </c>
      <c r="EE55" s="783">
        <v>-0.73899999999999999</v>
      </c>
      <c r="EF55" s="783">
        <v>-1.1299999999999999</v>
      </c>
      <c r="EG55" s="783">
        <v>-1.506</v>
      </c>
      <c r="EH55" s="783">
        <v>-0.46500000000000002</v>
      </c>
      <c r="EI55" s="783">
        <v>-0.94499999999999995</v>
      </c>
      <c r="EJ55" s="783">
        <v>-1.4450000000000001</v>
      </c>
      <c r="EK55" s="783">
        <v>-2.4060000000000001</v>
      </c>
      <c r="EL55" s="783">
        <v>-0.96599999999999997</v>
      </c>
      <c r="EM55" s="783">
        <v>-1.9179999999999999</v>
      </c>
      <c r="EN55" s="783">
        <v>-2.8740000000000001</v>
      </c>
      <c r="EO55" s="783">
        <v>-3.8319999999999999</v>
      </c>
      <c r="EP55" s="789"/>
      <c r="EQ55" s="789"/>
      <c r="ER55" s="789"/>
      <c r="ES55" s="789"/>
      <c r="EU55" s="42"/>
      <c r="EV55"/>
      <c r="EW55"/>
      <c r="EX55"/>
      <c r="EY55"/>
      <c r="EZ55"/>
      <c r="FA55"/>
    </row>
    <row r="56" spans="2:157" s="15" customFormat="1" hidden="1" outlineLevel="1">
      <c r="B56" s="1039" t="s">
        <v>1153</v>
      </c>
      <c r="C56" s="23"/>
      <c r="D56" s="783"/>
      <c r="E56" s="783"/>
      <c r="F56" s="783">
        <f t="shared" si="97"/>
        <v>0</v>
      </c>
      <c r="G56" s="783">
        <f>SUM(AN56:AQ56)</f>
        <v>-13.49</v>
      </c>
      <c r="H56" s="783">
        <f>SUM(AR56:AU56)</f>
        <v>-57.228999999999999</v>
      </c>
      <c r="I56" s="783">
        <f t="shared" si="116"/>
        <v>-34.280999999999999</v>
      </c>
      <c r="J56" s="783"/>
      <c r="K56" s="783">
        <f t="shared" si="88"/>
        <v>0</v>
      </c>
      <c r="L56" s="783">
        <f t="shared" si="89"/>
        <v>0</v>
      </c>
      <c r="M56" s="54"/>
      <c r="N56" s="1491">
        <f>SUM(CF!BP56:BS56)</f>
        <v>0</v>
      </c>
      <c r="O56" s="1483">
        <f t="shared" si="90"/>
        <v>0</v>
      </c>
      <c r="P56" s="1483">
        <f t="shared" si="101"/>
        <v>0</v>
      </c>
      <c r="Q56" s="1483">
        <f t="shared" si="102"/>
        <v>0</v>
      </c>
      <c r="R56" s="1483">
        <f t="shared" si="98"/>
        <v>0</v>
      </c>
      <c r="S56" s="1483">
        <f t="shared" si="98"/>
        <v>0</v>
      </c>
      <c r="T56" s="1483">
        <f t="shared" si="99"/>
        <v>0</v>
      </c>
      <c r="U56" s="1483">
        <f t="shared" si="100"/>
        <v>0</v>
      </c>
      <c r="V56" s="1483">
        <f t="shared" si="91"/>
        <v>0</v>
      </c>
      <c r="W56" s="1483">
        <f t="shared" si="92"/>
        <v>0</v>
      </c>
      <c r="X56" s="1483"/>
      <c r="Y56" s="1483"/>
      <c r="Z56" s="1483"/>
      <c r="AA56" s="1483"/>
      <c r="AB56" s="1483"/>
      <c r="AC56" s="1483"/>
      <c r="AD56" s="1483"/>
      <c r="AE56" s="1483"/>
      <c r="AF56" s="1484"/>
      <c r="AG56" s="1484"/>
      <c r="AH56" s="1485"/>
      <c r="AI56" s="1485"/>
      <c r="AJ56" s="1485"/>
      <c r="AK56" s="1485"/>
      <c r="AL56" s="1485"/>
      <c r="AM56" s="1485"/>
      <c r="AN56" s="1485">
        <f t="shared" si="93"/>
        <v>0</v>
      </c>
      <c r="AO56" s="1485">
        <f t="shared" si="103"/>
        <v>0</v>
      </c>
      <c r="AP56" s="1485">
        <f t="shared" si="104"/>
        <v>0</v>
      </c>
      <c r="AQ56" s="1485">
        <f t="shared" si="105"/>
        <v>-13.49</v>
      </c>
      <c r="AR56" s="1485">
        <f t="shared" si="94"/>
        <v>0</v>
      </c>
      <c r="AS56" s="1485">
        <f t="shared" si="106"/>
        <v>-0.99</v>
      </c>
      <c r="AT56" s="1485">
        <f t="shared" si="107"/>
        <v>0</v>
      </c>
      <c r="AU56" s="1485">
        <f t="shared" si="108"/>
        <v>-56.238999999999997</v>
      </c>
      <c r="AV56" s="1485">
        <f t="shared" si="95"/>
        <v>-34.280999999999999</v>
      </c>
      <c r="AW56" s="1485">
        <f t="shared" si="109"/>
        <v>0</v>
      </c>
      <c r="AX56" s="1485">
        <f t="shared" si="110"/>
        <v>0</v>
      </c>
      <c r="AY56" s="1485">
        <f t="shared" si="111"/>
        <v>0</v>
      </c>
      <c r="AZ56" s="1485">
        <f t="shared" si="96"/>
        <v>0</v>
      </c>
      <c r="BA56" s="1485">
        <f t="shared" si="112"/>
        <v>0</v>
      </c>
      <c r="BB56" s="1485">
        <f t="shared" si="113"/>
        <v>0</v>
      </c>
      <c r="BC56" s="1485">
        <f t="shared" si="114"/>
        <v>0</v>
      </c>
      <c r="BD56" s="1485"/>
      <c r="BE56" s="1485"/>
      <c r="BF56" s="1485"/>
      <c r="BG56" s="1485"/>
      <c r="BH56" s="1485"/>
      <c r="BI56" s="1485"/>
      <c r="BJ56" s="1485"/>
      <c r="BK56" s="1485"/>
      <c r="BL56" s="1485"/>
      <c r="BM56" s="1485"/>
      <c r="BN56" s="1485"/>
      <c r="BO56" s="1485"/>
      <c r="BP56" s="1485"/>
      <c r="BQ56" s="1485"/>
      <c r="BR56" s="1485"/>
      <c r="BS56" s="1485"/>
      <c r="BT56" s="1485"/>
      <c r="BU56" s="1485"/>
      <c r="BV56" s="1485"/>
      <c r="BW56" s="1485"/>
      <c r="BX56" s="1485"/>
      <c r="BY56" s="1483"/>
      <c r="BZ56" s="1483"/>
      <c r="CA56" s="1483"/>
      <c r="CB56" s="1483"/>
      <c r="CC56" s="1483"/>
      <c r="CD56" s="1483"/>
      <c r="CE56" s="1483"/>
      <c r="CF56" s="1483"/>
      <c r="CG56" s="1483"/>
      <c r="CH56" s="1483"/>
      <c r="CI56" s="1483"/>
      <c r="CJ56" s="1483"/>
      <c r="CK56" s="1483"/>
      <c r="CL56" s="1483"/>
      <c r="CM56" s="1483"/>
      <c r="CN56" s="1483"/>
      <c r="CO56" s="1483"/>
      <c r="CP56" s="1483"/>
      <c r="CQ56" s="1483"/>
      <c r="CR56" s="1483"/>
      <c r="CS56" s="1483"/>
      <c r="CT56" s="1483"/>
      <c r="CU56" s="1483"/>
      <c r="CV56" s="1483"/>
      <c r="CW56" s="1483"/>
      <c r="CX56" s="1483"/>
      <c r="CY56" s="1483"/>
      <c r="CZ56" s="1688"/>
      <c r="DA56" s="1688"/>
      <c r="DB56" s="1688"/>
      <c r="DC56" s="1688"/>
      <c r="DD56" s="1483"/>
      <c r="DF56" s="783"/>
      <c r="DG56" s="783"/>
      <c r="DH56" s="783"/>
      <c r="DI56" s="783"/>
      <c r="DJ56" s="783"/>
      <c r="DK56" s="783"/>
      <c r="DL56" s="783"/>
      <c r="DM56" s="783"/>
      <c r="DN56" s="783"/>
      <c r="DO56" s="783"/>
      <c r="DP56" s="783"/>
      <c r="DQ56" s="783">
        <v>-13.49</v>
      </c>
      <c r="DR56" s="783"/>
      <c r="DS56" s="783">
        <v>-0.99</v>
      </c>
      <c r="DT56" s="783">
        <v>-0.99</v>
      </c>
      <c r="DU56" s="783">
        <v>-57.228999999999999</v>
      </c>
      <c r="DV56" s="783">
        <v>-34.280999999999999</v>
      </c>
      <c r="DW56" s="783">
        <v>-34.280999999999999</v>
      </c>
      <c r="DX56" s="783">
        <v>-34.280999999999999</v>
      </c>
      <c r="DY56" s="783">
        <v>-34.280999999999999</v>
      </c>
      <c r="DZ56" s="783"/>
      <c r="EA56" s="981"/>
      <c r="EB56" s="783"/>
      <c r="EC56" s="783"/>
      <c r="ED56" s="783"/>
      <c r="EE56" s="783"/>
      <c r="EF56" s="783"/>
      <c r="EG56" s="783"/>
      <c r="EH56" s="783"/>
      <c r="EI56" s="783"/>
      <c r="EJ56" s="783"/>
      <c r="EK56" s="783"/>
      <c r="EL56" s="783"/>
      <c r="EM56" s="783"/>
      <c r="EN56" s="783"/>
      <c r="EO56" s="783"/>
      <c r="EP56" s="789"/>
      <c r="EQ56" s="789"/>
      <c r="ER56" s="789"/>
      <c r="ES56" s="789"/>
      <c r="EU56" s="42"/>
      <c r="EV56"/>
      <c r="EW56"/>
      <c r="EX56"/>
      <c r="EY56"/>
      <c r="EZ56"/>
      <c r="FA56"/>
    </row>
    <row r="57" spans="2:157" s="15" customFormat="1" hidden="1" outlineLevel="1">
      <c r="B57" s="1039" t="s">
        <v>1402</v>
      </c>
      <c r="C57" s="23"/>
      <c r="D57" s="783"/>
      <c r="E57" s="783"/>
      <c r="F57" s="783">
        <f t="shared" si="97"/>
        <v>105</v>
      </c>
      <c r="G57" s="783"/>
      <c r="H57" s="783"/>
      <c r="I57" s="783"/>
      <c r="J57" s="783"/>
      <c r="K57" s="783"/>
      <c r="L57" s="783"/>
      <c r="M57" s="54"/>
      <c r="N57" s="1491">
        <f>SUM(CF!BP57:BS57)</f>
        <v>0</v>
      </c>
      <c r="O57" s="1483">
        <f t="shared" si="90"/>
        <v>0</v>
      </c>
      <c r="P57" s="1483">
        <f t="shared" si="101"/>
        <v>0</v>
      </c>
      <c r="Q57" s="1483">
        <f t="shared" si="102"/>
        <v>0</v>
      </c>
      <c r="R57" s="1483">
        <f t="shared" si="98"/>
        <v>0</v>
      </c>
      <c r="S57" s="1483">
        <f t="shared" si="98"/>
        <v>0</v>
      </c>
      <c r="T57" s="1483">
        <f t="shared" si="99"/>
        <v>0</v>
      </c>
      <c r="U57" s="1483">
        <f t="shared" si="100"/>
        <v>0</v>
      </c>
      <c r="V57" s="1483">
        <f t="shared" si="91"/>
        <v>0</v>
      </c>
      <c r="W57" s="1483">
        <f t="shared" si="92"/>
        <v>0</v>
      </c>
      <c r="X57" s="1483"/>
      <c r="Y57" s="1483"/>
      <c r="Z57" s="1483"/>
      <c r="AA57" s="1483"/>
      <c r="AB57" s="1483"/>
      <c r="AC57" s="1483"/>
      <c r="AD57" s="1483"/>
      <c r="AE57" s="1483"/>
      <c r="AF57" s="1484"/>
      <c r="AG57" s="1484"/>
      <c r="AH57" s="1485"/>
      <c r="AI57" s="1485"/>
      <c r="AJ57" s="1485"/>
      <c r="AK57" s="1485"/>
      <c r="AL57" s="1485"/>
      <c r="AM57" s="1485">
        <f>DM57-AL57-AK57-AJ57</f>
        <v>105</v>
      </c>
      <c r="AN57" s="1485">
        <f t="shared" si="93"/>
        <v>0</v>
      </c>
      <c r="AO57" s="1485">
        <f t="shared" si="103"/>
        <v>0</v>
      </c>
      <c r="AP57" s="1485">
        <f t="shared" si="104"/>
        <v>-5</v>
      </c>
      <c r="AQ57" s="1485">
        <f t="shared" si="105"/>
        <v>5</v>
      </c>
      <c r="AR57" s="1485">
        <f t="shared" si="94"/>
        <v>0</v>
      </c>
      <c r="AS57" s="1485">
        <f t="shared" si="106"/>
        <v>0</v>
      </c>
      <c r="AT57" s="1485">
        <f t="shared" si="107"/>
        <v>0</v>
      </c>
      <c r="AU57" s="1485">
        <f t="shared" si="108"/>
        <v>0</v>
      </c>
      <c r="AV57" s="1485">
        <f t="shared" si="95"/>
        <v>0</v>
      </c>
      <c r="AW57" s="1485">
        <f t="shared" si="109"/>
        <v>0</v>
      </c>
      <c r="AX57" s="1485">
        <f t="shared" si="110"/>
        <v>0</v>
      </c>
      <c r="AY57" s="1485">
        <f t="shared" si="111"/>
        <v>0</v>
      </c>
      <c r="AZ57" s="1485">
        <f t="shared" si="96"/>
        <v>0</v>
      </c>
      <c r="BA57" s="1485">
        <f t="shared" si="112"/>
        <v>0</v>
      </c>
      <c r="BB57" s="1485">
        <f t="shared" si="113"/>
        <v>0</v>
      </c>
      <c r="BC57" s="1485">
        <f t="shared" si="114"/>
        <v>0</v>
      </c>
      <c r="BD57" s="1485"/>
      <c r="BE57" s="1485"/>
      <c r="BF57" s="1485"/>
      <c r="BG57" s="1485"/>
      <c r="BH57" s="1485"/>
      <c r="BI57" s="1485"/>
      <c r="BJ57" s="1485"/>
      <c r="BK57" s="1485"/>
      <c r="BL57" s="1485"/>
      <c r="BM57" s="1485"/>
      <c r="BN57" s="1485"/>
      <c r="BO57" s="1485"/>
      <c r="BP57" s="1485"/>
      <c r="BQ57" s="1485"/>
      <c r="BR57" s="1485"/>
      <c r="BS57" s="1485"/>
      <c r="BT57" s="1485"/>
      <c r="BU57" s="1485"/>
      <c r="BV57" s="1485"/>
      <c r="BW57" s="1485"/>
      <c r="BX57" s="1485"/>
      <c r="BY57" s="1483"/>
      <c r="BZ57" s="1483"/>
      <c r="CA57" s="1483"/>
      <c r="CB57" s="1483"/>
      <c r="CC57" s="1483"/>
      <c r="CD57" s="1483"/>
      <c r="CE57" s="1483"/>
      <c r="CF57" s="1483"/>
      <c r="CG57" s="1483"/>
      <c r="CH57" s="1483"/>
      <c r="CI57" s="1483"/>
      <c r="CJ57" s="1483"/>
      <c r="CK57" s="1483"/>
      <c r="CL57" s="1483"/>
      <c r="CM57" s="1483"/>
      <c r="CN57" s="1483"/>
      <c r="CO57" s="1483"/>
      <c r="CP57" s="1483"/>
      <c r="CQ57" s="1483"/>
      <c r="CR57" s="1483"/>
      <c r="CS57" s="1483"/>
      <c r="CT57" s="1483"/>
      <c r="CU57" s="1483"/>
      <c r="CV57" s="1483"/>
      <c r="CW57" s="1483"/>
      <c r="CX57" s="1483"/>
      <c r="CY57" s="1483"/>
      <c r="CZ57" s="1688"/>
      <c r="DA57" s="1688"/>
      <c r="DB57" s="1688"/>
      <c r="DC57" s="1688"/>
      <c r="DD57" s="1483"/>
      <c r="DF57" s="783"/>
      <c r="DG57" s="783"/>
      <c r="DH57" s="783"/>
      <c r="DI57" s="783"/>
      <c r="DJ57" s="783"/>
      <c r="DK57" s="783"/>
      <c r="DL57" s="783"/>
      <c r="DM57" s="783">
        <f>150-45</f>
        <v>105</v>
      </c>
      <c r="DN57" s="783"/>
      <c r="DO57" s="783"/>
      <c r="DP57" s="783">
        <v>-5</v>
      </c>
      <c r="DQ57" s="783"/>
      <c r="DR57" s="783"/>
      <c r="DS57" s="783"/>
      <c r="DT57" s="783"/>
      <c r="DU57" s="783"/>
      <c r="DV57" s="783"/>
      <c r="DW57" s="783"/>
      <c r="DX57" s="783"/>
      <c r="DY57" s="783"/>
      <c r="DZ57" s="783"/>
      <c r="EA57" s="981"/>
      <c r="EB57" s="783"/>
      <c r="EC57" s="783"/>
      <c r="ED57" s="783"/>
      <c r="EE57" s="783"/>
      <c r="EF57" s="783"/>
      <c r="EG57" s="783"/>
      <c r="EH57" s="783"/>
      <c r="EI57" s="783"/>
      <c r="EJ57" s="783"/>
      <c r="EK57" s="783"/>
      <c r="EL57" s="783"/>
      <c r="EM57" s="783"/>
      <c r="EN57" s="783"/>
      <c r="EO57" s="783"/>
      <c r="EP57" s="789"/>
      <c r="EQ57" s="789"/>
      <c r="ER57" s="789"/>
      <c r="ES57" s="789"/>
      <c r="EU57" s="42"/>
      <c r="EV57"/>
      <c r="EW57"/>
      <c r="EX57"/>
      <c r="EY57"/>
      <c r="EZ57"/>
      <c r="FA57"/>
    </row>
    <row r="58" spans="2:157" s="15" customFormat="1" collapsed="1">
      <c r="B58" s="1039" t="s">
        <v>260</v>
      </c>
      <c r="C58" s="23"/>
      <c r="D58" s="783"/>
      <c r="E58" s="783"/>
      <c r="F58" s="783">
        <f t="shared" si="97"/>
        <v>0</v>
      </c>
      <c r="G58" s="783">
        <f>SUM(AN58:AQ58)</f>
        <v>-21.291</v>
      </c>
      <c r="H58" s="783"/>
      <c r="I58" s="783">
        <f t="shared" si="116"/>
        <v>-30.475000000000001</v>
      </c>
      <c r="J58" s="783"/>
      <c r="K58" s="783"/>
      <c r="L58" s="783"/>
      <c r="M58" s="54"/>
      <c r="N58" s="1491">
        <f>SUM(CF!BP58:BS58)</f>
        <v>0</v>
      </c>
      <c r="O58" s="1483">
        <f t="shared" si="90"/>
        <v>848.95799999999997</v>
      </c>
      <c r="P58" s="1483">
        <f t="shared" si="101"/>
        <v>750</v>
      </c>
      <c r="Q58" s="1483">
        <f t="shared" si="102"/>
        <v>0</v>
      </c>
      <c r="R58" s="1483">
        <f t="shared" si="98"/>
        <v>750</v>
      </c>
      <c r="S58" s="1483">
        <f>SUM(CJ58:CM58)</f>
        <v>390</v>
      </c>
      <c r="T58" s="1483">
        <f t="shared" si="99"/>
        <v>0</v>
      </c>
      <c r="U58" s="1483">
        <f t="shared" si="100"/>
        <v>0</v>
      </c>
      <c r="V58" s="1483">
        <f t="shared" si="91"/>
        <v>3128.701</v>
      </c>
      <c r="W58" s="1483">
        <f t="shared" ca="1" si="92"/>
        <v>0</v>
      </c>
      <c r="X58" s="2107">
        <f ca="1">BS!X49-BS!W49</f>
        <v>500</v>
      </c>
      <c r="Y58" s="2107">
        <f ca="1">BS!Y49-BS!X49</f>
        <v>500</v>
      </c>
      <c r="Z58" s="2107">
        <f ca="1">BS!Z49-BS!Y49</f>
        <v>500</v>
      </c>
      <c r="AA58" s="2107">
        <f ca="1">BS!AA49-BS!Z49</f>
        <v>0</v>
      </c>
      <c r="AB58" s="2107">
        <f ca="1">BS!AB49-BS!AA49</f>
        <v>0</v>
      </c>
      <c r="AC58" s="2107">
        <f ca="1">BS!AC49-BS!AB49</f>
        <v>0</v>
      </c>
      <c r="AD58" s="2107">
        <f ca="1">BS!AD49-BS!AC49</f>
        <v>0</v>
      </c>
      <c r="AE58" s="1483"/>
      <c r="AF58" s="1484"/>
      <c r="AG58" s="1484"/>
      <c r="AH58" s="1485"/>
      <c r="AI58" s="1485"/>
      <c r="AJ58" s="1485"/>
      <c r="AK58" s="1485"/>
      <c r="AL58" s="1485"/>
      <c r="AM58" s="1485"/>
      <c r="AN58" s="1485">
        <f t="shared" si="93"/>
        <v>0</v>
      </c>
      <c r="AO58" s="1485">
        <f t="shared" si="103"/>
        <v>-2.5110000000000001</v>
      </c>
      <c r="AP58" s="1485">
        <f t="shared" si="104"/>
        <v>0</v>
      </c>
      <c r="AQ58" s="1485">
        <f t="shared" si="105"/>
        <v>-18.78</v>
      </c>
      <c r="AR58" s="1485">
        <f t="shared" si="94"/>
        <v>0</v>
      </c>
      <c r="AS58" s="1485">
        <f t="shared" si="106"/>
        <v>0</v>
      </c>
      <c r="AT58" s="1485">
        <f t="shared" si="107"/>
        <v>0</v>
      </c>
      <c r="AU58" s="1485">
        <f t="shared" si="108"/>
        <v>0</v>
      </c>
      <c r="AV58" s="1485">
        <f t="shared" si="95"/>
        <v>-30.475000000000001</v>
      </c>
      <c r="AW58" s="1485">
        <f t="shared" si="109"/>
        <v>0</v>
      </c>
      <c r="AX58" s="1485">
        <f t="shared" si="110"/>
        <v>0</v>
      </c>
      <c r="AY58" s="1485">
        <f t="shared" si="111"/>
        <v>0</v>
      </c>
      <c r="AZ58" s="1485">
        <f t="shared" si="96"/>
        <v>0</v>
      </c>
      <c r="BA58" s="1485">
        <f t="shared" si="112"/>
        <v>0</v>
      </c>
      <c r="BB58" s="1485">
        <f t="shared" si="113"/>
        <v>0</v>
      </c>
      <c r="BC58" s="1485">
        <f t="shared" si="114"/>
        <v>0</v>
      </c>
      <c r="BD58" s="1485"/>
      <c r="BE58" s="1485"/>
      <c r="BF58" s="1485"/>
      <c r="BG58" s="1485"/>
      <c r="BH58" s="1485"/>
      <c r="BI58" s="1485"/>
      <c r="BJ58" s="1485"/>
      <c r="BK58" s="1485"/>
      <c r="BL58" s="1485"/>
      <c r="BM58" s="1485"/>
      <c r="BN58" s="1485"/>
      <c r="BO58" s="1485"/>
      <c r="BP58" s="1485"/>
      <c r="BQ58" s="1485"/>
      <c r="BR58" s="1485"/>
      <c r="BS58" s="1485"/>
      <c r="BT58" s="1485">
        <v>750</v>
      </c>
      <c r="BU58" s="1485">
        <v>98.957999999999998</v>
      </c>
      <c r="BV58" s="1483">
        <f>BS!BV49-BS!BU49</f>
        <v>0</v>
      </c>
      <c r="BW58" s="1483">
        <f>BS!BW49-BS!BV49</f>
        <v>0</v>
      </c>
      <c r="BX58" s="1483">
        <f>BS!BX49-BS!BW49</f>
        <v>0</v>
      </c>
      <c r="BY58" s="1483">
        <f>BS!BY49-BS!BX49</f>
        <v>0</v>
      </c>
      <c r="BZ58" s="1483">
        <f>BS!BZ49-BS!BY49</f>
        <v>750</v>
      </c>
      <c r="CA58" s="1483">
        <f>BS!CA49-BS!BZ49</f>
        <v>0</v>
      </c>
      <c r="CB58" s="1483">
        <f>BS!CB49-BS!CA49</f>
        <v>0</v>
      </c>
      <c r="CC58" s="1483">
        <f>BS!CC49-BS!CB49</f>
        <v>0</v>
      </c>
      <c r="CD58" s="1483"/>
      <c r="CE58" s="1483"/>
      <c r="CF58" s="1485">
        <v>1500</v>
      </c>
      <c r="CG58" s="1485">
        <v>-750</v>
      </c>
      <c r="CH58" s="1485"/>
      <c r="CI58" s="1485"/>
      <c r="CJ58" s="1485"/>
      <c r="CK58" s="1485"/>
      <c r="CL58" s="1485"/>
      <c r="CM58" s="1485">
        <f>1250-750-110</f>
        <v>390</v>
      </c>
      <c r="CN58" s="1485"/>
      <c r="CO58" s="1485"/>
      <c r="CP58" s="1485"/>
      <c r="CQ58" s="1485"/>
      <c r="CR58" s="1485"/>
      <c r="CS58" s="1485"/>
      <c r="CT58" s="1485"/>
      <c r="CU58" s="1485"/>
      <c r="CV58" s="1485">
        <v>1250</v>
      </c>
      <c r="CW58" s="1485"/>
      <c r="CX58" s="1485">
        <f>1199.7-500</f>
        <v>699.7</v>
      </c>
      <c r="CY58" s="1485">
        <v>1179.001</v>
      </c>
      <c r="CZ58" s="1688">
        <f ca="1">BS!CZ49-BS!CY49</f>
        <v>0</v>
      </c>
      <c r="DA58" s="1688">
        <f ca="1">BS!DA49-BS!CZ49</f>
        <v>0</v>
      </c>
      <c r="DB58" s="1688">
        <f ca="1">BS!DB49-BS!DA49</f>
        <v>0</v>
      </c>
      <c r="DC58" s="1688">
        <f ca="1">BS!DC49-BS!DB49</f>
        <v>0</v>
      </c>
      <c r="DD58" s="1483"/>
      <c r="DE58" s="885"/>
      <c r="DF58" s="783"/>
      <c r="DG58" s="783"/>
      <c r="DH58" s="783"/>
      <c r="DI58" s="783"/>
      <c r="DJ58" s="783"/>
      <c r="DK58" s="783"/>
      <c r="DL58" s="783"/>
      <c r="DM58" s="783"/>
      <c r="DN58" s="783"/>
      <c r="DO58" s="783">
        <v>-2.5110000000000001</v>
      </c>
      <c r="DP58" s="783">
        <v>-2.5110000000000001</v>
      </c>
      <c r="DQ58" s="783">
        <v>-21.291</v>
      </c>
      <c r="DR58" s="783"/>
      <c r="DS58" s="783"/>
      <c r="DT58" s="783"/>
      <c r="DU58" s="783"/>
      <c r="DV58" s="783">
        <v>-30.475000000000001</v>
      </c>
      <c r="DW58" s="783">
        <v>-30.475000000000001</v>
      </c>
      <c r="DX58" s="783">
        <v>-30.475000000000001</v>
      </c>
      <c r="DY58" s="783">
        <v>-30.475000000000001</v>
      </c>
      <c r="DZ58" s="783"/>
      <c r="EA58" s="981"/>
      <c r="EB58" s="783"/>
      <c r="EC58" s="783"/>
      <c r="ED58" s="783"/>
      <c r="EE58" s="783"/>
      <c r="EF58" s="783"/>
      <c r="EG58" s="783"/>
      <c r="EH58" s="783"/>
      <c r="EI58" s="783"/>
      <c r="EJ58" s="783"/>
      <c r="EK58" s="783"/>
      <c r="EL58" s="783"/>
      <c r="EM58" s="783"/>
      <c r="EN58" s="783"/>
      <c r="EO58" s="783"/>
      <c r="EP58" s="789"/>
      <c r="EQ58" s="789"/>
      <c r="ER58" s="789"/>
      <c r="ES58" s="789"/>
      <c r="EU58" s="42"/>
      <c r="EV58"/>
      <c r="EW58"/>
      <c r="EX58"/>
      <c r="EY58"/>
      <c r="EZ58"/>
      <c r="FA58"/>
    </row>
    <row r="59" spans="2:157" s="15" customFormat="1">
      <c r="B59" s="1039" t="s">
        <v>1217</v>
      </c>
      <c r="C59" s="23"/>
      <c r="D59" s="783"/>
      <c r="E59" s="783"/>
      <c r="F59" s="783">
        <f t="shared" si="97"/>
        <v>0</v>
      </c>
      <c r="G59" s="783"/>
      <c r="H59" s="783"/>
      <c r="I59" s="783"/>
      <c r="J59" s="783"/>
      <c r="K59" s="783">
        <f t="shared" si="88"/>
        <v>0</v>
      </c>
      <c r="L59" s="783">
        <f t="shared" si="89"/>
        <v>149.60599999999999</v>
      </c>
      <c r="M59" s="54"/>
      <c r="N59" s="1491">
        <f>SUM(CF!BP59:BS59)</f>
        <v>-34.525000000000006</v>
      </c>
      <c r="O59" s="1483">
        <f t="shared" si="90"/>
        <v>0</v>
      </c>
      <c r="P59" s="1483">
        <f t="shared" si="101"/>
        <v>95.335999999999999</v>
      </c>
      <c r="Q59" s="1483">
        <f t="shared" si="102"/>
        <v>262.59100000000001</v>
      </c>
      <c r="R59" s="1483">
        <f t="shared" si="98"/>
        <v>-24.462000000000003</v>
      </c>
      <c r="S59" s="1483">
        <f>SUM(CJ59:CM59)</f>
        <v>456.52699999999999</v>
      </c>
      <c r="T59" s="1483">
        <f t="shared" si="99"/>
        <v>481.83799999999997</v>
      </c>
      <c r="U59" s="1483">
        <f t="shared" si="100"/>
        <v>-294.63499999999993</v>
      </c>
      <c r="V59" s="1483">
        <f t="shared" si="91"/>
        <v>-220.9219999999998</v>
      </c>
      <c r="W59" s="1483">
        <f t="shared" si="92"/>
        <v>0</v>
      </c>
      <c r="X59" s="1483"/>
      <c r="Y59" s="1483"/>
      <c r="Z59" s="1483"/>
      <c r="AA59" s="1483"/>
      <c r="AB59" s="1483"/>
      <c r="AC59" s="1483"/>
      <c r="AD59" s="1483"/>
      <c r="AE59" s="1483"/>
      <c r="AF59" s="1484"/>
      <c r="AG59" s="1484"/>
      <c r="AH59" s="1485"/>
      <c r="AI59" s="1485"/>
      <c r="AJ59" s="1485"/>
      <c r="AK59" s="1485"/>
      <c r="AL59" s="1485"/>
      <c r="AM59" s="1485"/>
      <c r="AN59" s="1485">
        <f t="shared" si="93"/>
        <v>0</v>
      </c>
      <c r="AO59" s="1485">
        <f t="shared" si="103"/>
        <v>0</v>
      </c>
      <c r="AP59" s="1485">
        <f t="shared" si="104"/>
        <v>0</v>
      </c>
      <c r="AQ59" s="1485">
        <f t="shared" si="105"/>
        <v>0</v>
      </c>
      <c r="AR59" s="1485">
        <f t="shared" si="94"/>
        <v>0</v>
      </c>
      <c r="AS59" s="1485">
        <f t="shared" si="106"/>
        <v>0</v>
      </c>
      <c r="AT59" s="1485">
        <f t="shared" si="107"/>
        <v>0</v>
      </c>
      <c r="AU59" s="1485">
        <f t="shared" si="108"/>
        <v>0</v>
      </c>
      <c r="AV59" s="1485">
        <f t="shared" si="95"/>
        <v>0</v>
      </c>
      <c r="AW59" s="1485">
        <f t="shared" si="109"/>
        <v>0</v>
      </c>
      <c r="AX59" s="1485">
        <f t="shared" si="110"/>
        <v>0</v>
      </c>
      <c r="AY59" s="1485">
        <f t="shared" si="111"/>
        <v>0</v>
      </c>
      <c r="AZ59" s="1485">
        <f t="shared" si="96"/>
        <v>0</v>
      </c>
      <c r="BA59" s="1485">
        <f t="shared" si="112"/>
        <v>0</v>
      </c>
      <c r="BB59" s="1485">
        <f t="shared" si="113"/>
        <v>0</v>
      </c>
      <c r="BC59" s="1485">
        <f t="shared" si="114"/>
        <v>0</v>
      </c>
      <c r="BD59" s="1485"/>
      <c r="BE59" s="1485"/>
      <c r="BF59" s="1485"/>
      <c r="BG59" s="1485"/>
      <c r="BH59" s="1485">
        <f t="shared" si="115"/>
        <v>24.606999999999999</v>
      </c>
      <c r="BI59" s="1485">
        <f>EI59-BH59</f>
        <v>44.656000000000006</v>
      </c>
      <c r="BJ59" s="1485">
        <f>EJ59-BI59-BH59</f>
        <v>49.491</v>
      </c>
      <c r="BK59" s="1485">
        <f>EK59-BJ59-BI59-BH59</f>
        <v>30.85199999999999</v>
      </c>
      <c r="BL59" s="1485">
        <f>EL59</f>
        <v>41.881999999999998</v>
      </c>
      <c r="BM59" s="1485">
        <f>EM59-BL59</f>
        <v>35.643000000000008</v>
      </c>
      <c r="BN59" s="1485">
        <f>EN59-BM59-BL59</f>
        <v>24.576000000000001</v>
      </c>
      <c r="BO59" s="1485">
        <f>EO59-BN59-BM59-BL59</f>
        <v>-102.101</v>
      </c>
      <c r="BP59" s="1485">
        <v>-7.21</v>
      </c>
      <c r="BQ59" s="1485">
        <v>-16.312000000000001</v>
      </c>
      <c r="BR59" s="1485">
        <v>-11.003</v>
      </c>
      <c r="BS59" s="1485"/>
      <c r="BT59" s="1485"/>
      <c r="BU59" s="1485"/>
      <c r="BV59" s="1485"/>
      <c r="BW59" s="1485"/>
      <c r="BX59" s="1485">
        <v>22.652999999999999</v>
      </c>
      <c r="BY59" s="1485">
        <v>55.264000000000003</v>
      </c>
      <c r="BZ59" s="1485">
        <v>12.718</v>
      </c>
      <c r="CA59" s="1485">
        <v>4.7009999999999996</v>
      </c>
      <c r="CB59" s="1485">
        <v>8.9090000000000007</v>
      </c>
      <c r="CC59" s="1485"/>
      <c r="CD59" s="1485">
        <v>249.63300000000001</v>
      </c>
      <c r="CE59" s="1485">
        <v>4.0490000000000004</v>
      </c>
      <c r="CF59" s="1485">
        <v>-14.052</v>
      </c>
      <c r="CG59" s="1485">
        <v>-18.138999999999999</v>
      </c>
      <c r="CH59" s="1485">
        <f>-10.113+1.734</f>
        <v>-8.3789999999999996</v>
      </c>
      <c r="CI59" s="1485">
        <f>26.304-10.196</f>
        <v>16.107999999999997</v>
      </c>
      <c r="CJ59" s="1485">
        <v>-10.317</v>
      </c>
      <c r="CK59" s="1485">
        <v>-16.777000000000001</v>
      </c>
      <c r="CL59" s="1485">
        <v>-10.416</v>
      </c>
      <c r="CM59" s="1485">
        <f>500-5.963</f>
        <v>494.03699999999998</v>
      </c>
      <c r="CN59" s="1485">
        <v>-13.361000000000001</v>
      </c>
      <c r="CO59" s="1485">
        <f>490-505.268</f>
        <v>-15.267999999999972</v>
      </c>
      <c r="CP59" s="1485">
        <v>-10.818</v>
      </c>
      <c r="CQ59" s="1485">
        <f>-185.823+707.108</f>
        <v>521.28499999999997</v>
      </c>
      <c r="CR59" s="1485">
        <f>701.25-936.353</f>
        <v>-235.10299999999995</v>
      </c>
      <c r="CS59" s="1485">
        <v>-36.758000000000003</v>
      </c>
      <c r="CT59" s="1485">
        <f>9.154-13.354</f>
        <v>-4.1999999999999993</v>
      </c>
      <c r="CU59" s="1485">
        <f>457.9-476.474</f>
        <v>-18.574000000000012</v>
      </c>
      <c r="CV59" s="1485">
        <f>1059.8-21.51</f>
        <v>1038.29</v>
      </c>
      <c r="CW59" s="1485">
        <v>-20.795000000000002</v>
      </c>
      <c r="CX59" s="1485">
        <v>-21.215</v>
      </c>
      <c r="CY59" s="1485">
        <f>997.076-2214.278</f>
        <v>-1217.2019999999998</v>
      </c>
      <c r="CZ59" s="1483"/>
      <c r="DA59" s="1483"/>
      <c r="DB59" s="1483"/>
      <c r="DC59" s="1483"/>
      <c r="DD59" s="1483"/>
      <c r="DE59" s="885"/>
      <c r="DF59" s="783"/>
      <c r="DG59" s="783"/>
      <c r="DH59" s="783"/>
      <c r="DI59" s="783"/>
      <c r="DJ59" s="783"/>
      <c r="DK59" s="783"/>
      <c r="DL59" s="783"/>
      <c r="DM59" s="783"/>
      <c r="DN59" s="783"/>
      <c r="DO59" s="783"/>
      <c r="DP59" s="783"/>
      <c r="DQ59" s="783"/>
      <c r="DR59" s="783"/>
      <c r="DS59" s="783"/>
      <c r="DT59" s="783"/>
      <c r="DU59" s="783"/>
      <c r="DV59" s="783"/>
      <c r="DW59" s="783"/>
      <c r="DX59" s="783"/>
      <c r="DY59" s="783"/>
      <c r="DZ59" s="783"/>
      <c r="EA59" s="981"/>
      <c r="EB59" s="783"/>
      <c r="EC59" s="783"/>
      <c r="ED59" s="783"/>
      <c r="EE59" s="783"/>
      <c r="EF59" s="783"/>
      <c r="EG59" s="783"/>
      <c r="EH59" s="783">
        <v>24.606999999999999</v>
      </c>
      <c r="EI59" s="783">
        <v>69.263000000000005</v>
      </c>
      <c r="EJ59" s="783">
        <v>118.754</v>
      </c>
      <c r="EK59" s="783">
        <v>149.60599999999999</v>
      </c>
      <c r="EL59" s="783">
        <v>41.881999999999998</v>
      </c>
      <c r="EM59" s="783">
        <v>77.525000000000006</v>
      </c>
      <c r="EN59" s="783">
        <v>102.101</v>
      </c>
      <c r="EO59" s="783"/>
      <c r="EP59" s="789"/>
      <c r="EQ59" s="789"/>
      <c r="ER59" s="789"/>
      <c r="ES59" s="789"/>
      <c r="EU59" s="42"/>
      <c r="EV59"/>
      <c r="EW59"/>
      <c r="EX59"/>
      <c r="EY59"/>
      <c r="EZ59"/>
      <c r="FA59"/>
    </row>
    <row r="60" spans="2:157" s="15" customFormat="1">
      <c r="B60" s="1039" t="s">
        <v>1154</v>
      </c>
      <c r="C60" s="23"/>
      <c r="D60" s="783"/>
      <c r="E60" s="783">
        <v>-5.9669999999999996</v>
      </c>
      <c r="F60" s="783">
        <f t="shared" si="97"/>
        <v>-1.546</v>
      </c>
      <c r="G60" s="783">
        <f>SUM(AN60:AQ60)</f>
        <v>-1.8940000000000001</v>
      </c>
      <c r="H60" s="783">
        <f>SUM(AR60:AU60)</f>
        <v>-0.97299999999999986</v>
      </c>
      <c r="I60" s="783">
        <f t="shared" si="116"/>
        <v>-3.407</v>
      </c>
      <c r="J60" s="783">
        <f>SUM(AZ60:BC60)</f>
        <v>-0.99700000000000011</v>
      </c>
      <c r="K60" s="783">
        <f t="shared" si="88"/>
        <v>-0.81100000000000005</v>
      </c>
      <c r="L60" s="783">
        <f t="shared" si="89"/>
        <v>-22.286999999999999</v>
      </c>
      <c r="M60" s="54">
        <f>SUM(BL60:BO60)</f>
        <v>-0.94799999999999995</v>
      </c>
      <c r="N60" s="1491">
        <f>SUM(CF!BP60:BS60)</f>
        <v>-9.9659999999999993</v>
      </c>
      <c r="O60" s="1483">
        <f t="shared" si="90"/>
        <v>-7.9260000000000002</v>
      </c>
      <c r="P60" s="1483">
        <f t="shared" si="101"/>
        <v>-15.536</v>
      </c>
      <c r="Q60" s="1483">
        <f t="shared" si="102"/>
        <v>0</v>
      </c>
      <c r="R60" s="1483">
        <f t="shared" si="98"/>
        <v>-97.864000000000004</v>
      </c>
      <c r="S60" s="1483">
        <f>SUM(CJ60:CM60)</f>
        <v>-141.81100000000001</v>
      </c>
      <c r="T60" s="1483">
        <f t="shared" si="99"/>
        <v>-18.091000000000001</v>
      </c>
      <c r="U60" s="1483">
        <f t="shared" si="100"/>
        <v>-11.339</v>
      </c>
      <c r="V60" s="1483">
        <f t="shared" si="91"/>
        <v>-81.046999999999997</v>
      </c>
      <c r="W60" s="1483">
        <f t="shared" si="92"/>
        <v>0</v>
      </c>
      <c r="X60" s="1483"/>
      <c r="Y60" s="1483"/>
      <c r="Z60" s="1483"/>
      <c r="AA60" s="1483"/>
      <c r="AB60" s="1483"/>
      <c r="AC60" s="1483"/>
      <c r="AD60" s="1483"/>
      <c r="AE60" s="1483"/>
      <c r="AF60" s="1484"/>
      <c r="AG60" s="1484"/>
      <c r="AH60" s="1485">
        <f>DH60-AG60-AF60</f>
        <v>0</v>
      </c>
      <c r="AI60" s="1485">
        <f>DI60-AH60-AG60-AF60</f>
        <v>-5.9669999999999996</v>
      </c>
      <c r="AJ60" s="1485"/>
      <c r="AK60" s="1485">
        <f>DK60-AJ60</f>
        <v>-0.39500000000000002</v>
      </c>
      <c r="AL60" s="1485">
        <f>DL60-AK60-AJ60</f>
        <v>-0.127</v>
      </c>
      <c r="AM60" s="1485">
        <f>DM60-AL60-AK60-AJ60</f>
        <v>-1.024</v>
      </c>
      <c r="AN60" s="1485">
        <f t="shared" si="93"/>
        <v>-5.0000000000000001E-3</v>
      </c>
      <c r="AO60" s="1485">
        <f t="shared" si="103"/>
        <v>-0.26200000000000001</v>
      </c>
      <c r="AP60" s="1485">
        <f t="shared" si="104"/>
        <v>-0.15799999999999997</v>
      </c>
      <c r="AQ60" s="1485">
        <f t="shared" si="105"/>
        <v>-1.4690000000000001</v>
      </c>
      <c r="AR60" s="1485">
        <f t="shared" si="94"/>
        <v>0</v>
      </c>
      <c r="AS60" s="1485">
        <f t="shared" si="106"/>
        <v>-0.45800000000000002</v>
      </c>
      <c r="AT60" s="1485">
        <f t="shared" si="107"/>
        <v>0</v>
      </c>
      <c r="AU60" s="1485">
        <f t="shared" si="108"/>
        <v>-0.5149999999999999</v>
      </c>
      <c r="AV60" s="1485">
        <f t="shared" si="95"/>
        <v>-3.222</v>
      </c>
      <c r="AW60" s="1485">
        <f t="shared" si="109"/>
        <v>0</v>
      </c>
      <c r="AX60" s="1485">
        <f t="shared" si="110"/>
        <v>-2.0000000000000018E-2</v>
      </c>
      <c r="AY60" s="1485">
        <f t="shared" si="111"/>
        <v>-0.16500000000000004</v>
      </c>
      <c r="AZ60" s="1485">
        <f t="shared" si="96"/>
        <v>0</v>
      </c>
      <c r="BA60" s="1485">
        <f t="shared" si="112"/>
        <v>0</v>
      </c>
      <c r="BB60" s="1485">
        <f t="shared" si="113"/>
        <v>-0.34200000000000003</v>
      </c>
      <c r="BC60" s="1485">
        <f t="shared" si="114"/>
        <v>-0.65500000000000003</v>
      </c>
      <c r="BD60" s="1485"/>
      <c r="BE60" s="1485"/>
      <c r="BF60" s="1485">
        <f>EF60-BE60-BD60</f>
        <v>-0.253</v>
      </c>
      <c r="BG60" s="1485">
        <f>EG60-BF60-BE60-BD60</f>
        <v>-0.55800000000000005</v>
      </c>
      <c r="BH60" s="1485">
        <f t="shared" si="115"/>
        <v>-10.678000000000001</v>
      </c>
      <c r="BI60" s="1485">
        <f>EI60-BH60</f>
        <v>0</v>
      </c>
      <c r="BJ60" s="1485">
        <f>EJ60-BI60-BH60</f>
        <v>-11.545999999999999</v>
      </c>
      <c r="BK60" s="1485">
        <f>EK60-BJ60-BI60-BH60</f>
        <v>-6.2999999999998835E-2</v>
      </c>
      <c r="BL60" s="1485">
        <f>EL60</f>
        <v>-0.46400000000000002</v>
      </c>
      <c r="BM60" s="1485">
        <f>EM60-BL60</f>
        <v>-0.437</v>
      </c>
      <c r="BN60" s="1485">
        <f>-0.908-BM60-BL60</f>
        <v>-7.0000000000000062E-3</v>
      </c>
      <c r="BO60" s="1485">
        <f>EO60-BN60-BM60-BL60</f>
        <v>-3.999999999999998E-2</v>
      </c>
      <c r="BP60" s="1485"/>
      <c r="BQ60" s="1485">
        <v>-9.9559999999999995</v>
      </c>
      <c r="BR60" s="1485"/>
      <c r="BS60" s="1485">
        <v>-0.01</v>
      </c>
      <c r="BT60" s="1485"/>
      <c r="BU60" s="1485">
        <v>-7.9260000000000002</v>
      </c>
      <c r="BV60" s="1485"/>
      <c r="BW60" s="1485"/>
      <c r="BX60" s="1485"/>
      <c r="BY60" s="1483"/>
      <c r="BZ60" s="1485">
        <v>-15.426</v>
      </c>
      <c r="CA60" s="1485">
        <v>-0.11</v>
      </c>
      <c r="CB60" s="1485"/>
      <c r="CC60" s="1485"/>
      <c r="CD60" s="1485"/>
      <c r="CE60" s="1485"/>
      <c r="CF60" s="1485"/>
      <c r="CG60" s="1485">
        <v>-80.924999999999997</v>
      </c>
      <c r="CH60" s="1485">
        <v>-3.75</v>
      </c>
      <c r="CI60" s="1485">
        <v>-13.189</v>
      </c>
      <c r="CJ60" s="1485"/>
      <c r="CK60" s="1485">
        <v>-22.552</v>
      </c>
      <c r="CL60" s="1485"/>
      <c r="CM60" s="1485">
        <f>-93.965-25.294</f>
        <v>-119.259</v>
      </c>
      <c r="CN60" s="1485">
        <v>-0.61</v>
      </c>
      <c r="CO60" s="1485"/>
      <c r="CP60" s="1485"/>
      <c r="CQ60" s="1485">
        <v>-17.481000000000002</v>
      </c>
      <c r="CR60" s="1485"/>
      <c r="CS60" s="1485"/>
      <c r="CT60" s="1485">
        <v>-11.709</v>
      </c>
      <c r="CU60" s="1485">
        <v>0.37</v>
      </c>
      <c r="CV60" s="1485">
        <v>-40.664999999999999</v>
      </c>
      <c r="CW60" s="1485">
        <v>4.5999999999999999E-2</v>
      </c>
      <c r="CX60" s="1485">
        <f>-16.267</f>
        <v>-16.266999999999999</v>
      </c>
      <c r="CY60" s="1485">
        <v>-24.161000000000001</v>
      </c>
      <c r="CZ60" s="1483"/>
      <c r="DA60" s="1483"/>
      <c r="DB60" s="1483"/>
      <c r="DC60" s="1483"/>
      <c r="DD60" s="1483"/>
      <c r="DE60" s="885"/>
      <c r="DF60" s="783"/>
      <c r="DG60" s="783"/>
      <c r="DH60" s="783"/>
      <c r="DI60" s="783">
        <v>-5.9669999999999996</v>
      </c>
      <c r="DJ60" s="783"/>
      <c r="DK60" s="783">
        <v>-0.39500000000000002</v>
      </c>
      <c r="DL60" s="783">
        <v>-0.52200000000000002</v>
      </c>
      <c r="DM60" s="783">
        <v>-1.546</v>
      </c>
      <c r="DN60" s="783">
        <v>-5.0000000000000001E-3</v>
      </c>
      <c r="DO60" s="783">
        <v>-0.26700000000000002</v>
      </c>
      <c r="DP60" s="783">
        <v>-0.42499999999999999</v>
      </c>
      <c r="DQ60" s="783">
        <v>-1.8939999999999999</v>
      </c>
      <c r="DR60" s="783"/>
      <c r="DS60" s="783">
        <v>-0.45800000000000002</v>
      </c>
      <c r="DT60" s="783">
        <v>-0.45800000000000002</v>
      </c>
      <c r="DU60" s="783">
        <v>-0.97299999999999998</v>
      </c>
      <c r="DV60" s="783">
        <v>-3.222</v>
      </c>
      <c r="DW60" s="783">
        <v>-3.222</v>
      </c>
      <c r="DX60" s="783">
        <v>-3.242</v>
      </c>
      <c r="DY60" s="783">
        <v>-3.407</v>
      </c>
      <c r="DZ60" s="783"/>
      <c r="EA60" s="981"/>
      <c r="EB60" s="783">
        <v>-0.34200000000000003</v>
      </c>
      <c r="EC60" s="783">
        <v>-0.997</v>
      </c>
      <c r="ED60" s="783"/>
      <c r="EE60" s="783"/>
      <c r="EF60" s="783">
        <v>-0.253</v>
      </c>
      <c r="EG60" s="783">
        <v>-0.81100000000000005</v>
      </c>
      <c r="EH60" s="783">
        <v>-10.678000000000001</v>
      </c>
      <c r="EI60" s="783">
        <v>-10.678000000000001</v>
      </c>
      <c r="EJ60" s="783">
        <v>-22.224</v>
      </c>
      <c r="EK60" s="783">
        <v>-22.286999999999999</v>
      </c>
      <c r="EL60" s="783">
        <v>-0.46400000000000002</v>
      </c>
      <c r="EM60" s="783">
        <v>-0.90100000000000002</v>
      </c>
      <c r="EN60" s="783">
        <v>-0.90800000000000003</v>
      </c>
      <c r="EO60" s="783">
        <v>-0.94799999999999995</v>
      </c>
      <c r="EP60" s="789"/>
      <c r="EQ60" s="789"/>
      <c r="ER60" s="789"/>
      <c r="ES60" s="789"/>
      <c r="EU60" s="42"/>
      <c r="EV60"/>
      <c r="EW60"/>
      <c r="EX60"/>
      <c r="EY60"/>
      <c r="EZ60"/>
      <c r="FA60"/>
    </row>
    <row r="61" spans="2:157" s="15" customFormat="1" ht="13.5" thickBot="1">
      <c r="B61" s="1039" t="s">
        <v>1432</v>
      </c>
      <c r="C61" s="23"/>
      <c r="D61" s="783"/>
      <c r="E61" s="783"/>
      <c r="F61" s="783"/>
      <c r="G61" s="783"/>
      <c r="H61" s="783"/>
      <c r="I61" s="783"/>
      <c r="J61" s="783"/>
      <c r="K61" s="783"/>
      <c r="L61" s="783"/>
      <c r="M61" s="54"/>
      <c r="N61" s="1491"/>
      <c r="O61" s="1483"/>
      <c r="P61" s="1483"/>
      <c r="Q61" s="1483">
        <f>+SUM(CB61:CE61)</f>
        <v>0</v>
      </c>
      <c r="R61" s="1483">
        <f>+SUM(CF61:CI61)</f>
        <v>0</v>
      </c>
      <c r="S61" s="1483">
        <f>SUM(CJ61:CM61)</f>
        <v>-83.266000000000005</v>
      </c>
      <c r="T61" s="1483">
        <f t="shared" si="99"/>
        <v>-521.46100000000001</v>
      </c>
      <c r="U61" s="1483">
        <f t="shared" si="100"/>
        <v>-499.46300000000002</v>
      </c>
      <c r="V61" s="1483">
        <f t="shared" si="91"/>
        <v>-621.49699999999996</v>
      </c>
      <c r="W61" s="1483">
        <f t="shared" ca="1" si="92"/>
        <v>-730.00211438586359</v>
      </c>
      <c r="X61" s="1688">
        <f ca="1">-IS!X172</f>
        <v>-818.36580838089628</v>
      </c>
      <c r="Y61" s="1688">
        <f ca="1">-IS!Y172</f>
        <v>-887.94438701812555</v>
      </c>
      <c r="Z61" s="1688">
        <f ca="1">-IS!Z172</f>
        <v>-954.46644802725484</v>
      </c>
      <c r="AA61" s="1688">
        <f ca="1">-IS!AA172</f>
        <v>-1019.9833316867505</v>
      </c>
      <c r="AB61" s="1688">
        <f ca="1">-IS!AB172</f>
        <v>-1065.5845444457138</v>
      </c>
      <c r="AC61" s="1688">
        <f ca="1">-IS!AC172</f>
        <v>-1122.6604562898026</v>
      </c>
      <c r="AD61" s="1688">
        <f ca="1">-IS!AD172</f>
        <v>-1199.5950923126036</v>
      </c>
      <c r="AE61" s="1483"/>
      <c r="AF61" s="1484"/>
      <c r="AG61" s="1484"/>
      <c r="AH61" s="1485"/>
      <c r="AI61" s="1485"/>
      <c r="AJ61" s="1485"/>
      <c r="AK61" s="1485"/>
      <c r="AL61" s="1485"/>
      <c r="AM61" s="1485"/>
      <c r="AN61" s="1485"/>
      <c r="AO61" s="1485"/>
      <c r="AP61" s="1485"/>
      <c r="AQ61" s="1485"/>
      <c r="AR61" s="1485"/>
      <c r="AS61" s="1485"/>
      <c r="AT61" s="1485"/>
      <c r="AU61" s="1485"/>
      <c r="AV61" s="1485"/>
      <c r="AW61" s="1485"/>
      <c r="AX61" s="1485"/>
      <c r="AY61" s="1485"/>
      <c r="AZ61" s="1485"/>
      <c r="BA61" s="1485"/>
      <c r="BB61" s="1485"/>
      <c r="BC61" s="1485"/>
      <c r="BD61" s="1485"/>
      <c r="BE61" s="1485"/>
      <c r="BF61" s="1485"/>
      <c r="BG61" s="1485"/>
      <c r="BH61" s="1485"/>
      <c r="BI61" s="1485"/>
      <c r="BJ61" s="1485"/>
      <c r="BK61" s="1485"/>
      <c r="BL61" s="1485"/>
      <c r="BM61" s="1485"/>
      <c r="BN61" s="1485"/>
      <c r="BO61" s="1485"/>
      <c r="BP61" s="1485"/>
      <c r="BQ61" s="1485"/>
      <c r="BR61" s="1485"/>
      <c r="BS61" s="1485"/>
      <c r="BT61" s="1485"/>
      <c r="BU61" s="1485"/>
      <c r="BV61" s="1485"/>
      <c r="BW61" s="1485"/>
      <c r="BX61" s="1485"/>
      <c r="BY61" s="1483"/>
      <c r="BZ61" s="1485"/>
      <c r="CA61" s="1485"/>
      <c r="CB61" s="1485"/>
      <c r="CC61" s="1485"/>
      <c r="CD61" s="1485"/>
      <c r="CE61" s="1485"/>
      <c r="CF61" s="1485"/>
      <c r="CG61" s="1485"/>
      <c r="CH61" s="1485"/>
      <c r="CI61" s="1485"/>
      <c r="CJ61" s="1485"/>
      <c r="CK61" s="1485"/>
      <c r="CL61" s="1485"/>
      <c r="CM61" s="1485">
        <v>-83.266000000000005</v>
      </c>
      <c r="CN61" s="1485">
        <v>-96.619</v>
      </c>
      <c r="CO61" s="1485">
        <v>-96.349000000000004</v>
      </c>
      <c r="CP61" s="1485">
        <v>-98.040999999999997</v>
      </c>
      <c r="CQ61" s="1485">
        <v>-230.452</v>
      </c>
      <c r="CR61" s="1485">
        <v>-124.836</v>
      </c>
      <c r="CS61" s="1485">
        <v>-121.858</v>
      </c>
      <c r="CT61" s="1485">
        <v>-127.45699999999999</v>
      </c>
      <c r="CU61" s="1485">
        <v>-125.312</v>
      </c>
      <c r="CV61" s="1485">
        <v>-148.083</v>
      </c>
      <c r="CW61" s="1485">
        <v>-156.29</v>
      </c>
      <c r="CX61" s="1485">
        <v>-159.541</v>
      </c>
      <c r="CY61" s="1485">
        <v>-157.583</v>
      </c>
      <c r="CZ61" s="1688">
        <f ca="1">-IS!DR172</f>
        <v>-181.06888571361594</v>
      </c>
      <c r="DA61" s="1688">
        <f ca="1">-IS!DS172</f>
        <v>-182.02106728439151</v>
      </c>
      <c r="DB61" s="1688">
        <f ca="1">-IS!DT172</f>
        <v>-182.97660464875472</v>
      </c>
      <c r="DC61" s="1688">
        <f ca="1">-IS!DU172</f>
        <v>-183.93555673910149</v>
      </c>
      <c r="DD61" s="1483"/>
      <c r="DE61" s="885"/>
      <c r="DF61" s="783"/>
      <c r="DG61" s="783"/>
      <c r="DH61" s="783"/>
      <c r="DI61" s="783"/>
      <c r="DJ61" s="783"/>
      <c r="DK61" s="783"/>
      <c r="DL61" s="783"/>
      <c r="DM61" s="783"/>
      <c r="DN61" s="783"/>
      <c r="DO61" s="783"/>
      <c r="DP61" s="783"/>
      <c r="DQ61" s="783"/>
      <c r="DR61" s="783"/>
      <c r="DS61" s="783"/>
      <c r="DT61" s="783"/>
      <c r="DU61" s="783"/>
      <c r="DV61" s="783"/>
      <c r="DW61" s="783"/>
      <c r="DX61" s="783"/>
      <c r="DY61" s="783"/>
      <c r="DZ61" s="783"/>
      <c r="EA61" s="981"/>
      <c r="EB61" s="783"/>
      <c r="EC61" s="783"/>
      <c r="ED61" s="783"/>
      <c r="EE61" s="783"/>
      <c r="EF61" s="783"/>
      <c r="EG61" s="783"/>
      <c r="EH61" s="783"/>
      <c r="EI61" s="783"/>
      <c r="EJ61" s="783"/>
      <c r="EK61" s="783"/>
      <c r="EL61" s="783"/>
      <c r="EM61" s="783"/>
      <c r="EN61" s="783"/>
      <c r="EO61" s="783"/>
      <c r="EP61" s="789"/>
      <c r="EQ61" s="789"/>
      <c r="ER61" s="789"/>
      <c r="ES61" s="789"/>
      <c r="EU61" s="42"/>
      <c r="EV61"/>
      <c r="EW61"/>
      <c r="EX61"/>
      <c r="EY61"/>
      <c r="EZ61"/>
      <c r="FA61"/>
    </row>
    <row r="62" spans="2:157" s="124" customFormat="1" ht="13.5" hidden="1" outlineLevel="1" thickBot="1">
      <c r="B62" s="1735" t="s">
        <v>1387</v>
      </c>
      <c r="C62" s="123"/>
      <c r="D62" s="902"/>
      <c r="E62" s="902"/>
      <c r="F62" s="902">
        <f t="shared" si="97"/>
        <v>0</v>
      </c>
      <c r="G62" s="902"/>
      <c r="H62" s="902"/>
      <c r="I62" s="902">
        <f t="shared" si="116"/>
        <v>-2.5049999999999999</v>
      </c>
      <c r="J62" s="902"/>
      <c r="K62" s="902"/>
      <c r="L62" s="902"/>
      <c r="M62" s="901"/>
      <c r="N62" s="1491">
        <f>SUM(CF!BP62:BS62)</f>
        <v>0</v>
      </c>
      <c r="O62" s="1491">
        <f t="shared" si="90"/>
        <v>0</v>
      </c>
      <c r="P62" s="1491">
        <f t="shared" si="101"/>
        <v>0</v>
      </c>
      <c r="Q62" s="1491">
        <f t="shared" si="102"/>
        <v>0</v>
      </c>
      <c r="R62" s="1491">
        <f t="shared" si="98"/>
        <v>0</v>
      </c>
      <c r="S62" s="1491">
        <f t="shared" si="98"/>
        <v>0</v>
      </c>
      <c r="T62" s="1491">
        <f t="shared" si="99"/>
        <v>0</v>
      </c>
      <c r="U62" s="1491">
        <f t="shared" si="100"/>
        <v>0</v>
      </c>
      <c r="V62" s="1491">
        <f t="shared" si="91"/>
        <v>0</v>
      </c>
      <c r="W62" s="1491">
        <f t="shared" si="92"/>
        <v>0</v>
      </c>
      <c r="X62" s="1491"/>
      <c r="Y62" s="1491"/>
      <c r="Z62" s="1491"/>
      <c r="AA62" s="1491"/>
      <c r="AB62" s="1491"/>
      <c r="AC62" s="1491"/>
      <c r="AD62" s="1491"/>
      <c r="AE62" s="1491"/>
      <c r="AF62" s="1540"/>
      <c r="AG62" s="1540"/>
      <c r="AH62" s="1486"/>
      <c r="AI62" s="1486"/>
      <c r="AJ62" s="1486"/>
      <c r="AK62" s="1486"/>
      <c r="AL62" s="1486"/>
      <c r="AM62" s="1486"/>
      <c r="AN62" s="1486">
        <f t="shared" si="93"/>
        <v>0</v>
      </c>
      <c r="AO62" s="1486">
        <f t="shared" si="103"/>
        <v>-1.1000000000000001</v>
      </c>
      <c r="AP62" s="1486">
        <f t="shared" si="104"/>
        <v>0</v>
      </c>
      <c r="AQ62" s="1486">
        <f t="shared" si="105"/>
        <v>1.1000000000000001</v>
      </c>
      <c r="AR62" s="1486">
        <f t="shared" si="94"/>
        <v>0</v>
      </c>
      <c r="AS62" s="1486">
        <f t="shared" si="106"/>
        <v>0</v>
      </c>
      <c r="AT62" s="1486">
        <f t="shared" si="107"/>
        <v>0</v>
      </c>
      <c r="AU62" s="1486">
        <f t="shared" si="108"/>
        <v>0</v>
      </c>
      <c r="AV62" s="1486">
        <f t="shared" si="95"/>
        <v>-2.5049999999999999</v>
      </c>
      <c r="AW62" s="1486">
        <f t="shared" si="109"/>
        <v>0</v>
      </c>
      <c r="AX62" s="1486">
        <f t="shared" si="110"/>
        <v>0</v>
      </c>
      <c r="AY62" s="1486">
        <f t="shared" si="111"/>
        <v>0</v>
      </c>
      <c r="AZ62" s="1486">
        <f t="shared" si="96"/>
        <v>0</v>
      </c>
      <c r="BA62" s="1486">
        <f t="shared" si="112"/>
        <v>0</v>
      </c>
      <c r="BB62" s="1486">
        <f t="shared" si="113"/>
        <v>0</v>
      </c>
      <c r="BC62" s="1486">
        <f t="shared" si="114"/>
        <v>0</v>
      </c>
      <c r="BD62" s="1486"/>
      <c r="BE62" s="1486"/>
      <c r="BF62" s="1486"/>
      <c r="BG62" s="1486"/>
      <c r="BH62" s="1486"/>
      <c r="BI62" s="1486"/>
      <c r="BJ62" s="1486"/>
      <c r="BK62" s="1486"/>
      <c r="BL62" s="1486"/>
      <c r="BM62" s="1486"/>
      <c r="BN62" s="1486"/>
      <c r="BO62" s="1486"/>
      <c r="BP62" s="1486"/>
      <c r="BQ62" s="1486"/>
      <c r="BR62" s="1486"/>
      <c r="BS62" s="1486"/>
      <c r="BT62" s="1486"/>
      <c r="BU62" s="1486"/>
      <c r="BV62" s="1486"/>
      <c r="BW62" s="1486"/>
      <c r="BX62" s="1486"/>
      <c r="BY62" s="1491"/>
      <c r="BZ62" s="1491"/>
      <c r="CA62" s="1491"/>
      <c r="CB62" s="1491"/>
      <c r="CC62" s="1491"/>
      <c r="CD62" s="1491"/>
      <c r="CE62" s="1491"/>
      <c r="CF62" s="1491"/>
      <c r="CG62" s="1491"/>
      <c r="CH62" s="1491"/>
      <c r="CI62" s="1491"/>
      <c r="CJ62" s="1491"/>
      <c r="CK62" s="1491"/>
      <c r="CL62" s="1491"/>
      <c r="CM62" s="1491"/>
      <c r="CN62" s="1491"/>
      <c r="CO62" s="1491"/>
      <c r="CP62" s="1491"/>
      <c r="CQ62" s="1491"/>
      <c r="CR62" s="1491"/>
      <c r="CS62" s="1491"/>
      <c r="CT62" s="1491"/>
      <c r="CU62" s="1491"/>
      <c r="CV62" s="1491"/>
      <c r="CW62" s="1491"/>
      <c r="CX62" s="1491"/>
      <c r="CY62" s="1491"/>
      <c r="CZ62" s="1491"/>
      <c r="DA62" s="1491"/>
      <c r="DB62" s="1491"/>
      <c r="DC62" s="1491"/>
      <c r="DD62" s="1483"/>
      <c r="DF62" s="902"/>
      <c r="DG62" s="902"/>
      <c r="DH62" s="902"/>
      <c r="DI62" s="902"/>
      <c r="DJ62" s="902"/>
      <c r="DK62" s="902"/>
      <c r="DL62" s="902"/>
      <c r="DM62" s="902"/>
      <c r="DN62" s="902"/>
      <c r="DO62" s="902">
        <v>-1.1000000000000001</v>
      </c>
      <c r="DP62" s="902">
        <v>-1.1000000000000001</v>
      </c>
      <c r="DQ62" s="902"/>
      <c r="DR62" s="902"/>
      <c r="DS62" s="902"/>
      <c r="DT62" s="902"/>
      <c r="DU62" s="902"/>
      <c r="DV62" s="902">
        <v>-2.5049999999999999</v>
      </c>
      <c r="DW62" s="902">
        <v>-2.5049999999999999</v>
      </c>
      <c r="DX62" s="902">
        <v>-2.5049999999999999</v>
      </c>
      <c r="DY62" s="902">
        <v>-2.5049999999999999</v>
      </c>
      <c r="DZ62" s="902"/>
      <c r="EA62" s="1736"/>
      <c r="EB62" s="902"/>
      <c r="EC62" s="902"/>
      <c r="ED62" s="902"/>
      <c r="EE62" s="902"/>
      <c r="EF62" s="902"/>
      <c r="EG62" s="902"/>
      <c r="EH62" s="902"/>
      <c r="EI62" s="902"/>
      <c r="EJ62" s="902"/>
      <c r="EK62" s="902"/>
      <c r="EL62" s="902"/>
      <c r="EM62" s="902"/>
      <c r="EN62" s="902"/>
      <c r="EO62" s="902"/>
      <c r="EP62" s="944"/>
      <c r="EQ62" s="944"/>
      <c r="ER62" s="944"/>
      <c r="ES62" s="944"/>
      <c r="EU62" s="1187"/>
      <c r="EV62"/>
      <c r="EW62"/>
      <c r="EX62"/>
      <c r="EY62"/>
      <c r="EZ62"/>
      <c r="FA62"/>
    </row>
    <row r="63" spans="2:157" s="15" customFormat="1" ht="13.5" collapsed="1" thickBot="1">
      <c r="B63" s="1039" t="s">
        <v>1020</v>
      </c>
      <c r="C63" s="23"/>
      <c r="D63" s="930"/>
      <c r="E63" s="930">
        <v>-2.8000000000000001E-2</v>
      </c>
      <c r="F63" s="930">
        <f>SUM(AJ63:AM63)</f>
        <v>0</v>
      </c>
      <c r="G63" s="930">
        <f>SUM(AN63:AQ63)</f>
        <v>29.18</v>
      </c>
      <c r="H63" s="930"/>
      <c r="I63" s="930"/>
      <c r="J63" s="930">
        <f>SUM(AZ63:BC63)</f>
        <v>0</v>
      </c>
      <c r="K63" s="930">
        <f t="shared" si="88"/>
        <v>0.69199999999999995</v>
      </c>
      <c r="L63" s="930">
        <f t="shared" si="89"/>
        <v>0</v>
      </c>
      <c r="M63" s="931">
        <f>SUM(BL63:BO63)</f>
        <v>0.57899999999999996</v>
      </c>
      <c r="N63" s="1487">
        <f>SUM(CF!BP63:BS63)</f>
        <v>-50.268999999999998</v>
      </c>
      <c r="O63" s="1487">
        <f>SUM(BT63:BW63)</f>
        <v>-19.646000000000001</v>
      </c>
      <c r="P63" s="1487">
        <f t="shared" si="101"/>
        <v>-4.3999999999999997E-2</v>
      </c>
      <c r="Q63" s="1487">
        <f t="shared" si="102"/>
        <v>63.411000000000001</v>
      </c>
      <c r="R63" s="1487">
        <f t="shared" si="98"/>
        <v>-23.057000000000002</v>
      </c>
      <c r="S63" s="1487">
        <f>SUM(CJ63:CM63)</f>
        <v>-197.86800000000002</v>
      </c>
      <c r="T63" s="1487">
        <f t="shared" si="99"/>
        <v>2.2999999999999909E-2</v>
      </c>
      <c r="U63" s="1487">
        <f t="shared" si="100"/>
        <v>-8.6489999999999991</v>
      </c>
      <c r="V63" s="1487">
        <f t="shared" si="91"/>
        <v>-27.022000000000002</v>
      </c>
      <c r="W63" s="1487">
        <f t="shared" si="92"/>
        <v>0</v>
      </c>
      <c r="X63" s="1487"/>
      <c r="Y63" s="1487"/>
      <c r="Z63" s="1487"/>
      <c r="AA63" s="1487"/>
      <c r="AB63" s="1487"/>
      <c r="AC63" s="1487"/>
      <c r="AD63" s="1487"/>
      <c r="AE63" s="1491"/>
      <c r="AF63" s="1488"/>
      <c r="AG63" s="1488"/>
      <c r="AH63" s="1489"/>
      <c r="AI63" s="1489"/>
      <c r="AJ63" s="1489"/>
      <c r="AK63" s="1489"/>
      <c r="AL63" s="1489"/>
      <c r="AM63" s="1489"/>
      <c r="AN63" s="1489">
        <f t="shared" si="93"/>
        <v>0</v>
      </c>
      <c r="AO63" s="1489">
        <f t="shared" si="103"/>
        <v>0</v>
      </c>
      <c r="AP63" s="1489">
        <f t="shared" si="104"/>
        <v>0</v>
      </c>
      <c r="AQ63" s="1489">
        <f t="shared" si="105"/>
        <v>29.18</v>
      </c>
      <c r="AR63" s="1489">
        <f t="shared" si="94"/>
        <v>0</v>
      </c>
      <c r="AS63" s="1489">
        <f t="shared" si="106"/>
        <v>0</v>
      </c>
      <c r="AT63" s="1489">
        <f t="shared" si="107"/>
        <v>0</v>
      </c>
      <c r="AU63" s="1489">
        <f t="shared" si="108"/>
        <v>0</v>
      </c>
      <c r="AV63" s="1489">
        <f t="shared" si="95"/>
        <v>0</v>
      </c>
      <c r="AW63" s="1489">
        <f t="shared" si="109"/>
        <v>0</v>
      </c>
      <c r="AX63" s="1489">
        <f t="shared" si="110"/>
        <v>0</v>
      </c>
      <c r="AY63" s="1493">
        <v>-33.558999999999997</v>
      </c>
      <c r="AZ63" s="1489">
        <f t="shared" si="96"/>
        <v>0</v>
      </c>
      <c r="BA63" s="1489">
        <f t="shared" si="112"/>
        <v>0</v>
      </c>
      <c r="BB63" s="1489">
        <f t="shared" si="113"/>
        <v>0</v>
      </c>
      <c r="BC63" s="1489">
        <f>EC63-BB63-BA63</f>
        <v>0</v>
      </c>
      <c r="BD63" s="1489">
        <f>ED63</f>
        <v>0.37</v>
      </c>
      <c r="BE63" s="1489">
        <f>EE63-BD63</f>
        <v>0.19999999999999996</v>
      </c>
      <c r="BF63" s="1489">
        <f>EF63-BE63-BD63</f>
        <v>0.24399999999999999</v>
      </c>
      <c r="BG63" s="1489">
        <f>EG63-BF63-BE63-BD63</f>
        <v>-0.122</v>
      </c>
      <c r="BH63" s="1489"/>
      <c r="BI63" s="1489"/>
      <c r="BJ63" s="1489"/>
      <c r="BK63" s="1489"/>
      <c r="BL63" s="1489"/>
      <c r="BM63" s="1489"/>
      <c r="BN63" s="1489"/>
      <c r="BO63" s="1489">
        <f>EO63-BN63-BM63-BL63</f>
        <v>0.57899999999999996</v>
      </c>
      <c r="BP63" s="1489">
        <v>-0.252</v>
      </c>
      <c r="BQ63" s="1489">
        <v>-49.664000000000001</v>
      </c>
      <c r="BR63" s="1489">
        <f>-0.009-0.788</f>
        <v>-0.79700000000000004</v>
      </c>
      <c r="BS63" s="1489">
        <v>0.44400000000000001</v>
      </c>
      <c r="BT63" s="1489">
        <v>-15.193</v>
      </c>
      <c r="BU63" s="1489"/>
      <c r="BV63" s="1489">
        <v>-5.0000000000000001E-3</v>
      </c>
      <c r="BW63" s="1489">
        <v>-4.4480000000000004</v>
      </c>
      <c r="BX63" s="1489">
        <v>-0.125</v>
      </c>
      <c r="BY63" s="1487"/>
      <c r="BZ63" s="1487"/>
      <c r="CA63" s="1489">
        <v>8.1000000000000003E-2</v>
      </c>
      <c r="CB63" s="1489"/>
      <c r="CC63" s="1489">
        <v>-7.52</v>
      </c>
      <c r="CD63" s="1489">
        <f>53.174-1.247</f>
        <v>51.927</v>
      </c>
      <c r="CE63" s="1489">
        <f>19.457-0.453</f>
        <v>19.004000000000001</v>
      </c>
      <c r="CF63" s="1489">
        <v>-19.03</v>
      </c>
      <c r="CG63" s="1489">
        <v>-1.756</v>
      </c>
      <c r="CH63" s="1489">
        <v>-1.649</v>
      </c>
      <c r="CI63" s="1489">
        <v>-0.622</v>
      </c>
      <c r="CJ63" s="1489">
        <v>10.018000000000001</v>
      </c>
      <c r="CK63" s="1489">
        <f>1.614+0.128</f>
        <v>1.742</v>
      </c>
      <c r="CL63" s="1489">
        <f>-226.276+5.825+8.698</f>
        <v>-211.75300000000001</v>
      </c>
      <c r="CM63" s="1489">
        <v>2.125</v>
      </c>
      <c r="CN63" s="1489">
        <v>0.70799999999999996</v>
      </c>
      <c r="CO63" s="1489">
        <f>-0.007+0.223</f>
        <v>0.216</v>
      </c>
      <c r="CP63" s="1489">
        <v>0.73199999999999998</v>
      </c>
      <c r="CQ63" s="1489">
        <v>-1.633</v>
      </c>
      <c r="CR63" s="1489">
        <v>0.499</v>
      </c>
      <c r="CS63" s="1489">
        <v>-0.54100000000000004</v>
      </c>
      <c r="CT63" s="1489">
        <f>1.465-10.181</f>
        <v>-8.7159999999999993</v>
      </c>
      <c r="CU63" s="1489">
        <f>-1.199+1.308</f>
        <v>0.10899999999999999</v>
      </c>
      <c r="CV63" s="1489">
        <f>-3.132-0.9</f>
        <v>-4.032</v>
      </c>
      <c r="CW63" s="1489">
        <v>-8.1219999999999999</v>
      </c>
      <c r="CX63" s="1489">
        <v>-11.766</v>
      </c>
      <c r="CY63" s="1489">
        <v>-3.1019999999999999</v>
      </c>
      <c r="CZ63" s="1487"/>
      <c r="DA63" s="1487"/>
      <c r="DB63" s="1487"/>
      <c r="DC63" s="1487"/>
      <c r="DD63" s="1483"/>
      <c r="DE63" s="885"/>
      <c r="DF63" s="930"/>
      <c r="DG63" s="930"/>
      <c r="DH63" s="930">
        <v>-1.2999999999999999E-2</v>
      </c>
      <c r="DI63" s="930">
        <v>-2.8000000000000001E-2</v>
      </c>
      <c r="DJ63" s="930">
        <v>-1.7999999999999999E-2</v>
      </c>
      <c r="DK63" s="930">
        <v>-1.7999999999999999E-2</v>
      </c>
      <c r="DL63" s="930">
        <v>-1.7999999999999999E-2</v>
      </c>
      <c r="DM63" s="930">
        <v>-1.7999999999999999E-2</v>
      </c>
      <c r="DN63" s="930"/>
      <c r="DO63" s="930"/>
      <c r="DP63" s="930"/>
      <c r="DQ63" s="930">
        <v>29.18</v>
      </c>
      <c r="DR63" s="930"/>
      <c r="DS63" s="930"/>
      <c r="DT63" s="930"/>
      <c r="DU63" s="930"/>
      <c r="DV63" s="930"/>
      <c r="DW63" s="930"/>
      <c r="DX63" s="930"/>
      <c r="DY63" s="930"/>
      <c r="DZ63" s="930"/>
      <c r="EA63" s="1037"/>
      <c r="EB63" s="930"/>
      <c r="EC63" s="930"/>
      <c r="ED63" s="930">
        <v>0.37</v>
      </c>
      <c r="EE63" s="930">
        <v>0.56999999999999995</v>
      </c>
      <c r="EF63" s="930">
        <v>0.81399999999999995</v>
      </c>
      <c r="EG63" s="930">
        <v>0.69199999999999995</v>
      </c>
      <c r="EH63" s="930"/>
      <c r="EI63" s="930"/>
      <c r="EJ63" s="930"/>
      <c r="EK63" s="930"/>
      <c r="EL63" s="930"/>
      <c r="EM63" s="930"/>
      <c r="EN63" s="930"/>
      <c r="EO63" s="930">
        <v>0.57899999999999996</v>
      </c>
      <c r="EP63" s="1040"/>
      <c r="EQ63" s="1040"/>
      <c r="ER63" s="1040"/>
      <c r="ES63" s="1040"/>
      <c r="EU63" s="42"/>
      <c r="EV63"/>
      <c r="EW63"/>
      <c r="EX63"/>
      <c r="EY63"/>
      <c r="EZ63"/>
      <c r="FA63"/>
    </row>
    <row r="64" spans="2:157" s="15" customFormat="1">
      <c r="B64" s="1041" t="s">
        <v>1017</v>
      </c>
      <c r="C64" s="23"/>
      <c r="D64" s="54">
        <f>SUM(D46:D63)</f>
        <v>0</v>
      </c>
      <c r="E64" s="54">
        <f>SUM(E46:E63)</f>
        <v>339.84699999999998</v>
      </c>
      <c r="F64" s="54">
        <f>SUM(F46:F63)</f>
        <v>107.79899999999999</v>
      </c>
      <c r="G64" s="54">
        <f>SUM(G46:G63)</f>
        <v>16.923999999999996</v>
      </c>
      <c r="H64" s="54">
        <f t="shared" ref="H64:S64" si="117">SUM(H46:H63)</f>
        <v>52.287999999999997</v>
      </c>
      <c r="I64" s="54">
        <f t="shared" si="117"/>
        <v>19.238999999999997</v>
      </c>
      <c r="J64" s="54">
        <f t="shared" si="117"/>
        <v>134.61099999999999</v>
      </c>
      <c r="K64" s="54">
        <f t="shared" si="117"/>
        <v>46.106999999999999</v>
      </c>
      <c r="L64" s="978">
        <f t="shared" si="117"/>
        <v>1145.0130000000001</v>
      </c>
      <c r="M64" s="978">
        <f t="shared" si="117"/>
        <v>145.10600000000002</v>
      </c>
      <c r="N64" s="1483">
        <f t="shared" si="117"/>
        <v>323.59799999999996</v>
      </c>
      <c r="O64" s="1483">
        <f t="shared" si="117"/>
        <v>309.68599999999998</v>
      </c>
      <c r="P64" s="1483">
        <f t="shared" si="117"/>
        <v>748.72800000000007</v>
      </c>
      <c r="Q64" s="1483">
        <f t="shared" si="117"/>
        <v>-222.72100000000006</v>
      </c>
      <c r="R64" s="1483">
        <f t="shared" si="117"/>
        <v>574.90699999999993</v>
      </c>
      <c r="S64" s="1483">
        <f t="shared" si="117"/>
        <v>107.40099999999993</v>
      </c>
      <c r="T64" s="1483">
        <f t="shared" ref="T64:Z64" si="118">SUM(T46:T63)</f>
        <v>1873.181</v>
      </c>
      <c r="U64" s="1483">
        <f t="shared" si="118"/>
        <v>-894.29200000000003</v>
      </c>
      <c r="V64" s="1483">
        <f>SUM(V46:V63)</f>
        <v>4607.8600000000006</v>
      </c>
      <c r="W64" s="1483">
        <f ca="1">SUM(W46:W63)</f>
        <v>-718.08464642511126</v>
      </c>
      <c r="X64" s="1483">
        <f t="shared" ca="1" si="118"/>
        <v>-308.56729154708086</v>
      </c>
      <c r="Y64" s="1483">
        <f t="shared" ca="1" si="118"/>
        <v>-378.08088365918348</v>
      </c>
      <c r="Z64" s="1483">
        <f t="shared" ca="1" si="118"/>
        <v>-444.53428729931466</v>
      </c>
      <c r="AA64" s="1483">
        <f t="shared" ref="AA64:AD64" ca="1" si="119">SUM(AA46:AA63)</f>
        <v>-1009.9765790891968</v>
      </c>
      <c r="AB64" s="1483">
        <f t="shared" ca="1" si="119"/>
        <v>-1055.4952079262982</v>
      </c>
      <c r="AC64" s="1483">
        <f t="shared" ca="1" si="119"/>
        <v>-1112.4786692291275</v>
      </c>
      <c r="AD64" s="1483">
        <f t="shared" ca="1" si="119"/>
        <v>-1189.3092753920669</v>
      </c>
      <c r="AE64" s="1483"/>
      <c r="AF64" s="1483"/>
      <c r="AG64" s="1483"/>
      <c r="AH64" s="1483">
        <f t="shared" ref="AH64:AM64" si="120">SUM(AH46:AH63)</f>
        <v>5.2520000000000007</v>
      </c>
      <c r="AI64" s="1483">
        <f t="shared" si="120"/>
        <v>240.26999999999998</v>
      </c>
      <c r="AJ64" s="1483">
        <f t="shared" si="120"/>
        <v>128.572</v>
      </c>
      <c r="AK64" s="1483">
        <f t="shared" si="120"/>
        <v>28.385000000000002</v>
      </c>
      <c r="AL64" s="1483">
        <f t="shared" si="120"/>
        <v>-1.8049999999999971</v>
      </c>
      <c r="AM64" s="1483">
        <f t="shared" si="120"/>
        <v>-47.353000000000009</v>
      </c>
      <c r="AN64" s="1483">
        <f t="shared" ref="AN64:AU64" si="121">SUM(AN46:AN63)</f>
        <v>-1.381</v>
      </c>
      <c r="AO64" s="1483">
        <f t="shared" si="121"/>
        <v>-5.6259999999999994</v>
      </c>
      <c r="AP64" s="1483">
        <f t="shared" si="121"/>
        <v>-6.6929999999999996</v>
      </c>
      <c r="AQ64" s="1483">
        <f t="shared" si="121"/>
        <v>30.623999999999995</v>
      </c>
      <c r="AR64" s="1483">
        <f t="shared" si="121"/>
        <v>-2.359</v>
      </c>
      <c r="AS64" s="1483">
        <f t="shared" si="121"/>
        <v>6.8979999999999997</v>
      </c>
      <c r="AT64" s="1483">
        <f t="shared" si="121"/>
        <v>0.43199999999999905</v>
      </c>
      <c r="AU64" s="1483">
        <f t="shared" si="121"/>
        <v>47.317</v>
      </c>
      <c r="AV64" s="1483">
        <f t="shared" ref="AV64:BS64" si="122">SUM(AV46:AV63)</f>
        <v>14.3</v>
      </c>
      <c r="AW64" s="1483">
        <f t="shared" si="122"/>
        <v>0.5299999999999998</v>
      </c>
      <c r="AX64" s="1483">
        <f t="shared" si="122"/>
        <v>1.0209999999999999</v>
      </c>
      <c r="AY64" s="1483">
        <f t="shared" si="122"/>
        <v>-30.170999999999999</v>
      </c>
      <c r="AZ64" s="1483">
        <f t="shared" si="122"/>
        <v>1.1250000000000004</v>
      </c>
      <c r="BA64" s="1483">
        <f t="shared" si="122"/>
        <v>2.4949999999999997</v>
      </c>
      <c r="BB64" s="1483">
        <f t="shared" si="122"/>
        <v>3.0420000000000003</v>
      </c>
      <c r="BC64" s="1483">
        <f t="shared" si="122"/>
        <v>127.94899999999998</v>
      </c>
      <c r="BD64" s="1483">
        <f t="shared" si="122"/>
        <v>-15.484999999999999</v>
      </c>
      <c r="BE64" s="1483">
        <f t="shared" si="122"/>
        <v>5.3760000000000003</v>
      </c>
      <c r="BF64" s="1483">
        <f t="shared" si="122"/>
        <v>47.460999999999999</v>
      </c>
      <c r="BG64" s="1483">
        <f t="shared" si="122"/>
        <v>8.754999999999999</v>
      </c>
      <c r="BH64" s="1483">
        <f t="shared" si="122"/>
        <v>273.25300000000004</v>
      </c>
      <c r="BI64" s="1483">
        <f t="shared" si="122"/>
        <v>50.519000000000005</v>
      </c>
      <c r="BJ64" s="1483">
        <f t="shared" si="122"/>
        <v>783.24</v>
      </c>
      <c r="BK64" s="1483">
        <f t="shared" si="122"/>
        <v>38.000999999999991</v>
      </c>
      <c r="BL64" s="1483">
        <f>SUM(BL46:BL63)</f>
        <v>44.597999999999999</v>
      </c>
      <c r="BM64" s="1483">
        <f>SUM(BM46:BM63)</f>
        <v>41.924000000000007</v>
      </c>
      <c r="BN64" s="1483">
        <f>SUM(BN46:BN63)</f>
        <v>26.428000000000001</v>
      </c>
      <c r="BO64" s="1483">
        <f>SUM(BO46:BO63)</f>
        <v>32.15600000000002</v>
      </c>
      <c r="BP64" s="1483">
        <f t="shared" si="122"/>
        <v>-3.625</v>
      </c>
      <c r="BQ64" s="1483">
        <f t="shared" si="122"/>
        <v>301.34099999999995</v>
      </c>
      <c r="BR64" s="1483">
        <f t="shared" si="122"/>
        <v>28.803999999999998</v>
      </c>
      <c r="BS64" s="1483">
        <f t="shared" si="122"/>
        <v>-2.9219999999999997</v>
      </c>
      <c r="BT64" s="1483">
        <f t="shared" ref="BT64:CJ64" si="123">SUM(BT46:BT63)</f>
        <v>629.79600000000005</v>
      </c>
      <c r="BU64" s="1483">
        <f t="shared" si="123"/>
        <v>-252.23299999999998</v>
      </c>
      <c r="BV64" s="1483">
        <f t="shared" si="123"/>
        <v>18.112000000000002</v>
      </c>
      <c r="BW64" s="1483">
        <f t="shared" si="123"/>
        <v>-85.989000000000004</v>
      </c>
      <c r="BX64" s="1483">
        <f t="shared" si="123"/>
        <v>26.125999999999998</v>
      </c>
      <c r="BY64" s="1483">
        <f t="shared" si="123"/>
        <v>61.838000000000001</v>
      </c>
      <c r="BZ64" s="1483">
        <f t="shared" si="123"/>
        <v>744.14699999999993</v>
      </c>
      <c r="CA64" s="1483">
        <f t="shared" si="123"/>
        <v>-83.382999999999996</v>
      </c>
      <c r="CB64" s="1483">
        <f t="shared" si="123"/>
        <v>-43.95000000000001</v>
      </c>
      <c r="CC64" s="1483">
        <f t="shared" si="123"/>
        <v>-264.71600000000001</v>
      </c>
      <c r="CD64" s="1483">
        <f t="shared" si="123"/>
        <v>73.697000000000003</v>
      </c>
      <c r="CE64" s="1483">
        <f t="shared" si="123"/>
        <v>12.248000000000001</v>
      </c>
      <c r="CF64" s="1483">
        <f t="shared" si="123"/>
        <v>1496.7600000000002</v>
      </c>
      <c r="CG64" s="1483">
        <f t="shared" si="123"/>
        <v>-850.03399999999999</v>
      </c>
      <c r="CH64" s="1483">
        <f t="shared" si="123"/>
        <v>-1.1780000000000017</v>
      </c>
      <c r="CI64" s="1483">
        <f t="shared" si="123"/>
        <v>-70.641000000000005</v>
      </c>
      <c r="CJ64" s="1483">
        <f t="shared" si="123"/>
        <v>-37.281999999999996</v>
      </c>
      <c r="CK64" s="1483">
        <f t="shared" ref="CK64:CQ64" si="124">SUM(CK46:CK63)</f>
        <v>-278.928</v>
      </c>
      <c r="CL64" s="1483">
        <f t="shared" si="124"/>
        <v>-256.23900000000003</v>
      </c>
      <c r="CM64" s="1483">
        <f t="shared" si="124"/>
        <v>679.85</v>
      </c>
      <c r="CN64" s="1483">
        <f t="shared" si="124"/>
        <v>-98.793999999999997</v>
      </c>
      <c r="CO64" s="1483">
        <f t="shared" si="124"/>
        <v>-119.56199999999998</v>
      </c>
      <c r="CP64" s="1483">
        <f t="shared" si="124"/>
        <v>-101.413</v>
      </c>
      <c r="CQ64" s="1483">
        <f t="shared" si="124"/>
        <v>2192.9499999999998</v>
      </c>
      <c r="CR64" s="1483">
        <f t="shared" ref="CR64:CU64" si="125">SUM(CR46:CR63)</f>
        <v>-376.36799999999994</v>
      </c>
      <c r="CS64" s="1483">
        <f t="shared" si="125"/>
        <v>-169.92500000000001</v>
      </c>
      <c r="CT64" s="1483">
        <f t="shared" si="125"/>
        <v>-191.10599999999999</v>
      </c>
      <c r="CU64" s="1483">
        <f t="shared" si="125"/>
        <v>-156.893</v>
      </c>
      <c r="CV64" s="1483">
        <f>SUM(CV46:CV63)</f>
        <v>4225.2460000000001</v>
      </c>
      <c r="CW64" s="1483">
        <f>SUM(CW46:CW63)</f>
        <v>-212.89699999999999</v>
      </c>
      <c r="CX64" s="1483">
        <f>SUM(CX46:CX63)</f>
        <v>496.625</v>
      </c>
      <c r="CY64" s="1483">
        <f>SUM(CY46:CY63)</f>
        <v>98.886000000000195</v>
      </c>
      <c r="CZ64" s="1483">
        <f t="shared" ref="CZ64:DC64" ca="1" si="126">SUM(CZ46:CZ63)</f>
        <v>-178.04222197614959</v>
      </c>
      <c r="DA64" s="1483">
        <f t="shared" ca="1" si="126"/>
        <v>-179.0262291452361</v>
      </c>
      <c r="DB64" s="1483">
        <f t="shared" ca="1" si="126"/>
        <v>-180.01315071502117</v>
      </c>
      <c r="DC64" s="1483">
        <f t="shared" ca="1" si="126"/>
        <v>-181.00304458870451</v>
      </c>
      <c r="DD64" s="1483"/>
      <c r="DE64" s="885"/>
      <c r="DF64" s="885">
        <f>SUM(DF46:DF63)</f>
        <v>0</v>
      </c>
      <c r="DG64" s="885">
        <f>SUM(DG46:DG63)</f>
        <v>0</v>
      </c>
      <c r="DH64" s="885">
        <f>SUM(DH46:DH63)</f>
        <v>351.62</v>
      </c>
      <c r="DI64" s="885">
        <f t="shared" ref="DI64:ES64" si="127">SUM(DI46:DI63)</f>
        <v>339.84699999999998</v>
      </c>
      <c r="DJ64" s="885">
        <f t="shared" si="127"/>
        <v>128.554</v>
      </c>
      <c r="DK64" s="885">
        <f t="shared" si="127"/>
        <v>156.94099999999997</v>
      </c>
      <c r="DL64" s="885">
        <f t="shared" si="127"/>
        <v>155.13400000000001</v>
      </c>
      <c r="DM64" s="885">
        <f t="shared" si="127"/>
        <v>107.79899999999999</v>
      </c>
      <c r="DN64" s="885">
        <f t="shared" si="127"/>
        <v>-1.381</v>
      </c>
      <c r="DO64" s="885">
        <f t="shared" si="127"/>
        <v>-7.0070000000000014</v>
      </c>
      <c r="DP64" s="885">
        <f t="shared" si="127"/>
        <v>-13.700000000000001</v>
      </c>
      <c r="DQ64" s="885">
        <f t="shared" si="127"/>
        <v>16.923999999999996</v>
      </c>
      <c r="DR64" s="885">
        <f t="shared" si="127"/>
        <v>-2.359</v>
      </c>
      <c r="DS64" s="885">
        <f t="shared" si="127"/>
        <v>4.5389999999999997</v>
      </c>
      <c r="DT64" s="885">
        <f t="shared" si="127"/>
        <v>4.9710000000000001</v>
      </c>
      <c r="DU64" s="885">
        <f t="shared" si="127"/>
        <v>52.287999999999997</v>
      </c>
      <c r="DV64" s="885">
        <f t="shared" si="127"/>
        <v>14.3</v>
      </c>
      <c r="DW64" s="885">
        <f t="shared" si="127"/>
        <v>14.830000000000002</v>
      </c>
      <c r="DX64" s="885">
        <f t="shared" si="127"/>
        <v>15.850999999999999</v>
      </c>
      <c r="DY64" s="885">
        <f t="shared" si="127"/>
        <v>19.238999999999997</v>
      </c>
      <c r="DZ64" s="885">
        <f t="shared" si="127"/>
        <v>1.1250000000000004</v>
      </c>
      <c r="EA64" s="886">
        <f t="shared" si="127"/>
        <v>3.62</v>
      </c>
      <c r="EB64" s="885">
        <f t="shared" si="127"/>
        <v>6.6620000000000008</v>
      </c>
      <c r="EC64" s="885">
        <f t="shared" si="127"/>
        <v>134.61099999999999</v>
      </c>
      <c r="ED64" s="885">
        <f t="shared" si="127"/>
        <v>-15.484999999999999</v>
      </c>
      <c r="EE64" s="885">
        <f t="shared" si="127"/>
        <v>-10.108999999999998</v>
      </c>
      <c r="EF64" s="885">
        <f t="shared" si="127"/>
        <v>37.351999999999997</v>
      </c>
      <c r="EG64" s="885">
        <f t="shared" si="127"/>
        <v>46.106999999999999</v>
      </c>
      <c r="EH64" s="885">
        <f t="shared" si="127"/>
        <v>273.25300000000004</v>
      </c>
      <c r="EI64" s="885">
        <f t="shared" si="127"/>
        <v>323.77200000000005</v>
      </c>
      <c r="EJ64" s="885">
        <f t="shared" si="127"/>
        <v>1107.0119999999999</v>
      </c>
      <c r="EK64" s="885">
        <f t="shared" si="127"/>
        <v>1145.0130000000001</v>
      </c>
      <c r="EL64" s="885">
        <f t="shared" si="127"/>
        <v>44.597999999999999</v>
      </c>
      <c r="EM64" s="885">
        <f t="shared" si="127"/>
        <v>86.522000000000006</v>
      </c>
      <c r="EN64" s="885">
        <f t="shared" si="127"/>
        <v>112.95</v>
      </c>
      <c r="EO64" s="885">
        <f t="shared" si="127"/>
        <v>145.10599999999999</v>
      </c>
      <c r="EP64" s="885">
        <f t="shared" si="127"/>
        <v>0</v>
      </c>
      <c r="EQ64" s="885">
        <f t="shared" si="127"/>
        <v>0</v>
      </c>
      <c r="ER64" s="885">
        <f t="shared" si="127"/>
        <v>0</v>
      </c>
      <c r="ES64" s="885">
        <f t="shared" si="127"/>
        <v>0</v>
      </c>
      <c r="EU64" s="42"/>
      <c r="EV64"/>
      <c r="EW64"/>
      <c r="EX64"/>
      <c r="EY64"/>
      <c r="EZ64"/>
      <c r="FA64"/>
    </row>
    <row r="65" spans="1:160" s="15" customFormat="1">
      <c r="B65" s="23"/>
      <c r="C65" s="23"/>
      <c r="D65" s="54"/>
      <c r="E65" s="54"/>
      <c r="F65" s="54"/>
      <c r="G65" s="54"/>
      <c r="H65" s="54"/>
      <c r="I65" s="54"/>
      <c r="J65" s="54"/>
      <c r="K65" s="54"/>
      <c r="L65" s="54"/>
      <c r="M65" s="23"/>
      <c r="N65" s="1483"/>
      <c r="O65" s="1483"/>
      <c r="P65" s="1483"/>
      <c r="Q65" s="1483"/>
      <c r="R65" s="1483"/>
      <c r="S65" s="1483"/>
      <c r="T65" s="1483"/>
      <c r="U65" s="1483"/>
      <c r="V65" s="1483"/>
      <c r="W65" s="1483"/>
      <c r="X65" s="1483"/>
      <c r="Y65" s="1483"/>
      <c r="Z65" s="1483"/>
      <c r="AA65" s="1483"/>
      <c r="AB65" s="1483"/>
      <c r="AC65" s="1483"/>
      <c r="AD65" s="1483"/>
      <c r="AE65" s="1483"/>
      <c r="AF65" s="1483"/>
      <c r="AG65" s="1483"/>
      <c r="AH65" s="1483"/>
      <c r="AI65" s="1483"/>
      <c r="AJ65" s="1483"/>
      <c r="AK65" s="1483"/>
      <c r="AL65" s="1483"/>
      <c r="AM65" s="1483"/>
      <c r="AN65" s="1483"/>
      <c r="AO65" s="1483"/>
      <c r="AP65" s="1483"/>
      <c r="AQ65" s="1483"/>
      <c r="AR65" s="1483"/>
      <c r="AS65" s="1483"/>
      <c r="AT65" s="1483"/>
      <c r="AU65" s="1483"/>
      <c r="AV65" s="1483"/>
      <c r="AW65" s="1483"/>
      <c r="AX65" s="1483"/>
      <c r="AY65" s="1483"/>
      <c r="AZ65" s="1483"/>
      <c r="BA65" s="1483"/>
      <c r="BB65" s="1483"/>
      <c r="BC65" s="1483"/>
      <c r="BD65" s="1483"/>
      <c r="BE65" s="1483"/>
      <c r="BF65" s="1483"/>
      <c r="BG65" s="1483"/>
      <c r="BH65" s="1483"/>
      <c r="BI65" s="1483"/>
      <c r="BJ65" s="1483"/>
      <c r="BK65" s="1483"/>
      <c r="BL65" s="1483"/>
      <c r="BM65" s="1483"/>
      <c r="BN65" s="1483"/>
      <c r="BO65" s="1483"/>
      <c r="BP65" s="1483"/>
      <c r="BQ65" s="1483"/>
      <c r="BR65" s="1483"/>
      <c r="BS65" s="1483"/>
      <c r="BT65" s="1483"/>
      <c r="BU65" s="1483"/>
      <c r="BV65" s="1483"/>
      <c r="BW65" s="1483"/>
      <c r="BX65" s="1483"/>
      <c r="BY65" s="1483"/>
      <c r="BZ65" s="1483"/>
      <c r="CA65" s="1483"/>
      <c r="CB65" s="1483"/>
      <c r="CC65" s="1483"/>
      <c r="CD65" s="1483"/>
      <c r="CE65" s="1483"/>
      <c r="CF65" s="1483"/>
      <c r="CG65" s="1483"/>
      <c r="CH65" s="1483"/>
      <c r="CI65" s="1483"/>
      <c r="CJ65" s="1483"/>
      <c r="CK65" s="1483"/>
      <c r="CL65" s="1483"/>
      <c r="CM65" s="1483"/>
      <c r="CN65" s="1483"/>
      <c r="CO65" s="1483"/>
      <c r="CP65" s="1483"/>
      <c r="CQ65" s="1483"/>
      <c r="CR65" s="1483"/>
      <c r="CS65" s="1483"/>
      <c r="CT65" s="1483"/>
      <c r="CU65" s="1483"/>
      <c r="CV65" s="1483"/>
      <c r="CW65" s="1483"/>
      <c r="CX65" s="1483"/>
      <c r="CY65" s="1483"/>
      <c r="CZ65" s="1483"/>
      <c r="DA65" s="1483"/>
      <c r="DB65" s="1483"/>
      <c r="DC65" s="1483"/>
      <c r="DD65" s="1483"/>
      <c r="DF65" s="783"/>
      <c r="DG65" s="783"/>
      <c r="DH65" s="783"/>
      <c r="EA65" s="886"/>
      <c r="EU65" s="42"/>
      <c r="EV65"/>
      <c r="EW65"/>
      <c r="EX65"/>
      <c r="EY65"/>
      <c r="EZ65"/>
      <c r="FA65"/>
    </row>
    <row r="66" spans="1:160" s="15" customFormat="1">
      <c r="B66" s="23" t="s">
        <v>1106</v>
      </c>
      <c r="C66" s="23"/>
      <c r="D66" s="789"/>
      <c r="E66" s="783">
        <v>1.992</v>
      </c>
      <c r="F66" s="783">
        <f>SUM(AJ66:AM66)</f>
        <v>-1.8729999999999998</v>
      </c>
      <c r="G66" s="783">
        <f>SUM(AN66:AQ66)</f>
        <v>0.498</v>
      </c>
      <c r="H66" s="783">
        <f>SUM(AR66:AU66)</f>
        <v>-0.19</v>
      </c>
      <c r="I66" s="783">
        <f>SUM(AV66:AY66)</f>
        <v>-0.217</v>
      </c>
      <c r="J66" s="783">
        <f>SUM(AZ66:BC66)</f>
        <v>-0.155</v>
      </c>
      <c r="K66" s="783">
        <f>SUM(BD66:BG66)</f>
        <v>0.247</v>
      </c>
      <c r="L66" s="783">
        <f>SUM(BH66:BK66)</f>
        <v>-2.238</v>
      </c>
      <c r="M66" s="54">
        <f>SUM(BL66:BO66)</f>
        <v>-5.05</v>
      </c>
      <c r="N66" s="1483">
        <f>SUM(BP66:BS66)</f>
        <v>4.9370000000000003</v>
      </c>
      <c r="O66" s="1483">
        <f>SUM(BT66:BW66)</f>
        <v>-4.8040000000000012</v>
      </c>
      <c r="P66" s="1483">
        <f>SUM(BX66:CA66)</f>
        <v>-0.91099999999999981</v>
      </c>
      <c r="Q66" s="1483">
        <f>SUM(CB66:CE66)</f>
        <v>6.9580000000000002</v>
      </c>
      <c r="R66" s="1483">
        <f>SUM(CF66:CI66)</f>
        <v>-0.52099999999999891</v>
      </c>
      <c r="S66" s="1483">
        <f>SUM(CJ66:CM66)</f>
        <v>-11.959</v>
      </c>
      <c r="T66" s="1483">
        <f>SUM(CN66:CQ66)</f>
        <v>-15.126999999999999</v>
      </c>
      <c r="U66" s="1483">
        <f>SUM(CR66:CU66)</f>
        <v>-10.495000000000001</v>
      </c>
      <c r="V66" s="1483">
        <f>SUM(CV66:CY66)</f>
        <v>55.958000000000297</v>
      </c>
      <c r="W66" s="1483">
        <f>SUM(CZ66:DC66)</f>
        <v>0</v>
      </c>
      <c r="X66" s="1483"/>
      <c r="Y66" s="1483"/>
      <c r="Z66" s="1483"/>
      <c r="AA66" s="1483"/>
      <c r="AB66" s="1483"/>
      <c r="AC66" s="1483"/>
      <c r="AD66" s="1483"/>
      <c r="AE66" s="1483"/>
      <c r="AF66" s="1484"/>
      <c r="AG66" s="1484"/>
      <c r="AH66" s="1485">
        <f>DH66-AG66-AF66</f>
        <v>0</v>
      </c>
      <c r="AI66" s="1485">
        <f>DI66-AH66-AG66-AF66</f>
        <v>1.992</v>
      </c>
      <c r="AJ66" s="1485">
        <f>DJ66</f>
        <v>-2.879</v>
      </c>
      <c r="AK66" s="1485">
        <f>DK66-AJ66</f>
        <v>-6.1999999999999833E-2</v>
      </c>
      <c r="AL66" s="1485">
        <f>DL66-AK66-AJ66</f>
        <v>1.5539999999999998</v>
      </c>
      <c r="AM66" s="1485">
        <f>DM66-AL66-AK66-AJ66</f>
        <v>-0.48599999999999977</v>
      </c>
      <c r="AN66" s="1485">
        <f>DN66</f>
        <v>-7.3999999999999996E-2</v>
      </c>
      <c r="AO66" s="1485">
        <f>DO66-AN66</f>
        <v>0.495</v>
      </c>
      <c r="AP66" s="1485">
        <f>DP66-AO66-AN66</f>
        <v>5.9999999999999915E-3</v>
      </c>
      <c r="AQ66" s="1485">
        <f>DQ66-AP66-AO66-AN66</f>
        <v>7.0999999999999994E-2</v>
      </c>
      <c r="AR66" s="1485">
        <f>DR66</f>
        <v>3.5999999999999997E-2</v>
      </c>
      <c r="AS66" s="1485">
        <f>DS66-AR66</f>
        <v>-4.8000000000000001E-2</v>
      </c>
      <c r="AT66" s="1485">
        <f>DT66-AS66-AR66</f>
        <v>7.5000000000000011E-2</v>
      </c>
      <c r="AU66" s="1485">
        <f>DU66-AT66-AS66-AR66</f>
        <v>-0.253</v>
      </c>
      <c r="AV66" s="1485">
        <f>DV66</f>
        <v>-1.9E-2</v>
      </c>
      <c r="AW66" s="1485">
        <f>DW66-AV66</f>
        <v>0.05</v>
      </c>
      <c r="AX66" s="1485">
        <f>DX66-AW66-AV66</f>
        <v>-9.4E-2</v>
      </c>
      <c r="AY66" s="1485">
        <f>DY66-AX66-AW66-AV66</f>
        <v>-0.154</v>
      </c>
      <c r="AZ66" s="1485">
        <v>-6.9000000000000006E-2</v>
      </c>
      <c r="BA66" s="1485">
        <f>EA66-AZ66</f>
        <v>3.0000000000000027E-3</v>
      </c>
      <c r="BB66" s="1485">
        <f>EB66-BA66-AZ66</f>
        <v>-3.4000000000000002E-2</v>
      </c>
      <c r="BC66" s="1485">
        <f>EC66-BB66-BA66-AZ66</f>
        <v>-5.4999999999999993E-2</v>
      </c>
      <c r="BD66" s="1485">
        <f>ED66</f>
        <v>0.125</v>
      </c>
      <c r="BE66" s="1485">
        <f>EE66-BD66</f>
        <v>4.0000000000000008E-2</v>
      </c>
      <c r="BF66" s="1485">
        <f>EF66-BE66-BD66</f>
        <v>-2.0000000000000018E-2</v>
      </c>
      <c r="BG66" s="1485">
        <f>EG66-BF66-BE66-BD66</f>
        <v>0.10200000000000001</v>
      </c>
      <c r="BH66" s="1485">
        <f>EH66</f>
        <v>5.0999999999999997E-2</v>
      </c>
      <c r="BI66" s="1485">
        <f>EI66-BH66</f>
        <v>0.44900000000000001</v>
      </c>
      <c r="BJ66" s="1485">
        <f>EJ66-BI66-BH66</f>
        <v>-1.556</v>
      </c>
      <c r="BK66" s="1485">
        <f>EK66-BJ66-BI66-BH66</f>
        <v>-1.1819999999999999</v>
      </c>
      <c r="BL66" s="1485">
        <f>EL66</f>
        <v>-1.181</v>
      </c>
      <c r="BM66" s="1485">
        <f>EM66-BL66</f>
        <v>-0.37399999999999989</v>
      </c>
      <c r="BN66" s="1485">
        <f>EN66-BM66-BL66</f>
        <v>2.2439999999999998</v>
      </c>
      <c r="BO66" s="1485">
        <f>EO66-BN66-BM66-BL66</f>
        <v>-5.7389999999999999</v>
      </c>
      <c r="BP66" s="1485">
        <v>-3.3519999999999999</v>
      </c>
      <c r="BQ66" s="1485">
        <v>7.1479999999999997</v>
      </c>
      <c r="BR66" s="1485">
        <v>2.1360000000000001</v>
      </c>
      <c r="BS66" s="1485">
        <v>-0.995</v>
      </c>
      <c r="BT66" s="1485">
        <v>-4.8049999999999997</v>
      </c>
      <c r="BU66" s="1485">
        <f>-5.178</f>
        <v>-5.1779999999999999</v>
      </c>
      <c r="BV66" s="1485">
        <v>5.9269999999999996</v>
      </c>
      <c r="BW66" s="1485">
        <v>-0.748</v>
      </c>
      <c r="BX66" s="1485">
        <v>4.1180000000000003</v>
      </c>
      <c r="BY66" s="1485">
        <v>0.95699999999999996</v>
      </c>
      <c r="BZ66" s="1485">
        <v>-4.673</v>
      </c>
      <c r="CA66" s="1485">
        <v>-1.3129999999999999</v>
      </c>
      <c r="CB66" s="1485">
        <v>2.645</v>
      </c>
      <c r="CC66" s="1485">
        <v>-2.794</v>
      </c>
      <c r="CD66" s="1485">
        <v>6.601</v>
      </c>
      <c r="CE66" s="1485">
        <v>0.50600000000000001</v>
      </c>
      <c r="CF66" s="1485">
        <v>-5.5949999999999998</v>
      </c>
      <c r="CG66" s="1485">
        <v>-2.1949999999999998</v>
      </c>
      <c r="CH66" s="1485">
        <v>7.82</v>
      </c>
      <c r="CI66" s="1485">
        <v>-0.55100000000000005</v>
      </c>
      <c r="CJ66" s="1485">
        <v>-4.1000000000000002E-2</v>
      </c>
      <c r="CK66" s="1485">
        <v>1.621</v>
      </c>
      <c r="CL66" s="1485">
        <v>-8.0389999999999997</v>
      </c>
      <c r="CM66" s="1485">
        <v>-5.5</v>
      </c>
      <c r="CN66" s="1485">
        <v>-8.391</v>
      </c>
      <c r="CO66" s="1485">
        <v>5.0650000000000004</v>
      </c>
      <c r="CP66" s="1485">
        <v>-6.0979999999999999</v>
      </c>
      <c r="CQ66" s="1485">
        <v>-5.7030000000000003</v>
      </c>
      <c r="CR66" s="1485">
        <v>-0.19500000000000001</v>
      </c>
      <c r="CS66" s="1485">
        <f>18.54-25.111</f>
        <v>-6.5710000000000015</v>
      </c>
      <c r="CT66" s="1485">
        <f>4.313+21.356</f>
        <v>25.669</v>
      </c>
      <c r="CU66" s="1485">
        <f>-33.153+3.755</f>
        <v>-29.398</v>
      </c>
      <c r="CV66" s="1485">
        <f>11.541+(773.247-CU70)</f>
        <v>36.312000000000296</v>
      </c>
      <c r="CW66" s="1485">
        <v>5.327</v>
      </c>
      <c r="CX66" s="1485">
        <v>9.5820000000000007</v>
      </c>
      <c r="CY66" s="1485">
        <v>4.7370000000000001</v>
      </c>
      <c r="CZ66" s="1483"/>
      <c r="DA66" s="1483"/>
      <c r="DB66" s="1483"/>
      <c r="DC66" s="1483"/>
      <c r="DD66" s="1483"/>
      <c r="DE66" s="885"/>
      <c r="DF66" s="783"/>
      <c r="DG66" s="783"/>
      <c r="DH66" s="783"/>
      <c r="DI66" s="783">
        <v>1.992</v>
      </c>
      <c r="DJ66" s="783">
        <v>-2.879</v>
      </c>
      <c r="DK66" s="783">
        <v>-2.9409999999999998</v>
      </c>
      <c r="DL66" s="783">
        <v>-1.387</v>
      </c>
      <c r="DM66" s="783">
        <v>-1.873</v>
      </c>
      <c r="DN66" s="783">
        <v>-7.3999999999999996E-2</v>
      </c>
      <c r="DO66" s="783">
        <v>0.42099999999999999</v>
      </c>
      <c r="DP66" s="783">
        <v>0.42699999999999999</v>
      </c>
      <c r="DQ66" s="783">
        <v>0.498</v>
      </c>
      <c r="DR66" s="783">
        <v>3.5999999999999997E-2</v>
      </c>
      <c r="DS66" s="783">
        <v>-1.2E-2</v>
      </c>
      <c r="DT66" s="783">
        <v>6.3E-2</v>
      </c>
      <c r="DU66" s="783">
        <v>-0.19</v>
      </c>
      <c r="DV66" s="783">
        <v>-1.9E-2</v>
      </c>
      <c r="DW66" s="783">
        <v>3.1E-2</v>
      </c>
      <c r="DX66" s="783">
        <v>-6.3E-2</v>
      </c>
      <c r="DY66" s="783">
        <v>-0.217</v>
      </c>
      <c r="DZ66" s="783">
        <v>-6.9000000000000006E-2</v>
      </c>
      <c r="EA66" s="981">
        <v>-6.6000000000000003E-2</v>
      </c>
      <c r="EB66" s="783">
        <v>-0.1</v>
      </c>
      <c r="EC66" s="783">
        <v>-0.155</v>
      </c>
      <c r="ED66" s="783">
        <v>0.125</v>
      </c>
      <c r="EE66" s="783">
        <v>0.16500000000000001</v>
      </c>
      <c r="EF66" s="783">
        <v>0.14499999999999999</v>
      </c>
      <c r="EG66" s="783">
        <v>0.247</v>
      </c>
      <c r="EH66" s="783">
        <v>5.0999999999999997E-2</v>
      </c>
      <c r="EI66" s="783">
        <v>0.5</v>
      </c>
      <c r="EJ66" s="783">
        <v>-1.056</v>
      </c>
      <c r="EK66" s="783">
        <v>-2.238</v>
      </c>
      <c r="EL66" s="783">
        <v>-1.181</v>
      </c>
      <c r="EM66" s="783">
        <v>-1.5549999999999999</v>
      </c>
      <c r="EN66" s="783">
        <v>0.68899999999999995</v>
      </c>
      <c r="EO66" s="783">
        <v>-5.05</v>
      </c>
      <c r="EP66" s="783"/>
      <c r="EQ66" s="783"/>
      <c r="ER66" s="783"/>
      <c r="ES66" s="783"/>
      <c r="EU66" s="42"/>
      <c r="EV66"/>
      <c r="EW66"/>
      <c r="EX66"/>
      <c r="EY66"/>
      <c r="EZ66"/>
      <c r="FA66"/>
    </row>
    <row r="67" spans="1:160" s="15" customFormat="1">
      <c r="B67" s="23"/>
      <c r="C67" s="23"/>
      <c r="D67" s="23"/>
      <c r="E67" s="23"/>
      <c r="F67" s="23"/>
      <c r="G67" s="23"/>
      <c r="H67" s="23"/>
      <c r="I67" s="23"/>
      <c r="J67" s="23"/>
      <c r="K67" s="23"/>
      <c r="L67" s="23"/>
      <c r="M67" s="23"/>
      <c r="N67" s="1483"/>
      <c r="O67" s="1483"/>
      <c r="P67" s="1483"/>
      <c r="Q67" s="1483"/>
      <c r="R67" s="1483"/>
      <c r="S67" s="1483"/>
      <c r="T67" s="1483"/>
      <c r="U67" s="1483"/>
      <c r="V67" s="1483"/>
      <c r="W67" s="1483"/>
      <c r="X67" s="1483"/>
      <c r="Y67" s="1483"/>
      <c r="Z67" s="1483"/>
      <c r="AA67" s="1483"/>
      <c r="AB67" s="1483"/>
      <c r="AC67" s="1483"/>
      <c r="AD67" s="1483"/>
      <c r="AE67" s="1483"/>
      <c r="AF67" s="1483"/>
      <c r="AG67" s="1483"/>
      <c r="AH67" s="1483"/>
      <c r="AI67" s="1483"/>
      <c r="AJ67" s="1483"/>
      <c r="AK67" s="1483"/>
      <c r="AL67" s="1483"/>
      <c r="AM67" s="1483"/>
      <c r="AN67" s="1483"/>
      <c r="AO67" s="1483"/>
      <c r="AP67" s="1483"/>
      <c r="AQ67" s="1483"/>
      <c r="AR67" s="1483"/>
      <c r="AS67" s="1483"/>
      <c r="AT67" s="1483"/>
      <c r="AU67" s="1483"/>
      <c r="AV67" s="1483"/>
      <c r="AW67" s="1483"/>
      <c r="AX67" s="1483"/>
      <c r="AY67" s="1483"/>
      <c r="AZ67" s="1483"/>
      <c r="BA67" s="1483"/>
      <c r="BB67" s="1483"/>
      <c r="BC67" s="1483"/>
      <c r="BD67" s="1483"/>
      <c r="BE67" s="1483"/>
      <c r="BF67" s="1483"/>
      <c r="BG67" s="1483"/>
      <c r="BH67" s="1483"/>
      <c r="BI67" s="1483"/>
      <c r="BJ67" s="1483"/>
      <c r="BK67" s="1483"/>
      <c r="BL67" s="1483"/>
      <c r="BM67" s="1483"/>
      <c r="BN67" s="1483"/>
      <c r="BO67" s="1483"/>
      <c r="BP67" s="1483"/>
      <c r="BQ67" s="1483"/>
      <c r="BR67" s="1483"/>
      <c r="BS67" s="1483"/>
      <c r="BT67" s="1483"/>
      <c r="BU67" s="1483"/>
      <c r="BV67" s="1483"/>
      <c r="BW67" s="1483"/>
      <c r="BX67" s="1483"/>
      <c r="BY67" s="1483"/>
      <c r="BZ67" s="1483"/>
      <c r="CA67" s="1483"/>
      <c r="CB67" s="1483"/>
      <c r="CC67" s="1483"/>
      <c r="CD67" s="1483"/>
      <c r="CE67" s="1483"/>
      <c r="CF67" s="1483"/>
      <c r="CG67" s="1483"/>
      <c r="CH67" s="1483"/>
      <c r="CI67" s="1483"/>
      <c r="CJ67" s="1483"/>
      <c r="CK67" s="1483"/>
      <c r="CL67" s="1483"/>
      <c r="CM67" s="1483"/>
      <c r="CN67" s="1483"/>
      <c r="CO67" s="1483"/>
      <c r="CP67" s="1483"/>
      <c r="CQ67" s="1483"/>
      <c r="CR67" s="1483"/>
      <c r="CS67" s="1483"/>
      <c r="CT67" s="1483"/>
      <c r="CU67" s="1483"/>
      <c r="CV67" s="1483"/>
      <c r="CW67" s="1483"/>
      <c r="CX67" s="1483"/>
      <c r="CY67" s="1483"/>
      <c r="CZ67" s="1483"/>
      <c r="DA67" s="1483"/>
      <c r="DB67" s="1483"/>
      <c r="DC67" s="1483"/>
      <c r="DD67" s="1483"/>
      <c r="DF67" s="783"/>
      <c r="DG67" s="783"/>
      <c r="DH67" s="783"/>
      <c r="EA67" s="886"/>
      <c r="EU67" s="42"/>
      <c r="EV67"/>
      <c r="EW67"/>
      <c r="EX67"/>
      <c r="EY67"/>
      <c r="EZ67"/>
      <c r="FA67"/>
    </row>
    <row r="68" spans="1:160" s="15" customFormat="1">
      <c r="B68" s="23" t="s">
        <v>1385</v>
      </c>
      <c r="C68" s="23"/>
      <c r="D68" s="54"/>
      <c r="E68" s="54">
        <f>E32+E43+E64+E66</f>
        <v>-28.3919999999999</v>
      </c>
      <c r="F68" s="54">
        <f>F32+F43+F64+F66</f>
        <v>-115.94200000000001</v>
      </c>
      <c r="G68" s="54">
        <f>G32+G43+G64+G66</f>
        <v>-17.614999999999995</v>
      </c>
      <c r="H68" s="54">
        <f>H32+H43+H64+H66</f>
        <v>-14.346999999999996</v>
      </c>
      <c r="I68" s="54">
        <f t="shared" ref="I68:P68" si="128">I32+I43+I64+I66</f>
        <v>-0.93099999999999861</v>
      </c>
      <c r="J68" s="929">
        <f t="shared" si="128"/>
        <v>93.328999999999994</v>
      </c>
      <c r="K68" s="54">
        <f t="shared" si="128"/>
        <v>-36.704000000000008</v>
      </c>
      <c r="L68" s="54">
        <f t="shared" si="128"/>
        <v>208.07000000000022</v>
      </c>
      <c r="M68" s="54">
        <f t="shared" si="128"/>
        <v>-70.425999999999888</v>
      </c>
      <c r="N68" s="1483">
        <f t="shared" si="128"/>
        <v>125.84899999999998</v>
      </c>
      <c r="O68" s="1483">
        <f t="shared" si="128"/>
        <v>86.580000000000013</v>
      </c>
      <c r="P68" s="1483">
        <f t="shared" si="128"/>
        <v>-179.30800000000016</v>
      </c>
      <c r="Q68" s="1483">
        <f t="shared" ref="Q68:Z68" si="129">Q32+Q43+Q64+Q66</f>
        <v>-1.1150000000002631</v>
      </c>
      <c r="R68" s="1483">
        <f t="shared" si="129"/>
        <v>9.6809999999998855</v>
      </c>
      <c r="S68" s="1483">
        <f t="shared" si="129"/>
        <v>349.02300000000008</v>
      </c>
      <c r="T68" s="1483">
        <f t="shared" si="129"/>
        <v>1617.9209999999998</v>
      </c>
      <c r="U68" s="1483">
        <f>U32+U43+U64+U66</f>
        <v>-1480.3620000000001</v>
      </c>
      <c r="V68" s="1483">
        <f>V32+V43+V64+V66</f>
        <v>702.22500000000196</v>
      </c>
      <c r="W68" s="1483">
        <f ca="1">W32+W43+W64+W66</f>
        <v>-854.31508785825827</v>
      </c>
      <c r="X68" s="1483">
        <f t="shared" ca="1" si="129"/>
        <v>-210.99537292373492</v>
      </c>
      <c r="Y68" s="1483">
        <f t="shared" ca="1" si="129"/>
        <v>85.51331780202662</v>
      </c>
      <c r="Z68" s="1483">
        <f t="shared" ca="1" si="129"/>
        <v>220.89005656884206</v>
      </c>
      <c r="AA68" s="1483">
        <f t="shared" ref="AA68:AD68" ca="1" si="130">AA32+AA43+AA64+AA66</f>
        <v>-195.08691082748805</v>
      </c>
      <c r="AB68" s="1483">
        <f t="shared" ca="1" si="130"/>
        <v>-136.49496579136917</v>
      </c>
      <c r="AC68" s="1483">
        <f t="shared" ca="1" si="130"/>
        <v>-63.448187818437646</v>
      </c>
      <c r="AD68" s="1483">
        <f t="shared" ca="1" si="130"/>
        <v>34.798206359988853</v>
      </c>
      <c r="AE68" s="1483"/>
      <c r="AF68" s="1483"/>
      <c r="AG68" s="1483"/>
      <c r="AH68" s="1483"/>
      <c r="AI68" s="1483"/>
      <c r="AJ68" s="1483">
        <f>AJ32+AJ43+AJ64+AJ66</f>
        <v>-8.8860000000000046</v>
      </c>
      <c r="AK68" s="1483">
        <f>AK32+AK43+AK64+AK66</f>
        <v>-41.867999999999995</v>
      </c>
      <c r="AL68" s="1483">
        <f>AL32+AL43+AL64+AL66</f>
        <v>-39.34999999999998</v>
      </c>
      <c r="AM68" s="1483">
        <f>AM32+AM43+AM64+AM66</f>
        <v>-25.838000000000015</v>
      </c>
      <c r="AN68" s="1483">
        <f t="shared" ref="AN68:BS68" si="131">AN32+AN43+AN64+AN66</f>
        <v>-25.078000000000003</v>
      </c>
      <c r="AO68" s="1483">
        <f t="shared" si="131"/>
        <v>-16.988999999999994</v>
      </c>
      <c r="AP68" s="1483">
        <f t="shared" si="131"/>
        <v>-7.4649999999999981</v>
      </c>
      <c r="AQ68" s="1483">
        <f t="shared" si="131"/>
        <v>31.917000000000009</v>
      </c>
      <c r="AR68" s="1483">
        <f t="shared" si="131"/>
        <v>-20.237999999999992</v>
      </c>
      <c r="AS68" s="1483">
        <f t="shared" si="131"/>
        <v>3.278999999999999</v>
      </c>
      <c r="AT68" s="1483">
        <f t="shared" si="131"/>
        <v>-2.5340000000000003</v>
      </c>
      <c r="AU68" s="1483">
        <f t="shared" si="131"/>
        <v>38.705000000000005</v>
      </c>
      <c r="AV68" s="1483">
        <f t="shared" si="131"/>
        <v>8.4150000000000009</v>
      </c>
      <c r="AW68" s="1483">
        <f t="shared" si="131"/>
        <v>-17.279999999999998</v>
      </c>
      <c r="AX68" s="1483">
        <f t="shared" si="131"/>
        <v>-8.9790000000000152</v>
      </c>
      <c r="AY68" s="1483">
        <f t="shared" si="131"/>
        <v>-16.646000000000001</v>
      </c>
      <c r="AZ68" s="1483">
        <f t="shared" si="131"/>
        <v>18.272000000000006</v>
      </c>
      <c r="BA68" s="1483">
        <f t="shared" si="131"/>
        <v>22.936000000000003</v>
      </c>
      <c r="BB68" s="1483">
        <f t="shared" si="131"/>
        <v>-24.573</v>
      </c>
      <c r="BC68" s="1483">
        <f t="shared" si="131"/>
        <v>76.69399999999996</v>
      </c>
      <c r="BD68" s="1483">
        <f t="shared" si="131"/>
        <v>-38.142000000000003</v>
      </c>
      <c r="BE68" s="1483">
        <f t="shared" si="131"/>
        <v>-3.8249999999999886</v>
      </c>
      <c r="BF68" s="1483">
        <f t="shared" si="131"/>
        <v>7.3389999999999951</v>
      </c>
      <c r="BG68" s="1483">
        <f t="shared" si="131"/>
        <v>-2.0760000000000258</v>
      </c>
      <c r="BH68" s="1483">
        <f t="shared" si="131"/>
        <v>245.09700000000004</v>
      </c>
      <c r="BI68" s="1483">
        <f t="shared" si="131"/>
        <v>-93.061999999999969</v>
      </c>
      <c r="BJ68" s="1483">
        <f t="shared" si="131"/>
        <v>108.85399999999997</v>
      </c>
      <c r="BK68" s="1483">
        <f t="shared" si="131"/>
        <v>-52.818999999999932</v>
      </c>
      <c r="BL68" s="1483">
        <f>BL32+BL43+BL64+BL66</f>
        <v>-29.798999999999996</v>
      </c>
      <c r="BM68" s="1483">
        <f>BM32+BM43+BM64+BM66</f>
        <v>-109.70699999999999</v>
      </c>
      <c r="BN68" s="1483">
        <f>BN32+BN43+BN64+BN66</f>
        <v>9.5580000000000176</v>
      </c>
      <c r="BO68" s="1483">
        <f>BO32+BO43+BO64+BO66</f>
        <v>59.521999999999956</v>
      </c>
      <c r="BP68" s="1483">
        <f t="shared" si="131"/>
        <v>1.8420000000000027</v>
      </c>
      <c r="BQ68" s="1483">
        <f t="shared" si="131"/>
        <v>183.16799999999998</v>
      </c>
      <c r="BR68" s="1483">
        <f t="shared" si="131"/>
        <v>-122.07</v>
      </c>
      <c r="BS68" s="1483">
        <f t="shared" si="131"/>
        <v>62.908999999999999</v>
      </c>
      <c r="BT68" s="1483">
        <f t="shared" ref="BT68:BY68" si="132">BT32+BT43+BT64+BT66</f>
        <v>693.24600000000009</v>
      </c>
      <c r="BU68" s="1483">
        <f t="shared" si="132"/>
        <v>-530.29200000000003</v>
      </c>
      <c r="BV68" s="1483">
        <f t="shared" si="132"/>
        <v>-125.946</v>
      </c>
      <c r="BW68" s="1483">
        <f t="shared" si="132"/>
        <v>49.571999999999996</v>
      </c>
      <c r="BX68" s="1483">
        <f t="shared" si="132"/>
        <v>-142.21099999999996</v>
      </c>
      <c r="BY68" s="1483">
        <f t="shared" si="132"/>
        <v>-10.452000000000012</v>
      </c>
      <c r="BZ68" s="1483">
        <f t="shared" ref="BZ68:CE68" si="133">BZ32+BZ43+BZ64+BZ66</f>
        <v>68.814999999999941</v>
      </c>
      <c r="CA68" s="1483">
        <f t="shared" si="133"/>
        <v>-95.460000000000008</v>
      </c>
      <c r="CB68" s="1483">
        <f t="shared" si="133"/>
        <v>347.79400000000004</v>
      </c>
      <c r="CC68" s="1483">
        <f t="shared" si="133"/>
        <v>20.311999999999937</v>
      </c>
      <c r="CD68" s="1483">
        <f t="shared" si="133"/>
        <v>-387.03100000000001</v>
      </c>
      <c r="CE68" s="1483">
        <f t="shared" si="133"/>
        <v>17.809999999999985</v>
      </c>
      <c r="CF68" s="1483">
        <f t="shared" ref="CF68:CM68" si="134">CF32+CF43+CF64+CF66</f>
        <v>430.97200000000021</v>
      </c>
      <c r="CG68" s="1483">
        <f t="shared" si="134"/>
        <v>-164.60899999999987</v>
      </c>
      <c r="CH68" s="1483">
        <f t="shared" si="134"/>
        <v>-117.70599999999988</v>
      </c>
      <c r="CI68" s="1483">
        <f t="shared" si="134"/>
        <v>-138.97600000000034</v>
      </c>
      <c r="CJ68" s="1483">
        <f t="shared" si="134"/>
        <v>233.28000000000003</v>
      </c>
      <c r="CK68" s="1483">
        <f t="shared" si="134"/>
        <v>-86.839999999999961</v>
      </c>
      <c r="CL68" s="1483">
        <f t="shared" si="134"/>
        <v>-54.153000000000034</v>
      </c>
      <c r="CM68" s="1483">
        <f t="shared" si="134"/>
        <v>256.7360000000001</v>
      </c>
      <c r="CN68" s="1483">
        <f>CN32+CN43+CN64+CN66</f>
        <v>-74.208000000000027</v>
      </c>
      <c r="CO68" s="1483">
        <f>CO32+CO43+CO64+CO66</f>
        <v>-200.57600000000011</v>
      </c>
      <c r="CP68" s="1483">
        <f>CP32+CP43+CP64+CP66</f>
        <v>-0.66399999999997394</v>
      </c>
      <c r="CQ68" s="1483">
        <f>CQ32+CQ43+CQ64+CQ66</f>
        <v>1893.3689999999997</v>
      </c>
      <c r="CR68" s="1483">
        <f t="shared" ref="CR68:CU68" si="135">CR32+CR43+CR64+CR66</f>
        <v>-1595.08</v>
      </c>
      <c r="CS68" s="1483">
        <f t="shared" si="135"/>
        <v>-150.59800000000007</v>
      </c>
      <c r="CT68" s="1483">
        <f t="shared" si="135"/>
        <v>504.755</v>
      </c>
      <c r="CU68" s="1483">
        <f t="shared" si="135"/>
        <v>-239.43900000000008</v>
      </c>
      <c r="CV68" s="1483">
        <f>CV32+CV43+CV64+CV66</f>
        <v>4194.57</v>
      </c>
      <c r="CW68" s="1483">
        <f>CW32+CW43+CW64+CW66</f>
        <v>-3839.8199999999997</v>
      </c>
      <c r="CX68" s="1483">
        <f>CX32+CX43+CX64+CX66</f>
        <v>532.96900000000005</v>
      </c>
      <c r="CY68" s="1483">
        <f>CY32+CY43+CY64+CY66</f>
        <v>-185.49399999999989</v>
      </c>
      <c r="CZ68" s="1483">
        <f t="shared" ref="CZ68:DC68" ca="1" si="136">CZ32+CZ43+CZ64+CZ66</f>
        <v>-141.74076359248286</v>
      </c>
      <c r="DA68" s="1483">
        <f t="shared" ca="1" si="136"/>
        <v>22.296033778498298</v>
      </c>
      <c r="DB68" s="1483">
        <f t="shared" ca="1" si="136"/>
        <v>-382.72381126527659</v>
      </c>
      <c r="DC68" s="1483">
        <f t="shared" ca="1" si="136"/>
        <v>-352.14654677899694</v>
      </c>
      <c r="DD68" s="1483"/>
      <c r="DE68" s="885"/>
      <c r="DF68" s="885">
        <f t="shared" ref="DF68:DL68" si="137">DF32+DF43+DF64+DF66</f>
        <v>0</v>
      </c>
      <c r="DG68" s="885">
        <f t="shared" si="137"/>
        <v>0</v>
      </c>
      <c r="DH68" s="885">
        <f t="shared" si="137"/>
        <v>70.704000000000008</v>
      </c>
      <c r="DI68" s="885">
        <f t="shared" si="137"/>
        <v>-28.3919999999999</v>
      </c>
      <c r="DJ68" s="885">
        <f t="shared" si="137"/>
        <v>-8.9040000000000052</v>
      </c>
      <c r="DK68" s="885">
        <f t="shared" si="137"/>
        <v>-50.770000000000067</v>
      </c>
      <c r="DL68" s="885">
        <f t="shared" si="137"/>
        <v>-90.122000000000014</v>
      </c>
      <c r="DM68" s="885">
        <f t="shared" ref="DM68:ES68" si="138">DM32+DM43+DM64+DM66</f>
        <v>-115.94200000000001</v>
      </c>
      <c r="DN68" s="885">
        <f t="shared" si="138"/>
        <v>-25.078000000000003</v>
      </c>
      <c r="DO68" s="885">
        <f t="shared" si="138"/>
        <v>-42.056000000000004</v>
      </c>
      <c r="DP68" s="885">
        <f t="shared" si="138"/>
        <v>-49.520999999999994</v>
      </c>
      <c r="DQ68" s="885">
        <f t="shared" si="138"/>
        <v>-17.614999999999995</v>
      </c>
      <c r="DR68" s="885">
        <f t="shared" si="138"/>
        <v>-20.237999999999992</v>
      </c>
      <c r="DS68" s="885">
        <f t="shared" si="138"/>
        <v>-16.959000000000003</v>
      </c>
      <c r="DT68" s="885">
        <f t="shared" si="138"/>
        <v>-19.492999999999999</v>
      </c>
      <c r="DU68" s="885">
        <f t="shared" si="138"/>
        <v>19.211999999999993</v>
      </c>
      <c r="DV68" s="885">
        <f t="shared" si="138"/>
        <v>8.4150000000000009</v>
      </c>
      <c r="DW68" s="885">
        <f t="shared" si="138"/>
        <v>-8.8650000000000038</v>
      </c>
      <c r="DX68" s="885">
        <f t="shared" si="138"/>
        <v>-17.844000000000019</v>
      </c>
      <c r="DY68" s="885">
        <f t="shared" si="138"/>
        <v>-0.93100000000002703</v>
      </c>
      <c r="DZ68" s="885">
        <f t="shared" si="138"/>
        <v>18.272000000000006</v>
      </c>
      <c r="EA68" s="886">
        <f t="shared" si="138"/>
        <v>41.207999999999991</v>
      </c>
      <c r="EB68" s="885">
        <f t="shared" si="138"/>
        <v>16.626999999999988</v>
      </c>
      <c r="EC68" s="885">
        <f t="shared" si="138"/>
        <v>93.330999999999975</v>
      </c>
      <c r="ED68" s="885">
        <f t="shared" si="138"/>
        <v>-38.142000000000003</v>
      </c>
      <c r="EE68" s="885">
        <f t="shared" si="138"/>
        <v>-41.966999999999992</v>
      </c>
      <c r="EF68" s="885">
        <f t="shared" si="138"/>
        <v>-34.628</v>
      </c>
      <c r="EG68" s="885">
        <f t="shared" si="138"/>
        <v>-36.704000000000008</v>
      </c>
      <c r="EH68" s="885">
        <f t="shared" si="138"/>
        <v>245.09700000000004</v>
      </c>
      <c r="EI68" s="885">
        <f t="shared" si="138"/>
        <v>152.03500000000005</v>
      </c>
      <c r="EJ68" s="885">
        <f t="shared" si="138"/>
        <v>260.88899999999984</v>
      </c>
      <c r="EK68" s="885">
        <f t="shared" si="138"/>
        <v>208.07000000000022</v>
      </c>
      <c r="EL68" s="885">
        <f t="shared" si="138"/>
        <v>-29.798999999999982</v>
      </c>
      <c r="EM68" s="885">
        <f t="shared" si="138"/>
        <v>-139.50600000000003</v>
      </c>
      <c r="EN68" s="885">
        <f t="shared" si="138"/>
        <v>-129.94799999999995</v>
      </c>
      <c r="EO68" s="885">
        <f t="shared" si="138"/>
        <v>-70.425999999999917</v>
      </c>
      <c r="EP68" s="885">
        <f t="shared" si="138"/>
        <v>0</v>
      </c>
      <c r="EQ68" s="885">
        <f t="shared" si="138"/>
        <v>0</v>
      </c>
      <c r="ER68" s="885">
        <f t="shared" si="138"/>
        <v>0</v>
      </c>
      <c r="ES68" s="885">
        <f t="shared" si="138"/>
        <v>0</v>
      </c>
      <c r="EU68" s="42"/>
      <c r="EV68"/>
      <c r="EW68"/>
      <c r="EX68"/>
      <c r="EY68"/>
      <c r="EZ68"/>
      <c r="FA68"/>
    </row>
    <row r="69" spans="1:160" s="15" customFormat="1">
      <c r="B69" s="23" t="s">
        <v>1107</v>
      </c>
      <c r="C69" s="23"/>
      <c r="D69" s="963"/>
      <c r="E69" s="54">
        <f t="shared" ref="E69:L69" si="139">D70</f>
        <v>203.16499999999999</v>
      </c>
      <c r="F69" s="54">
        <f t="shared" si="139"/>
        <v>174.77300000000008</v>
      </c>
      <c r="G69" s="54">
        <f t="shared" si="139"/>
        <v>58.831000000000074</v>
      </c>
      <c r="H69" s="54">
        <f t="shared" si="139"/>
        <v>41.216000000000079</v>
      </c>
      <c r="I69" s="54">
        <f t="shared" si="139"/>
        <v>26.869000000000085</v>
      </c>
      <c r="J69" s="54">
        <f t="shared" si="139"/>
        <v>25.938000000000088</v>
      </c>
      <c r="K69" s="54">
        <f t="shared" si="139"/>
        <v>119.26700000000008</v>
      </c>
      <c r="L69" s="54">
        <f t="shared" si="139"/>
        <v>82.563000000000073</v>
      </c>
      <c r="M69" s="54">
        <f>L70</f>
        <v>290.63300000000027</v>
      </c>
      <c r="N69" s="1483">
        <f>M70</f>
        <v>220.20700000000039</v>
      </c>
      <c r="O69" s="1483">
        <f>N70</f>
        <v>346.05600000000038</v>
      </c>
      <c r="P69" s="1483">
        <f>O70</f>
        <v>432.63600000000042</v>
      </c>
      <c r="Q69" s="1483">
        <f>P70</f>
        <v>253.32800000000026</v>
      </c>
      <c r="R69" s="1483">
        <f t="shared" ref="R69:Z69" si="140">Q70</f>
        <v>252.21299999999999</v>
      </c>
      <c r="S69" s="1483">
        <f t="shared" si="140"/>
        <v>261.89399999999989</v>
      </c>
      <c r="T69" s="1483">
        <f t="shared" si="140"/>
        <v>610.91699999999992</v>
      </c>
      <c r="U69" s="1483">
        <f t="shared" si="140"/>
        <v>2228.8379999999997</v>
      </c>
      <c r="V69" s="1483">
        <f t="shared" si="140"/>
        <v>748.47599999999966</v>
      </c>
      <c r="W69" s="1483">
        <f t="shared" si="140"/>
        <v>1450.7010000000016</v>
      </c>
      <c r="X69" s="1483">
        <f t="shared" ca="1" si="140"/>
        <v>596.38591214174335</v>
      </c>
      <c r="Y69" s="1483">
        <f t="shared" ca="1" si="140"/>
        <v>385.39053921800843</v>
      </c>
      <c r="Z69" s="1483">
        <f t="shared" ca="1" si="140"/>
        <v>470.90385702003505</v>
      </c>
      <c r="AA69" s="1483">
        <f t="shared" ref="AA69" ca="1" si="141">Z70</f>
        <v>691.7939135888771</v>
      </c>
      <c r="AB69" s="1483">
        <f t="shared" ref="AB69" ca="1" si="142">AA70</f>
        <v>496.70700276138905</v>
      </c>
      <c r="AC69" s="1483">
        <f t="shared" ref="AC69" ca="1" si="143">AB70</f>
        <v>360.21203697001988</v>
      </c>
      <c r="AD69" s="1483">
        <f t="shared" ref="AD69" ca="1" si="144">AC70</f>
        <v>296.76384915158224</v>
      </c>
      <c r="AE69" s="1483"/>
      <c r="AF69" s="1483"/>
      <c r="AG69" s="1483"/>
      <c r="AH69" s="1483"/>
      <c r="AI69" s="1483"/>
      <c r="AJ69" s="1483">
        <f>AI70</f>
        <v>174.77300000000008</v>
      </c>
      <c r="AK69" s="1483">
        <f>AJ70</f>
        <v>165.88700000000009</v>
      </c>
      <c r="AL69" s="1483">
        <f>AK70</f>
        <v>124.01900000000009</v>
      </c>
      <c r="AM69" s="1483">
        <f>AL70</f>
        <v>84.669000000000111</v>
      </c>
      <c r="AN69" s="1483">
        <f t="shared" ref="AN69:AY69" si="145">AM70</f>
        <v>58.831000000000095</v>
      </c>
      <c r="AO69" s="1483">
        <f t="shared" si="145"/>
        <v>33.753000000000092</v>
      </c>
      <c r="AP69" s="1483">
        <f t="shared" si="145"/>
        <v>16.764000000000099</v>
      </c>
      <c r="AQ69" s="1483">
        <f t="shared" si="145"/>
        <v>9.2990000000001007</v>
      </c>
      <c r="AR69" s="1483">
        <f t="shared" si="145"/>
        <v>41.216000000000108</v>
      </c>
      <c r="AS69" s="1483">
        <f t="shared" si="145"/>
        <v>20.978000000000115</v>
      </c>
      <c r="AT69" s="1483">
        <f t="shared" si="145"/>
        <v>24.257000000000115</v>
      </c>
      <c r="AU69" s="1483">
        <f t="shared" si="145"/>
        <v>21.723000000000116</v>
      </c>
      <c r="AV69" s="1483">
        <f t="shared" si="145"/>
        <v>60.428000000000125</v>
      </c>
      <c r="AW69" s="1483">
        <f t="shared" si="145"/>
        <v>68.843000000000131</v>
      </c>
      <c r="AX69" s="1483">
        <f t="shared" si="145"/>
        <v>51.56300000000013</v>
      </c>
      <c r="AY69" s="1483">
        <f t="shared" si="145"/>
        <v>42.584000000000117</v>
      </c>
      <c r="AZ69" s="1483">
        <f>AY70</f>
        <v>25.938000000000116</v>
      </c>
      <c r="BA69" s="1483">
        <f t="shared" ref="BA69:BK69" si="146">AZ70</f>
        <v>44.210000000000122</v>
      </c>
      <c r="BB69" s="1483">
        <f t="shared" si="146"/>
        <v>67.146000000000129</v>
      </c>
      <c r="BC69" s="1483">
        <f t="shared" si="146"/>
        <v>42.573000000000128</v>
      </c>
      <c r="BD69" s="1483">
        <f t="shared" si="146"/>
        <v>119.26700000000008</v>
      </c>
      <c r="BE69" s="1483">
        <f t="shared" si="146"/>
        <v>81.125000000000085</v>
      </c>
      <c r="BF69" s="1483">
        <f t="shared" si="146"/>
        <v>77.300000000000097</v>
      </c>
      <c r="BG69" s="1483">
        <f t="shared" si="146"/>
        <v>84.639000000000095</v>
      </c>
      <c r="BH69" s="1483">
        <f t="shared" si="146"/>
        <v>82.563000000000073</v>
      </c>
      <c r="BI69" s="1483">
        <f t="shared" si="146"/>
        <v>327.66000000000008</v>
      </c>
      <c r="BJ69" s="1483">
        <f t="shared" si="146"/>
        <v>234.59800000000013</v>
      </c>
      <c r="BK69" s="1483">
        <f t="shared" si="146"/>
        <v>343.45200000000011</v>
      </c>
      <c r="BL69" s="1483">
        <f t="shared" ref="BL69:BS69" si="147">BK70</f>
        <v>290.63300000000015</v>
      </c>
      <c r="BM69" s="1483">
        <f t="shared" si="147"/>
        <v>260.83400000000017</v>
      </c>
      <c r="BN69" s="1483">
        <f t="shared" si="147"/>
        <v>151.12700000000018</v>
      </c>
      <c r="BO69" s="1483">
        <f t="shared" si="147"/>
        <v>160.6850000000002</v>
      </c>
      <c r="BP69" s="1483">
        <f t="shared" si="147"/>
        <v>220.20700000000016</v>
      </c>
      <c r="BQ69" s="1483">
        <f>BP70</f>
        <v>222.04900000000018</v>
      </c>
      <c r="BR69" s="1483">
        <f t="shared" si="147"/>
        <v>405.21700000000016</v>
      </c>
      <c r="BS69" s="1483">
        <f t="shared" si="147"/>
        <v>283.14700000000016</v>
      </c>
      <c r="BT69" s="1483">
        <f t="shared" ref="BT69:CY69" si="148">BS70</f>
        <v>346.05600000000015</v>
      </c>
      <c r="BU69" s="1483">
        <f t="shared" si="148"/>
        <v>1039.3020000000001</v>
      </c>
      <c r="BV69" s="1483">
        <f t="shared" si="148"/>
        <v>509.0100000000001</v>
      </c>
      <c r="BW69" s="1483">
        <f t="shared" si="148"/>
        <v>383.06400000000008</v>
      </c>
      <c r="BX69" s="1483">
        <f>BW70</f>
        <v>432.63600000000008</v>
      </c>
      <c r="BY69" s="1483">
        <f t="shared" si="148"/>
        <v>290.42500000000013</v>
      </c>
      <c r="BZ69" s="1483">
        <f t="shared" si="148"/>
        <v>279.97300000000013</v>
      </c>
      <c r="CA69" s="1483">
        <f t="shared" si="148"/>
        <v>348.78800000000007</v>
      </c>
      <c r="CB69" s="1483">
        <f t="shared" si="148"/>
        <v>253.32800000000006</v>
      </c>
      <c r="CC69" s="1483">
        <f t="shared" si="148"/>
        <v>601.12200000000007</v>
      </c>
      <c r="CD69" s="1483">
        <f t="shared" si="148"/>
        <v>621.43399999999997</v>
      </c>
      <c r="CE69" s="1483">
        <f t="shared" si="148"/>
        <v>234.40299999999996</v>
      </c>
      <c r="CF69" s="1483">
        <f t="shared" si="148"/>
        <v>252.21299999999994</v>
      </c>
      <c r="CG69" s="1483">
        <f t="shared" si="148"/>
        <v>683.18500000000017</v>
      </c>
      <c r="CH69" s="1483">
        <f t="shared" si="148"/>
        <v>518.57600000000025</v>
      </c>
      <c r="CI69" s="1483">
        <f t="shared" si="148"/>
        <v>400.87000000000035</v>
      </c>
      <c r="CJ69" s="1483">
        <f t="shared" si="148"/>
        <v>261.89400000000001</v>
      </c>
      <c r="CK69" s="1483">
        <f t="shared" si="148"/>
        <v>495.17400000000004</v>
      </c>
      <c r="CL69" s="1483">
        <f t="shared" si="148"/>
        <v>408.33400000000006</v>
      </c>
      <c r="CM69" s="1483">
        <f t="shared" si="148"/>
        <v>354.18100000000004</v>
      </c>
      <c r="CN69" s="1483">
        <f t="shared" si="148"/>
        <v>610.91700000000014</v>
      </c>
      <c r="CO69" s="1483">
        <f t="shared" si="148"/>
        <v>536.70900000000006</v>
      </c>
      <c r="CP69" s="1483">
        <f t="shared" si="148"/>
        <v>336.13299999999992</v>
      </c>
      <c r="CQ69" s="1483">
        <f t="shared" si="148"/>
        <v>335.46899999999994</v>
      </c>
      <c r="CR69" s="1483">
        <f t="shared" si="148"/>
        <v>2228.8379999999997</v>
      </c>
      <c r="CS69" s="1483">
        <f t="shared" si="148"/>
        <v>633.75799999999981</v>
      </c>
      <c r="CT69" s="1483">
        <f t="shared" si="148"/>
        <v>483.15999999999974</v>
      </c>
      <c r="CU69" s="1483">
        <f t="shared" si="148"/>
        <v>987.91499999999974</v>
      </c>
      <c r="CV69" s="1483">
        <f t="shared" si="148"/>
        <v>748.47599999999966</v>
      </c>
      <c r="CW69" s="1483">
        <f t="shared" si="148"/>
        <v>4943.0459999999994</v>
      </c>
      <c r="CX69" s="1483">
        <f t="shared" si="148"/>
        <v>1103.2259999999997</v>
      </c>
      <c r="CY69" s="1483">
        <f t="shared" si="148"/>
        <v>1636.1949999999997</v>
      </c>
      <c r="CZ69" s="1483">
        <f t="shared" ref="CZ69:DC69" si="149">CY70</f>
        <v>1450.7009999999998</v>
      </c>
      <c r="DA69" s="1483">
        <f t="shared" ca="1" si="149"/>
        <v>1308.960236407517</v>
      </c>
      <c r="DB69" s="1483">
        <f t="shared" ca="1" si="149"/>
        <v>1331.2562701860152</v>
      </c>
      <c r="DC69" s="1483">
        <f t="shared" ca="1" si="149"/>
        <v>948.53245892073858</v>
      </c>
      <c r="DD69" s="1483"/>
      <c r="DE69" s="26"/>
      <c r="DF69" s="26"/>
      <c r="DG69" s="26"/>
      <c r="DH69" s="26"/>
      <c r="DI69" s="26"/>
      <c r="DJ69" s="26"/>
      <c r="DK69" s="26"/>
      <c r="DL69" s="26"/>
      <c r="DM69" s="26"/>
      <c r="DN69" s="26"/>
      <c r="DO69" s="26"/>
      <c r="DP69" s="26"/>
      <c r="DQ69" s="26"/>
      <c r="DR69" s="26"/>
      <c r="DS69" s="26"/>
      <c r="DT69" s="26"/>
      <c r="DU69" s="26"/>
      <c r="DV69" s="26"/>
      <c r="DW69" s="26"/>
      <c r="DX69" s="26"/>
      <c r="DY69" s="26">
        <f>C70</f>
        <v>0</v>
      </c>
      <c r="DZ69" s="26">
        <f>I70</f>
        <v>25.938000000000088</v>
      </c>
      <c r="EA69" s="886">
        <f>DZ69</f>
        <v>25.938000000000088</v>
      </c>
      <c r="EB69" s="26">
        <f>EA69</f>
        <v>25.938000000000088</v>
      </c>
      <c r="EC69" s="26">
        <f>EB69</f>
        <v>25.938000000000088</v>
      </c>
      <c r="ED69" s="26">
        <f>EC70</f>
        <v>119.26900000000006</v>
      </c>
      <c r="EE69" s="26">
        <f>ED69</f>
        <v>119.26900000000006</v>
      </c>
      <c r="EF69" s="26">
        <f>EE69</f>
        <v>119.26900000000006</v>
      </c>
      <c r="EG69" s="26">
        <f>EF69</f>
        <v>119.26900000000006</v>
      </c>
      <c r="EH69" s="885">
        <f>EG70</f>
        <v>82.565000000000055</v>
      </c>
      <c r="EI69" s="885">
        <f>EH69</f>
        <v>82.565000000000055</v>
      </c>
      <c r="EJ69" s="885">
        <f>EI69</f>
        <v>82.565000000000055</v>
      </c>
      <c r="EK69" s="885">
        <f>EJ69</f>
        <v>82.565000000000055</v>
      </c>
      <c r="EU69" s="42"/>
      <c r="EV69"/>
      <c r="EW69"/>
      <c r="EX69"/>
      <c r="EY69"/>
      <c r="EZ69"/>
      <c r="FA69"/>
    </row>
    <row r="70" spans="1:160" s="15" customFormat="1">
      <c r="B70" s="14" t="s">
        <v>1108</v>
      </c>
      <c r="C70" s="23"/>
      <c r="D70" s="195">
        <v>203.16499999999999</v>
      </c>
      <c r="E70" s="195">
        <f t="shared" ref="E70:S70" si="150">E68+E69</f>
        <v>174.77300000000008</v>
      </c>
      <c r="F70" s="195">
        <f t="shared" si="150"/>
        <v>58.831000000000074</v>
      </c>
      <c r="G70" s="195">
        <f t="shared" si="150"/>
        <v>41.216000000000079</v>
      </c>
      <c r="H70" s="195">
        <f t="shared" si="150"/>
        <v>26.869000000000085</v>
      </c>
      <c r="I70" s="195">
        <f t="shared" si="150"/>
        <v>25.938000000000088</v>
      </c>
      <c r="J70" s="195">
        <f t="shared" si="150"/>
        <v>119.26700000000008</v>
      </c>
      <c r="K70" s="195">
        <f t="shared" si="150"/>
        <v>82.563000000000073</v>
      </c>
      <c r="L70" s="195">
        <f t="shared" si="150"/>
        <v>290.63300000000027</v>
      </c>
      <c r="M70" s="195">
        <f t="shared" si="150"/>
        <v>220.20700000000039</v>
      </c>
      <c r="N70" s="1494">
        <f t="shared" si="150"/>
        <v>346.05600000000038</v>
      </c>
      <c r="O70" s="1494">
        <f t="shared" si="150"/>
        <v>432.63600000000042</v>
      </c>
      <c r="P70" s="1494">
        <f t="shared" si="150"/>
        <v>253.32800000000026</v>
      </c>
      <c r="Q70" s="1494">
        <f t="shared" si="150"/>
        <v>252.21299999999999</v>
      </c>
      <c r="R70" s="1494">
        <f t="shared" si="150"/>
        <v>261.89399999999989</v>
      </c>
      <c r="S70" s="1494">
        <f t="shared" si="150"/>
        <v>610.91699999999992</v>
      </c>
      <c r="T70" s="1494">
        <f t="shared" ref="T70:Z70" si="151">T68+T69</f>
        <v>2228.8379999999997</v>
      </c>
      <c r="U70" s="1494">
        <f t="shared" si="151"/>
        <v>748.47599999999966</v>
      </c>
      <c r="V70" s="1494">
        <f>V68+V69</f>
        <v>1450.7010000000016</v>
      </c>
      <c r="W70" s="1494">
        <f ca="1">W68+W69</f>
        <v>596.38591214174335</v>
      </c>
      <c r="X70" s="1494">
        <f t="shared" ca="1" si="151"/>
        <v>385.39053921800843</v>
      </c>
      <c r="Y70" s="1494">
        <f t="shared" ca="1" si="151"/>
        <v>470.90385702003505</v>
      </c>
      <c r="Z70" s="1494">
        <f t="shared" ca="1" si="151"/>
        <v>691.7939135888771</v>
      </c>
      <c r="AA70" s="1494">
        <f t="shared" ref="AA70:AD70" ca="1" si="152">AA68+AA69</f>
        <v>496.70700276138905</v>
      </c>
      <c r="AB70" s="1494">
        <f t="shared" ca="1" si="152"/>
        <v>360.21203697001988</v>
      </c>
      <c r="AC70" s="1494">
        <f t="shared" ca="1" si="152"/>
        <v>296.76384915158224</v>
      </c>
      <c r="AD70" s="1494">
        <f t="shared" ca="1" si="152"/>
        <v>331.56205551157109</v>
      </c>
      <c r="AE70" s="1483"/>
      <c r="AF70" s="1494"/>
      <c r="AG70" s="1494"/>
      <c r="AH70" s="1494"/>
      <c r="AI70" s="1494">
        <f>E70</f>
        <v>174.77300000000008</v>
      </c>
      <c r="AJ70" s="1494">
        <f>AJ68+AJ69</f>
        <v>165.88700000000009</v>
      </c>
      <c r="AK70" s="1494">
        <f>AK68+AK69</f>
        <v>124.01900000000009</v>
      </c>
      <c r="AL70" s="1494">
        <f>AL68+AL69</f>
        <v>84.669000000000111</v>
      </c>
      <c r="AM70" s="1494">
        <f>AM68+AM69</f>
        <v>58.831000000000095</v>
      </c>
      <c r="AN70" s="1494">
        <f t="shared" ref="AN70:AY70" si="153">AN68+AN69</f>
        <v>33.753000000000092</v>
      </c>
      <c r="AO70" s="1494">
        <f t="shared" si="153"/>
        <v>16.764000000000099</v>
      </c>
      <c r="AP70" s="1494">
        <f t="shared" si="153"/>
        <v>9.2990000000001007</v>
      </c>
      <c r="AQ70" s="1494">
        <f t="shared" si="153"/>
        <v>41.216000000000108</v>
      </c>
      <c r="AR70" s="1494">
        <f t="shared" si="153"/>
        <v>20.978000000000115</v>
      </c>
      <c r="AS70" s="1494">
        <f t="shared" si="153"/>
        <v>24.257000000000115</v>
      </c>
      <c r="AT70" s="1494">
        <f t="shared" si="153"/>
        <v>21.723000000000116</v>
      </c>
      <c r="AU70" s="1494">
        <f t="shared" si="153"/>
        <v>60.428000000000125</v>
      </c>
      <c r="AV70" s="1494">
        <f t="shared" si="153"/>
        <v>68.843000000000131</v>
      </c>
      <c r="AW70" s="1494">
        <f t="shared" si="153"/>
        <v>51.56300000000013</v>
      </c>
      <c r="AX70" s="1494">
        <f t="shared" si="153"/>
        <v>42.584000000000117</v>
      </c>
      <c r="AY70" s="1494">
        <f t="shared" si="153"/>
        <v>25.938000000000116</v>
      </c>
      <c r="AZ70" s="1494">
        <f t="shared" ref="AZ70:BK70" si="154">AZ68+AZ69</f>
        <v>44.210000000000122</v>
      </c>
      <c r="BA70" s="1494">
        <f t="shared" si="154"/>
        <v>67.146000000000129</v>
      </c>
      <c r="BB70" s="1494">
        <f t="shared" si="154"/>
        <v>42.573000000000128</v>
      </c>
      <c r="BC70" s="1494">
        <f t="shared" si="154"/>
        <v>119.26700000000008</v>
      </c>
      <c r="BD70" s="1494">
        <f t="shared" si="154"/>
        <v>81.125000000000085</v>
      </c>
      <c r="BE70" s="1494">
        <f t="shared" si="154"/>
        <v>77.300000000000097</v>
      </c>
      <c r="BF70" s="1494">
        <f t="shared" si="154"/>
        <v>84.639000000000095</v>
      </c>
      <c r="BG70" s="1494">
        <f t="shared" si="154"/>
        <v>82.563000000000073</v>
      </c>
      <c r="BH70" s="1494">
        <f t="shared" si="154"/>
        <v>327.66000000000008</v>
      </c>
      <c r="BI70" s="1494">
        <f t="shared" si="154"/>
        <v>234.59800000000013</v>
      </c>
      <c r="BJ70" s="1494">
        <f t="shared" si="154"/>
        <v>343.45200000000011</v>
      </c>
      <c r="BK70" s="1494">
        <f t="shared" si="154"/>
        <v>290.63300000000015</v>
      </c>
      <c r="BL70" s="1494">
        <f t="shared" ref="BL70:BS70" si="155">BL68+BL69</f>
        <v>260.83400000000017</v>
      </c>
      <c r="BM70" s="1494">
        <f t="shared" si="155"/>
        <v>151.12700000000018</v>
      </c>
      <c r="BN70" s="1494">
        <f t="shared" si="155"/>
        <v>160.6850000000002</v>
      </c>
      <c r="BO70" s="1494">
        <f t="shared" si="155"/>
        <v>220.20700000000016</v>
      </c>
      <c r="BP70" s="1494">
        <f t="shared" si="155"/>
        <v>222.04900000000018</v>
      </c>
      <c r="BQ70" s="1494">
        <f t="shared" si="155"/>
        <v>405.21700000000016</v>
      </c>
      <c r="BR70" s="1494">
        <f t="shared" si="155"/>
        <v>283.14700000000016</v>
      </c>
      <c r="BS70" s="1494">
        <f t="shared" si="155"/>
        <v>346.05600000000015</v>
      </c>
      <c r="BT70" s="1494">
        <f t="shared" ref="BT70:CJ70" si="156">BT68+BT69</f>
        <v>1039.3020000000001</v>
      </c>
      <c r="BU70" s="1494">
        <f t="shared" si="156"/>
        <v>509.0100000000001</v>
      </c>
      <c r="BV70" s="1494">
        <f t="shared" si="156"/>
        <v>383.06400000000008</v>
      </c>
      <c r="BW70" s="1494">
        <f t="shared" si="156"/>
        <v>432.63600000000008</v>
      </c>
      <c r="BX70" s="1494">
        <f t="shared" si="156"/>
        <v>290.42500000000013</v>
      </c>
      <c r="BY70" s="1494">
        <f t="shared" si="156"/>
        <v>279.97300000000013</v>
      </c>
      <c r="BZ70" s="1494">
        <f t="shared" si="156"/>
        <v>348.78800000000007</v>
      </c>
      <c r="CA70" s="1494">
        <f t="shared" si="156"/>
        <v>253.32800000000006</v>
      </c>
      <c r="CB70" s="1494">
        <f t="shared" si="156"/>
        <v>601.12200000000007</v>
      </c>
      <c r="CC70" s="1494">
        <f t="shared" si="156"/>
        <v>621.43399999999997</v>
      </c>
      <c r="CD70" s="1494">
        <f t="shared" si="156"/>
        <v>234.40299999999996</v>
      </c>
      <c r="CE70" s="1494">
        <f t="shared" si="156"/>
        <v>252.21299999999994</v>
      </c>
      <c r="CF70" s="1494">
        <f t="shared" si="156"/>
        <v>683.18500000000017</v>
      </c>
      <c r="CG70" s="1494">
        <f t="shared" si="156"/>
        <v>518.57600000000025</v>
      </c>
      <c r="CH70" s="1494">
        <f t="shared" si="156"/>
        <v>400.87000000000035</v>
      </c>
      <c r="CI70" s="1494">
        <f t="shared" si="156"/>
        <v>261.89400000000001</v>
      </c>
      <c r="CJ70" s="1494">
        <f t="shared" si="156"/>
        <v>495.17400000000004</v>
      </c>
      <c r="CK70" s="1494">
        <f t="shared" ref="CK70:CQ70" si="157">CK68+CK69</f>
        <v>408.33400000000006</v>
      </c>
      <c r="CL70" s="1494">
        <f t="shared" si="157"/>
        <v>354.18100000000004</v>
      </c>
      <c r="CM70" s="1494">
        <f t="shared" si="157"/>
        <v>610.91700000000014</v>
      </c>
      <c r="CN70" s="1494">
        <f t="shared" si="157"/>
        <v>536.70900000000006</v>
      </c>
      <c r="CO70" s="1494">
        <f t="shared" si="157"/>
        <v>336.13299999999992</v>
      </c>
      <c r="CP70" s="1494">
        <f t="shared" si="157"/>
        <v>335.46899999999994</v>
      </c>
      <c r="CQ70" s="1494">
        <f t="shared" si="157"/>
        <v>2228.8379999999997</v>
      </c>
      <c r="CR70" s="1494">
        <f t="shared" ref="CR70:CU70" si="158">CR68+CR69</f>
        <v>633.75799999999981</v>
      </c>
      <c r="CS70" s="1494">
        <f t="shared" si="158"/>
        <v>483.15999999999974</v>
      </c>
      <c r="CT70" s="1494">
        <f t="shared" si="158"/>
        <v>987.91499999999974</v>
      </c>
      <c r="CU70" s="1494">
        <f t="shared" si="158"/>
        <v>748.47599999999966</v>
      </c>
      <c r="CV70" s="1494">
        <f>CV68+CV69</f>
        <v>4943.0459999999994</v>
      </c>
      <c r="CW70" s="1494">
        <f>CW68+CW69</f>
        <v>1103.2259999999997</v>
      </c>
      <c r="CX70" s="1494">
        <f>CX68+CX69</f>
        <v>1636.1949999999997</v>
      </c>
      <c r="CY70" s="1494">
        <f>CY68+CY69</f>
        <v>1450.7009999999998</v>
      </c>
      <c r="CZ70" s="1494">
        <f t="shared" ref="CZ70:DC70" ca="1" si="159">CZ68+CZ69</f>
        <v>1308.960236407517</v>
      </c>
      <c r="DA70" s="1494">
        <f t="shared" ca="1" si="159"/>
        <v>1331.2562701860152</v>
      </c>
      <c r="DB70" s="1494">
        <f t="shared" ca="1" si="159"/>
        <v>948.53245892073858</v>
      </c>
      <c r="DC70" s="1494">
        <f t="shared" ca="1" si="159"/>
        <v>596.38591214174164</v>
      </c>
      <c r="DD70" s="1483"/>
      <c r="DE70" s="195"/>
      <c r="DF70" s="1042">
        <f>DF68+DF69</f>
        <v>0</v>
      </c>
      <c r="DG70" s="1042">
        <f>DG68+DG69</f>
        <v>0</v>
      </c>
      <c r="DH70" s="1042">
        <f>DH68+DH69</f>
        <v>70.704000000000008</v>
      </c>
      <c r="DI70" s="1042">
        <f t="shared" ref="DI70:DY70" si="160">DI68+DI69</f>
        <v>-28.3919999999999</v>
      </c>
      <c r="DJ70" s="1042">
        <f t="shared" si="160"/>
        <v>-8.9040000000000052</v>
      </c>
      <c r="DK70" s="1042">
        <f t="shared" si="160"/>
        <v>-50.770000000000067</v>
      </c>
      <c r="DL70" s="1042">
        <f t="shared" si="160"/>
        <v>-90.122000000000014</v>
      </c>
      <c r="DM70" s="1042">
        <f t="shared" si="160"/>
        <v>-115.94200000000001</v>
      </c>
      <c r="DN70" s="1042">
        <f t="shared" si="160"/>
        <v>-25.078000000000003</v>
      </c>
      <c r="DO70" s="1042">
        <f t="shared" si="160"/>
        <v>-42.056000000000004</v>
      </c>
      <c r="DP70" s="1042">
        <f t="shared" si="160"/>
        <v>-49.520999999999994</v>
      </c>
      <c r="DQ70" s="1042">
        <f t="shared" si="160"/>
        <v>-17.614999999999995</v>
      </c>
      <c r="DR70" s="1042">
        <f t="shared" si="160"/>
        <v>-20.237999999999992</v>
      </c>
      <c r="DS70" s="1042">
        <f t="shared" si="160"/>
        <v>-16.959000000000003</v>
      </c>
      <c r="DT70" s="1042">
        <f t="shared" si="160"/>
        <v>-19.492999999999999</v>
      </c>
      <c r="DU70" s="1042">
        <f t="shared" si="160"/>
        <v>19.211999999999993</v>
      </c>
      <c r="DV70" s="1042">
        <f t="shared" si="160"/>
        <v>8.4150000000000009</v>
      </c>
      <c r="DW70" s="1042">
        <f t="shared" si="160"/>
        <v>-8.8650000000000038</v>
      </c>
      <c r="DX70" s="1042">
        <f t="shared" si="160"/>
        <v>-17.844000000000019</v>
      </c>
      <c r="DY70" s="1042">
        <f t="shared" si="160"/>
        <v>-0.93100000000002703</v>
      </c>
      <c r="DZ70" s="1042">
        <f>DZ68+DZ69</f>
        <v>44.210000000000093</v>
      </c>
      <c r="EA70" s="1043">
        <f t="shared" ref="EA70:EL70" si="161">EA68+EA69</f>
        <v>67.146000000000072</v>
      </c>
      <c r="EB70" s="1042">
        <f t="shared" si="161"/>
        <v>42.565000000000076</v>
      </c>
      <c r="EC70" s="1042">
        <f t="shared" si="161"/>
        <v>119.26900000000006</v>
      </c>
      <c r="ED70" s="1042">
        <f t="shared" si="161"/>
        <v>81.127000000000066</v>
      </c>
      <c r="EE70" s="1042">
        <f t="shared" si="161"/>
        <v>77.302000000000078</v>
      </c>
      <c r="EF70" s="1042">
        <f t="shared" si="161"/>
        <v>84.641000000000062</v>
      </c>
      <c r="EG70" s="1042">
        <f t="shared" si="161"/>
        <v>82.565000000000055</v>
      </c>
      <c r="EH70" s="1042">
        <f t="shared" si="161"/>
        <v>327.66200000000009</v>
      </c>
      <c r="EI70" s="1042">
        <f t="shared" si="161"/>
        <v>234.60000000000011</v>
      </c>
      <c r="EJ70" s="1042">
        <f t="shared" si="161"/>
        <v>343.45399999999989</v>
      </c>
      <c r="EK70" s="1042">
        <f t="shared" si="161"/>
        <v>290.63500000000028</v>
      </c>
      <c r="EL70" s="1042">
        <f t="shared" si="161"/>
        <v>-29.798999999999982</v>
      </c>
      <c r="EM70" s="1042">
        <f t="shared" ref="EM70:ES70" si="162">EM68+EM69</f>
        <v>-139.50600000000003</v>
      </c>
      <c r="EN70" s="1042">
        <f t="shared" si="162"/>
        <v>-129.94799999999995</v>
      </c>
      <c r="EO70" s="1042">
        <f t="shared" si="162"/>
        <v>-70.425999999999917</v>
      </c>
      <c r="EP70" s="1042">
        <f t="shared" si="162"/>
        <v>0</v>
      </c>
      <c r="EQ70" s="1042">
        <f t="shared" si="162"/>
        <v>0</v>
      </c>
      <c r="ER70" s="1042">
        <f t="shared" si="162"/>
        <v>0</v>
      </c>
      <c r="ES70" s="1042">
        <f t="shared" si="162"/>
        <v>0</v>
      </c>
      <c r="EU70" s="42"/>
      <c r="EV70"/>
      <c r="EW70"/>
      <c r="EX70"/>
      <c r="EY70"/>
      <c r="EZ70"/>
      <c r="FA70"/>
    </row>
    <row r="71" spans="1:160" s="15" customFormat="1">
      <c r="B71" s="927"/>
      <c r="C71" s="927"/>
      <c r="D71" s="1044"/>
      <c r="E71" s="1044"/>
      <c r="F71" s="1044"/>
      <c r="G71" s="1044"/>
      <c r="H71" s="1044"/>
      <c r="I71" s="1044"/>
      <c r="J71" s="1044"/>
      <c r="K71" s="1044"/>
      <c r="L71" s="1044"/>
      <c r="M71" s="1045"/>
      <c r="N71" s="1495"/>
      <c r="O71" s="1495"/>
      <c r="P71" s="1495"/>
      <c r="Q71" s="1495"/>
      <c r="R71" s="1495"/>
      <c r="S71" s="1495"/>
      <c r="T71" s="1495"/>
      <c r="U71" s="1495"/>
      <c r="V71" s="1495"/>
      <c r="W71" s="1495"/>
      <c r="X71" s="1495"/>
      <c r="Y71" s="1495"/>
      <c r="Z71" s="1495"/>
      <c r="AA71" s="1495"/>
      <c r="AB71" s="1495"/>
      <c r="AC71" s="1495"/>
      <c r="AD71" s="1495"/>
      <c r="AE71" s="1483"/>
      <c r="AF71" s="1495"/>
      <c r="AG71" s="1495"/>
      <c r="AH71" s="1495"/>
      <c r="AI71" s="1495"/>
      <c r="AJ71" s="1495"/>
      <c r="AK71" s="1495"/>
      <c r="AL71" s="1495"/>
      <c r="AM71" s="1495"/>
      <c r="AN71" s="1495"/>
      <c r="AO71" s="1495"/>
      <c r="AP71" s="1495"/>
      <c r="AQ71" s="1495"/>
      <c r="AR71" s="1495"/>
      <c r="AS71" s="1495"/>
      <c r="AT71" s="1495"/>
      <c r="AU71" s="1495"/>
      <c r="AV71" s="1495"/>
      <c r="AW71" s="1495"/>
      <c r="AX71" s="1495"/>
      <c r="AY71" s="1495"/>
      <c r="AZ71" s="1495"/>
      <c r="BA71" s="1495"/>
      <c r="BB71" s="1495"/>
      <c r="BC71" s="1495"/>
      <c r="BD71" s="1495"/>
      <c r="BE71" s="1495"/>
      <c r="BF71" s="1495"/>
      <c r="BG71" s="1495"/>
      <c r="BH71" s="1495"/>
      <c r="BI71" s="1495"/>
      <c r="BJ71" s="1495"/>
      <c r="BK71" s="1495"/>
      <c r="BL71" s="1495"/>
      <c r="BM71" s="1495"/>
      <c r="BN71" s="1495"/>
      <c r="BO71" s="1495"/>
      <c r="BP71" s="1495"/>
      <c r="BQ71" s="1495"/>
      <c r="BR71" s="1495"/>
      <c r="BS71" s="1495"/>
      <c r="BT71" s="1495"/>
      <c r="BU71" s="1495"/>
      <c r="BV71" s="1495"/>
      <c r="BW71" s="1495"/>
      <c r="BX71" s="1495"/>
      <c r="BY71" s="1495"/>
      <c r="BZ71" s="1495"/>
      <c r="CA71" s="1495"/>
      <c r="CB71" s="1495"/>
      <c r="CC71" s="1495"/>
      <c r="CD71" s="1495"/>
      <c r="CE71" s="1495"/>
      <c r="CF71" s="1495"/>
      <c r="CG71" s="1495"/>
      <c r="CH71" s="1495"/>
      <c r="CI71" s="1495"/>
      <c r="CJ71" s="1495"/>
      <c r="CK71" s="1495"/>
      <c r="CL71" s="1495"/>
      <c r="CM71" s="1495"/>
      <c r="CN71" s="1495"/>
      <c r="CO71" s="1495"/>
      <c r="CP71" s="1495"/>
      <c r="CQ71" s="1495"/>
      <c r="CR71" s="1495"/>
      <c r="CS71" s="1495"/>
      <c r="CT71" s="1495"/>
      <c r="CU71" s="1495"/>
      <c r="CV71" s="1495"/>
      <c r="CW71" s="1495"/>
      <c r="CX71" s="1495"/>
      <c r="CY71" s="1495"/>
      <c r="CZ71" s="1495"/>
      <c r="DA71" s="1495"/>
      <c r="DB71" s="1495"/>
      <c r="DC71" s="1495"/>
      <c r="DE71" s="988"/>
      <c r="DF71" s="1046"/>
      <c r="DG71" s="1046"/>
      <c r="DH71" s="1046"/>
      <c r="DI71" s="1046"/>
      <c r="DJ71" s="1046"/>
      <c r="DK71" s="1046"/>
      <c r="DL71" s="1046"/>
      <c r="DM71" s="1046"/>
      <c r="DN71" s="1046"/>
      <c r="DO71" s="1046"/>
      <c r="DP71" s="1046"/>
      <c r="DQ71" s="1046"/>
      <c r="DR71" s="1046"/>
      <c r="DS71" s="1046"/>
      <c r="DT71" s="1046"/>
      <c r="DU71" s="1046"/>
      <c r="DV71" s="1046"/>
      <c r="DW71" s="1046"/>
      <c r="DX71" s="1046"/>
      <c r="DY71" s="1046"/>
      <c r="DZ71" s="1046"/>
      <c r="EA71" s="1047"/>
      <c r="EB71" s="1046"/>
      <c r="EC71" s="1046"/>
      <c r="ED71" s="1046"/>
      <c r="EE71" s="1046"/>
      <c r="EF71" s="1046"/>
      <c r="EG71" s="1046"/>
      <c r="EH71" s="1046"/>
      <c r="EI71" s="1046"/>
      <c r="EJ71" s="1046"/>
      <c r="EK71" s="1046"/>
      <c r="EL71" s="1046"/>
      <c r="EM71" s="1046"/>
      <c r="EN71" s="1046"/>
      <c r="EO71" s="1046"/>
      <c r="EP71" s="1046"/>
      <c r="EQ71" s="1046"/>
      <c r="ER71" s="1046"/>
      <c r="ES71" s="1046"/>
      <c r="ET71" s="985"/>
      <c r="EU71" s="44"/>
      <c r="EV71"/>
      <c r="EW71"/>
      <c r="EX71"/>
      <c r="EY71"/>
      <c r="EZ71"/>
      <c r="FA71"/>
    </row>
    <row r="72" spans="1:160">
      <c r="A72" s="1163" t="s">
        <v>604</v>
      </c>
      <c r="B72" s="66" t="s">
        <v>211</v>
      </c>
      <c r="C72" s="59"/>
      <c r="D72" s="60"/>
      <c r="E72" s="60"/>
      <c r="F72" s="60"/>
      <c r="G72" s="60"/>
      <c r="H72" s="60"/>
      <c r="I72" s="60"/>
      <c r="J72" s="60"/>
      <c r="K72" s="60"/>
      <c r="L72" s="59"/>
      <c r="M72" s="404"/>
      <c r="N72" s="1496"/>
      <c r="O72" s="1496"/>
      <c r="P72" s="1496"/>
      <c r="Q72" s="1496"/>
      <c r="R72" s="1496"/>
      <c r="S72" s="1496"/>
      <c r="T72" s="1496"/>
      <c r="U72" s="1496"/>
      <c r="V72" s="1496"/>
      <c r="W72" s="1496"/>
      <c r="X72" s="1496"/>
      <c r="Y72" s="1496"/>
      <c r="Z72" s="1496"/>
      <c r="AA72" s="1496"/>
      <c r="AB72" s="1496"/>
      <c r="AC72" s="1496"/>
      <c r="AD72" s="1496"/>
      <c r="AE72" s="1483"/>
      <c r="AF72" s="1496"/>
      <c r="AG72" s="1496"/>
      <c r="AH72" s="1496"/>
      <c r="AI72" s="1496"/>
      <c r="AJ72" s="1496"/>
      <c r="AK72" s="1496"/>
      <c r="AL72" s="1496"/>
      <c r="AM72" s="1496"/>
      <c r="AN72" s="1496"/>
      <c r="AO72" s="1496"/>
      <c r="AP72" s="1496"/>
      <c r="AQ72" s="1496"/>
      <c r="AR72" s="1496"/>
      <c r="AS72" s="1496"/>
      <c r="AT72" s="1496"/>
      <c r="AU72" s="1496"/>
      <c r="AV72" s="1496"/>
      <c r="AW72" s="1496"/>
      <c r="AX72" s="1496"/>
      <c r="AY72" s="1496"/>
      <c r="AZ72" s="1496"/>
      <c r="BA72" s="1496"/>
      <c r="BB72" s="1496"/>
      <c r="BC72" s="1496"/>
      <c r="BD72" s="1496"/>
      <c r="BE72" s="1496"/>
      <c r="BF72" s="1496"/>
      <c r="BG72" s="1496"/>
      <c r="BH72" s="1496"/>
      <c r="BI72" s="1496"/>
      <c r="BJ72" s="1496"/>
      <c r="BK72" s="1496"/>
      <c r="BL72" s="1496"/>
      <c r="BM72" s="1496"/>
      <c r="BN72" s="1496"/>
      <c r="BO72" s="1496"/>
      <c r="BP72" s="1496"/>
      <c r="BQ72" s="1496"/>
      <c r="BR72" s="1496"/>
      <c r="BS72" s="1496"/>
      <c r="BT72" s="1496"/>
      <c r="BU72" s="1496"/>
      <c r="BV72" s="1496"/>
      <c r="BW72" s="1496"/>
      <c r="BX72" s="1496"/>
      <c r="BY72" s="1496"/>
      <c r="BZ72" s="1496"/>
      <c r="CA72" s="1496"/>
      <c r="CB72" s="1496"/>
      <c r="CC72" s="1496"/>
      <c r="CD72" s="1496"/>
      <c r="CE72" s="1496"/>
      <c r="CF72" s="1496"/>
      <c r="CG72" s="1496"/>
      <c r="CH72" s="2043"/>
      <c r="CI72" s="1496"/>
      <c r="CJ72" s="1496"/>
      <c r="CK72" s="1496"/>
      <c r="CL72" s="1496"/>
      <c r="CM72" s="1496"/>
      <c r="CN72" s="1496"/>
      <c r="CO72" s="1496"/>
      <c r="CP72" s="1496"/>
      <c r="CQ72" s="1496"/>
      <c r="CR72" s="1496"/>
      <c r="CS72" s="1496"/>
      <c r="CT72" s="1496"/>
      <c r="CU72" s="1496"/>
      <c r="CV72" s="1496"/>
      <c r="CW72" s="1496"/>
      <c r="CX72" s="1496"/>
      <c r="CY72" s="1496"/>
      <c r="CZ72" s="1496"/>
      <c r="DA72" s="1496"/>
      <c r="DB72" s="1496"/>
      <c r="DC72" s="1496"/>
      <c r="EA72" s="886"/>
      <c r="FB72" s="15"/>
      <c r="FC72" s="15"/>
      <c r="FD72" s="15"/>
    </row>
    <row r="73" spans="1:160" s="15" customFormat="1" ht="7.5" customHeight="1">
      <c r="B73" s="14"/>
      <c r="C73" s="23"/>
      <c r="L73" s="23"/>
      <c r="M73" s="123"/>
      <c r="N73" s="1483"/>
      <c r="O73" s="1483"/>
      <c r="P73" s="1483"/>
      <c r="Q73" s="1483"/>
      <c r="R73" s="1483"/>
      <c r="S73" s="1483"/>
      <c r="T73" s="1483"/>
      <c r="U73" s="1483"/>
      <c r="V73" s="1483"/>
      <c r="W73" s="1483"/>
      <c r="X73" s="1483"/>
      <c r="Y73" s="1483"/>
      <c r="Z73" s="1483"/>
      <c r="AA73" s="1483"/>
      <c r="AB73" s="1483"/>
      <c r="AC73" s="1483"/>
      <c r="AD73" s="1483"/>
      <c r="AE73" s="1483"/>
      <c r="AF73" s="1483"/>
      <c r="AG73" s="1483"/>
      <c r="AH73" s="1483"/>
      <c r="AI73" s="1483"/>
      <c r="AJ73" s="1483"/>
      <c r="AK73" s="1483"/>
      <c r="AL73" s="1483"/>
      <c r="AM73" s="1483"/>
      <c r="AN73" s="1483"/>
      <c r="AO73" s="1483"/>
      <c r="AP73" s="1483"/>
      <c r="AQ73" s="1483"/>
      <c r="AR73" s="1483"/>
      <c r="AS73" s="1483"/>
      <c r="AT73" s="1483"/>
      <c r="AU73" s="1483"/>
      <c r="AV73" s="1483"/>
      <c r="AW73" s="1483"/>
      <c r="AX73" s="1483"/>
      <c r="AY73" s="1483"/>
      <c r="AZ73" s="1483"/>
      <c r="BA73" s="1483"/>
      <c r="BB73" s="1483"/>
      <c r="BC73" s="1483"/>
      <c r="BD73" s="1483"/>
      <c r="BE73" s="1483"/>
      <c r="BF73" s="1483"/>
      <c r="BG73" s="1483"/>
      <c r="BH73" s="1483"/>
      <c r="BI73" s="1483"/>
      <c r="BJ73" s="1483"/>
      <c r="BK73" s="1483"/>
      <c r="BL73" s="1483"/>
      <c r="BM73" s="1483"/>
      <c r="BN73" s="1483"/>
      <c r="BO73" s="1483"/>
      <c r="BP73" s="1483"/>
      <c r="BQ73" s="1483"/>
      <c r="BR73" s="1483"/>
      <c r="BS73" s="1483"/>
      <c r="BT73" s="1483"/>
      <c r="BU73" s="1483"/>
      <c r="BV73" s="1483"/>
      <c r="BW73" s="1483"/>
      <c r="BX73" s="1483"/>
      <c r="BY73" s="1483"/>
      <c r="BZ73" s="1483"/>
      <c r="CA73" s="1483"/>
      <c r="CB73" s="1483"/>
      <c r="CC73" s="1483"/>
      <c r="CD73" s="1483"/>
      <c r="CE73" s="1483"/>
      <c r="CF73" s="1483"/>
      <c r="CG73" s="1483"/>
      <c r="CH73" s="1483"/>
      <c r="CI73" s="1483"/>
      <c r="CJ73" s="1483"/>
      <c r="CK73" s="1483"/>
      <c r="CL73" s="1483"/>
      <c r="CM73" s="1483"/>
      <c r="CN73" s="1483"/>
      <c r="CO73" s="1483"/>
      <c r="CP73" s="1483"/>
      <c r="CQ73" s="1483"/>
      <c r="CR73" s="1483"/>
      <c r="CS73" s="1483"/>
      <c r="CT73" s="1483"/>
      <c r="CU73" s="1483"/>
      <c r="CV73" s="1483"/>
      <c r="CW73" s="1483"/>
      <c r="CX73" s="1483"/>
      <c r="CY73" s="1483"/>
      <c r="CZ73" s="1483"/>
      <c r="DA73" s="1483"/>
      <c r="DB73" s="1483"/>
      <c r="DC73" s="1483"/>
      <c r="EA73" s="886"/>
      <c r="EU73" s="42"/>
      <c r="EV73"/>
      <c r="EW73"/>
      <c r="EX73"/>
      <c r="EY73"/>
      <c r="EZ73"/>
      <c r="FA73"/>
    </row>
    <row r="74" spans="1:160" s="15" customFormat="1">
      <c r="B74" s="23" t="s">
        <v>254</v>
      </c>
      <c r="C74" s="1048"/>
      <c r="D74" s="1048"/>
      <c r="E74" s="809">
        <f t="shared" ref="E74:L74" si="163">E32</f>
        <v>-68.072999999999993</v>
      </c>
      <c r="F74" s="809">
        <f t="shared" si="163"/>
        <v>-68.853999999999971</v>
      </c>
      <c r="G74" s="809">
        <f t="shared" si="163"/>
        <v>-27.508999999999993</v>
      </c>
      <c r="H74" s="809">
        <f t="shared" si="163"/>
        <v>-17.265999999999991</v>
      </c>
      <c r="I74" s="809">
        <f t="shared" si="163"/>
        <v>36.911999999999992</v>
      </c>
      <c r="J74" s="809">
        <f t="shared" si="163"/>
        <v>67.594999999999999</v>
      </c>
      <c r="K74" s="809">
        <f t="shared" si="163"/>
        <v>75.411999999999964</v>
      </c>
      <c r="L74" s="809">
        <f t="shared" si="163"/>
        <v>120.02000000000002</v>
      </c>
      <c r="M74" s="809">
        <f t="shared" ref="M74:X74" si="164">M32</f>
        <v>267.55800000000011</v>
      </c>
      <c r="N74" s="1497">
        <f t="shared" si="164"/>
        <v>355.49200000000002</v>
      </c>
      <c r="O74" s="1497">
        <f t="shared" si="164"/>
        <v>382.66700000000009</v>
      </c>
      <c r="P74" s="1497">
        <f t="shared" si="164"/>
        <v>569.37699999999995</v>
      </c>
      <c r="Q74" s="1497">
        <f t="shared" ref="Q74:V74" si="165">Q32</f>
        <v>641.25499999999988</v>
      </c>
      <c r="R74" s="1497">
        <f t="shared" si="165"/>
        <v>605.73600000000022</v>
      </c>
      <c r="S74" s="1497">
        <f t="shared" si="165"/>
        <v>689.42000000000019</v>
      </c>
      <c r="T74" s="1497">
        <f t="shared" si="165"/>
        <v>894.79399999999976</v>
      </c>
      <c r="U74" s="1497">
        <f t="shared" si="165"/>
        <v>1016.58</v>
      </c>
      <c r="V74" s="1497">
        <f t="shared" si="165"/>
        <v>1439.2330000000002</v>
      </c>
      <c r="W74" s="1497">
        <f t="shared" ref="W74" ca="1" si="166">W32</f>
        <v>1799.3359023905009</v>
      </c>
      <c r="X74" s="1497">
        <f t="shared" ca="1" si="164"/>
        <v>1950.7204295027316</v>
      </c>
      <c r="Y74" s="1497">
        <f ca="1">Y32</f>
        <v>2123.5375187698514</v>
      </c>
      <c r="Z74" s="1497">
        <f ca="1">Z32</f>
        <v>2283.8346632436696</v>
      </c>
      <c r="AA74" s="1497">
        <f t="shared" ref="AA74:AD74" ca="1" si="167">AA32</f>
        <v>2440.9657649394589</v>
      </c>
      <c r="AB74" s="1497">
        <f t="shared" ca="1" si="167"/>
        <v>2552.809421026257</v>
      </c>
      <c r="AC74" s="1497">
        <f t="shared" ca="1" si="167"/>
        <v>2690.7009139711149</v>
      </c>
      <c r="AD74" s="1497">
        <f t="shared" ca="1" si="167"/>
        <v>2873.6897977915769</v>
      </c>
      <c r="AE74" s="1483"/>
      <c r="AF74" s="1498"/>
      <c r="AG74" s="1498"/>
      <c r="AH74" s="1497">
        <f t="shared" ref="AH74:BO74" si="168">AH32</f>
        <v>-50.280000000000008</v>
      </c>
      <c r="AI74" s="1497">
        <f t="shared" si="168"/>
        <v>-20.013999999999999</v>
      </c>
      <c r="AJ74" s="1497">
        <f t="shared" si="168"/>
        <v>-19.399000000000001</v>
      </c>
      <c r="AK74" s="1497">
        <f t="shared" si="168"/>
        <v>-18.434000000000001</v>
      </c>
      <c r="AL74" s="1497">
        <f t="shared" si="168"/>
        <v>-14.223999999999984</v>
      </c>
      <c r="AM74" s="1497">
        <f t="shared" si="168"/>
        <v>-16.797000000000008</v>
      </c>
      <c r="AN74" s="1497">
        <f t="shared" si="168"/>
        <v>-2.0450000000000026</v>
      </c>
      <c r="AO74" s="1497">
        <f t="shared" si="168"/>
        <v>-23.814999999999994</v>
      </c>
      <c r="AP74" s="1497">
        <f t="shared" si="168"/>
        <v>-3.8919999999999981</v>
      </c>
      <c r="AQ74" s="1497">
        <f t="shared" si="168"/>
        <v>2.2430000000000079</v>
      </c>
      <c r="AR74" s="1497">
        <f t="shared" si="168"/>
        <v>-19.557999999999996</v>
      </c>
      <c r="AS74" s="1497">
        <f t="shared" si="168"/>
        <v>-2.6880000000000011</v>
      </c>
      <c r="AT74" s="1497">
        <f t="shared" si="168"/>
        <v>1.9020000000000012</v>
      </c>
      <c r="AU74" s="1497">
        <f t="shared" si="168"/>
        <v>3.0780000000000038</v>
      </c>
      <c r="AV74" s="1497">
        <f t="shared" si="168"/>
        <v>6.480999999999999</v>
      </c>
      <c r="AW74" s="1497">
        <f t="shared" si="168"/>
        <v>8.8919999999999977</v>
      </c>
      <c r="AX74" s="1497">
        <f t="shared" si="168"/>
        <v>10.912999999999986</v>
      </c>
      <c r="AY74" s="1497">
        <f t="shared" si="168"/>
        <v>10.626000000000007</v>
      </c>
      <c r="AZ74" s="1497">
        <f t="shared" si="168"/>
        <v>15.393000000000002</v>
      </c>
      <c r="BA74" s="1497">
        <f t="shared" si="168"/>
        <v>18.149000000000004</v>
      </c>
      <c r="BB74" s="1497">
        <f t="shared" si="168"/>
        <v>15.494</v>
      </c>
      <c r="BC74" s="1497">
        <f t="shared" si="168"/>
        <v>18.55899999999999</v>
      </c>
      <c r="BD74" s="1497">
        <f t="shared" si="168"/>
        <v>12.790999999999995</v>
      </c>
      <c r="BE74" s="1497">
        <f t="shared" si="168"/>
        <v>16.107000000000003</v>
      </c>
      <c r="BF74" s="1497">
        <f t="shared" si="168"/>
        <v>20.655000000000005</v>
      </c>
      <c r="BG74" s="1497">
        <f t="shared" si="168"/>
        <v>25.858999999999991</v>
      </c>
      <c r="BH74" s="1497">
        <f t="shared" si="168"/>
        <v>19.850000000000005</v>
      </c>
      <c r="BI74" s="1497">
        <f t="shared" si="168"/>
        <v>37.862000000000009</v>
      </c>
      <c r="BJ74" s="1497">
        <f t="shared" si="168"/>
        <v>48.427000000000007</v>
      </c>
      <c r="BK74" s="1497">
        <f t="shared" si="168"/>
        <v>13.880999999999981</v>
      </c>
      <c r="BL74" s="1497">
        <f t="shared" si="168"/>
        <v>62.983999999999995</v>
      </c>
      <c r="BM74" s="1497">
        <f t="shared" si="168"/>
        <v>64.957999999999998</v>
      </c>
      <c r="BN74" s="1497">
        <f t="shared" si="168"/>
        <v>63.321000000000005</v>
      </c>
      <c r="BO74" s="1497">
        <f t="shared" si="168"/>
        <v>76.294999999999959</v>
      </c>
      <c r="BP74" s="1497">
        <f>BP32</f>
        <v>86.703999999999994</v>
      </c>
      <c r="BQ74" s="1497">
        <f>BQ32</f>
        <v>78.739000000000033</v>
      </c>
      <c r="BR74" s="1497">
        <f>BR32</f>
        <v>107.53899999999997</v>
      </c>
      <c r="BS74" s="1497">
        <f>BS32</f>
        <v>82.509999999999977</v>
      </c>
      <c r="BT74" s="1497">
        <f t="shared" ref="BT74:BY74" si="169">BT32</f>
        <v>99.811999999999998</v>
      </c>
      <c r="BU74" s="1497">
        <f t="shared" si="169"/>
        <v>54.573999999999977</v>
      </c>
      <c r="BV74" s="1497">
        <f t="shared" si="169"/>
        <v>109.51000000000002</v>
      </c>
      <c r="BW74" s="1497">
        <f t="shared" si="169"/>
        <v>118.771</v>
      </c>
      <c r="BX74" s="1497">
        <f t="shared" si="169"/>
        <v>111.33500000000001</v>
      </c>
      <c r="BY74" s="1497">
        <f t="shared" si="169"/>
        <v>136.49</v>
      </c>
      <c r="BZ74" s="1497">
        <f t="shared" ref="BZ74:CE74" si="170">BZ32</f>
        <v>138.03399999999996</v>
      </c>
      <c r="CA74" s="1497">
        <f t="shared" si="170"/>
        <v>183.518</v>
      </c>
      <c r="CB74" s="1497">
        <f t="shared" si="170"/>
        <v>119.66600000000003</v>
      </c>
      <c r="CC74" s="1497">
        <f t="shared" si="170"/>
        <v>193.94199999999998</v>
      </c>
      <c r="CD74" s="1497">
        <f t="shared" si="170"/>
        <v>100.27899999999995</v>
      </c>
      <c r="CE74" s="1497">
        <f t="shared" si="170"/>
        <v>227.36799999999999</v>
      </c>
      <c r="CF74" s="1497">
        <f t="shared" ref="CF74:CM74" si="171">CF32</f>
        <v>82.346999999999923</v>
      </c>
      <c r="CG74" s="1497">
        <f t="shared" si="171"/>
        <v>150.07300000000004</v>
      </c>
      <c r="CH74" s="1497">
        <f t="shared" si="171"/>
        <v>206.6100000000001</v>
      </c>
      <c r="CI74" s="1497">
        <f t="shared" si="171"/>
        <v>166.70600000000002</v>
      </c>
      <c r="CJ74" s="1497">
        <f t="shared" si="171"/>
        <v>171.71800000000002</v>
      </c>
      <c r="CK74" s="1497">
        <f t="shared" si="171"/>
        <v>98.964000000000055</v>
      </c>
      <c r="CL74" s="1497">
        <f t="shared" si="171"/>
        <v>216.441</v>
      </c>
      <c r="CM74" s="1497">
        <f t="shared" si="171"/>
        <v>202.29700000000005</v>
      </c>
      <c r="CN74" s="1497">
        <f>CN32</f>
        <v>232.81100000000001</v>
      </c>
      <c r="CO74" s="1497">
        <f>CO32</f>
        <v>212.46299999999991</v>
      </c>
      <c r="CP74" s="1497">
        <f>CP32</f>
        <v>214.40200000000002</v>
      </c>
      <c r="CQ74" s="1497">
        <f>CQ32</f>
        <v>235.11799999999988</v>
      </c>
      <c r="CR74" s="1497">
        <f t="shared" ref="CR74:CU74" si="172">CR32</f>
        <v>104.27000000000001</v>
      </c>
      <c r="CS74" s="1497">
        <f t="shared" si="172"/>
        <v>278.82799999999992</v>
      </c>
      <c r="CT74" s="1497">
        <f t="shared" si="172"/>
        <v>334.17199999999997</v>
      </c>
      <c r="CU74" s="1497">
        <f t="shared" si="172"/>
        <v>299.31</v>
      </c>
      <c r="CV74" s="1497">
        <f>CV32</f>
        <v>247.37100000000012</v>
      </c>
      <c r="CW74" s="1497">
        <f>CW32</f>
        <v>306.47300000000007</v>
      </c>
      <c r="CX74" s="1497">
        <f>CX32</f>
        <v>390.51</v>
      </c>
      <c r="CY74" s="1497">
        <f>CY32</f>
        <v>494.87900000000002</v>
      </c>
      <c r="CZ74" s="1497">
        <f t="shared" ref="CZ74:DC74" ca="1" si="173">CZ32</f>
        <v>398.42419842697109</v>
      </c>
      <c r="DA74" s="1497">
        <f t="shared" ca="1" si="173"/>
        <v>447.80166351005704</v>
      </c>
      <c r="DB74" s="1497">
        <f t="shared" ca="1" si="173"/>
        <v>466.24677505810416</v>
      </c>
      <c r="DC74" s="1497">
        <f t="shared" ca="1" si="173"/>
        <v>486.86326539536867</v>
      </c>
      <c r="DE74" s="1048"/>
      <c r="DF74" s="783"/>
      <c r="DG74" s="783"/>
      <c r="DH74" s="783"/>
      <c r="DI74" s="1048"/>
      <c r="DJ74" s="1048"/>
      <c r="DK74" s="1048"/>
      <c r="DL74" s="1048"/>
      <c r="DM74" s="1048"/>
      <c r="DN74" s="1048"/>
      <c r="DO74" s="1048"/>
      <c r="DP74" s="1048"/>
      <c r="DQ74" s="1048"/>
      <c r="DR74" s="1048"/>
      <c r="DS74" s="1048"/>
      <c r="DT74" s="1048"/>
      <c r="DU74" s="1048"/>
      <c r="DV74" s="1048"/>
      <c r="DW74" s="1048"/>
      <c r="DX74" s="1048"/>
      <c r="DY74" s="1048"/>
      <c r="DZ74" s="1048"/>
      <c r="EA74" s="1048"/>
      <c r="EB74" s="1048"/>
      <c r="EC74" s="1048"/>
      <c r="ED74" s="1048"/>
      <c r="EE74" s="1048"/>
      <c r="EF74" s="1048"/>
      <c r="EG74" s="1048"/>
      <c r="EH74" s="1048"/>
      <c r="EI74" s="1048"/>
      <c r="EJ74" s="1048"/>
      <c r="EK74" s="1048"/>
      <c r="EL74" s="1048"/>
      <c r="EM74" s="1048"/>
      <c r="EN74" s="1048"/>
      <c r="EO74" s="1048"/>
      <c r="EP74" s="1048"/>
      <c r="EQ74" s="1048"/>
      <c r="ER74" s="1048"/>
      <c r="ES74" s="1048"/>
      <c r="ET74" s="1048"/>
      <c r="EU74" s="1913"/>
      <c r="EV74"/>
      <c r="EW74"/>
      <c r="EX74"/>
      <c r="EY74"/>
      <c r="EZ74"/>
      <c r="FA74"/>
    </row>
    <row r="75" spans="1:160" s="15" customFormat="1">
      <c r="B75" s="1049" t="s">
        <v>195</v>
      </c>
      <c r="C75" s="1048"/>
      <c r="D75" s="1048"/>
      <c r="E75" s="809">
        <f t="shared" ref="E75:L75" si="174">E38</f>
        <v>-296.32</v>
      </c>
      <c r="F75" s="809">
        <f t="shared" si="174"/>
        <v>-57.790999999999997</v>
      </c>
      <c r="G75" s="809">
        <f t="shared" si="174"/>
        <v>-6.5080000000000009</v>
      </c>
      <c r="H75" s="809">
        <f t="shared" si="174"/>
        <v>-7.75</v>
      </c>
      <c r="I75" s="809">
        <f t="shared" si="174"/>
        <v>-22.934000000000001</v>
      </c>
      <c r="J75" s="809">
        <f t="shared" si="174"/>
        <v>-45.411999999999999</v>
      </c>
      <c r="K75" s="809">
        <f t="shared" si="174"/>
        <v>-162.291</v>
      </c>
      <c r="L75" s="809">
        <f t="shared" si="174"/>
        <v>-416.81099999999998</v>
      </c>
      <c r="M75" s="809">
        <f t="shared" ref="M75:X75" si="175">M38</f>
        <v>-471.12800000000004</v>
      </c>
      <c r="N75" s="1497">
        <f t="shared" si="175"/>
        <v>-342.18</v>
      </c>
      <c r="O75" s="1497">
        <f t="shared" si="175"/>
        <v>-579.39700000000005</v>
      </c>
      <c r="P75" s="1497">
        <f t="shared" si="175"/>
        <v>-682.73299999999995</v>
      </c>
      <c r="Q75" s="1497">
        <f t="shared" ref="Q75:V75" si="176">Q38</f>
        <v>-764.50000000000011</v>
      </c>
      <c r="R75" s="1497">
        <f t="shared" si="176"/>
        <v>-572.40599999999995</v>
      </c>
      <c r="S75" s="1497">
        <f t="shared" si="176"/>
        <v>-660.20299999999997</v>
      </c>
      <c r="T75" s="1497">
        <f t="shared" si="176"/>
        <v>-868.12000000000012</v>
      </c>
      <c r="U75" s="1497">
        <f t="shared" si="176"/>
        <v>-1113.365</v>
      </c>
      <c r="V75" s="1497">
        <f t="shared" si="176"/>
        <v>-1378.7249999999999</v>
      </c>
      <c r="W75" s="1497">
        <f t="shared" ref="W75" ca="1" si="177">W38</f>
        <v>-1935.5663438236479</v>
      </c>
      <c r="X75" s="1497">
        <f t="shared" ca="1" si="175"/>
        <v>-1853.1485108793856</v>
      </c>
      <c r="Y75" s="1497">
        <f ca="1">Y38</f>
        <v>-1659.9433173086413</v>
      </c>
      <c r="Z75" s="1497">
        <f ca="1">Z38</f>
        <v>-1618.4103193755129</v>
      </c>
      <c r="AA75" s="1497">
        <f t="shared" ref="AA75:AD75" ca="1" si="178">AA38</f>
        <v>-1626.0760966777502</v>
      </c>
      <c r="AB75" s="1497">
        <f t="shared" ca="1" si="178"/>
        <v>-1633.809178891328</v>
      </c>
      <c r="AC75" s="1497">
        <f t="shared" ca="1" si="178"/>
        <v>-1641.6704325604251</v>
      </c>
      <c r="AD75" s="1497">
        <f t="shared" ca="1" si="178"/>
        <v>-1649.5823160395212</v>
      </c>
      <c r="AE75" s="1483"/>
      <c r="AF75" s="1498"/>
      <c r="AG75" s="1498"/>
      <c r="AH75" s="1497">
        <f t="shared" ref="AH75:BO75" si="179">AH38</f>
        <v>-169.64599999999999</v>
      </c>
      <c r="AI75" s="1497">
        <f t="shared" si="179"/>
        <v>-126.67400000000001</v>
      </c>
      <c r="AJ75" s="1497">
        <f t="shared" si="179"/>
        <v>-34.692</v>
      </c>
      <c r="AK75" s="1497">
        <f t="shared" si="179"/>
        <v>-7.4080000000000013</v>
      </c>
      <c r="AL75" s="1497">
        <f t="shared" si="179"/>
        <v>-35.059999999999995</v>
      </c>
      <c r="AM75" s="1497">
        <f t="shared" si="179"/>
        <v>19.369</v>
      </c>
      <c r="AN75" s="1497">
        <f t="shared" si="179"/>
        <v>-2.8359999999999999</v>
      </c>
      <c r="AO75" s="1497">
        <f t="shared" si="179"/>
        <v>-1.1880000000000002</v>
      </c>
      <c r="AP75" s="1497">
        <f t="shared" si="179"/>
        <v>-1.0670000000000002</v>
      </c>
      <c r="AQ75" s="1497">
        <f t="shared" si="179"/>
        <v>-1.4170000000000003</v>
      </c>
      <c r="AR75" s="1497">
        <f t="shared" si="179"/>
        <v>-0.34599999999999997</v>
      </c>
      <c r="AS75" s="1497">
        <f t="shared" si="179"/>
        <v>-1.1139999999999999</v>
      </c>
      <c r="AT75" s="1497">
        <f t="shared" si="179"/>
        <v>-1.4289999999999998</v>
      </c>
      <c r="AU75" s="1497">
        <f t="shared" si="179"/>
        <v>-4.8609999999999998</v>
      </c>
      <c r="AV75" s="1497">
        <f t="shared" si="179"/>
        <v>-4.9080000000000004</v>
      </c>
      <c r="AW75" s="1497">
        <f t="shared" si="179"/>
        <v>-4.2540000000000004</v>
      </c>
      <c r="AX75" s="1497">
        <f t="shared" si="179"/>
        <v>-7.6209999999999996</v>
      </c>
      <c r="AY75" s="1497">
        <f t="shared" si="179"/>
        <v>-6.1510000000000007</v>
      </c>
      <c r="AZ75" s="1497">
        <f t="shared" si="179"/>
        <v>-5.5229999999999997</v>
      </c>
      <c r="BA75" s="1497">
        <f t="shared" si="179"/>
        <v>-9.89</v>
      </c>
      <c r="BB75" s="1497">
        <f t="shared" si="179"/>
        <v>-7.0790000000000006</v>
      </c>
      <c r="BC75" s="1497">
        <f t="shared" si="179"/>
        <v>-22.919999999999998</v>
      </c>
      <c r="BD75" s="1497">
        <f t="shared" si="179"/>
        <v>-26.613</v>
      </c>
      <c r="BE75" s="1497">
        <f t="shared" si="179"/>
        <v>-29.670999999999999</v>
      </c>
      <c r="BF75" s="1497">
        <f t="shared" si="179"/>
        <v>-46.620000000000005</v>
      </c>
      <c r="BG75" s="1497">
        <f t="shared" si="179"/>
        <v>-59.387</v>
      </c>
      <c r="BH75" s="1497">
        <f t="shared" si="179"/>
        <v>-67.055999999999997</v>
      </c>
      <c r="BI75" s="1497">
        <f t="shared" si="179"/>
        <v>-139.83199999999999</v>
      </c>
      <c r="BJ75" s="1497">
        <f t="shared" si="179"/>
        <v>-88.921000000000035</v>
      </c>
      <c r="BK75" s="1497">
        <f t="shared" si="179"/>
        <v>-121.00199999999994</v>
      </c>
      <c r="BL75" s="1497">
        <f t="shared" si="179"/>
        <v>-125.643</v>
      </c>
      <c r="BM75" s="1497">
        <f t="shared" si="179"/>
        <v>-84.457999999999998</v>
      </c>
      <c r="BN75" s="1497">
        <f t="shared" si="179"/>
        <v>-95.444999999999993</v>
      </c>
      <c r="BO75" s="1497">
        <f t="shared" si="179"/>
        <v>-165.58200000000002</v>
      </c>
      <c r="BP75" s="1497">
        <f>BP38</f>
        <v>-74.968999999999994</v>
      </c>
      <c r="BQ75" s="1497">
        <f>BQ38</f>
        <v>-76.816000000000003</v>
      </c>
      <c r="BR75" s="1497">
        <f>BR38</f>
        <v>-88.655000000000001</v>
      </c>
      <c r="BS75" s="1497">
        <f>BS38</f>
        <v>-101.74</v>
      </c>
      <c r="BT75" s="1497">
        <f t="shared" ref="BT75:BY75" si="180">BT38</f>
        <v>-143.4</v>
      </c>
      <c r="BU75" s="1497">
        <f t="shared" si="180"/>
        <v>-148.70500000000001</v>
      </c>
      <c r="BV75" s="1497">
        <f t="shared" si="180"/>
        <v>-143.941</v>
      </c>
      <c r="BW75" s="1497">
        <f t="shared" si="180"/>
        <v>-143.351</v>
      </c>
      <c r="BX75" s="1497">
        <f t="shared" si="180"/>
        <v>-172.51599999999999</v>
      </c>
      <c r="BY75" s="1497">
        <f t="shared" si="180"/>
        <v>-188.875</v>
      </c>
      <c r="BZ75" s="1497">
        <f t="shared" ref="BZ75:CE75" si="181">BZ38</f>
        <v>-131.52500000000001</v>
      </c>
      <c r="CA75" s="1497">
        <f t="shared" si="181"/>
        <v>-189.81700000000001</v>
      </c>
      <c r="CB75" s="1497">
        <f t="shared" si="181"/>
        <v>-145.49</v>
      </c>
      <c r="CC75" s="1497">
        <f t="shared" si="181"/>
        <v>-196.48400000000001</v>
      </c>
      <c r="CD75" s="1497">
        <f t="shared" si="181"/>
        <v>-212.11799999999999</v>
      </c>
      <c r="CE75" s="1497">
        <f t="shared" si="181"/>
        <v>-210.40799999999999</v>
      </c>
      <c r="CF75" s="1497">
        <f t="shared" ref="CF75:CM75" si="182">CF38</f>
        <v>-75.667000000000002</v>
      </c>
      <c r="CG75" s="1497">
        <f t="shared" si="182"/>
        <v>-122.863</v>
      </c>
      <c r="CH75" s="1497">
        <f t="shared" si="182"/>
        <v>-171.035</v>
      </c>
      <c r="CI75" s="1497">
        <f t="shared" si="182"/>
        <v>-202.84100000000001</v>
      </c>
      <c r="CJ75" s="1497">
        <f t="shared" si="182"/>
        <v>-105.907</v>
      </c>
      <c r="CK75" s="1497">
        <f t="shared" si="182"/>
        <v>-159.816</v>
      </c>
      <c r="CL75" s="1497">
        <f t="shared" si="182"/>
        <v>-156.00299999999999</v>
      </c>
      <c r="CM75" s="1497">
        <f t="shared" si="182"/>
        <v>-238.477</v>
      </c>
      <c r="CN75" s="1497">
        <f>CN38</f>
        <v>-150.12</v>
      </c>
      <c r="CO75" s="1497">
        <f>CO38</f>
        <v>-221.34200000000001</v>
      </c>
      <c r="CP75" s="1497">
        <f>CP38</f>
        <v>-216.04599999999999</v>
      </c>
      <c r="CQ75" s="1497">
        <f>CQ38</f>
        <v>-280.61200000000002</v>
      </c>
      <c r="CR75" s="1497">
        <f t="shared" ref="CR75:CU75" si="183">CR38</f>
        <v>-197.7</v>
      </c>
      <c r="CS75" s="1497">
        <f t="shared" si="183"/>
        <v>-249.86699999999999</v>
      </c>
      <c r="CT75" s="1497">
        <f t="shared" si="183"/>
        <v>-279.47699999999998</v>
      </c>
      <c r="CU75" s="1497">
        <f t="shared" si="183"/>
        <v>-386.32100000000003</v>
      </c>
      <c r="CV75" s="1497">
        <f>CV38</f>
        <v>-277.24200000000002</v>
      </c>
      <c r="CW75" s="1497">
        <f>CW38</f>
        <v>-348.572</v>
      </c>
      <c r="CX75" s="1497">
        <f>CX38</f>
        <v>-320.23399999999998</v>
      </c>
      <c r="CY75" s="1497">
        <f>CY38</f>
        <v>-432.67700000000002</v>
      </c>
      <c r="CZ75" s="1497">
        <f t="shared" ref="CZ75:DC75" ca="1" si="184">CZ38</f>
        <v>-362.12274004330436</v>
      </c>
      <c r="DA75" s="1497">
        <f t="shared" ca="1" si="184"/>
        <v>-246.47940058632264</v>
      </c>
      <c r="DB75" s="1497">
        <f t="shared" ca="1" si="184"/>
        <v>-668.95743560835956</v>
      </c>
      <c r="DC75" s="1497">
        <f t="shared" ca="1" si="184"/>
        <v>-658.00676758566112</v>
      </c>
      <c r="DE75" s="1048"/>
      <c r="DF75" s="783"/>
      <c r="DG75" s="783"/>
      <c r="DH75" s="783"/>
      <c r="DI75" s="1048"/>
      <c r="DJ75" s="1048"/>
      <c r="DK75" s="1048"/>
      <c r="DL75" s="1048"/>
      <c r="DM75" s="1048"/>
      <c r="DN75" s="1048"/>
      <c r="DO75" s="1048"/>
      <c r="DP75" s="1048"/>
      <c r="DQ75" s="1048"/>
      <c r="DR75" s="1048"/>
      <c r="DS75" s="1048"/>
      <c r="DT75" s="1048"/>
      <c r="DU75" s="1048"/>
      <c r="DV75" s="1048"/>
      <c r="DW75" s="1048"/>
      <c r="DX75" s="1048"/>
      <c r="DY75" s="1048"/>
      <c r="DZ75" s="1048"/>
      <c r="EA75" s="1048"/>
      <c r="EB75" s="1048"/>
      <c r="EC75" s="1048"/>
      <c r="ED75" s="1048"/>
      <c r="EE75" s="1048"/>
      <c r="EF75" s="1048"/>
      <c r="EG75" s="1048"/>
      <c r="EH75" s="1048"/>
      <c r="EI75" s="1048"/>
      <c r="EJ75" s="1048"/>
      <c r="EK75" s="1048"/>
      <c r="EL75" s="1048"/>
      <c r="EM75" s="1048"/>
      <c r="EN75" s="1048"/>
      <c r="EO75" s="1048"/>
      <c r="EP75" s="1048"/>
      <c r="EQ75" s="1048"/>
      <c r="ER75" s="1048"/>
      <c r="ES75" s="1048"/>
      <c r="ET75" s="1048"/>
      <c r="EU75" s="1913"/>
      <c r="EV75"/>
      <c r="EW75"/>
      <c r="EX75"/>
      <c r="EY75"/>
      <c r="EZ75"/>
      <c r="FA75"/>
    </row>
    <row r="76" spans="1:160">
      <c r="B76" s="71" t="s">
        <v>901</v>
      </c>
      <c r="C76" s="72"/>
      <c r="D76" s="72"/>
      <c r="E76" s="72">
        <f t="shared" ref="E76:Z76" si="185">SUM(E74:E75)</f>
        <v>-364.39299999999997</v>
      </c>
      <c r="F76" s="72">
        <f t="shared" si="185"/>
        <v>-126.64499999999997</v>
      </c>
      <c r="G76" s="72">
        <f t="shared" si="185"/>
        <v>-34.016999999999996</v>
      </c>
      <c r="H76" s="72">
        <f t="shared" si="185"/>
        <v>-25.015999999999991</v>
      </c>
      <c r="I76" s="72">
        <f t="shared" si="185"/>
        <v>13.977999999999991</v>
      </c>
      <c r="J76" s="72">
        <f t="shared" si="185"/>
        <v>22.183</v>
      </c>
      <c r="K76" s="72">
        <f t="shared" si="185"/>
        <v>-86.879000000000033</v>
      </c>
      <c r="L76" s="72">
        <f t="shared" si="185"/>
        <v>-296.79099999999994</v>
      </c>
      <c r="M76" s="72">
        <f t="shared" si="185"/>
        <v>-203.56999999999994</v>
      </c>
      <c r="N76" s="1499">
        <f t="shared" si="185"/>
        <v>13.312000000000012</v>
      </c>
      <c r="O76" s="1499">
        <f t="shared" si="185"/>
        <v>-196.72999999999996</v>
      </c>
      <c r="P76" s="1499">
        <f t="shared" si="185"/>
        <v>-113.35599999999999</v>
      </c>
      <c r="Q76" s="1499">
        <f t="shared" si="185"/>
        <v>-123.24500000000023</v>
      </c>
      <c r="R76" s="1499">
        <f t="shared" si="185"/>
        <v>33.330000000000268</v>
      </c>
      <c r="S76" s="1499">
        <f t="shared" si="185"/>
        <v>29.217000000000212</v>
      </c>
      <c r="T76" s="1499">
        <f>SUM(T74:T75)</f>
        <v>26.673999999999637</v>
      </c>
      <c r="U76" s="1499">
        <f>SUM(U74:U75)</f>
        <v>-96.784999999999968</v>
      </c>
      <c r="V76" s="1499">
        <f>SUM(V74:V75)</f>
        <v>60.508000000000266</v>
      </c>
      <c r="W76" s="1499">
        <f ca="1">SUM(W74:W75)</f>
        <v>-136.23044143314701</v>
      </c>
      <c r="X76" s="1499">
        <f t="shared" ca="1" si="185"/>
        <v>97.571918623345937</v>
      </c>
      <c r="Y76" s="1499">
        <f t="shared" ca="1" si="185"/>
        <v>463.5942014612101</v>
      </c>
      <c r="Z76" s="1499">
        <f t="shared" ca="1" si="185"/>
        <v>665.42434386815671</v>
      </c>
      <c r="AA76" s="1499">
        <f t="shared" ref="AA76:AD76" ca="1" si="186">SUM(AA74:AA75)</f>
        <v>814.88966826170872</v>
      </c>
      <c r="AB76" s="1499">
        <f t="shared" ca="1" si="186"/>
        <v>919.00024213492907</v>
      </c>
      <c r="AC76" s="1499">
        <f t="shared" ca="1" si="186"/>
        <v>1049.0304814106898</v>
      </c>
      <c r="AD76" s="1499">
        <f t="shared" ca="1" si="186"/>
        <v>1224.1074817520557</v>
      </c>
      <c r="AE76" s="1483"/>
      <c r="AF76" s="1500"/>
      <c r="AG76" s="1500"/>
      <c r="AH76" s="1499">
        <f t="shared" ref="AH76:BS76" si="187">SUM(AH74:AH75)</f>
        <v>-219.92599999999999</v>
      </c>
      <c r="AI76" s="1499">
        <f t="shared" si="187"/>
        <v>-146.68800000000002</v>
      </c>
      <c r="AJ76" s="1499">
        <f t="shared" si="187"/>
        <v>-54.091000000000001</v>
      </c>
      <c r="AK76" s="1499">
        <f t="shared" si="187"/>
        <v>-25.842000000000002</v>
      </c>
      <c r="AL76" s="1499">
        <f t="shared" si="187"/>
        <v>-49.283999999999978</v>
      </c>
      <c r="AM76" s="1499">
        <f t="shared" si="187"/>
        <v>2.5719999999999921</v>
      </c>
      <c r="AN76" s="1499">
        <f t="shared" si="187"/>
        <v>-4.881000000000002</v>
      </c>
      <c r="AO76" s="1499">
        <f t="shared" si="187"/>
        <v>-25.002999999999993</v>
      </c>
      <c r="AP76" s="1499">
        <f t="shared" si="187"/>
        <v>-4.9589999999999979</v>
      </c>
      <c r="AQ76" s="1499">
        <f t="shared" si="187"/>
        <v>0.82600000000000762</v>
      </c>
      <c r="AR76" s="1499">
        <f t="shared" si="187"/>
        <v>-19.903999999999996</v>
      </c>
      <c r="AS76" s="1499">
        <f t="shared" si="187"/>
        <v>-3.8020000000000009</v>
      </c>
      <c r="AT76" s="1499">
        <f t="shared" si="187"/>
        <v>0.47300000000000142</v>
      </c>
      <c r="AU76" s="1499">
        <f t="shared" si="187"/>
        <v>-1.7829999999999959</v>
      </c>
      <c r="AV76" s="1499">
        <f t="shared" si="187"/>
        <v>1.5729999999999986</v>
      </c>
      <c r="AW76" s="1499">
        <f t="shared" si="187"/>
        <v>4.6379999999999972</v>
      </c>
      <c r="AX76" s="1499">
        <f t="shared" si="187"/>
        <v>3.2919999999999865</v>
      </c>
      <c r="AY76" s="1499">
        <f t="shared" si="187"/>
        <v>4.4750000000000059</v>
      </c>
      <c r="AZ76" s="1499">
        <f t="shared" si="187"/>
        <v>9.8700000000000028</v>
      </c>
      <c r="BA76" s="1499">
        <f t="shared" si="187"/>
        <v>8.2590000000000039</v>
      </c>
      <c r="BB76" s="1499">
        <f t="shared" si="187"/>
        <v>8.4149999999999991</v>
      </c>
      <c r="BC76" s="1499">
        <f t="shared" si="187"/>
        <v>-4.3610000000000078</v>
      </c>
      <c r="BD76" s="1499">
        <f t="shared" si="187"/>
        <v>-13.822000000000005</v>
      </c>
      <c r="BE76" s="1499">
        <f t="shared" si="187"/>
        <v>-13.563999999999997</v>
      </c>
      <c r="BF76" s="1499">
        <f t="shared" si="187"/>
        <v>-25.965</v>
      </c>
      <c r="BG76" s="1499">
        <f t="shared" si="187"/>
        <v>-33.528000000000006</v>
      </c>
      <c r="BH76" s="1499">
        <f t="shared" si="187"/>
        <v>-47.205999999999989</v>
      </c>
      <c r="BI76" s="1499">
        <f t="shared" si="187"/>
        <v>-101.96999999999998</v>
      </c>
      <c r="BJ76" s="1499">
        <f t="shared" si="187"/>
        <v>-40.494000000000028</v>
      </c>
      <c r="BK76" s="1499">
        <f t="shared" si="187"/>
        <v>-107.12099999999995</v>
      </c>
      <c r="BL76" s="1499">
        <f t="shared" si="187"/>
        <v>-62.659000000000006</v>
      </c>
      <c r="BM76" s="1499">
        <f t="shared" si="187"/>
        <v>-19.5</v>
      </c>
      <c r="BN76" s="1499">
        <f t="shared" si="187"/>
        <v>-32.123999999999988</v>
      </c>
      <c r="BO76" s="1499">
        <f t="shared" si="187"/>
        <v>-89.287000000000063</v>
      </c>
      <c r="BP76" s="1499">
        <f t="shared" si="187"/>
        <v>11.734999999999999</v>
      </c>
      <c r="BQ76" s="1499">
        <f t="shared" si="187"/>
        <v>1.9230000000000302</v>
      </c>
      <c r="BR76" s="1499">
        <f t="shared" si="187"/>
        <v>18.883999999999972</v>
      </c>
      <c r="BS76" s="1499">
        <f t="shared" si="187"/>
        <v>-19.230000000000018</v>
      </c>
      <c r="BT76" s="1499">
        <f t="shared" ref="BT76:CJ76" si="188">SUM(BT74:BT75)</f>
        <v>-43.588000000000008</v>
      </c>
      <c r="BU76" s="1499">
        <f t="shared" si="188"/>
        <v>-94.131000000000029</v>
      </c>
      <c r="BV76" s="1499">
        <f t="shared" si="188"/>
        <v>-34.430999999999983</v>
      </c>
      <c r="BW76" s="1499">
        <f t="shared" si="188"/>
        <v>-24.58</v>
      </c>
      <c r="BX76" s="1499">
        <f t="shared" si="188"/>
        <v>-61.180999999999983</v>
      </c>
      <c r="BY76" s="1499">
        <f t="shared" si="188"/>
        <v>-52.384999999999991</v>
      </c>
      <c r="BZ76" s="1499">
        <f t="shared" si="188"/>
        <v>6.5089999999999577</v>
      </c>
      <c r="CA76" s="1499">
        <f t="shared" si="188"/>
        <v>-6.2990000000000066</v>
      </c>
      <c r="CB76" s="1499">
        <f t="shared" si="188"/>
        <v>-25.823999999999984</v>
      </c>
      <c r="CC76" s="1499">
        <f t="shared" si="188"/>
        <v>-2.54200000000003</v>
      </c>
      <c r="CD76" s="1499">
        <f t="shared" si="188"/>
        <v>-111.83900000000004</v>
      </c>
      <c r="CE76" s="1499">
        <f t="shared" si="188"/>
        <v>16.960000000000008</v>
      </c>
      <c r="CF76" s="1499">
        <f t="shared" si="188"/>
        <v>6.6799999999999216</v>
      </c>
      <c r="CG76" s="1499">
        <f t="shared" si="188"/>
        <v>27.210000000000036</v>
      </c>
      <c r="CH76" s="1499">
        <f t="shared" si="188"/>
        <v>35.575000000000102</v>
      </c>
      <c r="CI76" s="1499">
        <f t="shared" si="188"/>
        <v>-36.134999999999991</v>
      </c>
      <c r="CJ76" s="1499">
        <f t="shared" si="188"/>
        <v>65.811000000000021</v>
      </c>
      <c r="CK76" s="1499">
        <f t="shared" ref="CK76:CQ76" si="189">SUM(CK74:CK75)</f>
        <v>-60.851999999999947</v>
      </c>
      <c r="CL76" s="1499">
        <f t="shared" si="189"/>
        <v>60.438000000000017</v>
      </c>
      <c r="CM76" s="1499">
        <f t="shared" si="189"/>
        <v>-36.17999999999995</v>
      </c>
      <c r="CN76" s="1499">
        <f t="shared" si="189"/>
        <v>82.691000000000003</v>
      </c>
      <c r="CO76" s="1499">
        <f t="shared" si="189"/>
        <v>-8.8790000000001044</v>
      </c>
      <c r="CP76" s="1499">
        <f t="shared" si="189"/>
        <v>-1.643999999999977</v>
      </c>
      <c r="CQ76" s="1499">
        <f t="shared" si="189"/>
        <v>-45.494000000000142</v>
      </c>
      <c r="CR76" s="1499">
        <f t="shared" ref="CR76:CU76" si="190">SUM(CR74:CR75)</f>
        <v>-93.429999999999978</v>
      </c>
      <c r="CS76" s="1499">
        <f t="shared" si="190"/>
        <v>28.960999999999927</v>
      </c>
      <c r="CT76" s="1499">
        <f t="shared" si="190"/>
        <v>54.694999999999993</v>
      </c>
      <c r="CU76" s="1499">
        <f t="shared" si="190"/>
        <v>-87.011000000000024</v>
      </c>
      <c r="CV76" s="1499">
        <f>SUM(CV74:CV75)</f>
        <v>-29.870999999999896</v>
      </c>
      <c r="CW76" s="1499">
        <f>SUM(CW74:CW75)</f>
        <v>-42.098999999999933</v>
      </c>
      <c r="CX76" s="1499">
        <f>SUM(CX74:CX75)</f>
        <v>70.27600000000001</v>
      </c>
      <c r="CY76" s="1499">
        <f>SUM(CY74:CY75)</f>
        <v>62.201999999999998</v>
      </c>
      <c r="CZ76" s="1499">
        <f t="shared" ref="CZ76:DC76" ca="1" si="191">SUM(CZ74:CZ75)</f>
        <v>36.301458383666727</v>
      </c>
      <c r="DA76" s="1499">
        <f t="shared" ca="1" si="191"/>
        <v>201.3222629237344</v>
      </c>
      <c r="DB76" s="1499">
        <f t="shared" ca="1" si="191"/>
        <v>-202.7106605502554</v>
      </c>
      <c r="DC76" s="1499">
        <f t="shared" ca="1" si="191"/>
        <v>-171.14350219029245</v>
      </c>
      <c r="DE76" s="1048"/>
      <c r="DF76" s="783"/>
      <c r="DG76" s="783"/>
      <c r="DH76" s="783"/>
      <c r="DI76" s="1048"/>
      <c r="DJ76" s="1048"/>
      <c r="DK76" s="1048"/>
      <c r="DL76" s="1048"/>
      <c r="DM76" s="1048"/>
      <c r="DN76" s="1048"/>
      <c r="DO76" s="1048"/>
      <c r="DP76" s="1048"/>
      <c r="DQ76" s="1048"/>
      <c r="DR76" s="1048"/>
      <c r="DS76" s="1048"/>
      <c r="DT76" s="1048"/>
      <c r="DU76" s="1048"/>
      <c r="DV76" s="1048"/>
      <c r="DW76" s="1048"/>
      <c r="DX76" s="1048"/>
      <c r="DY76" s="1048"/>
      <c r="DZ76" s="1048"/>
      <c r="EA76" s="1048"/>
      <c r="EB76" s="1048"/>
      <c r="EC76" s="1048"/>
      <c r="ED76" s="1048"/>
      <c r="EE76" s="1048"/>
      <c r="EF76" s="1048"/>
      <c r="EG76" s="1048"/>
      <c r="EH76" s="1048"/>
      <c r="EI76" s="1048"/>
      <c r="EJ76" s="1048"/>
      <c r="EK76" s="1048"/>
      <c r="EL76" s="1048"/>
      <c r="EM76" s="1048"/>
      <c r="EN76" s="1048"/>
      <c r="EO76" s="1048"/>
      <c r="EP76" s="1048"/>
      <c r="EQ76" s="1048"/>
      <c r="ER76" s="1048"/>
      <c r="ES76" s="1048"/>
      <c r="ET76" s="1048"/>
      <c r="EU76" s="1913"/>
      <c r="FB76" s="15"/>
      <c r="FC76" s="15"/>
      <c r="FD76" s="15"/>
    </row>
    <row r="77" spans="1:160" ht="12.75" hidden="1" customHeight="1" outlineLevel="1">
      <c r="B77" s="1050"/>
      <c r="C77" s="1048"/>
      <c r="D77" s="1048"/>
      <c r="E77" s="1048"/>
      <c r="F77" s="1048"/>
      <c r="G77" s="1048"/>
      <c r="H77" s="1048"/>
      <c r="I77" s="1048"/>
      <c r="J77" s="1048"/>
      <c r="K77" s="1160"/>
      <c r="L77" s="1048"/>
      <c r="M77" s="1161"/>
      <c r="N77" s="1501"/>
      <c r="O77" s="1502"/>
      <c r="P77" s="1502"/>
      <c r="Q77" s="1502"/>
      <c r="R77" s="1502"/>
      <c r="S77" s="1502"/>
      <c r="T77" s="1502"/>
      <c r="U77" s="1502"/>
      <c r="V77" s="1502"/>
      <c r="W77" s="1502"/>
      <c r="X77" s="1502"/>
      <c r="Y77" s="1502"/>
      <c r="Z77" s="1502"/>
      <c r="AA77" s="1502"/>
      <c r="AB77" s="1502"/>
      <c r="AC77" s="1502"/>
      <c r="AD77" s="1502"/>
      <c r="AE77" s="1483"/>
      <c r="AF77" s="1498"/>
      <c r="AG77" s="1498"/>
      <c r="AH77" s="1502"/>
      <c r="AI77" s="1502"/>
      <c r="AJ77" s="1502"/>
      <c r="AK77" s="1502"/>
      <c r="AL77" s="1502"/>
      <c r="AM77" s="1502"/>
      <c r="AN77" s="1502"/>
      <c r="AO77" s="1502"/>
      <c r="AP77" s="1502"/>
      <c r="AQ77" s="1502"/>
      <c r="AR77" s="1502"/>
      <c r="AS77" s="1502"/>
      <c r="AT77" s="1502"/>
      <c r="AU77" s="1502"/>
      <c r="AV77" s="1502"/>
      <c r="AW77" s="1502"/>
      <c r="AX77" s="1502"/>
      <c r="AY77" s="1502"/>
      <c r="AZ77" s="1502"/>
      <c r="BA77" s="1502"/>
      <c r="BB77" s="1502"/>
      <c r="BC77" s="1502"/>
      <c r="BD77" s="1502"/>
      <c r="BE77" s="1502"/>
      <c r="BF77" s="1502"/>
      <c r="BG77" s="1502"/>
      <c r="BH77" s="1502"/>
      <c r="BI77" s="1502"/>
      <c r="BJ77" s="1502"/>
      <c r="BK77" s="1502"/>
      <c r="BL77" s="1502"/>
      <c r="BM77" s="1502"/>
      <c r="BN77" s="1502"/>
      <c r="BO77" s="1502"/>
      <c r="BP77" s="1502"/>
      <c r="BQ77" s="1502"/>
      <c r="BR77" s="1502"/>
      <c r="BS77" s="1502"/>
      <c r="BT77" s="1502"/>
      <c r="BU77" s="1502"/>
      <c r="BV77" s="1502"/>
      <c r="BW77" s="1502"/>
      <c r="BX77" s="1502"/>
      <c r="BY77" s="1502"/>
      <c r="BZ77" s="1502"/>
      <c r="CA77" s="1502"/>
      <c r="CB77" s="1502"/>
      <c r="CC77" s="1502"/>
      <c r="CD77" s="1502"/>
      <c r="CE77" s="1502"/>
      <c r="CF77" s="1502"/>
      <c r="CG77" s="1502"/>
      <c r="CH77" s="1502"/>
      <c r="CI77" s="1502"/>
      <c r="CJ77" s="1502"/>
      <c r="CK77" s="1502"/>
      <c r="CL77" s="1502"/>
      <c r="CM77" s="1502"/>
      <c r="CN77" s="1502"/>
      <c r="CO77" s="1502"/>
      <c r="CP77" s="1502"/>
      <c r="CQ77" s="1502"/>
      <c r="CR77" s="1502"/>
      <c r="CS77" s="1502"/>
      <c r="CT77" s="1502"/>
      <c r="CU77" s="1502"/>
      <c r="CV77" s="1502"/>
      <c r="CW77" s="1502"/>
      <c r="CX77" s="1502"/>
      <c r="CY77" s="1502"/>
      <c r="CZ77" s="1502"/>
      <c r="DA77" s="1502"/>
      <c r="DB77" s="1502"/>
      <c r="DC77" s="1502"/>
      <c r="DE77" s="1048"/>
      <c r="DF77" s="783"/>
      <c r="DG77" s="783"/>
      <c r="DH77" s="783"/>
      <c r="DI77" s="1048"/>
      <c r="DJ77" s="1048"/>
      <c r="DK77" s="1048"/>
      <c r="DL77" s="1048"/>
      <c r="DM77" s="1048"/>
      <c r="DN77" s="1048"/>
      <c r="DO77" s="1048"/>
      <c r="DP77" s="1048"/>
      <c r="DQ77" s="1048"/>
      <c r="DR77" s="1048"/>
      <c r="DS77" s="1048"/>
      <c r="DT77" s="1048"/>
      <c r="DU77" s="1048"/>
      <c r="DV77" s="1048"/>
      <c r="DW77" s="1048"/>
      <c r="DX77" s="1048"/>
      <c r="DY77" s="1048"/>
      <c r="DZ77" s="1048"/>
      <c r="EA77" s="1048"/>
      <c r="EB77" s="1048"/>
      <c r="EC77" s="1048"/>
      <c r="ED77" s="1048"/>
      <c r="EE77" s="1048"/>
      <c r="EF77" s="1048"/>
      <c r="EG77" s="1048"/>
      <c r="EH77" s="1048"/>
      <c r="EI77" s="1048"/>
      <c r="EJ77" s="1048"/>
      <c r="EK77" s="1048"/>
      <c r="EL77" s="1048"/>
      <c r="EM77" s="1048"/>
      <c r="EN77" s="1048"/>
      <c r="EO77" s="1048"/>
      <c r="EP77" s="1048"/>
      <c r="EQ77" s="1048"/>
      <c r="ER77" s="1048"/>
      <c r="ES77" s="1048"/>
      <c r="ET77" s="1048"/>
      <c r="EU77" s="1913"/>
      <c r="FB77" s="15"/>
      <c r="FC77" s="15"/>
      <c r="FD77" s="15"/>
    </row>
    <row r="78" spans="1:160" ht="12" hidden="1" customHeight="1" outlineLevel="1">
      <c r="B78" s="23" t="s">
        <v>254</v>
      </c>
      <c r="C78" s="1048"/>
      <c r="D78" s="1048"/>
      <c r="E78" s="809">
        <f>E74</f>
        <v>-68.072999999999993</v>
      </c>
      <c r="F78" s="809">
        <f t="shared" ref="F78:Y78" si="192">F74</f>
        <v>-68.853999999999971</v>
      </c>
      <c r="G78" s="809">
        <f t="shared" si="192"/>
        <v>-27.508999999999993</v>
      </c>
      <c r="H78" s="809">
        <f t="shared" si="192"/>
        <v>-17.265999999999991</v>
      </c>
      <c r="I78" s="809">
        <f t="shared" si="192"/>
        <v>36.911999999999992</v>
      </c>
      <c r="J78" s="809">
        <f t="shared" si="192"/>
        <v>67.594999999999999</v>
      </c>
      <c r="K78" s="809">
        <f t="shared" si="192"/>
        <v>75.411999999999964</v>
      </c>
      <c r="L78" s="809">
        <f t="shared" si="192"/>
        <v>120.02000000000002</v>
      </c>
      <c r="M78" s="809">
        <f t="shared" si="192"/>
        <v>267.55800000000011</v>
      </c>
      <c r="N78" s="1497">
        <f t="shared" si="192"/>
        <v>355.49200000000002</v>
      </c>
      <c r="O78" s="1497">
        <f t="shared" si="192"/>
        <v>382.66700000000009</v>
      </c>
      <c r="P78" s="1497">
        <f t="shared" si="192"/>
        <v>569.37699999999995</v>
      </c>
      <c r="Q78" s="1497">
        <f t="shared" ref="Q78:S79" si="193">Q74</f>
        <v>641.25499999999988</v>
      </c>
      <c r="R78" s="1497">
        <f t="shared" si="193"/>
        <v>605.73600000000022</v>
      </c>
      <c r="S78" s="1497">
        <f t="shared" si="193"/>
        <v>689.42000000000019</v>
      </c>
      <c r="T78" s="1497">
        <f t="shared" ref="T78:V79" si="194">T74</f>
        <v>894.79399999999976</v>
      </c>
      <c r="U78" s="1497">
        <f t="shared" si="194"/>
        <v>1016.58</v>
      </c>
      <c r="V78" s="1497">
        <f t="shared" si="194"/>
        <v>1439.2330000000002</v>
      </c>
      <c r="W78" s="1497">
        <f t="shared" ref="W78" ca="1" si="195">W74</f>
        <v>1799.3359023905009</v>
      </c>
      <c r="X78" s="1497">
        <f t="shared" ca="1" si="192"/>
        <v>1950.7204295027316</v>
      </c>
      <c r="Y78" s="1497">
        <f t="shared" ca="1" si="192"/>
        <v>2123.5375187698514</v>
      </c>
      <c r="Z78" s="1497">
        <f ca="1">Z74</f>
        <v>2283.8346632436696</v>
      </c>
      <c r="AA78" s="1497">
        <f t="shared" ref="AA78:AD78" ca="1" si="196">AA74</f>
        <v>2440.9657649394589</v>
      </c>
      <c r="AB78" s="1497">
        <f t="shared" ca="1" si="196"/>
        <v>2552.809421026257</v>
      </c>
      <c r="AC78" s="1497">
        <f t="shared" ca="1" si="196"/>
        <v>2690.7009139711149</v>
      </c>
      <c r="AD78" s="1497">
        <f t="shared" ca="1" si="196"/>
        <v>2873.6897977915769</v>
      </c>
      <c r="AE78" s="1483"/>
      <c r="AF78" s="1498"/>
      <c r="AG78" s="1498"/>
      <c r="AH78" s="1497">
        <f t="shared" ref="AH78:BY78" si="197">AH74</f>
        <v>-50.280000000000008</v>
      </c>
      <c r="AI78" s="1497">
        <f t="shared" si="197"/>
        <v>-20.013999999999999</v>
      </c>
      <c r="AJ78" s="1497">
        <f t="shared" si="197"/>
        <v>-19.399000000000001</v>
      </c>
      <c r="AK78" s="1497">
        <f t="shared" si="197"/>
        <v>-18.434000000000001</v>
      </c>
      <c r="AL78" s="1497">
        <f t="shared" si="197"/>
        <v>-14.223999999999984</v>
      </c>
      <c r="AM78" s="1497">
        <f t="shared" si="197"/>
        <v>-16.797000000000008</v>
      </c>
      <c r="AN78" s="1497">
        <f t="shared" si="197"/>
        <v>-2.0450000000000026</v>
      </c>
      <c r="AO78" s="1497">
        <f t="shared" si="197"/>
        <v>-23.814999999999994</v>
      </c>
      <c r="AP78" s="1497">
        <f t="shared" si="197"/>
        <v>-3.8919999999999981</v>
      </c>
      <c r="AQ78" s="1497">
        <f t="shared" si="197"/>
        <v>2.2430000000000079</v>
      </c>
      <c r="AR78" s="1497">
        <f t="shared" si="197"/>
        <v>-19.557999999999996</v>
      </c>
      <c r="AS78" s="1497">
        <f t="shared" si="197"/>
        <v>-2.6880000000000011</v>
      </c>
      <c r="AT78" s="1497">
        <f t="shared" si="197"/>
        <v>1.9020000000000012</v>
      </c>
      <c r="AU78" s="1497">
        <f t="shared" si="197"/>
        <v>3.0780000000000038</v>
      </c>
      <c r="AV78" s="1497">
        <f t="shared" si="197"/>
        <v>6.480999999999999</v>
      </c>
      <c r="AW78" s="1497">
        <f t="shared" si="197"/>
        <v>8.8919999999999977</v>
      </c>
      <c r="AX78" s="1497">
        <f t="shared" si="197"/>
        <v>10.912999999999986</v>
      </c>
      <c r="AY78" s="1497">
        <f t="shared" si="197"/>
        <v>10.626000000000007</v>
      </c>
      <c r="AZ78" s="1497">
        <f t="shared" si="197"/>
        <v>15.393000000000002</v>
      </c>
      <c r="BA78" s="1497">
        <f t="shared" si="197"/>
        <v>18.149000000000004</v>
      </c>
      <c r="BB78" s="1497">
        <f t="shared" si="197"/>
        <v>15.494</v>
      </c>
      <c r="BC78" s="1497">
        <f t="shared" si="197"/>
        <v>18.55899999999999</v>
      </c>
      <c r="BD78" s="1497">
        <f t="shared" si="197"/>
        <v>12.790999999999995</v>
      </c>
      <c r="BE78" s="1497">
        <f t="shared" si="197"/>
        <v>16.107000000000003</v>
      </c>
      <c r="BF78" s="1497">
        <f t="shared" si="197"/>
        <v>20.655000000000005</v>
      </c>
      <c r="BG78" s="1497">
        <f t="shared" si="197"/>
        <v>25.858999999999991</v>
      </c>
      <c r="BH78" s="1497">
        <f t="shared" si="197"/>
        <v>19.850000000000005</v>
      </c>
      <c r="BI78" s="1497">
        <f t="shared" si="197"/>
        <v>37.862000000000009</v>
      </c>
      <c r="BJ78" s="1497">
        <f t="shared" si="197"/>
        <v>48.427000000000007</v>
      </c>
      <c r="BK78" s="1497">
        <f t="shared" si="197"/>
        <v>13.880999999999981</v>
      </c>
      <c r="BL78" s="1497">
        <f t="shared" si="197"/>
        <v>62.983999999999995</v>
      </c>
      <c r="BM78" s="1497">
        <f t="shared" si="197"/>
        <v>64.957999999999998</v>
      </c>
      <c r="BN78" s="1497">
        <f t="shared" si="197"/>
        <v>63.321000000000005</v>
      </c>
      <c r="BO78" s="1497">
        <f t="shared" si="197"/>
        <v>76.294999999999959</v>
      </c>
      <c r="BP78" s="1497">
        <f t="shared" si="197"/>
        <v>86.703999999999994</v>
      </c>
      <c r="BQ78" s="1497">
        <f t="shared" si="197"/>
        <v>78.739000000000033</v>
      </c>
      <c r="BR78" s="1497">
        <f t="shared" si="197"/>
        <v>107.53899999999997</v>
      </c>
      <c r="BS78" s="1497">
        <f t="shared" si="197"/>
        <v>82.509999999999977</v>
      </c>
      <c r="BT78" s="1497">
        <f t="shared" si="197"/>
        <v>99.811999999999998</v>
      </c>
      <c r="BU78" s="1497">
        <f t="shared" si="197"/>
        <v>54.573999999999977</v>
      </c>
      <c r="BV78" s="1497">
        <f t="shared" si="197"/>
        <v>109.51000000000002</v>
      </c>
      <c r="BW78" s="1497">
        <f t="shared" si="197"/>
        <v>118.771</v>
      </c>
      <c r="BX78" s="1497">
        <f t="shared" si="197"/>
        <v>111.33500000000001</v>
      </c>
      <c r="BY78" s="1497">
        <f t="shared" si="197"/>
        <v>136.49</v>
      </c>
      <c r="BZ78" s="1497">
        <f t="shared" ref="BZ78:CB79" si="198">BZ74</f>
        <v>138.03399999999996</v>
      </c>
      <c r="CA78" s="1497">
        <f t="shared" si="198"/>
        <v>183.518</v>
      </c>
      <c r="CB78" s="1497">
        <f t="shared" si="198"/>
        <v>119.66600000000003</v>
      </c>
      <c r="CC78" s="1497">
        <f t="shared" ref="CC78:CE79" si="199">CC74</f>
        <v>193.94199999999998</v>
      </c>
      <c r="CD78" s="1497">
        <f t="shared" si="199"/>
        <v>100.27899999999995</v>
      </c>
      <c r="CE78" s="1497">
        <f t="shared" si="199"/>
        <v>227.36799999999999</v>
      </c>
      <c r="CF78" s="1497">
        <f t="shared" ref="CF78:CI79" si="200">CF74</f>
        <v>82.346999999999923</v>
      </c>
      <c r="CG78" s="1497">
        <f t="shared" si="200"/>
        <v>150.07300000000004</v>
      </c>
      <c r="CH78" s="1497">
        <f t="shared" si="200"/>
        <v>206.6100000000001</v>
      </c>
      <c r="CI78" s="1497">
        <f t="shared" si="200"/>
        <v>166.70600000000002</v>
      </c>
      <c r="CJ78" s="1497">
        <f t="shared" ref="CJ78:CL79" si="201">CJ74</f>
        <v>171.71800000000002</v>
      </c>
      <c r="CK78" s="1497">
        <f t="shared" si="201"/>
        <v>98.964000000000055</v>
      </c>
      <c r="CL78" s="1497">
        <f t="shared" si="201"/>
        <v>216.441</v>
      </c>
      <c r="CM78" s="1497">
        <f t="shared" ref="CM78:CO79" si="202">CM74</f>
        <v>202.29700000000005</v>
      </c>
      <c r="CN78" s="1497">
        <f t="shared" si="202"/>
        <v>232.81100000000001</v>
      </c>
      <c r="CO78" s="1497">
        <f t="shared" si="202"/>
        <v>212.46299999999991</v>
      </c>
      <c r="CP78" s="1497">
        <f>CP74</f>
        <v>214.40200000000002</v>
      </c>
      <c r="CQ78" s="1497">
        <f t="shared" ref="CQ78:CS79" si="203">CQ74</f>
        <v>235.11799999999988</v>
      </c>
      <c r="CR78" s="1497">
        <f t="shared" si="203"/>
        <v>104.27000000000001</v>
      </c>
      <c r="CS78" s="1497">
        <f t="shared" si="203"/>
        <v>278.82799999999992</v>
      </c>
      <c r="CT78" s="1497">
        <f t="shared" ref="CT78:CT79" si="204">CT74</f>
        <v>334.17199999999997</v>
      </c>
      <c r="CU78" s="1497">
        <f t="shared" ref="CU78:CW79" si="205">CU74</f>
        <v>299.31</v>
      </c>
      <c r="CV78" s="1497">
        <f t="shared" si="205"/>
        <v>247.37100000000012</v>
      </c>
      <c r="CW78" s="1497">
        <f t="shared" si="205"/>
        <v>306.47300000000007</v>
      </c>
      <c r="CX78" s="1497">
        <f t="shared" ref="CX78:CY78" si="206">CX74</f>
        <v>390.51</v>
      </c>
      <c r="CY78" s="1497">
        <f t="shared" si="206"/>
        <v>494.87900000000002</v>
      </c>
      <c r="CZ78" s="1497">
        <f t="shared" ref="CZ78:DC78" ca="1" si="207">CZ74</f>
        <v>398.42419842697109</v>
      </c>
      <c r="DA78" s="1497">
        <f t="shared" ca="1" si="207"/>
        <v>447.80166351005704</v>
      </c>
      <c r="DB78" s="1497">
        <f t="shared" ca="1" si="207"/>
        <v>466.24677505810416</v>
      </c>
      <c r="DC78" s="1497">
        <f t="shared" ca="1" si="207"/>
        <v>486.86326539536867</v>
      </c>
      <c r="DE78" s="1048"/>
      <c r="DF78" s="783"/>
      <c r="DG78" s="783"/>
      <c r="DH78" s="783"/>
      <c r="DI78" s="1048"/>
      <c r="DJ78" s="1048"/>
      <c r="DK78" s="1048"/>
      <c r="DL78" s="1048"/>
      <c r="DM78" s="1048"/>
      <c r="DN78" s="1048"/>
      <c r="DO78" s="1048"/>
      <c r="DP78" s="1048"/>
      <c r="DQ78" s="1048"/>
      <c r="DR78" s="1048"/>
      <c r="DS78" s="1048"/>
      <c r="DT78" s="1048"/>
      <c r="DU78" s="1048"/>
      <c r="DV78" s="1048"/>
      <c r="DW78" s="1048"/>
      <c r="DX78" s="1048"/>
      <c r="DY78" s="1048"/>
      <c r="DZ78" s="1048"/>
      <c r="EA78" s="1048"/>
      <c r="EB78" s="1048"/>
      <c r="EC78" s="1048"/>
      <c r="ED78" s="1048"/>
      <c r="EE78" s="1048"/>
      <c r="EF78" s="1048"/>
      <c r="EG78" s="1048"/>
      <c r="EH78" s="1048"/>
      <c r="EI78" s="1048"/>
      <c r="EJ78" s="1048"/>
      <c r="EK78" s="1048"/>
      <c r="EL78" s="1048"/>
      <c r="EM78" s="1048"/>
      <c r="EN78" s="1048"/>
      <c r="EO78" s="1048"/>
      <c r="EP78" s="1048"/>
      <c r="EQ78" s="1048"/>
      <c r="ER78" s="1048"/>
      <c r="ES78" s="1048"/>
      <c r="ET78" s="1048"/>
      <c r="EU78" s="1913"/>
      <c r="FB78" s="15"/>
      <c r="FC78" s="15"/>
      <c r="FD78" s="15"/>
    </row>
    <row r="79" spans="1:160" ht="12" hidden="1" customHeight="1" outlineLevel="1">
      <c r="B79" s="1049" t="s">
        <v>195</v>
      </c>
      <c r="C79" s="1048"/>
      <c r="D79" s="1048"/>
      <c r="E79" s="809">
        <f>E75</f>
        <v>-296.32</v>
      </c>
      <c r="F79" s="809">
        <f t="shared" ref="F79:Y79" si="208">F75</f>
        <v>-57.790999999999997</v>
      </c>
      <c r="G79" s="809">
        <f t="shared" si="208"/>
        <v>-6.5080000000000009</v>
      </c>
      <c r="H79" s="809">
        <f t="shared" si="208"/>
        <v>-7.75</v>
      </c>
      <c r="I79" s="809">
        <f t="shared" si="208"/>
        <v>-22.934000000000001</v>
      </c>
      <c r="J79" s="809">
        <f t="shared" si="208"/>
        <v>-45.411999999999999</v>
      </c>
      <c r="K79" s="809">
        <f t="shared" si="208"/>
        <v>-162.291</v>
      </c>
      <c r="L79" s="809">
        <f t="shared" si="208"/>
        <v>-416.81099999999998</v>
      </c>
      <c r="M79" s="809">
        <f t="shared" si="208"/>
        <v>-471.12800000000004</v>
      </c>
      <c r="N79" s="1497">
        <f t="shared" si="208"/>
        <v>-342.18</v>
      </c>
      <c r="O79" s="1497">
        <f t="shared" si="208"/>
        <v>-579.39700000000005</v>
      </c>
      <c r="P79" s="1497">
        <f t="shared" si="208"/>
        <v>-682.73299999999995</v>
      </c>
      <c r="Q79" s="1497">
        <f t="shared" si="193"/>
        <v>-764.50000000000011</v>
      </c>
      <c r="R79" s="1497">
        <f t="shared" si="193"/>
        <v>-572.40599999999995</v>
      </c>
      <c r="S79" s="1497">
        <f t="shared" si="193"/>
        <v>-660.20299999999997</v>
      </c>
      <c r="T79" s="1497">
        <f t="shared" si="194"/>
        <v>-868.12000000000012</v>
      </c>
      <c r="U79" s="1497">
        <f t="shared" si="194"/>
        <v>-1113.365</v>
      </c>
      <c r="V79" s="1497">
        <f t="shared" si="194"/>
        <v>-1378.7249999999999</v>
      </c>
      <c r="W79" s="1497">
        <f t="shared" ref="W79" ca="1" si="209">W75</f>
        <v>-1935.5663438236479</v>
      </c>
      <c r="X79" s="1497">
        <f t="shared" ca="1" si="208"/>
        <v>-1853.1485108793856</v>
      </c>
      <c r="Y79" s="1497">
        <f t="shared" ca="1" si="208"/>
        <v>-1659.9433173086413</v>
      </c>
      <c r="Z79" s="1497">
        <f ca="1">Z75</f>
        <v>-1618.4103193755129</v>
      </c>
      <c r="AA79" s="1497">
        <f t="shared" ref="AA79:AD79" ca="1" si="210">AA75</f>
        <v>-1626.0760966777502</v>
      </c>
      <c r="AB79" s="1497">
        <f t="shared" ca="1" si="210"/>
        <v>-1633.809178891328</v>
      </c>
      <c r="AC79" s="1497">
        <f t="shared" ca="1" si="210"/>
        <v>-1641.6704325604251</v>
      </c>
      <c r="AD79" s="1497">
        <f t="shared" ca="1" si="210"/>
        <v>-1649.5823160395212</v>
      </c>
      <c r="AE79" s="1483"/>
      <c r="AF79" s="1498"/>
      <c r="AG79" s="1498"/>
      <c r="AH79" s="1497">
        <f t="shared" ref="AH79:BY79" si="211">AH75</f>
        <v>-169.64599999999999</v>
      </c>
      <c r="AI79" s="1497">
        <f t="shared" si="211"/>
        <v>-126.67400000000001</v>
      </c>
      <c r="AJ79" s="1497">
        <f t="shared" si="211"/>
        <v>-34.692</v>
      </c>
      <c r="AK79" s="1497">
        <f t="shared" si="211"/>
        <v>-7.4080000000000013</v>
      </c>
      <c r="AL79" s="1497">
        <f t="shared" si="211"/>
        <v>-35.059999999999995</v>
      </c>
      <c r="AM79" s="1497">
        <f t="shared" si="211"/>
        <v>19.369</v>
      </c>
      <c r="AN79" s="1497">
        <f t="shared" si="211"/>
        <v>-2.8359999999999999</v>
      </c>
      <c r="AO79" s="1497">
        <f t="shared" si="211"/>
        <v>-1.1880000000000002</v>
      </c>
      <c r="AP79" s="1497">
        <f t="shared" si="211"/>
        <v>-1.0670000000000002</v>
      </c>
      <c r="AQ79" s="1497">
        <f t="shared" si="211"/>
        <v>-1.4170000000000003</v>
      </c>
      <c r="AR79" s="1497">
        <f t="shared" si="211"/>
        <v>-0.34599999999999997</v>
      </c>
      <c r="AS79" s="1497">
        <f t="shared" si="211"/>
        <v>-1.1139999999999999</v>
      </c>
      <c r="AT79" s="1497">
        <f t="shared" si="211"/>
        <v>-1.4289999999999998</v>
      </c>
      <c r="AU79" s="1497">
        <f t="shared" si="211"/>
        <v>-4.8609999999999998</v>
      </c>
      <c r="AV79" s="1497">
        <f t="shared" si="211"/>
        <v>-4.9080000000000004</v>
      </c>
      <c r="AW79" s="1497">
        <f t="shared" si="211"/>
        <v>-4.2540000000000004</v>
      </c>
      <c r="AX79" s="1497">
        <f t="shared" si="211"/>
        <v>-7.6209999999999996</v>
      </c>
      <c r="AY79" s="1497">
        <f t="shared" si="211"/>
        <v>-6.1510000000000007</v>
      </c>
      <c r="AZ79" s="1497">
        <f t="shared" si="211"/>
        <v>-5.5229999999999997</v>
      </c>
      <c r="BA79" s="1497">
        <f t="shared" si="211"/>
        <v>-9.89</v>
      </c>
      <c r="BB79" s="1497">
        <f t="shared" si="211"/>
        <v>-7.0790000000000006</v>
      </c>
      <c r="BC79" s="1497">
        <f t="shared" si="211"/>
        <v>-22.919999999999998</v>
      </c>
      <c r="BD79" s="1497">
        <f t="shared" si="211"/>
        <v>-26.613</v>
      </c>
      <c r="BE79" s="1497">
        <f t="shared" si="211"/>
        <v>-29.670999999999999</v>
      </c>
      <c r="BF79" s="1497">
        <f t="shared" si="211"/>
        <v>-46.620000000000005</v>
      </c>
      <c r="BG79" s="1497">
        <f t="shared" si="211"/>
        <v>-59.387</v>
      </c>
      <c r="BH79" s="1497">
        <f t="shared" si="211"/>
        <v>-67.055999999999997</v>
      </c>
      <c r="BI79" s="1497">
        <f t="shared" si="211"/>
        <v>-139.83199999999999</v>
      </c>
      <c r="BJ79" s="1497">
        <f t="shared" si="211"/>
        <v>-88.921000000000035</v>
      </c>
      <c r="BK79" s="1497">
        <f t="shared" si="211"/>
        <v>-121.00199999999994</v>
      </c>
      <c r="BL79" s="1497">
        <f t="shared" si="211"/>
        <v>-125.643</v>
      </c>
      <c r="BM79" s="1497">
        <f t="shared" si="211"/>
        <v>-84.457999999999998</v>
      </c>
      <c r="BN79" s="1497">
        <f t="shared" si="211"/>
        <v>-95.444999999999993</v>
      </c>
      <c r="BO79" s="1497">
        <f t="shared" si="211"/>
        <v>-165.58200000000002</v>
      </c>
      <c r="BP79" s="1497">
        <f t="shared" si="211"/>
        <v>-74.968999999999994</v>
      </c>
      <c r="BQ79" s="1497">
        <f t="shared" si="211"/>
        <v>-76.816000000000003</v>
      </c>
      <c r="BR79" s="1497">
        <f t="shared" si="211"/>
        <v>-88.655000000000001</v>
      </c>
      <c r="BS79" s="1497">
        <f t="shared" si="211"/>
        <v>-101.74</v>
      </c>
      <c r="BT79" s="1497">
        <f t="shared" si="211"/>
        <v>-143.4</v>
      </c>
      <c r="BU79" s="1497">
        <f t="shared" si="211"/>
        <v>-148.70500000000001</v>
      </c>
      <c r="BV79" s="1497">
        <f t="shared" si="211"/>
        <v>-143.941</v>
      </c>
      <c r="BW79" s="1497">
        <f t="shared" si="211"/>
        <v>-143.351</v>
      </c>
      <c r="BX79" s="1497">
        <f t="shared" si="211"/>
        <v>-172.51599999999999</v>
      </c>
      <c r="BY79" s="1497">
        <f t="shared" si="211"/>
        <v>-188.875</v>
      </c>
      <c r="BZ79" s="1497">
        <f t="shared" si="198"/>
        <v>-131.52500000000001</v>
      </c>
      <c r="CA79" s="1497">
        <f t="shared" si="198"/>
        <v>-189.81700000000001</v>
      </c>
      <c r="CB79" s="1497">
        <f t="shared" si="198"/>
        <v>-145.49</v>
      </c>
      <c r="CC79" s="1497">
        <f t="shared" si="199"/>
        <v>-196.48400000000001</v>
      </c>
      <c r="CD79" s="1497">
        <f t="shared" si="199"/>
        <v>-212.11799999999999</v>
      </c>
      <c r="CE79" s="1497">
        <f t="shared" si="199"/>
        <v>-210.40799999999999</v>
      </c>
      <c r="CF79" s="1497">
        <f t="shared" si="200"/>
        <v>-75.667000000000002</v>
      </c>
      <c r="CG79" s="1497">
        <f t="shared" si="200"/>
        <v>-122.863</v>
      </c>
      <c r="CH79" s="1497">
        <f t="shared" si="200"/>
        <v>-171.035</v>
      </c>
      <c r="CI79" s="1497">
        <f t="shared" si="200"/>
        <v>-202.84100000000001</v>
      </c>
      <c r="CJ79" s="1497">
        <f t="shared" si="201"/>
        <v>-105.907</v>
      </c>
      <c r="CK79" s="1497">
        <f t="shared" si="201"/>
        <v>-159.816</v>
      </c>
      <c r="CL79" s="1497">
        <f t="shared" si="201"/>
        <v>-156.00299999999999</v>
      </c>
      <c r="CM79" s="1497">
        <f t="shared" si="202"/>
        <v>-238.477</v>
      </c>
      <c r="CN79" s="1497">
        <f t="shared" si="202"/>
        <v>-150.12</v>
      </c>
      <c r="CO79" s="1497">
        <f t="shared" si="202"/>
        <v>-221.34200000000001</v>
      </c>
      <c r="CP79" s="1497">
        <f>CP75</f>
        <v>-216.04599999999999</v>
      </c>
      <c r="CQ79" s="1497">
        <f t="shared" si="203"/>
        <v>-280.61200000000002</v>
      </c>
      <c r="CR79" s="1497">
        <f t="shared" si="203"/>
        <v>-197.7</v>
      </c>
      <c r="CS79" s="1497">
        <f t="shared" si="203"/>
        <v>-249.86699999999999</v>
      </c>
      <c r="CT79" s="1497">
        <f t="shared" si="204"/>
        <v>-279.47699999999998</v>
      </c>
      <c r="CU79" s="1497">
        <f t="shared" si="205"/>
        <v>-386.32100000000003</v>
      </c>
      <c r="CV79" s="1497">
        <f t="shared" si="205"/>
        <v>-277.24200000000002</v>
      </c>
      <c r="CW79" s="1497">
        <f t="shared" si="205"/>
        <v>-348.572</v>
      </c>
      <c r="CX79" s="1497">
        <f t="shared" ref="CX79:CY79" si="212">CX75</f>
        <v>-320.23399999999998</v>
      </c>
      <c r="CY79" s="1497">
        <f t="shared" si="212"/>
        <v>-432.67700000000002</v>
      </c>
      <c r="CZ79" s="1497">
        <f t="shared" ref="CZ79:DC79" ca="1" si="213">CZ75</f>
        <v>-362.12274004330436</v>
      </c>
      <c r="DA79" s="1497">
        <f t="shared" ca="1" si="213"/>
        <v>-246.47940058632264</v>
      </c>
      <c r="DB79" s="1497">
        <f t="shared" ca="1" si="213"/>
        <v>-668.95743560835956</v>
      </c>
      <c r="DC79" s="1497">
        <f t="shared" ca="1" si="213"/>
        <v>-658.00676758566112</v>
      </c>
      <c r="DE79" s="1048"/>
      <c r="DF79" s="783"/>
      <c r="DG79" s="783"/>
      <c r="DH79" s="783"/>
      <c r="DI79" s="1048"/>
      <c r="DJ79" s="1048"/>
      <c r="DK79" s="1048"/>
      <c r="DL79" s="1048"/>
      <c r="DM79" s="1048"/>
      <c r="DN79" s="1048"/>
      <c r="DO79" s="1048"/>
      <c r="DP79" s="1048"/>
      <c r="DQ79" s="1048"/>
      <c r="DR79" s="1048"/>
      <c r="DS79" s="1048"/>
      <c r="DT79" s="1048"/>
      <c r="DU79" s="1048"/>
      <c r="DV79" s="1048"/>
      <c r="DW79" s="1048"/>
      <c r="DX79" s="1048"/>
      <c r="DY79" s="1048"/>
      <c r="DZ79" s="1048"/>
      <c r="EA79" s="1048"/>
      <c r="EB79" s="1048"/>
      <c r="EC79" s="1048"/>
      <c r="ED79" s="1048"/>
      <c r="EE79" s="1048"/>
      <c r="EF79" s="1048"/>
      <c r="EG79" s="1048"/>
      <c r="EH79" s="1048"/>
      <c r="EI79" s="1048"/>
      <c r="EJ79" s="1048"/>
      <c r="EK79" s="1048"/>
      <c r="EL79" s="1048"/>
      <c r="EM79" s="1048"/>
      <c r="EN79" s="1048"/>
      <c r="EO79" s="1048"/>
      <c r="EP79" s="1048"/>
      <c r="EQ79" s="1048"/>
      <c r="ER79" s="1048"/>
      <c r="ES79" s="1048"/>
      <c r="ET79" s="1048"/>
      <c r="EU79" s="1913"/>
      <c r="FB79" s="15"/>
      <c r="FC79" s="15"/>
      <c r="FD79" s="15"/>
    </row>
    <row r="80" spans="1:160" ht="12.75" hidden="1" customHeight="1" outlineLevel="1">
      <c r="B80" s="1049" t="s">
        <v>902</v>
      </c>
      <c r="C80" s="1048"/>
      <c r="D80" s="1048"/>
      <c r="E80" s="809">
        <f>Capital!E372*(1-IS!E59)</f>
        <v>8.2426500000000029</v>
      </c>
      <c r="F80" s="809">
        <f>Capital!F372*(1-IS!F59)</f>
        <v>21.550100000000004</v>
      </c>
      <c r="G80" s="809">
        <f>Capital!G372*(1-IS!G59)</f>
        <v>22.165000000000003</v>
      </c>
      <c r="H80" s="809">
        <f>Capital!H372*(1-IS!H59)</f>
        <v>13.140400000000001</v>
      </c>
      <c r="I80" s="809">
        <f>Capital!I372*(1-IS!I59)</f>
        <v>6.6332500000000003</v>
      </c>
      <c r="J80" s="809">
        <f>Capital!J372*(1-IS!J59)</f>
        <v>3.4423999999999997</v>
      </c>
      <c r="K80" s="809">
        <f>Capital!K372*(1-IS!K59)</f>
        <v>5.3612000000000002</v>
      </c>
      <c r="L80" s="809">
        <f>Capital!L372*(1-IS!L59)</f>
        <v>7.7525500000000003</v>
      </c>
      <c r="M80" s="809">
        <f>Capital!M372*(1-IS!M59)</f>
        <v>35.271600000000007</v>
      </c>
      <c r="N80" s="1497">
        <f>Capital!N372*(1-IS!N59)</f>
        <v>46.7012</v>
      </c>
      <c r="O80" s="1497">
        <f>Capital!O372*(1-IS!O59)</f>
        <v>90.324000000000026</v>
      </c>
      <c r="P80" s="1497">
        <f>Capital!P372*(1-IS!P59)</f>
        <v>116.36495000000001</v>
      </c>
      <c r="Q80" s="1497">
        <f>Capital!Q372*(1-IS!Q59)</f>
        <v>127.96029999999999</v>
      </c>
      <c r="R80" s="1497">
        <f>Capital!R372*(1-IS!R59)</f>
        <v>159.51325</v>
      </c>
      <c r="S80" s="1497">
        <f>Capital!S372*(1-IS!S59)</f>
        <v>173.9803</v>
      </c>
      <c r="T80" s="1497">
        <f>Capital!T372*(1-IS!T59)</f>
        <v>192.05809999999997</v>
      </c>
      <c r="U80" s="1497">
        <f>Capital!U372*(1-IS!U59)</f>
        <v>253.1215870625</v>
      </c>
      <c r="V80" s="1497">
        <f ca="1">Capital!V372*(1-IS!V59)</f>
        <v>302.2242495989517</v>
      </c>
      <c r="W80" s="1497">
        <f ca="1">Capital!W372*(1-IS!W59)</f>
        <v>361.4237585642212</v>
      </c>
      <c r="X80" s="1497">
        <f ca="1">Capital!X372*(1-IS!X59)</f>
        <v>378.0124442917521</v>
      </c>
      <c r="Y80" s="1497">
        <f ca="1">Capital!Y372*(1-IS!Y59)</f>
        <v>405.21855278463028</v>
      </c>
      <c r="Z80" s="1497">
        <f ca="1">Capital!Z372*(1-IS!Z59)</f>
        <v>431.85388204786136</v>
      </c>
      <c r="AA80" s="1497">
        <f ca="1">Capital!AA372*(1-IS!AA59)</f>
        <v>444.7536110889663</v>
      </c>
      <c r="AB80" s="1497">
        <f ca="1">Capital!AB372*(1-IS!AB59)</f>
        <v>444.97909579230924</v>
      </c>
      <c r="AC80" s="1497">
        <f ca="1">Capital!AC372*(1-IS!AC59)</f>
        <v>445.09179100145764</v>
      </c>
      <c r="AD80" s="1497">
        <f ca="1">Capital!AD372*(1-IS!AD59)</f>
        <v>445.06387116300812</v>
      </c>
      <c r="AE80" s="1483"/>
      <c r="AF80" s="1498"/>
      <c r="AG80" s="1498"/>
      <c r="AH80" s="1497">
        <f>Capital!AH372*(1-0.35)</f>
        <v>1.3877499999999998</v>
      </c>
      <c r="AI80" s="1497">
        <f>Capital!AI372*(1-0.35)</f>
        <v>2.7287000000000035</v>
      </c>
      <c r="AJ80" s="1497">
        <f>Capital!AJ372*(1-0.35)</f>
        <v>4.2711500000000004</v>
      </c>
      <c r="AK80" s="1497">
        <f>Capital!AK372*(1-0.35)</f>
        <v>5.1434500000000005</v>
      </c>
      <c r="AL80" s="1497">
        <f>Capital!AL372*(1-0.35)</f>
        <v>5.8415500000000007</v>
      </c>
      <c r="AM80" s="1497">
        <f>Capital!AM372*(1-0.35)</f>
        <v>6.2939499999999997</v>
      </c>
      <c r="AN80" s="1497">
        <f>Capital!AN372*(1-0.35)</f>
        <v>5.9650499999999997</v>
      </c>
      <c r="AO80" s="1497">
        <f>Capital!AO372*(1-0.35)</f>
        <v>5.3768000000000002</v>
      </c>
      <c r="AP80" s="1497">
        <f>Capital!AP372*(1-0.35)</f>
        <v>5.2006499999999996</v>
      </c>
      <c r="AQ80" s="1497">
        <f>Capital!AQ372*(1-0.35)</f>
        <v>5.6224999999999996</v>
      </c>
      <c r="AR80" s="1497">
        <f>Capital!AR372*(1-0.35)</f>
        <v>3.0823</v>
      </c>
      <c r="AS80" s="1497">
        <f>Capital!AS372*(1-0.35)</f>
        <v>3.2246500000000005</v>
      </c>
      <c r="AT80" s="1497">
        <f>Capital!AT372*(1-0.35)</f>
        <v>3.5307999999999997</v>
      </c>
      <c r="AU80" s="1497">
        <f>Capital!AU372*(1-0.35)</f>
        <v>3.3026500000000003</v>
      </c>
      <c r="AV80" s="1497">
        <f>Capital!AV372*(1-0.35)</f>
        <v>2.5272000000000001</v>
      </c>
      <c r="AW80" s="1497">
        <f>Capital!AW372*(1-0.35)</f>
        <v>1.3266500000000001</v>
      </c>
      <c r="AX80" s="1497">
        <f>Capital!AX372*(1-0.35)</f>
        <v>1.31105</v>
      </c>
      <c r="AY80" s="1497">
        <f>Capital!AY372*(1-0.35)</f>
        <v>1.46835</v>
      </c>
      <c r="AZ80" s="1497">
        <f>Capital!AZ372*(1-0.35)</f>
        <v>1.1648000000000001</v>
      </c>
      <c r="BA80" s="1497">
        <f>Capital!BA372*(1-0.35)</f>
        <v>0.67795000000000016</v>
      </c>
      <c r="BB80" s="1497">
        <f>Capital!BB372*(1-0.35)</f>
        <v>0.55445</v>
      </c>
      <c r="BC80" s="1497">
        <f>Capital!BC372*(1-0.35)</f>
        <v>1.0452000000000001</v>
      </c>
      <c r="BD80" s="1497">
        <f>Capital!BD372*(1-0.35)</f>
        <v>1.4670499999999997</v>
      </c>
      <c r="BE80" s="1497">
        <f>Capital!BE372*(1-0.35)</f>
        <v>1.19275</v>
      </c>
      <c r="BF80" s="1497">
        <f>Capital!BF372*(1-0.35)</f>
        <v>1.1875500000000001</v>
      </c>
      <c r="BG80" s="1497">
        <f>Capital!BG372*(1-0.35)</f>
        <v>1.5138499999999999</v>
      </c>
      <c r="BH80" s="1497">
        <f>Capital!BH372*(1-0.35)</f>
        <v>0.98345000000000016</v>
      </c>
      <c r="BI80" s="1497">
        <f>Capital!BI372*(1-0.35)</f>
        <v>0.67145000000000021</v>
      </c>
      <c r="BJ80" s="1497">
        <f>Capital!BJ372*(1-0.35)</f>
        <v>1.52945</v>
      </c>
      <c r="BK80" s="1497">
        <f>Capital!BK372*(1-0.35)</f>
        <v>4.5682</v>
      </c>
      <c r="BL80" s="1497">
        <f>Capital!BL372*(1-0.35)</f>
        <v>7.6401000000000012</v>
      </c>
      <c r="BM80" s="1497">
        <f>Capital!BM372*(1-0.35)</f>
        <v>7.7363000000000008</v>
      </c>
      <c r="BN80" s="1497">
        <f>Capital!BN372*(1-0.35)</f>
        <v>9.8994999999999997</v>
      </c>
      <c r="BO80" s="1497">
        <f>Capital!BO372*(1-0.35)</f>
        <v>9.9957000000000011</v>
      </c>
      <c r="BP80" s="1497">
        <f>Capital!BP372*(1-0.35)</f>
        <v>8.1477500000000003</v>
      </c>
      <c r="BQ80" s="1497">
        <f>Capital!BQ372*(1-0.35)</f>
        <v>9.9008000000000003</v>
      </c>
      <c r="BR80" s="1497">
        <f>Capital!BR372*(1-0.35)</f>
        <v>14.23695</v>
      </c>
      <c r="BS80" s="1497">
        <f>Capital!BS372*(1-0.35)</f>
        <v>14.415700000000001</v>
      </c>
      <c r="BT80" s="1497">
        <f>Capital!BT372*(1-0.35)</f>
        <v>16.359850000000002</v>
      </c>
      <c r="BU80" s="1497">
        <f>Capital!BU372*(1-0.35)</f>
        <v>24.130600000000001</v>
      </c>
      <c r="BV80" s="1497">
        <f>Capital!BV372*(1-0.35)</f>
        <v>24.734449999999999</v>
      </c>
      <c r="BW80" s="1497">
        <f>Capital!BW372*(1-0.35)</f>
        <v>25.099100000000004</v>
      </c>
      <c r="BX80" s="1497">
        <f>Capital!BX372*(1-0.35)</f>
        <v>24.144899999999996</v>
      </c>
      <c r="BY80" s="1497">
        <f>Capital!BY372*(1-0.35)</f>
        <v>24.079250000000002</v>
      </c>
      <c r="BZ80" s="1497">
        <f>Capital!BZ372*(1-0.35)</f>
        <v>32.78275</v>
      </c>
      <c r="CA80" s="1497">
        <f>Capital!CA372*(1-0.35)</f>
        <v>35.358050000000006</v>
      </c>
      <c r="CB80" s="1497">
        <f>Capital!CB372*(1-0.35)</f>
        <v>33.882549999999995</v>
      </c>
      <c r="CC80" s="1497">
        <f>Capital!CC372*(1-0.35)</f>
        <v>29.785599999999999</v>
      </c>
      <c r="CD80" s="1497">
        <f>Capital!CD372*(1-0.35)</f>
        <v>31.949449999999999</v>
      </c>
      <c r="CE80" s="1497">
        <f>Capital!CE372*(1-0.35)</f>
        <v>32.342700000000001</v>
      </c>
      <c r="CF80" s="1497">
        <f>Capital!CF372*(1-0.35)</f>
        <v>38.729600000000005</v>
      </c>
      <c r="CG80" s="1497">
        <f>Capital!CG372*(1-0.35)</f>
        <v>39.054600000000001</v>
      </c>
      <c r="CH80" s="1497">
        <f>Capital!CH372*(1-0.35)</f>
        <v>39.668199999999999</v>
      </c>
      <c r="CI80" s="1497">
        <f>Capital!CI372*(1-0.35)</f>
        <v>42.060850000000002</v>
      </c>
      <c r="CJ80" s="1497">
        <f>Capital!CJ372*(1-0.35)</f>
        <v>43.800899999999999</v>
      </c>
      <c r="CK80" s="1497">
        <f>Capital!CK372*(1-0.35)</f>
        <v>42.984499999999997</v>
      </c>
      <c r="CL80" s="1497">
        <f>Capital!CL372*(1-0.35)</f>
        <v>41.21</v>
      </c>
      <c r="CM80" s="1497">
        <f>Capital!CM372*(1-0.35)</f>
        <v>45.984899999999996</v>
      </c>
      <c r="CN80" s="1497">
        <f>Capital!CN372*(1-0.35)</f>
        <v>44.376150000000003</v>
      </c>
      <c r="CO80" s="1497">
        <f>Capital!CO372*(1-0.35)</f>
        <v>47.823749999999997</v>
      </c>
      <c r="CP80" s="1497">
        <f>Capital!CP372*(1-0.35)</f>
        <v>48.967750000000009</v>
      </c>
      <c r="CQ80" s="1497">
        <f>Capital!CQ372*(1-0.35)</f>
        <v>50.890449999999994</v>
      </c>
      <c r="CR80" s="1497">
        <f>Capital!CR372*(1-0.35)</f>
        <v>64.653622312500005</v>
      </c>
      <c r="CS80" s="1497">
        <f>Capital!CS372*(1-0.35)</f>
        <v>64.951705000000004</v>
      </c>
      <c r="CT80" s="1497">
        <f>Capital!CT372*(1-0.35)</f>
        <v>59.729238562500001</v>
      </c>
      <c r="CU80" s="1497">
        <f>Capital!CU372*(1-0.35)</f>
        <v>63.787021187499995</v>
      </c>
      <c r="CV80" s="1497">
        <f>Capital!CV372*(1-0.35)</f>
        <v>72.285067156250008</v>
      </c>
      <c r="CW80" s="1497">
        <f>Capital!CW372*(1-0.35)</f>
        <v>75.368612312500005</v>
      </c>
      <c r="CX80" s="1497">
        <f ca="1">Capital!CX372*(1-0.35)</f>
        <v>78.094223979163345</v>
      </c>
      <c r="CY80" s="1497">
        <f ca="1">Capital!CY372*(1-0.35)</f>
        <v>76.476346151038328</v>
      </c>
      <c r="CZ80" s="1497">
        <f ca="1">Capital!CZ372*(1-0.35)</f>
        <v>76.196966358062085</v>
      </c>
      <c r="DA80" s="1497">
        <f ca="1">Capital!DA372*(1-0.35)</f>
        <v>76.25454854327154</v>
      </c>
      <c r="DB80" s="1497">
        <f ca="1">Capital!DB372*(1-0.35)</f>
        <v>76.245490779549016</v>
      </c>
      <c r="DC80" s="1497">
        <f ca="1">Capital!DC372*(1-0.35)</f>
        <v>76.400972327875536</v>
      </c>
      <c r="DE80" s="1048"/>
      <c r="DF80" s="783"/>
      <c r="DG80" s="783"/>
      <c r="DH80" s="783"/>
      <c r="DI80" s="1048"/>
      <c r="DJ80" s="1048"/>
      <c r="DK80" s="1048"/>
      <c r="DL80" s="1048"/>
      <c r="DM80" s="1048"/>
      <c r="DN80" s="1048"/>
      <c r="DO80" s="1048"/>
      <c r="DP80" s="1048"/>
      <c r="DQ80" s="1048"/>
      <c r="DR80" s="1048"/>
      <c r="DS80" s="1048"/>
      <c r="DT80" s="1048"/>
      <c r="DU80" s="1048"/>
      <c r="DV80" s="1048"/>
      <c r="DW80" s="1048"/>
      <c r="DX80" s="1048"/>
      <c r="DY80" s="1048"/>
      <c r="DZ80" s="1048"/>
      <c r="EA80" s="1048"/>
      <c r="EB80" s="1048"/>
      <c r="EC80" s="1048"/>
      <c r="ED80" s="1048"/>
      <c r="EE80" s="1048"/>
      <c r="EF80" s="1048"/>
      <c r="EG80" s="1048"/>
      <c r="EH80" s="1048"/>
      <c r="EI80" s="1048"/>
      <c r="EJ80" s="1048"/>
      <c r="EK80" s="1048"/>
      <c r="EL80" s="1048"/>
      <c r="EM80" s="1048"/>
      <c r="EN80" s="1048"/>
      <c r="EO80" s="1048"/>
      <c r="EP80" s="1048"/>
      <c r="EQ80" s="1048"/>
      <c r="ER80" s="1048"/>
      <c r="ES80" s="1048"/>
      <c r="ET80" s="1048"/>
      <c r="EU80" s="1913"/>
      <c r="FB80" s="15"/>
      <c r="FC80" s="15"/>
      <c r="FD80" s="15"/>
    </row>
    <row r="81" spans="2:160" ht="12.75" hidden="1" customHeight="1" outlineLevel="1">
      <c r="B81" s="71" t="s">
        <v>903</v>
      </c>
      <c r="C81" s="72"/>
      <c r="D81" s="72"/>
      <c r="E81" s="72">
        <f>SUM(E78:E80)</f>
        <v>-356.15034999999995</v>
      </c>
      <c r="F81" s="72">
        <f t="shared" ref="F81:Z81" si="214">SUM(F78:F80)</f>
        <v>-105.09489999999997</v>
      </c>
      <c r="G81" s="72">
        <f t="shared" si="214"/>
        <v>-11.851999999999993</v>
      </c>
      <c r="H81" s="72">
        <f t="shared" si="214"/>
        <v>-11.87559999999999</v>
      </c>
      <c r="I81" s="72">
        <f t="shared" si="214"/>
        <v>20.611249999999991</v>
      </c>
      <c r="J81" s="72">
        <f t="shared" si="214"/>
        <v>25.625399999999999</v>
      </c>
      <c r="K81" s="72">
        <f t="shared" si="214"/>
        <v>-81.517800000000037</v>
      </c>
      <c r="L81" s="72">
        <f t="shared" si="214"/>
        <v>-289.03844999999995</v>
      </c>
      <c r="M81" s="72">
        <f t="shared" si="214"/>
        <v>-168.29839999999993</v>
      </c>
      <c r="N81" s="1499">
        <f t="shared" si="214"/>
        <v>60.013200000000012</v>
      </c>
      <c r="O81" s="1499">
        <f t="shared" si="214"/>
        <v>-106.40599999999993</v>
      </c>
      <c r="P81" s="1499">
        <f t="shared" si="214"/>
        <v>3.0089500000000129</v>
      </c>
      <c r="Q81" s="1499">
        <f t="shared" si="214"/>
        <v>4.7152999999997576</v>
      </c>
      <c r="R81" s="1499">
        <f t="shared" si="214"/>
        <v>192.84325000000027</v>
      </c>
      <c r="S81" s="1499">
        <f t="shared" si="214"/>
        <v>203.19730000000021</v>
      </c>
      <c r="T81" s="1499">
        <f>SUM(T78:T80)</f>
        <v>218.7320999999996</v>
      </c>
      <c r="U81" s="1499">
        <f>SUM(U78:U80)</f>
        <v>156.33658706250003</v>
      </c>
      <c r="V81" s="1499">
        <f ca="1">SUM(V78:V80)</f>
        <v>362.73224959895197</v>
      </c>
      <c r="W81" s="1499">
        <f ca="1">SUM(W78:W80)</f>
        <v>225.1933171310742</v>
      </c>
      <c r="X81" s="1499">
        <f t="shared" ca="1" si="214"/>
        <v>475.58436291509804</v>
      </c>
      <c r="Y81" s="1499">
        <f t="shared" ca="1" si="214"/>
        <v>868.81275424584032</v>
      </c>
      <c r="Z81" s="1499">
        <f t="shared" ca="1" si="214"/>
        <v>1097.2782259160181</v>
      </c>
      <c r="AA81" s="1499">
        <f t="shared" ref="AA81:AD81" ca="1" si="215">SUM(AA78:AA80)</f>
        <v>1259.6432793506751</v>
      </c>
      <c r="AB81" s="1499">
        <f t="shared" ca="1" si="215"/>
        <v>1363.9793379272382</v>
      </c>
      <c r="AC81" s="1499">
        <f t="shared" ca="1" si="215"/>
        <v>1494.1222724121476</v>
      </c>
      <c r="AD81" s="1499">
        <f t="shared" ca="1" si="215"/>
        <v>1669.1713529150638</v>
      </c>
      <c r="AE81" s="1483"/>
      <c r="AF81" s="1500"/>
      <c r="AG81" s="1500"/>
      <c r="AH81" s="1499">
        <f>SUM(AH78:AH80)</f>
        <v>-218.53824999999998</v>
      </c>
      <c r="AI81" s="1499">
        <f t="shared" ref="AI81:CJ81" si="216">SUM(AI78:AI80)</f>
        <v>-143.95930000000001</v>
      </c>
      <c r="AJ81" s="1499">
        <f t="shared" si="216"/>
        <v>-49.819850000000002</v>
      </c>
      <c r="AK81" s="1499">
        <f t="shared" si="216"/>
        <v>-20.698550000000001</v>
      </c>
      <c r="AL81" s="1499">
        <f t="shared" si="216"/>
        <v>-43.44244999999998</v>
      </c>
      <c r="AM81" s="1499">
        <f t="shared" si="216"/>
        <v>8.8659499999999909</v>
      </c>
      <c r="AN81" s="1499">
        <f t="shared" si="216"/>
        <v>1.0840499999999977</v>
      </c>
      <c r="AO81" s="1499">
        <f t="shared" si="216"/>
        <v>-19.626199999999994</v>
      </c>
      <c r="AP81" s="1499">
        <f t="shared" si="216"/>
        <v>0.2416500000000017</v>
      </c>
      <c r="AQ81" s="1499">
        <f t="shared" si="216"/>
        <v>6.4485000000000072</v>
      </c>
      <c r="AR81" s="1499">
        <f t="shared" si="216"/>
        <v>-16.821699999999996</v>
      </c>
      <c r="AS81" s="1499">
        <f t="shared" si="216"/>
        <v>-0.57735000000000047</v>
      </c>
      <c r="AT81" s="1499">
        <f t="shared" si="216"/>
        <v>4.0038000000000009</v>
      </c>
      <c r="AU81" s="1499">
        <f t="shared" si="216"/>
        <v>1.5196500000000044</v>
      </c>
      <c r="AV81" s="1499">
        <f t="shared" si="216"/>
        <v>4.1001999999999992</v>
      </c>
      <c r="AW81" s="1499">
        <f t="shared" si="216"/>
        <v>5.9646499999999971</v>
      </c>
      <c r="AX81" s="1499">
        <f t="shared" si="216"/>
        <v>4.6030499999999863</v>
      </c>
      <c r="AY81" s="1499">
        <f t="shared" si="216"/>
        <v>5.9433500000000059</v>
      </c>
      <c r="AZ81" s="1499">
        <f t="shared" si="216"/>
        <v>11.034800000000002</v>
      </c>
      <c r="BA81" s="1499">
        <f t="shared" si="216"/>
        <v>8.9369500000000048</v>
      </c>
      <c r="BB81" s="1499">
        <f t="shared" si="216"/>
        <v>8.9694499999999984</v>
      </c>
      <c r="BC81" s="1499">
        <f t="shared" si="216"/>
        <v>-3.3158000000000074</v>
      </c>
      <c r="BD81" s="1499">
        <f t="shared" si="216"/>
        <v>-12.354950000000004</v>
      </c>
      <c r="BE81" s="1499">
        <f t="shared" si="216"/>
        <v>-12.371249999999996</v>
      </c>
      <c r="BF81" s="1499">
        <f t="shared" si="216"/>
        <v>-24.777449999999998</v>
      </c>
      <c r="BG81" s="1499">
        <f t="shared" si="216"/>
        <v>-32.014150000000008</v>
      </c>
      <c r="BH81" s="1499">
        <f t="shared" si="216"/>
        <v>-46.222549999999991</v>
      </c>
      <c r="BI81" s="1499">
        <f t="shared" si="216"/>
        <v>-101.29854999999998</v>
      </c>
      <c r="BJ81" s="1499">
        <f t="shared" si="216"/>
        <v>-38.964550000000031</v>
      </c>
      <c r="BK81" s="1499">
        <f t="shared" si="216"/>
        <v>-102.55279999999995</v>
      </c>
      <c r="BL81" s="1499">
        <f t="shared" si="216"/>
        <v>-55.018900000000002</v>
      </c>
      <c r="BM81" s="1499">
        <f t="shared" si="216"/>
        <v>-11.7637</v>
      </c>
      <c r="BN81" s="1499">
        <f t="shared" si="216"/>
        <v>-22.224499999999988</v>
      </c>
      <c r="BO81" s="1499">
        <f t="shared" si="216"/>
        <v>-79.291300000000064</v>
      </c>
      <c r="BP81" s="1499">
        <f t="shared" si="216"/>
        <v>19.882750000000001</v>
      </c>
      <c r="BQ81" s="1499">
        <f t="shared" si="216"/>
        <v>11.823800000000031</v>
      </c>
      <c r="BR81" s="1499">
        <f t="shared" si="216"/>
        <v>33.120949999999972</v>
      </c>
      <c r="BS81" s="1499">
        <f t="shared" si="216"/>
        <v>-4.8143000000000171</v>
      </c>
      <c r="BT81" s="1499">
        <f t="shared" si="216"/>
        <v>-27.228150000000007</v>
      </c>
      <c r="BU81" s="1499">
        <f t="shared" si="216"/>
        <v>-70.000400000000027</v>
      </c>
      <c r="BV81" s="1499">
        <f t="shared" si="216"/>
        <v>-9.6965499999999842</v>
      </c>
      <c r="BW81" s="1499">
        <f t="shared" si="216"/>
        <v>0.51910000000000522</v>
      </c>
      <c r="BX81" s="1499">
        <f t="shared" si="216"/>
        <v>-37.03609999999999</v>
      </c>
      <c r="BY81" s="1499">
        <f t="shared" si="216"/>
        <v>-28.305749999999989</v>
      </c>
      <c r="BZ81" s="1499">
        <f t="shared" si="216"/>
        <v>39.291749999999958</v>
      </c>
      <c r="CA81" s="1499">
        <f t="shared" si="216"/>
        <v>29.059049999999999</v>
      </c>
      <c r="CB81" s="1499">
        <f t="shared" si="216"/>
        <v>8.058550000000011</v>
      </c>
      <c r="CC81" s="1499">
        <f t="shared" si="216"/>
        <v>27.243599999999969</v>
      </c>
      <c r="CD81" s="1499">
        <f t="shared" si="216"/>
        <v>-79.889550000000042</v>
      </c>
      <c r="CE81" s="1499">
        <f t="shared" si="216"/>
        <v>49.302700000000009</v>
      </c>
      <c r="CF81" s="1499">
        <f t="shared" si="216"/>
        <v>45.409599999999926</v>
      </c>
      <c r="CG81" s="1499">
        <f t="shared" si="216"/>
        <v>66.26460000000003</v>
      </c>
      <c r="CH81" s="1499">
        <f t="shared" si="216"/>
        <v>75.243200000000101</v>
      </c>
      <c r="CI81" s="1499">
        <f t="shared" si="216"/>
        <v>5.9258500000000112</v>
      </c>
      <c r="CJ81" s="1499">
        <f t="shared" si="216"/>
        <v>109.61190000000002</v>
      </c>
      <c r="CK81" s="1499">
        <f t="shared" ref="CK81:CQ81" si="217">SUM(CK78:CK80)</f>
        <v>-17.86749999999995</v>
      </c>
      <c r="CL81" s="1499">
        <f t="shared" si="217"/>
        <v>101.64800000000002</v>
      </c>
      <c r="CM81" s="1499">
        <f t="shared" si="217"/>
        <v>9.8049000000000461</v>
      </c>
      <c r="CN81" s="1499">
        <f t="shared" si="217"/>
        <v>127.06715</v>
      </c>
      <c r="CO81" s="1499">
        <f t="shared" si="217"/>
        <v>38.944749999999893</v>
      </c>
      <c r="CP81" s="1499">
        <f t="shared" si="217"/>
        <v>47.323750000000032</v>
      </c>
      <c r="CQ81" s="1499">
        <f t="shared" si="217"/>
        <v>5.3964499999998523</v>
      </c>
      <c r="CR81" s="1499">
        <f t="shared" ref="CR81:CU81" si="218">SUM(CR78:CR80)</f>
        <v>-28.776377687499973</v>
      </c>
      <c r="CS81" s="1499">
        <f t="shared" si="218"/>
        <v>93.912704999999931</v>
      </c>
      <c r="CT81" s="1499">
        <f t="shared" si="218"/>
        <v>114.42423856249999</v>
      </c>
      <c r="CU81" s="1499">
        <f t="shared" si="218"/>
        <v>-23.223978812500029</v>
      </c>
      <c r="CV81" s="1499">
        <f>SUM(CV78:CV80)</f>
        <v>42.414067156250113</v>
      </c>
      <c r="CW81" s="1499">
        <f>SUM(CW78:CW80)</f>
        <v>33.269612312500072</v>
      </c>
      <c r="CX81" s="1499">
        <f ca="1">SUM(CX78:CX80)</f>
        <v>148.37022397916337</v>
      </c>
      <c r="CY81" s="1499">
        <f ca="1">SUM(CY78:CY80)</f>
        <v>138.67834615103834</v>
      </c>
      <c r="CZ81" s="1499">
        <f t="shared" ref="CZ81:DC81" ca="1" si="219">SUM(CZ78:CZ80)</f>
        <v>112.49842474172881</v>
      </c>
      <c r="DA81" s="1499">
        <f t="shared" ca="1" si="219"/>
        <v>277.57681146700594</v>
      </c>
      <c r="DB81" s="1499">
        <f t="shared" ca="1" si="219"/>
        <v>-126.46516977070638</v>
      </c>
      <c r="DC81" s="1499">
        <f t="shared" ca="1" si="219"/>
        <v>-94.742529862416916</v>
      </c>
      <c r="DE81" s="1048"/>
      <c r="DF81" s="783"/>
      <c r="DG81" s="783"/>
      <c r="DH81" s="783"/>
      <c r="DI81" s="1048"/>
      <c r="DJ81" s="1048"/>
      <c r="DK81" s="1048"/>
      <c r="DL81" s="1048"/>
      <c r="DM81" s="1048"/>
      <c r="DN81" s="1048"/>
      <c r="DO81" s="1048"/>
      <c r="DP81" s="1048"/>
      <c r="DQ81" s="1048"/>
      <c r="DR81" s="1048"/>
      <c r="DS81" s="1048"/>
      <c r="DT81" s="1048"/>
      <c r="DU81" s="1048"/>
      <c r="DV81" s="1048"/>
      <c r="DW81" s="1048"/>
      <c r="DX81" s="1048"/>
      <c r="DY81" s="1048"/>
      <c r="DZ81" s="1048"/>
      <c r="EA81" s="1048"/>
      <c r="EB81" s="1048"/>
      <c r="EC81" s="1048"/>
      <c r="ED81" s="1048"/>
      <c r="EE81" s="1048"/>
      <c r="EF81" s="1048"/>
      <c r="EG81" s="1048"/>
      <c r="EH81" s="1048"/>
      <c r="EI81" s="1048"/>
      <c r="EJ81" s="1048"/>
      <c r="EK81" s="1048"/>
      <c r="EL81" s="1048"/>
      <c r="EM81" s="1048"/>
      <c r="EN81" s="1048"/>
      <c r="EO81" s="1048"/>
      <c r="EP81" s="1048"/>
      <c r="EQ81" s="1048"/>
      <c r="ER81" s="1048"/>
      <c r="ES81" s="1048"/>
      <c r="ET81" s="1048"/>
      <c r="EU81" s="1913"/>
      <c r="FB81" s="15"/>
      <c r="FC81" s="15"/>
      <c r="FD81" s="15"/>
    </row>
    <row r="82" spans="2:160" ht="12.75" hidden="1" customHeight="1" outlineLevel="1">
      <c r="B82" s="1050"/>
      <c r="C82" s="1048"/>
      <c r="D82" s="1048"/>
      <c r="E82" s="1048"/>
      <c r="F82" s="1048"/>
      <c r="G82" s="1048"/>
      <c r="H82" s="1048"/>
      <c r="I82" s="1048"/>
      <c r="J82" s="1048"/>
      <c r="K82" s="1160"/>
      <c r="L82" s="1048"/>
      <c r="M82" s="1161"/>
      <c r="N82" s="1501"/>
      <c r="O82" s="1502"/>
      <c r="P82" s="1502"/>
      <c r="Q82" s="1502"/>
      <c r="R82" s="1502"/>
      <c r="S82" s="1502"/>
      <c r="T82" s="1502"/>
      <c r="U82" s="1502"/>
      <c r="V82" s="1502"/>
      <c r="W82" s="1502"/>
      <c r="X82" s="1502"/>
      <c r="Y82" s="1502"/>
      <c r="Z82" s="1502"/>
      <c r="AA82" s="1502"/>
      <c r="AB82" s="1502"/>
      <c r="AC82" s="1502"/>
      <c r="AD82" s="1502"/>
      <c r="AE82" s="1498"/>
      <c r="AF82" s="1498"/>
      <c r="AG82" s="1498"/>
      <c r="AH82" s="1502"/>
      <c r="AI82" s="1502"/>
      <c r="AJ82" s="1502"/>
      <c r="AK82" s="1502"/>
      <c r="AL82" s="1502"/>
      <c r="AM82" s="1502"/>
      <c r="AN82" s="1502"/>
      <c r="AO82" s="1502"/>
      <c r="AP82" s="1502"/>
      <c r="AQ82" s="1502"/>
      <c r="AR82" s="1502"/>
      <c r="AS82" s="1502"/>
      <c r="AT82" s="1502"/>
      <c r="AU82" s="1502"/>
      <c r="AV82" s="1502"/>
      <c r="AW82" s="1502"/>
      <c r="AX82" s="1502"/>
      <c r="AY82" s="1502"/>
      <c r="AZ82" s="1502"/>
      <c r="BA82" s="1502"/>
      <c r="BB82" s="1502"/>
      <c r="BC82" s="1502"/>
      <c r="BD82" s="1502"/>
      <c r="BE82" s="1502"/>
      <c r="BF82" s="1502"/>
      <c r="BG82" s="1502"/>
      <c r="BH82" s="1502"/>
      <c r="BI82" s="1502"/>
      <c r="BJ82" s="1502"/>
      <c r="BK82" s="1502"/>
      <c r="BL82" s="1502"/>
      <c r="BM82" s="1502"/>
      <c r="BN82" s="1502"/>
      <c r="BO82" s="1502"/>
      <c r="BP82" s="1502"/>
      <c r="BQ82" s="1502"/>
      <c r="BR82" s="1502"/>
      <c r="BS82" s="1502"/>
      <c r="BT82" s="1502"/>
      <c r="BU82" s="1502"/>
      <c r="BV82" s="1502"/>
      <c r="BW82" s="1502"/>
      <c r="BX82" s="1502"/>
      <c r="BY82" s="1502"/>
      <c r="BZ82" s="1502"/>
      <c r="CA82" s="1502"/>
      <c r="CB82" s="1502"/>
      <c r="CC82" s="1502"/>
      <c r="CD82" s="1502"/>
      <c r="CE82" s="1502"/>
      <c r="CF82" s="1502"/>
      <c r="CG82" s="1502"/>
      <c r="CH82" s="1502"/>
      <c r="CI82" s="1502"/>
      <c r="CJ82" s="1502"/>
      <c r="CK82" s="1502"/>
      <c r="CL82" s="1502"/>
      <c r="CM82" s="1502"/>
      <c r="CN82" s="1502"/>
      <c r="CO82" s="1502"/>
      <c r="CP82" s="1502"/>
      <c r="CQ82" s="1502"/>
      <c r="CR82" s="1502"/>
      <c r="CS82" s="1502"/>
      <c r="CT82" s="1502"/>
      <c r="CU82" s="1502"/>
      <c r="CV82" s="1502"/>
      <c r="CW82" s="1502"/>
      <c r="CX82" s="1502"/>
      <c r="CY82" s="1502"/>
      <c r="CZ82" s="1502"/>
      <c r="DA82" s="1502"/>
      <c r="DB82" s="1502"/>
      <c r="DC82" s="1502"/>
      <c r="DE82" s="1048"/>
      <c r="DF82" s="783"/>
      <c r="DG82" s="783"/>
      <c r="DH82" s="783"/>
      <c r="DI82" s="1048"/>
      <c r="DJ82" s="1048"/>
      <c r="DK82" s="1048"/>
      <c r="DL82" s="1048"/>
      <c r="DM82" s="1048"/>
      <c r="DN82" s="1048"/>
      <c r="DO82" s="1048"/>
      <c r="DP82" s="1048"/>
      <c r="DQ82" s="1048"/>
      <c r="DR82" s="1048"/>
      <c r="DS82" s="1048"/>
      <c r="DT82" s="1048"/>
      <c r="DU82" s="1048"/>
      <c r="DV82" s="1048"/>
      <c r="DW82" s="1048"/>
      <c r="DX82" s="1048"/>
      <c r="DY82" s="1048"/>
      <c r="DZ82" s="1048"/>
      <c r="EA82" s="1048"/>
      <c r="EB82" s="1048"/>
      <c r="EC82" s="1048"/>
      <c r="ED82" s="1048"/>
      <c r="EE82" s="1048"/>
      <c r="EF82" s="1048"/>
      <c r="EG82" s="1048"/>
      <c r="EH82" s="1048"/>
      <c r="EI82" s="1048"/>
      <c r="EJ82" s="1048"/>
      <c r="EK82" s="1048"/>
      <c r="EL82" s="1048"/>
      <c r="EM82" s="1048"/>
      <c r="EN82" s="1048"/>
      <c r="EO82" s="1048"/>
      <c r="EP82" s="1048"/>
      <c r="EQ82" s="1048"/>
      <c r="ER82" s="1048"/>
      <c r="ES82" s="1048"/>
      <c r="ET82" s="1048"/>
      <c r="EU82" s="1913"/>
      <c r="FB82" s="15"/>
      <c r="FC82" s="15"/>
      <c r="FD82" s="15"/>
    </row>
    <row r="83" spans="2:160" hidden="1" outlineLevel="1">
      <c r="B83" s="23" t="s">
        <v>254</v>
      </c>
      <c r="C83" s="1048"/>
      <c r="D83" s="1048"/>
      <c r="E83" s="809">
        <f>E32</f>
        <v>-68.072999999999993</v>
      </c>
      <c r="F83" s="809">
        <f>F32</f>
        <v>-68.853999999999971</v>
      </c>
      <c r="G83" s="809">
        <f>G32</f>
        <v>-27.508999999999993</v>
      </c>
      <c r="H83" s="809">
        <f>H32</f>
        <v>-17.265999999999991</v>
      </c>
      <c r="I83" s="809">
        <f t="shared" ref="I83:BS83" si="220">I32</f>
        <v>36.911999999999992</v>
      </c>
      <c r="J83" s="809">
        <f t="shared" si="220"/>
        <v>67.594999999999999</v>
      </c>
      <c r="K83" s="809">
        <f t="shared" si="220"/>
        <v>75.411999999999964</v>
      </c>
      <c r="L83" s="809">
        <f t="shared" si="220"/>
        <v>120.02000000000002</v>
      </c>
      <c r="M83" s="809">
        <f t="shared" si="220"/>
        <v>267.55800000000011</v>
      </c>
      <c r="N83" s="1497">
        <f t="shared" si="220"/>
        <v>355.49200000000002</v>
      </c>
      <c r="O83" s="1497">
        <f t="shared" si="220"/>
        <v>382.66700000000009</v>
      </c>
      <c r="P83" s="1497">
        <f t="shared" si="220"/>
        <v>569.37699999999995</v>
      </c>
      <c r="Q83" s="1497">
        <f t="shared" ref="Q83:Z83" si="221">Q32</f>
        <v>641.25499999999988</v>
      </c>
      <c r="R83" s="1497">
        <f t="shared" si="221"/>
        <v>605.73600000000022</v>
      </c>
      <c r="S83" s="1497">
        <f t="shared" si="221"/>
        <v>689.42000000000019</v>
      </c>
      <c r="T83" s="1497">
        <f t="shared" si="221"/>
        <v>894.79399999999976</v>
      </c>
      <c r="U83" s="1497">
        <f>U32</f>
        <v>1016.58</v>
      </c>
      <c r="V83" s="1497">
        <f>V32</f>
        <v>1439.2330000000002</v>
      </c>
      <c r="W83" s="1497">
        <f ca="1">W32</f>
        <v>1799.3359023905009</v>
      </c>
      <c r="X83" s="1497">
        <f t="shared" ca="1" si="221"/>
        <v>1950.7204295027316</v>
      </c>
      <c r="Y83" s="1497">
        <f t="shared" ca="1" si="221"/>
        <v>2123.5375187698514</v>
      </c>
      <c r="Z83" s="1497">
        <f t="shared" ca="1" si="221"/>
        <v>2283.8346632436696</v>
      </c>
      <c r="AA83" s="1497">
        <f t="shared" ref="AA83:AD83" ca="1" si="222">AA32</f>
        <v>2440.9657649394589</v>
      </c>
      <c r="AB83" s="1497">
        <f t="shared" ca="1" si="222"/>
        <v>2552.809421026257</v>
      </c>
      <c r="AC83" s="1497">
        <f t="shared" ca="1" si="222"/>
        <v>2690.7009139711149</v>
      </c>
      <c r="AD83" s="1497">
        <f t="shared" ca="1" si="222"/>
        <v>2873.6897977915769</v>
      </c>
      <c r="AE83" s="1498"/>
      <c r="AF83" s="1498"/>
      <c r="AG83" s="1498"/>
      <c r="AH83" s="1497">
        <f t="shared" si="220"/>
        <v>-50.280000000000008</v>
      </c>
      <c r="AI83" s="1497">
        <f t="shared" si="220"/>
        <v>-20.013999999999999</v>
      </c>
      <c r="AJ83" s="1497">
        <f t="shared" si="220"/>
        <v>-19.399000000000001</v>
      </c>
      <c r="AK83" s="1497">
        <f t="shared" si="220"/>
        <v>-18.434000000000001</v>
      </c>
      <c r="AL83" s="1497">
        <f t="shared" si="220"/>
        <v>-14.223999999999984</v>
      </c>
      <c r="AM83" s="1497">
        <f t="shared" si="220"/>
        <v>-16.797000000000008</v>
      </c>
      <c r="AN83" s="1497">
        <f t="shared" si="220"/>
        <v>-2.0450000000000026</v>
      </c>
      <c r="AO83" s="1497">
        <f t="shared" si="220"/>
        <v>-23.814999999999994</v>
      </c>
      <c r="AP83" s="1497">
        <f t="shared" si="220"/>
        <v>-3.8919999999999981</v>
      </c>
      <c r="AQ83" s="1497">
        <f t="shared" si="220"/>
        <v>2.2430000000000079</v>
      </c>
      <c r="AR83" s="1497">
        <f t="shared" si="220"/>
        <v>-19.557999999999996</v>
      </c>
      <c r="AS83" s="1497">
        <f t="shared" si="220"/>
        <v>-2.6880000000000011</v>
      </c>
      <c r="AT83" s="1497">
        <f t="shared" si="220"/>
        <v>1.9020000000000012</v>
      </c>
      <c r="AU83" s="1497">
        <f t="shared" si="220"/>
        <v>3.0780000000000038</v>
      </c>
      <c r="AV83" s="1497">
        <f t="shared" si="220"/>
        <v>6.480999999999999</v>
      </c>
      <c r="AW83" s="1497">
        <f t="shared" si="220"/>
        <v>8.8919999999999977</v>
      </c>
      <c r="AX83" s="1497">
        <f t="shared" si="220"/>
        <v>10.912999999999986</v>
      </c>
      <c r="AY83" s="1497">
        <f t="shared" si="220"/>
        <v>10.626000000000007</v>
      </c>
      <c r="AZ83" s="1497">
        <f t="shared" si="220"/>
        <v>15.393000000000002</v>
      </c>
      <c r="BA83" s="1497">
        <f t="shared" si="220"/>
        <v>18.149000000000004</v>
      </c>
      <c r="BB83" s="1497">
        <f t="shared" si="220"/>
        <v>15.494</v>
      </c>
      <c r="BC83" s="1497">
        <f t="shared" si="220"/>
        <v>18.55899999999999</v>
      </c>
      <c r="BD83" s="1497">
        <f t="shared" si="220"/>
        <v>12.790999999999995</v>
      </c>
      <c r="BE83" s="1497">
        <f t="shared" si="220"/>
        <v>16.107000000000003</v>
      </c>
      <c r="BF83" s="1497">
        <f t="shared" si="220"/>
        <v>20.655000000000005</v>
      </c>
      <c r="BG83" s="1497">
        <f t="shared" si="220"/>
        <v>25.858999999999991</v>
      </c>
      <c r="BH83" s="1497">
        <f t="shared" si="220"/>
        <v>19.850000000000005</v>
      </c>
      <c r="BI83" s="1497">
        <f t="shared" si="220"/>
        <v>37.862000000000009</v>
      </c>
      <c r="BJ83" s="1497">
        <f t="shared" si="220"/>
        <v>48.427000000000007</v>
      </c>
      <c r="BK83" s="1497">
        <f t="shared" si="220"/>
        <v>13.880999999999981</v>
      </c>
      <c r="BL83" s="1497">
        <f t="shared" si="220"/>
        <v>62.983999999999995</v>
      </c>
      <c r="BM83" s="1497">
        <f t="shared" si="220"/>
        <v>64.957999999999998</v>
      </c>
      <c r="BN83" s="1497">
        <f t="shared" si="220"/>
        <v>63.321000000000005</v>
      </c>
      <c r="BO83" s="1497">
        <f t="shared" si="220"/>
        <v>76.294999999999959</v>
      </c>
      <c r="BP83" s="1497">
        <f t="shared" si="220"/>
        <v>86.703999999999994</v>
      </c>
      <c r="BQ83" s="1497">
        <f t="shared" si="220"/>
        <v>78.739000000000033</v>
      </c>
      <c r="BR83" s="1497">
        <f t="shared" si="220"/>
        <v>107.53899999999997</v>
      </c>
      <c r="BS83" s="1497">
        <f t="shared" si="220"/>
        <v>82.509999999999977</v>
      </c>
      <c r="BT83" s="1497">
        <f t="shared" ref="BT83:BY83" si="223">BT32</f>
        <v>99.811999999999998</v>
      </c>
      <c r="BU83" s="1497">
        <f t="shared" si="223"/>
        <v>54.573999999999977</v>
      </c>
      <c r="BV83" s="1497">
        <f t="shared" si="223"/>
        <v>109.51000000000002</v>
      </c>
      <c r="BW83" s="1497">
        <f t="shared" si="223"/>
        <v>118.771</v>
      </c>
      <c r="BX83" s="1497">
        <f t="shared" si="223"/>
        <v>111.33500000000001</v>
      </c>
      <c r="BY83" s="1497">
        <f t="shared" si="223"/>
        <v>136.49</v>
      </c>
      <c r="BZ83" s="1497">
        <f t="shared" ref="BZ83:CE83" si="224">BZ32</f>
        <v>138.03399999999996</v>
      </c>
      <c r="CA83" s="1497">
        <f t="shared" si="224"/>
        <v>183.518</v>
      </c>
      <c r="CB83" s="1497">
        <f t="shared" si="224"/>
        <v>119.66600000000003</v>
      </c>
      <c r="CC83" s="1497">
        <f t="shared" si="224"/>
        <v>193.94199999999998</v>
      </c>
      <c r="CD83" s="1497">
        <f t="shared" si="224"/>
        <v>100.27899999999995</v>
      </c>
      <c r="CE83" s="1497">
        <f t="shared" si="224"/>
        <v>227.36799999999999</v>
      </c>
      <c r="CF83" s="1497">
        <f t="shared" ref="CF83:CM83" si="225">CF32</f>
        <v>82.346999999999923</v>
      </c>
      <c r="CG83" s="1497">
        <f t="shared" si="225"/>
        <v>150.07300000000004</v>
      </c>
      <c r="CH83" s="1497">
        <f t="shared" si="225"/>
        <v>206.6100000000001</v>
      </c>
      <c r="CI83" s="1497">
        <f t="shared" si="225"/>
        <v>166.70600000000002</v>
      </c>
      <c r="CJ83" s="1497">
        <f t="shared" si="225"/>
        <v>171.71800000000002</v>
      </c>
      <c r="CK83" s="1497">
        <f t="shared" si="225"/>
        <v>98.964000000000055</v>
      </c>
      <c r="CL83" s="1497">
        <f t="shared" si="225"/>
        <v>216.441</v>
      </c>
      <c r="CM83" s="1497">
        <f t="shared" si="225"/>
        <v>202.29700000000005</v>
      </c>
      <c r="CN83" s="1497">
        <f>CN32</f>
        <v>232.81100000000001</v>
      </c>
      <c r="CO83" s="1497">
        <f>CO32</f>
        <v>212.46299999999991</v>
      </c>
      <c r="CP83" s="1497">
        <f>CP32</f>
        <v>214.40200000000002</v>
      </c>
      <c r="CQ83" s="1497">
        <f>CQ32</f>
        <v>235.11799999999988</v>
      </c>
      <c r="CR83" s="1497">
        <f t="shared" ref="CR83:CU83" si="226">CR32</f>
        <v>104.27000000000001</v>
      </c>
      <c r="CS83" s="1497">
        <f t="shared" si="226"/>
        <v>278.82799999999992</v>
      </c>
      <c r="CT83" s="1497">
        <f t="shared" si="226"/>
        <v>334.17199999999997</v>
      </c>
      <c r="CU83" s="1497">
        <f t="shared" si="226"/>
        <v>299.31</v>
      </c>
      <c r="CV83" s="1497">
        <f>CV32</f>
        <v>247.37100000000012</v>
      </c>
      <c r="CW83" s="1497">
        <f>CW32</f>
        <v>306.47300000000007</v>
      </c>
      <c r="CX83" s="1497">
        <f>CX32</f>
        <v>390.51</v>
      </c>
      <c r="CY83" s="1497">
        <f>CY32</f>
        <v>494.87900000000002</v>
      </c>
      <c r="CZ83" s="1497">
        <f t="shared" ref="CZ83:DC83" ca="1" si="227">CZ32</f>
        <v>398.42419842697109</v>
      </c>
      <c r="DA83" s="1497">
        <f t="shared" ca="1" si="227"/>
        <v>447.80166351005704</v>
      </c>
      <c r="DB83" s="1497">
        <f t="shared" ca="1" si="227"/>
        <v>466.24677505810416</v>
      </c>
      <c r="DC83" s="1497">
        <f t="shared" ca="1" si="227"/>
        <v>486.86326539536867</v>
      </c>
      <c r="DE83" s="1048"/>
      <c r="DF83" s="783"/>
      <c r="DG83" s="783"/>
      <c r="DH83" s="783"/>
      <c r="DI83" s="1048"/>
      <c r="DJ83" s="1048"/>
      <c r="DK83" s="1048"/>
      <c r="DL83" s="1048"/>
      <c r="DM83" s="1048"/>
      <c r="DN83" s="1048"/>
      <c r="DO83" s="1048"/>
      <c r="DP83" s="1048"/>
      <c r="DQ83" s="1048"/>
      <c r="DR83" s="1048"/>
      <c r="DS83" s="1048"/>
      <c r="DT83" s="1048"/>
      <c r="DU83" s="1048"/>
      <c r="DV83" s="1048"/>
      <c r="DW83" s="1048"/>
      <c r="DX83" s="1048"/>
      <c r="DY83" s="1048"/>
      <c r="DZ83" s="1048"/>
      <c r="EA83" s="1048"/>
      <c r="EB83" s="1048"/>
      <c r="EC83" s="1048"/>
      <c r="ED83" s="1048"/>
      <c r="EE83" s="1048"/>
      <c r="EF83" s="1048"/>
      <c r="EG83" s="1048"/>
      <c r="EH83" s="1048"/>
      <c r="EI83" s="1048"/>
      <c r="EJ83" s="1048"/>
      <c r="EK83" s="1048"/>
      <c r="EL83" s="1048"/>
      <c r="EM83" s="1048"/>
      <c r="EN83" s="1048"/>
      <c r="EO83" s="1048"/>
      <c r="EP83" s="1048"/>
      <c r="EQ83" s="1048"/>
      <c r="ER83" s="1048"/>
      <c r="ES83" s="1048"/>
      <c r="ET83" s="1048"/>
      <c r="EU83" s="1913"/>
      <c r="FB83" s="15"/>
      <c r="FC83" s="15"/>
      <c r="FD83" s="15"/>
    </row>
    <row r="84" spans="2:160" hidden="1" outlineLevel="1">
      <c r="B84" s="1049" t="s">
        <v>195</v>
      </c>
      <c r="C84" s="1048"/>
      <c r="D84" s="1048"/>
      <c r="E84" s="809">
        <f>E38</f>
        <v>-296.32</v>
      </c>
      <c r="F84" s="809">
        <f>F38</f>
        <v>-57.790999999999997</v>
      </c>
      <c r="G84" s="809">
        <f>G38</f>
        <v>-6.5080000000000009</v>
      </c>
      <c r="H84" s="809">
        <f>H38</f>
        <v>-7.75</v>
      </c>
      <c r="I84" s="809">
        <f t="shared" ref="I84:BS84" si="228">I38</f>
        <v>-22.934000000000001</v>
      </c>
      <c r="J84" s="809">
        <f t="shared" si="228"/>
        <v>-45.411999999999999</v>
      </c>
      <c r="K84" s="809">
        <f t="shared" si="228"/>
        <v>-162.291</v>
      </c>
      <c r="L84" s="809">
        <f t="shared" si="228"/>
        <v>-416.81099999999998</v>
      </c>
      <c r="M84" s="809">
        <f t="shared" si="228"/>
        <v>-471.12800000000004</v>
      </c>
      <c r="N84" s="1497">
        <f t="shared" si="228"/>
        <v>-342.18</v>
      </c>
      <c r="O84" s="1497">
        <f t="shared" si="228"/>
        <v>-579.39700000000005</v>
      </c>
      <c r="P84" s="1497">
        <f t="shared" si="228"/>
        <v>-682.73299999999995</v>
      </c>
      <c r="Q84" s="1497">
        <f t="shared" ref="Q84:Z84" si="229">Q38</f>
        <v>-764.50000000000011</v>
      </c>
      <c r="R84" s="1497">
        <f t="shared" si="229"/>
        <v>-572.40599999999995</v>
      </c>
      <c r="S84" s="1497">
        <f t="shared" si="229"/>
        <v>-660.20299999999997</v>
      </c>
      <c r="T84" s="1497">
        <f t="shared" si="229"/>
        <v>-868.12000000000012</v>
      </c>
      <c r="U84" s="1497">
        <f>U38</f>
        <v>-1113.365</v>
      </c>
      <c r="V84" s="1497">
        <f>V38</f>
        <v>-1378.7249999999999</v>
      </c>
      <c r="W84" s="1497">
        <f ca="1">W38</f>
        <v>-1935.5663438236479</v>
      </c>
      <c r="X84" s="1497">
        <f t="shared" ca="1" si="229"/>
        <v>-1853.1485108793856</v>
      </c>
      <c r="Y84" s="1497">
        <f t="shared" ca="1" si="229"/>
        <v>-1659.9433173086413</v>
      </c>
      <c r="Z84" s="1497">
        <f t="shared" ca="1" si="229"/>
        <v>-1618.4103193755129</v>
      </c>
      <c r="AA84" s="1497">
        <f t="shared" ref="AA84:AD84" ca="1" si="230">AA38</f>
        <v>-1626.0760966777502</v>
      </c>
      <c r="AB84" s="1497">
        <f t="shared" ca="1" si="230"/>
        <v>-1633.809178891328</v>
      </c>
      <c r="AC84" s="1497">
        <f t="shared" ca="1" si="230"/>
        <v>-1641.6704325604251</v>
      </c>
      <c r="AD84" s="1497">
        <f t="shared" ca="1" si="230"/>
        <v>-1649.5823160395212</v>
      </c>
      <c r="AE84" s="1498"/>
      <c r="AF84" s="1498"/>
      <c r="AG84" s="1498"/>
      <c r="AH84" s="1497">
        <f t="shared" si="228"/>
        <v>-169.64599999999999</v>
      </c>
      <c r="AI84" s="1497">
        <f t="shared" si="228"/>
        <v>-126.67400000000001</v>
      </c>
      <c r="AJ84" s="1497">
        <f t="shared" si="228"/>
        <v>-34.692</v>
      </c>
      <c r="AK84" s="1497">
        <f t="shared" si="228"/>
        <v>-7.4080000000000013</v>
      </c>
      <c r="AL84" s="1497">
        <f t="shared" si="228"/>
        <v>-35.059999999999995</v>
      </c>
      <c r="AM84" s="1497">
        <f t="shared" si="228"/>
        <v>19.369</v>
      </c>
      <c r="AN84" s="1497">
        <f t="shared" si="228"/>
        <v>-2.8359999999999999</v>
      </c>
      <c r="AO84" s="1497">
        <f t="shared" si="228"/>
        <v>-1.1880000000000002</v>
      </c>
      <c r="AP84" s="1497">
        <f t="shared" si="228"/>
        <v>-1.0670000000000002</v>
      </c>
      <c r="AQ84" s="1497">
        <f t="shared" si="228"/>
        <v>-1.4170000000000003</v>
      </c>
      <c r="AR84" s="1497">
        <f t="shared" si="228"/>
        <v>-0.34599999999999997</v>
      </c>
      <c r="AS84" s="1497">
        <f t="shared" si="228"/>
        <v>-1.1139999999999999</v>
      </c>
      <c r="AT84" s="1497">
        <f t="shared" si="228"/>
        <v>-1.4289999999999998</v>
      </c>
      <c r="AU84" s="1497">
        <f t="shared" si="228"/>
        <v>-4.8609999999999998</v>
      </c>
      <c r="AV84" s="1497">
        <f t="shared" si="228"/>
        <v>-4.9080000000000004</v>
      </c>
      <c r="AW84" s="1497">
        <f t="shared" si="228"/>
        <v>-4.2540000000000004</v>
      </c>
      <c r="AX84" s="1497">
        <f t="shared" si="228"/>
        <v>-7.6209999999999996</v>
      </c>
      <c r="AY84" s="1497">
        <f t="shared" si="228"/>
        <v>-6.1510000000000007</v>
      </c>
      <c r="AZ84" s="1497">
        <f t="shared" si="228"/>
        <v>-5.5229999999999997</v>
      </c>
      <c r="BA84" s="1497">
        <f t="shared" si="228"/>
        <v>-9.89</v>
      </c>
      <c r="BB84" s="1497">
        <f t="shared" si="228"/>
        <v>-7.0790000000000006</v>
      </c>
      <c r="BC84" s="1497">
        <f t="shared" si="228"/>
        <v>-22.919999999999998</v>
      </c>
      <c r="BD84" s="1497">
        <f t="shared" si="228"/>
        <v>-26.613</v>
      </c>
      <c r="BE84" s="1497">
        <f t="shared" si="228"/>
        <v>-29.670999999999999</v>
      </c>
      <c r="BF84" s="1497">
        <f t="shared" si="228"/>
        <v>-46.620000000000005</v>
      </c>
      <c r="BG84" s="1497">
        <f t="shared" si="228"/>
        <v>-59.387</v>
      </c>
      <c r="BH84" s="1497">
        <f t="shared" si="228"/>
        <v>-67.055999999999997</v>
      </c>
      <c r="BI84" s="1497">
        <f t="shared" si="228"/>
        <v>-139.83199999999999</v>
      </c>
      <c r="BJ84" s="1497">
        <f t="shared" si="228"/>
        <v>-88.921000000000035</v>
      </c>
      <c r="BK84" s="1497">
        <f t="shared" si="228"/>
        <v>-121.00199999999994</v>
      </c>
      <c r="BL84" s="1497">
        <f t="shared" si="228"/>
        <v>-125.643</v>
      </c>
      <c r="BM84" s="1497">
        <f t="shared" si="228"/>
        <v>-84.457999999999998</v>
      </c>
      <c r="BN84" s="1497">
        <f t="shared" si="228"/>
        <v>-95.444999999999993</v>
      </c>
      <c r="BO84" s="1497">
        <f t="shared" si="228"/>
        <v>-165.58200000000002</v>
      </c>
      <c r="BP84" s="1497">
        <f t="shared" si="228"/>
        <v>-74.968999999999994</v>
      </c>
      <c r="BQ84" s="1497">
        <f t="shared" si="228"/>
        <v>-76.816000000000003</v>
      </c>
      <c r="BR84" s="1497">
        <f t="shared" si="228"/>
        <v>-88.655000000000001</v>
      </c>
      <c r="BS84" s="1497">
        <f t="shared" si="228"/>
        <v>-101.74</v>
      </c>
      <c r="BT84" s="1497">
        <f t="shared" ref="BT84:BY84" si="231">BT38</f>
        <v>-143.4</v>
      </c>
      <c r="BU84" s="1497">
        <f t="shared" si="231"/>
        <v>-148.70500000000001</v>
      </c>
      <c r="BV84" s="1497">
        <f t="shared" si="231"/>
        <v>-143.941</v>
      </c>
      <c r="BW84" s="1497">
        <f t="shared" si="231"/>
        <v>-143.351</v>
      </c>
      <c r="BX84" s="1497">
        <f t="shared" si="231"/>
        <v>-172.51599999999999</v>
      </c>
      <c r="BY84" s="1497">
        <f t="shared" si="231"/>
        <v>-188.875</v>
      </c>
      <c r="BZ84" s="1497">
        <f t="shared" ref="BZ84:CE84" si="232">BZ38</f>
        <v>-131.52500000000001</v>
      </c>
      <c r="CA84" s="1497">
        <f t="shared" si="232"/>
        <v>-189.81700000000001</v>
      </c>
      <c r="CB84" s="1497">
        <f t="shared" si="232"/>
        <v>-145.49</v>
      </c>
      <c r="CC84" s="1497">
        <f t="shared" si="232"/>
        <v>-196.48400000000001</v>
      </c>
      <c r="CD84" s="1497">
        <f t="shared" si="232"/>
        <v>-212.11799999999999</v>
      </c>
      <c r="CE84" s="1497">
        <f t="shared" si="232"/>
        <v>-210.40799999999999</v>
      </c>
      <c r="CF84" s="1497">
        <f t="shared" ref="CF84:CM84" si="233">CF38</f>
        <v>-75.667000000000002</v>
      </c>
      <c r="CG84" s="1497">
        <f t="shared" si="233"/>
        <v>-122.863</v>
      </c>
      <c r="CH84" s="1497">
        <f t="shared" si="233"/>
        <v>-171.035</v>
      </c>
      <c r="CI84" s="1497">
        <f t="shared" si="233"/>
        <v>-202.84100000000001</v>
      </c>
      <c r="CJ84" s="1497">
        <f t="shared" si="233"/>
        <v>-105.907</v>
      </c>
      <c r="CK84" s="1497">
        <f t="shared" si="233"/>
        <v>-159.816</v>
      </c>
      <c r="CL84" s="1497">
        <f t="shared" si="233"/>
        <v>-156.00299999999999</v>
      </c>
      <c r="CM84" s="1497">
        <f t="shared" si="233"/>
        <v>-238.477</v>
      </c>
      <c r="CN84" s="1497">
        <f>CN38</f>
        <v>-150.12</v>
      </c>
      <c r="CO84" s="1497">
        <f>CO38</f>
        <v>-221.34200000000001</v>
      </c>
      <c r="CP84" s="1497">
        <f>CP38</f>
        <v>-216.04599999999999</v>
      </c>
      <c r="CQ84" s="1497">
        <f>CQ38</f>
        <v>-280.61200000000002</v>
      </c>
      <c r="CR84" s="1497">
        <f t="shared" ref="CR84:CU84" si="234">CR38</f>
        <v>-197.7</v>
      </c>
      <c r="CS84" s="1497">
        <f t="shared" si="234"/>
        <v>-249.86699999999999</v>
      </c>
      <c r="CT84" s="1497">
        <f t="shared" si="234"/>
        <v>-279.47699999999998</v>
      </c>
      <c r="CU84" s="1497">
        <f t="shared" si="234"/>
        <v>-386.32100000000003</v>
      </c>
      <c r="CV84" s="1497">
        <f>CV38</f>
        <v>-277.24200000000002</v>
      </c>
      <c r="CW84" s="1497">
        <f>CW38</f>
        <v>-348.572</v>
      </c>
      <c r="CX84" s="1497">
        <f>CX38</f>
        <v>-320.23399999999998</v>
      </c>
      <c r="CY84" s="1497">
        <f>CY38</f>
        <v>-432.67700000000002</v>
      </c>
      <c r="CZ84" s="1497">
        <f t="shared" ref="CZ84:DC84" ca="1" si="235">CZ38</f>
        <v>-362.12274004330436</v>
      </c>
      <c r="DA84" s="1497">
        <f t="shared" ca="1" si="235"/>
        <v>-246.47940058632264</v>
      </c>
      <c r="DB84" s="1497">
        <f t="shared" ca="1" si="235"/>
        <v>-668.95743560835956</v>
      </c>
      <c r="DC84" s="1497">
        <f t="shared" ca="1" si="235"/>
        <v>-658.00676758566112</v>
      </c>
      <c r="DE84" s="1048"/>
      <c r="DF84" s="783"/>
      <c r="DG84" s="783"/>
      <c r="DH84" s="783"/>
      <c r="DI84" s="1048"/>
      <c r="DJ84" s="1048"/>
      <c r="DK84" s="1048"/>
      <c r="DL84" s="1048"/>
      <c r="DM84" s="1048"/>
      <c r="DN84" s="1048"/>
      <c r="DO84" s="1048"/>
      <c r="DP84" s="1048"/>
      <c r="DQ84" s="1048"/>
      <c r="DR84" s="1048"/>
      <c r="DS84" s="1048"/>
      <c r="DT84" s="1048"/>
      <c r="DU84" s="1048"/>
      <c r="DV84" s="1048"/>
      <c r="DW84" s="1048"/>
      <c r="DX84" s="1048"/>
      <c r="DY84" s="1048"/>
      <c r="DZ84" s="1048"/>
      <c r="EA84" s="1048"/>
      <c r="EB84" s="1048"/>
      <c r="EC84" s="1048"/>
      <c r="ED84" s="1048"/>
      <c r="EE84" s="1048"/>
      <c r="EF84" s="1048"/>
      <c r="EG84" s="1048"/>
      <c r="EH84" s="1048"/>
      <c r="EI84" s="1048"/>
      <c r="EJ84" s="1048"/>
      <c r="EK84" s="1048"/>
      <c r="EL84" s="1048"/>
      <c r="EM84" s="1048"/>
      <c r="EN84" s="1048"/>
      <c r="EO84" s="1048"/>
      <c r="EP84" s="1048"/>
      <c r="EQ84" s="1048"/>
      <c r="ER84" s="1048"/>
      <c r="ES84" s="1048"/>
      <c r="ET84" s="1048"/>
      <c r="EU84" s="1913"/>
      <c r="FB84" s="15"/>
      <c r="FC84" s="15"/>
      <c r="FD84" s="15"/>
    </row>
    <row r="85" spans="2:160" hidden="1" outlineLevel="1">
      <c r="B85" s="1049" t="s">
        <v>257</v>
      </c>
      <c r="C85" s="1048"/>
      <c r="D85" s="1048"/>
      <c r="E85" s="809">
        <f>E41</f>
        <v>0</v>
      </c>
      <c r="F85" s="809">
        <f>F41</f>
        <v>0</v>
      </c>
      <c r="G85" s="809">
        <f>G41</f>
        <v>0</v>
      </c>
      <c r="H85" s="809">
        <f t="shared" ref="H85:P85" si="236">H41</f>
        <v>0</v>
      </c>
      <c r="I85" s="809">
        <f t="shared" si="236"/>
        <v>0</v>
      </c>
      <c r="J85" s="809">
        <f t="shared" si="236"/>
        <v>-88.507000000000005</v>
      </c>
      <c r="K85" s="809">
        <f t="shared" si="236"/>
        <v>-0.23600000000000065</v>
      </c>
      <c r="L85" s="809">
        <f t="shared" si="236"/>
        <v>-662.322</v>
      </c>
      <c r="M85" s="809">
        <f t="shared" si="236"/>
        <v>-23.241</v>
      </c>
      <c r="N85" s="1497">
        <f t="shared" si="236"/>
        <v>-28.175999999999998</v>
      </c>
      <c r="O85" s="1497">
        <f t="shared" si="236"/>
        <v>-113.289</v>
      </c>
      <c r="P85" s="1497">
        <f t="shared" si="236"/>
        <v>-65.947000000000003</v>
      </c>
      <c r="Q85" s="1497">
        <f t="shared" ref="Q85:Z85" si="237">Q41</f>
        <v>-257.69</v>
      </c>
      <c r="R85" s="1497">
        <f t="shared" si="237"/>
        <v>-3.0670000000000002</v>
      </c>
      <c r="S85" s="1497">
        <f t="shared" si="237"/>
        <v>0</v>
      </c>
      <c r="T85" s="1497">
        <f t="shared" si="237"/>
        <v>-245.553</v>
      </c>
      <c r="U85" s="1497">
        <f>U41</f>
        <v>-938.15</v>
      </c>
      <c r="V85" s="1497">
        <f>V41</f>
        <v>-4010.5959999999995</v>
      </c>
      <c r="W85" s="1497">
        <f>W41</f>
        <v>0</v>
      </c>
      <c r="X85" s="1497">
        <f t="shared" si="237"/>
        <v>0</v>
      </c>
      <c r="Y85" s="1497">
        <f t="shared" si="237"/>
        <v>0</v>
      </c>
      <c r="Z85" s="1497">
        <f t="shared" si="237"/>
        <v>0</v>
      </c>
      <c r="AA85" s="1497">
        <f t="shared" ref="AA85:AD85" si="238">AA41</f>
        <v>0</v>
      </c>
      <c r="AB85" s="1497">
        <f t="shared" si="238"/>
        <v>0</v>
      </c>
      <c r="AC85" s="1497">
        <f t="shared" si="238"/>
        <v>0</v>
      </c>
      <c r="AD85" s="1497">
        <f t="shared" si="238"/>
        <v>0</v>
      </c>
      <c r="AE85" s="1498"/>
      <c r="AF85" s="1498"/>
      <c r="AG85" s="1498"/>
      <c r="AH85" s="1497">
        <f t="shared" ref="AH85:BS85" si="239">AH41</f>
        <v>0</v>
      </c>
      <c r="AI85" s="1497">
        <f t="shared" si="239"/>
        <v>0</v>
      </c>
      <c r="AJ85" s="1497">
        <f t="shared" si="239"/>
        <v>0</v>
      </c>
      <c r="AK85" s="1497">
        <f t="shared" si="239"/>
        <v>0</v>
      </c>
      <c r="AL85" s="1497">
        <f t="shared" si="239"/>
        <v>0</v>
      </c>
      <c r="AM85" s="1497">
        <f t="shared" si="239"/>
        <v>0</v>
      </c>
      <c r="AN85" s="1497">
        <f t="shared" si="239"/>
        <v>0</v>
      </c>
      <c r="AO85" s="1497">
        <f t="shared" si="239"/>
        <v>0</v>
      </c>
      <c r="AP85" s="1497">
        <f t="shared" si="239"/>
        <v>0</v>
      </c>
      <c r="AQ85" s="1497">
        <f t="shared" si="239"/>
        <v>0</v>
      </c>
      <c r="AR85" s="1497">
        <f t="shared" si="239"/>
        <v>0</v>
      </c>
      <c r="AS85" s="1497">
        <f t="shared" si="239"/>
        <v>0</v>
      </c>
      <c r="AT85" s="1497">
        <f t="shared" si="239"/>
        <v>0</v>
      </c>
      <c r="AU85" s="1497">
        <f t="shared" si="239"/>
        <v>0</v>
      </c>
      <c r="AV85" s="1497">
        <f t="shared" si="239"/>
        <v>0</v>
      </c>
      <c r="AW85" s="1497">
        <f t="shared" si="239"/>
        <v>0</v>
      </c>
      <c r="AX85" s="1497">
        <f t="shared" si="239"/>
        <v>0</v>
      </c>
      <c r="AY85" s="1497">
        <f t="shared" si="239"/>
        <v>0</v>
      </c>
      <c r="AZ85" s="1497">
        <f t="shared" si="239"/>
        <v>0</v>
      </c>
      <c r="BA85" s="1497">
        <f t="shared" si="239"/>
        <v>0</v>
      </c>
      <c r="BB85" s="1497">
        <f t="shared" si="239"/>
        <v>-34.726999999999997</v>
      </c>
      <c r="BC85" s="1497">
        <f t="shared" si="239"/>
        <v>-53.780000000000008</v>
      </c>
      <c r="BD85" s="1497">
        <f t="shared" si="239"/>
        <v>0</v>
      </c>
      <c r="BE85" s="1497">
        <f t="shared" si="239"/>
        <v>-9.766</v>
      </c>
      <c r="BF85" s="1497">
        <f t="shared" si="239"/>
        <v>0</v>
      </c>
      <c r="BG85" s="1497">
        <f t="shared" si="239"/>
        <v>9.5299999999999994</v>
      </c>
      <c r="BH85" s="1497">
        <f t="shared" si="239"/>
        <v>-6.5</v>
      </c>
      <c r="BI85" s="1497">
        <f t="shared" si="239"/>
        <v>-49.04</v>
      </c>
      <c r="BJ85" s="1497">
        <f t="shared" si="239"/>
        <v>-606.71900000000005</v>
      </c>
      <c r="BK85" s="1497">
        <f t="shared" si="239"/>
        <v>-6.2999999999952649E-2</v>
      </c>
      <c r="BL85" s="1497">
        <f t="shared" si="239"/>
        <v>-23.241</v>
      </c>
      <c r="BM85" s="1497">
        <f t="shared" si="239"/>
        <v>0</v>
      </c>
      <c r="BN85" s="1497">
        <f t="shared" si="239"/>
        <v>0</v>
      </c>
      <c r="BO85" s="1497">
        <f t="shared" si="239"/>
        <v>0</v>
      </c>
      <c r="BP85" s="1497">
        <f t="shared" si="239"/>
        <v>0</v>
      </c>
      <c r="BQ85" s="1497">
        <f t="shared" si="239"/>
        <v>0</v>
      </c>
      <c r="BR85" s="1497">
        <f t="shared" si="239"/>
        <v>-28.175999999999998</v>
      </c>
      <c r="BS85" s="1497">
        <f t="shared" si="239"/>
        <v>0</v>
      </c>
      <c r="BT85" s="1497">
        <f t="shared" ref="BT85:BY85" si="240">BT41</f>
        <v>0</v>
      </c>
      <c r="BU85" s="1497">
        <f t="shared" si="240"/>
        <v>-113.289</v>
      </c>
      <c r="BV85" s="1497">
        <f t="shared" si="240"/>
        <v>0</v>
      </c>
      <c r="BW85" s="1497">
        <f t="shared" si="240"/>
        <v>0</v>
      </c>
      <c r="BX85" s="1497">
        <f t="shared" si="240"/>
        <v>-14.951000000000001</v>
      </c>
      <c r="BY85" s="1497">
        <f t="shared" si="240"/>
        <v>-50.996000000000002</v>
      </c>
      <c r="BZ85" s="1497">
        <f t="shared" ref="BZ85:CE85" si="241">BZ41</f>
        <v>0</v>
      </c>
      <c r="CA85" s="1497">
        <f t="shared" si="241"/>
        <v>0</v>
      </c>
      <c r="CB85" s="1497">
        <f t="shared" si="241"/>
        <v>0</v>
      </c>
      <c r="CC85" s="1497">
        <f t="shared" si="241"/>
        <v>0</v>
      </c>
      <c r="CD85" s="1497">
        <f t="shared" si="241"/>
        <v>-273.03399999999999</v>
      </c>
      <c r="CE85" s="1497">
        <f t="shared" si="241"/>
        <v>15.344000000000001</v>
      </c>
      <c r="CF85" s="1497">
        <f t="shared" ref="CF85:CM85" si="242">CF41</f>
        <v>-0.107</v>
      </c>
      <c r="CG85" s="1497">
        <f t="shared" si="242"/>
        <v>-2.96</v>
      </c>
      <c r="CH85" s="1497">
        <f t="shared" si="242"/>
        <v>0</v>
      </c>
      <c r="CI85" s="1497">
        <f t="shared" si="242"/>
        <v>0</v>
      </c>
      <c r="CJ85" s="1497">
        <f t="shared" si="242"/>
        <v>0</v>
      </c>
      <c r="CK85" s="1497">
        <f t="shared" si="242"/>
        <v>0</v>
      </c>
      <c r="CL85" s="1497">
        <f t="shared" si="242"/>
        <v>0</v>
      </c>
      <c r="CM85" s="1497">
        <f t="shared" si="242"/>
        <v>0</v>
      </c>
      <c r="CN85" s="1497">
        <f>CN41</f>
        <v>-10.247</v>
      </c>
      <c r="CO85" s="1497">
        <f>CO41</f>
        <v>0</v>
      </c>
      <c r="CP85" s="1497">
        <f>CP41</f>
        <v>0</v>
      </c>
      <c r="CQ85" s="1497">
        <f>CQ41</f>
        <v>-235.30600000000001</v>
      </c>
      <c r="CR85" s="1497">
        <f t="shared" ref="CR85:CU85" si="243">CR41</f>
        <v>-1601.627</v>
      </c>
      <c r="CS85" s="1497">
        <f t="shared" si="243"/>
        <v>0</v>
      </c>
      <c r="CT85" s="1497">
        <f t="shared" si="243"/>
        <v>639.471</v>
      </c>
      <c r="CU85" s="1497">
        <f t="shared" si="243"/>
        <v>24.006</v>
      </c>
      <c r="CV85" s="1497">
        <f>CV41</f>
        <v>-30.012999999999998</v>
      </c>
      <c r="CW85" s="1497">
        <f>CW41</f>
        <v>-3600.4539999999997</v>
      </c>
      <c r="CX85" s="1497">
        <f>CX41</f>
        <v>-15.256</v>
      </c>
      <c r="CY85" s="1497">
        <f>CY41</f>
        <v>-364.87300000000005</v>
      </c>
      <c r="CZ85" s="1497">
        <f t="shared" ref="CZ85:DC85" si="244">CZ41</f>
        <v>0</v>
      </c>
      <c r="DA85" s="1497">
        <f t="shared" si="244"/>
        <v>0</v>
      </c>
      <c r="DB85" s="1497">
        <f t="shared" si="244"/>
        <v>0</v>
      </c>
      <c r="DC85" s="1497">
        <f t="shared" si="244"/>
        <v>0</v>
      </c>
      <c r="DE85" s="1048"/>
      <c r="DF85" s="783"/>
      <c r="DG85" s="783"/>
      <c r="DH85" s="783"/>
      <c r="DI85" s="1048"/>
      <c r="DJ85" s="1048"/>
      <c r="DK85" s="1048"/>
      <c r="DL85" s="1048"/>
      <c r="DM85" s="1048"/>
      <c r="DN85" s="1048"/>
      <c r="DO85" s="1048"/>
      <c r="DP85" s="1048"/>
      <c r="DQ85" s="1048"/>
      <c r="DR85" s="1048"/>
      <c r="DS85" s="1048"/>
      <c r="DT85" s="1048"/>
      <c r="DU85" s="1048"/>
      <c r="DV85" s="1048"/>
      <c r="DW85" s="1048"/>
      <c r="DX85" s="1048"/>
      <c r="DY85" s="1048"/>
      <c r="DZ85" s="1048"/>
      <c r="EA85" s="1048"/>
      <c r="EB85" s="1048"/>
      <c r="EC85" s="1048"/>
      <c r="ED85" s="1048"/>
      <c r="EE85" s="1048"/>
      <c r="EF85" s="1048"/>
      <c r="EG85" s="1048"/>
      <c r="EH85" s="1048"/>
      <c r="EI85" s="1048"/>
      <c r="EJ85" s="1048"/>
      <c r="EK85" s="1048"/>
      <c r="EL85" s="1048"/>
      <c r="EM85" s="1048"/>
      <c r="EN85" s="1048"/>
      <c r="EO85" s="1048"/>
      <c r="EP85" s="1048"/>
      <c r="EQ85" s="1048"/>
      <c r="ER85" s="1048"/>
      <c r="ES85" s="1048"/>
      <c r="ET85" s="1048"/>
      <c r="EU85" s="1913"/>
      <c r="FB85" s="15"/>
      <c r="FC85" s="15"/>
      <c r="FD85" s="15"/>
    </row>
    <row r="86" spans="2:160" hidden="1" outlineLevel="1">
      <c r="B86" s="1049" t="s">
        <v>255</v>
      </c>
      <c r="C86" s="23"/>
      <c r="D86" s="15"/>
      <c r="E86" s="26">
        <f>E40</f>
        <v>79.570999999999998</v>
      </c>
      <c r="F86" s="26">
        <f>F40</f>
        <v>-54.692999999999998</v>
      </c>
      <c r="G86" s="26">
        <f>G40</f>
        <v>-28.707999999999998</v>
      </c>
      <c r="H86" s="26">
        <f t="shared" ref="H86:P86" si="245">H40</f>
        <v>2.4540000000000002</v>
      </c>
      <c r="I86" s="26">
        <f t="shared" si="245"/>
        <v>0.45800000000000002</v>
      </c>
      <c r="J86" s="26">
        <f t="shared" si="245"/>
        <v>12.871000000000002</v>
      </c>
      <c r="K86" s="26">
        <f t="shared" si="245"/>
        <v>7.5539999999999985</v>
      </c>
      <c r="L86" s="54">
        <f t="shared" si="245"/>
        <v>39.975000000000009</v>
      </c>
      <c r="M86" s="54">
        <f t="shared" si="245"/>
        <v>24.095999999999997</v>
      </c>
      <c r="N86" s="1483">
        <f t="shared" si="245"/>
        <v>-27.361999999999998</v>
      </c>
      <c r="O86" s="1483">
        <f t="shared" si="245"/>
        <v>0</v>
      </c>
      <c r="P86" s="1483">
        <f t="shared" si="245"/>
        <v>0</v>
      </c>
      <c r="Q86" s="1483">
        <f t="shared" ref="Q86:Z86" si="246">Q40</f>
        <v>0</v>
      </c>
      <c r="R86" s="1483">
        <f t="shared" si="246"/>
        <v>0</v>
      </c>
      <c r="S86" s="1483">
        <f t="shared" si="246"/>
        <v>0</v>
      </c>
      <c r="T86" s="1483">
        <f t="shared" si="246"/>
        <v>0</v>
      </c>
      <c r="U86" s="1483">
        <f>U40</f>
        <v>0</v>
      </c>
      <c r="V86" s="1483">
        <f>V40</f>
        <v>0</v>
      </c>
      <c r="W86" s="1483">
        <f>W40</f>
        <v>0</v>
      </c>
      <c r="X86" s="1498">
        <f t="shared" si="246"/>
        <v>0</v>
      </c>
      <c r="Y86" s="1498">
        <f t="shared" si="246"/>
        <v>0</v>
      </c>
      <c r="Z86" s="1498">
        <f t="shared" si="246"/>
        <v>0</v>
      </c>
      <c r="AA86" s="1498">
        <f t="shared" ref="AA86:AD86" si="247">AA40</f>
        <v>0</v>
      </c>
      <c r="AB86" s="1498">
        <f t="shared" si="247"/>
        <v>0</v>
      </c>
      <c r="AC86" s="1498">
        <f t="shared" si="247"/>
        <v>0</v>
      </c>
      <c r="AD86" s="1498">
        <f t="shared" si="247"/>
        <v>0</v>
      </c>
      <c r="AE86" s="1498"/>
      <c r="AF86" s="1498"/>
      <c r="AG86" s="1498"/>
      <c r="AH86" s="1498">
        <f t="shared" ref="AH86:BS86" si="248">AH40</f>
        <v>0</v>
      </c>
      <c r="AI86" s="1498">
        <f t="shared" si="248"/>
        <v>79.570999999999998</v>
      </c>
      <c r="AJ86" s="1498">
        <f t="shared" si="248"/>
        <v>-33.774999999999999</v>
      </c>
      <c r="AK86" s="1498">
        <f t="shared" si="248"/>
        <v>-32.315000000000005</v>
      </c>
      <c r="AL86" s="1498">
        <f t="shared" si="248"/>
        <v>4.2469999999999999</v>
      </c>
      <c r="AM86" s="1498">
        <f t="shared" si="248"/>
        <v>7.1500000000000057</v>
      </c>
      <c r="AN86" s="1498">
        <f t="shared" si="248"/>
        <v>-24</v>
      </c>
      <c r="AO86" s="1498">
        <f t="shared" si="248"/>
        <v>-4.7079999999999984</v>
      </c>
      <c r="AP86" s="1498">
        <f t="shared" si="248"/>
        <v>0</v>
      </c>
      <c r="AQ86" s="1498">
        <f t="shared" si="248"/>
        <v>0</v>
      </c>
      <c r="AR86" s="1498">
        <f t="shared" si="248"/>
        <v>0</v>
      </c>
      <c r="AS86" s="1498">
        <f t="shared" si="248"/>
        <v>0</v>
      </c>
      <c r="AT86" s="1498">
        <f t="shared" si="248"/>
        <v>0</v>
      </c>
      <c r="AU86" s="1498">
        <f t="shared" si="248"/>
        <v>2.4540000000000002</v>
      </c>
      <c r="AV86" s="1498">
        <f t="shared" si="248"/>
        <v>-0.19600000000000001</v>
      </c>
      <c r="AW86" s="1498">
        <f t="shared" si="248"/>
        <v>-1.3360000000000001</v>
      </c>
      <c r="AX86" s="1498">
        <f t="shared" si="248"/>
        <v>2.0830000000000002</v>
      </c>
      <c r="AY86" s="1498">
        <f t="shared" si="248"/>
        <v>-9.3000000000000138E-2</v>
      </c>
      <c r="AZ86" s="1498">
        <f t="shared" si="248"/>
        <v>-0.64300000000000002</v>
      </c>
      <c r="BA86" s="1498">
        <f t="shared" si="248"/>
        <v>3.1550000000000002</v>
      </c>
      <c r="BB86" s="1498">
        <f t="shared" si="248"/>
        <v>-0.26700000000000013</v>
      </c>
      <c r="BC86" s="1498">
        <f t="shared" si="248"/>
        <v>10.626000000000001</v>
      </c>
      <c r="BD86" s="1498">
        <f t="shared" si="248"/>
        <v>2.512</v>
      </c>
      <c r="BE86" s="1498">
        <f t="shared" si="248"/>
        <v>3.6430000000000002</v>
      </c>
      <c r="BF86" s="1498">
        <f t="shared" si="248"/>
        <v>-3.3410000000000002</v>
      </c>
      <c r="BG86" s="1498">
        <f t="shared" si="248"/>
        <v>4.7399999999999984</v>
      </c>
      <c r="BH86" s="1498">
        <f t="shared" si="248"/>
        <v>16.454000000000001</v>
      </c>
      <c r="BI86" s="1498">
        <f t="shared" si="248"/>
        <v>31.424999999999997</v>
      </c>
      <c r="BJ86" s="1498">
        <f t="shared" si="248"/>
        <v>-23.938999999999997</v>
      </c>
      <c r="BK86" s="1498">
        <f t="shared" si="248"/>
        <v>16.035000000000004</v>
      </c>
      <c r="BL86" s="1483">
        <f t="shared" si="248"/>
        <v>-3.0649999999999999</v>
      </c>
      <c r="BM86" s="1483">
        <f t="shared" si="248"/>
        <v>-23.175999999999998</v>
      </c>
      <c r="BN86" s="1483">
        <f t="shared" si="248"/>
        <v>10.225999999999997</v>
      </c>
      <c r="BO86" s="1483">
        <f t="shared" si="248"/>
        <v>40.110999999999997</v>
      </c>
      <c r="BP86" s="1483">
        <f t="shared" si="248"/>
        <v>-33.872</v>
      </c>
      <c r="BQ86" s="1483">
        <f t="shared" si="248"/>
        <v>6.05</v>
      </c>
      <c r="BR86" s="1483">
        <f t="shared" si="248"/>
        <v>0.46</v>
      </c>
      <c r="BS86" s="1483">
        <f t="shared" si="248"/>
        <v>0</v>
      </c>
      <c r="BT86" s="1483">
        <f t="shared" ref="BT86:BY86" si="249">BT40</f>
        <v>0</v>
      </c>
      <c r="BU86" s="1483">
        <f t="shared" si="249"/>
        <v>0</v>
      </c>
      <c r="BV86" s="1483">
        <f t="shared" si="249"/>
        <v>0</v>
      </c>
      <c r="BW86" s="1483">
        <f t="shared" si="249"/>
        <v>0</v>
      </c>
      <c r="BX86" s="1483">
        <f t="shared" si="249"/>
        <v>0</v>
      </c>
      <c r="BY86" s="1483">
        <f t="shared" si="249"/>
        <v>0</v>
      </c>
      <c r="BZ86" s="1483">
        <f t="shared" ref="BZ86:CE86" si="250">BZ40</f>
        <v>0</v>
      </c>
      <c r="CA86" s="1483">
        <f t="shared" si="250"/>
        <v>0</v>
      </c>
      <c r="CB86" s="1483">
        <f t="shared" si="250"/>
        <v>0</v>
      </c>
      <c r="CC86" s="1483">
        <f t="shared" si="250"/>
        <v>0</v>
      </c>
      <c r="CD86" s="1483">
        <f t="shared" si="250"/>
        <v>0</v>
      </c>
      <c r="CE86" s="1483">
        <f t="shared" si="250"/>
        <v>0</v>
      </c>
      <c r="CF86" s="1483">
        <f t="shared" ref="CF86:CM86" si="251">CF40</f>
        <v>0</v>
      </c>
      <c r="CG86" s="1483">
        <f t="shared" si="251"/>
        <v>0</v>
      </c>
      <c r="CH86" s="1483">
        <f t="shared" si="251"/>
        <v>0</v>
      </c>
      <c r="CI86" s="1483">
        <f t="shared" si="251"/>
        <v>0</v>
      </c>
      <c r="CJ86" s="1483">
        <f t="shared" si="251"/>
        <v>0</v>
      </c>
      <c r="CK86" s="1483">
        <f t="shared" si="251"/>
        <v>0</v>
      </c>
      <c r="CL86" s="1483">
        <f t="shared" si="251"/>
        <v>0</v>
      </c>
      <c r="CM86" s="1483">
        <f t="shared" si="251"/>
        <v>0</v>
      </c>
      <c r="CN86" s="1483">
        <f>CN40</f>
        <v>0</v>
      </c>
      <c r="CO86" s="1483">
        <f>CO40</f>
        <v>0</v>
      </c>
      <c r="CP86" s="1483">
        <f>CP40</f>
        <v>0</v>
      </c>
      <c r="CQ86" s="1483">
        <f>CQ40</f>
        <v>0</v>
      </c>
      <c r="CR86" s="1483">
        <f t="shared" ref="CR86:CU86" si="252">CR40</f>
        <v>0</v>
      </c>
      <c r="CS86" s="1483">
        <f t="shared" si="252"/>
        <v>0</v>
      </c>
      <c r="CT86" s="1483">
        <f t="shared" si="252"/>
        <v>0</v>
      </c>
      <c r="CU86" s="1483">
        <f t="shared" si="252"/>
        <v>0</v>
      </c>
      <c r="CV86" s="1483">
        <f>CV40</f>
        <v>0</v>
      </c>
      <c r="CW86" s="1483">
        <f>CW40</f>
        <v>0</v>
      </c>
      <c r="CX86" s="1483">
        <f>CX40</f>
        <v>0</v>
      </c>
      <c r="CY86" s="1483">
        <f>CY40</f>
        <v>0</v>
      </c>
      <c r="CZ86" s="1483">
        <f t="shared" ref="CZ86:DC86" si="253">CZ40</f>
        <v>0</v>
      </c>
      <c r="DA86" s="1483">
        <f t="shared" si="253"/>
        <v>0</v>
      </c>
      <c r="DB86" s="1483">
        <f t="shared" si="253"/>
        <v>0</v>
      </c>
      <c r="DC86" s="1483">
        <f t="shared" si="253"/>
        <v>0</v>
      </c>
      <c r="DF86" s="783"/>
      <c r="DG86" s="783"/>
      <c r="DH86" s="783"/>
      <c r="FB86" s="15"/>
      <c r="FC86" s="15"/>
      <c r="FD86" s="15"/>
    </row>
    <row r="87" spans="2:160" hidden="1" outlineLevel="1">
      <c r="B87" s="1049" t="s">
        <v>256</v>
      </c>
      <c r="C87" s="23"/>
      <c r="D87" s="15"/>
      <c r="E87" s="26">
        <f>E42</f>
        <v>1.7540000000000013</v>
      </c>
      <c r="F87" s="26">
        <f>F42</f>
        <v>0.1769999999999996</v>
      </c>
      <c r="G87" s="26">
        <f>G42</f>
        <v>-1.1859999999999999</v>
      </c>
      <c r="H87" s="26">
        <f t="shared" ref="H87:P87" si="254">H42</f>
        <v>2.2150000000000003</v>
      </c>
      <c r="I87" s="26">
        <f t="shared" si="254"/>
        <v>1.7509999999999999</v>
      </c>
      <c r="J87" s="26">
        <f t="shared" si="254"/>
        <v>0.125</v>
      </c>
      <c r="K87" s="26">
        <f t="shared" si="254"/>
        <v>8.0000000000000002E-3</v>
      </c>
      <c r="L87" s="54">
        <f t="shared" si="254"/>
        <v>2.5339999999999998</v>
      </c>
      <c r="M87" s="54">
        <f t="shared" si="254"/>
        <v>-13.202999999999999</v>
      </c>
      <c r="N87" s="1483">
        <f t="shared" si="254"/>
        <v>12.197999999999999</v>
      </c>
      <c r="O87" s="1483">
        <f t="shared" si="254"/>
        <v>-16.199000000000002</v>
      </c>
      <c r="P87" s="1483">
        <f t="shared" si="254"/>
        <v>-100.78699999999999</v>
      </c>
      <c r="Q87" s="1483">
        <f t="shared" ref="Q87:Z87" si="255">Q42</f>
        <v>96.332000000000008</v>
      </c>
      <c r="R87" s="1483">
        <f t="shared" si="255"/>
        <v>4.769999999999591</v>
      </c>
      <c r="S87" s="1483">
        <f t="shared" si="255"/>
        <v>1.6040000000000001</v>
      </c>
      <c r="T87" s="1483">
        <f t="shared" si="255"/>
        <v>-497.08</v>
      </c>
      <c r="U87" s="1483">
        <f>U42</f>
        <v>453.81399999999996</v>
      </c>
      <c r="V87" s="1483">
        <f>V42</f>
        <v>0</v>
      </c>
      <c r="W87" s="1483">
        <f>W42</f>
        <v>0</v>
      </c>
      <c r="X87" s="1498">
        <f t="shared" si="255"/>
        <v>0</v>
      </c>
      <c r="Y87" s="1498">
        <f t="shared" si="255"/>
        <v>0</v>
      </c>
      <c r="Z87" s="1498">
        <f t="shared" si="255"/>
        <v>0</v>
      </c>
      <c r="AA87" s="1498">
        <f t="shared" ref="AA87:AD87" si="256">AA42</f>
        <v>0</v>
      </c>
      <c r="AB87" s="1498">
        <f t="shared" si="256"/>
        <v>0</v>
      </c>
      <c r="AC87" s="1498">
        <f t="shared" si="256"/>
        <v>0</v>
      </c>
      <c r="AD87" s="1498">
        <f t="shared" si="256"/>
        <v>0</v>
      </c>
      <c r="AE87" s="1498"/>
      <c r="AF87" s="1498"/>
      <c r="AG87" s="1498"/>
      <c r="AH87" s="1498">
        <f t="shared" ref="AH87:BS87" si="257">AH42</f>
        <v>0</v>
      </c>
      <c r="AI87" s="1498">
        <f t="shared" si="257"/>
        <v>0</v>
      </c>
      <c r="AJ87" s="1498">
        <f t="shared" si="257"/>
        <v>1.2250000000000001</v>
      </c>
      <c r="AK87" s="1498">
        <f t="shared" si="257"/>
        <v>14.173</v>
      </c>
      <c r="AL87" s="1498">
        <f t="shared" si="257"/>
        <v>-19.750999999999998</v>
      </c>
      <c r="AM87" s="1498">
        <f t="shared" si="257"/>
        <v>4.5299999999999976</v>
      </c>
      <c r="AN87" s="1498">
        <f t="shared" si="257"/>
        <v>-2.2359999999999998</v>
      </c>
      <c r="AO87" s="1498">
        <f t="shared" si="257"/>
        <v>2.9660000000000002</v>
      </c>
      <c r="AP87" s="1498">
        <f t="shared" si="257"/>
        <v>0</v>
      </c>
      <c r="AQ87" s="1498">
        <f t="shared" si="257"/>
        <v>-1.9160000000000004</v>
      </c>
      <c r="AR87" s="1498">
        <f t="shared" si="257"/>
        <v>1.9890000000000001</v>
      </c>
      <c r="AS87" s="1498">
        <f t="shared" si="257"/>
        <v>0.23100000000000009</v>
      </c>
      <c r="AT87" s="1498">
        <f t="shared" si="257"/>
        <v>-1.4000000000000234E-2</v>
      </c>
      <c r="AU87" s="1498">
        <f t="shared" si="257"/>
        <v>9.0000000000003411E-3</v>
      </c>
      <c r="AV87" s="1498">
        <f t="shared" si="257"/>
        <v>0</v>
      </c>
      <c r="AW87" s="1498">
        <f t="shared" si="257"/>
        <v>0</v>
      </c>
      <c r="AX87" s="1498">
        <f t="shared" si="257"/>
        <v>0</v>
      </c>
      <c r="AY87" s="1498">
        <f t="shared" si="257"/>
        <v>1.7509999999999999</v>
      </c>
      <c r="AZ87" s="1498">
        <f t="shared" si="257"/>
        <v>0</v>
      </c>
      <c r="BA87" s="1498">
        <f t="shared" si="257"/>
        <v>0</v>
      </c>
      <c r="BB87" s="1498">
        <f t="shared" si="257"/>
        <v>0</v>
      </c>
      <c r="BC87" s="1498">
        <f t="shared" si="257"/>
        <v>0.125</v>
      </c>
      <c r="BD87" s="1498">
        <f t="shared" si="257"/>
        <v>6.0000000000000001E-3</v>
      </c>
      <c r="BE87" s="1498">
        <f t="shared" si="257"/>
        <v>0</v>
      </c>
      <c r="BF87" s="1498">
        <f t="shared" si="257"/>
        <v>2E-3</v>
      </c>
      <c r="BG87" s="1498">
        <f t="shared" si="257"/>
        <v>0</v>
      </c>
      <c r="BH87" s="1498">
        <f t="shared" si="257"/>
        <v>-0.47</v>
      </c>
      <c r="BI87" s="1498">
        <f t="shared" si="257"/>
        <v>0</v>
      </c>
      <c r="BJ87" s="1498">
        <f t="shared" si="257"/>
        <v>1.347</v>
      </c>
      <c r="BK87" s="1498">
        <f t="shared" si="257"/>
        <v>1.6569999999999998</v>
      </c>
      <c r="BL87" s="1483">
        <f t="shared" si="257"/>
        <v>-13.169</v>
      </c>
      <c r="BM87" s="1483">
        <f t="shared" si="257"/>
        <v>-0.73199999999999932</v>
      </c>
      <c r="BN87" s="1483">
        <f t="shared" si="257"/>
        <v>0</v>
      </c>
      <c r="BO87" s="1483">
        <f t="shared" si="257"/>
        <v>0.6980000000000004</v>
      </c>
      <c r="BP87" s="1483">
        <f t="shared" si="257"/>
        <v>7.3360000000000003</v>
      </c>
      <c r="BQ87" s="1483">
        <f t="shared" si="257"/>
        <v>2.863</v>
      </c>
      <c r="BR87" s="1483">
        <f t="shared" si="257"/>
        <v>1.867</v>
      </c>
      <c r="BS87" s="1483">
        <f t="shared" si="257"/>
        <v>0.13200000000000001</v>
      </c>
      <c r="BT87" s="1483">
        <f t="shared" ref="BT87:BY87" si="258">BT42</f>
        <v>-0.442</v>
      </c>
      <c r="BU87" s="1483">
        <f t="shared" si="258"/>
        <v>-0.47399999999999998</v>
      </c>
      <c r="BV87" s="1483">
        <f t="shared" si="258"/>
        <v>0</v>
      </c>
      <c r="BW87" s="1483">
        <f t="shared" si="258"/>
        <v>-15.283000000000001</v>
      </c>
      <c r="BX87" s="1483">
        <f t="shared" si="258"/>
        <v>-94.138000000000005</v>
      </c>
      <c r="BY87" s="1483">
        <f t="shared" si="258"/>
        <v>-0.84499999999999997</v>
      </c>
      <c r="BZ87" s="1483">
        <f t="shared" ref="BZ87:CE87" si="259">BZ42</f>
        <v>6.0999999999999999E-2</v>
      </c>
      <c r="CA87" s="1483">
        <f t="shared" si="259"/>
        <v>-5.8650000000000002</v>
      </c>
      <c r="CB87" s="1483">
        <f t="shared" si="259"/>
        <v>68.557000000000002</v>
      </c>
      <c r="CC87" s="1483">
        <f t="shared" si="259"/>
        <v>10.743</v>
      </c>
      <c r="CD87" s="1483">
        <f t="shared" si="259"/>
        <v>29.118000000000002</v>
      </c>
      <c r="CE87" s="1483">
        <f t="shared" si="259"/>
        <v>-12.086</v>
      </c>
      <c r="CF87" s="1483">
        <f t="shared" ref="CF87:CM87" si="260">CF42</f>
        <v>-833.80100000000004</v>
      </c>
      <c r="CG87" s="1483">
        <f t="shared" si="260"/>
        <v>838.96299999999997</v>
      </c>
      <c r="CH87" s="1483">
        <f t="shared" si="260"/>
        <v>1.159</v>
      </c>
      <c r="CI87" s="1483">
        <f t="shared" si="260"/>
        <v>-1.5510000000003299</v>
      </c>
      <c r="CJ87" s="1483">
        <f t="shared" si="260"/>
        <v>-7.0999999999999994E-2</v>
      </c>
      <c r="CK87" s="1483">
        <f t="shared" si="260"/>
        <v>0.58199999999999996</v>
      </c>
      <c r="CL87" s="1483">
        <f t="shared" si="260"/>
        <v>0.89800000000000002</v>
      </c>
      <c r="CM87" s="1483">
        <f t="shared" si="260"/>
        <v>0.19500000000000001</v>
      </c>
      <c r="CN87" s="1483">
        <f>CN42</f>
        <v>3.5209999999999999</v>
      </c>
      <c r="CO87" s="1483">
        <f>CO42</f>
        <v>-511.166</v>
      </c>
      <c r="CP87" s="1483">
        <f>CP42</f>
        <v>14.273999999999999</v>
      </c>
      <c r="CQ87" s="1483">
        <f>CQ42</f>
        <v>-3.7090000000000001</v>
      </c>
      <c r="CR87" s="1483">
        <f t="shared" ref="CR87:CU87" si="261">CR42</f>
        <v>466.70400000000001</v>
      </c>
      <c r="CS87" s="1483">
        <f t="shared" si="261"/>
        <v>-0.11700000000000001</v>
      </c>
      <c r="CT87" s="1483">
        <f t="shared" si="261"/>
        <v>-21.850999999999999</v>
      </c>
      <c r="CU87" s="1483">
        <f t="shared" si="261"/>
        <v>9.0779999999999994</v>
      </c>
      <c r="CV87" s="1483">
        <f>CV42</f>
        <v>0</v>
      </c>
      <c r="CW87" s="1483">
        <f>CW42</f>
        <v>0</v>
      </c>
      <c r="CX87" s="1483">
        <f>CX42</f>
        <v>0</v>
      </c>
      <c r="CY87" s="1483">
        <f>CY42</f>
        <v>0</v>
      </c>
      <c r="CZ87" s="1483">
        <f t="shared" ref="CZ87:DC87" si="262">CZ42</f>
        <v>0</v>
      </c>
      <c r="DA87" s="1483">
        <f t="shared" si="262"/>
        <v>0</v>
      </c>
      <c r="DB87" s="1483">
        <f t="shared" si="262"/>
        <v>0</v>
      </c>
      <c r="DC87" s="1483">
        <f t="shared" si="262"/>
        <v>0</v>
      </c>
      <c r="DF87" s="783"/>
      <c r="DG87" s="783"/>
      <c r="DH87" s="783"/>
      <c r="FB87" s="15"/>
      <c r="FC87" s="15"/>
      <c r="FD87" s="15"/>
    </row>
    <row r="88" spans="2:160" hidden="1" outlineLevel="1">
      <c r="B88" s="71" t="s">
        <v>253</v>
      </c>
      <c r="C88" s="89"/>
      <c r="D88" s="132"/>
      <c r="E88" s="72">
        <f>SUM(E83:E87)</f>
        <v>-283.06799999999998</v>
      </c>
      <c r="F88" s="72">
        <f>SUM(F83:F87)</f>
        <v>-181.16099999999997</v>
      </c>
      <c r="G88" s="72">
        <f>SUM(G83:G87)</f>
        <v>-63.910999999999994</v>
      </c>
      <c r="H88" s="72">
        <f>SUM(H83:H87)</f>
        <v>-20.346999999999991</v>
      </c>
      <c r="I88" s="72">
        <f>SUM(I83:I87)</f>
        <v>16.186999999999991</v>
      </c>
      <c r="J88" s="72">
        <f t="shared" ref="J88:S88" si="263">SUM(J83:J87)</f>
        <v>-53.32800000000001</v>
      </c>
      <c r="K88" s="72">
        <f t="shared" si="263"/>
        <v>-79.55300000000004</v>
      </c>
      <c r="L88" s="72">
        <f t="shared" si="263"/>
        <v>-916.60399999999993</v>
      </c>
      <c r="M88" s="72">
        <f t="shared" si="263"/>
        <v>-215.91799999999992</v>
      </c>
      <c r="N88" s="1499">
        <f t="shared" si="263"/>
        <v>-30.027999999999984</v>
      </c>
      <c r="O88" s="1499">
        <f t="shared" si="263"/>
        <v>-326.21799999999996</v>
      </c>
      <c r="P88" s="1499">
        <f t="shared" si="263"/>
        <v>-280.08999999999997</v>
      </c>
      <c r="Q88" s="1499">
        <f t="shared" si="263"/>
        <v>-284.60300000000024</v>
      </c>
      <c r="R88" s="1499">
        <f t="shared" si="263"/>
        <v>35.032999999999859</v>
      </c>
      <c r="S88" s="1499">
        <f t="shared" si="263"/>
        <v>30.821000000000211</v>
      </c>
      <c r="T88" s="1499">
        <f>SUM(T83:T87)</f>
        <v>-715.95900000000029</v>
      </c>
      <c r="U88" s="1499">
        <f>SUM(U83:U87)</f>
        <v>-581.12099999999998</v>
      </c>
      <c r="V88" s="1499">
        <f>SUM(V83:V87)</f>
        <v>-3950.0879999999993</v>
      </c>
      <c r="W88" s="1499">
        <f ca="1">SUM(W83:W87)</f>
        <v>-136.23044143314701</v>
      </c>
      <c r="X88" s="1499">
        <f ca="1">X32+SUM(X38:X42)</f>
        <v>97.571918623345937</v>
      </c>
      <c r="Y88" s="1499">
        <f ca="1">Y32+SUM(Y38:Y42)</f>
        <v>463.5942014612101</v>
      </c>
      <c r="Z88" s="1499">
        <f ca="1">Z32+SUM(Z38:Z42)</f>
        <v>665.42434386815671</v>
      </c>
      <c r="AA88" s="1499">
        <f t="shared" ref="AA88:AD88" ca="1" si="264">AA32+SUM(AA38:AA42)</f>
        <v>814.88966826170872</v>
      </c>
      <c r="AB88" s="1499">
        <f t="shared" ca="1" si="264"/>
        <v>919.00024213492907</v>
      </c>
      <c r="AC88" s="1499">
        <f t="shared" ca="1" si="264"/>
        <v>1049.0304814106898</v>
      </c>
      <c r="AD88" s="1499">
        <f t="shared" ca="1" si="264"/>
        <v>1224.1074817520557</v>
      </c>
      <c r="AE88" s="1498"/>
      <c r="AF88" s="1500"/>
      <c r="AG88" s="1500"/>
      <c r="AH88" s="1499">
        <f>SUM(AH83:AH87)</f>
        <v>-219.92599999999999</v>
      </c>
      <c r="AI88" s="1499">
        <f t="shared" ref="AI88:BS88" si="265">SUM(AI83:AI87)</f>
        <v>-67.117000000000019</v>
      </c>
      <c r="AJ88" s="1499">
        <f t="shared" si="265"/>
        <v>-86.641000000000005</v>
      </c>
      <c r="AK88" s="1499">
        <f t="shared" si="265"/>
        <v>-43.984000000000009</v>
      </c>
      <c r="AL88" s="1499">
        <f t="shared" si="265"/>
        <v>-64.787999999999982</v>
      </c>
      <c r="AM88" s="1499">
        <f t="shared" si="265"/>
        <v>14.251999999999995</v>
      </c>
      <c r="AN88" s="1499">
        <f t="shared" si="265"/>
        <v>-31.117000000000001</v>
      </c>
      <c r="AO88" s="1499">
        <f t="shared" si="265"/>
        <v>-26.74499999999999</v>
      </c>
      <c r="AP88" s="1499">
        <f t="shared" si="265"/>
        <v>-4.9589999999999979</v>
      </c>
      <c r="AQ88" s="1499">
        <f t="shared" si="265"/>
        <v>-1.0899999999999928</v>
      </c>
      <c r="AR88" s="1499">
        <f t="shared" si="265"/>
        <v>-17.914999999999996</v>
      </c>
      <c r="AS88" s="1499">
        <f t="shared" si="265"/>
        <v>-3.5710000000000006</v>
      </c>
      <c r="AT88" s="1499">
        <f t="shared" si="265"/>
        <v>0.45900000000000118</v>
      </c>
      <c r="AU88" s="1499">
        <f t="shared" si="265"/>
        <v>0.6800000000000046</v>
      </c>
      <c r="AV88" s="1499">
        <f t="shared" si="265"/>
        <v>1.3769999999999987</v>
      </c>
      <c r="AW88" s="1499">
        <f t="shared" si="265"/>
        <v>3.3019999999999969</v>
      </c>
      <c r="AX88" s="1499">
        <f t="shared" si="265"/>
        <v>5.3749999999999867</v>
      </c>
      <c r="AY88" s="1499">
        <f t="shared" si="265"/>
        <v>6.1330000000000062</v>
      </c>
      <c r="AZ88" s="1499">
        <f t="shared" si="265"/>
        <v>9.2270000000000021</v>
      </c>
      <c r="BA88" s="1499">
        <f t="shared" si="265"/>
        <v>11.414000000000005</v>
      </c>
      <c r="BB88" s="1499">
        <f t="shared" si="265"/>
        <v>-26.578999999999997</v>
      </c>
      <c r="BC88" s="1499">
        <f t="shared" si="265"/>
        <v>-47.390000000000015</v>
      </c>
      <c r="BD88" s="1499">
        <f t="shared" si="265"/>
        <v>-11.304000000000004</v>
      </c>
      <c r="BE88" s="1499">
        <f t="shared" si="265"/>
        <v>-19.686999999999998</v>
      </c>
      <c r="BF88" s="1499">
        <f t="shared" si="265"/>
        <v>-29.304000000000002</v>
      </c>
      <c r="BG88" s="1499">
        <f t="shared" si="265"/>
        <v>-19.258000000000006</v>
      </c>
      <c r="BH88" s="1499">
        <f t="shared" si="265"/>
        <v>-37.721999999999987</v>
      </c>
      <c r="BI88" s="1499">
        <f t="shared" si="265"/>
        <v>-119.58499999999999</v>
      </c>
      <c r="BJ88" s="1499">
        <f t="shared" si="265"/>
        <v>-669.80500000000006</v>
      </c>
      <c r="BK88" s="1499">
        <f t="shared" si="265"/>
        <v>-89.491999999999919</v>
      </c>
      <c r="BL88" s="1499">
        <f t="shared" si="265"/>
        <v>-102.134</v>
      </c>
      <c r="BM88" s="1499">
        <f t="shared" si="265"/>
        <v>-43.408000000000001</v>
      </c>
      <c r="BN88" s="1499">
        <f t="shared" si="265"/>
        <v>-21.897999999999989</v>
      </c>
      <c r="BO88" s="1499">
        <f t="shared" si="265"/>
        <v>-48.478000000000065</v>
      </c>
      <c r="BP88" s="1499">
        <f t="shared" si="265"/>
        <v>-14.801</v>
      </c>
      <c r="BQ88" s="1499">
        <f t="shared" si="265"/>
        <v>10.83600000000003</v>
      </c>
      <c r="BR88" s="1499">
        <f t="shared" si="265"/>
        <v>-6.9650000000000256</v>
      </c>
      <c r="BS88" s="1499">
        <f t="shared" si="265"/>
        <v>-19.098000000000017</v>
      </c>
      <c r="BT88" s="1499">
        <f t="shared" ref="BT88:CJ88" si="266">SUM(BT83:BT87)</f>
        <v>-44.030000000000008</v>
      </c>
      <c r="BU88" s="1499">
        <f t="shared" si="266"/>
        <v>-207.89400000000001</v>
      </c>
      <c r="BV88" s="1499">
        <f t="shared" si="266"/>
        <v>-34.430999999999983</v>
      </c>
      <c r="BW88" s="1499">
        <f t="shared" si="266"/>
        <v>-39.863</v>
      </c>
      <c r="BX88" s="1499">
        <f t="shared" si="266"/>
        <v>-170.26999999999998</v>
      </c>
      <c r="BY88" s="1499">
        <f t="shared" si="266"/>
        <v>-104.226</v>
      </c>
      <c r="BZ88" s="1499">
        <f t="shared" si="266"/>
        <v>6.5699999999999577</v>
      </c>
      <c r="CA88" s="1499">
        <f t="shared" si="266"/>
        <v>-12.164000000000007</v>
      </c>
      <c r="CB88" s="1499">
        <f t="shared" si="266"/>
        <v>42.733000000000018</v>
      </c>
      <c r="CC88" s="1499">
        <f t="shared" si="266"/>
        <v>8.2009999999999703</v>
      </c>
      <c r="CD88" s="1499">
        <f t="shared" si="266"/>
        <v>-355.75500000000005</v>
      </c>
      <c r="CE88" s="1499">
        <f t="shared" si="266"/>
        <v>20.218000000000011</v>
      </c>
      <c r="CF88" s="1499">
        <f t="shared" si="266"/>
        <v>-827.22800000000018</v>
      </c>
      <c r="CG88" s="1499">
        <f t="shared" si="266"/>
        <v>863.21299999999997</v>
      </c>
      <c r="CH88" s="1499">
        <f t="shared" si="266"/>
        <v>36.734000000000101</v>
      </c>
      <c r="CI88" s="1499">
        <f t="shared" si="266"/>
        <v>-37.68600000000032</v>
      </c>
      <c r="CJ88" s="1499">
        <f t="shared" si="266"/>
        <v>65.740000000000023</v>
      </c>
      <c r="CK88" s="1499">
        <f t="shared" ref="CK88:CQ88" si="267">SUM(CK83:CK87)</f>
        <v>-60.269999999999946</v>
      </c>
      <c r="CL88" s="1499">
        <f t="shared" si="267"/>
        <v>61.33600000000002</v>
      </c>
      <c r="CM88" s="1499">
        <f t="shared" si="267"/>
        <v>-35.98499999999995</v>
      </c>
      <c r="CN88" s="1499">
        <f t="shared" si="267"/>
        <v>75.965000000000003</v>
      </c>
      <c r="CO88" s="1499">
        <f t="shared" si="267"/>
        <v>-520.04500000000007</v>
      </c>
      <c r="CP88" s="1499">
        <f t="shared" si="267"/>
        <v>12.630000000000022</v>
      </c>
      <c r="CQ88" s="1499">
        <f t="shared" si="267"/>
        <v>-284.50900000000019</v>
      </c>
      <c r="CR88" s="1499">
        <f t="shared" ref="CR88:CU88" si="268">SUM(CR83:CR87)</f>
        <v>-1228.3530000000001</v>
      </c>
      <c r="CS88" s="1499">
        <f t="shared" si="268"/>
        <v>28.843999999999927</v>
      </c>
      <c r="CT88" s="1499">
        <f t="shared" si="268"/>
        <v>672.31499999999994</v>
      </c>
      <c r="CU88" s="1499">
        <f t="shared" si="268"/>
        <v>-53.927000000000021</v>
      </c>
      <c r="CV88" s="1499">
        <f>SUM(CV83:CV87)</f>
        <v>-59.883999999999894</v>
      </c>
      <c r="CW88" s="1499">
        <f>SUM(CW83:CW87)</f>
        <v>-3642.5529999999999</v>
      </c>
      <c r="CX88" s="1499">
        <f>SUM(CX83:CX87)</f>
        <v>55.02000000000001</v>
      </c>
      <c r="CY88" s="1499">
        <f>SUM(CY83:CY87)</f>
        <v>-302.67100000000005</v>
      </c>
      <c r="CZ88" s="1499">
        <f t="shared" ref="CZ88:DC88" ca="1" si="269">SUM(CZ83:CZ87)</f>
        <v>36.301458383666727</v>
      </c>
      <c r="DA88" s="1499">
        <f t="shared" ca="1" si="269"/>
        <v>201.3222629237344</v>
      </c>
      <c r="DB88" s="1499">
        <f t="shared" ca="1" si="269"/>
        <v>-202.7106605502554</v>
      </c>
      <c r="DC88" s="1499">
        <f t="shared" ca="1" si="269"/>
        <v>-171.14350219029245</v>
      </c>
      <c r="DF88" s="783"/>
      <c r="DG88" s="783"/>
      <c r="DH88" s="783"/>
      <c r="FB88" s="15"/>
      <c r="FC88" s="15"/>
      <c r="FD88" s="15"/>
    </row>
    <row r="89" spans="2:160" ht="12.75" hidden="1" customHeight="1" outlineLevel="1">
      <c r="B89" s="1050"/>
      <c r="C89" s="23"/>
      <c r="D89" s="15"/>
      <c r="E89" s="15"/>
      <c r="F89" s="15"/>
      <c r="G89" s="15"/>
      <c r="H89" s="15"/>
      <c r="I89" s="15"/>
      <c r="J89" s="15"/>
      <c r="K89" s="15"/>
      <c r="L89" s="23"/>
      <c r="M89" s="123"/>
      <c r="N89" s="1491"/>
      <c r="O89" s="1483"/>
      <c r="P89" s="1483"/>
      <c r="Q89" s="1483"/>
      <c r="R89" s="1483"/>
      <c r="S89" s="1483"/>
      <c r="T89" s="1483"/>
      <c r="U89" s="1483"/>
      <c r="V89" s="1483"/>
      <c r="W89" s="1483"/>
      <c r="X89" s="1483"/>
      <c r="Y89" s="1483"/>
      <c r="Z89" s="1483"/>
      <c r="AA89" s="1483"/>
      <c r="AB89" s="1483"/>
      <c r="AC89" s="1483"/>
      <c r="AD89" s="1483"/>
      <c r="AE89" s="1498"/>
      <c r="AF89" s="1498"/>
      <c r="AG89" s="1498"/>
      <c r="AH89" s="1498"/>
      <c r="AI89" s="1498"/>
      <c r="AJ89" s="1498"/>
      <c r="AK89" s="1498"/>
      <c r="AL89" s="1498"/>
      <c r="AM89" s="1498"/>
      <c r="AN89" s="1498"/>
      <c r="AO89" s="1498"/>
      <c r="AP89" s="1498"/>
      <c r="AQ89" s="1498"/>
      <c r="AR89" s="1498"/>
      <c r="AS89" s="1498"/>
      <c r="AT89" s="1498"/>
      <c r="AU89" s="1498"/>
      <c r="AV89" s="1498"/>
      <c r="AW89" s="1498"/>
      <c r="AX89" s="1498"/>
      <c r="AY89" s="1498"/>
      <c r="AZ89" s="1498"/>
      <c r="BA89" s="1498"/>
      <c r="BB89" s="1498"/>
      <c r="BC89" s="1498"/>
      <c r="BD89" s="1498"/>
      <c r="BE89" s="1498"/>
      <c r="BF89" s="1498"/>
      <c r="BG89" s="1498"/>
      <c r="BH89" s="1498"/>
      <c r="BI89" s="1498"/>
      <c r="BJ89" s="1498"/>
      <c r="BK89" s="1498"/>
      <c r="BL89" s="1483"/>
      <c r="BM89" s="1483"/>
      <c r="BN89" s="1483"/>
      <c r="BO89" s="1483"/>
      <c r="BP89" s="1483"/>
      <c r="BQ89" s="1483"/>
      <c r="BR89" s="1483"/>
      <c r="BS89" s="1483"/>
      <c r="BT89" s="1483"/>
      <c r="BU89" s="1483"/>
      <c r="BV89" s="1483"/>
      <c r="BW89" s="1483"/>
      <c r="BX89" s="1483"/>
      <c r="BY89" s="1483"/>
      <c r="BZ89" s="1483"/>
      <c r="CA89" s="1483"/>
      <c r="CB89" s="1483"/>
      <c r="CC89" s="1483"/>
      <c r="CD89" s="1483"/>
      <c r="CE89" s="1483"/>
      <c r="CF89" s="1483"/>
      <c r="CG89" s="1483"/>
      <c r="CH89" s="1483"/>
      <c r="CI89" s="1483"/>
      <c r="CJ89" s="1483"/>
      <c r="CK89" s="1483"/>
      <c r="CL89" s="1483"/>
      <c r="CM89" s="1483"/>
      <c r="CN89" s="1483"/>
      <c r="CO89" s="1483"/>
      <c r="CP89" s="1483"/>
      <c r="CQ89" s="1483"/>
      <c r="CR89" s="1483"/>
      <c r="CS89" s="1483"/>
      <c r="CT89" s="1483"/>
      <c r="CU89" s="1483"/>
      <c r="CV89" s="1483"/>
      <c r="CW89" s="1483"/>
      <c r="CX89" s="1483"/>
      <c r="CY89" s="1483"/>
      <c r="CZ89" s="1483"/>
      <c r="DA89" s="1483"/>
      <c r="DB89" s="1483"/>
      <c r="DC89" s="1483"/>
      <c r="DF89" s="783"/>
      <c r="DG89" s="783"/>
      <c r="DH89" s="783"/>
      <c r="FB89" s="15"/>
      <c r="FC89" s="15"/>
      <c r="FD89" s="15"/>
    </row>
    <row r="90" spans="2:160" hidden="1" outlineLevel="1">
      <c r="B90" s="1162" t="str">
        <f>B88</f>
        <v>FCF (As defined by the company)</v>
      </c>
      <c r="C90" s="23"/>
      <c r="D90" s="15"/>
      <c r="E90" s="54">
        <f t="shared" ref="E90:K90" si="270">E88</f>
        <v>-283.06799999999998</v>
      </c>
      <c r="F90" s="54">
        <f t="shared" si="270"/>
        <v>-181.16099999999997</v>
      </c>
      <c r="G90" s="54">
        <f t="shared" si="270"/>
        <v>-63.910999999999994</v>
      </c>
      <c r="H90" s="54">
        <f t="shared" si="270"/>
        <v>-20.346999999999991</v>
      </c>
      <c r="I90" s="54">
        <f t="shared" si="270"/>
        <v>16.186999999999991</v>
      </c>
      <c r="J90" s="54">
        <f t="shared" si="270"/>
        <v>-53.32800000000001</v>
      </c>
      <c r="K90" s="54">
        <f t="shared" si="270"/>
        <v>-79.55300000000004</v>
      </c>
      <c r="L90" s="54">
        <f>L88</f>
        <v>-916.60399999999993</v>
      </c>
      <c r="M90" s="54">
        <f t="shared" ref="M90:BS90" si="271">M88</f>
        <v>-215.91799999999992</v>
      </c>
      <c r="N90" s="1483">
        <f t="shared" si="271"/>
        <v>-30.027999999999984</v>
      </c>
      <c r="O90" s="1483">
        <f t="shared" si="271"/>
        <v>-326.21799999999996</v>
      </c>
      <c r="P90" s="1483">
        <f t="shared" si="271"/>
        <v>-280.08999999999997</v>
      </c>
      <c r="Q90" s="1483">
        <f t="shared" ref="Q90:Z90" si="272">Q88</f>
        <v>-284.60300000000024</v>
      </c>
      <c r="R90" s="1483">
        <f t="shared" si="272"/>
        <v>35.032999999999859</v>
      </c>
      <c r="S90" s="1483">
        <f t="shared" si="272"/>
        <v>30.821000000000211</v>
      </c>
      <c r="T90" s="1483">
        <f t="shared" si="272"/>
        <v>-715.95900000000029</v>
      </c>
      <c r="U90" s="1483">
        <f>U88</f>
        <v>-581.12099999999998</v>
      </c>
      <c r="V90" s="1483">
        <f>V88</f>
        <v>-3950.0879999999993</v>
      </c>
      <c r="W90" s="1483">
        <f ca="1">W88</f>
        <v>-136.23044143314701</v>
      </c>
      <c r="X90" s="1483">
        <f t="shared" ca="1" si="272"/>
        <v>97.571918623345937</v>
      </c>
      <c r="Y90" s="1483">
        <f t="shared" ca="1" si="272"/>
        <v>463.5942014612101</v>
      </c>
      <c r="Z90" s="1483">
        <f t="shared" ca="1" si="272"/>
        <v>665.42434386815671</v>
      </c>
      <c r="AA90" s="1483">
        <f t="shared" ref="AA90:AD90" ca="1" si="273">AA88</f>
        <v>814.88966826170872</v>
      </c>
      <c r="AB90" s="1483">
        <f t="shared" ca="1" si="273"/>
        <v>919.00024213492907</v>
      </c>
      <c r="AC90" s="1483">
        <f t="shared" ca="1" si="273"/>
        <v>1049.0304814106898</v>
      </c>
      <c r="AD90" s="1483">
        <f t="shared" ca="1" si="273"/>
        <v>1224.1074817520557</v>
      </c>
      <c r="AE90" s="1498"/>
      <c r="AF90" s="1498"/>
      <c r="AG90" s="1498"/>
      <c r="AH90" s="1483">
        <f t="shared" si="271"/>
        <v>-219.92599999999999</v>
      </c>
      <c r="AI90" s="1483">
        <f t="shared" si="271"/>
        <v>-67.117000000000019</v>
      </c>
      <c r="AJ90" s="1483">
        <f t="shared" si="271"/>
        <v>-86.641000000000005</v>
      </c>
      <c r="AK90" s="1483">
        <f t="shared" si="271"/>
        <v>-43.984000000000009</v>
      </c>
      <c r="AL90" s="1483">
        <f t="shared" si="271"/>
        <v>-64.787999999999982</v>
      </c>
      <c r="AM90" s="1483">
        <f t="shared" si="271"/>
        <v>14.251999999999995</v>
      </c>
      <c r="AN90" s="1483">
        <f t="shared" si="271"/>
        <v>-31.117000000000001</v>
      </c>
      <c r="AO90" s="1483">
        <f t="shared" si="271"/>
        <v>-26.74499999999999</v>
      </c>
      <c r="AP90" s="1483">
        <f t="shared" si="271"/>
        <v>-4.9589999999999979</v>
      </c>
      <c r="AQ90" s="1483">
        <f t="shared" si="271"/>
        <v>-1.0899999999999928</v>
      </c>
      <c r="AR90" s="1483">
        <f t="shared" si="271"/>
        <v>-17.914999999999996</v>
      </c>
      <c r="AS90" s="1483">
        <f t="shared" si="271"/>
        <v>-3.5710000000000006</v>
      </c>
      <c r="AT90" s="1483">
        <f t="shared" si="271"/>
        <v>0.45900000000000118</v>
      </c>
      <c r="AU90" s="1483">
        <f t="shared" si="271"/>
        <v>0.6800000000000046</v>
      </c>
      <c r="AV90" s="1483">
        <f t="shared" si="271"/>
        <v>1.3769999999999987</v>
      </c>
      <c r="AW90" s="1483">
        <f t="shared" si="271"/>
        <v>3.3019999999999969</v>
      </c>
      <c r="AX90" s="1483">
        <f t="shared" si="271"/>
        <v>5.3749999999999867</v>
      </c>
      <c r="AY90" s="1483">
        <f t="shared" si="271"/>
        <v>6.1330000000000062</v>
      </c>
      <c r="AZ90" s="1483">
        <f t="shared" si="271"/>
        <v>9.2270000000000021</v>
      </c>
      <c r="BA90" s="1483">
        <f t="shared" si="271"/>
        <v>11.414000000000005</v>
      </c>
      <c r="BB90" s="1483">
        <f t="shared" si="271"/>
        <v>-26.578999999999997</v>
      </c>
      <c r="BC90" s="1483">
        <f t="shared" si="271"/>
        <v>-47.390000000000015</v>
      </c>
      <c r="BD90" s="1483">
        <f t="shared" si="271"/>
        <v>-11.304000000000004</v>
      </c>
      <c r="BE90" s="1483">
        <f t="shared" si="271"/>
        <v>-19.686999999999998</v>
      </c>
      <c r="BF90" s="1483">
        <f t="shared" si="271"/>
        <v>-29.304000000000002</v>
      </c>
      <c r="BG90" s="1483">
        <f t="shared" si="271"/>
        <v>-19.258000000000006</v>
      </c>
      <c r="BH90" s="1483">
        <f t="shared" si="271"/>
        <v>-37.721999999999987</v>
      </c>
      <c r="BI90" s="1483">
        <f t="shared" si="271"/>
        <v>-119.58499999999999</v>
      </c>
      <c r="BJ90" s="1483">
        <f t="shared" si="271"/>
        <v>-669.80500000000006</v>
      </c>
      <c r="BK90" s="1483">
        <f t="shared" si="271"/>
        <v>-89.491999999999919</v>
      </c>
      <c r="BL90" s="1483">
        <f t="shared" si="271"/>
        <v>-102.134</v>
      </c>
      <c r="BM90" s="1483">
        <f t="shared" si="271"/>
        <v>-43.408000000000001</v>
      </c>
      <c r="BN90" s="1483">
        <f t="shared" si="271"/>
        <v>-21.897999999999989</v>
      </c>
      <c r="BO90" s="1483">
        <f t="shared" si="271"/>
        <v>-48.478000000000065</v>
      </c>
      <c r="BP90" s="1483">
        <f t="shared" si="271"/>
        <v>-14.801</v>
      </c>
      <c r="BQ90" s="1483">
        <f t="shared" si="271"/>
        <v>10.83600000000003</v>
      </c>
      <c r="BR90" s="1483">
        <f t="shared" si="271"/>
        <v>-6.9650000000000256</v>
      </c>
      <c r="BS90" s="1483">
        <f t="shared" si="271"/>
        <v>-19.098000000000017</v>
      </c>
      <c r="BT90" s="1483">
        <f t="shared" ref="BT90:BY90" si="274">BT88</f>
        <v>-44.030000000000008</v>
      </c>
      <c r="BU90" s="1483">
        <f t="shared" si="274"/>
        <v>-207.89400000000001</v>
      </c>
      <c r="BV90" s="1483">
        <f t="shared" si="274"/>
        <v>-34.430999999999983</v>
      </c>
      <c r="BW90" s="1483">
        <f t="shared" si="274"/>
        <v>-39.863</v>
      </c>
      <c r="BX90" s="1483">
        <f t="shared" si="274"/>
        <v>-170.26999999999998</v>
      </c>
      <c r="BY90" s="1483">
        <f t="shared" si="274"/>
        <v>-104.226</v>
      </c>
      <c r="BZ90" s="1483">
        <f t="shared" ref="BZ90:CE90" si="275">BZ88</f>
        <v>6.5699999999999577</v>
      </c>
      <c r="CA90" s="1483">
        <f t="shared" si="275"/>
        <v>-12.164000000000007</v>
      </c>
      <c r="CB90" s="1483">
        <f t="shared" si="275"/>
        <v>42.733000000000018</v>
      </c>
      <c r="CC90" s="1483">
        <f t="shared" si="275"/>
        <v>8.2009999999999703</v>
      </c>
      <c r="CD90" s="1483">
        <f t="shared" si="275"/>
        <v>-355.75500000000005</v>
      </c>
      <c r="CE90" s="1483">
        <f t="shared" si="275"/>
        <v>20.218000000000011</v>
      </c>
      <c r="CF90" s="1483">
        <f t="shared" ref="CF90:CM90" si="276">CF88</f>
        <v>-827.22800000000018</v>
      </c>
      <c r="CG90" s="1483">
        <f t="shared" si="276"/>
        <v>863.21299999999997</v>
      </c>
      <c r="CH90" s="1483">
        <f t="shared" si="276"/>
        <v>36.734000000000101</v>
      </c>
      <c r="CI90" s="1483">
        <f t="shared" si="276"/>
        <v>-37.68600000000032</v>
      </c>
      <c r="CJ90" s="1483">
        <f t="shared" si="276"/>
        <v>65.740000000000023</v>
      </c>
      <c r="CK90" s="1483">
        <f t="shared" si="276"/>
        <v>-60.269999999999946</v>
      </c>
      <c r="CL90" s="1483">
        <f t="shared" si="276"/>
        <v>61.33600000000002</v>
      </c>
      <c r="CM90" s="1483">
        <f t="shared" si="276"/>
        <v>-35.98499999999995</v>
      </c>
      <c r="CN90" s="1483">
        <f>CN88</f>
        <v>75.965000000000003</v>
      </c>
      <c r="CO90" s="1483">
        <f>CO88</f>
        <v>-520.04500000000007</v>
      </c>
      <c r="CP90" s="1483">
        <f>CP88</f>
        <v>12.630000000000022</v>
      </c>
      <c r="CQ90" s="1483">
        <f>CQ88</f>
        <v>-284.50900000000019</v>
      </c>
      <c r="CR90" s="1483">
        <f t="shared" ref="CR90:CU90" si="277">CR88</f>
        <v>-1228.3530000000001</v>
      </c>
      <c r="CS90" s="1483">
        <f t="shared" si="277"/>
        <v>28.843999999999927</v>
      </c>
      <c r="CT90" s="1483">
        <f t="shared" si="277"/>
        <v>672.31499999999994</v>
      </c>
      <c r="CU90" s="1483">
        <f t="shared" si="277"/>
        <v>-53.927000000000021</v>
      </c>
      <c r="CV90" s="1483">
        <f>CV88</f>
        <v>-59.883999999999894</v>
      </c>
      <c r="CW90" s="1483">
        <f>CW88</f>
        <v>-3642.5529999999999</v>
      </c>
      <c r="CX90" s="1483">
        <f>CX88</f>
        <v>55.02000000000001</v>
      </c>
      <c r="CY90" s="1483">
        <f>CY88</f>
        <v>-302.67100000000005</v>
      </c>
      <c r="CZ90" s="1483">
        <f t="shared" ref="CZ90:DC90" ca="1" si="278">CZ88</f>
        <v>36.301458383666727</v>
      </c>
      <c r="DA90" s="1483">
        <f t="shared" ca="1" si="278"/>
        <v>201.3222629237344</v>
      </c>
      <c r="DB90" s="1483">
        <f t="shared" ca="1" si="278"/>
        <v>-202.7106605502554</v>
      </c>
      <c r="DC90" s="1483">
        <f t="shared" ca="1" si="278"/>
        <v>-171.14350219029245</v>
      </c>
      <c r="DF90" s="783"/>
      <c r="DG90" s="783"/>
      <c r="DH90" s="783"/>
      <c r="FB90" s="15"/>
      <c r="FC90" s="15"/>
      <c r="FD90" s="15"/>
    </row>
    <row r="91" spans="2:160" hidden="1" outlineLevel="1">
      <c r="B91" s="1049" t="s">
        <v>259</v>
      </c>
      <c r="C91" s="23"/>
      <c r="D91" s="15"/>
      <c r="E91" s="54">
        <f t="shared" ref="E91:K91" si="279">E85</f>
        <v>0</v>
      </c>
      <c r="F91" s="54">
        <f t="shared" si="279"/>
        <v>0</v>
      </c>
      <c r="G91" s="54">
        <f t="shared" si="279"/>
        <v>0</v>
      </c>
      <c r="H91" s="54">
        <f t="shared" si="279"/>
        <v>0</v>
      </c>
      <c r="I91" s="54">
        <f t="shared" si="279"/>
        <v>0</v>
      </c>
      <c r="J91" s="54">
        <f t="shared" si="279"/>
        <v>-88.507000000000005</v>
      </c>
      <c r="K91" s="54">
        <f t="shared" si="279"/>
        <v>-0.23600000000000065</v>
      </c>
      <c r="L91" s="54">
        <f>L85</f>
        <v>-662.322</v>
      </c>
      <c r="M91" s="54">
        <f t="shared" ref="M91:BS91" si="280">M85</f>
        <v>-23.241</v>
      </c>
      <c r="N91" s="1483">
        <f t="shared" si="280"/>
        <v>-28.175999999999998</v>
      </c>
      <c r="O91" s="1483">
        <f t="shared" si="280"/>
        <v>-113.289</v>
      </c>
      <c r="P91" s="1483">
        <f t="shared" si="280"/>
        <v>-65.947000000000003</v>
      </c>
      <c r="Q91" s="1483">
        <f t="shared" ref="Q91:Z91" si="281">Q85</f>
        <v>-257.69</v>
      </c>
      <c r="R91" s="1483">
        <f t="shared" si="281"/>
        <v>-3.0670000000000002</v>
      </c>
      <c r="S91" s="1483">
        <f t="shared" si="281"/>
        <v>0</v>
      </c>
      <c r="T91" s="1483">
        <f t="shared" si="281"/>
        <v>-245.553</v>
      </c>
      <c r="U91" s="1483">
        <f>U85</f>
        <v>-938.15</v>
      </c>
      <c r="V91" s="1483">
        <f>V85</f>
        <v>-4010.5959999999995</v>
      </c>
      <c r="W91" s="1483">
        <f>W85</f>
        <v>0</v>
      </c>
      <c r="X91" s="1483">
        <f t="shared" si="281"/>
        <v>0</v>
      </c>
      <c r="Y91" s="1483">
        <f t="shared" si="281"/>
        <v>0</v>
      </c>
      <c r="Z91" s="1483">
        <f t="shared" si="281"/>
        <v>0</v>
      </c>
      <c r="AA91" s="1483">
        <f t="shared" ref="AA91:AD91" si="282">AA85</f>
        <v>0</v>
      </c>
      <c r="AB91" s="1483">
        <f t="shared" si="282"/>
        <v>0</v>
      </c>
      <c r="AC91" s="1483">
        <f t="shared" si="282"/>
        <v>0</v>
      </c>
      <c r="AD91" s="1483">
        <f t="shared" si="282"/>
        <v>0</v>
      </c>
      <c r="AE91" s="1498"/>
      <c r="AF91" s="1498"/>
      <c r="AG91" s="1498"/>
      <c r="AH91" s="1483">
        <f t="shared" si="280"/>
        <v>0</v>
      </c>
      <c r="AI91" s="1483">
        <f t="shared" si="280"/>
        <v>0</v>
      </c>
      <c r="AJ91" s="1483">
        <f t="shared" si="280"/>
        <v>0</v>
      </c>
      <c r="AK91" s="1483">
        <f t="shared" si="280"/>
        <v>0</v>
      </c>
      <c r="AL91" s="1483">
        <f t="shared" si="280"/>
        <v>0</v>
      </c>
      <c r="AM91" s="1483">
        <f t="shared" si="280"/>
        <v>0</v>
      </c>
      <c r="AN91" s="1483">
        <f t="shared" si="280"/>
        <v>0</v>
      </c>
      <c r="AO91" s="1483">
        <f t="shared" si="280"/>
        <v>0</v>
      </c>
      <c r="AP91" s="1483">
        <f t="shared" si="280"/>
        <v>0</v>
      </c>
      <c r="AQ91" s="1483">
        <f t="shared" si="280"/>
        <v>0</v>
      </c>
      <c r="AR91" s="1483">
        <f t="shared" si="280"/>
        <v>0</v>
      </c>
      <c r="AS91" s="1483">
        <f t="shared" si="280"/>
        <v>0</v>
      </c>
      <c r="AT91" s="1483">
        <f t="shared" si="280"/>
        <v>0</v>
      </c>
      <c r="AU91" s="1483">
        <f t="shared" si="280"/>
        <v>0</v>
      </c>
      <c r="AV91" s="1483">
        <f t="shared" si="280"/>
        <v>0</v>
      </c>
      <c r="AW91" s="1483">
        <f t="shared" si="280"/>
        <v>0</v>
      </c>
      <c r="AX91" s="1483">
        <f t="shared" si="280"/>
        <v>0</v>
      </c>
      <c r="AY91" s="1483">
        <f t="shared" si="280"/>
        <v>0</v>
      </c>
      <c r="AZ91" s="1483">
        <f t="shared" si="280"/>
        <v>0</v>
      </c>
      <c r="BA91" s="1483">
        <f t="shared" si="280"/>
        <v>0</v>
      </c>
      <c r="BB91" s="1483">
        <f t="shared" si="280"/>
        <v>-34.726999999999997</v>
      </c>
      <c r="BC91" s="1483">
        <f t="shared" si="280"/>
        <v>-53.780000000000008</v>
      </c>
      <c r="BD91" s="1483">
        <f t="shared" si="280"/>
        <v>0</v>
      </c>
      <c r="BE91" s="1483">
        <f t="shared" si="280"/>
        <v>-9.766</v>
      </c>
      <c r="BF91" s="1483">
        <f t="shared" si="280"/>
        <v>0</v>
      </c>
      <c r="BG91" s="1483">
        <f t="shared" si="280"/>
        <v>9.5299999999999994</v>
      </c>
      <c r="BH91" s="1483">
        <f t="shared" si="280"/>
        <v>-6.5</v>
      </c>
      <c r="BI91" s="1483">
        <f t="shared" si="280"/>
        <v>-49.04</v>
      </c>
      <c r="BJ91" s="1483">
        <f t="shared" si="280"/>
        <v>-606.71900000000005</v>
      </c>
      <c r="BK91" s="1483">
        <f t="shared" si="280"/>
        <v>-6.2999999999952649E-2</v>
      </c>
      <c r="BL91" s="1483">
        <f t="shared" si="280"/>
        <v>-23.241</v>
      </c>
      <c r="BM91" s="1483">
        <f t="shared" si="280"/>
        <v>0</v>
      </c>
      <c r="BN91" s="1483">
        <f t="shared" si="280"/>
        <v>0</v>
      </c>
      <c r="BO91" s="1483">
        <f t="shared" si="280"/>
        <v>0</v>
      </c>
      <c r="BP91" s="1483">
        <f t="shared" si="280"/>
        <v>0</v>
      </c>
      <c r="BQ91" s="1483">
        <f t="shared" si="280"/>
        <v>0</v>
      </c>
      <c r="BR91" s="1483">
        <f t="shared" si="280"/>
        <v>-28.175999999999998</v>
      </c>
      <c r="BS91" s="1483">
        <f t="shared" si="280"/>
        <v>0</v>
      </c>
      <c r="BT91" s="1483">
        <f t="shared" ref="BT91:BY91" si="283">BT85</f>
        <v>0</v>
      </c>
      <c r="BU91" s="1483">
        <f t="shared" si="283"/>
        <v>-113.289</v>
      </c>
      <c r="BV91" s="1483">
        <f t="shared" si="283"/>
        <v>0</v>
      </c>
      <c r="BW91" s="1483">
        <f t="shared" si="283"/>
        <v>0</v>
      </c>
      <c r="BX91" s="1483">
        <f t="shared" si="283"/>
        <v>-14.951000000000001</v>
      </c>
      <c r="BY91" s="1483">
        <f t="shared" si="283"/>
        <v>-50.996000000000002</v>
      </c>
      <c r="BZ91" s="1483">
        <f t="shared" ref="BZ91:CE91" si="284">BZ85</f>
        <v>0</v>
      </c>
      <c r="CA91" s="1483">
        <f t="shared" si="284"/>
        <v>0</v>
      </c>
      <c r="CB91" s="1483">
        <f t="shared" si="284"/>
        <v>0</v>
      </c>
      <c r="CC91" s="1483">
        <f t="shared" si="284"/>
        <v>0</v>
      </c>
      <c r="CD91" s="1483">
        <f t="shared" si="284"/>
        <v>-273.03399999999999</v>
      </c>
      <c r="CE91" s="1483">
        <f t="shared" si="284"/>
        <v>15.344000000000001</v>
      </c>
      <c r="CF91" s="1483">
        <f t="shared" ref="CF91:CM91" si="285">CF85</f>
        <v>-0.107</v>
      </c>
      <c r="CG91" s="1483">
        <f t="shared" si="285"/>
        <v>-2.96</v>
      </c>
      <c r="CH91" s="1483">
        <f t="shared" si="285"/>
        <v>0</v>
      </c>
      <c r="CI91" s="1483">
        <f t="shared" si="285"/>
        <v>0</v>
      </c>
      <c r="CJ91" s="1483">
        <f t="shared" si="285"/>
        <v>0</v>
      </c>
      <c r="CK91" s="1483">
        <f t="shared" si="285"/>
        <v>0</v>
      </c>
      <c r="CL91" s="1483">
        <f t="shared" si="285"/>
        <v>0</v>
      </c>
      <c r="CM91" s="1483">
        <f t="shared" si="285"/>
        <v>0</v>
      </c>
      <c r="CN91" s="1483">
        <f>CN85</f>
        <v>-10.247</v>
      </c>
      <c r="CO91" s="1483">
        <f>CO85</f>
        <v>0</v>
      </c>
      <c r="CP91" s="1483">
        <f>CP85</f>
        <v>0</v>
      </c>
      <c r="CQ91" s="1483">
        <f>CQ85</f>
        <v>-235.30600000000001</v>
      </c>
      <c r="CR91" s="1483">
        <f t="shared" ref="CR91:CU91" si="286">CR85</f>
        <v>-1601.627</v>
      </c>
      <c r="CS91" s="1483">
        <f t="shared" si="286"/>
        <v>0</v>
      </c>
      <c r="CT91" s="1483">
        <f t="shared" si="286"/>
        <v>639.471</v>
      </c>
      <c r="CU91" s="1483">
        <f t="shared" si="286"/>
        <v>24.006</v>
      </c>
      <c r="CV91" s="1483">
        <f>CV85</f>
        <v>-30.012999999999998</v>
      </c>
      <c r="CW91" s="1483">
        <f>CW85</f>
        <v>-3600.4539999999997</v>
      </c>
      <c r="CX91" s="1483">
        <f>CX85</f>
        <v>-15.256</v>
      </c>
      <c r="CY91" s="1483">
        <f>CY85</f>
        <v>-364.87300000000005</v>
      </c>
      <c r="CZ91" s="1483">
        <f t="shared" ref="CZ91:DC91" si="287">CZ85</f>
        <v>0</v>
      </c>
      <c r="DA91" s="1483">
        <f t="shared" si="287"/>
        <v>0</v>
      </c>
      <c r="DB91" s="1483">
        <f t="shared" si="287"/>
        <v>0</v>
      </c>
      <c r="DC91" s="1483">
        <f t="shared" si="287"/>
        <v>0</v>
      </c>
      <c r="DF91" s="783"/>
      <c r="DG91" s="783"/>
      <c r="DH91" s="783"/>
      <c r="FB91" s="15"/>
      <c r="FC91" s="15"/>
      <c r="FD91" s="15"/>
    </row>
    <row r="92" spans="2:160" hidden="1" outlineLevel="1">
      <c r="B92" s="71" t="s">
        <v>258</v>
      </c>
      <c r="C92" s="71"/>
      <c r="D92" s="71"/>
      <c r="E92" s="72">
        <f t="shared" ref="E92:K92" si="288">E90-E91</f>
        <v>-283.06799999999998</v>
      </c>
      <c r="F92" s="72">
        <f t="shared" si="288"/>
        <v>-181.16099999999997</v>
      </c>
      <c r="G92" s="72">
        <f t="shared" si="288"/>
        <v>-63.910999999999994</v>
      </c>
      <c r="H92" s="72">
        <f t="shared" si="288"/>
        <v>-20.346999999999991</v>
      </c>
      <c r="I92" s="72">
        <f t="shared" si="288"/>
        <v>16.186999999999991</v>
      </c>
      <c r="J92" s="72">
        <f t="shared" si="288"/>
        <v>35.178999999999995</v>
      </c>
      <c r="K92" s="72">
        <f t="shared" si="288"/>
        <v>-79.317000000000036</v>
      </c>
      <c r="L92" s="72">
        <f>L90-L91</f>
        <v>-254.28199999999993</v>
      </c>
      <c r="M92" s="72">
        <f t="shared" ref="M92:BS92" si="289">M90-M91</f>
        <v>-192.67699999999991</v>
      </c>
      <c r="N92" s="1499">
        <f t="shared" si="289"/>
        <v>-1.8519999999999861</v>
      </c>
      <c r="O92" s="1499">
        <f t="shared" si="289"/>
        <v>-212.92899999999997</v>
      </c>
      <c r="P92" s="1499">
        <f t="shared" si="289"/>
        <v>-214.14299999999997</v>
      </c>
      <c r="Q92" s="1499">
        <f t="shared" si="289"/>
        <v>-26.913000000000238</v>
      </c>
      <c r="R92" s="1499">
        <f t="shared" si="289"/>
        <v>38.099999999999859</v>
      </c>
      <c r="S92" s="1499">
        <f t="shared" si="289"/>
        <v>30.821000000000211</v>
      </c>
      <c r="T92" s="1499">
        <f t="shared" ref="T92:Z92" si="290">T90-T91</f>
        <v>-470.40600000000029</v>
      </c>
      <c r="U92" s="1499">
        <f t="shared" si="290"/>
        <v>357.029</v>
      </c>
      <c r="V92" s="1499">
        <f>V90-V91</f>
        <v>60.508000000000266</v>
      </c>
      <c r="W92" s="1499">
        <f ca="1">W90-W91</f>
        <v>-136.23044143314701</v>
      </c>
      <c r="X92" s="1499">
        <f t="shared" ca="1" si="290"/>
        <v>97.571918623345937</v>
      </c>
      <c r="Y92" s="1499">
        <f t="shared" ca="1" si="290"/>
        <v>463.5942014612101</v>
      </c>
      <c r="Z92" s="1499">
        <f t="shared" ca="1" si="290"/>
        <v>665.42434386815671</v>
      </c>
      <c r="AA92" s="1499">
        <f t="shared" ref="AA92:AD92" ca="1" si="291">AA90-AA91</f>
        <v>814.88966826170872</v>
      </c>
      <c r="AB92" s="1499">
        <f t="shared" ca="1" si="291"/>
        <v>919.00024213492907</v>
      </c>
      <c r="AC92" s="1499">
        <f t="shared" ca="1" si="291"/>
        <v>1049.0304814106898</v>
      </c>
      <c r="AD92" s="1499">
        <f t="shared" ca="1" si="291"/>
        <v>1224.1074817520557</v>
      </c>
      <c r="AE92" s="1498"/>
      <c r="AF92" s="1500"/>
      <c r="AG92" s="1500"/>
      <c r="AH92" s="1499">
        <f t="shared" si="289"/>
        <v>-219.92599999999999</v>
      </c>
      <c r="AI92" s="1499">
        <f t="shared" si="289"/>
        <v>-67.117000000000019</v>
      </c>
      <c r="AJ92" s="1499">
        <f t="shared" si="289"/>
        <v>-86.641000000000005</v>
      </c>
      <c r="AK92" s="1499">
        <f t="shared" si="289"/>
        <v>-43.984000000000009</v>
      </c>
      <c r="AL92" s="1499">
        <f t="shared" si="289"/>
        <v>-64.787999999999982</v>
      </c>
      <c r="AM92" s="1499">
        <f t="shared" si="289"/>
        <v>14.251999999999995</v>
      </c>
      <c r="AN92" s="1499">
        <f t="shared" si="289"/>
        <v>-31.117000000000001</v>
      </c>
      <c r="AO92" s="1499">
        <f t="shared" si="289"/>
        <v>-26.74499999999999</v>
      </c>
      <c r="AP92" s="1499">
        <f t="shared" si="289"/>
        <v>-4.9589999999999979</v>
      </c>
      <c r="AQ92" s="1499">
        <f t="shared" si="289"/>
        <v>-1.0899999999999928</v>
      </c>
      <c r="AR92" s="1499">
        <f t="shared" si="289"/>
        <v>-17.914999999999996</v>
      </c>
      <c r="AS92" s="1499">
        <f t="shared" si="289"/>
        <v>-3.5710000000000006</v>
      </c>
      <c r="AT92" s="1499">
        <f t="shared" si="289"/>
        <v>0.45900000000000118</v>
      </c>
      <c r="AU92" s="1499">
        <f t="shared" si="289"/>
        <v>0.6800000000000046</v>
      </c>
      <c r="AV92" s="1499">
        <f t="shared" si="289"/>
        <v>1.3769999999999987</v>
      </c>
      <c r="AW92" s="1499">
        <f t="shared" si="289"/>
        <v>3.3019999999999969</v>
      </c>
      <c r="AX92" s="1499">
        <f t="shared" si="289"/>
        <v>5.3749999999999867</v>
      </c>
      <c r="AY92" s="1499">
        <f t="shared" si="289"/>
        <v>6.1330000000000062</v>
      </c>
      <c r="AZ92" s="1499">
        <f t="shared" si="289"/>
        <v>9.2270000000000021</v>
      </c>
      <c r="BA92" s="1499">
        <f t="shared" si="289"/>
        <v>11.414000000000005</v>
      </c>
      <c r="BB92" s="1499">
        <f t="shared" si="289"/>
        <v>8.1479999999999997</v>
      </c>
      <c r="BC92" s="1499">
        <f t="shared" si="289"/>
        <v>6.3899999999999935</v>
      </c>
      <c r="BD92" s="1499">
        <f t="shared" si="289"/>
        <v>-11.304000000000004</v>
      </c>
      <c r="BE92" s="1499">
        <f t="shared" si="289"/>
        <v>-9.9209999999999976</v>
      </c>
      <c r="BF92" s="1499">
        <f t="shared" si="289"/>
        <v>-29.304000000000002</v>
      </c>
      <c r="BG92" s="1499">
        <f t="shared" si="289"/>
        <v>-28.788000000000004</v>
      </c>
      <c r="BH92" s="1499">
        <f t="shared" si="289"/>
        <v>-31.221999999999987</v>
      </c>
      <c r="BI92" s="1499">
        <f t="shared" si="289"/>
        <v>-70.544999999999987</v>
      </c>
      <c r="BJ92" s="1499">
        <f t="shared" si="289"/>
        <v>-63.086000000000013</v>
      </c>
      <c r="BK92" s="1499">
        <f t="shared" si="289"/>
        <v>-89.428999999999974</v>
      </c>
      <c r="BL92" s="1499">
        <f t="shared" si="289"/>
        <v>-78.893000000000001</v>
      </c>
      <c r="BM92" s="1499">
        <f t="shared" si="289"/>
        <v>-43.408000000000001</v>
      </c>
      <c r="BN92" s="1499">
        <f t="shared" si="289"/>
        <v>-21.897999999999989</v>
      </c>
      <c r="BO92" s="1499">
        <f t="shared" si="289"/>
        <v>-48.478000000000065</v>
      </c>
      <c r="BP92" s="1499">
        <f t="shared" si="289"/>
        <v>-14.801</v>
      </c>
      <c r="BQ92" s="1499">
        <f t="shared" si="289"/>
        <v>10.83600000000003</v>
      </c>
      <c r="BR92" s="1499">
        <f t="shared" si="289"/>
        <v>21.210999999999974</v>
      </c>
      <c r="BS92" s="1499">
        <f t="shared" si="289"/>
        <v>-19.098000000000017</v>
      </c>
      <c r="BT92" s="1499">
        <f t="shared" ref="BT92:CJ92" si="292">BT90-BT91</f>
        <v>-44.030000000000008</v>
      </c>
      <c r="BU92" s="1499">
        <f t="shared" si="292"/>
        <v>-94.605000000000004</v>
      </c>
      <c r="BV92" s="1499">
        <f t="shared" si="292"/>
        <v>-34.430999999999983</v>
      </c>
      <c r="BW92" s="1499">
        <f t="shared" si="292"/>
        <v>-39.863</v>
      </c>
      <c r="BX92" s="1499">
        <f t="shared" si="292"/>
        <v>-155.31899999999999</v>
      </c>
      <c r="BY92" s="1499">
        <f t="shared" si="292"/>
        <v>-53.23</v>
      </c>
      <c r="BZ92" s="1499">
        <f t="shared" si="292"/>
        <v>6.5699999999999577</v>
      </c>
      <c r="CA92" s="1499">
        <f t="shared" si="292"/>
        <v>-12.164000000000007</v>
      </c>
      <c r="CB92" s="1499">
        <f t="shared" si="292"/>
        <v>42.733000000000018</v>
      </c>
      <c r="CC92" s="1499">
        <f t="shared" si="292"/>
        <v>8.2009999999999703</v>
      </c>
      <c r="CD92" s="1499">
        <f t="shared" si="292"/>
        <v>-82.72100000000006</v>
      </c>
      <c r="CE92" s="1499">
        <f t="shared" si="292"/>
        <v>4.8740000000000094</v>
      </c>
      <c r="CF92" s="1499">
        <f t="shared" si="292"/>
        <v>-827.12100000000021</v>
      </c>
      <c r="CG92" s="1499">
        <f t="shared" si="292"/>
        <v>866.173</v>
      </c>
      <c r="CH92" s="1499">
        <f t="shared" si="292"/>
        <v>36.734000000000101</v>
      </c>
      <c r="CI92" s="1499">
        <f t="shared" si="292"/>
        <v>-37.68600000000032</v>
      </c>
      <c r="CJ92" s="1499">
        <f t="shared" si="292"/>
        <v>65.740000000000023</v>
      </c>
      <c r="CK92" s="1499">
        <f t="shared" ref="CK92:CQ92" si="293">CK90-CK91</f>
        <v>-60.269999999999946</v>
      </c>
      <c r="CL92" s="1499">
        <f t="shared" si="293"/>
        <v>61.33600000000002</v>
      </c>
      <c r="CM92" s="1499">
        <f t="shared" si="293"/>
        <v>-35.98499999999995</v>
      </c>
      <c r="CN92" s="1499">
        <f t="shared" si="293"/>
        <v>86.212000000000003</v>
      </c>
      <c r="CO92" s="1499">
        <f t="shared" si="293"/>
        <v>-520.04500000000007</v>
      </c>
      <c r="CP92" s="1499">
        <f t="shared" si="293"/>
        <v>12.630000000000022</v>
      </c>
      <c r="CQ92" s="1499">
        <f t="shared" si="293"/>
        <v>-49.203000000000173</v>
      </c>
      <c r="CR92" s="1499">
        <f t="shared" ref="CR92:CU92" si="294">CR90-CR91</f>
        <v>373.27399999999989</v>
      </c>
      <c r="CS92" s="1499">
        <f t="shared" si="294"/>
        <v>28.843999999999927</v>
      </c>
      <c r="CT92" s="1499">
        <f t="shared" si="294"/>
        <v>32.843999999999937</v>
      </c>
      <c r="CU92" s="1499">
        <f t="shared" si="294"/>
        <v>-77.933000000000021</v>
      </c>
      <c r="CV92" s="1499">
        <f>CV90-CV91</f>
        <v>-29.870999999999896</v>
      </c>
      <c r="CW92" s="1499">
        <f>CW90-CW91</f>
        <v>-42.09900000000016</v>
      </c>
      <c r="CX92" s="1499">
        <f>CX90-CX91</f>
        <v>70.27600000000001</v>
      </c>
      <c r="CY92" s="1499">
        <f>CY90-CY91</f>
        <v>62.201999999999998</v>
      </c>
      <c r="CZ92" s="1499">
        <f t="shared" ref="CZ92:DC92" ca="1" si="295">CZ90-CZ91</f>
        <v>36.301458383666727</v>
      </c>
      <c r="DA92" s="1499">
        <f t="shared" ca="1" si="295"/>
        <v>201.3222629237344</v>
      </c>
      <c r="DB92" s="1499">
        <f t="shared" ca="1" si="295"/>
        <v>-202.7106605502554</v>
      </c>
      <c r="DC92" s="1499">
        <f t="shared" ca="1" si="295"/>
        <v>-171.14350219029245</v>
      </c>
      <c r="DF92" s="783"/>
      <c r="DG92" s="783"/>
      <c r="DH92" s="783"/>
      <c r="FB92" s="15"/>
      <c r="FC92" s="15"/>
      <c r="FD92" s="15"/>
    </row>
    <row r="93" spans="2:160" s="15" customFormat="1" ht="12.75" customHeight="1" collapsed="1">
      <c r="B93" s="1050"/>
      <c r="C93" s="23"/>
      <c r="L93" s="23"/>
      <c r="M93" s="123"/>
      <c r="N93" s="1491"/>
      <c r="O93" s="1483"/>
      <c r="P93" s="1483"/>
      <c r="Q93" s="1483"/>
      <c r="R93" s="1483"/>
      <c r="S93" s="1483"/>
      <c r="T93" s="1483"/>
      <c r="U93" s="1483"/>
      <c r="V93" s="1483"/>
      <c r="W93" s="1483"/>
      <c r="X93" s="1483"/>
      <c r="Y93" s="1483"/>
      <c r="Z93" s="1483"/>
      <c r="AA93" s="1483"/>
      <c r="AB93" s="1483"/>
      <c r="AC93" s="1483"/>
      <c r="AD93" s="1483"/>
      <c r="AE93" s="1483"/>
      <c r="AF93" s="1498"/>
      <c r="AG93" s="1498"/>
      <c r="AH93" s="1498"/>
      <c r="AI93" s="1498"/>
      <c r="AJ93" s="1498"/>
      <c r="AK93" s="1498"/>
      <c r="AL93" s="1498"/>
      <c r="AM93" s="1498"/>
      <c r="AN93" s="1498"/>
      <c r="AO93" s="1498"/>
      <c r="AP93" s="1498"/>
      <c r="AQ93" s="1498"/>
      <c r="AR93" s="1498"/>
      <c r="AS93" s="1498"/>
      <c r="AT93" s="1498"/>
      <c r="AU93" s="1498"/>
      <c r="AV93" s="1498"/>
      <c r="AW93" s="1498"/>
      <c r="AX93" s="1498"/>
      <c r="AY93" s="1498"/>
      <c r="AZ93" s="1498"/>
      <c r="BA93" s="1498"/>
      <c r="BB93" s="1498"/>
      <c r="BC93" s="1498"/>
      <c r="BD93" s="1498"/>
      <c r="BE93" s="1498"/>
      <c r="BF93" s="1498"/>
      <c r="BG93" s="1498"/>
      <c r="BH93" s="1498"/>
      <c r="BI93" s="1498"/>
      <c r="BJ93" s="1498"/>
      <c r="BK93" s="1498"/>
      <c r="BL93" s="1483"/>
      <c r="BM93" s="1483"/>
      <c r="BN93" s="1483"/>
      <c r="BO93" s="1483"/>
      <c r="BP93" s="1483"/>
      <c r="BQ93" s="1483"/>
      <c r="BR93" s="1483"/>
      <c r="BS93" s="1483"/>
      <c r="BT93" s="1483"/>
      <c r="BU93" s="1483"/>
      <c r="BV93" s="1483"/>
      <c r="BW93" s="1483"/>
      <c r="BX93" s="1483"/>
      <c r="BY93" s="1483"/>
      <c r="BZ93" s="1483"/>
      <c r="CA93" s="1483"/>
      <c r="CB93" s="1483"/>
      <c r="CC93" s="1483"/>
      <c r="CD93" s="1483"/>
      <c r="CE93" s="1483"/>
      <c r="CF93" s="1483"/>
      <c r="CG93" s="1483"/>
      <c r="CH93" s="1483"/>
      <c r="CI93" s="1483"/>
      <c r="CJ93" s="1483"/>
      <c r="CK93" s="1483"/>
      <c r="CL93" s="1483"/>
      <c r="CM93" s="1483"/>
      <c r="CN93" s="1483"/>
      <c r="CO93" s="1483"/>
      <c r="CP93" s="1483"/>
      <c r="CQ93" s="1483"/>
      <c r="CR93" s="1483"/>
      <c r="CS93" s="1483"/>
      <c r="CT93" s="1483"/>
      <c r="CU93" s="1483"/>
      <c r="CV93" s="1483"/>
      <c r="CW93" s="1483"/>
      <c r="CX93" s="1483"/>
      <c r="CY93" s="1483"/>
      <c r="CZ93" s="1483"/>
      <c r="DA93" s="1483"/>
      <c r="DB93" s="1483"/>
      <c r="DC93" s="1483"/>
      <c r="DF93" s="783"/>
      <c r="DG93" s="783"/>
      <c r="DH93" s="783"/>
      <c r="EU93" s="42"/>
      <c r="EV93"/>
      <c r="EW93"/>
      <c r="EX93"/>
      <c r="EY93"/>
      <c r="EZ93"/>
      <c r="FA93"/>
    </row>
    <row r="94" spans="2:160" s="15" customFormat="1">
      <c r="B94" s="16" t="s">
        <v>910</v>
      </c>
      <c r="C94" s="23"/>
      <c r="F94" s="26">
        <f>BS!F110</f>
        <v>-38.007000000000005</v>
      </c>
      <c r="G94" s="26">
        <f>BS!G110</f>
        <v>-11.830999999999989</v>
      </c>
      <c r="H94" s="26">
        <f>BS!H110</f>
        <v>1.6980000000000075</v>
      </c>
      <c r="I94" s="26">
        <f>BS!I110</f>
        <v>35.61399999999999</v>
      </c>
      <c r="J94" s="26">
        <f>BS!J110</f>
        <v>70.139000000000024</v>
      </c>
      <c r="K94" s="26">
        <f>BS!K110</f>
        <v>102.07200000000006</v>
      </c>
      <c r="L94" s="26">
        <f>BS!L110</f>
        <v>155.39000000000007</v>
      </c>
      <c r="M94" s="54">
        <f>BS!M110</f>
        <v>292.47599999999994</v>
      </c>
      <c r="N94" s="1483">
        <f>BS!N110</f>
        <v>408.60800000000006</v>
      </c>
      <c r="O94" s="1483">
        <f>BS!O110</f>
        <v>533.02099999999996</v>
      </c>
      <c r="P94" s="1483">
        <f>BS!P110</f>
        <v>719.80500000000018</v>
      </c>
      <c r="Q94" s="1483">
        <f>BS!Q110</f>
        <v>887.85699999999986</v>
      </c>
      <c r="R94" s="1483">
        <f>BS!R110</f>
        <v>1000.898</v>
      </c>
      <c r="S94" s="1483">
        <f>BS!S110</f>
        <v>1113.8909999999996</v>
      </c>
      <c r="T94" s="1483">
        <f>BS!T110</f>
        <v>1271.6270000000004</v>
      </c>
      <c r="U94" s="1483">
        <f>BS!U110</f>
        <v>1657.4739999999999</v>
      </c>
      <c r="V94" s="1483">
        <f>BS!V110</f>
        <v>2052.0410000000002</v>
      </c>
      <c r="W94" s="1483">
        <f ca="1">BS!W110</f>
        <v>2396.2013118891828</v>
      </c>
      <c r="X94" s="1483">
        <f ca="1">BS!X110</f>
        <v>2626.6195144712165</v>
      </c>
      <c r="Y94" s="1483">
        <f ca="1">BS!Y110</f>
        <v>2847.0470495173977</v>
      </c>
      <c r="Z94" s="1483">
        <f ca="1">BS!Z110</f>
        <v>3057.2702817644613</v>
      </c>
      <c r="AA94" s="1483">
        <f ca="1">BS!AA110</f>
        <v>3268.4011351509503</v>
      </c>
      <c r="AB94" s="1483">
        <f ca="1">BS!AB110</f>
        <v>3480.2912002721851</v>
      </c>
      <c r="AC94" s="1483">
        <f ca="1">BS!AC110</f>
        <v>3692.8182551836308</v>
      </c>
      <c r="AD94" s="1483">
        <f ca="1">BS!AD110</f>
        <v>3905.8777316709748</v>
      </c>
      <c r="AE94" s="1483"/>
      <c r="AF94" s="1498"/>
      <c r="AG94" s="1498"/>
      <c r="AH94" s="1498"/>
      <c r="AI94" s="1498"/>
      <c r="AJ94" s="1498">
        <f>BS!AJ110</f>
        <v>-16.292000000000002</v>
      </c>
      <c r="AK94" s="1498">
        <f>BS!AK110</f>
        <v>-11.467000000000001</v>
      </c>
      <c r="AL94" s="1498">
        <f>BS!AL110</f>
        <v>-8.6880000000000024</v>
      </c>
      <c r="AM94" s="1498">
        <f>BS!AM110</f>
        <v>-1.5599999999999987</v>
      </c>
      <c r="AN94" s="1498">
        <f>BS!AN110</f>
        <v>-1.5389999999999953</v>
      </c>
      <c r="AO94" s="1498">
        <f>BS!AO110</f>
        <v>-6.9339999999999993</v>
      </c>
      <c r="AP94" s="1498">
        <f>BS!AP110</f>
        <v>-1.504999999999999</v>
      </c>
      <c r="AQ94" s="1498">
        <f>BS!AQ110</f>
        <v>-1.852999999999998</v>
      </c>
      <c r="AR94" s="1498">
        <f>BS!AR110</f>
        <v>-3.0739999999999981</v>
      </c>
      <c r="AS94" s="1498">
        <f>BS!AS110</f>
        <v>0.28899999999999437</v>
      </c>
      <c r="AT94" s="1498">
        <f>BS!AT110</f>
        <v>1.3800000000000026</v>
      </c>
      <c r="AU94" s="1498">
        <f>BS!AU110</f>
        <v>3.1029999999999944</v>
      </c>
      <c r="AV94" s="1498">
        <f>BS!AV110</f>
        <v>5.6570000000000054</v>
      </c>
      <c r="AW94" s="1498">
        <f>BS!AW110</f>
        <v>7.5280000000000022</v>
      </c>
      <c r="AX94" s="1498">
        <f>BS!AX110</f>
        <v>10.066000000000001</v>
      </c>
      <c r="AY94" s="1498">
        <f>BS!AY110</f>
        <v>12.363000000000003</v>
      </c>
      <c r="AZ94" s="1498">
        <f>BS!AZ110</f>
        <v>14.337</v>
      </c>
      <c r="BA94" s="1498">
        <f>BS!BA110</f>
        <v>16.055</v>
      </c>
      <c r="BB94" s="1498">
        <f>BS!BB110</f>
        <v>17.918999999999997</v>
      </c>
      <c r="BC94" s="1498">
        <f>BS!BC110</f>
        <v>21.827999999999996</v>
      </c>
      <c r="BD94" s="1498">
        <f>BS!BD110</f>
        <v>22.835000000000001</v>
      </c>
      <c r="BE94" s="1498">
        <f>BS!BE110</f>
        <v>24.038000000000004</v>
      </c>
      <c r="BF94" s="1498">
        <f>BS!BF110</f>
        <v>24.926999999999996</v>
      </c>
      <c r="BG94" s="1498">
        <f>BS!BG110</f>
        <v>30.271999999999988</v>
      </c>
      <c r="BH94" s="1498">
        <f>BS!BH110</f>
        <v>32.378000000000014</v>
      </c>
      <c r="BI94" s="1498">
        <f>BS!BI110</f>
        <v>35.311000000000014</v>
      </c>
      <c r="BJ94" s="1498">
        <f>BS!BJ110</f>
        <v>40.638999999999996</v>
      </c>
      <c r="BK94" s="1498">
        <f>BS!BK110</f>
        <v>47.061999999999998</v>
      </c>
      <c r="BL94" s="1498">
        <f>BS!BL110</f>
        <v>62.269000000000005</v>
      </c>
      <c r="BM94" s="1498">
        <f>BS!BM110</f>
        <v>69.133999999999986</v>
      </c>
      <c r="BN94" s="1498">
        <f>BS!BN110</f>
        <v>76.972999999999956</v>
      </c>
      <c r="BO94" s="1498">
        <f>BS!BO110</f>
        <v>84.1</v>
      </c>
      <c r="BP94" s="1498">
        <f>BS!BP110</f>
        <v>91.378000000000029</v>
      </c>
      <c r="BQ94" s="1498">
        <f>BS!BQ110</f>
        <v>99.533999999999992</v>
      </c>
      <c r="BR94" s="1498">
        <f>BS!BR110</f>
        <v>106.036</v>
      </c>
      <c r="BS94" s="1498">
        <f>BS!BS110</f>
        <v>111.66</v>
      </c>
      <c r="BT94" s="1483">
        <f>BS!BT110</f>
        <v>117.27200000000002</v>
      </c>
      <c r="BU94" s="1483">
        <f>BS!BU110</f>
        <v>129.28399999999996</v>
      </c>
      <c r="BV94" s="1483">
        <f>BS!BV110</f>
        <v>142.08600000000001</v>
      </c>
      <c r="BW94" s="1483">
        <f>BS!BW110</f>
        <v>144.37900000000002</v>
      </c>
      <c r="BX94" s="1483">
        <f>BS!BX110</f>
        <v>162.327</v>
      </c>
      <c r="BY94" s="1483">
        <f>BS!BY110</f>
        <v>177.40600000000001</v>
      </c>
      <c r="BZ94" s="1483">
        <f>BS!BZ110</f>
        <v>186.82799999999997</v>
      </c>
      <c r="CA94" s="1483">
        <f>BS!CA110</f>
        <v>193.244</v>
      </c>
      <c r="CB94" s="1483">
        <f>BS!CB110</f>
        <v>206.73500000000001</v>
      </c>
      <c r="CC94" s="1483">
        <f>BS!CC110</f>
        <v>216.42</v>
      </c>
      <c r="CD94" s="1483">
        <f>BS!CD110</f>
        <v>225.01599999999996</v>
      </c>
      <c r="CE94" s="1483">
        <f>BS!CE110</f>
        <v>239.68599999999998</v>
      </c>
      <c r="CF94" s="1483">
        <f>BS!CF110</f>
        <v>240.88799999999992</v>
      </c>
      <c r="CG94" s="1483">
        <f>BS!CG110</f>
        <v>248.035</v>
      </c>
      <c r="CH94" s="1483">
        <f>BS!CH110</f>
        <v>248.44500000000008</v>
      </c>
      <c r="CI94" s="1483">
        <f>BS!CI110</f>
        <v>263.53000000000003</v>
      </c>
      <c r="CJ94" s="1483">
        <f>BS!CJ110</f>
        <v>260.38800000000003</v>
      </c>
      <c r="CK94" s="1483">
        <f>BS!CK110</f>
        <v>275.27700000000004</v>
      </c>
      <c r="CL94" s="1483">
        <f>BS!CL110</f>
        <v>283.86099999999999</v>
      </c>
      <c r="CM94" s="1483">
        <f>BS!CM110</f>
        <v>294.36500000000001</v>
      </c>
      <c r="CN94" s="1483">
        <f>BS!CN110</f>
        <v>305.74799999999999</v>
      </c>
      <c r="CO94" s="1483">
        <f>BS!CO110</f>
        <v>311.26199999999989</v>
      </c>
      <c r="CP94" s="1483">
        <f>BS!CP110</f>
        <v>321.47200000000004</v>
      </c>
      <c r="CQ94" s="1483">
        <f>BS!CQ110</f>
        <v>333.14499999999987</v>
      </c>
      <c r="CR94" s="1483">
        <f>BS!CR110</f>
        <v>380.65000000000003</v>
      </c>
      <c r="CS94" s="1483">
        <f>BS!CS110</f>
        <v>420.291</v>
      </c>
      <c r="CT94" s="1483">
        <f>BS!CT110</f>
        <v>420.04199999999992</v>
      </c>
      <c r="CU94" s="1483">
        <f>BS!CU110</f>
        <v>436.49099999999999</v>
      </c>
      <c r="CV94" s="1483">
        <f>BS!CV110</f>
        <v>427.57400000000013</v>
      </c>
      <c r="CW94" s="1483">
        <f>BS!CW110</f>
        <v>509.30799999999999</v>
      </c>
      <c r="CX94" s="1483">
        <f>BS!CX110</f>
        <v>550.31899999999996</v>
      </c>
      <c r="CY94" s="1483">
        <f>BS!CY110</f>
        <v>564.84</v>
      </c>
      <c r="CZ94" s="1483">
        <f ca="1">BS!CZ110</f>
        <v>559.16151049800044</v>
      </c>
      <c r="DA94" s="1483">
        <f ca="1">BS!DA110</f>
        <v>589.79672695274871</v>
      </c>
      <c r="DB94" s="1483">
        <f ca="1">BS!DB110</f>
        <v>612.0595990789991</v>
      </c>
      <c r="DC94" s="1483">
        <f ca="1">BS!DC110</f>
        <v>635.1834753594344</v>
      </c>
      <c r="DF94" s="783"/>
      <c r="DG94" s="783"/>
      <c r="DH94" s="783"/>
      <c r="EU94" s="42"/>
      <c r="EV94"/>
      <c r="EW94"/>
      <c r="EX94"/>
      <c r="EY94"/>
      <c r="EZ94"/>
      <c r="FA94"/>
    </row>
    <row r="95" spans="2:160" s="15" customFormat="1">
      <c r="B95" s="1049" t="s">
        <v>195</v>
      </c>
      <c r="C95" s="23"/>
      <c r="F95" s="54">
        <f>F75</f>
        <v>-57.790999999999997</v>
      </c>
      <c r="G95" s="54">
        <f t="shared" ref="G95:Y95" si="296">G75</f>
        <v>-6.5080000000000009</v>
      </c>
      <c r="H95" s="54">
        <f t="shared" si="296"/>
        <v>-7.75</v>
      </c>
      <c r="I95" s="54">
        <f t="shared" si="296"/>
        <v>-22.934000000000001</v>
      </c>
      <c r="J95" s="54">
        <f t="shared" si="296"/>
        <v>-45.411999999999999</v>
      </c>
      <c r="K95" s="54">
        <f t="shared" si="296"/>
        <v>-162.291</v>
      </c>
      <c r="L95" s="54">
        <f t="shared" si="296"/>
        <v>-416.81099999999998</v>
      </c>
      <c r="M95" s="54">
        <f t="shared" si="296"/>
        <v>-471.12800000000004</v>
      </c>
      <c r="N95" s="1483">
        <f t="shared" si="296"/>
        <v>-342.18</v>
      </c>
      <c r="O95" s="1483">
        <f t="shared" si="296"/>
        <v>-579.39700000000005</v>
      </c>
      <c r="P95" s="1483">
        <f t="shared" si="296"/>
        <v>-682.73299999999995</v>
      </c>
      <c r="Q95" s="1483">
        <f t="shared" ref="Q95:V95" si="297">Q75</f>
        <v>-764.50000000000011</v>
      </c>
      <c r="R95" s="1483">
        <f t="shared" si="297"/>
        <v>-572.40599999999995</v>
      </c>
      <c r="S95" s="1483">
        <f t="shared" si="297"/>
        <v>-660.20299999999997</v>
      </c>
      <c r="T95" s="1483">
        <f t="shared" si="297"/>
        <v>-868.12000000000012</v>
      </c>
      <c r="U95" s="1483">
        <f t="shared" si="297"/>
        <v>-1113.365</v>
      </c>
      <c r="V95" s="1483">
        <f t="shared" si="297"/>
        <v>-1378.7249999999999</v>
      </c>
      <c r="W95" s="1483">
        <f t="shared" ref="W95" ca="1" si="298">W75</f>
        <v>-1935.5663438236479</v>
      </c>
      <c r="X95" s="1483">
        <f t="shared" ca="1" si="296"/>
        <v>-1853.1485108793856</v>
      </c>
      <c r="Y95" s="1483">
        <f t="shared" ca="1" si="296"/>
        <v>-1659.9433173086413</v>
      </c>
      <c r="Z95" s="1483">
        <f ca="1">Z75</f>
        <v>-1618.4103193755129</v>
      </c>
      <c r="AA95" s="1483">
        <f t="shared" ref="AA95:AD95" ca="1" si="299">AA75</f>
        <v>-1626.0760966777502</v>
      </c>
      <c r="AB95" s="1483">
        <f t="shared" ca="1" si="299"/>
        <v>-1633.809178891328</v>
      </c>
      <c r="AC95" s="1483">
        <f t="shared" ca="1" si="299"/>
        <v>-1641.6704325604251</v>
      </c>
      <c r="AD95" s="1483">
        <f t="shared" ca="1" si="299"/>
        <v>-1649.5823160395212</v>
      </c>
      <c r="AE95" s="1483"/>
      <c r="AF95" s="1498"/>
      <c r="AG95" s="1498"/>
      <c r="AH95" s="1498"/>
      <c r="AI95" s="1498"/>
      <c r="AJ95" s="1483">
        <f t="shared" ref="AJ95:BY95" si="300">AJ75</f>
        <v>-34.692</v>
      </c>
      <c r="AK95" s="1483">
        <f t="shared" si="300"/>
        <v>-7.4080000000000013</v>
      </c>
      <c r="AL95" s="1483">
        <f t="shared" si="300"/>
        <v>-35.059999999999995</v>
      </c>
      <c r="AM95" s="1483">
        <f t="shared" si="300"/>
        <v>19.369</v>
      </c>
      <c r="AN95" s="1483">
        <f t="shared" si="300"/>
        <v>-2.8359999999999999</v>
      </c>
      <c r="AO95" s="1483">
        <f t="shared" si="300"/>
        <v>-1.1880000000000002</v>
      </c>
      <c r="AP95" s="1483">
        <f t="shared" si="300"/>
        <v>-1.0670000000000002</v>
      </c>
      <c r="AQ95" s="1483">
        <f t="shared" si="300"/>
        <v>-1.4170000000000003</v>
      </c>
      <c r="AR95" s="1483">
        <f t="shared" si="300"/>
        <v>-0.34599999999999997</v>
      </c>
      <c r="AS95" s="1483">
        <f t="shared" si="300"/>
        <v>-1.1139999999999999</v>
      </c>
      <c r="AT95" s="1483">
        <f t="shared" si="300"/>
        <v>-1.4289999999999998</v>
      </c>
      <c r="AU95" s="1483">
        <f t="shared" si="300"/>
        <v>-4.8609999999999998</v>
      </c>
      <c r="AV95" s="1483">
        <f t="shared" si="300"/>
        <v>-4.9080000000000004</v>
      </c>
      <c r="AW95" s="1483">
        <f t="shared" si="300"/>
        <v>-4.2540000000000004</v>
      </c>
      <c r="AX95" s="1483">
        <f t="shared" si="300"/>
        <v>-7.6209999999999996</v>
      </c>
      <c r="AY95" s="1483">
        <f t="shared" si="300"/>
        <v>-6.1510000000000007</v>
      </c>
      <c r="AZ95" s="1483">
        <f t="shared" si="300"/>
        <v>-5.5229999999999997</v>
      </c>
      <c r="BA95" s="1483">
        <f t="shared" si="300"/>
        <v>-9.89</v>
      </c>
      <c r="BB95" s="1483">
        <f t="shared" si="300"/>
        <v>-7.0790000000000006</v>
      </c>
      <c r="BC95" s="1483">
        <f t="shared" si="300"/>
        <v>-22.919999999999998</v>
      </c>
      <c r="BD95" s="1483">
        <f t="shared" si="300"/>
        <v>-26.613</v>
      </c>
      <c r="BE95" s="1483">
        <f t="shared" si="300"/>
        <v>-29.670999999999999</v>
      </c>
      <c r="BF95" s="1483">
        <f t="shared" si="300"/>
        <v>-46.620000000000005</v>
      </c>
      <c r="BG95" s="1483">
        <f t="shared" si="300"/>
        <v>-59.387</v>
      </c>
      <c r="BH95" s="1483">
        <f t="shared" si="300"/>
        <v>-67.055999999999997</v>
      </c>
      <c r="BI95" s="1483">
        <f t="shared" si="300"/>
        <v>-139.83199999999999</v>
      </c>
      <c r="BJ95" s="1483">
        <f t="shared" si="300"/>
        <v>-88.921000000000035</v>
      </c>
      <c r="BK95" s="1483">
        <f t="shared" si="300"/>
        <v>-121.00199999999994</v>
      </c>
      <c r="BL95" s="1483">
        <f t="shared" si="300"/>
        <v>-125.643</v>
      </c>
      <c r="BM95" s="1483">
        <f t="shared" si="300"/>
        <v>-84.457999999999998</v>
      </c>
      <c r="BN95" s="1483">
        <f t="shared" si="300"/>
        <v>-95.444999999999993</v>
      </c>
      <c r="BO95" s="1483">
        <f t="shared" si="300"/>
        <v>-165.58200000000002</v>
      </c>
      <c r="BP95" s="1483">
        <f t="shared" si="300"/>
        <v>-74.968999999999994</v>
      </c>
      <c r="BQ95" s="1483">
        <f t="shared" si="300"/>
        <v>-76.816000000000003</v>
      </c>
      <c r="BR95" s="1483">
        <f t="shared" si="300"/>
        <v>-88.655000000000001</v>
      </c>
      <c r="BS95" s="1483">
        <f t="shared" si="300"/>
        <v>-101.74</v>
      </c>
      <c r="BT95" s="1483">
        <f t="shared" si="300"/>
        <v>-143.4</v>
      </c>
      <c r="BU95" s="1483">
        <f t="shared" si="300"/>
        <v>-148.70500000000001</v>
      </c>
      <c r="BV95" s="1483">
        <f t="shared" si="300"/>
        <v>-143.941</v>
      </c>
      <c r="BW95" s="1483">
        <f t="shared" si="300"/>
        <v>-143.351</v>
      </c>
      <c r="BX95" s="1483">
        <f t="shared" si="300"/>
        <v>-172.51599999999999</v>
      </c>
      <c r="BY95" s="1483">
        <f t="shared" si="300"/>
        <v>-188.875</v>
      </c>
      <c r="BZ95" s="1483">
        <f t="shared" ref="BZ95:CE95" si="301">BZ75</f>
        <v>-131.52500000000001</v>
      </c>
      <c r="CA95" s="1483">
        <f t="shared" si="301"/>
        <v>-189.81700000000001</v>
      </c>
      <c r="CB95" s="1483">
        <f t="shared" si="301"/>
        <v>-145.49</v>
      </c>
      <c r="CC95" s="1483">
        <f t="shared" si="301"/>
        <v>-196.48400000000001</v>
      </c>
      <c r="CD95" s="1483">
        <f t="shared" si="301"/>
        <v>-212.11799999999999</v>
      </c>
      <c r="CE95" s="1483">
        <f t="shared" si="301"/>
        <v>-210.40799999999999</v>
      </c>
      <c r="CF95" s="1483">
        <f t="shared" ref="CF95:CM95" si="302">CF75</f>
        <v>-75.667000000000002</v>
      </c>
      <c r="CG95" s="1483">
        <f t="shared" si="302"/>
        <v>-122.863</v>
      </c>
      <c r="CH95" s="1483">
        <f t="shared" si="302"/>
        <v>-171.035</v>
      </c>
      <c r="CI95" s="1483">
        <f t="shared" si="302"/>
        <v>-202.84100000000001</v>
      </c>
      <c r="CJ95" s="1483">
        <f t="shared" si="302"/>
        <v>-105.907</v>
      </c>
      <c r="CK95" s="1483">
        <f t="shared" si="302"/>
        <v>-159.816</v>
      </c>
      <c r="CL95" s="1483">
        <f t="shared" si="302"/>
        <v>-156.00299999999999</v>
      </c>
      <c r="CM95" s="1483">
        <f t="shared" si="302"/>
        <v>-238.477</v>
      </c>
      <c r="CN95" s="1483">
        <f>CN75</f>
        <v>-150.12</v>
      </c>
      <c r="CO95" s="1483">
        <f>CO75</f>
        <v>-221.34200000000001</v>
      </c>
      <c r="CP95" s="1483">
        <f>CP75</f>
        <v>-216.04599999999999</v>
      </c>
      <c r="CQ95" s="1483">
        <f>CQ75</f>
        <v>-280.61200000000002</v>
      </c>
      <c r="CR95" s="1483">
        <f t="shared" ref="CR95:CU95" si="303">CR75</f>
        <v>-197.7</v>
      </c>
      <c r="CS95" s="1483">
        <f t="shared" si="303"/>
        <v>-249.86699999999999</v>
      </c>
      <c r="CT95" s="1483">
        <f t="shared" si="303"/>
        <v>-279.47699999999998</v>
      </c>
      <c r="CU95" s="1483">
        <f t="shared" si="303"/>
        <v>-386.32100000000003</v>
      </c>
      <c r="CV95" s="1483">
        <f>CV75</f>
        <v>-277.24200000000002</v>
      </c>
      <c r="CW95" s="1483">
        <f>CW75</f>
        <v>-348.572</v>
      </c>
      <c r="CX95" s="1483">
        <f>CX75</f>
        <v>-320.23399999999998</v>
      </c>
      <c r="CY95" s="1483">
        <f>CY75</f>
        <v>-432.67700000000002</v>
      </c>
      <c r="CZ95" s="1483">
        <f t="shared" ref="CZ95:DC95" ca="1" si="304">CZ75</f>
        <v>-362.12274004330436</v>
      </c>
      <c r="DA95" s="1483">
        <f t="shared" ca="1" si="304"/>
        <v>-246.47940058632264</v>
      </c>
      <c r="DB95" s="1483">
        <f t="shared" ca="1" si="304"/>
        <v>-668.95743560835956</v>
      </c>
      <c r="DC95" s="1483">
        <f t="shared" ca="1" si="304"/>
        <v>-658.00676758566112</v>
      </c>
      <c r="DF95" s="783"/>
      <c r="DG95" s="783"/>
      <c r="DH95" s="783"/>
      <c r="EU95" s="42"/>
      <c r="EV95"/>
      <c r="EW95"/>
      <c r="EX95"/>
      <c r="EY95"/>
      <c r="EZ95"/>
      <c r="FA95"/>
    </row>
    <row r="96" spans="2:160" s="15" customFormat="1">
      <c r="B96" s="1049" t="s">
        <v>911</v>
      </c>
      <c r="C96" s="23"/>
      <c r="F96" s="54">
        <f>-Capital!F372</f>
        <v>-33.154000000000003</v>
      </c>
      <c r="G96" s="54">
        <f>-Capital!G372</f>
        <v>-34.1</v>
      </c>
      <c r="H96" s="54">
        <f>-Capital!H372</f>
        <v>-20.216000000000001</v>
      </c>
      <c r="I96" s="54">
        <f>-Capital!I372</f>
        <v>-10.205</v>
      </c>
      <c r="J96" s="54">
        <f>-Capital!J372</f>
        <v>-5.2959999999999994</v>
      </c>
      <c r="K96" s="54">
        <f>-Capital!K372</f>
        <v>-8.2479999999999993</v>
      </c>
      <c r="L96" s="54">
        <f>-Capital!L372</f>
        <v>-11.927</v>
      </c>
      <c r="M96" s="54">
        <f>-Capital!M372</f>
        <v>-54.26400000000001</v>
      </c>
      <c r="N96" s="1483">
        <f>-Capital!N372</f>
        <v>-71.847999999999999</v>
      </c>
      <c r="O96" s="1483">
        <f>-Capital!O372</f>
        <v>-138.96000000000004</v>
      </c>
      <c r="P96" s="1483">
        <f>-Capital!P372</f>
        <v>-179.023</v>
      </c>
      <c r="Q96" s="1483">
        <f>-Capital!Q372</f>
        <v>-196.86199999999997</v>
      </c>
      <c r="R96" s="1483">
        <f>-Capital!R372</f>
        <v>-245.40499999999997</v>
      </c>
      <c r="S96" s="1483">
        <f>-Capital!S372</f>
        <v>-267.66199999999998</v>
      </c>
      <c r="T96" s="1483">
        <f>-Capital!T372</f>
        <v>-295.47399999999993</v>
      </c>
      <c r="U96" s="1483">
        <f>-Capital!U372</f>
        <v>-389.41782624999996</v>
      </c>
      <c r="V96" s="1483">
        <f ca="1">-Capital!V372</f>
        <v>-464.96038399838721</v>
      </c>
      <c r="W96" s="1483">
        <f ca="1">-Capital!W372</f>
        <v>-469.38150462885869</v>
      </c>
      <c r="X96" s="1483">
        <f ca="1">-Capital!X372</f>
        <v>-490.92525232695078</v>
      </c>
      <c r="Y96" s="1483">
        <f ca="1">-Capital!Y372</f>
        <v>-526.2578607592601</v>
      </c>
      <c r="Z96" s="1483">
        <f ca="1">-Capital!Z372</f>
        <v>-560.84919746475498</v>
      </c>
      <c r="AA96" s="1483">
        <f ca="1">-Capital!AA372</f>
        <v>-577.60209232333284</v>
      </c>
      <c r="AB96" s="1483">
        <f ca="1">-Capital!AB372</f>
        <v>-577.89492960040161</v>
      </c>
      <c r="AC96" s="1483">
        <f ca="1">-Capital!AC372</f>
        <v>-578.04128701488003</v>
      </c>
      <c r="AD96" s="1483">
        <f ca="1">-Capital!AD372</f>
        <v>-578.00502748442614</v>
      </c>
      <c r="AE96" s="1483"/>
      <c r="AF96" s="1498"/>
      <c r="AG96" s="1498"/>
      <c r="AH96" s="1498"/>
      <c r="AI96" s="1498"/>
      <c r="AJ96" s="1483">
        <f>-Capital!AJ372</f>
        <v>-6.5710000000000006</v>
      </c>
      <c r="AK96" s="1483">
        <f>-Capital!AK372</f>
        <v>-7.9130000000000003</v>
      </c>
      <c r="AL96" s="1483">
        <f>-Capital!AL372</f>
        <v>-8.9870000000000001</v>
      </c>
      <c r="AM96" s="1483">
        <f>-Capital!AM372</f>
        <v>-9.6829999999999998</v>
      </c>
      <c r="AN96" s="1483">
        <f>-Capital!AN372</f>
        <v>-9.1769999999999996</v>
      </c>
      <c r="AO96" s="1483">
        <f>-Capital!AO372</f>
        <v>-8.2720000000000002</v>
      </c>
      <c r="AP96" s="1483">
        <f>-Capital!AP372</f>
        <v>-8.0009999999999994</v>
      </c>
      <c r="AQ96" s="1483">
        <f>-Capital!AQ372</f>
        <v>-8.6499999999999986</v>
      </c>
      <c r="AR96" s="1483">
        <f>-Capital!AR372</f>
        <v>-4.742</v>
      </c>
      <c r="AS96" s="1483">
        <f>-Capital!AS372</f>
        <v>-4.9610000000000003</v>
      </c>
      <c r="AT96" s="1483">
        <f>-Capital!AT372</f>
        <v>-5.4319999999999995</v>
      </c>
      <c r="AU96" s="1483">
        <f>-Capital!AU372</f>
        <v>-5.0810000000000004</v>
      </c>
      <c r="AV96" s="1483">
        <f>-Capital!AV372</f>
        <v>-3.8879999999999999</v>
      </c>
      <c r="AW96" s="1483">
        <f>-Capital!AW372</f>
        <v>-2.0409999999999999</v>
      </c>
      <c r="AX96" s="1483">
        <f>-Capital!AX372</f>
        <v>-2.0169999999999999</v>
      </c>
      <c r="AY96" s="1483">
        <f>-Capital!AY372</f>
        <v>-2.2589999999999999</v>
      </c>
      <c r="AZ96" s="1483">
        <f>-Capital!AZ372</f>
        <v>-1.792</v>
      </c>
      <c r="BA96" s="1483">
        <f>-Capital!BA372</f>
        <v>-1.0430000000000001</v>
      </c>
      <c r="BB96" s="1483">
        <f>-Capital!BB372</f>
        <v>-0.85299999999999998</v>
      </c>
      <c r="BC96" s="1483">
        <f>-Capital!BC372</f>
        <v>-1.6080000000000001</v>
      </c>
      <c r="BD96" s="1483">
        <f>-Capital!BD372</f>
        <v>-2.2569999999999997</v>
      </c>
      <c r="BE96" s="1483">
        <f>-Capital!BE372</f>
        <v>-1.835</v>
      </c>
      <c r="BF96" s="1483">
        <f>-Capital!BF372</f>
        <v>-1.8270000000000002</v>
      </c>
      <c r="BG96" s="1483">
        <f>-Capital!BG372</f>
        <v>-2.3289999999999997</v>
      </c>
      <c r="BH96" s="1483">
        <f>-Capital!BH372</f>
        <v>-1.5130000000000001</v>
      </c>
      <c r="BI96" s="1483">
        <f>-Capital!BI372</f>
        <v>-1.0330000000000004</v>
      </c>
      <c r="BJ96" s="1483">
        <f>-Capital!BJ372</f>
        <v>-2.3529999999999998</v>
      </c>
      <c r="BK96" s="1483">
        <f>-Capital!BK372</f>
        <v>-7.0279999999999996</v>
      </c>
      <c r="BL96" s="1483">
        <f>-Capital!BL372</f>
        <v>-11.754000000000001</v>
      </c>
      <c r="BM96" s="1483">
        <f>-Capital!BM372</f>
        <v>-11.902000000000001</v>
      </c>
      <c r="BN96" s="1483">
        <f>-Capital!BN372</f>
        <v>-15.229999999999999</v>
      </c>
      <c r="BO96" s="1483">
        <f>-Capital!BO372</f>
        <v>-15.378</v>
      </c>
      <c r="BP96" s="1483">
        <f>-Capital!BP372</f>
        <v>-12.535</v>
      </c>
      <c r="BQ96" s="1483">
        <f>-Capital!BQ372</f>
        <v>-15.232000000000001</v>
      </c>
      <c r="BR96" s="1483">
        <f>-Capital!BR372</f>
        <v>-21.902999999999999</v>
      </c>
      <c r="BS96" s="1483">
        <f>-Capital!BS372</f>
        <v>-22.178000000000001</v>
      </c>
      <c r="BT96" s="1483">
        <f>-Capital!BT372</f>
        <v>-25.169</v>
      </c>
      <c r="BU96" s="1483">
        <f>-Capital!BU372</f>
        <v>-37.124000000000002</v>
      </c>
      <c r="BV96" s="1483">
        <f>-Capital!BV372</f>
        <v>-38.052999999999997</v>
      </c>
      <c r="BW96" s="1483">
        <f>-Capital!BW372</f>
        <v>-38.614000000000004</v>
      </c>
      <c r="BX96" s="1483">
        <f>-Capital!BX372</f>
        <v>-37.145999999999994</v>
      </c>
      <c r="BY96" s="1483">
        <f>-Capital!BY372</f>
        <v>-37.045000000000002</v>
      </c>
      <c r="BZ96" s="1483">
        <f>-Capital!BZ372</f>
        <v>-50.434999999999995</v>
      </c>
      <c r="CA96" s="1483">
        <f>-Capital!CA372</f>
        <v>-54.397000000000006</v>
      </c>
      <c r="CB96" s="1483">
        <f>-Capital!CB372</f>
        <v>-52.126999999999995</v>
      </c>
      <c r="CC96" s="1483">
        <f>-Capital!CC372</f>
        <v>-45.823999999999998</v>
      </c>
      <c r="CD96" s="1483">
        <f>-Capital!CD372</f>
        <v>-49.152999999999999</v>
      </c>
      <c r="CE96" s="1483">
        <f>-Capital!CE372</f>
        <v>-49.757999999999996</v>
      </c>
      <c r="CF96" s="1483">
        <f>-Capital!CF372</f>
        <v>-59.584000000000003</v>
      </c>
      <c r="CG96" s="1483">
        <f>-Capital!CG372</f>
        <v>-60.083999999999996</v>
      </c>
      <c r="CH96" s="1483">
        <f>-Capital!CH372</f>
        <v>-61.027999999999999</v>
      </c>
      <c r="CI96" s="1483">
        <f>-Capital!CI372</f>
        <v>-64.709000000000003</v>
      </c>
      <c r="CJ96" s="1483">
        <f>-Capital!CJ372</f>
        <v>-67.385999999999996</v>
      </c>
      <c r="CK96" s="1483">
        <f>-Capital!CK372</f>
        <v>-66.13</v>
      </c>
      <c r="CL96" s="1483">
        <f>-Capital!CL372</f>
        <v>-63.4</v>
      </c>
      <c r="CM96" s="1483">
        <f>-Capital!CM372</f>
        <v>-70.745999999999995</v>
      </c>
      <c r="CN96" s="1483">
        <f>-Capital!CN372</f>
        <v>-68.271000000000001</v>
      </c>
      <c r="CO96" s="1483">
        <f>-Capital!CO372</f>
        <v>-73.574999999999989</v>
      </c>
      <c r="CP96" s="1483">
        <f>-Capital!CP372</f>
        <v>-75.335000000000008</v>
      </c>
      <c r="CQ96" s="1483">
        <f>-Capital!CQ372</f>
        <v>-78.292999999999992</v>
      </c>
      <c r="CR96" s="1483">
        <f>-Capital!CR372</f>
        <v>-99.467111250000002</v>
      </c>
      <c r="CS96" s="1483">
        <f>-Capital!CS372</f>
        <v>-99.925699999999992</v>
      </c>
      <c r="CT96" s="1483">
        <f>-Capital!CT372</f>
        <v>-91.891136250000002</v>
      </c>
      <c r="CU96" s="1483">
        <f>-Capital!CU372</f>
        <v>-98.133878749999994</v>
      </c>
      <c r="CV96" s="1483">
        <f>-Capital!CV372</f>
        <v>-111.207795625</v>
      </c>
      <c r="CW96" s="1483">
        <f>-Capital!CW372</f>
        <v>-115.95171125</v>
      </c>
      <c r="CX96" s="1483">
        <f ca="1">-Capital!CX372</f>
        <v>-120.14495996794361</v>
      </c>
      <c r="CY96" s="1483">
        <f ca="1">-Capital!CY372</f>
        <v>-117.65591715544357</v>
      </c>
      <c r="CZ96" s="1483">
        <f ca="1">-Capital!CZ372</f>
        <v>-117.22610208932629</v>
      </c>
      <c r="DA96" s="1483">
        <f ca="1">-Capital!DA372</f>
        <v>-117.31469006657159</v>
      </c>
      <c r="DB96" s="1483">
        <f ca="1">-Capital!DB372</f>
        <v>-117.30075504546002</v>
      </c>
      <c r="DC96" s="1483">
        <f ca="1">-Capital!DC372</f>
        <v>-117.53995742750082</v>
      </c>
      <c r="DF96" s="783"/>
      <c r="DG96" s="783"/>
      <c r="DH96" s="783"/>
      <c r="EU96" s="42"/>
      <c r="EV96"/>
      <c r="EW96"/>
      <c r="EX96"/>
      <c r="EY96"/>
      <c r="EZ96"/>
      <c r="FA96"/>
    </row>
    <row r="97" spans="1:160">
      <c r="B97" s="71" t="s">
        <v>912</v>
      </c>
      <c r="C97" s="71"/>
      <c r="D97" s="71"/>
      <c r="E97" s="72"/>
      <c r="F97" s="72">
        <f>SUM(F94:F96)</f>
        <v>-128.952</v>
      </c>
      <c r="G97" s="72">
        <f t="shared" ref="G97:Z97" si="305">SUM(G94:G96)</f>
        <v>-52.438999999999993</v>
      </c>
      <c r="H97" s="72">
        <f t="shared" si="305"/>
        <v>-26.267999999999994</v>
      </c>
      <c r="I97" s="72">
        <f t="shared" si="305"/>
        <v>2.474999999999989</v>
      </c>
      <c r="J97" s="72">
        <f t="shared" si="305"/>
        <v>19.431000000000026</v>
      </c>
      <c r="K97" s="72">
        <f t="shared" si="305"/>
        <v>-68.466999999999942</v>
      </c>
      <c r="L97" s="72">
        <f t="shared" si="305"/>
        <v>-273.34799999999996</v>
      </c>
      <c r="M97" s="72">
        <f t="shared" si="305"/>
        <v>-232.91600000000011</v>
      </c>
      <c r="N97" s="1499">
        <f t="shared" si="305"/>
        <v>-5.4199999999999449</v>
      </c>
      <c r="O97" s="1499">
        <f t="shared" si="305"/>
        <v>-185.33600000000013</v>
      </c>
      <c r="P97" s="1499">
        <f t="shared" si="305"/>
        <v>-141.95099999999977</v>
      </c>
      <c r="Q97" s="1499">
        <f t="shared" si="305"/>
        <v>-73.505000000000223</v>
      </c>
      <c r="R97" s="1499">
        <f t="shared" si="305"/>
        <v>183.0870000000001</v>
      </c>
      <c r="S97" s="1499">
        <f t="shared" si="305"/>
        <v>186.02599999999967</v>
      </c>
      <c r="T97" s="1499">
        <f>SUM(T94:T96)</f>
        <v>108.03300000000036</v>
      </c>
      <c r="U97" s="1499">
        <f>SUM(U94:U96)</f>
        <v>154.69117374999996</v>
      </c>
      <c r="V97" s="1499">
        <f ca="1">SUM(V94:V96)</f>
        <v>208.35561600161304</v>
      </c>
      <c r="W97" s="1499">
        <f ca="1">SUM(W94:W96)</f>
        <v>-8.7465365633238434</v>
      </c>
      <c r="X97" s="1499">
        <f t="shared" ca="1" si="305"/>
        <v>282.54575126488004</v>
      </c>
      <c r="Y97" s="1499">
        <f t="shared" ca="1" si="305"/>
        <v>660.84587144949626</v>
      </c>
      <c r="Z97" s="1499">
        <f t="shared" ca="1" si="305"/>
        <v>878.01076492419338</v>
      </c>
      <c r="AA97" s="1499">
        <f t="shared" ref="AA97:AD97" ca="1" si="306">SUM(AA94:AA96)</f>
        <v>1064.7229461498673</v>
      </c>
      <c r="AB97" s="1499">
        <f t="shared" ca="1" si="306"/>
        <v>1268.5870917804555</v>
      </c>
      <c r="AC97" s="1499">
        <f t="shared" ca="1" si="306"/>
        <v>1473.1065356083257</v>
      </c>
      <c r="AD97" s="1499">
        <f t="shared" ca="1" si="306"/>
        <v>1678.2903881470274</v>
      </c>
      <c r="AE97" s="1483"/>
      <c r="AF97" s="1500"/>
      <c r="AG97" s="1500"/>
      <c r="AH97" s="1499"/>
      <c r="AI97" s="1499"/>
      <c r="AJ97" s="1499">
        <f t="shared" ref="AJ97:CJ97" si="307">SUM(AJ94:AJ96)</f>
        <v>-57.555</v>
      </c>
      <c r="AK97" s="1499">
        <f t="shared" si="307"/>
        <v>-26.788</v>
      </c>
      <c r="AL97" s="1499">
        <f t="shared" si="307"/>
        <v>-52.734999999999999</v>
      </c>
      <c r="AM97" s="1499">
        <f t="shared" si="307"/>
        <v>8.1260000000000012</v>
      </c>
      <c r="AN97" s="1499">
        <f t="shared" si="307"/>
        <v>-13.551999999999994</v>
      </c>
      <c r="AO97" s="1499">
        <f t="shared" si="307"/>
        <v>-16.393999999999998</v>
      </c>
      <c r="AP97" s="1499">
        <f t="shared" si="307"/>
        <v>-10.572999999999999</v>
      </c>
      <c r="AQ97" s="1499">
        <f t="shared" si="307"/>
        <v>-11.919999999999996</v>
      </c>
      <c r="AR97" s="1499">
        <f t="shared" si="307"/>
        <v>-8.161999999999999</v>
      </c>
      <c r="AS97" s="1499">
        <f t="shared" si="307"/>
        <v>-5.7860000000000058</v>
      </c>
      <c r="AT97" s="1499">
        <f t="shared" si="307"/>
        <v>-5.4809999999999963</v>
      </c>
      <c r="AU97" s="1499">
        <f t="shared" si="307"/>
        <v>-6.8390000000000057</v>
      </c>
      <c r="AV97" s="1499">
        <f t="shared" si="307"/>
        <v>-3.1389999999999949</v>
      </c>
      <c r="AW97" s="1499">
        <f t="shared" si="307"/>
        <v>1.2330000000000019</v>
      </c>
      <c r="AX97" s="1499">
        <f t="shared" si="307"/>
        <v>0.42800000000000127</v>
      </c>
      <c r="AY97" s="1499">
        <f t="shared" si="307"/>
        <v>3.9530000000000025</v>
      </c>
      <c r="AZ97" s="1499">
        <f t="shared" si="307"/>
        <v>7.0220000000000002</v>
      </c>
      <c r="BA97" s="1499">
        <f t="shared" si="307"/>
        <v>5.121999999999999</v>
      </c>
      <c r="BB97" s="1499">
        <f t="shared" si="307"/>
        <v>9.9869999999999965</v>
      </c>
      <c r="BC97" s="1499">
        <f t="shared" si="307"/>
        <v>-2.7000000000000024</v>
      </c>
      <c r="BD97" s="1499">
        <f t="shared" si="307"/>
        <v>-6.0349999999999984</v>
      </c>
      <c r="BE97" s="1499">
        <f t="shared" si="307"/>
        <v>-7.4679999999999955</v>
      </c>
      <c r="BF97" s="1499">
        <f t="shared" si="307"/>
        <v>-23.52000000000001</v>
      </c>
      <c r="BG97" s="1499">
        <f t="shared" si="307"/>
        <v>-31.444000000000013</v>
      </c>
      <c r="BH97" s="1499">
        <f t="shared" si="307"/>
        <v>-36.190999999999981</v>
      </c>
      <c r="BI97" s="1499">
        <f t="shared" si="307"/>
        <v>-105.55399999999999</v>
      </c>
      <c r="BJ97" s="1499">
        <f t="shared" si="307"/>
        <v>-50.635000000000041</v>
      </c>
      <c r="BK97" s="1499">
        <f t="shared" si="307"/>
        <v>-80.967999999999947</v>
      </c>
      <c r="BL97" s="1499">
        <f t="shared" si="307"/>
        <v>-75.128</v>
      </c>
      <c r="BM97" s="1499">
        <f t="shared" si="307"/>
        <v>-27.226000000000013</v>
      </c>
      <c r="BN97" s="1499">
        <f t="shared" si="307"/>
        <v>-33.702000000000034</v>
      </c>
      <c r="BO97" s="1499">
        <f t="shared" si="307"/>
        <v>-96.860000000000028</v>
      </c>
      <c r="BP97" s="1499">
        <f t="shared" si="307"/>
        <v>3.8740000000000343</v>
      </c>
      <c r="BQ97" s="1499">
        <f t="shared" si="307"/>
        <v>7.4859999999999882</v>
      </c>
      <c r="BR97" s="1499">
        <f t="shared" si="307"/>
        <v>-4.5219999999999985</v>
      </c>
      <c r="BS97" s="1499">
        <f t="shared" si="307"/>
        <v>-12.257999999999999</v>
      </c>
      <c r="BT97" s="1499">
        <f t="shared" si="307"/>
        <v>-51.296999999999983</v>
      </c>
      <c r="BU97" s="1499">
        <f t="shared" si="307"/>
        <v>-56.545000000000051</v>
      </c>
      <c r="BV97" s="1499">
        <f t="shared" si="307"/>
        <v>-39.907999999999987</v>
      </c>
      <c r="BW97" s="1499">
        <f t="shared" si="307"/>
        <v>-37.585999999999984</v>
      </c>
      <c r="BX97" s="1499">
        <f t="shared" si="307"/>
        <v>-47.334999999999987</v>
      </c>
      <c r="BY97" s="1499">
        <f t="shared" si="307"/>
        <v>-48.513999999999996</v>
      </c>
      <c r="BZ97" s="1499">
        <f t="shared" si="307"/>
        <v>4.8679999999999737</v>
      </c>
      <c r="CA97" s="1499">
        <f t="shared" si="307"/>
        <v>-50.970000000000013</v>
      </c>
      <c r="CB97" s="1499">
        <f t="shared" si="307"/>
        <v>9.1180000000000092</v>
      </c>
      <c r="CC97" s="1499">
        <f t="shared" si="307"/>
        <v>-25.888000000000019</v>
      </c>
      <c r="CD97" s="1499">
        <f t="shared" si="307"/>
        <v>-36.255000000000031</v>
      </c>
      <c r="CE97" s="1499">
        <f t="shared" si="307"/>
        <v>-20.480000000000004</v>
      </c>
      <c r="CF97" s="1499">
        <f t="shared" si="307"/>
        <v>105.63699999999992</v>
      </c>
      <c r="CG97" s="1499">
        <f t="shared" si="307"/>
        <v>65.087999999999994</v>
      </c>
      <c r="CH97" s="1499">
        <f t="shared" si="307"/>
        <v>16.382000000000083</v>
      </c>
      <c r="CI97" s="1499">
        <f t="shared" si="307"/>
        <v>-4.0199999999999818</v>
      </c>
      <c r="CJ97" s="1499">
        <f t="shared" si="307"/>
        <v>87.095000000000056</v>
      </c>
      <c r="CK97" s="1499">
        <f t="shared" ref="CK97:CQ97" si="308">SUM(CK94:CK96)</f>
        <v>49.331000000000046</v>
      </c>
      <c r="CL97" s="1499">
        <f t="shared" si="308"/>
        <v>64.457999999999998</v>
      </c>
      <c r="CM97" s="1499">
        <f t="shared" si="308"/>
        <v>-14.85799999999999</v>
      </c>
      <c r="CN97" s="1499">
        <f t="shared" si="308"/>
        <v>87.356999999999985</v>
      </c>
      <c r="CO97" s="1499">
        <f t="shared" si="308"/>
        <v>16.344999999999885</v>
      </c>
      <c r="CP97" s="1499">
        <f t="shared" si="308"/>
        <v>30.091000000000037</v>
      </c>
      <c r="CQ97" s="1499">
        <f t="shared" si="308"/>
        <v>-25.760000000000147</v>
      </c>
      <c r="CR97" s="1499">
        <f t="shared" ref="CR97:CU97" si="309">SUM(CR94:CR96)</f>
        <v>83.482888750000043</v>
      </c>
      <c r="CS97" s="1499">
        <f t="shared" si="309"/>
        <v>70.498300000000015</v>
      </c>
      <c r="CT97" s="1499">
        <f t="shared" si="309"/>
        <v>48.673863749999938</v>
      </c>
      <c r="CU97" s="1499">
        <f t="shared" si="309"/>
        <v>-47.963878750000035</v>
      </c>
      <c r="CV97" s="1499">
        <f>SUM(CV94:CV96)</f>
        <v>39.124204375000105</v>
      </c>
      <c r="CW97" s="1499">
        <f>SUM(CW94:CW96)</f>
        <v>44.784288749999988</v>
      </c>
      <c r="CX97" s="1499">
        <f ca="1">SUM(CX94:CX96)</f>
        <v>109.94004003205637</v>
      </c>
      <c r="CY97" s="1499">
        <f ca="1">SUM(CY94:CY96)</f>
        <v>14.507082844556436</v>
      </c>
      <c r="CZ97" s="1499">
        <f t="shared" ref="CZ97:DC97" ca="1" si="310">SUM(CZ94:CZ96)</f>
        <v>79.812668365369788</v>
      </c>
      <c r="DA97" s="1499">
        <f t="shared" ca="1" si="310"/>
        <v>226.00263629985449</v>
      </c>
      <c r="DB97" s="1499">
        <f t="shared" ca="1" si="310"/>
        <v>-174.19859157482048</v>
      </c>
      <c r="DC97" s="1499">
        <f t="shared" ca="1" si="310"/>
        <v>-140.36324965372756</v>
      </c>
      <c r="DF97" s="783"/>
      <c r="DG97" s="783"/>
      <c r="DH97" s="783"/>
      <c r="FB97" s="15"/>
      <c r="FC97" s="15"/>
      <c r="FD97" s="15"/>
    </row>
    <row r="98" spans="1:160" s="15" customFormat="1" ht="12.75" customHeight="1">
      <c r="B98" s="16"/>
      <c r="C98" s="23"/>
      <c r="F98" s="54"/>
      <c r="G98" s="54"/>
      <c r="H98" s="54"/>
      <c r="I98" s="54"/>
      <c r="J98" s="54"/>
      <c r="K98" s="54"/>
      <c r="L98" s="54"/>
      <c r="M98" s="54"/>
      <c r="N98" s="1483"/>
      <c r="O98" s="1483"/>
      <c r="P98" s="1483"/>
      <c r="Q98" s="1483"/>
      <c r="R98" s="1483"/>
      <c r="S98" s="1483"/>
      <c r="T98" s="1483"/>
      <c r="U98" s="1483"/>
      <c r="V98" s="1483"/>
      <c r="W98" s="1483"/>
      <c r="X98" s="1483"/>
      <c r="Y98" s="1483"/>
      <c r="Z98" s="1483"/>
      <c r="AA98" s="1483"/>
      <c r="AB98" s="1483"/>
      <c r="AC98" s="1483"/>
      <c r="AD98" s="1483"/>
      <c r="AE98" s="1483"/>
      <c r="AF98" s="1498"/>
      <c r="AG98" s="1498"/>
      <c r="AH98" s="1498"/>
      <c r="AI98" s="1498"/>
      <c r="AJ98" s="1483"/>
      <c r="AK98" s="1483"/>
      <c r="AL98" s="1483"/>
      <c r="AM98" s="1483"/>
      <c r="AN98" s="1483"/>
      <c r="AO98" s="1483"/>
      <c r="AP98" s="1483"/>
      <c r="AQ98" s="1483"/>
      <c r="AR98" s="1483"/>
      <c r="AS98" s="1483"/>
      <c r="AT98" s="1483"/>
      <c r="AU98" s="1483"/>
      <c r="AV98" s="1483"/>
      <c r="AW98" s="1483"/>
      <c r="AX98" s="1483"/>
      <c r="AY98" s="1483"/>
      <c r="AZ98" s="1483"/>
      <c r="BA98" s="1483"/>
      <c r="BB98" s="1483"/>
      <c r="BC98" s="1483"/>
      <c r="BD98" s="1483"/>
      <c r="BE98" s="1483"/>
      <c r="BF98" s="1483"/>
      <c r="BG98" s="1483"/>
      <c r="BH98" s="1483"/>
      <c r="BI98" s="1483"/>
      <c r="BJ98" s="1483"/>
      <c r="BK98" s="1483"/>
      <c r="BL98" s="1483"/>
      <c r="BM98" s="1483"/>
      <c r="BN98" s="1483"/>
      <c r="BO98" s="1483"/>
      <c r="BP98" s="1483"/>
      <c r="BQ98" s="1483"/>
      <c r="BR98" s="1483"/>
      <c r="BS98" s="1483"/>
      <c r="BT98" s="1483"/>
      <c r="BU98" s="1483"/>
      <c r="BV98" s="1483"/>
      <c r="BW98" s="1483"/>
      <c r="BX98" s="1483"/>
      <c r="BY98" s="1483"/>
      <c r="BZ98" s="1483"/>
      <c r="CA98" s="1483"/>
      <c r="CB98" s="1483"/>
      <c r="CC98" s="1483"/>
      <c r="CD98" s="1483"/>
      <c r="CE98" s="1483"/>
      <c r="CF98" s="1483"/>
      <c r="CG98" s="1483"/>
      <c r="CH98" s="1483"/>
      <c r="CI98" s="1483"/>
      <c r="CJ98" s="1483"/>
      <c r="CK98" s="1483"/>
      <c r="CL98" s="1483"/>
      <c r="CM98" s="1483"/>
      <c r="CN98" s="1483"/>
      <c r="CO98" s="1483"/>
      <c r="CP98" s="1483"/>
      <c r="CQ98" s="1483"/>
      <c r="CR98" s="1483"/>
      <c r="CS98" s="1483"/>
      <c r="CT98" s="1483"/>
      <c r="CU98" s="1483"/>
      <c r="CV98" s="1483"/>
      <c r="CW98" s="1483"/>
      <c r="CX98" s="1483"/>
      <c r="CY98" s="1483"/>
      <c r="CZ98" s="1483"/>
      <c r="DA98" s="1483"/>
      <c r="DB98" s="1483"/>
      <c r="DC98" s="1483"/>
      <c r="DF98" s="783"/>
      <c r="DG98" s="783"/>
      <c r="DH98" s="783"/>
      <c r="EU98" s="42"/>
      <c r="EV98"/>
      <c r="EW98"/>
      <c r="EX98"/>
      <c r="EY98"/>
      <c r="EZ98"/>
      <c r="FA98"/>
    </row>
    <row r="99" spans="1:160" s="15" customFormat="1">
      <c r="B99" s="16" t="s">
        <v>910</v>
      </c>
      <c r="C99" s="23"/>
      <c r="F99" s="54">
        <f>F94</f>
        <v>-38.007000000000005</v>
      </c>
      <c r="G99" s="54">
        <f t="shared" ref="G99:Y99" si="311">G94</f>
        <v>-11.830999999999989</v>
      </c>
      <c r="H99" s="54">
        <f t="shared" si="311"/>
        <v>1.6980000000000075</v>
      </c>
      <c r="I99" s="54">
        <f t="shared" si="311"/>
        <v>35.61399999999999</v>
      </c>
      <c r="J99" s="54">
        <f t="shared" si="311"/>
        <v>70.139000000000024</v>
      </c>
      <c r="K99" s="54">
        <f t="shared" si="311"/>
        <v>102.07200000000006</v>
      </c>
      <c r="L99" s="54">
        <f t="shared" si="311"/>
        <v>155.39000000000007</v>
      </c>
      <c r="M99" s="54">
        <f t="shared" si="311"/>
        <v>292.47599999999994</v>
      </c>
      <c r="N99" s="1483">
        <f t="shared" si="311"/>
        <v>408.60800000000006</v>
      </c>
      <c r="O99" s="1483">
        <f t="shared" si="311"/>
        <v>533.02099999999996</v>
      </c>
      <c r="P99" s="1483">
        <f t="shared" si="311"/>
        <v>719.80500000000018</v>
      </c>
      <c r="Q99" s="1483">
        <f t="shared" ref="Q99:S100" si="312">Q94</f>
        <v>887.85699999999986</v>
      </c>
      <c r="R99" s="1483">
        <f t="shared" si="312"/>
        <v>1000.898</v>
      </c>
      <c r="S99" s="1483">
        <f t="shared" si="312"/>
        <v>1113.8909999999996</v>
      </c>
      <c r="T99" s="1483">
        <f t="shared" ref="T99:V100" si="313">T94</f>
        <v>1271.6270000000004</v>
      </c>
      <c r="U99" s="1483">
        <f t="shared" si="313"/>
        <v>1657.4739999999999</v>
      </c>
      <c r="V99" s="1483">
        <f t="shared" si="313"/>
        <v>2052.0410000000002</v>
      </c>
      <c r="W99" s="1483">
        <f t="shared" ref="W99" ca="1" si="314">W94</f>
        <v>2396.2013118891828</v>
      </c>
      <c r="X99" s="1483">
        <f t="shared" ca="1" si="311"/>
        <v>2626.6195144712165</v>
      </c>
      <c r="Y99" s="1483">
        <f t="shared" ca="1" si="311"/>
        <v>2847.0470495173977</v>
      </c>
      <c r="Z99" s="1483">
        <f ca="1">Z94</f>
        <v>3057.2702817644613</v>
      </c>
      <c r="AA99" s="1483">
        <f t="shared" ref="AA99:AD99" ca="1" si="315">AA94</f>
        <v>3268.4011351509503</v>
      </c>
      <c r="AB99" s="1483">
        <f t="shared" ca="1" si="315"/>
        <v>3480.2912002721851</v>
      </c>
      <c r="AC99" s="1483">
        <f t="shared" ca="1" si="315"/>
        <v>3692.8182551836308</v>
      </c>
      <c r="AD99" s="1483">
        <f t="shared" ca="1" si="315"/>
        <v>3905.8777316709748</v>
      </c>
      <c r="AE99" s="1483"/>
      <c r="AF99" s="1498"/>
      <c r="AG99" s="1498"/>
      <c r="AH99" s="1498"/>
      <c r="AI99" s="1498"/>
      <c r="AJ99" s="1483">
        <f t="shared" ref="AJ99:BY99" si="316">AJ94</f>
        <v>-16.292000000000002</v>
      </c>
      <c r="AK99" s="1483">
        <f t="shared" si="316"/>
        <v>-11.467000000000001</v>
      </c>
      <c r="AL99" s="1483">
        <f t="shared" si="316"/>
        <v>-8.6880000000000024</v>
      </c>
      <c r="AM99" s="1483">
        <f t="shared" si="316"/>
        <v>-1.5599999999999987</v>
      </c>
      <c r="AN99" s="1483">
        <f t="shared" si="316"/>
        <v>-1.5389999999999953</v>
      </c>
      <c r="AO99" s="1483">
        <f t="shared" si="316"/>
        <v>-6.9339999999999993</v>
      </c>
      <c r="AP99" s="1483">
        <f t="shared" si="316"/>
        <v>-1.504999999999999</v>
      </c>
      <c r="AQ99" s="1483">
        <f t="shared" si="316"/>
        <v>-1.852999999999998</v>
      </c>
      <c r="AR99" s="1483">
        <f t="shared" si="316"/>
        <v>-3.0739999999999981</v>
      </c>
      <c r="AS99" s="1483">
        <f t="shared" si="316"/>
        <v>0.28899999999999437</v>
      </c>
      <c r="AT99" s="1483">
        <f t="shared" si="316"/>
        <v>1.3800000000000026</v>
      </c>
      <c r="AU99" s="1483">
        <f t="shared" si="316"/>
        <v>3.1029999999999944</v>
      </c>
      <c r="AV99" s="1483">
        <f t="shared" si="316"/>
        <v>5.6570000000000054</v>
      </c>
      <c r="AW99" s="1483">
        <f t="shared" si="316"/>
        <v>7.5280000000000022</v>
      </c>
      <c r="AX99" s="1483">
        <f t="shared" si="316"/>
        <v>10.066000000000001</v>
      </c>
      <c r="AY99" s="1483">
        <f t="shared" si="316"/>
        <v>12.363000000000003</v>
      </c>
      <c r="AZ99" s="1483">
        <f t="shared" si="316"/>
        <v>14.337</v>
      </c>
      <c r="BA99" s="1483">
        <f t="shared" si="316"/>
        <v>16.055</v>
      </c>
      <c r="BB99" s="1483">
        <f t="shared" si="316"/>
        <v>17.918999999999997</v>
      </c>
      <c r="BC99" s="1483">
        <f t="shared" si="316"/>
        <v>21.827999999999996</v>
      </c>
      <c r="BD99" s="1483">
        <f t="shared" si="316"/>
        <v>22.835000000000001</v>
      </c>
      <c r="BE99" s="1483">
        <f t="shared" si="316"/>
        <v>24.038000000000004</v>
      </c>
      <c r="BF99" s="1483">
        <f t="shared" si="316"/>
        <v>24.926999999999996</v>
      </c>
      <c r="BG99" s="1483">
        <f t="shared" si="316"/>
        <v>30.271999999999988</v>
      </c>
      <c r="BH99" s="1483">
        <f t="shared" si="316"/>
        <v>32.378000000000014</v>
      </c>
      <c r="BI99" s="1483">
        <f t="shared" si="316"/>
        <v>35.311000000000014</v>
      </c>
      <c r="BJ99" s="1483">
        <f t="shared" si="316"/>
        <v>40.638999999999996</v>
      </c>
      <c r="BK99" s="1483">
        <f t="shared" si="316"/>
        <v>47.061999999999998</v>
      </c>
      <c r="BL99" s="1483">
        <f t="shared" si="316"/>
        <v>62.269000000000005</v>
      </c>
      <c r="BM99" s="1483">
        <f t="shared" si="316"/>
        <v>69.133999999999986</v>
      </c>
      <c r="BN99" s="1483">
        <f t="shared" si="316"/>
        <v>76.972999999999956</v>
      </c>
      <c r="BO99" s="1483">
        <f t="shared" si="316"/>
        <v>84.1</v>
      </c>
      <c r="BP99" s="1483">
        <f t="shared" si="316"/>
        <v>91.378000000000029</v>
      </c>
      <c r="BQ99" s="1483">
        <f t="shared" si="316"/>
        <v>99.533999999999992</v>
      </c>
      <c r="BR99" s="1483">
        <f t="shared" si="316"/>
        <v>106.036</v>
      </c>
      <c r="BS99" s="1483">
        <f t="shared" si="316"/>
        <v>111.66</v>
      </c>
      <c r="BT99" s="1483">
        <f t="shared" si="316"/>
        <v>117.27200000000002</v>
      </c>
      <c r="BU99" s="1483">
        <f t="shared" si="316"/>
        <v>129.28399999999996</v>
      </c>
      <c r="BV99" s="1483">
        <f t="shared" si="316"/>
        <v>142.08600000000001</v>
      </c>
      <c r="BW99" s="1483">
        <f t="shared" si="316"/>
        <v>144.37900000000002</v>
      </c>
      <c r="BX99" s="1483">
        <f t="shared" si="316"/>
        <v>162.327</v>
      </c>
      <c r="BY99" s="1483">
        <f t="shared" si="316"/>
        <v>177.40600000000001</v>
      </c>
      <c r="BZ99" s="1483">
        <f t="shared" ref="BZ99:CB100" si="317">BZ94</f>
        <v>186.82799999999997</v>
      </c>
      <c r="CA99" s="1483">
        <f t="shared" si="317"/>
        <v>193.244</v>
      </c>
      <c r="CB99" s="1483">
        <f t="shared" si="317"/>
        <v>206.73500000000001</v>
      </c>
      <c r="CC99" s="1483">
        <f t="shared" ref="CC99:CE100" si="318">CC94</f>
        <v>216.42</v>
      </c>
      <c r="CD99" s="1483">
        <f t="shared" si="318"/>
        <v>225.01599999999996</v>
      </c>
      <c r="CE99" s="1483">
        <f t="shared" si="318"/>
        <v>239.68599999999998</v>
      </c>
      <c r="CF99" s="1483">
        <f t="shared" ref="CF99:CI100" si="319">CF94</f>
        <v>240.88799999999992</v>
      </c>
      <c r="CG99" s="1483">
        <f t="shared" si="319"/>
        <v>248.035</v>
      </c>
      <c r="CH99" s="1483">
        <f t="shared" si="319"/>
        <v>248.44500000000008</v>
      </c>
      <c r="CI99" s="1483">
        <f t="shared" si="319"/>
        <v>263.53000000000003</v>
      </c>
      <c r="CJ99" s="1483">
        <f t="shared" ref="CJ99:CL100" si="320">CJ94</f>
        <v>260.38800000000003</v>
      </c>
      <c r="CK99" s="1483">
        <f t="shared" si="320"/>
        <v>275.27700000000004</v>
      </c>
      <c r="CL99" s="1483">
        <f t="shared" si="320"/>
        <v>283.86099999999999</v>
      </c>
      <c r="CM99" s="1483">
        <f t="shared" ref="CM99:CO100" si="321">CM94</f>
        <v>294.36500000000001</v>
      </c>
      <c r="CN99" s="1483">
        <f t="shared" si="321"/>
        <v>305.74799999999999</v>
      </c>
      <c r="CO99" s="1483">
        <f t="shared" si="321"/>
        <v>311.26199999999989</v>
      </c>
      <c r="CP99" s="1483">
        <f>CP94</f>
        <v>321.47200000000004</v>
      </c>
      <c r="CQ99" s="1483">
        <f t="shared" ref="CQ99:CS100" si="322">CQ94</f>
        <v>333.14499999999987</v>
      </c>
      <c r="CR99" s="1483">
        <f t="shared" si="322"/>
        <v>380.65000000000003</v>
      </c>
      <c r="CS99" s="1483">
        <f t="shared" si="322"/>
        <v>420.291</v>
      </c>
      <c r="CT99" s="1483">
        <f t="shared" ref="CT99:CT100" si="323">CT94</f>
        <v>420.04199999999992</v>
      </c>
      <c r="CU99" s="1483">
        <f t="shared" ref="CU99:CW100" si="324">CU94</f>
        <v>436.49099999999999</v>
      </c>
      <c r="CV99" s="1483">
        <f t="shared" si="324"/>
        <v>427.57400000000013</v>
      </c>
      <c r="CW99" s="1483">
        <f t="shared" si="324"/>
        <v>509.30799999999999</v>
      </c>
      <c r="CX99" s="1483">
        <f t="shared" ref="CX99:CY99" si="325">CX94</f>
        <v>550.31899999999996</v>
      </c>
      <c r="CY99" s="1483">
        <f t="shared" si="325"/>
        <v>564.84</v>
      </c>
      <c r="CZ99" s="1483">
        <f t="shared" ref="CZ99:DC99" ca="1" si="326">CZ94</f>
        <v>559.16151049800044</v>
      </c>
      <c r="DA99" s="1483">
        <f t="shared" ca="1" si="326"/>
        <v>589.79672695274871</v>
      </c>
      <c r="DB99" s="1483">
        <f t="shared" ca="1" si="326"/>
        <v>612.0595990789991</v>
      </c>
      <c r="DC99" s="1483">
        <f t="shared" ca="1" si="326"/>
        <v>635.1834753594344</v>
      </c>
      <c r="DF99" s="783"/>
      <c r="DG99" s="783"/>
      <c r="DH99" s="783"/>
      <c r="EU99" s="42"/>
      <c r="EV99"/>
      <c r="EW99"/>
      <c r="EX99"/>
      <c r="EY99"/>
      <c r="EZ99"/>
      <c r="FA99"/>
    </row>
    <row r="100" spans="1:160" s="15" customFormat="1">
      <c r="B100" s="1049" t="s">
        <v>195</v>
      </c>
      <c r="C100" s="23"/>
      <c r="F100" s="54">
        <f>F95</f>
        <v>-57.790999999999997</v>
      </c>
      <c r="G100" s="54">
        <f t="shared" ref="G100:Y100" si="327">G95</f>
        <v>-6.5080000000000009</v>
      </c>
      <c r="H100" s="54">
        <f t="shared" si="327"/>
        <v>-7.75</v>
      </c>
      <c r="I100" s="54">
        <f t="shared" si="327"/>
        <v>-22.934000000000001</v>
      </c>
      <c r="J100" s="54">
        <f t="shared" si="327"/>
        <v>-45.411999999999999</v>
      </c>
      <c r="K100" s="54">
        <f t="shared" si="327"/>
        <v>-162.291</v>
      </c>
      <c r="L100" s="54">
        <f t="shared" si="327"/>
        <v>-416.81099999999998</v>
      </c>
      <c r="M100" s="54">
        <f t="shared" si="327"/>
        <v>-471.12800000000004</v>
      </c>
      <c r="N100" s="1483">
        <f t="shared" si="327"/>
        <v>-342.18</v>
      </c>
      <c r="O100" s="1483">
        <f t="shared" si="327"/>
        <v>-579.39700000000005</v>
      </c>
      <c r="P100" s="1483">
        <f t="shared" si="327"/>
        <v>-682.73299999999995</v>
      </c>
      <c r="Q100" s="1483">
        <f t="shared" si="312"/>
        <v>-764.50000000000011</v>
      </c>
      <c r="R100" s="1483">
        <f t="shared" si="312"/>
        <v>-572.40599999999995</v>
      </c>
      <c r="S100" s="1483">
        <f t="shared" si="312"/>
        <v>-660.20299999999997</v>
      </c>
      <c r="T100" s="1483">
        <f t="shared" si="313"/>
        <v>-868.12000000000012</v>
      </c>
      <c r="U100" s="1483">
        <f t="shared" si="313"/>
        <v>-1113.365</v>
      </c>
      <c r="V100" s="1483">
        <f t="shared" si="313"/>
        <v>-1378.7249999999999</v>
      </c>
      <c r="W100" s="1483">
        <f t="shared" ref="W100" ca="1" si="328">W95</f>
        <v>-1935.5663438236479</v>
      </c>
      <c r="X100" s="1483">
        <f t="shared" ca="1" si="327"/>
        <v>-1853.1485108793856</v>
      </c>
      <c r="Y100" s="1483">
        <f t="shared" ca="1" si="327"/>
        <v>-1659.9433173086413</v>
      </c>
      <c r="Z100" s="1483">
        <f ca="1">Z95</f>
        <v>-1618.4103193755129</v>
      </c>
      <c r="AA100" s="1483">
        <f t="shared" ref="AA100:AD100" ca="1" si="329">AA95</f>
        <v>-1626.0760966777502</v>
      </c>
      <c r="AB100" s="1483">
        <f t="shared" ca="1" si="329"/>
        <v>-1633.809178891328</v>
      </c>
      <c r="AC100" s="1483">
        <f t="shared" ca="1" si="329"/>
        <v>-1641.6704325604251</v>
      </c>
      <c r="AD100" s="1483">
        <f t="shared" ca="1" si="329"/>
        <v>-1649.5823160395212</v>
      </c>
      <c r="AE100" s="1483"/>
      <c r="AF100" s="1498"/>
      <c r="AG100" s="1498"/>
      <c r="AH100" s="1498"/>
      <c r="AI100" s="1498"/>
      <c r="AJ100" s="1483">
        <f t="shared" ref="AJ100:BY100" si="330">AJ95</f>
        <v>-34.692</v>
      </c>
      <c r="AK100" s="1483">
        <f t="shared" si="330"/>
        <v>-7.4080000000000013</v>
      </c>
      <c r="AL100" s="1483">
        <f t="shared" si="330"/>
        <v>-35.059999999999995</v>
      </c>
      <c r="AM100" s="1483">
        <f t="shared" si="330"/>
        <v>19.369</v>
      </c>
      <c r="AN100" s="1483">
        <f t="shared" si="330"/>
        <v>-2.8359999999999999</v>
      </c>
      <c r="AO100" s="1483">
        <f t="shared" si="330"/>
        <v>-1.1880000000000002</v>
      </c>
      <c r="AP100" s="1483">
        <f t="shared" si="330"/>
        <v>-1.0670000000000002</v>
      </c>
      <c r="AQ100" s="1483">
        <f t="shared" si="330"/>
        <v>-1.4170000000000003</v>
      </c>
      <c r="AR100" s="1483">
        <f t="shared" si="330"/>
        <v>-0.34599999999999997</v>
      </c>
      <c r="AS100" s="1483">
        <f t="shared" si="330"/>
        <v>-1.1139999999999999</v>
      </c>
      <c r="AT100" s="1483">
        <f t="shared" si="330"/>
        <v>-1.4289999999999998</v>
      </c>
      <c r="AU100" s="1483">
        <f t="shared" si="330"/>
        <v>-4.8609999999999998</v>
      </c>
      <c r="AV100" s="1483">
        <f t="shared" si="330"/>
        <v>-4.9080000000000004</v>
      </c>
      <c r="AW100" s="1483">
        <f t="shared" si="330"/>
        <v>-4.2540000000000004</v>
      </c>
      <c r="AX100" s="1483">
        <f t="shared" si="330"/>
        <v>-7.6209999999999996</v>
      </c>
      <c r="AY100" s="1483">
        <f t="shared" si="330"/>
        <v>-6.1510000000000007</v>
      </c>
      <c r="AZ100" s="1483">
        <f t="shared" si="330"/>
        <v>-5.5229999999999997</v>
      </c>
      <c r="BA100" s="1483">
        <f t="shared" si="330"/>
        <v>-9.89</v>
      </c>
      <c r="BB100" s="1483">
        <f t="shared" si="330"/>
        <v>-7.0790000000000006</v>
      </c>
      <c r="BC100" s="1483">
        <f t="shared" si="330"/>
        <v>-22.919999999999998</v>
      </c>
      <c r="BD100" s="1483">
        <f t="shared" si="330"/>
        <v>-26.613</v>
      </c>
      <c r="BE100" s="1483">
        <f t="shared" si="330"/>
        <v>-29.670999999999999</v>
      </c>
      <c r="BF100" s="1483">
        <f t="shared" si="330"/>
        <v>-46.620000000000005</v>
      </c>
      <c r="BG100" s="1483">
        <f t="shared" si="330"/>
        <v>-59.387</v>
      </c>
      <c r="BH100" s="1483">
        <f t="shared" si="330"/>
        <v>-67.055999999999997</v>
      </c>
      <c r="BI100" s="1483">
        <f t="shared" si="330"/>
        <v>-139.83199999999999</v>
      </c>
      <c r="BJ100" s="1483">
        <f t="shared" si="330"/>
        <v>-88.921000000000035</v>
      </c>
      <c r="BK100" s="1483">
        <f t="shared" si="330"/>
        <v>-121.00199999999994</v>
      </c>
      <c r="BL100" s="1483">
        <f t="shared" si="330"/>
        <v>-125.643</v>
      </c>
      <c r="BM100" s="1483">
        <f t="shared" si="330"/>
        <v>-84.457999999999998</v>
      </c>
      <c r="BN100" s="1483">
        <f t="shared" si="330"/>
        <v>-95.444999999999993</v>
      </c>
      <c r="BO100" s="1483">
        <f t="shared" si="330"/>
        <v>-165.58200000000002</v>
      </c>
      <c r="BP100" s="1483">
        <f t="shared" si="330"/>
        <v>-74.968999999999994</v>
      </c>
      <c r="BQ100" s="1483">
        <f t="shared" si="330"/>
        <v>-76.816000000000003</v>
      </c>
      <c r="BR100" s="1483">
        <f t="shared" si="330"/>
        <v>-88.655000000000001</v>
      </c>
      <c r="BS100" s="1483">
        <f t="shared" si="330"/>
        <v>-101.74</v>
      </c>
      <c r="BT100" s="1483">
        <f t="shared" si="330"/>
        <v>-143.4</v>
      </c>
      <c r="BU100" s="1483">
        <f t="shared" si="330"/>
        <v>-148.70500000000001</v>
      </c>
      <c r="BV100" s="1483">
        <f t="shared" si="330"/>
        <v>-143.941</v>
      </c>
      <c r="BW100" s="1483">
        <f t="shared" si="330"/>
        <v>-143.351</v>
      </c>
      <c r="BX100" s="1483">
        <f t="shared" si="330"/>
        <v>-172.51599999999999</v>
      </c>
      <c r="BY100" s="1483">
        <f t="shared" si="330"/>
        <v>-188.875</v>
      </c>
      <c r="BZ100" s="1483">
        <f t="shared" si="317"/>
        <v>-131.52500000000001</v>
      </c>
      <c r="CA100" s="1483">
        <f t="shared" si="317"/>
        <v>-189.81700000000001</v>
      </c>
      <c r="CB100" s="1483">
        <f t="shared" si="317"/>
        <v>-145.49</v>
      </c>
      <c r="CC100" s="1483">
        <f t="shared" si="318"/>
        <v>-196.48400000000001</v>
      </c>
      <c r="CD100" s="1483">
        <f t="shared" si="318"/>
        <v>-212.11799999999999</v>
      </c>
      <c r="CE100" s="1483">
        <f t="shared" si="318"/>
        <v>-210.40799999999999</v>
      </c>
      <c r="CF100" s="1483">
        <f t="shared" si="319"/>
        <v>-75.667000000000002</v>
      </c>
      <c r="CG100" s="1483">
        <f t="shared" si="319"/>
        <v>-122.863</v>
      </c>
      <c r="CH100" s="1483">
        <f t="shared" si="319"/>
        <v>-171.035</v>
      </c>
      <c r="CI100" s="1483">
        <f t="shared" si="319"/>
        <v>-202.84100000000001</v>
      </c>
      <c r="CJ100" s="1483">
        <f t="shared" si="320"/>
        <v>-105.907</v>
      </c>
      <c r="CK100" s="1483">
        <f t="shared" si="320"/>
        <v>-159.816</v>
      </c>
      <c r="CL100" s="1483">
        <f t="shared" si="320"/>
        <v>-156.00299999999999</v>
      </c>
      <c r="CM100" s="1483">
        <f t="shared" si="321"/>
        <v>-238.477</v>
      </c>
      <c r="CN100" s="1483">
        <f t="shared" si="321"/>
        <v>-150.12</v>
      </c>
      <c r="CO100" s="1483">
        <f t="shared" si="321"/>
        <v>-221.34200000000001</v>
      </c>
      <c r="CP100" s="1483">
        <f>CP95</f>
        <v>-216.04599999999999</v>
      </c>
      <c r="CQ100" s="1483">
        <f t="shared" si="322"/>
        <v>-280.61200000000002</v>
      </c>
      <c r="CR100" s="1483">
        <f t="shared" si="322"/>
        <v>-197.7</v>
      </c>
      <c r="CS100" s="1483">
        <f t="shared" si="322"/>
        <v>-249.86699999999999</v>
      </c>
      <c r="CT100" s="1483">
        <f t="shared" si="323"/>
        <v>-279.47699999999998</v>
      </c>
      <c r="CU100" s="1483">
        <f t="shared" si="324"/>
        <v>-386.32100000000003</v>
      </c>
      <c r="CV100" s="1483">
        <f t="shared" si="324"/>
        <v>-277.24200000000002</v>
      </c>
      <c r="CW100" s="1483">
        <f t="shared" si="324"/>
        <v>-348.572</v>
      </c>
      <c r="CX100" s="1483">
        <f t="shared" ref="CX100:CY100" si="331">CX95</f>
        <v>-320.23399999999998</v>
      </c>
      <c r="CY100" s="1483">
        <f t="shared" si="331"/>
        <v>-432.67700000000002</v>
      </c>
      <c r="CZ100" s="1483">
        <f t="shared" ref="CZ100:DC100" ca="1" si="332">CZ95</f>
        <v>-362.12274004330436</v>
      </c>
      <c r="DA100" s="1483">
        <f t="shared" ca="1" si="332"/>
        <v>-246.47940058632264</v>
      </c>
      <c r="DB100" s="1483">
        <f t="shared" ca="1" si="332"/>
        <v>-668.95743560835956</v>
      </c>
      <c r="DC100" s="1483">
        <f t="shared" ca="1" si="332"/>
        <v>-658.00676758566112</v>
      </c>
      <c r="DF100" s="783"/>
      <c r="DG100" s="783"/>
      <c r="DH100" s="783"/>
      <c r="EU100" s="42"/>
      <c r="EV100"/>
      <c r="EW100"/>
      <c r="EX100"/>
      <c r="EY100"/>
      <c r="EZ100"/>
      <c r="FA100"/>
    </row>
    <row r="101" spans="1:160">
      <c r="B101" s="71" t="s">
        <v>913</v>
      </c>
      <c r="C101" s="71"/>
      <c r="D101" s="71"/>
      <c r="E101" s="72"/>
      <c r="F101" s="72">
        <f>SUM(F99:F100)</f>
        <v>-95.798000000000002</v>
      </c>
      <c r="G101" s="72">
        <f t="shared" ref="G101:Z101" si="333">SUM(G99:G100)</f>
        <v>-18.338999999999992</v>
      </c>
      <c r="H101" s="72">
        <f t="shared" si="333"/>
        <v>-6.0519999999999925</v>
      </c>
      <c r="I101" s="72">
        <f t="shared" si="333"/>
        <v>12.679999999999989</v>
      </c>
      <c r="J101" s="72">
        <f t="shared" si="333"/>
        <v>24.727000000000025</v>
      </c>
      <c r="K101" s="72">
        <f t="shared" si="333"/>
        <v>-60.218999999999937</v>
      </c>
      <c r="L101" s="72">
        <f t="shared" si="333"/>
        <v>-261.42099999999994</v>
      </c>
      <c r="M101" s="72">
        <f t="shared" si="333"/>
        <v>-178.6520000000001</v>
      </c>
      <c r="N101" s="1499">
        <f t="shared" si="333"/>
        <v>66.428000000000054</v>
      </c>
      <c r="O101" s="1499">
        <f t="shared" si="333"/>
        <v>-46.37600000000009</v>
      </c>
      <c r="P101" s="1499">
        <f t="shared" si="333"/>
        <v>37.07200000000023</v>
      </c>
      <c r="Q101" s="1499">
        <f t="shared" si="333"/>
        <v>123.35699999999974</v>
      </c>
      <c r="R101" s="1499">
        <f t="shared" si="333"/>
        <v>428.49200000000008</v>
      </c>
      <c r="S101" s="1499">
        <f t="shared" si="333"/>
        <v>453.68799999999965</v>
      </c>
      <c r="T101" s="1499">
        <f>SUM(T99:T100)</f>
        <v>403.50700000000029</v>
      </c>
      <c r="U101" s="1499">
        <f>SUM(U99:U100)</f>
        <v>544.10899999999992</v>
      </c>
      <c r="V101" s="1499">
        <f>SUM(V99:V100)</f>
        <v>673.31600000000026</v>
      </c>
      <c r="W101" s="1499">
        <f ca="1">SUM(W99:W100)</f>
        <v>460.63496806553485</v>
      </c>
      <c r="X101" s="1499">
        <f t="shared" ca="1" si="333"/>
        <v>773.47100359183082</v>
      </c>
      <c r="Y101" s="1499">
        <f t="shared" ca="1" si="333"/>
        <v>1187.1037322087564</v>
      </c>
      <c r="Z101" s="1499">
        <f t="shared" ca="1" si="333"/>
        <v>1438.8599623889484</v>
      </c>
      <c r="AA101" s="1499">
        <f t="shared" ref="AA101:AD101" ca="1" si="334">SUM(AA99:AA100)</f>
        <v>1642.3250384732</v>
      </c>
      <c r="AB101" s="1499">
        <f t="shared" ca="1" si="334"/>
        <v>1846.4820213808571</v>
      </c>
      <c r="AC101" s="1499">
        <f t="shared" ca="1" si="334"/>
        <v>2051.1478226232057</v>
      </c>
      <c r="AD101" s="1499">
        <f t="shared" ca="1" si="334"/>
        <v>2256.2954156314536</v>
      </c>
      <c r="AE101" s="1483"/>
      <c r="AF101" s="1500"/>
      <c r="AG101" s="1500"/>
      <c r="AH101" s="1499"/>
      <c r="AI101" s="1499"/>
      <c r="AJ101" s="1499">
        <f t="shared" ref="AJ101:CJ101" si="335">SUM(AJ99:AJ100)</f>
        <v>-50.984000000000002</v>
      </c>
      <c r="AK101" s="1499">
        <f t="shared" si="335"/>
        <v>-18.875</v>
      </c>
      <c r="AL101" s="1499">
        <f t="shared" si="335"/>
        <v>-43.747999999999998</v>
      </c>
      <c r="AM101" s="1499">
        <f t="shared" si="335"/>
        <v>17.809000000000001</v>
      </c>
      <c r="AN101" s="1499">
        <f t="shared" si="335"/>
        <v>-4.3749999999999947</v>
      </c>
      <c r="AO101" s="1499">
        <f t="shared" si="335"/>
        <v>-8.1219999999999999</v>
      </c>
      <c r="AP101" s="1499">
        <f t="shared" si="335"/>
        <v>-2.5719999999999992</v>
      </c>
      <c r="AQ101" s="1499">
        <f t="shared" si="335"/>
        <v>-3.2699999999999982</v>
      </c>
      <c r="AR101" s="1499">
        <f t="shared" si="335"/>
        <v>-3.4199999999999982</v>
      </c>
      <c r="AS101" s="1499">
        <f t="shared" si="335"/>
        <v>-0.82500000000000551</v>
      </c>
      <c r="AT101" s="1499">
        <f t="shared" si="335"/>
        <v>-4.8999999999997268E-2</v>
      </c>
      <c r="AU101" s="1499">
        <f t="shared" si="335"/>
        <v>-1.7580000000000053</v>
      </c>
      <c r="AV101" s="1499">
        <f t="shared" si="335"/>
        <v>0.749000000000005</v>
      </c>
      <c r="AW101" s="1499">
        <f t="shared" si="335"/>
        <v>3.2740000000000018</v>
      </c>
      <c r="AX101" s="1499">
        <f t="shared" si="335"/>
        <v>2.4450000000000012</v>
      </c>
      <c r="AY101" s="1499">
        <f t="shared" si="335"/>
        <v>6.2120000000000024</v>
      </c>
      <c r="AZ101" s="1499">
        <f t="shared" si="335"/>
        <v>8.8140000000000001</v>
      </c>
      <c r="BA101" s="1499">
        <f t="shared" si="335"/>
        <v>6.1649999999999991</v>
      </c>
      <c r="BB101" s="1499">
        <f t="shared" si="335"/>
        <v>10.839999999999996</v>
      </c>
      <c r="BC101" s="1499">
        <f t="shared" si="335"/>
        <v>-1.0920000000000023</v>
      </c>
      <c r="BD101" s="1499">
        <f t="shared" si="335"/>
        <v>-3.7779999999999987</v>
      </c>
      <c r="BE101" s="1499">
        <f t="shared" si="335"/>
        <v>-5.6329999999999956</v>
      </c>
      <c r="BF101" s="1499">
        <f t="shared" si="335"/>
        <v>-21.693000000000008</v>
      </c>
      <c r="BG101" s="1499">
        <f t="shared" si="335"/>
        <v>-29.115000000000013</v>
      </c>
      <c r="BH101" s="1499">
        <f t="shared" si="335"/>
        <v>-34.677999999999983</v>
      </c>
      <c r="BI101" s="1499">
        <f t="shared" si="335"/>
        <v>-104.52099999999999</v>
      </c>
      <c r="BJ101" s="1499">
        <f t="shared" si="335"/>
        <v>-48.282000000000039</v>
      </c>
      <c r="BK101" s="1499">
        <f t="shared" si="335"/>
        <v>-73.939999999999941</v>
      </c>
      <c r="BL101" s="1499">
        <f t="shared" si="335"/>
        <v>-63.373999999999995</v>
      </c>
      <c r="BM101" s="1499">
        <f t="shared" si="335"/>
        <v>-15.324000000000012</v>
      </c>
      <c r="BN101" s="1499">
        <f t="shared" si="335"/>
        <v>-18.472000000000037</v>
      </c>
      <c r="BO101" s="1499">
        <f t="shared" si="335"/>
        <v>-81.482000000000028</v>
      </c>
      <c r="BP101" s="1499">
        <f t="shared" si="335"/>
        <v>16.409000000000034</v>
      </c>
      <c r="BQ101" s="1499">
        <f t="shared" si="335"/>
        <v>22.717999999999989</v>
      </c>
      <c r="BR101" s="1499">
        <f t="shared" si="335"/>
        <v>17.381</v>
      </c>
      <c r="BS101" s="1499">
        <f t="shared" si="335"/>
        <v>9.9200000000000017</v>
      </c>
      <c r="BT101" s="1499">
        <f t="shared" si="335"/>
        <v>-26.127999999999986</v>
      </c>
      <c r="BU101" s="1499">
        <f t="shared" si="335"/>
        <v>-19.421000000000049</v>
      </c>
      <c r="BV101" s="1499">
        <f t="shared" si="335"/>
        <v>-1.8549999999999898</v>
      </c>
      <c r="BW101" s="1499">
        <f t="shared" si="335"/>
        <v>1.02800000000002</v>
      </c>
      <c r="BX101" s="1499">
        <f t="shared" si="335"/>
        <v>-10.188999999999993</v>
      </c>
      <c r="BY101" s="1499">
        <f t="shared" si="335"/>
        <v>-11.468999999999994</v>
      </c>
      <c r="BZ101" s="1499">
        <f t="shared" si="335"/>
        <v>55.302999999999969</v>
      </c>
      <c r="CA101" s="1499">
        <f t="shared" si="335"/>
        <v>3.4269999999999925</v>
      </c>
      <c r="CB101" s="1499">
        <f t="shared" si="335"/>
        <v>61.245000000000005</v>
      </c>
      <c r="CC101" s="1499">
        <f t="shared" si="335"/>
        <v>19.935999999999979</v>
      </c>
      <c r="CD101" s="1499">
        <f t="shared" si="335"/>
        <v>12.897999999999968</v>
      </c>
      <c r="CE101" s="1499">
        <f t="shared" si="335"/>
        <v>29.277999999999992</v>
      </c>
      <c r="CF101" s="1499">
        <f t="shared" si="335"/>
        <v>165.22099999999992</v>
      </c>
      <c r="CG101" s="1499">
        <f t="shared" si="335"/>
        <v>125.172</v>
      </c>
      <c r="CH101" s="1499">
        <f t="shared" si="335"/>
        <v>77.410000000000082</v>
      </c>
      <c r="CI101" s="1499">
        <f t="shared" si="335"/>
        <v>60.689000000000021</v>
      </c>
      <c r="CJ101" s="1499">
        <f t="shared" si="335"/>
        <v>154.48100000000005</v>
      </c>
      <c r="CK101" s="1499">
        <f t="shared" ref="CK101:CQ101" si="336">SUM(CK99:CK100)</f>
        <v>115.46100000000004</v>
      </c>
      <c r="CL101" s="1499">
        <f t="shared" si="336"/>
        <v>127.858</v>
      </c>
      <c r="CM101" s="1499">
        <f t="shared" si="336"/>
        <v>55.888000000000005</v>
      </c>
      <c r="CN101" s="1499">
        <f t="shared" si="336"/>
        <v>155.62799999999999</v>
      </c>
      <c r="CO101" s="1499">
        <f t="shared" si="336"/>
        <v>89.919999999999874</v>
      </c>
      <c r="CP101" s="1499">
        <f t="shared" si="336"/>
        <v>105.42600000000004</v>
      </c>
      <c r="CQ101" s="1499">
        <f t="shared" si="336"/>
        <v>52.532999999999845</v>
      </c>
      <c r="CR101" s="1499">
        <f t="shared" ref="CR101:CU101" si="337">SUM(CR99:CR100)</f>
        <v>182.95000000000005</v>
      </c>
      <c r="CS101" s="1499">
        <f t="shared" si="337"/>
        <v>170.42400000000001</v>
      </c>
      <c r="CT101" s="1499">
        <f t="shared" si="337"/>
        <v>140.56499999999994</v>
      </c>
      <c r="CU101" s="1499">
        <f t="shared" si="337"/>
        <v>50.169999999999959</v>
      </c>
      <c r="CV101" s="1499">
        <f>SUM(CV99:CV100)</f>
        <v>150.33200000000011</v>
      </c>
      <c r="CW101" s="1499">
        <f>SUM(CW99:CW100)</f>
        <v>160.73599999999999</v>
      </c>
      <c r="CX101" s="1499">
        <f>SUM(CX99:CX100)</f>
        <v>230.08499999999998</v>
      </c>
      <c r="CY101" s="1499">
        <f>SUM(CY99:CY100)</f>
        <v>132.16300000000001</v>
      </c>
      <c r="CZ101" s="1499">
        <f t="shared" ref="CZ101:DC101" ca="1" si="338">SUM(CZ99:CZ100)</f>
        <v>197.03877045469608</v>
      </c>
      <c r="DA101" s="1499">
        <f t="shared" ca="1" si="338"/>
        <v>343.31732636642607</v>
      </c>
      <c r="DB101" s="1499">
        <f t="shared" ca="1" si="338"/>
        <v>-56.897836529360461</v>
      </c>
      <c r="DC101" s="1499">
        <f t="shared" ca="1" si="338"/>
        <v>-22.823292226226727</v>
      </c>
      <c r="DF101" s="783"/>
      <c r="DG101" s="783"/>
      <c r="DH101" s="783"/>
      <c r="FB101" s="15"/>
      <c r="FC101" s="15"/>
      <c r="FD101" s="15"/>
    </row>
    <row r="102" spans="1:160" s="15" customFormat="1">
      <c r="B102" s="16"/>
      <c r="C102" s="23"/>
      <c r="F102" s="54"/>
      <c r="G102" s="54"/>
      <c r="H102" s="54"/>
      <c r="I102" s="54"/>
      <c r="J102" s="54"/>
      <c r="K102" s="54"/>
      <c r="L102" s="54"/>
      <c r="M102" s="54"/>
      <c r="N102" s="54"/>
      <c r="O102" s="54"/>
      <c r="P102" s="54"/>
      <c r="Q102" s="54"/>
      <c r="R102" s="54"/>
      <c r="S102" s="54"/>
      <c r="T102" s="54"/>
      <c r="U102" s="54"/>
      <c r="V102" s="54"/>
      <c r="W102" s="54"/>
      <c r="X102" s="54"/>
      <c r="Y102" s="54"/>
      <c r="Z102" s="54"/>
      <c r="AA102" s="54"/>
      <c r="AB102" s="54"/>
      <c r="AC102" s="54"/>
      <c r="AD102" s="54"/>
      <c r="AJ102" s="54"/>
      <c r="AK102" s="54"/>
      <c r="AL102" s="54"/>
      <c r="AM102" s="54"/>
      <c r="AN102" s="54"/>
      <c r="AO102" s="54"/>
      <c r="AP102" s="54"/>
      <c r="AQ102" s="54"/>
      <c r="AR102" s="54"/>
      <c r="AS102" s="54"/>
      <c r="AT102" s="54"/>
      <c r="AU102" s="54"/>
      <c r="AV102" s="54"/>
      <c r="AW102" s="54"/>
      <c r="AX102" s="54"/>
      <c r="AY102" s="54"/>
      <c r="AZ102" s="54"/>
      <c r="BA102" s="54"/>
      <c r="BB102" s="54"/>
      <c r="BC102" s="54"/>
      <c r="BD102" s="54"/>
      <c r="BE102" s="54"/>
      <c r="BF102" s="54"/>
      <c r="BG102" s="54"/>
      <c r="BH102" s="54"/>
      <c r="BI102" s="54"/>
      <c r="BJ102" s="54"/>
      <c r="BK102" s="54"/>
      <c r="BL102" s="54"/>
      <c r="BM102" s="54"/>
      <c r="BN102" s="54"/>
      <c r="BO102" s="54"/>
      <c r="BP102" s="54"/>
      <c r="BQ102" s="54"/>
      <c r="BR102" s="54"/>
      <c r="BS102" s="54"/>
      <c r="BT102" s="54"/>
      <c r="BU102" s="54"/>
      <c r="BV102" s="54"/>
      <c r="BW102" s="54"/>
      <c r="BX102" s="54"/>
      <c r="BY102" s="54"/>
      <c r="BZ102" s="54"/>
      <c r="CA102" s="54"/>
      <c r="CB102" s="54"/>
      <c r="CC102" s="54"/>
      <c r="CD102" s="54"/>
      <c r="CE102" s="54"/>
      <c r="CF102" s="54"/>
      <c r="CG102" s="54"/>
      <c r="CH102" s="54"/>
      <c r="CI102" s="54"/>
      <c r="CJ102" s="54"/>
      <c r="CK102" s="54"/>
      <c r="CL102" s="54"/>
      <c r="CM102" s="54"/>
      <c r="CN102" s="54"/>
      <c r="CO102" s="54"/>
      <c r="CP102" s="54"/>
      <c r="CQ102" s="54"/>
      <c r="CR102" s="54"/>
      <c r="CS102" s="54"/>
      <c r="CT102" s="54"/>
      <c r="CU102" s="54"/>
      <c r="CV102" s="54"/>
      <c r="CW102" s="54"/>
      <c r="CX102" s="54"/>
      <c r="CY102" s="54"/>
      <c r="CZ102" s="54"/>
      <c r="DA102" s="54"/>
      <c r="DB102" s="54"/>
      <c r="DC102" s="54"/>
      <c r="DF102" s="783"/>
      <c r="DG102" s="783"/>
      <c r="DH102" s="783"/>
      <c r="EU102" s="42"/>
      <c r="EV102"/>
      <c r="EW102"/>
      <c r="EX102"/>
      <c r="EY102"/>
      <c r="EZ102"/>
      <c r="FA102"/>
    </row>
    <row r="103" spans="1:160" s="15" customFormat="1">
      <c r="B103" s="16" t="s">
        <v>254</v>
      </c>
      <c r="C103" s="23"/>
      <c r="E103" s="54">
        <f t="shared" ref="E103:O103" si="339">+E32</f>
        <v>-68.072999999999993</v>
      </c>
      <c r="F103" s="54">
        <f t="shared" si="339"/>
        <v>-68.853999999999971</v>
      </c>
      <c r="G103" s="54">
        <f t="shared" si="339"/>
        <v>-27.508999999999993</v>
      </c>
      <c r="H103" s="54">
        <f t="shared" si="339"/>
        <v>-17.265999999999991</v>
      </c>
      <c r="I103" s="54">
        <f t="shared" si="339"/>
        <v>36.911999999999992</v>
      </c>
      <c r="J103" s="54">
        <f t="shared" si="339"/>
        <v>67.594999999999999</v>
      </c>
      <c r="K103" s="54">
        <f t="shared" si="339"/>
        <v>75.411999999999964</v>
      </c>
      <c r="L103" s="54">
        <f t="shared" si="339"/>
        <v>120.02000000000002</v>
      </c>
      <c r="M103" s="54">
        <f t="shared" si="339"/>
        <v>267.55800000000011</v>
      </c>
      <c r="N103" s="54">
        <f t="shared" si="339"/>
        <v>355.49200000000002</v>
      </c>
      <c r="O103" s="54">
        <f t="shared" si="339"/>
        <v>382.66700000000009</v>
      </c>
      <c r="P103" s="54">
        <f t="shared" ref="P103:Z103" si="340">+P32</f>
        <v>569.37699999999995</v>
      </c>
      <c r="Q103" s="54">
        <f t="shared" si="340"/>
        <v>641.25499999999988</v>
      </c>
      <c r="R103" s="54">
        <f t="shared" si="340"/>
        <v>605.73600000000022</v>
      </c>
      <c r="S103" s="54">
        <f>+S32</f>
        <v>689.42000000000019</v>
      </c>
      <c r="T103" s="54">
        <f>+T32</f>
        <v>894.79399999999976</v>
      </c>
      <c r="U103" s="54">
        <f>+U32</f>
        <v>1016.58</v>
      </c>
      <c r="V103" s="54">
        <f>+V32</f>
        <v>1439.2330000000002</v>
      </c>
      <c r="W103" s="54">
        <f ca="1">+W32</f>
        <v>1799.3359023905009</v>
      </c>
      <c r="X103" s="54">
        <f t="shared" ca="1" si="340"/>
        <v>1950.7204295027316</v>
      </c>
      <c r="Y103" s="54">
        <f t="shared" ca="1" si="340"/>
        <v>2123.5375187698514</v>
      </c>
      <c r="Z103" s="54">
        <f t="shared" ca="1" si="340"/>
        <v>2283.8346632436696</v>
      </c>
      <c r="AA103" s="54">
        <f t="shared" ref="AA103:AD103" ca="1" si="341">+AA32</f>
        <v>2440.9657649394589</v>
      </c>
      <c r="AB103" s="54">
        <f t="shared" ca="1" si="341"/>
        <v>2552.809421026257</v>
      </c>
      <c r="AC103" s="54">
        <f t="shared" ca="1" si="341"/>
        <v>2690.7009139711149</v>
      </c>
      <c r="AD103" s="54">
        <f t="shared" ca="1" si="341"/>
        <v>2873.6897977915769</v>
      </c>
      <c r="AJ103" s="54"/>
      <c r="AK103" s="54"/>
      <c r="AL103" s="54"/>
      <c r="AM103" s="54"/>
      <c r="AN103" s="54"/>
      <c r="AO103" s="54"/>
      <c r="AP103" s="54"/>
      <c r="AQ103" s="54"/>
      <c r="AR103" s="54"/>
      <c r="AS103" s="54"/>
      <c r="AT103" s="54"/>
      <c r="AU103" s="54"/>
      <c r="AV103" s="54"/>
      <c r="AW103" s="54"/>
      <c r="AX103" s="54"/>
      <c r="AY103" s="54"/>
      <c r="AZ103" s="54"/>
      <c r="BA103" s="54"/>
      <c r="BB103" s="54"/>
      <c r="BC103" s="54"/>
      <c r="BD103" s="54"/>
      <c r="BE103" s="54"/>
      <c r="BF103" s="54"/>
      <c r="BG103" s="54"/>
      <c r="BH103" s="54"/>
      <c r="BI103" s="54"/>
      <c r="BJ103" s="54"/>
      <c r="BK103" s="54"/>
      <c r="BL103" s="54"/>
      <c r="BM103" s="54"/>
      <c r="BN103" s="54"/>
      <c r="BO103" s="54"/>
      <c r="BP103" s="54"/>
      <c r="BQ103" s="54"/>
      <c r="BR103" s="54"/>
      <c r="BS103" s="54"/>
      <c r="BT103" s="54"/>
      <c r="BU103" s="54"/>
      <c r="BV103" s="54"/>
      <c r="BW103" s="54"/>
      <c r="BX103" s="54"/>
      <c r="BY103" s="54"/>
      <c r="BZ103" s="54"/>
      <c r="CA103" s="54"/>
      <c r="CB103" s="54">
        <f t="shared" ref="CB103:CI103" si="342">+CB32</f>
        <v>119.66600000000003</v>
      </c>
      <c r="CC103" s="54">
        <f t="shared" si="342"/>
        <v>193.94199999999998</v>
      </c>
      <c r="CD103" s="54">
        <f t="shared" si="342"/>
        <v>100.27899999999995</v>
      </c>
      <c r="CE103" s="54">
        <f t="shared" si="342"/>
        <v>227.36799999999999</v>
      </c>
      <c r="CF103" s="54">
        <f t="shared" si="342"/>
        <v>82.346999999999923</v>
      </c>
      <c r="CG103" s="54">
        <f t="shared" si="342"/>
        <v>150.07300000000004</v>
      </c>
      <c r="CH103" s="54">
        <f t="shared" si="342"/>
        <v>206.6100000000001</v>
      </c>
      <c r="CI103" s="54">
        <f t="shared" si="342"/>
        <v>166.70600000000002</v>
      </c>
      <c r="CJ103" s="54">
        <f t="shared" ref="CJ103:CQ103" si="343">+CJ32</f>
        <v>171.71800000000002</v>
      </c>
      <c r="CK103" s="54">
        <f t="shared" si="343"/>
        <v>98.964000000000055</v>
      </c>
      <c r="CL103" s="54">
        <f t="shared" si="343"/>
        <v>216.441</v>
      </c>
      <c r="CM103" s="54">
        <f t="shared" si="343"/>
        <v>202.29700000000005</v>
      </c>
      <c r="CN103" s="54">
        <f t="shared" si="343"/>
        <v>232.81100000000001</v>
      </c>
      <c r="CO103" s="54">
        <f t="shared" si="343"/>
        <v>212.46299999999991</v>
      </c>
      <c r="CP103" s="54">
        <f t="shared" si="343"/>
        <v>214.40200000000002</v>
      </c>
      <c r="CQ103" s="54">
        <f t="shared" si="343"/>
        <v>235.11799999999988</v>
      </c>
      <c r="CR103" s="54">
        <f t="shared" ref="CR103:CU103" si="344">+CR32</f>
        <v>104.27000000000001</v>
      </c>
      <c r="CS103" s="54">
        <f t="shared" si="344"/>
        <v>278.82799999999992</v>
      </c>
      <c r="CT103" s="54">
        <f t="shared" si="344"/>
        <v>334.17199999999997</v>
      </c>
      <c r="CU103" s="54">
        <f t="shared" si="344"/>
        <v>299.31</v>
      </c>
      <c r="CV103" s="54">
        <f>+CV32</f>
        <v>247.37100000000012</v>
      </c>
      <c r="CW103" s="54">
        <f>+CW32</f>
        <v>306.47300000000007</v>
      </c>
      <c r="CX103" s="54">
        <f>+CX32</f>
        <v>390.51</v>
      </c>
      <c r="CY103" s="54">
        <f>+CY32</f>
        <v>494.87900000000002</v>
      </c>
      <c r="CZ103" s="54">
        <f t="shared" ref="CZ103:DC103" ca="1" si="345">+CZ32</f>
        <v>398.42419842697109</v>
      </c>
      <c r="DA103" s="54">
        <f t="shared" ca="1" si="345"/>
        <v>447.80166351005704</v>
      </c>
      <c r="DB103" s="54">
        <f t="shared" ca="1" si="345"/>
        <v>466.24677505810416</v>
      </c>
      <c r="DC103" s="54">
        <f t="shared" ca="1" si="345"/>
        <v>486.86326539536867</v>
      </c>
      <c r="DF103" s="783"/>
      <c r="DG103" s="783"/>
      <c r="DH103" s="783"/>
      <c r="EU103" s="42"/>
      <c r="EV103"/>
      <c r="EW103"/>
      <c r="EX103"/>
      <c r="EY103"/>
      <c r="EZ103"/>
      <c r="FA103"/>
    </row>
    <row r="104" spans="1:160" s="15" customFormat="1">
      <c r="B104" s="1049" t="s">
        <v>1429</v>
      </c>
      <c r="C104" s="23"/>
      <c r="E104" s="54">
        <f>-BS!E127</f>
        <v>0</v>
      </c>
      <c r="F104" s="54">
        <f>-BS!F127</f>
        <v>0</v>
      </c>
      <c r="G104" s="54">
        <f>-BS!G127</f>
        <v>0</v>
      </c>
      <c r="H104" s="54">
        <f>-BS!H127</f>
        <v>0</v>
      </c>
      <c r="I104" s="54">
        <f>-BS!I127</f>
        <v>-13.684000000000001</v>
      </c>
      <c r="J104" s="54">
        <f>-BS!J127</f>
        <v>-20.612000000000002</v>
      </c>
      <c r="K104" s="54">
        <f>-BS!K127</f>
        <v>-31.690999999999999</v>
      </c>
      <c r="L104" s="54">
        <f>-BS!L127</f>
        <v>-41.511000000000024</v>
      </c>
      <c r="M104" s="54">
        <f>-BS!M127</f>
        <v>-67.528000000000006</v>
      </c>
      <c r="N104" s="54">
        <f>-BS!N127</f>
        <v>-59.08</v>
      </c>
      <c r="O104" s="54">
        <f>-BS!O127</f>
        <v>-114.5</v>
      </c>
      <c r="P104" s="54">
        <f>-BS!P127</f>
        <v>-131.60000000000002</v>
      </c>
      <c r="Q104" s="54">
        <f>-BS!Q127</f>
        <v>-161.71700000000001</v>
      </c>
      <c r="R104" s="54">
        <f>-BS!R127</f>
        <v>-183.32999999999998</v>
      </c>
      <c r="S104" s="54">
        <f>-BS!S127</f>
        <v>-105.36599999999999</v>
      </c>
      <c r="T104" s="54">
        <f>-BS!T127</f>
        <v>-122.033</v>
      </c>
      <c r="U104" s="54">
        <f>-BS!U127</f>
        <v>-141.81900000000002</v>
      </c>
      <c r="V104" s="54">
        <f>-BS!V127</f>
        <v>-167.995</v>
      </c>
      <c r="W104" s="54">
        <f ca="1">-BS!W127</f>
        <v>-201.5663438236476</v>
      </c>
      <c r="X104" s="54">
        <f ca="1">-BS!X127</f>
        <v>-220.02351087938561</v>
      </c>
      <c r="Y104" s="54">
        <f ca="1">-BS!Y127</f>
        <v>-237.49331730864125</v>
      </c>
      <c r="Z104" s="54">
        <f ca="1">-BS!Z127</f>
        <v>-253.97031937551293</v>
      </c>
      <c r="AA104" s="54">
        <f ca="1">-BS!AA127</f>
        <v>-270.38609667775023</v>
      </c>
      <c r="AB104" s="54">
        <f ca="1">-BS!AB127</f>
        <v>-286.7291788913281</v>
      </c>
      <c r="AC104" s="54">
        <f ca="1">-BS!AC127</f>
        <v>-302.99043256042495</v>
      </c>
      <c r="AD104" s="54">
        <f ca="1">-BS!AD127</f>
        <v>-319.16231603952099</v>
      </c>
      <c r="AJ104" s="54"/>
      <c r="AK104" s="54"/>
      <c r="AL104" s="54"/>
      <c r="AM104" s="54"/>
      <c r="AN104" s="54"/>
      <c r="AO104" s="54"/>
      <c r="AP104" s="54"/>
      <c r="AQ104" s="54"/>
      <c r="AR104" s="54"/>
      <c r="AS104" s="54"/>
      <c r="AT104" s="54"/>
      <c r="AU104" s="54"/>
      <c r="AV104" s="54"/>
      <c r="AW104" s="54"/>
      <c r="AX104" s="54"/>
      <c r="AY104" s="54"/>
      <c r="AZ104" s="54"/>
      <c r="BA104" s="54"/>
      <c r="BB104" s="54"/>
      <c r="BC104" s="54"/>
      <c r="BD104" s="54"/>
      <c r="BE104" s="54"/>
      <c r="BF104" s="54"/>
      <c r="BG104" s="54"/>
      <c r="BH104" s="54"/>
      <c r="BI104" s="54"/>
      <c r="BJ104" s="54"/>
      <c r="BK104" s="54"/>
      <c r="BL104" s="54"/>
      <c r="BM104" s="54"/>
      <c r="BN104" s="54"/>
      <c r="BO104" s="54"/>
      <c r="BP104" s="54"/>
      <c r="BQ104" s="54"/>
      <c r="BR104" s="54"/>
      <c r="BS104" s="54"/>
      <c r="BT104" s="54"/>
      <c r="BU104" s="54"/>
      <c r="BV104" s="54"/>
      <c r="BW104" s="54"/>
      <c r="BX104" s="54"/>
      <c r="BY104" s="54"/>
      <c r="BZ104" s="54"/>
      <c r="CA104" s="54"/>
      <c r="CB104" s="54">
        <f>-BS!CB127</f>
        <v>-43.09</v>
      </c>
      <c r="CC104" s="54">
        <f>-BS!CC127</f>
        <v>-37.536999999999999</v>
      </c>
      <c r="CD104" s="54">
        <f>-BS!CD127</f>
        <v>-37.593000000000004</v>
      </c>
      <c r="CE104" s="54">
        <f>-BS!CE127</f>
        <v>-43.497</v>
      </c>
      <c r="CF104" s="54">
        <f>-BS!CF127</f>
        <v>-33.997</v>
      </c>
      <c r="CG104" s="54">
        <f>-BS!CG127</f>
        <v>-40.21</v>
      </c>
      <c r="CH104" s="54">
        <f>-BS!CH127</f>
        <v>-41.064</v>
      </c>
      <c r="CI104" s="54">
        <f>-BS!CI127</f>
        <v>-68.058999999999997</v>
      </c>
      <c r="CJ104" s="54">
        <f>-BS!CJ127</f>
        <v>-26.449000000000002</v>
      </c>
      <c r="CK104" s="54">
        <f>-BS!CK127</f>
        <v>-26.018000000000001</v>
      </c>
      <c r="CL104" s="54">
        <f>-BS!CL127</f>
        <v>-19.774999999999999</v>
      </c>
      <c r="CM104" s="54">
        <f>-BS!CM127</f>
        <v>-33.124000000000002</v>
      </c>
      <c r="CN104" s="54">
        <f>-BS!CN127</f>
        <v>-22.373000000000001</v>
      </c>
      <c r="CO104" s="54">
        <f>-BS!CO127</f>
        <v>-27.33</v>
      </c>
      <c r="CP104" s="54">
        <f>-BS!CP127</f>
        <v>-27.33</v>
      </c>
      <c r="CQ104" s="54">
        <f>-BS!CQ127</f>
        <v>-45</v>
      </c>
      <c r="CR104" s="54">
        <f>-BS!CR127</f>
        <v>-31.815000000000001</v>
      </c>
      <c r="CS104" s="54">
        <f>-BS!CS127</f>
        <v>-31.928000000000001</v>
      </c>
      <c r="CT104" s="54">
        <f>-BS!CT127</f>
        <v>-41.6</v>
      </c>
      <c r="CU104" s="54">
        <f>-BS!CU127</f>
        <v>-36.475999999999999</v>
      </c>
      <c r="CV104" s="54">
        <f>-BS!CV127</f>
        <v>-22.672000000000001</v>
      </c>
      <c r="CW104" s="54">
        <f>-BS!CW127</f>
        <v>-37.869</v>
      </c>
      <c r="CX104" s="54">
        <f>-BS!CX127</f>
        <v>-44.914000000000001</v>
      </c>
      <c r="CY104" s="54">
        <f>-BS!CY127</f>
        <v>-62.54</v>
      </c>
      <c r="CZ104" s="54">
        <f ca="1">-BS!CZ127</f>
        <v>-48.622740043304375</v>
      </c>
      <c r="DA104" s="54">
        <f ca="1">-BS!DA127</f>
        <v>-49.604400586322647</v>
      </c>
      <c r="DB104" s="54">
        <f ca="1">-BS!DB127</f>
        <v>-50.957435608359511</v>
      </c>
      <c r="DC104" s="54">
        <f ca="1">-BS!DC127</f>
        <v>-52.381767585661073</v>
      </c>
      <c r="DF104" s="783"/>
      <c r="DG104" s="783"/>
      <c r="DH104" s="783"/>
      <c r="EU104" s="42"/>
      <c r="EV104"/>
      <c r="EW104"/>
      <c r="EX104"/>
      <c r="EY104"/>
      <c r="EZ104"/>
      <c r="FA104"/>
    </row>
    <row r="105" spans="1:160">
      <c r="B105" s="71" t="s">
        <v>1688</v>
      </c>
      <c r="C105" s="72"/>
      <c r="D105" s="72"/>
      <c r="E105" s="72">
        <f t="shared" ref="E105:Z105" si="346">SUM(E103:E104)</f>
        <v>-68.072999999999993</v>
      </c>
      <c r="F105" s="72">
        <f t="shared" si="346"/>
        <v>-68.853999999999971</v>
      </c>
      <c r="G105" s="72">
        <f t="shared" si="346"/>
        <v>-27.508999999999993</v>
      </c>
      <c r="H105" s="72">
        <f t="shared" si="346"/>
        <v>-17.265999999999991</v>
      </c>
      <c r="I105" s="72">
        <f t="shared" si="346"/>
        <v>23.227999999999991</v>
      </c>
      <c r="J105" s="72">
        <f t="shared" si="346"/>
        <v>46.982999999999997</v>
      </c>
      <c r="K105" s="72">
        <f t="shared" si="346"/>
        <v>43.720999999999961</v>
      </c>
      <c r="L105" s="72">
        <f t="shared" si="346"/>
        <v>78.509</v>
      </c>
      <c r="M105" s="72">
        <f t="shared" si="346"/>
        <v>200.03000000000009</v>
      </c>
      <c r="N105" s="1499">
        <f t="shared" si="346"/>
        <v>296.41200000000003</v>
      </c>
      <c r="O105" s="1499">
        <f t="shared" si="346"/>
        <v>268.16700000000009</v>
      </c>
      <c r="P105" s="1499">
        <f t="shared" si="346"/>
        <v>437.77699999999993</v>
      </c>
      <c r="Q105" s="1499">
        <f t="shared" si="346"/>
        <v>479.5379999999999</v>
      </c>
      <c r="R105" s="1499">
        <f t="shared" si="346"/>
        <v>422.40600000000023</v>
      </c>
      <c r="S105" s="1499">
        <f t="shared" si="346"/>
        <v>584.0540000000002</v>
      </c>
      <c r="T105" s="1499">
        <f>SUM(T103:T104)</f>
        <v>772.76099999999974</v>
      </c>
      <c r="U105" s="1499">
        <f>SUM(U103:U104)</f>
        <v>874.76099999999997</v>
      </c>
      <c r="V105" s="1499">
        <f>SUM(V103:V104)</f>
        <v>1271.2380000000003</v>
      </c>
      <c r="W105" s="1499">
        <f ca="1">SUM(W103:W104)</f>
        <v>1597.7695585668532</v>
      </c>
      <c r="X105" s="1499">
        <f t="shared" ca="1" si="346"/>
        <v>1730.6969186233459</v>
      </c>
      <c r="Y105" s="1499">
        <f t="shared" ca="1" si="346"/>
        <v>1886.0442014612102</v>
      </c>
      <c r="Z105" s="1499">
        <f t="shared" ca="1" si="346"/>
        <v>2029.8643438681568</v>
      </c>
      <c r="AA105" s="1499">
        <f t="shared" ref="AA105:AD105" ca="1" si="347">SUM(AA103:AA104)</f>
        <v>2170.5796682617088</v>
      </c>
      <c r="AB105" s="1499">
        <f t="shared" ca="1" si="347"/>
        <v>2266.080242134929</v>
      </c>
      <c r="AC105" s="1499">
        <f t="shared" ca="1" si="347"/>
        <v>2387.7104814106901</v>
      </c>
      <c r="AD105" s="1499">
        <f t="shared" ca="1" si="347"/>
        <v>2554.5274817520558</v>
      </c>
      <c r="AE105" s="1483"/>
      <c r="AF105" s="1500"/>
      <c r="AG105" s="1500"/>
      <c r="AH105" s="1499">
        <f t="shared" ref="AH105:BM105" si="348">SUM(AH103:AH104)</f>
        <v>0</v>
      </c>
      <c r="AI105" s="1499">
        <f t="shared" si="348"/>
        <v>0</v>
      </c>
      <c r="AJ105" s="1499">
        <f t="shared" si="348"/>
        <v>0</v>
      </c>
      <c r="AK105" s="1499">
        <f t="shared" si="348"/>
        <v>0</v>
      </c>
      <c r="AL105" s="1499">
        <f t="shared" si="348"/>
        <v>0</v>
      </c>
      <c r="AM105" s="1499">
        <f t="shared" si="348"/>
        <v>0</v>
      </c>
      <c r="AN105" s="1499">
        <f t="shared" si="348"/>
        <v>0</v>
      </c>
      <c r="AO105" s="1499">
        <f t="shared" si="348"/>
        <v>0</v>
      </c>
      <c r="AP105" s="1499">
        <f t="shared" si="348"/>
        <v>0</v>
      </c>
      <c r="AQ105" s="1499">
        <f t="shared" si="348"/>
        <v>0</v>
      </c>
      <c r="AR105" s="1499">
        <f t="shared" si="348"/>
        <v>0</v>
      </c>
      <c r="AS105" s="1499">
        <f t="shared" si="348"/>
        <v>0</v>
      </c>
      <c r="AT105" s="1499">
        <f t="shared" si="348"/>
        <v>0</v>
      </c>
      <c r="AU105" s="1499">
        <f t="shared" si="348"/>
        <v>0</v>
      </c>
      <c r="AV105" s="1499">
        <f t="shared" si="348"/>
        <v>0</v>
      </c>
      <c r="AW105" s="1499">
        <f t="shared" si="348"/>
        <v>0</v>
      </c>
      <c r="AX105" s="1499">
        <f t="shared" si="348"/>
        <v>0</v>
      </c>
      <c r="AY105" s="1499">
        <f t="shared" si="348"/>
        <v>0</v>
      </c>
      <c r="AZ105" s="1499">
        <f t="shared" si="348"/>
        <v>0</v>
      </c>
      <c r="BA105" s="1499">
        <f t="shared" si="348"/>
        <v>0</v>
      </c>
      <c r="BB105" s="1499">
        <f t="shared" si="348"/>
        <v>0</v>
      </c>
      <c r="BC105" s="1499">
        <f t="shared" si="348"/>
        <v>0</v>
      </c>
      <c r="BD105" s="1499">
        <f t="shared" si="348"/>
        <v>0</v>
      </c>
      <c r="BE105" s="1499">
        <f t="shared" si="348"/>
        <v>0</v>
      </c>
      <c r="BF105" s="1499">
        <f t="shared" si="348"/>
        <v>0</v>
      </c>
      <c r="BG105" s="1499">
        <f t="shared" si="348"/>
        <v>0</v>
      </c>
      <c r="BH105" s="1499">
        <f t="shared" si="348"/>
        <v>0</v>
      </c>
      <c r="BI105" s="1499">
        <f t="shared" si="348"/>
        <v>0</v>
      </c>
      <c r="BJ105" s="1499">
        <f t="shared" si="348"/>
        <v>0</v>
      </c>
      <c r="BK105" s="1499">
        <f t="shared" si="348"/>
        <v>0</v>
      </c>
      <c r="BL105" s="1499">
        <f t="shared" si="348"/>
        <v>0</v>
      </c>
      <c r="BM105" s="1499">
        <f t="shared" si="348"/>
        <v>0</v>
      </c>
      <c r="BN105" s="1499">
        <f t="shared" ref="BN105:CJ105" si="349">SUM(BN103:BN104)</f>
        <v>0</v>
      </c>
      <c r="BO105" s="1499">
        <f t="shared" si="349"/>
        <v>0</v>
      </c>
      <c r="BP105" s="1499">
        <f t="shared" si="349"/>
        <v>0</v>
      </c>
      <c r="BQ105" s="1499">
        <f t="shared" si="349"/>
        <v>0</v>
      </c>
      <c r="BR105" s="1499">
        <f t="shared" si="349"/>
        <v>0</v>
      </c>
      <c r="BS105" s="1499">
        <f t="shared" si="349"/>
        <v>0</v>
      </c>
      <c r="BT105" s="1499">
        <f t="shared" si="349"/>
        <v>0</v>
      </c>
      <c r="BU105" s="1499">
        <f t="shared" si="349"/>
        <v>0</v>
      </c>
      <c r="BV105" s="1499">
        <f t="shared" si="349"/>
        <v>0</v>
      </c>
      <c r="BW105" s="1499">
        <f t="shared" si="349"/>
        <v>0</v>
      </c>
      <c r="BX105" s="1499">
        <f t="shared" si="349"/>
        <v>0</v>
      </c>
      <c r="BY105" s="1499">
        <f t="shared" si="349"/>
        <v>0</v>
      </c>
      <c r="BZ105" s="1499">
        <f t="shared" si="349"/>
        <v>0</v>
      </c>
      <c r="CA105" s="1499">
        <f t="shared" si="349"/>
        <v>0</v>
      </c>
      <c r="CB105" s="1499">
        <f t="shared" si="349"/>
        <v>76.576000000000022</v>
      </c>
      <c r="CC105" s="1499">
        <f t="shared" si="349"/>
        <v>156.40499999999997</v>
      </c>
      <c r="CD105" s="1499">
        <f t="shared" si="349"/>
        <v>62.68599999999995</v>
      </c>
      <c r="CE105" s="1499">
        <f t="shared" si="349"/>
        <v>183.87099999999998</v>
      </c>
      <c r="CF105" s="1499">
        <f t="shared" si="349"/>
        <v>48.349999999999923</v>
      </c>
      <c r="CG105" s="1499">
        <f t="shared" si="349"/>
        <v>109.86300000000003</v>
      </c>
      <c r="CH105" s="1499">
        <f t="shared" si="349"/>
        <v>165.54600000000011</v>
      </c>
      <c r="CI105" s="1499">
        <f t="shared" si="349"/>
        <v>98.64700000000002</v>
      </c>
      <c r="CJ105" s="1499">
        <f t="shared" si="349"/>
        <v>145.26900000000001</v>
      </c>
      <c r="CK105" s="1499">
        <f t="shared" ref="CK105:CQ105" si="350">SUM(CK103:CK104)</f>
        <v>72.946000000000055</v>
      </c>
      <c r="CL105" s="1499">
        <f t="shared" si="350"/>
        <v>196.666</v>
      </c>
      <c r="CM105" s="1499">
        <f t="shared" si="350"/>
        <v>169.17300000000006</v>
      </c>
      <c r="CN105" s="1499">
        <f t="shared" si="350"/>
        <v>210.43800000000002</v>
      </c>
      <c r="CO105" s="1499">
        <f t="shared" si="350"/>
        <v>185.13299999999992</v>
      </c>
      <c r="CP105" s="1499">
        <f t="shared" si="350"/>
        <v>187.072</v>
      </c>
      <c r="CQ105" s="1499">
        <f t="shared" si="350"/>
        <v>190.11799999999988</v>
      </c>
      <c r="CR105" s="1499">
        <f t="shared" ref="CR105:CU105" si="351">SUM(CR103:CR104)</f>
        <v>72.455000000000013</v>
      </c>
      <c r="CS105" s="1499">
        <f t="shared" si="351"/>
        <v>246.89999999999992</v>
      </c>
      <c r="CT105" s="1499">
        <f t="shared" si="351"/>
        <v>292.57199999999995</v>
      </c>
      <c r="CU105" s="1499">
        <f t="shared" si="351"/>
        <v>262.834</v>
      </c>
      <c r="CV105" s="1499">
        <f>SUM(CV103:CV104)</f>
        <v>224.69900000000013</v>
      </c>
      <c r="CW105" s="1499">
        <f>SUM(CW103:CW104)</f>
        <v>268.60400000000004</v>
      </c>
      <c r="CX105" s="1499">
        <f>SUM(CX103:CX104)</f>
        <v>345.596</v>
      </c>
      <c r="CY105" s="1499">
        <f>SUM(CY103:CY104)</f>
        <v>432.339</v>
      </c>
      <c r="CZ105" s="1499">
        <f t="shared" ref="CZ105:DC105" ca="1" si="352">SUM(CZ103:CZ104)</f>
        <v>349.80145838366673</v>
      </c>
      <c r="DA105" s="1499">
        <f t="shared" ca="1" si="352"/>
        <v>398.1972629237344</v>
      </c>
      <c r="DB105" s="1499">
        <f t="shared" ca="1" si="352"/>
        <v>415.28933944974466</v>
      </c>
      <c r="DC105" s="1499">
        <f t="shared" ca="1" si="352"/>
        <v>434.48149780970761</v>
      </c>
      <c r="DE105" s="1048"/>
      <c r="DF105" s="783"/>
      <c r="DG105" s="783"/>
      <c r="DH105" s="783"/>
      <c r="DI105" s="1048"/>
      <c r="DJ105" s="1048"/>
      <c r="DK105" s="1048"/>
      <c r="DL105" s="1048"/>
      <c r="DM105" s="1048"/>
      <c r="DN105" s="1048"/>
      <c r="DO105" s="1048"/>
      <c r="DP105" s="1048"/>
      <c r="DQ105" s="1048"/>
      <c r="DR105" s="1048"/>
      <c r="DS105" s="1048"/>
      <c r="DT105" s="1048"/>
      <c r="DU105" s="1048"/>
      <c r="DV105" s="1048"/>
      <c r="DW105" s="1048"/>
      <c r="DX105" s="1048"/>
      <c r="DY105" s="1048"/>
      <c r="DZ105" s="1048"/>
      <c r="EA105" s="1048"/>
      <c r="EB105" s="1048"/>
      <c r="EC105" s="1048"/>
      <c r="ED105" s="1048"/>
      <c r="EE105" s="1048"/>
      <c r="EF105" s="1048"/>
      <c r="EG105" s="1048"/>
      <c r="EH105" s="1048"/>
      <c r="EI105" s="1048"/>
      <c r="EJ105" s="1048"/>
      <c r="EK105" s="1048"/>
      <c r="EL105" s="1048"/>
      <c r="EM105" s="1048"/>
      <c r="EN105" s="1048"/>
      <c r="EO105" s="1048"/>
      <c r="EP105" s="1048"/>
      <c r="EQ105" s="1048"/>
      <c r="ER105" s="1048"/>
      <c r="ES105" s="1048"/>
      <c r="ET105" s="1048"/>
      <c r="EU105" s="1913"/>
      <c r="FB105" s="15"/>
      <c r="FC105" s="15"/>
      <c r="FD105" s="15"/>
    </row>
    <row r="106" spans="1:160" s="247" customFormat="1">
      <c r="B106" s="151" t="s">
        <v>1431</v>
      </c>
      <c r="C106" s="395"/>
      <c r="D106" s="395"/>
      <c r="E106" s="395"/>
      <c r="F106" s="395"/>
      <c r="G106" s="395"/>
      <c r="H106" s="395"/>
      <c r="I106" s="395"/>
      <c r="J106" s="395"/>
      <c r="K106" s="395"/>
      <c r="L106" s="395"/>
      <c r="M106" s="395"/>
      <c r="N106" s="1733"/>
      <c r="O106" s="1733">
        <f>+IS!O83</f>
        <v>43.741999999999997</v>
      </c>
      <c r="P106" s="1733">
        <f>+IS!P83</f>
        <v>46.953000000000003</v>
      </c>
      <c r="Q106" s="1733">
        <f>+IS!Q83</f>
        <v>48.001249999999999</v>
      </c>
      <c r="R106" s="1733">
        <f>+IS!R83</f>
        <v>49.432000000000002</v>
      </c>
      <c r="S106" s="1733">
        <f>+IS!S83</f>
        <v>52.340500000000006</v>
      </c>
      <c r="T106" s="1733">
        <f>+IS!T83</f>
        <v>57.767749999999999</v>
      </c>
      <c r="U106" s="1733">
        <f>+IS!U83</f>
        <v>70.11</v>
      </c>
      <c r="V106" s="1733">
        <f>+IS!V83</f>
        <v>76.823499999999996</v>
      </c>
      <c r="W106" s="1733">
        <f ca="1">+IS!W83</f>
        <v>79.834905264946599</v>
      </c>
      <c r="X106" s="1733">
        <f ca="1">+IS!X83</f>
        <v>82.12422117669972</v>
      </c>
      <c r="Y106" s="1733">
        <f ca="1">+IS!Y83</f>
        <v>85.073733361138778</v>
      </c>
      <c r="Z106" s="1733">
        <f ca="1">+IS!Z83</f>
        <v>88.121216961005388</v>
      </c>
      <c r="AA106" s="1733">
        <f ca="1">+IS!AA83</f>
        <v>91.27046928161144</v>
      </c>
      <c r="AB106" s="1733">
        <f ca="1">+IS!AB83</f>
        <v>94.525394752550753</v>
      </c>
      <c r="AC106" s="1733">
        <f ca="1">+IS!AC83</f>
        <v>97.89001048174714</v>
      </c>
      <c r="AD106" s="1733">
        <f ca="1">+IS!AD83</f>
        <v>101.36845187756541</v>
      </c>
      <c r="AE106" s="1497"/>
      <c r="AF106" s="1733"/>
      <c r="AG106" s="1733"/>
      <c r="AH106" s="1733"/>
      <c r="AI106" s="1733"/>
      <c r="AJ106" s="1733"/>
      <c r="AK106" s="1733"/>
      <c r="AL106" s="1733"/>
      <c r="AM106" s="1733"/>
      <c r="AN106" s="1733"/>
      <c r="AO106" s="1733"/>
      <c r="AP106" s="1733"/>
      <c r="AQ106" s="1733"/>
      <c r="AR106" s="1733"/>
      <c r="AS106" s="1733"/>
      <c r="AT106" s="1733"/>
      <c r="AU106" s="1733"/>
      <c r="AV106" s="1733"/>
      <c r="AW106" s="1733"/>
      <c r="AX106" s="1733"/>
      <c r="AY106" s="1733"/>
      <c r="AZ106" s="1733"/>
      <c r="BA106" s="1733"/>
      <c r="BB106" s="1733"/>
      <c r="BC106" s="1733"/>
      <c r="BD106" s="1733"/>
      <c r="BE106" s="1733"/>
      <c r="BF106" s="1733"/>
      <c r="BG106" s="1733"/>
      <c r="BH106" s="1733"/>
      <c r="BI106" s="1733"/>
      <c r="BJ106" s="1733"/>
      <c r="BK106" s="1733"/>
      <c r="BL106" s="1733"/>
      <c r="BM106" s="1733"/>
      <c r="BN106" s="1733"/>
      <c r="BO106" s="1733"/>
      <c r="BP106" s="1733"/>
      <c r="BQ106" s="1733"/>
      <c r="BR106" s="1733"/>
      <c r="BS106" s="1733"/>
      <c r="BT106" s="1733"/>
      <c r="BU106" s="1733"/>
      <c r="BV106" s="1733"/>
      <c r="BW106" s="1733"/>
      <c r="BX106" s="1733"/>
      <c r="BY106" s="1733"/>
      <c r="BZ106" s="1733"/>
      <c r="CA106" s="1733"/>
      <c r="CB106" s="1733">
        <f>+IS!CT83</f>
        <v>46.954999999999998</v>
      </c>
      <c r="CC106" s="1733">
        <f>+IS!CU83</f>
        <v>48.015999999999998</v>
      </c>
      <c r="CD106" s="1733">
        <f>+IS!CV83</f>
        <v>48.360999999999997</v>
      </c>
      <c r="CE106" s="1733">
        <f>+IS!CW83</f>
        <v>48.673000000000002</v>
      </c>
      <c r="CF106" s="1733">
        <f>+IS!CX83</f>
        <v>49.029000000000003</v>
      </c>
      <c r="CG106" s="1733">
        <f>+IS!CY83</f>
        <v>49.378999999999998</v>
      </c>
      <c r="CH106" s="1733">
        <f>+IS!CZ83</f>
        <v>49.555</v>
      </c>
      <c r="CI106" s="1733">
        <f>+IS!DA83</f>
        <v>49.765000000000001</v>
      </c>
      <c r="CJ106" s="1733">
        <f>+IS!DB83</f>
        <v>49.597999999999999</v>
      </c>
      <c r="CK106" s="1733">
        <f>+IS!DC83</f>
        <v>51.332000000000001</v>
      </c>
      <c r="CL106" s="1733">
        <f>+IS!DD83</f>
        <v>53.137</v>
      </c>
      <c r="CM106" s="1733">
        <f>+IS!DE83</f>
        <v>55.295000000000002</v>
      </c>
      <c r="CN106" s="1733">
        <f>+IS!DF83</f>
        <v>56.661000000000001</v>
      </c>
      <c r="CO106" s="1733">
        <f>+IS!DG83</f>
        <v>56.935000000000002</v>
      </c>
      <c r="CP106" s="1733">
        <f>+IS!DH83</f>
        <v>57.082000000000001</v>
      </c>
      <c r="CQ106" s="1733">
        <f>+IS!DI83</f>
        <v>60.393000000000001</v>
      </c>
      <c r="CR106" s="1733">
        <f>+IS!DJ83</f>
        <v>68.132000000000005</v>
      </c>
      <c r="CS106" s="1733">
        <f>+IS!DK83</f>
        <v>69.728999999999999</v>
      </c>
      <c r="CT106" s="1733">
        <f>+IS!DL83</f>
        <v>71.19</v>
      </c>
      <c r="CU106" s="1733">
        <f>+IS!DM83</f>
        <v>71.388999999999996</v>
      </c>
      <c r="CV106" s="1733">
        <f>+IS!DN83</f>
        <v>72.772999999999996</v>
      </c>
      <c r="CW106" s="1733">
        <f>+IS!DO83</f>
        <v>77.923000000000002</v>
      </c>
      <c r="CX106" s="1733">
        <f>+IS!DP83</f>
        <v>78.055000000000007</v>
      </c>
      <c r="CY106" s="1733">
        <f>+IS!DQ83</f>
        <v>78.543000000000006</v>
      </c>
      <c r="CZ106" s="1733">
        <f ca="1">+IS!DR83</f>
        <v>79.208088972284202</v>
      </c>
      <c r="DA106" s="1733">
        <f ca="1">+IS!DS83</f>
        <v>79.624989692545498</v>
      </c>
      <c r="DB106" s="1733">
        <f ca="1">+IS!DT83</f>
        <v>80.043349108146103</v>
      </c>
      <c r="DC106" s="1733">
        <f ca="1">+IS!DU83</f>
        <v>80.463193286810565</v>
      </c>
      <c r="DD106" s="15"/>
      <c r="DE106" s="1048"/>
      <c r="DF106" s="790"/>
      <c r="DG106" s="790"/>
      <c r="DH106" s="790"/>
      <c r="DI106" s="1048"/>
      <c r="DJ106" s="1048"/>
      <c r="DK106" s="1048"/>
      <c r="DL106" s="1048"/>
      <c r="DM106" s="1048"/>
      <c r="DN106" s="1048"/>
      <c r="DO106" s="1048"/>
      <c r="DP106" s="1048"/>
      <c r="DQ106" s="1048"/>
      <c r="DR106" s="1048"/>
      <c r="DS106" s="1048"/>
      <c r="DT106" s="1048"/>
      <c r="DU106" s="1048"/>
      <c r="DV106" s="1048"/>
      <c r="DW106" s="1048"/>
      <c r="DX106" s="1048"/>
      <c r="DY106" s="1048"/>
      <c r="DZ106" s="1048"/>
      <c r="EA106" s="1048"/>
      <c r="EB106" s="1048"/>
      <c r="EC106" s="1048"/>
      <c r="ED106" s="1048"/>
      <c r="EE106" s="1048"/>
      <c r="EF106" s="1048"/>
      <c r="EG106" s="1048"/>
      <c r="EH106" s="1048"/>
      <c r="EI106" s="1048"/>
      <c r="EJ106" s="1048"/>
      <c r="EK106" s="1048"/>
      <c r="EL106" s="1048"/>
      <c r="EM106" s="1048"/>
      <c r="EN106" s="1048"/>
      <c r="EO106" s="1048"/>
      <c r="EP106" s="1048"/>
      <c r="EQ106" s="1048"/>
      <c r="ER106" s="1048"/>
      <c r="ES106" s="1048"/>
      <c r="ET106" s="1048"/>
      <c r="EU106" s="1913"/>
      <c r="EV106"/>
      <c r="EW106"/>
      <c r="EX106"/>
      <c r="EY106"/>
      <c r="EZ106"/>
      <c r="FA106"/>
      <c r="FB106" s="16"/>
      <c r="FC106" s="16"/>
      <c r="FD106" s="16"/>
    </row>
    <row r="107" spans="1:160">
      <c r="B107" s="71" t="s">
        <v>1430</v>
      </c>
      <c r="C107" s="72"/>
      <c r="D107" s="72"/>
      <c r="E107" s="72">
        <f t="shared" ref="E107:N107" si="353">SUM(E104:E105)</f>
        <v>-68.072999999999993</v>
      </c>
      <c r="F107" s="72">
        <f t="shared" si="353"/>
        <v>-68.853999999999971</v>
      </c>
      <c r="G107" s="72">
        <f t="shared" si="353"/>
        <v>-27.508999999999993</v>
      </c>
      <c r="H107" s="72">
        <f t="shared" si="353"/>
        <v>-17.265999999999991</v>
      </c>
      <c r="I107" s="72">
        <f t="shared" si="353"/>
        <v>9.5439999999999898</v>
      </c>
      <c r="J107" s="72">
        <f t="shared" si="353"/>
        <v>26.370999999999995</v>
      </c>
      <c r="K107" s="72">
        <f t="shared" si="353"/>
        <v>12.029999999999962</v>
      </c>
      <c r="L107" s="72">
        <f t="shared" si="353"/>
        <v>36.997999999999976</v>
      </c>
      <c r="M107" s="72">
        <f t="shared" si="353"/>
        <v>132.50200000000007</v>
      </c>
      <c r="N107" s="1499">
        <f t="shared" si="353"/>
        <v>237.33200000000005</v>
      </c>
      <c r="O107" s="1734">
        <f>+O105/O106</f>
        <v>6.1306524621645124</v>
      </c>
      <c r="P107" s="1734">
        <f t="shared" ref="P107:Z107" si="354">+P105/P106</f>
        <v>9.3237279833024491</v>
      </c>
      <c r="Q107" s="1734">
        <f t="shared" si="354"/>
        <v>9.9901148407593539</v>
      </c>
      <c r="R107" s="1734">
        <f t="shared" si="354"/>
        <v>8.5451933969898093</v>
      </c>
      <c r="S107" s="1734">
        <f t="shared" si="354"/>
        <v>11.158739408297592</v>
      </c>
      <c r="T107" s="1734">
        <f>+T105/T106</f>
        <v>13.377031302067326</v>
      </c>
      <c r="U107" s="1734">
        <f>+U105/U106</f>
        <v>12.476979032948224</v>
      </c>
      <c r="V107" s="1734">
        <f>+V105/V106</f>
        <v>16.547514757854046</v>
      </c>
      <c r="W107" s="1734">
        <f ca="1">+W105/W106</f>
        <v>20.013420862270273</v>
      </c>
      <c r="X107" s="1734">
        <f t="shared" ca="1" si="354"/>
        <v>21.074134936385605</v>
      </c>
      <c r="Y107" s="1734">
        <f t="shared" ca="1" si="354"/>
        <v>22.169524328442662</v>
      </c>
      <c r="Z107" s="1734">
        <f t="shared" ca="1" si="354"/>
        <v>23.034910477534531</v>
      </c>
      <c r="AA107" s="1734">
        <f t="shared" ref="AA107:AD107" ca="1" si="355">+AA105/AA106</f>
        <v>23.781839683156122</v>
      </c>
      <c r="AB107" s="1734">
        <f t="shared" ca="1" si="355"/>
        <v>23.973242831379757</v>
      </c>
      <c r="AC107" s="1734">
        <f t="shared" ca="1" si="355"/>
        <v>24.391768574342013</v>
      </c>
      <c r="AD107" s="1734">
        <f t="shared" ca="1" si="355"/>
        <v>25.200419207718184</v>
      </c>
      <c r="AE107" s="1483"/>
      <c r="AF107" s="1500"/>
      <c r="AG107" s="1500"/>
      <c r="AH107" s="1499">
        <f t="shared" ref="AH107:CA107" si="356">SUM(AH104:AH105)</f>
        <v>0</v>
      </c>
      <c r="AI107" s="1499">
        <f t="shared" si="356"/>
        <v>0</v>
      </c>
      <c r="AJ107" s="1499">
        <f t="shared" si="356"/>
        <v>0</v>
      </c>
      <c r="AK107" s="1499">
        <f t="shared" si="356"/>
        <v>0</v>
      </c>
      <c r="AL107" s="1499">
        <f t="shared" si="356"/>
        <v>0</v>
      </c>
      <c r="AM107" s="1499">
        <f t="shared" si="356"/>
        <v>0</v>
      </c>
      <c r="AN107" s="1499">
        <f t="shared" si="356"/>
        <v>0</v>
      </c>
      <c r="AO107" s="1499">
        <f t="shared" si="356"/>
        <v>0</v>
      </c>
      <c r="AP107" s="1499">
        <f t="shared" si="356"/>
        <v>0</v>
      </c>
      <c r="AQ107" s="1499">
        <f t="shared" si="356"/>
        <v>0</v>
      </c>
      <c r="AR107" s="1499">
        <f t="shared" si="356"/>
        <v>0</v>
      </c>
      <c r="AS107" s="1499">
        <f t="shared" si="356"/>
        <v>0</v>
      </c>
      <c r="AT107" s="1499">
        <f t="shared" si="356"/>
        <v>0</v>
      </c>
      <c r="AU107" s="1499">
        <f t="shared" si="356"/>
        <v>0</v>
      </c>
      <c r="AV107" s="1499">
        <f t="shared" si="356"/>
        <v>0</v>
      </c>
      <c r="AW107" s="1499">
        <f t="shared" si="356"/>
        <v>0</v>
      </c>
      <c r="AX107" s="1499">
        <f t="shared" si="356"/>
        <v>0</v>
      </c>
      <c r="AY107" s="1499">
        <f t="shared" si="356"/>
        <v>0</v>
      </c>
      <c r="AZ107" s="1499">
        <f t="shared" si="356"/>
        <v>0</v>
      </c>
      <c r="BA107" s="1499">
        <f t="shared" si="356"/>
        <v>0</v>
      </c>
      <c r="BB107" s="1499">
        <f t="shared" si="356"/>
        <v>0</v>
      </c>
      <c r="BC107" s="1499">
        <f t="shared" si="356"/>
        <v>0</v>
      </c>
      <c r="BD107" s="1499">
        <f t="shared" si="356"/>
        <v>0</v>
      </c>
      <c r="BE107" s="1499">
        <f t="shared" si="356"/>
        <v>0</v>
      </c>
      <c r="BF107" s="1499">
        <f t="shared" si="356"/>
        <v>0</v>
      </c>
      <c r="BG107" s="1499">
        <f t="shared" si="356"/>
        <v>0</v>
      </c>
      <c r="BH107" s="1499">
        <f t="shared" si="356"/>
        <v>0</v>
      </c>
      <c r="BI107" s="1499">
        <f t="shared" si="356"/>
        <v>0</v>
      </c>
      <c r="BJ107" s="1499">
        <f t="shared" si="356"/>
        <v>0</v>
      </c>
      <c r="BK107" s="1499">
        <f t="shared" si="356"/>
        <v>0</v>
      </c>
      <c r="BL107" s="1499">
        <f t="shared" si="356"/>
        <v>0</v>
      </c>
      <c r="BM107" s="1499">
        <f t="shared" si="356"/>
        <v>0</v>
      </c>
      <c r="BN107" s="1499">
        <f t="shared" si="356"/>
        <v>0</v>
      </c>
      <c r="BO107" s="1499">
        <f t="shared" si="356"/>
        <v>0</v>
      </c>
      <c r="BP107" s="1499">
        <f t="shared" si="356"/>
        <v>0</v>
      </c>
      <c r="BQ107" s="1499">
        <f t="shared" si="356"/>
        <v>0</v>
      </c>
      <c r="BR107" s="1499">
        <f t="shared" si="356"/>
        <v>0</v>
      </c>
      <c r="BS107" s="1499">
        <f t="shared" si="356"/>
        <v>0</v>
      </c>
      <c r="BT107" s="1499">
        <f t="shared" si="356"/>
        <v>0</v>
      </c>
      <c r="BU107" s="1499">
        <f t="shared" si="356"/>
        <v>0</v>
      </c>
      <c r="BV107" s="1499">
        <f t="shared" si="356"/>
        <v>0</v>
      </c>
      <c r="BW107" s="1499">
        <f t="shared" si="356"/>
        <v>0</v>
      </c>
      <c r="BX107" s="1499">
        <f t="shared" si="356"/>
        <v>0</v>
      </c>
      <c r="BY107" s="1499">
        <f t="shared" si="356"/>
        <v>0</v>
      </c>
      <c r="BZ107" s="1499">
        <f t="shared" si="356"/>
        <v>0</v>
      </c>
      <c r="CA107" s="1499">
        <f t="shared" si="356"/>
        <v>0</v>
      </c>
      <c r="CB107" s="1734">
        <f t="shared" ref="CB107:CJ107" si="357">+CB105/CB106</f>
        <v>1.6308380364178474</v>
      </c>
      <c r="CC107" s="1734">
        <f t="shared" si="357"/>
        <v>3.2573517160946346</v>
      </c>
      <c r="CD107" s="1734">
        <f t="shared" si="357"/>
        <v>1.2962097557949579</v>
      </c>
      <c r="CE107" s="1734">
        <f t="shared" si="357"/>
        <v>3.7776796170361386</v>
      </c>
      <c r="CF107" s="1734">
        <f t="shared" si="357"/>
        <v>0.98615105345815579</v>
      </c>
      <c r="CG107" s="1734">
        <f t="shared" si="357"/>
        <v>2.2248931732112847</v>
      </c>
      <c r="CH107" s="1734">
        <f t="shared" si="357"/>
        <v>3.3406518010291615</v>
      </c>
      <c r="CI107" s="1734">
        <f t="shared" si="357"/>
        <v>1.9822566060484279</v>
      </c>
      <c r="CJ107" s="1734">
        <f t="shared" si="357"/>
        <v>2.9289285858300738</v>
      </c>
      <c r="CK107" s="1734">
        <f t="shared" ref="CK107:CQ107" si="358">+CK105/CK106</f>
        <v>1.4210628847502542</v>
      </c>
      <c r="CL107" s="1734">
        <f t="shared" si="358"/>
        <v>3.7011122193575097</v>
      </c>
      <c r="CM107" s="1734">
        <f t="shared" si="358"/>
        <v>3.0594628809114757</v>
      </c>
      <c r="CN107" s="1734">
        <f t="shared" si="358"/>
        <v>3.7139831630221849</v>
      </c>
      <c r="CO107" s="1734">
        <f t="shared" si="358"/>
        <v>3.2516553965047845</v>
      </c>
      <c r="CP107" s="1734">
        <f t="shared" si="358"/>
        <v>3.2772502715391894</v>
      </c>
      <c r="CQ107" s="1734">
        <f t="shared" si="358"/>
        <v>3.1480138426638828</v>
      </c>
      <c r="CR107" s="1734">
        <f t="shared" ref="CR107:CU107" si="359">+CR105/CR106</f>
        <v>1.0634503610638173</v>
      </c>
      <c r="CS107" s="1734">
        <f t="shared" si="359"/>
        <v>3.5408510089059062</v>
      </c>
      <c r="CT107" s="1734">
        <f t="shared" si="359"/>
        <v>4.1097345132743355</v>
      </c>
      <c r="CU107" s="1734">
        <f t="shared" si="359"/>
        <v>3.6817156704814469</v>
      </c>
      <c r="CV107" s="1734">
        <f>+CV105/CV106</f>
        <v>3.0876698775644833</v>
      </c>
      <c r="CW107" s="1734">
        <f>+CW105/CW106</f>
        <v>3.4470438766474603</v>
      </c>
      <c r="CX107" s="1734">
        <f>+CX105/CX106</f>
        <v>4.4275959259496505</v>
      </c>
      <c r="CY107" s="1734">
        <f>+CY105/CY106</f>
        <v>5.5044879874718307</v>
      </c>
      <c r="CZ107" s="1734">
        <f t="shared" ref="CZ107:DC107" ca="1" si="360">+CZ105/CZ106</f>
        <v>4.4162340352140825</v>
      </c>
      <c r="DA107" s="1734">
        <f t="shared" ca="1" si="360"/>
        <v>5.000908188010901</v>
      </c>
      <c r="DB107" s="1734">
        <f t="shared" ca="1" si="360"/>
        <v>5.1883053879798267</v>
      </c>
      <c r="DC107" s="1734">
        <f t="shared" ca="1" si="360"/>
        <v>5.399754596626571</v>
      </c>
      <c r="DE107" s="1048"/>
      <c r="DF107" s="783"/>
      <c r="DG107" s="783"/>
      <c r="DH107" s="783"/>
      <c r="DI107" s="1048"/>
      <c r="DJ107" s="1048"/>
      <c r="DK107" s="1048"/>
      <c r="DL107" s="1048"/>
      <c r="DM107" s="1048"/>
      <c r="DN107" s="1048"/>
      <c r="DO107" s="1048"/>
      <c r="DP107" s="1048"/>
      <c r="DQ107" s="1048"/>
      <c r="DR107" s="1048"/>
      <c r="DS107" s="1048"/>
      <c r="DT107" s="1048"/>
      <c r="DU107" s="1048"/>
      <c r="DV107" s="1048"/>
      <c r="DW107" s="1048"/>
      <c r="DX107" s="1048"/>
      <c r="DY107" s="1048"/>
      <c r="DZ107" s="1048"/>
      <c r="EA107" s="1048"/>
      <c r="EB107" s="1048"/>
      <c r="EC107" s="1048"/>
      <c r="ED107" s="1048"/>
      <c r="EE107" s="1048"/>
      <c r="EF107" s="1048"/>
      <c r="EG107" s="1048"/>
      <c r="EH107" s="1048"/>
      <c r="EI107" s="1048"/>
      <c r="EJ107" s="1048"/>
      <c r="EK107" s="1048"/>
      <c r="EL107" s="1048"/>
      <c r="EM107" s="1048"/>
      <c r="EN107" s="1048"/>
      <c r="EO107" s="1048"/>
      <c r="EP107" s="1048"/>
      <c r="EQ107" s="1048"/>
      <c r="ER107" s="1048"/>
      <c r="ES107" s="1048"/>
      <c r="ET107" s="1048"/>
      <c r="EU107" s="1913"/>
      <c r="FB107" s="15"/>
      <c r="FC107" s="15"/>
      <c r="FD107" s="15"/>
    </row>
    <row r="108" spans="1:160" s="15" customFormat="1">
      <c r="B108" s="16"/>
      <c r="C108" s="23"/>
      <c r="F108" s="54"/>
      <c r="G108" s="54"/>
      <c r="H108" s="54"/>
      <c r="I108" s="54"/>
      <c r="J108" s="54"/>
      <c r="K108" s="54"/>
      <c r="L108" s="54"/>
      <c r="M108" s="54"/>
      <c r="N108" s="54"/>
      <c r="O108" s="54"/>
      <c r="P108" s="54"/>
      <c r="Q108" s="54"/>
      <c r="R108" s="54"/>
      <c r="S108" s="54"/>
      <c r="T108" s="54"/>
      <c r="U108" s="54"/>
      <c r="V108" s="54"/>
      <c r="W108" s="54"/>
      <c r="X108" s="54"/>
      <c r="Y108" s="54"/>
      <c r="Z108" s="54"/>
      <c r="AA108" s="54"/>
      <c r="AB108" s="54"/>
      <c r="AC108" s="54"/>
      <c r="AD108" s="54"/>
      <c r="AJ108" s="54"/>
      <c r="AK108" s="54"/>
      <c r="AL108" s="54"/>
      <c r="AM108" s="54"/>
      <c r="AN108" s="54"/>
      <c r="AO108" s="54"/>
      <c r="AP108" s="54"/>
      <c r="AQ108" s="54"/>
      <c r="AR108" s="54"/>
      <c r="AS108" s="54"/>
      <c r="AT108" s="54"/>
      <c r="AU108" s="54"/>
      <c r="AV108" s="54"/>
      <c r="AW108" s="54"/>
      <c r="AX108" s="54"/>
      <c r="AY108" s="54"/>
      <c r="AZ108" s="54"/>
      <c r="BA108" s="54"/>
      <c r="BB108" s="54"/>
      <c r="BC108" s="54"/>
      <c r="BD108" s="54"/>
      <c r="BE108" s="54"/>
      <c r="BF108" s="54"/>
      <c r="BG108" s="54"/>
      <c r="BH108" s="54"/>
      <c r="BI108" s="54"/>
      <c r="BJ108" s="54"/>
      <c r="BK108" s="54"/>
      <c r="BL108" s="54"/>
      <c r="BM108" s="54"/>
      <c r="BN108" s="54"/>
      <c r="BO108" s="54"/>
      <c r="BP108" s="54"/>
      <c r="BQ108" s="54"/>
      <c r="BR108" s="54"/>
      <c r="BS108" s="54"/>
      <c r="BT108" s="54"/>
      <c r="BU108" s="54"/>
      <c r="BV108" s="54"/>
      <c r="BW108" s="54"/>
      <c r="BX108" s="54"/>
      <c r="BY108" s="54"/>
      <c r="BZ108" s="54"/>
      <c r="CA108" s="54"/>
      <c r="CB108" s="54"/>
      <c r="CC108" s="54"/>
      <c r="CD108" s="54"/>
      <c r="CE108" s="54"/>
      <c r="CF108" s="54"/>
      <c r="CG108" s="54"/>
      <c r="CH108" s="54"/>
      <c r="CI108" s="54"/>
      <c r="CJ108" s="54"/>
      <c r="CK108" s="54"/>
      <c r="CL108" s="54"/>
      <c r="CM108" s="54"/>
      <c r="CN108" s="54"/>
      <c r="CO108" s="54"/>
      <c r="CP108" s="54"/>
      <c r="CQ108" s="54"/>
      <c r="CR108" s="54"/>
      <c r="CS108" s="54"/>
      <c r="CT108" s="54"/>
      <c r="CU108" s="54"/>
      <c r="CV108" s="54"/>
      <c r="CW108" s="54"/>
      <c r="CX108" s="54"/>
      <c r="CY108" s="54"/>
      <c r="CZ108" s="54"/>
      <c r="DA108" s="54"/>
      <c r="DB108" s="54"/>
      <c r="DC108" s="54"/>
      <c r="DF108" s="783"/>
      <c r="DG108" s="783"/>
      <c r="DH108" s="783"/>
      <c r="EU108" s="42"/>
      <c r="EV108"/>
      <c r="EW108"/>
      <c r="EX108"/>
      <c r="EY108"/>
      <c r="EZ108"/>
      <c r="FA108"/>
    </row>
    <row r="109" spans="1:160" s="15" customFormat="1">
      <c r="A109" s="1163" t="s">
        <v>604</v>
      </c>
      <c r="B109" s="66" t="s">
        <v>904</v>
      </c>
      <c r="C109" s="59"/>
      <c r="D109" s="60"/>
      <c r="E109" s="60"/>
      <c r="F109" s="60"/>
      <c r="G109" s="60"/>
      <c r="H109" s="60"/>
      <c r="I109" s="60"/>
      <c r="J109" s="60"/>
      <c r="K109" s="60"/>
      <c r="L109" s="59"/>
      <c r="M109" s="404"/>
      <c r="N109" s="59"/>
      <c r="O109" s="59"/>
      <c r="P109" s="59"/>
      <c r="Q109" s="66">
        <f>+Q6</f>
        <v>2012</v>
      </c>
      <c r="R109" s="66">
        <f t="shared" ref="R109:Z109" si="361">+R6</f>
        <v>2013</v>
      </c>
      <c r="S109" s="66">
        <f t="shared" si="361"/>
        <v>2014</v>
      </c>
      <c r="T109" s="711">
        <f t="shared" si="361"/>
        <v>2015</v>
      </c>
      <c r="U109" s="711">
        <f>+U6</f>
        <v>2016</v>
      </c>
      <c r="V109" s="711">
        <f>+V6</f>
        <v>2017</v>
      </c>
      <c r="W109" s="711" t="str">
        <f>+W6</f>
        <v>2018E</v>
      </c>
      <c r="X109" s="66" t="str">
        <f t="shared" si="361"/>
        <v>2019E</v>
      </c>
      <c r="Y109" s="66" t="str">
        <f t="shared" si="361"/>
        <v>2020E</v>
      </c>
      <c r="Z109" s="66" t="str">
        <f t="shared" si="361"/>
        <v>2021E</v>
      </c>
      <c r="AA109" s="66" t="str">
        <f t="shared" ref="AA109:AD109" si="362">+AA6</f>
        <v>2022E</v>
      </c>
      <c r="AB109" s="66" t="str">
        <f t="shared" si="362"/>
        <v>2023E</v>
      </c>
      <c r="AC109" s="66" t="str">
        <f t="shared" si="362"/>
        <v>2024E</v>
      </c>
      <c r="AD109" s="66" t="str">
        <f t="shared" si="362"/>
        <v>2025E</v>
      </c>
      <c r="AF109" s="23"/>
      <c r="AG109" s="23"/>
      <c r="AH109" s="23"/>
      <c r="AI109" s="23"/>
      <c r="AJ109" s="23"/>
      <c r="AK109" s="23"/>
      <c r="AL109" s="23"/>
      <c r="AM109" s="23"/>
      <c r="AN109" s="23"/>
      <c r="AO109" s="23"/>
      <c r="AP109" s="23"/>
      <c r="AQ109" s="23"/>
      <c r="AR109" s="23"/>
      <c r="AS109" s="23"/>
      <c r="AT109" s="23"/>
      <c r="AU109" s="23"/>
      <c r="AV109" s="23"/>
      <c r="AW109" s="23"/>
      <c r="AX109" s="23"/>
      <c r="AY109" s="23"/>
      <c r="AZ109" s="23"/>
      <c r="BA109" s="23"/>
      <c r="BB109" s="23"/>
      <c r="BC109" s="23"/>
      <c r="BD109" s="23"/>
      <c r="BE109" s="23"/>
      <c r="BF109" s="23"/>
      <c r="BG109" s="23"/>
      <c r="BH109" s="23"/>
      <c r="BI109" s="23"/>
      <c r="BJ109" s="23"/>
      <c r="BK109" s="23"/>
      <c r="BL109" s="23"/>
      <c r="BM109" s="23"/>
      <c r="BN109" s="23"/>
      <c r="BO109" s="23"/>
      <c r="BP109" s="23"/>
      <c r="BQ109" s="23"/>
      <c r="BR109" s="23"/>
      <c r="BS109" s="23"/>
      <c r="BT109" s="23"/>
      <c r="BU109" s="23"/>
      <c r="BV109" s="23"/>
      <c r="BW109" s="23"/>
      <c r="BX109" s="23"/>
      <c r="BY109" s="23"/>
      <c r="BZ109" s="23"/>
      <c r="CA109" s="23"/>
      <c r="CB109" s="23"/>
      <c r="CC109" s="23"/>
      <c r="CD109" s="23"/>
      <c r="CE109" s="23"/>
      <c r="CF109" s="23"/>
      <c r="CG109" s="23"/>
      <c r="CH109" s="23"/>
      <c r="CI109" s="23"/>
      <c r="CJ109" s="711" t="str">
        <f t="shared" ref="CJ109:CQ109" si="363">+CJ6</f>
        <v>1Q14</v>
      </c>
      <c r="CK109" s="711" t="str">
        <f t="shared" si="363"/>
        <v>2Q14</v>
      </c>
      <c r="CL109" s="711" t="str">
        <f t="shared" si="363"/>
        <v>3Q14</v>
      </c>
      <c r="CM109" s="711" t="str">
        <f t="shared" si="363"/>
        <v>4Q14</v>
      </c>
      <c r="CN109" s="711" t="str">
        <f t="shared" si="363"/>
        <v>1Q15</v>
      </c>
      <c r="CO109" s="711" t="str">
        <f t="shared" si="363"/>
        <v>2Q15</v>
      </c>
      <c r="CP109" s="711" t="str">
        <f t="shared" si="363"/>
        <v>3Q15</v>
      </c>
      <c r="CQ109" s="711" t="str">
        <f t="shared" si="363"/>
        <v>4Q15</v>
      </c>
      <c r="CR109" s="711" t="str">
        <f t="shared" ref="CR109:CU109" si="364">+CR6</f>
        <v>1Q16</v>
      </c>
      <c r="CS109" s="711" t="str">
        <f t="shared" si="364"/>
        <v>2Q16</v>
      </c>
      <c r="CT109" s="711" t="str">
        <f t="shared" si="364"/>
        <v>3Q16</v>
      </c>
      <c r="CU109" s="711" t="str">
        <f t="shared" si="364"/>
        <v>4Q16</v>
      </c>
      <c r="CV109" s="711" t="str">
        <f>+CV6</f>
        <v>1Q17</v>
      </c>
      <c r="CW109" s="711" t="str">
        <f>+CW6</f>
        <v>2Q17</v>
      </c>
      <c r="CX109" s="711" t="str">
        <f>+CX6</f>
        <v>3Q17</v>
      </c>
      <c r="CY109" s="711" t="str">
        <f>+CY6</f>
        <v>4Q17</v>
      </c>
      <c r="CZ109" s="711" t="str">
        <f t="shared" ref="CZ109:DC109" si="365">+CZ6</f>
        <v>1Q18E</v>
      </c>
      <c r="DA109" s="711" t="str">
        <f t="shared" si="365"/>
        <v>2Q18E</v>
      </c>
      <c r="DB109" s="711" t="str">
        <f t="shared" si="365"/>
        <v>3Q18E</v>
      </c>
      <c r="DC109" s="711" t="str">
        <f t="shared" si="365"/>
        <v>4Q18E</v>
      </c>
      <c r="EA109" s="886"/>
      <c r="EU109" s="42"/>
      <c r="EV109"/>
      <c r="EW109"/>
      <c r="EX109"/>
      <c r="EY109"/>
      <c r="EZ109"/>
      <c r="FA109"/>
    </row>
    <row r="110" spans="1:160" s="15" customFormat="1" ht="12.75" customHeight="1">
      <c r="B110" s="14"/>
      <c r="C110" s="23"/>
      <c r="L110" s="23"/>
      <c r="M110" s="123"/>
      <c r="N110" s="23"/>
      <c r="O110" s="23"/>
      <c r="P110" s="23"/>
      <c r="Q110" s="23"/>
      <c r="R110" s="23"/>
      <c r="S110" s="23"/>
      <c r="T110" s="23"/>
      <c r="U110" s="23"/>
      <c r="V110" s="23"/>
      <c r="W110" s="23"/>
      <c r="X110" s="23"/>
      <c r="Y110" s="23"/>
      <c r="Z110" s="23"/>
      <c r="AA110" s="23"/>
      <c r="AB110" s="23"/>
      <c r="AC110" s="23"/>
      <c r="AD110" s="23"/>
      <c r="AF110" s="23"/>
      <c r="AG110" s="23"/>
      <c r="AH110" s="23"/>
      <c r="AI110" s="23"/>
      <c r="AJ110" s="23"/>
      <c r="AK110" s="23"/>
      <c r="AL110" s="23"/>
      <c r="AM110" s="23"/>
      <c r="AN110" s="23"/>
      <c r="AO110" s="23"/>
      <c r="AP110" s="23"/>
      <c r="AQ110" s="23"/>
      <c r="AR110" s="23"/>
      <c r="AS110" s="23"/>
      <c r="AT110" s="23"/>
      <c r="AU110" s="23"/>
      <c r="AV110" s="23"/>
      <c r="AW110" s="23"/>
      <c r="AX110" s="23"/>
      <c r="AY110" s="23"/>
      <c r="AZ110" s="23"/>
      <c r="BA110" s="23"/>
      <c r="BB110" s="23"/>
      <c r="BC110" s="23"/>
      <c r="BD110" s="23"/>
      <c r="BE110" s="23"/>
      <c r="BF110" s="23"/>
      <c r="BG110" s="23"/>
      <c r="BH110" s="23"/>
      <c r="BI110" s="23"/>
      <c r="BJ110" s="23"/>
      <c r="BK110" s="23"/>
      <c r="BL110" s="23"/>
      <c r="BM110" s="23"/>
      <c r="BN110" s="23"/>
      <c r="BO110" s="23"/>
      <c r="BP110" s="23"/>
      <c r="BQ110" s="23"/>
      <c r="BR110" s="23"/>
      <c r="BS110" s="23"/>
      <c r="BT110" s="23"/>
      <c r="BU110" s="23"/>
      <c r="BV110" s="23"/>
      <c r="BW110" s="23"/>
      <c r="BX110" s="23"/>
      <c r="BY110" s="23"/>
      <c r="BZ110" s="23"/>
      <c r="CA110" s="23"/>
      <c r="CB110" s="23"/>
      <c r="CC110" s="23"/>
      <c r="CD110" s="23"/>
      <c r="CE110" s="23"/>
      <c r="CF110" s="23"/>
      <c r="CG110" s="23"/>
      <c r="CH110" s="23"/>
      <c r="CI110" s="23"/>
      <c r="CJ110" s="23"/>
      <c r="CK110" s="23"/>
      <c r="CL110" s="23"/>
      <c r="CM110" s="23"/>
      <c r="CN110" s="23"/>
      <c r="CO110" s="23"/>
      <c r="CP110" s="23"/>
      <c r="CQ110" s="23"/>
      <c r="CR110" s="23"/>
      <c r="CS110" s="23"/>
      <c r="CT110" s="23"/>
      <c r="CU110" s="23"/>
      <c r="CV110" s="23"/>
      <c r="CW110" s="23"/>
      <c r="CX110" s="23"/>
      <c r="CY110" s="23"/>
      <c r="CZ110" s="23"/>
      <c r="DA110" s="23"/>
      <c r="DB110" s="23"/>
      <c r="DC110" s="23"/>
      <c r="EA110" s="886"/>
      <c r="EU110" s="42"/>
      <c r="EV110"/>
      <c r="EW110"/>
      <c r="EX110"/>
      <c r="EY110"/>
      <c r="EZ110"/>
      <c r="FA110"/>
    </row>
    <row r="111" spans="1:160" s="15" customFormat="1" hidden="1" outlineLevel="1">
      <c r="B111" s="16" t="s">
        <v>905</v>
      </c>
      <c r="C111" s="23"/>
      <c r="F111" s="54"/>
      <c r="G111" s="54"/>
      <c r="H111" s="54"/>
      <c r="I111" s="54"/>
      <c r="J111" s="54"/>
      <c r="K111" s="54"/>
      <c r="L111" s="54"/>
      <c r="M111" s="54"/>
      <c r="N111" s="54"/>
      <c r="O111" s="54"/>
      <c r="P111" s="54"/>
      <c r="Q111" s="54"/>
      <c r="R111" s="54"/>
      <c r="S111" s="54"/>
      <c r="T111" s="54"/>
      <c r="U111" s="54"/>
      <c r="V111" s="54"/>
      <c r="W111" s="54"/>
      <c r="X111" s="54"/>
      <c r="Y111" s="54"/>
      <c r="Z111" s="54"/>
      <c r="AA111" s="54"/>
      <c r="AB111" s="54"/>
      <c r="AC111" s="54"/>
      <c r="AD111" s="54"/>
      <c r="AJ111" s="54"/>
      <c r="AK111" s="54"/>
      <c r="AL111" s="54"/>
      <c r="AM111" s="54"/>
      <c r="AN111" s="54"/>
      <c r="AO111" s="54"/>
      <c r="AP111" s="54"/>
      <c r="AQ111" s="54"/>
      <c r="AR111" s="54"/>
      <c r="AS111" s="54"/>
      <c r="AT111" s="54"/>
      <c r="AU111" s="54"/>
      <c r="AV111" s="54"/>
      <c r="AW111" s="54"/>
      <c r="AX111" s="54"/>
      <c r="AY111" s="54"/>
      <c r="AZ111" s="54"/>
      <c r="BA111" s="54"/>
      <c r="BB111" s="54"/>
      <c r="BC111" s="54"/>
      <c r="BD111" s="54"/>
      <c r="BE111" s="54"/>
      <c r="BF111" s="54"/>
      <c r="BG111" s="54"/>
      <c r="BH111" s="54"/>
      <c r="BI111" s="54"/>
      <c r="BJ111" s="54"/>
      <c r="BK111" s="54"/>
      <c r="BL111" s="54"/>
      <c r="BM111" s="54"/>
      <c r="BN111" s="54"/>
      <c r="BO111" s="54"/>
      <c r="BP111" s="54"/>
      <c r="BQ111" s="54"/>
      <c r="BR111" s="54"/>
      <c r="BS111" s="54"/>
      <c r="BT111" s="54"/>
      <c r="BU111" s="54"/>
      <c r="BV111" s="54"/>
      <c r="BW111" s="54"/>
      <c r="BX111" s="54"/>
      <c r="BY111" s="54"/>
      <c r="BZ111" s="54"/>
      <c r="CA111" s="54"/>
      <c r="CB111" s="54"/>
      <c r="CC111" s="54"/>
      <c r="CD111" s="54"/>
      <c r="CE111" s="54"/>
      <c r="CF111" s="54"/>
      <c r="CG111" s="54"/>
      <c r="CH111" s="54"/>
      <c r="CI111" s="54"/>
      <c r="CJ111" s="54"/>
      <c r="CK111" s="54"/>
      <c r="CL111" s="54"/>
      <c r="CM111" s="54"/>
      <c r="CN111" s="54"/>
      <c r="CO111" s="54"/>
      <c r="CP111" s="54"/>
      <c r="CQ111" s="54"/>
      <c r="CR111" s="54"/>
      <c r="CS111" s="54"/>
      <c r="CT111" s="54"/>
      <c r="CU111" s="54"/>
      <c r="CV111" s="54"/>
      <c r="CW111" s="54"/>
      <c r="CX111" s="54"/>
      <c r="CY111" s="54"/>
      <c r="CZ111" s="54"/>
      <c r="DA111" s="54"/>
      <c r="DB111" s="54"/>
      <c r="DC111" s="54"/>
      <c r="DF111" s="783"/>
      <c r="DG111" s="783"/>
      <c r="DH111" s="783"/>
      <c r="EU111" s="42"/>
      <c r="EV111"/>
      <c r="EW111"/>
      <c r="EX111"/>
      <c r="EY111"/>
      <c r="EZ111"/>
      <c r="FA111"/>
    </row>
    <row r="112" spans="1:160" s="15" customFormat="1" hidden="1" outlineLevel="1">
      <c r="B112" s="1049" t="s">
        <v>906</v>
      </c>
      <c r="C112" s="23"/>
      <c r="F112" s="54"/>
      <c r="G112" s="54"/>
      <c r="H112" s="54"/>
      <c r="I112" s="54"/>
      <c r="J112" s="54"/>
      <c r="K112" s="54"/>
      <c r="L112" s="54"/>
      <c r="M112" s="54"/>
      <c r="N112" s="54"/>
      <c r="O112" s="54"/>
      <c r="P112" s="54"/>
      <c r="Q112" s="54"/>
      <c r="R112" s="54"/>
      <c r="S112" s="54"/>
      <c r="T112" s="54"/>
      <c r="U112" s="54"/>
      <c r="V112" s="54"/>
      <c r="W112" s="54"/>
      <c r="X112" s="54"/>
      <c r="Y112" s="54"/>
      <c r="Z112" s="54"/>
      <c r="AA112" s="54"/>
      <c r="AB112" s="54"/>
      <c r="AC112" s="54"/>
      <c r="AD112" s="54"/>
      <c r="AJ112" s="54"/>
      <c r="AK112" s="54"/>
      <c r="AL112" s="54"/>
      <c r="AM112" s="54"/>
      <c r="AN112" s="54"/>
      <c r="AO112" s="54"/>
      <c r="AP112" s="54"/>
      <c r="AQ112" s="54"/>
      <c r="AR112" s="54"/>
      <c r="AS112" s="54"/>
      <c r="AT112" s="54"/>
      <c r="AU112" s="54"/>
      <c r="AV112" s="54"/>
      <c r="AW112" s="54"/>
      <c r="AX112" s="54"/>
      <c r="AY112" s="54"/>
      <c r="AZ112" s="54"/>
      <c r="BA112" s="54"/>
      <c r="BB112" s="54"/>
      <c r="BC112" s="54"/>
      <c r="BD112" s="54"/>
      <c r="BE112" s="54"/>
      <c r="BF112" s="54"/>
      <c r="BG112" s="54"/>
      <c r="BH112" s="54"/>
      <c r="BI112" s="54"/>
      <c r="BJ112" s="54"/>
      <c r="BK112" s="54"/>
      <c r="BL112" s="54"/>
      <c r="BM112" s="54"/>
      <c r="BN112" s="54"/>
      <c r="BO112" s="54"/>
      <c r="BP112" s="54"/>
      <c r="BQ112" s="54"/>
      <c r="BR112" s="54"/>
      <c r="BS112" s="54"/>
      <c r="BT112" s="54"/>
      <c r="BU112" s="54"/>
      <c r="BV112" s="54"/>
      <c r="BW112" s="54"/>
      <c r="BX112" s="54"/>
      <c r="BY112" s="54"/>
      <c r="BZ112" s="54"/>
      <c r="CA112" s="54"/>
      <c r="CB112" s="54"/>
      <c r="CC112" s="54"/>
      <c r="CD112" s="54"/>
      <c r="CE112" s="54"/>
      <c r="CF112" s="54"/>
      <c r="CG112" s="54"/>
      <c r="CH112" s="54"/>
      <c r="CI112" s="54"/>
      <c r="CJ112" s="54"/>
      <c r="CK112" s="54"/>
      <c r="CL112" s="54"/>
      <c r="CM112" s="54"/>
      <c r="CN112" s="54"/>
      <c r="CO112" s="54"/>
      <c r="CP112" s="54"/>
      <c r="CQ112" s="54"/>
      <c r="CR112" s="54"/>
      <c r="CS112" s="54"/>
      <c r="CT112" s="54"/>
      <c r="CU112" s="54"/>
      <c r="CV112" s="54"/>
      <c r="CW112" s="54"/>
      <c r="CX112" s="54"/>
      <c r="CY112" s="54"/>
      <c r="CZ112" s="54"/>
      <c r="DA112" s="54"/>
      <c r="DB112" s="54"/>
      <c r="DC112" s="54"/>
      <c r="DF112" s="783"/>
      <c r="DG112" s="783"/>
      <c r="DH112" s="783"/>
      <c r="EU112" s="42"/>
      <c r="EV112"/>
      <c r="EW112"/>
      <c r="EX112"/>
      <c r="EY112"/>
      <c r="EZ112"/>
      <c r="FA112"/>
    </row>
    <row r="113" spans="2:191" s="15" customFormat="1" ht="14.25" hidden="1" customHeight="1" outlineLevel="1">
      <c r="B113" s="14" t="s">
        <v>907</v>
      </c>
      <c r="C113" s="195"/>
      <c r="D113" s="195"/>
      <c r="E113" s="195"/>
      <c r="F113" s="195"/>
      <c r="G113" s="195"/>
      <c r="H113" s="195"/>
      <c r="I113" s="195"/>
      <c r="J113" s="195"/>
      <c r="K113" s="195"/>
      <c r="L113" s="195"/>
      <c r="M113" s="195"/>
      <c r="N113" s="195"/>
      <c r="O113" s="195"/>
      <c r="P113" s="195"/>
      <c r="Q113" s="195"/>
      <c r="R113" s="195"/>
      <c r="S113" s="195"/>
      <c r="T113" s="195"/>
      <c r="U113" s="195"/>
      <c r="V113" s="195"/>
      <c r="W113" s="195"/>
      <c r="X113" s="195"/>
      <c r="Y113" s="195"/>
      <c r="Z113" s="195"/>
      <c r="AA113" s="195"/>
      <c r="AB113" s="195"/>
      <c r="AC113" s="195"/>
      <c r="AD113" s="195"/>
      <c r="AH113" s="195"/>
      <c r="AI113" s="195"/>
      <c r="AJ113" s="195"/>
      <c r="AK113" s="195"/>
      <c r="AL113" s="195"/>
      <c r="AM113" s="195"/>
      <c r="AN113" s="195"/>
      <c r="AO113" s="195"/>
      <c r="AP113" s="195"/>
      <c r="AQ113" s="195"/>
      <c r="AR113" s="195"/>
      <c r="AS113" s="195"/>
      <c r="AT113" s="195"/>
      <c r="AU113" s="195"/>
      <c r="AV113" s="195"/>
      <c r="AW113" s="195"/>
      <c r="AX113" s="195"/>
      <c r="AY113" s="195"/>
      <c r="AZ113" s="195"/>
      <c r="BA113" s="195"/>
      <c r="BB113" s="195"/>
      <c r="BC113" s="195"/>
      <c r="BD113" s="195"/>
      <c r="BE113" s="195"/>
      <c r="BF113" s="195"/>
      <c r="BG113" s="195"/>
      <c r="BH113" s="195"/>
      <c r="BI113" s="195"/>
      <c r="BJ113" s="195"/>
      <c r="BK113" s="195"/>
      <c r="BL113" s="195"/>
      <c r="BM113" s="195"/>
      <c r="BN113" s="195"/>
      <c r="BO113" s="195"/>
      <c r="BP113" s="195"/>
      <c r="BQ113" s="195"/>
      <c r="BR113" s="195"/>
      <c r="BS113" s="195"/>
      <c r="BT113" s="195"/>
      <c r="BU113" s="195"/>
      <c r="BV113" s="195"/>
      <c r="BW113" s="195"/>
      <c r="BX113" s="195"/>
      <c r="BY113" s="195"/>
      <c r="BZ113" s="195"/>
      <c r="CA113" s="195"/>
      <c r="CB113" s="195"/>
      <c r="CC113" s="195"/>
      <c r="CD113" s="195"/>
      <c r="CE113" s="195"/>
      <c r="CF113" s="195"/>
      <c r="CG113" s="195"/>
      <c r="CH113" s="195"/>
      <c r="CI113" s="195"/>
      <c r="CJ113" s="195"/>
      <c r="CK113" s="195"/>
      <c r="CL113" s="195"/>
      <c r="CM113" s="195"/>
      <c r="CN113" s="195"/>
      <c r="CO113" s="195"/>
      <c r="CP113" s="195"/>
      <c r="CQ113" s="195"/>
      <c r="CR113" s="195"/>
      <c r="CS113" s="195"/>
      <c r="CT113" s="195"/>
      <c r="CU113" s="195"/>
      <c r="CV113" s="195"/>
      <c r="CW113" s="195"/>
      <c r="CX113" s="195"/>
      <c r="CY113" s="195"/>
      <c r="CZ113" s="195"/>
      <c r="DA113" s="195"/>
      <c r="DB113" s="195"/>
      <c r="DC113" s="195"/>
      <c r="DE113" s="1048"/>
      <c r="DF113" s="783"/>
      <c r="DG113" s="783"/>
      <c r="DH113" s="783"/>
      <c r="DI113" s="1048"/>
      <c r="DJ113" s="1048"/>
      <c r="DK113" s="1048"/>
      <c r="DL113" s="1048"/>
      <c r="DM113" s="1048"/>
      <c r="DN113" s="1048"/>
      <c r="DO113" s="1048"/>
      <c r="DP113" s="1048"/>
      <c r="DQ113" s="1048"/>
      <c r="DR113" s="1048"/>
      <c r="DS113" s="1048"/>
      <c r="DT113" s="1048"/>
      <c r="DU113" s="1048"/>
      <c r="DV113" s="1048"/>
      <c r="DW113" s="1048"/>
      <c r="DX113" s="1048"/>
      <c r="DY113" s="1048"/>
      <c r="DZ113" s="1048"/>
      <c r="EA113" s="1048"/>
      <c r="EB113" s="1048"/>
      <c r="EC113" s="1048"/>
      <c r="ED113" s="1048"/>
      <c r="EE113" s="1048"/>
      <c r="EF113" s="1048"/>
      <c r="EG113" s="1048"/>
      <c r="EH113" s="1048"/>
      <c r="EI113" s="1048"/>
      <c r="EJ113" s="1048"/>
      <c r="EK113" s="1048"/>
      <c r="EL113" s="1048"/>
      <c r="EM113" s="1048"/>
      <c r="EN113" s="1048"/>
      <c r="EO113" s="1048"/>
      <c r="EP113" s="1048"/>
      <c r="EQ113" s="1048"/>
      <c r="ER113" s="1048"/>
      <c r="ES113" s="1048"/>
      <c r="ET113" s="1048"/>
      <c r="EU113" s="1913"/>
      <c r="EV113"/>
      <c r="EW113"/>
      <c r="EX113"/>
      <c r="EY113"/>
      <c r="EZ113"/>
      <c r="FA113"/>
    </row>
    <row r="114" spans="2:191" s="15" customFormat="1" ht="12.75" hidden="1" customHeight="1" outlineLevel="1">
      <c r="B114" s="16" t="s">
        <v>908</v>
      </c>
      <c r="C114" s="23"/>
      <c r="F114" s="54"/>
      <c r="G114" s="54"/>
      <c r="H114" s="54"/>
      <c r="I114" s="54"/>
      <c r="J114" s="54"/>
      <c r="K114" s="54"/>
      <c r="L114" s="54"/>
      <c r="M114" s="54"/>
      <c r="N114" s="54"/>
      <c r="O114" s="54"/>
      <c r="P114" s="54"/>
      <c r="Q114" s="54"/>
      <c r="R114" s="54"/>
      <c r="S114" s="54"/>
      <c r="T114" s="54"/>
      <c r="U114" s="54"/>
      <c r="V114" s="54"/>
      <c r="W114" s="54"/>
      <c r="X114" s="54"/>
      <c r="Y114" s="54"/>
      <c r="Z114" s="54"/>
      <c r="AA114" s="54"/>
      <c r="AB114" s="54"/>
      <c r="AC114" s="54"/>
      <c r="AD114" s="54"/>
      <c r="AJ114" s="54"/>
      <c r="AK114" s="54"/>
      <c r="AL114" s="54"/>
      <c r="AM114" s="54"/>
      <c r="AN114" s="54"/>
      <c r="AO114" s="54"/>
      <c r="AP114" s="54"/>
      <c r="AQ114" s="54"/>
      <c r="AR114" s="54"/>
      <c r="AS114" s="54"/>
      <c r="AT114" s="54"/>
      <c r="AU114" s="54"/>
      <c r="AV114" s="54"/>
      <c r="AW114" s="54"/>
      <c r="AX114" s="54"/>
      <c r="AY114" s="54"/>
      <c r="AZ114" s="54"/>
      <c r="BA114" s="54"/>
      <c r="BB114" s="54"/>
      <c r="BC114" s="54"/>
      <c r="BD114" s="54"/>
      <c r="BE114" s="54"/>
      <c r="BF114" s="54"/>
      <c r="BG114" s="54"/>
      <c r="BH114" s="54"/>
      <c r="BI114" s="54"/>
      <c r="BJ114" s="54"/>
      <c r="BK114" s="54"/>
      <c r="BL114" s="54"/>
      <c r="BM114" s="54"/>
      <c r="BN114" s="54"/>
      <c r="BO114" s="54"/>
      <c r="BP114" s="54"/>
      <c r="BQ114" s="54"/>
      <c r="BR114" s="54"/>
      <c r="BS114" s="54"/>
      <c r="BT114" s="54"/>
      <c r="BU114" s="54"/>
      <c r="BV114" s="54"/>
      <c r="BW114" s="54"/>
      <c r="BX114" s="54"/>
      <c r="BY114" s="54"/>
      <c r="BZ114" s="54"/>
      <c r="CA114" s="54"/>
      <c r="CB114" s="54"/>
      <c r="CC114" s="54"/>
      <c r="CD114" s="54"/>
      <c r="CE114" s="54"/>
      <c r="CF114" s="54"/>
      <c r="CG114" s="54"/>
      <c r="CH114" s="54"/>
      <c r="CI114" s="54"/>
      <c r="CJ114" s="54"/>
      <c r="CK114" s="54"/>
      <c r="CL114" s="54"/>
      <c r="CM114" s="54"/>
      <c r="CN114" s="54"/>
      <c r="CO114" s="54"/>
      <c r="CP114" s="54"/>
      <c r="CQ114" s="54"/>
      <c r="CR114" s="54"/>
      <c r="CS114" s="54"/>
      <c r="CT114" s="54"/>
      <c r="CU114" s="54"/>
      <c r="CV114" s="54"/>
      <c r="CW114" s="54"/>
      <c r="CX114" s="54"/>
      <c r="CY114" s="54"/>
      <c r="CZ114" s="54"/>
      <c r="DA114" s="54"/>
      <c r="DB114" s="54"/>
      <c r="DC114" s="54"/>
      <c r="DF114" s="783"/>
      <c r="DG114" s="783"/>
      <c r="DH114" s="783"/>
      <c r="EU114" s="42"/>
      <c r="EV114"/>
      <c r="EW114"/>
      <c r="EX114"/>
      <c r="EY114"/>
      <c r="EZ114"/>
      <c r="FA114"/>
    </row>
    <row r="115" spans="2:191" s="15" customFormat="1" hidden="1" outlineLevel="1">
      <c r="B115" s="16" t="s">
        <v>909</v>
      </c>
      <c r="C115" s="23"/>
      <c r="F115" s="783"/>
      <c r="G115" s="783"/>
      <c r="H115" s="783"/>
      <c r="I115" s="783"/>
      <c r="J115" s="783"/>
      <c r="K115" s="783"/>
      <c r="L115" s="783"/>
      <c r="M115" s="907"/>
      <c r="N115" s="907"/>
      <c r="O115" s="907"/>
      <c r="P115" s="907"/>
      <c r="Q115" s="907"/>
      <c r="R115" s="1955"/>
      <c r="S115" s="1955"/>
      <c r="T115" s="1955"/>
      <c r="U115" s="1955"/>
      <c r="V115" s="1955"/>
      <c r="W115" s="1955"/>
      <c r="X115" s="783"/>
      <c r="Y115" s="783"/>
      <c r="Z115" s="783"/>
      <c r="AA115" s="783"/>
      <c r="AB115" s="783"/>
      <c r="AC115" s="783"/>
      <c r="AD115" s="783"/>
      <c r="AJ115" s="783"/>
      <c r="AK115" s="783"/>
      <c r="AL115" s="783"/>
      <c r="AM115" s="783"/>
      <c r="AN115" s="783"/>
      <c r="AO115" s="783"/>
      <c r="AP115" s="783"/>
      <c r="AQ115" s="783"/>
      <c r="AR115" s="783"/>
      <c r="AS115" s="783"/>
      <c r="AT115" s="783"/>
      <c r="AU115" s="783"/>
      <c r="AV115" s="783"/>
      <c r="AW115" s="783"/>
      <c r="AX115" s="783"/>
      <c r="AY115" s="783"/>
      <c r="AZ115" s="783"/>
      <c r="BA115" s="783"/>
      <c r="BB115" s="783"/>
      <c r="BC115" s="783"/>
      <c r="BD115" s="783"/>
      <c r="BE115" s="783"/>
      <c r="BF115" s="783"/>
      <c r="BG115" s="783"/>
      <c r="BH115" s="783"/>
      <c r="BI115" s="783"/>
      <c r="BJ115" s="783"/>
      <c r="BK115" s="783"/>
      <c r="BL115" s="783"/>
      <c r="BM115" s="783"/>
      <c r="BN115" s="783"/>
      <c r="BO115" s="783"/>
      <c r="BP115" s="907"/>
      <c r="BQ115" s="907"/>
      <c r="BR115" s="907"/>
      <c r="BS115" s="907"/>
      <c r="BT115" s="907"/>
      <c r="BU115" s="907"/>
      <c r="BV115" s="907"/>
      <c r="BW115" s="907"/>
      <c r="BX115" s="907"/>
      <c r="BY115" s="907"/>
      <c r="BZ115" s="907"/>
      <c r="CA115" s="907"/>
      <c r="CB115" s="907"/>
      <c r="CC115" s="907"/>
      <c r="CD115" s="907"/>
      <c r="CE115" s="907"/>
      <c r="CF115" s="907"/>
      <c r="CG115" s="907"/>
      <c r="CH115" s="907"/>
      <c r="CI115" s="907"/>
      <c r="CJ115" s="907"/>
      <c r="CK115" s="907"/>
      <c r="CL115" s="907"/>
      <c r="CM115" s="907"/>
      <c r="CN115" s="907"/>
      <c r="CO115" s="907"/>
      <c r="CP115" s="907"/>
      <c r="CQ115" s="907"/>
      <c r="CR115" s="907"/>
      <c r="CS115" s="907"/>
      <c r="CT115" s="907"/>
      <c r="CU115" s="907"/>
      <c r="CV115" s="907"/>
      <c r="CW115" s="907"/>
      <c r="CX115" s="907"/>
      <c r="CY115" s="907"/>
      <c r="CZ115" s="907"/>
      <c r="DA115" s="907"/>
      <c r="DB115" s="907"/>
      <c r="DC115" s="907"/>
      <c r="DF115" s="783"/>
      <c r="DG115" s="783"/>
      <c r="DH115" s="783"/>
      <c r="EU115" s="42"/>
      <c r="EV115"/>
      <c r="EW115"/>
      <c r="EX115"/>
      <c r="EY115"/>
      <c r="EZ115"/>
      <c r="FA115"/>
    </row>
    <row r="116" spans="2:191" s="15" customFormat="1" hidden="1" outlineLevel="1">
      <c r="B116" s="1051"/>
      <c r="C116" s="23"/>
      <c r="F116" s="195"/>
      <c r="G116" s="195"/>
      <c r="H116" s="195"/>
      <c r="I116" s="195"/>
      <c r="J116" s="195"/>
      <c r="K116" s="195"/>
      <c r="L116" s="195"/>
      <c r="M116" s="195"/>
      <c r="N116" s="195"/>
      <c r="O116" s="803"/>
      <c r="P116" s="55"/>
      <c r="Q116" s="55"/>
      <c r="R116" s="195"/>
      <c r="S116" s="195"/>
      <c r="T116" s="195"/>
      <c r="U116" s="195"/>
      <c r="V116" s="195"/>
      <c r="W116" s="195"/>
      <c r="X116" s="195"/>
      <c r="Y116" s="195"/>
      <c r="Z116" s="195"/>
      <c r="AA116" s="195"/>
      <c r="AB116" s="195"/>
      <c r="AC116" s="195"/>
      <c r="AD116" s="195"/>
      <c r="AJ116" s="195"/>
      <c r="AK116" s="195"/>
      <c r="AL116" s="195"/>
      <c r="AM116" s="195"/>
      <c r="AN116" s="195"/>
      <c r="AO116" s="195"/>
      <c r="AP116" s="195"/>
      <c r="AQ116" s="195"/>
      <c r="AR116" s="195"/>
      <c r="AS116" s="195"/>
      <c r="AT116" s="195"/>
      <c r="AU116" s="195"/>
      <c r="AV116" s="195"/>
      <c r="AW116" s="195"/>
      <c r="AX116" s="195"/>
      <c r="AY116" s="195"/>
      <c r="AZ116" s="195"/>
      <c r="BA116" s="195"/>
      <c r="BB116" s="195"/>
      <c r="BC116" s="195"/>
      <c r="BD116" s="195"/>
      <c r="BE116" s="195"/>
      <c r="BF116" s="195"/>
      <c r="BG116" s="195"/>
      <c r="BH116" s="195"/>
      <c r="BI116" s="195"/>
      <c r="BJ116" s="195"/>
      <c r="BK116" s="195"/>
      <c r="BL116" s="195"/>
      <c r="BM116" s="195"/>
      <c r="BN116" s="195"/>
      <c r="BO116" s="195"/>
      <c r="BP116" s="195"/>
      <c r="BQ116" s="195"/>
      <c r="BR116" s="195"/>
      <c r="BS116" s="195"/>
      <c r="BT116" s="195"/>
      <c r="BU116" s="195"/>
      <c r="BV116" s="195"/>
      <c r="BW116" s="195"/>
      <c r="BX116" s="195"/>
      <c r="BY116" s="195"/>
      <c r="BZ116" s="195"/>
      <c r="CA116" s="195"/>
      <c r="CB116" s="195"/>
      <c r="CC116" s="195"/>
      <c r="CD116" s="195"/>
      <c r="CE116" s="195"/>
      <c r="CF116" s="195"/>
      <c r="CG116" s="195"/>
      <c r="CH116" s="195"/>
      <c r="CI116" s="195"/>
      <c r="CJ116" s="195"/>
      <c r="CK116" s="195"/>
      <c r="CL116" s="195"/>
      <c r="CM116" s="195"/>
      <c r="CN116" s="195"/>
      <c r="CO116" s="195"/>
      <c r="CP116" s="195"/>
      <c r="CQ116" s="195"/>
      <c r="CR116" s="195"/>
      <c r="CS116" s="195"/>
      <c r="CT116" s="195"/>
      <c r="CU116" s="195"/>
      <c r="CV116" s="195"/>
      <c r="CW116" s="195"/>
      <c r="CX116" s="195"/>
      <c r="CY116" s="195"/>
      <c r="CZ116" s="195"/>
      <c r="DA116" s="195"/>
      <c r="DB116" s="195"/>
      <c r="DC116" s="195"/>
      <c r="DF116" s="783"/>
      <c r="DG116" s="783"/>
      <c r="DH116" s="783"/>
      <c r="EU116" s="42"/>
      <c r="EV116"/>
      <c r="EW116"/>
      <c r="EX116"/>
      <c r="EY116"/>
      <c r="EZ116"/>
      <c r="FA116"/>
    </row>
    <row r="117" spans="2:191" s="15" customFormat="1" hidden="1" outlineLevel="1">
      <c r="B117" s="857" t="s">
        <v>907</v>
      </c>
      <c r="C117" s="23"/>
      <c r="F117" s="195"/>
      <c r="G117" s="195"/>
      <c r="H117" s="195"/>
      <c r="I117" s="195"/>
      <c r="J117" s="195"/>
      <c r="K117" s="195"/>
      <c r="L117" s="195"/>
      <c r="M117" s="195"/>
      <c r="N117" s="195"/>
      <c r="O117" s="1740" t="str">
        <f>+O6</f>
        <v>2010A</v>
      </c>
      <c r="P117" s="1740">
        <f>+P6</f>
        <v>2011</v>
      </c>
      <c r="Q117" s="1740">
        <f>+Q6</f>
        <v>2012</v>
      </c>
      <c r="R117" s="1740">
        <f>+R6</f>
        <v>2013</v>
      </c>
      <c r="S117" s="1740"/>
      <c r="T117" s="1740"/>
      <c r="U117" s="1740"/>
      <c r="V117" s="1740"/>
      <c r="W117" s="1740"/>
      <c r="X117" s="1740"/>
      <c r="Y117" s="1740"/>
      <c r="Z117" s="1740"/>
      <c r="AA117" s="1740"/>
      <c r="AB117" s="1740"/>
      <c r="AC117" s="1740"/>
      <c r="AD117" s="1740"/>
      <c r="AJ117" s="195"/>
      <c r="AK117" s="195"/>
      <c r="AL117" s="195"/>
      <c r="AM117" s="195"/>
      <c r="AN117" s="195"/>
      <c r="AO117" s="195"/>
      <c r="AP117" s="195"/>
      <c r="AQ117" s="195"/>
      <c r="AR117" s="195"/>
      <c r="AS117" s="195"/>
      <c r="AT117" s="195"/>
      <c r="AU117" s="195"/>
      <c r="AV117" s="195"/>
      <c r="AW117" s="195"/>
      <c r="AX117" s="195"/>
      <c r="AY117" s="195"/>
      <c r="AZ117" s="195"/>
      <c r="BA117" s="195"/>
      <c r="BB117" s="195"/>
      <c r="BC117" s="195"/>
      <c r="BD117" s="195"/>
      <c r="BE117" s="195"/>
      <c r="BF117" s="195"/>
      <c r="BG117" s="195"/>
      <c r="BH117" s="195"/>
      <c r="BI117" s="195"/>
      <c r="BJ117" s="195"/>
      <c r="BK117" s="195"/>
      <c r="BL117" s="195"/>
      <c r="BM117" s="195"/>
      <c r="BN117" s="195"/>
      <c r="BO117" s="195"/>
      <c r="BP117" s="195"/>
      <c r="BQ117" s="195"/>
      <c r="BR117" s="195"/>
      <c r="BS117" s="195"/>
      <c r="BT117" s="195"/>
      <c r="BU117" s="195"/>
      <c r="BV117" s="195"/>
      <c r="BW117" s="195"/>
      <c r="BX117" s="195"/>
      <c r="BY117" s="195"/>
      <c r="BZ117" s="195"/>
      <c r="CA117" s="195"/>
      <c r="CB117" s="195"/>
      <c r="CC117" s="195"/>
      <c r="CD117" s="195"/>
      <c r="CE117" s="195"/>
      <c r="CF117" s="1740"/>
      <c r="CG117" s="195"/>
      <c r="CH117" s="195"/>
      <c r="CI117" s="195"/>
      <c r="CJ117" s="195"/>
      <c r="CK117" s="195"/>
      <c r="CL117" s="195"/>
      <c r="CM117" s="195"/>
      <c r="CN117" s="195"/>
      <c r="CO117" s="195"/>
      <c r="CP117" s="195"/>
      <c r="CQ117" s="195"/>
      <c r="CR117" s="195"/>
      <c r="CS117" s="195"/>
      <c r="CT117" s="195"/>
      <c r="CU117" s="195"/>
      <c r="CV117" s="195"/>
      <c r="CW117" s="195"/>
      <c r="CX117" s="195"/>
      <c r="CY117" s="195"/>
      <c r="CZ117" s="195"/>
      <c r="DA117" s="195"/>
      <c r="DB117" s="195"/>
      <c r="DC117" s="195"/>
      <c r="DF117" s="783"/>
      <c r="DG117" s="783"/>
      <c r="DH117" s="783"/>
      <c r="EU117" s="42"/>
      <c r="EV117"/>
      <c r="EW117"/>
      <c r="EX117"/>
      <c r="EY117"/>
      <c r="EZ117"/>
      <c r="FA117"/>
    </row>
    <row r="118" spans="2:191" s="15" customFormat="1" hidden="1" outlineLevel="1">
      <c r="B118" s="1561" t="s">
        <v>1115</v>
      </c>
      <c r="M118" s="124"/>
      <c r="N118" s="1525">
        <f>+IS!N63</f>
        <v>69.43100000000004</v>
      </c>
      <c r="O118" s="1498">
        <f>+IS!O63</f>
        <v>36.880999999999958</v>
      </c>
      <c r="P118" s="1498">
        <f>+IS!P63</f>
        <v>92.610000000000099</v>
      </c>
      <c r="Q118" s="1498">
        <f>+IS!Q63</f>
        <v>143.14399999999989</v>
      </c>
      <c r="R118" s="1498">
        <f>+IS!R63</f>
        <v>96.123000000000019</v>
      </c>
      <c r="S118" s="1498"/>
      <c r="T118" s="1498"/>
      <c r="U118" s="1498"/>
      <c r="V118" s="1498"/>
      <c r="W118" s="1498"/>
      <c r="X118" s="1498"/>
      <c r="Y118" s="1498"/>
      <c r="Z118" s="1498"/>
      <c r="AA118" s="1498"/>
      <c r="AB118" s="1498"/>
      <c r="AC118" s="1498"/>
      <c r="AD118" s="1498"/>
      <c r="CF118" s="1653">
        <f>IS!CX63</f>
        <v>33.283999999999899</v>
      </c>
      <c r="CG118" s="1653">
        <f>IS!CY63</f>
        <v>-25.286999999999992</v>
      </c>
      <c r="CH118" s="1653">
        <f>IS!CZ63</f>
        <v>42.753000000000085</v>
      </c>
      <c r="CI118" s="1653">
        <f>IS!DA63</f>
        <v>45.373000000000033</v>
      </c>
      <c r="CJ118" s="26"/>
      <c r="CK118" s="26"/>
      <c r="CL118" s="26"/>
      <c r="CM118" s="26"/>
      <c r="CN118" s="26"/>
      <c r="CO118" s="26"/>
      <c r="CP118" s="26"/>
      <c r="CQ118" s="26"/>
      <c r="CR118" s="26"/>
      <c r="CS118" s="26"/>
      <c r="CT118" s="26"/>
      <c r="CU118" s="26"/>
      <c r="CV118" s="26"/>
      <c r="CW118" s="26"/>
      <c r="CX118" s="26"/>
      <c r="CY118" s="26"/>
      <c r="DF118" s="783"/>
      <c r="DG118" s="783"/>
      <c r="DH118" s="783"/>
      <c r="EU118" s="42"/>
      <c r="EV118"/>
      <c r="EW118"/>
      <c r="EX118"/>
      <c r="EY118"/>
      <c r="EZ118"/>
      <c r="FA118"/>
    </row>
    <row r="119" spans="2:191" s="15" customFormat="1" hidden="1" outlineLevel="1">
      <c r="B119" s="16" t="s">
        <v>1270</v>
      </c>
      <c r="M119" s="124"/>
      <c r="N119" s="1486">
        <v>0</v>
      </c>
      <c r="O119" s="1486"/>
      <c r="P119" s="1486"/>
      <c r="Q119" s="1723"/>
      <c r="R119" s="1545">
        <f>+SUM(CF119:CI119)</f>
        <v>0.35576877746983904</v>
      </c>
      <c r="S119" s="1723"/>
      <c r="T119" s="1723"/>
      <c r="U119" s="1723"/>
      <c r="V119" s="1723"/>
      <c r="W119" s="1723"/>
      <c r="X119" s="1723"/>
      <c r="Y119" s="1723"/>
      <c r="Z119" s="1723"/>
      <c r="AA119" s="1723"/>
      <c r="AB119" s="1723"/>
      <c r="AC119" s="1723"/>
      <c r="AD119" s="1723"/>
      <c r="CF119" s="1653">
        <f>(-IS!CX57-(IS!CX55*Rev!CF847*0.35))</f>
        <v>5.1948128242170784</v>
      </c>
      <c r="CG119" s="1653">
        <f>(-IS!CY57-(IS!CY55*Rev!CG847*0.35))</f>
        <v>-5.0441060656762149</v>
      </c>
      <c r="CH119" s="1653">
        <f>(-IS!CZ57-(IS!CZ55*Rev!CH847*0.35))</f>
        <v>4.7721065527581423</v>
      </c>
      <c r="CI119" s="1653">
        <f>(-IS!DA57-(IS!DA55*Rev!CI847*0.35))</f>
        <v>-4.5670445338291668</v>
      </c>
      <c r="CJ119" s="26"/>
      <c r="CK119" s="26"/>
      <c r="CL119" s="26"/>
      <c r="CM119" s="26"/>
      <c r="CN119" s="26"/>
      <c r="CO119" s="26"/>
      <c r="CP119" s="26"/>
      <c r="CQ119" s="26"/>
      <c r="CR119" s="26"/>
      <c r="CS119" s="26"/>
      <c r="CT119" s="26"/>
      <c r="CU119" s="26"/>
      <c r="CV119" s="26"/>
      <c r="CW119" s="26"/>
      <c r="CX119" s="26"/>
      <c r="CY119" s="26"/>
      <c r="DF119" s="783"/>
      <c r="DG119" s="783"/>
      <c r="DH119" s="783"/>
      <c r="EU119" s="42"/>
      <c r="EV119"/>
      <c r="EW119"/>
      <c r="EX119"/>
      <c r="EY119"/>
      <c r="EZ119"/>
      <c r="FA119"/>
    </row>
    <row r="120" spans="2:191" s="15" customFormat="1" hidden="1" outlineLevel="1">
      <c r="B120" s="1052" t="s">
        <v>1271</v>
      </c>
      <c r="H120" s="26"/>
      <c r="I120" s="26"/>
      <c r="J120" s="26"/>
      <c r="K120" s="26"/>
      <c r="L120" s="26"/>
      <c r="M120" s="829"/>
      <c r="N120" s="1498">
        <f>BS!N184</f>
        <v>167.97499999999999</v>
      </c>
      <c r="O120" s="1498">
        <f>BS!O184</f>
        <v>237.27700000000002</v>
      </c>
      <c r="P120" s="1498">
        <f>BS!P184</f>
        <v>337.75800000000004</v>
      </c>
      <c r="Q120" s="1498">
        <f>BS!Q184</f>
        <v>398.24599999999998</v>
      </c>
      <c r="R120" s="1498">
        <f>BS!R184</f>
        <v>431.00800000000004</v>
      </c>
      <c r="S120" s="1498"/>
      <c r="T120" s="1498"/>
      <c r="U120" s="1498"/>
      <c r="V120" s="1498"/>
      <c r="W120" s="1498"/>
      <c r="X120" s="1498"/>
      <c r="Y120" s="1498"/>
      <c r="Z120" s="1498"/>
      <c r="AA120" s="1498"/>
      <c r="AB120" s="1498"/>
      <c r="AC120" s="1498"/>
      <c r="AD120" s="1498"/>
      <c r="AF120" s="26"/>
      <c r="AG120" s="26"/>
      <c r="AH120" s="26"/>
      <c r="AI120" s="26"/>
      <c r="AJ120" s="26"/>
      <c r="AK120" s="26"/>
      <c r="AL120" s="26"/>
      <c r="AM120" s="26"/>
      <c r="AN120" s="26"/>
      <c r="AO120" s="26"/>
      <c r="AP120" s="26"/>
      <c r="AQ120" s="26"/>
      <c r="AR120" s="26"/>
      <c r="AS120" s="26"/>
      <c r="AT120" s="26"/>
      <c r="AU120" s="26"/>
      <c r="AV120" s="26"/>
      <c r="AW120" s="26"/>
      <c r="AX120" s="26"/>
      <c r="AY120" s="26"/>
      <c r="AZ120" s="26"/>
      <c r="BA120" s="26"/>
      <c r="BB120" s="26"/>
      <c r="BC120" s="26"/>
      <c r="BD120" s="26"/>
      <c r="BE120" s="26"/>
      <c r="BF120" s="26"/>
      <c r="BG120" s="26"/>
      <c r="BH120" s="26"/>
      <c r="BI120" s="26"/>
      <c r="BJ120" s="26"/>
      <c r="BK120" s="26"/>
      <c r="BL120" s="26"/>
      <c r="BM120" s="26"/>
      <c r="BN120" s="26"/>
      <c r="BO120" s="26"/>
      <c r="BP120" s="26"/>
      <c r="BQ120" s="26"/>
      <c r="BR120" s="26"/>
      <c r="BS120" s="26"/>
      <c r="BT120" s="26"/>
      <c r="BU120" s="26"/>
      <c r="BV120" s="26"/>
      <c r="BW120" s="26"/>
      <c r="BX120" s="26"/>
      <c r="BY120" s="26"/>
      <c r="BZ120" s="26"/>
      <c r="CA120" s="26"/>
      <c r="CB120" s="26"/>
      <c r="CC120" s="26"/>
      <c r="CD120" s="26"/>
      <c r="CE120" s="26"/>
      <c r="CF120" s="1688">
        <f>BS!CF184</f>
        <v>108.60300000000001</v>
      </c>
      <c r="CG120" s="1688">
        <f>BS!CG184</f>
        <v>110.18900000000001</v>
      </c>
      <c r="CH120" s="1688">
        <f>BS!CH184</f>
        <v>105.53399999999999</v>
      </c>
      <c r="CI120" s="1688">
        <f>BS!CI184</f>
        <v>106.68199999999999</v>
      </c>
      <c r="CJ120" s="26"/>
      <c r="CK120" s="26"/>
      <c r="CL120" s="26"/>
      <c r="CM120" s="26"/>
      <c r="CN120" s="26"/>
      <c r="CO120" s="26"/>
      <c r="CP120" s="26"/>
      <c r="CQ120" s="26"/>
      <c r="CR120" s="26"/>
      <c r="CS120" s="26"/>
      <c r="CT120" s="26"/>
      <c r="CU120" s="26"/>
      <c r="CV120" s="26"/>
      <c r="CW120" s="26"/>
      <c r="CX120" s="26"/>
      <c r="CY120" s="26"/>
      <c r="CZ120" s="26"/>
      <c r="DA120" s="26"/>
      <c r="DB120" s="26"/>
      <c r="DC120" s="26"/>
      <c r="DF120" s="783"/>
      <c r="DG120" s="783"/>
      <c r="DH120" s="783"/>
      <c r="EU120" s="42"/>
      <c r="EV120"/>
      <c r="EW120"/>
      <c r="EX120"/>
      <c r="EY120"/>
      <c r="EZ120"/>
      <c r="FA120"/>
    </row>
    <row r="121" spans="2:191" s="15" customFormat="1" hidden="1" outlineLevel="1">
      <c r="B121" s="1029" t="s">
        <v>1272</v>
      </c>
      <c r="H121" s="26"/>
      <c r="I121" s="26"/>
      <c r="J121" s="26"/>
      <c r="K121" s="26"/>
      <c r="L121" s="26"/>
      <c r="M121" s="829"/>
      <c r="N121" s="1525">
        <f>SUM(N118:N120)</f>
        <v>237.40600000000003</v>
      </c>
      <c r="O121" s="1525">
        <f>SUM(O118:O120)</f>
        <v>274.15799999999996</v>
      </c>
      <c r="P121" s="1525">
        <f>SUM(P118:P120)</f>
        <v>430.36800000000017</v>
      </c>
      <c r="Q121" s="1525">
        <f>SUM(Q118:Q120)</f>
        <v>541.38999999999987</v>
      </c>
      <c r="R121" s="1525">
        <f>SUM(R118:R120)</f>
        <v>527.48676877746993</v>
      </c>
      <c r="S121" s="1525"/>
      <c r="T121" s="1525"/>
      <c r="U121" s="1525"/>
      <c r="V121" s="1525"/>
      <c r="W121" s="1525"/>
      <c r="X121" s="1525"/>
      <c r="Y121" s="1525"/>
      <c r="Z121" s="1525"/>
      <c r="AA121" s="1525"/>
      <c r="AB121" s="1525"/>
      <c r="AC121" s="1525"/>
      <c r="AD121" s="1525"/>
      <c r="AF121" s="26"/>
      <c r="AG121" s="26"/>
      <c r="AH121" s="26"/>
      <c r="AI121" s="26"/>
      <c r="AJ121" s="26"/>
      <c r="AK121" s="26"/>
      <c r="AL121" s="26"/>
      <c r="AM121" s="26"/>
      <c r="AN121" s="26"/>
      <c r="AO121" s="26"/>
      <c r="AP121" s="26"/>
      <c r="AQ121" s="26"/>
      <c r="AR121" s="26"/>
      <c r="AS121" s="26"/>
      <c r="AT121" s="26"/>
      <c r="AU121" s="26"/>
      <c r="AV121" s="26"/>
      <c r="AW121" s="26"/>
      <c r="AX121" s="26"/>
      <c r="AY121" s="26"/>
      <c r="AZ121" s="26"/>
      <c r="BA121" s="26"/>
      <c r="BB121" s="26"/>
      <c r="BC121" s="26"/>
      <c r="BD121" s="26"/>
      <c r="BE121" s="26"/>
      <c r="BF121" s="26"/>
      <c r="BG121" s="26"/>
      <c r="BH121" s="26"/>
      <c r="BI121" s="26"/>
      <c r="BJ121" s="26"/>
      <c r="BK121" s="26"/>
      <c r="BL121" s="26"/>
      <c r="BM121" s="26"/>
      <c r="BN121" s="26"/>
      <c r="BO121" s="26"/>
      <c r="BP121" s="26"/>
      <c r="BQ121" s="26"/>
      <c r="BR121" s="26"/>
      <c r="BS121" s="26"/>
      <c r="BT121" s="26"/>
      <c r="BU121" s="26"/>
      <c r="BV121" s="26"/>
      <c r="BW121" s="26"/>
      <c r="BX121" s="26"/>
      <c r="BY121" s="26"/>
      <c r="BZ121" s="26"/>
      <c r="CA121" s="26"/>
      <c r="CB121" s="26"/>
      <c r="CC121" s="26"/>
      <c r="CD121" s="26"/>
      <c r="CE121" s="26"/>
      <c r="CF121" s="1525">
        <f>SUM(CF118:CF120)</f>
        <v>147.081812824217</v>
      </c>
      <c r="CG121" s="1525">
        <f>SUM(CG118:CG120)</f>
        <v>79.857893934323798</v>
      </c>
      <c r="CH121" s="1525">
        <f>SUM(CH118:CH120)</f>
        <v>153.05910655275824</v>
      </c>
      <c r="CI121" s="1525">
        <f>SUM(CI118:CI120)</f>
        <v>147.48795546617086</v>
      </c>
      <c r="CJ121" s="26"/>
      <c r="CK121" s="26"/>
      <c r="CL121" s="26"/>
      <c r="CM121" s="26"/>
      <c r="CN121" s="26"/>
      <c r="CO121" s="26"/>
      <c r="CP121" s="26"/>
      <c r="CQ121" s="26"/>
      <c r="CR121" s="26"/>
      <c r="CS121" s="26"/>
      <c r="CT121" s="26"/>
      <c r="CU121" s="26"/>
      <c r="CV121" s="26"/>
      <c r="CW121" s="26"/>
      <c r="CX121" s="26"/>
      <c r="CY121" s="26"/>
      <c r="CZ121" s="26"/>
      <c r="DA121" s="26"/>
      <c r="DB121" s="26"/>
      <c r="DC121" s="26"/>
      <c r="DF121" s="783"/>
      <c r="DG121" s="783"/>
      <c r="DH121" s="783"/>
      <c r="EU121" s="42"/>
      <c r="EV121"/>
      <c r="EW121"/>
      <c r="EX121"/>
      <c r="EY121"/>
      <c r="EZ121"/>
      <c r="FA121"/>
    </row>
    <row r="122" spans="2:191" s="15" customFormat="1" hidden="1" outlineLevel="1">
      <c r="B122" s="1029" t="s">
        <v>482</v>
      </c>
      <c r="H122" s="26"/>
      <c r="I122" s="26"/>
      <c r="J122" s="26"/>
      <c r="K122" s="26"/>
      <c r="L122" s="26"/>
      <c r="M122" s="829"/>
      <c r="N122" s="829"/>
      <c r="O122" s="768">
        <f>+O121/N121-1</f>
        <v>0.15480653395449107</v>
      </c>
      <c r="P122" s="768">
        <f>+P121/O121-1</f>
        <v>0.56978092924518053</v>
      </c>
      <c r="Q122" s="768">
        <f>+Q121/P121-1</f>
        <v>0.25796992341437952</v>
      </c>
      <c r="R122" s="768">
        <f>+R121/Q121-1</f>
        <v>-2.5680620666303278E-2</v>
      </c>
      <c r="S122" s="768"/>
      <c r="T122" s="768"/>
      <c r="U122" s="768"/>
      <c r="V122" s="768"/>
      <c r="W122" s="768"/>
      <c r="X122" s="768"/>
      <c r="Y122" s="768"/>
      <c r="Z122" s="768"/>
      <c r="AA122" s="768"/>
      <c r="AB122" s="768"/>
      <c r="AC122" s="768"/>
      <c r="AD122" s="768"/>
      <c r="AF122" s="26"/>
      <c r="AG122" s="26"/>
      <c r="AH122" s="26"/>
      <c r="AI122" s="26"/>
      <c r="AJ122" s="26"/>
      <c r="AK122" s="26"/>
      <c r="AL122" s="26"/>
      <c r="AM122" s="26"/>
      <c r="AN122" s="26"/>
      <c r="AO122" s="26"/>
      <c r="AP122" s="26"/>
      <c r="AQ122" s="26"/>
      <c r="AR122" s="26"/>
      <c r="AS122" s="26"/>
      <c r="AT122" s="26"/>
      <c r="AU122" s="26"/>
      <c r="AV122" s="26"/>
      <c r="AW122" s="26"/>
      <c r="AX122" s="26"/>
      <c r="AY122" s="26"/>
      <c r="AZ122" s="26"/>
      <c r="BA122" s="26"/>
      <c r="BB122" s="26"/>
      <c r="BC122" s="26"/>
      <c r="BD122" s="26"/>
      <c r="BE122" s="26"/>
      <c r="BF122" s="26"/>
      <c r="BG122" s="26"/>
      <c r="BH122" s="26"/>
      <c r="BI122" s="26"/>
      <c r="BJ122" s="26"/>
      <c r="BK122" s="26"/>
      <c r="BL122" s="26"/>
      <c r="BM122" s="26"/>
      <c r="BN122" s="26"/>
      <c r="BO122" s="26"/>
      <c r="BP122" s="26"/>
      <c r="BQ122" s="26"/>
      <c r="BR122" s="26"/>
      <c r="BS122" s="26"/>
      <c r="BT122" s="26"/>
      <c r="BU122" s="26"/>
      <c r="BV122" s="26"/>
      <c r="BW122" s="26"/>
      <c r="BX122" s="26"/>
      <c r="BY122" s="26"/>
      <c r="BZ122" s="26"/>
      <c r="CA122" s="26"/>
      <c r="CB122" s="26"/>
      <c r="CC122" s="26"/>
      <c r="CD122" s="26"/>
      <c r="CE122" s="26"/>
      <c r="CF122" s="768"/>
      <c r="CG122" s="26"/>
      <c r="CH122" s="26"/>
      <c r="CI122" s="26"/>
      <c r="CJ122" s="26"/>
      <c r="CK122" s="26"/>
      <c r="CL122" s="26"/>
      <c r="CM122" s="26"/>
      <c r="CN122" s="26"/>
      <c r="CO122" s="26"/>
      <c r="CP122" s="26"/>
      <c r="CQ122" s="26"/>
      <c r="CR122" s="26"/>
      <c r="CS122" s="26"/>
      <c r="CT122" s="26"/>
      <c r="CU122" s="26"/>
      <c r="CV122" s="26"/>
      <c r="CW122" s="26"/>
      <c r="CX122" s="26"/>
      <c r="CY122" s="26"/>
      <c r="CZ122" s="26"/>
      <c r="DA122" s="26"/>
      <c r="DB122" s="26"/>
      <c r="DC122" s="26"/>
      <c r="DF122" s="783"/>
      <c r="DG122" s="783"/>
      <c r="DH122" s="783"/>
      <c r="EU122" s="42"/>
      <c r="EV122"/>
      <c r="EW122"/>
      <c r="EX122"/>
      <c r="EY122"/>
      <c r="EZ122"/>
      <c r="FA122"/>
    </row>
    <row r="123" spans="2:191" s="15" customFormat="1" hidden="1" outlineLevel="1">
      <c r="B123" s="16" t="s">
        <v>419</v>
      </c>
      <c r="H123" s="26"/>
      <c r="I123" s="26"/>
      <c r="J123" s="26"/>
      <c r="K123" s="26"/>
      <c r="L123" s="26"/>
      <c r="M123" s="829"/>
      <c r="N123" s="829"/>
      <c r="O123" s="1525">
        <f>+IS!O83</f>
        <v>43.741999999999997</v>
      </c>
      <c r="P123" s="1525">
        <f>+IS!P82</f>
        <v>48.477250000000005</v>
      </c>
      <c r="Q123" s="1525">
        <f>+IS!Q82</f>
        <v>52.246000000000002</v>
      </c>
      <c r="R123" s="1525">
        <f>+IS!R82</f>
        <v>52.484749999999998</v>
      </c>
      <c r="S123" s="1525"/>
      <c r="T123" s="1525"/>
      <c r="U123" s="1525"/>
      <c r="V123" s="1525"/>
      <c r="W123" s="1525"/>
      <c r="X123" s="1525"/>
      <c r="Y123" s="1525"/>
      <c r="Z123" s="1525"/>
      <c r="AA123" s="1525"/>
      <c r="AB123" s="1525"/>
      <c r="AC123" s="1525"/>
      <c r="AD123" s="1525"/>
      <c r="AF123" s="26"/>
      <c r="AG123" s="26"/>
      <c r="AH123" s="26"/>
      <c r="AI123" s="26"/>
      <c r="AJ123" s="26"/>
      <c r="AK123" s="26"/>
      <c r="AL123" s="26"/>
      <c r="AM123" s="26"/>
      <c r="AN123" s="26"/>
      <c r="AO123" s="26"/>
      <c r="AP123" s="26"/>
      <c r="AQ123" s="26"/>
      <c r="AR123" s="26"/>
      <c r="AS123" s="26"/>
      <c r="AT123" s="26"/>
      <c r="AU123" s="26"/>
      <c r="AV123" s="26"/>
      <c r="AW123" s="26"/>
      <c r="AX123" s="26"/>
      <c r="AY123" s="26"/>
      <c r="AZ123" s="26"/>
      <c r="BA123" s="26"/>
      <c r="BB123" s="26"/>
      <c r="BC123" s="26"/>
      <c r="BD123" s="26"/>
      <c r="BE123" s="26"/>
      <c r="BF123" s="26"/>
      <c r="BG123" s="26"/>
      <c r="BH123" s="26"/>
      <c r="BI123" s="26"/>
      <c r="BJ123" s="26"/>
      <c r="BK123" s="26"/>
      <c r="BL123" s="26"/>
      <c r="BM123" s="26"/>
      <c r="BN123" s="26"/>
      <c r="BO123" s="26"/>
      <c r="BP123" s="26"/>
      <c r="BQ123" s="26"/>
      <c r="BR123" s="26"/>
      <c r="BS123" s="26"/>
      <c r="BT123" s="26"/>
      <c r="BU123" s="26"/>
      <c r="BV123" s="26"/>
      <c r="BW123" s="26"/>
      <c r="BX123" s="26"/>
      <c r="BY123" s="26"/>
      <c r="BZ123" s="26"/>
      <c r="CA123" s="26"/>
      <c r="CB123" s="26"/>
      <c r="CC123" s="26"/>
      <c r="CD123" s="26"/>
      <c r="CE123" s="26"/>
      <c r="CF123" s="1525"/>
      <c r="CG123" s="26"/>
      <c r="CH123" s="26"/>
      <c r="CI123" s="26"/>
      <c r="CJ123" s="26"/>
      <c r="CK123" s="26"/>
      <c r="CL123" s="26"/>
      <c r="CM123" s="26"/>
      <c r="CN123" s="26"/>
      <c r="CO123" s="26"/>
      <c r="CP123" s="26"/>
      <c r="CQ123" s="26"/>
      <c r="CR123" s="26"/>
      <c r="CS123" s="26"/>
      <c r="CT123" s="26"/>
      <c r="CU123" s="26"/>
      <c r="CV123" s="26"/>
      <c r="CW123" s="26"/>
      <c r="CX123" s="26"/>
      <c r="CY123" s="26"/>
      <c r="CZ123" s="26"/>
      <c r="DA123" s="26"/>
      <c r="DB123" s="26"/>
      <c r="DC123" s="26"/>
      <c r="DF123" s="783"/>
      <c r="DG123" s="783"/>
      <c r="DH123" s="783"/>
      <c r="EU123" s="42"/>
      <c r="EV123"/>
      <c r="EW123"/>
      <c r="EX123"/>
      <c r="EY123"/>
      <c r="EZ123"/>
      <c r="FA123"/>
    </row>
    <row r="124" spans="2:191" s="15" customFormat="1" hidden="1" outlineLevel="1">
      <c r="B124" s="16" t="s">
        <v>1273</v>
      </c>
      <c r="H124" s="195"/>
      <c r="I124" s="195"/>
      <c r="J124" s="195"/>
      <c r="K124" s="195"/>
      <c r="L124" s="195"/>
      <c r="M124" s="842"/>
      <c r="N124" s="1563">
        <f>+N121/IS!N82</f>
        <v>5.983617300131062</v>
      </c>
      <c r="O124" s="1563">
        <f>+O121/O123</f>
        <v>6.2676146495359149</v>
      </c>
      <c r="P124" s="1563">
        <f>+P121/P123</f>
        <v>8.8777313069532635</v>
      </c>
      <c r="Q124" s="1563">
        <f>+Q121/Q123</f>
        <v>10.362324388469927</v>
      </c>
      <c r="R124" s="1563">
        <f>+R121/R123</f>
        <v>10.050286393237464</v>
      </c>
      <c r="S124" s="1563"/>
      <c r="T124" s="1563"/>
      <c r="U124" s="1563"/>
      <c r="V124" s="1563"/>
      <c r="W124" s="1563"/>
      <c r="X124" s="1563"/>
      <c r="Y124" s="1563"/>
      <c r="Z124" s="1563"/>
      <c r="AA124" s="1563"/>
      <c r="AB124" s="1563"/>
      <c r="AC124" s="1563"/>
      <c r="AD124" s="1563"/>
      <c r="AF124" s="195"/>
      <c r="AG124" s="195"/>
      <c r="AH124" s="195"/>
      <c r="AI124" s="195"/>
      <c r="AJ124" s="195"/>
      <c r="AK124" s="195"/>
      <c r="AL124" s="195"/>
      <c r="AM124" s="195"/>
      <c r="AN124" s="195"/>
      <c r="AO124" s="195"/>
      <c r="AP124" s="195"/>
      <c r="AQ124" s="195"/>
      <c r="AR124" s="195"/>
      <c r="AS124" s="195"/>
      <c r="AT124" s="195"/>
      <c r="AU124" s="195"/>
      <c r="AV124" s="195"/>
      <c r="AW124" s="195"/>
      <c r="AX124" s="195"/>
      <c r="AY124" s="195"/>
      <c r="AZ124" s="195"/>
      <c r="BA124" s="195"/>
      <c r="BB124" s="195"/>
      <c r="BC124" s="195"/>
      <c r="BD124" s="195"/>
      <c r="BE124" s="195"/>
      <c r="BF124" s="195"/>
      <c r="BG124" s="195"/>
      <c r="BH124" s="195"/>
      <c r="BI124" s="195"/>
      <c r="BJ124" s="195"/>
      <c r="BK124" s="195"/>
      <c r="BL124" s="195"/>
      <c r="BM124" s="195"/>
      <c r="BN124" s="195"/>
      <c r="BO124" s="195"/>
      <c r="BP124" s="195"/>
      <c r="BQ124" s="195"/>
      <c r="BR124" s="195"/>
      <c r="BS124" s="195"/>
      <c r="BT124" s="195"/>
      <c r="BU124" s="195"/>
      <c r="BV124" s="195"/>
      <c r="BW124" s="55"/>
      <c r="BX124" s="55"/>
      <c r="BY124" s="55"/>
      <c r="BZ124" s="195"/>
      <c r="CA124" s="195"/>
      <c r="CB124" s="195"/>
      <c r="CC124" s="195"/>
      <c r="CD124" s="195"/>
      <c r="CE124" s="195"/>
      <c r="CF124" s="1563"/>
      <c r="CG124" s="195"/>
      <c r="CH124" s="195"/>
      <c r="CI124" s="195"/>
      <c r="CJ124" s="195"/>
      <c r="CK124" s="195"/>
      <c r="CL124" s="195"/>
      <c r="CM124" s="195"/>
      <c r="CN124" s="195"/>
      <c r="CO124" s="195"/>
      <c r="CP124" s="195"/>
      <c r="CQ124" s="195"/>
      <c r="CR124" s="195"/>
      <c r="CS124" s="195"/>
      <c r="CT124" s="195"/>
      <c r="CU124" s="195"/>
      <c r="CV124" s="195"/>
      <c r="CW124" s="195"/>
      <c r="CX124" s="195"/>
      <c r="CY124" s="195"/>
      <c r="CZ124" s="195"/>
      <c r="DA124" s="195"/>
      <c r="DB124" s="195"/>
      <c r="DC124" s="195"/>
      <c r="DF124" s="783"/>
      <c r="DG124" s="783"/>
      <c r="DH124" s="783"/>
      <c r="EU124" s="42"/>
      <c r="EV124"/>
      <c r="EW124"/>
      <c r="EX124"/>
      <c r="EY124"/>
      <c r="EZ124"/>
      <c r="FA124"/>
    </row>
    <row r="125" spans="2:191" s="15" customFormat="1" hidden="1" outlineLevel="1">
      <c r="B125" s="876" t="s">
        <v>482</v>
      </c>
      <c r="H125" s="883"/>
      <c r="I125" s="883"/>
      <c r="J125" s="883"/>
      <c r="K125" s="883"/>
      <c r="L125" s="883"/>
      <c r="M125" s="1012"/>
      <c r="N125" s="1012"/>
      <c r="O125" s="768">
        <f>+O124/N124-1</f>
        <v>4.746248550999943E-2</v>
      </c>
      <c r="P125" s="768">
        <f>+P124/O124-1</f>
        <v>0.41644498000696561</v>
      </c>
      <c r="Q125" s="768">
        <f>+Q124/P124-1</f>
        <v>0.16722662921256615</v>
      </c>
      <c r="R125" s="768">
        <f>+R124/Q124-1</f>
        <v>-3.0112741459789261E-2</v>
      </c>
      <c r="S125" s="768"/>
      <c r="T125" s="768"/>
      <c r="U125" s="768"/>
      <c r="V125" s="768"/>
      <c r="W125" s="768"/>
      <c r="X125" s="768"/>
      <c r="Y125" s="768"/>
      <c r="Z125" s="768"/>
      <c r="AA125" s="768"/>
      <c r="AB125" s="768"/>
      <c r="AC125" s="768"/>
      <c r="AD125" s="768"/>
      <c r="CF125" s="768"/>
      <c r="EU125" s="42"/>
      <c r="EV125"/>
      <c r="EW125"/>
      <c r="EX125"/>
      <c r="EY125"/>
      <c r="EZ125"/>
      <c r="FA125"/>
      <c r="FB125" s="961"/>
      <c r="FC125" s="961"/>
      <c r="FD125" s="961"/>
      <c r="FE125" s="961"/>
      <c r="FF125" s="961"/>
      <c r="FG125" s="961"/>
      <c r="FH125" s="961"/>
      <c r="FI125" s="961"/>
      <c r="FJ125" s="961"/>
      <c r="FK125" s="961"/>
      <c r="FL125" s="961"/>
      <c r="FM125" s="961"/>
      <c r="FN125" s="961"/>
      <c r="FO125" s="961"/>
      <c r="FP125" s="961"/>
      <c r="FQ125" s="961"/>
      <c r="FR125" s="961"/>
      <c r="FS125" s="961"/>
      <c r="FT125" s="961"/>
      <c r="FU125" s="961"/>
      <c r="FV125" s="961"/>
      <c r="FW125" s="961"/>
      <c r="FX125" s="961"/>
      <c r="FY125" s="961"/>
      <c r="FZ125" s="961"/>
      <c r="GA125" s="961"/>
      <c r="GB125" s="961"/>
      <c r="GC125" s="961"/>
      <c r="GD125" s="961"/>
      <c r="GE125" s="961"/>
      <c r="GF125" s="961"/>
      <c r="GG125" s="961"/>
      <c r="GH125" s="961"/>
      <c r="GI125" s="961" t="s">
        <v>47</v>
      </c>
    </row>
    <row r="126" spans="2:191" s="15" customFormat="1" hidden="1" outlineLevel="1">
      <c r="M126" s="124"/>
      <c r="N126" s="1012"/>
      <c r="CF126" s="1525">
        <v>130.791</v>
      </c>
      <c r="CG126" s="26">
        <v>74.257999999999996</v>
      </c>
      <c r="CH126" s="26">
        <v>143.667</v>
      </c>
      <c r="CI126" s="26">
        <v>143.21299999999999</v>
      </c>
      <c r="CJ126" s="26"/>
      <c r="CK126" s="26"/>
      <c r="CL126" s="26"/>
      <c r="CM126" s="26"/>
      <c r="CN126" s="26"/>
      <c r="CO126" s="26"/>
      <c r="CP126" s="26"/>
      <c r="CQ126" s="26"/>
      <c r="CR126" s="26"/>
      <c r="CS126" s="26"/>
      <c r="CT126" s="26"/>
      <c r="CU126" s="26"/>
      <c r="CV126" s="26"/>
      <c r="CW126" s="26"/>
      <c r="CX126" s="26"/>
      <c r="CY126" s="26"/>
      <c r="EU126" s="42"/>
      <c r="EV126"/>
      <c r="EW126"/>
      <c r="EX126"/>
      <c r="EY126"/>
      <c r="EZ126"/>
      <c r="FA126"/>
    </row>
    <row r="127" spans="2:191" s="15" customFormat="1" hidden="1" outlineLevel="1">
      <c r="B127" s="857" t="s">
        <v>1326</v>
      </c>
      <c r="M127" s="124"/>
      <c r="N127" s="124"/>
      <c r="DF127" s="783"/>
      <c r="DG127" s="783"/>
      <c r="DH127" s="783"/>
      <c r="EU127" s="42"/>
      <c r="EV127"/>
      <c r="EW127"/>
      <c r="EX127"/>
      <c r="EY127"/>
      <c r="EZ127"/>
      <c r="FA127"/>
    </row>
    <row r="128" spans="2:191" s="15" customFormat="1" hidden="1" outlineLevel="1">
      <c r="B128" s="1052" t="s">
        <v>1272</v>
      </c>
      <c r="H128" s="26"/>
      <c r="I128" s="26"/>
      <c r="J128" s="26"/>
      <c r="K128" s="26"/>
      <c r="L128" s="26"/>
      <c r="M128" s="829"/>
      <c r="N128" s="829">
        <f>+N121</f>
        <v>237.40600000000003</v>
      </c>
      <c r="O128" s="829">
        <f>+O121</f>
        <v>274.15799999999996</v>
      </c>
      <c r="P128" s="829">
        <f>+P121</f>
        <v>430.36800000000017</v>
      </c>
      <c r="Q128" s="829">
        <f>+Q121</f>
        <v>541.38999999999987</v>
      </c>
      <c r="R128" s="829">
        <f>+R121</f>
        <v>527.48676877746993</v>
      </c>
      <c r="S128" s="829"/>
      <c r="T128" s="829"/>
      <c r="U128" s="829"/>
      <c r="V128" s="829"/>
      <c r="W128" s="829"/>
      <c r="X128" s="829"/>
      <c r="Y128" s="829"/>
      <c r="Z128" s="829"/>
      <c r="AA128" s="829"/>
      <c r="AB128" s="829"/>
      <c r="AC128" s="829"/>
      <c r="AD128" s="829"/>
      <c r="AF128" s="26"/>
      <c r="AG128" s="26"/>
      <c r="AH128" s="26"/>
      <c r="AI128" s="26"/>
      <c r="AJ128" s="26"/>
      <c r="AK128" s="26"/>
      <c r="AL128" s="26"/>
      <c r="AM128" s="26"/>
      <c r="AN128" s="26"/>
      <c r="AO128" s="26"/>
      <c r="AP128" s="26"/>
      <c r="AQ128" s="26"/>
      <c r="AR128" s="26"/>
      <c r="AS128" s="26"/>
      <c r="AT128" s="26"/>
      <c r="AU128" s="26"/>
      <c r="AV128" s="26"/>
      <c r="AW128" s="26"/>
      <c r="AX128" s="26"/>
      <c r="AY128" s="26"/>
      <c r="AZ128" s="26"/>
      <c r="BA128" s="26"/>
      <c r="BB128" s="26"/>
      <c r="BC128" s="26"/>
      <c r="BD128" s="26"/>
      <c r="BE128" s="26"/>
      <c r="BF128" s="26"/>
      <c r="BG128" s="26"/>
      <c r="BH128" s="26"/>
      <c r="BI128" s="26"/>
      <c r="BJ128" s="26"/>
      <c r="BK128" s="26"/>
      <c r="BL128" s="26"/>
      <c r="BM128" s="26"/>
      <c r="BN128" s="26"/>
      <c r="BO128" s="26"/>
      <c r="BP128" s="26"/>
      <c r="BQ128" s="26"/>
      <c r="BR128" s="26"/>
      <c r="BS128" s="26"/>
      <c r="BT128" s="26"/>
      <c r="BU128" s="26"/>
      <c r="BV128" s="26"/>
      <c r="BW128" s="26"/>
      <c r="BX128" s="26"/>
      <c r="BY128" s="26"/>
      <c r="BZ128" s="26"/>
      <c r="CA128" s="26"/>
      <c r="CB128" s="26"/>
      <c r="CC128" s="26"/>
      <c r="CD128" s="26"/>
      <c r="CE128" s="26"/>
      <c r="CF128" s="829">
        <f>+CF121</f>
        <v>147.081812824217</v>
      </c>
      <c r="CG128" s="829">
        <f>+CG121</f>
        <v>79.857893934323798</v>
      </c>
      <c r="CH128" s="829">
        <f>+CH121</f>
        <v>153.05910655275824</v>
      </c>
      <c r="CI128" s="829">
        <f>+CI121</f>
        <v>147.48795546617086</v>
      </c>
      <c r="CJ128" s="26"/>
      <c r="CK128" s="26"/>
      <c r="CL128" s="26"/>
      <c r="CM128" s="26"/>
      <c r="CN128" s="26"/>
      <c r="CO128" s="26"/>
      <c r="CP128" s="26"/>
      <c r="CQ128" s="26"/>
      <c r="CR128" s="26"/>
      <c r="CS128" s="26"/>
      <c r="CT128" s="26"/>
      <c r="CU128" s="26"/>
      <c r="CV128" s="26"/>
      <c r="CW128" s="26"/>
      <c r="CX128" s="26"/>
      <c r="CY128" s="26"/>
      <c r="CZ128" s="26"/>
      <c r="DA128" s="26"/>
      <c r="DB128" s="26"/>
      <c r="DC128" s="26"/>
      <c r="DF128" s="783"/>
      <c r="DG128" s="783"/>
      <c r="DH128" s="783"/>
      <c r="EU128" s="42"/>
      <c r="EV128"/>
      <c r="EW128"/>
      <c r="EX128"/>
      <c r="EY128"/>
      <c r="EZ128"/>
      <c r="FA128"/>
    </row>
    <row r="129" spans="1:157" s="15" customFormat="1" hidden="1" outlineLevel="1">
      <c r="B129" s="1029" t="s">
        <v>1296</v>
      </c>
      <c r="H129" s="26"/>
      <c r="I129" s="26"/>
      <c r="J129" s="26"/>
      <c r="K129" s="26"/>
      <c r="L129" s="26"/>
      <c r="M129" s="26"/>
      <c r="N129" s="398">
        <v>0</v>
      </c>
      <c r="O129" s="398">
        <v>0</v>
      </c>
      <c r="P129" s="398">
        <v>0</v>
      </c>
      <c r="Q129" s="398">
        <v>0</v>
      </c>
      <c r="R129" s="398">
        <v>0</v>
      </c>
      <c r="S129" s="2077"/>
      <c r="T129" s="2077"/>
      <c r="U129" s="2077"/>
      <c r="V129" s="2077"/>
      <c r="W129" s="2077"/>
      <c r="X129" s="398"/>
      <c r="Y129" s="398"/>
      <c r="Z129" s="398"/>
      <c r="AA129" s="398"/>
      <c r="AB129" s="398"/>
      <c r="AC129" s="398"/>
      <c r="AD129" s="398"/>
      <c r="AF129" s="26"/>
      <c r="AG129" s="26"/>
      <c r="AH129" s="26"/>
      <c r="AI129" s="26"/>
      <c r="AJ129" s="26"/>
      <c r="AK129" s="26"/>
      <c r="AL129" s="26"/>
      <c r="AM129" s="26"/>
      <c r="AN129" s="26"/>
      <c r="AO129" s="26"/>
      <c r="AP129" s="26"/>
      <c r="AQ129" s="26"/>
      <c r="AR129" s="26"/>
      <c r="AS129" s="26"/>
      <c r="AT129" s="26"/>
      <c r="AU129" s="26"/>
      <c r="AV129" s="26"/>
      <c r="AW129" s="26"/>
      <c r="AX129" s="26"/>
      <c r="AY129" s="26"/>
      <c r="AZ129" s="26"/>
      <c r="BA129" s="26"/>
      <c r="BB129" s="26"/>
      <c r="BC129" s="26"/>
      <c r="BD129" s="26"/>
      <c r="BE129" s="26"/>
      <c r="BF129" s="26"/>
      <c r="BG129" s="26"/>
      <c r="BH129" s="26"/>
      <c r="BI129" s="26"/>
      <c r="BJ129" s="26"/>
      <c r="BK129" s="26"/>
      <c r="BL129" s="26"/>
      <c r="BM129" s="26"/>
      <c r="BN129" s="26"/>
      <c r="BO129" s="26"/>
      <c r="BP129" s="26"/>
      <c r="BQ129" s="26"/>
      <c r="BR129" s="26"/>
      <c r="BS129" s="26"/>
      <c r="BT129" s="26"/>
      <c r="BU129" s="26"/>
      <c r="BV129" s="26"/>
      <c r="BW129" s="26"/>
      <c r="BX129" s="26"/>
      <c r="BY129" s="26"/>
      <c r="BZ129" s="26"/>
      <c r="CA129" s="26"/>
      <c r="CB129" s="26"/>
      <c r="CC129" s="26"/>
      <c r="CD129" s="26"/>
      <c r="CE129" s="26"/>
      <c r="CF129" s="398">
        <v>0</v>
      </c>
      <c r="CG129" s="398">
        <v>0</v>
      </c>
      <c r="CH129" s="398">
        <v>0</v>
      </c>
      <c r="CI129" s="398">
        <v>0</v>
      </c>
      <c r="CJ129" s="26"/>
      <c r="CK129" s="26"/>
      <c r="CL129" s="26"/>
      <c r="CM129" s="26"/>
      <c r="CN129" s="26"/>
      <c r="CO129" s="26"/>
      <c r="CP129" s="26"/>
      <c r="CQ129" s="26"/>
      <c r="CR129" s="26"/>
      <c r="CS129" s="26"/>
      <c r="CT129" s="26"/>
      <c r="CU129" s="26"/>
      <c r="CV129" s="26"/>
      <c r="CW129" s="26"/>
      <c r="CX129" s="26"/>
      <c r="CY129" s="26"/>
      <c r="CZ129" s="26"/>
      <c r="DA129" s="26"/>
      <c r="DB129" s="26"/>
      <c r="DC129" s="26"/>
      <c r="DF129" s="783"/>
      <c r="DG129" s="783"/>
      <c r="DH129" s="783"/>
      <c r="EU129" s="42"/>
      <c r="EV129"/>
      <c r="EW129"/>
      <c r="EX129"/>
      <c r="EY129"/>
      <c r="EZ129"/>
      <c r="FA129"/>
    </row>
    <row r="130" spans="1:157" s="15" customFormat="1" hidden="1" outlineLevel="1">
      <c r="B130" s="1029" t="s">
        <v>1297</v>
      </c>
      <c r="H130" s="26"/>
      <c r="I130" s="26"/>
      <c r="J130" s="26"/>
      <c r="K130" s="26"/>
      <c r="L130" s="26"/>
      <c r="M130" s="829"/>
      <c r="N130" s="1562">
        <v>0</v>
      </c>
      <c r="O130" s="1562">
        <v>0</v>
      </c>
      <c r="P130" s="1562">
        <v>0</v>
      </c>
      <c r="Q130" s="1562">
        <v>0</v>
      </c>
      <c r="R130" s="1562">
        <v>0</v>
      </c>
      <c r="S130" s="2078"/>
      <c r="T130" s="2078"/>
      <c r="U130" s="2078"/>
      <c r="V130" s="2078"/>
      <c r="W130" s="2078"/>
      <c r="X130" s="1562"/>
      <c r="Y130" s="1562"/>
      <c r="Z130" s="1562"/>
      <c r="AA130" s="1562"/>
      <c r="AB130" s="1562"/>
      <c r="AC130" s="1562"/>
      <c r="AD130" s="1562"/>
      <c r="AF130" s="26"/>
      <c r="AG130" s="26"/>
      <c r="AH130" s="26"/>
      <c r="AI130" s="26"/>
      <c r="AJ130" s="26"/>
      <c r="AK130" s="26"/>
      <c r="AL130" s="26"/>
      <c r="AM130" s="26"/>
      <c r="AN130" s="26"/>
      <c r="AO130" s="26"/>
      <c r="AP130" s="26"/>
      <c r="AQ130" s="26"/>
      <c r="AR130" s="26"/>
      <c r="AS130" s="26"/>
      <c r="AT130" s="26"/>
      <c r="AU130" s="26"/>
      <c r="AV130" s="26"/>
      <c r="AW130" s="26"/>
      <c r="AX130" s="26"/>
      <c r="AY130" s="26"/>
      <c r="AZ130" s="26"/>
      <c r="BA130" s="26"/>
      <c r="BB130" s="26"/>
      <c r="BC130" s="26"/>
      <c r="BD130" s="26"/>
      <c r="BE130" s="26"/>
      <c r="BF130" s="26"/>
      <c r="BG130" s="26"/>
      <c r="BH130" s="26"/>
      <c r="BI130" s="26"/>
      <c r="BJ130" s="26"/>
      <c r="BK130" s="26"/>
      <c r="BL130" s="26"/>
      <c r="BM130" s="26"/>
      <c r="BN130" s="26"/>
      <c r="BO130" s="26"/>
      <c r="BP130" s="26"/>
      <c r="BQ130" s="26"/>
      <c r="BR130" s="26"/>
      <c r="BS130" s="26"/>
      <c r="BT130" s="26"/>
      <c r="BU130" s="26"/>
      <c r="BV130" s="26"/>
      <c r="BW130" s="26"/>
      <c r="BX130" s="26"/>
      <c r="BY130" s="26"/>
      <c r="BZ130" s="26"/>
      <c r="CA130" s="26"/>
      <c r="CB130" s="26"/>
      <c r="CC130" s="26"/>
      <c r="CD130" s="26"/>
      <c r="CE130" s="26"/>
      <c r="CF130" s="398">
        <v>0</v>
      </c>
      <c r="CG130" s="398">
        <v>0</v>
      </c>
      <c r="CH130" s="398">
        <v>0</v>
      </c>
      <c r="CI130" s="398">
        <v>0</v>
      </c>
      <c r="CJ130" s="26"/>
      <c r="CK130" s="26"/>
      <c r="CL130" s="26"/>
      <c r="CM130" s="26"/>
      <c r="CN130" s="26"/>
      <c r="CO130" s="26"/>
      <c r="CP130" s="26"/>
      <c r="CQ130" s="26"/>
      <c r="CR130" s="26"/>
      <c r="CS130" s="26"/>
      <c r="CT130" s="26"/>
      <c r="CU130" s="26"/>
      <c r="CV130" s="26"/>
      <c r="CW130" s="26"/>
      <c r="CX130" s="26"/>
      <c r="CY130" s="26"/>
      <c r="CZ130" s="26"/>
      <c r="DA130" s="26"/>
      <c r="DB130" s="26"/>
      <c r="DC130" s="26"/>
      <c r="DF130" s="783"/>
      <c r="DG130" s="783"/>
      <c r="DH130" s="783"/>
      <c r="EU130" s="42"/>
      <c r="EV130"/>
      <c r="EW130"/>
      <c r="EX130"/>
      <c r="EY130"/>
      <c r="EZ130"/>
      <c r="FA130"/>
    </row>
    <row r="131" spans="1:157" s="15" customFormat="1" hidden="1" outlineLevel="1">
      <c r="B131" s="1029" t="s">
        <v>1298</v>
      </c>
      <c r="H131" s="26"/>
      <c r="I131" s="26"/>
      <c r="J131" s="26"/>
      <c r="K131" s="26"/>
      <c r="L131" s="26"/>
      <c r="M131" s="829"/>
      <c r="N131" s="829">
        <f>+IS!N26</f>
        <v>53.055999999999997</v>
      </c>
      <c r="O131" s="829">
        <f>+IS!O26</f>
        <v>67.242999999999995</v>
      </c>
      <c r="P131" s="829">
        <f>+IS!P26</f>
        <v>71.137</v>
      </c>
      <c r="Q131" s="829">
        <f>+IS!Q26</f>
        <v>82.734999999999999</v>
      </c>
      <c r="R131" s="829">
        <f>+IS!R26</f>
        <v>102.94</v>
      </c>
      <c r="S131" s="2079"/>
      <c r="T131" s="2079"/>
      <c r="U131" s="2079"/>
      <c r="V131" s="2079"/>
      <c r="W131" s="2079"/>
      <c r="X131" s="829"/>
      <c r="Y131" s="829"/>
      <c r="Z131" s="829"/>
      <c r="AA131" s="829"/>
      <c r="AB131" s="829"/>
      <c r="AC131" s="829"/>
      <c r="AD131" s="829"/>
      <c r="AF131" s="26"/>
      <c r="AG131" s="26"/>
      <c r="AH131" s="26"/>
      <c r="AI131" s="26"/>
      <c r="AJ131" s="26"/>
      <c r="AK131" s="26"/>
      <c r="AL131" s="26"/>
      <c r="AM131" s="26"/>
      <c r="AN131" s="26"/>
      <c r="AO131" s="26"/>
      <c r="AP131" s="26"/>
      <c r="AQ131" s="26"/>
      <c r="AR131" s="26"/>
      <c r="AS131" s="26"/>
      <c r="AT131" s="26"/>
      <c r="AU131" s="26"/>
      <c r="AV131" s="26"/>
      <c r="AW131" s="26"/>
      <c r="AX131" s="26"/>
      <c r="AY131" s="26"/>
      <c r="AZ131" s="26"/>
      <c r="BA131" s="26"/>
      <c r="BB131" s="26"/>
      <c r="BC131" s="26"/>
      <c r="BD131" s="26"/>
      <c r="BE131" s="26"/>
      <c r="BF131" s="26"/>
      <c r="BG131" s="26"/>
      <c r="BH131" s="26"/>
      <c r="BI131" s="26"/>
      <c r="BJ131" s="26"/>
      <c r="BK131" s="26"/>
      <c r="BL131" s="26"/>
      <c r="BM131" s="26"/>
      <c r="BN131" s="26"/>
      <c r="BO131" s="26"/>
      <c r="BP131" s="26"/>
      <c r="BQ131" s="26"/>
      <c r="BR131" s="26"/>
      <c r="BS131" s="26"/>
      <c r="BT131" s="26"/>
      <c r="BU131" s="26"/>
      <c r="BV131" s="26"/>
      <c r="BW131" s="26"/>
      <c r="BX131" s="26"/>
      <c r="BY131" s="26"/>
      <c r="BZ131" s="26"/>
      <c r="CA131" s="26"/>
      <c r="CB131" s="26"/>
      <c r="CC131" s="26"/>
      <c r="CD131" s="26"/>
      <c r="CE131" s="26"/>
      <c r="CF131" s="829">
        <f>+IS!CX26</f>
        <v>23.836000000000002</v>
      </c>
      <c r="CG131" s="829">
        <f>+IS!CY26</f>
        <v>24.193999999999999</v>
      </c>
      <c r="CH131" s="829">
        <f>+IS!CZ26</f>
        <v>27.28</v>
      </c>
      <c r="CI131" s="829">
        <f>+IS!DA26</f>
        <v>27.630000000000003</v>
      </c>
      <c r="CJ131" s="26"/>
      <c r="CK131" s="26"/>
      <c r="CL131" s="26"/>
      <c r="CM131" s="26"/>
      <c r="CN131" s="26"/>
      <c r="CO131" s="26"/>
      <c r="CP131" s="26"/>
      <c r="CQ131" s="26"/>
      <c r="CR131" s="26"/>
      <c r="CS131" s="26"/>
      <c r="CT131" s="26"/>
      <c r="CU131" s="26"/>
      <c r="CV131" s="26"/>
      <c r="CW131" s="26"/>
      <c r="CX131" s="26"/>
      <c r="CY131" s="26"/>
      <c r="CZ131" s="26"/>
      <c r="DA131" s="26"/>
      <c r="DB131" s="26"/>
      <c r="DC131" s="26"/>
      <c r="DF131" s="783"/>
      <c r="DG131" s="783"/>
      <c r="DH131" s="783"/>
      <c r="EU131" s="42"/>
      <c r="EV131"/>
      <c r="EW131"/>
      <c r="EX131"/>
      <c r="EY131"/>
      <c r="EZ131"/>
      <c r="FA131"/>
    </row>
    <row r="132" spans="1:157" s="16" customFormat="1" hidden="1" outlineLevel="1">
      <c r="B132" s="16" t="s">
        <v>1299</v>
      </c>
      <c r="H132" s="809"/>
      <c r="I132" s="809"/>
      <c r="J132" s="809"/>
      <c r="K132" s="809"/>
      <c r="L132" s="809"/>
      <c r="M132" s="903"/>
      <c r="N132" s="903">
        <f>+BS!N184-CF!N120</f>
        <v>0</v>
      </c>
      <c r="O132" s="903">
        <f>+BS!O184-CF!O120</f>
        <v>0</v>
      </c>
      <c r="P132" s="903">
        <f>+BS!P184-CF!P120</f>
        <v>0</v>
      </c>
      <c r="Q132" s="903">
        <f>+BS!Q184-CF!Q120</f>
        <v>0</v>
      </c>
      <c r="R132" s="903">
        <f>+BS!R184-CF!R120</f>
        <v>0</v>
      </c>
      <c r="S132" s="2080"/>
      <c r="T132" s="2080"/>
      <c r="U132" s="2080"/>
      <c r="V132" s="2080"/>
      <c r="W132" s="2080"/>
      <c r="X132" s="903"/>
      <c r="Y132" s="903"/>
      <c r="Z132" s="903"/>
      <c r="AA132" s="903"/>
      <c r="AB132" s="903"/>
      <c r="AC132" s="903"/>
      <c r="AD132" s="903"/>
      <c r="AF132" s="809"/>
      <c r="AG132" s="809"/>
      <c r="AH132" s="809"/>
      <c r="AI132" s="809"/>
      <c r="AJ132" s="809"/>
      <c r="AK132" s="809"/>
      <c r="AL132" s="809"/>
      <c r="AM132" s="809"/>
      <c r="AN132" s="809"/>
      <c r="AO132" s="809"/>
      <c r="AP132" s="809"/>
      <c r="AQ132" s="809"/>
      <c r="AR132" s="809"/>
      <c r="AS132" s="809"/>
      <c r="AT132" s="809"/>
      <c r="AU132" s="809"/>
      <c r="AV132" s="809"/>
      <c r="AW132" s="809"/>
      <c r="AX132" s="809"/>
      <c r="AY132" s="809"/>
      <c r="AZ132" s="809"/>
      <c r="BA132" s="809"/>
      <c r="BB132" s="809"/>
      <c r="BC132" s="809"/>
      <c r="BD132" s="809"/>
      <c r="BE132" s="809"/>
      <c r="BF132" s="809"/>
      <c r="BG132" s="809"/>
      <c r="BH132" s="809"/>
      <c r="BI132" s="809"/>
      <c r="BJ132" s="809"/>
      <c r="BK132" s="809"/>
      <c r="BL132" s="809"/>
      <c r="BM132" s="809"/>
      <c r="BN132" s="809"/>
      <c r="BO132" s="809"/>
      <c r="BP132" s="809"/>
      <c r="BQ132" s="809"/>
      <c r="BR132" s="809"/>
      <c r="BS132" s="809"/>
      <c r="BT132" s="809"/>
      <c r="BU132" s="809"/>
      <c r="BV132" s="809"/>
      <c r="BW132" s="809"/>
      <c r="BX132" s="809"/>
      <c r="BY132" s="809"/>
      <c r="BZ132" s="809"/>
      <c r="CA132" s="809"/>
      <c r="CB132" s="809"/>
      <c r="CC132" s="809"/>
      <c r="CD132" s="809"/>
      <c r="CE132" s="809"/>
      <c r="CF132" s="903">
        <f>+BS!CF184-CF!CF120</f>
        <v>0</v>
      </c>
      <c r="CG132" s="903">
        <f>+BS!CG184-CF!CG120</f>
        <v>0</v>
      </c>
      <c r="CH132" s="903">
        <f>+BS!CH184-CF!CH120</f>
        <v>0</v>
      </c>
      <c r="CI132" s="903">
        <f>+BS!CI184-CF!CI120</f>
        <v>0</v>
      </c>
      <c r="CJ132" s="809"/>
      <c r="CK132" s="809"/>
      <c r="CL132" s="809"/>
      <c r="CM132" s="809"/>
      <c r="CN132" s="809"/>
      <c r="CO132" s="809"/>
      <c r="CP132" s="809"/>
      <c r="CQ132" s="809"/>
      <c r="CR132" s="809"/>
      <c r="CS132" s="809"/>
      <c r="CT132" s="809"/>
      <c r="CU132" s="809"/>
      <c r="CV132" s="809"/>
      <c r="CW132" s="809"/>
      <c r="CX132" s="809"/>
      <c r="CY132" s="809"/>
      <c r="CZ132" s="809"/>
      <c r="DA132" s="809"/>
      <c r="DB132" s="809"/>
      <c r="DC132" s="809"/>
      <c r="DD132" s="15"/>
      <c r="EU132" s="45"/>
      <c r="EV132"/>
      <c r="EW132"/>
      <c r="EX132"/>
      <c r="EY132"/>
      <c r="EZ132"/>
      <c r="FA132"/>
    </row>
    <row r="133" spans="1:157" s="15" customFormat="1" hidden="1" outlineLevel="1">
      <c r="B133" s="876" t="s">
        <v>1325</v>
      </c>
      <c r="H133" s="883"/>
      <c r="I133" s="883"/>
      <c r="J133" s="883"/>
      <c r="K133" s="883"/>
      <c r="L133" s="883"/>
      <c r="M133" s="1012"/>
      <c r="N133" s="901">
        <f>+N13</f>
        <v>18.791000000000004</v>
      </c>
      <c r="O133" s="1562">
        <v>0</v>
      </c>
      <c r="P133" s="1562">
        <v>0</v>
      </c>
      <c r="Q133" s="1562">
        <v>0</v>
      </c>
      <c r="R133" s="1562">
        <v>0</v>
      </c>
      <c r="S133" s="2078"/>
      <c r="T133" s="2078"/>
      <c r="U133" s="2078"/>
      <c r="V133" s="2078"/>
      <c r="W133" s="2078"/>
      <c r="X133" s="1562"/>
      <c r="Y133" s="1562"/>
      <c r="Z133" s="1562"/>
      <c r="AA133" s="1562"/>
      <c r="AB133" s="1562"/>
      <c r="AC133" s="1562"/>
      <c r="AD133" s="1562"/>
      <c r="CF133" s="1562">
        <v>0</v>
      </c>
      <c r="CG133" s="1562">
        <v>0</v>
      </c>
      <c r="CH133" s="1562">
        <v>0</v>
      </c>
      <c r="CI133" s="1562">
        <v>0</v>
      </c>
      <c r="EU133" s="42"/>
      <c r="EV133"/>
      <c r="EW133"/>
      <c r="EX133"/>
      <c r="EY133"/>
      <c r="EZ133"/>
      <c r="FA133"/>
    </row>
    <row r="134" spans="1:157" s="15" customFormat="1" hidden="1" outlineLevel="1">
      <c r="B134" s="15" t="s">
        <v>1300</v>
      </c>
      <c r="M134" s="124"/>
      <c r="N134" s="1562">
        <v>0</v>
      </c>
      <c r="O134" s="1562">
        <v>0</v>
      </c>
      <c r="P134" s="1562">
        <v>0</v>
      </c>
      <c r="Q134" s="1562">
        <v>0</v>
      </c>
      <c r="R134" s="1562">
        <v>0</v>
      </c>
      <c r="S134" s="1562"/>
      <c r="T134" s="1562"/>
      <c r="U134" s="1562"/>
      <c r="V134" s="1562"/>
      <c r="W134" s="1562"/>
      <c r="X134" s="1562"/>
      <c r="Y134" s="1562"/>
      <c r="Z134" s="1562"/>
      <c r="AA134" s="1562"/>
      <c r="AB134" s="1562"/>
      <c r="AC134" s="1562"/>
      <c r="AD134" s="1562"/>
      <c r="CF134" s="1562">
        <v>0</v>
      </c>
      <c r="CG134" s="1562">
        <v>0</v>
      </c>
      <c r="CH134" s="1562">
        <v>0</v>
      </c>
      <c r="CI134" s="1562">
        <v>0</v>
      </c>
      <c r="EU134" s="42"/>
      <c r="EV134"/>
      <c r="EW134"/>
      <c r="EX134"/>
      <c r="EY134"/>
      <c r="EZ134"/>
      <c r="FA134"/>
    </row>
    <row r="135" spans="1:157" s="15" customFormat="1" hidden="1" outlineLevel="1">
      <c r="B135" s="15" t="s">
        <v>1324</v>
      </c>
      <c r="N135" s="829">
        <f>+IS!N53</f>
        <v>0</v>
      </c>
      <c r="O135" s="829">
        <f>+IS!O53</f>
        <v>9.9809999999999981</v>
      </c>
      <c r="P135" s="829">
        <f>+IS!P53</f>
        <v>0</v>
      </c>
      <c r="Q135" s="829">
        <f>+IS!Q53</f>
        <v>5.2039999999999997</v>
      </c>
      <c r="R135" s="829">
        <f>+IS!R53</f>
        <v>93.602000000000004</v>
      </c>
      <c r="S135" s="829"/>
      <c r="T135" s="829"/>
      <c r="U135" s="829"/>
      <c r="V135" s="829"/>
      <c r="W135" s="829"/>
      <c r="X135" s="829"/>
      <c r="Y135" s="829"/>
      <c r="Z135" s="829"/>
      <c r="AA135" s="829"/>
      <c r="AB135" s="829"/>
      <c r="AC135" s="829"/>
      <c r="AD135" s="829"/>
      <c r="CC135" s="771"/>
      <c r="CD135" s="771"/>
      <c r="CE135" s="771"/>
      <c r="CF135" s="829">
        <f>+IS!CX53</f>
        <v>0</v>
      </c>
      <c r="CG135" s="829">
        <f>+IS!CY53</f>
        <v>93.602000000000004</v>
      </c>
      <c r="CH135" s="829">
        <f>+IS!CZ53</f>
        <v>0</v>
      </c>
      <c r="CI135" s="829">
        <f>+IS!DA53</f>
        <v>0</v>
      </c>
      <c r="CJ135" s="771"/>
      <c r="CK135" s="771"/>
      <c r="CL135" s="771"/>
      <c r="CM135" s="771"/>
      <c r="CN135" s="771"/>
      <c r="CO135" s="771"/>
      <c r="CP135" s="771"/>
      <c r="CQ135" s="771"/>
      <c r="CR135" s="771"/>
      <c r="CS135" s="771"/>
      <c r="CT135" s="771"/>
      <c r="CU135" s="771"/>
      <c r="CV135" s="771"/>
      <c r="CW135" s="771"/>
      <c r="CX135" s="771"/>
      <c r="CY135" s="771"/>
      <c r="CZ135" s="771"/>
      <c r="DA135" s="771"/>
      <c r="DB135" s="771"/>
      <c r="DC135" s="771"/>
      <c r="EU135" s="42"/>
      <c r="EV135"/>
      <c r="EW135"/>
      <c r="EX135"/>
      <c r="EY135"/>
      <c r="EZ135"/>
      <c r="FA135"/>
    </row>
    <row r="136" spans="1:157" hidden="1" outlineLevel="1">
      <c r="A136" s="15"/>
      <c r="B136" s="15" t="s">
        <v>1301</v>
      </c>
      <c r="C136" s="15"/>
      <c r="D136" s="15"/>
      <c r="E136" s="15"/>
      <c r="F136" s="15"/>
      <c r="G136" s="15"/>
      <c r="H136" s="15"/>
      <c r="I136" s="15"/>
      <c r="J136" s="15"/>
      <c r="K136" s="15"/>
      <c r="L136" s="15"/>
      <c r="M136" s="15"/>
      <c r="N136" s="829">
        <f>+IS!N27+IS!N28</f>
        <v>-0.89800000000000058</v>
      </c>
      <c r="O136" s="829">
        <f>+IS!O27+IS!O28</f>
        <v>19.071000000000002</v>
      </c>
      <c r="P136" s="829">
        <f>+IS!P27+IS!P28</f>
        <v>7.0149999999999997</v>
      </c>
      <c r="Q136" s="829">
        <f>+IS!Q27+IS!Q28</f>
        <v>8.8219999999999992</v>
      </c>
      <c r="R136" s="829">
        <f>+IS!R27+IS!R28</f>
        <v>6.0180000000000007</v>
      </c>
      <c r="S136" s="829"/>
      <c r="T136" s="829"/>
      <c r="U136" s="829"/>
      <c r="V136" s="829"/>
      <c r="W136" s="829"/>
      <c r="X136" s="829"/>
      <c r="Y136" s="829"/>
      <c r="Z136" s="829"/>
      <c r="AA136" s="829"/>
      <c r="AB136" s="829"/>
      <c r="AC136" s="829"/>
      <c r="AD136" s="829"/>
      <c r="AF136" s="15"/>
      <c r="AG136" s="15"/>
      <c r="AH136" s="15"/>
      <c r="AI136" s="15"/>
      <c r="AJ136" s="15"/>
      <c r="AK136" s="15"/>
      <c r="AL136" s="15"/>
      <c r="AM136" s="15"/>
      <c r="AN136" s="15"/>
      <c r="AO136" s="15"/>
      <c r="AP136" s="15"/>
      <c r="AQ136" s="15"/>
      <c r="AR136" s="15"/>
      <c r="AS136" s="15"/>
      <c r="AT136" s="15"/>
      <c r="AU136" s="15"/>
      <c r="AV136" s="15"/>
      <c r="AW136" s="15"/>
      <c r="AX136" s="15"/>
      <c r="AY136" s="15"/>
      <c r="AZ136" s="15"/>
      <c r="BA136" s="15"/>
      <c r="BB136" s="15"/>
      <c r="BC136" s="15"/>
      <c r="BD136" s="15"/>
      <c r="BE136" s="15"/>
      <c r="BF136" s="15"/>
      <c r="BG136" s="15"/>
      <c r="BH136" s="15"/>
      <c r="BI136" s="15"/>
      <c r="BJ136" s="15"/>
      <c r="BK136" s="15"/>
      <c r="BL136" s="15"/>
      <c r="BM136" s="15"/>
      <c r="BN136" s="15"/>
      <c r="BO136" s="15"/>
      <c r="BP136" s="15"/>
      <c r="BQ136" s="15"/>
      <c r="BR136" s="15"/>
      <c r="BS136" s="15"/>
      <c r="BT136" s="15"/>
      <c r="BU136" s="15"/>
      <c r="BV136" s="15"/>
      <c r="BW136" s="15"/>
      <c r="BX136" s="15"/>
      <c r="BY136" s="15"/>
      <c r="BZ136" s="15"/>
      <c r="CA136" s="15"/>
      <c r="CB136" s="15"/>
      <c r="CC136" s="885"/>
      <c r="CD136" s="885"/>
      <c r="CE136" s="885"/>
      <c r="CF136" s="829">
        <f>+IS!CX27+IS!CX28</f>
        <v>3.6619999999999999</v>
      </c>
      <c r="CG136" s="829">
        <f>+IS!CY27+IS!CY28</f>
        <v>-2.3109999999999999</v>
      </c>
      <c r="CH136" s="829">
        <f>+IS!CZ27+IS!CZ28</f>
        <v>0.438</v>
      </c>
      <c r="CI136" s="829">
        <f>+IS!DA27+IS!DA28</f>
        <v>4.2290000000000001</v>
      </c>
      <c r="CJ136" s="885"/>
      <c r="CK136" s="885"/>
      <c r="CL136" s="885"/>
      <c r="CM136" s="885"/>
      <c r="CN136" s="885"/>
      <c r="CO136" s="885"/>
      <c r="CP136" s="885"/>
      <c r="CQ136" s="885"/>
      <c r="CR136" s="885"/>
      <c r="CS136" s="885"/>
      <c r="CT136" s="885"/>
      <c r="CU136" s="885"/>
      <c r="CV136" s="885"/>
      <c r="CW136" s="885"/>
      <c r="CX136" s="885"/>
      <c r="CY136" s="885"/>
      <c r="CZ136" s="885"/>
      <c r="DA136" s="885"/>
      <c r="DB136" s="885"/>
      <c r="DC136" s="885"/>
    </row>
    <row r="137" spans="1:157" hidden="1" outlineLevel="1">
      <c r="A137" s="15"/>
      <c r="B137" s="15" t="s">
        <v>1302</v>
      </c>
      <c r="C137" s="15"/>
      <c r="D137" s="15"/>
      <c r="E137" s="15"/>
      <c r="F137" s="15"/>
      <c r="G137" s="15"/>
      <c r="H137" s="15"/>
      <c r="I137" s="15"/>
      <c r="J137" s="15"/>
      <c r="K137" s="15"/>
      <c r="L137" s="15"/>
      <c r="M137" s="15"/>
      <c r="N137" s="1562">
        <v>0</v>
      </c>
      <c r="O137" s="1562">
        <v>0</v>
      </c>
      <c r="P137" s="1562">
        <v>0</v>
      </c>
      <c r="Q137" s="1562">
        <v>0</v>
      </c>
      <c r="R137" s="1562">
        <v>0</v>
      </c>
      <c r="S137" s="1562"/>
      <c r="T137" s="1562"/>
      <c r="U137" s="1562"/>
      <c r="V137" s="1562"/>
      <c r="W137" s="1562"/>
      <c r="X137" s="1562"/>
      <c r="Y137" s="1562"/>
      <c r="Z137" s="1562"/>
      <c r="AA137" s="1562"/>
      <c r="AB137" s="1562"/>
      <c r="AC137" s="1562"/>
      <c r="AD137" s="1562"/>
      <c r="CF137" s="1562">
        <v>0</v>
      </c>
      <c r="CG137" s="1562">
        <v>0</v>
      </c>
      <c r="CH137" s="1562">
        <v>0</v>
      </c>
      <c r="CI137" s="1562">
        <v>0</v>
      </c>
    </row>
    <row r="138" spans="1:157" hidden="1" outlineLevel="1">
      <c r="A138" s="15"/>
      <c r="B138" s="15" t="s">
        <v>1303</v>
      </c>
      <c r="C138" s="1647">
        <v>0.05</v>
      </c>
      <c r="D138" s="15"/>
      <c r="E138" s="15"/>
      <c r="F138" s="15"/>
      <c r="G138" s="15"/>
      <c r="H138" s="15"/>
      <c r="I138" s="15"/>
      <c r="J138" s="15"/>
      <c r="K138" s="15"/>
      <c r="L138" s="15"/>
      <c r="M138" s="15"/>
      <c r="N138" s="829">
        <f>-BS!N127</f>
        <v>-59.08</v>
      </c>
      <c r="O138" s="829">
        <f>-$C$138*IS!O15</f>
        <v>-59.810699999999997</v>
      </c>
      <c r="P138" s="829">
        <f>-$C$138*IS!P15</f>
        <v>-78.489200000000011</v>
      </c>
      <c r="Q138" s="829">
        <f>-$C$138*IS!Q15</f>
        <v>-94.368800000000007</v>
      </c>
      <c r="R138" s="829">
        <f>-$C$138*IS!R15</f>
        <v>-107.63830000000002</v>
      </c>
      <c r="S138" s="829"/>
      <c r="T138" s="829"/>
      <c r="U138" s="829"/>
      <c r="V138" s="829"/>
      <c r="W138" s="829"/>
      <c r="X138" s="829"/>
      <c r="Y138" s="829"/>
      <c r="Z138" s="829"/>
      <c r="AA138" s="829"/>
      <c r="AB138" s="829"/>
      <c r="AC138" s="829"/>
      <c r="AD138" s="829"/>
      <c r="CF138" s="829">
        <f>-$C$138*IS!CX15</f>
        <v>-25.806699999999996</v>
      </c>
      <c r="CG138" s="829">
        <f>-$C$138*IS!CY15</f>
        <v>-26.443550000000002</v>
      </c>
      <c r="CH138" s="829">
        <f>-$C$138*IS!CZ15</f>
        <v>-27.154200000000003</v>
      </c>
      <c r="CI138" s="829">
        <f>-$C$138*IS!DA15</f>
        <v>-28.233850000000004</v>
      </c>
    </row>
    <row r="139" spans="1:157" hidden="1" outlineLevel="1">
      <c r="A139" s="15"/>
      <c r="B139" s="15" t="s">
        <v>1304</v>
      </c>
      <c r="C139" s="15"/>
      <c r="D139" s="15"/>
      <c r="E139" s="15"/>
      <c r="F139" s="15"/>
      <c r="G139" s="15"/>
      <c r="H139" s="15"/>
      <c r="I139" s="15"/>
      <c r="J139" s="15"/>
      <c r="K139" s="15"/>
      <c r="L139" s="15"/>
      <c r="M139" s="15"/>
      <c r="N139" s="26">
        <f>SUM(N128:N138)</f>
        <v>249.27500000000003</v>
      </c>
      <c r="O139" s="26">
        <f>SUM(O128:O138)</f>
        <v>310.64229999999998</v>
      </c>
      <c r="P139" s="26">
        <f>SUM(P128:P138)</f>
        <v>430.03080000000011</v>
      </c>
      <c r="Q139" s="26">
        <f>SUM(Q128:Q138)</f>
        <v>543.78219999999988</v>
      </c>
      <c r="R139" s="26">
        <f>SUM(R128:R138)</f>
        <v>622.40846877747003</v>
      </c>
      <c r="S139" s="26"/>
      <c r="T139" s="26"/>
      <c r="U139" s="26"/>
      <c r="V139" s="26"/>
      <c r="W139" s="26"/>
      <c r="X139" s="26"/>
      <c r="Y139" s="26"/>
      <c r="Z139" s="26"/>
      <c r="AA139" s="26"/>
      <c r="AB139" s="26"/>
      <c r="AC139" s="26"/>
      <c r="AD139" s="26"/>
      <c r="CF139" s="26">
        <f>SUM(CF128:CF138)</f>
        <v>148.77311282421701</v>
      </c>
      <c r="CG139" s="26">
        <f>SUM(CG128:CG138)</f>
        <v>168.89934393432378</v>
      </c>
      <c r="CH139" s="26">
        <f>SUM(CH128:CH138)</f>
        <v>153.62290655275822</v>
      </c>
      <c r="CI139" s="26">
        <f>SUM(CI128:CI138)</f>
        <v>151.11310546617085</v>
      </c>
      <c r="CJ139" s="81"/>
      <c r="CK139" s="81"/>
      <c r="CL139" s="81"/>
      <c r="CM139" s="81"/>
      <c r="CN139" s="81"/>
      <c r="CO139" s="81"/>
      <c r="CP139" s="81"/>
      <c r="CQ139" s="81"/>
      <c r="CR139" s="81"/>
      <c r="CS139" s="81"/>
      <c r="CT139" s="81"/>
      <c r="CU139" s="81"/>
      <c r="CV139" s="81"/>
      <c r="CW139" s="81"/>
      <c r="CX139" s="81"/>
      <c r="CY139" s="81"/>
    </row>
    <row r="140" spans="1:157" hidden="1" outlineLevel="1">
      <c r="A140" s="15"/>
      <c r="B140" s="15" t="s">
        <v>482</v>
      </c>
      <c r="C140" s="15"/>
      <c r="D140" s="15"/>
      <c r="E140" s="15"/>
      <c r="F140" s="15"/>
      <c r="G140" s="15"/>
      <c r="H140" s="15"/>
      <c r="I140" s="15"/>
      <c r="J140" s="15"/>
      <c r="K140" s="15"/>
      <c r="L140" s="15"/>
      <c r="M140" s="15"/>
      <c r="N140" s="15"/>
      <c r="O140" s="768">
        <f>+O139/N139-1</f>
        <v>0.24618313108013212</v>
      </c>
      <c r="P140" s="768">
        <f>+P139/O139-1</f>
        <v>0.38432789095367936</v>
      </c>
      <c r="Q140" s="768">
        <f>+Q139/P139-1</f>
        <v>0.26451919257876355</v>
      </c>
      <c r="R140" s="768">
        <f>+R139/Q139-1</f>
        <v>0.14459147205897915</v>
      </c>
      <c r="S140" s="768"/>
      <c r="T140" s="768"/>
      <c r="U140" s="768"/>
      <c r="V140" s="768"/>
      <c r="W140" s="768"/>
      <c r="X140" s="768"/>
      <c r="Y140" s="768"/>
      <c r="Z140" s="768"/>
      <c r="AA140" s="768"/>
      <c r="AB140" s="768"/>
      <c r="AC140" s="768"/>
      <c r="AD140" s="768"/>
    </row>
    <row r="141" spans="1:157" hidden="1" outlineLevel="1">
      <c r="A141" s="15"/>
      <c r="B141" s="16" t="s">
        <v>419</v>
      </c>
      <c r="C141" s="15"/>
      <c r="D141" s="15"/>
      <c r="E141" s="15"/>
      <c r="F141" s="15"/>
      <c r="G141" s="15"/>
      <c r="H141" s="15"/>
      <c r="I141" s="15"/>
      <c r="J141" s="15"/>
      <c r="K141" s="15"/>
      <c r="L141" s="15"/>
      <c r="M141" s="15"/>
      <c r="N141" s="15"/>
      <c r="O141" s="1525">
        <f>+IS!O83</f>
        <v>43.741999999999997</v>
      </c>
      <c r="P141" s="1525">
        <f>+IS!P82</f>
        <v>48.477250000000005</v>
      </c>
      <c r="Q141" s="1525">
        <f>+IS!Q82</f>
        <v>52.246000000000002</v>
      </c>
      <c r="R141" s="1525">
        <f>+IS!R82</f>
        <v>52.484749999999998</v>
      </c>
      <c r="S141" s="1525"/>
      <c r="T141" s="1525"/>
      <c r="U141" s="1525"/>
      <c r="V141" s="1525"/>
      <c r="W141" s="1525"/>
      <c r="X141" s="1525"/>
      <c r="Y141" s="1525"/>
      <c r="Z141" s="1525"/>
      <c r="AA141" s="1525"/>
      <c r="AB141" s="1525"/>
      <c r="AC141" s="1525"/>
      <c r="AD141" s="1525"/>
      <c r="CF141" s="1525"/>
    </row>
    <row r="142" spans="1:157" hidden="1" outlineLevel="1">
      <c r="A142" s="15"/>
      <c r="B142" s="15" t="s">
        <v>1305</v>
      </c>
      <c r="C142" s="15"/>
      <c r="D142" s="15"/>
      <c r="E142" s="15"/>
      <c r="F142" s="15"/>
      <c r="G142" s="15"/>
      <c r="H142" s="15"/>
      <c r="I142" s="15"/>
      <c r="J142" s="15"/>
      <c r="K142" s="15"/>
      <c r="L142" s="15"/>
      <c r="M142" s="15"/>
      <c r="N142" s="1563">
        <f>+N139/IS!N82</f>
        <v>6.282765399737877</v>
      </c>
      <c r="O142" s="1563">
        <f>+O139/O141</f>
        <v>7.1016940240501123</v>
      </c>
      <c r="P142" s="1563">
        <f>+P139/P141</f>
        <v>8.8707754668426961</v>
      </c>
      <c r="Q142" s="1563">
        <f>+Q139/Q141</f>
        <v>10.408111625770392</v>
      </c>
      <c r="R142" s="1563">
        <f>+R139/R141</f>
        <v>11.858844117147743</v>
      </c>
      <c r="S142" s="1563"/>
      <c r="T142" s="1563"/>
      <c r="U142" s="1563"/>
      <c r="V142" s="1563"/>
      <c r="W142" s="1563"/>
      <c r="X142" s="1563"/>
      <c r="Y142" s="1563"/>
      <c r="Z142" s="1563"/>
      <c r="AA142" s="1563"/>
      <c r="AB142" s="1563"/>
      <c r="AC142" s="1563"/>
      <c r="AD142" s="1563"/>
      <c r="CF142" s="26">
        <v>169.55600000000001</v>
      </c>
      <c r="CG142" s="26">
        <v>169.065</v>
      </c>
      <c r="CH142" s="26">
        <v>170.43600000000001</v>
      </c>
      <c r="CI142" s="26">
        <v>179.40100000000001</v>
      </c>
      <c r="CJ142" s="81"/>
      <c r="CK142" s="81"/>
      <c r="CL142" s="81"/>
      <c r="CM142" s="81"/>
      <c r="CN142" s="81"/>
      <c r="CO142" s="81"/>
      <c r="CP142" s="81"/>
      <c r="CQ142" s="81"/>
      <c r="CR142" s="81"/>
      <c r="CS142" s="81"/>
      <c r="CT142" s="81"/>
      <c r="CU142" s="81"/>
      <c r="CV142" s="81"/>
      <c r="CW142" s="81"/>
      <c r="CX142" s="81"/>
      <c r="CY142" s="81"/>
    </row>
    <row r="143" spans="1:157" hidden="1" outlineLevel="1">
      <c r="A143" s="15"/>
      <c r="B143" s="15" t="s">
        <v>482</v>
      </c>
      <c r="C143" s="15"/>
      <c r="D143" s="15"/>
      <c r="E143" s="15"/>
      <c r="F143" s="15"/>
      <c r="G143" s="15"/>
      <c r="H143" s="15"/>
      <c r="I143" s="15"/>
      <c r="J143" s="15"/>
      <c r="K143" s="15"/>
      <c r="L143" s="15"/>
      <c r="M143" s="15"/>
      <c r="N143" s="15"/>
      <c r="O143" s="768">
        <f>+O142/N142-1</f>
        <v>0.13034524961673744</v>
      </c>
      <c r="P143" s="768">
        <f>+P142/O142-1</f>
        <v>0.24910696473285565</v>
      </c>
      <c r="Q143" s="768">
        <f>+Q142/P142-1</f>
        <v>0.17330346875241864</v>
      </c>
      <c r="R143" s="768">
        <f>+R142/Q142-1</f>
        <v>0.13938479366279566</v>
      </c>
      <c r="S143" s="768"/>
      <c r="T143" s="768"/>
      <c r="U143" s="768"/>
      <c r="V143" s="768"/>
      <c r="W143" s="768"/>
      <c r="X143" s="768"/>
      <c r="Y143" s="768"/>
      <c r="Z143" s="768"/>
      <c r="AA143" s="768"/>
      <c r="AB143" s="768"/>
      <c r="AC143" s="768"/>
      <c r="AD143" s="768"/>
      <c r="CF143" s="768"/>
      <c r="CJ143" s="81"/>
      <c r="CK143" s="81"/>
      <c r="CL143" s="81"/>
      <c r="CM143" s="81"/>
      <c r="CN143" s="81"/>
      <c r="CO143" s="81"/>
      <c r="CP143" s="81"/>
      <c r="CQ143" s="81"/>
      <c r="CR143" s="81"/>
      <c r="CS143" s="81"/>
      <c r="CT143" s="81"/>
      <c r="CU143" s="81"/>
      <c r="CV143" s="81"/>
      <c r="CW143" s="81"/>
      <c r="CX143" s="81"/>
      <c r="CY143" s="81"/>
    </row>
    <row r="144" spans="1:157" hidden="1" outlineLevel="1">
      <c r="A144" s="15"/>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c r="AA144" s="15"/>
      <c r="AB144" s="15"/>
      <c r="AC144" s="15"/>
      <c r="AD144" s="15"/>
    </row>
    <row r="145" spans="1:191" hidden="1" outlineLevel="1">
      <c r="A145" s="1163" t="s">
        <v>604</v>
      </c>
      <c r="B145" s="14" t="s">
        <v>841</v>
      </c>
      <c r="C145" s="15"/>
      <c r="D145" s="15"/>
      <c r="E145" s="15"/>
      <c r="F145" s="15"/>
      <c r="G145" s="15"/>
      <c r="H145" s="15"/>
      <c r="I145" s="15"/>
      <c r="J145" s="15"/>
      <c r="K145" s="15"/>
      <c r="L145" s="15"/>
      <c r="M145" s="15"/>
      <c r="N145" s="15"/>
      <c r="O145" s="26">
        <f>+O32</f>
        <v>382.66700000000009</v>
      </c>
      <c r="P145" s="26">
        <f>+P32</f>
        <v>569.37699999999995</v>
      </c>
      <c r="Q145" s="26">
        <f>+Q32</f>
        <v>641.25499999999988</v>
      </c>
      <c r="R145" s="26">
        <f>+R32</f>
        <v>605.73600000000022</v>
      </c>
      <c r="S145" s="26"/>
      <c r="T145" s="26"/>
      <c r="U145" s="26"/>
      <c r="V145" s="26"/>
      <c r="W145" s="26"/>
      <c r="X145" s="26"/>
      <c r="Y145" s="26"/>
      <c r="Z145" s="26"/>
      <c r="AA145" s="26"/>
      <c r="AB145" s="26"/>
      <c r="AC145" s="26"/>
      <c r="AD145" s="26"/>
    </row>
    <row r="146" spans="1:191" hidden="1" outlineLevel="1">
      <c r="A146" s="15"/>
      <c r="B146" s="15" t="s">
        <v>1587</v>
      </c>
      <c r="C146" s="15"/>
      <c r="D146" s="15"/>
      <c r="E146" s="15"/>
      <c r="F146" s="15"/>
      <c r="G146" s="15"/>
      <c r="H146" s="15"/>
      <c r="I146" s="15"/>
      <c r="J146" s="15"/>
      <c r="K146" s="15"/>
      <c r="L146" s="15"/>
      <c r="M146" s="15"/>
      <c r="N146" s="15"/>
      <c r="O146" s="26">
        <f>+BS!O127</f>
        <v>114.5</v>
      </c>
      <c r="P146" s="26">
        <f>+BS!P127</f>
        <v>131.60000000000002</v>
      </c>
      <c r="Q146" s="26">
        <f>+BS!Q127</f>
        <v>161.71700000000001</v>
      </c>
      <c r="R146" s="26">
        <f>+BS!R127</f>
        <v>183.32999999999998</v>
      </c>
      <c r="S146" s="26"/>
      <c r="T146" s="26"/>
      <c r="U146" s="26"/>
      <c r="V146" s="26"/>
      <c r="W146" s="26"/>
      <c r="X146" s="26"/>
      <c r="Y146" s="26"/>
      <c r="Z146" s="26"/>
      <c r="AA146" s="26"/>
      <c r="AB146" s="26"/>
      <c r="AC146" s="26"/>
      <c r="AD146" s="26"/>
    </row>
    <row r="147" spans="1:191" hidden="1" outlineLevel="1">
      <c r="A147" s="15"/>
      <c r="B147" s="15" t="s">
        <v>1688</v>
      </c>
      <c r="C147" s="15"/>
      <c r="D147" s="15"/>
      <c r="E147" s="15"/>
      <c r="F147" s="15"/>
      <c r="G147" s="15"/>
      <c r="H147" s="15"/>
      <c r="I147" s="15"/>
      <c r="J147" s="15"/>
      <c r="K147" s="15"/>
      <c r="L147" s="15"/>
      <c r="M147" s="15"/>
      <c r="N147" s="15"/>
      <c r="O147" s="26">
        <f>+O145-O146</f>
        <v>268.16700000000009</v>
      </c>
      <c r="P147" s="26">
        <f>+P145-P146</f>
        <v>437.77699999999993</v>
      </c>
      <c r="Q147" s="26">
        <f>+Q145-Q146</f>
        <v>479.5379999999999</v>
      </c>
      <c r="R147" s="26">
        <f>+R145-R146</f>
        <v>422.40600000000023</v>
      </c>
      <c r="S147" s="26"/>
      <c r="T147" s="26"/>
      <c r="U147" s="26"/>
      <c r="V147" s="26"/>
      <c r="W147" s="26"/>
      <c r="X147" s="26"/>
      <c r="Y147" s="26"/>
      <c r="Z147" s="26"/>
      <c r="AA147" s="26"/>
      <c r="AB147" s="26"/>
      <c r="AC147" s="26"/>
      <c r="AD147" s="26"/>
    </row>
    <row r="148" spans="1:191" hidden="1" outlineLevel="1">
      <c r="A148" s="15"/>
      <c r="B148" s="16" t="s">
        <v>1689</v>
      </c>
      <c r="C148" s="15"/>
      <c r="D148" s="15"/>
      <c r="E148" s="15"/>
      <c r="F148" s="15"/>
      <c r="G148" s="15"/>
      <c r="H148" s="15"/>
      <c r="I148" s="15"/>
      <c r="J148" s="15"/>
      <c r="K148" s="15"/>
      <c r="L148" s="15"/>
      <c r="M148" s="15"/>
      <c r="N148" s="15"/>
      <c r="O148" s="901">
        <f>+IS!O83</f>
        <v>43.741999999999997</v>
      </c>
      <c r="P148" s="901">
        <f>+IS!P83</f>
        <v>46.953000000000003</v>
      </c>
      <c r="Q148" s="901">
        <f>+IS!Q83</f>
        <v>48.001249999999999</v>
      </c>
      <c r="R148" s="901">
        <f>+IS!R83</f>
        <v>49.432000000000002</v>
      </c>
      <c r="S148" s="901"/>
      <c r="T148" s="901"/>
      <c r="U148" s="901"/>
      <c r="V148" s="901"/>
      <c r="W148" s="901"/>
      <c r="X148" s="901"/>
      <c r="Y148" s="901"/>
      <c r="Z148" s="901"/>
      <c r="AA148" s="901"/>
      <c r="AB148" s="901"/>
      <c r="AC148" s="901"/>
      <c r="AD148" s="901"/>
    </row>
    <row r="149" spans="1:191" hidden="1" outlineLevel="1">
      <c r="A149" s="15"/>
      <c r="B149" s="15"/>
      <c r="C149" s="15"/>
      <c r="D149" s="15"/>
      <c r="E149" s="15"/>
      <c r="F149" s="15"/>
      <c r="G149" s="15"/>
      <c r="H149" s="15"/>
      <c r="I149" s="15"/>
      <c r="J149" s="15"/>
      <c r="K149" s="15"/>
      <c r="L149" s="15"/>
      <c r="M149" s="15"/>
      <c r="N149" s="15"/>
      <c r="O149" s="1563">
        <f>+O147/O148</f>
        <v>6.1306524621645124</v>
      </c>
      <c r="P149" s="1563">
        <f>+P147/P148</f>
        <v>9.3237279833024491</v>
      </c>
      <c r="Q149" s="1563">
        <f>+Q147/Q148</f>
        <v>9.9901148407593539</v>
      </c>
      <c r="R149" s="1563">
        <f>+R147/R148</f>
        <v>8.5451933969898093</v>
      </c>
      <c r="S149" s="1563"/>
      <c r="T149" s="1563"/>
      <c r="U149" s="1563"/>
      <c r="V149" s="1563"/>
      <c r="W149" s="1563"/>
      <c r="X149" s="1563"/>
      <c r="Y149" s="1563"/>
      <c r="Z149" s="1563"/>
      <c r="AA149" s="1563"/>
      <c r="AB149" s="1563"/>
      <c r="AC149" s="1563"/>
      <c r="AD149" s="1563"/>
    </row>
    <row r="150" spans="1:191" s="15" customFormat="1" hidden="1" outlineLevel="1">
      <c r="B150" s="876"/>
      <c r="H150" s="883"/>
      <c r="I150" s="883"/>
      <c r="J150" s="883"/>
      <c r="K150" s="883"/>
      <c r="L150" s="883"/>
      <c r="M150" s="1012"/>
      <c r="N150" s="1012"/>
      <c r="O150" s="768"/>
      <c r="P150" s="768"/>
      <c r="Q150" s="768"/>
      <c r="R150" s="768"/>
      <c r="S150" s="768"/>
      <c r="T150" s="768"/>
      <c r="U150" s="768"/>
      <c r="V150" s="768"/>
      <c r="W150" s="768"/>
      <c r="X150" s="768"/>
      <c r="Y150" s="768"/>
      <c r="Z150" s="768"/>
      <c r="AA150" s="768"/>
      <c r="AB150" s="768"/>
      <c r="AC150" s="768"/>
      <c r="AD150" s="768"/>
      <c r="EU150" s="42"/>
      <c r="EV150"/>
      <c r="EW150"/>
      <c r="EX150"/>
      <c r="EY150"/>
      <c r="EZ150"/>
      <c r="FA150"/>
      <c r="FB150" s="961"/>
      <c r="FC150" s="961"/>
      <c r="FD150" s="961"/>
      <c r="FE150" s="961"/>
      <c r="FF150" s="961"/>
      <c r="FG150" s="961"/>
      <c r="FH150" s="961"/>
      <c r="FI150" s="961"/>
      <c r="FJ150" s="961"/>
      <c r="FK150" s="961"/>
      <c r="FL150" s="961"/>
      <c r="FM150" s="961"/>
      <c r="FN150" s="961"/>
      <c r="FO150" s="961"/>
      <c r="FP150" s="961"/>
      <c r="FQ150" s="961"/>
      <c r="FR150" s="961"/>
      <c r="FS150" s="961"/>
      <c r="FT150" s="961"/>
      <c r="FU150" s="961"/>
      <c r="FV150" s="961"/>
      <c r="FW150" s="961"/>
      <c r="FX150" s="961"/>
      <c r="FY150" s="961"/>
      <c r="FZ150" s="961"/>
      <c r="GA150" s="961"/>
      <c r="GB150" s="961"/>
      <c r="GC150" s="961"/>
      <c r="GD150" s="961"/>
      <c r="GE150" s="961"/>
      <c r="GF150" s="961"/>
      <c r="GG150" s="961"/>
      <c r="GH150" s="961"/>
      <c r="GI150" s="961"/>
    </row>
    <row r="151" spans="1:191" s="15" customFormat="1" hidden="1" outlineLevel="1">
      <c r="B151" s="876"/>
      <c r="H151" s="883"/>
      <c r="I151" s="883"/>
      <c r="J151" s="883"/>
      <c r="K151" s="883"/>
      <c r="L151" s="883"/>
      <c r="M151" s="1012"/>
      <c r="N151" s="1012"/>
      <c r="O151" s="768"/>
      <c r="P151" s="768"/>
      <c r="Q151" s="768"/>
      <c r="R151" s="768"/>
      <c r="S151" s="768"/>
      <c r="T151" s="768"/>
      <c r="U151" s="768"/>
      <c r="V151" s="768"/>
      <c r="W151" s="768"/>
      <c r="X151" s="768"/>
      <c r="Y151" s="768"/>
      <c r="Z151" s="768"/>
      <c r="AA151" s="768"/>
      <c r="AB151" s="768"/>
      <c r="AC151" s="768"/>
      <c r="AD151" s="768"/>
      <c r="EU151" s="42"/>
      <c r="EV151"/>
      <c r="EW151"/>
      <c r="EX151"/>
      <c r="EY151"/>
      <c r="EZ151"/>
      <c r="FA151"/>
      <c r="FB151" s="961"/>
      <c r="FC151" s="961"/>
      <c r="FD151" s="961"/>
      <c r="FE151" s="961"/>
      <c r="FF151" s="961"/>
      <c r="FG151" s="961"/>
      <c r="FH151" s="961"/>
      <c r="FI151" s="961"/>
      <c r="FJ151" s="961"/>
      <c r="FK151" s="961"/>
      <c r="FL151" s="961"/>
      <c r="FM151" s="961"/>
      <c r="FN151" s="961"/>
      <c r="FO151" s="961"/>
      <c r="FP151" s="961"/>
      <c r="FQ151" s="961"/>
      <c r="FR151" s="961"/>
      <c r="FS151" s="961"/>
      <c r="FT151" s="961"/>
      <c r="FU151" s="961"/>
      <c r="FV151" s="961"/>
      <c r="FW151" s="961"/>
      <c r="FX151" s="961"/>
      <c r="FY151" s="961"/>
      <c r="FZ151" s="961"/>
      <c r="GA151" s="961"/>
      <c r="GB151" s="961"/>
      <c r="GC151" s="961"/>
      <c r="GD151" s="961"/>
      <c r="GE151" s="961"/>
      <c r="GF151" s="961"/>
      <c r="GG151" s="961"/>
      <c r="GH151" s="961"/>
      <c r="GI151" s="961"/>
    </row>
    <row r="152" spans="1:191" s="15" customFormat="1" hidden="1" outlineLevel="1" collapsed="1">
      <c r="B152" s="857" t="s">
        <v>1988</v>
      </c>
      <c r="H152" s="883"/>
      <c r="I152" s="883"/>
      <c r="J152" s="883"/>
      <c r="K152" s="883"/>
      <c r="L152" s="883"/>
      <c r="M152" s="1012"/>
      <c r="N152" s="1012"/>
      <c r="O152" s="768"/>
      <c r="P152" s="768"/>
      <c r="Q152" s="768"/>
      <c r="R152" s="768"/>
      <c r="S152" s="768"/>
      <c r="T152" s="768"/>
      <c r="U152" s="768"/>
      <c r="V152" s="768"/>
      <c r="W152" s="768"/>
      <c r="X152" s="768"/>
      <c r="Y152" s="768"/>
      <c r="Z152" s="768"/>
      <c r="AA152" s="768"/>
      <c r="AB152" s="768"/>
      <c r="AC152" s="768"/>
      <c r="AD152" s="768"/>
      <c r="EU152" s="42"/>
      <c r="EV152"/>
      <c r="EW152"/>
      <c r="EX152"/>
      <c r="EY152"/>
      <c r="EZ152"/>
      <c r="FA152"/>
      <c r="FB152" s="961"/>
      <c r="FC152" s="961"/>
      <c r="FD152" s="961"/>
      <c r="FE152" s="961"/>
      <c r="FF152" s="961"/>
      <c r="FG152" s="961"/>
      <c r="FH152" s="961"/>
      <c r="FI152" s="961"/>
      <c r="FJ152" s="961"/>
      <c r="FK152" s="961"/>
      <c r="FL152" s="961"/>
      <c r="FM152" s="961"/>
      <c r="FN152" s="961"/>
      <c r="FO152" s="961"/>
      <c r="FP152" s="961"/>
      <c r="FQ152" s="961"/>
      <c r="FR152" s="961"/>
      <c r="FS152" s="961"/>
      <c r="FT152" s="961"/>
      <c r="FU152" s="961"/>
      <c r="FV152" s="961"/>
      <c r="FW152" s="961"/>
      <c r="FX152" s="961"/>
      <c r="FY152" s="961"/>
      <c r="FZ152" s="961"/>
      <c r="GA152" s="961"/>
      <c r="GB152" s="961"/>
      <c r="GC152" s="961"/>
      <c r="GD152" s="961"/>
      <c r="GE152" s="961"/>
      <c r="GF152" s="961"/>
      <c r="GG152" s="961"/>
      <c r="GH152" s="961"/>
      <c r="GI152" s="961"/>
    </row>
    <row r="153" spans="1:191" s="15" customFormat="1" hidden="1" outlineLevel="1">
      <c r="B153" s="16" t="s">
        <v>188</v>
      </c>
      <c r="H153" s="883"/>
      <c r="I153" s="883"/>
      <c r="J153" s="883"/>
      <c r="K153" s="883"/>
      <c r="L153" s="883"/>
      <c r="M153" s="1012"/>
      <c r="N153" s="1012"/>
      <c r="O153" s="768"/>
      <c r="P153" s="768"/>
      <c r="Q153" s="768"/>
      <c r="R153" s="1483">
        <f>+SUM(CF153:CI153)</f>
        <v>1000.8979999999999</v>
      </c>
      <c r="S153" s="1483">
        <f>+SUM(CJ153:CM153)</f>
        <v>1113.8910000000001</v>
      </c>
      <c r="T153" s="1483"/>
      <c r="U153" s="1483"/>
      <c r="V153" s="1483"/>
      <c r="W153" s="1483"/>
      <c r="X153" s="1688"/>
      <c r="Y153" s="1688"/>
      <c r="Z153" s="1688"/>
      <c r="AA153" s="1688"/>
      <c r="AB153" s="1688"/>
      <c r="AC153" s="1688"/>
      <c r="AD153" s="1688"/>
      <c r="CF153" s="1688">
        <f>IS!CX37</f>
        <v>240.88799999999992</v>
      </c>
      <c r="CG153" s="1688">
        <f>IS!CY37</f>
        <v>248.035</v>
      </c>
      <c r="CH153" s="1688">
        <f>IS!CZ37</f>
        <v>248.44500000000008</v>
      </c>
      <c r="CI153" s="1688">
        <f>IS!DA37</f>
        <v>263.53000000000003</v>
      </c>
      <c r="CJ153" s="1688">
        <f>IS!DB37</f>
        <v>260.38800000000003</v>
      </c>
      <c r="CK153" s="1688">
        <f>IS!DC37</f>
        <v>275.27700000000004</v>
      </c>
      <c r="CL153" s="1688">
        <f>IS!DD37</f>
        <v>283.86099999999999</v>
      </c>
      <c r="CM153" s="1688">
        <f>IS!DE37</f>
        <v>294.36500000000001</v>
      </c>
      <c r="CN153" s="1688"/>
      <c r="CO153" s="1688"/>
      <c r="CP153" s="1688"/>
      <c r="CQ153" s="1688"/>
      <c r="CR153" s="1688"/>
      <c r="CS153" s="1688"/>
      <c r="CT153" s="1688"/>
      <c r="CU153" s="1688"/>
      <c r="CV153" s="1688"/>
      <c r="CW153" s="1688"/>
      <c r="CX153" s="1688"/>
      <c r="CY153" s="1688"/>
      <c r="CZ153" s="1688"/>
      <c r="DA153" s="1688"/>
      <c r="DB153" s="1688"/>
      <c r="DC153" s="1688"/>
      <c r="DD153" s="1498"/>
      <c r="EU153" s="42"/>
      <c r="EV153"/>
      <c r="EW153"/>
      <c r="EX153"/>
      <c r="EY153"/>
      <c r="EZ153"/>
      <c r="FA153"/>
      <c r="FB153" s="961"/>
      <c r="FC153" s="961"/>
      <c r="FD153" s="961"/>
      <c r="FE153" s="961"/>
      <c r="FF153" s="961"/>
      <c r="FG153" s="961"/>
      <c r="FH153" s="961"/>
      <c r="FI153" s="961"/>
      <c r="FJ153" s="961"/>
      <c r="FK153" s="961"/>
      <c r="FL153" s="961"/>
      <c r="FM153" s="961"/>
      <c r="FN153" s="961"/>
      <c r="FO153" s="961"/>
      <c r="FP153" s="961"/>
      <c r="FQ153" s="961"/>
      <c r="FR153" s="961"/>
      <c r="FS153" s="961"/>
      <c r="FT153" s="961"/>
      <c r="FU153" s="961"/>
      <c r="FV153" s="961"/>
      <c r="FW153" s="961"/>
      <c r="FX153" s="961"/>
      <c r="FY153" s="961"/>
      <c r="FZ153" s="961"/>
      <c r="GA153" s="961"/>
      <c r="GB153" s="961"/>
      <c r="GC153" s="961"/>
      <c r="GD153" s="961"/>
      <c r="GE153" s="961"/>
      <c r="GF153" s="961"/>
      <c r="GG153" s="961"/>
      <c r="GH153" s="961"/>
      <c r="GI153" s="961"/>
    </row>
    <row r="154" spans="1:191" s="15" customFormat="1" hidden="1" outlineLevel="1">
      <c r="B154" s="16" t="s">
        <v>853</v>
      </c>
      <c r="H154" s="883"/>
      <c r="I154" s="883"/>
      <c r="J154" s="883"/>
      <c r="K154" s="883"/>
      <c r="L154" s="883"/>
      <c r="M154" s="1012"/>
      <c r="N154" s="1012"/>
      <c r="O154" s="768"/>
      <c r="P154" s="768"/>
      <c r="Q154" s="768"/>
      <c r="R154" s="1483">
        <f t="shared" ref="R154:R164" si="366">+SUM(CF154:CI154)</f>
        <v>-245.405</v>
      </c>
      <c r="S154" s="1483">
        <f t="shared" ref="S154:S164" si="367">+SUM(CJ154:CM154)</f>
        <v>-267.66199999999998</v>
      </c>
      <c r="T154" s="1483"/>
      <c r="U154" s="1483"/>
      <c r="V154" s="1483"/>
      <c r="W154" s="1483"/>
      <c r="X154" s="1688"/>
      <c r="Y154" s="1688"/>
      <c r="Z154" s="1688"/>
      <c r="AA154" s="1688"/>
      <c r="AB154" s="1688"/>
      <c r="AC154" s="1688"/>
      <c r="AD154" s="1688"/>
      <c r="CF154" s="1688">
        <f>-(IS!CX50-IS!CX52)</f>
        <v>-59.584000000000003</v>
      </c>
      <c r="CG154" s="1688">
        <f>-(IS!CY50-IS!CY52)</f>
        <v>-60.083999999999996</v>
      </c>
      <c r="CH154" s="1688">
        <f>-(IS!CZ50-IS!CZ52)</f>
        <v>-61.027999999999999</v>
      </c>
      <c r="CI154" s="1688">
        <f>-(IS!DA50-IS!DA52)</f>
        <v>-64.709000000000003</v>
      </c>
      <c r="CJ154" s="1688">
        <f>-(IS!DB50-IS!DB52)</f>
        <v>-67.385999999999996</v>
      </c>
      <c r="CK154" s="1688">
        <f>-(IS!DC50-IS!DC52)</f>
        <v>-66.13</v>
      </c>
      <c r="CL154" s="1688">
        <f>-(IS!DD50-IS!DD52)</f>
        <v>-63.4</v>
      </c>
      <c r="CM154" s="1688">
        <f>-(IS!DE50-IS!DE52)</f>
        <v>-70.745999999999995</v>
      </c>
      <c r="CN154" s="1688"/>
      <c r="CO154" s="1688"/>
      <c r="CP154" s="1688"/>
      <c r="CQ154" s="1688"/>
      <c r="CR154" s="1688"/>
      <c r="CS154" s="1688"/>
      <c r="CT154" s="1688"/>
      <c r="CU154" s="1688"/>
      <c r="CV154" s="1688"/>
      <c r="CW154" s="1688"/>
      <c r="CX154" s="1688"/>
      <c r="CY154" s="1688"/>
      <c r="CZ154" s="1688"/>
      <c r="DA154" s="1688"/>
      <c r="DB154" s="1688"/>
      <c r="DC154" s="1688"/>
      <c r="EU154" s="42"/>
      <c r="EV154"/>
      <c r="EW154"/>
      <c r="EX154"/>
      <c r="EY154"/>
      <c r="EZ154"/>
      <c r="FA154"/>
      <c r="FB154" s="961"/>
      <c r="FC154" s="961"/>
      <c r="FD154" s="961"/>
      <c r="FE154" s="961"/>
      <c r="FF154" s="961"/>
      <c r="FG154" s="961"/>
      <c r="FH154" s="961"/>
      <c r="FI154" s="961"/>
      <c r="FJ154" s="961"/>
      <c r="FK154" s="961"/>
      <c r="FL154" s="961"/>
      <c r="FM154" s="961"/>
      <c r="FN154" s="961"/>
      <c r="FO154" s="961"/>
      <c r="FP154" s="961"/>
      <c r="FQ154" s="961"/>
      <c r="FR154" s="961"/>
      <c r="FS154" s="961"/>
      <c r="FT154" s="961"/>
      <c r="FU154" s="961"/>
      <c r="FV154" s="961"/>
      <c r="FW154" s="961"/>
      <c r="FX154" s="961"/>
      <c r="FY154" s="961"/>
      <c r="FZ154" s="961"/>
      <c r="GA154" s="961"/>
      <c r="GB154" s="961"/>
      <c r="GC154" s="961"/>
      <c r="GD154" s="961"/>
      <c r="GE154" s="961"/>
      <c r="GF154" s="961"/>
      <c r="GG154" s="961"/>
      <c r="GH154" s="961"/>
      <c r="GI154" s="961"/>
    </row>
    <row r="155" spans="1:191" s="15" customFormat="1" hidden="1" outlineLevel="1">
      <c r="B155" s="16" t="s">
        <v>854</v>
      </c>
      <c r="H155" s="883"/>
      <c r="I155" s="883"/>
      <c r="J155" s="883"/>
      <c r="K155" s="883"/>
      <c r="L155" s="883"/>
      <c r="M155" s="1012"/>
      <c r="N155" s="1012"/>
      <c r="O155" s="768"/>
      <c r="P155" s="768"/>
      <c r="Q155" s="768"/>
      <c r="R155" s="1483">
        <f t="shared" si="366"/>
        <v>24.429000000000002</v>
      </c>
      <c r="S155" s="1483">
        <f t="shared" si="367"/>
        <v>19.02</v>
      </c>
      <c r="T155" s="1483"/>
      <c r="U155" s="1483"/>
      <c r="V155" s="1483"/>
      <c r="W155" s="1483"/>
      <c r="X155" s="1498"/>
      <c r="Y155" s="1498"/>
      <c r="Z155" s="1498"/>
      <c r="AA155" s="1498"/>
      <c r="AB155" s="1498"/>
      <c r="AC155" s="1498"/>
      <c r="AD155" s="1498"/>
      <c r="CF155" s="1484">
        <v>5.9859999999999998</v>
      </c>
      <c r="CG155" s="1484">
        <v>5.9669999999999996</v>
      </c>
      <c r="CH155" s="1484">
        <v>6.1319999999999997</v>
      </c>
      <c r="CI155" s="1484">
        <v>6.3440000000000003</v>
      </c>
      <c r="CJ155" s="1484">
        <v>6.4989999999999997</v>
      </c>
      <c r="CK155" s="1484">
        <v>4.7830000000000004</v>
      </c>
      <c r="CL155" s="1484">
        <v>3.794</v>
      </c>
      <c r="CM155" s="1484">
        <v>3.944</v>
      </c>
      <c r="CN155" s="1484"/>
      <c r="CO155" s="1484"/>
      <c r="CP155" s="1484"/>
      <c r="CQ155" s="1484"/>
      <c r="CR155" s="1484"/>
      <c r="CS155" s="1484"/>
      <c r="CT155" s="1484"/>
      <c r="CU155" s="1484"/>
      <c r="CV155" s="1484"/>
      <c r="CW155" s="1484"/>
      <c r="CX155" s="1484"/>
      <c r="CY155" s="1484"/>
      <c r="CZ155" s="1688"/>
      <c r="DA155" s="1688"/>
      <c r="DB155" s="1688"/>
      <c r="DC155" s="1688"/>
      <c r="EU155" s="42"/>
      <c r="EV155"/>
      <c r="EW155"/>
      <c r="EX155"/>
      <c r="EY155"/>
      <c r="EZ155"/>
      <c r="FA155"/>
      <c r="FB155" s="961"/>
      <c r="FC155" s="961"/>
      <c r="FD155" s="961"/>
      <c r="FE155" s="961"/>
      <c r="FF155" s="961"/>
      <c r="FG155" s="961"/>
      <c r="FH155" s="961"/>
      <c r="FI155" s="961"/>
      <c r="FJ155" s="961"/>
      <c r="FK155" s="961"/>
      <c r="FL155" s="961"/>
      <c r="FM155" s="961"/>
      <c r="FN155" s="961"/>
      <c r="FO155" s="961"/>
      <c r="FP155" s="961"/>
      <c r="FQ155" s="961"/>
      <c r="FR155" s="961"/>
      <c r="FS155" s="961"/>
      <c r="FT155" s="961"/>
      <c r="FU155" s="961"/>
      <c r="FV155" s="961"/>
      <c r="FW155" s="961"/>
      <c r="FX155" s="961"/>
      <c r="FY155" s="961"/>
      <c r="FZ155" s="961"/>
      <c r="GA155" s="961"/>
      <c r="GB155" s="961"/>
      <c r="GC155" s="961"/>
      <c r="GD155" s="961"/>
      <c r="GE155" s="961"/>
      <c r="GF155" s="961"/>
      <c r="GG155" s="961"/>
      <c r="GH155" s="961"/>
      <c r="GI155" s="961"/>
    </row>
    <row r="156" spans="1:191" s="15" customFormat="1" hidden="1" outlineLevel="1">
      <c r="B156" s="16" t="s">
        <v>855</v>
      </c>
      <c r="H156" s="883"/>
      <c r="I156" s="883"/>
      <c r="J156" s="883"/>
      <c r="K156" s="883"/>
      <c r="L156" s="883"/>
      <c r="M156" s="1012"/>
      <c r="N156" s="1012"/>
      <c r="O156" s="768"/>
      <c r="P156" s="768"/>
      <c r="Q156" s="768"/>
      <c r="R156" s="1483">
        <f t="shared" si="366"/>
        <v>-16.156000000000002</v>
      </c>
      <c r="S156" s="1483">
        <f t="shared" si="367"/>
        <v>-345.459</v>
      </c>
      <c r="T156" s="1483"/>
      <c r="U156" s="1483"/>
      <c r="V156" s="1483"/>
      <c r="W156" s="1483"/>
      <c r="X156" s="1688"/>
      <c r="Y156" s="1688"/>
      <c r="Z156" s="1688"/>
      <c r="AA156" s="1688"/>
      <c r="AB156" s="1688"/>
      <c r="AC156" s="1688"/>
      <c r="AD156" s="1688"/>
      <c r="CF156" s="1688">
        <f>IS!CX57</f>
        <v>-11.46</v>
      </c>
      <c r="CG156" s="1688">
        <f>IS!CY57</f>
        <v>9.6679999999999993</v>
      </c>
      <c r="CH156" s="1688">
        <f>IS!CZ57</f>
        <v>-12.397</v>
      </c>
      <c r="CI156" s="1688">
        <f>IS!DA57</f>
        <v>-1.9670000000000001</v>
      </c>
      <c r="CJ156" s="1688">
        <f>IS!DB57</f>
        <v>-13.567</v>
      </c>
      <c r="CK156" s="1688">
        <f>IS!DC57</f>
        <v>2.0139999999999998</v>
      </c>
      <c r="CL156" s="1688">
        <f>IS!DD57</f>
        <v>-30.581</v>
      </c>
      <c r="CM156" s="1688">
        <f>IS!DE57</f>
        <v>-303.32499999999999</v>
      </c>
      <c r="CN156" s="1688"/>
      <c r="CO156" s="1688"/>
      <c r="CP156" s="1688"/>
      <c r="CQ156" s="1688"/>
      <c r="CR156" s="1688"/>
      <c r="CS156" s="1688"/>
      <c r="CT156" s="1688"/>
      <c r="CU156" s="1688"/>
      <c r="CV156" s="1688"/>
      <c r="CW156" s="1688"/>
      <c r="CX156" s="1688"/>
      <c r="CY156" s="1688"/>
      <c r="CZ156" s="1688"/>
      <c r="DA156" s="1688"/>
      <c r="DB156" s="1688"/>
      <c r="DC156" s="1688"/>
      <c r="EU156" s="42"/>
      <c r="EV156"/>
      <c r="EW156"/>
      <c r="EX156"/>
      <c r="EY156"/>
      <c r="EZ156"/>
      <c r="FA156"/>
      <c r="FB156" s="961"/>
      <c r="FC156" s="961"/>
      <c r="FD156" s="961"/>
      <c r="FE156" s="961"/>
      <c r="FF156" s="961"/>
      <c r="FG156" s="961"/>
      <c r="FH156" s="961"/>
      <c r="FI156" s="961"/>
      <c r="FJ156" s="961"/>
      <c r="FK156" s="961"/>
      <c r="FL156" s="961"/>
      <c r="FM156" s="961"/>
      <c r="FN156" s="961"/>
      <c r="FO156" s="961"/>
      <c r="FP156" s="961"/>
      <c r="FQ156" s="961"/>
      <c r="FR156" s="961"/>
      <c r="FS156" s="961"/>
      <c r="FT156" s="961"/>
      <c r="FU156" s="961"/>
      <c r="FV156" s="961"/>
      <c r="FW156" s="961"/>
      <c r="FX156" s="961"/>
      <c r="FY156" s="961"/>
      <c r="FZ156" s="961"/>
      <c r="GA156" s="961"/>
      <c r="GB156" s="961"/>
      <c r="GC156" s="961"/>
      <c r="GD156" s="961"/>
      <c r="GE156" s="961"/>
      <c r="GF156" s="961"/>
      <c r="GG156" s="961"/>
      <c r="GH156" s="961"/>
      <c r="GI156" s="961"/>
    </row>
    <row r="157" spans="1:191" s="15" customFormat="1" hidden="1" outlineLevel="1">
      <c r="B157" s="16" t="s">
        <v>856</v>
      </c>
      <c r="H157" s="883"/>
      <c r="I157" s="883"/>
      <c r="J157" s="883"/>
      <c r="K157" s="883"/>
      <c r="L157" s="883"/>
      <c r="M157" s="1012"/>
      <c r="N157" s="1012"/>
      <c r="O157" s="768"/>
      <c r="P157" s="768"/>
      <c r="Q157" s="768"/>
      <c r="R157" s="1483">
        <f t="shared" si="366"/>
        <v>-16.420999999999999</v>
      </c>
      <c r="S157" s="1483">
        <f t="shared" si="367"/>
        <v>315.28899999999999</v>
      </c>
      <c r="T157" s="1483"/>
      <c r="U157" s="1483"/>
      <c r="V157" s="1483"/>
      <c r="W157" s="1483"/>
      <c r="X157" s="1483"/>
      <c r="Y157" s="1483"/>
      <c r="Z157" s="1483"/>
      <c r="AA157" s="1483"/>
      <c r="AB157" s="1483"/>
      <c r="AC157" s="1483"/>
      <c r="AD157" s="1483"/>
      <c r="CF157" s="1484">
        <v>1.02</v>
      </c>
      <c r="CG157" s="1484">
        <v>-25.245999999999999</v>
      </c>
      <c r="CH157" s="1484">
        <v>4.5679999999999996</v>
      </c>
      <c r="CI157" s="1484">
        <v>3.2370000000000001</v>
      </c>
      <c r="CJ157" s="1484">
        <v>4.9550000000000001</v>
      </c>
      <c r="CK157" s="1484">
        <v>-7.726</v>
      </c>
      <c r="CL157" s="1484">
        <v>22.24</v>
      </c>
      <c r="CM157" s="1484">
        <v>295.82</v>
      </c>
      <c r="CN157" s="1484"/>
      <c r="CO157" s="1484"/>
      <c r="CP157" s="1484"/>
      <c r="CQ157" s="1484"/>
      <c r="CR157" s="1484"/>
      <c r="CS157" s="1484"/>
      <c r="CT157" s="1484"/>
      <c r="CU157" s="1484"/>
      <c r="CV157" s="1484"/>
      <c r="CW157" s="1484"/>
      <c r="CX157" s="1484"/>
      <c r="CY157" s="1484"/>
      <c r="CZ157" s="1688"/>
      <c r="DA157" s="1688"/>
      <c r="DB157" s="1688"/>
      <c r="DC157" s="1688"/>
      <c r="EU157" s="42"/>
      <c r="EV157"/>
      <c r="EW157"/>
      <c r="EX157"/>
      <c r="EY157"/>
      <c r="EZ157"/>
      <c r="FA157"/>
      <c r="FB157" s="961"/>
      <c r="FC157" s="961"/>
      <c r="FD157" s="961"/>
      <c r="FE157" s="961"/>
      <c r="FF157" s="961"/>
      <c r="FG157" s="961"/>
      <c r="FH157" s="961"/>
      <c r="FI157" s="961"/>
      <c r="FJ157" s="961"/>
      <c r="FK157" s="961"/>
      <c r="FL157" s="961"/>
      <c r="FM157" s="961"/>
      <c r="FN157" s="961"/>
      <c r="FO157" s="961"/>
      <c r="FP157" s="961"/>
      <c r="FQ157" s="961"/>
      <c r="FR157" s="961"/>
      <c r="FS157" s="961"/>
      <c r="FT157" s="961"/>
      <c r="FU157" s="961"/>
      <c r="FV157" s="961"/>
      <c r="FW157" s="961"/>
      <c r="FX157" s="961"/>
      <c r="FY157" s="961"/>
      <c r="FZ157" s="961"/>
      <c r="GA157" s="961"/>
      <c r="GB157" s="961"/>
      <c r="GC157" s="961"/>
      <c r="GD157" s="961"/>
      <c r="GE157" s="961"/>
      <c r="GF157" s="961"/>
      <c r="GG157" s="961"/>
      <c r="GH157" s="961"/>
      <c r="GI157" s="961"/>
    </row>
    <row r="158" spans="1:191" s="15" customFormat="1" hidden="1" outlineLevel="1">
      <c r="B158" s="16" t="s">
        <v>857</v>
      </c>
      <c r="H158" s="883"/>
      <c r="I158" s="883"/>
      <c r="J158" s="883"/>
      <c r="K158" s="883"/>
      <c r="L158" s="883"/>
      <c r="M158" s="1012"/>
      <c r="N158" s="1012"/>
      <c r="O158" s="768"/>
      <c r="P158" s="768"/>
      <c r="Q158" s="768"/>
      <c r="R158" s="1483">
        <f t="shared" si="366"/>
        <v>8.6119999999999983</v>
      </c>
      <c r="S158" s="1483">
        <f t="shared" si="367"/>
        <v>13.047999999999998</v>
      </c>
      <c r="T158" s="1483"/>
      <c r="U158" s="1483"/>
      <c r="V158" s="1483"/>
      <c r="W158" s="1483"/>
      <c r="X158" s="1483"/>
      <c r="Y158" s="1483"/>
      <c r="Z158" s="1483"/>
      <c r="AA158" s="1483"/>
      <c r="AB158" s="1483"/>
      <c r="AC158" s="1483"/>
      <c r="AD158" s="1483"/>
      <c r="CF158" s="1484">
        <v>1.383</v>
      </c>
      <c r="CG158" s="1484">
        <v>1.903</v>
      </c>
      <c r="CH158" s="1484">
        <v>2.9329999999999998</v>
      </c>
      <c r="CI158" s="1484">
        <v>2.3929999999999998</v>
      </c>
      <c r="CJ158" s="1484">
        <v>3.0289999999999999</v>
      </c>
      <c r="CK158" s="1484">
        <v>3.331</v>
      </c>
      <c r="CL158" s="1484">
        <v>3.3530000000000002</v>
      </c>
      <c r="CM158" s="1484">
        <v>3.335</v>
      </c>
      <c r="CN158" s="1484"/>
      <c r="CO158" s="1484"/>
      <c r="CP158" s="1484"/>
      <c r="CQ158" s="1484"/>
      <c r="CR158" s="1484"/>
      <c r="CS158" s="1484"/>
      <c r="CT158" s="1484"/>
      <c r="CU158" s="1484"/>
      <c r="CV158" s="1484"/>
      <c r="CW158" s="1484"/>
      <c r="CX158" s="1484"/>
      <c r="CY158" s="1484"/>
      <c r="CZ158" s="1688"/>
      <c r="DA158" s="1688"/>
      <c r="DB158" s="1688"/>
      <c r="DC158" s="1688"/>
      <c r="EU158" s="42"/>
      <c r="EV158"/>
      <c r="EW158"/>
      <c r="EX158"/>
      <c r="EY158"/>
      <c r="EZ158"/>
      <c r="FA158"/>
      <c r="FB158" s="961"/>
      <c r="FC158" s="961"/>
      <c r="FD158" s="961"/>
      <c r="FE158" s="961"/>
      <c r="FF158" s="961"/>
      <c r="FG158" s="961"/>
      <c r="FH158" s="961"/>
      <c r="FI158" s="961"/>
      <c r="FJ158" s="961"/>
      <c r="FK158" s="961"/>
      <c r="FL158" s="961"/>
      <c r="FM158" s="961"/>
      <c r="FN158" s="961"/>
      <c r="FO158" s="961"/>
      <c r="FP158" s="961"/>
      <c r="FQ158" s="961"/>
      <c r="FR158" s="961"/>
      <c r="FS158" s="961"/>
      <c r="FT158" s="961"/>
      <c r="FU158" s="961"/>
      <c r="FV158" s="961"/>
      <c r="FW158" s="961"/>
      <c r="FX158" s="961"/>
      <c r="FY158" s="961"/>
      <c r="FZ158" s="961"/>
      <c r="GA158" s="961"/>
      <c r="GB158" s="961"/>
      <c r="GC158" s="961"/>
      <c r="GD158" s="961"/>
      <c r="GE158" s="961"/>
      <c r="GF158" s="961"/>
      <c r="GG158" s="961"/>
      <c r="GH158" s="961"/>
      <c r="GI158" s="961"/>
    </row>
    <row r="159" spans="1:191" s="15" customFormat="1" hidden="1" outlineLevel="1">
      <c r="B159" s="23" t="s">
        <v>1903</v>
      </c>
      <c r="H159" s="883"/>
      <c r="I159" s="883"/>
      <c r="J159" s="883"/>
      <c r="K159" s="883"/>
      <c r="L159" s="883"/>
      <c r="M159" s="1012"/>
      <c r="N159" s="1012"/>
      <c r="O159" s="768"/>
      <c r="P159" s="768"/>
      <c r="Q159" s="768"/>
      <c r="R159" s="1483">
        <f t="shared" si="366"/>
        <v>25.016999999999999</v>
      </c>
      <c r="S159" s="1483">
        <f t="shared" si="367"/>
        <v>25.72</v>
      </c>
      <c r="T159" s="1483"/>
      <c r="U159" s="1483"/>
      <c r="V159" s="1483"/>
      <c r="W159" s="1483"/>
      <c r="X159" s="1483"/>
      <c r="Y159" s="1483"/>
      <c r="Z159" s="1483"/>
      <c r="AA159" s="1483"/>
      <c r="AB159" s="1483"/>
      <c r="AC159" s="1483"/>
      <c r="AD159" s="1483"/>
      <c r="CF159" s="1484">
        <v>8.1120000000000001</v>
      </c>
      <c r="CG159" s="1484">
        <v>5.9210000000000003</v>
      </c>
      <c r="CH159" s="1484">
        <v>4.0919999999999996</v>
      </c>
      <c r="CI159" s="1484">
        <v>6.8920000000000003</v>
      </c>
      <c r="CJ159" s="1484">
        <v>7.173</v>
      </c>
      <c r="CK159" s="1484">
        <v>5.2439999999999998</v>
      </c>
      <c r="CL159" s="1484">
        <v>6.0789999999999997</v>
      </c>
      <c r="CM159" s="1484">
        <v>7.2240000000000002</v>
      </c>
      <c r="CN159" s="1484"/>
      <c r="CO159" s="1484"/>
      <c r="CP159" s="1484"/>
      <c r="CQ159" s="1484"/>
      <c r="CR159" s="1484"/>
      <c r="CS159" s="1484"/>
      <c r="CT159" s="1484"/>
      <c r="CU159" s="1484"/>
      <c r="CV159" s="1484"/>
      <c r="CW159" s="1484"/>
      <c r="CX159" s="1484"/>
      <c r="CY159" s="1484"/>
      <c r="CZ159" s="1688"/>
      <c r="DA159" s="1688"/>
      <c r="DB159" s="1688"/>
      <c r="DC159" s="1688"/>
      <c r="EU159" s="42"/>
      <c r="EV159"/>
      <c r="EW159"/>
      <c r="EX159"/>
      <c r="EY159"/>
      <c r="EZ159"/>
      <c r="FA159"/>
      <c r="FB159" s="961"/>
      <c r="FC159" s="961"/>
      <c r="FD159" s="961"/>
      <c r="FE159" s="961"/>
      <c r="FF159" s="961"/>
      <c r="FG159" s="961"/>
      <c r="FH159" s="961"/>
      <c r="FI159" s="961"/>
      <c r="FJ159" s="961"/>
      <c r="FK159" s="961"/>
      <c r="FL159" s="961"/>
      <c r="FM159" s="961"/>
      <c r="FN159" s="961"/>
      <c r="FO159" s="961"/>
      <c r="FP159" s="961"/>
      <c r="FQ159" s="961"/>
      <c r="FR159" s="961"/>
      <c r="FS159" s="961"/>
      <c r="FT159" s="961"/>
      <c r="FU159" s="961"/>
      <c r="FV159" s="961"/>
      <c r="FW159" s="961"/>
      <c r="FX159" s="961"/>
      <c r="FY159" s="961"/>
      <c r="FZ159" s="961"/>
      <c r="GA159" s="961"/>
      <c r="GB159" s="961"/>
      <c r="GC159" s="961"/>
      <c r="GD159" s="961"/>
      <c r="GE159" s="961"/>
      <c r="GF159" s="961"/>
      <c r="GG159" s="961"/>
      <c r="GH159" s="961"/>
      <c r="GI159" s="961"/>
    </row>
    <row r="160" spans="1:191" s="15" customFormat="1" hidden="1" outlineLevel="1">
      <c r="B160" s="16" t="s">
        <v>858</v>
      </c>
      <c r="C160" s="1647">
        <v>0.05</v>
      </c>
      <c r="H160" s="883"/>
      <c r="I160" s="883"/>
      <c r="J160" s="883"/>
      <c r="K160" s="883"/>
      <c r="L160" s="883"/>
      <c r="M160" s="1012"/>
      <c r="N160" s="1012"/>
      <c r="O160" s="768"/>
      <c r="P160" s="768"/>
      <c r="Q160" s="768"/>
      <c r="R160" s="1483">
        <f t="shared" si="366"/>
        <v>-93.503999999999991</v>
      </c>
      <c r="S160" s="1483">
        <f t="shared" si="367"/>
        <v>-105.36599999999999</v>
      </c>
      <c r="T160" s="1483"/>
      <c r="U160" s="1483"/>
      <c r="V160" s="1483"/>
      <c r="W160" s="1483"/>
      <c r="X160" s="2107"/>
      <c r="Y160" s="2107"/>
      <c r="Z160" s="2107"/>
      <c r="AA160" s="2107"/>
      <c r="AB160" s="2107"/>
      <c r="AC160" s="2107"/>
      <c r="AD160" s="2107"/>
      <c r="CF160" s="1484">
        <v>-14.337999999999999</v>
      </c>
      <c r="CG160" s="1484">
        <v>-19.061</v>
      </c>
      <c r="CH160" s="1484">
        <v>-22.276</v>
      </c>
      <c r="CI160" s="1484">
        <v>-37.829000000000001</v>
      </c>
      <c r="CJ160" s="1484">
        <v>-26.449000000000002</v>
      </c>
      <c r="CK160" s="1484">
        <v>-26.018000000000001</v>
      </c>
      <c r="CL160" s="1484">
        <v>-19.774999999999999</v>
      </c>
      <c r="CM160" s="1484">
        <v>-33.124000000000002</v>
      </c>
      <c r="CN160" s="1484"/>
      <c r="CO160" s="1484"/>
      <c r="CP160" s="1484"/>
      <c r="CQ160" s="1484"/>
      <c r="CR160" s="1484"/>
      <c r="CS160" s="1484"/>
      <c r="CT160" s="1484"/>
      <c r="CU160" s="1484"/>
      <c r="CV160" s="1484"/>
      <c r="CW160" s="1484"/>
      <c r="CX160" s="1484"/>
      <c r="CY160" s="1484"/>
      <c r="CZ160" s="1688"/>
      <c r="DA160" s="1688"/>
      <c r="DB160" s="1688"/>
      <c r="DC160" s="1688"/>
      <c r="EU160" s="42"/>
      <c r="EV160"/>
      <c r="EW160"/>
      <c r="EX160"/>
      <c r="EY160"/>
      <c r="EZ160"/>
      <c r="FA160"/>
      <c r="FB160" s="961"/>
      <c r="FC160" s="961"/>
      <c r="FD160" s="961"/>
      <c r="FE160" s="961"/>
      <c r="FF160" s="961"/>
      <c r="FG160" s="961"/>
      <c r="FH160" s="961"/>
      <c r="FI160" s="961"/>
      <c r="FJ160" s="961"/>
      <c r="FK160" s="961"/>
      <c r="FL160" s="961"/>
      <c r="FM160" s="961"/>
      <c r="FN160" s="961"/>
      <c r="FO160" s="961"/>
      <c r="FP160" s="961"/>
      <c r="FQ160" s="961"/>
      <c r="FR160" s="961"/>
      <c r="FS160" s="961"/>
      <c r="FT160" s="961"/>
      <c r="FU160" s="961"/>
      <c r="FV160" s="961"/>
      <c r="FW160" s="961"/>
      <c r="FX160" s="961"/>
      <c r="FY160" s="961"/>
      <c r="FZ160" s="961"/>
      <c r="GA160" s="961"/>
      <c r="GB160" s="961"/>
      <c r="GC160" s="961"/>
      <c r="GD160" s="961"/>
      <c r="GE160" s="961"/>
      <c r="GF160" s="961"/>
      <c r="GG160" s="961"/>
      <c r="GH160" s="961"/>
      <c r="GI160" s="961"/>
    </row>
    <row r="161" spans="2:191" s="15" customFormat="1" hidden="1" outlineLevel="1">
      <c r="B161" s="16" t="s">
        <v>859</v>
      </c>
      <c r="H161" s="883"/>
      <c r="I161" s="883"/>
      <c r="J161" s="883"/>
      <c r="K161" s="883"/>
      <c r="L161" s="883"/>
      <c r="M161" s="1012"/>
      <c r="N161" s="1012"/>
      <c r="O161" s="768"/>
      <c r="P161" s="768"/>
      <c r="Q161" s="768"/>
      <c r="R161" s="1483">
        <f t="shared" si="366"/>
        <v>5.2530000000000001</v>
      </c>
      <c r="S161" s="1483">
        <f t="shared" si="367"/>
        <v>0.11899999999999977</v>
      </c>
      <c r="T161" s="1483"/>
      <c r="U161" s="1483"/>
      <c r="V161" s="1483"/>
      <c r="W161" s="1483"/>
      <c r="X161" s="1484"/>
      <c r="Y161" s="1484"/>
      <c r="Z161" s="1484"/>
      <c r="AA161" s="1484"/>
      <c r="AB161" s="1484"/>
      <c r="AC161" s="1484"/>
      <c r="AD161" s="1484"/>
      <c r="CF161" s="1484">
        <v>-0.45900000000000002</v>
      </c>
      <c r="CG161" s="1484">
        <v>2.7679999999999998</v>
      </c>
      <c r="CH161" s="1484">
        <v>0.98499999999999999</v>
      </c>
      <c r="CI161" s="1484">
        <v>1.9590000000000001</v>
      </c>
      <c r="CJ161" s="1484">
        <v>0.67800000000000005</v>
      </c>
      <c r="CK161" s="1484">
        <v>0.68100000000000005</v>
      </c>
      <c r="CL161" s="1484">
        <v>1.8109999999999999</v>
      </c>
      <c r="CM161" s="1484">
        <v>-3.0510000000000002</v>
      </c>
      <c r="CN161" s="1484"/>
      <c r="CO161" s="1484"/>
      <c r="CP161" s="1484"/>
      <c r="CQ161" s="1484"/>
      <c r="CR161" s="1484"/>
      <c r="CS161" s="1484"/>
      <c r="CT161" s="1484"/>
      <c r="CU161" s="1484"/>
      <c r="CV161" s="1484"/>
      <c r="CW161" s="1484"/>
      <c r="CX161" s="1484"/>
      <c r="CY161" s="1484"/>
      <c r="CZ161" s="1484"/>
      <c r="DA161" s="1484"/>
      <c r="DB161" s="1484"/>
      <c r="DC161" s="1484"/>
      <c r="EU161" s="42"/>
      <c r="EV161"/>
      <c r="EW161"/>
      <c r="EX161"/>
      <c r="EY161"/>
      <c r="EZ161"/>
      <c r="FA161"/>
      <c r="FB161" s="961"/>
      <c r="FC161" s="961"/>
      <c r="FD161" s="961"/>
      <c r="FE161" s="961"/>
      <c r="FF161" s="961"/>
      <c r="FG161" s="961"/>
      <c r="FH161" s="961"/>
      <c r="FI161" s="961"/>
      <c r="FJ161" s="961"/>
      <c r="FK161" s="961"/>
      <c r="FL161" s="961"/>
      <c r="FM161" s="961"/>
      <c r="FN161" s="961"/>
      <c r="FO161" s="961"/>
      <c r="FP161" s="961"/>
      <c r="FQ161" s="961"/>
      <c r="FR161" s="961"/>
      <c r="FS161" s="961"/>
      <c r="FT161" s="961"/>
      <c r="FU161" s="961"/>
      <c r="FV161" s="961"/>
      <c r="FW161" s="961"/>
      <c r="FX161" s="961"/>
      <c r="FY161" s="961"/>
      <c r="FZ161" s="961"/>
      <c r="GA161" s="961"/>
      <c r="GB161" s="961"/>
      <c r="GC161" s="961"/>
      <c r="GD161" s="961"/>
      <c r="GE161" s="961"/>
      <c r="GF161" s="961"/>
      <c r="GG161" s="961"/>
      <c r="GH161" s="961"/>
      <c r="GI161" s="961"/>
    </row>
    <row r="162" spans="2:191" s="15" customFormat="1" hidden="1" outlineLevel="1">
      <c r="B162" s="16" t="s">
        <v>860</v>
      </c>
      <c r="H162" s="883"/>
      <c r="I162" s="883"/>
      <c r="J162" s="883"/>
      <c r="K162" s="883"/>
      <c r="L162" s="883"/>
      <c r="M162" s="1012"/>
      <c r="N162" s="1012"/>
      <c r="O162" s="768"/>
      <c r="P162" s="768"/>
      <c r="Q162" s="768"/>
      <c r="R162" s="1483">
        <f t="shared" si="366"/>
        <v>0.82500000000000007</v>
      </c>
      <c r="S162" s="1483">
        <f t="shared" si="367"/>
        <v>0.30099999999999999</v>
      </c>
      <c r="T162" s="1483"/>
      <c r="U162" s="1483"/>
      <c r="V162" s="1483"/>
      <c r="W162" s="1483"/>
      <c r="X162" s="1484"/>
      <c r="Y162" s="1484"/>
      <c r="Z162" s="1484"/>
      <c r="AA162" s="1484"/>
      <c r="AB162" s="1484"/>
      <c r="AC162" s="1484"/>
      <c r="AD162" s="1484"/>
      <c r="CF162" s="1484">
        <v>8.9999999999999993E-3</v>
      </c>
      <c r="CG162" s="1484">
        <v>8.9999999999999993E-3</v>
      </c>
      <c r="CH162" s="1484">
        <v>0</v>
      </c>
      <c r="CI162" s="1484">
        <v>0.80700000000000005</v>
      </c>
      <c r="CJ162" s="1484">
        <v>3.3000000000000002E-2</v>
      </c>
      <c r="CK162" s="1484">
        <v>0.183</v>
      </c>
      <c r="CL162" s="1484">
        <v>3.1E-2</v>
      </c>
      <c r="CM162" s="1484">
        <v>5.3999999999999999E-2</v>
      </c>
      <c r="CN162" s="1484"/>
      <c r="CO162" s="1484"/>
      <c r="CP162" s="1484"/>
      <c r="CQ162" s="1484"/>
      <c r="CR162" s="1484"/>
      <c r="CS162" s="1484"/>
      <c r="CT162" s="1484"/>
      <c r="CU162" s="1484"/>
      <c r="CV162" s="1484"/>
      <c r="CW162" s="1484"/>
      <c r="CX162" s="1484"/>
      <c r="CY162" s="1484"/>
      <c r="CZ162" s="1484"/>
      <c r="DA162" s="1484"/>
      <c r="DB162" s="1484"/>
      <c r="DC162" s="1484"/>
      <c r="EU162" s="42"/>
      <c r="EV162"/>
      <c r="EW162"/>
      <c r="EX162"/>
      <c r="EY162"/>
      <c r="EZ162"/>
      <c r="FA162"/>
      <c r="FB162" s="961"/>
      <c r="FC162" s="961"/>
      <c r="FD162" s="961"/>
      <c r="FE162" s="961"/>
      <c r="FF162" s="961"/>
      <c r="FG162" s="961"/>
      <c r="FH162" s="961"/>
      <c r="FI162" s="961"/>
      <c r="FJ162" s="961"/>
      <c r="FK162" s="961"/>
      <c r="FL162" s="961"/>
      <c r="FM162" s="961"/>
      <c r="FN162" s="961"/>
      <c r="FO162" s="961"/>
      <c r="FP162" s="961"/>
      <c r="FQ162" s="961"/>
      <c r="FR162" s="961"/>
      <c r="FS162" s="961"/>
      <c r="FT162" s="961"/>
      <c r="FU162" s="961"/>
      <c r="FV162" s="961"/>
      <c r="FW162" s="961"/>
      <c r="FX162" s="961"/>
      <c r="FY162" s="961"/>
      <c r="FZ162" s="961"/>
      <c r="GA162" s="961"/>
      <c r="GB162" s="961"/>
      <c r="GC162" s="961"/>
      <c r="GD162" s="961"/>
      <c r="GE162" s="961"/>
      <c r="GF162" s="961"/>
      <c r="GG162" s="961"/>
      <c r="GH162" s="961"/>
      <c r="GI162" s="961"/>
    </row>
    <row r="163" spans="2:191" s="15" customFormat="1" hidden="1" outlineLevel="1">
      <c r="B163" s="16" t="s">
        <v>861</v>
      </c>
      <c r="H163" s="883"/>
      <c r="I163" s="883"/>
      <c r="J163" s="883"/>
      <c r="K163" s="883"/>
      <c r="L163" s="883"/>
      <c r="M163" s="1012"/>
      <c r="N163" s="1012"/>
      <c r="O163" s="768"/>
      <c r="P163" s="768"/>
      <c r="Q163" s="768"/>
      <c r="R163" s="1483">
        <f t="shared" si="366"/>
        <v>-14.045999999999999</v>
      </c>
      <c r="S163" s="1483">
        <f t="shared" si="367"/>
        <v>-7.2219999999999995</v>
      </c>
      <c r="T163" s="1483"/>
      <c r="U163" s="1483"/>
      <c r="V163" s="1483"/>
      <c r="W163" s="1483"/>
      <c r="X163" s="1484"/>
      <c r="Y163" s="1484"/>
      <c r="Z163" s="1484"/>
      <c r="AA163" s="1484"/>
      <c r="AB163" s="1484"/>
      <c r="AC163" s="1484"/>
      <c r="AD163" s="1484"/>
      <c r="CF163" s="1484">
        <v>-4.3410000000000002</v>
      </c>
      <c r="CG163" s="1484">
        <v>-3.665</v>
      </c>
      <c r="CH163" s="1484">
        <v>-2.722</v>
      </c>
      <c r="CI163" s="1484">
        <v>-3.3180000000000001</v>
      </c>
      <c r="CJ163" s="1484">
        <v>-2.609</v>
      </c>
      <c r="CK163" s="1484">
        <v>-4.0419999999999998</v>
      </c>
      <c r="CL163" s="1484">
        <v>-0.58099999999999996</v>
      </c>
      <c r="CM163" s="1484">
        <v>0.01</v>
      </c>
      <c r="CN163" s="1484"/>
      <c r="CO163" s="1484"/>
      <c r="CP163" s="1484"/>
      <c r="CQ163" s="1484"/>
      <c r="CR163" s="1484"/>
      <c r="CS163" s="1484"/>
      <c r="CT163" s="1484"/>
      <c r="CU163" s="1484"/>
      <c r="CV163" s="1484"/>
      <c r="CW163" s="1484"/>
      <c r="CX163" s="1484"/>
      <c r="CY163" s="1484"/>
      <c r="CZ163" s="1498"/>
      <c r="DA163" s="1498"/>
      <c r="DB163" s="1498"/>
      <c r="DC163" s="1498"/>
      <c r="EU163" s="42"/>
      <c r="EV163"/>
      <c r="EW163"/>
      <c r="EX163"/>
      <c r="EY163"/>
      <c r="EZ163"/>
      <c r="FA163"/>
      <c r="FB163" s="961"/>
      <c r="FC163" s="961"/>
      <c r="FD163" s="961"/>
      <c r="FE163" s="961"/>
      <c r="FF163" s="961"/>
      <c r="FG163" s="961"/>
      <c r="FH163" s="961"/>
      <c r="FI163" s="961"/>
      <c r="FJ163" s="961"/>
      <c r="FK163" s="961"/>
      <c r="FL163" s="961"/>
      <c r="FM163" s="961"/>
      <c r="FN163" s="961"/>
      <c r="FO163" s="961"/>
      <c r="FP163" s="961"/>
      <c r="FQ163" s="961"/>
      <c r="FR163" s="961"/>
      <c r="FS163" s="961"/>
      <c r="FT163" s="961"/>
      <c r="FU163" s="961"/>
      <c r="FV163" s="961"/>
      <c r="FW163" s="961"/>
      <c r="FX163" s="961"/>
      <c r="FY163" s="961"/>
      <c r="FZ163" s="961"/>
      <c r="GA163" s="961"/>
      <c r="GB163" s="961"/>
      <c r="GC163" s="961"/>
      <c r="GD163" s="961"/>
      <c r="GE163" s="961"/>
      <c r="GF163" s="961"/>
      <c r="GG163" s="961"/>
      <c r="GH163" s="961"/>
      <c r="GI163" s="961"/>
    </row>
    <row r="164" spans="2:191" s="15" customFormat="1" hidden="1" outlineLevel="1">
      <c r="B164" s="16" t="s">
        <v>862</v>
      </c>
      <c r="H164" s="883"/>
      <c r="I164" s="883"/>
      <c r="J164" s="883"/>
      <c r="K164" s="883"/>
      <c r="L164" s="883"/>
      <c r="M164" s="1012"/>
      <c r="N164" s="1012"/>
      <c r="O164" s="768"/>
      <c r="P164" s="768"/>
      <c r="Q164" s="768"/>
      <c r="R164" s="1483">
        <f t="shared" si="366"/>
        <v>0</v>
      </c>
      <c r="S164" s="1483">
        <f t="shared" si="367"/>
        <v>0</v>
      </c>
      <c r="T164" s="1483"/>
      <c r="U164" s="1483"/>
      <c r="V164" s="1483"/>
      <c r="W164" s="1483"/>
      <c r="X164" s="1688"/>
      <c r="Y164" s="1688"/>
      <c r="Z164" s="1688"/>
      <c r="AA164" s="1688"/>
      <c r="AB164" s="1688"/>
      <c r="AC164" s="1688"/>
      <c r="AD164" s="1688"/>
      <c r="CF164" s="1484">
        <v>0</v>
      </c>
      <c r="CG164" s="1484">
        <v>0</v>
      </c>
      <c r="CH164" s="1484">
        <v>0</v>
      </c>
      <c r="CI164" s="1484">
        <v>0</v>
      </c>
      <c r="CJ164" s="1484">
        <v>0</v>
      </c>
      <c r="CK164" s="1484">
        <v>0</v>
      </c>
      <c r="CL164" s="1484">
        <v>0</v>
      </c>
      <c r="CM164" s="1484">
        <v>0</v>
      </c>
      <c r="CN164" s="1484"/>
      <c r="CO164" s="1484"/>
      <c r="CP164" s="1484"/>
      <c r="CQ164" s="1484"/>
      <c r="CR164" s="1484"/>
      <c r="CS164" s="1484"/>
      <c r="CT164" s="1484"/>
      <c r="CU164" s="1484"/>
      <c r="CV164" s="1484"/>
      <c r="CW164" s="1484"/>
      <c r="CX164" s="1484"/>
      <c r="CY164" s="1484"/>
      <c r="CZ164" s="1484"/>
      <c r="DA164" s="1484"/>
      <c r="DB164" s="1484"/>
      <c r="DC164" s="1484"/>
      <c r="EU164" s="42"/>
      <c r="EV164"/>
      <c r="EW164"/>
      <c r="EX164"/>
      <c r="EY164"/>
      <c r="EZ164"/>
      <c r="FA164"/>
      <c r="FB164" s="961"/>
      <c r="FC164" s="961"/>
      <c r="FD164" s="961"/>
      <c r="FE164" s="961"/>
      <c r="FF164" s="961"/>
      <c r="FG164" s="961"/>
      <c r="FH164" s="961"/>
      <c r="FI164" s="961"/>
      <c r="FJ164" s="961"/>
      <c r="FK164" s="961"/>
      <c r="FL164" s="961"/>
      <c r="FM164" s="961"/>
      <c r="FN164" s="961"/>
      <c r="FO164" s="961"/>
      <c r="FP164" s="961"/>
      <c r="FQ164" s="961"/>
      <c r="FR164" s="961"/>
      <c r="FS164" s="961"/>
      <c r="FT164" s="961"/>
      <c r="FU164" s="961"/>
      <c r="FV164" s="961"/>
      <c r="FW164" s="961"/>
      <c r="FX164" s="961"/>
      <c r="FY164" s="961"/>
      <c r="FZ164" s="961"/>
      <c r="GA164" s="961"/>
      <c r="GB164" s="961"/>
      <c r="GC164" s="961"/>
      <c r="GD164" s="961"/>
      <c r="GE164" s="961"/>
      <c r="GF164" s="961"/>
      <c r="GG164" s="961"/>
      <c r="GH164" s="961"/>
      <c r="GI164" s="961"/>
    </row>
    <row r="165" spans="2:191" s="15" customFormat="1" hidden="1" outlineLevel="1">
      <c r="B165" s="16" t="s">
        <v>863</v>
      </c>
      <c r="H165" s="883"/>
      <c r="I165" s="883"/>
      <c r="J165" s="883"/>
      <c r="K165" s="883"/>
      <c r="L165" s="883"/>
      <c r="M165" s="1012"/>
      <c r="N165" s="1012"/>
      <c r="O165" s="768"/>
      <c r="P165" s="768"/>
      <c r="Q165" s="768"/>
      <c r="R165" s="1498">
        <f>SUM(R153:R164)</f>
        <v>679.50199999999995</v>
      </c>
      <c r="S165" s="1498">
        <f>SUM(S153:S164)</f>
        <v>761.67900000000009</v>
      </c>
      <c r="T165" s="1498"/>
      <c r="U165" s="1498"/>
      <c r="V165" s="1498"/>
      <c r="W165" s="1498"/>
      <c r="X165" s="1498"/>
      <c r="Y165" s="1498"/>
      <c r="Z165" s="1498"/>
      <c r="AA165" s="1498"/>
      <c r="AB165" s="1498"/>
      <c r="AC165" s="1498"/>
      <c r="AD165" s="1498"/>
      <c r="CF165" s="1498">
        <f t="shared" ref="CF165:CM165" si="368">SUM(CF153:CF164)</f>
        <v>167.21599999999989</v>
      </c>
      <c r="CG165" s="1498">
        <f t="shared" si="368"/>
        <v>166.21499999999997</v>
      </c>
      <c r="CH165" s="1498">
        <f t="shared" si="368"/>
        <v>168.73200000000011</v>
      </c>
      <c r="CI165" s="1498">
        <f t="shared" si="368"/>
        <v>177.33899999999997</v>
      </c>
      <c r="CJ165" s="1498">
        <f t="shared" si="368"/>
        <v>172.744</v>
      </c>
      <c r="CK165" s="1498">
        <f t="shared" si="368"/>
        <v>187.59700000000004</v>
      </c>
      <c r="CL165" s="1498">
        <f t="shared" si="368"/>
        <v>206.83200000000005</v>
      </c>
      <c r="CM165" s="1498">
        <f t="shared" si="368"/>
        <v>194.50600000000003</v>
      </c>
      <c r="CN165" s="1498"/>
      <c r="CO165" s="1498"/>
      <c r="CP165" s="1498"/>
      <c r="CQ165" s="1498"/>
      <c r="CR165" s="1498"/>
      <c r="CS165" s="1498"/>
      <c r="CT165" s="1498"/>
      <c r="CU165" s="1498"/>
      <c r="CV165" s="1498"/>
      <c r="CW165" s="1498"/>
      <c r="CX165" s="1498"/>
      <c r="CY165" s="1498"/>
      <c r="CZ165" s="1498"/>
      <c r="DA165" s="1498"/>
      <c r="DB165" s="1498"/>
      <c r="DC165" s="1498"/>
      <c r="EU165" s="42"/>
      <c r="EV165"/>
      <c r="EW165"/>
      <c r="EX165"/>
      <c r="EY165"/>
      <c r="EZ165"/>
      <c r="FA165"/>
      <c r="FB165" s="961"/>
      <c r="FC165" s="961"/>
      <c r="FD165" s="961"/>
      <c r="FE165" s="961"/>
      <c r="FF165" s="961"/>
      <c r="FG165" s="961"/>
      <c r="FH165" s="961"/>
      <c r="FI165" s="961"/>
      <c r="FJ165" s="961"/>
      <c r="FK165" s="961"/>
      <c r="FL165" s="961"/>
      <c r="FM165" s="961"/>
      <c r="FN165" s="961"/>
      <c r="FO165" s="961"/>
      <c r="FP165" s="961"/>
      <c r="FQ165" s="961"/>
      <c r="FR165" s="961"/>
      <c r="FS165" s="961"/>
      <c r="FT165" s="961"/>
      <c r="FU165" s="961"/>
      <c r="FV165" s="961"/>
      <c r="FW165" s="961"/>
      <c r="FX165" s="961"/>
      <c r="FY165" s="961"/>
      <c r="FZ165" s="961"/>
      <c r="GA165" s="961"/>
      <c r="GB165" s="961"/>
      <c r="GC165" s="961"/>
      <c r="GD165" s="961"/>
      <c r="GE165" s="961"/>
      <c r="GF165" s="961"/>
      <c r="GG165" s="961"/>
      <c r="GH165" s="961"/>
      <c r="GI165" s="961"/>
    </row>
    <row r="166" spans="2:191" s="15" customFormat="1" hidden="1" outlineLevel="1">
      <c r="B166" s="16" t="s">
        <v>1322</v>
      </c>
      <c r="H166" s="883"/>
      <c r="I166" s="883"/>
      <c r="J166" s="883"/>
      <c r="K166" s="883"/>
      <c r="L166" s="883"/>
      <c r="M166" s="1012"/>
      <c r="N166" s="1012"/>
      <c r="O166" s="768"/>
      <c r="P166" s="768"/>
      <c r="Q166" s="768"/>
      <c r="R166" s="768"/>
      <c r="S166" s="768">
        <f>+S165/R165-1</f>
        <v>0.1209370980512201</v>
      </c>
      <c r="T166" s="768"/>
      <c r="U166" s="768"/>
      <c r="V166" s="768"/>
      <c r="W166" s="768"/>
      <c r="X166" s="768"/>
      <c r="Y166" s="768"/>
      <c r="Z166" s="768"/>
      <c r="AA166" s="768"/>
      <c r="AB166" s="768"/>
      <c r="AC166" s="768"/>
      <c r="AD166" s="768"/>
      <c r="EU166" s="42"/>
      <c r="EV166"/>
      <c r="EW166"/>
      <c r="EX166"/>
      <c r="EY166"/>
      <c r="EZ166"/>
      <c r="FA166"/>
      <c r="FB166" s="961"/>
      <c r="FC166" s="961"/>
      <c r="FD166" s="961"/>
      <c r="FE166" s="961"/>
      <c r="FF166" s="961"/>
      <c r="FG166" s="961"/>
      <c r="FH166" s="961"/>
      <c r="FI166" s="961"/>
      <c r="FJ166" s="961"/>
      <c r="FK166" s="961"/>
      <c r="FL166" s="961"/>
      <c r="FM166" s="961"/>
      <c r="FN166" s="961"/>
      <c r="FO166" s="961"/>
      <c r="FP166" s="961"/>
      <c r="FQ166" s="961"/>
      <c r="FR166" s="961"/>
      <c r="FS166" s="961"/>
      <c r="FT166" s="961"/>
      <c r="FU166" s="961"/>
      <c r="FV166" s="961"/>
      <c r="FW166" s="961"/>
      <c r="FX166" s="961"/>
      <c r="FY166" s="961"/>
      <c r="FZ166" s="961"/>
      <c r="GA166" s="961"/>
      <c r="GB166" s="961"/>
      <c r="GC166" s="961"/>
      <c r="GD166" s="961"/>
      <c r="GE166" s="961"/>
      <c r="GF166" s="961"/>
      <c r="GG166" s="961"/>
      <c r="GH166" s="961"/>
      <c r="GI166" s="961"/>
    </row>
    <row r="167" spans="2:191" s="15" customFormat="1" hidden="1" outlineLevel="1">
      <c r="B167" s="16" t="s">
        <v>1838</v>
      </c>
      <c r="H167" s="883"/>
      <c r="I167" s="883"/>
      <c r="J167" s="883"/>
      <c r="K167" s="883"/>
      <c r="L167" s="883"/>
      <c r="M167" s="1012"/>
      <c r="N167" s="1012"/>
      <c r="O167" s="768"/>
      <c r="P167" s="768"/>
      <c r="Q167" s="2087"/>
      <c r="R167" s="2087"/>
      <c r="S167" s="2087"/>
      <c r="T167" s="2087"/>
      <c r="U167" s="2087"/>
      <c r="V167" s="2087"/>
      <c r="W167" s="2087"/>
      <c r="X167" s="2087"/>
      <c r="Y167" s="2087"/>
      <c r="Z167" s="2087"/>
      <c r="AA167" s="2087"/>
      <c r="AB167" s="2087"/>
      <c r="AC167" s="2087"/>
      <c r="AD167" s="2087"/>
      <c r="CF167" s="2087">
        <f>IS!CX82</f>
        <v>53.48</v>
      </c>
      <c r="CG167" s="2087">
        <f>IS!CY82</f>
        <v>49.378999999999998</v>
      </c>
      <c r="CH167" s="2087">
        <f>IS!CZ82</f>
        <v>53.581000000000003</v>
      </c>
      <c r="CI167" s="2087">
        <f>IS!DA82</f>
        <v>53.499000000000002</v>
      </c>
      <c r="CJ167" s="2087">
        <f>IS!DB82</f>
        <v>53.386000000000003</v>
      </c>
      <c r="CK167" s="2087">
        <f>IS!DC82</f>
        <v>51.652000000000001</v>
      </c>
      <c r="CL167" s="2087">
        <f>IS!DD82</f>
        <v>55.238</v>
      </c>
      <c r="CM167" s="2087">
        <f>IS!DE82</f>
        <v>55.295000000000002</v>
      </c>
      <c r="CN167" s="2087"/>
      <c r="CO167" s="2087"/>
      <c r="CP167" s="2087"/>
      <c r="CQ167" s="2087"/>
      <c r="CR167" s="2087"/>
      <c r="CS167" s="2087"/>
      <c r="CT167" s="2087"/>
      <c r="CU167" s="2087"/>
      <c r="CV167" s="2087"/>
      <c r="CW167" s="2087"/>
      <c r="CX167" s="2087"/>
      <c r="CY167" s="2087"/>
      <c r="CZ167" s="2087"/>
      <c r="DA167" s="2087"/>
      <c r="DB167" s="2087"/>
      <c r="DC167" s="2087"/>
      <c r="EU167" s="42"/>
      <c r="EV167"/>
      <c r="EW167"/>
      <c r="EX167"/>
      <c r="EY167"/>
      <c r="EZ167"/>
      <c r="FA167"/>
      <c r="FB167" s="961"/>
      <c r="FC167" s="961"/>
      <c r="FD167" s="961"/>
      <c r="FE167" s="961"/>
      <c r="FF167" s="961"/>
      <c r="FG167" s="961"/>
      <c r="FH167" s="961"/>
      <c r="FI167" s="961"/>
      <c r="FJ167" s="961"/>
      <c r="FK167" s="961"/>
      <c r="FL167" s="961"/>
      <c r="FM167" s="961"/>
      <c r="FN167" s="961"/>
      <c r="FO167" s="961"/>
      <c r="FP167" s="961"/>
      <c r="FQ167" s="961"/>
      <c r="FR167" s="961"/>
      <c r="FS167" s="961"/>
      <c r="FT167" s="961"/>
      <c r="FU167" s="961"/>
      <c r="FV167" s="961"/>
      <c r="FW167" s="961"/>
      <c r="FX167" s="961"/>
      <c r="FY167" s="961"/>
      <c r="FZ167" s="961"/>
      <c r="GA167" s="961"/>
      <c r="GB167" s="961"/>
      <c r="GC167" s="961"/>
      <c r="GD167" s="961"/>
      <c r="GE167" s="961"/>
      <c r="GF167" s="961"/>
      <c r="GG167" s="961"/>
      <c r="GH167" s="961"/>
      <c r="GI167" s="961"/>
    </row>
    <row r="168" spans="2:191" s="15" customFormat="1" hidden="1" outlineLevel="1">
      <c r="B168" s="16" t="s">
        <v>978</v>
      </c>
      <c r="H168" s="883"/>
      <c r="I168" s="883"/>
      <c r="J168" s="883"/>
      <c r="K168" s="883"/>
      <c r="L168" s="883"/>
      <c r="M168" s="1012"/>
      <c r="N168" s="1012"/>
      <c r="O168" s="768"/>
      <c r="P168" s="768"/>
      <c r="Q168" s="2087"/>
      <c r="R168" s="1965">
        <f>+SUM(CF168:CI168)</f>
        <v>12.956719603402789</v>
      </c>
      <c r="S168" s="1965">
        <f>+SUM(CJ168:CM168)</f>
        <v>14.129679811918985</v>
      </c>
      <c r="T168" s="1965"/>
      <c r="U168" s="1965"/>
      <c r="V168" s="1965"/>
      <c r="W168" s="1965"/>
      <c r="X168" s="1965"/>
      <c r="Y168" s="1965"/>
      <c r="Z168" s="1965"/>
      <c r="AA168" s="1965"/>
      <c r="AB168" s="1965"/>
      <c r="AC168" s="1965"/>
      <c r="AD168" s="1965"/>
      <c r="AE168" s="1965"/>
      <c r="AF168" s="1965"/>
      <c r="AG168" s="1965"/>
      <c r="AH168" s="1965"/>
      <c r="AI168" s="1965"/>
      <c r="AJ168" s="1965"/>
      <c r="AK168" s="1965"/>
      <c r="AL168" s="1965"/>
      <c r="AM168" s="1965"/>
      <c r="AN168" s="1965"/>
      <c r="AO168" s="1965"/>
      <c r="AP168" s="1965"/>
      <c r="AQ168" s="1965"/>
      <c r="AR168" s="1965"/>
      <c r="AS168" s="1965"/>
      <c r="AT168" s="1965"/>
      <c r="AU168" s="1965"/>
      <c r="AV168" s="1965"/>
      <c r="AW168" s="1965"/>
      <c r="AX168" s="1965"/>
      <c r="AY168" s="1965"/>
      <c r="AZ168" s="1965"/>
      <c r="BA168" s="1965"/>
      <c r="BB168" s="1965"/>
      <c r="BC168" s="1965"/>
      <c r="BD168" s="1965"/>
      <c r="BE168" s="1965"/>
      <c r="BF168" s="1965"/>
      <c r="BG168" s="1965"/>
      <c r="BH168" s="1965"/>
      <c r="BI168" s="1965"/>
      <c r="BJ168" s="1965"/>
      <c r="BK168" s="1965"/>
      <c r="BL168" s="1965"/>
      <c r="BM168" s="1965"/>
      <c r="BN168" s="1965"/>
      <c r="BO168" s="1965"/>
      <c r="BP168" s="1965"/>
      <c r="BQ168" s="1965"/>
      <c r="BR168" s="1965"/>
      <c r="BS168" s="1965"/>
      <c r="BT168" s="1965"/>
      <c r="BU168" s="1965"/>
      <c r="BV168" s="1965"/>
      <c r="BW168" s="1965"/>
      <c r="BX168" s="1965"/>
      <c r="BY168" s="1965"/>
      <c r="BZ168" s="1965"/>
      <c r="CA168" s="1965"/>
      <c r="CB168" s="1965"/>
      <c r="CC168" s="1965"/>
      <c r="CD168" s="1965"/>
      <c r="CE168" s="1965"/>
      <c r="CF168" s="1965">
        <f t="shared" ref="CF168:CM168" si="369">+CF165/CF167</f>
        <v>3.1267015706806265</v>
      </c>
      <c r="CG168" s="1965">
        <f t="shared" si="369"/>
        <v>3.3661070495554788</v>
      </c>
      <c r="CH168" s="1965">
        <f t="shared" si="369"/>
        <v>3.1491013605569158</v>
      </c>
      <c r="CI168" s="1965">
        <f t="shared" si="369"/>
        <v>3.3148096226097676</v>
      </c>
      <c r="CJ168" s="1965">
        <f t="shared" si="369"/>
        <v>3.2357546922414113</v>
      </c>
      <c r="CK168" s="1965">
        <f t="shared" si="369"/>
        <v>3.6319406799349498</v>
      </c>
      <c r="CL168" s="1965">
        <f t="shared" si="369"/>
        <v>3.7443788696187417</v>
      </c>
      <c r="CM168" s="1965">
        <f t="shared" si="369"/>
        <v>3.5176055701238815</v>
      </c>
      <c r="CN168" s="1965"/>
      <c r="CO168" s="1965"/>
      <c r="CP168" s="1965"/>
      <c r="CQ168" s="1965"/>
      <c r="CR168" s="1965"/>
      <c r="CS168" s="1965"/>
      <c r="CT168" s="1965"/>
      <c r="CU168" s="1965"/>
      <c r="CV168" s="1965"/>
      <c r="CW168" s="1965"/>
      <c r="CX168" s="1965"/>
      <c r="CY168" s="1965"/>
      <c r="CZ168" s="1965"/>
      <c r="DA168" s="1965"/>
      <c r="DB168" s="1965"/>
      <c r="DC168" s="1965"/>
      <c r="EU168" s="42"/>
      <c r="EV168"/>
      <c r="EW168"/>
      <c r="EX168"/>
      <c r="EY168"/>
      <c r="EZ168"/>
      <c r="FA168"/>
      <c r="FB168" s="961"/>
      <c r="FC168" s="961"/>
      <c r="FD168" s="961"/>
      <c r="FE168" s="961"/>
      <c r="FF168" s="961"/>
      <c r="FG168" s="961"/>
      <c r="FH168" s="961"/>
      <c r="FI168" s="961"/>
      <c r="FJ168" s="961"/>
      <c r="FK168" s="961"/>
      <c r="FL168" s="961"/>
      <c r="FM168" s="961"/>
      <c r="FN168" s="961"/>
      <c r="FO168" s="961"/>
      <c r="FP168" s="961"/>
      <c r="FQ168" s="961"/>
      <c r="FR168" s="961"/>
      <c r="FS168" s="961"/>
      <c r="FT168" s="961"/>
      <c r="FU168" s="961"/>
      <c r="FV168" s="961"/>
      <c r="FW168" s="961"/>
      <c r="FX168" s="961"/>
      <c r="FY168" s="961"/>
      <c r="FZ168" s="961"/>
      <c r="GA168" s="961"/>
      <c r="GB168" s="961"/>
      <c r="GC168" s="961"/>
      <c r="GD168" s="961"/>
      <c r="GE168" s="961"/>
      <c r="GF168" s="961"/>
      <c r="GG168" s="961"/>
      <c r="GH168" s="961"/>
      <c r="GI168" s="961"/>
    </row>
    <row r="169" spans="2:191" s="15" customFormat="1" hidden="1" outlineLevel="1">
      <c r="B169" s="16"/>
      <c r="H169" s="883"/>
      <c r="I169" s="883"/>
      <c r="J169" s="883"/>
      <c r="K169" s="883"/>
      <c r="L169" s="883"/>
      <c r="M169" s="1012"/>
      <c r="N169" s="1012"/>
      <c r="O169" s="768"/>
      <c r="P169" s="768"/>
      <c r="Q169" s="2087"/>
      <c r="R169" s="2087"/>
      <c r="S169" s="2087"/>
      <c r="T169" s="2087"/>
      <c r="U169" s="2087"/>
      <c r="V169" s="2087"/>
      <c r="W169" s="2087"/>
      <c r="X169" s="2087"/>
      <c r="Y169" s="2087"/>
      <c r="Z169" s="2087"/>
      <c r="AA169" s="2087"/>
      <c r="AB169" s="2087"/>
      <c r="AC169" s="2087"/>
      <c r="AD169" s="2087"/>
      <c r="EU169" s="42"/>
      <c r="EV169"/>
      <c r="EW169"/>
      <c r="EX169"/>
      <c r="EY169"/>
      <c r="EZ169"/>
      <c r="FA169"/>
      <c r="FB169" s="961"/>
      <c r="FC169" s="961"/>
      <c r="FD169" s="961"/>
      <c r="FE169" s="961"/>
      <c r="FF169" s="961"/>
      <c r="FG169" s="961"/>
      <c r="FH169" s="961"/>
      <c r="FI169" s="961"/>
      <c r="FJ169" s="961"/>
      <c r="FK169" s="961"/>
      <c r="FL169" s="961"/>
      <c r="FM169" s="961"/>
      <c r="FN169" s="961"/>
      <c r="FO169" s="961"/>
      <c r="FP169" s="961"/>
      <c r="FQ169" s="961"/>
      <c r="FR169" s="961"/>
      <c r="FS169" s="961"/>
      <c r="FT169" s="961"/>
      <c r="FU169" s="961"/>
      <c r="FV169" s="961"/>
      <c r="FW169" s="961"/>
      <c r="FX169" s="961"/>
      <c r="FY169" s="961"/>
      <c r="FZ169" s="961"/>
      <c r="GA169" s="961"/>
      <c r="GB169" s="961"/>
      <c r="GC169" s="961"/>
      <c r="GD169" s="961"/>
      <c r="GE169" s="961"/>
      <c r="GF169" s="961"/>
      <c r="GG169" s="961"/>
      <c r="GH169" s="961"/>
      <c r="GI169" s="961"/>
    </row>
    <row r="170" spans="2:191" s="15" customFormat="1" hidden="1" outlineLevel="1">
      <c r="B170" s="16"/>
      <c r="H170" s="883"/>
      <c r="I170" s="883"/>
      <c r="J170" s="883"/>
      <c r="K170" s="883"/>
      <c r="L170" s="883"/>
      <c r="M170" s="1012"/>
      <c r="N170" s="1012"/>
      <c r="O170" s="768"/>
      <c r="P170" s="768"/>
      <c r="Q170" s="2087"/>
      <c r="R170" s="2087"/>
      <c r="S170" s="2087"/>
      <c r="T170" s="2087"/>
      <c r="U170" s="2087"/>
      <c r="V170" s="2087"/>
      <c r="W170" s="2087"/>
      <c r="X170" s="2087"/>
      <c r="Y170" s="2087"/>
      <c r="Z170" s="2087"/>
      <c r="AA170" s="2087"/>
      <c r="AB170" s="2087"/>
      <c r="AC170" s="2087"/>
      <c r="AD170" s="2087"/>
      <c r="EU170" s="42"/>
      <c r="EV170"/>
      <c r="EW170"/>
      <c r="EX170"/>
      <c r="EY170"/>
      <c r="EZ170"/>
      <c r="FA170"/>
      <c r="FB170" s="961"/>
      <c r="FC170" s="961"/>
      <c r="FD170" s="961"/>
      <c r="FE170" s="961"/>
      <c r="FF170" s="961"/>
      <c r="FG170" s="961"/>
      <c r="FH170" s="961"/>
      <c r="FI170" s="961"/>
      <c r="FJ170" s="961"/>
      <c r="FK170" s="961"/>
      <c r="FL170" s="961"/>
      <c r="FM170" s="961"/>
      <c r="FN170" s="961"/>
      <c r="FO170" s="961"/>
      <c r="FP170" s="961"/>
      <c r="FQ170" s="961"/>
      <c r="FR170" s="961"/>
      <c r="FS170" s="961"/>
      <c r="FT170" s="961"/>
      <c r="FU170" s="961"/>
      <c r="FV170" s="961"/>
      <c r="FW170" s="961"/>
      <c r="FX170" s="961"/>
      <c r="FY170" s="961"/>
      <c r="FZ170" s="961"/>
      <c r="GA170" s="961"/>
      <c r="GB170" s="961"/>
      <c r="GC170" s="961"/>
      <c r="GD170" s="961"/>
      <c r="GE170" s="961"/>
      <c r="GF170" s="961"/>
      <c r="GG170" s="961"/>
      <c r="GH170" s="961"/>
      <c r="GI170" s="961"/>
    </row>
    <row r="171" spans="2:191" s="15" customFormat="1" hidden="1" outlineLevel="1">
      <c r="B171" s="16"/>
      <c r="H171" s="883"/>
      <c r="I171" s="883"/>
      <c r="J171" s="883"/>
      <c r="K171" s="883"/>
      <c r="L171" s="883"/>
      <c r="M171" s="1012"/>
      <c r="N171" s="1012"/>
      <c r="O171" s="768"/>
      <c r="P171" s="768"/>
      <c r="Q171" s="768"/>
      <c r="R171" s="768"/>
      <c r="S171" s="768"/>
      <c r="T171" s="768"/>
      <c r="U171" s="768"/>
      <c r="V171" s="768"/>
      <c r="W171" s="768"/>
      <c r="X171" s="768"/>
      <c r="Y171" s="768"/>
      <c r="Z171" s="768"/>
      <c r="AA171" s="768"/>
      <c r="AB171" s="768"/>
      <c r="AC171" s="768"/>
      <c r="AD171" s="768"/>
      <c r="EU171" s="42"/>
      <c r="EV171"/>
      <c r="EW171"/>
      <c r="EX171"/>
      <c r="EY171"/>
      <c r="EZ171"/>
      <c r="FA171"/>
      <c r="FB171" s="961"/>
      <c r="FC171" s="961"/>
      <c r="FD171" s="961"/>
      <c r="FE171" s="961"/>
      <c r="FF171" s="961"/>
      <c r="FG171" s="961"/>
      <c r="FH171" s="961"/>
      <c r="FI171" s="961"/>
      <c r="FJ171" s="961"/>
      <c r="FK171" s="961"/>
      <c r="FL171" s="961"/>
      <c r="FM171" s="961"/>
      <c r="FN171" s="961"/>
      <c r="FO171" s="961"/>
      <c r="FP171" s="961"/>
      <c r="FQ171" s="961"/>
      <c r="FR171" s="961"/>
      <c r="FS171" s="961"/>
      <c r="FT171" s="961"/>
      <c r="FU171" s="961"/>
      <c r="FV171" s="961"/>
      <c r="FW171" s="961"/>
      <c r="FX171" s="961"/>
      <c r="FY171" s="961"/>
      <c r="FZ171" s="961"/>
      <c r="GA171" s="961"/>
      <c r="GB171" s="961"/>
      <c r="GC171" s="961"/>
      <c r="GD171" s="961"/>
      <c r="GE171" s="961"/>
      <c r="GF171" s="961"/>
      <c r="GG171" s="961"/>
      <c r="GH171" s="961"/>
      <c r="GI171" s="961"/>
    </row>
    <row r="172" spans="2:191" s="15" customFormat="1" hidden="1" outlineLevel="1">
      <c r="B172" s="801" t="s">
        <v>864</v>
      </c>
      <c r="H172" s="883"/>
      <c r="I172" s="883"/>
      <c r="J172" s="883"/>
      <c r="K172" s="883"/>
      <c r="L172" s="883"/>
      <c r="M172" s="1012"/>
      <c r="N172" s="1012"/>
      <c r="O172" s="768"/>
      <c r="P172" s="768"/>
      <c r="Q172" s="768"/>
      <c r="R172" s="768"/>
      <c r="S172" s="768"/>
      <c r="T172" s="768"/>
      <c r="U172" s="768"/>
      <c r="V172" s="768"/>
      <c r="W172" s="768"/>
      <c r="X172" s="768"/>
      <c r="Y172" s="768"/>
      <c r="Z172" s="768"/>
      <c r="AA172" s="768"/>
      <c r="AB172" s="768"/>
      <c r="AC172" s="768"/>
      <c r="AD172" s="768"/>
      <c r="EU172" s="42"/>
      <c r="EV172"/>
      <c r="EW172"/>
      <c r="EX172"/>
      <c r="EY172"/>
      <c r="EZ172"/>
      <c r="FA172"/>
      <c r="FB172" s="961"/>
      <c r="FC172" s="961"/>
      <c r="FD172" s="961"/>
      <c r="FE172" s="961"/>
      <c r="FF172" s="961"/>
      <c r="FG172" s="961"/>
      <c r="FH172" s="961"/>
      <c r="FI172" s="961"/>
      <c r="FJ172" s="961"/>
      <c r="FK172" s="961"/>
      <c r="FL172" s="961"/>
      <c r="FM172" s="961"/>
      <c r="FN172" s="961"/>
      <c r="FO172" s="961"/>
      <c r="FP172" s="961"/>
      <c r="FQ172" s="961"/>
      <c r="FR172" s="961"/>
      <c r="FS172" s="961"/>
      <c r="FT172" s="961"/>
      <c r="FU172" s="961"/>
      <c r="FV172" s="961"/>
      <c r="FW172" s="961"/>
      <c r="FX172" s="961"/>
      <c r="FY172" s="961"/>
      <c r="FZ172" s="961"/>
      <c r="GA172" s="961"/>
      <c r="GB172" s="961"/>
      <c r="GC172" s="961"/>
      <c r="GD172" s="961"/>
      <c r="GE172" s="961"/>
      <c r="GF172" s="961"/>
      <c r="GG172" s="961"/>
      <c r="GH172" s="961"/>
      <c r="GI172" s="961"/>
    </row>
    <row r="173" spans="2:191" s="15" customFormat="1" hidden="1" outlineLevel="1">
      <c r="B173" s="16" t="s">
        <v>872</v>
      </c>
      <c r="H173" s="883"/>
      <c r="I173" s="883"/>
      <c r="J173" s="883"/>
      <c r="K173" s="883"/>
      <c r="L173" s="883"/>
      <c r="M173" s="1012"/>
      <c r="N173" s="1012"/>
      <c r="O173" s="768"/>
      <c r="P173" s="768"/>
      <c r="Q173" s="768"/>
      <c r="R173" s="768"/>
      <c r="S173" s="768"/>
      <c r="T173" s="768"/>
      <c r="U173" s="768"/>
      <c r="V173" s="768"/>
      <c r="W173" s="768"/>
      <c r="X173" s="2082">
        <f t="shared" ref="X173:Z175" si="370">+W173</f>
        <v>0</v>
      </c>
      <c r="Y173" s="2082">
        <f t="shared" si="370"/>
        <v>0</v>
      </c>
      <c r="Z173" s="2082">
        <f t="shared" si="370"/>
        <v>0</v>
      </c>
      <c r="AA173" s="2082">
        <f t="shared" ref="AA173" si="371">+Z173</f>
        <v>0</v>
      </c>
      <c r="AB173" s="2082">
        <f t="shared" ref="AB173" si="372">+AA173</f>
        <v>0</v>
      </c>
      <c r="AC173" s="2082">
        <f t="shared" ref="AC173" si="373">+AB173</f>
        <v>0</v>
      </c>
      <c r="AD173" s="2082">
        <f t="shared" ref="AD173" si="374">+AC173</f>
        <v>0</v>
      </c>
      <c r="CF173" s="1677">
        <f>+CF157/IS!CX47</f>
        <v>9.7340318932692127E-3</v>
      </c>
      <c r="CG173" s="1677">
        <f>+CG157/IS!CY47</f>
        <v>-0.21770737217905708</v>
      </c>
      <c r="CH173" s="1677">
        <f>+CH157/IS!CZ47</f>
        <v>3.9655187381177646E-2</v>
      </c>
      <c r="CI173" s="1677">
        <f>+CI157/IS!DA47</f>
        <v>2.5898279048556266E-2</v>
      </c>
      <c r="CJ173" s="1677">
        <f>+CJ157/IS!DB47</f>
        <v>4.0744334440680187E-2</v>
      </c>
      <c r="CK173" s="1677">
        <f>+CK157/IS!DC47</f>
        <v>-6.1958186644426073E-2</v>
      </c>
      <c r="CL173" s="1677">
        <f>+CL157/IS!DD47</f>
        <v>0.1645810361797071</v>
      </c>
      <c r="CM173" s="1677">
        <f>+CM157/IS!DE47</f>
        <v>2.3142396695507954</v>
      </c>
      <c r="CN173" s="1677">
        <f>+CN157/IS!DF47</f>
        <v>0</v>
      </c>
      <c r="CO173" s="1677">
        <f>+CO157/IS!DG47</f>
        <v>0</v>
      </c>
      <c r="CP173" s="1677">
        <f>+CP157/IS!DH47</f>
        <v>0</v>
      </c>
      <c r="CQ173" s="1677">
        <f>+CQ157/IS!DI47</f>
        <v>0</v>
      </c>
      <c r="CR173" s="1677">
        <f>+CR157/IS!DJ47</f>
        <v>0</v>
      </c>
      <c r="CS173" s="1677">
        <f>+CS157/IS!DK47</f>
        <v>0</v>
      </c>
      <c r="CT173" s="1677">
        <f>+CT157/IS!DL47</f>
        <v>0</v>
      </c>
      <c r="CU173" s="1677">
        <f>+CU157/IS!DM47</f>
        <v>0</v>
      </c>
      <c r="CV173" s="1677">
        <f>+CV157/IS!DN47</f>
        <v>0</v>
      </c>
      <c r="CW173" s="1677">
        <f>+CW157/IS!DO47</f>
        <v>0</v>
      </c>
      <c r="CX173" s="1677">
        <f>+CX157/IS!DP47</f>
        <v>0</v>
      </c>
      <c r="CY173" s="1677">
        <f>+CY157/IS!DQ47</f>
        <v>0</v>
      </c>
      <c r="CZ173" s="2103">
        <v>0.03</v>
      </c>
      <c r="DA173" s="2103">
        <v>0.03</v>
      </c>
      <c r="DB173" s="2103">
        <v>0.03</v>
      </c>
      <c r="DC173" s="2103">
        <v>0.03</v>
      </c>
      <c r="EU173" s="42"/>
      <c r="EV173"/>
      <c r="EW173"/>
      <c r="EX173"/>
      <c r="EY173"/>
      <c r="EZ173"/>
      <c r="FA173"/>
      <c r="FB173" s="961"/>
      <c r="FC173" s="961"/>
      <c r="FD173" s="961"/>
      <c r="FE173" s="961"/>
      <c r="FF173" s="961"/>
      <c r="FG173" s="961"/>
      <c r="FH173" s="961"/>
      <c r="FI173" s="961"/>
      <c r="FJ173" s="961"/>
      <c r="FK173" s="961"/>
      <c r="FL173" s="961"/>
      <c r="FM173" s="961"/>
      <c r="FN173" s="961"/>
      <c r="FO173" s="961"/>
      <c r="FP173" s="961"/>
      <c r="FQ173" s="961"/>
      <c r="FR173" s="961"/>
      <c r="FS173" s="961"/>
      <c r="FT173" s="961"/>
      <c r="FU173" s="961"/>
      <c r="FV173" s="961"/>
      <c r="FW173" s="961"/>
      <c r="FX173" s="961"/>
      <c r="FY173" s="961"/>
      <c r="FZ173" s="961"/>
      <c r="GA173" s="961"/>
      <c r="GB173" s="961"/>
      <c r="GC173" s="961"/>
      <c r="GD173" s="961"/>
      <c r="GE173" s="961"/>
      <c r="GF173" s="961"/>
      <c r="GG173" s="961"/>
      <c r="GH173" s="961"/>
      <c r="GI173" s="961"/>
    </row>
    <row r="174" spans="2:191" s="15" customFormat="1" hidden="1" outlineLevel="1">
      <c r="B174" s="16" t="s">
        <v>865</v>
      </c>
      <c r="H174" s="883"/>
      <c r="I174" s="883"/>
      <c r="J174" s="883"/>
      <c r="K174" s="883"/>
      <c r="L174" s="883"/>
      <c r="M174" s="1012"/>
      <c r="N174" s="1012"/>
      <c r="O174" s="768"/>
      <c r="P174" s="768"/>
      <c r="Q174" s="768"/>
      <c r="R174" s="768"/>
      <c r="S174" s="768"/>
      <c r="T174" s="768"/>
      <c r="U174" s="768"/>
      <c r="V174" s="768"/>
      <c r="W174" s="768"/>
      <c r="X174" s="2082">
        <f>+W174-0.002</f>
        <v>-2E-3</v>
      </c>
      <c r="Y174" s="2082">
        <f>+X174-0.002</f>
        <v>-4.0000000000000001E-3</v>
      </c>
      <c r="Z174" s="2082">
        <f>+Y174-0.002</f>
        <v>-6.0000000000000001E-3</v>
      </c>
      <c r="AA174" s="2082">
        <f t="shared" ref="AA174:AD174" si="375">+Z174-0.002</f>
        <v>-8.0000000000000002E-3</v>
      </c>
      <c r="AB174" s="2082">
        <f t="shared" si="375"/>
        <v>-0.01</v>
      </c>
      <c r="AC174" s="2082">
        <f t="shared" si="375"/>
        <v>-1.2E-2</v>
      </c>
      <c r="AD174" s="2082">
        <f t="shared" si="375"/>
        <v>-1.4E-2</v>
      </c>
      <c r="CF174" s="1677">
        <f>+CF158/IS!CX18</f>
        <v>8.5365100919696322E-3</v>
      </c>
      <c r="CG174" s="1677">
        <f>+CG158/IS!CY18</f>
        <v>1.1299066030958135E-2</v>
      </c>
      <c r="CH174" s="1677">
        <f>+CH158/IS!CZ18</f>
        <v>1.6845575523660193E-2</v>
      </c>
      <c r="CI174" s="1677">
        <f>+CI158/IS!DA18</f>
        <v>1.3730462922586123E-2</v>
      </c>
      <c r="CJ174" s="1677">
        <f>+CJ158/IS!DB18</f>
        <v>1.6439798532412835E-2</v>
      </c>
      <c r="CK174" s="1677">
        <f>+CK158/IS!DC18</f>
        <v>1.7448834736329299E-2</v>
      </c>
      <c r="CL174" s="1677">
        <f>+CL158/IS!DD18</f>
        <v>1.7067261195777214E-2</v>
      </c>
      <c r="CM174" s="1677">
        <f>+CM158/IS!DE18</f>
        <v>1.7020082165913906E-2</v>
      </c>
      <c r="CN174" s="1677">
        <f>+CN158/IS!DF18</f>
        <v>0</v>
      </c>
      <c r="CO174" s="1677">
        <f>+CO158/IS!DG18</f>
        <v>0</v>
      </c>
      <c r="CP174" s="1677">
        <f>+CP158/IS!DH18</f>
        <v>0</v>
      </c>
      <c r="CQ174" s="1677">
        <f>+CQ158/IS!DI18</f>
        <v>0</v>
      </c>
      <c r="CR174" s="1677">
        <f>+CR158/IS!DJ18</f>
        <v>0</v>
      </c>
      <c r="CS174" s="1677">
        <f>+CS158/IS!DK18</f>
        <v>0</v>
      </c>
      <c r="CT174" s="1677">
        <f>+CT158/IS!DL18</f>
        <v>0</v>
      </c>
      <c r="CU174" s="1677">
        <f>+CU158/IS!DM18</f>
        <v>0</v>
      </c>
      <c r="CV174" s="1677">
        <f>+CV158/IS!DN18</f>
        <v>0</v>
      </c>
      <c r="CW174" s="1677">
        <f>+CW158/IS!DO18</f>
        <v>0</v>
      </c>
      <c r="CX174" s="1677">
        <f>+CX158/IS!DP18</f>
        <v>0</v>
      </c>
      <c r="CY174" s="1677">
        <f>+CY158/IS!DQ18</f>
        <v>0</v>
      </c>
      <c r="CZ174" s="1729">
        <f t="shared" ref="CZ174:DC174" si="376">+CY174</f>
        <v>0</v>
      </c>
      <c r="DA174" s="1729">
        <f t="shared" si="376"/>
        <v>0</v>
      </c>
      <c r="DB174" s="1729">
        <f t="shared" si="376"/>
        <v>0</v>
      </c>
      <c r="DC174" s="1729">
        <f t="shared" si="376"/>
        <v>0</v>
      </c>
      <c r="EU174" s="42"/>
      <c r="EV174"/>
      <c r="EW174"/>
      <c r="EX174"/>
      <c r="EY174"/>
      <c r="EZ174"/>
      <c r="FA174"/>
      <c r="FB174" s="961"/>
      <c r="FC174" s="961"/>
      <c r="FD174" s="961"/>
      <c r="FE174" s="961"/>
      <c r="FF174" s="961"/>
      <c r="FG174" s="961"/>
      <c r="FH174" s="961"/>
      <c r="FI174" s="961"/>
      <c r="FJ174" s="961"/>
      <c r="FK174" s="961"/>
      <c r="FL174" s="961"/>
      <c r="FM174" s="961"/>
      <c r="FN174" s="961"/>
      <c r="FO174" s="961"/>
      <c r="FP174" s="961"/>
      <c r="FQ174" s="961"/>
      <c r="FR174" s="961"/>
      <c r="FS174" s="961"/>
      <c r="FT174" s="961"/>
      <c r="FU174" s="961"/>
      <c r="FV174" s="961"/>
      <c r="FW174" s="961"/>
      <c r="FX174" s="961"/>
      <c r="FY174" s="961"/>
      <c r="FZ174" s="961"/>
      <c r="GA174" s="961"/>
      <c r="GB174" s="961"/>
      <c r="GC174" s="961"/>
      <c r="GD174" s="961"/>
      <c r="GE174" s="961"/>
      <c r="GF174" s="961"/>
      <c r="GG174" s="961"/>
      <c r="GH174" s="961"/>
      <c r="GI174" s="961"/>
    </row>
    <row r="175" spans="2:191" s="15" customFormat="1" hidden="1" outlineLevel="1">
      <c r="B175" s="16" t="s">
        <v>1903</v>
      </c>
      <c r="H175" s="883"/>
      <c r="I175" s="883"/>
      <c r="J175" s="883"/>
      <c r="K175" s="883"/>
      <c r="L175" s="883"/>
      <c r="M175" s="1012"/>
      <c r="N175" s="1012"/>
      <c r="O175" s="768"/>
      <c r="P175" s="768"/>
      <c r="Q175" s="768"/>
      <c r="R175" s="768"/>
      <c r="S175" s="768"/>
      <c r="T175" s="768"/>
      <c r="U175" s="768"/>
      <c r="V175" s="768"/>
      <c r="W175" s="768"/>
      <c r="X175" s="2082">
        <f t="shared" si="370"/>
        <v>0</v>
      </c>
      <c r="Y175" s="2082">
        <f t="shared" si="370"/>
        <v>0</v>
      </c>
      <c r="Z175" s="2082">
        <f t="shared" si="370"/>
        <v>0</v>
      </c>
      <c r="AA175" s="2082">
        <f t="shared" ref="AA175" si="377">+Z175</f>
        <v>0</v>
      </c>
      <c r="AB175" s="2082">
        <f t="shared" ref="AB175" si="378">+AA175</f>
        <v>0</v>
      </c>
      <c r="AC175" s="2082">
        <f t="shared" ref="AC175" si="379">+AB175</f>
        <v>0</v>
      </c>
      <c r="AD175" s="2082">
        <f t="shared" ref="AD175" si="380">+AC175</f>
        <v>0</v>
      </c>
      <c r="CF175" s="1677">
        <f>+CF159/IS!CX15</f>
        <v>1.5716848725331023E-2</v>
      </c>
      <c r="CG175" s="1677">
        <f>+CG159/IS!CY15</f>
        <v>1.1195546740131337E-2</v>
      </c>
      <c r="CH175" s="1677">
        <f>+CH159/IS!CZ15</f>
        <v>7.534746006142695E-3</v>
      </c>
      <c r="CI175" s="1677">
        <f>+CI159/IS!DA15</f>
        <v>1.220520757884596E-2</v>
      </c>
      <c r="CJ175" s="1677">
        <f>+CJ159/IS!DB15</f>
        <v>1.2366111372581472E-2</v>
      </c>
      <c r="CK175" s="1677">
        <f>+CK159/IS!DC15</f>
        <v>8.665462579379701E-3</v>
      </c>
      <c r="CL175" s="1677">
        <f>+CL159/IS!DD15</f>
        <v>9.7978853716717169E-3</v>
      </c>
      <c r="CM175" s="1677">
        <f>+CM159/IS!DE15</f>
        <v>1.1320736976216109E-2</v>
      </c>
      <c r="CN175" s="1677">
        <f>+CN159/IS!DF15</f>
        <v>0</v>
      </c>
      <c r="CO175" s="1677">
        <f>+CO159/IS!DG15</f>
        <v>0</v>
      </c>
      <c r="CP175" s="1677">
        <f>+CP159/IS!DH15</f>
        <v>0</v>
      </c>
      <c r="CQ175" s="1677">
        <f>+CQ159/IS!DI15</f>
        <v>0</v>
      </c>
      <c r="CR175" s="1677">
        <f>+CR159/IS!DJ15</f>
        <v>0</v>
      </c>
      <c r="CS175" s="1677">
        <f>+CS159/IS!DK15</f>
        <v>0</v>
      </c>
      <c r="CT175" s="1677">
        <f>+CT159/IS!DL15</f>
        <v>0</v>
      </c>
      <c r="CU175" s="1677">
        <f>+CU159/IS!DM15</f>
        <v>0</v>
      </c>
      <c r="CV175" s="1677">
        <f>+CV159/IS!DN15</f>
        <v>0</v>
      </c>
      <c r="CW175" s="1677">
        <f>+CW159/IS!DO15</f>
        <v>0</v>
      </c>
      <c r="CX175" s="1677">
        <f>+CX159/IS!DP15</f>
        <v>0</v>
      </c>
      <c r="CY175" s="1677">
        <f>+CY159/IS!DQ15</f>
        <v>0</v>
      </c>
      <c r="CZ175" s="2103">
        <v>1.0999999999999999E-2</v>
      </c>
      <c r="DA175" s="2103">
        <v>1.0999999999999999E-2</v>
      </c>
      <c r="DB175" s="2103">
        <v>1.0999999999999999E-2</v>
      </c>
      <c r="DC175" s="2103">
        <v>1.0999999999999999E-2</v>
      </c>
      <c r="EU175" s="42"/>
      <c r="EV175"/>
      <c r="EW175"/>
      <c r="EX175"/>
      <c r="EY175"/>
      <c r="EZ175"/>
      <c r="FA175"/>
      <c r="FB175" s="961"/>
      <c r="FC175" s="961"/>
      <c r="FD175" s="961"/>
      <c r="FE175" s="961"/>
      <c r="FF175" s="961"/>
      <c r="FG175" s="961"/>
      <c r="FH175" s="961"/>
      <c r="FI175" s="961"/>
      <c r="FJ175" s="961"/>
      <c r="FK175" s="961"/>
      <c r="FL175" s="961"/>
      <c r="FM175" s="961"/>
      <c r="FN175" s="961"/>
      <c r="FO175" s="961"/>
      <c r="FP175" s="961"/>
      <c r="FQ175" s="961"/>
      <c r="FR175" s="961"/>
      <c r="FS175" s="961"/>
      <c r="FT175" s="961"/>
      <c r="FU175" s="961"/>
      <c r="FV175" s="961"/>
      <c r="FW175" s="961"/>
      <c r="FX175" s="961"/>
      <c r="FY175" s="961"/>
      <c r="FZ175" s="961"/>
      <c r="GA175" s="961"/>
      <c r="GB175" s="961"/>
      <c r="GC175" s="961"/>
      <c r="GD175" s="961"/>
      <c r="GE175" s="961"/>
      <c r="GF175" s="961"/>
      <c r="GG175" s="961"/>
      <c r="GH175" s="961"/>
      <c r="GI175" s="961"/>
    </row>
    <row r="176" spans="2:191" s="15" customFormat="1" hidden="1" outlineLevel="1">
      <c r="B176" s="16" t="s">
        <v>858</v>
      </c>
      <c r="H176" s="883"/>
      <c r="I176" s="883"/>
      <c r="J176" s="883"/>
      <c r="K176" s="883"/>
      <c r="L176" s="883"/>
      <c r="M176" s="1012"/>
      <c r="N176" s="1012"/>
      <c r="O176" s="768"/>
      <c r="P176" s="768"/>
      <c r="Q176" s="768"/>
      <c r="R176" s="768"/>
      <c r="S176" s="768"/>
      <c r="T176" s="768"/>
      <c r="U176" s="768"/>
      <c r="V176" s="768"/>
      <c r="W176" s="768"/>
      <c r="X176" s="2081">
        <v>0.05</v>
      </c>
      <c r="Y176" s="2081">
        <v>0.05</v>
      </c>
      <c r="Z176" s="2081">
        <v>0.05</v>
      </c>
      <c r="AA176" s="2081">
        <v>0.05</v>
      </c>
      <c r="AB176" s="2081">
        <v>0.05</v>
      </c>
      <c r="AC176" s="2081">
        <v>0.05</v>
      </c>
      <c r="AD176" s="2081">
        <v>0.05</v>
      </c>
      <c r="CF176" s="1677">
        <f>-CF160/IS!CX15</f>
        <v>2.7779607621276649E-2</v>
      </c>
      <c r="CG176" s="1677">
        <f>-CG160/IS!CY15</f>
        <v>3.6040924913636786E-2</v>
      </c>
      <c r="CH176" s="1677">
        <f>-CH160/IS!CZ15</f>
        <v>4.101759580470056E-2</v>
      </c>
      <c r="CI176" s="1677">
        <f>-CI160/IS!DA15</f>
        <v>6.6992280542681915E-2</v>
      </c>
      <c r="CJ176" s="1677">
        <f>-CJ160/IS!DB15</f>
        <v>4.5597557464576513E-2</v>
      </c>
      <c r="CK176" s="1677">
        <f>-CK160/IS!DC15</f>
        <v>4.2993517427593643E-2</v>
      </c>
      <c r="CL176" s="1677">
        <f>-CL160/IS!DD15</f>
        <v>3.1872542066920251E-2</v>
      </c>
      <c r="CM176" s="1677">
        <f>-CM160/IS!DE15</f>
        <v>5.1908650553735114E-2</v>
      </c>
      <c r="CN176" s="1677">
        <f>-CN160/IS!DF15</f>
        <v>0</v>
      </c>
      <c r="CO176" s="1677">
        <f>-CO160/IS!DG15</f>
        <v>0</v>
      </c>
      <c r="CP176" s="1677">
        <f>-CP160/IS!DH15</f>
        <v>0</v>
      </c>
      <c r="CQ176" s="1677">
        <f>-CQ160/IS!DI15</f>
        <v>0</v>
      </c>
      <c r="CR176" s="1677">
        <f>-CR160/IS!DJ15</f>
        <v>0</v>
      </c>
      <c r="CS176" s="1677">
        <f>-CS160/IS!DK15</f>
        <v>0</v>
      </c>
      <c r="CT176" s="1677">
        <f>-CT160/IS!DL15</f>
        <v>0</v>
      </c>
      <c r="CU176" s="1677">
        <f>-CU160/IS!DM15</f>
        <v>0</v>
      </c>
      <c r="CV176" s="1677">
        <f>-CV160/IS!DN15</f>
        <v>0</v>
      </c>
      <c r="CW176" s="1677">
        <f>-CW160/IS!DO15</f>
        <v>0</v>
      </c>
      <c r="CX176" s="1677">
        <f>-CX160/IS!DP15</f>
        <v>0</v>
      </c>
      <c r="CY176" s="1677">
        <f>-CY160/IS!DQ15</f>
        <v>0</v>
      </c>
      <c r="CZ176" s="2081">
        <v>0.05</v>
      </c>
      <c r="DA176" s="2081">
        <v>0.05</v>
      </c>
      <c r="DB176" s="2081">
        <v>0.05</v>
      </c>
      <c r="DC176" s="2081">
        <v>0.05</v>
      </c>
      <c r="EU176" s="42"/>
      <c r="EV176"/>
      <c r="EW176"/>
      <c r="EX176"/>
      <c r="EY176"/>
      <c r="EZ176"/>
      <c r="FA176"/>
      <c r="FB176" s="961"/>
      <c r="FC176" s="961"/>
      <c r="FD176" s="961"/>
      <c r="FE176" s="961"/>
      <c r="FF176" s="961"/>
      <c r="FG176" s="961"/>
      <c r="FH176" s="961"/>
      <c r="FI176" s="961"/>
      <c r="FJ176" s="961"/>
      <c r="FK176" s="961"/>
      <c r="FL176" s="961"/>
      <c r="FM176" s="961"/>
      <c r="FN176" s="961"/>
      <c r="FO176" s="961"/>
      <c r="FP176" s="961"/>
      <c r="FQ176" s="961"/>
      <c r="FR176" s="961"/>
      <c r="FS176" s="961"/>
      <c r="FT176" s="961"/>
      <c r="FU176" s="961"/>
      <c r="FV176" s="961"/>
      <c r="FW176" s="961"/>
      <c r="FX176" s="961"/>
      <c r="FY176" s="961"/>
      <c r="FZ176" s="961"/>
      <c r="GA176" s="961"/>
      <c r="GB176" s="961"/>
      <c r="GC176" s="961"/>
      <c r="GD176" s="961"/>
      <c r="GE176" s="961"/>
      <c r="GF176" s="961"/>
      <c r="GG176" s="961"/>
      <c r="GH176" s="961"/>
      <c r="GI176" s="961"/>
    </row>
    <row r="177" spans="2:191" s="15" customFormat="1" hidden="1" outlineLevel="1">
      <c r="B177" s="16"/>
      <c r="H177" s="883"/>
      <c r="I177" s="883"/>
      <c r="J177" s="883"/>
      <c r="K177" s="883"/>
      <c r="L177" s="883"/>
      <c r="M177" s="1012"/>
      <c r="N177" s="1012"/>
      <c r="O177" s="768"/>
      <c r="P177" s="768"/>
      <c r="Q177" s="768"/>
      <c r="R177" s="768"/>
      <c r="S177" s="768"/>
      <c r="T177" s="768"/>
      <c r="U177" s="768"/>
      <c r="V177" s="768"/>
      <c r="W177" s="768"/>
      <c r="X177" s="768"/>
      <c r="Y177" s="768"/>
      <c r="Z177" s="768"/>
      <c r="AA177" s="768"/>
      <c r="AB177" s="768"/>
      <c r="AC177" s="768"/>
      <c r="AD177" s="768"/>
      <c r="EU177" s="42"/>
      <c r="EV177"/>
      <c r="EW177"/>
      <c r="EX177"/>
      <c r="EY177"/>
      <c r="EZ177"/>
      <c r="FA177"/>
      <c r="FB177" s="961"/>
      <c r="FC177" s="961"/>
      <c r="FD177" s="961"/>
      <c r="FE177" s="961"/>
      <c r="FF177" s="961"/>
      <c r="FG177" s="961"/>
      <c r="FH177" s="961"/>
      <c r="FI177" s="961"/>
      <c r="FJ177" s="961"/>
      <c r="FK177" s="961"/>
      <c r="FL177" s="961"/>
      <c r="FM177" s="961"/>
      <c r="FN177" s="961"/>
      <c r="FO177" s="961"/>
      <c r="FP177" s="961"/>
      <c r="FQ177" s="961"/>
      <c r="FR177" s="961"/>
      <c r="FS177" s="961"/>
      <c r="FT177" s="961"/>
      <c r="FU177" s="961"/>
      <c r="FV177" s="961"/>
      <c r="FW177" s="961"/>
      <c r="FX177" s="961"/>
      <c r="FY177" s="961"/>
      <c r="FZ177" s="961"/>
      <c r="GA177" s="961"/>
      <c r="GB177" s="961"/>
      <c r="GC177" s="961"/>
      <c r="GD177" s="961"/>
      <c r="GE177" s="961"/>
      <c r="GF177" s="961"/>
      <c r="GG177" s="961"/>
      <c r="GH177" s="961"/>
      <c r="GI177" s="961"/>
    </row>
    <row r="178" spans="2:191" s="15" customFormat="1" collapsed="1">
      <c r="B178" s="857" t="s">
        <v>1950</v>
      </c>
      <c r="H178" s="883"/>
      <c r="I178" s="883"/>
      <c r="J178" s="883"/>
      <c r="K178" s="883"/>
      <c r="L178" s="883"/>
      <c r="M178" s="1012"/>
      <c r="N178" s="1012"/>
      <c r="O178" s="768"/>
      <c r="P178" s="768"/>
      <c r="Q178" s="768"/>
      <c r="R178" s="768"/>
      <c r="S178" s="768"/>
      <c r="T178" s="768"/>
      <c r="U178" s="768"/>
      <c r="V178" s="768"/>
      <c r="W178" s="768"/>
      <c r="X178" s="768"/>
      <c r="Y178" s="768"/>
      <c r="Z178" s="768"/>
      <c r="AA178" s="768"/>
      <c r="AB178" s="768"/>
      <c r="AC178" s="768"/>
      <c r="AD178" s="768"/>
      <c r="CJ178" s="1498"/>
      <c r="CK178" s="1498"/>
      <c r="CL178" s="1498"/>
      <c r="CM178" s="1498"/>
      <c r="CN178" s="1498"/>
      <c r="CO178" s="1498"/>
      <c r="CP178" s="1498"/>
      <c r="CQ178" s="1498"/>
      <c r="CR178" s="1498"/>
      <c r="CS178" s="1498"/>
      <c r="CT178" s="1498"/>
      <c r="CU178" s="1498"/>
      <c r="CV178" s="1498"/>
      <c r="CW178" s="1498"/>
      <c r="CX178" s="1498"/>
      <c r="CY178" s="1498"/>
      <c r="EU178" s="42"/>
      <c r="EV178"/>
      <c r="EW178"/>
      <c r="EX178"/>
      <c r="EY178"/>
      <c r="EZ178"/>
      <c r="FA178"/>
      <c r="FB178" s="961"/>
      <c r="FC178" s="961"/>
      <c r="FD178" s="961"/>
      <c r="FE178" s="961"/>
      <c r="FF178" s="961"/>
      <c r="FG178" s="961"/>
      <c r="FH178" s="961"/>
      <c r="FI178" s="961"/>
      <c r="FJ178" s="961"/>
      <c r="FK178" s="961"/>
      <c r="FL178" s="961"/>
      <c r="FM178" s="961"/>
      <c r="FN178" s="961"/>
      <c r="FO178" s="961"/>
      <c r="FP178" s="961"/>
      <c r="FQ178" s="961"/>
      <c r="FR178" s="961"/>
      <c r="FS178" s="961"/>
      <c r="FT178" s="961"/>
      <c r="FU178" s="961"/>
      <c r="FV178" s="961"/>
      <c r="FW178" s="961"/>
      <c r="FX178" s="961"/>
      <c r="FY178" s="961"/>
      <c r="FZ178" s="961"/>
      <c r="GA178" s="961"/>
      <c r="GB178" s="961"/>
      <c r="GC178" s="961"/>
      <c r="GD178" s="961"/>
      <c r="GE178" s="961"/>
      <c r="GF178" s="961"/>
      <c r="GG178" s="961"/>
      <c r="GH178" s="961"/>
      <c r="GI178" s="961"/>
    </row>
    <row r="179" spans="2:191" s="15" customFormat="1">
      <c r="B179" s="23" t="s">
        <v>1952</v>
      </c>
      <c r="H179" s="883"/>
      <c r="I179" s="883"/>
      <c r="J179" s="883"/>
      <c r="K179" s="883"/>
      <c r="L179" s="883"/>
      <c r="M179" s="1012"/>
      <c r="N179" s="1012"/>
      <c r="O179" s="768"/>
      <c r="P179" s="768"/>
      <c r="Q179" s="768"/>
      <c r="R179" s="1483">
        <f>+SUM(CF179:CI179)</f>
        <v>94.685000000000031</v>
      </c>
      <c r="S179" s="1483">
        <f>+SUM(CJ179:CM179)</f>
        <v>-259.54699999999991</v>
      </c>
      <c r="T179" s="1483">
        <f>+SUM(CN179:CQ179)</f>
        <v>187.77399999999983</v>
      </c>
      <c r="U179" s="1483">
        <f>SUM(CR179:CU179)</f>
        <v>126.79999999999993</v>
      </c>
      <c r="V179" s="1483">
        <f>SUM(CV179:CY179)</f>
        <v>232.98200000000017</v>
      </c>
      <c r="W179" s="1483">
        <f ca="1">SUM(CZ179:DC179)</f>
        <v>500.5330203109458</v>
      </c>
      <c r="X179" s="2107">
        <f ca="1">IS!X67</f>
        <v>706.34788722767007</v>
      </c>
      <c r="Y179" s="2107">
        <f ca="1">IS!Y67</f>
        <v>807.15870873613687</v>
      </c>
      <c r="Z179" s="2107">
        <f ca="1">IS!Z67</f>
        <v>896.66352265972125</v>
      </c>
      <c r="AA179" s="2107">
        <f ca="1">IS!AA67</f>
        <v>1105.523636380525</v>
      </c>
      <c r="AB179" s="2107">
        <f ca="1">IS!AB67</f>
        <v>1668.6655784405743</v>
      </c>
      <c r="AC179" s="2107">
        <f ca="1">IS!AC67</f>
        <v>2088.7104062960771</v>
      </c>
      <c r="AD179" s="2107">
        <f ca="1">IS!AD67</f>
        <v>2257.3166991772159</v>
      </c>
      <c r="CF179" s="2107">
        <f>IS!CX67</f>
        <v>32.842999999999897</v>
      </c>
      <c r="CG179" s="2107">
        <f>IS!CY67</f>
        <v>-25.815999999999992</v>
      </c>
      <c r="CH179" s="2107">
        <f>IS!CZ67</f>
        <v>42.471000000000089</v>
      </c>
      <c r="CI179" s="2107">
        <f>IS!DA67</f>
        <v>45.187000000000033</v>
      </c>
      <c r="CJ179" s="2107">
        <f>IS!DB67</f>
        <v>41.387000000000022</v>
      </c>
      <c r="CK179" s="2107">
        <f>IS!DC67</f>
        <v>11.328000000000033</v>
      </c>
      <c r="CL179" s="2107">
        <f>IS!DD67</f>
        <v>42.841000000000001</v>
      </c>
      <c r="CM179" s="2107">
        <f>IS!DE67</f>
        <v>-355.10299999999995</v>
      </c>
      <c r="CN179" s="2107">
        <f>IS!DF67</f>
        <v>76.452000000000012</v>
      </c>
      <c r="CO179" s="2107">
        <f>IS!DG67</f>
        <v>59.458999999999875</v>
      </c>
      <c r="CP179" s="2107">
        <f>IS!DH67</f>
        <v>41.132000000000033</v>
      </c>
      <c r="CQ179" s="2107">
        <f>IS!DI67</f>
        <v>10.730999999999902</v>
      </c>
      <c r="CR179" s="2107">
        <f>IS!DJ67</f>
        <v>-31.110999999999983</v>
      </c>
      <c r="CS179" s="2107">
        <f>IS!DK67</f>
        <v>44.711000000000013</v>
      </c>
      <c r="CT179" s="2107">
        <f>IS!DL67</f>
        <v>51.449999999999939</v>
      </c>
      <c r="CU179" s="2107">
        <f>IS!DM67</f>
        <v>61.749999999999957</v>
      </c>
      <c r="CV179" s="2107">
        <f>IS!DN67</f>
        <v>42.06200000000014</v>
      </c>
      <c r="CW179" s="2107">
        <f>IS!DO67</f>
        <v>45.805000000000035</v>
      </c>
      <c r="CX179" s="2107">
        <f>IS!DP67</f>
        <v>79.899999999999963</v>
      </c>
      <c r="CY179" s="2107">
        <f>IS!DQ67</f>
        <v>65.215000000000032</v>
      </c>
      <c r="CZ179" s="2107">
        <f ca="1">IS!DR67</f>
        <v>96.458002345945189</v>
      </c>
      <c r="DA179" s="2107">
        <f ca="1">IS!DS67</f>
        <v>121.11282891771445</v>
      </c>
      <c r="DB179" s="2107">
        <f ca="1">IS!DT67</f>
        <v>135.73520266336968</v>
      </c>
      <c r="DC179" s="2107">
        <f ca="1">IS!DU67</f>
        <v>147.22698638391648</v>
      </c>
      <c r="EU179" s="42"/>
      <c r="EV179"/>
      <c r="EW179"/>
      <c r="EX179"/>
      <c r="EY179"/>
      <c r="EZ179"/>
      <c r="FA179"/>
      <c r="FB179" s="961"/>
      <c r="FC179" s="961"/>
      <c r="FD179" s="961"/>
      <c r="FE179" s="961"/>
      <c r="FF179" s="961"/>
      <c r="FG179" s="961"/>
      <c r="FH179" s="961"/>
      <c r="FI179" s="961"/>
      <c r="FJ179" s="961"/>
      <c r="FK179" s="961"/>
      <c r="FL179" s="961"/>
      <c r="FM179" s="961"/>
      <c r="FN179" s="961"/>
      <c r="FO179" s="961"/>
      <c r="FP179" s="961"/>
      <c r="FQ179" s="961"/>
      <c r="FR179" s="961"/>
      <c r="FS179" s="961"/>
      <c r="FT179" s="961"/>
      <c r="FU179" s="961"/>
      <c r="FV179" s="961"/>
      <c r="FW179" s="961"/>
      <c r="FX179" s="961"/>
      <c r="FY179" s="961"/>
      <c r="FZ179" s="961"/>
      <c r="GA179" s="961"/>
      <c r="GB179" s="961"/>
      <c r="GC179" s="961"/>
      <c r="GD179" s="961"/>
      <c r="GE179" s="961"/>
      <c r="GF179" s="961"/>
      <c r="GG179" s="961"/>
      <c r="GH179" s="961"/>
      <c r="GI179" s="961"/>
    </row>
    <row r="180" spans="2:191" s="15" customFormat="1">
      <c r="B180" s="23" t="s">
        <v>1951</v>
      </c>
      <c r="H180" s="883"/>
      <c r="I180" s="883"/>
      <c r="J180" s="883"/>
      <c r="K180" s="883"/>
      <c r="L180" s="883"/>
      <c r="M180" s="1012"/>
      <c r="N180" s="1012"/>
      <c r="O180" s="768"/>
      <c r="P180" s="768"/>
      <c r="Q180" s="768"/>
      <c r="R180" s="1483">
        <f>+SUM(CF180:CI180)</f>
        <v>377.04899999999998</v>
      </c>
      <c r="S180" s="1483">
        <f>+SUM(CJ180:CM180)</f>
        <v>417.70299999999997</v>
      </c>
      <c r="T180" s="1483">
        <f>+SUM(CN180:CQ180)</f>
        <v>439.96899999999999</v>
      </c>
      <c r="U180" s="1483">
        <f>SUM(CR180:CU180)</f>
        <v>626.56399999999996</v>
      </c>
      <c r="V180" s="1483">
        <f>SUM(CV180:CY180)</f>
        <v>754.351</v>
      </c>
      <c r="W180" s="1483">
        <f ca="1">SUM(CZ180:DC180)</f>
        <v>846.26461916077915</v>
      </c>
      <c r="X180" s="1498">
        <f ca="1">+IS!X45-CF!X206-CF!X207</f>
        <v>789.62817221982323</v>
      </c>
      <c r="Y180" s="1498">
        <f ca="1">+IS!Y45-CF!Y206-CF!Y207</f>
        <v>827.00035652361362</v>
      </c>
      <c r="Z180" s="1498">
        <f ca="1">+IS!Z45-CF!Z206-CF!Z207</f>
        <v>867.87712698959399</v>
      </c>
      <c r="AA180" s="1498">
        <f ca="1">+IS!AA45-CF!AA206-CF!AA207</f>
        <v>818.88781542038009</v>
      </c>
      <c r="AB180" s="1498">
        <f ca="1">+IS!AB45-CF!AB206-CF!AB207</f>
        <v>474.68281602342404</v>
      </c>
      <c r="AC180" s="1498">
        <f ca="1">+IS!AC45-CF!AC206-CF!AC207</f>
        <v>255.51073237442</v>
      </c>
      <c r="AD180" s="1498">
        <f ca="1">+IS!AD45-CF!AD206-CF!AD207</f>
        <v>255.51073237442</v>
      </c>
      <c r="CF180" s="2175">
        <v>92.960999999999999</v>
      </c>
      <c r="CG180" s="2175">
        <v>95.192999999999998</v>
      </c>
      <c r="CH180" s="2175">
        <v>96.236999999999995</v>
      </c>
      <c r="CI180" s="2175">
        <v>92.658000000000001</v>
      </c>
      <c r="CJ180" s="2175">
        <v>99.450999999999993</v>
      </c>
      <c r="CK180" s="2175">
        <v>100.788</v>
      </c>
      <c r="CL180" s="2175">
        <v>103.78100000000001</v>
      </c>
      <c r="CM180" s="2175">
        <v>113.68300000000001</v>
      </c>
      <c r="CN180" s="2175">
        <v>102.648</v>
      </c>
      <c r="CO180" s="2175">
        <v>107.321</v>
      </c>
      <c r="CP180" s="2175">
        <v>109.85599999999999</v>
      </c>
      <c r="CQ180" s="2175">
        <v>120.14400000000001</v>
      </c>
      <c r="CR180" s="2175">
        <v>150.995</v>
      </c>
      <c r="CS180" s="2175">
        <v>158.727</v>
      </c>
      <c r="CT180" s="2175">
        <v>159.78800000000001</v>
      </c>
      <c r="CU180" s="2175">
        <v>157.054</v>
      </c>
      <c r="CV180" s="2175">
        <v>159.41399999999999</v>
      </c>
      <c r="CW180" s="2175">
        <v>175.387</v>
      </c>
      <c r="CX180" s="2175">
        <v>200.31299999999999</v>
      </c>
      <c r="CY180" s="2175">
        <v>219.23699999999999</v>
      </c>
      <c r="CZ180" s="1498">
        <f ca="1">+IS!DR45-CF!CZ206-CF!CZ207</f>
        <v>208.35706252039546</v>
      </c>
      <c r="DA180" s="1498">
        <f ca="1">+IS!DS45-CF!DA206-CF!DA207</f>
        <v>208.8022329305681</v>
      </c>
      <c r="DB180" s="1498">
        <f ca="1">+IS!DT45-CF!DB206-CF!DB207</f>
        <v>211.59574324505979</v>
      </c>
      <c r="DC180" s="1498">
        <f ca="1">+IS!DU45-CF!DC206-CF!DC207</f>
        <v>217.50958046475583</v>
      </c>
      <c r="EU180" s="42"/>
      <c r="EV180"/>
      <c r="EW180"/>
      <c r="EX180"/>
      <c r="EY180"/>
      <c r="EZ180"/>
      <c r="FA180"/>
      <c r="FB180" s="961"/>
      <c r="FC180" s="961"/>
      <c r="FD180" s="961"/>
      <c r="FE180" s="961"/>
      <c r="FF180" s="961"/>
      <c r="FG180" s="961"/>
      <c r="FH180" s="961"/>
      <c r="FI180" s="961"/>
      <c r="FJ180" s="961"/>
      <c r="FK180" s="961"/>
      <c r="FL180" s="961"/>
      <c r="FM180" s="961"/>
      <c r="FN180" s="961"/>
      <c r="FO180" s="961"/>
      <c r="FP180" s="961"/>
      <c r="FQ180" s="961"/>
      <c r="FR180" s="961"/>
      <c r="FS180" s="961"/>
      <c r="FT180" s="961"/>
      <c r="FU180" s="961"/>
      <c r="FV180" s="961"/>
      <c r="FW180" s="961"/>
      <c r="FX180" s="961"/>
      <c r="FY180" s="961"/>
      <c r="FZ180" s="961"/>
      <c r="GA180" s="961"/>
      <c r="GB180" s="961"/>
      <c r="GC180" s="961"/>
      <c r="GD180" s="961"/>
      <c r="GE180" s="961"/>
      <c r="GF180" s="961"/>
      <c r="GG180" s="961"/>
      <c r="GH180" s="961"/>
      <c r="GI180" s="961"/>
    </row>
    <row r="181" spans="2:191" s="15" customFormat="1">
      <c r="B181" s="23" t="s">
        <v>1953</v>
      </c>
      <c r="H181" s="883"/>
      <c r="I181" s="883"/>
      <c r="J181" s="883"/>
      <c r="K181" s="883"/>
      <c r="L181" s="883"/>
      <c r="M181" s="1012"/>
      <c r="N181" s="1012"/>
      <c r="O181" s="768"/>
      <c r="P181" s="768"/>
      <c r="Q181" s="768"/>
      <c r="R181" s="1483">
        <f>+SUM(CF181:CI181)</f>
        <v>0.82500000000000007</v>
      </c>
      <c r="S181" s="1483">
        <f>+SUM(CJ181:CM181)</f>
        <v>0.30099999999999999</v>
      </c>
      <c r="T181" s="1483">
        <f>+SUM(CN181:CQ181)</f>
        <v>1.3819999999999999</v>
      </c>
      <c r="U181" s="1483">
        <f>SUM(CR181:CU181)</f>
        <v>-28.387999999999998</v>
      </c>
      <c r="V181" s="1483">
        <f>SUM(CV181:CY181)</f>
        <v>4.9450000000000003</v>
      </c>
      <c r="W181" s="1483">
        <f>SUM(CZ181:DC181)</f>
        <v>0</v>
      </c>
      <c r="X181" s="2175">
        <v>0</v>
      </c>
      <c r="Y181" s="2175">
        <v>0</v>
      </c>
      <c r="Z181" s="2175">
        <v>0</v>
      </c>
      <c r="AA181" s="2175">
        <v>0</v>
      </c>
      <c r="AB181" s="2175">
        <v>0</v>
      </c>
      <c r="AC181" s="2175">
        <v>0</v>
      </c>
      <c r="AD181" s="2175">
        <v>0</v>
      </c>
      <c r="CF181" s="2175">
        <v>8.9999999999999993E-3</v>
      </c>
      <c r="CG181" s="2175">
        <v>8.9999999999999993E-3</v>
      </c>
      <c r="CH181" s="2175"/>
      <c r="CI181" s="2175">
        <v>0.80700000000000005</v>
      </c>
      <c r="CJ181" s="2175">
        <v>3.3000000000000002E-2</v>
      </c>
      <c r="CK181" s="2175">
        <v>0.183</v>
      </c>
      <c r="CL181" s="2175">
        <v>3.1E-2</v>
      </c>
      <c r="CM181" s="2175">
        <v>5.3999999999999999E-2</v>
      </c>
      <c r="CN181" s="2175">
        <v>6.2E-2</v>
      </c>
      <c r="CO181" s="2175">
        <v>0.55900000000000005</v>
      </c>
      <c r="CP181" s="2175">
        <v>0.182</v>
      </c>
      <c r="CQ181" s="2175">
        <v>0.57899999999999996</v>
      </c>
      <c r="CR181" s="2175">
        <v>-4.0369999999999999</v>
      </c>
      <c r="CS181" s="2175">
        <v>-1.9510000000000001</v>
      </c>
      <c r="CT181" s="2175">
        <v>-23.436</v>
      </c>
      <c r="CU181" s="2175">
        <v>1.036</v>
      </c>
      <c r="CV181" s="2175">
        <v>-0.63800000000000001</v>
      </c>
      <c r="CW181" s="2175">
        <v>-1.46</v>
      </c>
      <c r="CX181" s="2175">
        <v>5.8769999999999998</v>
      </c>
      <c r="CY181" s="2175">
        <v>1.1659999999999999</v>
      </c>
      <c r="CZ181" s="2175"/>
      <c r="DA181" s="2175"/>
      <c r="DB181" s="2175"/>
      <c r="DC181" s="2175"/>
      <c r="EU181" s="42"/>
      <c r="EV181"/>
      <c r="EW181"/>
      <c r="EX181"/>
      <c r="EY181"/>
      <c r="EZ181"/>
      <c r="FA181"/>
      <c r="FB181" s="961"/>
      <c r="FC181" s="961"/>
      <c r="FD181" s="961"/>
      <c r="FE181" s="961"/>
      <c r="FF181" s="961"/>
      <c r="FG181" s="961"/>
      <c r="FH181" s="961"/>
      <c r="FI181" s="961"/>
      <c r="FJ181" s="961"/>
      <c r="FK181" s="961"/>
      <c r="FL181" s="961"/>
      <c r="FM181" s="961"/>
      <c r="FN181" s="961"/>
      <c r="FO181" s="961"/>
      <c r="FP181" s="961"/>
      <c r="FQ181" s="961"/>
      <c r="FR181" s="961"/>
      <c r="FS181" s="961"/>
      <c r="FT181" s="961"/>
      <c r="FU181" s="961"/>
      <c r="FV181" s="961"/>
      <c r="FW181" s="961"/>
      <c r="FX181" s="961"/>
      <c r="FY181" s="961"/>
      <c r="FZ181" s="961"/>
      <c r="GA181" s="961"/>
      <c r="GB181" s="961"/>
      <c r="GC181" s="961"/>
      <c r="GD181" s="961"/>
      <c r="GE181" s="961"/>
      <c r="GF181" s="961"/>
      <c r="GG181" s="961"/>
      <c r="GH181" s="961"/>
      <c r="GI181" s="961"/>
    </row>
    <row r="182" spans="2:191" s="15" customFormat="1">
      <c r="B182" s="23" t="s">
        <v>1954</v>
      </c>
      <c r="H182" s="883"/>
      <c r="I182" s="883"/>
      <c r="J182" s="883"/>
      <c r="K182" s="883"/>
      <c r="L182" s="883"/>
      <c r="M182" s="1012"/>
      <c r="N182" s="1012"/>
      <c r="O182" s="768"/>
      <c r="P182" s="768"/>
      <c r="Q182" s="768"/>
      <c r="R182" s="1483">
        <f>+SUM(CF182:CI182)</f>
        <v>0.11199999999999999</v>
      </c>
      <c r="S182" s="1483">
        <f>+SUM(CJ182:CM182)</f>
        <v>0.112</v>
      </c>
      <c r="T182" s="1483">
        <f>+SUM(CN182:CQ182)</f>
        <v>0.113</v>
      </c>
      <c r="U182" s="1483">
        <f>SUM(CR182:CU182)</f>
        <v>0.113</v>
      </c>
      <c r="V182" s="1483">
        <f>SUM(CV182:CY182)</f>
        <v>8.5000000000000006E-2</v>
      </c>
      <c r="W182" s="1483">
        <f>SUM(CZ182:DC182)</f>
        <v>0</v>
      </c>
      <c r="X182" s="1498"/>
      <c r="Y182" s="1498"/>
      <c r="Z182" s="1498"/>
      <c r="AA182" s="1498"/>
      <c r="AB182" s="1498"/>
      <c r="AC182" s="1498"/>
      <c r="AD182" s="1498"/>
      <c r="CF182" s="2175">
        <v>0.03</v>
      </c>
      <c r="CG182" s="2175">
        <v>0.03</v>
      </c>
      <c r="CH182" s="2175">
        <v>2.9000000000000001E-2</v>
      </c>
      <c r="CI182" s="2175">
        <v>2.3E-2</v>
      </c>
      <c r="CJ182" s="2175">
        <v>2.8000000000000001E-2</v>
      </c>
      <c r="CK182" s="2175">
        <v>2.8000000000000001E-2</v>
      </c>
      <c r="CL182" s="2175">
        <v>2.8000000000000001E-2</v>
      </c>
      <c r="CM182" s="2175">
        <v>2.8000000000000001E-2</v>
      </c>
      <c r="CN182" s="2175">
        <v>2.8000000000000001E-2</v>
      </c>
      <c r="CO182" s="2175">
        <v>2.9000000000000001E-2</v>
      </c>
      <c r="CP182" s="2175">
        <v>2.7E-2</v>
      </c>
      <c r="CQ182" s="2175">
        <v>2.9000000000000001E-2</v>
      </c>
      <c r="CR182" s="2175">
        <v>2.8000000000000001E-2</v>
      </c>
      <c r="CS182" s="2175">
        <v>2.8000000000000001E-2</v>
      </c>
      <c r="CT182" s="2175">
        <v>2.9000000000000001E-2</v>
      </c>
      <c r="CU182" s="2175">
        <v>2.8000000000000001E-2</v>
      </c>
      <c r="CV182" s="2175">
        <v>2.8000000000000001E-2</v>
      </c>
      <c r="CW182" s="2175">
        <v>2.8000000000000001E-2</v>
      </c>
      <c r="CX182" s="2175">
        <v>2.9000000000000001E-2</v>
      </c>
      <c r="CY182" s="2175"/>
      <c r="CZ182" s="1498"/>
      <c r="DA182" s="1498"/>
      <c r="DB182" s="1498"/>
      <c r="DC182" s="1498"/>
      <c r="EU182" s="42"/>
      <c r="EV182"/>
      <c r="EW182"/>
      <c r="EX182"/>
      <c r="EY182"/>
      <c r="EZ182"/>
      <c r="FA182"/>
      <c r="FB182" s="961"/>
      <c r="FC182" s="961"/>
      <c r="FD182" s="961"/>
      <c r="FE182" s="961"/>
      <c r="FF182" s="961"/>
      <c r="FG182" s="961"/>
      <c r="FH182" s="961"/>
      <c r="FI182" s="961"/>
      <c r="FJ182" s="961"/>
      <c r="FK182" s="961"/>
      <c r="FL182" s="961"/>
      <c r="FM182" s="961"/>
      <c r="FN182" s="961"/>
      <c r="FO182" s="961"/>
      <c r="FP182" s="961"/>
      <c r="FQ182" s="961"/>
      <c r="FR182" s="961"/>
      <c r="FS182" s="961"/>
      <c r="FT182" s="961"/>
      <c r="FU182" s="961"/>
      <c r="FV182" s="961"/>
      <c r="FW182" s="961"/>
      <c r="FX182" s="961"/>
      <c r="FY182" s="961"/>
      <c r="FZ182" s="961"/>
      <c r="GA182" s="961"/>
      <c r="GB182" s="961"/>
      <c r="GC182" s="961"/>
      <c r="GD182" s="961"/>
      <c r="GE182" s="961"/>
      <c r="GF182" s="961"/>
      <c r="GG182" s="961"/>
      <c r="GH182" s="961"/>
      <c r="GI182" s="961"/>
    </row>
    <row r="183" spans="2:191" s="15" customFormat="1">
      <c r="B183" s="23" t="s">
        <v>1955</v>
      </c>
      <c r="H183" s="883"/>
      <c r="I183" s="883"/>
      <c r="J183" s="883"/>
      <c r="K183" s="883"/>
      <c r="L183" s="883"/>
      <c r="M183" s="1012"/>
      <c r="N183" s="1012"/>
      <c r="O183" s="768"/>
      <c r="P183" s="768"/>
      <c r="Q183" s="768"/>
      <c r="R183" s="1483">
        <f>+SUM(CF183:CI183)</f>
        <v>-6.7109999999999994</v>
      </c>
      <c r="S183" s="1483">
        <f>+SUM(CJ183:CM183)</f>
        <v>-5.302999999999999</v>
      </c>
      <c r="T183" s="1483">
        <f>+SUM(CN183:CQ183)</f>
        <v>0</v>
      </c>
      <c r="U183" s="1483">
        <f>SUM(CR183:CU183)</f>
        <v>0</v>
      </c>
      <c r="V183" s="1483">
        <f>SUM(CV183:CY183)</f>
        <v>0</v>
      </c>
      <c r="W183" s="1483">
        <f>SUM(CZ183:DC183)</f>
        <v>0</v>
      </c>
      <c r="X183" s="1498"/>
      <c r="Y183" s="1498"/>
      <c r="Z183" s="1498"/>
      <c r="AA183" s="1498"/>
      <c r="AB183" s="1498"/>
      <c r="AC183" s="1498"/>
      <c r="AD183" s="1498"/>
      <c r="CF183" s="2175">
        <v>-1.41</v>
      </c>
      <c r="CG183" s="2175">
        <v>-1.6439999999999999</v>
      </c>
      <c r="CH183" s="2175">
        <v>-1.663</v>
      </c>
      <c r="CI183" s="2175">
        <v>-1.994</v>
      </c>
      <c r="CJ183" s="2175">
        <v>-2.1669999999999998</v>
      </c>
      <c r="CK183" s="2175">
        <v>-2.5139999999999998</v>
      </c>
      <c r="CL183" s="2175">
        <v>-0.622</v>
      </c>
      <c r="CM183" s="2175"/>
      <c r="CN183" s="2175"/>
      <c r="CO183" s="2175"/>
      <c r="CP183" s="2175"/>
      <c r="CQ183" s="2175"/>
      <c r="CR183" s="2175"/>
      <c r="CS183" s="2175"/>
      <c r="CT183" s="2175"/>
      <c r="CU183" s="2175"/>
      <c r="CV183" s="2175"/>
      <c r="CW183" s="2175"/>
      <c r="CX183" s="2175"/>
      <c r="CY183" s="2175"/>
      <c r="CZ183" s="1498"/>
      <c r="DA183" s="1498"/>
      <c r="DB183" s="1498"/>
      <c r="DC183" s="1498"/>
      <c r="EU183" s="42"/>
      <c r="EV183"/>
      <c r="EW183"/>
      <c r="EX183"/>
      <c r="EY183"/>
      <c r="EZ183"/>
      <c r="FA183"/>
      <c r="FB183" s="961"/>
      <c r="FC183" s="961"/>
      <c r="FD183" s="961"/>
      <c r="FE183" s="961"/>
      <c r="FF183" s="961"/>
      <c r="FG183" s="961"/>
      <c r="FH183" s="961"/>
      <c r="FI183" s="961"/>
      <c r="FJ183" s="961"/>
      <c r="FK183" s="961"/>
      <c r="FL183" s="961"/>
      <c r="FM183" s="961"/>
      <c r="FN183" s="961"/>
      <c r="FO183" s="961"/>
      <c r="FP183" s="961"/>
      <c r="FQ183" s="961"/>
      <c r="FR183" s="961"/>
      <c r="FS183" s="961"/>
      <c r="FT183" s="961"/>
      <c r="FU183" s="961"/>
      <c r="FV183" s="961"/>
      <c r="FW183" s="961"/>
      <c r="FX183" s="961"/>
      <c r="FY183" s="961"/>
      <c r="FZ183" s="961"/>
      <c r="GA183" s="961"/>
      <c r="GB183" s="961"/>
      <c r="GC183" s="961"/>
      <c r="GD183" s="961"/>
      <c r="GE183" s="961"/>
      <c r="GF183" s="961"/>
      <c r="GG183" s="961"/>
      <c r="GH183" s="961"/>
      <c r="GI183" s="961"/>
    </row>
    <row r="184" spans="2:191" s="15" customFormat="1">
      <c r="B184" s="14" t="s">
        <v>1956</v>
      </c>
      <c r="H184" s="883"/>
      <c r="I184" s="883"/>
      <c r="J184" s="883"/>
      <c r="K184" s="883"/>
      <c r="L184" s="883"/>
      <c r="M184" s="1012"/>
      <c r="N184" s="1012"/>
      <c r="O184" s="768"/>
      <c r="P184" s="768"/>
      <c r="Q184" s="768"/>
      <c r="R184" s="1494">
        <f t="shared" ref="R184:Z184" si="381">SUM(R179:R183)</f>
        <v>465.96000000000004</v>
      </c>
      <c r="S184" s="1494">
        <f t="shared" si="381"/>
        <v>153.26600000000005</v>
      </c>
      <c r="T184" s="1494">
        <f t="shared" si="381"/>
        <v>629.23799999999983</v>
      </c>
      <c r="U184" s="1494">
        <f>SUM(U179:U183)</f>
        <v>725.08899999999994</v>
      </c>
      <c r="V184" s="1494">
        <f>SUM(V179:V183)</f>
        <v>992.36300000000028</v>
      </c>
      <c r="W184" s="1494">
        <f ca="1">SUM(W179:W183)</f>
        <v>1346.797639471725</v>
      </c>
      <c r="X184" s="1494">
        <f t="shared" ca="1" si="381"/>
        <v>1495.9760594474933</v>
      </c>
      <c r="Y184" s="1494">
        <f t="shared" ca="1" si="381"/>
        <v>1634.1590652597506</v>
      </c>
      <c r="Z184" s="1494">
        <f t="shared" ca="1" si="381"/>
        <v>1764.5406496493151</v>
      </c>
      <c r="AA184" s="1494">
        <f t="shared" ref="AA184:AD184" ca="1" si="382">SUM(AA179:AA183)</f>
        <v>1924.4114518009051</v>
      </c>
      <c r="AB184" s="1494">
        <f t="shared" ca="1" si="382"/>
        <v>2143.3483944639984</v>
      </c>
      <c r="AC184" s="1494">
        <f t="shared" ca="1" si="382"/>
        <v>2344.2211386704971</v>
      </c>
      <c r="AD184" s="1494">
        <f t="shared" ca="1" si="382"/>
        <v>2512.827431551636</v>
      </c>
      <c r="CF184" s="1494">
        <f>SUM(CF179:CF183)</f>
        <v>124.43299999999989</v>
      </c>
      <c r="CG184" s="1494">
        <f t="shared" ref="CG184:CN184" si="383">SUM(CG179:CG183)</f>
        <v>67.772000000000006</v>
      </c>
      <c r="CH184" s="1494">
        <f t="shared" si="383"/>
        <v>137.07400000000007</v>
      </c>
      <c r="CI184" s="1494">
        <f t="shared" si="383"/>
        <v>136.68100000000001</v>
      </c>
      <c r="CJ184" s="1494">
        <f t="shared" si="383"/>
        <v>138.732</v>
      </c>
      <c r="CK184" s="1494">
        <f t="shared" si="383"/>
        <v>109.81300000000005</v>
      </c>
      <c r="CL184" s="1494">
        <f t="shared" si="383"/>
        <v>146.059</v>
      </c>
      <c r="CM184" s="1494">
        <f t="shared" si="383"/>
        <v>-241.33799999999997</v>
      </c>
      <c r="CN184" s="1494">
        <f t="shared" si="383"/>
        <v>179.19000000000003</v>
      </c>
      <c r="CO184" s="1494">
        <f t="shared" ref="CO184:CU184" si="384">SUM(CO179:CO183)</f>
        <v>167.36799999999985</v>
      </c>
      <c r="CP184" s="1494">
        <f t="shared" si="384"/>
        <v>151.197</v>
      </c>
      <c r="CQ184" s="1494">
        <f t="shared" si="384"/>
        <v>131.48299999999992</v>
      </c>
      <c r="CR184" s="1494">
        <f t="shared" si="384"/>
        <v>115.87500000000001</v>
      </c>
      <c r="CS184" s="1494">
        <f t="shared" si="384"/>
        <v>201.51500000000001</v>
      </c>
      <c r="CT184" s="1494">
        <f t="shared" si="384"/>
        <v>187.83099999999993</v>
      </c>
      <c r="CU184" s="1494">
        <f t="shared" si="384"/>
        <v>219.86799999999997</v>
      </c>
      <c r="CV184" s="1494">
        <f>SUM(CV179:CV183)</f>
        <v>200.8660000000001</v>
      </c>
      <c r="CW184" s="1494">
        <f>SUM(CW179:CW183)</f>
        <v>219.76000000000002</v>
      </c>
      <c r="CX184" s="1494">
        <f>SUM(CX179:CX183)</f>
        <v>286.11899999999997</v>
      </c>
      <c r="CY184" s="1494">
        <f>SUM(CY179:CY183)</f>
        <v>285.61799999999999</v>
      </c>
      <c r="CZ184" s="1494">
        <f t="shared" ref="CZ184:DC184" ca="1" si="385">SUM(CZ179:CZ183)</f>
        <v>304.81506486634066</v>
      </c>
      <c r="DA184" s="1494">
        <f t="shared" ca="1" si="385"/>
        <v>329.91506184828256</v>
      </c>
      <c r="DB184" s="1494">
        <f t="shared" ca="1" si="385"/>
        <v>347.3309459084295</v>
      </c>
      <c r="DC184" s="1494">
        <f t="shared" ca="1" si="385"/>
        <v>364.73656684867228</v>
      </c>
      <c r="EU184" s="42"/>
      <c r="EV184"/>
      <c r="EW184"/>
      <c r="EX184"/>
      <c r="EY184"/>
      <c r="EZ184"/>
      <c r="FA184"/>
      <c r="FB184" s="961"/>
      <c r="FC184" s="961"/>
      <c r="FD184" s="961"/>
      <c r="FE184" s="961"/>
      <c r="FF184" s="961"/>
      <c r="FG184" s="961"/>
      <c r="FH184" s="961"/>
      <c r="FI184" s="961"/>
      <c r="FJ184" s="961"/>
      <c r="FK184" s="961"/>
      <c r="FL184" s="961"/>
      <c r="FM184" s="961"/>
      <c r="FN184" s="961"/>
      <c r="FO184" s="961"/>
      <c r="FP184" s="961"/>
      <c r="FQ184" s="961"/>
      <c r="FR184" s="961"/>
      <c r="FS184" s="961"/>
      <c r="FT184" s="961"/>
      <c r="FU184" s="961"/>
      <c r="FV184" s="961"/>
      <c r="FW184" s="961"/>
      <c r="FX184" s="961"/>
      <c r="FY184" s="961"/>
      <c r="FZ184" s="961"/>
      <c r="GA184" s="961"/>
      <c r="GB184" s="961"/>
      <c r="GC184" s="961"/>
      <c r="GD184" s="961"/>
      <c r="GE184" s="961"/>
      <c r="GF184" s="961"/>
      <c r="GG184" s="961"/>
      <c r="GH184" s="961"/>
      <c r="GI184" s="961"/>
    </row>
    <row r="185" spans="2:191" s="15" customFormat="1">
      <c r="B185" s="17" t="s">
        <v>1322</v>
      </c>
      <c r="H185" s="883"/>
      <c r="I185" s="883"/>
      <c r="J185" s="883"/>
      <c r="K185" s="883"/>
      <c r="L185" s="883"/>
      <c r="M185" s="1012"/>
      <c r="N185" s="1012"/>
      <c r="O185" s="768"/>
      <c r="P185" s="768"/>
      <c r="Q185" s="768"/>
      <c r="R185" s="1494"/>
      <c r="S185" s="24">
        <f>+S184/R184-1</f>
        <v>-0.67107477036655494</v>
      </c>
      <c r="T185" s="24">
        <f t="shared" ref="T185:Z185" si="386">+T184/S184-1</f>
        <v>3.1055289496691998</v>
      </c>
      <c r="U185" s="24">
        <f t="shared" si="386"/>
        <v>0.15232868962141533</v>
      </c>
      <c r="V185" s="24">
        <f t="shared" si="386"/>
        <v>0.36860854322710779</v>
      </c>
      <c r="W185" s="24">
        <f t="shared" ca="1" si="386"/>
        <v>0.35716228786414317</v>
      </c>
      <c r="X185" s="24">
        <f t="shared" ca="1" si="386"/>
        <v>0.11076528173473998</v>
      </c>
      <c r="Y185" s="24">
        <f t="shared" ca="1" si="386"/>
        <v>9.2369797591073999E-2</v>
      </c>
      <c r="Z185" s="24">
        <f t="shared" ca="1" si="386"/>
        <v>7.9785124447992573E-2</v>
      </c>
      <c r="AA185" s="24">
        <f t="shared" ref="AA185" ca="1" si="387">+AA184/Z184-1</f>
        <v>9.0601937781009889E-2</v>
      </c>
      <c r="AB185" s="24">
        <f t="shared" ref="AB185" ca="1" si="388">+AB184/AA184-1</f>
        <v>0.11376826013907126</v>
      </c>
      <c r="AC185" s="24">
        <f t="shared" ref="AC185" ca="1" si="389">+AC184/AB184-1</f>
        <v>9.3719128782482564E-2</v>
      </c>
      <c r="AD185" s="24">
        <f t="shared" ref="AD185" ca="1" si="390">+AD184/AC184-1</f>
        <v>7.192422681452415E-2</v>
      </c>
      <c r="CF185" s="1494"/>
      <c r="CG185" s="1494"/>
      <c r="CH185" s="1494"/>
      <c r="CI185" s="1494"/>
      <c r="CJ185" s="24"/>
      <c r="CK185" s="24"/>
      <c r="CL185" s="24"/>
      <c r="CM185" s="24"/>
      <c r="CN185" s="24">
        <f t="shared" ref="CN185:CY185" si="391">+CN184/CJ184-1</f>
        <v>0.29162702188392031</v>
      </c>
      <c r="CO185" s="24">
        <f t="shared" si="391"/>
        <v>0.52411827379271836</v>
      </c>
      <c r="CP185" s="24">
        <f t="shared" si="391"/>
        <v>3.5177565230489094E-2</v>
      </c>
      <c r="CQ185" s="24">
        <f t="shared" si="391"/>
        <v>-1.544808525801987</v>
      </c>
      <c r="CR185" s="24">
        <f t="shared" si="391"/>
        <v>-0.35334003013561022</v>
      </c>
      <c r="CS185" s="24">
        <f t="shared" si="391"/>
        <v>0.20402346924143311</v>
      </c>
      <c r="CT185" s="24">
        <f t="shared" si="391"/>
        <v>0.24229316719247018</v>
      </c>
      <c r="CU185" s="24">
        <f t="shared" si="391"/>
        <v>0.67221618003848493</v>
      </c>
      <c r="CV185" s="24">
        <f t="shared" si="391"/>
        <v>0.73347141316073428</v>
      </c>
      <c r="CW185" s="24">
        <f t="shared" si="391"/>
        <v>9.053916581892163E-2</v>
      </c>
      <c r="CX185" s="24">
        <f t="shared" si="391"/>
        <v>0.52327890497308793</v>
      </c>
      <c r="CY185" s="24">
        <f t="shared" si="391"/>
        <v>0.29904306220095722</v>
      </c>
      <c r="CZ185" s="24">
        <f t="shared" ref="CZ185:DC185" ca="1" si="392">+CZ184/CV184-1</f>
        <v>0.51750452971802341</v>
      </c>
      <c r="DA185" s="24">
        <f t="shared" ca="1" si="392"/>
        <v>0.50125164656116916</v>
      </c>
      <c r="DB185" s="24">
        <f t="shared" ca="1" si="392"/>
        <v>0.21393876641687393</v>
      </c>
      <c r="DC185" s="24">
        <f t="shared" ca="1" si="392"/>
        <v>0.27700833577951078</v>
      </c>
      <c r="EU185" s="42"/>
      <c r="EV185"/>
      <c r="EW185"/>
      <c r="EX185"/>
      <c r="EY185"/>
      <c r="EZ185"/>
      <c r="FA185"/>
      <c r="FB185" s="961"/>
      <c r="FC185" s="961"/>
      <c r="FD185" s="961"/>
      <c r="FE185" s="961"/>
      <c r="FF185" s="961"/>
      <c r="FG185" s="961"/>
      <c r="FH185" s="961"/>
      <c r="FI185" s="961"/>
      <c r="FJ185" s="961"/>
      <c r="FK185" s="961"/>
      <c r="FL185" s="961"/>
      <c r="FM185" s="961"/>
      <c r="FN185" s="961"/>
      <c r="FO185" s="961"/>
      <c r="FP185" s="961"/>
      <c r="FQ185" s="961"/>
      <c r="FR185" s="961"/>
      <c r="FS185" s="961"/>
      <c r="FT185" s="961"/>
      <c r="FU185" s="961"/>
      <c r="FV185" s="961"/>
      <c r="FW185" s="961"/>
      <c r="FX185" s="961"/>
      <c r="FY185" s="961"/>
      <c r="FZ185" s="961"/>
      <c r="GA185" s="961"/>
      <c r="GB185" s="961"/>
      <c r="GC185" s="961"/>
      <c r="GD185" s="961"/>
      <c r="GE185" s="961"/>
      <c r="GF185" s="961"/>
      <c r="GG185" s="961"/>
      <c r="GH185" s="961"/>
      <c r="GI185" s="961"/>
    </row>
    <row r="186" spans="2:191" s="15" customFormat="1">
      <c r="B186" s="17" t="s">
        <v>95</v>
      </c>
      <c r="H186" s="883"/>
      <c r="I186" s="883"/>
      <c r="J186" s="883"/>
      <c r="K186" s="883"/>
      <c r="L186" s="883"/>
      <c r="M186" s="1012"/>
      <c r="N186" s="1012"/>
      <c r="O186" s="768"/>
      <c r="P186" s="768"/>
      <c r="Q186" s="768"/>
      <c r="R186" s="1494"/>
      <c r="S186" s="1494"/>
      <c r="T186" s="1494"/>
      <c r="U186" s="1494"/>
      <c r="V186" s="1494"/>
      <c r="W186" s="1494"/>
      <c r="X186" s="1494"/>
      <c r="Y186" s="1494"/>
      <c r="Z186" s="1494"/>
      <c r="AA186" s="1494"/>
      <c r="AB186" s="1494"/>
      <c r="AC186" s="1494"/>
      <c r="AD186" s="1494"/>
      <c r="CF186" s="1494"/>
      <c r="CG186" s="1494"/>
      <c r="CH186" s="1494"/>
      <c r="CI186" s="1494"/>
      <c r="CJ186" s="24"/>
      <c r="CK186" s="24">
        <f>+CK184/CJ184-1</f>
        <v>-0.20845226768157277</v>
      </c>
      <c r="CL186" s="24">
        <f t="shared" ref="CL186:CY186" si="393">+CL184/CK184-1</f>
        <v>0.33007021026654337</v>
      </c>
      <c r="CM186" s="24">
        <f t="shared" si="393"/>
        <v>-2.65233227668271</v>
      </c>
      <c r="CN186" s="24">
        <f t="shared" si="393"/>
        <v>-1.7424856425428241</v>
      </c>
      <c r="CO186" s="24">
        <f t="shared" si="393"/>
        <v>-6.5974663764719943E-2</v>
      </c>
      <c r="CP186" s="24">
        <f t="shared" si="393"/>
        <v>-9.6619425457673325E-2</v>
      </c>
      <c r="CQ186" s="24">
        <f t="shared" si="393"/>
        <v>-0.13038618491107679</v>
      </c>
      <c r="CR186" s="24">
        <f t="shared" si="393"/>
        <v>-0.11870736140793803</v>
      </c>
      <c r="CS186" s="24">
        <f t="shared" si="393"/>
        <v>0.73907227615965465</v>
      </c>
      <c r="CT186" s="24">
        <f t="shared" si="393"/>
        <v>-6.7905614966628169E-2</v>
      </c>
      <c r="CU186" s="24">
        <f t="shared" si="393"/>
        <v>0.1705628996278572</v>
      </c>
      <c r="CV186" s="24">
        <f t="shared" si="393"/>
        <v>-8.6424582021939811E-2</v>
      </c>
      <c r="CW186" s="24">
        <f t="shared" si="393"/>
        <v>9.406270847231446E-2</v>
      </c>
      <c r="CX186" s="24">
        <f t="shared" si="393"/>
        <v>0.30196123043319956</v>
      </c>
      <c r="CY186" s="24">
        <f t="shared" si="393"/>
        <v>-1.7510196806223011E-3</v>
      </c>
      <c r="CZ186" s="24">
        <f t="shared" ref="CZ186:DC186" ca="1" si="394">+CZ184/CY184-1</f>
        <v>6.7212377603444784E-2</v>
      </c>
      <c r="DA186" s="24">
        <f t="shared" ca="1" si="394"/>
        <v>8.2345001527231121E-2</v>
      </c>
      <c r="DB186" s="24">
        <f t="shared" ca="1" si="394"/>
        <v>5.2788993514203186E-2</v>
      </c>
      <c r="DC186" s="24">
        <f t="shared" ca="1" si="394"/>
        <v>5.0112496871590695E-2</v>
      </c>
      <c r="EU186" s="42"/>
      <c r="EV186"/>
      <c r="EW186"/>
      <c r="EX186"/>
      <c r="EY186"/>
      <c r="EZ186"/>
      <c r="FA186"/>
      <c r="FB186" s="961"/>
      <c r="FC186" s="961"/>
      <c r="FD186" s="961"/>
      <c r="FE186" s="961"/>
      <c r="FF186" s="961"/>
      <c r="FG186" s="961"/>
      <c r="FH186" s="961"/>
      <c r="FI186" s="961"/>
      <c r="FJ186" s="961"/>
      <c r="FK186" s="961"/>
      <c r="FL186" s="961"/>
      <c r="FM186" s="961"/>
      <c r="FN186" s="961"/>
      <c r="FO186" s="961"/>
      <c r="FP186" s="961"/>
      <c r="FQ186" s="961"/>
      <c r="FR186" s="961"/>
      <c r="FS186" s="961"/>
      <c r="FT186" s="961"/>
      <c r="FU186" s="961"/>
      <c r="FV186" s="961"/>
      <c r="FW186" s="961"/>
      <c r="FX186" s="961"/>
      <c r="FY186" s="961"/>
      <c r="FZ186" s="961"/>
      <c r="GA186" s="961"/>
      <c r="GB186" s="961"/>
      <c r="GC186" s="961"/>
      <c r="GD186" s="961"/>
      <c r="GE186" s="961"/>
      <c r="GF186" s="961"/>
      <c r="GG186" s="961"/>
      <c r="GH186" s="961"/>
      <c r="GI186" s="961"/>
    </row>
    <row r="187" spans="2:191" s="15" customFormat="1">
      <c r="B187" s="23" t="s">
        <v>1968</v>
      </c>
      <c r="H187" s="883"/>
      <c r="I187" s="883"/>
      <c r="J187" s="883"/>
      <c r="K187" s="883"/>
      <c r="L187" s="883"/>
      <c r="M187" s="1012"/>
      <c r="N187" s="1012"/>
      <c r="O187" s="768"/>
      <c r="P187" s="768"/>
      <c r="Q187" s="768"/>
      <c r="R187" s="1483"/>
      <c r="S187" s="1483"/>
      <c r="T187" s="1483"/>
      <c r="U187" s="1483"/>
      <c r="V187" s="1483"/>
      <c r="W187" s="1483"/>
      <c r="X187" s="1498"/>
      <c r="Y187" s="1498"/>
      <c r="Z187" s="1498"/>
      <c r="AA187" s="1498"/>
      <c r="AB187" s="1498"/>
      <c r="AC187" s="1498"/>
      <c r="AD187" s="1498"/>
      <c r="CF187" s="2175"/>
      <c r="CG187" s="2175"/>
      <c r="CH187" s="2175"/>
      <c r="CI187" s="2175"/>
      <c r="CJ187" s="2175"/>
      <c r="CK187" s="2175"/>
      <c r="CL187" s="2175"/>
      <c r="CM187" s="2175"/>
      <c r="CN187" s="2175"/>
      <c r="CO187" s="2175"/>
      <c r="CP187" s="2175"/>
      <c r="CQ187" s="2175"/>
      <c r="CR187" s="2175"/>
      <c r="CS187" s="2175"/>
      <c r="CT187" s="2175"/>
      <c r="CU187" s="2175"/>
      <c r="CV187" s="2175"/>
      <c r="CW187" s="2175"/>
      <c r="CX187" s="2175"/>
      <c r="CY187" s="2175"/>
      <c r="CZ187" s="1498"/>
      <c r="DA187" s="1498"/>
      <c r="DB187" s="1498"/>
      <c r="DC187" s="1498"/>
      <c r="EU187" s="42"/>
      <c r="EV187"/>
      <c r="EW187"/>
      <c r="EX187"/>
      <c r="EY187"/>
      <c r="EZ187"/>
      <c r="FA187"/>
      <c r="FB187" s="961"/>
      <c r="FC187" s="961"/>
      <c r="FD187" s="961"/>
      <c r="FE187" s="961"/>
      <c r="FF187" s="961"/>
      <c r="FG187" s="961"/>
      <c r="FH187" s="961"/>
      <c r="FI187" s="961"/>
      <c r="FJ187" s="961"/>
      <c r="FK187" s="961"/>
      <c r="FL187" s="961"/>
      <c r="FM187" s="961"/>
      <c r="FN187" s="961"/>
      <c r="FO187" s="961"/>
      <c r="FP187" s="961"/>
      <c r="FQ187" s="961"/>
      <c r="FR187" s="961"/>
      <c r="FS187" s="961"/>
      <c r="FT187" s="961"/>
      <c r="FU187" s="961"/>
      <c r="FV187" s="961"/>
      <c r="FW187" s="961"/>
      <c r="FX187" s="961"/>
      <c r="FY187" s="961"/>
      <c r="FZ187" s="961"/>
      <c r="GA187" s="961"/>
      <c r="GB187" s="961"/>
      <c r="GC187" s="961"/>
      <c r="GD187" s="961"/>
      <c r="GE187" s="961"/>
      <c r="GF187" s="961"/>
      <c r="GG187" s="961"/>
      <c r="GH187" s="961"/>
      <c r="GI187" s="961"/>
    </row>
    <row r="188" spans="2:191" s="15" customFormat="1">
      <c r="B188" s="23" t="s">
        <v>1958</v>
      </c>
      <c r="H188" s="883"/>
      <c r="I188" s="883"/>
      <c r="J188" s="883"/>
      <c r="K188" s="883"/>
      <c r="L188" s="883"/>
      <c r="M188" s="1012"/>
      <c r="N188" s="1012"/>
      <c r="O188" s="768"/>
      <c r="P188" s="768"/>
      <c r="Q188" s="768"/>
      <c r="R188" s="1483">
        <f>+SUM(CF188:CI188)</f>
        <v>7.4260000000000002</v>
      </c>
      <c r="S188" s="1483">
        <f>+SUM(CJ188:CM188)</f>
        <v>4.8620000000000001</v>
      </c>
      <c r="T188" s="1483">
        <f>+SUM(CN188:CQ188)</f>
        <v>0</v>
      </c>
      <c r="U188" s="1483">
        <f>SUM(CR188:CU188)</f>
        <v>0</v>
      </c>
      <c r="V188" s="1483">
        <f>SUM(CV188:CY188)</f>
        <v>0</v>
      </c>
      <c r="W188" s="1483">
        <f>SUM(CZ188:DC188)</f>
        <v>0</v>
      </c>
      <c r="X188" s="1498">
        <f t="shared" ref="X188:Z189" si="395">+W188</f>
        <v>0</v>
      </c>
      <c r="Y188" s="1498">
        <f t="shared" si="395"/>
        <v>0</v>
      </c>
      <c r="Z188" s="1498">
        <f t="shared" si="395"/>
        <v>0</v>
      </c>
      <c r="AA188" s="1498">
        <f t="shared" ref="AA188:AA189" si="396">+Z188</f>
        <v>0</v>
      </c>
      <c r="AB188" s="1498">
        <f t="shared" ref="AB188:AB189" si="397">+AA188</f>
        <v>0</v>
      </c>
      <c r="AC188" s="1498">
        <f t="shared" ref="AC188:AC189" si="398">+AB188</f>
        <v>0</v>
      </c>
      <c r="AD188" s="1498">
        <f t="shared" ref="AD188:AD189" si="399">+AC188</f>
        <v>0</v>
      </c>
      <c r="CF188" s="2175">
        <v>1.851</v>
      </c>
      <c r="CG188" s="2175">
        <v>1.863</v>
      </c>
      <c r="CH188" s="2175">
        <v>1.865</v>
      </c>
      <c r="CI188" s="2175">
        <v>1.847</v>
      </c>
      <c r="CJ188" s="2175">
        <v>1.984</v>
      </c>
      <c r="CK188" s="2175">
        <v>1.9930000000000001</v>
      </c>
      <c r="CL188" s="2175">
        <v>0.88500000000000001</v>
      </c>
      <c r="CM188" s="2175"/>
      <c r="CN188" s="2175"/>
      <c r="CO188" s="2175"/>
      <c r="CP188" s="2175"/>
      <c r="CQ188" s="2175"/>
      <c r="CR188" s="2175"/>
      <c r="CS188" s="2175"/>
      <c r="CT188" s="2175"/>
      <c r="CU188" s="2175"/>
      <c r="CV188" s="2175"/>
      <c r="CW188" s="2175"/>
      <c r="CX188" s="2175"/>
      <c r="CY188" s="2175"/>
      <c r="CZ188" s="1498"/>
      <c r="DA188" s="1498"/>
      <c r="DB188" s="1498"/>
      <c r="DC188" s="1498"/>
      <c r="EU188" s="42"/>
      <c r="EV188"/>
      <c r="EW188"/>
      <c r="EX188"/>
      <c r="EY188"/>
      <c r="EZ188"/>
      <c r="FA188"/>
      <c r="FB188" s="961"/>
      <c r="FC188" s="961"/>
      <c r="FD188" s="961"/>
      <c r="FE188" s="961"/>
      <c r="FF188" s="961"/>
      <c r="FG188" s="961"/>
      <c r="FH188" s="961"/>
      <c r="FI188" s="961"/>
      <c r="FJ188" s="961"/>
      <c r="FK188" s="961"/>
      <c r="FL188" s="961"/>
      <c r="FM188" s="961"/>
      <c r="FN188" s="961"/>
      <c r="FO188" s="961"/>
      <c r="FP188" s="961"/>
      <c r="FQ188" s="961"/>
      <c r="FR188" s="961"/>
      <c r="FS188" s="961"/>
      <c r="FT188" s="961"/>
      <c r="FU188" s="961"/>
      <c r="FV188" s="961"/>
      <c r="FW188" s="961"/>
      <c r="FX188" s="961"/>
      <c r="FY188" s="961"/>
      <c r="FZ188" s="961"/>
      <c r="GA188" s="961"/>
      <c r="GB188" s="961"/>
      <c r="GC188" s="961"/>
      <c r="GD188" s="961"/>
      <c r="GE188" s="961"/>
      <c r="GF188" s="961"/>
      <c r="GG188" s="961"/>
      <c r="GH188" s="961"/>
      <c r="GI188" s="961"/>
    </row>
    <row r="189" spans="2:191" s="15" customFormat="1">
      <c r="B189" s="23" t="s">
        <v>1957</v>
      </c>
      <c r="H189" s="883"/>
      <c r="I189" s="883"/>
      <c r="J189" s="883"/>
      <c r="K189" s="883"/>
      <c r="L189" s="883"/>
      <c r="M189" s="1012"/>
      <c r="N189" s="1012"/>
      <c r="O189" s="768"/>
      <c r="P189" s="768"/>
      <c r="Q189" s="768"/>
      <c r="R189" s="1483">
        <f>+SUM(CF189:CI189)</f>
        <v>18.552999999999997</v>
      </c>
      <c r="S189" s="1483">
        <f>+SUM(CJ189:CM189)</f>
        <v>10.426</v>
      </c>
      <c r="T189" s="1483">
        <f>+SUM(CN189:CQ189)</f>
        <v>13.466000000000001</v>
      </c>
      <c r="U189" s="1483">
        <f>SUM(CR189:CU189)</f>
        <v>3.226</v>
      </c>
      <c r="V189" s="1483">
        <f>SUM(CV189:CY189)</f>
        <v>0</v>
      </c>
      <c r="W189" s="1483">
        <f>SUM(CZ189:DC189)</f>
        <v>0</v>
      </c>
      <c r="X189" s="1498">
        <f t="shared" si="395"/>
        <v>0</v>
      </c>
      <c r="Y189" s="1498">
        <f t="shared" si="395"/>
        <v>0</v>
      </c>
      <c r="Z189" s="1498">
        <f t="shared" si="395"/>
        <v>0</v>
      </c>
      <c r="AA189" s="1498">
        <f t="shared" si="396"/>
        <v>0</v>
      </c>
      <c r="AB189" s="1498">
        <f t="shared" si="397"/>
        <v>0</v>
      </c>
      <c r="AC189" s="1498">
        <f t="shared" si="398"/>
        <v>0</v>
      </c>
      <c r="AD189" s="1498">
        <f t="shared" si="399"/>
        <v>0</v>
      </c>
      <c r="CF189" s="2175">
        <v>4.5069999999999997</v>
      </c>
      <c r="CG189" s="2175">
        <v>4.6230000000000002</v>
      </c>
      <c r="CH189" s="2175">
        <v>4.7380000000000004</v>
      </c>
      <c r="CI189" s="2175">
        <v>4.6849999999999996</v>
      </c>
      <c r="CJ189" s="2175">
        <v>5.1280000000000001</v>
      </c>
      <c r="CK189" s="2175">
        <v>3.1949999999999998</v>
      </c>
      <c r="CL189" s="2175">
        <v>2.1030000000000002</v>
      </c>
      <c r="CM189" s="2175"/>
      <c r="CN189" s="2175">
        <v>3.3620000000000001</v>
      </c>
      <c r="CO189" s="2175">
        <v>3.383</v>
      </c>
      <c r="CP189" s="2175">
        <v>3.2789999999999999</v>
      </c>
      <c r="CQ189" s="2175">
        <v>3.4420000000000002</v>
      </c>
      <c r="CR189" s="2175">
        <v>3.226</v>
      </c>
      <c r="CS189" s="2175"/>
      <c r="CT189" s="2175"/>
      <c r="CU189" s="2175"/>
      <c r="CV189" s="2175"/>
      <c r="CW189" s="2175"/>
      <c r="CX189" s="2175"/>
      <c r="CY189" s="2175"/>
      <c r="CZ189" s="1498">
        <f t="shared" ref="CZ189:DC189" si="400">+CY189</f>
        <v>0</v>
      </c>
      <c r="DA189" s="1498">
        <f t="shared" si="400"/>
        <v>0</v>
      </c>
      <c r="DB189" s="1498">
        <f t="shared" si="400"/>
        <v>0</v>
      </c>
      <c r="DC189" s="1498">
        <f t="shared" si="400"/>
        <v>0</v>
      </c>
      <c r="EU189" s="42"/>
      <c r="EV189"/>
      <c r="EW189"/>
      <c r="EX189"/>
      <c r="EY189"/>
      <c r="EZ189"/>
      <c r="FA189"/>
      <c r="FB189" s="961"/>
      <c r="FC189" s="961"/>
      <c r="FD189" s="961"/>
      <c r="FE189" s="961"/>
      <c r="FF189" s="961"/>
      <c r="FG189" s="961"/>
      <c r="FH189" s="961"/>
      <c r="FI189" s="961"/>
      <c r="FJ189" s="961"/>
      <c r="FK189" s="961"/>
      <c r="FL189" s="961"/>
      <c r="FM189" s="961"/>
      <c r="FN189" s="961"/>
      <c r="FO189" s="961"/>
      <c r="FP189" s="961"/>
      <c r="FQ189" s="961"/>
      <c r="FR189" s="961"/>
      <c r="FS189" s="961"/>
      <c r="FT189" s="961"/>
      <c r="FU189" s="961"/>
      <c r="FV189" s="961"/>
      <c r="FW189" s="961"/>
      <c r="FX189" s="961"/>
      <c r="FY189" s="961"/>
      <c r="FZ189" s="961"/>
      <c r="GA189" s="961"/>
      <c r="GB189" s="961"/>
      <c r="GC189" s="961"/>
      <c r="GD189" s="961"/>
      <c r="GE189" s="961"/>
      <c r="GF189" s="961"/>
      <c r="GG189" s="961"/>
      <c r="GH189" s="961"/>
      <c r="GI189" s="961"/>
    </row>
    <row r="190" spans="2:191" s="15" customFormat="1">
      <c r="B190" s="14" t="s">
        <v>1959</v>
      </c>
      <c r="H190" s="883"/>
      <c r="I190" s="883"/>
      <c r="J190" s="883"/>
      <c r="K190" s="883"/>
      <c r="L190" s="883"/>
      <c r="M190" s="1012"/>
      <c r="N190" s="1012"/>
      <c r="O190" s="768"/>
      <c r="P190" s="768"/>
      <c r="Q190" s="768"/>
      <c r="R190" s="1494">
        <f t="shared" ref="R190:Z190" si="401">+R184+SUM(R188:R189)</f>
        <v>491.93900000000002</v>
      </c>
      <c r="S190" s="1494">
        <f t="shared" si="401"/>
        <v>168.55400000000006</v>
      </c>
      <c r="T190" s="1494">
        <f t="shared" si="401"/>
        <v>642.70399999999984</v>
      </c>
      <c r="U190" s="1494">
        <f>+U184+SUM(U188:U189)</f>
        <v>728.31499999999994</v>
      </c>
      <c r="V190" s="1494">
        <f>+V184+SUM(V188:V189)</f>
        <v>992.36300000000028</v>
      </c>
      <c r="W190" s="1494">
        <f ca="1">+W184+SUM(W188:W189)</f>
        <v>1346.797639471725</v>
      </c>
      <c r="X190" s="1494">
        <f t="shared" ca="1" si="401"/>
        <v>1495.9760594474933</v>
      </c>
      <c r="Y190" s="1494">
        <f t="shared" ca="1" si="401"/>
        <v>1634.1590652597506</v>
      </c>
      <c r="Z190" s="1494">
        <f t="shared" ca="1" si="401"/>
        <v>1764.5406496493151</v>
      </c>
      <c r="AA190" s="1494">
        <f t="shared" ref="AA190:AD190" ca="1" si="402">+AA184+SUM(AA188:AA189)</f>
        <v>1924.4114518009051</v>
      </c>
      <c r="AB190" s="1494">
        <f t="shared" ca="1" si="402"/>
        <v>2143.3483944639984</v>
      </c>
      <c r="AC190" s="1494">
        <f t="shared" ca="1" si="402"/>
        <v>2344.2211386704971</v>
      </c>
      <c r="AD190" s="1494">
        <f t="shared" ca="1" si="402"/>
        <v>2512.827431551636</v>
      </c>
      <c r="CF190" s="1494">
        <f t="shared" ref="CF190:CN190" si="403">+CF184+SUM(CF188:CF189)</f>
        <v>130.79099999999988</v>
      </c>
      <c r="CG190" s="1494">
        <f t="shared" si="403"/>
        <v>74.25800000000001</v>
      </c>
      <c r="CH190" s="1494">
        <f t="shared" si="403"/>
        <v>143.67700000000008</v>
      </c>
      <c r="CI190" s="1494">
        <f t="shared" si="403"/>
        <v>143.21300000000002</v>
      </c>
      <c r="CJ190" s="1494">
        <f t="shared" si="403"/>
        <v>145.84399999999999</v>
      </c>
      <c r="CK190" s="1494">
        <f t="shared" si="403"/>
        <v>115.00100000000005</v>
      </c>
      <c r="CL190" s="1494">
        <f t="shared" si="403"/>
        <v>149.047</v>
      </c>
      <c r="CM190" s="1494">
        <f t="shared" si="403"/>
        <v>-241.33799999999997</v>
      </c>
      <c r="CN190" s="1494">
        <f t="shared" si="403"/>
        <v>182.55200000000002</v>
      </c>
      <c r="CO190" s="1494">
        <f>+CO184+SUM(CO188:CO189)</f>
        <v>170.75099999999986</v>
      </c>
      <c r="CP190" s="1494">
        <f>+CP184+SUM(CP188:CP189)</f>
        <v>154.476</v>
      </c>
      <c r="CQ190" s="1494">
        <f>+CQ184+SUM(CQ188:CQ189)</f>
        <v>134.92499999999993</v>
      </c>
      <c r="CR190" s="1494">
        <f t="shared" ref="CR190:CU190" si="404">+CR184+SUM(CR188:CR189)</f>
        <v>119.10100000000001</v>
      </c>
      <c r="CS190" s="1494">
        <f t="shared" si="404"/>
        <v>201.51500000000001</v>
      </c>
      <c r="CT190" s="1494">
        <f t="shared" si="404"/>
        <v>187.83099999999993</v>
      </c>
      <c r="CU190" s="1494">
        <f t="shared" si="404"/>
        <v>219.86799999999997</v>
      </c>
      <c r="CV190" s="1494">
        <f>+CV184+SUM(CV188:CV189)</f>
        <v>200.8660000000001</v>
      </c>
      <c r="CW190" s="1494">
        <f>+CW184+SUM(CW188:CW189)</f>
        <v>219.76000000000002</v>
      </c>
      <c r="CX190" s="1494">
        <f>+CX184+SUM(CX188:CX189)</f>
        <v>286.11899999999997</v>
      </c>
      <c r="CY190" s="1494">
        <f>+CY184+SUM(CY188:CY189)</f>
        <v>285.61799999999999</v>
      </c>
      <c r="CZ190" s="1494">
        <f t="shared" ref="CZ190:DC190" ca="1" si="405">+CZ184+SUM(CZ188:CZ189)</f>
        <v>304.81506486634066</v>
      </c>
      <c r="DA190" s="1494">
        <f t="shared" ca="1" si="405"/>
        <v>329.91506184828256</v>
      </c>
      <c r="DB190" s="1494">
        <f t="shared" ca="1" si="405"/>
        <v>347.3309459084295</v>
      </c>
      <c r="DC190" s="1494">
        <f t="shared" ca="1" si="405"/>
        <v>364.73656684867228</v>
      </c>
      <c r="EU190" s="42"/>
      <c r="EV190"/>
      <c r="EW190"/>
      <c r="EX190"/>
      <c r="EY190"/>
      <c r="EZ190"/>
      <c r="FA190"/>
      <c r="FB190" s="961"/>
      <c r="FC190" s="961"/>
      <c r="FD190" s="961"/>
      <c r="FE190" s="961"/>
      <c r="FF190" s="961"/>
      <c r="FG190" s="961"/>
      <c r="FH190" s="961"/>
      <c r="FI190" s="961"/>
      <c r="FJ190" s="961"/>
      <c r="FK190" s="961"/>
      <c r="FL190" s="961"/>
      <c r="FM190" s="961"/>
      <c r="FN190" s="961"/>
      <c r="FO190" s="961"/>
      <c r="FP190" s="961"/>
      <c r="FQ190" s="961"/>
      <c r="FR190" s="961"/>
      <c r="FS190" s="961"/>
      <c r="FT190" s="961"/>
      <c r="FU190" s="961"/>
      <c r="FV190" s="961"/>
      <c r="FW190" s="961"/>
      <c r="FX190" s="961"/>
      <c r="FY190" s="961"/>
      <c r="FZ190" s="961"/>
      <c r="GA190" s="961"/>
      <c r="GB190" s="961"/>
      <c r="GC190" s="961"/>
      <c r="GD190" s="961"/>
      <c r="GE190" s="961"/>
      <c r="GF190" s="961"/>
      <c r="GG190" s="961"/>
      <c r="GH190" s="961"/>
      <c r="GI190" s="961"/>
    </row>
    <row r="191" spans="2:191" s="15" customFormat="1">
      <c r="B191" s="17" t="s">
        <v>1322</v>
      </c>
      <c r="H191" s="883"/>
      <c r="I191" s="883"/>
      <c r="J191" s="883"/>
      <c r="K191" s="883"/>
      <c r="L191" s="883"/>
      <c r="M191" s="1012"/>
      <c r="N191" s="1012"/>
      <c r="O191" s="768"/>
      <c r="P191" s="768"/>
      <c r="Q191" s="768"/>
      <c r="R191" s="1494"/>
      <c r="S191" s="24">
        <f t="shared" ref="S191:Z191" si="406">+S190/R190-1</f>
        <v>-0.65736808831989324</v>
      </c>
      <c r="T191" s="24">
        <f t="shared" si="406"/>
        <v>2.8130450775419131</v>
      </c>
      <c r="U191" s="24">
        <f t="shared" si="406"/>
        <v>0.13320439891458613</v>
      </c>
      <c r="V191" s="24">
        <f t="shared" si="406"/>
        <v>0.3625464256537354</v>
      </c>
      <c r="W191" s="24">
        <f t="shared" ca="1" si="406"/>
        <v>0.35716228786414317</v>
      </c>
      <c r="X191" s="24">
        <f t="shared" ca="1" si="406"/>
        <v>0.11076528173473998</v>
      </c>
      <c r="Y191" s="24">
        <f t="shared" ca="1" si="406"/>
        <v>9.2369797591073999E-2</v>
      </c>
      <c r="Z191" s="24">
        <f t="shared" ca="1" si="406"/>
        <v>7.9785124447992573E-2</v>
      </c>
      <c r="AA191" s="24">
        <f t="shared" ref="AA191" ca="1" si="407">+AA190/Z190-1</f>
        <v>9.0601937781009889E-2</v>
      </c>
      <c r="AB191" s="24">
        <f t="shared" ref="AB191" ca="1" si="408">+AB190/AA190-1</f>
        <v>0.11376826013907126</v>
      </c>
      <c r="AC191" s="24">
        <f t="shared" ref="AC191" ca="1" si="409">+AC190/AB190-1</f>
        <v>9.3719128782482564E-2</v>
      </c>
      <c r="AD191" s="24">
        <f t="shared" ref="AD191" ca="1" si="410">+AD190/AC190-1</f>
        <v>7.192422681452415E-2</v>
      </c>
      <c r="CF191" s="1494"/>
      <c r="CG191" s="1494"/>
      <c r="CH191" s="1494"/>
      <c r="CI191" s="1494"/>
      <c r="CJ191" s="24"/>
      <c r="CK191" s="24"/>
      <c r="CL191" s="24"/>
      <c r="CM191" s="24"/>
      <c r="CN191" s="24">
        <f t="shared" ref="CN191:CY191" si="411">+CN190/CJ190-1</f>
        <v>0.25169359041167283</v>
      </c>
      <c r="CO191" s="24">
        <f t="shared" si="411"/>
        <v>0.4847783932313614</v>
      </c>
      <c r="CP191" s="24">
        <f t="shared" si="411"/>
        <v>3.6424751923889831E-2</v>
      </c>
      <c r="CQ191" s="24">
        <f t="shared" si="411"/>
        <v>-1.559070680953683</v>
      </c>
      <c r="CR191" s="24">
        <f t="shared" si="411"/>
        <v>-0.34757767649765547</v>
      </c>
      <c r="CS191" s="24">
        <f t="shared" si="411"/>
        <v>0.18016878378457624</v>
      </c>
      <c r="CT191" s="24">
        <f t="shared" si="411"/>
        <v>0.21592350915352498</v>
      </c>
      <c r="CU191" s="24">
        <f t="shared" si="411"/>
        <v>0.62955716138595585</v>
      </c>
      <c r="CV191" s="24">
        <f t="shared" si="411"/>
        <v>0.68651816525470033</v>
      </c>
      <c r="CW191" s="24">
        <f t="shared" si="411"/>
        <v>9.053916581892163E-2</v>
      </c>
      <c r="CX191" s="24">
        <f t="shared" si="411"/>
        <v>0.52327890497308793</v>
      </c>
      <c r="CY191" s="24">
        <f t="shared" si="411"/>
        <v>0.29904306220095722</v>
      </c>
      <c r="CZ191" s="24">
        <f t="shared" ref="CZ191:DC191" ca="1" si="412">+CZ190/CV190-1</f>
        <v>0.51750452971802341</v>
      </c>
      <c r="DA191" s="24">
        <f t="shared" ca="1" si="412"/>
        <v>0.50125164656116916</v>
      </c>
      <c r="DB191" s="24">
        <f t="shared" ca="1" si="412"/>
        <v>0.21393876641687393</v>
      </c>
      <c r="DC191" s="24">
        <f t="shared" ca="1" si="412"/>
        <v>0.27700833577951078</v>
      </c>
      <c r="EU191" s="42"/>
      <c r="EV191"/>
      <c r="EW191"/>
      <c r="EX191"/>
      <c r="EY191"/>
      <c r="EZ191"/>
      <c r="FA191"/>
      <c r="FB191" s="961"/>
      <c r="FC191" s="961"/>
      <c r="FD191" s="961"/>
      <c r="FE191" s="961"/>
      <c r="FF191" s="961"/>
      <c r="FG191" s="961"/>
      <c r="FH191" s="961"/>
      <c r="FI191" s="961"/>
      <c r="FJ191" s="961"/>
      <c r="FK191" s="961"/>
      <c r="FL191" s="961"/>
      <c r="FM191" s="961"/>
      <c r="FN191" s="961"/>
      <c r="FO191" s="961"/>
      <c r="FP191" s="961"/>
      <c r="FQ191" s="961"/>
      <c r="FR191" s="961"/>
      <c r="FS191" s="961"/>
      <c r="FT191" s="961"/>
      <c r="FU191" s="961"/>
      <c r="FV191" s="961"/>
      <c r="FW191" s="961"/>
      <c r="FX191" s="961"/>
      <c r="FY191" s="961"/>
      <c r="FZ191" s="961"/>
      <c r="GA191" s="961"/>
      <c r="GB191" s="961"/>
      <c r="GC191" s="961"/>
      <c r="GD191" s="961"/>
      <c r="GE191" s="961"/>
      <c r="GF191" s="961"/>
      <c r="GG191" s="961"/>
      <c r="GH191" s="961"/>
      <c r="GI191" s="961"/>
    </row>
    <row r="192" spans="2:191" s="15" customFormat="1">
      <c r="B192" s="17" t="s">
        <v>95</v>
      </c>
      <c r="H192" s="883"/>
      <c r="I192" s="883"/>
      <c r="J192" s="883"/>
      <c r="K192" s="883"/>
      <c r="L192" s="883"/>
      <c r="M192" s="1012"/>
      <c r="N192" s="1012"/>
      <c r="O192" s="768"/>
      <c r="P192" s="768"/>
      <c r="Q192" s="768"/>
      <c r="R192" s="1494"/>
      <c r="S192" s="1494"/>
      <c r="T192" s="1494"/>
      <c r="U192" s="1494"/>
      <c r="V192" s="1494"/>
      <c r="W192" s="1494"/>
      <c r="X192" s="1494"/>
      <c r="Y192" s="1494"/>
      <c r="Z192" s="1494"/>
      <c r="AA192" s="1494"/>
      <c r="AB192" s="1494"/>
      <c r="AC192" s="1494"/>
      <c r="AD192" s="1494"/>
      <c r="CF192" s="1494"/>
      <c r="CG192" s="1494"/>
      <c r="CH192" s="1494"/>
      <c r="CI192" s="1494"/>
      <c r="CJ192" s="24"/>
      <c r="CK192" s="24">
        <f>+CK190/CJ190-1</f>
        <v>-0.21147938893612317</v>
      </c>
      <c r="CL192" s="24">
        <f t="shared" ref="CL192:CY192" si="413">+CL190/CK190-1</f>
        <v>0.29604959956869892</v>
      </c>
      <c r="CM192" s="24">
        <f t="shared" si="413"/>
        <v>-2.6192073641200424</v>
      </c>
      <c r="CN192" s="24">
        <f t="shared" si="413"/>
        <v>-1.7564163123917496</v>
      </c>
      <c r="CO192" s="24">
        <f t="shared" si="413"/>
        <v>-6.4644594416934154E-2</v>
      </c>
      <c r="CP192" s="24">
        <f t="shared" si="413"/>
        <v>-9.5314229492066693E-2</v>
      </c>
      <c r="CQ192" s="24">
        <f t="shared" si="413"/>
        <v>-0.12656334964654747</v>
      </c>
      <c r="CR192" s="24">
        <f t="shared" si="413"/>
        <v>-0.1172799703538997</v>
      </c>
      <c r="CS192" s="24">
        <f t="shared" si="413"/>
        <v>0.69196732185288101</v>
      </c>
      <c r="CT192" s="24">
        <f t="shared" si="413"/>
        <v>-6.7905614966628169E-2</v>
      </c>
      <c r="CU192" s="24">
        <f t="shared" si="413"/>
        <v>0.1705628996278572</v>
      </c>
      <c r="CV192" s="24">
        <f t="shared" si="413"/>
        <v>-8.6424582021939811E-2</v>
      </c>
      <c r="CW192" s="24">
        <f t="shared" si="413"/>
        <v>9.406270847231446E-2</v>
      </c>
      <c r="CX192" s="24">
        <f t="shared" si="413"/>
        <v>0.30196123043319956</v>
      </c>
      <c r="CY192" s="24">
        <f t="shared" si="413"/>
        <v>-1.7510196806223011E-3</v>
      </c>
      <c r="CZ192" s="24">
        <f t="shared" ref="CZ192:DC192" ca="1" si="414">+CZ190/CY190-1</f>
        <v>6.7212377603444784E-2</v>
      </c>
      <c r="DA192" s="24">
        <f t="shared" ca="1" si="414"/>
        <v>8.2345001527231121E-2</v>
      </c>
      <c r="DB192" s="24">
        <f t="shared" ca="1" si="414"/>
        <v>5.2788993514203186E-2</v>
      </c>
      <c r="DC192" s="24">
        <f t="shared" ca="1" si="414"/>
        <v>5.0112496871590695E-2</v>
      </c>
      <c r="EU192" s="42"/>
      <c r="EV192"/>
      <c r="EW192"/>
      <c r="EX192"/>
      <c r="EY192"/>
      <c r="EZ192"/>
      <c r="FA192"/>
      <c r="FB192" s="961"/>
      <c r="FC192" s="961"/>
      <c r="FD192" s="961"/>
      <c r="FE192" s="961"/>
      <c r="FF192" s="961"/>
      <c r="FG192" s="961"/>
      <c r="FH192" s="961"/>
      <c r="FI192" s="961"/>
      <c r="FJ192" s="961"/>
      <c r="FK192" s="961"/>
      <c r="FL192" s="961"/>
      <c r="FM192" s="961"/>
      <c r="FN192" s="961"/>
      <c r="FO192" s="961"/>
      <c r="FP192" s="961"/>
      <c r="FQ192" s="961"/>
      <c r="FR192" s="961"/>
      <c r="FS192" s="961"/>
      <c r="FT192" s="961"/>
      <c r="FU192" s="961"/>
      <c r="FV192" s="961"/>
      <c r="FW192" s="961"/>
      <c r="FX192" s="961"/>
      <c r="FY192" s="961"/>
      <c r="FZ192" s="961"/>
      <c r="GA192" s="961"/>
      <c r="GB192" s="961"/>
      <c r="GC192" s="961"/>
      <c r="GD192" s="961"/>
      <c r="GE192" s="961"/>
      <c r="GF192" s="961"/>
      <c r="GG192" s="961"/>
      <c r="GH192" s="961"/>
      <c r="GI192" s="961"/>
    </row>
    <row r="193" spans="2:191" s="15" customFormat="1">
      <c r="B193" s="14"/>
      <c r="H193" s="883"/>
      <c r="I193" s="883"/>
      <c r="J193" s="883"/>
      <c r="K193" s="883"/>
      <c r="L193" s="883"/>
      <c r="M193" s="1012"/>
      <c r="N193" s="1012"/>
      <c r="O193" s="768"/>
      <c r="P193" s="768"/>
      <c r="Q193" s="768"/>
      <c r="R193" s="1483"/>
      <c r="S193" s="1483"/>
      <c r="T193" s="1483"/>
      <c r="U193" s="1483"/>
      <c r="V193" s="1483"/>
      <c r="W193" s="1483"/>
      <c r="X193" s="768"/>
      <c r="Y193" s="768"/>
      <c r="Z193" s="768"/>
      <c r="AA193" s="768"/>
      <c r="AB193" s="768"/>
      <c r="AC193" s="768"/>
      <c r="AD193" s="768"/>
      <c r="CF193" s="1498"/>
      <c r="CG193" s="1498"/>
      <c r="CH193" s="1498"/>
      <c r="CI193" s="1498"/>
      <c r="CJ193" s="1498"/>
      <c r="CK193" s="1498"/>
      <c r="CL193" s="1498"/>
      <c r="CM193" s="1498"/>
      <c r="CN193" s="1498"/>
      <c r="CO193" s="1498"/>
      <c r="CP193" s="1498"/>
      <c r="CQ193" s="1498"/>
      <c r="CR193" s="1498"/>
      <c r="CS193" s="1498"/>
      <c r="CT193" s="1498"/>
      <c r="CU193" s="1498"/>
      <c r="CV193" s="1498"/>
      <c r="CW193" s="1498"/>
      <c r="CX193" s="1498"/>
      <c r="CY193" s="1498"/>
      <c r="CZ193" s="1498"/>
      <c r="DA193" s="1498"/>
      <c r="DB193" s="1498"/>
      <c r="DC193" s="1498"/>
      <c r="EU193" s="42"/>
      <c r="EV193"/>
      <c r="EW193"/>
      <c r="EX193"/>
      <c r="EY193"/>
      <c r="EZ193"/>
      <c r="FA193"/>
      <c r="FB193" s="961"/>
      <c r="FC193" s="961"/>
      <c r="FD193" s="961"/>
      <c r="FE193" s="961"/>
      <c r="FF193" s="961"/>
      <c r="FG193" s="961"/>
      <c r="FH193" s="961"/>
      <c r="FI193" s="961"/>
      <c r="FJ193" s="961"/>
      <c r="FK193" s="961"/>
      <c r="FL193" s="961"/>
      <c r="FM193" s="961"/>
      <c r="FN193" s="961"/>
      <c r="FO193" s="961"/>
      <c r="FP193" s="961"/>
      <c r="FQ193" s="961"/>
      <c r="FR193" s="961"/>
      <c r="FS193" s="961"/>
      <c r="FT193" s="961"/>
      <c r="FU193" s="961"/>
      <c r="FV193" s="961"/>
      <c r="FW193" s="961"/>
      <c r="FX193" s="961"/>
      <c r="FY193" s="961"/>
      <c r="FZ193" s="961"/>
      <c r="GA193" s="961"/>
      <c r="GB193" s="961"/>
      <c r="GC193" s="961"/>
      <c r="GD193" s="961"/>
      <c r="GE193" s="961"/>
      <c r="GF193" s="961"/>
      <c r="GG193" s="961"/>
      <c r="GH193" s="961"/>
      <c r="GI193" s="961"/>
    </row>
    <row r="194" spans="2:191" s="15" customFormat="1">
      <c r="B194" s="14" t="s">
        <v>1970</v>
      </c>
      <c r="H194" s="883"/>
      <c r="I194" s="883"/>
      <c r="J194" s="883"/>
      <c r="K194" s="883"/>
      <c r="L194" s="883"/>
      <c r="M194" s="1012"/>
      <c r="N194" s="1012"/>
      <c r="O194" s="768"/>
      <c r="P194" s="768"/>
      <c r="Q194" s="768"/>
      <c r="R194" s="1483"/>
      <c r="S194" s="1483"/>
      <c r="T194" s="1483"/>
      <c r="U194" s="1483"/>
      <c r="V194" s="1483"/>
      <c r="W194" s="1483"/>
      <c r="X194" s="768"/>
      <c r="Y194" s="768"/>
      <c r="Z194" s="768"/>
      <c r="AA194" s="768"/>
      <c r="AB194" s="768"/>
      <c r="AC194" s="768"/>
      <c r="AD194" s="768"/>
      <c r="CF194" s="1498"/>
      <c r="CG194" s="1498"/>
      <c r="CH194" s="1498"/>
      <c r="CI194" s="1498"/>
      <c r="CJ194" s="1498"/>
      <c r="CK194" s="1498"/>
      <c r="CL194" s="1498"/>
      <c r="CM194" s="1498"/>
      <c r="CN194" s="1498"/>
      <c r="CO194" s="1498"/>
      <c r="CP194" s="1498"/>
      <c r="CQ194" s="1498"/>
      <c r="CR194" s="1498"/>
      <c r="CS194" s="1498"/>
      <c r="CT194" s="1498"/>
      <c r="CU194" s="1498"/>
      <c r="CV194" s="1498"/>
      <c r="CW194" s="1498"/>
      <c r="CX194" s="1498"/>
      <c r="CY194" s="1498"/>
      <c r="CZ194" s="1498"/>
      <c r="DA194" s="1498"/>
      <c r="DB194" s="1498"/>
      <c r="DC194" s="1498"/>
      <c r="EU194" s="42"/>
      <c r="EV194"/>
      <c r="EW194"/>
      <c r="EX194"/>
      <c r="EY194"/>
      <c r="EZ194"/>
      <c r="FA194"/>
      <c r="FB194" s="961"/>
      <c r="FC194" s="961"/>
      <c r="FD194" s="961"/>
      <c r="FE194" s="961"/>
      <c r="FF194" s="961"/>
      <c r="FG194" s="961"/>
      <c r="FH194" s="961"/>
      <c r="FI194" s="961"/>
      <c r="FJ194" s="961"/>
      <c r="FK194" s="961"/>
      <c r="FL194" s="961"/>
      <c r="FM194" s="961"/>
      <c r="FN194" s="961"/>
      <c r="FO194" s="961"/>
      <c r="FP194" s="961"/>
      <c r="FQ194" s="961"/>
      <c r="FR194" s="961"/>
      <c r="FS194" s="961"/>
      <c r="FT194" s="961"/>
      <c r="FU194" s="961"/>
      <c r="FV194" s="961"/>
      <c r="FW194" s="961"/>
      <c r="FX194" s="961"/>
      <c r="FY194" s="961"/>
      <c r="FZ194" s="961"/>
      <c r="GA194" s="961"/>
      <c r="GB194" s="961"/>
      <c r="GC194" s="961"/>
      <c r="GD194" s="961"/>
      <c r="GE194" s="961"/>
      <c r="GF194" s="961"/>
      <c r="GG194" s="961"/>
      <c r="GH194" s="961"/>
      <c r="GI194" s="961"/>
    </row>
    <row r="195" spans="2:191" s="15" customFormat="1">
      <c r="B195" s="23" t="s">
        <v>1971</v>
      </c>
      <c r="H195" s="883"/>
      <c r="I195" s="883"/>
      <c r="J195" s="883"/>
      <c r="K195" s="883"/>
      <c r="L195" s="883"/>
      <c r="M195" s="1012"/>
      <c r="N195" s="1012"/>
      <c r="O195" s="768"/>
      <c r="P195" s="768"/>
      <c r="Q195" s="768"/>
      <c r="R195" s="2177">
        <f>+SUM(CF195:CI195)</f>
        <v>9.423060168423854</v>
      </c>
      <c r="S195" s="2177">
        <f>+SUM(CJ195:CM195)</f>
        <v>3.3205700044163722</v>
      </c>
      <c r="T195" s="2177">
        <f>+SUM(CN195:CQ195)</f>
        <v>10.928017249501501</v>
      </c>
      <c r="U195" s="2177">
        <f>SUM(CR195:CU195)</f>
        <v>10.30902137082448</v>
      </c>
      <c r="V195" s="2177">
        <f>SUM(CV195:CY195)</f>
        <v>12.882453503917468</v>
      </c>
      <c r="W195" s="2177">
        <f ca="1">SUM(CZ195:DC195)</f>
        <v>16.863889973833981</v>
      </c>
      <c r="X195" s="1965">
        <f ca="1">+X184/IS!AT83</f>
        <v>18.566716635194091</v>
      </c>
      <c r="Y195" s="1965">
        <f ca="1">+Y184/IS!AU83</f>
        <v>20.769424197198187</v>
      </c>
      <c r="Z195" s="1965">
        <f ca="1">+Z184/IS!AV83</f>
        <v>20.75979022623256</v>
      </c>
      <c r="AA195" s="1965">
        <f ca="1">+AA184/IS!AW83</f>
        <v>19.450287566210886</v>
      </c>
      <c r="AB195" s="1965">
        <f ca="1">+AB184/IS!AX83</f>
        <v>21.324940000039781</v>
      </c>
      <c r="AC195" s="1965">
        <f ca="1">+AC184/IS!AY83</f>
        <v>738.80275407201293</v>
      </c>
      <c r="AD195" s="1965">
        <f ca="1">+AD184/IS!AZ83</f>
        <v>840.41051222462738</v>
      </c>
      <c r="CF195" s="1965">
        <f>+CF184/IS!CX83</f>
        <v>2.5379469293683306</v>
      </c>
      <c r="CG195" s="1965">
        <f>+CG184/IS!CY83</f>
        <v>1.3724862795925394</v>
      </c>
      <c r="CH195" s="1965">
        <f>+CH184/IS!CZ83</f>
        <v>2.7660982746443361</v>
      </c>
      <c r="CI195" s="1965">
        <f>+CI184/IS!DA83</f>
        <v>2.7465286848186476</v>
      </c>
      <c r="CJ195" s="1965">
        <f>+CJ184/IS!DB83</f>
        <v>2.797128916488568</v>
      </c>
      <c r="CK195" s="1965">
        <f>+CK184/IS!DC83</f>
        <v>2.1392698511649662</v>
      </c>
      <c r="CL195" s="1965">
        <f>+CL184/IS!DD83</f>
        <v>2.7487249938837346</v>
      </c>
      <c r="CM195" s="1965">
        <f>+CM184/IS!DE83</f>
        <v>-4.3645537571208965</v>
      </c>
      <c r="CN195" s="1965">
        <f>+CN184/IS!DF83</f>
        <v>3.1624927198602215</v>
      </c>
      <c r="CO195" s="1965">
        <f>+CO184/IS!DG83</f>
        <v>2.9396329147273179</v>
      </c>
      <c r="CP195" s="1965">
        <f>+CP184/IS!DH83</f>
        <v>2.6487684383868819</v>
      </c>
      <c r="CQ195" s="1965">
        <f>+CQ184/IS!DI83</f>
        <v>2.1771231765270795</v>
      </c>
      <c r="CR195" s="1965">
        <f>+CR184/IS!DJ83</f>
        <v>1.7007426759819175</v>
      </c>
      <c r="CS195" s="1965">
        <f>+CS184/IS!DK83</f>
        <v>2.8899740423640097</v>
      </c>
      <c r="CT195" s="1965">
        <f>+CT184/IS!DL83</f>
        <v>2.6384464110127817</v>
      </c>
      <c r="CU195" s="1965">
        <f>+CU184/IS!DM83</f>
        <v>3.0798582414657716</v>
      </c>
      <c r="CV195" s="1965">
        <f>+CV184/IS!DN83</f>
        <v>2.7601720418287017</v>
      </c>
      <c r="CW195" s="1965">
        <f>+CW184/IS!DO83</f>
        <v>2.8202199607304648</v>
      </c>
      <c r="CX195" s="1965">
        <f>+CX184/IS!DP83</f>
        <v>3.6656075843956177</v>
      </c>
      <c r="CY195" s="1965">
        <f>+CY184/IS!DQ83</f>
        <v>3.6364539169626826</v>
      </c>
      <c r="CZ195" s="1965">
        <f ca="1">+CZ184/IS!DR83</f>
        <v>3.8482820229761998</v>
      </c>
      <c r="DA195" s="1965">
        <f ca="1">+DA184/IS!DS83</f>
        <v>4.1433608107476996</v>
      </c>
      <c r="DB195" s="1965">
        <f ca="1">+DB184/IS!DT83</f>
        <v>4.3392855218883044</v>
      </c>
      <c r="DC195" s="1965">
        <f ca="1">+DC184/IS!DU83</f>
        <v>4.5329616182217753</v>
      </c>
      <c r="EU195" s="42"/>
      <c r="EV195"/>
      <c r="EW195"/>
      <c r="EX195"/>
      <c r="EY195"/>
      <c r="EZ195"/>
      <c r="FA195"/>
      <c r="FB195" s="961"/>
      <c r="FC195" s="961"/>
      <c r="FD195" s="961"/>
      <c r="FE195" s="961"/>
      <c r="FF195" s="961"/>
      <c r="FG195" s="961"/>
      <c r="FH195" s="961"/>
      <c r="FI195" s="961"/>
      <c r="FJ195" s="961"/>
      <c r="FK195" s="961"/>
      <c r="FL195" s="961"/>
      <c r="FM195" s="961"/>
      <c r="FN195" s="961"/>
      <c r="FO195" s="961"/>
      <c r="FP195" s="961"/>
      <c r="FQ195" s="961"/>
      <c r="FR195" s="961"/>
      <c r="FS195" s="961"/>
      <c r="FT195" s="961"/>
      <c r="FU195" s="961"/>
      <c r="FV195" s="961"/>
      <c r="FW195" s="961"/>
      <c r="FX195" s="961"/>
      <c r="FY195" s="961"/>
      <c r="FZ195" s="961"/>
      <c r="GA195" s="961"/>
      <c r="GB195" s="961"/>
      <c r="GC195" s="961"/>
      <c r="GD195" s="961"/>
      <c r="GE195" s="961"/>
      <c r="GF195" s="961"/>
      <c r="GG195" s="961"/>
      <c r="GH195" s="961"/>
      <c r="GI195" s="961"/>
    </row>
    <row r="196" spans="2:191" s="15" customFormat="1">
      <c r="B196" s="17" t="s">
        <v>1322</v>
      </c>
      <c r="H196" s="883"/>
      <c r="I196" s="883"/>
      <c r="J196" s="883"/>
      <c r="K196" s="883"/>
      <c r="L196" s="883"/>
      <c r="M196" s="1012"/>
      <c r="N196" s="1012"/>
      <c r="O196" s="768"/>
      <c r="P196" s="768"/>
      <c r="Q196" s="768"/>
      <c r="R196" s="1494"/>
      <c r="S196" s="24">
        <f t="shared" ref="S196:Z196" si="415">+S195/R195-1</f>
        <v>-0.6476123525621309</v>
      </c>
      <c r="T196" s="24">
        <f t="shared" si="415"/>
        <v>2.2910064341264276</v>
      </c>
      <c r="U196" s="24">
        <f t="shared" si="415"/>
        <v>-5.6643018083198715E-2</v>
      </c>
      <c r="V196" s="24">
        <f t="shared" si="415"/>
        <v>0.24962913942307341</v>
      </c>
      <c r="W196" s="24">
        <f t="shared" ca="1" si="415"/>
        <v>0.30905886589893639</v>
      </c>
      <c r="X196" s="24">
        <f t="shared" ca="1" si="415"/>
        <v>0.1009747255231277</v>
      </c>
      <c r="Y196" s="24">
        <f t="shared" ca="1" si="415"/>
        <v>0.11863743090842238</v>
      </c>
      <c r="Z196" s="24">
        <f t="shared" ca="1" si="415"/>
        <v>-4.63853541347925E-4</v>
      </c>
      <c r="AA196" s="24">
        <f t="shared" ref="AA196" ca="1" si="416">+AA195/Z195-1</f>
        <v>-6.3078800207092445E-2</v>
      </c>
      <c r="AB196" s="24">
        <f t="shared" ref="AB196" ca="1" si="417">+AB195/AA195-1</f>
        <v>9.6381733557788118E-2</v>
      </c>
      <c r="AC196" s="24">
        <f t="shared" ref="AC196" ca="1" si="418">+AC195/AB195-1</f>
        <v>33.645009743081793</v>
      </c>
      <c r="AD196" s="24">
        <f t="shared" ref="AD196" ca="1" si="419">+AD195/AC195-1</f>
        <v>0.13753029153260377</v>
      </c>
      <c r="CF196" s="1494"/>
      <c r="CG196" s="1494"/>
      <c r="CH196" s="1494"/>
      <c r="CI196" s="1494"/>
      <c r="CJ196" s="24"/>
      <c r="CK196" s="24"/>
      <c r="CL196" s="24"/>
      <c r="CM196" s="24"/>
      <c r="CN196" s="24">
        <f t="shared" ref="CN196:CY196" si="420">+CN195/CJ195-1</f>
        <v>0.13062100971388912</v>
      </c>
      <c r="CO196" s="24">
        <f t="shared" si="420"/>
        <v>0.37412908106310394</v>
      </c>
      <c r="CP196" s="24">
        <f t="shared" si="420"/>
        <v>-3.6364698439919851E-2</v>
      </c>
      <c r="CQ196" s="24">
        <f t="shared" si="420"/>
        <v>-1.4988191915324767</v>
      </c>
      <c r="CR196" s="24">
        <f t="shared" si="420"/>
        <v>-0.4622145166370254</v>
      </c>
      <c r="CS196" s="24">
        <f t="shared" si="420"/>
        <v>-1.6892882139984633E-2</v>
      </c>
      <c r="CT196" s="24">
        <f t="shared" si="420"/>
        <v>-3.8969157229865603E-3</v>
      </c>
      <c r="CU196" s="24">
        <f t="shared" si="420"/>
        <v>0.41464583844940006</v>
      </c>
      <c r="CV196" s="24">
        <f t="shared" si="420"/>
        <v>0.62292160995791246</v>
      </c>
      <c r="CW196" s="24">
        <f t="shared" si="420"/>
        <v>-2.4136577218695665E-2</v>
      </c>
      <c r="CX196" s="24">
        <f t="shared" si="420"/>
        <v>0.38930530068585134</v>
      </c>
      <c r="CY196" s="24">
        <f t="shared" si="420"/>
        <v>0.1807211994380673</v>
      </c>
      <c r="CZ196" s="24">
        <f t="shared" ref="CZ196:DC196" ca="1" si="421">+CZ195/CV195-1</f>
        <v>0.39421817359855238</v>
      </c>
      <c r="DA196" s="24">
        <f t="shared" ca="1" si="421"/>
        <v>0.46916228820482786</v>
      </c>
      <c r="DB196" s="24">
        <f t="shared" ca="1" si="421"/>
        <v>0.18378343070887171</v>
      </c>
      <c r="DC196" s="24">
        <f t="shared" ca="1" si="421"/>
        <v>0.24653349711850425</v>
      </c>
      <c r="EU196" s="42"/>
      <c r="EV196"/>
      <c r="EW196"/>
      <c r="EX196"/>
      <c r="EY196"/>
      <c r="EZ196"/>
      <c r="FA196"/>
      <c r="FB196" s="961"/>
      <c r="FC196" s="961"/>
      <c r="FD196" s="961"/>
      <c r="FE196" s="961"/>
      <c r="FF196" s="961"/>
      <c r="FG196" s="961"/>
      <c r="FH196" s="961"/>
      <c r="FI196" s="961"/>
      <c r="FJ196" s="961"/>
      <c r="FK196" s="961"/>
      <c r="FL196" s="961"/>
      <c r="FM196" s="961"/>
      <c r="FN196" s="961"/>
      <c r="FO196" s="961"/>
      <c r="FP196" s="961"/>
      <c r="FQ196" s="961"/>
      <c r="FR196" s="961"/>
      <c r="FS196" s="961"/>
      <c r="FT196" s="961"/>
      <c r="FU196" s="961"/>
      <c r="FV196" s="961"/>
      <c r="FW196" s="961"/>
      <c r="FX196" s="961"/>
      <c r="FY196" s="961"/>
      <c r="FZ196" s="961"/>
      <c r="GA196" s="961"/>
      <c r="GB196" s="961"/>
      <c r="GC196" s="961"/>
      <c r="GD196" s="961"/>
      <c r="GE196" s="961"/>
      <c r="GF196" s="961"/>
      <c r="GG196" s="961"/>
      <c r="GH196" s="961"/>
      <c r="GI196" s="961"/>
    </row>
    <row r="197" spans="2:191" s="15" customFormat="1">
      <c r="B197" s="17" t="s">
        <v>95</v>
      </c>
      <c r="H197" s="883"/>
      <c r="I197" s="883"/>
      <c r="J197" s="883"/>
      <c r="K197" s="883"/>
      <c r="L197" s="883"/>
      <c r="M197" s="1012"/>
      <c r="N197" s="1012"/>
      <c r="O197" s="768"/>
      <c r="P197" s="768"/>
      <c r="Q197" s="768"/>
      <c r="R197" s="1494"/>
      <c r="S197" s="1494"/>
      <c r="T197" s="1494"/>
      <c r="U197" s="1494"/>
      <c r="V197" s="1494"/>
      <c r="W197" s="1494"/>
      <c r="X197" s="1494"/>
      <c r="Y197" s="1494"/>
      <c r="Z197" s="1494"/>
      <c r="AA197" s="1494"/>
      <c r="AB197" s="1494"/>
      <c r="AC197" s="1494"/>
      <c r="AD197" s="1494"/>
      <c r="CF197" s="1494"/>
      <c r="CG197" s="1494"/>
      <c r="CH197" s="1494"/>
      <c r="CI197" s="1494"/>
      <c r="CJ197" s="24"/>
      <c r="CK197" s="24">
        <f t="shared" ref="CK197:CY197" si="422">+CK195/CJ195-1</f>
        <v>-0.23519082779690337</v>
      </c>
      <c r="CL197" s="24">
        <f t="shared" si="422"/>
        <v>0.28488932445193016</v>
      </c>
      <c r="CM197" s="24">
        <f t="shared" si="422"/>
        <v>-2.587846644110483</v>
      </c>
      <c r="CN197" s="24">
        <f t="shared" si="422"/>
        <v>-1.7245855809887831</v>
      </c>
      <c r="CO197" s="24">
        <f t="shared" si="422"/>
        <v>-7.0469665821951244E-2</v>
      </c>
      <c r="CP197" s="24">
        <f t="shared" si="422"/>
        <v>-9.8945849627424254E-2</v>
      </c>
      <c r="CQ197" s="24">
        <f t="shared" si="422"/>
        <v>-0.17806209671806483</v>
      </c>
      <c r="CR197" s="24">
        <f t="shared" si="422"/>
        <v>-0.21881191917908771</v>
      </c>
      <c r="CS197" s="24">
        <f t="shared" si="422"/>
        <v>0.69924238579801257</v>
      </c>
      <c r="CT197" s="24">
        <f t="shared" si="422"/>
        <v>-8.7034564208568921E-2</v>
      </c>
      <c r="CU197" s="24">
        <f t="shared" si="422"/>
        <v>0.16729990368974423</v>
      </c>
      <c r="CV197" s="24">
        <f t="shared" si="422"/>
        <v>-0.10379899806197712</v>
      </c>
      <c r="CW197" s="24">
        <f t="shared" si="422"/>
        <v>2.17551362711359E-2</v>
      </c>
      <c r="CX197" s="24">
        <f t="shared" si="422"/>
        <v>0.29975946395549569</v>
      </c>
      <c r="CY197" s="24">
        <f t="shared" si="422"/>
        <v>-7.9532974443422555E-3</v>
      </c>
      <c r="CZ197" s="24">
        <f t="shared" ref="CZ197:DC197" ca="1" si="423">+CZ195/CY195-1</f>
        <v>5.8251282939519422E-2</v>
      </c>
      <c r="DA197" s="24">
        <f t="shared" ca="1" si="423"/>
        <v>7.6678056860107757E-2</v>
      </c>
      <c r="DB197" s="24">
        <f t="shared" ca="1" si="423"/>
        <v>4.728642280739459E-2</v>
      </c>
      <c r="DC197" s="24">
        <f t="shared" ca="1" si="423"/>
        <v>4.4633176442648637E-2</v>
      </c>
      <c r="EU197" s="42"/>
      <c r="EV197"/>
      <c r="EW197"/>
      <c r="EX197"/>
      <c r="EY197"/>
      <c r="EZ197"/>
      <c r="FA197"/>
      <c r="FB197" s="961"/>
      <c r="FC197" s="961"/>
      <c r="FD197" s="961"/>
      <c r="FE197" s="961"/>
      <c r="FF197" s="961"/>
      <c r="FG197" s="961"/>
      <c r="FH197" s="961"/>
      <c r="FI197" s="961"/>
      <c r="FJ197" s="961"/>
      <c r="FK197" s="961"/>
      <c r="FL197" s="961"/>
      <c r="FM197" s="961"/>
      <c r="FN197" s="961"/>
      <c r="FO197" s="961"/>
      <c r="FP197" s="961"/>
      <c r="FQ197" s="961"/>
      <c r="FR197" s="961"/>
      <c r="FS197" s="961"/>
      <c r="FT197" s="961"/>
      <c r="FU197" s="961"/>
      <c r="FV197" s="961"/>
      <c r="FW197" s="961"/>
      <c r="FX197" s="961"/>
      <c r="FY197" s="961"/>
      <c r="FZ197" s="961"/>
      <c r="GA197" s="961"/>
      <c r="GB197" s="961"/>
      <c r="GC197" s="961"/>
      <c r="GD197" s="961"/>
      <c r="GE197" s="961"/>
      <c r="GF197" s="961"/>
      <c r="GG197" s="961"/>
      <c r="GH197" s="961"/>
      <c r="GI197" s="961"/>
    </row>
    <row r="198" spans="2:191" s="15" customFormat="1">
      <c r="B198" s="23" t="s">
        <v>1972</v>
      </c>
      <c r="H198" s="883"/>
      <c r="I198" s="883"/>
      <c r="J198" s="883"/>
      <c r="K198" s="883"/>
      <c r="L198" s="883"/>
      <c r="M198" s="1012"/>
      <c r="N198" s="1012"/>
      <c r="O198" s="768"/>
      <c r="P198" s="768"/>
      <c r="Q198" s="768"/>
      <c r="R198" s="2177">
        <f>+SUM(CF198:CI198)</f>
        <v>8.4866149686194206</v>
      </c>
      <c r="S198" s="2177">
        <f>+SUM(CJ198:CM198)</f>
        <v>2.9662757764771452</v>
      </c>
      <c r="T198" s="2177">
        <f>+SUM(CN198:CQ198)</f>
        <v>10.803468865342388</v>
      </c>
      <c r="U198" s="2177">
        <f>SUM(CR198:CU198)</f>
        <v>10.216387718518275</v>
      </c>
      <c r="V198" s="2177">
        <f>SUM(CV198:CY198)</f>
        <v>12.78128733027738</v>
      </c>
      <c r="W198" s="2177">
        <f ca="1">SUM(CZ198:DC198)</f>
        <v>16.819822659925741</v>
      </c>
      <c r="X198" s="1965">
        <f ca="1">+X190/X234</f>
        <v>18.035638835879467</v>
      </c>
      <c r="Y198" s="1965">
        <f ca="1">+Y190/Y234</f>
        <v>19.01442656499939</v>
      </c>
      <c r="Z198" s="1965">
        <f ca="1">+Z190/Z234</f>
        <v>19.817276684498058</v>
      </c>
      <c r="AA198" s="1965">
        <f t="shared" ref="AA198:AD198" ca="1" si="424">+AA190/AA234</f>
        <v>20.862723804876559</v>
      </c>
      <c r="AB198" s="1965">
        <f t="shared" ca="1" si="424"/>
        <v>22.431606919734566</v>
      </c>
      <c r="AC198" s="1965">
        <f t="shared" ca="1" si="424"/>
        <v>23.685975136007656</v>
      </c>
      <c r="AD198" s="1965">
        <f t="shared" ca="1" si="424"/>
        <v>24.513654444496748</v>
      </c>
      <c r="CF198" s="1965">
        <f>+CF190/CF234</f>
        <v>2.2584438458350582</v>
      </c>
      <c r="CG198" s="1965">
        <f t="shared" ref="CG198:CN198" si="425">+CG190/CG234</f>
        <v>1.279405937182337</v>
      </c>
      <c r="CH198" s="1965">
        <f t="shared" si="425"/>
        <v>2.4766345474290259</v>
      </c>
      <c r="CI198" s="1965">
        <f t="shared" si="425"/>
        <v>2.4721306381729993</v>
      </c>
      <c r="CJ198" s="1965">
        <f t="shared" si="425"/>
        <v>2.5224670517831815</v>
      </c>
      <c r="CK198" s="1965">
        <f t="shared" si="425"/>
        <v>1.9947443280371895</v>
      </c>
      <c r="CL198" s="1965">
        <f t="shared" si="425"/>
        <v>2.6097774509288931</v>
      </c>
      <c r="CM198" s="1965">
        <f t="shared" si="425"/>
        <v>-4.1607130542721187</v>
      </c>
      <c r="CN198" s="1965">
        <f t="shared" si="425"/>
        <v>3.0852642431002728</v>
      </c>
      <c r="CO198" s="1965">
        <f>+CO190/CO234</f>
        <v>2.8718884553283077</v>
      </c>
      <c r="CP198" s="1965">
        <f>+CP190/CP234</f>
        <v>2.7062121159034369</v>
      </c>
      <c r="CQ198" s="1965">
        <f>+CQ190/CQ234</f>
        <v>2.1401040510103724</v>
      </c>
      <c r="CR198" s="1965">
        <f t="shared" ref="CR198:CU198" si="426">+CR190/CR234</f>
        <v>1.6849305378717143</v>
      </c>
      <c r="CS198" s="1965">
        <f t="shared" si="426"/>
        <v>2.8638934682508101</v>
      </c>
      <c r="CT198" s="1965">
        <f t="shared" si="426"/>
        <v>2.6121015742337423</v>
      </c>
      <c r="CU198" s="1965">
        <f t="shared" si="426"/>
        <v>3.0554621381620084</v>
      </c>
      <c r="CV198" s="1965">
        <f>+CV190/CV234</f>
        <v>2.7378249076560319</v>
      </c>
      <c r="CW198" s="1965">
        <f>+CW190/CW234</f>
        <v>2.7992051765425185</v>
      </c>
      <c r="CX198" s="1965">
        <f>+CX190/CX234</f>
        <v>3.6346879406496524</v>
      </c>
      <c r="CY198" s="1965">
        <f>+CY190/CY234</f>
        <v>3.609569305429178</v>
      </c>
      <c r="CZ198" s="1965">
        <f t="shared" ref="CZ198:DC198" ca="1" si="427">+CZ190/CZ234</f>
        <v>3.8381986234479597</v>
      </c>
      <c r="DA198" s="1965">
        <f t="shared" ca="1" si="427"/>
        <v>4.1325235162962191</v>
      </c>
      <c r="DB198" s="1965">
        <f t="shared" ca="1" si="427"/>
        <v>4.3279552497511533</v>
      </c>
      <c r="DC198" s="1965">
        <f t="shared" ca="1" si="427"/>
        <v>4.5211452704304085</v>
      </c>
      <c r="EU198" s="42"/>
      <c r="EV198"/>
      <c r="EW198"/>
      <c r="EX198"/>
      <c r="EY198"/>
      <c r="EZ198"/>
      <c r="FA198"/>
      <c r="FB198" s="961"/>
      <c r="FC198" s="961"/>
      <c r="FD198" s="961"/>
      <c r="FE198" s="961"/>
      <c r="FF198" s="961"/>
      <c r="FG198" s="961"/>
      <c r="FH198" s="961"/>
      <c r="FI198" s="961"/>
      <c r="FJ198" s="961"/>
      <c r="FK198" s="961"/>
      <c r="FL198" s="961"/>
      <c r="FM198" s="961"/>
      <c r="FN198" s="961"/>
      <c r="FO198" s="961"/>
      <c r="FP198" s="961"/>
      <c r="FQ198" s="961"/>
      <c r="FR198" s="961"/>
      <c r="FS198" s="961"/>
      <c r="FT198" s="961"/>
      <c r="FU198" s="961"/>
      <c r="FV198" s="961"/>
      <c r="FW198" s="961"/>
      <c r="FX198" s="961"/>
      <c r="FY198" s="961"/>
      <c r="FZ198" s="961"/>
      <c r="GA198" s="961"/>
      <c r="GB198" s="961"/>
      <c r="GC198" s="961"/>
      <c r="GD198" s="961"/>
      <c r="GE198" s="961"/>
      <c r="GF198" s="961"/>
      <c r="GG198" s="961"/>
      <c r="GH198" s="961"/>
      <c r="GI198" s="961"/>
    </row>
    <row r="199" spans="2:191" s="15" customFormat="1">
      <c r="B199" s="17" t="s">
        <v>1322</v>
      </c>
      <c r="H199" s="883"/>
      <c r="I199" s="883"/>
      <c r="J199" s="883"/>
      <c r="K199" s="883"/>
      <c r="L199" s="883"/>
      <c r="M199" s="1012"/>
      <c r="N199" s="1012"/>
      <c r="O199" s="768"/>
      <c r="P199" s="768"/>
      <c r="Q199" s="768"/>
      <c r="R199" s="1494"/>
      <c r="S199" s="24">
        <f t="shared" ref="S199:Z199" si="428">+S198/R198-1</f>
        <v>-0.65047598041793919</v>
      </c>
      <c r="T199" s="24">
        <f t="shared" si="428"/>
        <v>2.6420986042548522</v>
      </c>
      <c r="U199" s="24">
        <f t="shared" si="428"/>
        <v>-5.4341911301052037E-2</v>
      </c>
      <c r="V199" s="24">
        <f t="shared" si="428"/>
        <v>0.25105738764298802</v>
      </c>
      <c r="W199" s="24">
        <f t="shared" ca="1" si="428"/>
        <v>0.31597250146169098</v>
      </c>
      <c r="X199" s="24">
        <f t="shared" ca="1" si="428"/>
        <v>7.2284720269404579E-2</v>
      </c>
      <c r="Y199" s="24">
        <f t="shared" ca="1" si="428"/>
        <v>5.4269645673584721E-2</v>
      </c>
      <c r="Z199" s="24">
        <f t="shared" ca="1" si="428"/>
        <v>4.2223209664208561E-2</v>
      </c>
      <c r="AA199" s="24">
        <f t="shared" ref="AA199" ca="1" si="429">+AA198/Z198-1</f>
        <v>5.2754328307698106E-2</v>
      </c>
      <c r="AB199" s="24">
        <f t="shared" ref="AB199" ca="1" si="430">+AB198/AA198-1</f>
        <v>7.5200301242126733E-2</v>
      </c>
      <c r="AC199" s="24">
        <f t="shared" ref="AC199" ca="1" si="431">+AC198/AB198-1</f>
        <v>5.5919677121728517E-2</v>
      </c>
      <c r="AD199" s="24">
        <f t="shared" ref="AD199" ca="1" si="432">+AD198/AC198-1</f>
        <v>3.4943856173810017E-2</v>
      </c>
      <c r="CF199" s="1494"/>
      <c r="CG199" s="1494"/>
      <c r="CH199" s="1494"/>
      <c r="CI199" s="1494"/>
      <c r="CJ199" s="24"/>
      <c r="CK199" s="24"/>
      <c r="CL199" s="24"/>
      <c r="CM199" s="24"/>
      <c r="CN199" s="24">
        <f t="shared" ref="CN199:CY199" si="433">+CN198/CJ198-1</f>
        <v>0.2231137928716409</v>
      </c>
      <c r="CO199" s="24">
        <f t="shared" si="433"/>
        <v>0.43972759564340769</v>
      </c>
      <c r="CP199" s="24">
        <f t="shared" si="433"/>
        <v>3.6951298257336118E-2</v>
      </c>
      <c r="CQ199" s="24">
        <f t="shared" si="433"/>
        <v>-1.514359924151214</v>
      </c>
      <c r="CR199" s="24">
        <f t="shared" si="433"/>
        <v>-0.45387804573309831</v>
      </c>
      <c r="CS199" s="24">
        <f t="shared" si="433"/>
        <v>-2.7838779959103999E-3</v>
      </c>
      <c r="CT199" s="24">
        <f t="shared" si="433"/>
        <v>-3.4775744708495204E-2</v>
      </c>
      <c r="CU199" s="24">
        <f t="shared" si="433"/>
        <v>0.42771662747868877</v>
      </c>
      <c r="CV199" s="24">
        <f t="shared" si="433"/>
        <v>0.62488888777234686</v>
      </c>
      <c r="CW199" s="24">
        <f t="shared" si="433"/>
        <v>-2.2587534217116456E-2</v>
      </c>
      <c r="CX199" s="24">
        <f t="shared" si="433"/>
        <v>0.39148032239744923</v>
      </c>
      <c r="CY199" s="24">
        <f t="shared" si="433"/>
        <v>0.18134970823120344</v>
      </c>
      <c r="CZ199" s="24">
        <f t="shared" ref="CZ199:DC199" ca="1" si="434">+CZ198/CV198-1</f>
        <v>0.40191529878877619</v>
      </c>
      <c r="DA199" s="24">
        <f t="shared" ca="1" si="434"/>
        <v>0.47632033225966275</v>
      </c>
      <c r="DB199" s="24">
        <f t="shared" ca="1" si="434"/>
        <v>0.19073640445115858</v>
      </c>
      <c r="DC199" s="24">
        <f t="shared" ca="1" si="434"/>
        <v>0.25254424776665818</v>
      </c>
      <c r="EU199" s="42"/>
      <c r="EV199"/>
      <c r="EW199"/>
      <c r="EX199"/>
      <c r="EY199"/>
      <c r="EZ199"/>
      <c r="FA199"/>
      <c r="FB199" s="961"/>
      <c r="FC199" s="961"/>
      <c r="FD199" s="961"/>
      <c r="FE199" s="961"/>
      <c r="FF199" s="961"/>
      <c r="FG199" s="961"/>
      <c r="FH199" s="961"/>
      <c r="FI199" s="961"/>
      <c r="FJ199" s="961"/>
      <c r="FK199" s="961"/>
      <c r="FL199" s="961"/>
      <c r="FM199" s="961"/>
      <c r="FN199" s="961"/>
      <c r="FO199" s="961"/>
      <c r="FP199" s="961"/>
      <c r="FQ199" s="961"/>
      <c r="FR199" s="961"/>
      <c r="FS199" s="961"/>
      <c r="FT199" s="961"/>
      <c r="FU199" s="961"/>
      <c r="FV199" s="961"/>
      <c r="FW199" s="961"/>
      <c r="FX199" s="961"/>
      <c r="FY199" s="961"/>
      <c r="FZ199" s="961"/>
      <c r="GA199" s="961"/>
      <c r="GB199" s="961"/>
      <c r="GC199" s="961"/>
      <c r="GD199" s="961"/>
      <c r="GE199" s="961"/>
      <c r="GF199" s="961"/>
      <c r="GG199" s="961"/>
      <c r="GH199" s="961"/>
      <c r="GI199" s="961"/>
    </row>
    <row r="200" spans="2:191" s="15" customFormat="1">
      <c r="B200" s="17" t="s">
        <v>95</v>
      </c>
      <c r="H200" s="883"/>
      <c r="I200" s="883"/>
      <c r="J200" s="883"/>
      <c r="K200" s="883"/>
      <c r="L200" s="883"/>
      <c r="M200" s="1012"/>
      <c r="N200" s="1012"/>
      <c r="O200" s="768"/>
      <c r="P200" s="768"/>
      <c r="Q200" s="768"/>
      <c r="R200" s="1494"/>
      <c r="S200" s="1494"/>
      <c r="T200" s="1494"/>
      <c r="U200" s="1494"/>
      <c r="V200" s="1494"/>
      <c r="W200" s="1494"/>
      <c r="X200" s="1494"/>
      <c r="Y200" s="1494"/>
      <c r="Z200" s="1494"/>
      <c r="AA200" s="1494"/>
      <c r="AB200" s="1494"/>
      <c r="AC200" s="1494"/>
      <c r="AD200" s="1494"/>
      <c r="CF200" s="1494"/>
      <c r="CG200" s="1494"/>
      <c r="CH200" s="1494"/>
      <c r="CI200" s="1494"/>
      <c r="CJ200" s="24"/>
      <c r="CK200" s="24">
        <f t="shared" ref="CK200:CY200" si="435">+CK198/CJ198-1</f>
        <v>-0.20920896602908434</v>
      </c>
      <c r="CL200" s="24">
        <f t="shared" si="435"/>
        <v>0.30832679368833737</v>
      </c>
      <c r="CM200" s="24">
        <f t="shared" si="435"/>
        <v>-2.5942788733925202</v>
      </c>
      <c r="CN200" s="24">
        <f t="shared" si="435"/>
        <v>-1.7415229560068792</v>
      </c>
      <c r="CO200" s="24">
        <f t="shared" si="435"/>
        <v>-6.915964758906723E-2</v>
      </c>
      <c r="CP200" s="24">
        <f t="shared" si="435"/>
        <v>-5.7688988274417929E-2</v>
      </c>
      <c r="CQ200" s="24">
        <f t="shared" si="435"/>
        <v>-0.20918835650991685</v>
      </c>
      <c r="CR200" s="24">
        <f t="shared" si="435"/>
        <v>-0.21268756204809969</v>
      </c>
      <c r="CS200" s="24">
        <f t="shared" si="435"/>
        <v>0.69971010904003128</v>
      </c>
      <c r="CT200" s="24">
        <f t="shared" si="435"/>
        <v>-8.7919434437222832E-2</v>
      </c>
      <c r="CU200" s="24">
        <f t="shared" si="435"/>
        <v>0.16973327848413611</v>
      </c>
      <c r="CV200" s="24">
        <f t="shared" si="435"/>
        <v>-0.10395718099031948</v>
      </c>
      <c r="CW200" s="24">
        <f t="shared" si="435"/>
        <v>2.2419355129264629E-2</v>
      </c>
      <c r="CX200" s="24">
        <f t="shared" si="435"/>
        <v>0.29847142721388265</v>
      </c>
      <c r="CY200" s="24">
        <f t="shared" si="435"/>
        <v>-6.9108092993492853E-3</v>
      </c>
      <c r="CZ200" s="24">
        <f t="shared" ref="CZ200:DC200" ca="1" si="436">+CZ198/CY198-1</f>
        <v>6.3339777871808334E-2</v>
      </c>
      <c r="DA200" s="24">
        <f t="shared" ca="1" si="436"/>
        <v>7.6683080195536935E-2</v>
      </c>
      <c r="DB200" s="24">
        <f t="shared" ca="1" si="436"/>
        <v>4.7291136441031112E-2</v>
      </c>
      <c r="DC200" s="24">
        <f t="shared" ca="1" si="436"/>
        <v>4.4637712159885101E-2</v>
      </c>
      <c r="EU200" s="42"/>
      <c r="EV200"/>
      <c r="EW200"/>
      <c r="EX200"/>
      <c r="EY200"/>
      <c r="EZ200"/>
      <c r="FA200"/>
      <c r="FB200" s="961"/>
      <c r="FC200" s="961"/>
      <c r="FD200" s="961"/>
      <c r="FE200" s="961"/>
      <c r="FF200" s="961"/>
      <c r="FG200" s="961"/>
      <c r="FH200" s="961"/>
      <c r="FI200" s="961"/>
      <c r="FJ200" s="961"/>
      <c r="FK200" s="961"/>
      <c r="FL200" s="961"/>
      <c r="FM200" s="961"/>
      <c r="FN200" s="961"/>
      <c r="FO200" s="961"/>
      <c r="FP200" s="961"/>
      <c r="FQ200" s="961"/>
      <c r="FR200" s="961"/>
      <c r="FS200" s="961"/>
      <c r="FT200" s="961"/>
      <c r="FU200" s="961"/>
      <c r="FV200" s="961"/>
      <c r="FW200" s="961"/>
      <c r="FX200" s="961"/>
      <c r="FY200" s="961"/>
      <c r="FZ200" s="961"/>
      <c r="GA200" s="961"/>
      <c r="GB200" s="961"/>
      <c r="GC200" s="961"/>
      <c r="GD200" s="961"/>
      <c r="GE200" s="961"/>
      <c r="GF200" s="961"/>
      <c r="GG200" s="961"/>
      <c r="GH200" s="961"/>
      <c r="GI200" s="961"/>
    </row>
    <row r="201" spans="2:191" s="15" customFormat="1">
      <c r="B201" s="23"/>
      <c r="H201" s="883"/>
      <c r="I201" s="883"/>
      <c r="J201" s="883"/>
      <c r="K201" s="883"/>
      <c r="L201" s="883"/>
      <c r="M201" s="1012"/>
      <c r="N201" s="1012"/>
      <c r="O201" s="768"/>
      <c r="P201" s="768"/>
      <c r="Q201" s="768"/>
      <c r="R201" s="2177"/>
      <c r="S201" s="2177"/>
      <c r="T201" s="2177"/>
      <c r="U201" s="2177"/>
      <c r="V201" s="2177"/>
      <c r="W201" s="2177"/>
      <c r="X201" s="768"/>
      <c r="Y201" s="768"/>
      <c r="Z201" s="768"/>
      <c r="AA201" s="768"/>
      <c r="AB201" s="768"/>
      <c r="AC201" s="768"/>
      <c r="AD201" s="768"/>
      <c r="CF201" s="1965"/>
      <c r="CG201" s="1965"/>
      <c r="CH201" s="1965"/>
      <c r="CI201" s="1965"/>
      <c r="CJ201" s="1965"/>
      <c r="CK201" s="1965"/>
      <c r="CL201" s="1965"/>
      <c r="CM201" s="1965"/>
      <c r="CN201" s="1965"/>
      <c r="CO201" s="1965"/>
      <c r="CP201" s="1965"/>
      <c r="CQ201" s="1965"/>
      <c r="CR201" s="1965"/>
      <c r="CS201" s="1965"/>
      <c r="CT201" s="1965"/>
      <c r="CU201" s="1965"/>
      <c r="CV201" s="1965"/>
      <c r="CW201" s="1965"/>
      <c r="CX201" s="1965"/>
      <c r="CY201" s="1965"/>
      <c r="CZ201" s="1965"/>
      <c r="DA201" s="1965"/>
      <c r="DB201" s="1965"/>
      <c r="DC201" s="1965"/>
      <c r="EU201" s="42"/>
      <c r="EV201"/>
      <c r="EW201"/>
      <c r="EX201"/>
      <c r="EY201"/>
      <c r="EZ201"/>
      <c r="FA201"/>
      <c r="FB201" s="961"/>
      <c r="FC201" s="961"/>
      <c r="FD201" s="961"/>
      <c r="FE201" s="961"/>
      <c r="FF201" s="961"/>
      <c r="FG201" s="961"/>
      <c r="FH201" s="961"/>
      <c r="FI201" s="961"/>
      <c r="FJ201" s="961"/>
      <c r="FK201" s="961"/>
      <c r="FL201" s="961"/>
      <c r="FM201" s="961"/>
      <c r="FN201" s="961"/>
      <c r="FO201" s="961"/>
      <c r="FP201" s="961"/>
      <c r="FQ201" s="961"/>
      <c r="FR201" s="961"/>
      <c r="FS201" s="961"/>
      <c r="FT201" s="961"/>
      <c r="FU201" s="961"/>
      <c r="FV201" s="961"/>
      <c r="FW201" s="961"/>
      <c r="FX201" s="961"/>
      <c r="FY201" s="961"/>
      <c r="FZ201" s="961"/>
      <c r="GA201" s="961"/>
      <c r="GB201" s="961"/>
      <c r="GC201" s="961"/>
      <c r="GD201" s="961"/>
      <c r="GE201" s="961"/>
      <c r="GF201" s="961"/>
      <c r="GG201" s="961"/>
      <c r="GH201" s="961"/>
      <c r="GI201" s="961"/>
    </row>
    <row r="202" spans="2:191" s="15" customFormat="1">
      <c r="B202" s="23" t="s">
        <v>1903</v>
      </c>
      <c r="H202" s="883"/>
      <c r="I202" s="883"/>
      <c r="J202" s="883"/>
      <c r="K202" s="883"/>
      <c r="L202" s="883"/>
      <c r="M202" s="1012"/>
      <c r="N202" s="1012"/>
      <c r="O202" s="768"/>
      <c r="P202" s="768"/>
      <c r="Q202" s="768"/>
      <c r="R202" s="1483">
        <f t="shared" ref="R202:R215" si="437">+SUM(CF202:CI202)</f>
        <v>25.016999999999999</v>
      </c>
      <c r="S202" s="1483">
        <f t="shared" ref="S202:S215" si="438">+SUM(CJ202:CM202)</f>
        <v>25.72</v>
      </c>
      <c r="T202" s="1483">
        <f t="shared" ref="T202:T215" si="439">+SUM(CN202:CQ202)</f>
        <v>35.498000000000005</v>
      </c>
      <c r="U202" s="1483">
        <f t="shared" ref="U202:U215" si="440">SUM(CR202:CU202)</f>
        <v>20.161000000000001</v>
      </c>
      <c r="V202" s="1483">
        <f t="shared" ref="V202:V215" si="441">SUM(CV202:CY202)</f>
        <v>24.495999999999999</v>
      </c>
      <c r="W202" s="1483">
        <f t="shared" ref="W202:W215" ca="1" si="442">SUM(CZ202:DC202)</f>
        <v>12.597896488977975</v>
      </c>
      <c r="X202" s="1498">
        <f ca="1">+X237*IS!X$15</f>
        <v>55.005877719846403</v>
      </c>
      <c r="Y202" s="1498">
        <f ca="1">+Y237*IS!Y$15</f>
        <v>59.373329327160313</v>
      </c>
      <c r="Z202" s="1498">
        <f ca="1">+Z237*IS!Z$15</f>
        <v>63.492579843878232</v>
      </c>
      <c r="AA202" s="1498">
        <f ca="1">+AA237*IS!AA$15</f>
        <v>67.596524169437558</v>
      </c>
      <c r="AB202" s="1498">
        <f ca="1">+AB237*IS!AB$15</f>
        <v>71.682294722832026</v>
      </c>
      <c r="AC202" s="1498">
        <f ca="1">+AC237*IS!AC$15</f>
        <v>75.747608140106237</v>
      </c>
      <c r="AD202" s="1498">
        <f ca="1">+AD237*IS!AD$15</f>
        <v>79.790579009880247</v>
      </c>
      <c r="CF202" s="2175">
        <v>8.1120000000000001</v>
      </c>
      <c r="CG202" s="2175">
        <v>5.9210000000000003</v>
      </c>
      <c r="CH202" s="2175">
        <v>4.0919999999999996</v>
      </c>
      <c r="CI202" s="2175">
        <v>6.8920000000000003</v>
      </c>
      <c r="CJ202" s="2175">
        <v>7.173</v>
      </c>
      <c r="CK202" s="2175">
        <v>5.2439999999999998</v>
      </c>
      <c r="CL202" s="2175">
        <v>6.0789999999999997</v>
      </c>
      <c r="CM202" s="2175">
        <v>7.2240000000000002</v>
      </c>
      <c r="CN202" s="2175">
        <v>8.6539999999999999</v>
      </c>
      <c r="CO202" s="2175">
        <v>12.474</v>
      </c>
      <c r="CP202" s="2175">
        <v>8.5269999999999992</v>
      </c>
      <c r="CQ202" s="2175">
        <v>5.843</v>
      </c>
      <c r="CR202" s="2175">
        <v>3.3540000000000001</v>
      </c>
      <c r="CS202" s="2175">
        <v>7.407</v>
      </c>
      <c r="CT202" s="2175">
        <v>4.6120000000000001</v>
      </c>
      <c r="CU202" s="2175">
        <v>4.7880000000000003</v>
      </c>
      <c r="CV202" s="2175">
        <v>4.6749999999999998</v>
      </c>
      <c r="CW202" s="2175">
        <v>6.9390000000000001</v>
      </c>
      <c r="CX202" s="2175">
        <v>6.1609999999999996</v>
      </c>
      <c r="CY202" s="2175">
        <v>6.7210000000000001</v>
      </c>
      <c r="CZ202" s="1498">
        <f ca="1">+CZ237*IS!DR$15</f>
        <v>3.0389212527065235</v>
      </c>
      <c r="DA202" s="1498">
        <f ca="1">+DA237*IS!DS$15</f>
        <v>3.1002750366451655</v>
      </c>
      <c r="DB202" s="1498">
        <f ca="1">+DB237*IS!DT$15</f>
        <v>3.1848397255224694</v>
      </c>
      <c r="DC202" s="1498">
        <f ca="1">+DC237*IS!DU$15</f>
        <v>3.2738604741038171</v>
      </c>
      <c r="DD202" s="1483"/>
      <c r="DE202" s="1498"/>
      <c r="EU202" s="42"/>
      <c r="EV202"/>
      <c r="EW202"/>
      <c r="EX202"/>
      <c r="EY202"/>
      <c r="EZ202"/>
      <c r="FA202"/>
      <c r="FB202" s="961"/>
      <c r="FC202" s="961"/>
      <c r="FD202" s="961"/>
      <c r="FE202" s="961"/>
      <c r="FF202" s="961"/>
      <c r="FG202" s="961"/>
      <c r="FH202" s="961"/>
      <c r="FI202" s="961"/>
      <c r="FJ202" s="961"/>
      <c r="FK202" s="961"/>
      <c r="FL202" s="961"/>
      <c r="FM202" s="961"/>
      <c r="FN202" s="961"/>
      <c r="FO202" s="961"/>
      <c r="FP202" s="961"/>
      <c r="FQ202" s="961"/>
      <c r="FR202" s="961"/>
      <c r="FS202" s="961"/>
      <c r="FT202" s="961"/>
      <c r="FU202" s="961"/>
      <c r="FV202" s="961"/>
      <c r="FW202" s="961"/>
      <c r="FX202" s="961"/>
      <c r="FY202" s="961"/>
      <c r="FZ202" s="961"/>
      <c r="GA202" s="961"/>
      <c r="GB202" s="961"/>
      <c r="GC202" s="961"/>
      <c r="GD202" s="961"/>
      <c r="GE202" s="961"/>
      <c r="GF202" s="961"/>
      <c r="GG202" s="961"/>
      <c r="GH202" s="961"/>
      <c r="GI202" s="961"/>
    </row>
    <row r="203" spans="2:191" s="15" customFormat="1">
      <c r="B203" s="23" t="s">
        <v>857</v>
      </c>
      <c r="H203" s="883"/>
      <c r="I203" s="883"/>
      <c r="J203" s="883"/>
      <c r="K203" s="883"/>
      <c r="L203" s="883"/>
      <c r="M203" s="1012"/>
      <c r="N203" s="1012"/>
      <c r="O203" s="768"/>
      <c r="P203" s="768"/>
      <c r="Q203" s="768"/>
      <c r="R203" s="1483">
        <f t="shared" si="437"/>
        <v>8.6119999999999983</v>
      </c>
      <c r="S203" s="1483">
        <f t="shared" si="438"/>
        <v>13.047999999999998</v>
      </c>
      <c r="T203" s="1483">
        <f t="shared" si="439"/>
        <v>7.9309999999999992</v>
      </c>
      <c r="U203" s="1483">
        <f t="shared" si="440"/>
        <v>7.7</v>
      </c>
      <c r="V203" s="1483">
        <f t="shared" si="441"/>
        <v>8.9250000000000007</v>
      </c>
      <c r="W203" s="1483">
        <f t="shared" ca="1" si="442"/>
        <v>5.0391585955911902</v>
      </c>
      <c r="X203" s="1498">
        <f ca="1">+X238*IS!X$15</f>
        <v>16.501763315953923</v>
      </c>
      <c r="Y203" s="1498">
        <f ca="1">+Y238*IS!Y$15</f>
        <v>17.811998798148093</v>
      </c>
      <c r="Z203" s="1498">
        <f ca="1">+Z238*IS!Z$15</f>
        <v>19.047773953163468</v>
      </c>
      <c r="AA203" s="1498">
        <f ca="1">+AA238*IS!AA$15</f>
        <v>20.278957250831269</v>
      </c>
      <c r="AB203" s="1498">
        <f ca="1">+AB238*IS!AB$15</f>
        <v>21.504688416849607</v>
      </c>
      <c r="AC203" s="1498">
        <f ca="1">+AC238*IS!AC$15</f>
        <v>22.724282442031871</v>
      </c>
      <c r="AD203" s="1498">
        <f ca="1">+AD238*IS!AD$15</f>
        <v>23.937173702964074</v>
      </c>
      <c r="CF203" s="2175">
        <v>1.383</v>
      </c>
      <c r="CG203" s="2175">
        <v>1.903</v>
      </c>
      <c r="CH203" s="2175">
        <v>2.9329999999999998</v>
      </c>
      <c r="CI203" s="2175">
        <v>2.3929999999999998</v>
      </c>
      <c r="CJ203" s="2175">
        <v>3.0289999999999999</v>
      </c>
      <c r="CK203" s="2175">
        <v>3.331</v>
      </c>
      <c r="CL203" s="2175">
        <v>3.3530000000000002</v>
      </c>
      <c r="CM203" s="2175">
        <v>3.335</v>
      </c>
      <c r="CN203" s="2175">
        <v>3.2010000000000001</v>
      </c>
      <c r="CO203" s="2175">
        <v>2.0169999999999999</v>
      </c>
      <c r="CP203" s="2175">
        <v>1.2509999999999999</v>
      </c>
      <c r="CQ203" s="2175">
        <v>1.462</v>
      </c>
      <c r="CR203" s="2175">
        <v>1.133</v>
      </c>
      <c r="CS203" s="2175">
        <v>1.895</v>
      </c>
      <c r="CT203" s="2175">
        <v>2.6859999999999999</v>
      </c>
      <c r="CU203" s="2175">
        <v>1.986</v>
      </c>
      <c r="CV203" s="2175">
        <v>2.4089999999999998</v>
      </c>
      <c r="CW203" s="2175">
        <v>1.0149999999999999</v>
      </c>
      <c r="CX203" s="2175">
        <v>2.2970000000000002</v>
      </c>
      <c r="CY203" s="2175">
        <v>3.2040000000000002</v>
      </c>
      <c r="CZ203" s="1498">
        <f ca="1">+CZ238*IS!DR$15</f>
        <v>1.2155685010826094</v>
      </c>
      <c r="DA203" s="1498">
        <f ca="1">+DA238*IS!DS$15</f>
        <v>1.2401100146580661</v>
      </c>
      <c r="DB203" s="1498">
        <f ca="1">+DB238*IS!DT$15</f>
        <v>1.2739358902089877</v>
      </c>
      <c r="DC203" s="1498">
        <f ca="1">+DC238*IS!DU$15</f>
        <v>1.3095441896415267</v>
      </c>
      <c r="DD203" s="1483"/>
      <c r="DE203" s="1498"/>
      <c r="EU203" s="42"/>
      <c r="EV203"/>
      <c r="EW203"/>
      <c r="EX203"/>
      <c r="EY203"/>
      <c r="EZ203"/>
      <c r="FA203"/>
      <c r="FB203" s="961"/>
      <c r="FC203" s="961"/>
      <c r="FD203" s="961"/>
      <c r="FE203" s="961"/>
      <c r="FF203" s="961"/>
      <c r="FG203" s="961"/>
      <c r="FH203" s="961"/>
      <c r="FI203" s="961"/>
      <c r="FJ203" s="961"/>
      <c r="FK203" s="961"/>
      <c r="FL203" s="961"/>
      <c r="FM203" s="961"/>
      <c r="FN203" s="961"/>
      <c r="FO203" s="961"/>
      <c r="FP203" s="961"/>
      <c r="FQ203" s="961"/>
      <c r="FR203" s="961"/>
      <c r="FS203" s="961"/>
      <c r="FT203" s="961"/>
      <c r="FU203" s="961"/>
      <c r="FV203" s="961"/>
      <c r="FW203" s="961"/>
      <c r="FX203" s="961"/>
      <c r="FY203" s="961"/>
      <c r="FZ203" s="961"/>
      <c r="GA203" s="961"/>
      <c r="GB203" s="961"/>
      <c r="GC203" s="961"/>
      <c r="GD203" s="961"/>
      <c r="GE203" s="961"/>
      <c r="GF203" s="961"/>
      <c r="GG203" s="961"/>
      <c r="GH203" s="961"/>
      <c r="GI203" s="961"/>
    </row>
    <row r="204" spans="2:191" s="15" customFormat="1">
      <c r="B204" s="23" t="s">
        <v>854</v>
      </c>
      <c r="H204" s="883"/>
      <c r="I204" s="883"/>
      <c r="J204" s="883"/>
      <c r="K204" s="883"/>
      <c r="L204" s="883"/>
      <c r="M204" s="1012"/>
      <c r="N204" s="1012"/>
      <c r="O204" s="768"/>
      <c r="P204" s="768"/>
      <c r="Q204" s="768"/>
      <c r="R204" s="1483">
        <f t="shared" si="437"/>
        <v>24.429000000000002</v>
      </c>
      <c r="S204" s="1483">
        <f t="shared" si="438"/>
        <v>19.02</v>
      </c>
      <c r="T204" s="1483">
        <f t="shared" si="439"/>
        <v>16.135000000000002</v>
      </c>
      <c r="U204" s="1483">
        <f t="shared" si="440"/>
        <v>18.696000000000002</v>
      </c>
      <c r="V204" s="1483">
        <f t="shared" si="441"/>
        <v>24.449000000000002</v>
      </c>
      <c r="W204" s="1483">
        <f t="shared" ca="1" si="442"/>
        <v>10.07831719118238</v>
      </c>
      <c r="X204" s="1498">
        <f ca="1">+X239*IS!X$15</f>
        <v>27.502938859923201</v>
      </c>
      <c r="Y204" s="1498">
        <f ca="1">+Y239*IS!Y$15</f>
        <v>29.686664663580157</v>
      </c>
      <c r="Z204" s="1498">
        <f ca="1">+Z239*IS!Z$15</f>
        <v>31.746289921939116</v>
      </c>
      <c r="AA204" s="1498">
        <f ca="1">+AA239*IS!AA$15</f>
        <v>33.798262084718779</v>
      </c>
      <c r="AB204" s="1498">
        <f ca="1">+AB239*IS!AB$15</f>
        <v>35.841147361416013</v>
      </c>
      <c r="AC204" s="1498">
        <f ca="1">+AC239*IS!AC$15</f>
        <v>37.873804070053119</v>
      </c>
      <c r="AD204" s="1498">
        <f ca="1">+AD239*IS!AD$15</f>
        <v>39.895289504940123</v>
      </c>
      <c r="CF204" s="2175">
        <v>5.9859999999999998</v>
      </c>
      <c r="CG204" s="2175">
        <v>5.9669999999999996</v>
      </c>
      <c r="CH204" s="2175">
        <v>6.1319999999999997</v>
      </c>
      <c r="CI204" s="2175">
        <v>6.3440000000000003</v>
      </c>
      <c r="CJ204" s="2175">
        <v>6.4989999999999997</v>
      </c>
      <c r="CK204" s="2175">
        <v>4.7830000000000004</v>
      </c>
      <c r="CL204" s="2175">
        <v>3.794</v>
      </c>
      <c r="CM204" s="2175">
        <v>3.944</v>
      </c>
      <c r="CN204" s="2175">
        <v>3.8580000000000001</v>
      </c>
      <c r="CO204" s="2175">
        <v>3.8479999999999999</v>
      </c>
      <c r="CP204" s="2175">
        <v>3.9340000000000002</v>
      </c>
      <c r="CQ204" s="2175">
        <v>4.4950000000000001</v>
      </c>
      <c r="CR204" s="2175">
        <v>5.508</v>
      </c>
      <c r="CS204" s="2175">
        <v>5.2430000000000003</v>
      </c>
      <c r="CT204" s="2175">
        <v>2.6869999999999998</v>
      </c>
      <c r="CU204" s="2175">
        <v>5.258</v>
      </c>
      <c r="CV204" s="2175">
        <v>11.58</v>
      </c>
      <c r="CW204" s="2175">
        <v>4.13</v>
      </c>
      <c r="CX204" s="2175">
        <v>4.3899999999999997</v>
      </c>
      <c r="CY204" s="2175">
        <v>4.3490000000000002</v>
      </c>
      <c r="CZ204" s="1498">
        <f ca="1">+CZ239*IS!DR$15</f>
        <v>2.4311370021652188</v>
      </c>
      <c r="DA204" s="1498">
        <f ca="1">+DA239*IS!DS$15</f>
        <v>2.4802200293161323</v>
      </c>
      <c r="DB204" s="1498">
        <f ca="1">+DB239*IS!DT$15</f>
        <v>2.5478717804179754</v>
      </c>
      <c r="DC204" s="1498">
        <f ca="1">+DC239*IS!DU$15</f>
        <v>2.6190883792830535</v>
      </c>
      <c r="DD204" s="1483"/>
      <c r="DE204" s="1498"/>
      <c r="EU204" s="42"/>
      <c r="EV204"/>
      <c r="EW204"/>
      <c r="EX204"/>
      <c r="EY204"/>
      <c r="EZ204"/>
      <c r="FA204"/>
      <c r="FB204" s="961"/>
      <c r="FC204" s="961"/>
      <c r="FD204" s="961"/>
      <c r="FE204" s="961"/>
      <c r="FF204" s="961"/>
      <c r="FG204" s="961"/>
      <c r="FH204" s="961"/>
      <c r="FI204" s="961"/>
      <c r="FJ204" s="961"/>
      <c r="FK204" s="961"/>
      <c r="FL204" s="961"/>
      <c r="FM204" s="961"/>
      <c r="FN204" s="961"/>
      <c r="FO204" s="961"/>
      <c r="FP204" s="961"/>
      <c r="FQ204" s="961"/>
      <c r="FR204" s="961"/>
      <c r="FS204" s="961"/>
      <c r="FT204" s="961"/>
      <c r="FU204" s="961"/>
      <c r="FV204" s="961"/>
      <c r="FW204" s="961"/>
      <c r="FX204" s="961"/>
      <c r="FY204" s="961"/>
      <c r="FZ204" s="961"/>
      <c r="GA204" s="961"/>
      <c r="GB204" s="961"/>
      <c r="GC204" s="961"/>
      <c r="GD204" s="961"/>
      <c r="GE204" s="961"/>
      <c r="GF204" s="961"/>
      <c r="GG204" s="961"/>
      <c r="GH204" s="961"/>
      <c r="GI204" s="961"/>
    </row>
    <row r="205" spans="2:191" s="15" customFormat="1">
      <c r="B205" s="23" t="s">
        <v>1960</v>
      </c>
      <c r="H205" s="883"/>
      <c r="I205" s="883"/>
      <c r="J205" s="883"/>
      <c r="K205" s="883"/>
      <c r="L205" s="883"/>
      <c r="M205" s="1012"/>
      <c r="N205" s="1012"/>
      <c r="O205" s="768"/>
      <c r="P205" s="768"/>
      <c r="Q205" s="768"/>
      <c r="R205" s="1483">
        <f t="shared" si="437"/>
        <v>102.94</v>
      </c>
      <c r="S205" s="1483">
        <f t="shared" si="438"/>
        <v>117.99</v>
      </c>
      <c r="T205" s="1483">
        <f t="shared" si="439"/>
        <v>133.63299999999998</v>
      </c>
      <c r="U205" s="1483">
        <f t="shared" si="440"/>
        <v>156.149</v>
      </c>
      <c r="V205" s="1483">
        <f t="shared" si="441"/>
        <v>175.5</v>
      </c>
      <c r="W205" s="1483">
        <f t="shared" ca="1" si="442"/>
        <v>192.70392804362234</v>
      </c>
      <c r="X205" s="2107">
        <f ca="1">IS!X26</f>
        <v>200.47958950406345</v>
      </c>
      <c r="Y205" s="2107">
        <f ca="1">IS!Y26</f>
        <v>216.39761393542778</v>
      </c>
      <c r="Z205" s="2107">
        <f ca="1">IS!Z26</f>
        <v>231.411021354578</v>
      </c>
      <c r="AA205" s="2107">
        <f ca="1">IS!AA26</f>
        <v>246.36864239148056</v>
      </c>
      <c r="AB205" s="2107">
        <f ca="1">IS!AB26</f>
        <v>261.26002559100311</v>
      </c>
      <c r="AC205" s="2107">
        <f ca="1">IS!AC26</f>
        <v>276.07684879036162</v>
      </c>
      <c r="AD205" s="2107">
        <f ca="1">IS!AD26</f>
        <v>290.81224024211429</v>
      </c>
      <c r="CF205" s="2107">
        <f>IS!CX26</f>
        <v>23.836000000000002</v>
      </c>
      <c r="CG205" s="2107">
        <f>IS!CY26</f>
        <v>24.193999999999999</v>
      </c>
      <c r="CH205" s="2107">
        <f>IS!CZ26</f>
        <v>27.28</v>
      </c>
      <c r="CI205" s="2107">
        <f>IS!DA26</f>
        <v>27.630000000000003</v>
      </c>
      <c r="CJ205" s="2107">
        <f>IS!DB26</f>
        <v>24.981000000000002</v>
      </c>
      <c r="CK205" s="2107">
        <f>IS!DC26</f>
        <v>33.83</v>
      </c>
      <c r="CL205" s="2107">
        <f>IS!DD26</f>
        <v>27.661999999999999</v>
      </c>
      <c r="CM205" s="2107">
        <f>IS!DE26</f>
        <v>31.516999999999999</v>
      </c>
      <c r="CN205" s="2107">
        <f>IS!DF26</f>
        <v>30.613</v>
      </c>
      <c r="CO205" s="2107">
        <f>IS!DG26</f>
        <v>33.993000000000002</v>
      </c>
      <c r="CP205" s="2107">
        <f>IS!DH26</f>
        <v>33.969000000000001</v>
      </c>
      <c r="CQ205" s="2107">
        <f>IS!DI26</f>
        <v>35.058</v>
      </c>
      <c r="CR205" s="2107">
        <f>IS!DJ26</f>
        <v>34.515000000000001</v>
      </c>
      <c r="CS205" s="2107">
        <f>IS!DK26</f>
        <v>39.323</v>
      </c>
      <c r="CT205" s="2175">
        <v>42.473999999999997</v>
      </c>
      <c r="CU205" s="2175">
        <v>39.837000000000003</v>
      </c>
      <c r="CV205" s="2175">
        <v>38.323</v>
      </c>
      <c r="CW205" s="2175">
        <v>45.625</v>
      </c>
      <c r="CX205" s="2175">
        <v>45.654000000000003</v>
      </c>
      <c r="CY205" s="2175">
        <v>45.898000000000003</v>
      </c>
      <c r="CZ205" s="2107">
        <f ca="1">IS!DR26</f>
        <v>46.484908248305615</v>
      </c>
      <c r="DA205" s="2107">
        <f ca="1">IS!DS26</f>
        <v>47.423407399783812</v>
      </c>
      <c r="DB205" s="2107">
        <f ca="1">IS!DT26</f>
        <v>48.716952535251529</v>
      </c>
      <c r="DC205" s="2107">
        <f ca="1">IS!DU26</f>
        <v>50.078659860281405</v>
      </c>
      <c r="DD205" s="1483"/>
      <c r="DE205" s="1498"/>
      <c r="EU205" s="42"/>
      <c r="EV205"/>
      <c r="EW205"/>
      <c r="EX205"/>
      <c r="EY205"/>
      <c r="EZ205"/>
      <c r="FA205"/>
      <c r="FB205" s="961"/>
      <c r="FC205" s="961"/>
      <c r="FD205" s="961"/>
      <c r="FE205" s="961"/>
      <c r="FF205" s="961"/>
      <c r="FG205" s="961"/>
      <c r="FH205" s="961"/>
      <c r="FI205" s="961"/>
      <c r="FJ205" s="961"/>
      <c r="FK205" s="961"/>
      <c r="FL205" s="961"/>
      <c r="FM205" s="961"/>
      <c r="FN205" s="961"/>
      <c r="FO205" s="961"/>
      <c r="FP205" s="961"/>
      <c r="FQ205" s="961"/>
      <c r="FR205" s="961"/>
      <c r="FS205" s="961"/>
      <c r="FT205" s="961"/>
      <c r="FU205" s="961"/>
      <c r="FV205" s="961"/>
      <c r="FW205" s="961"/>
      <c r="FX205" s="961"/>
      <c r="FY205" s="961"/>
      <c r="FZ205" s="961"/>
      <c r="GA205" s="961"/>
      <c r="GB205" s="961"/>
      <c r="GC205" s="961"/>
      <c r="GD205" s="961"/>
      <c r="GE205" s="961"/>
      <c r="GF205" s="961"/>
      <c r="GG205" s="961"/>
      <c r="GH205" s="961"/>
      <c r="GI205" s="961"/>
    </row>
    <row r="206" spans="2:191" s="15" customFormat="1">
      <c r="B206" s="23" t="s">
        <v>1961</v>
      </c>
      <c r="H206" s="883"/>
      <c r="I206" s="883"/>
      <c r="J206" s="883"/>
      <c r="K206" s="883"/>
      <c r="L206" s="883"/>
      <c r="M206" s="1012"/>
      <c r="N206" s="1012"/>
      <c r="O206" s="768"/>
      <c r="P206" s="768"/>
      <c r="Q206" s="768"/>
      <c r="R206" s="1483">
        <f t="shared" si="437"/>
        <v>28.395000000000003</v>
      </c>
      <c r="S206" s="1483">
        <f t="shared" si="438"/>
        <v>36.231999999999999</v>
      </c>
      <c r="T206" s="1483">
        <f t="shared" si="439"/>
        <v>58.164999999999999</v>
      </c>
      <c r="U206" s="1483">
        <f t="shared" si="440"/>
        <v>87.781000000000006</v>
      </c>
      <c r="V206" s="1483">
        <f t="shared" si="441"/>
        <v>111.12100000000001</v>
      </c>
      <c r="W206" s="1483">
        <f t="shared" ca="1" si="442"/>
        <v>98.653232278071243</v>
      </c>
      <c r="X206" s="1498">
        <f ca="1">+(W206/IS!W45)*IS!X45</f>
        <v>92.050842872956252</v>
      </c>
      <c r="Y206" s="1498">
        <f ca="1">+(X206/IS!X45)*IS!Y45</f>
        <v>96.407502356743862</v>
      </c>
      <c r="Z206" s="1498">
        <f ca="1">+(Y206/IS!Y45)*IS!Z45</f>
        <v>101.17270870030673</v>
      </c>
      <c r="AA206" s="1498">
        <f ca="1">+(Z206/IS!Z45)*IS!AA45</f>
        <v>95.461783507459614</v>
      </c>
      <c r="AB206" s="1498">
        <f ca="1">+(AA206/IS!AA45)*IS!AB45</f>
        <v>55.336112425457443</v>
      </c>
      <c r="AC206" s="1498">
        <f ca="1">+(AB206/IS!AB45)*IS!AC45</f>
        <v>29.786143789717809</v>
      </c>
      <c r="AD206" s="1498">
        <f ca="1">+(AC206/IS!AC45)*IS!AD45</f>
        <v>29.786143789717809</v>
      </c>
      <c r="CF206" s="2175">
        <v>7.42</v>
      </c>
      <c r="CG206" s="2175">
        <v>7.0629999999999997</v>
      </c>
      <c r="CH206" s="2175">
        <v>6.7770000000000001</v>
      </c>
      <c r="CI206" s="2175">
        <v>7.1349999999999998</v>
      </c>
      <c r="CJ206" s="2175">
        <v>7.5720000000000001</v>
      </c>
      <c r="CK206" s="2175">
        <v>7.7850000000000001</v>
      </c>
      <c r="CL206" s="2175">
        <v>9.3970000000000002</v>
      </c>
      <c r="CM206" s="2175">
        <v>11.478</v>
      </c>
      <c r="CN206" s="2175">
        <v>12.693</v>
      </c>
      <c r="CO206" s="2175">
        <v>13.605</v>
      </c>
      <c r="CP206" s="2175">
        <v>15.946</v>
      </c>
      <c r="CQ206" s="2175">
        <v>15.920999999999999</v>
      </c>
      <c r="CR206" s="2175">
        <v>21.387</v>
      </c>
      <c r="CS206" s="2175">
        <v>21.021000000000001</v>
      </c>
      <c r="CT206" s="2175">
        <v>22.108000000000001</v>
      </c>
      <c r="CU206" s="2175">
        <v>23.265000000000001</v>
      </c>
      <c r="CV206" s="2175">
        <v>28.574999999999999</v>
      </c>
      <c r="CW206" s="2175">
        <v>29.241</v>
      </c>
      <c r="CX206" s="2175">
        <v>29.204999999999998</v>
      </c>
      <c r="CY206" s="2175">
        <v>24.1</v>
      </c>
      <c r="CZ206" s="1498">
        <f ca="1">+(CY206/IS!DQ45)*IS!DR45</f>
        <v>24.289208387307028</v>
      </c>
      <c r="DA206" s="1498">
        <f ca="1">+(CZ206/IS!DR45)*IS!DS45</f>
        <v>24.34110409331166</v>
      </c>
      <c r="DB206" s="1498">
        <f ca="1">+(DA206/IS!DS45)*IS!DT45</f>
        <v>24.666757341346568</v>
      </c>
      <c r="DC206" s="1498">
        <f ca="1">+(DB206/IS!DT45)*IS!DU45</f>
        <v>25.356162456105992</v>
      </c>
      <c r="DD206" s="1483"/>
      <c r="DE206" s="1498"/>
      <c r="EV206"/>
      <c r="EW206"/>
      <c r="EX206"/>
      <c r="EY206"/>
      <c r="EZ206"/>
      <c r="FA206"/>
      <c r="FB206" s="961"/>
      <c r="FC206" s="961"/>
      <c r="FD206" s="961"/>
      <c r="FE206" s="961"/>
      <c r="FF206" s="961"/>
      <c r="FG206" s="961"/>
      <c r="FH206" s="961"/>
      <c r="FI206" s="961"/>
      <c r="FJ206" s="961"/>
      <c r="FK206" s="961"/>
      <c r="FL206" s="961"/>
      <c r="FM206" s="961"/>
      <c r="FN206" s="961"/>
      <c r="FO206" s="961"/>
      <c r="FP206" s="961"/>
      <c r="FQ206" s="961"/>
      <c r="FR206" s="961"/>
      <c r="FS206" s="961"/>
      <c r="FT206" s="961"/>
      <c r="FU206" s="961"/>
      <c r="FV206" s="961"/>
      <c r="FW206" s="961"/>
      <c r="FX206" s="961"/>
      <c r="FY206" s="961"/>
      <c r="FZ206" s="961"/>
      <c r="GA206" s="961"/>
      <c r="GB206" s="961"/>
      <c r="GC206" s="961"/>
      <c r="GD206" s="961"/>
      <c r="GE206" s="961"/>
      <c r="GF206" s="961"/>
      <c r="GG206" s="961"/>
      <c r="GH206" s="961"/>
      <c r="GI206" s="961"/>
    </row>
    <row r="207" spans="2:191" s="15" customFormat="1">
      <c r="B207" s="23" t="s">
        <v>1962</v>
      </c>
      <c r="H207" s="883"/>
      <c r="I207" s="883"/>
      <c r="J207" s="883"/>
      <c r="K207" s="883"/>
      <c r="L207" s="883"/>
      <c r="M207" s="1012"/>
      <c r="N207" s="1012"/>
      <c r="O207" s="768"/>
      <c r="P207" s="768"/>
      <c r="Q207" s="768"/>
      <c r="R207" s="1483">
        <f t="shared" si="437"/>
        <v>27.286999999999999</v>
      </c>
      <c r="S207" s="1483">
        <f t="shared" si="438"/>
        <v>27.756</v>
      </c>
      <c r="T207" s="1483">
        <f t="shared" si="439"/>
        <v>27.445999999999998</v>
      </c>
      <c r="U207" s="1483">
        <f t="shared" si="440"/>
        <v>122.86199999999999</v>
      </c>
      <c r="V207" s="1483">
        <f t="shared" si="441"/>
        <v>177.00799999999998</v>
      </c>
      <c r="W207" s="1483">
        <f t="shared" ca="1" si="442"/>
        <v>200.33565094144424</v>
      </c>
      <c r="X207" s="1498">
        <f ca="1">+(W207/IS!W45)*IS!X45</f>
        <v>186.9281431619286</v>
      </c>
      <c r="Y207" s="1498">
        <f ca="1">+(X207/IS!X45)*IS!Y45</f>
        <v>195.77523507630892</v>
      </c>
      <c r="Z207" s="1498">
        <f ca="1">+(Y207/IS!Y45)*IS!Z45</f>
        <v>205.45196530261458</v>
      </c>
      <c r="AA207" s="1498">
        <f ca="1">+(Z207/IS!Z45)*IS!AA45</f>
        <v>193.85475870767942</v>
      </c>
      <c r="AB207" s="1498">
        <f ca="1">+(AA207/IS!AA45)*IS!AB45</f>
        <v>112.37134199592893</v>
      </c>
      <c r="AC207" s="1498">
        <f ca="1">+(AB207/IS!AB45)*IS!AC45</f>
        <v>60.486882865924883</v>
      </c>
      <c r="AD207" s="1498">
        <f ca="1">+(AC207/IS!AC45)*IS!AD45</f>
        <v>60.486882865924883</v>
      </c>
      <c r="CF207" s="2175">
        <v>6.8239999999999998</v>
      </c>
      <c r="CG207" s="2175">
        <v>6.9290000000000003</v>
      </c>
      <c r="CH207" s="2175">
        <v>6.8869999999999996</v>
      </c>
      <c r="CI207" s="2175">
        <v>6.6470000000000002</v>
      </c>
      <c r="CJ207" s="2175">
        <v>6.97</v>
      </c>
      <c r="CK207" s="2175">
        <v>7.1390000000000002</v>
      </c>
      <c r="CL207" s="2175">
        <v>6.8440000000000003</v>
      </c>
      <c r="CM207" s="2175">
        <v>6.8029999999999999</v>
      </c>
      <c r="CN207" s="2175">
        <v>6.2949999999999999</v>
      </c>
      <c r="CO207" s="2175">
        <v>6.45</v>
      </c>
      <c r="CP207" s="2175">
        <v>6.601</v>
      </c>
      <c r="CQ207" s="2175">
        <v>8.1</v>
      </c>
      <c r="CR207" s="2175">
        <v>28.152000000000001</v>
      </c>
      <c r="CS207" s="2175">
        <v>32.302999999999997</v>
      </c>
      <c r="CT207" s="2175">
        <v>32.929000000000002</v>
      </c>
      <c r="CU207" s="2175">
        <v>29.478000000000002</v>
      </c>
      <c r="CV207" s="2175">
        <v>29.016999999999999</v>
      </c>
      <c r="CW207" s="2175">
        <v>50.158000000000001</v>
      </c>
      <c r="CX207" s="2175">
        <v>48.893000000000001</v>
      </c>
      <c r="CY207" s="2175">
        <v>48.94</v>
      </c>
      <c r="CZ207" s="1498">
        <f ca="1">+(CY207/IS!DQ45)*IS!DR45</f>
        <v>49.324226492730531</v>
      </c>
      <c r="DA207" s="1498">
        <f ca="1">+(CZ207/IS!DR45)*IS!DS45</f>
        <v>49.42961138284948</v>
      </c>
      <c r="DB207" s="1498">
        <f ca="1">+(DA207/IS!DS45)*IS!DT45</f>
        <v>50.090917190269749</v>
      </c>
      <c r="DC207" s="1498">
        <f ca="1">+(DB207/IS!DT45)*IS!DU45</f>
        <v>51.490895875594482</v>
      </c>
      <c r="DD207" s="1483"/>
      <c r="DE207" s="1498"/>
      <c r="EV207"/>
      <c r="EW207"/>
      <c r="EX207"/>
      <c r="EY207"/>
      <c r="EZ207"/>
      <c r="FA207"/>
      <c r="FB207" s="961"/>
      <c r="FC207" s="961"/>
      <c r="FD207" s="961"/>
      <c r="FE207" s="961"/>
      <c r="FF207" s="961"/>
      <c r="FG207" s="961"/>
      <c r="FH207" s="961"/>
      <c r="FI207" s="961"/>
      <c r="FJ207" s="961"/>
      <c r="FK207" s="961"/>
      <c r="FL207" s="961"/>
      <c r="FM207" s="961"/>
      <c r="FN207" s="961"/>
      <c r="FO207" s="961"/>
      <c r="FP207" s="961"/>
      <c r="FQ207" s="961"/>
      <c r="FR207" s="961"/>
      <c r="FS207" s="961"/>
      <c r="FT207" s="961"/>
      <c r="FU207" s="961"/>
      <c r="FV207" s="961"/>
      <c r="FW207" s="961"/>
      <c r="FX207" s="961"/>
      <c r="FY207" s="961"/>
      <c r="FZ207" s="961"/>
      <c r="GA207" s="961"/>
      <c r="GB207" s="961"/>
      <c r="GC207" s="961"/>
      <c r="GD207" s="961"/>
      <c r="GE207" s="961"/>
      <c r="GF207" s="961"/>
      <c r="GG207" s="961"/>
      <c r="GH207" s="961"/>
      <c r="GI207" s="961"/>
    </row>
    <row r="208" spans="2:191" s="15" customFormat="1">
      <c r="B208" s="23" t="s">
        <v>1963</v>
      </c>
      <c r="H208" s="883"/>
      <c r="I208" s="883"/>
      <c r="J208" s="883"/>
      <c r="K208" s="883"/>
      <c r="L208" s="883"/>
      <c r="M208" s="1012"/>
      <c r="N208" s="1012"/>
      <c r="O208" s="768"/>
      <c r="P208" s="768"/>
      <c r="Q208" s="768"/>
      <c r="R208" s="1483">
        <f t="shared" si="437"/>
        <v>-1.7229999999999999</v>
      </c>
      <c r="S208" s="1483">
        <f t="shared" si="438"/>
        <v>2.4379999999999997</v>
      </c>
      <c r="T208" s="1483">
        <f t="shared" si="439"/>
        <v>3.3490000000000002</v>
      </c>
      <c r="U208" s="1483">
        <f t="shared" si="440"/>
        <v>6.3029999999999999</v>
      </c>
      <c r="V208" s="1483">
        <f t="shared" si="441"/>
        <v>-13.587999999999999</v>
      </c>
      <c r="W208" s="1483">
        <f t="shared" ca="1" si="442"/>
        <v>5.0391585955911902</v>
      </c>
      <c r="X208" s="1498">
        <f ca="1">+X240*IS!X$15</f>
        <v>5.5005877719846401</v>
      </c>
      <c r="Y208" s="1498">
        <f ca="1">+Y240*IS!Y$15</f>
        <v>5.9373329327160311</v>
      </c>
      <c r="Z208" s="1498">
        <f ca="1">+Z240*IS!Z$15</f>
        <v>6.3492579843878234</v>
      </c>
      <c r="AA208" s="1498">
        <f ca="1">+AA240*IS!AA$15</f>
        <v>6.759652416943756</v>
      </c>
      <c r="AB208" s="1498">
        <f ca="1">+AB240*IS!AB$15</f>
        <v>7.1682294722832021</v>
      </c>
      <c r="AC208" s="1498">
        <f ca="1">+AC240*IS!AC$15</f>
        <v>7.5747608140106237</v>
      </c>
      <c r="AD208" s="1498">
        <f ca="1">+AD240*IS!AD$15</f>
        <v>7.9790579009880247</v>
      </c>
      <c r="CF208" s="2175">
        <v>1.3979999999999999</v>
      </c>
      <c r="CG208" s="2175">
        <v>1.004</v>
      </c>
      <c r="CH208" s="2175">
        <v>-4.367</v>
      </c>
      <c r="CI208" s="2175">
        <v>0.24199999999999999</v>
      </c>
      <c r="CJ208" s="2175">
        <v>-0.38300000000000001</v>
      </c>
      <c r="CK208" s="2175">
        <v>0.36199999999999999</v>
      </c>
      <c r="CL208" s="2175">
        <v>1.327</v>
      </c>
      <c r="CM208" s="2175">
        <v>1.1319999999999999</v>
      </c>
      <c r="CN208" s="2175">
        <v>0.89400000000000002</v>
      </c>
      <c r="CO208" s="2175">
        <v>0.89400000000000002</v>
      </c>
      <c r="CP208" s="2175">
        <v>0.86499999999999999</v>
      </c>
      <c r="CQ208" s="2175">
        <v>0.69599999999999995</v>
      </c>
      <c r="CR208" s="2175">
        <v>1.619</v>
      </c>
      <c r="CS208" s="2175">
        <v>1.6679999999999999</v>
      </c>
      <c r="CT208" s="2175">
        <v>0.54500000000000004</v>
      </c>
      <c r="CU208" s="2175">
        <v>2.4710000000000001</v>
      </c>
      <c r="CV208" s="2175">
        <v>2.0070000000000001</v>
      </c>
      <c r="CW208" s="2175">
        <v>-2.4</v>
      </c>
      <c r="CX208" s="2175">
        <v>-0.69199999999999995</v>
      </c>
      <c r="CY208" s="2175">
        <v>-12.503</v>
      </c>
      <c r="CZ208" s="1498">
        <f ca="1">+CZ240*IS!DR$15</f>
        <v>1.2155685010826094</v>
      </c>
      <c r="DA208" s="1498">
        <f ca="1">+DA240*IS!DS$15</f>
        <v>1.2401100146580661</v>
      </c>
      <c r="DB208" s="1498">
        <f ca="1">+DB240*IS!DT$15</f>
        <v>1.2739358902089877</v>
      </c>
      <c r="DC208" s="1498">
        <f ca="1">+DC240*IS!DU$15</f>
        <v>1.3095441896415267</v>
      </c>
      <c r="DD208" s="1483"/>
      <c r="DE208" s="1498"/>
      <c r="EU208" s="42"/>
      <c r="EV208"/>
      <c r="EW208"/>
      <c r="EX208"/>
      <c r="EY208"/>
      <c r="EZ208"/>
      <c r="FA208"/>
      <c r="FB208" s="961"/>
      <c r="FC208" s="961"/>
      <c r="FD208" s="961"/>
      <c r="FE208" s="961"/>
      <c r="FF208" s="961"/>
      <c r="FG208" s="961"/>
      <c r="FH208" s="961"/>
      <c r="FI208" s="961"/>
      <c r="FJ208" s="961"/>
      <c r="FK208" s="961"/>
      <c r="FL208" s="961"/>
      <c r="FM208" s="961"/>
      <c r="FN208" s="961"/>
      <c r="FO208" s="961"/>
      <c r="FP208" s="961"/>
      <c r="FQ208" s="961"/>
      <c r="FR208" s="961"/>
      <c r="FS208" s="961"/>
      <c r="FT208" s="961"/>
      <c r="FU208" s="961"/>
      <c r="FV208" s="961"/>
      <c r="FW208" s="961"/>
      <c r="FX208" s="961"/>
      <c r="FY208" s="961"/>
      <c r="FZ208" s="961"/>
      <c r="GA208" s="961"/>
      <c r="GB208" s="961"/>
      <c r="GC208" s="961"/>
      <c r="GD208" s="961"/>
      <c r="GE208" s="961"/>
      <c r="GF208" s="961"/>
      <c r="GG208" s="961"/>
      <c r="GH208" s="961"/>
      <c r="GI208" s="961"/>
    </row>
    <row r="209" spans="2:191" s="15" customFormat="1">
      <c r="B209" s="23" t="s">
        <v>858</v>
      </c>
      <c r="H209" s="883"/>
      <c r="I209" s="883"/>
      <c r="J209" s="883"/>
      <c r="K209" s="883"/>
      <c r="L209" s="883"/>
      <c r="M209" s="1012"/>
      <c r="N209" s="1012"/>
      <c r="O209" s="768"/>
      <c r="P209" s="768"/>
      <c r="Q209" s="768"/>
      <c r="R209" s="1483">
        <f t="shared" si="437"/>
        <v>-93.503999999999991</v>
      </c>
      <c r="S209" s="1483">
        <f t="shared" si="438"/>
        <v>-105.36599999999999</v>
      </c>
      <c r="T209" s="1483">
        <f t="shared" si="439"/>
        <v>-120.28100000000001</v>
      </c>
      <c r="U209" s="1483">
        <f t="shared" si="440"/>
        <v>-141.81900000000002</v>
      </c>
      <c r="V209" s="1483">
        <f t="shared" si="441"/>
        <v>-167.995</v>
      </c>
      <c r="W209" s="1483">
        <f t="shared" ca="1" si="442"/>
        <v>-201.5663438236476</v>
      </c>
      <c r="X209" s="2107">
        <f ca="1">-BS!X127</f>
        <v>-220.02351087938561</v>
      </c>
      <c r="Y209" s="2107">
        <f ca="1">-BS!Y127</f>
        <v>-237.49331730864125</v>
      </c>
      <c r="Z209" s="2107">
        <f ca="1">-BS!Z127</f>
        <v>-253.97031937551293</v>
      </c>
      <c r="AA209" s="2107">
        <f ca="1">-BS!AA127</f>
        <v>-270.38609667775023</v>
      </c>
      <c r="AB209" s="2107">
        <f ca="1">-BS!AB127</f>
        <v>-286.7291788913281</v>
      </c>
      <c r="AC209" s="2107">
        <f ca="1">-BS!AC127</f>
        <v>-302.99043256042495</v>
      </c>
      <c r="AD209" s="2107">
        <f ca="1">-BS!AD127</f>
        <v>-319.16231603952099</v>
      </c>
      <c r="CF209" s="2175">
        <v>-14.337999999999999</v>
      </c>
      <c r="CG209" s="2175">
        <v>-19.061</v>
      </c>
      <c r="CH209" s="2175">
        <v>-22.276</v>
      </c>
      <c r="CI209" s="2175">
        <v>-37.829000000000001</v>
      </c>
      <c r="CJ209" s="2175">
        <v>-26.449000000000002</v>
      </c>
      <c r="CK209" s="2175">
        <v>-26.018000000000001</v>
      </c>
      <c r="CL209" s="2175">
        <v>-19.774999999999999</v>
      </c>
      <c r="CM209" s="2175">
        <v>-33.124000000000002</v>
      </c>
      <c r="CN209" s="2175">
        <v>-22.373000000000001</v>
      </c>
      <c r="CO209" s="2175">
        <v>-27.33</v>
      </c>
      <c r="CP209" s="2175">
        <v>-25.91</v>
      </c>
      <c r="CQ209" s="2175">
        <v>-44.667999999999999</v>
      </c>
      <c r="CR209" s="2175">
        <v>-31.815000000000001</v>
      </c>
      <c r="CS209" s="2175">
        <v>-31.928000000000001</v>
      </c>
      <c r="CT209" s="2175">
        <v>-41.6</v>
      </c>
      <c r="CU209" s="2175">
        <v>-36.475999999999999</v>
      </c>
      <c r="CV209" s="2175">
        <v>-22.672000000000001</v>
      </c>
      <c r="CW209" s="2175">
        <v>-37.869</v>
      </c>
      <c r="CX209" s="2175">
        <v>-44.914000000000001</v>
      </c>
      <c r="CY209" s="2175">
        <v>-62.54</v>
      </c>
      <c r="CZ209" s="2107">
        <f ca="1">-BS!CZ127</f>
        <v>-48.622740043304375</v>
      </c>
      <c r="DA209" s="2107">
        <f ca="1">-BS!DA127</f>
        <v>-49.604400586322647</v>
      </c>
      <c r="DB209" s="2107">
        <f ca="1">-BS!DB127</f>
        <v>-50.957435608359511</v>
      </c>
      <c r="DC209" s="2107">
        <f ca="1">-BS!DC127</f>
        <v>-52.381767585661073</v>
      </c>
      <c r="DD209" s="1483"/>
      <c r="DE209" s="1498"/>
      <c r="EU209" s="42"/>
      <c r="EV209"/>
      <c r="EW209"/>
      <c r="EX209"/>
      <c r="EY209"/>
      <c r="EZ209"/>
      <c r="FA209"/>
      <c r="FB209" s="961"/>
      <c r="FC209" s="961"/>
      <c r="FD209" s="961"/>
      <c r="FE209" s="961"/>
      <c r="FF209" s="961"/>
      <c r="FG209" s="961"/>
      <c r="FH209" s="961"/>
      <c r="FI209" s="961"/>
      <c r="FJ209" s="961"/>
      <c r="FK209" s="961"/>
      <c r="FL209" s="961"/>
      <c r="FM209" s="961"/>
      <c r="FN209" s="961"/>
      <c r="FO209" s="961"/>
      <c r="FP209" s="961"/>
      <c r="FQ209" s="961"/>
      <c r="FR209" s="961"/>
      <c r="FS209" s="961"/>
      <c r="FT209" s="961"/>
      <c r="FU209" s="961"/>
      <c r="FV209" s="961"/>
      <c r="FW209" s="961"/>
      <c r="FX209" s="961"/>
      <c r="FY209" s="961"/>
      <c r="FZ209" s="961"/>
      <c r="GA209" s="961"/>
      <c r="GB209" s="961"/>
      <c r="GC209" s="961"/>
      <c r="GD209" s="961"/>
      <c r="GE209" s="961"/>
      <c r="GF209" s="961"/>
      <c r="GG209" s="961"/>
      <c r="GH209" s="961"/>
      <c r="GI209" s="961"/>
    </row>
    <row r="210" spans="2:191" s="15" customFormat="1">
      <c r="B210" s="23" t="s">
        <v>1964</v>
      </c>
      <c r="H210" s="883"/>
      <c r="I210" s="883"/>
      <c r="J210" s="883"/>
      <c r="K210" s="883"/>
      <c r="L210" s="883"/>
      <c r="M210" s="1012"/>
      <c r="N210" s="1012"/>
      <c r="O210" s="768"/>
      <c r="P210" s="768"/>
      <c r="Q210" s="768"/>
      <c r="R210" s="1483">
        <f t="shared" si="437"/>
        <v>108.501</v>
      </c>
      <c r="S210" s="1483">
        <f t="shared" si="438"/>
        <v>156.99</v>
      </c>
      <c r="T210" s="1483">
        <f t="shared" si="439"/>
        <v>0.28899999999999998</v>
      </c>
      <c r="U210" s="1483">
        <f t="shared" si="440"/>
        <v>12.276</v>
      </c>
      <c r="V210" s="1483">
        <f t="shared" si="441"/>
        <v>65.771999999999991</v>
      </c>
      <c r="W210" s="1483">
        <f t="shared" si="442"/>
        <v>0</v>
      </c>
      <c r="X210" s="1498"/>
      <c r="Y210" s="1498"/>
      <c r="Z210" s="1498"/>
      <c r="AA210" s="1498"/>
      <c r="AB210" s="1498"/>
      <c r="AC210" s="1498"/>
      <c r="AD210" s="1498"/>
      <c r="CF210" s="2175"/>
      <c r="CG210" s="2175">
        <v>93.602000000000004</v>
      </c>
      <c r="CH210" s="2175"/>
      <c r="CI210" s="2175">
        <v>14.898999999999999</v>
      </c>
      <c r="CJ210" s="2175"/>
      <c r="CK210" s="2175">
        <v>51.183</v>
      </c>
      <c r="CL210" s="2175"/>
      <c r="CM210" s="2175">
        <v>105.807</v>
      </c>
      <c r="CN210" s="2175"/>
      <c r="CO210" s="2175"/>
      <c r="CP210" s="2175"/>
      <c r="CQ210" s="2175">
        <v>0.28899999999999998</v>
      </c>
      <c r="CR210" s="2175"/>
      <c r="CS210" s="2175">
        <v>0.60499999999999998</v>
      </c>
      <c r="CT210" s="2175">
        <v>9.8940000000000001</v>
      </c>
      <c r="CU210" s="2175">
        <v>1.7769999999999999</v>
      </c>
      <c r="CV210" s="2175">
        <v>3.5030000000000001</v>
      </c>
      <c r="CW210" s="2175">
        <v>16.443999999999999</v>
      </c>
      <c r="CX210" s="2175">
        <v>22.155999999999999</v>
      </c>
      <c r="CY210" s="2175">
        <v>23.669</v>
      </c>
      <c r="CZ210" s="1498"/>
      <c r="DA210" s="1498"/>
      <c r="DB210" s="1498"/>
      <c r="DC210" s="1498"/>
      <c r="DD210" s="1483"/>
      <c r="DE210" s="1498"/>
      <c r="EU210" s="42"/>
      <c r="EV210"/>
      <c r="EW210"/>
      <c r="EX210"/>
      <c r="EY210"/>
      <c r="EZ210"/>
      <c r="FA210"/>
      <c r="FB210" s="961"/>
      <c r="FC210" s="961"/>
      <c r="FD210" s="961"/>
      <c r="FE210" s="961"/>
      <c r="FF210" s="961"/>
      <c r="FG210" s="961"/>
      <c r="FH210" s="961"/>
      <c r="FI210" s="961"/>
      <c r="FJ210" s="961"/>
      <c r="FK210" s="961"/>
      <c r="FL210" s="961"/>
      <c r="FM210" s="961"/>
      <c r="FN210" s="961"/>
      <c r="FO210" s="961"/>
      <c r="FP210" s="961"/>
      <c r="FQ210" s="961"/>
      <c r="FR210" s="961"/>
      <c r="FS210" s="961"/>
      <c r="FT210" s="961"/>
      <c r="FU210" s="961"/>
      <c r="FV210" s="961"/>
      <c r="FW210" s="961"/>
      <c r="FX210" s="961"/>
      <c r="FY210" s="961"/>
      <c r="FZ210" s="961"/>
      <c r="GA210" s="961"/>
      <c r="GB210" s="961"/>
      <c r="GC210" s="961"/>
      <c r="GD210" s="961"/>
      <c r="GE210" s="961"/>
      <c r="GF210" s="961"/>
      <c r="GG210" s="961"/>
      <c r="GH210" s="961"/>
      <c r="GI210" s="961"/>
    </row>
    <row r="211" spans="2:191" s="15" customFormat="1">
      <c r="B211" s="23" t="s">
        <v>1173</v>
      </c>
      <c r="H211" s="883"/>
      <c r="I211" s="883"/>
      <c r="J211" s="883"/>
      <c r="K211" s="883"/>
      <c r="L211" s="883"/>
      <c r="M211" s="1012"/>
      <c r="N211" s="1012"/>
      <c r="O211" s="768"/>
      <c r="P211" s="768"/>
      <c r="Q211" s="768"/>
      <c r="R211" s="1483">
        <f t="shared" si="437"/>
        <v>-4.8369999999999997</v>
      </c>
      <c r="S211" s="1483">
        <f t="shared" si="438"/>
        <v>0</v>
      </c>
      <c r="T211" s="1483">
        <f t="shared" si="439"/>
        <v>0</v>
      </c>
      <c r="U211" s="1483">
        <f t="shared" si="440"/>
        <v>0</v>
      </c>
      <c r="V211" s="1483">
        <f t="shared" si="441"/>
        <v>0</v>
      </c>
      <c r="W211" s="1483">
        <f t="shared" si="442"/>
        <v>0</v>
      </c>
      <c r="X211" s="1498"/>
      <c r="Y211" s="1498"/>
      <c r="Z211" s="1498"/>
      <c r="AA211" s="1498"/>
      <c r="AB211" s="1498"/>
      <c r="AC211" s="1498"/>
      <c r="AD211" s="1498"/>
      <c r="CF211" s="2175"/>
      <c r="CG211" s="2175">
        <v>-4.8369999999999997</v>
      </c>
      <c r="CH211" s="2175"/>
      <c r="CI211" s="2175"/>
      <c r="CJ211" s="2175"/>
      <c r="CK211" s="2175"/>
      <c r="CL211" s="2175"/>
      <c r="CM211" s="2175"/>
      <c r="CN211" s="2175"/>
      <c r="CO211" s="2175"/>
      <c r="CP211" s="2175"/>
      <c r="CQ211" s="2175"/>
      <c r="CR211" s="2175"/>
      <c r="CS211" s="2175"/>
      <c r="CT211" s="2175"/>
      <c r="CU211" s="2175"/>
      <c r="CV211" s="2175"/>
      <c r="CW211" s="2175"/>
      <c r="CX211" s="2175"/>
      <c r="CY211" s="2175"/>
      <c r="CZ211" s="1498"/>
      <c r="DA211" s="1498"/>
      <c r="DB211" s="1498"/>
      <c r="DC211" s="1498"/>
      <c r="DD211" s="1483"/>
      <c r="DE211" s="1498"/>
      <c r="EU211" s="42"/>
      <c r="EV211"/>
      <c r="EW211"/>
      <c r="EX211"/>
      <c r="EY211"/>
      <c r="EZ211"/>
      <c r="FA211"/>
      <c r="FB211" s="961"/>
      <c r="FC211" s="961"/>
      <c r="FD211" s="961"/>
      <c r="FE211" s="961"/>
      <c r="FF211" s="961"/>
      <c r="FG211" s="961"/>
      <c r="FH211" s="961"/>
      <c r="FI211" s="961"/>
      <c r="FJ211" s="961"/>
      <c r="FK211" s="961"/>
      <c r="FL211" s="961"/>
      <c r="FM211" s="961"/>
      <c r="FN211" s="961"/>
      <c r="FO211" s="961"/>
      <c r="FP211" s="961"/>
      <c r="FQ211" s="961"/>
      <c r="FR211" s="961"/>
      <c r="FS211" s="961"/>
      <c r="FT211" s="961"/>
      <c r="FU211" s="961"/>
      <c r="FV211" s="961"/>
      <c r="FW211" s="961"/>
      <c r="FX211" s="961"/>
      <c r="FY211" s="961"/>
      <c r="FZ211" s="961"/>
      <c r="GA211" s="961"/>
      <c r="GB211" s="961"/>
      <c r="GC211" s="961"/>
      <c r="GD211" s="961"/>
      <c r="GE211" s="961"/>
      <c r="GF211" s="961"/>
      <c r="GG211" s="961"/>
      <c r="GH211" s="961"/>
      <c r="GI211" s="961"/>
    </row>
    <row r="212" spans="2:191" s="15" customFormat="1">
      <c r="B212" s="23" t="s">
        <v>1965</v>
      </c>
      <c r="H212" s="883"/>
      <c r="I212" s="883"/>
      <c r="J212" s="883"/>
      <c r="K212" s="883"/>
      <c r="L212" s="883"/>
      <c r="M212" s="1012"/>
      <c r="N212" s="1012"/>
      <c r="O212" s="768"/>
      <c r="P212" s="768"/>
      <c r="Q212" s="768"/>
      <c r="R212" s="1483">
        <f t="shared" si="437"/>
        <v>10.855</v>
      </c>
      <c r="S212" s="1483">
        <f t="shared" si="438"/>
        <v>2.5059999999999998</v>
      </c>
      <c r="T212" s="1483">
        <f t="shared" si="439"/>
        <v>41.722999999999999</v>
      </c>
      <c r="U212" s="1483">
        <f t="shared" si="440"/>
        <v>64.195000000000007</v>
      </c>
      <c r="V212" s="1483">
        <f t="shared" si="441"/>
        <v>38.634999999999998</v>
      </c>
      <c r="W212" s="1483">
        <f t="shared" si="442"/>
        <v>0</v>
      </c>
      <c r="X212" s="1498"/>
      <c r="Y212" s="1498"/>
      <c r="Z212" s="1498"/>
      <c r="AA212" s="1498"/>
      <c r="AB212" s="1498"/>
      <c r="AC212" s="1498"/>
      <c r="AD212" s="1498"/>
      <c r="CF212" s="2175">
        <v>3.6619999999999999</v>
      </c>
      <c r="CG212" s="2175">
        <v>2.5259999999999998</v>
      </c>
      <c r="CH212" s="2175">
        <v>0.438</v>
      </c>
      <c r="CI212" s="2175">
        <v>4.2290000000000001</v>
      </c>
      <c r="CJ212" s="2175">
        <v>0.185</v>
      </c>
      <c r="CK212" s="2175">
        <v>0.67600000000000005</v>
      </c>
      <c r="CL212" s="2175">
        <v>-0.28100000000000003</v>
      </c>
      <c r="CM212" s="2175">
        <v>1.9259999999999999</v>
      </c>
      <c r="CN212" s="2175">
        <v>1.1559999999999999</v>
      </c>
      <c r="CO212" s="2175">
        <v>9.8659999999999997</v>
      </c>
      <c r="CP212" s="2175">
        <v>13.352</v>
      </c>
      <c r="CQ212" s="2175">
        <v>17.349</v>
      </c>
      <c r="CR212" s="2175">
        <v>36.536000000000001</v>
      </c>
      <c r="CS212" s="2175">
        <v>15.593999999999999</v>
      </c>
      <c r="CT212" s="2175">
        <v>12.505000000000001</v>
      </c>
      <c r="CU212" s="2175">
        <v>-0.44</v>
      </c>
      <c r="CV212" s="2175">
        <v>3.0249999999999999</v>
      </c>
      <c r="CW212" s="2175">
        <v>26.402000000000001</v>
      </c>
      <c r="CX212" s="2175">
        <v>2.0830000000000002</v>
      </c>
      <c r="CY212" s="2175">
        <v>7.125</v>
      </c>
      <c r="CZ212" s="2175"/>
      <c r="DA212" s="2175"/>
      <c r="DB212" s="2175"/>
      <c r="DC212" s="2175"/>
      <c r="DD212" s="1483"/>
      <c r="DE212" s="1498"/>
      <c r="EU212" s="42"/>
      <c r="EV212"/>
      <c r="EW212"/>
      <c r="EX212"/>
      <c r="EY212"/>
      <c r="EZ212"/>
      <c r="FA212"/>
      <c r="FB212" s="961"/>
      <c r="FC212" s="961"/>
      <c r="FD212" s="961"/>
      <c r="FE212" s="961"/>
      <c r="FF212" s="961"/>
      <c r="FG212" s="961"/>
      <c r="FH212" s="961"/>
      <c r="FI212" s="961"/>
      <c r="FJ212" s="961"/>
      <c r="FK212" s="961"/>
      <c r="FL212" s="961"/>
      <c r="FM212" s="961"/>
      <c r="FN212" s="961"/>
      <c r="FO212" s="961"/>
      <c r="FP212" s="961"/>
      <c r="FQ212" s="961"/>
      <c r="FR212" s="961"/>
      <c r="FS212" s="961"/>
      <c r="FT212" s="961"/>
      <c r="FU212" s="961"/>
      <c r="FV212" s="961"/>
      <c r="FW212" s="961"/>
      <c r="FX212" s="961"/>
      <c r="FY212" s="961"/>
      <c r="FZ212" s="961"/>
      <c r="GA212" s="961"/>
      <c r="GB212" s="961"/>
      <c r="GC212" s="961"/>
      <c r="GD212" s="961"/>
      <c r="GE212" s="961"/>
      <c r="GF212" s="961"/>
      <c r="GG212" s="961"/>
      <c r="GH212" s="961"/>
      <c r="GI212" s="961"/>
    </row>
    <row r="213" spans="2:191" s="15" customFormat="1">
      <c r="B213" s="23" t="s">
        <v>2591</v>
      </c>
      <c r="H213" s="883"/>
      <c r="I213" s="883"/>
      <c r="J213" s="883"/>
      <c r="K213" s="883"/>
      <c r="L213" s="883"/>
      <c r="M213" s="1012"/>
      <c r="N213" s="1012"/>
      <c r="O213" s="768"/>
      <c r="P213" s="768"/>
      <c r="Q213" s="768"/>
      <c r="R213" s="1483">
        <f t="shared" si="437"/>
        <v>-16.420999999999999</v>
      </c>
      <c r="S213" s="1483">
        <f t="shared" si="438"/>
        <v>315.28899999999999</v>
      </c>
      <c r="T213" s="1483">
        <f t="shared" si="439"/>
        <v>-1.2700000000000005</v>
      </c>
      <c r="U213" s="1483">
        <f t="shared" si="440"/>
        <v>11.378</v>
      </c>
      <c r="V213" s="1483">
        <f t="shared" si="441"/>
        <v>0.37100000000000044</v>
      </c>
      <c r="W213" s="1483">
        <f t="shared" si="442"/>
        <v>0</v>
      </c>
      <c r="X213" s="1498"/>
      <c r="Y213" s="1498"/>
      <c r="Z213" s="1498"/>
      <c r="AA213" s="1498"/>
      <c r="AB213" s="1498"/>
      <c r="AC213" s="1498"/>
      <c r="AD213" s="1498"/>
      <c r="CF213" s="2175">
        <v>1.02</v>
      </c>
      <c r="CG213" s="2175">
        <v>-25.245999999999999</v>
      </c>
      <c r="CH213" s="2175">
        <v>4.5679999999999996</v>
      </c>
      <c r="CI213" s="2175">
        <v>3.2370000000000001</v>
      </c>
      <c r="CJ213" s="2175">
        <v>4.9550000000000001</v>
      </c>
      <c r="CK213" s="2175">
        <v>-7.726</v>
      </c>
      <c r="CL213" s="2175">
        <v>22.24</v>
      </c>
      <c r="CM213" s="2175">
        <v>295.82</v>
      </c>
      <c r="CN213" s="2175">
        <v>-2.4079999999999999</v>
      </c>
      <c r="CO213" s="2175">
        <v>-1.784</v>
      </c>
      <c r="CP213" s="2175">
        <v>0.64300000000000002</v>
      </c>
      <c r="CQ213" s="2175">
        <v>2.2789999999999999</v>
      </c>
      <c r="CR213" s="2175">
        <v>-0.19</v>
      </c>
      <c r="CS213" s="2175">
        <v>1.3009999999999999</v>
      </c>
      <c r="CT213" s="2175">
        <f>7.698+2.501</f>
        <v>10.199</v>
      </c>
      <c r="CU213" s="2175">
        <v>6.8000000000000005E-2</v>
      </c>
      <c r="CV213" s="2175">
        <v>2.8090000000000002</v>
      </c>
      <c r="CW213" s="2175">
        <v>0.67400000000000004</v>
      </c>
      <c r="CX213" s="2175">
        <v>-10.058</v>
      </c>
      <c r="CY213" s="2175">
        <v>6.9459999999999997</v>
      </c>
      <c r="CZ213" s="1498"/>
      <c r="DA213" s="1498"/>
      <c r="DB213" s="1498"/>
      <c r="DC213" s="1498"/>
      <c r="DD213" s="1483"/>
      <c r="DE213" s="1498"/>
      <c r="EU213" s="42"/>
      <c r="EV213"/>
      <c r="EW213"/>
      <c r="EX213"/>
      <c r="EY213"/>
      <c r="EZ213"/>
      <c r="FA213"/>
      <c r="FB213" s="961"/>
      <c r="FC213" s="961"/>
      <c r="FD213" s="961"/>
      <c r="FE213" s="961"/>
      <c r="FF213" s="961"/>
      <c r="FG213" s="961"/>
      <c r="FH213" s="961"/>
      <c r="FI213" s="961"/>
      <c r="FJ213" s="961"/>
      <c r="FK213" s="961"/>
      <c r="FL213" s="961"/>
      <c r="FM213" s="961"/>
      <c r="FN213" s="961"/>
      <c r="FO213" s="961"/>
      <c r="FP213" s="961"/>
      <c r="FQ213" s="961"/>
      <c r="FR213" s="961"/>
      <c r="FS213" s="961"/>
      <c r="FT213" s="961"/>
      <c r="FU213" s="961"/>
      <c r="FV213" s="961"/>
      <c r="FW213" s="961"/>
      <c r="FX213" s="961"/>
      <c r="FY213" s="961"/>
      <c r="FZ213" s="961"/>
      <c r="GA213" s="961"/>
      <c r="GB213" s="961"/>
      <c r="GC213" s="961"/>
      <c r="GD213" s="961"/>
      <c r="GE213" s="961"/>
      <c r="GF213" s="961"/>
      <c r="GG213" s="961"/>
      <c r="GH213" s="961"/>
      <c r="GI213" s="961"/>
    </row>
    <row r="214" spans="2:191" s="15" customFormat="1">
      <c r="B214" s="23" t="s">
        <v>1966</v>
      </c>
      <c r="H214" s="883"/>
      <c r="I214" s="883"/>
      <c r="J214" s="883"/>
      <c r="K214" s="883"/>
      <c r="L214" s="883"/>
      <c r="M214" s="1012"/>
      <c r="N214" s="1012"/>
      <c r="O214" s="768"/>
      <c r="P214" s="768"/>
      <c r="Q214" s="768"/>
      <c r="R214" s="1483">
        <f t="shared" si="437"/>
        <v>-0.185</v>
      </c>
      <c r="S214" s="1483">
        <f t="shared" si="438"/>
        <v>-7.5999999999999998E-2</v>
      </c>
      <c r="T214" s="1483">
        <f t="shared" si="439"/>
        <v>-5.7999999999999996E-2</v>
      </c>
      <c r="U214" s="1483">
        <f t="shared" si="440"/>
        <v>-0.04</v>
      </c>
      <c r="V214" s="1483">
        <f t="shared" si="441"/>
        <v>-1.7000000000000001E-2</v>
      </c>
      <c r="W214" s="1483">
        <f t="shared" si="442"/>
        <v>0</v>
      </c>
      <c r="X214" s="1498"/>
      <c r="Y214" s="1498"/>
      <c r="Z214" s="1498"/>
      <c r="AA214" s="1498"/>
      <c r="AB214" s="1498"/>
      <c r="AC214" s="1498"/>
      <c r="AD214" s="1498"/>
      <c r="CF214" s="2175">
        <v>-0.121</v>
      </c>
      <c r="CG214" s="2175">
        <v>-2.4E-2</v>
      </c>
      <c r="CH214" s="2175">
        <v>-2.3E-2</v>
      </c>
      <c r="CI214" s="2175">
        <v>-1.7000000000000001E-2</v>
      </c>
      <c r="CJ214" s="2175">
        <v>-2.1000000000000001E-2</v>
      </c>
      <c r="CK214" s="2175">
        <v>-1.9E-2</v>
      </c>
      <c r="CL214" s="2175">
        <v>-1.7999999999999999E-2</v>
      </c>
      <c r="CM214" s="2175">
        <v>-1.7999999999999999E-2</v>
      </c>
      <c r="CN214" s="2175">
        <v>-1.7000000000000001E-2</v>
      </c>
      <c r="CO214" s="2175">
        <v>-1.2999999999999999E-2</v>
      </c>
      <c r="CP214" s="2175">
        <v>-1.4E-2</v>
      </c>
      <c r="CQ214" s="2175">
        <v>-1.4E-2</v>
      </c>
      <c r="CR214" s="2175">
        <v>-1.2E-2</v>
      </c>
      <c r="CS214" s="2175">
        <v>-8.9999999999999993E-3</v>
      </c>
      <c r="CT214" s="2175">
        <v>-0.01</v>
      </c>
      <c r="CU214" s="2175">
        <v>-8.9999999999999993E-3</v>
      </c>
      <c r="CV214" s="2175">
        <v>-7.0000000000000001E-3</v>
      </c>
      <c r="CW214" s="2175">
        <v>-5.0000000000000001E-3</v>
      </c>
      <c r="CX214" s="2175">
        <v>-5.0000000000000001E-3</v>
      </c>
      <c r="CY214" s="2175"/>
      <c r="CZ214" s="1498"/>
      <c r="DA214" s="1498"/>
      <c r="DB214" s="1498"/>
      <c r="DC214" s="1498"/>
      <c r="DD214" s="1483"/>
      <c r="DE214" s="1498"/>
      <c r="EU214" s="42"/>
      <c r="EV214"/>
      <c r="EW214"/>
      <c r="EX214"/>
      <c r="EY214"/>
      <c r="EZ214"/>
      <c r="FA214"/>
      <c r="FB214" s="961"/>
      <c r="FC214" s="961"/>
      <c r="FD214" s="961"/>
      <c r="FE214" s="961"/>
      <c r="FF214" s="961"/>
      <c r="FG214" s="961"/>
      <c r="FH214" s="961"/>
      <c r="FI214" s="961"/>
      <c r="FJ214" s="961"/>
      <c r="FK214" s="961"/>
      <c r="FL214" s="961"/>
      <c r="FM214" s="961"/>
      <c r="FN214" s="961"/>
      <c r="FO214" s="961"/>
      <c r="FP214" s="961"/>
      <c r="FQ214" s="961"/>
      <c r="FR214" s="961"/>
      <c r="FS214" s="961"/>
      <c r="FT214" s="961"/>
      <c r="FU214" s="961"/>
      <c r="FV214" s="961"/>
      <c r="FW214" s="961"/>
      <c r="FX214" s="961"/>
      <c r="FY214" s="961"/>
      <c r="FZ214" s="961"/>
      <c r="GA214" s="961"/>
      <c r="GB214" s="961"/>
      <c r="GC214" s="961"/>
      <c r="GD214" s="961"/>
      <c r="GE214" s="961"/>
      <c r="GF214" s="961"/>
      <c r="GG214" s="961"/>
      <c r="GH214" s="961"/>
      <c r="GI214" s="961"/>
    </row>
    <row r="215" spans="2:191" s="15" customFormat="1">
      <c r="B215" s="23" t="s">
        <v>1967</v>
      </c>
      <c r="H215" s="883"/>
      <c r="I215" s="883"/>
      <c r="J215" s="883"/>
      <c r="K215" s="883"/>
      <c r="L215" s="883"/>
      <c r="M215" s="1012"/>
      <c r="N215" s="1012"/>
      <c r="O215" s="768"/>
      <c r="P215" s="768"/>
      <c r="Q215" s="768"/>
      <c r="R215" s="1483">
        <f t="shared" si="437"/>
        <v>-5.8240000000000007</v>
      </c>
      <c r="S215" s="1483">
        <f t="shared" si="438"/>
        <v>-3.1340000000000003</v>
      </c>
      <c r="T215" s="1483">
        <f t="shared" si="439"/>
        <v>0</v>
      </c>
      <c r="U215" s="1483">
        <f t="shared" si="440"/>
        <v>-12.392000000000001</v>
      </c>
      <c r="V215" s="1483">
        <f t="shared" si="441"/>
        <v>0</v>
      </c>
      <c r="W215" s="1483">
        <f t="shared" si="442"/>
        <v>0</v>
      </c>
      <c r="X215" s="1498"/>
      <c r="Y215" s="1498"/>
      <c r="Z215" s="1498"/>
      <c r="AA215" s="1498"/>
      <c r="AB215" s="1498"/>
      <c r="AC215" s="1498"/>
      <c r="AD215" s="1498"/>
      <c r="CF215" s="2175">
        <v>-2.399</v>
      </c>
      <c r="CG215" s="2175">
        <v>-1.498</v>
      </c>
      <c r="CH215" s="2175">
        <v>-0.78300000000000003</v>
      </c>
      <c r="CI215" s="2175">
        <v>-1.1439999999999999</v>
      </c>
      <c r="CJ215" s="2175">
        <v>-0.499</v>
      </c>
      <c r="CK215" s="2175">
        <v>-2.786</v>
      </c>
      <c r="CL215" s="2175">
        <v>0.151</v>
      </c>
      <c r="CM215" s="2175"/>
      <c r="CN215" s="2175"/>
      <c r="CO215" s="2175"/>
      <c r="CP215" s="2175"/>
      <c r="CQ215" s="2175"/>
      <c r="CR215" s="2175">
        <v>-6.2160000000000002</v>
      </c>
      <c r="CS215" s="2175">
        <v>-5.4089999999999998</v>
      </c>
      <c r="CT215" s="2175">
        <v>-2.681</v>
      </c>
      <c r="CU215" s="2175">
        <v>1.9139999999999999</v>
      </c>
      <c r="CV215" s="2175"/>
      <c r="CW215" s="2175"/>
      <c r="CX215" s="2175"/>
      <c r="CY215" s="2175"/>
      <c r="CZ215" s="1498"/>
      <c r="DA215" s="1498"/>
      <c r="DB215" s="1498"/>
      <c r="DC215" s="1498"/>
      <c r="DD215" s="1483"/>
      <c r="DE215" s="1498"/>
      <c r="EU215" s="42"/>
      <c r="EV215"/>
      <c r="EW215"/>
      <c r="EX215"/>
      <c r="EY215"/>
      <c r="EZ215"/>
      <c r="FA215"/>
      <c r="FB215" s="961"/>
      <c r="FC215" s="961"/>
      <c r="FD215" s="961"/>
      <c r="FE215" s="961"/>
      <c r="FF215" s="961"/>
      <c r="FG215" s="961"/>
      <c r="FH215" s="961"/>
      <c r="FI215" s="961"/>
      <c r="FJ215" s="961"/>
      <c r="FK215" s="961"/>
      <c r="FL215" s="961"/>
      <c r="FM215" s="961"/>
      <c r="FN215" s="961"/>
      <c r="FO215" s="961"/>
      <c r="FP215" s="961"/>
      <c r="FQ215" s="961"/>
      <c r="FR215" s="961"/>
      <c r="FS215" s="961"/>
      <c r="FT215" s="961"/>
      <c r="FU215" s="961"/>
      <c r="FV215" s="961"/>
      <c r="FW215" s="961"/>
      <c r="FX215" s="961"/>
      <c r="FY215" s="961"/>
      <c r="FZ215" s="961"/>
      <c r="GA215" s="961"/>
      <c r="GB215" s="961"/>
      <c r="GC215" s="961"/>
      <c r="GD215" s="961"/>
      <c r="GE215" s="961"/>
      <c r="GF215" s="961"/>
      <c r="GG215" s="961"/>
      <c r="GH215" s="961"/>
      <c r="GI215" s="961"/>
    </row>
    <row r="216" spans="2:191" s="15" customFormat="1">
      <c r="B216" s="14" t="s">
        <v>1820</v>
      </c>
      <c r="H216" s="883"/>
      <c r="I216" s="883"/>
      <c r="J216" s="883"/>
      <c r="K216" s="883"/>
      <c r="L216" s="883"/>
      <c r="M216" s="1012"/>
      <c r="N216" s="1012"/>
      <c r="O216" s="768"/>
      <c r="P216" s="768"/>
      <c r="Q216" s="768"/>
      <c r="R216" s="1494">
        <f>+R190+SUM(R202:R215)</f>
        <v>705.48099999999999</v>
      </c>
      <c r="S216" s="1494">
        <f>+S190+SUM(S202:S215)</f>
        <v>776.96699999999998</v>
      </c>
      <c r="T216" s="1494">
        <f t="shared" ref="T216:Z216" si="443">+T184+SUM(T202:T215)</f>
        <v>831.79799999999977</v>
      </c>
      <c r="U216" s="1494">
        <f t="shared" si="443"/>
        <v>1078.3389999999999</v>
      </c>
      <c r="V216" s="1494">
        <f>+V184+SUM(V202:V215)</f>
        <v>1437.0400000000002</v>
      </c>
      <c r="W216" s="1494">
        <f ca="1">+W184+SUM(W202:W215)</f>
        <v>1669.6786377825579</v>
      </c>
      <c r="X216" s="1494">
        <f t="shared" ca="1" si="443"/>
        <v>1859.9222917747643</v>
      </c>
      <c r="Y216" s="1494">
        <f t="shared" ca="1" si="443"/>
        <v>2018.0554250411944</v>
      </c>
      <c r="Z216" s="1494">
        <f t="shared" ca="1" si="443"/>
        <v>2169.24192733467</v>
      </c>
      <c r="AA216" s="1494">
        <f t="shared" ref="AA216:AD216" ca="1" si="444">+AA184+SUM(AA202:AA215)</f>
        <v>2318.1439356517058</v>
      </c>
      <c r="AB216" s="1494">
        <f t="shared" ca="1" si="444"/>
        <v>2421.7830555584405</v>
      </c>
      <c r="AC216" s="1494">
        <f t="shared" ca="1" si="444"/>
        <v>2551.5010370222785</v>
      </c>
      <c r="AD216" s="1494">
        <f t="shared" ca="1" si="444"/>
        <v>2726.3524825286445</v>
      </c>
      <c r="CF216" s="1494">
        <f t="shared" ref="CF216:CN216" si="445">+CF184+SUM(CF202:CF215)</f>
        <v>167.21599999999989</v>
      </c>
      <c r="CG216" s="1494">
        <f t="shared" si="445"/>
        <v>166.215</v>
      </c>
      <c r="CH216" s="1494">
        <f t="shared" si="445"/>
        <v>168.73200000000006</v>
      </c>
      <c r="CI216" s="1494">
        <f t="shared" si="445"/>
        <v>177.339</v>
      </c>
      <c r="CJ216" s="1494">
        <f t="shared" si="445"/>
        <v>172.744</v>
      </c>
      <c r="CK216" s="1494">
        <f t="shared" si="445"/>
        <v>187.59700000000004</v>
      </c>
      <c r="CL216" s="1494">
        <f t="shared" si="445"/>
        <v>206.83199999999999</v>
      </c>
      <c r="CM216" s="1494">
        <f t="shared" si="445"/>
        <v>194.50600000000003</v>
      </c>
      <c r="CN216" s="1494">
        <f t="shared" si="445"/>
        <v>221.75600000000003</v>
      </c>
      <c r="CO216" s="1494">
        <f>+CO184+SUM(CO202:CO215)</f>
        <v>221.38799999999986</v>
      </c>
      <c r="CP216" s="1494">
        <f>+CP184+SUM(CP202:CP215)</f>
        <v>210.36099999999999</v>
      </c>
      <c r="CQ216" s="1494">
        <f>+CQ184+SUM(CQ202:CQ215)</f>
        <v>178.29299999999992</v>
      </c>
      <c r="CR216" s="1494">
        <f t="shared" ref="CR216:CU216" si="446">+CR184+SUM(CR202:CR215)</f>
        <v>209.84600000000003</v>
      </c>
      <c r="CS216" s="1494">
        <f t="shared" si="446"/>
        <v>290.529</v>
      </c>
      <c r="CT216" s="1494">
        <f t="shared" si="446"/>
        <v>284.17899999999992</v>
      </c>
      <c r="CU216" s="1494">
        <f t="shared" si="446"/>
        <v>293.78499999999997</v>
      </c>
      <c r="CV216" s="1494">
        <f>+CV184+SUM(CV202:CV215)</f>
        <v>304.11000000000013</v>
      </c>
      <c r="CW216" s="1494">
        <f>+CW184+SUM(CW202:CW215)</f>
        <v>360.11400000000003</v>
      </c>
      <c r="CX216" s="1494">
        <f>+CX184+SUM(CX202:CX215)</f>
        <v>391.28899999999999</v>
      </c>
      <c r="CY216" s="1494">
        <f>+CY184+SUM(CY202:CY215)</f>
        <v>381.52699999999999</v>
      </c>
      <c r="CZ216" s="1494">
        <f t="shared" ref="CZ216:DC216" ca="1" si="447">+CZ184+SUM(CZ202:CZ215)</f>
        <v>384.19186320841641</v>
      </c>
      <c r="DA216" s="1494">
        <f t="shared" ca="1" si="447"/>
        <v>409.56549923318232</v>
      </c>
      <c r="DB216" s="1494">
        <f t="shared" ca="1" si="447"/>
        <v>428.12872065329623</v>
      </c>
      <c r="DC216" s="1494">
        <f t="shared" ca="1" si="447"/>
        <v>447.79255468766303</v>
      </c>
      <c r="EU216" s="42"/>
      <c r="EV216"/>
      <c r="EW216"/>
      <c r="EX216"/>
      <c r="EY216"/>
      <c r="EZ216"/>
      <c r="FA216"/>
      <c r="FB216" s="961"/>
      <c r="FC216" s="961"/>
      <c r="FD216" s="961"/>
      <c r="FE216" s="961"/>
      <c r="FF216" s="961"/>
      <c r="FG216" s="961"/>
      <c r="FH216" s="961"/>
      <c r="FI216" s="961"/>
      <c r="FJ216" s="961"/>
      <c r="FK216" s="961"/>
      <c r="FL216" s="961"/>
      <c r="FM216" s="961"/>
      <c r="FN216" s="961"/>
      <c r="FO216" s="961"/>
      <c r="FP216" s="961"/>
      <c r="FQ216" s="961"/>
      <c r="FR216" s="961"/>
      <c r="FS216" s="961"/>
      <c r="FT216" s="961"/>
      <c r="FU216" s="961"/>
      <c r="FV216" s="961"/>
      <c r="FW216" s="961"/>
      <c r="FX216" s="961"/>
      <c r="FY216" s="961"/>
      <c r="FZ216" s="961"/>
      <c r="GA216" s="961"/>
      <c r="GB216" s="961"/>
      <c r="GC216" s="961"/>
      <c r="GD216" s="961"/>
      <c r="GE216" s="961"/>
      <c r="GF216" s="961"/>
      <c r="GG216" s="961"/>
      <c r="GH216" s="961"/>
      <c r="GI216" s="961"/>
    </row>
    <row r="217" spans="2:191" s="15" customFormat="1">
      <c r="B217" s="17" t="s">
        <v>1322</v>
      </c>
      <c r="H217" s="883"/>
      <c r="I217" s="883"/>
      <c r="J217" s="883"/>
      <c r="K217" s="883"/>
      <c r="L217" s="883"/>
      <c r="M217" s="1012"/>
      <c r="N217" s="1012"/>
      <c r="O217" s="768"/>
      <c r="P217" s="768"/>
      <c r="Q217" s="768"/>
      <c r="R217" s="1494"/>
      <c r="S217" s="24">
        <f t="shared" ref="S217:Z217" si="448">+S216/R216-1</f>
        <v>0.10132944756839657</v>
      </c>
      <c r="T217" s="24">
        <f t="shared" si="448"/>
        <v>7.0570564773021038E-2</v>
      </c>
      <c r="U217" s="24">
        <f t="shared" si="448"/>
        <v>0.29639527866140614</v>
      </c>
      <c r="V217" s="24">
        <f t="shared" si="448"/>
        <v>0.33264214685734284</v>
      </c>
      <c r="W217" s="24">
        <f t="shared" ca="1" si="448"/>
        <v>0.16188737807058784</v>
      </c>
      <c r="X217" s="24">
        <f t="shared" ca="1" si="448"/>
        <v>0.11394028149324731</v>
      </c>
      <c r="Y217" s="24">
        <f t="shared" ca="1" si="448"/>
        <v>8.5021365659065928E-2</v>
      </c>
      <c r="Z217" s="24">
        <f t="shared" ca="1" si="448"/>
        <v>7.4916922705623668E-2</v>
      </c>
      <c r="AA217" s="24">
        <f t="shared" ref="AA217" ca="1" si="449">+AA216/Z216-1</f>
        <v>6.8642416708214027E-2</v>
      </c>
      <c r="AB217" s="24">
        <f t="shared" ref="AB217" ca="1" si="450">+AB216/AA216-1</f>
        <v>4.4707801924127821E-2</v>
      </c>
      <c r="AC217" s="24">
        <f t="shared" ref="AC217" ca="1" si="451">+AC216/AB216-1</f>
        <v>5.3563006465880969E-2</v>
      </c>
      <c r="AD217" s="24">
        <f t="shared" ref="AD217" ca="1" si="452">+AD216/AC216-1</f>
        <v>6.8528855355836304E-2</v>
      </c>
      <c r="CF217" s="1494"/>
      <c r="CG217" s="1494"/>
      <c r="CH217" s="1494"/>
      <c r="CI217" s="1494"/>
      <c r="CJ217" s="24"/>
      <c r="CK217" s="24"/>
      <c r="CL217" s="24"/>
      <c r="CM217" s="24"/>
      <c r="CN217" s="24">
        <f t="shared" ref="CN217:CY217" si="453">+CN216/CJ216-1</f>
        <v>0.2837262075672673</v>
      </c>
      <c r="CO217" s="24">
        <f t="shared" si="453"/>
        <v>0.18012548175077336</v>
      </c>
      <c r="CP217" s="24">
        <f t="shared" si="453"/>
        <v>1.7062156726231903E-2</v>
      </c>
      <c r="CQ217" s="24">
        <f t="shared" si="453"/>
        <v>-8.3354755123235869E-2</v>
      </c>
      <c r="CR217" s="24">
        <f t="shared" si="453"/>
        <v>-5.3707678709933426E-2</v>
      </c>
      <c r="CS217" s="24">
        <f t="shared" si="453"/>
        <v>0.31230690010298745</v>
      </c>
      <c r="CT217" s="24">
        <f t="shared" si="453"/>
        <v>0.3509110529042927</v>
      </c>
      <c r="CU217" s="24">
        <f t="shared" si="453"/>
        <v>0.64776519549281297</v>
      </c>
      <c r="CV217" s="24">
        <f t="shared" si="453"/>
        <v>0.44920560792200037</v>
      </c>
      <c r="CW217" s="24">
        <f t="shared" si="453"/>
        <v>0.23951137407969614</v>
      </c>
      <c r="CX217" s="24">
        <f t="shared" si="453"/>
        <v>0.37691032764560406</v>
      </c>
      <c r="CY217" s="24">
        <f t="shared" si="453"/>
        <v>0.29866058512177274</v>
      </c>
      <c r="CZ217" s="24">
        <f t="shared" ref="CZ217:DC217" ca="1" si="454">+CZ216/CV216-1</f>
        <v>0.26333189703862492</v>
      </c>
      <c r="DA217" s="24">
        <f t="shared" ca="1" si="454"/>
        <v>0.13732179041409753</v>
      </c>
      <c r="DB217" s="24">
        <f t="shared" ca="1" si="454"/>
        <v>9.4149645538965432E-2</v>
      </c>
      <c r="DC217" s="24">
        <f t="shared" ca="1" si="454"/>
        <v>0.17368509879422178</v>
      </c>
      <c r="EU217" s="42"/>
      <c r="EV217"/>
      <c r="EW217"/>
      <c r="EX217"/>
      <c r="EY217"/>
      <c r="EZ217"/>
      <c r="FA217"/>
      <c r="FB217" s="961"/>
      <c r="FC217" s="961"/>
      <c r="FD217" s="961"/>
      <c r="FE217" s="961"/>
      <c r="FF217" s="961"/>
      <c r="FG217" s="961"/>
      <c r="FH217" s="961"/>
      <c r="FI217" s="961"/>
      <c r="FJ217" s="961"/>
      <c r="FK217" s="961"/>
      <c r="FL217" s="961"/>
      <c r="FM217" s="961"/>
      <c r="FN217" s="961"/>
      <c r="FO217" s="961"/>
      <c r="FP217" s="961"/>
      <c r="FQ217" s="961"/>
      <c r="FR217" s="961"/>
      <c r="FS217" s="961"/>
      <c r="FT217" s="961"/>
      <c r="FU217" s="961"/>
      <c r="FV217" s="961"/>
      <c r="FW217" s="961"/>
      <c r="FX217" s="961"/>
      <c r="FY217" s="961"/>
      <c r="FZ217" s="961"/>
      <c r="GA217" s="961"/>
      <c r="GB217" s="961"/>
      <c r="GC217" s="961"/>
      <c r="GD217" s="961"/>
      <c r="GE217" s="961"/>
      <c r="GF217" s="961"/>
      <c r="GG217" s="961"/>
      <c r="GH217" s="961"/>
      <c r="GI217" s="961"/>
    </row>
    <row r="218" spans="2:191" s="15" customFormat="1">
      <c r="B218" s="17" t="s">
        <v>95</v>
      </c>
      <c r="H218" s="883"/>
      <c r="I218" s="883"/>
      <c r="J218" s="883"/>
      <c r="K218" s="883"/>
      <c r="L218" s="883"/>
      <c r="M218" s="1012"/>
      <c r="N218" s="1012"/>
      <c r="O218" s="768"/>
      <c r="P218" s="768"/>
      <c r="Q218" s="768"/>
      <c r="R218" s="1494"/>
      <c r="S218" s="1494"/>
      <c r="T218" s="1494"/>
      <c r="U218" s="1494"/>
      <c r="V218" s="1494"/>
      <c r="W218" s="1494"/>
      <c r="X218" s="1494"/>
      <c r="Y218" s="1494"/>
      <c r="Z218" s="1494"/>
      <c r="AA218" s="1494"/>
      <c r="AB218" s="1494"/>
      <c r="AC218" s="1494"/>
      <c r="AD218" s="1494"/>
      <c r="CF218" s="1494"/>
      <c r="CG218" s="1494"/>
      <c r="CH218" s="1494"/>
      <c r="CI218" s="1494"/>
      <c r="CJ218" s="24"/>
      <c r="CK218" s="24">
        <f>+CK216/CJ216-1</f>
        <v>8.5982725883388289E-2</v>
      </c>
      <c r="CL218" s="24">
        <f t="shared" ref="CL218:CY218" si="455">+CL216/CK216-1</f>
        <v>0.10253362260590504</v>
      </c>
      <c r="CM218" s="24">
        <f t="shared" si="455"/>
        <v>-5.9594260075810146E-2</v>
      </c>
      <c r="CN218" s="24">
        <f t="shared" si="455"/>
        <v>0.140098505958685</v>
      </c>
      <c r="CO218" s="24">
        <f t="shared" si="455"/>
        <v>-1.6594815923816064E-3</v>
      </c>
      <c r="CP218" s="24">
        <f t="shared" si="455"/>
        <v>-4.9808481037815433E-2</v>
      </c>
      <c r="CQ218" s="24">
        <f t="shared" si="455"/>
        <v>-0.15244270563459994</v>
      </c>
      <c r="CR218" s="24">
        <f t="shared" si="455"/>
        <v>0.17697273588980011</v>
      </c>
      <c r="CS218" s="24">
        <f t="shared" si="455"/>
        <v>0.38448671883190499</v>
      </c>
      <c r="CT218" s="24">
        <f t="shared" si="455"/>
        <v>-2.1856682121234261E-2</v>
      </c>
      <c r="CU218" s="24">
        <f t="shared" si="455"/>
        <v>3.3802638477860913E-2</v>
      </c>
      <c r="CV218" s="24">
        <f t="shared" si="455"/>
        <v>3.5144748710792539E-2</v>
      </c>
      <c r="CW218" s="24">
        <f t="shared" si="455"/>
        <v>0.18415704843642056</v>
      </c>
      <c r="CX218" s="24">
        <f t="shared" si="455"/>
        <v>8.6569808449546315E-2</v>
      </c>
      <c r="CY218" s="24">
        <f t="shared" si="455"/>
        <v>-2.4948311861565209E-2</v>
      </c>
      <c r="CZ218" s="24">
        <f t="shared" ref="CZ218:DC218" ca="1" si="456">+CZ216/CY216-1</f>
        <v>6.9847303294823249E-3</v>
      </c>
      <c r="DA218" s="24">
        <f t="shared" ca="1" si="456"/>
        <v>6.6044178585326296E-2</v>
      </c>
      <c r="DB218" s="24">
        <f t="shared" ca="1" si="456"/>
        <v>4.532418246866321E-2</v>
      </c>
      <c r="DC218" s="24">
        <f t="shared" ca="1" si="456"/>
        <v>4.59297241361456E-2</v>
      </c>
      <c r="EU218" s="42"/>
      <c r="EV218"/>
      <c r="EW218"/>
      <c r="EX218"/>
      <c r="EY218"/>
      <c r="EZ218"/>
      <c r="FA218"/>
      <c r="FB218" s="961"/>
      <c r="FC218" s="961"/>
      <c r="FD218" s="961"/>
      <c r="FE218" s="961"/>
      <c r="FF218" s="961"/>
      <c r="FG218" s="961"/>
      <c r="FH218" s="961"/>
      <c r="FI218" s="961"/>
      <c r="FJ218" s="961"/>
      <c r="FK218" s="961"/>
      <c r="FL218" s="961"/>
      <c r="FM218" s="961"/>
      <c r="FN218" s="961"/>
      <c r="FO218" s="961"/>
      <c r="FP218" s="961"/>
      <c r="FQ218" s="961"/>
      <c r="FR218" s="961"/>
      <c r="FS218" s="961"/>
      <c r="FT218" s="961"/>
      <c r="FU218" s="961"/>
      <c r="FV218" s="961"/>
      <c r="FW218" s="961"/>
      <c r="FX218" s="961"/>
      <c r="FY218" s="961"/>
      <c r="FZ218" s="961"/>
      <c r="GA218" s="961"/>
      <c r="GB218" s="961"/>
      <c r="GC218" s="961"/>
      <c r="GD218" s="961"/>
      <c r="GE218" s="961"/>
      <c r="GF218" s="961"/>
      <c r="GG218" s="961"/>
      <c r="GH218" s="961"/>
      <c r="GI218" s="961"/>
    </row>
    <row r="219" spans="2:191" s="15" customFormat="1">
      <c r="B219" s="23" t="s">
        <v>1968</v>
      </c>
      <c r="H219" s="883"/>
      <c r="I219" s="883"/>
      <c r="J219" s="883"/>
      <c r="K219" s="883"/>
      <c r="L219" s="883"/>
      <c r="M219" s="1012"/>
      <c r="N219" s="1012"/>
      <c r="O219" s="768"/>
      <c r="P219" s="768"/>
      <c r="Q219" s="768"/>
      <c r="R219" s="1483"/>
      <c r="S219" s="1483"/>
      <c r="T219" s="1483"/>
      <c r="U219" s="1483"/>
      <c r="V219" s="1483"/>
      <c r="W219" s="1483"/>
      <c r="X219" s="1483"/>
      <c r="Y219" s="1483"/>
      <c r="Z219" s="1483"/>
      <c r="AA219" s="1483"/>
      <c r="AB219" s="1483"/>
      <c r="AC219" s="1483"/>
      <c r="AD219" s="1483"/>
      <c r="CF219" s="1498"/>
      <c r="CG219" s="1498"/>
      <c r="CH219" s="1498"/>
      <c r="CI219" s="1498"/>
      <c r="CJ219" s="1498"/>
      <c r="CK219" s="1498"/>
      <c r="CL219" s="1498"/>
      <c r="CM219" s="1498"/>
      <c r="CN219" s="1498"/>
      <c r="CO219" s="1498"/>
      <c r="CP219" s="1498"/>
      <c r="CQ219" s="1498"/>
      <c r="CR219" s="1498"/>
      <c r="CS219" s="1498"/>
      <c r="CT219" s="1498"/>
      <c r="CU219" s="1498"/>
      <c r="CV219" s="1498"/>
      <c r="CW219" s="1498"/>
      <c r="CX219" s="1498"/>
      <c r="CY219" s="1498"/>
      <c r="CZ219" s="1498"/>
      <c r="DA219" s="1498"/>
      <c r="DB219" s="1498"/>
      <c r="DC219" s="1498"/>
      <c r="EU219" s="42"/>
      <c r="EV219"/>
      <c r="EW219"/>
      <c r="EX219"/>
      <c r="EY219"/>
      <c r="EZ219"/>
      <c r="FA219"/>
      <c r="FB219" s="961"/>
      <c r="FC219" s="961"/>
      <c r="FD219" s="961"/>
      <c r="FE219" s="961"/>
      <c r="FF219" s="961"/>
      <c r="FG219" s="961"/>
      <c r="FH219" s="961"/>
      <c r="FI219" s="961"/>
      <c r="FJ219" s="961"/>
      <c r="FK219" s="961"/>
      <c r="FL219" s="961"/>
      <c r="FM219" s="961"/>
      <c r="FN219" s="961"/>
      <c r="FO219" s="961"/>
      <c r="FP219" s="961"/>
      <c r="FQ219" s="961"/>
      <c r="FR219" s="961"/>
      <c r="FS219" s="961"/>
      <c r="FT219" s="961"/>
      <c r="FU219" s="961"/>
      <c r="FV219" s="961"/>
      <c r="FW219" s="961"/>
      <c r="FX219" s="961"/>
      <c r="FY219" s="961"/>
      <c r="FZ219" s="961"/>
      <c r="GA219" s="961"/>
      <c r="GB219" s="961"/>
      <c r="GC219" s="961"/>
      <c r="GD219" s="961"/>
      <c r="GE219" s="961"/>
      <c r="GF219" s="961"/>
      <c r="GG219" s="961"/>
      <c r="GH219" s="961"/>
      <c r="GI219" s="961"/>
    </row>
    <row r="220" spans="2:191" s="15" customFormat="1">
      <c r="B220" s="23" t="s">
        <v>1958</v>
      </c>
      <c r="H220" s="883"/>
      <c r="I220" s="883"/>
      <c r="J220" s="883"/>
      <c r="K220" s="883"/>
      <c r="L220" s="883"/>
      <c r="M220" s="1012"/>
      <c r="N220" s="1012"/>
      <c r="O220" s="768"/>
      <c r="P220" s="768"/>
      <c r="Q220" s="768"/>
      <c r="R220" s="1483">
        <f>+SUM(CF220:CI220)</f>
        <v>6.0250000000000004</v>
      </c>
      <c r="S220" s="1483">
        <f>+SUM(CJ220:CM220)</f>
        <v>4.1619999999999999</v>
      </c>
      <c r="T220" s="1483">
        <f>+SUM(CN220:CQ220)</f>
        <v>0</v>
      </c>
      <c r="U220" s="1483">
        <f>SUM(CR220:CU220)</f>
        <v>0</v>
      </c>
      <c r="V220" s="1483">
        <f>SUM(CV220:CY220)</f>
        <v>0</v>
      </c>
      <c r="W220" s="1483">
        <f>SUM(CZ220:DC220)</f>
        <v>0</v>
      </c>
      <c r="X220" s="1483">
        <f t="shared" ref="X220:Z221" si="457">+W220</f>
        <v>0</v>
      </c>
      <c r="Y220" s="1483">
        <f t="shared" si="457"/>
        <v>0</v>
      </c>
      <c r="Z220" s="1483">
        <f t="shared" si="457"/>
        <v>0</v>
      </c>
      <c r="AA220" s="1483">
        <f t="shared" ref="AA220:AA221" si="458">+Z220</f>
        <v>0</v>
      </c>
      <c r="AB220" s="1483">
        <f t="shared" ref="AB220:AB221" si="459">+AA220</f>
        <v>0</v>
      </c>
      <c r="AC220" s="1483">
        <f t="shared" ref="AC220:AC221" si="460">+AB220</f>
        <v>0</v>
      </c>
      <c r="AD220" s="1483">
        <f t="shared" ref="AD220:AD221" si="461">+AC220</f>
        <v>0</v>
      </c>
      <c r="CF220" s="2175">
        <v>1.5169999999999999</v>
      </c>
      <c r="CG220" s="2175">
        <v>1.5069999999999999</v>
      </c>
      <c r="CH220" s="2175">
        <v>1.506</v>
      </c>
      <c r="CI220" s="2175">
        <v>1.4950000000000001</v>
      </c>
      <c r="CJ220" s="2175">
        <v>1.6359999999999999</v>
      </c>
      <c r="CK220" s="2175">
        <v>1.631</v>
      </c>
      <c r="CL220" s="2175">
        <v>0.747</v>
      </c>
      <c r="CM220" s="2175">
        <v>0.14799999999999999</v>
      </c>
      <c r="CN220" s="2175"/>
      <c r="CO220" s="2175"/>
      <c r="CP220" s="2175"/>
      <c r="CQ220" s="2175"/>
      <c r="CR220" s="2175"/>
      <c r="CS220" s="2175"/>
      <c r="CT220" s="2175"/>
      <c r="CU220" s="2175"/>
      <c r="CV220" s="2175"/>
      <c r="CW220" s="2175"/>
      <c r="CX220" s="2175"/>
      <c r="CY220" s="2175"/>
      <c r="CZ220" s="1498"/>
      <c r="DA220" s="1498"/>
      <c r="DB220" s="1498"/>
      <c r="DC220" s="1498"/>
      <c r="EU220" s="42"/>
      <c r="EV220"/>
      <c r="EW220"/>
      <c r="EX220"/>
      <c r="EY220"/>
      <c r="EZ220"/>
      <c r="FA220"/>
      <c r="FB220" s="961"/>
      <c r="FC220" s="961"/>
      <c r="FD220" s="961"/>
      <c r="FE220" s="961"/>
      <c r="FF220" s="961"/>
      <c r="FG220" s="961"/>
      <c r="FH220" s="961"/>
      <c r="FI220" s="961"/>
      <c r="FJ220" s="961"/>
      <c r="FK220" s="961"/>
      <c r="FL220" s="961"/>
      <c r="FM220" s="961"/>
      <c r="FN220" s="961"/>
      <c r="FO220" s="961"/>
      <c r="FP220" s="961"/>
      <c r="FQ220" s="961"/>
      <c r="FR220" s="961"/>
      <c r="FS220" s="961"/>
      <c r="FT220" s="961"/>
      <c r="FU220" s="961"/>
      <c r="FV220" s="961"/>
      <c r="FW220" s="961"/>
      <c r="FX220" s="961"/>
      <c r="FY220" s="961"/>
      <c r="FZ220" s="961"/>
      <c r="GA220" s="961"/>
      <c r="GB220" s="961"/>
      <c r="GC220" s="961"/>
      <c r="GD220" s="961"/>
      <c r="GE220" s="961"/>
      <c r="GF220" s="961"/>
      <c r="GG220" s="961"/>
      <c r="GH220" s="961"/>
      <c r="GI220" s="961"/>
    </row>
    <row r="221" spans="2:191" s="15" customFormat="1">
      <c r="B221" s="23" t="s">
        <v>1957</v>
      </c>
      <c r="H221" s="883"/>
      <c r="I221" s="883"/>
      <c r="J221" s="883"/>
      <c r="K221" s="883"/>
      <c r="L221" s="883"/>
      <c r="M221" s="1012"/>
      <c r="N221" s="1012"/>
      <c r="O221" s="768"/>
      <c r="P221" s="768"/>
      <c r="Q221" s="768"/>
      <c r="R221" s="1483">
        <f>+SUM(CF221:CI221)</f>
        <v>3.125</v>
      </c>
      <c r="S221" s="1483">
        <f>+SUM(CJ221:CM221)</f>
        <v>4.3170000000000002</v>
      </c>
      <c r="T221" s="1483">
        <f>+SUM(CN221:CQ221)</f>
        <v>6.0579999999999998</v>
      </c>
      <c r="U221" s="1483">
        <f>SUM(CR221:CU221)</f>
        <v>1.0620000000000001</v>
      </c>
      <c r="V221" s="1483">
        <f>SUM(CV221:CY221)</f>
        <v>0</v>
      </c>
      <c r="W221" s="1483">
        <f>SUM(CZ221:DC221)</f>
        <v>0</v>
      </c>
      <c r="X221" s="1483">
        <f t="shared" si="457"/>
        <v>0</v>
      </c>
      <c r="Y221" s="1483">
        <f t="shared" si="457"/>
        <v>0</v>
      </c>
      <c r="Z221" s="1483">
        <f t="shared" si="457"/>
        <v>0</v>
      </c>
      <c r="AA221" s="1483">
        <f t="shared" si="458"/>
        <v>0</v>
      </c>
      <c r="AB221" s="1483">
        <f t="shared" si="459"/>
        <v>0</v>
      </c>
      <c r="AC221" s="1483">
        <f t="shared" si="460"/>
        <v>0</v>
      </c>
      <c r="AD221" s="1483">
        <f t="shared" si="461"/>
        <v>0</v>
      </c>
      <c r="CF221" s="2175">
        <v>0.9</v>
      </c>
      <c r="CG221" s="2175">
        <v>0.80900000000000005</v>
      </c>
      <c r="CH221" s="2175">
        <v>0.71799999999999997</v>
      </c>
      <c r="CI221" s="2175">
        <v>0.69799999999999995</v>
      </c>
      <c r="CJ221" s="2175">
        <v>0.99199999999999999</v>
      </c>
      <c r="CK221" s="2175">
        <v>0.64</v>
      </c>
      <c r="CL221" s="2175">
        <v>0.46100000000000002</v>
      </c>
      <c r="CM221" s="2175">
        <v>2.2240000000000002</v>
      </c>
      <c r="CN221" s="2175">
        <v>1.554</v>
      </c>
      <c r="CO221" s="2175">
        <v>1.5569999999999999</v>
      </c>
      <c r="CP221" s="2175">
        <v>1.39</v>
      </c>
      <c r="CQ221" s="2175">
        <v>1.5569999999999999</v>
      </c>
      <c r="CR221" s="2175">
        <v>1.0620000000000001</v>
      </c>
      <c r="CS221" s="2175"/>
      <c r="CT221" s="2175"/>
      <c r="CU221" s="2175"/>
      <c r="CV221" s="2175"/>
      <c r="CW221" s="2175"/>
      <c r="CX221" s="2175"/>
      <c r="CY221" s="2175"/>
      <c r="CZ221" s="1498">
        <f t="shared" ref="CZ221:DC221" si="462">+CY221</f>
        <v>0</v>
      </c>
      <c r="DA221" s="1498">
        <f t="shared" si="462"/>
        <v>0</v>
      </c>
      <c r="DB221" s="1498">
        <f t="shared" si="462"/>
        <v>0</v>
      </c>
      <c r="DC221" s="1498">
        <f t="shared" si="462"/>
        <v>0</v>
      </c>
      <c r="EU221" s="42"/>
      <c r="EV221"/>
      <c r="EW221"/>
      <c r="EX221"/>
      <c r="EY221"/>
      <c r="EZ221"/>
      <c r="FA221"/>
      <c r="FB221" s="961"/>
      <c r="FC221" s="961"/>
      <c r="FD221" s="961"/>
      <c r="FE221" s="961"/>
      <c r="FF221" s="961"/>
      <c r="FG221" s="961"/>
      <c r="FH221" s="961"/>
      <c r="FI221" s="961"/>
      <c r="FJ221" s="961"/>
      <c r="FK221" s="961"/>
      <c r="FL221" s="961"/>
      <c r="FM221" s="961"/>
      <c r="FN221" s="961"/>
      <c r="FO221" s="961"/>
      <c r="FP221" s="961"/>
      <c r="FQ221" s="961"/>
      <c r="FR221" s="961"/>
      <c r="FS221" s="961"/>
      <c r="FT221" s="961"/>
      <c r="FU221" s="961"/>
      <c r="FV221" s="961"/>
      <c r="FW221" s="961"/>
      <c r="FX221" s="961"/>
      <c r="FY221" s="961"/>
      <c r="FZ221" s="961"/>
      <c r="GA221" s="961"/>
      <c r="GB221" s="961"/>
      <c r="GC221" s="961"/>
      <c r="GD221" s="961"/>
      <c r="GE221" s="961"/>
      <c r="GF221" s="961"/>
      <c r="GG221" s="961"/>
      <c r="GH221" s="961"/>
      <c r="GI221" s="961"/>
    </row>
    <row r="222" spans="2:191" s="15" customFormat="1">
      <c r="B222" s="14" t="s">
        <v>1969</v>
      </c>
      <c r="H222" s="883"/>
      <c r="I222" s="883"/>
      <c r="J222" s="883"/>
      <c r="K222" s="883"/>
      <c r="L222" s="883"/>
      <c r="M222" s="1012"/>
      <c r="N222" s="1012"/>
      <c r="O222" s="768"/>
      <c r="P222" s="768"/>
      <c r="Q222" s="768"/>
      <c r="R222" s="1494">
        <f t="shared" ref="R222:Z222" si="463">+R216+R220+R221</f>
        <v>714.63099999999997</v>
      </c>
      <c r="S222" s="1494">
        <f t="shared" si="463"/>
        <v>785.44600000000003</v>
      </c>
      <c r="T222" s="1494">
        <f t="shared" si="463"/>
        <v>837.85599999999977</v>
      </c>
      <c r="U222" s="1494">
        <f>+U216+U220+U221</f>
        <v>1079.4009999999998</v>
      </c>
      <c r="V222" s="1494">
        <f>+V216+V220+V221</f>
        <v>1437.0400000000002</v>
      </c>
      <c r="W222" s="1494">
        <f ca="1">+W216+W220+W221</f>
        <v>1669.6786377825579</v>
      </c>
      <c r="X222" s="1494">
        <f t="shared" ca="1" si="463"/>
        <v>1859.9222917747643</v>
      </c>
      <c r="Y222" s="1494">
        <f t="shared" ca="1" si="463"/>
        <v>2018.0554250411944</v>
      </c>
      <c r="Z222" s="1494">
        <f t="shared" ca="1" si="463"/>
        <v>2169.24192733467</v>
      </c>
      <c r="AA222" s="1494">
        <f t="shared" ref="AA222:AD222" ca="1" si="464">+AA216+AA220+AA221</f>
        <v>2318.1439356517058</v>
      </c>
      <c r="AB222" s="1494">
        <f t="shared" ca="1" si="464"/>
        <v>2421.7830555584405</v>
      </c>
      <c r="AC222" s="1494">
        <f t="shared" ca="1" si="464"/>
        <v>2551.5010370222785</v>
      </c>
      <c r="AD222" s="1494">
        <f t="shared" ca="1" si="464"/>
        <v>2726.3524825286445</v>
      </c>
      <c r="CF222" s="1494">
        <f>+CF216+SUM(CF220:CF221)</f>
        <v>169.6329999999999</v>
      </c>
      <c r="CG222" s="1494">
        <f t="shared" ref="CG222:CN222" si="465">+CG216+SUM(CG220:CG221)</f>
        <v>168.53100000000001</v>
      </c>
      <c r="CH222" s="1494">
        <f t="shared" si="465"/>
        <v>170.95600000000005</v>
      </c>
      <c r="CI222" s="1494">
        <f t="shared" si="465"/>
        <v>179.53200000000001</v>
      </c>
      <c r="CJ222" s="1494">
        <f t="shared" si="465"/>
        <v>175.37200000000001</v>
      </c>
      <c r="CK222" s="1494">
        <f t="shared" si="465"/>
        <v>189.86800000000002</v>
      </c>
      <c r="CL222" s="1494">
        <f t="shared" si="465"/>
        <v>208.04</v>
      </c>
      <c r="CM222" s="1494">
        <f t="shared" si="465"/>
        <v>196.87800000000004</v>
      </c>
      <c r="CN222" s="1494">
        <f t="shared" si="465"/>
        <v>223.31000000000003</v>
      </c>
      <c r="CO222" s="1494">
        <f t="shared" ref="CO222:CU222" si="466">+CO216+SUM(CO220:CO221)</f>
        <v>222.94499999999985</v>
      </c>
      <c r="CP222" s="1494">
        <f t="shared" si="466"/>
        <v>211.75099999999998</v>
      </c>
      <c r="CQ222" s="1494">
        <f t="shared" si="466"/>
        <v>179.84999999999991</v>
      </c>
      <c r="CR222" s="1494">
        <f t="shared" si="466"/>
        <v>210.90800000000004</v>
      </c>
      <c r="CS222" s="1494">
        <f t="shared" si="466"/>
        <v>290.529</v>
      </c>
      <c r="CT222" s="1494">
        <f t="shared" si="466"/>
        <v>284.17899999999992</v>
      </c>
      <c r="CU222" s="1494">
        <f t="shared" si="466"/>
        <v>293.78499999999997</v>
      </c>
      <c r="CV222" s="1494">
        <f>+CV216+SUM(CV220:CV221)</f>
        <v>304.11000000000013</v>
      </c>
      <c r="CW222" s="1494">
        <f>+CW216+SUM(CW220:CW221)</f>
        <v>360.11400000000003</v>
      </c>
      <c r="CX222" s="1494">
        <f>+CX216+SUM(CX220:CX221)</f>
        <v>391.28899999999999</v>
      </c>
      <c r="CY222" s="1494">
        <f>+CY216+SUM(CY220:CY221)</f>
        <v>381.52699999999999</v>
      </c>
      <c r="CZ222" s="1494">
        <f t="shared" ref="CZ222:DC222" ca="1" si="467">+CZ216+SUM(CZ220:CZ221)</f>
        <v>384.19186320841641</v>
      </c>
      <c r="DA222" s="1494">
        <f t="shared" ca="1" si="467"/>
        <v>409.56549923318232</v>
      </c>
      <c r="DB222" s="1494">
        <f t="shared" ca="1" si="467"/>
        <v>428.12872065329623</v>
      </c>
      <c r="DC222" s="1494">
        <f t="shared" ca="1" si="467"/>
        <v>447.79255468766303</v>
      </c>
      <c r="EU222" s="42"/>
      <c r="EV222"/>
      <c r="EW222"/>
      <c r="EX222"/>
      <c r="EY222"/>
      <c r="EZ222"/>
      <c r="FA222"/>
      <c r="FB222" s="961"/>
      <c r="FC222" s="961"/>
      <c r="FD222" s="961"/>
      <c r="FE222" s="961"/>
      <c r="FF222" s="961"/>
      <c r="FG222" s="961"/>
      <c r="FH222" s="961"/>
      <c r="FI222" s="961"/>
      <c r="FJ222" s="961"/>
      <c r="FK222" s="961"/>
      <c r="FL222" s="961"/>
      <c r="FM222" s="961"/>
      <c r="FN222" s="961"/>
      <c r="FO222" s="961"/>
      <c r="FP222" s="961"/>
      <c r="FQ222" s="961"/>
      <c r="FR222" s="961"/>
      <c r="FS222" s="961"/>
      <c r="FT222" s="961"/>
      <c r="FU222" s="961"/>
      <c r="FV222" s="961"/>
      <c r="FW222" s="961"/>
      <c r="FX222" s="961"/>
      <c r="FY222" s="961"/>
      <c r="FZ222" s="961"/>
      <c r="GA222" s="961"/>
      <c r="GB222" s="961"/>
      <c r="GC222" s="961"/>
      <c r="GD222" s="961"/>
      <c r="GE222" s="961"/>
      <c r="GF222" s="961"/>
      <c r="GG222" s="961"/>
      <c r="GH222" s="961"/>
      <c r="GI222" s="961"/>
    </row>
    <row r="223" spans="2:191" s="15" customFormat="1">
      <c r="B223" s="17" t="s">
        <v>1322</v>
      </c>
      <c r="H223" s="883"/>
      <c r="I223" s="883"/>
      <c r="J223" s="883"/>
      <c r="K223" s="883"/>
      <c r="L223" s="883"/>
      <c r="M223" s="1012"/>
      <c r="N223" s="1012"/>
      <c r="O223" s="768"/>
      <c r="P223" s="768"/>
      <c r="Q223" s="768"/>
      <c r="R223" s="1494"/>
      <c r="S223" s="24">
        <f t="shared" ref="S223:Z223" si="468">+S222/R222-1</f>
        <v>9.9093098396235257E-2</v>
      </c>
      <c r="T223" s="24">
        <f t="shared" si="468"/>
        <v>6.672642040318455E-2</v>
      </c>
      <c r="U223" s="24">
        <f t="shared" si="468"/>
        <v>0.28828939579116231</v>
      </c>
      <c r="V223" s="24">
        <f t="shared" si="468"/>
        <v>0.33133098820549578</v>
      </c>
      <c r="W223" s="24">
        <f t="shared" ca="1" si="468"/>
        <v>0.16188737807058784</v>
      </c>
      <c r="X223" s="24">
        <f t="shared" ca="1" si="468"/>
        <v>0.11394028149324731</v>
      </c>
      <c r="Y223" s="24">
        <f t="shared" ca="1" si="468"/>
        <v>8.5021365659065928E-2</v>
      </c>
      <c r="Z223" s="24">
        <f t="shared" ca="1" si="468"/>
        <v>7.4916922705623668E-2</v>
      </c>
      <c r="AA223" s="24">
        <f t="shared" ref="AA223" ca="1" si="469">+AA222/Z222-1</f>
        <v>6.8642416708214027E-2</v>
      </c>
      <c r="AB223" s="24">
        <f t="shared" ref="AB223" ca="1" si="470">+AB222/AA222-1</f>
        <v>4.4707801924127821E-2</v>
      </c>
      <c r="AC223" s="24">
        <f t="shared" ref="AC223" ca="1" si="471">+AC222/AB222-1</f>
        <v>5.3563006465880969E-2</v>
      </c>
      <c r="AD223" s="24">
        <f t="shared" ref="AD223" ca="1" si="472">+AD222/AC222-1</f>
        <v>6.8528855355836304E-2</v>
      </c>
      <c r="CF223" s="1494"/>
      <c r="CG223" s="1494"/>
      <c r="CH223" s="1494"/>
      <c r="CI223" s="1494"/>
      <c r="CJ223" s="24"/>
      <c r="CK223" s="24"/>
      <c r="CL223" s="24"/>
      <c r="CM223" s="24"/>
      <c r="CN223" s="24">
        <f t="shared" ref="CN223:CY223" si="473">+CN222/CJ222-1</f>
        <v>0.27335036379809785</v>
      </c>
      <c r="CO223" s="24">
        <f t="shared" si="473"/>
        <v>0.17421050413971728</v>
      </c>
      <c r="CP223" s="24">
        <f t="shared" si="473"/>
        <v>1.7837915785425817E-2</v>
      </c>
      <c r="CQ223" s="24">
        <f t="shared" si="473"/>
        <v>-8.6490110626886385E-2</v>
      </c>
      <c r="CR223" s="24">
        <f t="shared" si="473"/>
        <v>-5.5537145671935795E-2</v>
      </c>
      <c r="CS223" s="24">
        <f t="shared" si="473"/>
        <v>0.30314203054565114</v>
      </c>
      <c r="CT223" s="24">
        <f t="shared" si="473"/>
        <v>0.34204324891027649</v>
      </c>
      <c r="CU223" s="24">
        <f t="shared" si="473"/>
        <v>0.63350013900472679</v>
      </c>
      <c r="CV223" s="24">
        <f t="shared" si="473"/>
        <v>0.44190832021544968</v>
      </c>
      <c r="CW223" s="24">
        <f t="shared" si="473"/>
        <v>0.23951137407969614</v>
      </c>
      <c r="CX223" s="24">
        <f t="shared" si="473"/>
        <v>0.37691032764560406</v>
      </c>
      <c r="CY223" s="24">
        <f t="shared" si="473"/>
        <v>0.29866058512177274</v>
      </c>
      <c r="CZ223" s="24">
        <f t="shared" ref="CZ223:DC223" ca="1" si="474">+CZ222/CV222-1</f>
        <v>0.26333189703862492</v>
      </c>
      <c r="DA223" s="24">
        <f t="shared" ca="1" si="474"/>
        <v>0.13732179041409753</v>
      </c>
      <c r="DB223" s="24">
        <f t="shared" ca="1" si="474"/>
        <v>9.4149645538965432E-2</v>
      </c>
      <c r="DC223" s="24">
        <f t="shared" ca="1" si="474"/>
        <v>0.17368509879422178</v>
      </c>
      <c r="EU223" s="42"/>
      <c r="EV223"/>
      <c r="EW223"/>
      <c r="EX223"/>
      <c r="EY223"/>
      <c r="EZ223"/>
      <c r="FA223"/>
      <c r="FB223" s="961"/>
      <c r="FC223" s="961"/>
      <c r="FD223" s="961"/>
      <c r="FE223" s="961"/>
      <c r="FF223" s="961"/>
      <c r="FG223" s="961"/>
      <c r="FH223" s="961"/>
      <c r="FI223" s="961"/>
      <c r="FJ223" s="961"/>
      <c r="FK223" s="961"/>
      <c r="FL223" s="961"/>
      <c r="FM223" s="961"/>
      <c r="FN223" s="961"/>
      <c r="FO223" s="961"/>
      <c r="FP223" s="961"/>
      <c r="FQ223" s="961"/>
      <c r="FR223" s="961"/>
      <c r="FS223" s="961"/>
      <c r="FT223" s="961"/>
      <c r="FU223" s="961"/>
      <c r="FV223" s="961"/>
      <c r="FW223" s="961"/>
      <c r="FX223" s="961"/>
      <c r="FY223" s="961"/>
      <c r="FZ223" s="961"/>
      <c r="GA223" s="961"/>
      <c r="GB223" s="961"/>
      <c r="GC223" s="961"/>
      <c r="GD223" s="961"/>
      <c r="GE223" s="961"/>
      <c r="GF223" s="961"/>
      <c r="GG223" s="961"/>
      <c r="GH223" s="961"/>
      <c r="GI223" s="961"/>
    </row>
    <row r="224" spans="2:191" s="15" customFormat="1">
      <c r="B224" s="17" t="s">
        <v>95</v>
      </c>
      <c r="H224" s="883"/>
      <c r="I224" s="883"/>
      <c r="J224" s="883"/>
      <c r="K224" s="883"/>
      <c r="L224" s="883"/>
      <c r="M224" s="1012"/>
      <c r="N224" s="1012"/>
      <c r="O224" s="768"/>
      <c r="P224" s="768"/>
      <c r="Q224" s="768"/>
      <c r="R224" s="1494"/>
      <c r="S224" s="1494"/>
      <c r="T224" s="1494"/>
      <c r="U224" s="1494"/>
      <c r="V224" s="1494"/>
      <c r="W224" s="1494"/>
      <c r="X224" s="1494"/>
      <c r="Y224" s="1494"/>
      <c r="Z224" s="1494"/>
      <c r="AA224" s="1494"/>
      <c r="AB224" s="1494"/>
      <c r="AC224" s="1494"/>
      <c r="AD224" s="1494"/>
      <c r="CF224" s="1494"/>
      <c r="CG224" s="1494"/>
      <c r="CH224" s="1494"/>
      <c r="CI224" s="1494"/>
      <c r="CJ224" s="24"/>
      <c r="CK224" s="24">
        <f>+CK222/CJ222-1</f>
        <v>8.2658577195903638E-2</v>
      </c>
      <c r="CL224" s="24">
        <f t="shared" ref="CL224:CY224" si="475">+CL222/CK222-1</f>
        <v>9.5708597551983354E-2</v>
      </c>
      <c r="CM224" s="24">
        <f t="shared" si="475"/>
        <v>-5.365314362622553E-2</v>
      </c>
      <c r="CN224" s="24">
        <f t="shared" si="475"/>
        <v>0.13425573197614749</v>
      </c>
      <c r="CO224" s="24">
        <f t="shared" si="475"/>
        <v>-1.6344991267752684E-3</v>
      </c>
      <c r="CP224" s="24">
        <f t="shared" si="475"/>
        <v>-5.0209692973602782E-2</v>
      </c>
      <c r="CQ224" s="24">
        <f t="shared" si="475"/>
        <v>-0.15065336173146793</v>
      </c>
      <c r="CR224" s="24">
        <f t="shared" si="475"/>
        <v>0.17268835140394856</v>
      </c>
      <c r="CS224" s="24">
        <f t="shared" si="475"/>
        <v>0.37751531473438615</v>
      </c>
      <c r="CT224" s="24">
        <f t="shared" si="475"/>
        <v>-2.1856682121234261E-2</v>
      </c>
      <c r="CU224" s="24">
        <f t="shared" si="475"/>
        <v>3.3802638477860913E-2</v>
      </c>
      <c r="CV224" s="24">
        <f t="shared" si="475"/>
        <v>3.5144748710792539E-2</v>
      </c>
      <c r="CW224" s="24">
        <f t="shared" si="475"/>
        <v>0.18415704843642056</v>
      </c>
      <c r="CX224" s="24">
        <f t="shared" si="475"/>
        <v>8.6569808449546315E-2</v>
      </c>
      <c r="CY224" s="24">
        <f t="shared" si="475"/>
        <v>-2.4948311861565209E-2</v>
      </c>
      <c r="CZ224" s="24">
        <f t="shared" ref="CZ224:DC224" ca="1" si="476">+CZ222/CY222-1</f>
        <v>6.9847303294823249E-3</v>
      </c>
      <c r="DA224" s="24">
        <f t="shared" ca="1" si="476"/>
        <v>6.6044178585326296E-2</v>
      </c>
      <c r="DB224" s="24">
        <f t="shared" ca="1" si="476"/>
        <v>4.532418246866321E-2</v>
      </c>
      <c r="DC224" s="24">
        <f t="shared" ca="1" si="476"/>
        <v>4.59297241361456E-2</v>
      </c>
      <c r="EU224" s="42"/>
      <c r="EV224"/>
      <c r="EW224"/>
      <c r="EX224"/>
      <c r="EY224"/>
      <c r="EZ224"/>
      <c r="FA224"/>
      <c r="FB224" s="961"/>
      <c r="FC224" s="961"/>
      <c r="FD224" s="961"/>
      <c r="FE224" s="961"/>
      <c r="FF224" s="961"/>
      <c r="FG224" s="961"/>
      <c r="FH224" s="961"/>
      <c r="FI224" s="961"/>
      <c r="FJ224" s="961"/>
      <c r="FK224" s="961"/>
      <c r="FL224" s="961"/>
      <c r="FM224" s="961"/>
      <c r="FN224" s="961"/>
      <c r="FO224" s="961"/>
      <c r="FP224" s="961"/>
      <c r="FQ224" s="961"/>
      <c r="FR224" s="961"/>
      <c r="FS224" s="961"/>
      <c r="FT224" s="961"/>
      <c r="FU224" s="961"/>
      <c r="FV224" s="961"/>
      <c r="FW224" s="961"/>
      <c r="FX224" s="961"/>
      <c r="FY224" s="961"/>
      <c r="FZ224" s="961"/>
      <c r="GA224" s="961"/>
      <c r="GB224" s="961"/>
      <c r="GC224" s="961"/>
      <c r="GD224" s="961"/>
      <c r="GE224" s="961"/>
      <c r="GF224" s="961"/>
      <c r="GG224" s="961"/>
      <c r="GH224" s="961"/>
      <c r="GI224" s="961"/>
    </row>
    <row r="225" spans="1:191" s="15" customFormat="1">
      <c r="B225" s="16"/>
      <c r="H225" s="883"/>
      <c r="I225" s="883"/>
      <c r="J225" s="883"/>
      <c r="K225" s="883"/>
      <c r="L225" s="883"/>
      <c r="M225" s="1012"/>
      <c r="N225" s="1012"/>
      <c r="O225" s="768"/>
      <c r="P225" s="768"/>
      <c r="Q225" s="768"/>
      <c r="R225" s="1483"/>
      <c r="S225" s="1483"/>
      <c r="T225" s="1483"/>
      <c r="U225" s="1483"/>
      <c r="V225" s="1483"/>
      <c r="W225" s="1483"/>
      <c r="X225" s="768"/>
      <c r="Y225" s="768"/>
      <c r="Z225" s="768"/>
      <c r="AA225" s="768"/>
      <c r="AB225" s="768"/>
      <c r="AC225" s="768"/>
      <c r="AD225" s="768"/>
      <c r="CF225" s="1498"/>
      <c r="CG225" s="1498"/>
      <c r="CH225" s="1498"/>
      <c r="CI225" s="1498"/>
      <c r="CJ225" s="1498"/>
      <c r="CK225" s="1498"/>
      <c r="CL225" s="1498"/>
      <c r="CM225" s="1498"/>
      <c r="CN225" s="1498"/>
      <c r="CO225" s="1498"/>
      <c r="CP225" s="1498"/>
      <c r="CQ225" s="1498"/>
      <c r="CR225" s="1498"/>
      <c r="CS225" s="1498"/>
      <c r="CT225" s="1498"/>
      <c r="CU225" s="1498"/>
      <c r="CV225" s="1498"/>
      <c r="CW225" s="1498"/>
      <c r="CX225" s="1498"/>
      <c r="CY225" s="1498"/>
      <c r="CZ225" s="1498"/>
      <c r="DA225" s="1498"/>
      <c r="DB225" s="1498"/>
      <c r="DC225" s="1498"/>
      <c r="EU225" s="42"/>
      <c r="EV225"/>
      <c r="EW225"/>
      <c r="EX225"/>
      <c r="EY225"/>
      <c r="EZ225"/>
      <c r="FA225"/>
      <c r="FB225" s="961"/>
      <c r="FC225" s="961"/>
      <c r="FD225" s="961"/>
      <c r="FE225" s="961"/>
      <c r="FF225" s="961"/>
      <c r="FG225" s="961"/>
      <c r="FH225" s="961"/>
      <c r="FI225" s="961"/>
      <c r="FJ225" s="961"/>
      <c r="FK225" s="961"/>
      <c r="FL225" s="961"/>
      <c r="FM225" s="961"/>
      <c r="FN225" s="961"/>
      <c r="FO225" s="961"/>
      <c r="FP225" s="961"/>
      <c r="FQ225" s="961"/>
      <c r="FR225" s="961"/>
      <c r="FS225" s="961"/>
      <c r="FT225" s="961"/>
      <c r="FU225" s="961"/>
      <c r="FV225" s="961"/>
      <c r="FW225" s="961"/>
      <c r="FX225" s="961"/>
      <c r="FY225" s="961"/>
      <c r="FZ225" s="961"/>
      <c r="GA225" s="961"/>
      <c r="GB225" s="961"/>
      <c r="GC225" s="961"/>
      <c r="GD225" s="961"/>
      <c r="GE225" s="961"/>
      <c r="GF225" s="961"/>
      <c r="GG225" s="961"/>
      <c r="GH225" s="961"/>
      <c r="GI225" s="961"/>
    </row>
    <row r="226" spans="1:191" s="15" customFormat="1">
      <c r="B226" s="14" t="s">
        <v>978</v>
      </c>
      <c r="H226" s="883"/>
      <c r="I226" s="883"/>
      <c r="J226" s="883"/>
      <c r="K226" s="883"/>
      <c r="L226" s="883"/>
      <c r="M226" s="1012"/>
      <c r="N226" s="1012"/>
      <c r="O226" s="768"/>
      <c r="P226" s="768"/>
      <c r="Q226" s="768"/>
      <c r="R226" s="1483"/>
      <c r="S226" s="1483"/>
      <c r="T226" s="1483"/>
      <c r="U226" s="1483"/>
      <c r="V226" s="1483"/>
      <c r="W226" s="1483"/>
      <c r="X226" s="768"/>
      <c r="Y226" s="768"/>
      <c r="Z226" s="768"/>
      <c r="AA226" s="768"/>
      <c r="AB226" s="768"/>
      <c r="AC226" s="768"/>
      <c r="AD226" s="768"/>
      <c r="CF226" s="1498"/>
      <c r="CG226" s="1498"/>
      <c r="CH226" s="1498"/>
      <c r="CI226" s="1498"/>
      <c r="CJ226" s="1498"/>
      <c r="CK226" s="1498"/>
      <c r="CL226" s="1498"/>
      <c r="CM226" s="1498"/>
      <c r="CN226" s="1498"/>
      <c r="CO226" s="1498"/>
      <c r="CP226" s="1498"/>
      <c r="CQ226" s="1498"/>
      <c r="CR226" s="1498"/>
      <c r="CS226" s="1498"/>
      <c r="CT226" s="1498"/>
      <c r="CU226" s="1498"/>
      <c r="CV226" s="1498"/>
      <c r="CW226" s="1498"/>
      <c r="CX226" s="1498"/>
      <c r="CY226" s="1498"/>
      <c r="CZ226" s="1498"/>
      <c r="DA226" s="1498"/>
      <c r="DB226" s="1498"/>
      <c r="DC226" s="1498"/>
      <c r="EU226" s="42"/>
      <c r="EV226"/>
      <c r="EW226"/>
      <c r="EX226"/>
      <c r="EY226"/>
      <c r="EZ226"/>
      <c r="FA226"/>
      <c r="FB226" s="961"/>
      <c r="FC226" s="961"/>
      <c r="FD226" s="961"/>
      <c r="FE226" s="961"/>
      <c r="FF226" s="961"/>
      <c r="FG226" s="961"/>
      <c r="FH226" s="961"/>
      <c r="FI226" s="961"/>
      <c r="FJ226" s="961"/>
      <c r="FK226" s="961"/>
      <c r="FL226" s="961"/>
      <c r="FM226" s="961"/>
      <c r="FN226" s="961"/>
      <c r="FO226" s="961"/>
      <c r="FP226" s="961"/>
      <c r="FQ226" s="961"/>
      <c r="FR226" s="961"/>
      <c r="FS226" s="961"/>
      <c r="FT226" s="961"/>
      <c r="FU226" s="961"/>
      <c r="FV226" s="961"/>
      <c r="FW226" s="961"/>
      <c r="FX226" s="961"/>
      <c r="FY226" s="961"/>
      <c r="FZ226" s="961"/>
      <c r="GA226" s="961"/>
      <c r="GB226" s="961"/>
      <c r="GC226" s="961"/>
      <c r="GD226" s="961"/>
      <c r="GE226" s="961"/>
      <c r="GF226" s="961"/>
      <c r="GG226" s="961"/>
      <c r="GH226" s="961"/>
      <c r="GI226" s="961"/>
    </row>
    <row r="227" spans="1:191" s="15" customFormat="1">
      <c r="B227" s="23" t="s">
        <v>1971</v>
      </c>
      <c r="H227" s="883"/>
      <c r="I227" s="883"/>
      <c r="J227" s="883"/>
      <c r="K227" s="883"/>
      <c r="L227" s="883"/>
      <c r="M227" s="1012"/>
      <c r="N227" s="1012"/>
      <c r="O227" s="768"/>
      <c r="P227" s="768"/>
      <c r="Q227" s="768"/>
      <c r="R227" s="1965">
        <f>+SUM(CF227:CI227)</f>
        <v>13.745132573573343</v>
      </c>
      <c r="S227" s="1965">
        <f>+SUM(CJ227:CM227)</f>
        <v>14.547498885878319</v>
      </c>
      <c r="T227" s="1965">
        <f>+SUM(CN227:CQ227)</f>
        <v>14.439622016902726</v>
      </c>
      <c r="U227" s="1965">
        <f>SUM(CR227:CU227)</f>
        <v>15.353645147725654</v>
      </c>
      <c r="V227" s="1965">
        <f>SUM(CV227:CY227)</f>
        <v>18.670839912969161</v>
      </c>
      <c r="W227" s="1965">
        <f ca="1">SUM(CZ227:DC227)</f>
        <v>20.907988094019711</v>
      </c>
      <c r="X227" s="1965">
        <f ca="1">+X216/IS!X83</f>
        <v>22.647670384269791</v>
      </c>
      <c r="Y227" s="1965">
        <f ca="1">+Y216/IS!Y83</f>
        <v>23.721251499267474</v>
      </c>
      <c r="Z227" s="1965">
        <f ca="1">+Z216/IS!Z83</f>
        <v>24.616567974709014</v>
      </c>
      <c r="AA227" s="1965">
        <f ca="1">+AA216/IS!AA83</f>
        <v>25.398619661954008</v>
      </c>
      <c r="AB227" s="1965">
        <f ca="1">+AB216/IS!AB83</f>
        <v>25.620449001013974</v>
      </c>
      <c r="AC227" s="1965">
        <f ca="1">+AC216/IS!AC83</f>
        <v>26.064978688484654</v>
      </c>
      <c r="AD227" s="1965">
        <f ca="1">+AD216/IS!AD83</f>
        <v>26.895473217067387</v>
      </c>
      <c r="CF227" s="1965">
        <f>+CF216/IS!CX83</f>
        <v>3.4105529380570658</v>
      </c>
      <c r="CG227" s="1965">
        <f>+CG216/IS!CY83</f>
        <v>3.3661070495554792</v>
      </c>
      <c r="CH227" s="1965">
        <f>+CH216/IS!CZ83</f>
        <v>3.4049440016143691</v>
      </c>
      <c r="CI227" s="1965">
        <f>+CI216/IS!DA83</f>
        <v>3.5635285843464279</v>
      </c>
      <c r="CJ227" s="1965">
        <f>+CJ216/IS!DB83</f>
        <v>3.4828823742892858</v>
      </c>
      <c r="CK227" s="1965">
        <f>+CK216/IS!DC83</f>
        <v>3.6545819371931745</v>
      </c>
      <c r="CL227" s="1965">
        <f>+CL216/IS!DD83</f>
        <v>3.892429004271976</v>
      </c>
      <c r="CM227" s="1965">
        <f>+CM216/IS!DE83</f>
        <v>3.5176055701238815</v>
      </c>
      <c r="CN227" s="1965">
        <f>+CN216/IS!DF83</f>
        <v>3.9137325497255611</v>
      </c>
      <c r="CO227" s="1965">
        <f>+CO216/IS!DG83</f>
        <v>3.8884341793273003</v>
      </c>
      <c r="CP227" s="1965">
        <f>+CP216/IS!DH83</f>
        <v>3.6852422830314282</v>
      </c>
      <c r="CQ227" s="1965">
        <f>+CQ216/IS!DI83</f>
        <v>2.9522130048184381</v>
      </c>
      <c r="CR227" s="1965">
        <f>+CR216/IS!DJ83</f>
        <v>3.0799917806610697</v>
      </c>
      <c r="CS227" s="1965">
        <f>+CS216/IS!DK83</f>
        <v>4.1665447661661572</v>
      </c>
      <c r="CT227" s="1965">
        <f>+CT216/IS!DL83</f>
        <v>3.9918387413962626</v>
      </c>
      <c r="CU227" s="1965">
        <f>+CU216/IS!DM83</f>
        <v>4.1152698595021642</v>
      </c>
      <c r="CV227" s="1965">
        <f>+CV216/IS!DN83</f>
        <v>4.1788850260398798</v>
      </c>
      <c r="CW227" s="1965">
        <f>+CW216/IS!DO83</f>
        <v>4.6214083133349595</v>
      </c>
      <c r="CX227" s="1965">
        <f>+CX216/IS!DP83</f>
        <v>5.0129908397924536</v>
      </c>
      <c r="CY227" s="1965">
        <f>+CY216/IS!DQ83</f>
        <v>4.857555733801866</v>
      </c>
      <c r="CZ227" s="1965">
        <f ca="1">+CZ216/IS!DR83</f>
        <v>4.8504119742473453</v>
      </c>
      <c r="DA227" s="1965">
        <f ca="1">+DA216/IS!DS83</f>
        <v>5.1436804050415583</v>
      </c>
      <c r="DB227" s="1965">
        <f ca="1">+DB216/IS!DT83</f>
        <v>5.3487107351649419</v>
      </c>
      <c r="DC227" s="1965">
        <f ca="1">+DC216/IS!DU83</f>
        <v>5.5651849795658643</v>
      </c>
      <c r="EU227" s="42"/>
      <c r="EV227"/>
      <c r="EW227"/>
      <c r="EX227"/>
      <c r="EY227"/>
      <c r="EZ227"/>
      <c r="FA227"/>
      <c r="FB227" s="961"/>
      <c r="FC227" s="961"/>
      <c r="FD227" s="961"/>
      <c r="FE227" s="961"/>
      <c r="FF227" s="961"/>
      <c r="FG227" s="961"/>
      <c r="FH227" s="961"/>
      <c r="FI227" s="961"/>
      <c r="FJ227" s="961"/>
      <c r="FK227" s="961"/>
      <c r="FL227" s="961"/>
      <c r="FM227" s="961"/>
      <c r="FN227" s="961"/>
      <c r="FO227" s="961"/>
      <c r="FP227" s="961"/>
      <c r="FQ227" s="961"/>
      <c r="FR227" s="961"/>
      <c r="FS227" s="961"/>
      <c r="FT227" s="961"/>
      <c r="FU227" s="961"/>
      <c r="FV227" s="961"/>
      <c r="FW227" s="961"/>
      <c r="FX227" s="961"/>
      <c r="FY227" s="961"/>
      <c r="FZ227" s="961"/>
      <c r="GA227" s="961"/>
      <c r="GB227" s="961"/>
      <c r="GC227" s="961"/>
      <c r="GD227" s="961"/>
      <c r="GE227" s="961"/>
      <c r="GF227" s="961"/>
      <c r="GG227" s="961"/>
      <c r="GH227" s="961"/>
      <c r="GI227" s="961"/>
    </row>
    <row r="228" spans="1:191" s="15" customFormat="1">
      <c r="B228" s="17" t="s">
        <v>1322</v>
      </c>
      <c r="H228" s="883"/>
      <c r="I228" s="883"/>
      <c r="J228" s="883"/>
      <c r="K228" s="883"/>
      <c r="L228" s="883"/>
      <c r="M228" s="1012"/>
      <c r="N228" s="1012"/>
      <c r="O228" s="768"/>
      <c r="P228" s="768"/>
      <c r="Q228" s="768"/>
      <c r="R228" s="1494"/>
      <c r="S228" s="24">
        <f t="shared" ref="S228:X228" si="477">+S227/R227-1</f>
        <v>5.8374577910410341E-2</v>
      </c>
      <c r="T228" s="24">
        <f t="shared" si="477"/>
        <v>-7.4154925064343624E-3</v>
      </c>
      <c r="U228" s="24">
        <f t="shared" si="477"/>
        <v>6.3299657688614674E-2</v>
      </c>
      <c r="V228" s="24">
        <f t="shared" si="477"/>
        <v>0.21605258772929803</v>
      </c>
      <c r="W228" s="24">
        <f t="shared" ca="1" si="477"/>
        <v>0.11982043611742288</v>
      </c>
      <c r="X228" s="24">
        <f t="shared" ca="1" si="477"/>
        <v>8.3206585082554074E-2</v>
      </c>
      <c r="Y228" s="24">
        <f t="shared" ref="Y228" ca="1" si="478">+Y227/X227-1</f>
        <v>4.7403600316584971E-2</v>
      </c>
      <c r="Z228" s="24">
        <f t="shared" ref="Z228" ca="1" si="479">+Z227/Y227-1</f>
        <v>3.7743222589633918E-2</v>
      </c>
      <c r="AA228" s="24">
        <f t="shared" ref="AA228" ca="1" si="480">+AA227/Z227-1</f>
        <v>3.1769322516789211E-2</v>
      </c>
      <c r="AB228" s="24">
        <f t="shared" ref="AB228" ca="1" si="481">+AB227/AA227-1</f>
        <v>8.7339131815993287E-3</v>
      </c>
      <c r="AC228" s="24">
        <f t="shared" ref="AC228" ca="1" si="482">+AC227/AB227-1</f>
        <v>1.7350581461436754E-2</v>
      </c>
      <c r="AD228" s="24">
        <f t="shared" ref="AD228" ca="1" si="483">+AD227/AC227-1</f>
        <v>3.1862467202002476E-2</v>
      </c>
      <c r="CF228" s="1494"/>
      <c r="CG228" s="1494"/>
      <c r="CH228" s="1494"/>
      <c r="CI228" s="1494"/>
      <c r="CJ228" s="24"/>
      <c r="CK228" s="24"/>
      <c r="CL228" s="24"/>
      <c r="CM228" s="24"/>
      <c r="CN228" s="24">
        <f t="shared" ref="CN228:CY228" si="484">+CN227/CJ227-1</f>
        <v>0.12370506067526743</v>
      </c>
      <c r="CO228" s="24">
        <f t="shared" si="484"/>
        <v>6.3988780701338177E-2</v>
      </c>
      <c r="CP228" s="24">
        <f t="shared" si="484"/>
        <v>-5.3228131075263918E-2</v>
      </c>
      <c r="CQ228" s="24">
        <f t="shared" si="484"/>
        <v>-0.16073222367723616</v>
      </c>
      <c r="CR228" s="24">
        <f t="shared" si="484"/>
        <v>-0.21302957176339377</v>
      </c>
      <c r="CS228" s="24">
        <f t="shared" si="484"/>
        <v>7.1522513693923484E-2</v>
      </c>
      <c r="CT228" s="24">
        <f t="shared" si="484"/>
        <v>8.3195739877550912E-2</v>
      </c>
      <c r="CU228" s="24">
        <f t="shared" si="484"/>
        <v>0.39396102272615474</v>
      </c>
      <c r="CV228" s="24">
        <f t="shared" si="484"/>
        <v>0.35678447334783159</v>
      </c>
      <c r="CW228" s="24">
        <f t="shared" si="484"/>
        <v>0.10917044522417174</v>
      </c>
      <c r="CX228" s="24">
        <f t="shared" si="484"/>
        <v>0.25580995740299195</v>
      </c>
      <c r="CY228" s="24">
        <f t="shared" si="484"/>
        <v>0.18037355984948666</v>
      </c>
      <c r="CZ228" s="24">
        <f t="shared" ref="CZ228:DC228" ca="1" si="485">+CZ227/CV227-1</f>
        <v>0.16069524383250089</v>
      </c>
      <c r="DA228" s="24">
        <f t="shared" ca="1" si="485"/>
        <v>0.1130114580439896</v>
      </c>
      <c r="DB228" s="24">
        <f t="shared" ca="1" si="485"/>
        <v>6.6969979818751746E-2</v>
      </c>
      <c r="DC228" s="24">
        <f t="shared" ca="1" si="485"/>
        <v>0.1456759910833092</v>
      </c>
      <c r="EU228" s="42"/>
      <c r="EV228"/>
      <c r="EW228"/>
      <c r="EX228"/>
      <c r="EY228"/>
      <c r="EZ228"/>
      <c r="FA228"/>
      <c r="FB228" s="961"/>
      <c r="FC228" s="961"/>
      <c r="FD228" s="961"/>
      <c r="FE228" s="961"/>
      <c r="FF228" s="961"/>
      <c r="FG228" s="961"/>
      <c r="FH228" s="961"/>
      <c r="FI228" s="961"/>
      <c r="FJ228" s="961"/>
      <c r="FK228" s="961"/>
      <c r="FL228" s="961"/>
      <c r="FM228" s="961"/>
      <c r="FN228" s="961"/>
      <c r="FO228" s="961"/>
      <c r="FP228" s="961"/>
      <c r="FQ228" s="961"/>
      <c r="FR228" s="961"/>
      <c r="FS228" s="961"/>
      <c r="FT228" s="961"/>
      <c r="FU228" s="961"/>
      <c r="FV228" s="961"/>
      <c r="FW228" s="961"/>
      <c r="FX228" s="961"/>
      <c r="FY228" s="961"/>
      <c r="FZ228" s="961"/>
      <c r="GA228" s="961"/>
      <c r="GB228" s="961"/>
      <c r="GC228" s="961"/>
      <c r="GD228" s="961"/>
      <c r="GE228" s="961"/>
      <c r="GF228" s="961"/>
      <c r="GG228" s="961"/>
      <c r="GH228" s="961"/>
      <c r="GI228" s="961"/>
    </row>
    <row r="229" spans="1:191" s="15" customFormat="1">
      <c r="B229" s="17" t="s">
        <v>95</v>
      </c>
      <c r="H229" s="883"/>
      <c r="I229" s="883"/>
      <c r="J229" s="883"/>
      <c r="K229" s="883"/>
      <c r="L229" s="883"/>
      <c r="M229" s="1012"/>
      <c r="N229" s="1012"/>
      <c r="O229" s="768"/>
      <c r="P229" s="768"/>
      <c r="Q229" s="768"/>
      <c r="R229" s="1494"/>
      <c r="S229" s="1494"/>
      <c r="T229" s="1494"/>
      <c r="U229" s="1494"/>
      <c r="V229" s="1494"/>
      <c r="W229" s="1494"/>
      <c r="X229" s="1494"/>
      <c r="Y229" s="1494"/>
      <c r="Z229" s="1494"/>
      <c r="AA229" s="1494"/>
      <c r="AB229" s="1494"/>
      <c r="AC229" s="1494"/>
      <c r="AD229" s="1494"/>
      <c r="CF229" s="1494"/>
      <c r="CG229" s="1494"/>
      <c r="CH229" s="1494"/>
      <c r="CI229" s="1494"/>
      <c r="CJ229" s="24"/>
      <c r="CK229" s="24">
        <f t="shared" ref="CK229:CY229" si="486">+CK227/CJ227-1</f>
        <v>4.929812277651946E-2</v>
      </c>
      <c r="CL229" s="24">
        <f t="shared" si="486"/>
        <v>6.508188109238966E-2</v>
      </c>
      <c r="CM229" s="24">
        <f t="shared" si="486"/>
        <v>-9.6295509497211773E-2</v>
      </c>
      <c r="CN229" s="24">
        <f t="shared" si="486"/>
        <v>0.11261267692037702</v>
      </c>
      <c r="CO229" s="24">
        <f t="shared" si="486"/>
        <v>-6.4640008168250773E-3</v>
      </c>
      <c r="CP229" s="24">
        <f t="shared" si="486"/>
        <v>-5.2255454747346275E-2</v>
      </c>
      <c r="CQ229" s="24">
        <f t="shared" si="486"/>
        <v>-0.19890938557505389</v>
      </c>
      <c r="CR229" s="24">
        <f t="shared" si="486"/>
        <v>4.3282370084434252E-2</v>
      </c>
      <c r="CS229" s="24">
        <f t="shared" si="486"/>
        <v>0.35277788477470451</v>
      </c>
      <c r="CT229" s="24">
        <f t="shared" si="486"/>
        <v>-4.1930672673571201E-2</v>
      </c>
      <c r="CU229" s="24">
        <f t="shared" si="486"/>
        <v>3.0920867826120579E-2</v>
      </c>
      <c r="CV229" s="24">
        <f t="shared" si="486"/>
        <v>1.5458321983630841E-2</v>
      </c>
      <c r="CW229" s="24">
        <f t="shared" si="486"/>
        <v>0.10589506161035422</v>
      </c>
      <c r="CX229" s="24">
        <f t="shared" si="486"/>
        <v>8.4732293687963534E-2</v>
      </c>
      <c r="CY229" s="24">
        <f t="shared" si="486"/>
        <v>-3.1006461204110769E-2</v>
      </c>
      <c r="CZ229" s="24">
        <f t="shared" ref="CZ229:DC229" ca="1" si="487">+CZ227/CY227-1</f>
        <v>-1.4706490148553852E-3</v>
      </c>
      <c r="DA229" s="24">
        <f t="shared" ca="1" si="487"/>
        <v>6.0462581807748439E-2</v>
      </c>
      <c r="DB229" s="24">
        <f t="shared" ca="1" si="487"/>
        <v>3.9860627795308634E-2</v>
      </c>
      <c r="DC229" s="24">
        <f t="shared" ca="1" si="487"/>
        <v>4.0472228751822215E-2</v>
      </c>
      <c r="EU229" s="42"/>
      <c r="EV229"/>
      <c r="EW229"/>
      <c r="EX229"/>
      <c r="EY229"/>
      <c r="EZ229"/>
      <c r="FA229"/>
      <c r="FB229" s="961"/>
      <c r="FC229" s="961"/>
      <c r="FD229" s="961"/>
      <c r="FE229" s="961"/>
      <c r="FF229" s="961"/>
      <c r="FG229" s="961"/>
      <c r="FH229" s="961"/>
      <c r="FI229" s="961"/>
      <c r="FJ229" s="961"/>
      <c r="FK229" s="961"/>
      <c r="FL229" s="961"/>
      <c r="FM229" s="961"/>
      <c r="FN229" s="961"/>
      <c r="FO229" s="961"/>
      <c r="FP229" s="961"/>
      <c r="FQ229" s="961"/>
      <c r="FR229" s="961"/>
      <c r="FS229" s="961"/>
      <c r="FT229" s="961"/>
      <c r="FU229" s="961"/>
      <c r="FV229" s="961"/>
      <c r="FW229" s="961"/>
      <c r="FX229" s="961"/>
      <c r="FY229" s="961"/>
      <c r="FZ229" s="961"/>
      <c r="GA229" s="961"/>
      <c r="GB229" s="961"/>
      <c r="GC229" s="961"/>
      <c r="GD229" s="961"/>
      <c r="GE229" s="961"/>
      <c r="GF229" s="961"/>
      <c r="GG229" s="961"/>
      <c r="GH229" s="961"/>
      <c r="GI229" s="961"/>
    </row>
    <row r="230" spans="1:191" s="15" customFormat="1">
      <c r="B230" s="23" t="s">
        <v>1972</v>
      </c>
      <c r="H230" s="883"/>
      <c r="I230" s="883"/>
      <c r="J230" s="883"/>
      <c r="K230" s="883"/>
      <c r="L230" s="883"/>
      <c r="M230" s="1012"/>
      <c r="N230" s="1012"/>
      <c r="O230" s="768"/>
      <c r="P230" s="768"/>
      <c r="Q230" s="768"/>
      <c r="R230" s="1965">
        <f>+SUM(CF230:CI230)</f>
        <v>11.878728308579623</v>
      </c>
      <c r="S230" s="1965">
        <f>+SUM(CJ230:CM230)</f>
        <v>13.363464359455008</v>
      </c>
      <c r="T230" s="1965">
        <f>+SUM(CN230:CQ230)</f>
        <v>14.086124608854066</v>
      </c>
      <c r="U230" s="1965">
        <f>SUM(CR230:CU230)</f>
        <v>15.147327029478735</v>
      </c>
      <c r="V230" s="1965">
        <f>SUM(CV230:CY230)</f>
        <v>18.52437296016717</v>
      </c>
      <c r="W230" s="1965">
        <f ca="1">SUM(CZ230:DC230)</f>
        <v>20.853352087123966</v>
      </c>
      <c r="X230" s="1965">
        <f ca="1">+X222/X234</f>
        <v>22.423411461303711</v>
      </c>
      <c r="Y230" s="1965">
        <f ca="1">+Y222/Y234</f>
        <v>23.481292304580609</v>
      </c>
      <c r="Z230" s="1965">
        <f ca="1">+Z222/Z234</f>
        <v>24.362412664252599</v>
      </c>
      <c r="AA230" s="1965">
        <f t="shared" ref="AA230:AD230" ca="1" si="488">+AA222/AA234</f>
        <v>25.131214337865295</v>
      </c>
      <c r="AB230" s="1965">
        <f t="shared" ca="1" si="488"/>
        <v>25.345616087181163</v>
      </c>
      <c r="AC230" s="1965">
        <f t="shared" ca="1" si="488"/>
        <v>25.780328112168828</v>
      </c>
      <c r="AD230" s="1965">
        <f t="shared" ca="1" si="488"/>
        <v>26.596678232430268</v>
      </c>
      <c r="CF230" s="1965">
        <f>+CF222/CF234</f>
        <v>2.9291511258461096</v>
      </c>
      <c r="CG230" s="1965">
        <f t="shared" ref="CG230:CN230" si="489">+CG222/CG234</f>
        <v>2.9036543133302324</v>
      </c>
      <c r="CH230" s="1965">
        <f t="shared" si="489"/>
        <v>2.9468567390067752</v>
      </c>
      <c r="CI230" s="1965">
        <f t="shared" si="489"/>
        <v>3.0990661303965066</v>
      </c>
      <c r="CJ230" s="1965">
        <f t="shared" si="489"/>
        <v>3.033173060292643</v>
      </c>
      <c r="CK230" s="1965">
        <f t="shared" si="489"/>
        <v>3.2933462846041772</v>
      </c>
      <c r="CL230" s="1965">
        <f t="shared" si="489"/>
        <v>3.6427308224335069</v>
      </c>
      <c r="CM230" s="1965">
        <f t="shared" si="489"/>
        <v>3.3942141921246818</v>
      </c>
      <c r="CN230" s="1965">
        <f t="shared" si="489"/>
        <v>3.7741046831955929</v>
      </c>
      <c r="CO230" s="1965">
        <f>+CO222/CO234</f>
        <v>3.7497477125941847</v>
      </c>
      <c r="CP230" s="1965">
        <f>+CP222/CP234</f>
        <v>3.7095932167758656</v>
      </c>
      <c r="CQ230" s="1965">
        <f>+CQ222/CQ234</f>
        <v>2.8526789962884229</v>
      </c>
      <c r="CR230" s="1965">
        <f t="shared" ref="CR230:CU230" si="490">+CR222/CR234</f>
        <v>2.9837308660838078</v>
      </c>
      <c r="CS230" s="1965">
        <f t="shared" si="490"/>
        <v>4.1289437780683302</v>
      </c>
      <c r="CT230" s="1965">
        <f t="shared" si="490"/>
        <v>3.9519803081715512</v>
      </c>
      <c r="CU230" s="1965">
        <f t="shared" si="490"/>
        <v>4.0826720771550464</v>
      </c>
      <c r="CV230" s="1965">
        <f>+CV222/CV234</f>
        <v>4.1450515899518869</v>
      </c>
      <c r="CW230" s="1965">
        <f>+CW222/CW234</f>
        <v>4.586972028328324</v>
      </c>
      <c r="CX230" s="1965">
        <f>+CX222/CX234</f>
        <v>4.9707059286830377</v>
      </c>
      <c r="CY230" s="1965">
        <f>+CY222/CY234</f>
        <v>4.8216434132039225</v>
      </c>
      <c r="CZ230" s="1965">
        <f t="shared" ref="CZ230:DC230" ca="1" si="491">+CZ222/CZ234</f>
        <v>4.8377027597145004</v>
      </c>
      <c r="DA230" s="1965">
        <f t="shared" ca="1" si="491"/>
        <v>5.1302266939939587</v>
      </c>
      <c r="DB230" s="1965">
        <f t="shared" ca="1" si="491"/>
        <v>5.334744761295136</v>
      </c>
      <c r="DC230" s="1965">
        <f t="shared" ca="1" si="491"/>
        <v>5.5506778721203718</v>
      </c>
      <c r="EU230" s="42"/>
      <c r="EV230"/>
      <c r="EW230"/>
      <c r="EX230"/>
      <c r="EY230"/>
      <c r="EZ230"/>
      <c r="FA230"/>
      <c r="FB230" s="961"/>
      <c r="FC230" s="961"/>
      <c r="FD230" s="961"/>
      <c r="FE230" s="961"/>
      <c r="FF230" s="961"/>
      <c r="FG230" s="961"/>
      <c r="FH230" s="961"/>
      <c r="FI230" s="961"/>
      <c r="FJ230" s="961"/>
      <c r="FK230" s="961"/>
      <c r="FL230" s="961"/>
      <c r="FM230" s="961"/>
      <c r="FN230" s="961"/>
      <c r="FO230" s="961"/>
      <c r="FP230" s="961"/>
      <c r="FQ230" s="961"/>
      <c r="FR230" s="961"/>
      <c r="FS230" s="961"/>
      <c r="FT230" s="961"/>
      <c r="FU230" s="961"/>
      <c r="FV230" s="961"/>
      <c r="FW230" s="961"/>
      <c r="FX230" s="961"/>
      <c r="FY230" s="961"/>
      <c r="FZ230" s="961"/>
      <c r="GA230" s="961"/>
      <c r="GB230" s="961"/>
      <c r="GC230" s="961"/>
      <c r="GD230" s="961"/>
      <c r="GE230" s="961"/>
      <c r="GF230" s="961"/>
      <c r="GG230" s="961"/>
      <c r="GH230" s="961"/>
      <c r="GI230" s="961"/>
    </row>
    <row r="231" spans="1:191" s="15" customFormat="1">
      <c r="B231" s="17" t="s">
        <v>1322</v>
      </c>
      <c r="H231" s="883"/>
      <c r="I231" s="883"/>
      <c r="J231" s="883"/>
      <c r="K231" s="883"/>
      <c r="L231" s="883"/>
      <c r="M231" s="1012"/>
      <c r="N231" s="1012"/>
      <c r="O231" s="768"/>
      <c r="P231" s="768"/>
      <c r="Q231" s="768"/>
      <c r="R231" s="1494"/>
      <c r="S231" s="24">
        <f t="shared" ref="S231:Z231" si="492">+S230/R230-1</f>
        <v>0.12499116170566915</v>
      </c>
      <c r="T231" s="24">
        <f t="shared" si="492"/>
        <v>5.4077313334379262E-2</v>
      </c>
      <c r="U231" s="24">
        <f t="shared" si="492"/>
        <v>7.5336719650884953E-2</v>
      </c>
      <c r="V231" s="24">
        <f t="shared" si="492"/>
        <v>0.22294665746083453</v>
      </c>
      <c r="W231" s="24">
        <f t="shared" ca="1" si="492"/>
        <v>0.12572512613327236</v>
      </c>
      <c r="X231" s="24">
        <f t="shared" ca="1" si="492"/>
        <v>7.5290503302305467E-2</v>
      </c>
      <c r="Y231" s="24">
        <f t="shared" ca="1" si="492"/>
        <v>4.7177515566821482E-2</v>
      </c>
      <c r="Z231" s="24">
        <f t="shared" ca="1" si="492"/>
        <v>3.7524355484476635E-2</v>
      </c>
      <c r="AA231" s="24">
        <f t="shared" ref="AA231" ca="1" si="493">+AA230/Z230-1</f>
        <v>3.1556877564132835E-2</v>
      </c>
      <c r="AB231" s="24">
        <f t="shared" ref="AB231" ca="1" si="494">+AB230/AA230-1</f>
        <v>8.5312928549110545E-3</v>
      </c>
      <c r="AC231" s="24">
        <f t="shared" ref="AC231" ca="1" si="495">+AC230/AB230-1</f>
        <v>1.7151369431793961E-2</v>
      </c>
      <c r="AD231" s="24">
        <f t="shared" ref="AD231" ca="1" si="496">+AD230/AC230-1</f>
        <v>3.1665621814801703E-2</v>
      </c>
      <c r="CF231" s="1494"/>
      <c r="CG231" s="1494"/>
      <c r="CH231" s="1494"/>
      <c r="CI231" s="1494"/>
      <c r="CJ231" s="24"/>
      <c r="CK231" s="24"/>
      <c r="CL231" s="24"/>
      <c r="CM231" s="24"/>
      <c r="CN231" s="24">
        <f t="shared" ref="CN231:CY231" si="497">+CN230/CJ230-1</f>
        <v>0.24427607926580497</v>
      </c>
      <c r="CO231" s="24">
        <f t="shared" si="497"/>
        <v>0.13858288456443368</v>
      </c>
      <c r="CP231" s="24">
        <f t="shared" si="497"/>
        <v>1.8355019242868975E-2</v>
      </c>
      <c r="CQ231" s="24">
        <f t="shared" si="497"/>
        <v>-0.15954655928690031</v>
      </c>
      <c r="CR231" s="24">
        <f t="shared" si="497"/>
        <v>-0.20942021577487446</v>
      </c>
      <c r="CS231" s="24">
        <f t="shared" si="497"/>
        <v>0.10112575419422187</v>
      </c>
      <c r="CT231" s="24">
        <f t="shared" si="497"/>
        <v>6.5340612091789652E-2</v>
      </c>
      <c r="CU231" s="24">
        <f t="shared" si="497"/>
        <v>0.43117121921777701</v>
      </c>
      <c r="CV231" s="24">
        <f t="shared" si="497"/>
        <v>0.38921765266058683</v>
      </c>
      <c r="CW231" s="24">
        <f t="shared" si="497"/>
        <v>0.11093109397441969</v>
      </c>
      <c r="CX231" s="24">
        <f t="shared" si="497"/>
        <v>0.25777598597975215</v>
      </c>
      <c r="CY231" s="24">
        <f t="shared" si="497"/>
        <v>0.18100188359086089</v>
      </c>
      <c r="CZ231" s="24">
        <f t="shared" ref="CZ231:DC231" ca="1" si="498">+CZ230/CV230-1</f>
        <v>0.1671031481107943</v>
      </c>
      <c r="DA231" s="24">
        <f t="shared" ca="1" si="498"/>
        <v>0.11843426607151519</v>
      </c>
      <c r="DB231" s="24">
        <f t="shared" ca="1" si="498"/>
        <v>7.3236847609801758E-2</v>
      </c>
      <c r="DC231" s="24">
        <f t="shared" ca="1" si="498"/>
        <v>0.15120040957819714</v>
      </c>
      <c r="EU231" s="42"/>
      <c r="EV231"/>
      <c r="EW231"/>
      <c r="EX231"/>
      <c r="EY231"/>
      <c r="EZ231"/>
      <c r="FA231"/>
      <c r="FB231" s="961"/>
      <c r="FC231" s="961"/>
      <c r="FD231" s="961"/>
      <c r="FE231" s="961"/>
      <c r="FF231" s="961"/>
      <c r="FG231" s="961"/>
      <c r="FH231" s="961"/>
      <c r="FI231" s="961"/>
      <c r="FJ231" s="961"/>
      <c r="FK231" s="961"/>
      <c r="FL231" s="961"/>
      <c r="FM231" s="961"/>
      <c r="FN231" s="961"/>
      <c r="FO231" s="961"/>
      <c r="FP231" s="961"/>
      <c r="FQ231" s="961"/>
      <c r="FR231" s="961"/>
      <c r="FS231" s="961"/>
      <c r="FT231" s="961"/>
      <c r="FU231" s="961"/>
      <c r="FV231" s="961"/>
      <c r="FW231" s="961"/>
      <c r="FX231" s="961"/>
      <c r="FY231" s="961"/>
      <c r="FZ231" s="961"/>
      <c r="GA231" s="961"/>
      <c r="GB231" s="961"/>
      <c r="GC231" s="961"/>
      <c r="GD231" s="961"/>
      <c r="GE231" s="961"/>
      <c r="GF231" s="961"/>
      <c r="GG231" s="961"/>
      <c r="GH231" s="961"/>
      <c r="GI231" s="961"/>
    </row>
    <row r="232" spans="1:191" s="15" customFormat="1">
      <c r="B232" s="17" t="s">
        <v>95</v>
      </c>
      <c r="H232" s="883"/>
      <c r="I232" s="883"/>
      <c r="J232" s="883"/>
      <c r="K232" s="883"/>
      <c r="L232" s="883"/>
      <c r="M232" s="1012"/>
      <c r="N232" s="1012"/>
      <c r="O232" s="768"/>
      <c r="P232" s="768"/>
      <c r="Q232" s="768"/>
      <c r="R232" s="1494"/>
      <c r="S232" s="1494"/>
      <c r="T232" s="1494"/>
      <c r="U232" s="1494"/>
      <c r="V232" s="1494"/>
      <c r="W232" s="1494"/>
      <c r="X232" s="1494"/>
      <c r="Y232" s="1494"/>
      <c r="Z232" s="1494"/>
      <c r="AA232" s="1494"/>
      <c r="AB232" s="1494"/>
      <c r="AC232" s="1494"/>
      <c r="AD232" s="1494"/>
      <c r="CF232" s="1494"/>
      <c r="CG232" s="1494"/>
      <c r="CH232" s="1494"/>
      <c r="CI232" s="1494"/>
      <c r="CJ232" s="24"/>
      <c r="CK232" s="24">
        <f t="shared" ref="CK232:CY232" si="499">+CK230/CJ230-1</f>
        <v>8.5775924795544745E-2</v>
      </c>
      <c r="CL232" s="24">
        <f t="shared" si="499"/>
        <v>0.10608800521908113</v>
      </c>
      <c r="CM232" s="24">
        <f t="shared" si="499"/>
        <v>-6.8222617158081644E-2</v>
      </c>
      <c r="CN232" s="24">
        <f t="shared" si="499"/>
        <v>0.11192295758833959</v>
      </c>
      <c r="CO232" s="24">
        <f t="shared" si="499"/>
        <v>-6.4537082688402858E-3</v>
      </c>
      <c r="CP232" s="24">
        <f t="shared" si="499"/>
        <v>-1.0708585989252839E-2</v>
      </c>
      <c r="CQ232" s="24">
        <f t="shared" si="499"/>
        <v>-0.23099951137828967</v>
      </c>
      <c r="CR232" s="24">
        <f t="shared" si="499"/>
        <v>4.593992873572339E-2</v>
      </c>
      <c r="CS232" s="24">
        <f t="shared" si="499"/>
        <v>0.38381910547033748</v>
      </c>
      <c r="CT232" s="24">
        <f t="shared" si="499"/>
        <v>-4.2859258785928334E-2</v>
      </c>
      <c r="CU232" s="24">
        <f t="shared" si="499"/>
        <v>3.3069944380355931E-2</v>
      </c>
      <c r="CV232" s="24">
        <f t="shared" si="499"/>
        <v>1.5279089679009594E-2</v>
      </c>
      <c r="CW232" s="24">
        <f t="shared" si="499"/>
        <v>0.10661397784474058</v>
      </c>
      <c r="CX232" s="24">
        <f t="shared" si="499"/>
        <v>8.3657344754849428E-2</v>
      </c>
      <c r="CY232" s="24">
        <f t="shared" si="499"/>
        <v>-2.9988198380226594E-2</v>
      </c>
      <c r="CZ232" s="24">
        <f t="shared" ref="CZ232:DC232" ca="1" si="500">+CZ230/CY230-1</f>
        <v>3.3306790101068628E-3</v>
      </c>
      <c r="DA232" s="24">
        <f t="shared" ca="1" si="500"/>
        <v>6.0467529488463567E-2</v>
      </c>
      <c r="DB232" s="24">
        <f t="shared" ca="1" si="500"/>
        <v>3.9865308006878042E-2</v>
      </c>
      <c r="DC232" s="24">
        <f t="shared" ca="1" si="500"/>
        <v>4.0476746402542618E-2</v>
      </c>
      <c r="EU232" s="42"/>
      <c r="EV232"/>
      <c r="EW232"/>
      <c r="EX232"/>
      <c r="EY232"/>
      <c r="EZ232"/>
      <c r="FA232"/>
      <c r="FB232" s="961"/>
      <c r="FC232" s="961"/>
      <c r="FD232" s="961"/>
      <c r="FE232" s="961"/>
      <c r="FF232" s="961"/>
      <c r="FG232" s="961"/>
      <c r="FH232" s="961"/>
      <c r="FI232" s="961"/>
      <c r="FJ232" s="961"/>
      <c r="FK232" s="961"/>
      <c r="FL232" s="961"/>
      <c r="FM232" s="961"/>
      <c r="FN232" s="961"/>
      <c r="FO232" s="961"/>
      <c r="FP232" s="961"/>
      <c r="FQ232" s="961"/>
      <c r="FR232" s="961"/>
      <c r="FS232" s="961"/>
      <c r="FT232" s="961"/>
      <c r="FU232" s="961"/>
      <c r="FV232" s="961"/>
      <c r="FW232" s="961"/>
      <c r="FX232" s="961"/>
      <c r="FY232" s="961"/>
      <c r="FZ232" s="961"/>
      <c r="GA232" s="961"/>
      <c r="GB232" s="961"/>
      <c r="GC232" s="961"/>
      <c r="GD232" s="961"/>
      <c r="GE232" s="961"/>
      <c r="GF232" s="961"/>
      <c r="GG232" s="961"/>
      <c r="GH232" s="961"/>
      <c r="GI232" s="961"/>
    </row>
    <row r="233" spans="1:191">
      <c r="A233" s="15"/>
      <c r="B233" s="16"/>
      <c r="C233" s="15"/>
      <c r="D233" s="15"/>
      <c r="E233" s="15"/>
      <c r="F233" s="15"/>
      <c r="G233" s="15"/>
      <c r="H233" s="15"/>
      <c r="I233" s="15"/>
      <c r="J233" s="15"/>
      <c r="K233" s="15"/>
      <c r="L233" s="15"/>
      <c r="M233" s="15"/>
      <c r="N233" s="15"/>
      <c r="O233" s="15"/>
      <c r="P233" s="15"/>
      <c r="Q233" s="15"/>
      <c r="R233" s="33"/>
      <c r="S233" s="33"/>
      <c r="T233" s="33"/>
      <c r="U233" s="33"/>
      <c r="V233" s="33"/>
      <c r="W233" s="33"/>
      <c r="X233" s="15"/>
      <c r="Y233" s="15"/>
      <c r="Z233" s="15"/>
      <c r="AA233" s="15"/>
      <c r="AB233" s="15"/>
      <c r="AC233" s="15"/>
      <c r="AD233" s="15"/>
    </row>
    <row r="234" spans="1:191">
      <c r="A234" s="15"/>
      <c r="B234" s="23" t="s">
        <v>1973</v>
      </c>
      <c r="C234" s="15"/>
      <c r="D234" s="15"/>
      <c r="E234" s="15"/>
      <c r="F234" s="15"/>
      <c r="G234" s="15"/>
      <c r="H234" s="15"/>
      <c r="I234" s="15"/>
      <c r="J234" s="15"/>
      <c r="K234" s="15"/>
      <c r="L234" s="15"/>
      <c r="M234" s="15"/>
      <c r="N234" s="15"/>
      <c r="O234" s="15"/>
      <c r="P234" s="15"/>
      <c r="Q234" s="15"/>
      <c r="R234" s="1483"/>
      <c r="S234" s="1483"/>
      <c r="T234" s="1483"/>
      <c r="U234" s="1483">
        <f>+CU234</f>
        <v>71.959000000000003</v>
      </c>
      <c r="V234" s="1483">
        <f>+CY234</f>
        <v>79.128</v>
      </c>
      <c r="W234" s="1483">
        <f ca="1">+DC234</f>
        <v>80.673489797851531</v>
      </c>
      <c r="X234" s="2107">
        <f ca="1">+IS!X82</f>
        <v>82.945554247374417</v>
      </c>
      <c r="Y234" s="2107">
        <f ca="1">+IS!Y82</f>
        <v>85.943115858556155</v>
      </c>
      <c r="Z234" s="2107">
        <f ca="1">+IS!Z82</f>
        <v>89.040521447107622</v>
      </c>
      <c r="AA234" s="2107">
        <f ca="1">+IS!AA82</f>
        <v>92.241620499768274</v>
      </c>
      <c r="AB234" s="2107">
        <f ca="1">+IS!AB82</f>
        <v>95.550372388986247</v>
      </c>
      <c r="AC234" s="2107">
        <f ca="1">+IS!AC82</f>
        <v>98.970851958161049</v>
      </c>
      <c r="AD234" s="2107">
        <f ca="1">+IS!AD82</f>
        <v>102.50725518062278</v>
      </c>
      <c r="CF234" s="2175">
        <v>57.911999999999999</v>
      </c>
      <c r="CG234" s="2175">
        <v>58.040999999999997</v>
      </c>
      <c r="CH234" s="2175">
        <v>58.012999999999998</v>
      </c>
      <c r="CI234" s="2175">
        <v>57.930999999999997</v>
      </c>
      <c r="CJ234" s="2175">
        <v>57.817999999999998</v>
      </c>
      <c r="CK234" s="2175">
        <v>57.652000000000001</v>
      </c>
      <c r="CL234" s="2175">
        <v>57.110999999999997</v>
      </c>
      <c r="CM234" s="2175">
        <v>58.003999999999998</v>
      </c>
      <c r="CN234" s="2175">
        <v>59.168999999999997</v>
      </c>
      <c r="CO234" s="2175">
        <v>59.456000000000003</v>
      </c>
      <c r="CP234" s="2175">
        <v>57.082000000000001</v>
      </c>
      <c r="CQ234" s="2175">
        <v>63.045999999999999</v>
      </c>
      <c r="CR234" s="2175">
        <v>70.686000000000007</v>
      </c>
      <c r="CS234" s="2175">
        <v>70.364000000000004</v>
      </c>
      <c r="CT234" s="2175">
        <v>71.908000000000001</v>
      </c>
      <c r="CU234" s="2175">
        <v>71.959000000000003</v>
      </c>
      <c r="CV234" s="2107">
        <f>IS!DN82</f>
        <v>73.367000000000004</v>
      </c>
      <c r="CW234" s="2107">
        <f>IS!DO82</f>
        <v>78.507999999999996</v>
      </c>
      <c r="CX234" s="2107">
        <f>IS!DP82</f>
        <v>78.718999999999994</v>
      </c>
      <c r="CY234" s="2107">
        <f>IS!DQ82</f>
        <v>79.128</v>
      </c>
      <c r="CZ234" s="2107">
        <f ca="1">+IS!DR82</f>
        <v>79.416177944568403</v>
      </c>
      <c r="DA234" s="2107">
        <f ca="1">+IS!DS82</f>
        <v>79.833801440522592</v>
      </c>
      <c r="DB234" s="2107">
        <f ca="1">+IS!DT82</f>
        <v>80.252896775769614</v>
      </c>
      <c r="DC234" s="2107">
        <f ca="1">+IS!DU82</f>
        <v>80.673489797851531</v>
      </c>
    </row>
    <row r="235" spans="1:191">
      <c r="A235" s="15"/>
      <c r="B235" s="23"/>
      <c r="C235" s="15"/>
      <c r="D235" s="15"/>
      <c r="E235" s="15"/>
      <c r="F235" s="15"/>
      <c r="G235" s="15"/>
      <c r="H235" s="15"/>
      <c r="I235" s="15"/>
      <c r="J235" s="15"/>
      <c r="K235" s="15"/>
      <c r="L235" s="15"/>
      <c r="M235" s="15"/>
      <c r="N235" s="15"/>
      <c r="O235" s="15"/>
      <c r="P235" s="15"/>
      <c r="Q235" s="15"/>
      <c r="R235" s="1483"/>
      <c r="S235" s="1483"/>
      <c r="T235" s="1483"/>
      <c r="U235" s="1483"/>
      <c r="V235" s="1483"/>
      <c r="W235" s="1483"/>
      <c r="X235" s="15"/>
      <c r="Y235" s="15"/>
      <c r="Z235" s="15"/>
      <c r="AA235" s="15"/>
      <c r="AB235" s="15"/>
      <c r="AC235" s="15"/>
      <c r="AD235" s="15"/>
      <c r="CF235" s="2175"/>
      <c r="CG235" s="2175"/>
      <c r="CH235" s="2175"/>
      <c r="CI235" s="2175"/>
      <c r="CJ235" s="2175"/>
      <c r="CK235" s="2175"/>
      <c r="CL235" s="2175"/>
      <c r="CM235" s="2175"/>
      <c r="CN235" s="2175"/>
      <c r="CO235" s="2175"/>
      <c r="CP235" s="2175"/>
      <c r="CQ235" s="2175"/>
      <c r="CR235" s="2175"/>
      <c r="CS235" s="2175"/>
      <c r="CT235" s="2175"/>
      <c r="CU235" s="2175"/>
      <c r="CV235" s="2175"/>
      <c r="CW235" s="2175"/>
      <c r="CX235" s="2175"/>
      <c r="CY235" s="2175"/>
      <c r="CZ235" s="2175"/>
      <c r="DA235" s="2175"/>
      <c r="DB235" s="2175"/>
      <c r="DC235" s="2175"/>
    </row>
    <row r="236" spans="1:191">
      <c r="A236" s="15"/>
      <c r="B236" s="875" t="s">
        <v>1977</v>
      </c>
      <c r="C236" s="15"/>
      <c r="D236" s="15"/>
      <c r="E236" s="15"/>
      <c r="F236" s="15"/>
      <c r="G236" s="15"/>
      <c r="H236" s="15"/>
      <c r="I236" s="15"/>
      <c r="J236" s="15"/>
      <c r="K236" s="15"/>
      <c r="L236" s="15"/>
      <c r="M236" s="15"/>
      <c r="N236" s="15"/>
      <c r="O236" s="15"/>
      <c r="P236" s="15"/>
      <c r="Q236" s="15"/>
      <c r="R236" s="1483"/>
      <c r="S236" s="1483"/>
      <c r="T236" s="1483"/>
      <c r="U236" s="1483"/>
      <c r="V236" s="1483"/>
      <c r="W236" s="1483"/>
      <c r="X236" s="15"/>
      <c r="Y236" s="15"/>
      <c r="Z236" s="15"/>
      <c r="AA236" s="15"/>
      <c r="AB236" s="15"/>
      <c r="AC236" s="15"/>
      <c r="AD236" s="15"/>
      <c r="CF236" s="2175"/>
      <c r="CG236" s="2175"/>
      <c r="CH236" s="2175"/>
      <c r="CI236" s="2175"/>
      <c r="CJ236" s="2175"/>
      <c r="CK236" s="2175"/>
      <c r="CL236" s="2175"/>
      <c r="CM236" s="2175"/>
      <c r="CN236" s="2175"/>
      <c r="CO236" s="2175"/>
      <c r="CP236" s="2175"/>
      <c r="CQ236" s="2175"/>
      <c r="CR236" s="2175"/>
      <c r="CS236" s="2175"/>
      <c r="CT236" s="2175"/>
      <c r="CU236" s="2175"/>
      <c r="CV236" s="2175"/>
      <c r="CW236" s="2175"/>
      <c r="CX236" s="2175"/>
      <c r="CY236" s="2175"/>
      <c r="CZ236" s="2175"/>
      <c r="DA236" s="2175"/>
      <c r="DB236" s="2175"/>
      <c r="DC236" s="2175"/>
    </row>
    <row r="237" spans="1:191">
      <c r="A237" s="15"/>
      <c r="B237" s="23" t="s">
        <v>1903</v>
      </c>
      <c r="C237" s="15"/>
      <c r="D237" s="15"/>
      <c r="E237" s="15"/>
      <c r="F237" s="15"/>
      <c r="G237" s="15"/>
      <c r="H237" s="15"/>
      <c r="I237" s="15"/>
      <c r="J237" s="15"/>
      <c r="K237" s="15"/>
      <c r="L237" s="15"/>
      <c r="M237" s="15"/>
      <c r="N237" s="15"/>
      <c r="O237" s="15"/>
      <c r="P237" s="15"/>
      <c r="Q237" s="15"/>
      <c r="R237" s="24">
        <f>+R202/IS!R$15</f>
        <v>1.1620863577369765E-2</v>
      </c>
      <c r="S237" s="24">
        <f>+S202/IS!S$15</f>
        <v>1.0524700514572742E-2</v>
      </c>
      <c r="T237" s="24">
        <f>+T202/IS!T$15</f>
        <v>1.3022645638983855E-2</v>
      </c>
      <c r="U237" s="24">
        <f>+U202/IS!U$15</f>
        <v>5.5816892022650137E-3</v>
      </c>
      <c r="V237" s="24">
        <f>+V202/IS!V$15</f>
        <v>5.6075091543227908E-3</v>
      </c>
      <c r="W237" s="24">
        <f ca="1">+W202/IS!W$15</f>
        <v>2.4999999999999996E-3</v>
      </c>
      <c r="X237" s="2103">
        <v>0.01</v>
      </c>
      <c r="Y237" s="2103">
        <v>0.01</v>
      </c>
      <c r="Z237" s="2103">
        <v>0.01</v>
      </c>
      <c r="AA237" s="2103">
        <v>0.01</v>
      </c>
      <c r="AB237" s="2103">
        <v>0.01</v>
      </c>
      <c r="AC237" s="2103">
        <v>0.01</v>
      </c>
      <c r="AD237" s="2103">
        <v>0.01</v>
      </c>
      <c r="CF237" s="24">
        <f>+CF202/IS!CX$15</f>
        <v>1.5716848725331023E-2</v>
      </c>
      <c r="CG237" s="24">
        <f>+CG202/IS!CY$15</f>
        <v>1.1195546740131337E-2</v>
      </c>
      <c r="CH237" s="24">
        <f>+CH202/IS!CZ$15</f>
        <v>7.534746006142695E-3</v>
      </c>
      <c r="CI237" s="24">
        <f>+CI202/IS!DA$15</f>
        <v>1.220520757884596E-2</v>
      </c>
      <c r="CJ237" s="24">
        <f>+CJ202/IS!DB$15</f>
        <v>1.2366111372581472E-2</v>
      </c>
      <c r="CK237" s="24">
        <f>+CK202/IS!DC$15</f>
        <v>8.665462579379701E-3</v>
      </c>
      <c r="CL237" s="24">
        <f>+CL202/IS!DD$15</f>
        <v>9.7978853716717169E-3</v>
      </c>
      <c r="CM237" s="24">
        <f>+CM202/IS!DE$15</f>
        <v>1.1320736976216109E-2</v>
      </c>
      <c r="CN237" s="24">
        <f>+CN202/IS!DF$15</f>
        <v>1.3455145885872252E-2</v>
      </c>
      <c r="CO237" s="24">
        <f>+CO202/IS!DG$15</f>
        <v>1.8741492408148059E-2</v>
      </c>
      <c r="CP237" s="24">
        <f>+CP202/IS!DH$15</f>
        <v>1.2418280664502531E-2</v>
      </c>
      <c r="CQ237" s="24">
        <f>+CQ202/IS!DI$15</f>
        <v>7.9990471783610937E-3</v>
      </c>
      <c r="CR237" s="24">
        <f>+CR202/IS!DJ$15</f>
        <v>3.9731992664862889E-3</v>
      </c>
      <c r="CS237" s="24">
        <f>+CS202/IS!DK$15</f>
        <v>8.2253389745810708E-3</v>
      </c>
      <c r="CT237" s="24">
        <f>+CT202/IS!DL$15</f>
        <v>4.9876929865163584E-3</v>
      </c>
      <c r="CU237" s="24">
        <f>+CU202/IS!DM$15</f>
        <v>5.0793138895047669E-3</v>
      </c>
      <c r="CV237" s="24">
        <f>+CV202/IS!DN$15</f>
        <v>4.9235143887733325E-3</v>
      </c>
      <c r="CW237" s="24">
        <f>+CW202/IS!DO$15</f>
        <v>6.5068110999314524E-3</v>
      </c>
      <c r="CX237" s="24">
        <f>+CX202/IS!DP$15</f>
        <v>5.3468788755325399E-3</v>
      </c>
      <c r="CY237" s="24">
        <f>+CY202/IS!DQ$15</f>
        <v>5.5998020364582853E-3</v>
      </c>
      <c r="CZ237" s="2103">
        <v>2.5000000000000001E-3</v>
      </c>
      <c r="DA237" s="2103">
        <v>2.5000000000000001E-3</v>
      </c>
      <c r="DB237" s="2103">
        <v>2.5000000000000001E-3</v>
      </c>
      <c r="DC237" s="2103">
        <v>2.5000000000000001E-3</v>
      </c>
    </row>
    <row r="238" spans="1:191">
      <c r="A238" s="15"/>
      <c r="B238" s="23" t="s">
        <v>857</v>
      </c>
      <c r="C238" s="15"/>
      <c r="D238" s="15"/>
      <c r="E238" s="15"/>
      <c r="F238" s="15"/>
      <c r="G238" s="15"/>
      <c r="H238" s="15"/>
      <c r="I238" s="15"/>
      <c r="J238" s="15"/>
      <c r="K238" s="15"/>
      <c r="L238" s="15"/>
      <c r="M238" s="15"/>
      <c r="N238" s="15"/>
      <c r="O238" s="15"/>
      <c r="P238" s="15"/>
      <c r="Q238" s="15"/>
      <c r="R238" s="24">
        <f>+R203/IS!R$15</f>
        <v>4.0004347894754926E-3</v>
      </c>
      <c r="S238" s="24">
        <f>+S203/IS!S$15</f>
        <v>5.3392804165686286E-3</v>
      </c>
      <c r="T238" s="24">
        <f>+T203/IS!T$15</f>
        <v>2.9095330036278361E-3</v>
      </c>
      <c r="U238" s="24">
        <f>+U203/IS!U$15</f>
        <v>2.1317894378969594E-3</v>
      </c>
      <c r="V238" s="24">
        <f>+V203/IS!V$15</f>
        <v>2.0430690399383944E-3</v>
      </c>
      <c r="W238" s="24">
        <f ca="1">+W203/IS!W$15</f>
        <v>1E-3</v>
      </c>
      <c r="X238" s="2103">
        <v>3.0000000000000001E-3</v>
      </c>
      <c r="Y238" s="2103">
        <v>3.0000000000000001E-3</v>
      </c>
      <c r="Z238" s="2103">
        <v>3.0000000000000001E-3</v>
      </c>
      <c r="AA238" s="2103">
        <v>3.0000000000000001E-3</v>
      </c>
      <c r="AB238" s="2103">
        <v>3.0000000000000001E-3</v>
      </c>
      <c r="AC238" s="2103">
        <v>3.0000000000000001E-3</v>
      </c>
      <c r="AD238" s="2103">
        <v>3.0000000000000001E-3</v>
      </c>
      <c r="CF238" s="24">
        <f>+CF203/IS!CX$15</f>
        <v>2.6795367094591721E-3</v>
      </c>
      <c r="CG238" s="24">
        <f>+CG203/IS!CY$15</f>
        <v>3.5982309485677985E-3</v>
      </c>
      <c r="CH238" s="24">
        <f>+CH203/IS!CZ$15</f>
        <v>5.4006378387137155E-3</v>
      </c>
      <c r="CI238" s="24">
        <f>+CI203/IS!DA$15</f>
        <v>4.2378209135488067E-3</v>
      </c>
      <c r="CJ238" s="24">
        <f>+CJ203/IS!DB$15</f>
        <v>5.2219366161368012E-3</v>
      </c>
      <c r="CK238" s="24">
        <f>+CK203/IS!DC$15</f>
        <v>5.5043203378935517E-3</v>
      </c>
      <c r="CL238" s="24">
        <f>+CL203/IS!DD$15</f>
        <v>5.4042292566565675E-3</v>
      </c>
      <c r="CM238" s="24">
        <f>+CM203/IS!DE$15</f>
        <v>5.2262815359469441E-3</v>
      </c>
      <c r="CN238" s="24">
        <f>+CN203/IS!DF$15</f>
        <v>4.9768802843398524E-3</v>
      </c>
      <c r="CO238" s="24">
        <f>+CO203/IS!DG$15</f>
        <v>3.0304305104404869E-3</v>
      </c>
      <c r="CP238" s="24">
        <f>+CP203/IS!DH$15</f>
        <v>1.8218915341025764E-3</v>
      </c>
      <c r="CQ238" s="24">
        <f>+CQ203/IS!DI$15</f>
        <v>2.0014730403498061E-3</v>
      </c>
      <c r="CR238" s="24">
        <f>+CR203/IS!DJ$15</f>
        <v>1.3421689829841877E-3</v>
      </c>
      <c r="CS238" s="24">
        <f>+CS203/IS!DK$15</f>
        <v>2.1043630831417753E-3</v>
      </c>
      <c r="CT238" s="24">
        <f>+CT203/IS!DL$15</f>
        <v>2.9048012493024587E-3</v>
      </c>
      <c r="CU238" s="24">
        <f>+CU203/IS!DM$15</f>
        <v>2.1068332047945834E-3</v>
      </c>
      <c r="CV238" s="24">
        <f>+CV203/IS!DN$15</f>
        <v>2.5370580026855528E-3</v>
      </c>
      <c r="CW238" s="24">
        <f>+CW203/IS!DO$15</f>
        <v>9.5178170722444498E-4</v>
      </c>
      <c r="CX238" s="24">
        <f>+CX203/IS!DP$15</f>
        <v>1.9934719651190139E-3</v>
      </c>
      <c r="CY238" s="24">
        <f>+CY203/IS!DQ$15</f>
        <v>2.6695083655426796E-3</v>
      </c>
      <c r="CZ238" s="2103">
        <v>1E-3</v>
      </c>
      <c r="DA238" s="2103">
        <v>1E-3</v>
      </c>
      <c r="DB238" s="2103">
        <v>1E-3</v>
      </c>
      <c r="DC238" s="2103">
        <v>1E-3</v>
      </c>
    </row>
    <row r="239" spans="1:191">
      <c r="A239" s="15"/>
      <c r="B239" s="23" t="s">
        <v>854</v>
      </c>
      <c r="C239" s="15"/>
      <c r="D239" s="15"/>
      <c r="E239" s="15"/>
      <c r="F239" s="15"/>
      <c r="G239" s="15"/>
      <c r="H239" s="15"/>
      <c r="I239" s="15"/>
      <c r="J239" s="15"/>
      <c r="K239" s="15"/>
      <c r="L239" s="15"/>
      <c r="M239" s="15"/>
      <c r="N239" s="15"/>
      <c r="O239" s="15"/>
      <c r="P239" s="15"/>
      <c r="Q239" s="15"/>
      <c r="R239" s="24">
        <f>+R204/IS!R$15</f>
        <v>1.1347726599175201E-2</v>
      </c>
      <c r="S239" s="24">
        <f>+S204/IS!S$15</f>
        <v>7.7830405827050376E-3</v>
      </c>
      <c r="T239" s="24">
        <f>+T204/IS!T$15</f>
        <v>5.9192176287397738E-3</v>
      </c>
      <c r="U239" s="24">
        <f>+U204/IS!U$15</f>
        <v>5.1760954975222807E-3</v>
      </c>
      <c r="V239" s="24">
        <f>+V204/IS!V$15</f>
        <v>5.5967501352889417E-3</v>
      </c>
      <c r="W239" s="24">
        <f ca="1">+W204/IS!W$15</f>
        <v>2E-3</v>
      </c>
      <c r="X239" s="2103">
        <v>5.0000000000000001E-3</v>
      </c>
      <c r="Y239" s="2103">
        <v>5.0000000000000001E-3</v>
      </c>
      <c r="Z239" s="2103">
        <v>5.0000000000000001E-3</v>
      </c>
      <c r="AA239" s="2103">
        <v>5.0000000000000001E-3</v>
      </c>
      <c r="AB239" s="2103">
        <v>5.0000000000000001E-3</v>
      </c>
      <c r="AC239" s="2103">
        <v>5.0000000000000001E-3</v>
      </c>
      <c r="AD239" s="2103">
        <v>5.0000000000000001E-3</v>
      </c>
      <c r="CF239" s="24">
        <f>+CF204/IS!CX$15</f>
        <v>1.1597763371527551E-2</v>
      </c>
      <c r="CG239" s="24">
        <f>+CG204/IS!CY$15</f>
        <v>1.1282524471941172E-2</v>
      </c>
      <c r="CH239" s="24">
        <f>+CH204/IS!CZ$15</f>
        <v>1.1291070994542279E-2</v>
      </c>
      <c r="CI239" s="24">
        <f>+CI204/IS!DA$15</f>
        <v>1.1234741276871556E-2</v>
      </c>
      <c r="CJ239" s="24">
        <f>+CJ204/IS!DB$15</f>
        <v>1.1204148586422274E-2</v>
      </c>
      <c r="CK239" s="24">
        <f>+CK204/IS!DC$15</f>
        <v>7.9036818301245447E-3</v>
      </c>
      <c r="CL239" s="24">
        <f>+CL204/IS!DD$15</f>
        <v>6.115015150538328E-3</v>
      </c>
      <c r="CM239" s="24">
        <f>+CM204/IS!DE$15</f>
        <v>6.180645990337256E-3</v>
      </c>
      <c r="CN239" s="24">
        <f>+CN204/IS!DF$15</f>
        <v>5.9983768000572164E-3</v>
      </c>
      <c r="CO239" s="24">
        <f>+CO204/IS!DG$15</f>
        <v>5.7814063481284057E-3</v>
      </c>
      <c r="CP239" s="24">
        <f>+CP204/IS!DH$15</f>
        <v>5.7292736172338413E-3</v>
      </c>
      <c r="CQ239" s="24">
        <f>+CQ204/IS!DI$15</f>
        <v>6.1536397512806972E-3</v>
      </c>
      <c r="CR239" s="24">
        <f>+CR204/IS!DJ$15</f>
        <v>6.5248603338719383E-3</v>
      </c>
      <c r="CS239" s="24">
        <f>+CS204/IS!DK$15</f>
        <v>5.8222562769985903E-3</v>
      </c>
      <c r="CT239" s="24">
        <f>+CT204/IS!DL$15</f>
        <v>2.9058827091867855E-3</v>
      </c>
      <c r="CU239" s="24">
        <f>+CU204/IS!DM$15</f>
        <v>5.5779098644561532E-3</v>
      </c>
      <c r="CV239" s="24">
        <f>+CV204/IS!DN$15</f>
        <v>1.2195571469945496E-2</v>
      </c>
      <c r="CW239" s="24">
        <f>+CW204/IS!DO$15</f>
        <v>3.8727669466373971E-3</v>
      </c>
      <c r="CX239" s="24">
        <f>+CX204/IS!DP$15</f>
        <v>3.8099007082596737E-3</v>
      </c>
      <c r="CY239" s="24">
        <f>+CY204/IS!DQ$15</f>
        <v>3.623499338871758E-3</v>
      </c>
      <c r="CZ239" s="2103">
        <v>2E-3</v>
      </c>
      <c r="DA239" s="2103">
        <v>2E-3</v>
      </c>
      <c r="DB239" s="2103">
        <v>2E-3</v>
      </c>
      <c r="DC239" s="2103">
        <v>2E-3</v>
      </c>
    </row>
    <row r="240" spans="1:191">
      <c r="A240" s="15"/>
      <c r="B240" s="23" t="s">
        <v>1963</v>
      </c>
      <c r="C240" s="15"/>
      <c r="D240" s="15"/>
      <c r="E240" s="15"/>
      <c r="F240" s="15"/>
      <c r="G240" s="15"/>
      <c r="H240" s="15"/>
      <c r="I240" s="15"/>
      <c r="J240" s="15"/>
      <c r="K240" s="15"/>
      <c r="L240" s="15"/>
      <c r="M240" s="15"/>
      <c r="N240" s="15"/>
      <c r="O240" s="15"/>
      <c r="P240" s="15"/>
      <c r="Q240" s="15"/>
      <c r="R240" s="24">
        <f>+R208/IS!R$15</f>
        <v>-8.003656690973379E-4</v>
      </c>
      <c r="S240" s="24">
        <f>+S208/IS!S$15</f>
        <v>9.9763685281992003E-4</v>
      </c>
      <c r="T240" s="24">
        <f>+T208/IS!T$15</f>
        <v>1.2285999280229006E-3</v>
      </c>
      <c r="U240" s="24">
        <f>+U208/IS!U$15</f>
        <v>1.7450219255927969E-3</v>
      </c>
      <c r="V240" s="24">
        <f>+V208/IS!V$15</f>
        <v>-3.1105010772753952E-3</v>
      </c>
      <c r="W240" s="24">
        <f ca="1">+W208/IS!W$15</f>
        <v>1E-3</v>
      </c>
      <c r="X240" s="2081">
        <v>1E-3</v>
      </c>
      <c r="Y240" s="2081">
        <v>1E-3</v>
      </c>
      <c r="Z240" s="2081">
        <v>1E-3</v>
      </c>
      <c r="AA240" s="2081">
        <v>1E-3</v>
      </c>
      <c r="AB240" s="2081">
        <v>1E-3</v>
      </c>
      <c r="AC240" s="2081">
        <v>1E-3</v>
      </c>
      <c r="AD240" s="2081">
        <v>1E-3</v>
      </c>
      <c r="CF240" s="24">
        <f>+CF208/IS!CX$15</f>
        <v>2.7085989297353018E-3</v>
      </c>
      <c r="CG240" s="24">
        <f>+CG208/IS!CY$15</f>
        <v>1.8983835377625168E-3</v>
      </c>
      <c r="CH240" s="24">
        <f>+CH208/IS!CZ$15</f>
        <v>-8.0411133452651887E-3</v>
      </c>
      <c r="CI240" s="24">
        <f>+CI208/IS!DA$15</f>
        <v>4.2856358590840423E-4</v>
      </c>
      <c r="CJ240" s="24">
        <f>+CJ208/IS!DB$15</f>
        <v>-6.6028449124476559E-4</v>
      </c>
      <c r="CK240" s="24">
        <f>+CK208/IS!DC$15</f>
        <v>5.9818792023940727E-4</v>
      </c>
      <c r="CL240" s="24">
        <f>+CL208/IS!DD$15</f>
        <v>2.1388047192315131E-3</v>
      </c>
      <c r="CM240" s="24">
        <f>+CM208/IS!DE$15</f>
        <v>1.7739582304923359E-3</v>
      </c>
      <c r="CN240" s="24">
        <f>+CN208/IS!DF$15</f>
        <v>1.3899815601998839E-3</v>
      </c>
      <c r="CO240" s="24">
        <f>+CO208/IS!DG$15</f>
        <v>1.3431853625849258E-3</v>
      </c>
      <c r="CP240" s="24">
        <f>+CP208/IS!DH$15</f>
        <v>1.2597411486800388E-3</v>
      </c>
      <c r="CQ240" s="24">
        <f>+CQ208/IS!DI$15</f>
        <v>9.5282163890797889E-4</v>
      </c>
      <c r="CR240" s="24">
        <f>+CR208/IS!DJ$15</f>
        <v>1.9178919536199468E-3</v>
      </c>
      <c r="CS240" s="24">
        <f>+CS208/IS!DK$15</f>
        <v>1.8522837058999899E-3</v>
      </c>
      <c r="CT240" s="24">
        <f>+CT208/IS!DL$15</f>
        <v>5.8939563695824271E-4</v>
      </c>
      <c r="CU240" s="24">
        <f>+CU208/IS!DM$15</f>
        <v>2.621341817244419E-3</v>
      </c>
      <c r="CV240" s="24">
        <f>+CV208/IS!DN$15</f>
        <v>2.1136884231589474E-3</v>
      </c>
      <c r="CW240" s="24">
        <f>+CW208/IS!DO$15</f>
        <v>-2.2505183225011507E-3</v>
      </c>
      <c r="CX240" s="24">
        <f>+CX208/IS!DP$15</f>
        <v>-6.005583804363768E-4</v>
      </c>
      <c r="CY240" s="24">
        <f>+CY208/IS!DQ$15</f>
        <v>-1.0417248156797791E-2</v>
      </c>
      <c r="CZ240" s="2081">
        <v>1E-3</v>
      </c>
      <c r="DA240" s="2081">
        <v>1E-3</v>
      </c>
      <c r="DB240" s="2081">
        <v>1E-3</v>
      </c>
      <c r="DC240" s="2081">
        <v>1E-3</v>
      </c>
    </row>
    <row r="241" spans="1:157">
      <c r="A241" s="15"/>
      <c r="B241" s="23"/>
      <c r="C241" s="15"/>
      <c r="D241" s="15"/>
      <c r="E241" s="15"/>
      <c r="F241" s="15"/>
      <c r="G241" s="15"/>
      <c r="H241" s="15"/>
      <c r="I241" s="15"/>
      <c r="J241" s="15"/>
      <c r="K241" s="15"/>
      <c r="L241" s="15"/>
      <c r="M241" s="15"/>
      <c r="N241" s="15"/>
      <c r="O241" s="15"/>
      <c r="P241" s="15"/>
      <c r="Q241" s="15"/>
      <c r="R241" s="24"/>
      <c r="S241" s="24"/>
      <c r="T241" s="24"/>
      <c r="U241" s="24"/>
      <c r="V241" s="24"/>
      <c r="W241" s="24"/>
      <c r="X241" s="15"/>
      <c r="Y241" s="15"/>
      <c r="Z241" s="15"/>
      <c r="AA241" s="15"/>
      <c r="AB241" s="15"/>
      <c r="AC241" s="15"/>
      <c r="AD241" s="15"/>
      <c r="CF241" s="24"/>
      <c r="CG241" s="24"/>
      <c r="CH241" s="24"/>
      <c r="CI241" s="24"/>
      <c r="CJ241" s="24"/>
      <c r="CK241" s="24"/>
      <c r="CL241" s="24"/>
      <c r="CM241" s="24"/>
      <c r="CN241" s="24"/>
      <c r="CO241" s="24"/>
      <c r="CP241" s="24"/>
      <c r="CQ241" s="24"/>
      <c r="CR241" s="24"/>
      <c r="CS241" s="24"/>
      <c r="CT241" s="24"/>
      <c r="CU241" s="24"/>
      <c r="CV241" s="24"/>
      <c r="CW241" s="24"/>
      <c r="CX241" s="24"/>
      <c r="CY241" s="24"/>
      <c r="CZ241" s="2175"/>
      <c r="DA241" s="2175"/>
      <c r="DB241" s="2175"/>
      <c r="DC241" s="2175"/>
    </row>
    <row r="242" spans="1:157">
      <c r="A242" s="15"/>
      <c r="B242" s="23"/>
      <c r="C242" s="15"/>
      <c r="D242" s="15"/>
      <c r="E242" s="15"/>
      <c r="F242" s="15"/>
      <c r="G242" s="15"/>
      <c r="H242" s="15"/>
      <c r="I242" s="15"/>
      <c r="J242" s="15"/>
      <c r="K242" s="15"/>
      <c r="L242" s="15"/>
      <c r="M242" s="15"/>
      <c r="N242" s="15"/>
      <c r="O242" s="15"/>
      <c r="P242" s="15"/>
      <c r="Q242" s="15"/>
      <c r="R242" s="1483"/>
      <c r="S242" s="1483"/>
      <c r="T242" s="1483"/>
      <c r="U242" s="1483"/>
      <c r="V242" s="1483"/>
      <c r="W242" s="1483"/>
      <c r="X242" s="15"/>
      <c r="Y242" s="15"/>
      <c r="Z242" s="15"/>
      <c r="AA242" s="15"/>
      <c r="AB242" s="15"/>
      <c r="AC242" s="15"/>
      <c r="AD242" s="15"/>
      <c r="CF242" s="2175"/>
      <c r="CG242" s="2175"/>
      <c r="CH242" s="2175"/>
      <c r="CI242" s="2175"/>
      <c r="CJ242" s="2175"/>
      <c r="CK242" s="2175"/>
      <c r="CL242" s="2175"/>
      <c r="CM242" s="2175"/>
      <c r="CN242" s="2175"/>
      <c r="CO242" s="2175"/>
      <c r="CP242" s="2175"/>
      <c r="CQ242" s="2175"/>
      <c r="CR242" s="2175"/>
      <c r="CS242" s="2175"/>
      <c r="CT242" s="2175"/>
      <c r="CU242" s="2175"/>
      <c r="CV242" s="2175"/>
      <c r="CW242" s="2175"/>
      <c r="CX242" s="2175"/>
      <c r="CY242" s="2175"/>
      <c r="CZ242" s="2175"/>
      <c r="DA242" s="2175"/>
      <c r="DB242" s="2175"/>
      <c r="DC242" s="2175"/>
    </row>
    <row r="243" spans="1:157">
      <c r="A243" s="15"/>
      <c r="B243" s="23"/>
      <c r="C243" s="15"/>
      <c r="D243" s="15"/>
      <c r="E243" s="15"/>
      <c r="F243" s="15"/>
      <c r="G243" s="15"/>
      <c r="H243" s="15"/>
      <c r="I243" s="15"/>
      <c r="J243" s="15"/>
      <c r="K243" s="15"/>
      <c r="L243" s="15"/>
      <c r="M243" s="15"/>
      <c r="N243" s="15"/>
      <c r="O243" s="15"/>
      <c r="P243" s="15"/>
      <c r="Q243" s="15"/>
      <c r="R243" s="1483"/>
      <c r="S243" s="1483"/>
      <c r="T243" s="1483"/>
      <c r="U243" s="1483"/>
      <c r="V243" s="1483"/>
      <c r="W243" s="1483"/>
      <c r="X243" s="15"/>
      <c r="Y243" s="15"/>
      <c r="Z243" s="15"/>
      <c r="AA243" s="15"/>
      <c r="AB243" s="15"/>
      <c r="AC243" s="15"/>
      <c r="AD243" s="15"/>
      <c r="CF243" s="2175"/>
      <c r="CG243" s="2175"/>
      <c r="CH243" s="2175"/>
      <c r="CI243" s="2175"/>
      <c r="CJ243" s="2175"/>
      <c r="CK243" s="2175"/>
      <c r="CL243" s="2175"/>
      <c r="CM243" s="2175"/>
      <c r="CN243" s="2175"/>
      <c r="CO243" s="2175"/>
      <c r="CP243" s="2175"/>
      <c r="CQ243" s="2175"/>
      <c r="CR243" s="2175"/>
      <c r="CS243" s="2175"/>
      <c r="CT243" s="2175"/>
      <c r="CU243" s="2175"/>
      <c r="CV243" s="2175"/>
      <c r="CW243" s="2175"/>
      <c r="CX243" s="2175"/>
      <c r="CY243" s="2175"/>
      <c r="CZ243" s="2175"/>
      <c r="DA243" s="2175"/>
      <c r="DB243" s="2175"/>
      <c r="DC243" s="2175"/>
    </row>
    <row r="244" spans="1:157">
      <c r="A244" s="15"/>
      <c r="B244" s="23"/>
      <c r="C244" s="15"/>
      <c r="D244" s="15"/>
      <c r="E244" s="15"/>
      <c r="F244" s="15"/>
      <c r="G244" s="15"/>
      <c r="H244" s="15"/>
      <c r="I244" s="15"/>
      <c r="J244" s="15"/>
      <c r="K244" s="15"/>
      <c r="L244" s="15"/>
      <c r="M244" s="15"/>
      <c r="N244" s="15"/>
      <c r="O244" s="15"/>
      <c r="P244" s="15"/>
      <c r="Q244" s="15"/>
      <c r="R244" s="1483"/>
      <c r="S244" s="1483"/>
      <c r="T244" s="1483"/>
      <c r="U244" s="1483"/>
      <c r="V244" s="1483"/>
      <c r="W244" s="1483"/>
      <c r="X244" s="15"/>
      <c r="Y244" s="15"/>
      <c r="Z244" s="15"/>
      <c r="AA244" s="15"/>
      <c r="AB244" s="15"/>
      <c r="AC244" s="15"/>
      <c r="AD244" s="15"/>
      <c r="CF244" s="2175"/>
      <c r="CG244" s="2175"/>
      <c r="CH244" s="2175"/>
      <c r="CI244" s="2175"/>
      <c r="CJ244" s="2175"/>
      <c r="CK244" s="2175"/>
      <c r="CL244" s="2175"/>
      <c r="CM244" s="2175"/>
      <c r="CN244" s="2175"/>
      <c r="CO244" s="2175"/>
      <c r="CP244" s="2175"/>
      <c r="CQ244" s="2175"/>
      <c r="CR244" s="2175"/>
      <c r="CS244" s="2175"/>
      <c r="CT244" s="2175"/>
      <c r="CU244" s="2175"/>
      <c r="CV244" s="2175"/>
      <c r="CW244" s="2175"/>
      <c r="CX244" s="2175"/>
      <c r="CY244" s="2175"/>
      <c r="CZ244" s="2175"/>
      <c r="DA244" s="2175"/>
      <c r="DB244" s="2175"/>
      <c r="DC244" s="2175"/>
    </row>
    <row r="245" spans="1:157">
      <c r="A245" s="15"/>
      <c r="B245" s="16"/>
      <c r="C245" s="15"/>
      <c r="D245" s="15"/>
      <c r="E245" s="15"/>
      <c r="F245" s="15"/>
      <c r="G245" s="15"/>
      <c r="H245" s="15"/>
      <c r="I245" s="15"/>
      <c r="J245" s="15"/>
      <c r="K245" s="15"/>
      <c r="L245" s="15"/>
      <c r="M245" s="15"/>
      <c r="N245" s="15"/>
      <c r="O245" s="15"/>
      <c r="P245" s="15"/>
      <c r="Q245" s="15"/>
      <c r="R245" s="33"/>
      <c r="S245" s="33"/>
      <c r="T245" s="33"/>
      <c r="U245" s="33"/>
      <c r="V245" s="33"/>
      <c r="W245" s="33"/>
      <c r="X245" s="15"/>
      <c r="Y245" s="15"/>
      <c r="Z245" s="15"/>
      <c r="AA245" s="15"/>
      <c r="AB245" s="15"/>
      <c r="AC245" s="15"/>
      <c r="AD245" s="15"/>
    </row>
    <row r="246" spans="1:157" s="15" customFormat="1">
      <c r="B246" s="16"/>
      <c r="EU246" s="42"/>
      <c r="EV246"/>
      <c r="EW246"/>
      <c r="EX246"/>
      <c r="EY246"/>
      <c r="EZ246"/>
      <c r="FA246"/>
    </row>
    <row r="247" spans="1:157">
      <c r="AE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row>
  </sheetData>
  <phoneticPr fontId="2" type="noConversion"/>
  <pageMargins left="0" right="0" top="0" bottom="0" header="0" footer="0"/>
  <pageSetup scale="67" orientation="landscape" r:id="rId1"/>
  <headerFooter alignWithMargins="0"/>
  <drawing r:id="rId2"/>
  <legacyDrawing r:id="rId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A1:AB169"/>
  <sheetViews>
    <sheetView showGridLines="0" zoomScale="85" workbookViewId="0">
      <pane xSplit="2" ySplit="3" topLeftCell="C4" activePane="bottomRight" state="frozen"/>
      <selection pane="topRight" activeCell="C1" sqref="C1"/>
      <selection pane="bottomLeft" activeCell="A4" sqref="A4"/>
      <selection pane="bottomRight" activeCell="C4" sqref="C4"/>
    </sheetView>
  </sheetViews>
  <sheetFormatPr defaultColWidth="6.7109375" defaultRowHeight="12.75"/>
  <cols>
    <col min="1" max="1" width="3.140625" style="282" customWidth="1"/>
    <col min="2" max="2" width="35.85546875" style="282" customWidth="1"/>
    <col min="3" max="3" width="1.42578125" style="282" customWidth="1"/>
    <col min="4" max="21" width="6.140625" style="280" customWidth="1"/>
    <col min="22" max="22" width="6.28515625" style="281" customWidth="1"/>
    <col min="23" max="23" width="6.140625" customWidth="1"/>
    <col min="24" max="24" width="6" customWidth="1"/>
    <col min="25" max="28" width="6.7109375" customWidth="1"/>
    <col min="29" max="16384" width="6.7109375" style="282"/>
  </cols>
  <sheetData>
    <row r="1" spans="1:25" ht="15.75" customHeight="1">
      <c r="A1" s="357" t="s">
        <v>1125</v>
      </c>
      <c r="B1" s="278"/>
      <c r="C1" s="278"/>
      <c r="D1" s="279"/>
      <c r="E1" s="279"/>
      <c r="F1" s="279"/>
      <c r="G1" s="279"/>
      <c r="H1" s="279"/>
    </row>
    <row r="2" spans="1:25">
      <c r="A2" s="357" t="s">
        <v>1595</v>
      </c>
      <c r="B2" s="283"/>
      <c r="C2" s="283"/>
      <c r="D2" s="279"/>
      <c r="E2" s="279"/>
      <c r="F2" s="279"/>
      <c r="G2" s="279"/>
      <c r="H2" s="279"/>
      <c r="K2" s="378" t="s">
        <v>1692</v>
      </c>
      <c r="L2" s="379"/>
      <c r="M2" s="380"/>
    </row>
    <row r="3" spans="1:25">
      <c r="B3" s="284"/>
      <c r="C3" s="284"/>
      <c r="D3" s="285" t="s">
        <v>1242</v>
      </c>
      <c r="E3" s="285" t="s">
        <v>1241</v>
      </c>
      <c r="F3" s="285" t="s">
        <v>1240</v>
      </c>
      <c r="G3" s="285" t="s">
        <v>1239</v>
      </c>
      <c r="H3" s="285" t="s">
        <v>1238</v>
      </c>
      <c r="I3" s="285" t="s">
        <v>1059</v>
      </c>
      <c r="J3" s="285" t="s">
        <v>1058</v>
      </c>
      <c r="K3" s="377" t="s">
        <v>1057</v>
      </c>
      <c r="L3" s="377" t="s">
        <v>1234</v>
      </c>
      <c r="M3" s="377" t="s">
        <v>843</v>
      </c>
      <c r="N3" s="285" t="s">
        <v>634</v>
      </c>
      <c r="O3" s="358" t="s">
        <v>985</v>
      </c>
      <c r="P3" s="358" t="s">
        <v>986</v>
      </c>
      <c r="Q3" s="358" t="s">
        <v>1043</v>
      </c>
      <c r="R3" s="358" t="s">
        <v>1049</v>
      </c>
      <c r="S3" s="358" t="s">
        <v>191</v>
      </c>
      <c r="T3" s="358" t="s">
        <v>192</v>
      </c>
      <c r="U3" s="358" t="s">
        <v>193</v>
      </c>
      <c r="V3" s="358" t="s">
        <v>194</v>
      </c>
      <c r="W3" s="358" t="s">
        <v>276</v>
      </c>
      <c r="X3" s="358" t="s">
        <v>277</v>
      </c>
      <c r="Y3" s="358" t="s">
        <v>880</v>
      </c>
    </row>
    <row r="4" spans="1:25">
      <c r="B4" s="286"/>
      <c r="C4" s="286"/>
      <c r="D4" s="287"/>
      <c r="E4" s="287"/>
      <c r="F4" s="287"/>
      <c r="G4" s="287"/>
      <c r="H4" s="287"/>
      <c r="I4" s="287"/>
      <c r="J4" s="287"/>
      <c r="K4" s="287"/>
      <c r="L4" s="288"/>
      <c r="M4" s="289"/>
      <c r="N4" s="289"/>
      <c r="O4" s="289"/>
      <c r="P4" s="289"/>
      <c r="V4" s="290"/>
    </row>
    <row r="5" spans="1:25">
      <c r="B5" s="291" t="s">
        <v>1596</v>
      </c>
      <c r="C5" s="291"/>
      <c r="D5" s="292"/>
      <c r="L5" s="293"/>
      <c r="V5" s="280"/>
      <c r="W5" s="280"/>
      <c r="X5" s="280"/>
    </row>
    <row r="6" spans="1:25">
      <c r="B6" s="294" t="s">
        <v>1598</v>
      </c>
      <c r="C6" s="294"/>
      <c r="D6" s="295">
        <f t="shared" ref="D6:U6" si="0">D55</f>
        <v>16.157</v>
      </c>
      <c r="E6" s="296">
        <f t="shared" si="0"/>
        <v>27.15</v>
      </c>
      <c r="F6" s="296">
        <f t="shared" si="0"/>
        <v>25.193000000000001</v>
      </c>
      <c r="G6" s="296">
        <f t="shared" si="0"/>
        <v>28.646000000000001</v>
      </c>
      <c r="H6" s="296">
        <f t="shared" si="0"/>
        <v>30.837</v>
      </c>
      <c r="I6" s="296">
        <f t="shared" si="0"/>
        <v>29.425000000000001</v>
      </c>
      <c r="J6" s="296">
        <f t="shared" si="0"/>
        <v>50.069000000000003</v>
      </c>
      <c r="K6" s="296">
        <f t="shared" si="0"/>
        <v>60.408999999999992</v>
      </c>
      <c r="L6" s="296">
        <f t="shared" si="0"/>
        <v>79.905000000000001</v>
      </c>
      <c r="M6" s="296">
        <f t="shared" si="0"/>
        <v>96.811000000000007</v>
      </c>
      <c r="N6" s="296">
        <f t="shared" si="0"/>
        <v>103.101</v>
      </c>
      <c r="O6" s="296">
        <f t="shared" si="0"/>
        <v>109.79967360114037</v>
      </c>
      <c r="P6" s="296">
        <f t="shared" si="0"/>
        <v>116.93357312651634</v>
      </c>
      <c r="Q6" s="296">
        <f t="shared" si="0"/>
        <v>124.53097605558212</v>
      </c>
      <c r="R6" s="296">
        <f t="shared" si="0"/>
        <v>132.62199711093339</v>
      </c>
      <c r="S6" s="296">
        <f t="shared" si="0"/>
        <v>141.23870762758719</v>
      </c>
      <c r="T6" s="296">
        <f t="shared" si="0"/>
        <v>150.41526267791747</v>
      </c>
      <c r="U6" s="296">
        <f t="shared" si="0"/>
        <v>160.18803645614619</v>
      </c>
      <c r="V6" s="296">
        <f>V55</f>
        <v>170.59576645902973</v>
      </c>
      <c r="W6" s="296">
        <f>W55</f>
        <v>181.67970703424635</v>
      </c>
      <c r="X6" s="296">
        <f>X55</f>
        <v>193.4837929051227</v>
      </c>
      <c r="Y6" s="296">
        <f>Y55</f>
        <v>206.05481331988159</v>
      </c>
    </row>
    <row r="7" spans="1:25">
      <c r="B7" s="297" t="s">
        <v>1599</v>
      </c>
      <c r="C7" s="297"/>
      <c r="D7" s="298">
        <f t="shared" ref="D7:U7" si="1">D18</f>
        <v>-29.526194782318552</v>
      </c>
      <c r="E7" s="298">
        <f t="shared" si="1"/>
        <v>-25.766050382084856</v>
      </c>
      <c r="F7" s="298">
        <f t="shared" si="1"/>
        <v>-21.256861255327269</v>
      </c>
      <c r="G7" s="298">
        <f t="shared" si="1"/>
        <v>-20.885364188264766</v>
      </c>
      <c r="H7" s="298">
        <f t="shared" si="1"/>
        <v>-17.633080844527058</v>
      </c>
      <c r="I7" s="298">
        <f t="shared" si="1"/>
        <v>-11.404310685478283</v>
      </c>
      <c r="J7" s="298">
        <f t="shared" si="1"/>
        <v>-19.938618711095209</v>
      </c>
      <c r="K7" s="298">
        <f t="shared" si="1"/>
        <v>-51.373321979327123</v>
      </c>
      <c r="L7" s="298">
        <f t="shared" si="1"/>
        <v>-65.411298455530144</v>
      </c>
      <c r="M7" s="298">
        <f t="shared" si="1"/>
        <v>-82.109719219306498</v>
      </c>
      <c r="N7" s="298">
        <f t="shared" si="1"/>
        <v>-95.735077357115159</v>
      </c>
      <c r="O7" s="298">
        <f t="shared" si="1"/>
        <v>-105.67205475108487</v>
      </c>
      <c r="P7" s="298">
        <f t="shared" si="1"/>
        <v>-116.76557355370281</v>
      </c>
      <c r="Q7" s="298">
        <f t="shared" si="1"/>
        <v>-128.69783685744073</v>
      </c>
      <c r="R7" s="298">
        <f t="shared" si="1"/>
        <v>-142.44417563512465</v>
      </c>
      <c r="S7" s="298">
        <f t="shared" si="1"/>
        <v>-160.19786281667595</v>
      </c>
      <c r="T7" s="298">
        <f t="shared" si="1"/>
        <v>-167.46526761337302</v>
      </c>
      <c r="U7" s="298">
        <f t="shared" si="1"/>
        <v>-151.81952204305907</v>
      </c>
      <c r="V7" s="298">
        <f>V18</f>
        <v>-170.47144274165635</v>
      </c>
      <c r="W7" s="298">
        <f>W18</f>
        <v>-156.95117838795608</v>
      </c>
      <c r="X7" s="298">
        <f>X18</f>
        <v>-163.72093555239076</v>
      </c>
      <c r="Y7" s="298">
        <f>Y18</f>
        <v>-176.94241994243123</v>
      </c>
    </row>
    <row r="8" spans="1:25">
      <c r="B8" s="294" t="s">
        <v>1600</v>
      </c>
      <c r="C8" s="294"/>
      <c r="D8" s="296">
        <f t="shared" ref="D8:U8" si="2">SUM(D6:D7)</f>
        <v>-13.369194782318552</v>
      </c>
      <c r="E8" s="296">
        <f t="shared" si="2"/>
        <v>1.3839496179151425</v>
      </c>
      <c r="F8" s="296">
        <f t="shared" si="2"/>
        <v>3.9361387446727321</v>
      </c>
      <c r="G8" s="296">
        <f t="shared" si="2"/>
        <v>7.7606358117352343</v>
      </c>
      <c r="H8" s="296">
        <f t="shared" si="2"/>
        <v>13.203919155472942</v>
      </c>
      <c r="I8" s="296">
        <f t="shared" si="2"/>
        <v>18.020689314521718</v>
      </c>
      <c r="J8" s="296">
        <f t="shared" si="2"/>
        <v>30.130381288904793</v>
      </c>
      <c r="K8" s="296">
        <f t="shared" si="2"/>
        <v>9.0356780206728686</v>
      </c>
      <c r="L8" s="296">
        <f t="shared" si="2"/>
        <v>14.493701544469857</v>
      </c>
      <c r="M8" s="296">
        <f t="shared" si="2"/>
        <v>14.701280780693509</v>
      </c>
      <c r="N8" s="296">
        <f t="shared" si="2"/>
        <v>7.3659226428848399</v>
      </c>
      <c r="O8" s="296">
        <f t="shared" si="2"/>
        <v>4.127618850055498</v>
      </c>
      <c r="P8" s="296">
        <f t="shared" si="2"/>
        <v>0.16799957281352818</v>
      </c>
      <c r="Q8" s="296">
        <f t="shared" si="2"/>
        <v>-4.1668608018586184</v>
      </c>
      <c r="R8" s="296">
        <f t="shared" si="2"/>
        <v>-9.8221785241912585</v>
      </c>
      <c r="S8" s="296">
        <f t="shared" si="2"/>
        <v>-18.959155189088762</v>
      </c>
      <c r="T8" s="296">
        <f t="shared" si="2"/>
        <v>-17.050004935455547</v>
      </c>
      <c r="U8" s="296">
        <f t="shared" si="2"/>
        <v>8.3685144130871265</v>
      </c>
      <c r="V8" s="296">
        <f>SUM(V6:V7)</f>
        <v>0.12432371737338599</v>
      </c>
      <c r="W8" s="296">
        <f>SUM(W6:W7)</f>
        <v>24.728528646290272</v>
      </c>
      <c r="X8" s="296">
        <f>SUM(X6:X7)</f>
        <v>29.762857352731942</v>
      </c>
      <c r="Y8" s="296">
        <f>SUM(Y6:Y7)</f>
        <v>29.11239337745036</v>
      </c>
    </row>
    <row r="9" spans="1:25">
      <c r="B9" s="294"/>
      <c r="C9" s="294"/>
      <c r="D9" s="299"/>
      <c r="E9" s="299"/>
      <c r="F9" s="299"/>
      <c r="G9" s="299"/>
      <c r="H9" s="299"/>
      <c r="I9" s="299"/>
      <c r="J9" s="299"/>
      <c r="K9" s="299"/>
      <c r="L9" s="299"/>
      <c r="M9" s="299"/>
      <c r="N9" s="299"/>
      <c r="O9" s="299"/>
      <c r="P9" s="299"/>
      <c r="Q9" s="299"/>
      <c r="R9" s="299"/>
      <c r="S9" s="299"/>
      <c r="T9" s="299"/>
      <c r="U9" s="299"/>
      <c r="V9" s="299"/>
      <c r="W9" s="299"/>
      <c r="X9" s="299"/>
      <c r="Y9" s="299"/>
    </row>
    <row r="10" spans="1:25">
      <c r="B10" s="294" t="s">
        <v>1601</v>
      </c>
      <c r="C10" s="294"/>
      <c r="D10" s="298">
        <f t="shared" ref="D10:U10" si="3">-D26</f>
        <v>0</v>
      </c>
      <c r="E10" s="298">
        <f t="shared" si="3"/>
        <v>-23.330925087168957</v>
      </c>
      <c r="F10" s="298">
        <f t="shared" si="3"/>
        <v>-17.567901074242094</v>
      </c>
      <c r="G10" s="298">
        <f t="shared" si="3"/>
        <v>-21.43286295062758</v>
      </c>
      <c r="H10" s="298">
        <f t="shared" si="3"/>
        <v>-20.351793386453615</v>
      </c>
      <c r="I10" s="298">
        <f t="shared" si="3"/>
        <v>-18.121640230159507</v>
      </c>
      <c r="J10" s="298">
        <f t="shared" si="3"/>
        <v>-19.226270496032484</v>
      </c>
      <c r="K10" s="298">
        <f t="shared" si="3"/>
        <v>-25.036193291213017</v>
      </c>
      <c r="L10" s="298">
        <f t="shared" si="3"/>
        <v>-31.678870062516349</v>
      </c>
      <c r="M10" s="298">
        <f t="shared" si="3"/>
        <v>-37.898747907921845</v>
      </c>
      <c r="N10" s="298">
        <f t="shared" si="3"/>
        <v>-43.117042370424997</v>
      </c>
      <c r="O10" s="298">
        <f t="shared" si="3"/>
        <v>-46.724646743137505</v>
      </c>
      <c r="P10" s="298">
        <f t="shared" si="3"/>
        <v>-50.299887422760634</v>
      </c>
      <c r="Q10" s="298">
        <f t="shared" si="3"/>
        <v>-54.069300314208107</v>
      </c>
      <c r="R10" s="298">
        <f t="shared" si="3"/>
        <v>-57.42246095557946</v>
      </c>
      <c r="S10" s="298">
        <f t="shared" si="3"/>
        <v>-60.61538777534345</v>
      </c>
      <c r="T10" s="298">
        <f t="shared" si="3"/>
        <v>-64.015850663765846</v>
      </c>
      <c r="U10" s="298">
        <f t="shared" si="3"/>
        <v>-67.675110201825447</v>
      </c>
      <c r="V10" s="298">
        <f>-V26</f>
        <v>-71.607031248987113</v>
      </c>
      <c r="W10" s="298">
        <f>-W26</f>
        <v>-75.826590762519572</v>
      </c>
      <c r="X10" s="298">
        <f>-X26</f>
        <v>-80.349934679861875</v>
      </c>
      <c r="Y10" s="298">
        <f>-Y26</f>
        <v>-85.194439529972172</v>
      </c>
    </row>
    <row r="11" spans="1:25">
      <c r="B11" s="300" t="s">
        <v>1602</v>
      </c>
      <c r="C11" s="300"/>
      <c r="D11" s="296">
        <f t="shared" ref="D11:U11" si="4">D8+D10</f>
        <v>-13.369194782318552</v>
      </c>
      <c r="E11" s="296">
        <f t="shared" si="4"/>
        <v>-21.946975469253815</v>
      </c>
      <c r="F11" s="296">
        <f t="shared" si="4"/>
        <v>-13.631762329569362</v>
      </c>
      <c r="G11" s="296">
        <f t="shared" si="4"/>
        <v>-13.672227138892346</v>
      </c>
      <c r="H11" s="296">
        <f t="shared" si="4"/>
        <v>-7.1478742309806726</v>
      </c>
      <c r="I11" s="296">
        <f t="shared" si="4"/>
        <v>-0.1009509156377888</v>
      </c>
      <c r="J11" s="296">
        <f t="shared" si="4"/>
        <v>10.904110792872309</v>
      </c>
      <c r="K11" s="296">
        <f t="shared" si="4"/>
        <v>-16.000515270540149</v>
      </c>
      <c r="L11" s="296">
        <f t="shared" si="4"/>
        <v>-17.185168518046492</v>
      </c>
      <c r="M11" s="296">
        <f t="shared" si="4"/>
        <v>-23.197467127228336</v>
      </c>
      <c r="N11" s="296">
        <f t="shared" si="4"/>
        <v>-35.751119727540157</v>
      </c>
      <c r="O11" s="296">
        <f t="shared" si="4"/>
        <v>-42.597027893082007</v>
      </c>
      <c r="P11" s="296">
        <f t="shared" si="4"/>
        <v>-50.131887849947105</v>
      </c>
      <c r="Q11" s="296">
        <f t="shared" si="4"/>
        <v>-58.236161116066725</v>
      </c>
      <c r="R11" s="296">
        <f t="shared" si="4"/>
        <v>-67.244639479770711</v>
      </c>
      <c r="S11" s="296">
        <f t="shared" si="4"/>
        <v>-79.574542964432212</v>
      </c>
      <c r="T11" s="296">
        <f t="shared" si="4"/>
        <v>-81.065855599221393</v>
      </c>
      <c r="U11" s="296">
        <f t="shared" si="4"/>
        <v>-59.306595788738321</v>
      </c>
      <c r="V11" s="296">
        <f>V8+V10</f>
        <v>-71.482707531613727</v>
      </c>
      <c r="W11" s="296">
        <f>W8+W10</f>
        <v>-51.0980621162293</v>
      </c>
      <c r="X11" s="296">
        <f>X8+X10</f>
        <v>-50.587077327129933</v>
      </c>
      <c r="Y11" s="296">
        <f>Y8+Y10</f>
        <v>-56.082046152521812</v>
      </c>
    </row>
    <row r="12" spans="1:25">
      <c r="B12" s="294"/>
      <c r="C12" s="294"/>
      <c r="D12" s="296"/>
      <c r="E12" s="296"/>
      <c r="F12" s="296"/>
      <c r="G12" s="296"/>
      <c r="H12" s="296"/>
      <c r="I12" s="296"/>
      <c r="J12" s="296"/>
      <c r="K12" s="296"/>
      <c r="L12" s="296"/>
      <c r="M12" s="296"/>
      <c r="N12" s="296"/>
      <c r="O12" s="296"/>
      <c r="P12" s="296"/>
      <c r="Q12" s="296"/>
      <c r="R12" s="296"/>
      <c r="S12" s="296"/>
      <c r="T12" s="296"/>
      <c r="U12" s="296"/>
      <c r="V12" s="296"/>
      <c r="W12" s="296"/>
      <c r="X12" s="296"/>
      <c r="Y12" s="296"/>
    </row>
    <row r="13" spans="1:25">
      <c r="B13" s="294" t="s">
        <v>1603</v>
      </c>
      <c r="C13" s="294"/>
      <c r="D13" s="296">
        <f t="shared" ref="D13:U13" si="5">D6+D10</f>
        <v>16.157</v>
      </c>
      <c r="E13" s="296">
        <f t="shared" si="5"/>
        <v>3.8190749128310415</v>
      </c>
      <c r="F13" s="296">
        <f t="shared" si="5"/>
        <v>7.6250989257579072</v>
      </c>
      <c r="G13" s="296">
        <f t="shared" si="5"/>
        <v>7.2131370493724205</v>
      </c>
      <c r="H13" s="296">
        <f t="shared" si="5"/>
        <v>10.485206613546385</v>
      </c>
      <c r="I13" s="296">
        <f t="shared" si="5"/>
        <v>11.303359769840494</v>
      </c>
      <c r="J13" s="296">
        <f t="shared" si="5"/>
        <v>30.842729503967519</v>
      </c>
      <c r="K13" s="296">
        <f t="shared" si="5"/>
        <v>35.372806708786975</v>
      </c>
      <c r="L13" s="296">
        <f t="shared" si="5"/>
        <v>48.226129937483648</v>
      </c>
      <c r="M13" s="296">
        <f t="shared" si="5"/>
        <v>58.912252092078162</v>
      </c>
      <c r="N13" s="296">
        <f t="shared" si="5"/>
        <v>59.983957629575002</v>
      </c>
      <c r="O13" s="296">
        <f t="shared" si="5"/>
        <v>63.075026858002865</v>
      </c>
      <c r="P13" s="296">
        <f t="shared" si="5"/>
        <v>66.633685703755702</v>
      </c>
      <c r="Q13" s="296">
        <f t="shared" si="5"/>
        <v>70.461675741374009</v>
      </c>
      <c r="R13" s="296">
        <f t="shared" si="5"/>
        <v>75.19953615535394</v>
      </c>
      <c r="S13" s="296">
        <f t="shared" si="5"/>
        <v>80.623319852243739</v>
      </c>
      <c r="T13" s="296">
        <f t="shared" si="5"/>
        <v>86.399412014151622</v>
      </c>
      <c r="U13" s="296">
        <f t="shared" si="5"/>
        <v>92.512926254320746</v>
      </c>
      <c r="V13" s="296">
        <f>V6+V10</f>
        <v>98.98873521004262</v>
      </c>
      <c r="W13" s="296">
        <f>W6+W10</f>
        <v>105.85311627172678</v>
      </c>
      <c r="X13" s="296">
        <f>X6+X10</f>
        <v>113.13385822526082</v>
      </c>
      <c r="Y13" s="296">
        <f>Y6+Y10</f>
        <v>120.86037378990942</v>
      </c>
    </row>
    <row r="14" spans="1:25">
      <c r="B14" s="294"/>
      <c r="C14" s="294"/>
      <c r="D14" s="293"/>
      <c r="E14" s="293"/>
      <c r="F14" s="293"/>
      <c r="G14" s="293"/>
      <c r="H14" s="293"/>
      <c r="I14" s="293"/>
      <c r="J14" s="293"/>
      <c r="K14" s="293"/>
      <c r="L14" s="293"/>
      <c r="M14" s="293"/>
      <c r="N14" s="293"/>
      <c r="O14" s="293"/>
      <c r="P14" s="293"/>
      <c r="Q14" s="293"/>
      <c r="R14" s="293"/>
      <c r="S14" s="293"/>
      <c r="T14" s="293"/>
      <c r="U14" s="293"/>
      <c r="V14" s="293"/>
      <c r="W14" s="293"/>
      <c r="X14" s="293"/>
      <c r="Y14" s="293"/>
    </row>
    <row r="15" spans="1:25">
      <c r="B15" s="301" t="s">
        <v>1604</v>
      </c>
      <c r="C15" s="301"/>
      <c r="D15" s="285" t="str">
        <f>D3</f>
        <v>2000A</v>
      </c>
      <c r="E15" s="285" t="str">
        <f t="shared" ref="E15:X15" si="6">E3</f>
        <v>2001A</v>
      </c>
      <c r="F15" s="285" t="str">
        <f t="shared" si="6"/>
        <v>2002A</v>
      </c>
      <c r="G15" s="285" t="str">
        <f t="shared" si="6"/>
        <v>2003A</v>
      </c>
      <c r="H15" s="285" t="str">
        <f t="shared" si="6"/>
        <v>2004A</v>
      </c>
      <c r="I15" s="285" t="str">
        <f t="shared" si="6"/>
        <v>2005A</v>
      </c>
      <c r="J15" s="285" t="str">
        <f t="shared" si="6"/>
        <v>2006A</v>
      </c>
      <c r="K15" s="285" t="str">
        <f t="shared" si="6"/>
        <v>2007A</v>
      </c>
      <c r="L15" s="285" t="str">
        <f t="shared" si="6"/>
        <v>2008A</v>
      </c>
      <c r="M15" s="285" t="str">
        <f t="shared" si="6"/>
        <v>2009A</v>
      </c>
      <c r="N15" s="285" t="str">
        <f t="shared" si="6"/>
        <v>2010A</v>
      </c>
      <c r="O15" s="285" t="str">
        <f t="shared" si="6"/>
        <v>2011E</v>
      </c>
      <c r="P15" s="285" t="str">
        <f t="shared" si="6"/>
        <v>2012E</v>
      </c>
      <c r="Q15" s="285" t="str">
        <f t="shared" si="6"/>
        <v>2013E</v>
      </c>
      <c r="R15" s="285" t="str">
        <f t="shared" si="6"/>
        <v>2014E</v>
      </c>
      <c r="S15" s="285" t="str">
        <f t="shared" si="6"/>
        <v>2015E</v>
      </c>
      <c r="T15" s="285" t="str">
        <f t="shared" si="6"/>
        <v>2016E</v>
      </c>
      <c r="U15" s="285" t="str">
        <f t="shared" si="6"/>
        <v>2017E</v>
      </c>
      <c r="V15" s="285" t="str">
        <f t="shared" si="6"/>
        <v>2018E</v>
      </c>
      <c r="W15" s="285" t="str">
        <f t="shared" si="6"/>
        <v>2019E</v>
      </c>
      <c r="X15" s="285" t="str">
        <f t="shared" si="6"/>
        <v>2020E</v>
      </c>
      <c r="Y15" s="285" t="str">
        <f>Y3</f>
        <v>2021E</v>
      </c>
    </row>
    <row r="16" spans="1:25">
      <c r="B16" s="302" t="s">
        <v>1607</v>
      </c>
      <c r="C16" s="302"/>
      <c r="D16" s="303"/>
      <c r="E16" s="304">
        <f t="shared" ref="E16:U16" si="7">D19</f>
        <v>236.07720622757626</v>
      </c>
      <c r="F16" s="304">
        <f t="shared" si="7"/>
        <v>206.19776116649126</v>
      </c>
      <c r="G16" s="304">
        <f t="shared" si="7"/>
        <v>166.50750923201485</v>
      </c>
      <c r="H16" s="304">
        <f t="shared" si="7"/>
        <v>172.83170574419802</v>
      </c>
      <c r="I16" s="304">
        <f>H19</f>
        <v>146.01794577466922</v>
      </c>
      <c r="J16" s="304">
        <f t="shared" si="7"/>
        <v>95.870988313874008</v>
      </c>
      <c r="K16" s="304">
        <f t="shared" si="7"/>
        <v>173.88532394196002</v>
      </c>
      <c r="L16" s="304">
        <f t="shared" si="7"/>
        <v>449.64349001860148</v>
      </c>
      <c r="M16" s="304">
        <f t="shared" si="7"/>
        <v>543.45546959123374</v>
      </c>
      <c r="N16" s="304">
        <f t="shared" si="7"/>
        <v>636.01656115075184</v>
      </c>
      <c r="O16" s="304">
        <f t="shared" si="7"/>
        <v>685.84296481820513</v>
      </c>
      <c r="P16" s="304">
        <f t="shared" si="7"/>
        <v>687.99694243046315</v>
      </c>
      <c r="Q16" s="304">
        <f t="shared" si="7"/>
        <v>689.30455854201819</v>
      </c>
      <c r="R16" s="304">
        <f t="shared" si="7"/>
        <v>685.93042008395582</v>
      </c>
      <c r="S16" s="304">
        <f t="shared" si="7"/>
        <v>685.81116888768065</v>
      </c>
      <c r="T16" s="304">
        <f t="shared" si="7"/>
        <v>681.33559119855306</v>
      </c>
      <c r="U16" s="304">
        <f t="shared" si="7"/>
        <v>679.71019011827411</v>
      </c>
      <c r="V16" s="304">
        <f>U19</f>
        <v>704.50547506438488</v>
      </c>
      <c r="W16" s="304">
        <f>V19</f>
        <v>722.12384872159237</v>
      </c>
      <c r="X16" s="304">
        <f>W19</f>
        <v>765.48304994482987</v>
      </c>
      <c r="Y16" s="304">
        <f>X19</f>
        <v>815.08705110720985</v>
      </c>
    </row>
    <row r="17" spans="1:25">
      <c r="A17" s="305"/>
      <c r="B17" s="306" t="s">
        <v>1608</v>
      </c>
      <c r="C17" s="306"/>
      <c r="D17" s="304"/>
      <c r="E17" s="304">
        <f t="shared" ref="E17:U17" si="8">E115</f>
        <v>-4.1133946790001383</v>
      </c>
      <c r="F17" s="304">
        <f t="shared" si="8"/>
        <v>-18.433390679149142</v>
      </c>
      <c r="G17" s="304">
        <f t="shared" si="8"/>
        <v>27.209560700447934</v>
      </c>
      <c r="H17" s="304">
        <f t="shared" si="8"/>
        <v>-9.1806791250017561</v>
      </c>
      <c r="I17" s="304">
        <f t="shared" si="8"/>
        <v>-38.742646775316928</v>
      </c>
      <c r="J17" s="304">
        <f t="shared" si="8"/>
        <v>97.952954339181233</v>
      </c>
      <c r="K17" s="304">
        <f t="shared" si="8"/>
        <v>327.13148805596859</v>
      </c>
      <c r="L17" s="304">
        <f t="shared" si="8"/>
        <v>159.22327802816244</v>
      </c>
      <c r="M17" s="304">
        <f t="shared" si="8"/>
        <v>174.67081077882466</v>
      </c>
      <c r="N17" s="304">
        <f t="shared" si="8"/>
        <v>145.56148102456848</v>
      </c>
      <c r="O17" s="304">
        <f t="shared" si="8"/>
        <v>107.82603236334288</v>
      </c>
      <c r="P17" s="304">
        <f t="shared" si="8"/>
        <v>118.0731896652578</v>
      </c>
      <c r="Q17" s="304">
        <f t="shared" si="8"/>
        <v>125.32369839937834</v>
      </c>
      <c r="R17" s="304">
        <f t="shared" si="8"/>
        <v>142.32492443884948</v>
      </c>
      <c r="S17" s="304">
        <f t="shared" si="8"/>
        <v>155.72228512754839</v>
      </c>
      <c r="T17" s="304">
        <f t="shared" si="8"/>
        <v>165.83986653309404</v>
      </c>
      <c r="U17" s="304">
        <f t="shared" si="8"/>
        <v>176.61480698916995</v>
      </c>
      <c r="V17" s="304">
        <f>V115</f>
        <v>188.08981639886383</v>
      </c>
      <c r="W17" s="304">
        <f>W115</f>
        <v>200.3103796111935</v>
      </c>
      <c r="X17" s="304">
        <f>X115</f>
        <v>213.32493671477067</v>
      </c>
      <c r="Y17" s="304">
        <f>Y115</f>
        <v>227.1850750454966</v>
      </c>
    </row>
    <row r="18" spans="1:25">
      <c r="B18" s="281" t="s">
        <v>1609</v>
      </c>
      <c r="C18" s="281"/>
      <c r="D18" s="304">
        <f t="shared" ref="D18:U18" si="9">-D146</f>
        <v>-29.526194782318552</v>
      </c>
      <c r="E18" s="304">
        <f t="shared" si="9"/>
        <v>-25.766050382084856</v>
      </c>
      <c r="F18" s="304">
        <f t="shared" si="9"/>
        <v>-21.256861255327269</v>
      </c>
      <c r="G18" s="304">
        <f t="shared" si="9"/>
        <v>-20.885364188264766</v>
      </c>
      <c r="H18" s="304">
        <f t="shared" si="9"/>
        <v>-17.633080844527058</v>
      </c>
      <c r="I18" s="304">
        <f t="shared" si="9"/>
        <v>-11.404310685478283</v>
      </c>
      <c r="J18" s="304">
        <f t="shared" si="9"/>
        <v>-19.938618711095209</v>
      </c>
      <c r="K18" s="304">
        <f t="shared" si="9"/>
        <v>-51.373321979327123</v>
      </c>
      <c r="L18" s="307">
        <f t="shared" si="9"/>
        <v>-65.411298455530144</v>
      </c>
      <c r="M18" s="307">
        <f t="shared" si="9"/>
        <v>-82.109719219306498</v>
      </c>
      <c r="N18" s="304">
        <f t="shared" si="9"/>
        <v>-95.735077357115159</v>
      </c>
      <c r="O18" s="304">
        <f t="shared" si="9"/>
        <v>-105.67205475108487</v>
      </c>
      <c r="P18" s="304">
        <f t="shared" si="9"/>
        <v>-116.76557355370281</v>
      </c>
      <c r="Q18" s="304">
        <f t="shared" si="9"/>
        <v>-128.69783685744073</v>
      </c>
      <c r="R18" s="304">
        <f t="shared" si="9"/>
        <v>-142.44417563512465</v>
      </c>
      <c r="S18" s="304">
        <f t="shared" si="9"/>
        <v>-160.19786281667595</v>
      </c>
      <c r="T18" s="304">
        <f t="shared" si="9"/>
        <v>-167.46526761337302</v>
      </c>
      <c r="U18" s="304">
        <f t="shared" si="9"/>
        <v>-151.81952204305907</v>
      </c>
      <c r="V18" s="304">
        <f>-V146</f>
        <v>-170.47144274165635</v>
      </c>
      <c r="W18" s="304">
        <f>-W146</f>
        <v>-156.95117838795608</v>
      </c>
      <c r="X18" s="304">
        <f>-X146</f>
        <v>-163.72093555239076</v>
      </c>
      <c r="Y18" s="304">
        <f>-Y146</f>
        <v>-176.94241994243123</v>
      </c>
    </row>
    <row r="19" spans="1:25">
      <c r="B19" s="281" t="s">
        <v>1610</v>
      </c>
      <c r="C19" s="281"/>
      <c r="D19" s="308">
        <f>D29*D22</f>
        <v>236.07720622757626</v>
      </c>
      <c r="E19" s="308">
        <f t="shared" ref="E19:U19" si="10">SUM(E16:E18)</f>
        <v>206.19776116649126</v>
      </c>
      <c r="F19" s="308">
        <f t="shared" si="10"/>
        <v>166.50750923201485</v>
      </c>
      <c r="G19" s="308">
        <f t="shared" si="10"/>
        <v>172.83170574419802</v>
      </c>
      <c r="H19" s="308">
        <f t="shared" si="10"/>
        <v>146.01794577466922</v>
      </c>
      <c r="I19" s="308">
        <f t="shared" si="10"/>
        <v>95.870988313874008</v>
      </c>
      <c r="J19" s="308">
        <f t="shared" si="10"/>
        <v>173.88532394196002</v>
      </c>
      <c r="K19" s="308">
        <f t="shared" si="10"/>
        <v>449.64349001860148</v>
      </c>
      <c r="L19" s="308">
        <f t="shared" si="10"/>
        <v>543.45546959123374</v>
      </c>
      <c r="M19" s="308">
        <f t="shared" si="10"/>
        <v>636.01656115075184</v>
      </c>
      <c r="N19" s="308">
        <f t="shared" si="10"/>
        <v>685.84296481820513</v>
      </c>
      <c r="O19" s="308">
        <f t="shared" si="10"/>
        <v>687.99694243046315</v>
      </c>
      <c r="P19" s="308">
        <f t="shared" si="10"/>
        <v>689.30455854201819</v>
      </c>
      <c r="Q19" s="308">
        <f t="shared" si="10"/>
        <v>685.93042008395582</v>
      </c>
      <c r="R19" s="308">
        <f t="shared" si="10"/>
        <v>685.81116888768065</v>
      </c>
      <c r="S19" s="308">
        <f t="shared" si="10"/>
        <v>681.33559119855306</v>
      </c>
      <c r="T19" s="308">
        <f t="shared" si="10"/>
        <v>679.71019011827411</v>
      </c>
      <c r="U19" s="308">
        <f t="shared" si="10"/>
        <v>704.50547506438488</v>
      </c>
      <c r="V19" s="308">
        <f>SUM(V16:V18)</f>
        <v>722.12384872159237</v>
      </c>
      <c r="W19" s="308">
        <f>SUM(W16:W18)</f>
        <v>765.48304994482987</v>
      </c>
      <c r="X19" s="308">
        <f>SUM(X16:X18)</f>
        <v>815.08705110720985</v>
      </c>
      <c r="Y19" s="308">
        <f>SUM(Y16:Y18)</f>
        <v>865.32970621027528</v>
      </c>
    </row>
    <row r="20" spans="1:25">
      <c r="B20" s="281"/>
      <c r="C20" s="281"/>
      <c r="D20" s="304"/>
      <c r="E20" s="304"/>
      <c r="F20" s="304"/>
      <c r="G20" s="304"/>
      <c r="H20" s="304"/>
      <c r="I20" s="304"/>
      <c r="J20" s="304"/>
      <c r="K20" s="304"/>
      <c r="L20" s="304"/>
      <c r="M20" s="304"/>
      <c r="N20" s="304"/>
      <c r="O20" s="304"/>
      <c r="P20" s="304"/>
      <c r="Q20" s="304"/>
      <c r="R20" s="304"/>
      <c r="S20" s="304"/>
      <c r="T20" s="304"/>
      <c r="U20" s="304"/>
      <c r="V20" s="304"/>
      <c r="W20" s="304"/>
      <c r="X20" s="304"/>
      <c r="Y20" s="304"/>
    </row>
    <row r="21" spans="1:25">
      <c r="B21" s="309" t="s">
        <v>1611</v>
      </c>
      <c r="C21" s="309"/>
      <c r="D21" s="308">
        <f>D29*D22</f>
        <v>236.07720622757626</v>
      </c>
      <c r="E21" s="308">
        <f t="shared" ref="E21:U21" si="11">E19</f>
        <v>206.19776116649126</v>
      </c>
      <c r="F21" s="308">
        <f t="shared" si="11"/>
        <v>166.50750923201485</v>
      </c>
      <c r="G21" s="308">
        <f t="shared" si="11"/>
        <v>172.83170574419802</v>
      </c>
      <c r="H21" s="308">
        <f t="shared" si="11"/>
        <v>146.01794577466922</v>
      </c>
      <c r="I21" s="308">
        <f t="shared" si="11"/>
        <v>95.870988313874008</v>
      </c>
      <c r="J21" s="308">
        <f t="shared" si="11"/>
        <v>173.88532394196002</v>
      </c>
      <c r="K21" s="308">
        <f t="shared" si="11"/>
        <v>449.64349001860148</v>
      </c>
      <c r="L21" s="308">
        <f t="shared" si="11"/>
        <v>543.45546959123374</v>
      </c>
      <c r="M21" s="308">
        <f t="shared" si="11"/>
        <v>636.01656115075184</v>
      </c>
      <c r="N21" s="308">
        <f t="shared" si="11"/>
        <v>685.84296481820513</v>
      </c>
      <c r="O21" s="308">
        <f t="shared" si="11"/>
        <v>687.99694243046315</v>
      </c>
      <c r="P21" s="308">
        <f t="shared" si="11"/>
        <v>689.30455854201819</v>
      </c>
      <c r="Q21" s="308">
        <f t="shared" si="11"/>
        <v>685.93042008395582</v>
      </c>
      <c r="R21" s="308">
        <f t="shared" si="11"/>
        <v>685.81116888768065</v>
      </c>
      <c r="S21" s="308">
        <f t="shared" si="11"/>
        <v>681.33559119855306</v>
      </c>
      <c r="T21" s="308">
        <f t="shared" si="11"/>
        <v>679.71019011827411</v>
      </c>
      <c r="U21" s="308">
        <f t="shared" si="11"/>
        <v>704.50547506438488</v>
      </c>
      <c r="V21" s="308">
        <f>V19</f>
        <v>722.12384872159237</v>
      </c>
      <c r="W21" s="308">
        <f>W19</f>
        <v>765.48304994482987</v>
      </c>
      <c r="X21" s="308">
        <f>X19</f>
        <v>815.08705110720985</v>
      </c>
      <c r="Y21" s="308">
        <f>Y19</f>
        <v>865.32970621027528</v>
      </c>
    </row>
    <row r="22" spans="1:25">
      <c r="B22" s="310" t="s">
        <v>1612</v>
      </c>
      <c r="C22" s="310"/>
      <c r="D22" s="371">
        <v>0.93</v>
      </c>
      <c r="E22" s="311"/>
      <c r="F22" s="311"/>
      <c r="G22" s="311"/>
      <c r="H22" s="311"/>
      <c r="I22" s="311"/>
      <c r="J22" s="311"/>
      <c r="K22" s="311"/>
      <c r="L22" s="311"/>
      <c r="M22" s="311"/>
      <c r="N22" s="311"/>
      <c r="O22" s="311"/>
      <c r="P22" s="311"/>
      <c r="Q22" s="311"/>
      <c r="R22" s="311"/>
      <c r="S22" s="311"/>
      <c r="T22" s="311"/>
      <c r="U22" s="311"/>
      <c r="V22" s="311"/>
      <c r="W22" s="311"/>
      <c r="X22" s="311"/>
      <c r="Y22" s="311"/>
    </row>
    <row r="23" spans="1:25">
      <c r="B23" s="310"/>
      <c r="C23" s="310"/>
      <c r="D23" s="312"/>
      <c r="E23" s="311"/>
      <c r="F23" s="311"/>
      <c r="G23" s="311"/>
      <c r="H23" s="311"/>
      <c r="I23" s="311"/>
      <c r="J23" s="311"/>
      <c r="K23" s="311"/>
      <c r="L23" s="311"/>
      <c r="M23" s="311"/>
      <c r="N23" s="311"/>
      <c r="O23" s="311"/>
      <c r="P23" s="311"/>
      <c r="Q23" s="311"/>
      <c r="R23" s="311"/>
      <c r="S23" s="311"/>
      <c r="T23" s="311"/>
      <c r="U23" s="311"/>
      <c r="V23" s="311"/>
      <c r="W23" s="311"/>
      <c r="X23" s="311"/>
      <c r="Y23" s="311"/>
    </row>
    <row r="24" spans="1:25">
      <c r="B24" s="301" t="s">
        <v>1613</v>
      </c>
      <c r="C24" s="301"/>
      <c r="D24" s="285" t="str">
        <f>D3</f>
        <v>2000A</v>
      </c>
      <c r="E24" s="285" t="str">
        <f t="shared" ref="E24:X24" si="12">E3</f>
        <v>2001A</v>
      </c>
      <c r="F24" s="285" t="str">
        <f t="shared" si="12"/>
        <v>2002A</v>
      </c>
      <c r="G24" s="285" t="str">
        <f t="shared" si="12"/>
        <v>2003A</v>
      </c>
      <c r="H24" s="285" t="str">
        <f t="shared" si="12"/>
        <v>2004A</v>
      </c>
      <c r="I24" s="285" t="str">
        <f t="shared" si="12"/>
        <v>2005A</v>
      </c>
      <c r="J24" s="285" t="str">
        <f t="shared" si="12"/>
        <v>2006A</v>
      </c>
      <c r="K24" s="285" t="str">
        <f t="shared" si="12"/>
        <v>2007A</v>
      </c>
      <c r="L24" s="285" t="str">
        <f t="shared" si="12"/>
        <v>2008A</v>
      </c>
      <c r="M24" s="285" t="str">
        <f t="shared" si="12"/>
        <v>2009A</v>
      </c>
      <c r="N24" s="285" t="str">
        <f t="shared" si="12"/>
        <v>2010A</v>
      </c>
      <c r="O24" s="285" t="str">
        <f t="shared" si="12"/>
        <v>2011E</v>
      </c>
      <c r="P24" s="285" t="str">
        <f t="shared" si="12"/>
        <v>2012E</v>
      </c>
      <c r="Q24" s="285" t="str">
        <f t="shared" si="12"/>
        <v>2013E</v>
      </c>
      <c r="R24" s="285" t="str">
        <f t="shared" si="12"/>
        <v>2014E</v>
      </c>
      <c r="S24" s="285" t="str">
        <f t="shared" si="12"/>
        <v>2015E</v>
      </c>
      <c r="T24" s="285" t="str">
        <f t="shared" si="12"/>
        <v>2016E</v>
      </c>
      <c r="U24" s="285" t="str">
        <f t="shared" si="12"/>
        <v>2017E</v>
      </c>
      <c r="V24" s="285" t="str">
        <f t="shared" si="12"/>
        <v>2018E</v>
      </c>
      <c r="W24" s="285" t="str">
        <f t="shared" si="12"/>
        <v>2019E</v>
      </c>
      <c r="X24" s="285" t="str">
        <f t="shared" si="12"/>
        <v>2020E</v>
      </c>
      <c r="Y24" s="285" t="str">
        <f>Y3</f>
        <v>2021E</v>
      </c>
    </row>
    <row r="25" spans="1:25">
      <c r="B25" s="313" t="s">
        <v>1614</v>
      </c>
      <c r="C25" s="313"/>
      <c r="D25" s="311"/>
      <c r="E25" s="311">
        <f t="shared" ref="E25:U25" si="13">D29</f>
        <v>253.84645830922176</v>
      </c>
      <c r="F25" s="311">
        <f t="shared" si="13"/>
        <v>245.91398871739057</v>
      </c>
      <c r="G25" s="311">
        <f t="shared" si="13"/>
        <v>219.85549911248353</v>
      </c>
      <c r="H25" s="311">
        <f t="shared" si="13"/>
        <v>239.851922763559</v>
      </c>
      <c r="I25" s="311">
        <f>H29</f>
        <v>220.18603702501088</v>
      </c>
      <c r="J25" s="311">
        <f t="shared" si="13"/>
        <v>170.14003047985344</v>
      </c>
      <c r="K25" s="311">
        <f t="shared" si="13"/>
        <v>237.25025531506714</v>
      </c>
      <c r="L25" s="311">
        <f t="shared" si="13"/>
        <v>529.00893666224874</v>
      </c>
      <c r="M25" s="311">
        <f t="shared" si="13"/>
        <v>640.00608475292756</v>
      </c>
      <c r="N25" s="311">
        <f t="shared" si="13"/>
        <v>755.76464343967405</v>
      </c>
      <c r="O25" s="311">
        <f t="shared" si="13"/>
        <v>841.34216683466752</v>
      </c>
      <c r="P25" s="311">
        <f t="shared" si="13"/>
        <v>886.09317234000753</v>
      </c>
      <c r="Q25" s="311">
        <f t="shared" si="13"/>
        <v>937.5326763015097</v>
      </c>
      <c r="R25" s="311">
        <f t="shared" si="13"/>
        <v>992.39469895951413</v>
      </c>
      <c r="S25" s="311">
        <f t="shared" si="13"/>
        <v>1059.5200872430096</v>
      </c>
      <c r="T25" s="311">
        <f t="shared" si="13"/>
        <v>1134.6190525183142</v>
      </c>
      <c r="U25" s="311">
        <f t="shared" si="13"/>
        <v>1214.0595070372565</v>
      </c>
      <c r="V25" s="311">
        <f>U29</f>
        <v>1298.1613877721056</v>
      </c>
      <c r="W25" s="311">
        <f>V29</f>
        <v>1387.2624689609268</v>
      </c>
      <c r="X25" s="311">
        <f>W29</f>
        <v>1481.7197323003934</v>
      </c>
      <c r="Y25" s="311">
        <f>X29</f>
        <v>1581.9108107899033</v>
      </c>
    </row>
    <row r="26" spans="1:25">
      <c r="B26" s="314" t="s">
        <v>1615</v>
      </c>
      <c r="C26" s="314"/>
      <c r="D26" s="311"/>
      <c r="E26" s="311">
        <f t="shared" ref="E26:Y26" si="14">E25*D34+E35*E28</f>
        <v>23.330925087168957</v>
      </c>
      <c r="F26" s="311">
        <f t="shared" si="14"/>
        <v>17.567901074242094</v>
      </c>
      <c r="G26" s="311">
        <f t="shared" si="14"/>
        <v>21.43286295062758</v>
      </c>
      <c r="H26" s="311">
        <f t="shared" si="14"/>
        <v>20.351793386453615</v>
      </c>
      <c r="I26" s="311">
        <f t="shared" si="14"/>
        <v>18.121640230159507</v>
      </c>
      <c r="J26" s="311">
        <f t="shared" si="14"/>
        <v>19.226270496032484</v>
      </c>
      <c r="K26" s="311">
        <f t="shared" si="14"/>
        <v>25.036193291213017</v>
      </c>
      <c r="L26" s="311">
        <f t="shared" si="14"/>
        <v>31.678870062516349</v>
      </c>
      <c r="M26" s="311">
        <f t="shared" si="14"/>
        <v>37.898747907921845</v>
      </c>
      <c r="N26" s="311">
        <f t="shared" si="14"/>
        <v>43.117042370424997</v>
      </c>
      <c r="O26" s="311">
        <f t="shared" si="14"/>
        <v>46.724646743137505</v>
      </c>
      <c r="P26" s="311">
        <f t="shared" si="14"/>
        <v>50.299887422760634</v>
      </c>
      <c r="Q26" s="311">
        <f t="shared" si="14"/>
        <v>54.069300314208107</v>
      </c>
      <c r="R26" s="311">
        <f t="shared" si="14"/>
        <v>57.42246095557946</v>
      </c>
      <c r="S26" s="311">
        <f t="shared" si="14"/>
        <v>60.61538777534345</v>
      </c>
      <c r="T26" s="311">
        <f t="shared" si="14"/>
        <v>64.015850663765846</v>
      </c>
      <c r="U26" s="311">
        <f t="shared" si="14"/>
        <v>67.675110201825447</v>
      </c>
      <c r="V26" s="311">
        <f t="shared" si="14"/>
        <v>71.607031248987113</v>
      </c>
      <c r="W26" s="311">
        <f t="shared" si="14"/>
        <v>75.826590762519572</v>
      </c>
      <c r="X26" s="311">
        <f t="shared" si="14"/>
        <v>80.349934679861875</v>
      </c>
      <c r="Y26" s="311">
        <f t="shared" si="14"/>
        <v>85.194439529972172</v>
      </c>
    </row>
    <row r="27" spans="1:25">
      <c r="B27" s="314" t="s">
        <v>1616</v>
      </c>
      <c r="C27" s="314"/>
      <c r="D27" s="311"/>
      <c r="E27" s="311">
        <f t="shared" ref="E27:U27" si="15">-E6</f>
        <v>-27.15</v>
      </c>
      <c r="F27" s="311">
        <f t="shared" si="15"/>
        <v>-25.193000000000001</v>
      </c>
      <c r="G27" s="311">
        <f t="shared" si="15"/>
        <v>-28.646000000000001</v>
      </c>
      <c r="H27" s="311">
        <f t="shared" si="15"/>
        <v>-30.837</v>
      </c>
      <c r="I27" s="311">
        <f t="shared" si="15"/>
        <v>-29.425000000000001</v>
      </c>
      <c r="J27" s="311">
        <f t="shared" si="15"/>
        <v>-50.069000000000003</v>
      </c>
      <c r="K27" s="311">
        <f t="shared" si="15"/>
        <v>-60.408999999999992</v>
      </c>
      <c r="L27" s="311">
        <f t="shared" si="15"/>
        <v>-79.905000000000001</v>
      </c>
      <c r="M27" s="311">
        <f t="shared" si="15"/>
        <v>-96.811000000000007</v>
      </c>
      <c r="N27" s="311">
        <f t="shared" si="15"/>
        <v>-103.101</v>
      </c>
      <c r="O27" s="311">
        <f t="shared" si="15"/>
        <v>-109.79967360114037</v>
      </c>
      <c r="P27" s="311">
        <f t="shared" si="15"/>
        <v>-116.93357312651634</v>
      </c>
      <c r="Q27" s="311">
        <f t="shared" si="15"/>
        <v>-124.53097605558212</v>
      </c>
      <c r="R27" s="311">
        <f t="shared" si="15"/>
        <v>-132.62199711093339</v>
      </c>
      <c r="S27" s="311">
        <f t="shared" si="15"/>
        <v>-141.23870762758719</v>
      </c>
      <c r="T27" s="311">
        <f t="shared" si="15"/>
        <v>-150.41526267791747</v>
      </c>
      <c r="U27" s="311">
        <f t="shared" si="15"/>
        <v>-160.18803645614619</v>
      </c>
      <c r="V27" s="311">
        <f>-V6</f>
        <v>-170.59576645902973</v>
      </c>
      <c r="W27" s="311">
        <f>-W6</f>
        <v>-181.67970703424635</v>
      </c>
      <c r="X27" s="311">
        <f>-X6</f>
        <v>-193.4837929051227</v>
      </c>
      <c r="Y27" s="311">
        <f>-Y6</f>
        <v>-206.05481331988159</v>
      </c>
    </row>
    <row r="28" spans="1:25">
      <c r="B28" s="314" t="s">
        <v>1617</v>
      </c>
      <c r="C28" s="314"/>
      <c r="D28" s="315"/>
      <c r="E28" s="315">
        <f t="shared" ref="E28:U28" si="16">E17</f>
        <v>-4.1133946790001383</v>
      </c>
      <c r="F28" s="315">
        <f t="shared" si="16"/>
        <v>-18.433390679149142</v>
      </c>
      <c r="G28" s="315">
        <f t="shared" si="16"/>
        <v>27.209560700447934</v>
      </c>
      <c r="H28" s="315">
        <f t="shared" si="16"/>
        <v>-9.1806791250017561</v>
      </c>
      <c r="I28" s="315">
        <f t="shared" si="16"/>
        <v>-38.742646775316928</v>
      </c>
      <c r="J28" s="315">
        <f t="shared" si="16"/>
        <v>97.952954339181233</v>
      </c>
      <c r="K28" s="315">
        <f t="shared" si="16"/>
        <v>327.13148805596859</v>
      </c>
      <c r="L28" s="315">
        <f t="shared" si="16"/>
        <v>159.22327802816244</v>
      </c>
      <c r="M28" s="315">
        <f t="shared" si="16"/>
        <v>174.67081077882466</v>
      </c>
      <c r="N28" s="315">
        <f t="shared" si="16"/>
        <v>145.56148102456848</v>
      </c>
      <c r="O28" s="315">
        <f t="shared" si="16"/>
        <v>107.82603236334288</v>
      </c>
      <c r="P28" s="315">
        <f t="shared" si="16"/>
        <v>118.0731896652578</v>
      </c>
      <c r="Q28" s="315">
        <f t="shared" si="16"/>
        <v>125.32369839937834</v>
      </c>
      <c r="R28" s="315">
        <f t="shared" si="16"/>
        <v>142.32492443884948</v>
      </c>
      <c r="S28" s="315">
        <f t="shared" si="16"/>
        <v>155.72228512754839</v>
      </c>
      <c r="T28" s="315">
        <f t="shared" si="16"/>
        <v>165.83986653309404</v>
      </c>
      <c r="U28" s="315">
        <f t="shared" si="16"/>
        <v>176.61480698916995</v>
      </c>
      <c r="V28" s="315">
        <f>V17</f>
        <v>188.08981639886383</v>
      </c>
      <c r="W28" s="315">
        <f>W17</f>
        <v>200.3103796111935</v>
      </c>
      <c r="X28" s="315">
        <f>X17</f>
        <v>213.32493671477067</v>
      </c>
      <c r="Y28" s="315">
        <f>Y17</f>
        <v>227.1850750454966</v>
      </c>
    </row>
    <row r="29" spans="1:25">
      <c r="B29" s="313" t="s">
        <v>1618</v>
      </c>
      <c r="C29" s="313"/>
      <c r="D29" s="308">
        <f>NPV($D$34,D56:D74)</f>
        <v>253.84645830922176</v>
      </c>
      <c r="E29" s="308">
        <f t="shared" ref="E29:U29" si="17">SUM(E25:E28)</f>
        <v>245.91398871739057</v>
      </c>
      <c r="F29" s="308">
        <f t="shared" si="17"/>
        <v>219.85549911248353</v>
      </c>
      <c r="G29" s="308">
        <f t="shared" si="17"/>
        <v>239.851922763559</v>
      </c>
      <c r="H29" s="308">
        <f t="shared" si="17"/>
        <v>220.18603702501088</v>
      </c>
      <c r="I29" s="308">
        <f t="shared" si="17"/>
        <v>170.14003047985344</v>
      </c>
      <c r="J29" s="308">
        <f t="shared" si="17"/>
        <v>237.25025531506714</v>
      </c>
      <c r="K29" s="308">
        <f t="shared" si="17"/>
        <v>529.00893666224874</v>
      </c>
      <c r="L29" s="308">
        <f t="shared" si="17"/>
        <v>640.00608475292756</v>
      </c>
      <c r="M29" s="308">
        <f t="shared" si="17"/>
        <v>755.76464343967405</v>
      </c>
      <c r="N29" s="308">
        <f t="shared" si="17"/>
        <v>841.34216683466752</v>
      </c>
      <c r="O29" s="308">
        <f t="shared" si="17"/>
        <v>886.09317234000753</v>
      </c>
      <c r="P29" s="308">
        <f t="shared" si="17"/>
        <v>937.5326763015097</v>
      </c>
      <c r="Q29" s="308">
        <f t="shared" si="17"/>
        <v>992.39469895951413</v>
      </c>
      <c r="R29" s="308">
        <f t="shared" si="17"/>
        <v>1059.5200872430096</v>
      </c>
      <c r="S29" s="308">
        <f t="shared" si="17"/>
        <v>1134.6190525183142</v>
      </c>
      <c r="T29" s="308">
        <f t="shared" si="17"/>
        <v>1214.0595070372565</v>
      </c>
      <c r="U29" s="308">
        <f t="shared" si="17"/>
        <v>1298.1613877721056</v>
      </c>
      <c r="V29" s="308">
        <f>SUM(V25:V28)</f>
        <v>1387.2624689609268</v>
      </c>
      <c r="W29" s="308">
        <f>SUM(W25:W28)</f>
        <v>1481.7197323003934</v>
      </c>
      <c r="X29" s="308">
        <f>SUM(X25:X28)</f>
        <v>1581.9108107899033</v>
      </c>
      <c r="Y29" s="308">
        <f>SUM(Y25:Y28)</f>
        <v>1688.2355120454906</v>
      </c>
    </row>
    <row r="30" spans="1:25">
      <c r="V30" s="280"/>
      <c r="W30" s="280"/>
      <c r="X30" s="280"/>
      <c r="Y30" s="280"/>
    </row>
    <row r="31" spans="1:25">
      <c r="B31" s="318" t="s">
        <v>1619</v>
      </c>
      <c r="C31" s="318"/>
      <c r="D31" s="319">
        <f t="shared" ref="D31:U31" si="18">D21/D29</f>
        <v>0.93</v>
      </c>
      <c r="E31" s="319">
        <f t="shared" si="18"/>
        <v>0.83849545217802957</v>
      </c>
      <c r="F31" s="319">
        <f t="shared" si="18"/>
        <v>0.75734975883785138</v>
      </c>
      <c r="G31" s="319">
        <f t="shared" si="18"/>
        <v>0.72057669479086017</v>
      </c>
      <c r="H31" s="319">
        <f t="shared" si="18"/>
        <v>0.66315715450241319</v>
      </c>
      <c r="I31" s="319">
        <f t="shared" si="18"/>
        <v>0.56348284435758489</v>
      </c>
      <c r="J31" s="319">
        <f t="shared" si="18"/>
        <v>0.73291943863681497</v>
      </c>
      <c r="K31" s="319">
        <f t="shared" si="18"/>
        <v>0.84997333477124426</v>
      </c>
      <c r="L31" s="319">
        <f t="shared" si="18"/>
        <v>0.84914109808976757</v>
      </c>
      <c r="M31" s="319">
        <f t="shared" si="18"/>
        <v>0.84155373855024662</v>
      </c>
      <c r="N31" s="319">
        <f t="shared" si="18"/>
        <v>0.81517721547050481</v>
      </c>
      <c r="O31" s="319">
        <f t="shared" si="18"/>
        <v>0.77643860025869627</v>
      </c>
      <c r="P31" s="319">
        <f t="shared" si="18"/>
        <v>0.73523256945162563</v>
      </c>
      <c r="Q31" s="319">
        <f t="shared" si="18"/>
        <v>0.69118710610115741</v>
      </c>
      <c r="R31" s="319">
        <f t="shared" si="18"/>
        <v>0.64728472555177163</v>
      </c>
      <c r="S31" s="319">
        <f t="shared" si="18"/>
        <v>0.60049722387995541</v>
      </c>
      <c r="T31" s="319">
        <f t="shared" si="18"/>
        <v>0.55986562946738283</v>
      </c>
      <c r="U31" s="319">
        <f t="shared" si="18"/>
        <v>0.54269483108987826</v>
      </c>
      <c r="V31" s="319">
        <f>V21/V29</f>
        <v>0.52053873356962521</v>
      </c>
      <c r="W31" s="319">
        <f>W21/W29</f>
        <v>0.51661797656997199</v>
      </c>
      <c r="X31" s="319">
        <f>X21/X29</f>
        <v>0.51525474479829136</v>
      </c>
      <c r="Y31" s="319">
        <f>Y21/Y29</f>
        <v>0.51256456817557949</v>
      </c>
    </row>
    <row r="32" spans="1:25">
      <c r="B32" s="318"/>
      <c r="C32" s="318"/>
      <c r="D32" s="319"/>
      <c r="E32" s="319"/>
      <c r="F32" s="319"/>
      <c r="G32" s="319"/>
      <c r="H32" s="319"/>
      <c r="I32" s="319"/>
      <c r="J32" s="319"/>
      <c r="K32" s="319"/>
      <c r="L32" s="319"/>
      <c r="M32" s="319"/>
      <c r="N32" s="319"/>
      <c r="O32" s="319"/>
      <c r="P32" s="319"/>
      <c r="Q32" s="319"/>
      <c r="R32" s="319"/>
      <c r="S32" s="319"/>
      <c r="T32" s="319"/>
      <c r="U32" s="319"/>
      <c r="V32" s="319"/>
      <c r="W32" s="319"/>
      <c r="X32" s="319"/>
      <c r="Y32" s="319"/>
    </row>
    <row r="33" spans="1:25">
      <c r="B33" s="320"/>
      <c r="C33" s="320"/>
      <c r="D33" s="311"/>
      <c r="E33" s="311"/>
      <c r="F33" s="311"/>
      <c r="G33" s="311"/>
      <c r="H33" s="311"/>
      <c r="I33" s="311"/>
      <c r="J33" s="311"/>
      <c r="K33" s="378" t="s">
        <v>1692</v>
      </c>
      <c r="L33" s="379"/>
      <c r="M33" s="380"/>
      <c r="N33" s="311"/>
      <c r="O33" s="311"/>
      <c r="P33" s="311"/>
      <c r="Q33" s="311"/>
      <c r="R33" s="311"/>
      <c r="S33" s="311"/>
      <c r="T33" s="311"/>
      <c r="U33" s="311"/>
      <c r="V33" s="311"/>
      <c r="W33" s="311"/>
      <c r="X33" s="311"/>
      <c r="Y33" s="311"/>
    </row>
    <row r="34" spans="1:25">
      <c r="B34" s="318" t="s">
        <v>1620</v>
      </c>
      <c r="C34" s="318"/>
      <c r="D34" s="386">
        <f>IS!E50/AVERAGE(BS!E113,BS!F113)</f>
        <v>9.4999869465329997E-2</v>
      </c>
      <c r="E34" s="386">
        <f t="shared" ref="E34:Y34" si="19">(D34*(E25+E26+E27)+E35*E28)/E29</f>
        <v>9.3398970870937806E-2</v>
      </c>
      <c r="F34" s="386">
        <f t="shared" si="19"/>
        <v>7.6667287149198876E-2</v>
      </c>
      <c r="G34" s="386">
        <f t="shared" si="19"/>
        <v>8.7053091176591241E-2</v>
      </c>
      <c r="H34" s="386">
        <f t="shared" si="19"/>
        <v>8.8284543387785713E-2</v>
      </c>
      <c r="I34" s="386">
        <f t="shared" si="19"/>
        <v>0.1006449112876991</v>
      </c>
      <c r="J34" s="386">
        <f t="shared" si="19"/>
        <v>6.7954012103485811E-2</v>
      </c>
      <c r="K34" s="386">
        <f t="shared" si="19"/>
        <v>4.2782772818145756E-2</v>
      </c>
      <c r="L34" s="386">
        <f t="shared" si="19"/>
        <v>4.6273970212229516E-2</v>
      </c>
      <c r="M34" s="386">
        <f t="shared" si="19"/>
        <v>4.6539150004951478E-2</v>
      </c>
      <c r="N34" s="386">
        <f t="shared" si="19"/>
        <v>4.7929892923500549E-2</v>
      </c>
      <c r="O34" s="386">
        <f t="shared" si="19"/>
        <v>4.9319268925500287E-2</v>
      </c>
      <c r="P34" s="386">
        <f t="shared" si="19"/>
        <v>5.0146052448544545E-2</v>
      </c>
      <c r="Q34" s="386">
        <f t="shared" si="19"/>
        <v>5.0923211782422567E-2</v>
      </c>
      <c r="R34" s="386">
        <f t="shared" si="19"/>
        <v>5.0582390740184634E-2</v>
      </c>
      <c r="S34" s="386">
        <f t="shared" si="19"/>
        <v>4.9829295024017582E-2</v>
      </c>
      <c r="T34" s="386">
        <f t="shared" si="19"/>
        <v>4.9182621219553337E-2</v>
      </c>
      <c r="U34" s="386">
        <f t="shared" si="19"/>
        <v>4.8626528709409159E-2</v>
      </c>
      <c r="V34" s="386">
        <f t="shared" si="19"/>
        <v>4.8147740005117332E-2</v>
      </c>
      <c r="W34" s="386">
        <f t="shared" si="19"/>
        <v>4.773507492657033E-2</v>
      </c>
      <c r="X34" s="386">
        <f t="shared" si="19"/>
        <v>4.7379081658416741E-2</v>
      </c>
      <c r="Y34" s="386">
        <f t="shared" si="19"/>
        <v>4.7071741735031078E-2</v>
      </c>
    </row>
    <row r="35" spans="1:25">
      <c r="B35" s="318" t="s">
        <v>1623</v>
      </c>
      <c r="C35" s="318"/>
      <c r="E35" s="387">
        <f>IS!F50/AVERAGE(BS!F113:G113)</f>
        <v>0.19070752448051681</v>
      </c>
      <c r="F35" s="387">
        <f>IS!G50/AVERAGE(BS!G113:H113)</f>
        <v>0.2929581697000555</v>
      </c>
      <c r="G35" s="387">
        <f>IS!H50/AVERAGE(BS!H113:I113)</f>
        <v>0.16821801422045812</v>
      </c>
      <c r="H35" s="387">
        <f>IS!I50/AVERAGE(BS!I113:J113)</f>
        <v>5.7518393527679734E-2</v>
      </c>
      <c r="I35" s="387">
        <f>IS!J50/AVERAGE(BS!J113:K113)</f>
        <v>3.4003446295232623E-2</v>
      </c>
      <c r="J35" s="387">
        <f>IS!K50/AVERAGE(BS!K113:L113)</f>
        <v>2.1464816820335516E-2</v>
      </c>
      <c r="K35" s="387">
        <f>(IS!L50-SDXC!L38)/AVERAGE((BS!L113+144.156), (BS!M113+38.189))</f>
        <v>2.7249246542884759E-2</v>
      </c>
      <c r="L35" s="387">
        <f>(IS!M50-SDXC!M38)/AVERAGE((BS!M113+38.189), (BS!N113+120))</f>
        <v>5.6815818758149367E-2</v>
      </c>
      <c r="M35" s="387">
        <f>(IS!N50-SDXC!N38)/AVERAGE((BS!N113+120), (BS!O113+142.5))</f>
        <v>4.7421348589877808E-2</v>
      </c>
      <c r="N35" s="387">
        <f>IS!O50/AVERAGE(BS!O113:P113)</f>
        <v>5.4577613562522408E-2</v>
      </c>
      <c r="O35" s="387">
        <f>IS!P50/AVERAGE(BS!P113:Q113)</f>
        <v>5.9347512233061318E-2</v>
      </c>
      <c r="P35" s="387">
        <f>IS!Q50/AVERAGE(BS!Q113:R113)</f>
        <v>5.5884151023453406E-2</v>
      </c>
      <c r="Q35" s="387">
        <f>IS!R50/AVERAGE(BS!R113:S113)</f>
        <v>5.6300106414695981E-2</v>
      </c>
      <c r="R35" s="387">
        <f>IS!S50/AVERAGE(BS!S113:T113)</f>
        <v>4.8386012189098056E-2</v>
      </c>
      <c r="S35" s="387">
        <f>IS!T50/AVERAGE(BS!T113:U113)</f>
        <v>4.5095207276153265E-2</v>
      </c>
      <c r="T35" s="387">
        <f t="shared" ref="T35:Y35" si="20">S35</f>
        <v>4.5095207276153265E-2</v>
      </c>
      <c r="U35" s="387">
        <f t="shared" si="20"/>
        <v>4.5095207276153265E-2</v>
      </c>
      <c r="V35" s="387">
        <f t="shared" si="20"/>
        <v>4.5095207276153265E-2</v>
      </c>
      <c r="W35" s="387">
        <f t="shared" si="20"/>
        <v>4.5095207276153265E-2</v>
      </c>
      <c r="X35" s="387">
        <f t="shared" si="20"/>
        <v>4.5095207276153265E-2</v>
      </c>
      <c r="Y35" s="387">
        <f t="shared" si="20"/>
        <v>4.5095207276153265E-2</v>
      </c>
    </row>
    <row r="36" spans="1:25">
      <c r="D36" s="321"/>
      <c r="E36" s="321"/>
      <c r="F36" s="321"/>
      <c r="G36" s="321"/>
      <c r="H36" s="321"/>
      <c r="I36" s="321"/>
      <c r="J36" s="321"/>
      <c r="K36" s="321"/>
      <c r="L36" s="322"/>
      <c r="M36" s="322"/>
      <c r="N36" s="322"/>
      <c r="O36" s="322"/>
      <c r="P36" s="322"/>
      <c r="Q36" s="322"/>
      <c r="R36" s="322"/>
      <c r="S36" s="322"/>
      <c r="T36" s="322"/>
      <c r="U36" s="322"/>
      <c r="V36" s="322"/>
      <c r="W36" s="322"/>
      <c r="X36" s="322"/>
      <c r="Y36" s="322"/>
    </row>
    <row r="37" spans="1:25">
      <c r="A37" s="323"/>
      <c r="B37" s="323"/>
      <c r="C37" s="323"/>
      <c r="D37" s="285" t="str">
        <f>D3</f>
        <v>2000A</v>
      </c>
      <c r="E37" s="285" t="str">
        <f t="shared" ref="E37:U37" si="21">E3</f>
        <v>2001A</v>
      </c>
      <c r="F37" s="285" t="str">
        <f t="shared" si="21"/>
        <v>2002A</v>
      </c>
      <c r="G37" s="285" t="str">
        <f t="shared" si="21"/>
        <v>2003A</v>
      </c>
      <c r="H37" s="285" t="str">
        <f t="shared" si="21"/>
        <v>2004A</v>
      </c>
      <c r="I37" s="285" t="str">
        <f t="shared" si="21"/>
        <v>2005A</v>
      </c>
      <c r="J37" s="285" t="str">
        <f t="shared" si="21"/>
        <v>2006A</v>
      </c>
      <c r="K37" s="285" t="str">
        <f t="shared" si="21"/>
        <v>2007A</v>
      </c>
      <c r="L37" s="285" t="str">
        <f t="shared" si="21"/>
        <v>2008A</v>
      </c>
      <c r="M37" s="285" t="str">
        <f t="shared" si="21"/>
        <v>2009A</v>
      </c>
      <c r="N37" s="285" t="str">
        <f t="shared" si="21"/>
        <v>2010A</v>
      </c>
      <c r="O37" s="285" t="str">
        <f t="shared" si="21"/>
        <v>2011E</v>
      </c>
      <c r="P37" s="285" t="str">
        <f t="shared" si="21"/>
        <v>2012E</v>
      </c>
      <c r="Q37" s="285" t="str">
        <f t="shared" si="21"/>
        <v>2013E</v>
      </c>
      <c r="R37" s="285" t="str">
        <f t="shared" si="21"/>
        <v>2014E</v>
      </c>
      <c r="S37" s="285" t="str">
        <f t="shared" si="21"/>
        <v>2015E</v>
      </c>
      <c r="T37" s="285" t="str">
        <f t="shared" si="21"/>
        <v>2016E</v>
      </c>
      <c r="U37" s="285" t="str">
        <f t="shared" si="21"/>
        <v>2017E</v>
      </c>
      <c r="V37" s="285" t="str">
        <f>V3</f>
        <v>2018E</v>
      </c>
      <c r="W37" s="285" t="str">
        <f>W3</f>
        <v>2019E</v>
      </c>
      <c r="X37" s="285" t="str">
        <f>X3</f>
        <v>2020E</v>
      </c>
      <c r="Y37" s="285" t="str">
        <f>Y3</f>
        <v>2021E</v>
      </c>
    </row>
    <row r="38" spans="1:25">
      <c r="A38" s="324"/>
      <c r="B38" s="324" t="s">
        <v>1624</v>
      </c>
      <c r="C38" s="324"/>
      <c r="D38" s="329">
        <f t="shared" ref="D38:U38" si="22">D115</f>
        <v>246.57853013357885</v>
      </c>
      <c r="E38" s="329">
        <f t="shared" si="22"/>
        <v>-4.1133946790001383</v>
      </c>
      <c r="F38" s="329">
        <f t="shared" si="22"/>
        <v>-18.433390679149142</v>
      </c>
      <c r="G38" s="329">
        <f t="shared" si="22"/>
        <v>27.209560700447934</v>
      </c>
      <c r="H38" s="329">
        <f t="shared" si="22"/>
        <v>-9.1806791250017561</v>
      </c>
      <c r="I38" s="329">
        <f t="shared" si="22"/>
        <v>-38.742646775316928</v>
      </c>
      <c r="J38" s="329">
        <f t="shared" si="22"/>
        <v>97.952954339181233</v>
      </c>
      <c r="K38" s="329">
        <f t="shared" si="22"/>
        <v>327.13148805596859</v>
      </c>
      <c r="L38" s="329">
        <f t="shared" si="22"/>
        <v>159.22327802816244</v>
      </c>
      <c r="M38" s="329">
        <f t="shared" si="22"/>
        <v>174.67081077882466</v>
      </c>
      <c r="N38" s="329">
        <f t="shared" si="22"/>
        <v>145.56148102456848</v>
      </c>
      <c r="O38" s="329">
        <f t="shared" si="22"/>
        <v>107.82603236334288</v>
      </c>
      <c r="P38" s="329">
        <f t="shared" si="22"/>
        <v>118.0731896652578</v>
      </c>
      <c r="Q38" s="329">
        <f t="shared" si="22"/>
        <v>125.32369839937834</v>
      </c>
      <c r="R38" s="329">
        <f t="shared" si="22"/>
        <v>142.32492443884948</v>
      </c>
      <c r="S38" s="329">
        <f t="shared" si="22"/>
        <v>155.72228512754839</v>
      </c>
      <c r="T38" s="329">
        <f t="shared" si="22"/>
        <v>165.83986653309404</v>
      </c>
      <c r="U38" s="329">
        <f t="shared" si="22"/>
        <v>176.61480698916995</v>
      </c>
      <c r="V38" s="329">
        <f>V115</f>
        <v>188.08981639886383</v>
      </c>
      <c r="W38" s="329">
        <f>W115</f>
        <v>200.3103796111935</v>
      </c>
      <c r="X38" s="329">
        <f>X115</f>
        <v>213.32493671477067</v>
      </c>
      <c r="Y38" s="329">
        <f>Y115</f>
        <v>227.1850750454966</v>
      </c>
    </row>
    <row r="39" spans="1:25">
      <c r="A39" s="324"/>
      <c r="B39" s="324"/>
      <c r="C39" s="324"/>
      <c r="D39" s="326"/>
      <c r="E39" s="326"/>
      <c r="F39" s="326" t="str">
        <f>IF(OR(ISERROR(F38/E38-1),F38&lt;0,E38&lt;0)," ",F38/E38-1)</f>
        <v xml:space="preserve"> </v>
      </c>
      <c r="G39" s="326" t="str">
        <f t="shared" ref="G39:Y39" si="23">IF(OR(ISERROR(G38/F38-1),G38&lt;0,F38&lt;0)," ",G38/F38-1)</f>
        <v xml:space="preserve"> </v>
      </c>
      <c r="H39" s="326" t="str">
        <f t="shared" si="23"/>
        <v xml:space="preserve"> </v>
      </c>
      <c r="I39" s="326" t="str">
        <f t="shared" si="23"/>
        <v xml:space="preserve"> </v>
      </c>
      <c r="J39" s="326" t="str">
        <f t="shared" si="23"/>
        <v xml:space="preserve"> </v>
      </c>
      <c r="K39" s="326">
        <f t="shared" si="23"/>
        <v>2.3396796478767952</v>
      </c>
      <c r="L39" s="326">
        <f t="shared" si="23"/>
        <v>-0.51327437485650695</v>
      </c>
      <c r="M39" s="326">
        <f t="shared" si="23"/>
        <v>9.7018055035457573E-2</v>
      </c>
      <c r="N39" s="326">
        <f t="shared" si="23"/>
        <v>-0.16665251408900605</v>
      </c>
      <c r="O39" s="326">
        <f t="shared" si="23"/>
        <v>-0.25924062049668517</v>
      </c>
      <c r="P39" s="326">
        <f t="shared" si="23"/>
        <v>9.50341682552589E-2</v>
      </c>
      <c r="Q39" s="326">
        <f t="shared" si="23"/>
        <v>6.1406901555518534E-2</v>
      </c>
      <c r="R39" s="326">
        <f t="shared" si="23"/>
        <v>0.1356585087785398</v>
      </c>
      <c r="S39" s="326">
        <f t="shared" si="23"/>
        <v>9.4132217118830352E-2</v>
      </c>
      <c r="T39" s="326">
        <f t="shared" si="23"/>
        <v>6.4971955666194958E-2</v>
      </c>
      <c r="U39" s="326">
        <f t="shared" si="23"/>
        <v>6.497195566619518E-2</v>
      </c>
      <c r="V39" s="326">
        <f t="shared" si="23"/>
        <v>6.4971955666194736E-2</v>
      </c>
      <c r="W39" s="326">
        <f t="shared" si="23"/>
        <v>6.4971955666194514E-2</v>
      </c>
      <c r="X39" s="326">
        <f t="shared" si="23"/>
        <v>6.497195566619518E-2</v>
      </c>
      <c r="Y39" s="326">
        <f t="shared" si="23"/>
        <v>6.4971955666194958E-2</v>
      </c>
    </row>
    <row r="40" spans="1:25">
      <c r="A40" s="324"/>
      <c r="B40" s="324"/>
      <c r="C40" s="324"/>
      <c r="D40" s="327"/>
      <c r="E40" s="327"/>
      <c r="F40" s="327"/>
      <c r="G40" s="327"/>
      <c r="H40" s="327"/>
      <c r="I40" s="327"/>
      <c r="J40" s="327"/>
      <c r="K40" s="327"/>
      <c r="L40" s="328"/>
      <c r="M40" s="329"/>
      <c r="N40" s="329"/>
      <c r="O40" s="329"/>
      <c r="P40" s="329"/>
      <c r="Q40" s="329"/>
      <c r="R40" s="329"/>
      <c r="S40" s="329"/>
      <c r="T40" s="329"/>
      <c r="U40" s="329"/>
      <c r="V40" s="329"/>
      <c r="W40" s="329"/>
      <c r="X40" s="329"/>
      <c r="Y40" s="329"/>
    </row>
    <row r="41" spans="1:25">
      <c r="A41" s="324"/>
      <c r="B41" s="324" t="s">
        <v>1625</v>
      </c>
      <c r="C41" s="324"/>
      <c r="D41" s="329">
        <f t="shared" ref="D41:N41" si="24">D55</f>
        <v>16.157</v>
      </c>
      <c r="E41" s="329">
        <f t="shared" si="24"/>
        <v>27.15</v>
      </c>
      <c r="F41" s="329">
        <f t="shared" si="24"/>
        <v>25.193000000000001</v>
      </c>
      <c r="G41" s="329">
        <f t="shared" si="24"/>
        <v>28.646000000000001</v>
      </c>
      <c r="H41" s="329">
        <f t="shared" si="24"/>
        <v>30.837</v>
      </c>
      <c r="I41" s="329">
        <f t="shared" si="24"/>
        <v>29.425000000000001</v>
      </c>
      <c r="J41" s="329">
        <f t="shared" si="24"/>
        <v>50.069000000000003</v>
      </c>
      <c r="K41" s="329">
        <f t="shared" si="24"/>
        <v>60.408999999999992</v>
      </c>
      <c r="L41" s="329">
        <f t="shared" si="24"/>
        <v>79.905000000000001</v>
      </c>
      <c r="M41" s="329">
        <f t="shared" si="24"/>
        <v>96.811000000000007</v>
      </c>
      <c r="N41" s="329">
        <f t="shared" si="24"/>
        <v>103.101</v>
      </c>
      <c r="O41" s="329">
        <f t="shared" ref="O41:X41" si="25">N41*(1+O42)</f>
        <v>109.79967360114037</v>
      </c>
      <c r="P41" s="329">
        <f t="shared" si="25"/>
        <v>116.93357312651634</v>
      </c>
      <c r="Q41" s="329">
        <f t="shared" si="25"/>
        <v>124.53097605558212</v>
      </c>
      <c r="R41" s="329">
        <f t="shared" si="25"/>
        <v>132.62199711093339</v>
      </c>
      <c r="S41" s="329">
        <f t="shared" si="25"/>
        <v>141.23870762758719</v>
      </c>
      <c r="T41" s="329">
        <f t="shared" si="25"/>
        <v>150.41526267791747</v>
      </c>
      <c r="U41" s="329">
        <f t="shared" si="25"/>
        <v>160.18803645614619</v>
      </c>
      <c r="V41" s="329">
        <f t="shared" si="25"/>
        <v>170.59576645902973</v>
      </c>
      <c r="W41" s="329">
        <f t="shared" si="25"/>
        <v>181.67970703424635</v>
      </c>
      <c r="X41" s="329">
        <f t="shared" si="25"/>
        <v>193.4837929051227</v>
      </c>
      <c r="Y41" s="329">
        <f>X41*(1+Y42)</f>
        <v>206.05481331988159</v>
      </c>
    </row>
    <row r="42" spans="1:25">
      <c r="A42" s="324"/>
      <c r="B42" s="330" t="s">
        <v>1639</v>
      </c>
      <c r="C42" s="330"/>
      <c r="D42" s="287"/>
      <c r="E42" s="287"/>
      <c r="F42" s="331">
        <f t="shared" ref="F42:N42" si="26">F41/E41-1</f>
        <v>-7.2081031307550503E-2</v>
      </c>
      <c r="G42" s="331">
        <f t="shared" si="26"/>
        <v>0.13706188226888427</v>
      </c>
      <c r="H42" s="331">
        <f t="shared" si="26"/>
        <v>7.6485373176010674E-2</v>
      </c>
      <c r="I42" s="331">
        <f>I41/H41-1</f>
        <v>-4.5789149398449913E-2</v>
      </c>
      <c r="J42" s="331">
        <f t="shared" si="26"/>
        <v>0.70158028887000845</v>
      </c>
      <c r="K42" s="331">
        <f t="shared" si="26"/>
        <v>0.20651500928718347</v>
      </c>
      <c r="L42" s="331">
        <f t="shared" si="26"/>
        <v>0.32273336754457138</v>
      </c>
      <c r="M42" s="331">
        <f t="shared" si="26"/>
        <v>0.21157624679306686</v>
      </c>
      <c r="N42" s="331">
        <f t="shared" si="26"/>
        <v>6.4971955666194958E-2</v>
      </c>
      <c r="O42" s="381">
        <f>N42</f>
        <v>6.4971955666194958E-2</v>
      </c>
      <c r="P42" s="381">
        <f t="shared" ref="P42:X42" si="27">O42</f>
        <v>6.4971955666194958E-2</v>
      </c>
      <c r="Q42" s="381">
        <f t="shared" si="27"/>
        <v>6.4971955666194958E-2</v>
      </c>
      <c r="R42" s="381">
        <f t="shared" si="27"/>
        <v>6.4971955666194958E-2</v>
      </c>
      <c r="S42" s="381">
        <f t="shared" si="27"/>
        <v>6.4971955666194958E-2</v>
      </c>
      <c r="T42" s="381">
        <f t="shared" si="27"/>
        <v>6.4971955666194958E-2</v>
      </c>
      <c r="U42" s="381">
        <f t="shared" si="27"/>
        <v>6.4971955666194958E-2</v>
      </c>
      <c r="V42" s="381">
        <f t="shared" si="27"/>
        <v>6.4971955666194958E-2</v>
      </c>
      <c r="W42" s="381">
        <f t="shared" si="27"/>
        <v>6.4971955666194958E-2</v>
      </c>
      <c r="X42" s="381">
        <f t="shared" si="27"/>
        <v>6.4971955666194958E-2</v>
      </c>
      <c r="Y42" s="381">
        <f>X42</f>
        <v>6.4971955666194958E-2</v>
      </c>
    </row>
    <row r="43" spans="1:25">
      <c r="A43" s="324"/>
      <c r="B43" s="324"/>
      <c r="C43" s="324"/>
      <c r="D43" s="332"/>
      <c r="E43" s="332"/>
      <c r="F43" s="332"/>
      <c r="G43" s="332"/>
      <c r="H43" s="332"/>
      <c r="I43" s="332"/>
      <c r="J43" s="332"/>
      <c r="K43" s="332"/>
      <c r="L43" s="332"/>
      <c r="M43" s="332"/>
      <c r="N43" s="332"/>
      <c r="O43" s="332"/>
      <c r="P43" s="332"/>
      <c r="Q43" s="332"/>
      <c r="R43" s="332"/>
      <c r="S43" s="332"/>
      <c r="T43" s="332"/>
      <c r="U43" s="332"/>
      <c r="V43" s="332"/>
      <c r="W43" s="332"/>
      <c r="X43" s="332"/>
      <c r="Y43" s="332"/>
    </row>
    <row r="44" spans="1:25">
      <c r="A44" s="324"/>
      <c r="B44" s="324" t="s">
        <v>1640</v>
      </c>
      <c r="C44" s="324"/>
      <c r="D44" s="299">
        <f t="shared" ref="D44:X44" si="28">D$46+SUM(D56:D60)</f>
        <v>504.78899999999999</v>
      </c>
      <c r="E44" s="299">
        <f t="shared" si="28"/>
        <v>578.15099999999995</v>
      </c>
      <c r="F44" s="299">
        <f t="shared" si="28"/>
        <v>332.20100000000002</v>
      </c>
      <c r="G44" s="299">
        <f t="shared" si="28"/>
        <v>356.584</v>
      </c>
      <c r="H44" s="299">
        <f t="shared" si="28"/>
        <v>327.25299999999999</v>
      </c>
      <c r="I44" s="299">
        <f t="shared" si="28"/>
        <v>236.893</v>
      </c>
      <c r="J44" s="299">
        <f t="shared" si="28"/>
        <v>293.95100000000002</v>
      </c>
      <c r="K44" s="299">
        <f t="shared" si="28"/>
        <v>631.52500000000009</v>
      </c>
      <c r="L44" s="299">
        <f t="shared" si="28"/>
        <v>761.20499999999993</v>
      </c>
      <c r="M44" s="299">
        <f t="shared" si="28"/>
        <v>919.10300000000007</v>
      </c>
      <c r="N44" s="299">
        <f t="shared" si="28"/>
        <v>1090.9949999999999</v>
      </c>
      <c r="O44" s="299">
        <f t="shared" si="28"/>
        <v>1124.8374203274423</v>
      </c>
      <c r="P44" s="299">
        <f t="shared" si="28"/>
        <v>1197.9203073326341</v>
      </c>
      <c r="Q44" s="299">
        <f t="shared" si="28"/>
        <v>1275.7515324322849</v>
      </c>
      <c r="R44" s="299">
        <f t="shared" si="28"/>
        <v>1358.6396044385551</v>
      </c>
      <c r="S44" s="299">
        <f t="shared" si="28"/>
        <v>1446.9130765844739</v>
      </c>
      <c r="T44" s="299">
        <f t="shared" si="28"/>
        <v>1540.9218488491579</v>
      </c>
      <c r="U44" s="299">
        <f t="shared" si="28"/>
        <v>1641.0385548976569</v>
      </c>
      <c r="V44" s="299">
        <f t="shared" si="28"/>
        <v>1747.6600391329839</v>
      </c>
      <c r="W44" s="299">
        <f t="shared" si="28"/>
        <v>1861.2089297151128</v>
      </c>
      <c r="X44" s="299">
        <f t="shared" si="28"/>
        <v>1982.1353137820893</v>
      </c>
      <c r="Y44" s="299">
        <f>Y$46+SUM(Y56:Y60)</f>
        <v>2110.9185215135385</v>
      </c>
    </row>
    <row r="45" spans="1:25">
      <c r="B45" s="333" t="s">
        <v>1641</v>
      </c>
      <c r="C45" s="333"/>
      <c r="D45" s="334"/>
      <c r="E45" s="334">
        <f t="shared" ref="E45:U45" si="29">E44/D44-1</f>
        <v>0.14533201000814189</v>
      </c>
      <c r="F45" s="334">
        <f t="shared" si="29"/>
        <v>-0.42540789516925503</v>
      </c>
      <c r="G45" s="334">
        <f t="shared" si="29"/>
        <v>7.3398334141077104E-2</v>
      </c>
      <c r="H45" s="334">
        <f t="shared" si="29"/>
        <v>-8.225551342741122E-2</v>
      </c>
      <c r="I45" s="334">
        <f>I44/H44-1</f>
        <v>-0.27611664369768951</v>
      </c>
      <c r="J45" s="334">
        <f t="shared" si="29"/>
        <v>0.24085979746130115</v>
      </c>
      <c r="K45" s="334">
        <f t="shared" si="29"/>
        <v>1.1484022847345305</v>
      </c>
      <c r="L45" s="335">
        <f t="shared" si="29"/>
        <v>0.20534420648430363</v>
      </c>
      <c r="M45" s="335">
        <f t="shared" si="29"/>
        <v>0.20743163799502118</v>
      </c>
      <c r="N45" s="335">
        <f t="shared" si="29"/>
        <v>0.18702147637424726</v>
      </c>
      <c r="O45" s="335">
        <f t="shared" si="29"/>
        <v>3.101977582614257E-2</v>
      </c>
      <c r="P45" s="335">
        <f t="shared" si="29"/>
        <v>6.497195566619518E-2</v>
      </c>
      <c r="Q45" s="335">
        <f t="shared" si="29"/>
        <v>6.497195566619518E-2</v>
      </c>
      <c r="R45" s="335">
        <f t="shared" si="29"/>
        <v>6.4971955666194514E-2</v>
      </c>
      <c r="S45" s="335">
        <f t="shared" si="29"/>
        <v>6.497195566619518E-2</v>
      </c>
      <c r="T45" s="335">
        <f t="shared" si="29"/>
        <v>6.4971955666194736E-2</v>
      </c>
      <c r="U45" s="335">
        <f t="shared" si="29"/>
        <v>6.497195566619518E-2</v>
      </c>
      <c r="V45" s="335">
        <f>V44/U44-1</f>
        <v>6.4971955666194736E-2</v>
      </c>
      <c r="W45" s="335">
        <f>W44/V44-1</f>
        <v>6.4971955666194958E-2</v>
      </c>
      <c r="X45" s="335">
        <f>X44/W44-1</f>
        <v>6.4971955666194958E-2</v>
      </c>
      <c r="Y45" s="335">
        <f>Y44/X44-1</f>
        <v>6.4971955666194958E-2</v>
      </c>
    </row>
    <row r="46" spans="1:25">
      <c r="B46" s="281" t="s">
        <v>1642</v>
      </c>
      <c r="C46" s="281"/>
      <c r="D46" s="359">
        <v>346.95400000000001</v>
      </c>
      <c r="E46" s="360">
        <v>425.65</v>
      </c>
      <c r="F46" s="360">
        <v>206.84</v>
      </c>
      <c r="G46" s="360">
        <v>201.137</v>
      </c>
      <c r="H46" s="360">
        <v>177.94499999999999</v>
      </c>
      <c r="I46" s="360">
        <v>111.42400000000001</v>
      </c>
      <c r="J46" s="360">
        <v>137.84</v>
      </c>
      <c r="K46" s="360">
        <f>211.857+100.363</f>
        <v>312.22000000000003</v>
      </c>
      <c r="L46" s="360">
        <f>197.434+193.599</f>
        <v>391.03300000000002</v>
      </c>
      <c r="M46" s="360">
        <f>250.428+195.822</f>
        <v>446.25</v>
      </c>
      <c r="N46" s="360">
        <v>538.35699999999997</v>
      </c>
      <c r="O46" s="325">
        <f t="shared" ref="O46:X46" si="30">SUM(O61:O82)</f>
        <v>536.29344869198769</v>
      </c>
      <c r="P46" s="325">
        <f t="shared" si="30"/>
        <v>571.13748286447435</v>
      </c>
      <c r="Q46" s="325">
        <f t="shared" si="30"/>
        <v>608.24540208044721</v>
      </c>
      <c r="R46" s="325">
        <f t="shared" si="30"/>
        <v>647.76429537858485</v>
      </c>
      <c r="S46" s="325">
        <f t="shared" si="30"/>
        <v>689.85080846006645</v>
      </c>
      <c r="T46" s="325">
        <f t="shared" si="30"/>
        <v>734.67176460362248</v>
      </c>
      <c r="U46" s="325">
        <f t="shared" si="30"/>
        <v>782.40482592265437</v>
      </c>
      <c r="V46" s="325">
        <f t="shared" si="30"/>
        <v>833.23919758551813</v>
      </c>
      <c r="W46" s="325">
        <f t="shared" si="30"/>
        <v>887.37637779038027</v>
      </c>
      <c r="X46" s="325">
        <f t="shared" si="30"/>
        <v>945.03095646740553</v>
      </c>
      <c r="Y46" s="325">
        <f>SUM(Y61:Y82)</f>
        <v>1006.4314658741876</v>
      </c>
    </row>
    <row r="47" spans="1:25">
      <c r="D47" s="336">
        <f t="shared" ref="D47:U47" si="31">D46/D44</f>
        <v>0.68732480303651633</v>
      </c>
      <c r="E47" s="336">
        <f t="shared" si="31"/>
        <v>0.73622634917175622</v>
      </c>
      <c r="F47" s="336">
        <f t="shared" si="31"/>
        <v>0.62263509140550444</v>
      </c>
      <c r="G47" s="336">
        <f t="shared" si="31"/>
        <v>0.56406625086936035</v>
      </c>
      <c r="H47" s="336">
        <f t="shared" si="31"/>
        <v>0.54375360959257824</v>
      </c>
      <c r="I47" s="336">
        <f t="shared" si="31"/>
        <v>0.47035581465049625</v>
      </c>
      <c r="J47" s="336">
        <f t="shared" si="31"/>
        <v>0.46892169103013764</v>
      </c>
      <c r="K47" s="336">
        <f t="shared" si="31"/>
        <v>0.49439056252721586</v>
      </c>
      <c r="L47" s="334">
        <f t="shared" si="31"/>
        <v>0.51370261624660907</v>
      </c>
      <c r="M47" s="334">
        <f t="shared" si="31"/>
        <v>0.48552773737002269</v>
      </c>
      <c r="N47" s="334">
        <f>N46/N44</f>
        <v>0.49345505708092158</v>
      </c>
      <c r="O47" s="334">
        <f t="shared" si="31"/>
        <v>0.47677418887422118</v>
      </c>
      <c r="P47" s="334">
        <f t="shared" si="31"/>
        <v>0.47677418887422113</v>
      </c>
      <c r="Q47" s="334">
        <f t="shared" si="31"/>
        <v>0.47677418887422113</v>
      </c>
      <c r="R47" s="334">
        <f t="shared" si="31"/>
        <v>0.47677418887422118</v>
      </c>
      <c r="S47" s="334">
        <f t="shared" si="31"/>
        <v>0.47677418887422124</v>
      </c>
      <c r="T47" s="334">
        <f t="shared" si="31"/>
        <v>0.47677418887422118</v>
      </c>
      <c r="U47" s="334">
        <f t="shared" si="31"/>
        <v>0.47677418887422113</v>
      </c>
      <c r="V47" s="334">
        <f>V46/V44</f>
        <v>0.47677418887422124</v>
      </c>
      <c r="W47" s="334">
        <f>W46/W44</f>
        <v>0.47677418887422118</v>
      </c>
      <c r="X47" s="334">
        <f>X46/X44</f>
        <v>0.47677418887422118</v>
      </c>
      <c r="Y47" s="334">
        <f>Y46/Y44</f>
        <v>0.47677418887422118</v>
      </c>
    </row>
    <row r="48" spans="1:25">
      <c r="D48" s="336"/>
      <c r="E48" s="336"/>
      <c r="F48" s="336"/>
      <c r="G48" s="336"/>
      <c r="H48" s="336"/>
      <c r="I48" s="336"/>
      <c r="J48" s="336"/>
      <c r="K48" s="336"/>
      <c r="L48" s="335"/>
      <c r="M48" s="335"/>
      <c r="N48" s="335"/>
      <c r="O48" s="335"/>
      <c r="P48" s="335"/>
      <c r="Q48" s="335"/>
      <c r="R48" s="335"/>
      <c r="S48" s="335"/>
      <c r="T48" s="335"/>
      <c r="U48" s="335"/>
      <c r="V48" s="335"/>
      <c r="W48" s="335"/>
      <c r="X48" s="335"/>
      <c r="Y48" s="335"/>
    </row>
    <row r="49" spans="1:28">
      <c r="B49" s="337" t="s">
        <v>1643</v>
      </c>
      <c r="C49" s="337"/>
      <c r="D49" s="376">
        <f t="shared" ref="D49:N49" si="32">D50+5</f>
        <v>15.991034941552888</v>
      </c>
      <c r="E49" s="376">
        <f t="shared" si="32"/>
        <v>18.955646192483982</v>
      </c>
      <c r="F49" s="376">
        <f t="shared" si="32"/>
        <v>13.249774650808465</v>
      </c>
      <c r="G49" s="376">
        <f t="shared" si="32"/>
        <v>11.469632736559728</v>
      </c>
      <c r="H49" s="376">
        <f t="shared" si="32"/>
        <v>10.958990810941142</v>
      </c>
      <c r="I49" s="376">
        <f t="shared" si="32"/>
        <v>9.4402999944209327</v>
      </c>
      <c r="J49" s="376">
        <f t="shared" si="32"/>
        <v>9.4148074126743158</v>
      </c>
      <c r="K49" s="376">
        <f t="shared" si="32"/>
        <v>9.8890559183226081</v>
      </c>
      <c r="L49" s="376">
        <f t="shared" si="32"/>
        <v>10.281774418378484</v>
      </c>
      <c r="M49" s="376">
        <f t="shared" si="32"/>
        <v>9.7186969311815723</v>
      </c>
      <c r="N49" s="376">
        <f t="shared" si="32"/>
        <v>9.870792453649587</v>
      </c>
      <c r="O49"/>
      <c r="P49"/>
      <c r="Q49"/>
      <c r="R49"/>
      <c r="S49"/>
      <c r="T49"/>
      <c r="U49"/>
      <c r="V49"/>
    </row>
    <row r="50" spans="1:28">
      <c r="B50" s="337" t="s">
        <v>1644</v>
      </c>
      <c r="C50" s="337"/>
      <c r="D50" s="372">
        <f t="shared" ref="D50:M50" si="33">D46/AVERAGE(D56:D60)</f>
        <v>10.991034941552888</v>
      </c>
      <c r="E50" s="372">
        <f t="shared" si="33"/>
        <v>13.955646192483982</v>
      </c>
      <c r="F50" s="372">
        <f t="shared" si="33"/>
        <v>8.2497746508084653</v>
      </c>
      <c r="G50" s="372">
        <f t="shared" si="33"/>
        <v>6.4696327365597277</v>
      </c>
      <c r="H50" s="372">
        <f t="shared" si="33"/>
        <v>5.9589908109411418</v>
      </c>
      <c r="I50" s="372">
        <f t="shared" si="33"/>
        <v>4.4402999944209336</v>
      </c>
      <c r="J50" s="372">
        <f t="shared" si="33"/>
        <v>4.4148074126743158</v>
      </c>
      <c r="K50" s="372">
        <f t="shared" si="33"/>
        <v>4.8890559183226072</v>
      </c>
      <c r="L50" s="372">
        <f t="shared" si="33"/>
        <v>5.2817744183784843</v>
      </c>
      <c r="M50" s="372">
        <f t="shared" si="33"/>
        <v>4.7186969311815723</v>
      </c>
      <c r="N50" s="372">
        <f>N46/AVERAGE(N56:N60)</f>
        <v>4.870792453649587</v>
      </c>
      <c r="O50"/>
      <c r="P50"/>
      <c r="Q50"/>
      <c r="R50"/>
      <c r="S50"/>
      <c r="T50"/>
      <c r="U50"/>
      <c r="V50"/>
    </row>
    <row r="51" spans="1:28">
      <c r="D51" s="338"/>
      <c r="E51" s="338"/>
      <c r="F51" s="338"/>
      <c r="G51" s="338"/>
      <c r="H51" s="338"/>
      <c r="I51" s="338"/>
      <c r="J51" s="338"/>
      <c r="K51" s="338"/>
      <c r="L51" s="338"/>
      <c r="M51" s="338"/>
      <c r="N51" s="338"/>
      <c r="O51" s="338"/>
      <c r="P51" s="338"/>
      <c r="Q51" s="338"/>
      <c r="R51" s="338"/>
      <c r="S51" s="338"/>
      <c r="T51" s="338"/>
      <c r="U51" s="338"/>
      <c r="V51" s="338"/>
      <c r="W51" s="338"/>
      <c r="X51" s="338"/>
      <c r="Y51" s="338"/>
    </row>
    <row r="52" spans="1:28">
      <c r="D52" s="338"/>
      <c r="E52" s="338"/>
      <c r="F52" s="338"/>
      <c r="G52" s="338"/>
      <c r="H52" s="338"/>
      <c r="I52" s="338"/>
      <c r="J52" s="338"/>
      <c r="K52" s="378" t="s">
        <v>1692</v>
      </c>
      <c r="L52" s="379"/>
      <c r="M52" s="380"/>
      <c r="N52" s="338"/>
      <c r="O52" s="338"/>
      <c r="P52" s="338"/>
      <c r="Q52" s="338"/>
      <c r="R52" s="338"/>
      <c r="S52" s="338"/>
      <c r="T52" s="338"/>
      <c r="U52" s="338"/>
      <c r="V52" s="338"/>
      <c r="W52" s="338"/>
      <c r="X52" s="338"/>
      <c r="Y52" s="338"/>
    </row>
    <row r="53" spans="1:28">
      <c r="A53" s="323"/>
      <c r="B53" s="339" t="s">
        <v>1645</v>
      </c>
      <c r="C53" s="339"/>
      <c r="D53" s="285" t="str">
        <f>D3</f>
        <v>2000A</v>
      </c>
      <c r="E53" s="285" t="str">
        <f t="shared" ref="E53:X53" si="34">E3</f>
        <v>2001A</v>
      </c>
      <c r="F53" s="285" t="str">
        <f t="shared" si="34"/>
        <v>2002A</v>
      </c>
      <c r="G53" s="285" t="str">
        <f t="shared" si="34"/>
        <v>2003A</v>
      </c>
      <c r="H53" s="285" t="str">
        <f t="shared" si="34"/>
        <v>2004A</v>
      </c>
      <c r="I53" s="285" t="str">
        <f t="shared" si="34"/>
        <v>2005A</v>
      </c>
      <c r="J53" s="285" t="str">
        <f t="shared" si="34"/>
        <v>2006A</v>
      </c>
      <c r="K53" s="285" t="str">
        <f t="shared" si="34"/>
        <v>2007A</v>
      </c>
      <c r="L53" s="285" t="str">
        <f t="shared" si="34"/>
        <v>2008A</v>
      </c>
      <c r="M53" s="285" t="str">
        <f t="shared" si="34"/>
        <v>2009A</v>
      </c>
      <c r="N53" s="285" t="str">
        <f t="shared" si="34"/>
        <v>2010A</v>
      </c>
      <c r="O53" s="285" t="str">
        <f t="shared" si="34"/>
        <v>2011E</v>
      </c>
      <c r="P53" s="285" t="str">
        <f t="shared" si="34"/>
        <v>2012E</v>
      </c>
      <c r="Q53" s="285" t="str">
        <f t="shared" si="34"/>
        <v>2013E</v>
      </c>
      <c r="R53" s="285" t="str">
        <f t="shared" si="34"/>
        <v>2014E</v>
      </c>
      <c r="S53" s="285" t="str">
        <f t="shared" si="34"/>
        <v>2015E</v>
      </c>
      <c r="T53" s="285" t="str">
        <f t="shared" si="34"/>
        <v>2016E</v>
      </c>
      <c r="U53" s="285" t="str">
        <f t="shared" si="34"/>
        <v>2017E</v>
      </c>
      <c r="V53" s="285" t="str">
        <f t="shared" si="34"/>
        <v>2018E</v>
      </c>
      <c r="W53" s="285" t="str">
        <f t="shared" si="34"/>
        <v>2019E</v>
      </c>
      <c r="X53" s="285" t="str">
        <f t="shared" si="34"/>
        <v>2020E</v>
      </c>
      <c r="Y53" s="285" t="str">
        <f>Y3</f>
        <v>2021E</v>
      </c>
    </row>
    <row r="54" spans="1:28" s="290" customFormat="1">
      <c r="D54" s="340"/>
      <c r="E54" s="340"/>
      <c r="F54" s="340"/>
      <c r="G54" s="340"/>
      <c r="H54" s="340"/>
      <c r="I54" s="340"/>
      <c r="J54" s="340"/>
      <c r="K54" s="340"/>
      <c r="L54" s="340"/>
      <c r="M54" s="340"/>
      <c r="N54" s="340"/>
      <c r="O54" s="340"/>
      <c r="P54" s="340"/>
      <c r="Q54" s="316"/>
      <c r="R54" s="316"/>
      <c r="S54" s="316"/>
      <c r="T54" s="316"/>
      <c r="U54" s="316"/>
      <c r="V54" s="316"/>
      <c r="W54" s="316"/>
      <c r="X54" s="316"/>
      <c r="Y54"/>
      <c r="Z54"/>
      <c r="AA54"/>
      <c r="AB54"/>
    </row>
    <row r="55" spans="1:28" s="342" customFormat="1">
      <c r="A55" s="282"/>
      <c r="B55" s="341" t="s">
        <v>1646</v>
      </c>
      <c r="C55" s="341"/>
      <c r="D55" s="375">
        <v>16.157</v>
      </c>
      <c r="E55" s="375">
        <v>27.15</v>
      </c>
      <c r="F55" s="375">
        <v>25.193000000000001</v>
      </c>
      <c r="G55" s="375">
        <v>28.646000000000001</v>
      </c>
      <c r="H55" s="375">
        <v>30.837</v>
      </c>
      <c r="I55" s="375">
        <v>29.425000000000001</v>
      </c>
      <c r="J55" s="375">
        <f>28.385+21.684</f>
        <v>50.069000000000003</v>
      </c>
      <c r="K55" s="375">
        <f>36.224+24.185</f>
        <v>60.408999999999992</v>
      </c>
      <c r="L55" s="375">
        <f>50.366+29.539</f>
        <v>79.905000000000001</v>
      </c>
      <c r="M55" s="375">
        <f>61.359+35.452</f>
        <v>96.811000000000007</v>
      </c>
      <c r="N55" s="375">
        <v>103.101</v>
      </c>
      <c r="O55" s="317">
        <f t="shared" ref="O55:X55" si="35">O41</f>
        <v>109.79967360114037</v>
      </c>
      <c r="P55" s="317">
        <f t="shared" si="35"/>
        <v>116.93357312651634</v>
      </c>
      <c r="Q55" s="317">
        <f t="shared" si="35"/>
        <v>124.53097605558212</v>
      </c>
      <c r="R55" s="317">
        <f t="shared" si="35"/>
        <v>132.62199711093339</v>
      </c>
      <c r="S55" s="317">
        <f t="shared" si="35"/>
        <v>141.23870762758719</v>
      </c>
      <c r="T55" s="317">
        <f t="shared" si="35"/>
        <v>150.41526267791747</v>
      </c>
      <c r="U55" s="317">
        <f t="shared" si="35"/>
        <v>160.18803645614619</v>
      </c>
      <c r="V55" s="317">
        <f t="shared" si="35"/>
        <v>170.59576645902973</v>
      </c>
      <c r="W55" s="317">
        <f t="shared" si="35"/>
        <v>181.67970703424635</v>
      </c>
      <c r="X55" s="317">
        <f t="shared" si="35"/>
        <v>193.4837929051227</v>
      </c>
      <c r="Y55" s="317">
        <f>Y41</f>
        <v>206.05481331988159</v>
      </c>
      <c r="Z55"/>
      <c r="AA55"/>
      <c r="AB55"/>
    </row>
    <row r="56" spans="1:28" s="342" customFormat="1">
      <c r="A56" s="282"/>
      <c r="B56" s="341" t="s">
        <v>1647</v>
      </c>
      <c r="C56" s="341"/>
      <c r="D56" s="374">
        <v>28.597000000000001</v>
      </c>
      <c r="E56" s="374">
        <v>23.78</v>
      </c>
      <c r="F56" s="374">
        <v>20.913</v>
      </c>
      <c r="G56" s="374">
        <v>28.338999999999999</v>
      </c>
      <c r="H56" s="374">
        <v>28.638000000000002</v>
      </c>
      <c r="I56" s="374">
        <v>26.497</v>
      </c>
      <c r="J56" s="374">
        <v>32.911000000000001</v>
      </c>
      <c r="K56" s="374">
        <f>47.32+22.741</f>
        <v>70.061000000000007</v>
      </c>
      <c r="L56" s="374">
        <f>52.077+27.379</f>
        <v>79.456000000000003</v>
      </c>
      <c r="M56" s="374">
        <f>66.599+32.276</f>
        <v>98.875</v>
      </c>
      <c r="N56" s="374">
        <v>112.126</v>
      </c>
      <c r="O56" s="317">
        <f t="shared" ref="O56:X56" si="36">N56*(1+O$42)</f>
        <v>119.41104550102779</v>
      </c>
      <c r="P56" s="317">
        <f t="shared" si="36"/>
        <v>127.16941465537455</v>
      </c>
      <c r="Q56" s="317">
        <f t="shared" si="36"/>
        <v>135.43186022645952</v>
      </c>
      <c r="R56" s="317">
        <f t="shared" si="36"/>
        <v>144.23113304488336</v>
      </c>
      <c r="S56" s="317">
        <f t="shared" si="36"/>
        <v>153.60211182676059</v>
      </c>
      <c r="T56" s="317">
        <f t="shared" si="36"/>
        <v>163.58194142660281</v>
      </c>
      <c r="U56" s="317">
        <f t="shared" si="36"/>
        <v>174.21018007276214</v>
      </c>
      <c r="V56" s="317">
        <f t="shared" si="36"/>
        <v>185.52895616904948</v>
      </c>
      <c r="W56" s="317">
        <f t="shared" si="36"/>
        <v>197.58313528406038</v>
      </c>
      <c r="X56" s="317">
        <f t="shared" si="36"/>
        <v>210.42049799012415</v>
      </c>
      <c r="Y56" s="317">
        <f t="shared" ref="Y56:Y78" si="37">X56*(1+Y$42)</f>
        <v>224.09192925679716</v>
      </c>
      <c r="Z56"/>
      <c r="AA56"/>
      <c r="AB56"/>
    </row>
    <row r="57" spans="1:28" s="342" customFormat="1">
      <c r="A57" s="282"/>
      <c r="B57" s="341" t="s">
        <v>1648</v>
      </c>
      <c r="C57" s="341"/>
      <c r="D57" s="374">
        <v>31.818000000000001</v>
      </c>
      <c r="E57" s="374">
        <v>31.17</v>
      </c>
      <c r="F57" s="374">
        <v>23.074999999999999</v>
      </c>
      <c r="G57" s="374">
        <v>31.071999999999999</v>
      </c>
      <c r="H57" s="374">
        <v>30.689</v>
      </c>
      <c r="I57" s="374">
        <v>25.734999999999999</v>
      </c>
      <c r="J57" s="374">
        <v>32.741</v>
      </c>
      <c r="K57" s="374">
        <f>47.331+22.993</f>
        <v>70.323999999999998</v>
      </c>
      <c r="L57" s="374">
        <f>49.578+27.767</f>
        <v>77.344999999999999</v>
      </c>
      <c r="M57" s="374">
        <f>62.395+32.117</f>
        <v>94.512</v>
      </c>
      <c r="N57" s="374">
        <v>116.749</v>
      </c>
      <c r="O57" s="317">
        <f t="shared" ref="N57:X82" si="38">N57*(1+O$42)</f>
        <v>124.33441085207259</v>
      </c>
      <c r="P57" s="317">
        <f t="shared" si="38"/>
        <v>132.41266068173593</v>
      </c>
      <c r="Q57" s="317">
        <f t="shared" si="38"/>
        <v>141.01577020119259</v>
      </c>
      <c r="R57" s="317">
        <f t="shared" si="38"/>
        <v>150.17784057093883</v>
      </c>
      <c r="S57" s="317">
        <f t="shared" si="38"/>
        <v>159.93518857055875</v>
      </c>
      <c r="T57" s="317">
        <f t="shared" si="38"/>
        <v>170.32649055182964</v>
      </c>
      <c r="U57" s="317">
        <f t="shared" si="38"/>
        <v>181.39293574474169</v>
      </c>
      <c r="V57" s="317">
        <f t="shared" si="38"/>
        <v>193.17838952411</v>
      </c>
      <c r="W57" s="317">
        <f t="shared" si="38"/>
        <v>205.72956728393743</v>
      </c>
      <c r="X57" s="317">
        <f t="shared" si="38"/>
        <v>219.09621960873488</v>
      </c>
      <c r="Y57" s="317">
        <f t="shared" si="37"/>
        <v>233.33132947578451</v>
      </c>
      <c r="Z57"/>
      <c r="AA57"/>
      <c r="AB57"/>
    </row>
    <row r="58" spans="1:28" s="342" customFormat="1">
      <c r="A58" s="282"/>
      <c r="B58" s="341" t="s">
        <v>1649</v>
      </c>
      <c r="C58" s="341"/>
      <c r="D58" s="374">
        <v>32.103999999999999</v>
      </c>
      <c r="E58" s="374">
        <v>31.443000000000001</v>
      </c>
      <c r="F58" s="374">
        <v>26.134</v>
      </c>
      <c r="G58" s="374">
        <v>31.9</v>
      </c>
      <c r="H58" s="374">
        <v>30.41</v>
      </c>
      <c r="I58" s="374">
        <v>24.591999999999999</v>
      </c>
      <c r="J58" s="374">
        <v>32.639000000000003</v>
      </c>
      <c r="K58" s="374">
        <f>44.771+19.962</f>
        <v>64.733000000000004</v>
      </c>
      <c r="L58" s="374">
        <f>45.598+26.202</f>
        <v>71.8</v>
      </c>
      <c r="M58" s="374">
        <f>61.364+31.965</f>
        <v>93.328999999999994</v>
      </c>
      <c r="N58" s="374">
        <v>117.158</v>
      </c>
      <c r="O58" s="317">
        <f t="shared" si="38"/>
        <v>124.76998438194008</v>
      </c>
      <c r="P58" s="317">
        <f t="shared" si="38"/>
        <v>132.87653427567531</v>
      </c>
      <c r="Q58" s="317">
        <f t="shared" si="38"/>
        <v>141.50978256971212</v>
      </c>
      <c r="R58" s="317">
        <f t="shared" si="38"/>
        <v>150.70394988916433</v>
      </c>
      <c r="S58" s="317">
        <f t="shared" si="38"/>
        <v>160.49548024008359</v>
      </c>
      <c r="T58" s="317">
        <f t="shared" si="38"/>
        <v>170.92318546686698</v>
      </c>
      <c r="U58" s="317">
        <f t="shared" si="38"/>
        <v>182.02839909534509</v>
      </c>
      <c r="V58" s="317">
        <f t="shared" si="38"/>
        <v>193.85514017135631</v>
      </c>
      <c r="W58" s="317">
        <f t="shared" si="38"/>
        <v>206.45028774423369</v>
      </c>
      <c r="X58" s="317">
        <f t="shared" si="38"/>
        <v>219.86376668682524</v>
      </c>
      <c r="Y58" s="317">
        <f t="shared" si="37"/>
        <v>234.1487455886043</v>
      </c>
      <c r="Z58"/>
      <c r="AA58"/>
      <c r="AB58"/>
    </row>
    <row r="59" spans="1:28" s="342" customFormat="1">
      <c r="A59" s="282"/>
      <c r="B59" s="341" t="s">
        <v>1650</v>
      </c>
      <c r="C59" s="341"/>
      <c r="D59" s="374">
        <v>32.442</v>
      </c>
      <c r="E59" s="374">
        <v>31.888999999999999</v>
      </c>
      <c r="F59" s="374">
        <v>27.189</v>
      </c>
      <c r="G59" s="374">
        <v>32.33</v>
      </c>
      <c r="H59" s="374">
        <v>29.856000000000002</v>
      </c>
      <c r="I59" s="374">
        <v>24.635999999999999</v>
      </c>
      <c r="J59" s="374">
        <v>31.367999999999999</v>
      </c>
      <c r="K59" s="374">
        <f>40.227+17.766</f>
        <v>57.992999999999995</v>
      </c>
      <c r="L59" s="374">
        <f>44.583+25.985</f>
        <v>70.567999999999998</v>
      </c>
      <c r="M59" s="374">
        <f>62.252+32.728</f>
        <v>94.98</v>
      </c>
      <c r="N59" s="374">
        <v>112.11199999999999</v>
      </c>
      <c r="O59" s="317">
        <f t="shared" si="38"/>
        <v>119.39613589364845</v>
      </c>
      <c r="P59" s="317">
        <f t="shared" si="38"/>
        <v>127.15353634164556</v>
      </c>
      <c r="Q59" s="317">
        <f t="shared" si="38"/>
        <v>135.41495026763488</v>
      </c>
      <c r="R59" s="317">
        <f t="shared" si="38"/>
        <v>144.21312441296365</v>
      </c>
      <c r="S59" s="317">
        <f t="shared" si="38"/>
        <v>153.5829331388062</v>
      </c>
      <c r="T59" s="317">
        <f t="shared" si="38"/>
        <v>163.56151666178491</v>
      </c>
      <c r="U59" s="317">
        <f t="shared" si="38"/>
        <v>174.18842827103001</v>
      </c>
      <c r="V59" s="317">
        <f t="shared" si="38"/>
        <v>185.50579111021955</v>
      </c>
      <c r="W59" s="317">
        <f t="shared" si="38"/>
        <v>197.55846514605514</v>
      </c>
      <c r="X59" s="317">
        <f t="shared" si="38"/>
        <v>210.39422498500616</v>
      </c>
      <c r="Y59" s="317">
        <f t="shared" si="37"/>
        <v>224.06394924315543</v>
      </c>
      <c r="Z59"/>
      <c r="AA59"/>
      <c r="AB59"/>
    </row>
    <row r="60" spans="1:28" s="342" customFormat="1">
      <c r="A60" s="282"/>
      <c r="B60" s="341" t="s">
        <v>1651</v>
      </c>
      <c r="C60" s="341"/>
      <c r="D60" s="374">
        <v>32.874000000000002</v>
      </c>
      <c r="E60" s="374">
        <v>34.219000000000001</v>
      </c>
      <c r="F60" s="374">
        <v>28.05</v>
      </c>
      <c r="G60" s="374">
        <v>31.806000000000001</v>
      </c>
      <c r="H60" s="374">
        <v>29.715</v>
      </c>
      <c r="I60" s="374">
        <v>24.009</v>
      </c>
      <c r="J60" s="374">
        <v>26.452000000000002</v>
      </c>
      <c r="K60" s="374">
        <f>39.574+16.62</f>
        <v>56.194000000000003</v>
      </c>
      <c r="L60" s="374">
        <f>44.391+26.612</f>
        <v>71.003</v>
      </c>
      <c r="M60" s="374">
        <f>60.403+30.754</f>
        <v>91.156999999999996</v>
      </c>
      <c r="N60" s="374">
        <v>94.492999999999995</v>
      </c>
      <c r="O60" s="317">
        <f t="shared" si="38"/>
        <v>100.63239500676575</v>
      </c>
      <c r="P60" s="317">
        <f t="shared" si="38"/>
        <v>107.17067851372835</v>
      </c>
      <c r="Q60" s="317">
        <f t="shared" si="38"/>
        <v>114.13376708683833</v>
      </c>
      <c r="R60" s="317">
        <f t="shared" si="38"/>
        <v>121.54926114202021</v>
      </c>
      <c r="S60" s="317">
        <f t="shared" si="38"/>
        <v>129.4465543481983</v>
      </c>
      <c r="T60" s="317">
        <f t="shared" si="38"/>
        <v>137.85695013845114</v>
      </c>
      <c r="U60" s="317">
        <f t="shared" si="38"/>
        <v>146.81378579112342</v>
      </c>
      <c r="V60" s="317">
        <f t="shared" si="38"/>
        <v>156.35256457273053</v>
      </c>
      <c r="W60" s="317">
        <f t="shared" si="38"/>
        <v>166.51109646644585</v>
      </c>
      <c r="X60" s="317">
        <f t="shared" si="38"/>
        <v>177.32964804399327</v>
      </c>
      <c r="Y60" s="317">
        <f t="shared" si="37"/>
        <v>188.85110207500955</v>
      </c>
      <c r="Z60"/>
      <c r="AA60"/>
      <c r="AB60"/>
    </row>
    <row r="61" spans="1:28" s="342" customFormat="1">
      <c r="A61" s="282"/>
      <c r="B61" s="341" t="s">
        <v>1652</v>
      </c>
      <c r="C61" s="341"/>
      <c r="D61" s="343">
        <f>D46/D50</f>
        <v>31.567</v>
      </c>
      <c r="E61" s="343">
        <f>E46/E50</f>
        <v>30.500200000000003</v>
      </c>
      <c r="F61" s="343">
        <f>F46/$F$50</f>
        <v>25.072199999999999</v>
      </c>
      <c r="G61" s="343">
        <f>G46/G50</f>
        <v>31.089400000000001</v>
      </c>
      <c r="H61" s="343">
        <f>H46/$H$50</f>
        <v>29.861599999999999</v>
      </c>
      <c r="I61" s="343">
        <f>I46/$I$50</f>
        <v>25.093799999999995</v>
      </c>
      <c r="J61" s="343">
        <f>J46/$J$50</f>
        <v>31.222199999999997</v>
      </c>
      <c r="K61" s="343">
        <f>K46/$K$50</f>
        <v>63.861000000000004</v>
      </c>
      <c r="L61" s="343">
        <f>L46/$L$50</f>
        <v>74.034399999999991</v>
      </c>
      <c r="M61" s="343">
        <f>M46/$M$50</f>
        <v>94.570599999999999</v>
      </c>
      <c r="N61" s="317">
        <f t="shared" si="38"/>
        <v>100.71503683052545</v>
      </c>
      <c r="O61" s="317">
        <f t="shared" si="38"/>
        <v>107.25868973839754</v>
      </c>
      <c r="P61" s="317">
        <f t="shared" si="38"/>
        <v>114.22749657289486</v>
      </c>
      <c r="Q61" s="317">
        <f t="shared" si="38"/>
        <v>121.64908041608943</v>
      </c>
      <c r="R61" s="317">
        <f t="shared" si="38"/>
        <v>129.55285907571698</v>
      </c>
      <c r="S61" s="317">
        <f t="shared" si="38"/>
        <v>137.97016169201328</v>
      </c>
      <c r="T61" s="317">
        <f t="shared" si="38"/>
        <v>146.93435292072451</v>
      </c>
      <c r="U61" s="317">
        <f t="shared" si="38"/>
        <v>156.48096518453087</v>
      </c>
      <c r="V61" s="317">
        <f t="shared" si="38"/>
        <v>166.64783951710362</v>
      </c>
      <c r="W61" s="317">
        <f t="shared" si="38"/>
        <v>177.47527555807605</v>
      </c>
      <c r="X61" s="317">
        <f t="shared" si="38"/>
        <v>189.00619129348109</v>
      </c>
      <c r="Y61" s="317">
        <f t="shared" si="37"/>
        <v>201.28629317483751</v>
      </c>
      <c r="Z61"/>
      <c r="AA61"/>
      <c r="AB61"/>
    </row>
    <row r="62" spans="1:28" s="342" customFormat="1">
      <c r="A62" s="282"/>
      <c r="B62" s="341" t="s">
        <v>1653</v>
      </c>
      <c r="C62" s="341"/>
      <c r="D62" s="343">
        <f>IF(SUM(D$61:D61)&gt;=D$46,0,D$46/$D$50)</f>
        <v>31.567</v>
      </c>
      <c r="E62" s="343">
        <f>IF(SUM(E$61:E61)&gt;=E$46,0,E$46/$E$50)</f>
        <v>30.500200000000003</v>
      </c>
      <c r="F62" s="343">
        <f>IF(SUM(F$61:F61)&gt;=F$46,0,F$46/$F$50)</f>
        <v>25.072199999999999</v>
      </c>
      <c r="G62" s="343">
        <f>IF(SUM(G$61:G61)&gt;=G$46,0,G$46/$G$50)</f>
        <v>31.089400000000001</v>
      </c>
      <c r="H62" s="343">
        <f>IF(SUM(H$61:H61)&gt;=H$46,0,H$46/$H$50)</f>
        <v>29.861599999999999</v>
      </c>
      <c r="I62" s="343">
        <f>IF(SUM(I$61:I61)&gt;=I$46,0,I$46/$I$50)</f>
        <v>25.093799999999995</v>
      </c>
      <c r="J62" s="343">
        <f>IF(SUM(J$61:J61)&gt;=J$46,0,J$46/$J$50)</f>
        <v>31.222199999999997</v>
      </c>
      <c r="K62" s="343">
        <f>IF(SUM(K$61:K61)&gt;=K$46,0,K$46/$K$50)</f>
        <v>63.861000000000004</v>
      </c>
      <c r="L62" s="343">
        <f>IF(SUM(L$61:L61)&gt;=L$46,0,L$46/$L$50)</f>
        <v>74.034399999999991</v>
      </c>
      <c r="M62" s="343">
        <f>IF(SUM(M$61:M61)&gt;=M$46,0,M$46/$M$50)</f>
        <v>94.570599999999999</v>
      </c>
      <c r="N62" s="317">
        <f t="shared" si="38"/>
        <v>100.71503683052545</v>
      </c>
      <c r="O62" s="317">
        <f t="shared" si="38"/>
        <v>107.25868973839754</v>
      </c>
      <c r="P62" s="317">
        <f t="shared" si="38"/>
        <v>114.22749657289486</v>
      </c>
      <c r="Q62" s="317">
        <f t="shared" si="38"/>
        <v>121.64908041608943</v>
      </c>
      <c r="R62" s="317">
        <f t="shared" si="38"/>
        <v>129.55285907571698</v>
      </c>
      <c r="S62" s="317">
        <f t="shared" si="38"/>
        <v>137.97016169201328</v>
      </c>
      <c r="T62" s="317">
        <f t="shared" si="38"/>
        <v>146.93435292072451</v>
      </c>
      <c r="U62" s="317">
        <f t="shared" si="38"/>
        <v>156.48096518453087</v>
      </c>
      <c r="V62" s="317">
        <f t="shared" si="38"/>
        <v>166.64783951710362</v>
      </c>
      <c r="W62" s="317">
        <f t="shared" si="38"/>
        <v>177.47527555807605</v>
      </c>
      <c r="X62" s="317">
        <f t="shared" si="38"/>
        <v>189.00619129348109</v>
      </c>
      <c r="Y62" s="317">
        <f t="shared" si="37"/>
        <v>201.28629317483751</v>
      </c>
      <c r="Z62"/>
      <c r="AA62"/>
      <c r="AB62"/>
    </row>
    <row r="63" spans="1:28" s="342" customFormat="1">
      <c r="A63" s="282"/>
      <c r="B63" s="341" t="s">
        <v>1654</v>
      </c>
      <c r="C63" s="341"/>
      <c r="D63" s="343">
        <f>IF(SUM(D$61:D62)&gt;=D$46,0,D$46/$D$50)</f>
        <v>31.567</v>
      </c>
      <c r="E63" s="343">
        <f>IF(SUM(E$61:E62)&gt;=E$46,0,E$46/$E$50)</f>
        <v>30.500200000000003</v>
      </c>
      <c r="F63" s="343">
        <f>IF(SUM(F$61:F62)&gt;=F$46,0,F$46/$F$50)</f>
        <v>25.072199999999999</v>
      </c>
      <c r="G63" s="343">
        <f>IF(SUM(G$61:G62)&gt;=G$46,0,G$46/$G$50)</f>
        <v>31.089400000000001</v>
      </c>
      <c r="H63" s="343">
        <f>IF(SUM(H$61:H62)&gt;=H$46,0,H$46/$H$50)</f>
        <v>29.861599999999999</v>
      </c>
      <c r="I63" s="343">
        <f>IF(SUM(I$61:I62)&gt;=I$46,0,I$46/$I$50)</f>
        <v>25.093799999999995</v>
      </c>
      <c r="J63" s="343">
        <f>IF(SUM(J$61:J62)&gt;=J$46,0,J$46/$J$50)</f>
        <v>31.222199999999997</v>
      </c>
      <c r="K63" s="343">
        <f>IF(SUM(K$61:K62)&gt;=K$46,0,K$46/$K$50)</f>
        <v>63.861000000000004</v>
      </c>
      <c r="L63" s="343">
        <f>IF(SUM(L$61:L62)&gt;=L$46,0,L$46/$L$50)</f>
        <v>74.034399999999991</v>
      </c>
      <c r="M63" s="343">
        <f>IF(SUM(M$61:M62)&gt;=M$46,0,M$46/$M$50)</f>
        <v>94.570599999999999</v>
      </c>
      <c r="N63" s="317">
        <f t="shared" si="38"/>
        <v>100.71503683052545</v>
      </c>
      <c r="O63" s="317">
        <f t="shared" si="38"/>
        <v>107.25868973839754</v>
      </c>
      <c r="P63" s="317">
        <f t="shared" si="38"/>
        <v>114.22749657289486</v>
      </c>
      <c r="Q63" s="317">
        <f t="shared" si="38"/>
        <v>121.64908041608943</v>
      </c>
      <c r="R63" s="317">
        <f t="shared" si="38"/>
        <v>129.55285907571698</v>
      </c>
      <c r="S63" s="317">
        <f t="shared" si="38"/>
        <v>137.97016169201328</v>
      </c>
      <c r="T63" s="317">
        <f t="shared" si="38"/>
        <v>146.93435292072451</v>
      </c>
      <c r="U63" s="317">
        <f t="shared" si="38"/>
        <v>156.48096518453087</v>
      </c>
      <c r="V63" s="317">
        <f t="shared" si="38"/>
        <v>166.64783951710362</v>
      </c>
      <c r="W63" s="317">
        <f t="shared" si="38"/>
        <v>177.47527555807605</v>
      </c>
      <c r="X63" s="317">
        <f t="shared" si="38"/>
        <v>189.00619129348109</v>
      </c>
      <c r="Y63" s="317">
        <f t="shared" si="37"/>
        <v>201.28629317483751</v>
      </c>
      <c r="Z63"/>
      <c r="AA63"/>
      <c r="AB63"/>
    </row>
    <row r="64" spans="1:28" s="342" customFormat="1">
      <c r="A64" s="282"/>
      <c r="B64" s="341" t="s">
        <v>1655</v>
      </c>
      <c r="C64" s="341"/>
      <c r="D64" s="343">
        <f>IF(SUM(D$61:D63)&gt;=D$46,0,D$46/$D$50)</f>
        <v>31.567</v>
      </c>
      <c r="E64" s="343">
        <f>IF(SUM(E$61:E63)&gt;=E$46,0,E$46/$E$50)</f>
        <v>30.500200000000003</v>
      </c>
      <c r="F64" s="343">
        <f>IF(SUM(F$61:F63)&gt;=F$46,0,F$46/$F$50)</f>
        <v>25.072199999999999</v>
      </c>
      <c r="G64" s="343">
        <f>IF(SUM(G$61:G63)&gt;=G$46,0,G$46/$G$50)</f>
        <v>31.089400000000001</v>
      </c>
      <c r="H64" s="343">
        <f>IF(SUM(H$61:H63)&gt;=H$46,0,H$46/$H$50)</f>
        <v>29.861599999999999</v>
      </c>
      <c r="I64" s="343">
        <f>IF(SUM(I$61:I63)&gt;=I$46,0,I$46/$I$50)</f>
        <v>25.093799999999995</v>
      </c>
      <c r="J64" s="343">
        <f>IF(SUM(J$61:J63)&gt;=J$46,0,J$46/$J$50)</f>
        <v>31.222199999999997</v>
      </c>
      <c r="K64" s="343">
        <f>IF(SUM(K$61:K63)&gt;=K$46,0,K$46/$K$50)</f>
        <v>63.861000000000004</v>
      </c>
      <c r="L64" s="343">
        <f>IF(SUM(L$61:L63)&gt;=L$46,0,L$46/$L$50)</f>
        <v>74.034399999999991</v>
      </c>
      <c r="M64" s="343">
        <f>IF(SUM(M$61:M63)&gt;=M$46,0,M$46/$M$50)</f>
        <v>94.570599999999999</v>
      </c>
      <c r="N64" s="317">
        <f t="shared" si="38"/>
        <v>100.71503683052545</v>
      </c>
      <c r="O64" s="317">
        <f t="shared" si="38"/>
        <v>107.25868973839754</v>
      </c>
      <c r="P64" s="317">
        <f t="shared" si="38"/>
        <v>114.22749657289486</v>
      </c>
      <c r="Q64" s="317">
        <f t="shared" si="38"/>
        <v>121.64908041608943</v>
      </c>
      <c r="R64" s="317">
        <f t="shared" si="38"/>
        <v>129.55285907571698</v>
      </c>
      <c r="S64" s="317">
        <f t="shared" si="38"/>
        <v>137.97016169201328</v>
      </c>
      <c r="T64" s="317">
        <f t="shared" si="38"/>
        <v>146.93435292072451</v>
      </c>
      <c r="U64" s="317">
        <f t="shared" si="38"/>
        <v>156.48096518453087</v>
      </c>
      <c r="V64" s="317">
        <f t="shared" si="38"/>
        <v>166.64783951710362</v>
      </c>
      <c r="W64" s="317">
        <f t="shared" si="38"/>
        <v>177.47527555807605</v>
      </c>
      <c r="X64" s="317">
        <f t="shared" si="38"/>
        <v>189.00619129348109</v>
      </c>
      <c r="Y64" s="317">
        <f t="shared" si="37"/>
        <v>201.28629317483751</v>
      </c>
      <c r="Z64"/>
      <c r="AA64"/>
      <c r="AB64"/>
    </row>
    <row r="65" spans="1:28" s="342" customFormat="1">
      <c r="A65" s="282"/>
      <c r="B65" s="341" t="s">
        <v>1656</v>
      </c>
      <c r="C65" s="341"/>
      <c r="D65" s="343">
        <f>IF(SUM(D$61:D64)&gt;=D$46,0,D$46/$D$50)</f>
        <v>31.567</v>
      </c>
      <c r="E65" s="343">
        <f>IF(SUM(E$61:E64)&gt;=E$46,0,E$46/$E$50)</f>
        <v>30.500200000000003</v>
      </c>
      <c r="F65" s="343">
        <f>IF(SUM(F$61:F64)&gt;=F$46,0,F$46/$F$50)</f>
        <v>25.072199999999999</v>
      </c>
      <c r="G65" s="343">
        <f>IF(SUM(G$61:G64)&gt;=G$46,0,G$46/$G$50)</f>
        <v>31.089400000000001</v>
      </c>
      <c r="H65" s="343">
        <f>IF(SUM(H$61:H64)&gt;=H$46,0,H$46/$H$50)</f>
        <v>29.861599999999999</v>
      </c>
      <c r="I65" s="343">
        <f>IF(SUM(I$61:I64)&gt;=I$46,0,I$46/$I$50)</f>
        <v>25.093799999999995</v>
      </c>
      <c r="J65" s="343">
        <f>IF(SUM(J$61:J64)&gt;=J$46,0,J$46/$J$50)</f>
        <v>31.222199999999997</v>
      </c>
      <c r="K65" s="343">
        <f>IF(SUM(K$61:K64)&gt;=K$46,0,K$46/$K$50)</f>
        <v>63.861000000000004</v>
      </c>
      <c r="L65" s="343">
        <f>IF(SUM(L$61:L64)&gt;=L$46,0,L$46/$L$50)</f>
        <v>74.034399999999991</v>
      </c>
      <c r="M65" s="343">
        <f>IF(SUM(M$61:M64)&gt;=M$46,0,M$46/$M$50)</f>
        <v>94.570599999999999</v>
      </c>
      <c r="N65" s="317">
        <f t="shared" si="38"/>
        <v>100.71503683052545</v>
      </c>
      <c r="O65" s="317">
        <f t="shared" si="38"/>
        <v>107.25868973839754</v>
      </c>
      <c r="P65" s="317">
        <f t="shared" si="38"/>
        <v>114.22749657289486</v>
      </c>
      <c r="Q65" s="317">
        <f t="shared" si="38"/>
        <v>121.64908041608943</v>
      </c>
      <c r="R65" s="317">
        <f t="shared" si="38"/>
        <v>129.55285907571698</v>
      </c>
      <c r="S65" s="317">
        <f t="shared" si="38"/>
        <v>137.97016169201328</v>
      </c>
      <c r="T65" s="317">
        <f t="shared" si="38"/>
        <v>146.93435292072451</v>
      </c>
      <c r="U65" s="317">
        <f t="shared" si="38"/>
        <v>156.48096518453087</v>
      </c>
      <c r="V65" s="317">
        <f t="shared" si="38"/>
        <v>166.64783951710362</v>
      </c>
      <c r="W65" s="317">
        <f t="shared" si="38"/>
        <v>177.47527555807605</v>
      </c>
      <c r="X65" s="317">
        <f t="shared" si="38"/>
        <v>189.00619129348109</v>
      </c>
      <c r="Y65" s="317">
        <f t="shared" si="37"/>
        <v>201.28629317483751</v>
      </c>
      <c r="Z65"/>
      <c r="AA65"/>
      <c r="AB65"/>
    </row>
    <row r="66" spans="1:28" s="342" customFormat="1">
      <c r="A66" s="282"/>
      <c r="B66" s="341" t="s">
        <v>1657</v>
      </c>
      <c r="C66" s="341"/>
      <c r="D66" s="343">
        <f>IF(SUM(D$61:D65)&gt;=D$46,0,D$46/$D$50)</f>
        <v>31.567</v>
      </c>
      <c r="E66" s="343">
        <f>IF(SUM(E$61:E65)&gt;=E$46,0,E$46/$E$50)</f>
        <v>30.500200000000003</v>
      </c>
      <c r="F66" s="343">
        <f>IF(SUM(F$61:F65)&gt;=F$46,0,F$46/$F$50)</f>
        <v>25.072199999999999</v>
      </c>
      <c r="G66" s="343">
        <f>IF(SUM(G$61:G65)&gt;=G$46,0,G$46/$G$50)</f>
        <v>31.089400000000001</v>
      </c>
      <c r="H66" s="343">
        <f>IF(SUM(H$61:H65)&gt;=H$46,0,H$46/$H$50)</f>
        <v>29.861599999999999</v>
      </c>
      <c r="I66" s="343">
        <f>IF(SUM(I$61:I65)&gt;=I$46,0,I$46/$I$50)</f>
        <v>0</v>
      </c>
      <c r="J66" s="343">
        <f>IF(SUM(J$61:J65)&gt;=J$46,0,J$46/$J$50)</f>
        <v>0</v>
      </c>
      <c r="K66" s="343">
        <f>IF(SUM(K$61:K65)&gt;=K$46,0,K$46/$K$50)</f>
        <v>0</v>
      </c>
      <c r="L66" s="343">
        <f>IF(SUM(L$61:L65)&gt;=L$46,0,L$46/$L$50)</f>
        <v>74.034399999999991</v>
      </c>
      <c r="M66" s="343">
        <f>IF(SUM(M$61:M65)&gt;=M$46,0,M$46/$M$50)</f>
        <v>0</v>
      </c>
      <c r="N66" s="317">
        <f t="shared" si="38"/>
        <v>0</v>
      </c>
      <c r="O66" s="317">
        <f t="shared" si="38"/>
        <v>0</v>
      </c>
      <c r="P66" s="317">
        <f t="shared" si="38"/>
        <v>0</v>
      </c>
      <c r="Q66" s="317">
        <f t="shared" si="38"/>
        <v>0</v>
      </c>
      <c r="R66" s="317">
        <f t="shared" si="38"/>
        <v>0</v>
      </c>
      <c r="S66" s="317">
        <f t="shared" si="38"/>
        <v>0</v>
      </c>
      <c r="T66" s="317">
        <f t="shared" si="38"/>
        <v>0</v>
      </c>
      <c r="U66" s="317">
        <f t="shared" si="38"/>
        <v>0</v>
      </c>
      <c r="V66" s="317">
        <f t="shared" si="38"/>
        <v>0</v>
      </c>
      <c r="W66" s="317">
        <f t="shared" si="38"/>
        <v>0</v>
      </c>
      <c r="X66" s="317">
        <f t="shared" si="38"/>
        <v>0</v>
      </c>
      <c r="Y66" s="317">
        <f t="shared" si="37"/>
        <v>0</v>
      </c>
      <c r="Z66"/>
      <c r="AA66"/>
      <c r="AB66"/>
    </row>
    <row r="67" spans="1:28" s="342" customFormat="1">
      <c r="A67" s="282"/>
      <c r="B67" s="341" t="s">
        <v>1658</v>
      </c>
      <c r="C67" s="341"/>
      <c r="D67" s="343">
        <f>IF(SUM(D$61:D66)&gt;=D$46,0,D$46/$D$50)</f>
        <v>31.567</v>
      </c>
      <c r="E67" s="343">
        <f>IF(SUM(E$61:E66)&gt;=E$46,0,E$46/$E$50)</f>
        <v>30.500200000000003</v>
      </c>
      <c r="F67" s="343">
        <f>IF(SUM(F$61:F66)&gt;=F$46,0,F$46/$F$50)</f>
        <v>25.072199999999999</v>
      </c>
      <c r="G67" s="343">
        <f>IF(SUM(G$61:G66)&gt;=G$46,0,G$46/$G$50)</f>
        <v>31.089400000000001</v>
      </c>
      <c r="H67" s="343">
        <f>IF(SUM(H$61:H66)&gt;=H$46,0,H$46/$H$50)</f>
        <v>0</v>
      </c>
      <c r="I67" s="343">
        <f>IF(SUM(I$61:I66)&gt;=I$46,0,I$46/$I$50)</f>
        <v>0</v>
      </c>
      <c r="J67" s="343">
        <f>IF(SUM(J$61:J66)&gt;=J$46,0,J$46/$J$50)</f>
        <v>0</v>
      </c>
      <c r="K67" s="343">
        <f>IF(SUM(K$61:K66)&gt;=K$46,0,K$46/$K$50)</f>
        <v>0</v>
      </c>
      <c r="L67" s="343">
        <f>IF(SUM(L$61:L66)&gt;=L$46,0,L$46/$L$50)</f>
        <v>0</v>
      </c>
      <c r="M67" s="343">
        <f>IF(SUM(M$61:M66)&gt;=M$46,0,M$46/$M$50)</f>
        <v>0</v>
      </c>
      <c r="N67" s="317">
        <f t="shared" si="38"/>
        <v>0</v>
      </c>
      <c r="O67" s="317">
        <f t="shared" si="38"/>
        <v>0</v>
      </c>
      <c r="P67" s="317">
        <f t="shared" si="38"/>
        <v>0</v>
      </c>
      <c r="Q67" s="317">
        <f t="shared" si="38"/>
        <v>0</v>
      </c>
      <c r="R67" s="317">
        <f t="shared" si="38"/>
        <v>0</v>
      </c>
      <c r="S67" s="317">
        <f t="shared" si="38"/>
        <v>0</v>
      </c>
      <c r="T67" s="317">
        <f t="shared" si="38"/>
        <v>0</v>
      </c>
      <c r="U67" s="317">
        <f t="shared" si="38"/>
        <v>0</v>
      </c>
      <c r="V67" s="317">
        <f t="shared" si="38"/>
        <v>0</v>
      </c>
      <c r="W67" s="317">
        <f t="shared" si="38"/>
        <v>0</v>
      </c>
      <c r="X67" s="317">
        <f t="shared" si="38"/>
        <v>0</v>
      </c>
      <c r="Y67" s="317">
        <f t="shared" si="37"/>
        <v>0</v>
      </c>
      <c r="Z67"/>
      <c r="AA67"/>
      <c r="AB67"/>
    </row>
    <row r="68" spans="1:28" s="342" customFormat="1">
      <c r="A68" s="282"/>
      <c r="B68" s="341" t="s">
        <v>1659</v>
      </c>
      <c r="C68" s="341"/>
      <c r="D68" s="343">
        <f>IF(SUM(D$61:D67)&gt;=D$46,0,D$46/$D$50)</f>
        <v>31.567</v>
      </c>
      <c r="E68" s="343">
        <f>IF(SUM(E$61:E67)&gt;=E$46,0,E$46/$E$50)</f>
        <v>30.500200000000003</v>
      </c>
      <c r="F68" s="343">
        <f>IF(SUM(F$61:F67)&gt;=F$46,0,F$46/$F$50)</f>
        <v>25.072199999999999</v>
      </c>
      <c r="G68" s="343">
        <f>IF(SUM(G$61:G67)&gt;=G$46,0,G$46/$G$50)</f>
        <v>0</v>
      </c>
      <c r="H68" s="343">
        <f>IF(SUM(H$61:H67)&gt;=H$46,0,H$46/$H$50)</f>
        <v>0</v>
      </c>
      <c r="I68" s="343">
        <f>IF(SUM(I$61:I67)&gt;=I$46,0,I$46/$I$50)</f>
        <v>0</v>
      </c>
      <c r="J68" s="343">
        <f>IF(SUM(J$61:J67)&gt;=J$46,0,J$46/$J$50)</f>
        <v>0</v>
      </c>
      <c r="K68" s="343">
        <f>IF(SUM(K$61:K67)&gt;=K$46,0,K$46/$K$50)</f>
        <v>0</v>
      </c>
      <c r="L68" s="343">
        <f>IF(SUM(L$61:L67)&gt;=L$46,0,L$46/$L$50)</f>
        <v>0</v>
      </c>
      <c r="M68" s="343">
        <f>IF(SUM(M$61:M67)&gt;=M$46,0,M$46/$M$50)</f>
        <v>0</v>
      </c>
      <c r="N68" s="317">
        <f t="shared" si="38"/>
        <v>0</v>
      </c>
      <c r="O68" s="317">
        <f t="shared" si="38"/>
        <v>0</v>
      </c>
      <c r="P68" s="317">
        <f t="shared" si="38"/>
        <v>0</v>
      </c>
      <c r="Q68" s="317">
        <f t="shared" si="38"/>
        <v>0</v>
      </c>
      <c r="R68" s="317">
        <f t="shared" si="38"/>
        <v>0</v>
      </c>
      <c r="S68" s="317">
        <f t="shared" si="38"/>
        <v>0</v>
      </c>
      <c r="T68" s="317">
        <f t="shared" si="38"/>
        <v>0</v>
      </c>
      <c r="U68" s="317">
        <f t="shared" si="38"/>
        <v>0</v>
      </c>
      <c r="V68" s="317">
        <f t="shared" si="38"/>
        <v>0</v>
      </c>
      <c r="W68" s="317">
        <f t="shared" si="38"/>
        <v>0</v>
      </c>
      <c r="X68" s="317">
        <f t="shared" si="38"/>
        <v>0</v>
      </c>
      <c r="Y68" s="317">
        <f t="shared" si="37"/>
        <v>0</v>
      </c>
      <c r="Z68"/>
      <c r="AA68"/>
      <c r="AB68"/>
    </row>
    <row r="69" spans="1:28" s="342" customFormat="1">
      <c r="A69" s="282"/>
      <c r="B69" s="341" t="s">
        <v>1660</v>
      </c>
      <c r="C69" s="341"/>
      <c r="D69" s="343">
        <f>IF(SUM(D$61:D68)&gt;=D$46,0,D$46/$D$50)</f>
        <v>31.567</v>
      </c>
      <c r="E69" s="343">
        <f>IF(SUM(E$61:E68)&gt;=E$46,0,E$46/$E$50)</f>
        <v>30.500200000000003</v>
      </c>
      <c r="F69" s="343">
        <f>IF(SUM(F$61:F68)&gt;=F$46,0,F$46/$F$50)</f>
        <v>25.072199999999999</v>
      </c>
      <c r="G69" s="343">
        <f>IF(SUM(G$61:G68)&gt;=G$46,0,G$46/$G$50)</f>
        <v>0</v>
      </c>
      <c r="H69" s="343">
        <f>IF(SUM(H$61:H68)&gt;=H$46,0,H$46/$H$50)</f>
        <v>0</v>
      </c>
      <c r="I69" s="343">
        <f>IF(SUM(I$61:I68)&gt;=I$46,0,I$46/$I$50)</f>
        <v>0</v>
      </c>
      <c r="J69" s="343">
        <f>IF(SUM(J$61:J68)&gt;=J$46,0,J$46/$J$50)</f>
        <v>0</v>
      </c>
      <c r="K69" s="343">
        <f>IF(SUM(K$61:K68)&gt;=K$46,0,K$46/$K$50)</f>
        <v>0</v>
      </c>
      <c r="L69" s="343">
        <f>IF(SUM(L$61:L68)&gt;=L$46,0,L$46/$L$50)</f>
        <v>0</v>
      </c>
      <c r="M69" s="343">
        <f>IF(SUM(M$61:M68)&gt;=M$46,0,M$46/$M$50)</f>
        <v>0</v>
      </c>
      <c r="N69" s="317">
        <f t="shared" si="38"/>
        <v>0</v>
      </c>
      <c r="O69" s="317">
        <f t="shared" si="38"/>
        <v>0</v>
      </c>
      <c r="P69" s="317">
        <f t="shared" si="38"/>
        <v>0</v>
      </c>
      <c r="Q69" s="317">
        <f t="shared" si="38"/>
        <v>0</v>
      </c>
      <c r="R69" s="317">
        <f t="shared" si="38"/>
        <v>0</v>
      </c>
      <c r="S69" s="317">
        <f t="shared" si="38"/>
        <v>0</v>
      </c>
      <c r="T69" s="317">
        <f t="shared" si="38"/>
        <v>0</v>
      </c>
      <c r="U69" s="317">
        <f t="shared" si="38"/>
        <v>0</v>
      </c>
      <c r="V69" s="317">
        <f t="shared" si="38"/>
        <v>0</v>
      </c>
      <c r="W69" s="317">
        <f t="shared" si="38"/>
        <v>0</v>
      </c>
      <c r="X69" s="317">
        <f t="shared" si="38"/>
        <v>0</v>
      </c>
      <c r="Y69" s="317">
        <f t="shared" si="37"/>
        <v>0</v>
      </c>
      <c r="Z69"/>
      <c r="AA69"/>
      <c r="AB69"/>
    </row>
    <row r="70" spans="1:28" s="342" customFormat="1">
      <c r="A70" s="282"/>
      <c r="B70" s="341" t="s">
        <v>1661</v>
      </c>
      <c r="C70" s="341"/>
      <c r="D70" s="343">
        <f>IF(SUM(D$61:D69)&gt;=D$46,0,D$46/$D$50)</f>
        <v>31.567</v>
      </c>
      <c r="E70" s="343">
        <f>IF(SUM(E$61:E69)&gt;=E$46,0,E$46/$E$50)</f>
        <v>30.500200000000003</v>
      </c>
      <c r="F70" s="343">
        <f>IF(SUM(F$61:F69)&gt;=F$46,0,F$46/$F$50)</f>
        <v>0</v>
      </c>
      <c r="G70" s="343">
        <f>IF(SUM(G$61:G69)&gt;=G$46,0,G$46/$G$50)</f>
        <v>0</v>
      </c>
      <c r="H70" s="343">
        <f>IF(SUM(H$61:H69)&gt;=H$46,0,H$46/$H$50)</f>
        <v>0</v>
      </c>
      <c r="I70" s="343">
        <f>IF(SUM(I$61:I69)&gt;=I$46,0,I$46/$I$50)</f>
        <v>0</v>
      </c>
      <c r="J70" s="343">
        <f>IF(SUM(J$61:J69)&gt;=J$46,0,J$46/$J$50)</f>
        <v>0</v>
      </c>
      <c r="K70" s="343">
        <f>IF(SUM(K$61:K69)&gt;=K$46,0,K$46/$K$50)</f>
        <v>0</v>
      </c>
      <c r="L70" s="343">
        <f>IF(SUM(L$61:L69)&gt;=L$46,0,L$46/$L$50)</f>
        <v>0</v>
      </c>
      <c r="M70" s="343">
        <f>IF(SUM(M$61:M69)&gt;=M$46,0,M$46/$M$50)</f>
        <v>0</v>
      </c>
      <c r="N70" s="317">
        <f t="shared" si="38"/>
        <v>0</v>
      </c>
      <c r="O70" s="317">
        <f t="shared" si="38"/>
        <v>0</v>
      </c>
      <c r="P70" s="317">
        <f t="shared" si="38"/>
        <v>0</v>
      </c>
      <c r="Q70" s="317">
        <f t="shared" si="38"/>
        <v>0</v>
      </c>
      <c r="R70" s="317">
        <f t="shared" si="38"/>
        <v>0</v>
      </c>
      <c r="S70" s="317">
        <f t="shared" si="38"/>
        <v>0</v>
      </c>
      <c r="T70" s="317">
        <f t="shared" si="38"/>
        <v>0</v>
      </c>
      <c r="U70" s="317">
        <f t="shared" si="38"/>
        <v>0</v>
      </c>
      <c r="V70" s="317">
        <f t="shared" si="38"/>
        <v>0</v>
      </c>
      <c r="W70" s="317">
        <f t="shared" si="38"/>
        <v>0</v>
      </c>
      <c r="X70" s="317">
        <f t="shared" si="38"/>
        <v>0</v>
      </c>
      <c r="Y70" s="317">
        <f t="shared" si="37"/>
        <v>0</v>
      </c>
      <c r="Z70"/>
      <c r="AA70"/>
      <c r="AB70"/>
    </row>
    <row r="71" spans="1:28" s="342" customFormat="1">
      <c r="A71" s="282"/>
      <c r="B71" s="341" t="s">
        <v>1662</v>
      </c>
      <c r="C71" s="341"/>
      <c r="D71" s="343">
        <f>IF(SUM(D$61:D70)&gt;=D$46,0,D$46/$D$50)</f>
        <v>31.567</v>
      </c>
      <c r="E71" s="343">
        <f>IF(SUM(E$61:E70)&gt;=E$46,0,E$46/$E$50)</f>
        <v>30.500200000000003</v>
      </c>
      <c r="F71" s="343">
        <f>IF(SUM(F$61:F70)&gt;=F$46,0,F$46/$F$50)</f>
        <v>0</v>
      </c>
      <c r="G71" s="343">
        <f>IF(SUM(G$61:G70)&gt;=G$46,0,G$46/$G$50)</f>
        <v>0</v>
      </c>
      <c r="H71" s="343">
        <f>IF(SUM(H$61:H70)&gt;=H$46,0,H$46/$H$50)</f>
        <v>0</v>
      </c>
      <c r="I71" s="343">
        <f>IF(SUM(I$61:I70)&gt;=I$46,0,I$46/$I$50)</f>
        <v>0</v>
      </c>
      <c r="J71" s="343">
        <f>IF(SUM(J$61:J70)&gt;=J$46,0,J$46/$J$50)</f>
        <v>0</v>
      </c>
      <c r="K71" s="343">
        <f>IF(SUM(K$61:K70)&gt;=K$46,0,K$46/$K$50)</f>
        <v>0</v>
      </c>
      <c r="L71" s="343">
        <f>IF(SUM(L$61:L70)&gt;=L$46,0,L$46/$L$50)</f>
        <v>0</v>
      </c>
      <c r="M71" s="343">
        <f>IF(SUM(M$61:M70)&gt;=M$46,0,M$46/$M$50)</f>
        <v>0</v>
      </c>
      <c r="N71" s="317">
        <f t="shared" si="38"/>
        <v>0</v>
      </c>
      <c r="O71" s="317">
        <f t="shared" si="38"/>
        <v>0</v>
      </c>
      <c r="P71" s="317">
        <f t="shared" si="38"/>
        <v>0</v>
      </c>
      <c r="Q71" s="317">
        <f t="shared" si="38"/>
        <v>0</v>
      </c>
      <c r="R71" s="317">
        <f t="shared" si="38"/>
        <v>0</v>
      </c>
      <c r="S71" s="317">
        <f t="shared" si="38"/>
        <v>0</v>
      </c>
      <c r="T71" s="317">
        <f t="shared" si="38"/>
        <v>0</v>
      </c>
      <c r="U71" s="317">
        <f t="shared" si="38"/>
        <v>0</v>
      </c>
      <c r="V71" s="317">
        <f t="shared" si="38"/>
        <v>0</v>
      </c>
      <c r="W71" s="317">
        <f t="shared" si="38"/>
        <v>0</v>
      </c>
      <c r="X71" s="317">
        <f t="shared" si="38"/>
        <v>0</v>
      </c>
      <c r="Y71" s="317">
        <f t="shared" si="37"/>
        <v>0</v>
      </c>
      <c r="Z71"/>
      <c r="AA71"/>
      <c r="AB71"/>
    </row>
    <row r="72" spans="1:28" s="342" customFormat="1">
      <c r="A72" s="282"/>
      <c r="B72" s="341" t="s">
        <v>1663</v>
      </c>
      <c r="C72" s="341"/>
      <c r="D72" s="343">
        <f>IF(SUM(D$61:D71)&gt;=D$46,0,D$46/$D$50)</f>
        <v>0</v>
      </c>
      <c r="E72" s="343">
        <f>IF(SUM(E$61:E71)&gt;=E$46,0,E$46/$E$50)</f>
        <v>30.500200000000003</v>
      </c>
      <c r="F72" s="343">
        <f>IF(SUM(F$61:F71)&gt;=F$46,0,F$46/$F$50)</f>
        <v>0</v>
      </c>
      <c r="G72" s="343">
        <f>IF(SUM(G$61:G71)&gt;=G$46,0,G$46/$G$50)</f>
        <v>0</v>
      </c>
      <c r="H72" s="343">
        <f>IF(SUM(H$61:H71)&gt;=H$46,0,H$46/$H$50)</f>
        <v>0</v>
      </c>
      <c r="I72" s="343">
        <f>IF(SUM(I$61:I71)&gt;=I$46,0,I$46/$I$50)</f>
        <v>0</v>
      </c>
      <c r="J72" s="343">
        <f>IF(SUM(J$61:J71)&gt;=J$46,0,J$46/$J$50)</f>
        <v>0</v>
      </c>
      <c r="K72" s="343">
        <f>IF(SUM(K$61:K71)&gt;=K$46,0,K$46/$K$50)</f>
        <v>0</v>
      </c>
      <c r="L72" s="373">
        <f>IF(SUM(L$61:L71)&gt;=L$46,0,L$46/$L$50)</f>
        <v>0</v>
      </c>
      <c r="M72" s="373">
        <f>IF(SUM(M$61:M71)&gt;=M$46,0,M$46/$M$50)</f>
        <v>0</v>
      </c>
      <c r="N72" s="317">
        <f t="shared" si="38"/>
        <v>0</v>
      </c>
      <c r="O72" s="317">
        <f t="shared" si="38"/>
        <v>0</v>
      </c>
      <c r="P72" s="317">
        <f t="shared" si="38"/>
        <v>0</v>
      </c>
      <c r="Q72" s="317">
        <f t="shared" si="38"/>
        <v>0</v>
      </c>
      <c r="R72" s="317">
        <f t="shared" si="38"/>
        <v>0</v>
      </c>
      <c r="S72" s="317">
        <f t="shared" si="38"/>
        <v>0</v>
      </c>
      <c r="T72" s="317">
        <f t="shared" si="38"/>
        <v>0</v>
      </c>
      <c r="U72" s="317">
        <f t="shared" si="38"/>
        <v>0</v>
      </c>
      <c r="V72" s="317">
        <f t="shared" si="38"/>
        <v>0</v>
      </c>
      <c r="W72" s="317">
        <f t="shared" si="38"/>
        <v>0</v>
      </c>
      <c r="X72" s="317">
        <f t="shared" si="38"/>
        <v>0</v>
      </c>
      <c r="Y72" s="317">
        <f t="shared" si="37"/>
        <v>0</v>
      </c>
      <c r="Z72"/>
      <c r="AA72"/>
      <c r="AB72"/>
    </row>
    <row r="73" spans="1:28" s="342" customFormat="1">
      <c r="A73" s="282"/>
      <c r="B73" s="341" t="s">
        <v>1664</v>
      </c>
      <c r="C73" s="341"/>
      <c r="D73" s="325">
        <f>IF(SUM(D$61:D72)&gt;=D$46,0,D$46/$D$50)</f>
        <v>0</v>
      </c>
      <c r="E73" s="343">
        <f>IF(SUM(E$61:E72)&gt;=E$46,0,E$46/$E$50)</f>
        <v>30.500200000000003</v>
      </c>
      <c r="F73" s="325">
        <f>IF(SUM(F$61:F72)&gt;=F$46,0,F$46/$F$50)</f>
        <v>0</v>
      </c>
      <c r="G73" s="325">
        <f>IF(SUM(G$61:G72)&gt;=G$46,0,G$46/$G$50)</f>
        <v>0</v>
      </c>
      <c r="H73" s="325">
        <f>IF(SUM(H$61:H72)&gt;=H$46,0,H$46/$H$50)</f>
        <v>0</v>
      </c>
      <c r="I73" s="325">
        <f>IF(SUM(I$61:I72)&gt;=I$46,0,I$46/$I$50)</f>
        <v>0</v>
      </c>
      <c r="J73" s="325">
        <f>IF(SUM(J$61:J72)&gt;=J$46,0,J$46/$J$50)</f>
        <v>0</v>
      </c>
      <c r="K73" s="325">
        <f>IF(SUM(K$61:K72)&gt;=K$46,0,K$46/$K$50)</f>
        <v>0</v>
      </c>
      <c r="L73" s="343">
        <f>IF(SUM(L$61:L72)&gt;=L$46,0,L$46/$L$50)</f>
        <v>0</v>
      </c>
      <c r="M73" s="343">
        <f>IF(SUM(M$61:M72)&gt;=M$46,0,M$46/$M$50)</f>
        <v>0</v>
      </c>
      <c r="N73" s="317">
        <f t="shared" si="38"/>
        <v>0</v>
      </c>
      <c r="O73" s="317">
        <f t="shared" si="38"/>
        <v>0</v>
      </c>
      <c r="P73" s="317">
        <f t="shared" si="38"/>
        <v>0</v>
      </c>
      <c r="Q73" s="317">
        <f t="shared" si="38"/>
        <v>0</v>
      </c>
      <c r="R73" s="317">
        <f t="shared" si="38"/>
        <v>0</v>
      </c>
      <c r="S73" s="317">
        <f t="shared" si="38"/>
        <v>0</v>
      </c>
      <c r="T73" s="317">
        <f t="shared" si="38"/>
        <v>0</v>
      </c>
      <c r="U73" s="317">
        <f t="shared" si="38"/>
        <v>0</v>
      </c>
      <c r="V73" s="317">
        <f t="shared" si="38"/>
        <v>0</v>
      </c>
      <c r="W73" s="317">
        <f t="shared" si="38"/>
        <v>0</v>
      </c>
      <c r="X73" s="317">
        <f t="shared" si="38"/>
        <v>0</v>
      </c>
      <c r="Y73" s="317">
        <f t="shared" si="37"/>
        <v>0</v>
      </c>
      <c r="Z73"/>
      <c r="AA73"/>
      <c r="AB73"/>
    </row>
    <row r="74" spans="1:28" s="342" customFormat="1">
      <c r="A74" s="282"/>
      <c r="B74" s="341" t="s">
        <v>1665</v>
      </c>
      <c r="C74" s="341"/>
      <c r="D74" s="325">
        <f>IF(SUM(D$61:D73)&gt;=D$46,0,D$46/$D$50)</f>
        <v>0</v>
      </c>
      <c r="E74" s="343">
        <f>IF(SUM(E$61:E73)&gt;=E$46,0,E$46/$E$50)</f>
        <v>30.500200000000003</v>
      </c>
      <c r="F74" s="325">
        <f>IF(SUM(F$61:F73)&gt;=F$46,0,F$46/$F$50)</f>
        <v>0</v>
      </c>
      <c r="G74" s="325">
        <f>IF(SUM(G$61:G73)&gt;=G$46,0,G$46/$G$50)</f>
        <v>0</v>
      </c>
      <c r="H74" s="325">
        <f>IF(SUM(H$61:H73)&gt;=H$46,0,H$46/$H$50)</f>
        <v>0</v>
      </c>
      <c r="I74" s="325">
        <f>IF(SUM(I$61:I73)&gt;=I$46,0,I$46/$I$50)</f>
        <v>0</v>
      </c>
      <c r="J74" s="325">
        <f>IF(SUM(J$61:J73)&gt;=J$46,0,J$46/$J$50)</f>
        <v>0</v>
      </c>
      <c r="K74" s="325">
        <f>IF(SUM(K$61:K73)&gt;=K$46,0,K$46/$K$50)</f>
        <v>0</v>
      </c>
      <c r="L74" s="343">
        <f>IF(SUM(L$61:L73)&gt;=L$46,0,L$46/$L$50)</f>
        <v>0</v>
      </c>
      <c r="M74" s="343">
        <f>IF(SUM(M$61:M73)&gt;=M$46,0,M$46/$M$50)</f>
        <v>0</v>
      </c>
      <c r="N74" s="317">
        <f t="shared" si="38"/>
        <v>0</v>
      </c>
      <c r="O74" s="317">
        <f t="shared" si="38"/>
        <v>0</v>
      </c>
      <c r="P74" s="317">
        <f t="shared" si="38"/>
        <v>0</v>
      </c>
      <c r="Q74" s="317">
        <f t="shared" si="38"/>
        <v>0</v>
      </c>
      <c r="R74" s="317">
        <f t="shared" si="38"/>
        <v>0</v>
      </c>
      <c r="S74" s="317">
        <f t="shared" si="38"/>
        <v>0</v>
      </c>
      <c r="T74" s="317">
        <f t="shared" si="38"/>
        <v>0</v>
      </c>
      <c r="U74" s="317">
        <f t="shared" si="38"/>
        <v>0</v>
      </c>
      <c r="V74" s="317">
        <f t="shared" si="38"/>
        <v>0</v>
      </c>
      <c r="W74" s="317">
        <f t="shared" si="38"/>
        <v>0</v>
      </c>
      <c r="X74" s="317">
        <f t="shared" si="38"/>
        <v>0</v>
      </c>
      <c r="Y74" s="317">
        <f t="shared" si="37"/>
        <v>0</v>
      </c>
      <c r="Z74"/>
      <c r="AA74"/>
      <c r="AB74"/>
    </row>
    <row r="75" spans="1:28" s="342" customFormat="1">
      <c r="A75" s="282"/>
      <c r="B75" s="341" t="s">
        <v>1666</v>
      </c>
      <c r="C75" s="341"/>
      <c r="D75" s="325">
        <f>IF(SUM(D$61:D74)&gt;=D$46,0,D$46/$D$50)</f>
        <v>0</v>
      </c>
      <c r="E75" s="343">
        <f>IF(SUM(E$61:E74)&gt;=E$46,0,E$46/$E$50)</f>
        <v>0</v>
      </c>
      <c r="F75" s="325">
        <f>IF(SUM(F$61:F74)&gt;=F$46,0,F$46/$F$50)</f>
        <v>0</v>
      </c>
      <c r="G75" s="325">
        <f>IF(SUM(G$61:G74)&gt;=G$46,0,G$46/$G$50)</f>
        <v>0</v>
      </c>
      <c r="H75" s="325">
        <f>IF(SUM(H$61:H74)&gt;=H$46,0,H$46/$H$50)</f>
        <v>0</v>
      </c>
      <c r="I75" s="325">
        <f>IF(SUM(I$61:I74)&gt;=I$46,0,I$46/$I$50)</f>
        <v>0</v>
      </c>
      <c r="J75" s="325">
        <f>IF(SUM(J$61:J74)&gt;=J$46,0,J$46/$J$50)</f>
        <v>0</v>
      </c>
      <c r="K75" s="325">
        <f>IF(SUM(K$61:K74)&gt;=K$46,0,K$46/$K$50)</f>
        <v>0</v>
      </c>
      <c r="L75" s="343">
        <f>IF(SUM(L$61:L74)&gt;=L$46,0,L$46/$L$50)</f>
        <v>0</v>
      </c>
      <c r="M75" s="343">
        <f>IF(SUM(M$61:M74)&gt;=M$46,0,M$46/$M$50)</f>
        <v>0</v>
      </c>
      <c r="N75" s="317">
        <f t="shared" si="38"/>
        <v>0</v>
      </c>
      <c r="O75" s="317">
        <f t="shared" si="38"/>
        <v>0</v>
      </c>
      <c r="P75" s="317">
        <f t="shared" si="38"/>
        <v>0</v>
      </c>
      <c r="Q75" s="317">
        <f t="shared" si="38"/>
        <v>0</v>
      </c>
      <c r="R75" s="317">
        <f t="shared" si="38"/>
        <v>0</v>
      </c>
      <c r="S75" s="317">
        <f t="shared" si="38"/>
        <v>0</v>
      </c>
      <c r="T75" s="317">
        <f t="shared" si="38"/>
        <v>0</v>
      </c>
      <c r="U75" s="317">
        <f t="shared" si="38"/>
        <v>0</v>
      </c>
      <c r="V75" s="317">
        <f t="shared" si="38"/>
        <v>0</v>
      </c>
      <c r="W75" s="317">
        <f t="shared" si="38"/>
        <v>0</v>
      </c>
      <c r="X75" s="317">
        <f t="shared" si="38"/>
        <v>0</v>
      </c>
      <c r="Y75" s="317">
        <f t="shared" si="37"/>
        <v>0</v>
      </c>
      <c r="Z75"/>
      <c r="AA75"/>
      <c r="AB75"/>
    </row>
    <row r="76" spans="1:28" s="342" customFormat="1">
      <c r="A76" s="282"/>
      <c r="B76" s="341" t="s">
        <v>1667</v>
      </c>
      <c r="C76" s="341"/>
      <c r="D76" s="325">
        <f>IF(SUM(D$61:D75)&gt;=D$46,0,D$46/$D$50)</f>
        <v>0</v>
      </c>
      <c r="E76" s="343">
        <f>IF(SUM(E$61:E75)&gt;=E$46,0,E$46/$E$50)</f>
        <v>0</v>
      </c>
      <c r="F76" s="325">
        <f>IF(SUM(F$61:F75)&gt;=F$46,0,F$46/$F$50)</f>
        <v>0</v>
      </c>
      <c r="G76" s="325">
        <f>IF(SUM(G$61:G75)&gt;=G$46,0,G$46/$G$50)</f>
        <v>0</v>
      </c>
      <c r="H76" s="325">
        <f>IF(SUM(H$61:H75)&gt;=H$46,0,H$46/$H$50)</f>
        <v>0</v>
      </c>
      <c r="I76" s="325">
        <f>IF(SUM(I$61:I75)&gt;=I$46,0,I$46/$I$50)</f>
        <v>0</v>
      </c>
      <c r="J76" s="325">
        <f>IF(SUM(J$61:J75)&gt;=J$46,0,J$46/$J$50)</f>
        <v>0</v>
      </c>
      <c r="K76" s="325">
        <f>IF(SUM(K$61:K75)&gt;=K$46,0,K$46/$K$50)</f>
        <v>0</v>
      </c>
      <c r="L76" s="343">
        <f>IF(SUM(L$61:L75)&gt;=L$46,0,L$46/$L$50)</f>
        <v>0</v>
      </c>
      <c r="M76" s="343">
        <f>IF(SUM(M$61:M75)&gt;=M$46,0,M$46/$M$50)</f>
        <v>0</v>
      </c>
      <c r="N76" s="317">
        <f t="shared" si="38"/>
        <v>0</v>
      </c>
      <c r="O76" s="317">
        <f t="shared" si="38"/>
        <v>0</v>
      </c>
      <c r="P76" s="317">
        <f t="shared" si="38"/>
        <v>0</v>
      </c>
      <c r="Q76" s="317">
        <f t="shared" si="38"/>
        <v>0</v>
      </c>
      <c r="R76" s="317">
        <f t="shared" si="38"/>
        <v>0</v>
      </c>
      <c r="S76" s="317">
        <f t="shared" si="38"/>
        <v>0</v>
      </c>
      <c r="T76" s="317">
        <f t="shared" si="38"/>
        <v>0</v>
      </c>
      <c r="U76" s="317">
        <f t="shared" si="38"/>
        <v>0</v>
      </c>
      <c r="V76" s="317">
        <f t="shared" si="38"/>
        <v>0</v>
      </c>
      <c r="W76" s="317">
        <f t="shared" si="38"/>
        <v>0</v>
      </c>
      <c r="X76" s="317">
        <f t="shared" si="38"/>
        <v>0</v>
      </c>
      <c r="Y76" s="317">
        <f t="shared" si="37"/>
        <v>0</v>
      </c>
      <c r="Z76"/>
      <c r="AA76"/>
      <c r="AB76"/>
    </row>
    <row r="77" spans="1:28" s="342" customFormat="1">
      <c r="A77" s="282"/>
      <c r="B77" s="341" t="s">
        <v>1668</v>
      </c>
      <c r="C77" s="341"/>
      <c r="D77" s="325">
        <f>IF(SUM(D$61:D76)&gt;=D$46,0,D$46/$D$50)</f>
        <v>0</v>
      </c>
      <c r="E77" s="343">
        <f>IF(SUM(E$61:E76)&gt;=E$46,0,E$46/$E$50)</f>
        <v>0</v>
      </c>
      <c r="F77" s="325">
        <f>IF(SUM(F$61:F76)&gt;=F$46,0,F$46/$F$50)</f>
        <v>0</v>
      </c>
      <c r="G77" s="325">
        <f>IF(SUM(G$61:G76)&gt;=G$46,0,G$46/$G$50)</f>
        <v>0</v>
      </c>
      <c r="H77" s="325">
        <f>IF(SUM(H$61:H76)&gt;=H$46,0,H$46/$H$50)</f>
        <v>0</v>
      </c>
      <c r="I77" s="325">
        <f>IF(SUM(I$61:I76)&gt;=I$46,0,I$46/$I$50)</f>
        <v>0</v>
      </c>
      <c r="J77" s="325">
        <f>IF(SUM(J$61:J76)&gt;=J$46,0,J$46/$J$50)</f>
        <v>0</v>
      </c>
      <c r="K77" s="325">
        <f>IF(SUM(K$61:K76)&gt;=K$46,0,K$46/$K$50)</f>
        <v>0</v>
      </c>
      <c r="L77" s="343">
        <f>IF(SUM(L$61:L76)&gt;=L$46,0,L$46/$L$50)</f>
        <v>0</v>
      </c>
      <c r="M77" s="343">
        <f>IF(SUM(M$61:M76)&gt;=M$46,0,M$46/$M$50)</f>
        <v>0</v>
      </c>
      <c r="N77" s="317">
        <f t="shared" si="38"/>
        <v>0</v>
      </c>
      <c r="O77" s="317">
        <f t="shared" si="38"/>
        <v>0</v>
      </c>
      <c r="P77" s="317">
        <f t="shared" si="38"/>
        <v>0</v>
      </c>
      <c r="Q77" s="317">
        <f t="shared" si="38"/>
        <v>0</v>
      </c>
      <c r="R77" s="317">
        <f t="shared" si="38"/>
        <v>0</v>
      </c>
      <c r="S77" s="317">
        <f t="shared" si="38"/>
        <v>0</v>
      </c>
      <c r="T77" s="317">
        <f t="shared" si="38"/>
        <v>0</v>
      </c>
      <c r="U77" s="317">
        <f t="shared" si="38"/>
        <v>0</v>
      </c>
      <c r="V77" s="317">
        <f t="shared" si="38"/>
        <v>0</v>
      </c>
      <c r="W77" s="317">
        <f t="shared" si="38"/>
        <v>0</v>
      </c>
      <c r="X77" s="317">
        <f t="shared" si="38"/>
        <v>0</v>
      </c>
      <c r="Y77" s="317">
        <f t="shared" si="37"/>
        <v>0</v>
      </c>
      <c r="Z77"/>
      <c r="AA77"/>
      <c r="AB77"/>
    </row>
    <row r="78" spans="1:28" s="342" customFormat="1">
      <c r="A78" s="282"/>
      <c r="B78" s="341" t="s">
        <v>1669</v>
      </c>
      <c r="C78" s="341"/>
      <c r="D78" s="325">
        <f>IF(SUM(D$61:D77)&gt;=D$46,0,D$46/$D$50)</f>
        <v>0</v>
      </c>
      <c r="E78" s="343">
        <f>IF(SUM(E$61:E77)&gt;=E$46,0,E$46/$E$50)</f>
        <v>0</v>
      </c>
      <c r="F78" s="325">
        <f>IF(SUM(F$61:F77)&gt;=F$46,0,F$46/$F$50)</f>
        <v>0</v>
      </c>
      <c r="G78" s="325">
        <f>IF(SUM(G$61:G77)&gt;=G$46,0,G$46/$G$50)</f>
        <v>0</v>
      </c>
      <c r="H78" s="325">
        <f>IF(SUM(H$61:H77)&gt;=H$46,0,H$46/$H$50)</f>
        <v>0</v>
      </c>
      <c r="I78" s="325">
        <f>IF(SUM(I$61:I77)&gt;=I$46,0,I$46/$I$50)</f>
        <v>0</v>
      </c>
      <c r="J78" s="325">
        <f>IF(SUM(J$61:J77)&gt;=J$46,0,J$46/$J$50)</f>
        <v>0</v>
      </c>
      <c r="K78" s="325">
        <f>IF(SUM(K$61:K77)&gt;=K$46,0,K$46/$K$50)</f>
        <v>0</v>
      </c>
      <c r="L78" s="343">
        <f>IF(SUM(L$61:L77)&gt;=L$46,0,L$46/$L$50)</f>
        <v>0</v>
      </c>
      <c r="M78" s="343">
        <f>IF(SUM(M$61:M77)&gt;=M$46,0,M$46/$M$50)</f>
        <v>0</v>
      </c>
      <c r="N78" s="317">
        <f t="shared" si="38"/>
        <v>0</v>
      </c>
      <c r="O78" s="317">
        <f t="shared" si="38"/>
        <v>0</v>
      </c>
      <c r="P78" s="317">
        <f t="shared" si="38"/>
        <v>0</v>
      </c>
      <c r="Q78" s="317">
        <f t="shared" si="38"/>
        <v>0</v>
      </c>
      <c r="R78" s="317">
        <f t="shared" si="38"/>
        <v>0</v>
      </c>
      <c r="S78" s="317">
        <f t="shared" si="38"/>
        <v>0</v>
      </c>
      <c r="T78" s="317">
        <f t="shared" si="38"/>
        <v>0</v>
      </c>
      <c r="U78" s="317">
        <f t="shared" si="38"/>
        <v>0</v>
      </c>
      <c r="V78" s="317">
        <f t="shared" si="38"/>
        <v>0</v>
      </c>
      <c r="W78" s="317">
        <f t="shared" si="38"/>
        <v>0</v>
      </c>
      <c r="X78" s="317">
        <f t="shared" si="38"/>
        <v>0</v>
      </c>
      <c r="Y78" s="317">
        <f t="shared" si="37"/>
        <v>0</v>
      </c>
      <c r="Z78"/>
      <c r="AA78"/>
      <c r="AB78"/>
    </row>
    <row r="79" spans="1:28" s="342" customFormat="1">
      <c r="A79" s="282"/>
      <c r="B79" s="341" t="s">
        <v>1670</v>
      </c>
      <c r="C79" s="341"/>
      <c r="D79" s="325">
        <f>IF(SUM(D$61:D78)&gt;=D$46,0,D$46/$D$50)</f>
        <v>0</v>
      </c>
      <c r="E79" s="343">
        <f>IF(SUM(E$61:E78)&gt;=E$46,0,E$46/$E$50)</f>
        <v>0</v>
      </c>
      <c r="F79" s="325">
        <f>IF(SUM(F$61:F78)&gt;=F$46,0,F$46/$F$50)</f>
        <v>0</v>
      </c>
      <c r="G79" s="325">
        <f>IF(SUM(G$61:G78)&gt;=G$46,0,G$46/$G$50)</f>
        <v>0</v>
      </c>
      <c r="H79" s="325">
        <f>IF(SUM(H$61:H78)&gt;=H$46,0,H$46/$H$50)</f>
        <v>0</v>
      </c>
      <c r="I79" s="325">
        <f>IF(SUM(I$61:I78)&gt;=I$46,0,I$46/$I$50)</f>
        <v>0</v>
      </c>
      <c r="J79" s="325">
        <f>IF(SUM(J$61:J78)&gt;=J$46,0,J$46/$J$50)</f>
        <v>0</v>
      </c>
      <c r="K79" s="325">
        <f>IF(SUM(K$61:K78)&gt;=K$46,0,K$46/$K$50)</f>
        <v>0</v>
      </c>
      <c r="L79" s="343">
        <f>IF(SUM(L$61:L78)&gt;=L$46,0,L$46/$L$50)</f>
        <v>0</v>
      </c>
      <c r="M79" s="343">
        <f>IF(SUM(M$61:M78)&gt;=M$46,0,M$46/$M$50)</f>
        <v>0</v>
      </c>
      <c r="N79" s="317">
        <f t="shared" si="38"/>
        <v>0</v>
      </c>
      <c r="O79" s="317">
        <f t="shared" si="38"/>
        <v>0</v>
      </c>
      <c r="P79" s="317">
        <f t="shared" si="38"/>
        <v>0</v>
      </c>
      <c r="Q79" s="317">
        <f t="shared" si="38"/>
        <v>0</v>
      </c>
      <c r="R79" s="317">
        <f t="shared" si="38"/>
        <v>0</v>
      </c>
      <c r="S79" s="317">
        <f t="shared" si="38"/>
        <v>0</v>
      </c>
      <c r="T79" s="317">
        <f t="shared" si="38"/>
        <v>0</v>
      </c>
      <c r="U79" s="317">
        <f t="shared" si="38"/>
        <v>0</v>
      </c>
      <c r="V79" s="317">
        <f t="shared" si="38"/>
        <v>0</v>
      </c>
      <c r="W79" s="317">
        <f t="shared" si="38"/>
        <v>0</v>
      </c>
      <c r="X79" s="317">
        <f t="shared" ref="O79:X82" si="39">W79*(1+X$42)</f>
        <v>0</v>
      </c>
      <c r="Y79" s="317">
        <f>X79*(1+Y$42)</f>
        <v>0</v>
      </c>
      <c r="Z79"/>
      <c r="AA79"/>
      <c r="AB79"/>
    </row>
    <row r="80" spans="1:28" s="342" customFormat="1">
      <c r="A80" s="282"/>
      <c r="B80" s="341" t="s">
        <v>1671</v>
      </c>
      <c r="C80" s="341"/>
      <c r="D80" s="325">
        <f>IF(SUM(D$61:D79)&gt;=D$46,0,D$46/$D$50)</f>
        <v>0</v>
      </c>
      <c r="E80" s="343">
        <f>IF(SUM(E$61:E79)&gt;=E$46,0,E$46/$E$50)</f>
        <v>0</v>
      </c>
      <c r="F80" s="325">
        <f>IF(SUM(F$61:F79)&gt;=F$46,0,F$46/$F$50)</f>
        <v>0</v>
      </c>
      <c r="G80" s="325">
        <f>IF(SUM(G$61:G79)&gt;=G$46,0,G$46/$G$50)</f>
        <v>0</v>
      </c>
      <c r="H80" s="325">
        <f>IF(SUM(H$61:H79)&gt;=H$46,0,H$46/$H$50)</f>
        <v>0</v>
      </c>
      <c r="I80" s="325">
        <f>IF(SUM(I$61:I79)&gt;=I$46,0,I$46/$I$50)</f>
        <v>0</v>
      </c>
      <c r="J80" s="325">
        <f>IF(SUM(J$61:J79)&gt;=J$46,0,J$46/$J$50)</f>
        <v>0</v>
      </c>
      <c r="K80" s="325">
        <f>IF(SUM(K$61:K79)&gt;=K$46,0,K$46/$K$50)</f>
        <v>0</v>
      </c>
      <c r="L80" s="343">
        <f>IF(SUM(L$61:L79)&gt;=L$46,0,L$46/$L$50)</f>
        <v>0</v>
      </c>
      <c r="M80" s="343">
        <f>IF(SUM(M$61:M79)&gt;=M$46,0,M$46/$M$50)</f>
        <v>0</v>
      </c>
      <c r="N80" s="317">
        <f t="shared" si="38"/>
        <v>0</v>
      </c>
      <c r="O80" s="317">
        <f t="shared" si="39"/>
        <v>0</v>
      </c>
      <c r="P80" s="317">
        <f t="shared" si="39"/>
        <v>0</v>
      </c>
      <c r="Q80" s="317">
        <f t="shared" si="39"/>
        <v>0</v>
      </c>
      <c r="R80" s="317">
        <f t="shared" si="39"/>
        <v>0</v>
      </c>
      <c r="S80" s="317">
        <f t="shared" si="39"/>
        <v>0</v>
      </c>
      <c r="T80" s="317">
        <f t="shared" si="39"/>
        <v>0</v>
      </c>
      <c r="U80" s="317">
        <f t="shared" si="39"/>
        <v>0</v>
      </c>
      <c r="V80" s="317">
        <f t="shared" si="39"/>
        <v>0</v>
      </c>
      <c r="W80" s="317">
        <f t="shared" si="39"/>
        <v>0</v>
      </c>
      <c r="X80" s="317">
        <f t="shared" si="39"/>
        <v>0</v>
      </c>
      <c r="Y80" s="317">
        <f>X80*(1+Y$42)</f>
        <v>0</v>
      </c>
      <c r="Z80"/>
      <c r="AA80"/>
      <c r="AB80"/>
    </row>
    <row r="81" spans="1:28" s="342" customFormat="1">
      <c r="A81" s="282"/>
      <c r="B81" s="341" t="s">
        <v>1672</v>
      </c>
      <c r="C81" s="341"/>
      <c r="D81" s="325">
        <f>IF(SUM(D$61:D80)&gt;=D$46,0,D$46/$D$50)</f>
        <v>0</v>
      </c>
      <c r="E81" s="343">
        <f>IF(SUM(E$61:E80)&gt;=E$46,0,E$46/$E$50)</f>
        <v>0</v>
      </c>
      <c r="F81" s="325">
        <f>IF(SUM(F$61:F80)&gt;=F$46,0,F$46/$F$50)</f>
        <v>0</v>
      </c>
      <c r="G81" s="325">
        <f>IF(SUM(G$61:G80)&gt;=G$46,0,G$46/$G$50)</f>
        <v>0</v>
      </c>
      <c r="H81" s="325">
        <f>IF(SUM(H$61:H80)&gt;=H$46,0,H$46/$H$50)</f>
        <v>0</v>
      </c>
      <c r="I81" s="325">
        <f>IF(SUM(I$61:I80)&gt;=I$46,0,I$46/$I$50)</f>
        <v>0</v>
      </c>
      <c r="J81" s="325">
        <f>IF(SUM(J$61:J80)&gt;=J$46,0,J$46/$J$50)</f>
        <v>0</v>
      </c>
      <c r="K81" s="325">
        <f>IF(SUM(K$61:K80)&gt;=K$46,0,K$46/$K$50)</f>
        <v>0</v>
      </c>
      <c r="L81" s="343">
        <f>IF(SUM(L$61:L80)&gt;=L$46,0,L$46/$L$50)</f>
        <v>0</v>
      </c>
      <c r="M81" s="343">
        <f>IF(SUM(M$61:M80)&gt;=M$46,0,M$46/$M$50)</f>
        <v>0</v>
      </c>
      <c r="N81" s="317">
        <f t="shared" si="38"/>
        <v>0</v>
      </c>
      <c r="O81" s="317">
        <f t="shared" si="39"/>
        <v>0</v>
      </c>
      <c r="P81" s="317">
        <f t="shared" si="39"/>
        <v>0</v>
      </c>
      <c r="Q81" s="317">
        <f t="shared" si="39"/>
        <v>0</v>
      </c>
      <c r="R81" s="317">
        <f t="shared" si="39"/>
        <v>0</v>
      </c>
      <c r="S81" s="317">
        <f t="shared" si="39"/>
        <v>0</v>
      </c>
      <c r="T81" s="317">
        <f t="shared" si="39"/>
        <v>0</v>
      </c>
      <c r="U81" s="317">
        <f t="shared" si="39"/>
        <v>0</v>
      </c>
      <c r="V81" s="317">
        <f t="shared" si="39"/>
        <v>0</v>
      </c>
      <c r="W81" s="317">
        <f t="shared" si="39"/>
        <v>0</v>
      </c>
      <c r="X81" s="317">
        <f t="shared" si="39"/>
        <v>0</v>
      </c>
      <c r="Y81" s="317">
        <f>X81*(1+Y$42)</f>
        <v>0</v>
      </c>
      <c r="Z81"/>
      <c r="AA81"/>
      <c r="AB81"/>
    </row>
    <row r="82" spans="1:28" s="342" customFormat="1">
      <c r="A82" s="282"/>
      <c r="B82" s="341" t="s">
        <v>1677</v>
      </c>
      <c r="C82" s="341"/>
      <c r="D82" s="325">
        <f>IF(SUM(D$61:D81)&gt;=D$46,0,D$46/$D$50)</f>
        <v>0</v>
      </c>
      <c r="E82" s="343">
        <f>IF(SUM(E$61:E81)&gt;=E$46,0,E$46/$E$50)</f>
        <v>0</v>
      </c>
      <c r="F82" s="325">
        <f>IF(SUM(F$61:F81)&gt;=F$46,0,F$46/$F$50)</f>
        <v>0</v>
      </c>
      <c r="G82" s="325">
        <f>IF(SUM(G$61:G81)&gt;=G$46,0,G$46/$G$50)</f>
        <v>0</v>
      </c>
      <c r="H82" s="325">
        <f>IF(SUM(H$61:H81)&gt;=H$46,0,H$46/$H$50)</f>
        <v>0</v>
      </c>
      <c r="I82" s="325">
        <f>IF(SUM(I$61:I81)&gt;=I$46,0,I$46/$I$50)</f>
        <v>0</v>
      </c>
      <c r="J82" s="325">
        <f>IF(SUM(J$61:J81)&gt;=J$46,0,J$46/$J$50)</f>
        <v>0</v>
      </c>
      <c r="K82" s="325">
        <f>IF(SUM(K$61:K81)&gt;=K$46,0,K$46/$K$50)</f>
        <v>0</v>
      </c>
      <c r="L82" s="343">
        <f>IF(SUM(L$61:L81)&gt;=L$46,0,L$46/$L$50)</f>
        <v>0</v>
      </c>
      <c r="M82" s="343">
        <f>IF(SUM(M$61:M81)&gt;=M$46,0,M$46/$M$50)</f>
        <v>0</v>
      </c>
      <c r="N82" s="317">
        <f t="shared" si="38"/>
        <v>0</v>
      </c>
      <c r="O82" s="317">
        <f t="shared" si="39"/>
        <v>0</v>
      </c>
      <c r="P82" s="317">
        <f t="shared" si="39"/>
        <v>0</v>
      </c>
      <c r="Q82" s="317">
        <f t="shared" si="39"/>
        <v>0</v>
      </c>
      <c r="R82" s="317">
        <f t="shared" si="39"/>
        <v>0</v>
      </c>
      <c r="S82" s="317">
        <f t="shared" si="39"/>
        <v>0</v>
      </c>
      <c r="T82" s="317">
        <f t="shared" si="39"/>
        <v>0</v>
      </c>
      <c r="U82" s="317">
        <f t="shared" si="39"/>
        <v>0</v>
      </c>
      <c r="V82" s="317">
        <f t="shared" si="39"/>
        <v>0</v>
      </c>
      <c r="W82" s="317">
        <f t="shared" si="39"/>
        <v>0</v>
      </c>
      <c r="X82" s="317">
        <f t="shared" si="39"/>
        <v>0</v>
      </c>
      <c r="Y82" s="317">
        <f>X82*(1+Y$42)</f>
        <v>0</v>
      </c>
      <c r="Z82"/>
      <c r="AA82"/>
      <c r="AB82"/>
    </row>
    <row r="83" spans="1:28" s="342" customFormat="1" ht="11.25" customHeight="1">
      <c r="A83" s="344"/>
      <c r="B83" s="345" t="s">
        <v>1678</v>
      </c>
      <c r="C83" s="345"/>
      <c r="D83" s="343"/>
      <c r="E83" s="343"/>
      <c r="L83" s="351"/>
      <c r="M83" s="351"/>
      <c r="N83" s="351"/>
      <c r="O83" s="351"/>
      <c r="P83" s="351"/>
      <c r="Q83" s="351"/>
      <c r="R83" s="351"/>
      <c r="Z83"/>
      <c r="AA83"/>
      <c r="AB83"/>
    </row>
    <row r="84" spans="1:28" s="342" customFormat="1" ht="11.25" customHeight="1">
      <c r="A84" s="344"/>
      <c r="B84" s="345"/>
      <c r="C84" s="345"/>
      <c r="D84" s="343"/>
      <c r="E84" s="343"/>
      <c r="Z84"/>
      <c r="AA84"/>
      <c r="AB84"/>
    </row>
    <row r="85" spans="1:28" s="342" customFormat="1">
      <c r="A85" s="344"/>
      <c r="B85" s="346"/>
      <c r="C85" s="346"/>
      <c r="D85" s="343"/>
      <c r="E85" s="368" t="s">
        <v>1679</v>
      </c>
      <c r="F85" s="317"/>
      <c r="G85" s="317"/>
      <c r="H85" s="317"/>
      <c r="I85" s="317"/>
      <c r="J85" s="317"/>
      <c r="K85" s="317"/>
      <c r="L85" s="317"/>
      <c r="M85" s="317"/>
      <c r="N85" s="317"/>
      <c r="O85" s="317"/>
      <c r="P85" s="317"/>
      <c r="Q85" s="317"/>
      <c r="R85" s="317"/>
      <c r="S85" s="317"/>
      <c r="T85" s="317"/>
      <c r="U85" s="317"/>
      <c r="V85" s="317"/>
      <c r="W85" s="317"/>
      <c r="X85" s="317"/>
      <c r="Y85" s="317"/>
      <c r="Z85"/>
      <c r="AA85"/>
      <c r="AB85"/>
    </row>
    <row r="86" spans="1:28" s="342" customFormat="1" ht="28.5" customHeight="1">
      <c r="A86" s="347" t="s">
        <v>1680</v>
      </c>
      <c r="B86" s="301" t="s">
        <v>1681</v>
      </c>
      <c r="C86" s="517"/>
      <c r="D86" s="367" t="str">
        <f>D3</f>
        <v>2000A</v>
      </c>
      <c r="E86" s="367" t="str">
        <f t="shared" ref="E86:X86" si="40">E3</f>
        <v>2001A</v>
      </c>
      <c r="F86" s="367" t="str">
        <f t="shared" si="40"/>
        <v>2002A</v>
      </c>
      <c r="G86" s="367" t="str">
        <f t="shared" si="40"/>
        <v>2003A</v>
      </c>
      <c r="H86" s="367" t="str">
        <f t="shared" si="40"/>
        <v>2004A</v>
      </c>
      <c r="I86" s="367" t="str">
        <f t="shared" si="40"/>
        <v>2005A</v>
      </c>
      <c r="J86" s="367" t="str">
        <f t="shared" si="40"/>
        <v>2006A</v>
      </c>
      <c r="K86" s="367" t="str">
        <f t="shared" si="40"/>
        <v>2007A</v>
      </c>
      <c r="L86" s="367" t="str">
        <f t="shared" si="40"/>
        <v>2008A</v>
      </c>
      <c r="M86" s="367" t="str">
        <f t="shared" si="40"/>
        <v>2009A</v>
      </c>
      <c r="N86" s="367" t="str">
        <f t="shared" si="40"/>
        <v>2010A</v>
      </c>
      <c r="O86" s="367" t="str">
        <f t="shared" si="40"/>
        <v>2011E</v>
      </c>
      <c r="P86" s="367" t="str">
        <f t="shared" si="40"/>
        <v>2012E</v>
      </c>
      <c r="Q86" s="367" t="str">
        <f t="shared" si="40"/>
        <v>2013E</v>
      </c>
      <c r="R86" s="367" t="str">
        <f t="shared" si="40"/>
        <v>2014E</v>
      </c>
      <c r="S86" s="367" t="str">
        <f t="shared" si="40"/>
        <v>2015E</v>
      </c>
      <c r="T86" s="367" t="str">
        <f t="shared" si="40"/>
        <v>2016E</v>
      </c>
      <c r="U86" s="367" t="str">
        <f t="shared" si="40"/>
        <v>2017E</v>
      </c>
      <c r="V86" s="367" t="str">
        <f t="shared" si="40"/>
        <v>2018E</v>
      </c>
      <c r="W86" s="367" t="str">
        <f t="shared" si="40"/>
        <v>2019E</v>
      </c>
      <c r="X86" s="367" t="str">
        <f t="shared" si="40"/>
        <v>2020E</v>
      </c>
      <c r="Y86" s="367" t="str">
        <f>Y3</f>
        <v>2021E</v>
      </c>
      <c r="Z86"/>
      <c r="AA86"/>
      <c r="AB86"/>
    </row>
    <row r="87" spans="1:28" s="342" customFormat="1" ht="11.25" customHeight="1">
      <c r="A87" s="349">
        <v>1</v>
      </c>
      <c r="B87" s="324" t="s">
        <v>1682</v>
      </c>
      <c r="C87" s="324"/>
      <c r="D87" s="369">
        <f t="shared" ref="D87:D114" si="41">D55/(POWER((1+$D$34),A87))</f>
        <v>14.755252900522436</v>
      </c>
      <c r="E87" s="350">
        <f t="shared" ref="E87:U87" si="42">(E55-D56)/(POWER((1+E$35),$A87))</f>
        <v>-1.2152438531295093</v>
      </c>
      <c r="F87" s="350">
        <f t="shared" si="42"/>
        <v>1.0928427795369378</v>
      </c>
      <c r="G87" s="350">
        <f t="shared" si="42"/>
        <v>6.6194836116785662</v>
      </c>
      <c r="H87" s="350">
        <f t="shared" si="42"/>
        <v>2.3621338553433091</v>
      </c>
      <c r="I87" s="350">
        <f t="shared" ref="I87:I114" si="43">(I55-H56)/(POWER((1+I$35),$A87))</f>
        <v>0.76111932007554628</v>
      </c>
      <c r="J87" s="350">
        <f t="shared" si="42"/>
        <v>23.076663642097873</v>
      </c>
      <c r="K87" s="350">
        <f t="shared" si="42"/>
        <v>26.768576460427731</v>
      </c>
      <c r="L87" s="350">
        <f t="shared" si="42"/>
        <v>9.3147735161341085</v>
      </c>
      <c r="M87" s="350">
        <f t="shared" si="42"/>
        <v>16.569263194190849</v>
      </c>
      <c r="N87" s="350">
        <f t="shared" si="42"/>
        <v>4.0072915882634117</v>
      </c>
      <c r="O87" s="350">
        <f t="shared" si="42"/>
        <v>-2.1959993033408214</v>
      </c>
      <c r="P87" s="350">
        <f t="shared" si="42"/>
        <v>-2.3463486710261456</v>
      </c>
      <c r="Q87" s="350">
        <f t="shared" si="42"/>
        <v>-2.4978115440581092</v>
      </c>
      <c r="R87" s="350">
        <f t="shared" si="42"/>
        <v>-2.6801798982981002</v>
      </c>
      <c r="S87" s="350">
        <f t="shared" si="42"/>
        <v>-2.8633041243155031</v>
      </c>
      <c r="T87" s="350">
        <f t="shared" si="42"/>
        <v>-3.0493385929393497</v>
      </c>
      <c r="U87" s="350">
        <f t="shared" si="42"/>
        <v>-3.2474600848110295</v>
      </c>
      <c r="V87" s="350">
        <f t="shared" ref="V87:Y114" si="44">(V55-U56)/(POWER((1+V$35),$A87))</f>
        <v>-3.4584539174691158</v>
      </c>
      <c r="W87" s="350">
        <f t="shared" si="44"/>
        <v>-3.6831564320685044</v>
      </c>
      <c r="X87" s="350">
        <f t="shared" si="44"/>
        <v>-3.9224583084844999</v>
      </c>
      <c r="Y87" s="350">
        <f t="shared" si="44"/>
        <v>-4.1773080958058406</v>
      </c>
      <c r="Z87"/>
      <c r="AA87"/>
      <c r="AB87"/>
    </row>
    <row r="88" spans="1:28" s="351" customFormat="1" ht="11.25" customHeight="1">
      <c r="A88" s="282">
        <v>2</v>
      </c>
      <c r="B88" s="282" t="str">
        <f t="shared" ref="B88:B114" si="45">"PV of Increase in forecast year "&amp;A87&amp;" lease commitments"</f>
        <v>PV of Increase in forecast year 1 lease commitments</v>
      </c>
      <c r="C88" s="282"/>
      <c r="D88" s="369">
        <f t="shared" si="41"/>
        <v>23.850217316639217</v>
      </c>
      <c r="E88" s="350">
        <f t="shared" ref="E88:U88" si="46">(E56-D57)/(POWER((1+E$35),$A88))</f>
        <v>-5.6694092203300448</v>
      </c>
      <c r="F88" s="350">
        <f t="shared" si="46"/>
        <v>-6.135520425511066</v>
      </c>
      <c r="G88" s="350">
        <f t="shared" si="46"/>
        <v>3.857163805638554</v>
      </c>
      <c r="H88" s="350">
        <f t="shared" si="46"/>
        <v>-2.1764300531314875</v>
      </c>
      <c r="I88" s="350">
        <f t="shared" si="43"/>
        <v>-3.9208235809224679</v>
      </c>
      <c r="J88" s="350">
        <f t="shared" si="46"/>
        <v>6.8775792767116037</v>
      </c>
      <c r="K88" s="350">
        <f t="shared" si="46"/>
        <v>35.366328152884016</v>
      </c>
      <c r="L88" s="350">
        <f t="shared" si="46"/>
        <v>8.1764971967670181</v>
      </c>
      <c r="M88" s="350">
        <f t="shared" si="46"/>
        <v>19.624616874173057</v>
      </c>
      <c r="N88" s="350">
        <f t="shared" si="46"/>
        <v>15.838020330586039</v>
      </c>
      <c r="O88" s="350">
        <f t="shared" si="46"/>
        <v>2.372130471411841</v>
      </c>
      <c r="P88" s="350">
        <f t="shared" si="46"/>
        <v>2.5428521153723103</v>
      </c>
      <c r="Q88" s="350">
        <f t="shared" si="46"/>
        <v>2.7059338172181531</v>
      </c>
      <c r="R88" s="350">
        <f t="shared" si="46"/>
        <v>2.9254154661306306</v>
      </c>
      <c r="S88" s="350">
        <f t="shared" si="46"/>
        <v>3.1351364555726646</v>
      </c>
      <c r="T88" s="350">
        <f t="shared" si="46"/>
        <v>3.3388324023716196</v>
      </c>
      <c r="U88" s="350">
        <f t="shared" si="46"/>
        <v>3.5557628731953472</v>
      </c>
      <c r="V88" s="350">
        <f t="shared" si="44"/>
        <v>3.7867877409520867</v>
      </c>
      <c r="W88" s="350">
        <f t="shared" si="44"/>
        <v>4.0328227461745003</v>
      </c>
      <c r="X88" s="350">
        <f t="shared" si="44"/>
        <v>4.2948431268485647</v>
      </c>
      <c r="Y88" s="350">
        <f t="shared" si="44"/>
        <v>4.5738874840794299</v>
      </c>
      <c r="Z88"/>
      <c r="AA88"/>
      <c r="AB88"/>
    </row>
    <row r="89" spans="1:28" s="351" customFormat="1" ht="11.25" customHeight="1">
      <c r="A89" s="282">
        <v>3</v>
      </c>
      <c r="B89" s="282" t="str">
        <f t="shared" si="45"/>
        <v>PV of Increase in forecast year 2 lease commitments</v>
      </c>
      <c r="C89" s="282"/>
      <c r="D89" s="369">
        <f t="shared" si="41"/>
        <v>24.234310909615317</v>
      </c>
      <c r="E89" s="350">
        <f t="shared" ref="E89:U89" si="47">(E57-D58)/(POWER((1+E$35),$A89))</f>
        <v>-0.55326294222120287</v>
      </c>
      <c r="F89" s="350">
        <f t="shared" si="47"/>
        <v>-3.8714017996371344</v>
      </c>
      <c r="G89" s="350">
        <f t="shared" si="47"/>
        <v>3.0972723031092335</v>
      </c>
      <c r="H89" s="350">
        <f t="shared" si="47"/>
        <v>-1.0239537801122407</v>
      </c>
      <c r="I89" s="350">
        <f t="shared" si="43"/>
        <v>-4.2287854982364435</v>
      </c>
      <c r="J89" s="350">
        <f t="shared" si="47"/>
        <v>7.6459962458454767</v>
      </c>
      <c r="K89" s="350">
        <f t="shared" si="47"/>
        <v>34.764903277343734</v>
      </c>
      <c r="L89" s="350">
        <f t="shared" si="47"/>
        <v>10.685283422694011</v>
      </c>
      <c r="M89" s="350">
        <f t="shared" si="47"/>
        <v>19.764740429378215</v>
      </c>
      <c r="N89" s="350">
        <f t="shared" si="47"/>
        <v>19.968766877314341</v>
      </c>
      <c r="O89" s="350">
        <f t="shared" si="47"/>
        <v>6.0365936309117334</v>
      </c>
      <c r="P89" s="350">
        <f t="shared" si="47"/>
        <v>6.4922711883070576</v>
      </c>
      <c r="Q89" s="350">
        <f t="shared" si="47"/>
        <v>6.9059219642105658</v>
      </c>
      <c r="R89" s="350">
        <f t="shared" si="47"/>
        <v>7.5224300003141433</v>
      </c>
      <c r="S89" s="350">
        <f t="shared" si="47"/>
        <v>8.0870925234158246</v>
      </c>
      <c r="T89" s="350">
        <f t="shared" si="47"/>
        <v>8.6125267403156176</v>
      </c>
      <c r="U89" s="350">
        <f t="shared" si="47"/>
        <v>9.1720994458613205</v>
      </c>
      <c r="V89" s="350">
        <f t="shared" si="44"/>
        <v>9.7680286844237454</v>
      </c>
      <c r="W89" s="350">
        <f t="shared" si="44"/>
        <v>10.402676611054243</v>
      </c>
      <c r="X89" s="350">
        <f t="shared" si="44"/>
        <v>11.078558854637416</v>
      </c>
      <c r="Y89" s="350">
        <f t="shared" si="44"/>
        <v>11.798354489386236</v>
      </c>
      <c r="Z89"/>
      <c r="AA89"/>
      <c r="AB89"/>
    </row>
    <row r="90" spans="1:28" s="351" customFormat="1">
      <c r="A90" s="282">
        <v>4</v>
      </c>
      <c r="B90" s="282" t="str">
        <f t="shared" si="45"/>
        <v>PV of Increase in forecast year 3 lease commitments</v>
      </c>
      <c r="C90" s="282"/>
      <c r="D90" s="369">
        <f t="shared" si="41"/>
        <v>22.330727766158205</v>
      </c>
      <c r="E90" s="350">
        <f t="shared" ref="E90:U90" si="48">(E58-D59)/(POWER((1+E$35),$A90))</f>
        <v>-0.49698707679106047</v>
      </c>
      <c r="F90" s="350">
        <f t="shared" si="48"/>
        <v>-2.0592421989221772</v>
      </c>
      <c r="G90" s="350">
        <f t="shared" si="48"/>
        <v>2.5293999677744874</v>
      </c>
      <c r="H90" s="350">
        <f t="shared" si="48"/>
        <v>-1.5351453778695867</v>
      </c>
      <c r="I90" s="350">
        <f t="shared" si="43"/>
        <v>-4.6049819857199106</v>
      </c>
      <c r="J90" s="350">
        <f t="shared" si="48"/>
        <v>7.3512157176215718</v>
      </c>
      <c r="K90" s="350">
        <f t="shared" si="48"/>
        <v>29.963173125635496</v>
      </c>
      <c r="L90" s="350">
        <f t="shared" si="48"/>
        <v>11.068839842641037</v>
      </c>
      <c r="M90" s="350">
        <f t="shared" si="48"/>
        <v>18.91061499887779</v>
      </c>
      <c r="N90" s="350">
        <f t="shared" si="48"/>
        <v>17.931151807113668</v>
      </c>
      <c r="O90" s="350">
        <f t="shared" si="48"/>
        <v>10.051034214457843</v>
      </c>
      <c r="P90" s="350">
        <f t="shared" si="48"/>
        <v>10.845201926543911</v>
      </c>
      <c r="Q90" s="350">
        <f t="shared" si="48"/>
        <v>11.53165402883311</v>
      </c>
      <c r="R90" s="350">
        <f t="shared" si="48"/>
        <v>12.655933916969651</v>
      </c>
      <c r="S90" s="350">
        <f t="shared" si="48"/>
        <v>13.648779477955516</v>
      </c>
      <c r="T90" s="350">
        <f t="shared" si="48"/>
        <v>14.535567373094908</v>
      </c>
      <c r="U90" s="350">
        <f t="shared" si="48"/>
        <v>15.479971612042622</v>
      </c>
      <c r="V90" s="350">
        <f t="shared" si="44"/>
        <v>16.485735641334223</v>
      </c>
      <c r="W90" s="350">
        <f t="shared" si="44"/>
        <v>17.556846126547605</v>
      </c>
      <c r="X90" s="350">
        <f t="shared" si="44"/>
        <v>18.697548754719882</v>
      </c>
      <c r="Y90" s="350">
        <f t="shared" si="44"/>
        <v>19.91236506347807</v>
      </c>
      <c r="Z90"/>
      <c r="AA90"/>
      <c r="AB90"/>
    </row>
    <row r="91" spans="1:28" s="342" customFormat="1">
      <c r="A91" s="282">
        <v>5</v>
      </c>
      <c r="B91" s="282" t="str">
        <f t="shared" si="45"/>
        <v>PV of Increase in forecast year 4 lease commitments</v>
      </c>
      <c r="C91" s="282"/>
      <c r="D91" s="369">
        <f t="shared" si="41"/>
        <v>20.60806820048392</v>
      </c>
      <c r="E91" s="350">
        <f t="shared" ref="E91:U91" si="49">(E59-D60)/(POWER((1+E$35),$A91))</f>
        <v>-0.41153875562003883</v>
      </c>
      <c r="F91" s="350">
        <f t="shared" si="49"/>
        <v>-1.9455076902169288</v>
      </c>
      <c r="G91" s="350">
        <f t="shared" si="49"/>
        <v>1.9670901992338548</v>
      </c>
      <c r="H91" s="350">
        <f t="shared" si="49"/>
        <v>-1.4743308806174356</v>
      </c>
      <c r="I91" s="350">
        <f t="shared" si="43"/>
        <v>-4.2970289694071617</v>
      </c>
      <c r="J91" s="350">
        <f t="shared" si="49"/>
        <v>6.6176187105811914</v>
      </c>
      <c r="K91" s="350">
        <f t="shared" si="49"/>
        <v>27.573779698351974</v>
      </c>
      <c r="L91" s="350">
        <f t="shared" si="49"/>
        <v>10.903881270896672</v>
      </c>
      <c r="M91" s="350">
        <f t="shared" si="49"/>
        <v>19.019002518807596</v>
      </c>
      <c r="N91" s="350">
        <f t="shared" si="49"/>
        <v>16.065525116661782</v>
      </c>
      <c r="O91" s="350">
        <f t="shared" si="49"/>
        <v>18.666452234579928</v>
      </c>
      <c r="P91" s="350">
        <f t="shared" si="49"/>
        <v>20.207419363083289</v>
      </c>
      <c r="Q91" s="350">
        <f t="shared" si="49"/>
        <v>21.477996324543245</v>
      </c>
      <c r="R91" s="350">
        <f t="shared" si="49"/>
        <v>23.749937092780158</v>
      </c>
      <c r="S91" s="350">
        <f t="shared" si="49"/>
        <v>25.693747026415565</v>
      </c>
      <c r="T91" s="350">
        <f t="shared" si="49"/>
        <v>27.363120019114273</v>
      </c>
      <c r="U91" s="350">
        <f t="shared" si="49"/>
        <v>29.140955439884937</v>
      </c>
      <c r="V91" s="350">
        <f t="shared" si="44"/>
        <v>31.034300304795718</v>
      </c>
      <c r="W91" s="350">
        <f t="shared" si="44"/>
        <v>33.050659488330282</v>
      </c>
      <c r="X91" s="350">
        <f t="shared" si="44"/>
        <v>35.198025471344593</v>
      </c>
      <c r="Y91" s="350">
        <f t="shared" si="44"/>
        <v>37.484910021806407</v>
      </c>
      <c r="Z91"/>
      <c r="AA91"/>
      <c r="AB91"/>
    </row>
    <row r="92" spans="1:28" s="342" customFormat="1">
      <c r="A92" s="282">
        <v>6</v>
      </c>
      <c r="B92" s="282" t="str">
        <f t="shared" si="45"/>
        <v>PV of Increase in forecast year 5 lease commitments</v>
      </c>
      <c r="C92" s="282"/>
      <c r="D92" s="369">
        <f t="shared" si="41"/>
        <v>19.070766397122053</v>
      </c>
      <c r="E92" s="350">
        <f t="shared" ref="E92:U92" si="50">(E60-D61)/(POWER((1+E$35),$A92))</f>
        <v>0.93055689459339941</v>
      </c>
      <c r="F92" s="350">
        <f t="shared" si="50"/>
        <v>-0.52443864629143655</v>
      </c>
      <c r="G92" s="350">
        <f t="shared" si="50"/>
        <v>2.6492126490266892</v>
      </c>
      <c r="H92" s="350">
        <f t="shared" si="50"/>
        <v>-0.98261992765679695</v>
      </c>
      <c r="I92" s="350">
        <f t="shared" si="43"/>
        <v>-4.7886922269076759</v>
      </c>
      <c r="J92" s="350">
        <f t="shared" si="50"/>
        <v>1.1957028142440009</v>
      </c>
      <c r="K92" s="350">
        <f t="shared" si="50"/>
        <v>21.251757893119297</v>
      </c>
      <c r="L92" s="350">
        <f t="shared" si="50"/>
        <v>5.1265360296387863</v>
      </c>
      <c r="M92" s="350">
        <f t="shared" si="50"/>
        <v>12.967049911042418</v>
      </c>
      <c r="N92" s="350">
        <f t="shared" si="50"/>
        <v>-5.6414459760542442E-2</v>
      </c>
      <c r="O92" s="350">
        <f t="shared" si="50"/>
        <v>-5.8474859441085741E-2</v>
      </c>
      <c r="P92" s="350">
        <f t="shared" si="50"/>
        <v>-6.3509755030555171E-2</v>
      </c>
      <c r="Q92" s="350">
        <f t="shared" si="50"/>
        <v>-6.7476460651641312E-2</v>
      </c>
      <c r="R92" s="350">
        <f t="shared" si="50"/>
        <v>-7.5177365103307567E-2</v>
      </c>
      <c r="S92" s="350">
        <f t="shared" si="50"/>
        <v>-8.1586338325810484E-2</v>
      </c>
      <c r="T92" s="350">
        <f t="shared" si="50"/>
        <v>-8.6887162282491118E-2</v>
      </c>
      <c r="U92" s="350">
        <f t="shared" si="50"/>
        <v>-9.2532391138275577E-2</v>
      </c>
      <c r="V92" s="350">
        <f t="shared" si="44"/>
        <v>-9.8544401553012265E-2</v>
      </c>
      <c r="W92" s="350">
        <f t="shared" si="44"/>
        <v>-0.1049470240418828</v>
      </c>
      <c r="X92" s="350">
        <f t="shared" si="44"/>
        <v>-0.11176563743523742</v>
      </c>
      <c r="Y92" s="350">
        <f t="shared" si="44"/>
        <v>-0.11902726947568767</v>
      </c>
      <c r="Z92"/>
      <c r="AA92"/>
      <c r="AB92"/>
    </row>
    <row r="93" spans="1:28" s="342" customFormat="1">
      <c r="A93" s="282">
        <v>7</v>
      </c>
      <c r="B93" s="282" t="str">
        <f t="shared" si="45"/>
        <v>PV of Increase in forecast year 6 lease commitments</v>
      </c>
      <c r="C93" s="282"/>
      <c r="D93" s="369">
        <f t="shared" si="41"/>
        <v>16.72379511929309</v>
      </c>
      <c r="E93" s="350">
        <f t="shared" ref="E93:U93" si="51">(E61-D62)/(POWER((1+E$35),$A93))</f>
        <v>-0.31437450631831687</v>
      </c>
      <c r="F93" s="350">
        <f t="shared" si="51"/>
        <v>-0.89856296849345774</v>
      </c>
      <c r="G93" s="350">
        <f t="shared" si="51"/>
        <v>2.0264092285419681</v>
      </c>
      <c r="H93" s="350">
        <f t="shared" si="51"/>
        <v>-0.83006503457993785</v>
      </c>
      <c r="I93" s="350">
        <f t="shared" si="43"/>
        <v>-3.7728029723264545</v>
      </c>
      <c r="J93" s="350">
        <f t="shared" si="51"/>
        <v>5.2818153785482265</v>
      </c>
      <c r="K93" s="350">
        <f t="shared" si="51"/>
        <v>27.039793046421085</v>
      </c>
      <c r="L93" s="350">
        <f t="shared" si="51"/>
        <v>6.9098876057269507</v>
      </c>
      <c r="M93" s="350">
        <f t="shared" si="51"/>
        <v>14.848074398395978</v>
      </c>
      <c r="N93" s="350">
        <f t="shared" si="51"/>
        <v>4.2357688097369346</v>
      </c>
      <c r="O93" s="350">
        <f t="shared" si="51"/>
        <v>4.3707010058266009</v>
      </c>
      <c r="P93" s="350">
        <f t="shared" si="51"/>
        <v>4.7626046200670311</v>
      </c>
      <c r="Q93" s="350">
        <f t="shared" si="51"/>
        <v>5.0580757996560672</v>
      </c>
      <c r="R93" s="350">
        <f t="shared" si="51"/>
        <v>5.677880457522126</v>
      </c>
      <c r="S93" s="350">
        <f t="shared" si="51"/>
        <v>6.1813302654465758</v>
      </c>
      <c r="T93" s="350">
        <f t="shared" si="51"/>
        <v>6.5829433814112672</v>
      </c>
      <c r="U93" s="350">
        <f t="shared" si="51"/>
        <v>7.0106500869414043</v>
      </c>
      <c r="V93" s="350">
        <f t="shared" si="44"/>
        <v>7.4661457335813672</v>
      </c>
      <c r="W93" s="350">
        <f t="shared" si="44"/>
        <v>7.9512358231809594</v>
      </c>
      <c r="X93" s="350">
        <f t="shared" si="44"/>
        <v>8.4678431645761307</v>
      </c>
      <c r="Y93" s="350">
        <f t="shared" si="44"/>
        <v>9.0180154952532643</v>
      </c>
      <c r="Z93"/>
      <c r="AA93"/>
      <c r="AB93"/>
    </row>
    <row r="94" spans="1:28" s="342" customFormat="1">
      <c r="A94" s="282">
        <v>8</v>
      </c>
      <c r="B94" s="282" t="str">
        <f t="shared" si="45"/>
        <v>PV of Increase in forecast year 7 lease commitments</v>
      </c>
      <c r="C94" s="282"/>
      <c r="D94" s="369">
        <f t="shared" si="41"/>
        <v>15.272874075737596</v>
      </c>
      <c r="E94" s="350">
        <f t="shared" ref="E94:U94" si="52">(E62-D63)/(POWER((1+E$35),$A94))</f>
        <v>-0.264023280154774</v>
      </c>
      <c r="F94" s="350">
        <f t="shared" si="52"/>
        <v>-0.69496677429395037</v>
      </c>
      <c r="G94" s="350">
        <f t="shared" si="52"/>
        <v>1.7346156315644334</v>
      </c>
      <c r="H94" s="350">
        <f t="shared" si="52"/>
        <v>-0.78491782238510222</v>
      </c>
      <c r="I94" s="350">
        <f t="shared" si="43"/>
        <v>-3.6487334600713028</v>
      </c>
      <c r="J94" s="350">
        <f t="shared" si="52"/>
        <v>5.1708245762097951</v>
      </c>
      <c r="K94" s="350">
        <f t="shared" si="52"/>
        <v>26.322524097653098</v>
      </c>
      <c r="L94" s="350">
        <f t="shared" si="52"/>
        <v>6.5384028920447754</v>
      </c>
      <c r="M94" s="350">
        <f t="shared" si="52"/>
        <v>14.175837086369913</v>
      </c>
      <c r="N94" s="350">
        <f t="shared" si="52"/>
        <v>4.0165548322497262</v>
      </c>
      <c r="O94" s="350">
        <f t="shared" si="52"/>
        <v>4.125842516600942</v>
      </c>
      <c r="P94" s="350">
        <f t="shared" si="52"/>
        <v>4.5105370844431247</v>
      </c>
      <c r="Q94" s="350">
        <f t="shared" si="52"/>
        <v>4.7884836600312735</v>
      </c>
      <c r="R94" s="350">
        <f t="shared" si="52"/>
        <v>5.4158300392298662</v>
      </c>
      <c r="S94" s="350">
        <f t="shared" si="52"/>
        <v>5.9146097144173746</v>
      </c>
      <c r="T94" s="350">
        <f t="shared" si="52"/>
        <v>6.2988934745653342</v>
      </c>
      <c r="U94" s="350">
        <f t="shared" si="52"/>
        <v>6.7081449021408899</v>
      </c>
      <c r="V94" s="350">
        <f t="shared" si="44"/>
        <v>7.1439861953251995</v>
      </c>
      <c r="W94" s="350">
        <f t="shared" si="44"/>
        <v>7.6081449496877704</v>
      </c>
      <c r="X94" s="350">
        <f t="shared" si="44"/>
        <v>8.1024610060608655</v>
      </c>
      <c r="Y94" s="350">
        <f t="shared" si="44"/>
        <v>8.6288937433337285</v>
      </c>
      <c r="Z94"/>
      <c r="AA94"/>
      <c r="AB94"/>
    </row>
    <row r="95" spans="1:28" s="342" customFormat="1">
      <c r="A95" s="282">
        <v>9</v>
      </c>
      <c r="B95" s="282" t="str">
        <f t="shared" si="45"/>
        <v>PV of Increase in forecast year 8 lease commitments</v>
      </c>
      <c r="C95" s="282"/>
      <c r="D95" s="369">
        <f t="shared" si="41"/>
        <v>13.947831868870527</v>
      </c>
      <c r="E95" s="350">
        <f t="shared" ref="E95:U95" si="53">(E63-D64)/(POWER((1+E$35),$A95))</f>
        <v>-0.22173646737469166</v>
      </c>
      <c r="F95" s="350">
        <f t="shared" si="53"/>
        <v>-0.53750135973476321</v>
      </c>
      <c r="G95" s="350">
        <f t="shared" si="53"/>
        <v>1.4848389687963572</v>
      </c>
      <c r="H95" s="350">
        <f t="shared" si="53"/>
        <v>-0.74222616569983813</v>
      </c>
      <c r="I95" s="350">
        <f t="shared" si="43"/>
        <v>-3.528744002879757</v>
      </c>
      <c r="J95" s="350">
        <f t="shared" si="53"/>
        <v>5.0621661079877276</v>
      </c>
      <c r="K95" s="350">
        <f t="shared" si="53"/>
        <v>25.624281727379397</v>
      </c>
      <c r="L95" s="350">
        <f t="shared" si="53"/>
        <v>6.1868896888087539</v>
      </c>
      <c r="M95" s="350">
        <f t="shared" si="53"/>
        <v>13.534034899569839</v>
      </c>
      <c r="N95" s="350">
        <f t="shared" si="53"/>
        <v>3.8086858478639591</v>
      </c>
      <c r="O95" s="350">
        <f t="shared" si="53"/>
        <v>3.8947016620672801</v>
      </c>
      <c r="P95" s="350">
        <f t="shared" si="53"/>
        <v>4.2718105770137056</v>
      </c>
      <c r="Q95" s="350">
        <f t="shared" si="53"/>
        <v>4.533260605534152</v>
      </c>
      <c r="R95" s="350">
        <f t="shared" si="53"/>
        <v>5.1658739970416638</v>
      </c>
      <c r="S95" s="350">
        <f t="shared" si="53"/>
        <v>5.6593979890432253</v>
      </c>
      <c r="T95" s="350">
        <f t="shared" si="53"/>
        <v>6.0271001442846828</v>
      </c>
      <c r="U95" s="350">
        <f t="shared" si="53"/>
        <v>6.4186926276548766</v>
      </c>
      <c r="V95" s="350">
        <f t="shared" si="44"/>
        <v>6.8357276404938014</v>
      </c>
      <c r="W95" s="350">
        <f t="shared" si="44"/>
        <v>7.2798582336981417</v>
      </c>
      <c r="X95" s="350">
        <f t="shared" si="44"/>
        <v>7.7528448601141582</v>
      </c>
      <c r="Y95" s="350">
        <f t="shared" si="44"/>
        <v>8.2565623526523844</v>
      </c>
      <c r="Z95"/>
      <c r="AA95"/>
      <c r="AB95"/>
    </row>
    <row r="96" spans="1:28" s="342" customFormat="1">
      <c r="A96" s="282">
        <v>10</v>
      </c>
      <c r="B96" s="282" t="str">
        <f t="shared" si="45"/>
        <v>PV of Increase in forecast year 9 lease commitments</v>
      </c>
      <c r="C96" s="282"/>
      <c r="D96" s="369">
        <f t="shared" si="41"/>
        <v>12.73774751743214</v>
      </c>
      <c r="E96" s="350">
        <f t="shared" ref="E96:U96" si="54">(E64-D65)/(POWER((1+E$35),$A96))</f>
        <v>-0.18622244574412267</v>
      </c>
      <c r="F96" s="350">
        <f t="shared" si="54"/>
        <v>-0.4157144231970431</v>
      </c>
      <c r="G96" s="350">
        <f t="shared" si="54"/>
        <v>1.271028995206154</v>
      </c>
      <c r="H96" s="350">
        <f t="shared" si="54"/>
        <v>-0.70185650693404322</v>
      </c>
      <c r="I96" s="350">
        <f t="shared" si="43"/>
        <v>-3.4127004271823447</v>
      </c>
      <c r="J96" s="350">
        <f t="shared" si="54"/>
        <v>4.9557909627719532</v>
      </c>
      <c r="K96" s="350">
        <f t="shared" si="54"/>
        <v>24.944561228558321</v>
      </c>
      <c r="L96" s="350">
        <f t="shared" si="54"/>
        <v>5.8542743011539029</v>
      </c>
      <c r="M96" s="350">
        <f t="shared" si="54"/>
        <v>12.921289906674557</v>
      </c>
      <c r="N96" s="350">
        <f t="shared" si="54"/>
        <v>3.6115747185241704</v>
      </c>
      <c r="O96" s="350">
        <f t="shared" si="54"/>
        <v>3.6765099432361037</v>
      </c>
      <c r="P96" s="350">
        <f t="shared" si="54"/>
        <v>4.0457190051324288</v>
      </c>
      <c r="Q96" s="350">
        <f t="shared" si="54"/>
        <v>4.2916407733035165</v>
      </c>
      <c r="R96" s="350">
        <f t="shared" si="54"/>
        <v>4.9274541409179857</v>
      </c>
      <c r="S96" s="350">
        <f t="shared" si="54"/>
        <v>5.4151984906651673</v>
      </c>
      <c r="T96" s="350">
        <f t="shared" si="54"/>
        <v>5.7670345269242995</v>
      </c>
      <c r="U96" s="350">
        <f t="shared" si="54"/>
        <v>6.1417300385330522</v>
      </c>
      <c r="V96" s="350">
        <f t="shared" si="44"/>
        <v>6.5407702503103593</v>
      </c>
      <c r="W96" s="350">
        <f t="shared" si="44"/>
        <v>6.9657368850362849</v>
      </c>
      <c r="X96" s="350">
        <f t="shared" si="44"/>
        <v>7.4183144331132373</v>
      </c>
      <c r="Y96" s="350">
        <f t="shared" si="44"/>
        <v>7.900296829579367</v>
      </c>
      <c r="Z96"/>
      <c r="AA96"/>
      <c r="AB96"/>
    </row>
    <row r="97" spans="1:28" s="342" customFormat="1">
      <c r="A97" s="282">
        <v>11</v>
      </c>
      <c r="B97" s="282" t="str">
        <f t="shared" si="45"/>
        <v>PV of Increase in forecast year 10 lease commitments</v>
      </c>
      <c r="C97" s="282"/>
      <c r="D97" s="369">
        <f t="shared" si="41"/>
        <v>11.632647521366161</v>
      </c>
      <c r="E97" s="350">
        <f t="shared" ref="E97:U97" si="55">(E65-D66)/(POWER((1+E$35),$A97))</f>
        <v>-0.1563964633761494</v>
      </c>
      <c r="F97" s="350">
        <f t="shared" si="55"/>
        <v>-0.32152194319904548</v>
      </c>
      <c r="G97" s="350">
        <f t="shared" si="55"/>
        <v>1.0880066731844575</v>
      </c>
      <c r="H97" s="350">
        <f t="shared" si="55"/>
        <v>-0.66368255269091225</v>
      </c>
      <c r="I97" s="350">
        <f t="shared" si="43"/>
        <v>-3.3004729717389529</v>
      </c>
      <c r="J97" s="350">
        <f t="shared" si="55"/>
        <v>24.717580906561817</v>
      </c>
      <c r="K97" s="350">
        <f t="shared" si="55"/>
        <v>47.511809348194475</v>
      </c>
      <c r="L97" s="350">
        <f t="shared" si="55"/>
        <v>40.312636508455888</v>
      </c>
      <c r="M97" s="350">
        <f t="shared" si="55"/>
        <v>12.336286561344419</v>
      </c>
      <c r="N97" s="350">
        <f t="shared" si="55"/>
        <v>56.134555556015016</v>
      </c>
      <c r="O97" s="350">
        <f t="shared" si="55"/>
        <v>56.886540847032506</v>
      </c>
      <c r="P97" s="350">
        <f t="shared" si="55"/>
        <v>62.804632211351645</v>
      </c>
      <c r="Q97" s="350">
        <f t="shared" si="55"/>
        <v>66.596019430758005</v>
      </c>
      <c r="R97" s="350">
        <f t="shared" si="55"/>
        <v>77.039526591344654</v>
      </c>
      <c r="S97" s="350">
        <f t="shared" si="55"/>
        <v>84.931883647257806</v>
      </c>
      <c r="T97" s="350">
        <f t="shared" si="55"/>
        <v>90.450074226233866</v>
      </c>
      <c r="U97" s="350">
        <f t="shared" si="55"/>
        <v>96.326792438864786</v>
      </c>
      <c r="V97" s="350">
        <f t="shared" si="44"/>
        <v>102.58533252666948</v>
      </c>
      <c r="W97" s="350">
        <f t="shared" si="44"/>
        <v>109.25050220359411</v>
      </c>
      <c r="X97" s="350">
        <f t="shared" si="44"/>
        <v>116.34872098927556</v>
      </c>
      <c r="Y97" s="350">
        <f t="shared" si="44"/>
        <v>123.90812493120926</v>
      </c>
      <c r="Z97"/>
      <c r="AA97"/>
      <c r="AB97"/>
    </row>
    <row r="98" spans="1:28" s="342" customFormat="1">
      <c r="A98" s="282">
        <v>12</v>
      </c>
      <c r="B98" s="282" t="str">
        <f t="shared" si="45"/>
        <v>PV of Increase in forecast year 11 lease commitments</v>
      </c>
      <c r="C98" s="282"/>
      <c r="D98" s="369">
        <f t="shared" si="41"/>
        <v>10.62342366035732</v>
      </c>
      <c r="E98" s="350">
        <f t="shared" ref="E98:U98" si="56">(E66-D67)/(POWER((1+E$35),$A98))</f>
        <v>-0.13134750571462311</v>
      </c>
      <c r="F98" s="350">
        <f t="shared" si="56"/>
        <v>-0.24867157401823234</v>
      </c>
      <c r="G98" s="350">
        <f t="shared" si="56"/>
        <v>0.93133872268737017</v>
      </c>
      <c r="H98" s="350">
        <f t="shared" si="56"/>
        <v>-0.62758487866768331</v>
      </c>
      <c r="I98" s="350">
        <f t="shared" si="43"/>
        <v>0</v>
      </c>
      <c r="J98" s="350">
        <f t="shared" si="56"/>
        <v>0</v>
      </c>
      <c r="K98" s="350">
        <f t="shared" si="56"/>
        <v>0</v>
      </c>
      <c r="L98" s="350">
        <f t="shared" si="56"/>
        <v>38.14537575320054</v>
      </c>
      <c r="M98" s="350">
        <f t="shared" si="56"/>
        <v>0</v>
      </c>
      <c r="N98" s="350">
        <f t="shared" si="56"/>
        <v>0</v>
      </c>
      <c r="O98" s="350">
        <f t="shared" si="56"/>
        <v>0</v>
      </c>
      <c r="P98" s="350">
        <f t="shared" si="56"/>
        <v>0</v>
      </c>
      <c r="Q98" s="350">
        <f t="shared" si="56"/>
        <v>0</v>
      </c>
      <c r="R98" s="350">
        <f t="shared" si="56"/>
        <v>0</v>
      </c>
      <c r="S98" s="350">
        <f t="shared" si="56"/>
        <v>0</v>
      </c>
      <c r="T98" s="350">
        <f t="shared" si="56"/>
        <v>0</v>
      </c>
      <c r="U98" s="350">
        <f t="shared" si="56"/>
        <v>0</v>
      </c>
      <c r="V98" s="350">
        <f t="shared" si="44"/>
        <v>0</v>
      </c>
      <c r="W98" s="350">
        <f t="shared" si="44"/>
        <v>0</v>
      </c>
      <c r="X98" s="350">
        <f t="shared" si="44"/>
        <v>0</v>
      </c>
      <c r="Y98" s="350">
        <f t="shared" si="44"/>
        <v>0</v>
      </c>
      <c r="Z98"/>
      <c r="AA98"/>
      <c r="AB98"/>
    </row>
    <row r="99" spans="1:28" s="342" customFormat="1">
      <c r="A99" s="282">
        <v>13</v>
      </c>
      <c r="B99" s="282" t="str">
        <f t="shared" si="45"/>
        <v>PV of Increase in forecast year 12 lease commitments</v>
      </c>
      <c r="C99" s="282"/>
      <c r="D99" s="369">
        <f t="shared" si="41"/>
        <v>9.7017579239936875</v>
      </c>
      <c r="E99" s="350">
        <f t="shared" ref="E99:U99" si="57">(E67-D68)/(POWER((1+E$35),$A99))</f>
        <v>-0.11031046920773224</v>
      </c>
      <c r="F99" s="350">
        <f t="shared" si="57"/>
        <v>-0.19232762501196768</v>
      </c>
      <c r="G99" s="350">
        <f t="shared" si="57"/>
        <v>0.79723023558136497</v>
      </c>
      <c r="H99" s="350">
        <f t="shared" si="57"/>
        <v>0</v>
      </c>
      <c r="I99" s="350">
        <f t="shared" si="43"/>
        <v>0</v>
      </c>
      <c r="J99" s="350">
        <f t="shared" si="57"/>
        <v>0</v>
      </c>
      <c r="K99" s="350">
        <f t="shared" si="57"/>
        <v>0</v>
      </c>
      <c r="L99" s="350">
        <f t="shared" si="57"/>
        <v>0</v>
      </c>
      <c r="M99" s="350">
        <f t="shared" si="57"/>
        <v>0</v>
      </c>
      <c r="N99" s="350">
        <f t="shared" si="57"/>
        <v>0</v>
      </c>
      <c r="O99" s="350">
        <f t="shared" si="57"/>
        <v>0</v>
      </c>
      <c r="P99" s="350">
        <f t="shared" si="57"/>
        <v>0</v>
      </c>
      <c r="Q99" s="350">
        <f t="shared" si="57"/>
        <v>0</v>
      </c>
      <c r="R99" s="350">
        <f t="shared" si="57"/>
        <v>0</v>
      </c>
      <c r="S99" s="350">
        <f t="shared" si="57"/>
        <v>0</v>
      </c>
      <c r="T99" s="350">
        <f t="shared" si="57"/>
        <v>0</v>
      </c>
      <c r="U99" s="350">
        <f t="shared" si="57"/>
        <v>0</v>
      </c>
      <c r="V99" s="350">
        <f t="shared" si="44"/>
        <v>0</v>
      </c>
      <c r="W99" s="350">
        <f t="shared" si="44"/>
        <v>0</v>
      </c>
      <c r="X99" s="350">
        <f t="shared" si="44"/>
        <v>0</v>
      </c>
      <c r="Y99" s="350">
        <f t="shared" si="44"/>
        <v>0</v>
      </c>
      <c r="Z99"/>
      <c r="AA99"/>
      <c r="AB99"/>
    </row>
    <row r="100" spans="1:28" s="342" customFormat="1">
      <c r="A100" s="282">
        <v>14</v>
      </c>
      <c r="B100" s="282" t="str">
        <f t="shared" si="45"/>
        <v>PV of Increase in forecast year 13 lease commitments</v>
      </c>
      <c r="C100" s="282"/>
      <c r="D100" s="369">
        <f t="shared" si="41"/>
        <v>8.860053954829139</v>
      </c>
      <c r="E100" s="350">
        <f t="shared" ref="E100:U100" si="58">(E68-D69)/(POWER((1+E$35),$A100))</f>
        <v>-9.2642791734988489E-2</v>
      </c>
      <c r="F100" s="350">
        <f t="shared" si="58"/>
        <v>-0.14875007522987727</v>
      </c>
      <c r="G100" s="350">
        <f t="shared" si="58"/>
        <v>-2.8435302915755662</v>
      </c>
      <c r="H100" s="350">
        <f t="shared" si="58"/>
        <v>0</v>
      </c>
      <c r="I100" s="350">
        <f t="shared" si="43"/>
        <v>0</v>
      </c>
      <c r="J100" s="350">
        <f t="shared" si="58"/>
        <v>0</v>
      </c>
      <c r="K100" s="350">
        <f t="shared" si="58"/>
        <v>0</v>
      </c>
      <c r="L100" s="350">
        <f t="shared" si="58"/>
        <v>0</v>
      </c>
      <c r="M100" s="350">
        <f t="shared" si="58"/>
        <v>0</v>
      </c>
      <c r="N100" s="350">
        <f t="shared" si="58"/>
        <v>0</v>
      </c>
      <c r="O100" s="350">
        <f t="shared" si="58"/>
        <v>0</v>
      </c>
      <c r="P100" s="350">
        <f t="shared" si="58"/>
        <v>0</v>
      </c>
      <c r="Q100" s="350">
        <f t="shared" si="58"/>
        <v>0</v>
      </c>
      <c r="R100" s="350">
        <f t="shared" si="58"/>
        <v>0</v>
      </c>
      <c r="S100" s="350">
        <f t="shared" si="58"/>
        <v>0</v>
      </c>
      <c r="T100" s="350">
        <f t="shared" si="58"/>
        <v>0</v>
      </c>
      <c r="U100" s="350">
        <f t="shared" si="58"/>
        <v>0</v>
      </c>
      <c r="V100" s="350">
        <f t="shared" si="44"/>
        <v>0</v>
      </c>
      <c r="W100" s="350">
        <f t="shared" si="44"/>
        <v>0</v>
      </c>
      <c r="X100" s="350">
        <f t="shared" si="44"/>
        <v>0</v>
      </c>
      <c r="Y100" s="350">
        <f t="shared" si="44"/>
        <v>0</v>
      </c>
      <c r="Z100"/>
      <c r="AA100"/>
      <c r="AB100"/>
    </row>
    <row r="101" spans="1:28" s="342" customFormat="1">
      <c r="A101" s="282">
        <v>15</v>
      </c>
      <c r="B101" s="282" t="str">
        <f t="shared" si="45"/>
        <v>PV of Increase in forecast year 14 lease commitments</v>
      </c>
      <c r="C101" s="282"/>
      <c r="D101" s="369">
        <f t="shared" si="41"/>
        <v>8.0913744393004841</v>
      </c>
      <c r="E101" s="350">
        <f t="shared" ref="E101:U101" si="59">(E69-D70)/(POWER((1+E$35),$A101))</f>
        <v>-7.7804825979752495E-2</v>
      </c>
      <c r="F101" s="350">
        <f t="shared" si="59"/>
        <v>-0.11504631682275135</v>
      </c>
      <c r="G101" s="350">
        <f t="shared" si="59"/>
        <v>0</v>
      </c>
      <c r="H101" s="350">
        <f t="shared" si="59"/>
        <v>0</v>
      </c>
      <c r="I101" s="350">
        <f t="shared" si="43"/>
        <v>0</v>
      </c>
      <c r="J101" s="350">
        <f t="shared" si="59"/>
        <v>0</v>
      </c>
      <c r="K101" s="350">
        <f t="shared" si="59"/>
        <v>0</v>
      </c>
      <c r="L101" s="350">
        <f t="shared" si="59"/>
        <v>0</v>
      </c>
      <c r="M101" s="350">
        <f t="shared" si="59"/>
        <v>0</v>
      </c>
      <c r="N101" s="350">
        <f t="shared" si="59"/>
        <v>0</v>
      </c>
      <c r="O101" s="350">
        <f t="shared" si="59"/>
        <v>0</v>
      </c>
      <c r="P101" s="350">
        <f t="shared" si="59"/>
        <v>0</v>
      </c>
      <c r="Q101" s="350">
        <f t="shared" si="59"/>
        <v>0</v>
      </c>
      <c r="R101" s="350">
        <f t="shared" si="59"/>
        <v>0</v>
      </c>
      <c r="S101" s="350">
        <f t="shared" si="59"/>
        <v>0</v>
      </c>
      <c r="T101" s="350">
        <f t="shared" si="59"/>
        <v>0</v>
      </c>
      <c r="U101" s="350">
        <f t="shared" si="59"/>
        <v>0</v>
      </c>
      <c r="V101" s="350">
        <f t="shared" si="44"/>
        <v>0</v>
      </c>
      <c r="W101" s="350">
        <f t="shared" si="44"/>
        <v>0</v>
      </c>
      <c r="X101" s="350">
        <f t="shared" si="44"/>
        <v>0</v>
      </c>
      <c r="Y101" s="350">
        <f t="shared" si="44"/>
        <v>0</v>
      </c>
      <c r="Z101"/>
      <c r="AA101"/>
      <c r="AB101"/>
    </row>
    <row r="102" spans="1:28" s="342" customFormat="1">
      <c r="A102" s="282">
        <v>16</v>
      </c>
      <c r="B102" s="282" t="str">
        <f t="shared" si="45"/>
        <v>PV of Increase in forecast year 15 lease commitments</v>
      </c>
      <c r="C102" s="282"/>
      <c r="D102" s="369">
        <f t="shared" si="41"/>
        <v>7.3893839304760522</v>
      </c>
      <c r="E102" s="350">
        <f t="shared" ref="E102:U102" si="60">(E70-D71)/(POWER((1+E$35),$A102))</f>
        <v>-6.5343356265172903E-2</v>
      </c>
      <c r="F102" s="350">
        <f t="shared" si="60"/>
        <v>-0.49997822793442415</v>
      </c>
      <c r="G102" s="350">
        <f t="shared" si="60"/>
        <v>0</v>
      </c>
      <c r="H102" s="350">
        <f t="shared" si="60"/>
        <v>0</v>
      </c>
      <c r="I102" s="350">
        <f t="shared" si="43"/>
        <v>0</v>
      </c>
      <c r="J102" s="350">
        <f t="shared" si="60"/>
        <v>0</v>
      </c>
      <c r="K102" s="350">
        <f t="shared" si="60"/>
        <v>0</v>
      </c>
      <c r="L102" s="350">
        <f t="shared" si="60"/>
        <v>0</v>
      </c>
      <c r="M102" s="350">
        <f t="shared" si="60"/>
        <v>0</v>
      </c>
      <c r="N102" s="350">
        <f t="shared" si="60"/>
        <v>0</v>
      </c>
      <c r="O102" s="350">
        <f t="shared" si="60"/>
        <v>0</v>
      </c>
      <c r="P102" s="350">
        <f t="shared" si="60"/>
        <v>0</v>
      </c>
      <c r="Q102" s="350">
        <f t="shared" si="60"/>
        <v>0</v>
      </c>
      <c r="R102" s="350">
        <f t="shared" si="60"/>
        <v>0</v>
      </c>
      <c r="S102" s="350">
        <f t="shared" si="60"/>
        <v>0</v>
      </c>
      <c r="T102" s="350">
        <f t="shared" si="60"/>
        <v>0</v>
      </c>
      <c r="U102" s="350">
        <f t="shared" si="60"/>
        <v>0</v>
      </c>
      <c r="V102" s="350">
        <f t="shared" si="44"/>
        <v>0</v>
      </c>
      <c r="W102" s="350">
        <f t="shared" si="44"/>
        <v>0</v>
      </c>
      <c r="X102" s="350">
        <f t="shared" si="44"/>
        <v>0</v>
      </c>
      <c r="Y102" s="350">
        <f t="shared" si="44"/>
        <v>0</v>
      </c>
      <c r="Z102"/>
      <c r="AA102"/>
      <c r="AB102"/>
    </row>
    <row r="103" spans="1:28" s="342" customFormat="1">
      <c r="A103" s="282">
        <v>17</v>
      </c>
      <c r="B103" s="282" t="str">
        <f t="shared" si="45"/>
        <v>PV of Increase in forecast year 16 lease commitments</v>
      </c>
      <c r="C103" s="282"/>
      <c r="D103" s="369">
        <f t="shared" si="41"/>
        <v>6.7482966313814847</v>
      </c>
      <c r="E103" s="350">
        <f t="shared" ref="E103:U103" si="61">(E71-D72)/(POWER((1+E$35),$A103))</f>
        <v>1.5689749857854363</v>
      </c>
      <c r="F103" s="350">
        <f t="shared" si="61"/>
        <v>-0.38669327411451421</v>
      </c>
      <c r="G103" s="350">
        <f t="shared" si="61"/>
        <v>0</v>
      </c>
      <c r="H103" s="350">
        <f t="shared" si="61"/>
        <v>0</v>
      </c>
      <c r="I103" s="350">
        <f t="shared" si="43"/>
        <v>0</v>
      </c>
      <c r="J103" s="350">
        <f t="shared" si="61"/>
        <v>0</v>
      </c>
      <c r="K103" s="350">
        <f t="shared" si="61"/>
        <v>0</v>
      </c>
      <c r="L103" s="350">
        <f t="shared" si="61"/>
        <v>0</v>
      </c>
      <c r="M103" s="350">
        <f t="shared" si="61"/>
        <v>0</v>
      </c>
      <c r="N103" s="350">
        <f t="shared" si="61"/>
        <v>0</v>
      </c>
      <c r="O103" s="350">
        <f t="shared" si="61"/>
        <v>0</v>
      </c>
      <c r="P103" s="350">
        <f t="shared" si="61"/>
        <v>0</v>
      </c>
      <c r="Q103" s="350">
        <f t="shared" si="61"/>
        <v>0</v>
      </c>
      <c r="R103" s="350">
        <f t="shared" si="61"/>
        <v>0</v>
      </c>
      <c r="S103" s="350">
        <f t="shared" si="61"/>
        <v>0</v>
      </c>
      <c r="T103" s="350">
        <f t="shared" si="61"/>
        <v>0</v>
      </c>
      <c r="U103" s="350">
        <f t="shared" si="61"/>
        <v>0</v>
      </c>
      <c r="V103" s="350">
        <f t="shared" si="44"/>
        <v>0</v>
      </c>
      <c r="W103" s="350">
        <f t="shared" si="44"/>
        <v>0</v>
      </c>
      <c r="X103" s="350">
        <f t="shared" si="44"/>
        <v>0</v>
      </c>
      <c r="Y103" s="350">
        <f t="shared" si="44"/>
        <v>0</v>
      </c>
      <c r="Z103"/>
      <c r="AA103"/>
      <c r="AB103"/>
    </row>
    <row r="104" spans="1:28" s="342" customFormat="1">
      <c r="A104" s="282">
        <v>18</v>
      </c>
      <c r="B104" s="282" t="str">
        <f t="shared" si="45"/>
        <v>PV of Increase in forecast year 17 lease commitments</v>
      </c>
      <c r="C104" s="282"/>
      <c r="D104" s="369">
        <f t="shared" si="41"/>
        <v>0</v>
      </c>
      <c r="E104" s="350">
        <f t="shared" ref="E104:U104" si="62">(E72-D73)/(POWER((1+E$35),$A104))</f>
        <v>1.3176829351691133</v>
      </c>
      <c r="F104" s="350">
        <f t="shared" si="62"/>
        <v>-0.29907639951277043</v>
      </c>
      <c r="G104" s="350">
        <f t="shared" si="62"/>
        <v>0</v>
      </c>
      <c r="H104" s="350">
        <f t="shared" si="62"/>
        <v>0</v>
      </c>
      <c r="I104" s="350">
        <f t="shared" si="43"/>
        <v>0</v>
      </c>
      <c r="J104" s="350">
        <f t="shared" si="62"/>
        <v>0</v>
      </c>
      <c r="K104" s="350">
        <f t="shared" si="62"/>
        <v>0</v>
      </c>
      <c r="L104" s="350">
        <f t="shared" si="62"/>
        <v>0</v>
      </c>
      <c r="M104" s="350">
        <f t="shared" si="62"/>
        <v>0</v>
      </c>
      <c r="N104" s="350">
        <f t="shared" si="62"/>
        <v>0</v>
      </c>
      <c r="O104" s="350">
        <f t="shared" si="62"/>
        <v>0</v>
      </c>
      <c r="P104" s="350">
        <f t="shared" si="62"/>
        <v>0</v>
      </c>
      <c r="Q104" s="350">
        <f t="shared" si="62"/>
        <v>0</v>
      </c>
      <c r="R104" s="350">
        <f t="shared" si="62"/>
        <v>0</v>
      </c>
      <c r="S104" s="350">
        <f t="shared" si="62"/>
        <v>0</v>
      </c>
      <c r="T104" s="350">
        <f t="shared" si="62"/>
        <v>0</v>
      </c>
      <c r="U104" s="350">
        <f t="shared" si="62"/>
        <v>0</v>
      </c>
      <c r="V104" s="350">
        <f t="shared" si="44"/>
        <v>0</v>
      </c>
      <c r="W104" s="350">
        <f t="shared" si="44"/>
        <v>0</v>
      </c>
      <c r="X104" s="350">
        <f t="shared" si="44"/>
        <v>0</v>
      </c>
      <c r="Y104" s="350">
        <f t="shared" si="44"/>
        <v>0</v>
      </c>
      <c r="Z104"/>
      <c r="AA104"/>
      <c r="AB104"/>
    </row>
    <row r="105" spans="1:28" s="342" customFormat="1">
      <c r="A105" s="282">
        <v>19</v>
      </c>
      <c r="B105" s="282" t="str">
        <f t="shared" si="45"/>
        <v>PV of Increase in forecast year 18 lease commitments</v>
      </c>
      <c r="C105" s="282"/>
      <c r="D105" s="369">
        <f t="shared" si="41"/>
        <v>0</v>
      </c>
      <c r="E105" s="350">
        <f t="shared" ref="E105:U105" si="63">(E73-D74)/(POWER((1+E$35),$A105))</f>
        <v>1.1066386229011138</v>
      </c>
      <c r="F105" s="350">
        <f t="shared" si="63"/>
        <v>-0.23131173654454043</v>
      </c>
      <c r="G105" s="350">
        <f t="shared" si="63"/>
        <v>0</v>
      </c>
      <c r="H105" s="350">
        <f t="shared" si="63"/>
        <v>0</v>
      </c>
      <c r="I105" s="350">
        <f t="shared" si="43"/>
        <v>0</v>
      </c>
      <c r="J105" s="350">
        <f t="shared" si="63"/>
        <v>0</v>
      </c>
      <c r="K105" s="350">
        <f t="shared" si="63"/>
        <v>0</v>
      </c>
      <c r="L105" s="350">
        <f t="shared" si="63"/>
        <v>0</v>
      </c>
      <c r="M105" s="350">
        <f t="shared" si="63"/>
        <v>0</v>
      </c>
      <c r="N105" s="350">
        <f t="shared" si="63"/>
        <v>0</v>
      </c>
      <c r="O105" s="350">
        <f t="shared" si="63"/>
        <v>0</v>
      </c>
      <c r="P105" s="350">
        <f t="shared" si="63"/>
        <v>0</v>
      </c>
      <c r="Q105" s="350">
        <f t="shared" si="63"/>
        <v>0</v>
      </c>
      <c r="R105" s="350">
        <f t="shared" si="63"/>
        <v>0</v>
      </c>
      <c r="S105" s="350">
        <f t="shared" si="63"/>
        <v>0</v>
      </c>
      <c r="T105" s="350">
        <f t="shared" si="63"/>
        <v>0</v>
      </c>
      <c r="U105" s="350">
        <f t="shared" si="63"/>
        <v>0</v>
      </c>
      <c r="V105" s="350">
        <f t="shared" si="44"/>
        <v>0</v>
      </c>
      <c r="W105" s="350">
        <f t="shared" si="44"/>
        <v>0</v>
      </c>
      <c r="X105" s="350">
        <f t="shared" si="44"/>
        <v>0</v>
      </c>
      <c r="Y105" s="350">
        <f t="shared" si="44"/>
        <v>0</v>
      </c>
      <c r="Z105"/>
      <c r="AA105"/>
      <c r="AB105"/>
    </row>
    <row r="106" spans="1:28" s="342" customFormat="1">
      <c r="A106" s="282">
        <v>20</v>
      </c>
      <c r="B106" s="282" t="str">
        <f t="shared" si="45"/>
        <v>PV of Increase in forecast year 19 lease commitments</v>
      </c>
      <c r="C106" s="282"/>
      <c r="D106" s="369">
        <f t="shared" si="41"/>
        <v>0</v>
      </c>
      <c r="E106" s="350">
        <f t="shared" ref="E106:U106" si="64">(E74-D75)/(POWER((1+E$35),$A106))</f>
        <v>0.92939584251297924</v>
      </c>
      <c r="F106" s="350">
        <f t="shared" si="64"/>
        <v>0</v>
      </c>
      <c r="G106" s="350">
        <f t="shared" si="64"/>
        <v>0</v>
      </c>
      <c r="H106" s="350">
        <f t="shared" si="64"/>
        <v>0</v>
      </c>
      <c r="I106" s="350">
        <f t="shared" si="43"/>
        <v>0</v>
      </c>
      <c r="J106" s="350">
        <f t="shared" si="64"/>
        <v>0</v>
      </c>
      <c r="K106" s="350">
        <f t="shared" si="64"/>
        <v>0</v>
      </c>
      <c r="L106" s="350">
        <f t="shared" si="64"/>
        <v>0</v>
      </c>
      <c r="M106" s="350">
        <f t="shared" si="64"/>
        <v>0</v>
      </c>
      <c r="N106" s="350">
        <f t="shared" si="64"/>
        <v>0</v>
      </c>
      <c r="O106" s="350">
        <f t="shared" si="64"/>
        <v>0</v>
      </c>
      <c r="P106" s="350">
        <f t="shared" si="64"/>
        <v>0</v>
      </c>
      <c r="Q106" s="350">
        <f t="shared" si="64"/>
        <v>0</v>
      </c>
      <c r="R106" s="350">
        <f t="shared" si="64"/>
        <v>0</v>
      </c>
      <c r="S106" s="350">
        <f t="shared" si="64"/>
        <v>0</v>
      </c>
      <c r="T106" s="350">
        <f t="shared" si="64"/>
        <v>0</v>
      </c>
      <c r="U106" s="350">
        <f t="shared" si="64"/>
        <v>0</v>
      </c>
      <c r="V106" s="350">
        <f t="shared" si="44"/>
        <v>0</v>
      </c>
      <c r="W106" s="350">
        <f t="shared" si="44"/>
        <v>0</v>
      </c>
      <c r="X106" s="350">
        <f t="shared" si="44"/>
        <v>0</v>
      </c>
      <c r="Y106" s="350">
        <f t="shared" si="44"/>
        <v>0</v>
      </c>
      <c r="Z106"/>
      <c r="AA106"/>
      <c r="AB106"/>
    </row>
    <row r="107" spans="1:28" s="342" customFormat="1">
      <c r="A107" s="282">
        <f t="shared" ref="A107:A114" si="65">A106+1</f>
        <v>21</v>
      </c>
      <c r="B107" s="282" t="str">
        <f t="shared" si="45"/>
        <v>PV of Increase in forecast year 20 lease commitments</v>
      </c>
      <c r="C107" s="282"/>
      <c r="D107" s="369">
        <f t="shared" si="41"/>
        <v>0</v>
      </c>
      <c r="E107" s="350">
        <f t="shared" ref="E107:U107" si="66">(E75-D76)/(POWER((1+E$35),$A107))</f>
        <v>0</v>
      </c>
      <c r="F107" s="350">
        <f t="shared" si="66"/>
        <v>0</v>
      </c>
      <c r="G107" s="350">
        <f t="shared" si="66"/>
        <v>0</v>
      </c>
      <c r="H107" s="350">
        <f t="shared" si="66"/>
        <v>0</v>
      </c>
      <c r="I107" s="350">
        <f t="shared" si="43"/>
        <v>0</v>
      </c>
      <c r="J107" s="350">
        <f t="shared" si="66"/>
        <v>0</v>
      </c>
      <c r="K107" s="350">
        <f t="shared" si="66"/>
        <v>0</v>
      </c>
      <c r="L107" s="350">
        <f t="shared" si="66"/>
        <v>0</v>
      </c>
      <c r="M107" s="350">
        <f t="shared" si="66"/>
        <v>0</v>
      </c>
      <c r="N107" s="350">
        <f t="shared" si="66"/>
        <v>0</v>
      </c>
      <c r="O107" s="350">
        <f t="shared" si="66"/>
        <v>0</v>
      </c>
      <c r="P107" s="350">
        <f t="shared" si="66"/>
        <v>0</v>
      </c>
      <c r="Q107" s="350">
        <f t="shared" si="66"/>
        <v>0</v>
      </c>
      <c r="R107" s="350">
        <f t="shared" si="66"/>
        <v>0</v>
      </c>
      <c r="S107" s="350">
        <f t="shared" si="66"/>
        <v>0</v>
      </c>
      <c r="T107" s="350">
        <f t="shared" si="66"/>
        <v>0</v>
      </c>
      <c r="U107" s="350">
        <f t="shared" si="66"/>
        <v>0</v>
      </c>
      <c r="V107" s="350">
        <f t="shared" si="44"/>
        <v>0</v>
      </c>
      <c r="W107" s="350">
        <f t="shared" si="44"/>
        <v>0</v>
      </c>
      <c r="X107" s="350">
        <f t="shared" si="44"/>
        <v>0</v>
      </c>
      <c r="Y107" s="350">
        <f t="shared" si="44"/>
        <v>0</v>
      </c>
      <c r="Z107"/>
      <c r="AA107"/>
      <c r="AB107"/>
    </row>
    <row r="108" spans="1:28" s="342" customFormat="1">
      <c r="A108" s="282">
        <f t="shared" si="65"/>
        <v>22</v>
      </c>
      <c r="B108" s="282" t="str">
        <f t="shared" si="45"/>
        <v>PV of Increase in forecast year 21 lease commitments</v>
      </c>
      <c r="C108" s="282"/>
      <c r="D108" s="369">
        <f t="shared" si="41"/>
        <v>0</v>
      </c>
      <c r="E108" s="350">
        <f t="shared" ref="E108:U108" si="67">(E76-D77)/(POWER((1+E$35),$A108))</f>
        <v>0</v>
      </c>
      <c r="F108" s="350">
        <f t="shared" si="67"/>
        <v>0</v>
      </c>
      <c r="G108" s="350">
        <f t="shared" si="67"/>
        <v>0</v>
      </c>
      <c r="H108" s="350">
        <f t="shared" si="67"/>
        <v>0</v>
      </c>
      <c r="I108" s="350">
        <f t="shared" si="43"/>
        <v>0</v>
      </c>
      <c r="J108" s="350">
        <f t="shared" si="67"/>
        <v>0</v>
      </c>
      <c r="K108" s="350">
        <f t="shared" si="67"/>
        <v>0</v>
      </c>
      <c r="L108" s="350">
        <f t="shared" si="67"/>
        <v>0</v>
      </c>
      <c r="M108" s="350">
        <f t="shared" si="67"/>
        <v>0</v>
      </c>
      <c r="N108" s="350">
        <f t="shared" si="67"/>
        <v>0</v>
      </c>
      <c r="O108" s="350">
        <f t="shared" si="67"/>
        <v>0</v>
      </c>
      <c r="P108" s="350">
        <f t="shared" si="67"/>
        <v>0</v>
      </c>
      <c r="Q108" s="350">
        <f t="shared" si="67"/>
        <v>0</v>
      </c>
      <c r="R108" s="350">
        <f t="shared" si="67"/>
        <v>0</v>
      </c>
      <c r="S108" s="350">
        <f t="shared" si="67"/>
        <v>0</v>
      </c>
      <c r="T108" s="350">
        <f t="shared" si="67"/>
        <v>0</v>
      </c>
      <c r="U108" s="350">
        <f t="shared" si="67"/>
        <v>0</v>
      </c>
      <c r="V108" s="350">
        <f t="shared" si="44"/>
        <v>0</v>
      </c>
      <c r="W108" s="350">
        <f t="shared" si="44"/>
        <v>0</v>
      </c>
      <c r="X108" s="350">
        <f t="shared" si="44"/>
        <v>0</v>
      </c>
      <c r="Y108" s="350">
        <f t="shared" si="44"/>
        <v>0</v>
      </c>
      <c r="Z108"/>
      <c r="AA108"/>
      <c r="AB108"/>
    </row>
    <row r="109" spans="1:28" s="342" customFormat="1">
      <c r="A109" s="282">
        <f t="shared" si="65"/>
        <v>23</v>
      </c>
      <c r="B109" s="282" t="str">
        <f t="shared" si="45"/>
        <v>PV of Increase in forecast year 22 lease commitments</v>
      </c>
      <c r="C109" s="282"/>
      <c r="D109" s="369">
        <f t="shared" si="41"/>
        <v>0</v>
      </c>
      <c r="E109" s="350">
        <f t="shared" ref="E109:U109" si="68">(E77-D78)/(POWER((1+E$35),$A109))</f>
        <v>0</v>
      </c>
      <c r="F109" s="350">
        <f t="shared" si="68"/>
        <v>0</v>
      </c>
      <c r="G109" s="350">
        <f t="shared" si="68"/>
        <v>0</v>
      </c>
      <c r="H109" s="350">
        <f t="shared" si="68"/>
        <v>0</v>
      </c>
      <c r="I109" s="350">
        <f t="shared" si="43"/>
        <v>0</v>
      </c>
      <c r="J109" s="350">
        <f t="shared" si="68"/>
        <v>0</v>
      </c>
      <c r="K109" s="350">
        <f t="shared" si="68"/>
        <v>0</v>
      </c>
      <c r="L109" s="350">
        <f t="shared" si="68"/>
        <v>0</v>
      </c>
      <c r="M109" s="350">
        <f t="shared" si="68"/>
        <v>0</v>
      </c>
      <c r="N109" s="350">
        <f t="shared" si="68"/>
        <v>0</v>
      </c>
      <c r="O109" s="350">
        <f t="shared" si="68"/>
        <v>0</v>
      </c>
      <c r="P109" s="350">
        <f t="shared" si="68"/>
        <v>0</v>
      </c>
      <c r="Q109" s="350">
        <f t="shared" si="68"/>
        <v>0</v>
      </c>
      <c r="R109" s="350">
        <f t="shared" si="68"/>
        <v>0</v>
      </c>
      <c r="S109" s="350">
        <f t="shared" si="68"/>
        <v>0</v>
      </c>
      <c r="T109" s="350">
        <f t="shared" si="68"/>
        <v>0</v>
      </c>
      <c r="U109" s="350">
        <f t="shared" si="68"/>
        <v>0</v>
      </c>
      <c r="V109" s="350">
        <f t="shared" si="44"/>
        <v>0</v>
      </c>
      <c r="W109" s="350">
        <f t="shared" si="44"/>
        <v>0</v>
      </c>
      <c r="X109" s="350">
        <f t="shared" si="44"/>
        <v>0</v>
      </c>
      <c r="Y109" s="350">
        <f t="shared" si="44"/>
        <v>0</v>
      </c>
      <c r="Z109"/>
      <c r="AA109"/>
      <c r="AB109"/>
    </row>
    <row r="110" spans="1:28" s="342" customFormat="1">
      <c r="A110" s="282">
        <f t="shared" si="65"/>
        <v>24</v>
      </c>
      <c r="B110" s="282" t="str">
        <f t="shared" si="45"/>
        <v>PV of Increase in forecast year 23 lease commitments</v>
      </c>
      <c r="C110" s="282"/>
      <c r="D110" s="369">
        <f t="shared" si="41"/>
        <v>0</v>
      </c>
      <c r="E110" s="350">
        <f t="shared" ref="E110:U110" si="69">(E78-D79)/(POWER((1+E$35),$A110))</f>
        <v>0</v>
      </c>
      <c r="F110" s="350">
        <f t="shared" si="69"/>
        <v>0</v>
      </c>
      <c r="G110" s="350">
        <f t="shared" si="69"/>
        <v>0</v>
      </c>
      <c r="H110" s="350">
        <f t="shared" si="69"/>
        <v>0</v>
      </c>
      <c r="I110" s="350">
        <f t="shared" si="43"/>
        <v>0</v>
      </c>
      <c r="J110" s="350">
        <f t="shared" si="69"/>
        <v>0</v>
      </c>
      <c r="K110" s="350">
        <f t="shared" si="69"/>
        <v>0</v>
      </c>
      <c r="L110" s="350">
        <f t="shared" si="69"/>
        <v>0</v>
      </c>
      <c r="M110" s="350">
        <f t="shared" si="69"/>
        <v>0</v>
      </c>
      <c r="N110" s="350">
        <f t="shared" si="69"/>
        <v>0</v>
      </c>
      <c r="O110" s="350">
        <f t="shared" si="69"/>
        <v>0</v>
      </c>
      <c r="P110" s="350">
        <f t="shared" si="69"/>
        <v>0</v>
      </c>
      <c r="Q110" s="350">
        <f t="shared" si="69"/>
        <v>0</v>
      </c>
      <c r="R110" s="350">
        <f t="shared" si="69"/>
        <v>0</v>
      </c>
      <c r="S110" s="350">
        <f t="shared" si="69"/>
        <v>0</v>
      </c>
      <c r="T110" s="350">
        <f t="shared" si="69"/>
        <v>0</v>
      </c>
      <c r="U110" s="350">
        <f t="shared" si="69"/>
        <v>0</v>
      </c>
      <c r="V110" s="350">
        <f t="shared" si="44"/>
        <v>0</v>
      </c>
      <c r="W110" s="350">
        <f t="shared" si="44"/>
        <v>0</v>
      </c>
      <c r="X110" s="350">
        <f t="shared" si="44"/>
        <v>0</v>
      </c>
      <c r="Y110" s="350">
        <f t="shared" si="44"/>
        <v>0</v>
      </c>
      <c r="Z110"/>
      <c r="AA110"/>
      <c r="AB110"/>
    </row>
    <row r="111" spans="1:28" s="342" customFormat="1">
      <c r="A111" s="282">
        <f t="shared" si="65"/>
        <v>25</v>
      </c>
      <c r="B111" s="282" t="str">
        <f t="shared" si="45"/>
        <v>PV of Increase in forecast year 24 lease commitments</v>
      </c>
      <c r="C111" s="282"/>
      <c r="D111" s="369">
        <f t="shared" si="41"/>
        <v>0</v>
      </c>
      <c r="E111" s="350">
        <f t="shared" ref="E111:U111" si="70">(E79-D80)/(POWER((1+E$35),$A111))</f>
        <v>0</v>
      </c>
      <c r="F111" s="350">
        <f t="shared" si="70"/>
        <v>0</v>
      </c>
      <c r="G111" s="350">
        <f t="shared" si="70"/>
        <v>0</v>
      </c>
      <c r="H111" s="350">
        <f t="shared" si="70"/>
        <v>0</v>
      </c>
      <c r="I111" s="350">
        <f t="shared" si="43"/>
        <v>0</v>
      </c>
      <c r="J111" s="350">
        <f t="shared" si="70"/>
        <v>0</v>
      </c>
      <c r="K111" s="350">
        <f t="shared" si="70"/>
        <v>0</v>
      </c>
      <c r="L111" s="350">
        <f t="shared" si="70"/>
        <v>0</v>
      </c>
      <c r="M111" s="350">
        <f t="shared" si="70"/>
        <v>0</v>
      </c>
      <c r="N111" s="350">
        <f t="shared" si="70"/>
        <v>0</v>
      </c>
      <c r="O111" s="350">
        <f t="shared" si="70"/>
        <v>0</v>
      </c>
      <c r="P111" s="350">
        <f t="shared" si="70"/>
        <v>0</v>
      </c>
      <c r="Q111" s="350">
        <f t="shared" si="70"/>
        <v>0</v>
      </c>
      <c r="R111" s="350">
        <f t="shared" si="70"/>
        <v>0</v>
      </c>
      <c r="S111" s="350">
        <f t="shared" si="70"/>
        <v>0</v>
      </c>
      <c r="T111" s="350">
        <f t="shared" si="70"/>
        <v>0</v>
      </c>
      <c r="U111" s="350">
        <f t="shared" si="70"/>
        <v>0</v>
      </c>
      <c r="V111" s="350">
        <f t="shared" si="44"/>
        <v>0</v>
      </c>
      <c r="W111" s="350">
        <f t="shared" si="44"/>
        <v>0</v>
      </c>
      <c r="X111" s="350">
        <f t="shared" si="44"/>
        <v>0</v>
      </c>
      <c r="Y111" s="350">
        <f t="shared" si="44"/>
        <v>0</v>
      </c>
      <c r="Z111"/>
      <c r="AA111"/>
      <c r="AB111"/>
    </row>
    <row r="112" spans="1:28" s="342" customFormat="1">
      <c r="A112" s="282">
        <f t="shared" si="65"/>
        <v>26</v>
      </c>
      <c r="B112" s="282" t="str">
        <f t="shared" si="45"/>
        <v>PV of Increase in forecast year 25 lease commitments</v>
      </c>
      <c r="C112" s="282"/>
      <c r="D112" s="369">
        <f t="shared" si="41"/>
        <v>0</v>
      </c>
      <c r="E112" s="350">
        <f t="shared" ref="E112:U112" si="71">(E80-D81)/(POWER((1+E$35),$A112))</f>
        <v>0</v>
      </c>
      <c r="F112" s="350">
        <f t="shared" si="71"/>
        <v>0</v>
      </c>
      <c r="G112" s="350">
        <f t="shared" si="71"/>
        <v>0</v>
      </c>
      <c r="H112" s="350">
        <f t="shared" si="71"/>
        <v>0</v>
      </c>
      <c r="I112" s="350">
        <f t="shared" si="43"/>
        <v>0</v>
      </c>
      <c r="J112" s="350">
        <f t="shared" si="71"/>
        <v>0</v>
      </c>
      <c r="K112" s="350">
        <f t="shared" si="71"/>
        <v>0</v>
      </c>
      <c r="L112" s="350">
        <f t="shared" si="71"/>
        <v>0</v>
      </c>
      <c r="M112" s="350">
        <f t="shared" si="71"/>
        <v>0</v>
      </c>
      <c r="N112" s="350">
        <f t="shared" si="71"/>
        <v>0</v>
      </c>
      <c r="O112" s="350">
        <f t="shared" si="71"/>
        <v>0</v>
      </c>
      <c r="P112" s="350">
        <f t="shared" si="71"/>
        <v>0</v>
      </c>
      <c r="Q112" s="350">
        <f t="shared" si="71"/>
        <v>0</v>
      </c>
      <c r="R112" s="350">
        <f t="shared" si="71"/>
        <v>0</v>
      </c>
      <c r="S112" s="350">
        <f t="shared" si="71"/>
        <v>0</v>
      </c>
      <c r="T112" s="350">
        <f t="shared" si="71"/>
        <v>0</v>
      </c>
      <c r="U112" s="350">
        <f t="shared" si="71"/>
        <v>0</v>
      </c>
      <c r="V112" s="350">
        <f t="shared" si="44"/>
        <v>0</v>
      </c>
      <c r="W112" s="350">
        <f t="shared" si="44"/>
        <v>0</v>
      </c>
      <c r="X112" s="350">
        <f t="shared" si="44"/>
        <v>0</v>
      </c>
      <c r="Y112" s="350">
        <f t="shared" si="44"/>
        <v>0</v>
      </c>
      <c r="Z112"/>
      <c r="AA112"/>
      <c r="AB112"/>
    </row>
    <row r="113" spans="1:28" s="342" customFormat="1">
      <c r="A113" s="282">
        <f t="shared" si="65"/>
        <v>27</v>
      </c>
      <c r="B113" s="282" t="str">
        <f t="shared" si="45"/>
        <v>PV of Increase in forecast year 26 lease commitments</v>
      </c>
      <c r="C113" s="282"/>
      <c r="D113" s="369">
        <f t="shared" si="41"/>
        <v>0</v>
      </c>
      <c r="E113" s="350">
        <f t="shared" ref="E113:U113" si="72">(E81-D82)/(POWER((1+E$35),$A113))</f>
        <v>0</v>
      </c>
      <c r="F113" s="350">
        <f t="shared" si="72"/>
        <v>0</v>
      </c>
      <c r="G113" s="350">
        <f t="shared" si="72"/>
        <v>0</v>
      </c>
      <c r="H113" s="350">
        <f t="shared" si="72"/>
        <v>0</v>
      </c>
      <c r="I113" s="350">
        <f t="shared" si="43"/>
        <v>0</v>
      </c>
      <c r="J113" s="350">
        <f t="shared" si="72"/>
        <v>0</v>
      </c>
      <c r="K113" s="350">
        <f t="shared" si="72"/>
        <v>0</v>
      </c>
      <c r="L113" s="350">
        <f t="shared" si="72"/>
        <v>0</v>
      </c>
      <c r="M113" s="350">
        <f t="shared" si="72"/>
        <v>0</v>
      </c>
      <c r="N113" s="350">
        <f t="shared" si="72"/>
        <v>0</v>
      </c>
      <c r="O113" s="350">
        <f t="shared" si="72"/>
        <v>0</v>
      </c>
      <c r="P113" s="350">
        <f t="shared" si="72"/>
        <v>0</v>
      </c>
      <c r="Q113" s="350">
        <f t="shared" si="72"/>
        <v>0</v>
      </c>
      <c r="R113" s="350">
        <f t="shared" si="72"/>
        <v>0</v>
      </c>
      <c r="S113" s="350">
        <f t="shared" si="72"/>
        <v>0</v>
      </c>
      <c r="T113" s="350">
        <f t="shared" si="72"/>
        <v>0</v>
      </c>
      <c r="U113" s="350">
        <f t="shared" si="72"/>
        <v>0</v>
      </c>
      <c r="V113" s="350">
        <f t="shared" si="44"/>
        <v>0</v>
      </c>
      <c r="W113" s="350">
        <f t="shared" si="44"/>
        <v>0</v>
      </c>
      <c r="X113" s="350">
        <f t="shared" si="44"/>
        <v>0</v>
      </c>
      <c r="Y113" s="350">
        <f t="shared" si="44"/>
        <v>0</v>
      </c>
      <c r="Z113"/>
      <c r="AA113"/>
      <c r="AB113"/>
    </row>
    <row r="114" spans="1:28" s="342" customFormat="1">
      <c r="A114" s="282">
        <f t="shared" si="65"/>
        <v>28</v>
      </c>
      <c r="B114" s="282" t="str">
        <f t="shared" si="45"/>
        <v>PV of Increase in forecast year 27 lease commitments</v>
      </c>
      <c r="C114" s="282"/>
      <c r="D114" s="369">
        <f t="shared" si="41"/>
        <v>0</v>
      </c>
      <c r="E114" s="350">
        <f t="shared" ref="E114:U114" si="73">(E82-D83)/(POWER((1+E$35),$A114))</f>
        <v>0</v>
      </c>
      <c r="F114" s="350">
        <f t="shared" si="73"/>
        <v>0</v>
      </c>
      <c r="G114" s="350">
        <f t="shared" si="73"/>
        <v>0</v>
      </c>
      <c r="H114" s="350">
        <f t="shared" si="73"/>
        <v>0</v>
      </c>
      <c r="I114" s="350">
        <f t="shared" si="43"/>
        <v>0</v>
      </c>
      <c r="J114" s="350">
        <f t="shared" si="73"/>
        <v>0</v>
      </c>
      <c r="K114" s="350">
        <f t="shared" si="73"/>
        <v>0</v>
      </c>
      <c r="L114" s="350">
        <f t="shared" si="73"/>
        <v>0</v>
      </c>
      <c r="M114" s="350">
        <f t="shared" si="73"/>
        <v>0</v>
      </c>
      <c r="N114" s="350">
        <f t="shared" si="73"/>
        <v>0</v>
      </c>
      <c r="O114" s="350">
        <f t="shared" si="73"/>
        <v>0</v>
      </c>
      <c r="P114" s="350">
        <f t="shared" si="73"/>
        <v>0</v>
      </c>
      <c r="Q114" s="350">
        <f t="shared" si="73"/>
        <v>0</v>
      </c>
      <c r="R114" s="350">
        <f t="shared" si="73"/>
        <v>0</v>
      </c>
      <c r="S114" s="350">
        <f t="shared" si="73"/>
        <v>0</v>
      </c>
      <c r="T114" s="350">
        <f t="shared" si="73"/>
        <v>0</v>
      </c>
      <c r="U114" s="350">
        <f t="shared" si="73"/>
        <v>0</v>
      </c>
      <c r="V114" s="350">
        <f t="shared" si="44"/>
        <v>0</v>
      </c>
      <c r="W114" s="350">
        <f t="shared" si="44"/>
        <v>0</v>
      </c>
      <c r="X114" s="350">
        <f t="shared" si="44"/>
        <v>0</v>
      </c>
      <c r="Y114" s="350">
        <f t="shared" si="44"/>
        <v>0</v>
      </c>
      <c r="Z114"/>
      <c r="AA114"/>
      <c r="AB114"/>
    </row>
    <row r="115" spans="1:28" s="342" customFormat="1">
      <c r="A115" s="282"/>
      <c r="B115" s="282" t="s">
        <v>1683</v>
      </c>
      <c r="C115" s="282"/>
      <c r="D115" s="370">
        <f t="shared" ref="D115:U115" si="74">SUM(D87:D114)</f>
        <v>246.57853013357885</v>
      </c>
      <c r="E115" s="352">
        <f t="shared" si="74"/>
        <v>-4.1133946790001383</v>
      </c>
      <c r="F115" s="352">
        <f t="shared" si="74"/>
        <v>-18.433390679149142</v>
      </c>
      <c r="G115" s="352">
        <f t="shared" si="74"/>
        <v>27.209560700447934</v>
      </c>
      <c r="H115" s="352">
        <f t="shared" si="74"/>
        <v>-9.1806791250017561</v>
      </c>
      <c r="I115" s="352">
        <f t="shared" si="74"/>
        <v>-38.742646775316928</v>
      </c>
      <c r="J115" s="352">
        <f t="shared" si="74"/>
        <v>97.952954339181233</v>
      </c>
      <c r="K115" s="352">
        <f t="shared" si="74"/>
        <v>327.13148805596859</v>
      </c>
      <c r="L115" s="352">
        <f t="shared" si="74"/>
        <v>159.22327802816244</v>
      </c>
      <c r="M115" s="352">
        <f t="shared" si="74"/>
        <v>174.67081077882466</v>
      </c>
      <c r="N115" s="352">
        <f t="shared" si="74"/>
        <v>145.56148102456848</v>
      </c>
      <c r="O115" s="352">
        <f t="shared" si="74"/>
        <v>107.82603236334288</v>
      </c>
      <c r="P115" s="352">
        <f t="shared" si="74"/>
        <v>118.0731896652578</v>
      </c>
      <c r="Q115" s="352">
        <f t="shared" si="74"/>
        <v>125.32369839937834</v>
      </c>
      <c r="R115" s="352">
        <f t="shared" si="74"/>
        <v>142.32492443884948</v>
      </c>
      <c r="S115" s="352">
        <f t="shared" si="74"/>
        <v>155.72228512754839</v>
      </c>
      <c r="T115" s="352">
        <f t="shared" si="74"/>
        <v>165.83986653309404</v>
      </c>
      <c r="U115" s="352">
        <f t="shared" si="74"/>
        <v>176.61480698916995</v>
      </c>
      <c r="V115" s="352">
        <f>SUM(V87:V114)</f>
        <v>188.08981639886383</v>
      </c>
      <c r="W115" s="352">
        <f>SUM(W87:W114)</f>
        <v>200.3103796111935</v>
      </c>
      <c r="X115" s="352">
        <f>SUM(X87:X114)</f>
        <v>213.32493671477067</v>
      </c>
      <c r="Y115" s="352">
        <f>SUM(Y87:Y114)</f>
        <v>227.1850750454966</v>
      </c>
      <c r="Z115"/>
      <c r="AA115"/>
      <c r="AB115"/>
    </row>
    <row r="116" spans="1:28" s="342" customFormat="1">
      <c r="A116" s="282"/>
      <c r="B116" s="282"/>
      <c r="C116" s="282"/>
      <c r="D116" s="325"/>
      <c r="E116" s="325"/>
      <c r="F116" s="325"/>
      <c r="G116" s="325"/>
      <c r="H116" s="325"/>
      <c r="I116" s="325"/>
      <c r="J116" s="325"/>
      <c r="K116" s="325"/>
      <c r="L116" s="325"/>
      <c r="M116" s="325"/>
      <c r="N116" s="325"/>
      <c r="O116" s="325"/>
      <c r="P116" s="325"/>
      <c r="Q116" s="325"/>
      <c r="R116" s="325"/>
      <c r="S116" s="325"/>
      <c r="T116" s="325"/>
      <c r="U116" s="325"/>
      <c r="V116" s="325"/>
      <c r="W116" s="325"/>
      <c r="X116" s="325"/>
      <c r="Y116" s="325"/>
      <c r="Z116"/>
      <c r="AA116"/>
      <c r="AB116"/>
    </row>
    <row r="117" spans="1:28">
      <c r="B117" s="353" t="s">
        <v>1684</v>
      </c>
      <c r="C117" s="353"/>
      <c r="D117" s="304"/>
      <c r="E117" s="304"/>
      <c r="F117" s="304"/>
      <c r="G117" s="304"/>
      <c r="H117" s="304"/>
      <c r="I117" s="304"/>
      <c r="J117" s="304"/>
      <c r="K117" s="304"/>
      <c r="L117" s="304"/>
      <c r="M117" s="304"/>
      <c r="N117" s="304"/>
      <c r="O117" s="304"/>
      <c r="P117" s="304"/>
      <c r="Q117" s="304"/>
      <c r="R117" s="304"/>
      <c r="S117" s="304"/>
      <c r="T117" s="304"/>
      <c r="U117" s="304"/>
      <c r="V117" s="304"/>
      <c r="W117" s="304"/>
      <c r="X117" s="304"/>
      <c r="Y117" s="304"/>
    </row>
    <row r="118" spans="1:28">
      <c r="D118" s="304"/>
      <c r="E118" s="304"/>
      <c r="F118" s="304"/>
      <c r="G118" s="304"/>
      <c r="H118" s="304"/>
      <c r="I118" s="304"/>
      <c r="J118" s="304"/>
      <c r="K118" s="304"/>
      <c r="L118" s="304"/>
      <c r="M118" s="304"/>
      <c r="N118" s="304"/>
      <c r="O118" s="304"/>
      <c r="P118" s="304"/>
      <c r="Q118" s="304"/>
      <c r="R118" s="304"/>
      <c r="S118" s="304"/>
      <c r="T118" s="304"/>
      <c r="U118" s="304"/>
      <c r="V118" s="304"/>
      <c r="W118" s="304"/>
      <c r="X118" s="304"/>
      <c r="Y118" s="304"/>
    </row>
    <row r="119" spans="1:28">
      <c r="D119" s="304"/>
      <c r="E119" s="304"/>
      <c r="F119" s="304"/>
      <c r="G119" s="304"/>
      <c r="H119" s="304"/>
      <c r="I119" s="304"/>
      <c r="J119" s="304"/>
      <c r="K119" s="304"/>
      <c r="L119" s="304"/>
      <c r="M119" s="304"/>
      <c r="N119" s="304"/>
      <c r="O119" s="304"/>
      <c r="P119" s="304"/>
      <c r="V119" s="280"/>
      <c r="W119" s="280"/>
      <c r="X119" s="280"/>
      <c r="Y119" s="280"/>
    </row>
    <row r="120" spans="1:28" ht="11.25" customHeight="1">
      <c r="B120" s="339" t="s">
        <v>1685</v>
      </c>
      <c r="C120" s="339"/>
      <c r="D120" s="285" t="str">
        <f>D3</f>
        <v>2000A</v>
      </c>
      <c r="E120" s="285" t="str">
        <f t="shared" ref="E120:X120" si="75">E3</f>
        <v>2001A</v>
      </c>
      <c r="F120" s="285" t="str">
        <f t="shared" si="75"/>
        <v>2002A</v>
      </c>
      <c r="G120" s="285" t="str">
        <f t="shared" si="75"/>
        <v>2003A</v>
      </c>
      <c r="H120" s="285" t="str">
        <f t="shared" si="75"/>
        <v>2004A</v>
      </c>
      <c r="I120" s="285" t="str">
        <f t="shared" si="75"/>
        <v>2005A</v>
      </c>
      <c r="J120" s="285" t="str">
        <f t="shared" si="75"/>
        <v>2006A</v>
      </c>
      <c r="K120" s="285" t="str">
        <f t="shared" si="75"/>
        <v>2007A</v>
      </c>
      <c r="L120" s="285" t="str">
        <f t="shared" si="75"/>
        <v>2008A</v>
      </c>
      <c r="M120" s="285" t="str">
        <f t="shared" si="75"/>
        <v>2009A</v>
      </c>
      <c r="N120" s="285" t="str">
        <f t="shared" si="75"/>
        <v>2010A</v>
      </c>
      <c r="O120" s="285" t="str">
        <f t="shared" si="75"/>
        <v>2011E</v>
      </c>
      <c r="P120" s="285" t="str">
        <f t="shared" si="75"/>
        <v>2012E</v>
      </c>
      <c r="Q120" s="285" t="str">
        <f t="shared" si="75"/>
        <v>2013E</v>
      </c>
      <c r="R120" s="285" t="str">
        <f t="shared" si="75"/>
        <v>2014E</v>
      </c>
      <c r="S120" s="285" t="str">
        <f t="shared" si="75"/>
        <v>2015E</v>
      </c>
      <c r="T120" s="285" t="str">
        <f t="shared" si="75"/>
        <v>2016E</v>
      </c>
      <c r="U120" s="285" t="str">
        <f t="shared" si="75"/>
        <v>2017E</v>
      </c>
      <c r="V120" s="285" t="str">
        <f t="shared" si="75"/>
        <v>2018E</v>
      </c>
      <c r="W120" s="285" t="str">
        <f t="shared" si="75"/>
        <v>2019E</v>
      </c>
      <c r="X120" s="285" t="str">
        <f t="shared" si="75"/>
        <v>2020E</v>
      </c>
      <c r="Y120" s="285" t="str">
        <f>Y3</f>
        <v>2021E</v>
      </c>
    </row>
    <row r="121" spans="1:28" ht="11.25" customHeight="1">
      <c r="E121" s="348"/>
      <c r="F121" s="348"/>
      <c r="G121" s="348"/>
      <c r="H121" s="348"/>
      <c r="I121" s="348"/>
      <c r="J121" s="348"/>
      <c r="K121" s="348"/>
      <c r="L121" s="348"/>
      <c r="M121" s="289"/>
      <c r="N121" s="289"/>
      <c r="O121" s="289"/>
      <c r="P121" s="289"/>
      <c r="Q121" s="289"/>
      <c r="R121" s="289"/>
      <c r="S121" s="289"/>
      <c r="T121" s="289"/>
      <c r="U121" s="289"/>
      <c r="V121" s="289"/>
      <c r="W121" s="289"/>
      <c r="X121" s="289"/>
      <c r="Y121" s="289"/>
    </row>
    <row r="122" spans="1:28" ht="11.25" customHeight="1">
      <c r="B122" s="282" t="s">
        <v>1686</v>
      </c>
      <c r="D122" s="366">
        <f t="shared" ref="D122:N122" si="76">D49</f>
        <v>15.991034941552888</v>
      </c>
      <c r="E122" s="366">
        <f t="shared" si="76"/>
        <v>18.955646192483982</v>
      </c>
      <c r="F122" s="366">
        <f t="shared" si="76"/>
        <v>13.249774650808465</v>
      </c>
      <c r="G122" s="366">
        <f t="shared" si="76"/>
        <v>11.469632736559728</v>
      </c>
      <c r="H122" s="366">
        <f t="shared" si="76"/>
        <v>10.958990810941142</v>
      </c>
      <c r="I122" s="366">
        <f t="shared" si="76"/>
        <v>9.4402999944209327</v>
      </c>
      <c r="J122" s="366">
        <f t="shared" si="76"/>
        <v>9.4148074126743158</v>
      </c>
      <c r="K122" s="366">
        <f t="shared" si="76"/>
        <v>9.8890559183226081</v>
      </c>
      <c r="L122" s="366">
        <f t="shared" si="76"/>
        <v>10.281774418378484</v>
      </c>
      <c r="M122" s="366">
        <f t="shared" si="76"/>
        <v>9.7186969311815723</v>
      </c>
      <c r="N122" s="366">
        <f t="shared" si="76"/>
        <v>9.870792453649587</v>
      </c>
      <c r="O122" s="382">
        <f t="shared" ref="O122:X122" si="77">N122</f>
        <v>9.870792453649587</v>
      </c>
      <c r="P122" s="382">
        <f t="shared" si="77"/>
        <v>9.870792453649587</v>
      </c>
      <c r="Q122" s="382">
        <f t="shared" si="77"/>
        <v>9.870792453649587</v>
      </c>
      <c r="R122" s="382">
        <f t="shared" si="77"/>
        <v>9.870792453649587</v>
      </c>
      <c r="S122" s="382">
        <f t="shared" si="77"/>
        <v>9.870792453649587</v>
      </c>
      <c r="T122" s="382">
        <f t="shared" si="77"/>
        <v>9.870792453649587</v>
      </c>
      <c r="U122" s="382">
        <f t="shared" si="77"/>
        <v>9.870792453649587</v>
      </c>
      <c r="V122" s="382">
        <f t="shared" si="77"/>
        <v>9.870792453649587</v>
      </c>
      <c r="W122" s="382">
        <f t="shared" si="77"/>
        <v>9.870792453649587</v>
      </c>
      <c r="X122" s="382">
        <f t="shared" si="77"/>
        <v>9.870792453649587</v>
      </c>
      <c r="Y122" s="382">
        <f>X122</f>
        <v>9.870792453649587</v>
      </c>
    </row>
    <row r="123" spans="1:28" ht="11.25" customHeight="1">
      <c r="B123" s="354" t="s">
        <v>1687</v>
      </c>
      <c r="C123" s="354"/>
      <c r="D123" s="361">
        <v>0.88</v>
      </c>
      <c r="E123" s="282"/>
      <c r="F123" s="282"/>
      <c r="G123" s="282"/>
      <c r="H123" s="282"/>
      <c r="I123" s="282"/>
      <c r="J123" s="282"/>
      <c r="K123" s="282"/>
      <c r="L123" s="282"/>
      <c r="M123" s="282"/>
      <c r="N123" s="282"/>
      <c r="O123" s="282"/>
      <c r="P123" s="282"/>
      <c r="Q123" s="282"/>
      <c r="R123" s="282"/>
      <c r="S123" s="282"/>
      <c r="T123" s="282"/>
      <c r="U123" s="282"/>
      <c r="V123" s="282"/>
      <c r="W123" s="282"/>
      <c r="X123" s="282"/>
      <c r="Y123" s="282"/>
    </row>
    <row r="124" spans="1:28" ht="11.25" customHeight="1">
      <c r="A124" s="305"/>
      <c r="B124" s="318" t="s">
        <v>1690</v>
      </c>
      <c r="C124" s="318"/>
      <c r="D124" s="362">
        <f>$D$21/$D$49*2</f>
        <v>29.526194782318552</v>
      </c>
      <c r="E124" s="363">
        <f>$D$21/$D$49*$D$123*2</f>
        <v>25.983051408440325</v>
      </c>
      <c r="F124" s="363">
        <f>IF(SUM($E124:E124)+E124*$D$123&lt;$D$21,E124*$D$123,$D$21-SUM($E124:E124))</f>
        <v>22.865085239427486</v>
      </c>
      <c r="G124" s="363">
        <f>IF(SUM($E124:F124)+F124*$D$123&lt;$D$21,F124*$D$123,$D$21-SUM($E124:F124))</f>
        <v>20.121275010696188</v>
      </c>
      <c r="H124" s="363">
        <f>IF(SUM($E124:G124)+G124*$D$123&lt;$D$21,G124*$D$123,$D$21-SUM($E124:G124))</f>
        <v>17.706722009412644</v>
      </c>
      <c r="I124" s="363">
        <f>IF(SUM($E124:H124)+H124*$D$123&lt;$D$21,H124*$D$123,$D$21-SUM($E124:H124))</f>
        <v>15.581915368283127</v>
      </c>
      <c r="J124" s="363">
        <f>IF(SUM($E124:I124)+I124*$D$123&lt;$D$21,I124*$D$123,$D$21-SUM($E124:I124))</f>
        <v>13.712085524089153</v>
      </c>
      <c r="K124" s="363">
        <f>IF(SUM($E124:J124)+J124*$D$123&lt;$D$21,J124*$D$123,$D$21-SUM($E124:J124))</f>
        <v>12.066635261198455</v>
      </c>
      <c r="L124" s="363">
        <f>IF(SUM($E124:K124)+K124*$D$123&lt;$D$21,K124*$D$123,$D$21-SUM($E124:K124))</f>
        <v>10.61863902985464</v>
      </c>
      <c r="M124" s="363">
        <f>IF(SUM($E124:L124)+L124*$D$123&lt;$D$21,L124*$D$123,$D$21-SUM($E124:L124))</f>
        <v>9.3444023462720835</v>
      </c>
      <c r="N124" s="363">
        <f>IF(SUM($E124:M124)+M124*$D$123&lt;$D$21,M124*$D$123,$D$21-SUM($E124:M124))</f>
        <v>8.2230740647194338</v>
      </c>
      <c r="O124" s="363">
        <f>IF(SUM($E124:N124)+N124*$D$123&lt;$D$21,N124*$D$123,$D$21-SUM($E124:N124))</f>
        <v>7.2363051769531017</v>
      </c>
      <c r="P124" s="363">
        <f>IF(SUM($E124:O124)+O124*$D$123&lt;$D$21,O124*$D$123,$D$21-SUM($E124:O124))</f>
        <v>6.3679485557187299</v>
      </c>
      <c r="Q124" s="363">
        <f>IF(SUM($E124:P124)+P124*$D$123&lt;$D$21,P124*$D$123,$D$21-SUM($E124:P124))</f>
        <v>5.6037947290324821</v>
      </c>
      <c r="R124" s="363">
        <f>IF(SUM($E124:Q124)+Q124*$D$123&lt;$D$21,Q124*$D$123,$D$21-SUM($E124:Q124))</f>
        <v>4.9313393615485843</v>
      </c>
      <c r="S124" s="363">
        <f>IF(SUM($E124:R124)+R124*$D$123&lt;$D$21,R124*$D$123,$D$21-SUM($E124:R124))</f>
        <v>4.3395786381627541</v>
      </c>
      <c r="T124" s="363">
        <f>IF(SUM($E124:S124)+S124*$D$123&lt;$D$21,S124*$D$123,$D$21-SUM($E124:S124))</f>
        <v>3.8188292015832235</v>
      </c>
      <c r="U124" s="363">
        <f>IF(SUM($E124:T124)+T124*$D$123&lt;$D$21,T124*$D$123,$D$21-SUM($E124:T124))</f>
        <v>3.3605696973932369</v>
      </c>
      <c r="V124" s="363">
        <f>IF(SUM($E124:U124)+U124*$D$123&lt;$D$21,U124*$D$123,$D$21-SUM($E124:U124))</f>
        <v>2.9573013337060483</v>
      </c>
      <c r="W124" s="363">
        <f>IF(SUM($E124:V124)+V124*$D$123&lt;$D$21,V124*$D$123,$D$21-SUM($E124:V124))</f>
        <v>2.6024251736613224</v>
      </c>
      <c r="X124" s="363">
        <f>IF(SUM($E124:W124)+W124*$D$123&lt;$D$21,W124*$D$123,$D$21-SUM($E124:W124))</f>
        <v>2.2901341528219636</v>
      </c>
      <c r="Y124" s="363">
        <f>IF(SUM($E124:X124)+X124*$D$123&lt;$D$21,X124*$D$123,$D$21-SUM($E124:X124))</f>
        <v>2.0153180544833282</v>
      </c>
    </row>
    <row r="125" spans="1:28" ht="11.25" customHeight="1">
      <c r="A125" s="305"/>
      <c r="B125" s="341">
        <v>2001</v>
      </c>
      <c r="C125" s="341"/>
      <c r="D125" s="364"/>
      <c r="E125" s="364">
        <f>E$17/E$49</f>
        <v>-0.21700102635546775</v>
      </c>
      <c r="F125" s="365">
        <f>(IF(COUNT($E125:E125)&lt;$E$122,E125,0))</f>
        <v>-0.21700102635546775</v>
      </c>
      <c r="G125" s="365">
        <f>(IF(COUNT($E125:F125)&lt;$E$122,F125,0))</f>
        <v>-0.21700102635546775</v>
      </c>
      <c r="H125" s="365">
        <f>(IF(COUNT($E125:G125)&lt;$E$122,G125,0))</f>
        <v>-0.21700102635546775</v>
      </c>
      <c r="I125" s="365">
        <f>(IF(COUNT($E125:H125)&lt;$E$122,H125,0))</f>
        <v>-0.21700102635546775</v>
      </c>
      <c r="J125" s="365">
        <f>(IF(COUNT($E125:I125)&lt;$E$122,I125,0))</f>
        <v>-0.21700102635546775</v>
      </c>
      <c r="K125" s="365">
        <f>(IF(COUNT($E125:J125)&lt;$E$122,J125,0))</f>
        <v>-0.21700102635546775</v>
      </c>
      <c r="L125" s="365">
        <f>(IF(COUNT($E125:K125)&lt;$E$122,K125,0))</f>
        <v>-0.21700102635546775</v>
      </c>
      <c r="M125" s="365">
        <f>(IF(COUNT($E125:L125)&lt;$E$122,L125,0))</f>
        <v>-0.21700102635546775</v>
      </c>
      <c r="N125" s="365">
        <f>(IF(COUNT($E125:M125)&lt;$E$122,M125,0))</f>
        <v>-0.21700102635546775</v>
      </c>
      <c r="O125" s="365">
        <f>(IF(COUNT($E125:N125)&lt;$E$122,N125,0))</f>
        <v>-0.21700102635546775</v>
      </c>
      <c r="P125" s="365">
        <f>(IF(COUNT($E125:O125)&lt;$E$122,O125,0))</f>
        <v>-0.21700102635546775</v>
      </c>
      <c r="Q125" s="365">
        <f>(IF(COUNT($E125:P125)&lt;$E$122,P125,0))</f>
        <v>-0.21700102635546775</v>
      </c>
      <c r="R125" s="365">
        <f>(IF(COUNT($E125:Q125)&lt;$E$122,Q125,0))</f>
        <v>-0.21700102635546775</v>
      </c>
      <c r="S125" s="365">
        <f>(IF(COUNT($E125:R125)&lt;$E$122,R125,0))</f>
        <v>-0.21700102635546775</v>
      </c>
      <c r="T125" s="365">
        <f>(IF(COUNT($E125:S125)&lt;$E$122,S125,0))</f>
        <v>-0.21700102635546775</v>
      </c>
      <c r="U125" s="365">
        <f>(IF(COUNT($E125:T125)&lt;$E$122,T125,0))</f>
        <v>-0.21700102635546775</v>
      </c>
      <c r="V125" s="365">
        <f>(IF(COUNT($E125:U125)&lt;$E$122,U125,0))</f>
        <v>-0.21700102635546775</v>
      </c>
      <c r="W125" s="365">
        <f>(IF(COUNT($E125:V125)&lt;$E$122,V125,0))</f>
        <v>-0.21700102635546775</v>
      </c>
      <c r="X125" s="365">
        <f>(IF(COUNT($E125:W125)&lt;$E$122,W125,0))</f>
        <v>0</v>
      </c>
      <c r="Y125" s="365">
        <f>(IF(COUNT($E125:X125)&lt;$E$122,X125,0))</f>
        <v>0</v>
      </c>
    </row>
    <row r="126" spans="1:28" ht="11.25" customHeight="1">
      <c r="A126" s="305"/>
      <c r="B126" s="341">
        <f t="shared" ref="B126:B144" si="78">B125+1</f>
        <v>2002</v>
      </c>
      <c r="C126" s="341"/>
      <c r="D126" s="364"/>
      <c r="E126" s="364"/>
      <c r="F126" s="364">
        <f>F$17/F$49</f>
        <v>-1.3912229577447481</v>
      </c>
      <c r="G126" s="365">
        <f>(IF(COUNT($F126:F126)&lt;$F$122,F126,0))</f>
        <v>-1.3912229577447481</v>
      </c>
      <c r="H126" s="365">
        <f>(IF(COUNT($F126:G126)&lt;$F$122,G126,0))</f>
        <v>-1.3912229577447481</v>
      </c>
      <c r="I126" s="365">
        <f>(IF(COUNT($F126:H126)&lt;$F$122,H126,0))</f>
        <v>-1.3912229577447481</v>
      </c>
      <c r="J126" s="365">
        <f>(IF(COUNT($F126:I126)&lt;$F$122,I126,0))</f>
        <v>-1.3912229577447481</v>
      </c>
      <c r="K126" s="365">
        <f>(IF(COUNT($F126:J126)&lt;$F$122,J126,0))</f>
        <v>-1.3912229577447481</v>
      </c>
      <c r="L126" s="365">
        <f>(IF(COUNT($F126:K126)&lt;$F$122,K126,0))</f>
        <v>-1.3912229577447481</v>
      </c>
      <c r="M126" s="365">
        <f>(IF(COUNT($F126:L126)&lt;$F$122,L126,0))</f>
        <v>-1.3912229577447481</v>
      </c>
      <c r="N126" s="365">
        <f>(IF(COUNT($F126:M126)&lt;$F$122,M126,0))</f>
        <v>-1.3912229577447481</v>
      </c>
      <c r="O126" s="365">
        <f>(IF(COUNT($F126:N126)&lt;$F$122,N126,0))</f>
        <v>-1.3912229577447481</v>
      </c>
      <c r="P126" s="365">
        <f>(IF(COUNT($F126:O126)&lt;$F$122,O126,0))</f>
        <v>-1.3912229577447481</v>
      </c>
      <c r="Q126" s="365">
        <f>(IF(COUNT($F126:P126)&lt;$F$122,P126,0))</f>
        <v>-1.3912229577447481</v>
      </c>
      <c r="R126" s="365">
        <f>(IF(COUNT($F126:Q126)&lt;$F$122,Q126,0))</f>
        <v>-1.3912229577447481</v>
      </c>
      <c r="S126" s="365">
        <f>(IF(COUNT($F126:R126)&lt;$F$122,R126,0))</f>
        <v>-1.3912229577447481</v>
      </c>
      <c r="T126" s="365">
        <f>(IF(COUNT($F126:S126)&lt;$F$122,S126,0))</f>
        <v>0</v>
      </c>
      <c r="U126" s="365">
        <f>(IF(COUNT($F126:T126)&lt;$F$122,T126,0))</f>
        <v>0</v>
      </c>
      <c r="V126" s="365">
        <f>(IF(COUNT($F126:U126)&lt;$F$122,U126,0))</f>
        <v>0</v>
      </c>
      <c r="W126" s="365">
        <f>(IF(COUNT($F126:V126)&lt;$F$122,V126,0))</f>
        <v>0</v>
      </c>
      <c r="X126" s="365">
        <f>(IF(COUNT($F126:W126)&lt;$F$122,W126,0))</f>
        <v>0</v>
      </c>
      <c r="Y126" s="365">
        <f>(IF(COUNT($F126:X126)&lt;$F$122,X126,0))</f>
        <v>0</v>
      </c>
    </row>
    <row r="127" spans="1:28" ht="11.25" customHeight="1">
      <c r="A127" s="305"/>
      <c r="B127" s="341">
        <f t="shared" si="78"/>
        <v>2003</v>
      </c>
      <c r="C127" s="341"/>
      <c r="D127" s="364"/>
      <c r="E127" s="364"/>
      <c r="F127" s="364"/>
      <c r="G127" s="364">
        <f>G$17/G$49</f>
        <v>2.3723131616687962</v>
      </c>
      <c r="H127" s="365">
        <f>(IF(COUNT($G127:G127)&lt;$G$122,G127,0))</f>
        <v>2.3723131616687962</v>
      </c>
      <c r="I127" s="365">
        <f>(IF(COUNT($G127:H127)&lt;$G$122,H127,0))</f>
        <v>2.3723131616687962</v>
      </c>
      <c r="J127" s="365">
        <f>(IF(COUNT($G127:I127)&lt;$G$122,I127,0))</f>
        <v>2.3723131616687962</v>
      </c>
      <c r="K127" s="365">
        <f>(IF(COUNT($G127:J127)&lt;$G$122,J127,0))</f>
        <v>2.3723131616687962</v>
      </c>
      <c r="L127" s="365">
        <f>(IF(COUNT($G127:K127)&lt;$G$122,K127,0))</f>
        <v>2.3723131616687962</v>
      </c>
      <c r="M127" s="365">
        <f>(IF(COUNT($G127:L127)&lt;$G$122,L127,0))</f>
        <v>2.3723131616687962</v>
      </c>
      <c r="N127" s="365">
        <f>(IF(COUNT($G127:M127)&lt;$G$122,M127,0))</f>
        <v>2.3723131616687962</v>
      </c>
      <c r="O127" s="365">
        <f>(IF(COUNT($G127:N127)&lt;$G$122,N127,0))</f>
        <v>2.3723131616687962</v>
      </c>
      <c r="P127" s="365">
        <f>(IF(COUNT($G127:O127)&lt;$G$122,O127,0))</f>
        <v>2.3723131616687962</v>
      </c>
      <c r="Q127" s="365">
        <f>(IF(COUNT($G127:P127)&lt;$G$122,P127,0))</f>
        <v>2.3723131616687962</v>
      </c>
      <c r="R127" s="365">
        <f>(IF(COUNT($G127:Q127)&lt;$G$122,Q127,0))</f>
        <v>2.3723131616687962</v>
      </c>
      <c r="S127" s="365">
        <f>(IF(COUNT($G127:R127)&lt;$G$122,R127,0))</f>
        <v>0</v>
      </c>
      <c r="T127" s="365">
        <f>(IF(COUNT($G127:S127)&lt;$G$122,S127,0))</f>
        <v>0</v>
      </c>
      <c r="U127" s="365">
        <f>(IF(COUNT($G127:T127)&lt;$G$122,T127,0))</f>
        <v>0</v>
      </c>
      <c r="V127" s="365">
        <f>(IF(COUNT($G127:U127)&lt;$G$122,U127,0))</f>
        <v>0</v>
      </c>
      <c r="W127" s="365">
        <f>(IF(COUNT($G127:V127)&lt;$G$122,V127,0))</f>
        <v>0</v>
      </c>
      <c r="X127" s="365">
        <f>(IF(COUNT($G127:W127)&lt;$G$122,W127,0))</f>
        <v>0</v>
      </c>
      <c r="Y127" s="365">
        <f>(IF(COUNT($G127:X127)&lt;$G$122,X127,0))</f>
        <v>0</v>
      </c>
    </row>
    <row r="128" spans="1:28" ht="11.25" customHeight="1">
      <c r="A128" s="305"/>
      <c r="B128" s="341">
        <f t="shared" si="78"/>
        <v>2004</v>
      </c>
      <c r="C128" s="341"/>
      <c r="D128" s="364"/>
      <c r="E128" s="364"/>
      <c r="F128" s="364"/>
      <c r="G128" s="364"/>
      <c r="H128" s="364">
        <f>H$17/H$49</f>
        <v>-0.83773034245416367</v>
      </c>
      <c r="I128" s="365">
        <f>(IF(COUNT($H128:H128)&lt;$H$122,H128,0))</f>
        <v>-0.83773034245416367</v>
      </c>
      <c r="J128" s="365">
        <f>(IF(COUNT($H128:I128)&lt;$H$122,I128,0))</f>
        <v>-0.83773034245416367</v>
      </c>
      <c r="K128" s="365">
        <f>(IF(COUNT($H128:J128)&lt;$H$122,J128,0))</f>
        <v>-0.83773034245416367</v>
      </c>
      <c r="L128" s="365">
        <f>(IF(COUNT($H128:K128)&lt;$H$122,K128,0))</f>
        <v>-0.83773034245416367</v>
      </c>
      <c r="M128" s="365">
        <f>(IF(COUNT($H128:L128)&lt;$H$122,L128,0))</f>
        <v>-0.83773034245416367</v>
      </c>
      <c r="N128" s="365">
        <f>(IF(COUNT($H128:M128)&lt;$H$122,M128,0))</f>
        <v>-0.83773034245416367</v>
      </c>
      <c r="O128" s="365">
        <f>(IF(COUNT($H128:N128)&lt;$H$122,N128,0))</f>
        <v>-0.83773034245416367</v>
      </c>
      <c r="P128" s="365">
        <f>(IF(COUNT($H128:O128)&lt;$H$122,O128,0))</f>
        <v>-0.83773034245416367</v>
      </c>
      <c r="Q128" s="365">
        <f>(IF(COUNT($H128:P128)&lt;$H$122,P128,0))</f>
        <v>-0.83773034245416367</v>
      </c>
      <c r="R128" s="365">
        <f>(IF(COUNT($H128:Q128)&lt;$H$122,Q128,0))</f>
        <v>-0.83773034245416367</v>
      </c>
      <c r="S128" s="365">
        <f>(IF(COUNT($H128:R128)&lt;$H$122,R128,0))</f>
        <v>0</v>
      </c>
      <c r="T128" s="365">
        <f>(IF(COUNT($H128:S128)&lt;$H$122,S128,0))</f>
        <v>0</v>
      </c>
      <c r="U128" s="365">
        <f>(IF(COUNT($H128:T128)&lt;$H$122,T128,0))</f>
        <v>0</v>
      </c>
      <c r="V128" s="365">
        <f>(IF(COUNT($H128:U128)&lt;$H$122,U128,0))</f>
        <v>0</v>
      </c>
      <c r="W128" s="365">
        <f>(IF(COUNT($H128:V128)&lt;$H$122,V128,0))</f>
        <v>0</v>
      </c>
      <c r="X128" s="365">
        <f>(IF(COUNT($H128:W128)&lt;$H$122,W128,0))</f>
        <v>0</v>
      </c>
      <c r="Y128" s="365">
        <f>(IF(COUNT($H128:X128)&lt;$H$122,X128,0))</f>
        <v>0</v>
      </c>
    </row>
    <row r="129" spans="1:25" ht="11.25" customHeight="1">
      <c r="A129" s="305"/>
      <c r="B129" s="341">
        <f t="shared" si="78"/>
        <v>2005</v>
      </c>
      <c r="C129" s="341"/>
      <c r="D129" s="364"/>
      <c r="E129" s="364"/>
      <c r="F129" s="364"/>
      <c r="G129" s="364"/>
      <c r="H129" s="364"/>
      <c r="I129" s="364">
        <f>I$17/I$49</f>
        <v>-4.1039635179192624</v>
      </c>
      <c r="J129" s="365">
        <f>(IF(COUNT($I129:I129)&lt;$I$122,I129,0))</f>
        <v>-4.1039635179192624</v>
      </c>
      <c r="K129" s="365">
        <f>(IF(COUNT($I129:J129)&lt;$I$122,J129,0))</f>
        <v>-4.1039635179192624</v>
      </c>
      <c r="L129" s="365">
        <f>(IF(COUNT($I129:K129)&lt;$I$122,K129,0))</f>
        <v>-4.1039635179192624</v>
      </c>
      <c r="M129" s="365">
        <f>(IF(COUNT($I129:L129)&lt;$I$122,L129,0))</f>
        <v>-4.1039635179192624</v>
      </c>
      <c r="N129" s="365">
        <f>(IF(COUNT($I129:M129)&lt;$I$122,M129,0))</f>
        <v>-4.1039635179192624</v>
      </c>
      <c r="O129" s="365">
        <f>(IF(COUNT($I129:N129)&lt;$I$122,N129,0))</f>
        <v>-4.1039635179192624</v>
      </c>
      <c r="P129" s="365">
        <f>(IF(COUNT($I129:O129)&lt;$I$122,O129,0))</f>
        <v>-4.1039635179192624</v>
      </c>
      <c r="Q129" s="365">
        <f>(IF(COUNT($I129:P129)&lt;$I$122,P129,0))</f>
        <v>-4.1039635179192624</v>
      </c>
      <c r="R129" s="365">
        <f>(IF(COUNT($I129:Q129)&lt;$I$122,Q129,0))</f>
        <v>-4.1039635179192624</v>
      </c>
      <c r="S129" s="365">
        <f>(IF(COUNT($I129:R129)&lt;$I$122,R129,0))</f>
        <v>0</v>
      </c>
      <c r="T129" s="365">
        <f>(IF(COUNT($I129:S129)&lt;$I$122,S129,0))</f>
        <v>0</v>
      </c>
      <c r="U129" s="365">
        <f>(IF(COUNT($I129:T129)&lt;$I$122,T129,0))</f>
        <v>0</v>
      </c>
      <c r="V129" s="365">
        <f>(IF(COUNT($I129:U129)&lt;$I$122,U129,0))</f>
        <v>0</v>
      </c>
      <c r="W129" s="365">
        <f>(IF(COUNT($I129:V129)&lt;$I$122,V129,0))</f>
        <v>0</v>
      </c>
      <c r="X129" s="365">
        <f>(IF(COUNT($I129:W129)&lt;$I$122,W129,0))</f>
        <v>0</v>
      </c>
      <c r="Y129" s="365">
        <f>(IF(COUNT($I129:X129)&lt;$I$122,X129,0))</f>
        <v>0</v>
      </c>
    </row>
    <row r="130" spans="1:25" ht="11.25" customHeight="1">
      <c r="A130" s="305"/>
      <c r="B130" s="341">
        <f t="shared" si="78"/>
        <v>2006</v>
      </c>
      <c r="C130" s="341"/>
      <c r="D130" s="364"/>
      <c r="E130" s="364"/>
      <c r="F130" s="364"/>
      <c r="G130" s="364"/>
      <c r="H130" s="364"/>
      <c r="I130" s="364"/>
      <c r="J130" s="364">
        <f>J$17/J$49</f>
        <v>10.404137869810901</v>
      </c>
      <c r="K130" s="365">
        <f>(IF(COUNT($J130:J130)&lt;$J$122,J130,0))</f>
        <v>10.404137869810901</v>
      </c>
      <c r="L130" s="365">
        <f>(IF(COUNT($J130:K130)&lt;$J$122,K130,0))</f>
        <v>10.404137869810901</v>
      </c>
      <c r="M130" s="365">
        <f>(IF(COUNT($J130:L130)&lt;$J$122,L130,0))</f>
        <v>10.404137869810901</v>
      </c>
      <c r="N130" s="365">
        <f>(IF(COUNT($J130:M130)&lt;$J$122,M130,0))</f>
        <v>10.404137869810901</v>
      </c>
      <c r="O130" s="365">
        <f>(IF(COUNT($J130:N130)&lt;$J$122,N130,0))</f>
        <v>10.404137869810901</v>
      </c>
      <c r="P130" s="365">
        <f>(IF(COUNT($J130:O130)&lt;$J$122,O130,0))</f>
        <v>10.404137869810901</v>
      </c>
      <c r="Q130" s="365">
        <f>(IF(COUNT($J130:P130)&lt;$J$122,P130,0))</f>
        <v>10.404137869810901</v>
      </c>
      <c r="R130" s="365">
        <f>(IF(COUNT($J130:Q130)&lt;$J$122,Q130,0))</f>
        <v>10.404137869810901</v>
      </c>
      <c r="S130" s="365">
        <f>(IF(COUNT($J130:R130)&lt;$J$122,R130,0))</f>
        <v>10.404137869810901</v>
      </c>
      <c r="T130" s="365">
        <f>(IF(COUNT($J130:S130)&lt;$J$122,S130,0))</f>
        <v>0</v>
      </c>
      <c r="U130" s="365">
        <f>(IF(COUNT($J130:T130)&lt;$J$122,T130,0))</f>
        <v>0</v>
      </c>
      <c r="V130" s="365">
        <f>(IF(COUNT($J130:U130)&lt;$J$122,U130,0))</f>
        <v>0</v>
      </c>
      <c r="W130" s="365">
        <f>(IF(COUNT($J130:V130)&lt;$J$122,V130,0))</f>
        <v>0</v>
      </c>
      <c r="X130" s="365">
        <f>(IF(COUNT($J130:W130)&lt;$J$122,W130,0))</f>
        <v>0</v>
      </c>
      <c r="Y130" s="365">
        <f>(IF(COUNT($J130:X130)&lt;$J$122,X130,0))</f>
        <v>0</v>
      </c>
    </row>
    <row r="131" spans="1:25" ht="11.25" customHeight="1">
      <c r="A131" s="305"/>
      <c r="B131" s="341">
        <f t="shared" si="78"/>
        <v>2007</v>
      </c>
      <c r="C131" s="341"/>
      <c r="D131" s="364"/>
      <c r="E131" s="364"/>
      <c r="F131" s="364"/>
      <c r="G131" s="364"/>
      <c r="H131" s="364"/>
      <c r="I131" s="364"/>
      <c r="J131" s="364"/>
      <c r="K131" s="364">
        <f>K$17/K$49</f>
        <v>33.080153531122612</v>
      </c>
      <c r="L131" s="365">
        <f>(IF(COUNT($K131:K131)&lt;$K$122,K131,0))</f>
        <v>33.080153531122612</v>
      </c>
      <c r="M131" s="365">
        <f>(IF(COUNT($K131:L131)&lt;$K$122,L131,0))</f>
        <v>33.080153531122612</v>
      </c>
      <c r="N131" s="365">
        <f>(IF(COUNT($K131:M131)&lt;$K$122,M131,0))</f>
        <v>33.080153531122612</v>
      </c>
      <c r="O131" s="365">
        <f>(IF(COUNT($K131:N131)&lt;$K$122,N131,0))</f>
        <v>33.080153531122612</v>
      </c>
      <c r="P131" s="365">
        <f>(IF(COUNT($K131:O131)&lt;$K$122,O131,0))</f>
        <v>33.080153531122612</v>
      </c>
      <c r="Q131" s="365">
        <f>(IF(COUNT($K131:P131)&lt;$K$122,P131,0))</f>
        <v>33.080153531122612</v>
      </c>
      <c r="R131" s="365">
        <f>(IF(COUNT($K131:Q131)&lt;$K$122,Q131,0))</f>
        <v>33.080153531122612</v>
      </c>
      <c r="S131" s="365">
        <f>(IF(COUNT($K131:R131)&lt;$K$122,R131,0))</f>
        <v>33.080153531122612</v>
      </c>
      <c r="T131" s="365">
        <f>(IF(COUNT($K131:S131)&lt;$K$122,S131,0))</f>
        <v>33.080153531122612</v>
      </c>
      <c r="U131" s="365">
        <f>(IF(COUNT($K131:T131)&lt;$K$122,T131,0))</f>
        <v>0</v>
      </c>
      <c r="V131" s="365">
        <f>(IF(COUNT($K131:U131)&lt;$K$122,U131,0))</f>
        <v>0</v>
      </c>
      <c r="W131" s="365">
        <f>(IF(COUNT($K131:V131)&lt;$K$122,V131,0))</f>
        <v>0</v>
      </c>
      <c r="X131" s="365">
        <f>(IF(COUNT($K131:W131)&lt;$K$122,W131,0))</f>
        <v>0</v>
      </c>
      <c r="Y131" s="365">
        <f>(IF(COUNT($K131:X131)&lt;$K$122,X131,0))</f>
        <v>0</v>
      </c>
    </row>
    <row r="132" spans="1:25" ht="11.25" customHeight="1">
      <c r="A132" s="305"/>
      <c r="B132" s="341">
        <f t="shared" si="78"/>
        <v>2008</v>
      </c>
      <c r="C132" s="341"/>
      <c r="D132" s="364"/>
      <c r="E132" s="364"/>
      <c r="F132" s="364"/>
      <c r="G132" s="364"/>
      <c r="H132" s="364"/>
      <c r="I132" s="364"/>
      <c r="J132" s="364"/>
      <c r="K132" s="364"/>
      <c r="L132" s="364">
        <f>L$17/L$49</f>
        <v>15.485972707546836</v>
      </c>
      <c r="M132" s="365">
        <f>(IF(COUNT($L132:L132)&lt;$L$122,L132,0))</f>
        <v>15.485972707546836</v>
      </c>
      <c r="N132" s="365">
        <f>(IF(COUNT($L132:M132)&lt;$L$122,M132,0))</f>
        <v>15.485972707546836</v>
      </c>
      <c r="O132" s="365">
        <f>(IF(COUNT($L132:N132)&lt;$L$122,N132,0))</f>
        <v>15.485972707546836</v>
      </c>
      <c r="P132" s="365">
        <f>(IF(COUNT($L132:O132)&lt;$L$122,O132,0))</f>
        <v>15.485972707546836</v>
      </c>
      <c r="Q132" s="365">
        <f>(IF(COUNT($L132:P132)&lt;$L$122,P132,0))</f>
        <v>15.485972707546836</v>
      </c>
      <c r="R132" s="365">
        <f>(IF(COUNT($L132:Q132)&lt;$L$122,Q132,0))</f>
        <v>15.485972707546836</v>
      </c>
      <c r="S132" s="365">
        <f>(IF(COUNT($L132:R132)&lt;$L$122,R132,0))</f>
        <v>15.485972707546836</v>
      </c>
      <c r="T132" s="365">
        <f>(IF(COUNT($L132:S132)&lt;$L$122,S132,0))</f>
        <v>15.485972707546836</v>
      </c>
      <c r="U132" s="365">
        <f>(IF(COUNT($L132:T132)&lt;$L$122,T132,0))</f>
        <v>15.485972707546836</v>
      </c>
      <c r="V132" s="365">
        <f>(IF(COUNT($L132:U132)&lt;$L$122,U132,0))</f>
        <v>15.485972707546836</v>
      </c>
      <c r="W132" s="365">
        <f>(IF(COUNT($L132:V132)&lt;$L$122,V132,0))</f>
        <v>0</v>
      </c>
      <c r="X132" s="365">
        <f>(IF(COUNT($L132:W132)&lt;$L$122,W132,0))</f>
        <v>0</v>
      </c>
      <c r="Y132" s="365">
        <f>(IF(COUNT($L132:X132)&lt;$L$122,X132,0))</f>
        <v>0</v>
      </c>
    </row>
    <row r="133" spans="1:25" ht="11.25" customHeight="1">
      <c r="A133" s="305"/>
      <c r="B133" s="341">
        <f t="shared" si="78"/>
        <v>2009</v>
      </c>
      <c r="C133" s="341"/>
      <c r="D133" s="364"/>
      <c r="E133" s="364"/>
      <c r="F133" s="364"/>
      <c r="G133" s="364"/>
      <c r="H133" s="364"/>
      <c r="I133" s="364"/>
      <c r="J133" s="364"/>
      <c r="K133" s="364"/>
      <c r="L133" s="364"/>
      <c r="M133" s="364">
        <f>M$17/M$49</f>
        <v>17.972657447358909</v>
      </c>
      <c r="N133" s="365">
        <f>(IF(COUNT($M133:M133)&lt;$M$122,M133,0))</f>
        <v>17.972657447358909</v>
      </c>
      <c r="O133" s="365">
        <f>(IF(COUNT($M133:N133)&lt;$M$122,N133,0))</f>
        <v>17.972657447358909</v>
      </c>
      <c r="P133" s="365">
        <f>(IF(COUNT($M133:O133)&lt;$M$122,O133,0))</f>
        <v>17.972657447358909</v>
      </c>
      <c r="Q133" s="365">
        <f>(IF(COUNT($M133:P133)&lt;$M$122,P133,0))</f>
        <v>17.972657447358909</v>
      </c>
      <c r="R133" s="365">
        <f>(IF(COUNT($M133:Q133)&lt;$M$122,Q133,0))</f>
        <v>17.972657447358909</v>
      </c>
      <c r="S133" s="365">
        <f>(IF(COUNT($M133:R133)&lt;$M$122,R133,0))</f>
        <v>17.972657447358909</v>
      </c>
      <c r="T133" s="365">
        <f>(IF(COUNT($M133:S133)&lt;$M$122,S133,0))</f>
        <v>17.972657447358909</v>
      </c>
      <c r="U133" s="365">
        <f>(IF(COUNT($M133:T133)&lt;$M$122,T133,0))</f>
        <v>17.972657447358909</v>
      </c>
      <c r="V133" s="365">
        <f>(IF(COUNT($M133:U133)&lt;$M$122,U133,0))</f>
        <v>17.972657447358909</v>
      </c>
      <c r="W133" s="365">
        <f>(IF(COUNT($M133:V133)&lt;$M$122,V133,0))</f>
        <v>0</v>
      </c>
      <c r="X133" s="365">
        <f>(IF(COUNT($M133:W133)&lt;$M$122,W133,0))</f>
        <v>0</v>
      </c>
      <c r="Y133" s="365">
        <f>(IF(COUNT($M133:X133)&lt;$M$122,X133,0))</f>
        <v>0</v>
      </c>
    </row>
    <row r="134" spans="1:25" ht="11.25" customHeight="1">
      <c r="A134" s="305"/>
      <c r="B134" s="341">
        <f t="shared" si="78"/>
        <v>2010</v>
      </c>
      <c r="C134" s="341"/>
      <c r="D134" s="364"/>
      <c r="E134" s="364"/>
      <c r="F134" s="364"/>
      <c r="G134" s="364"/>
      <c r="H134" s="364"/>
      <c r="I134" s="364"/>
      <c r="J134" s="364"/>
      <c r="K134" s="364"/>
      <c r="L134" s="364"/>
      <c r="M134" s="364"/>
      <c r="N134" s="383">
        <f>N$17/N$122</f>
        <v>14.746686419361311</v>
      </c>
      <c r="O134" s="384">
        <f>(IF(COUNT($N134:N134)&lt;$N$122,N134,0))</f>
        <v>14.746686419361311</v>
      </c>
      <c r="P134" s="384">
        <f>(IF(COUNT($N134:O134)&lt;$N$122,O134,0))</f>
        <v>14.746686419361311</v>
      </c>
      <c r="Q134" s="384">
        <f>(IF(COUNT($N134:P134)&lt;$N$122,P134,0))</f>
        <v>14.746686419361311</v>
      </c>
      <c r="R134" s="384">
        <f>(IF(COUNT($N134:Q134)&lt;$N$122,Q134,0))</f>
        <v>14.746686419361311</v>
      </c>
      <c r="S134" s="384">
        <f>(IF(COUNT($N134:R134)&lt;$N$122,R134,0))</f>
        <v>14.746686419361311</v>
      </c>
      <c r="T134" s="384">
        <f>(IF(COUNT($N134:S134)&lt;$N$122,S134,0))</f>
        <v>14.746686419361311</v>
      </c>
      <c r="U134" s="384">
        <f>(IF(COUNT($N134:T134)&lt;$N$122,T134,0))</f>
        <v>14.746686419361311</v>
      </c>
      <c r="V134" s="384">
        <f>(IF(COUNT($N134:U134)&lt;$N$122,U134,0))</f>
        <v>14.746686419361311</v>
      </c>
      <c r="W134" s="384">
        <f>(IF(COUNT($N134:V134)&lt;$N$122,V134,0))</f>
        <v>14.746686419361311</v>
      </c>
      <c r="X134" s="384">
        <f>(IF(COUNT($N134:W134)&lt;$N$122,W134,0))</f>
        <v>0</v>
      </c>
      <c r="Y134" s="384">
        <f>(IF(COUNT($N134:X134)&lt;$N$122,X134,0))</f>
        <v>0</v>
      </c>
    </row>
    <row r="135" spans="1:25" ht="11.25" customHeight="1">
      <c r="A135" s="305"/>
      <c r="B135" s="341">
        <f t="shared" si="78"/>
        <v>2011</v>
      </c>
      <c r="C135" s="341"/>
      <c r="D135" s="364"/>
      <c r="E135" s="364"/>
      <c r="F135" s="364"/>
      <c r="G135" s="364"/>
      <c r="H135" s="364"/>
      <c r="I135" s="364"/>
      <c r="J135" s="364"/>
      <c r="K135" s="364"/>
      <c r="L135" s="364"/>
      <c r="M135" s="364"/>
      <c r="N135" s="383"/>
      <c r="O135" s="383">
        <f>O$17/O$122</f>
        <v>10.923746281736044</v>
      </c>
      <c r="P135" s="384">
        <f>(IF(COUNT($O135:O135)&lt;$O$122,O135,0))</f>
        <v>10.923746281736044</v>
      </c>
      <c r="Q135" s="384">
        <f>(IF(COUNT($O135:P135)&lt;$O$122,P135,0))</f>
        <v>10.923746281736044</v>
      </c>
      <c r="R135" s="384">
        <f>(IF(COUNT($O135:Q135)&lt;$O$122,Q135,0))</f>
        <v>10.923746281736044</v>
      </c>
      <c r="S135" s="384">
        <f>(IF(COUNT($O135:R135)&lt;$O$122,R135,0))</f>
        <v>10.923746281736044</v>
      </c>
      <c r="T135" s="384">
        <f>(IF(COUNT($O135:S135)&lt;$O$122,S135,0))</f>
        <v>10.923746281736044</v>
      </c>
      <c r="U135" s="384">
        <f>(IF(COUNT($O135:T135)&lt;$O$122,T135,0))</f>
        <v>10.923746281736044</v>
      </c>
      <c r="V135" s="384">
        <f>(IF(COUNT($O135:U135)&lt;$O$122,U135,0))</f>
        <v>10.923746281736044</v>
      </c>
      <c r="W135" s="384">
        <f>(IF(COUNT($O135:V135)&lt;$O$122,V135,0))</f>
        <v>10.923746281736044</v>
      </c>
      <c r="X135" s="384">
        <f>(IF(COUNT($O135:W135)&lt;$O$122,W135,0))</f>
        <v>10.923746281736044</v>
      </c>
      <c r="Y135" s="384">
        <f>(IF(COUNT($O135:X135)&lt;$O$122,X135,0))</f>
        <v>0</v>
      </c>
    </row>
    <row r="136" spans="1:25" ht="11.25" customHeight="1">
      <c r="A136" s="305"/>
      <c r="B136" s="341">
        <f t="shared" si="78"/>
        <v>2012</v>
      </c>
      <c r="C136" s="341"/>
      <c r="D136" s="364"/>
      <c r="E136" s="364"/>
      <c r="F136" s="364"/>
      <c r="G136" s="364"/>
      <c r="H136" s="364"/>
      <c r="I136" s="364"/>
      <c r="J136" s="364"/>
      <c r="K136" s="364"/>
      <c r="L136" s="364"/>
      <c r="M136" s="364"/>
      <c r="N136" s="383"/>
      <c r="O136" s="383"/>
      <c r="P136" s="383">
        <f>P$17/P$122</f>
        <v>11.961875423852307</v>
      </c>
      <c r="Q136" s="384">
        <f>(IF(COUNT($P136:P136)&lt;$P$122,P136,0))</f>
        <v>11.961875423852307</v>
      </c>
      <c r="R136" s="384">
        <f>(IF(COUNT($P136:Q136)&lt;$P$122,Q136,0))</f>
        <v>11.961875423852307</v>
      </c>
      <c r="S136" s="384">
        <f>(IF(COUNT($P136:R136)&lt;$P$122,R136,0))</f>
        <v>11.961875423852307</v>
      </c>
      <c r="T136" s="384">
        <f>(IF(COUNT($P136:S136)&lt;$P$122,S136,0))</f>
        <v>11.961875423852307</v>
      </c>
      <c r="U136" s="384">
        <f>(IF(COUNT($P136:T136)&lt;$P$122,T136,0))</f>
        <v>11.961875423852307</v>
      </c>
      <c r="V136" s="384">
        <f>(IF(COUNT($P136:U136)&lt;$P$122,U136,0))</f>
        <v>11.961875423852307</v>
      </c>
      <c r="W136" s="384">
        <f>(IF(COUNT($P136:V136)&lt;$P$122,V136,0))</f>
        <v>11.961875423852307</v>
      </c>
      <c r="X136" s="384">
        <f>(IF(COUNT($P136:W136)&lt;$P$122,W136,0))</f>
        <v>11.961875423852307</v>
      </c>
      <c r="Y136" s="384">
        <f>(IF(COUNT($P136:X136)&lt;$P$122,X136,0))</f>
        <v>11.961875423852307</v>
      </c>
    </row>
    <row r="137" spans="1:25" ht="11.25" customHeight="1">
      <c r="A137" s="305"/>
      <c r="B137" s="341">
        <f t="shared" si="78"/>
        <v>2013</v>
      </c>
      <c r="C137" s="341"/>
      <c r="D137" s="364"/>
      <c r="E137" s="364"/>
      <c r="F137" s="364"/>
      <c r="G137" s="364"/>
      <c r="H137" s="364"/>
      <c r="I137" s="364"/>
      <c r="J137" s="364"/>
      <c r="K137" s="364"/>
      <c r="L137" s="364"/>
      <c r="M137" s="364"/>
      <c r="N137" s="383"/>
      <c r="O137" s="383"/>
      <c r="P137" s="383"/>
      <c r="Q137" s="383">
        <f>Q$17/Q$122</f>
        <v>12.69641713042418</v>
      </c>
      <c r="R137" s="384">
        <f>(IF(COUNT($Q137:Q137)&lt;$Q$122,Q137,0))</f>
        <v>12.69641713042418</v>
      </c>
      <c r="S137" s="384">
        <f>(IF(COUNT($Q137:R137)&lt;$Q$122,R137,0))</f>
        <v>12.69641713042418</v>
      </c>
      <c r="T137" s="384">
        <f>(IF(COUNT($Q137:S137)&lt;$Q$122,S137,0))</f>
        <v>12.69641713042418</v>
      </c>
      <c r="U137" s="384">
        <f>(IF(COUNT($Q137:T137)&lt;$Q$122,T137,0))</f>
        <v>12.69641713042418</v>
      </c>
      <c r="V137" s="384">
        <f>(IF(COUNT($Q137:U137)&lt;$Q$122,U137,0))</f>
        <v>12.69641713042418</v>
      </c>
      <c r="W137" s="384">
        <f>(IF(COUNT($Q137:V137)&lt;$Q$122,V137,0))</f>
        <v>12.69641713042418</v>
      </c>
      <c r="X137" s="384">
        <f>(IF(COUNT($Q137:W137)&lt;$Q$122,W137,0))</f>
        <v>12.69641713042418</v>
      </c>
      <c r="Y137" s="384">
        <f>(IF(COUNT($Q137:X137)&lt;$Q$122,X137,0))</f>
        <v>12.69641713042418</v>
      </c>
    </row>
    <row r="138" spans="1:25" ht="11.25" customHeight="1">
      <c r="A138" s="305"/>
      <c r="B138" s="341">
        <f t="shared" si="78"/>
        <v>2014</v>
      </c>
      <c r="C138" s="341"/>
      <c r="D138" s="364"/>
      <c r="E138" s="364"/>
      <c r="F138" s="364"/>
      <c r="G138" s="364"/>
      <c r="H138" s="364"/>
      <c r="I138" s="364"/>
      <c r="J138" s="364"/>
      <c r="K138" s="364"/>
      <c r="L138" s="364"/>
      <c r="M138" s="364"/>
      <c r="N138" s="383"/>
      <c r="O138" s="383"/>
      <c r="P138" s="383"/>
      <c r="Q138" s="383"/>
      <c r="R138" s="383">
        <f>R$17/R$122</f>
        <v>14.418794145167832</v>
      </c>
      <c r="S138" s="384">
        <f>(IF(COUNT($R138:R138)&lt;$R$122,R138,0))</f>
        <v>14.418794145167832</v>
      </c>
      <c r="T138" s="384">
        <f>(IF(COUNT($R138:S138)&lt;$R$122,S138,0))</f>
        <v>14.418794145167832</v>
      </c>
      <c r="U138" s="384">
        <f>(IF(COUNT($R138:T138)&lt;$R$122,T138,0))</f>
        <v>14.418794145167832</v>
      </c>
      <c r="V138" s="384">
        <f>(IF(COUNT($R138:U138)&lt;$R$122,U138,0))</f>
        <v>14.418794145167832</v>
      </c>
      <c r="W138" s="384">
        <f>(IF(COUNT($R138:V138)&lt;$R$122,V138,0))</f>
        <v>14.418794145167832</v>
      </c>
      <c r="X138" s="384">
        <f>(IF(COUNT($R138:W138)&lt;$R$122,W138,0))</f>
        <v>14.418794145167832</v>
      </c>
      <c r="Y138" s="384">
        <f>(IF(COUNT($R138:X138)&lt;$R$122,X138,0))</f>
        <v>14.418794145167832</v>
      </c>
    </row>
    <row r="139" spans="1:25" ht="11.25" customHeight="1">
      <c r="A139" s="305"/>
      <c r="B139" s="341">
        <f t="shared" si="78"/>
        <v>2015</v>
      </c>
      <c r="C139" s="341"/>
      <c r="D139" s="364"/>
      <c r="E139" s="364"/>
      <c r="F139" s="364"/>
      <c r="G139" s="364"/>
      <c r="H139" s="364"/>
      <c r="I139" s="364"/>
      <c r="J139" s="364"/>
      <c r="K139" s="364"/>
      <c r="L139" s="364"/>
      <c r="M139" s="364"/>
      <c r="N139" s="383"/>
      <c r="O139" s="383"/>
      <c r="P139" s="383"/>
      <c r="Q139" s="383"/>
      <c r="R139" s="383"/>
      <c r="S139" s="383">
        <f>S$17/S$122</f>
        <v>15.77606720623249</v>
      </c>
      <c r="T139" s="384">
        <f>(IF(COUNT($S139:S139)&lt;$S$122,S139,0))</f>
        <v>15.77606720623249</v>
      </c>
      <c r="U139" s="384">
        <f>(IF(COUNT($S139:T139)&lt;$S$122,T139,0))</f>
        <v>15.77606720623249</v>
      </c>
      <c r="V139" s="384">
        <f>(IF(COUNT($S139:U139)&lt;$S$122,U139,0))</f>
        <v>15.77606720623249</v>
      </c>
      <c r="W139" s="384">
        <f>(IF(COUNT($S139:V139)&lt;$S$122,V139,0))</f>
        <v>15.77606720623249</v>
      </c>
      <c r="X139" s="384">
        <f>(IF(COUNT($S139:W139)&lt;$S$122,W139,0))</f>
        <v>15.77606720623249</v>
      </c>
      <c r="Y139" s="384">
        <f>(IF(COUNT($S139:X139)&lt;$S$122,X139,0))</f>
        <v>15.77606720623249</v>
      </c>
    </row>
    <row r="140" spans="1:25" ht="11.25" customHeight="1">
      <c r="A140" s="305"/>
      <c r="B140" s="341">
        <f t="shared" si="78"/>
        <v>2016</v>
      </c>
      <c r="C140" s="341"/>
      <c r="D140" s="364"/>
      <c r="E140" s="364"/>
      <c r="F140" s="364"/>
      <c r="G140" s="364"/>
      <c r="H140" s="364"/>
      <c r="I140" s="364"/>
      <c r="J140" s="364"/>
      <c r="K140" s="364"/>
      <c r="L140" s="364"/>
      <c r="M140" s="364"/>
      <c r="N140" s="383"/>
      <c r="O140" s="383"/>
      <c r="P140" s="383"/>
      <c r="Q140" s="383"/>
      <c r="R140" s="383"/>
      <c r="S140" s="383"/>
      <c r="T140" s="383">
        <f>T$17/T$122</f>
        <v>16.801069145342741</v>
      </c>
      <c r="U140" s="384">
        <f>(IF(COUNT($T140:T140)&lt;$T$122,T140,0))</f>
        <v>16.801069145342741</v>
      </c>
      <c r="V140" s="384">
        <f>(IF(COUNT($T140:U140)&lt;$T$122,U140,0))</f>
        <v>16.801069145342741</v>
      </c>
      <c r="W140" s="384">
        <f>(IF(COUNT($T140:V140)&lt;$T$122,V140,0))</f>
        <v>16.801069145342741</v>
      </c>
      <c r="X140" s="384">
        <f>(IF(COUNT($T140:W140)&lt;$T$122,W140,0))</f>
        <v>16.801069145342741</v>
      </c>
      <c r="Y140" s="384">
        <f>(IF(COUNT($T140:X140)&lt;$T$122,X140,0))</f>
        <v>16.801069145342741</v>
      </c>
    </row>
    <row r="141" spans="1:25" ht="11.25" customHeight="1">
      <c r="A141" s="305"/>
      <c r="B141" s="341">
        <f t="shared" si="78"/>
        <v>2017</v>
      </c>
      <c r="C141" s="341"/>
      <c r="D141" s="364"/>
      <c r="E141" s="364"/>
      <c r="F141" s="364"/>
      <c r="G141" s="364"/>
      <c r="H141" s="364"/>
      <c r="I141" s="364"/>
      <c r="J141" s="364"/>
      <c r="K141" s="364"/>
      <c r="L141" s="364"/>
      <c r="M141" s="364"/>
      <c r="N141" s="383"/>
      <c r="O141" s="383"/>
      <c r="P141" s="383"/>
      <c r="Q141" s="383"/>
      <c r="R141" s="383"/>
      <c r="S141" s="383"/>
      <c r="T141" s="383"/>
      <c r="U141" s="383">
        <f>U$17/U$122</f>
        <v>17.892667464998627</v>
      </c>
      <c r="V141" s="384">
        <f>(IF(COUNT($U141:U141)&lt;$U$122,U141,0))</f>
        <v>17.892667464998627</v>
      </c>
      <c r="W141" s="384">
        <f>(IF(COUNT($U141:V141)&lt;$U$122,V141,0))</f>
        <v>17.892667464998627</v>
      </c>
      <c r="X141" s="384">
        <f>(IF(COUNT($U141:W141)&lt;$U$122,W141,0))</f>
        <v>17.892667464998627</v>
      </c>
      <c r="Y141" s="384">
        <f>(IF(COUNT($U141:X141)&lt;$U$122,X141,0))</f>
        <v>17.892667464998627</v>
      </c>
    </row>
    <row r="142" spans="1:25" ht="11.25" customHeight="1">
      <c r="A142" s="305"/>
      <c r="B142" s="341">
        <f t="shared" si="78"/>
        <v>2018</v>
      </c>
      <c r="C142" s="341"/>
      <c r="D142" s="364"/>
      <c r="E142" s="364"/>
      <c r="F142" s="364"/>
      <c r="G142" s="364"/>
      <c r="H142" s="364"/>
      <c r="I142" s="364"/>
      <c r="J142" s="364"/>
      <c r="K142" s="364"/>
      <c r="L142" s="364"/>
      <c r="M142" s="364"/>
      <c r="N142" s="383"/>
      <c r="O142" s="383"/>
      <c r="P142" s="383"/>
      <c r="Q142" s="383"/>
      <c r="R142" s="383"/>
      <c r="S142" s="383"/>
      <c r="T142" s="383"/>
      <c r="U142" s="383"/>
      <c r="V142" s="383">
        <f>V$17/V$122</f>
        <v>19.055189062284484</v>
      </c>
      <c r="W142" s="384">
        <f>(IF(COUNT($V142:V142)&lt;$V$122,V142,0))</f>
        <v>19.055189062284484</v>
      </c>
      <c r="X142" s="384">
        <f>(IF(COUNT($V142:W142)&lt;$V$122,W142,0))</f>
        <v>19.055189062284484</v>
      </c>
      <c r="Y142" s="384">
        <f>(IF(COUNT($V142:X142)&lt;$V$122,X142,0))</f>
        <v>19.055189062284484</v>
      </c>
    </row>
    <row r="143" spans="1:25" ht="11.25" customHeight="1">
      <c r="A143" s="305"/>
      <c r="B143" s="341">
        <f t="shared" si="78"/>
        <v>2019</v>
      </c>
      <c r="C143" s="341"/>
      <c r="D143" s="364"/>
      <c r="E143" s="364"/>
      <c r="F143" s="364"/>
      <c r="G143" s="364"/>
      <c r="H143" s="364"/>
      <c r="I143" s="364"/>
      <c r="J143" s="364"/>
      <c r="K143" s="364"/>
      <c r="L143" s="364"/>
      <c r="M143" s="364"/>
      <c r="N143" s="383"/>
      <c r="O143" s="383"/>
      <c r="P143" s="383"/>
      <c r="Q143" s="383"/>
      <c r="R143" s="383"/>
      <c r="S143" s="383"/>
      <c r="T143" s="383"/>
      <c r="U143" s="383"/>
      <c r="V143" s="383"/>
      <c r="W143" s="383">
        <f>W$17/W$122</f>
        <v>20.293241961250189</v>
      </c>
      <c r="X143" s="384">
        <f>(IF(COUNT($W143:W143)&lt;$W$122,W143,0))</f>
        <v>20.293241961250189</v>
      </c>
      <c r="Y143" s="384">
        <f>(IF(COUNT($W143:X143)&lt;$W$122,X143,0))</f>
        <v>20.293241961250189</v>
      </c>
    </row>
    <row r="144" spans="1:25" ht="11.25" customHeight="1">
      <c r="A144" s="305"/>
      <c r="B144" s="341">
        <f t="shared" si="78"/>
        <v>2020</v>
      </c>
      <c r="C144" s="341"/>
      <c r="D144" s="558"/>
      <c r="E144" s="558"/>
      <c r="F144" s="558"/>
      <c r="G144" s="558"/>
      <c r="H144" s="558"/>
      <c r="I144" s="558"/>
      <c r="J144" s="558"/>
      <c r="K144" s="558"/>
      <c r="L144" s="558"/>
      <c r="M144" s="558"/>
      <c r="N144" s="559"/>
      <c r="O144" s="559"/>
      <c r="P144" s="559"/>
      <c r="Q144" s="559"/>
      <c r="R144" s="559"/>
      <c r="S144" s="559"/>
      <c r="T144" s="559"/>
      <c r="U144" s="559"/>
      <c r="V144" s="559"/>
      <c r="W144" s="559"/>
      <c r="X144" s="383">
        <f>X$17/X$122</f>
        <v>21.611733578279907</v>
      </c>
      <c r="Y144" s="383">
        <f>Y$17/Y$122</f>
        <v>23.015890174197523</v>
      </c>
    </row>
    <row r="145" spans="1:25" ht="11.25" customHeight="1">
      <c r="A145" s="305"/>
      <c r="B145" s="341">
        <v>2021</v>
      </c>
      <c r="C145" s="341"/>
      <c r="D145" s="558"/>
      <c r="E145" s="558"/>
      <c r="F145" s="558"/>
      <c r="G145" s="558"/>
      <c r="H145" s="558"/>
      <c r="I145" s="558"/>
      <c r="J145" s="558"/>
      <c r="K145" s="558"/>
      <c r="L145" s="558"/>
      <c r="M145" s="558"/>
      <c r="N145" s="559"/>
      <c r="O145" s="559"/>
      <c r="P145" s="559"/>
      <c r="Q145" s="559"/>
      <c r="R145" s="559"/>
      <c r="S145" s="559"/>
      <c r="T145" s="559"/>
      <c r="U145" s="559"/>
      <c r="V145" s="559"/>
      <c r="W145" s="559"/>
      <c r="X145" s="383"/>
      <c r="Y145" s="383">
        <f>Y$17/Y$122</f>
        <v>23.015890174197523</v>
      </c>
    </row>
    <row r="146" spans="1:25" ht="11.25" customHeight="1">
      <c r="A146" s="305"/>
      <c r="B146" s="341"/>
      <c r="C146" s="341"/>
      <c r="D146" s="385">
        <f t="shared" ref="D146:X146" si="79">SUM(D124:D144)</f>
        <v>29.526194782318552</v>
      </c>
      <c r="E146" s="385">
        <f t="shared" si="79"/>
        <v>25.766050382084856</v>
      </c>
      <c r="F146" s="385">
        <f t="shared" si="79"/>
        <v>21.256861255327269</v>
      </c>
      <c r="G146" s="385">
        <f t="shared" si="79"/>
        <v>20.885364188264766</v>
      </c>
      <c r="H146" s="385">
        <f t="shared" si="79"/>
        <v>17.633080844527058</v>
      </c>
      <c r="I146" s="385">
        <f t="shared" si="79"/>
        <v>11.404310685478283</v>
      </c>
      <c r="J146" s="385">
        <f t="shared" si="79"/>
        <v>19.938618711095209</v>
      </c>
      <c r="K146" s="385">
        <f t="shared" si="79"/>
        <v>51.373321979327123</v>
      </c>
      <c r="L146" s="385">
        <f t="shared" si="79"/>
        <v>65.411298455530144</v>
      </c>
      <c r="M146" s="385">
        <f t="shared" si="79"/>
        <v>82.109719219306498</v>
      </c>
      <c r="N146" s="385">
        <f t="shared" si="79"/>
        <v>95.735077357115159</v>
      </c>
      <c r="O146" s="385">
        <f t="shared" si="79"/>
        <v>105.67205475108487</v>
      </c>
      <c r="P146" s="385">
        <f t="shared" si="79"/>
        <v>116.76557355370281</v>
      </c>
      <c r="Q146" s="385">
        <f t="shared" si="79"/>
        <v>128.69783685744073</v>
      </c>
      <c r="R146" s="385">
        <f t="shared" si="79"/>
        <v>142.44417563512465</v>
      </c>
      <c r="S146" s="385">
        <f t="shared" si="79"/>
        <v>160.19786281667595</v>
      </c>
      <c r="T146" s="385">
        <f t="shared" si="79"/>
        <v>167.46526761337302</v>
      </c>
      <c r="U146" s="385">
        <f t="shared" si="79"/>
        <v>151.81952204305907</v>
      </c>
      <c r="V146" s="385">
        <f t="shared" si="79"/>
        <v>170.47144274165635</v>
      </c>
      <c r="W146" s="385">
        <f t="shared" si="79"/>
        <v>156.95117838795608</v>
      </c>
      <c r="X146" s="385">
        <f t="shared" si="79"/>
        <v>163.72093555239076</v>
      </c>
      <c r="Y146" s="385">
        <f>SUM(Y124:Y145)</f>
        <v>176.94241994243123</v>
      </c>
    </row>
    <row r="147" spans="1:25">
      <c r="B147" s="355" t="s">
        <v>1691</v>
      </c>
      <c r="C147" s="355"/>
      <c r="V147" s="290"/>
    </row>
    <row r="148" spans="1:25">
      <c r="B148" s="356"/>
      <c r="C148" s="356"/>
      <c r="V148" s="290"/>
    </row>
    <row r="149" spans="1:25">
      <c r="B149" s="341"/>
      <c r="C149" s="341"/>
      <c r="V149" s="290"/>
    </row>
    <row r="150" spans="1:25">
      <c r="B150" s="341"/>
      <c r="C150" s="341"/>
      <c r="V150" s="290"/>
    </row>
    <row r="151" spans="1:25">
      <c r="B151" s="341"/>
      <c r="C151" s="341"/>
      <c r="V151" s="290"/>
    </row>
    <row r="156" spans="1:25">
      <c r="A156"/>
      <c r="B156"/>
      <c r="C156"/>
      <c r="D156"/>
      <c r="E156"/>
      <c r="F156"/>
      <c r="G156"/>
      <c r="H156"/>
      <c r="I156"/>
      <c r="J156"/>
      <c r="K156"/>
      <c r="L156"/>
      <c r="M156"/>
      <c r="N156"/>
      <c r="O156"/>
      <c r="P156"/>
      <c r="Q156"/>
      <c r="R156"/>
      <c r="S156"/>
      <c r="T156"/>
      <c r="U156"/>
      <c r="V156"/>
    </row>
    <row r="169" spans="5:21">
      <c r="E169" s="343"/>
      <c r="F169" s="343"/>
      <c r="G169" s="343"/>
      <c r="H169" s="343"/>
      <c r="I169" s="343"/>
      <c r="J169" s="343"/>
      <c r="K169" s="343"/>
      <c r="L169" s="343"/>
      <c r="M169" s="343"/>
      <c r="N169" s="343"/>
      <c r="O169" s="343"/>
      <c r="P169" s="343"/>
      <c r="Q169" s="343"/>
      <c r="R169" s="343"/>
      <c r="S169" s="343"/>
      <c r="T169" s="343"/>
      <c r="U169" s="343"/>
    </row>
  </sheetData>
  <phoneticPr fontId="2" type="noConversion"/>
  <pageMargins left="0.25" right="0.25" top="0.25" bottom="0.5" header="0.25" footer="0.25"/>
  <pageSetup paperSize="5" scale="80" orientation="landscape" horizontalDpi="300" verticalDpi="300" r:id="rId1"/>
  <headerFooter alignWithMargins="0">
    <oddFooter>&amp;L&amp;"Arial,Bold"&amp;8Morgan Stanley: Confidential - FOR DISCUSSION PURPOSES ONLY
&amp;R&amp;8Printed on &amp;D - Page &amp;P of &amp;N</oddFooter>
  </headerFooter>
  <rowBreaks count="1" manualBreakCount="1">
    <brk id="85" max="16383" man="1"/>
  </rowBreaks>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3:V78"/>
  <sheetViews>
    <sheetView showGridLines="0" zoomScale="70" zoomScaleNormal="70" workbookViewId="0"/>
  </sheetViews>
  <sheetFormatPr defaultRowHeight="12.75" outlineLevelCol="1"/>
  <cols>
    <col min="3" max="3" width="14.85546875" customWidth="1"/>
    <col min="4" max="4" width="0" hidden="1" customWidth="1" outlineLevel="1"/>
    <col min="5" max="5" width="9.140625" collapsed="1"/>
    <col min="10" max="10" width="20.85546875" customWidth="1"/>
    <col min="13" max="13" width="30.28515625" bestFit="1" customWidth="1"/>
    <col min="14" max="20" width="8.140625" bestFit="1" customWidth="1"/>
  </cols>
  <sheetData>
    <row r="3" spans="1:8">
      <c r="A3" s="1745" t="s">
        <v>604</v>
      </c>
      <c r="B3" t="s">
        <v>702</v>
      </c>
      <c r="C3" s="1648"/>
      <c r="D3" s="1649" t="s">
        <v>986</v>
      </c>
      <c r="E3" s="1649" t="s">
        <v>1043</v>
      </c>
      <c r="F3" s="1649" t="s">
        <v>1049</v>
      </c>
      <c r="G3" s="1649" t="s">
        <v>191</v>
      </c>
      <c r="H3" s="2147" t="s">
        <v>192</v>
      </c>
    </row>
    <row r="4" spans="1:8">
      <c r="A4" s="1745"/>
      <c r="C4" s="210" t="s">
        <v>1820</v>
      </c>
      <c r="D4" s="2146"/>
      <c r="E4" s="2149">
        <f>IF(mode=2,CF!R165,'FFO-AFFO'!E5)</f>
        <v>679.50199999999995</v>
      </c>
      <c r="F4" s="2149">
        <f>IF(mode=2,CF!S165,'FFO-AFFO'!F5)</f>
        <v>761.67900000000009</v>
      </c>
      <c r="G4" s="2149">
        <f>IF(mode=2,CF!T165,'FFO-AFFO'!G5)</f>
        <v>0</v>
      </c>
      <c r="H4" s="2149">
        <f>IF(mode=2,CF!U165,'FFO-AFFO'!H5)</f>
        <v>0</v>
      </c>
    </row>
    <row r="5" spans="1:8">
      <c r="C5" t="s">
        <v>429</v>
      </c>
      <c r="D5" s="1560"/>
      <c r="E5" s="1560">
        <f>IF(mode=2,CF!R168,'FFO-AFFO'!E5)</f>
        <v>12.956719603402789</v>
      </c>
      <c r="F5" s="1560">
        <f>IF(mode=2,CF!S168,'FFO-AFFO'!F5)</f>
        <v>14.129679811918985</v>
      </c>
      <c r="G5" s="1560">
        <f>IF(mode=2,CF!T168,'FFO-AFFO'!G5)</f>
        <v>0</v>
      </c>
      <c r="H5" s="1560">
        <f>IF(mode=2,CF!U168,'FFO-AFFO'!H5)</f>
        <v>0</v>
      </c>
    </row>
    <row r="6" spans="1:8">
      <c r="C6" s="246" t="s">
        <v>430</v>
      </c>
      <c r="E6" s="1612"/>
      <c r="F6" s="1612">
        <f>+F5/E5-1</f>
        <v>9.0529103385716958E-2</v>
      </c>
      <c r="G6" s="1612">
        <f>+G5/F5-1</f>
        <v>-1</v>
      </c>
      <c r="H6" s="1612" t="e">
        <f>+H5/G5-1</f>
        <v>#DIV/0!</v>
      </c>
    </row>
    <row r="7" spans="1:8">
      <c r="C7" s="1223"/>
      <c r="D7" s="1223"/>
      <c r="E7" s="1223"/>
      <c r="F7" s="1223"/>
      <c r="G7" s="1223"/>
      <c r="H7" s="1223"/>
    </row>
    <row r="8" spans="1:8">
      <c r="C8" s="69"/>
      <c r="D8" s="69"/>
      <c r="E8" s="69"/>
      <c r="F8" s="1744"/>
      <c r="G8" s="1744"/>
      <c r="H8" s="1744">
        <v>14</v>
      </c>
    </row>
    <row r="9" spans="1:8">
      <c r="E9" s="1966"/>
      <c r="F9" s="1966"/>
      <c r="G9" s="1966"/>
      <c r="H9" s="1966">
        <f>+H5*H8</f>
        <v>0</v>
      </c>
    </row>
    <row r="10" spans="1:8">
      <c r="F10" s="1594"/>
      <c r="G10" s="1594"/>
      <c r="H10" s="1594">
        <f>+HLOOKUP(H8,N22:T27,6,FALSE)</f>
        <v>3.589527305525114</v>
      </c>
    </row>
    <row r="12" spans="1:8">
      <c r="B12" t="s">
        <v>703</v>
      </c>
      <c r="C12" s="1648"/>
      <c r="D12" s="1649" t="s">
        <v>986</v>
      </c>
      <c r="E12" s="1649" t="s">
        <v>1043</v>
      </c>
      <c r="F12" s="1649" t="s">
        <v>1049</v>
      </c>
      <c r="G12" s="1649" t="s">
        <v>191</v>
      </c>
      <c r="H12" s="2147" t="s">
        <v>192</v>
      </c>
    </row>
    <row r="13" spans="1:8">
      <c r="C13" t="s">
        <v>429</v>
      </c>
      <c r="D13" s="1560">
        <f ca="1">IF(mode=1,CF!Q142,'FFO-AFFO'!D13)</f>
        <v>10.408111625770392</v>
      </c>
      <c r="E13" s="1560">
        <f ca="1">IF(mode=1,CF!R168,'FFO-AFFO'!E13)</f>
        <v>12.956719603402789</v>
      </c>
      <c r="F13" s="1560">
        <f ca="1">IF(mode=1,CF!S168,'FFO-AFFO'!F13)</f>
        <v>14.129679811918985</v>
      </c>
      <c r="G13" s="1560">
        <f ca="1">IF(mode=1,CF!T168,'FFO-AFFO'!G13)</f>
        <v>0</v>
      </c>
      <c r="H13" s="1560">
        <f ca="1">IF(mode=1,CF!U168,'FFO-AFFO'!H13)</f>
        <v>0</v>
      </c>
    </row>
    <row r="14" spans="1:8">
      <c r="C14" s="246" t="s">
        <v>430</v>
      </c>
      <c r="E14" s="1612">
        <f ca="1">+E13/D13-1</f>
        <v>0.2448674715711221</v>
      </c>
      <c r="F14" s="1612">
        <f ca="1">+F13/E13-1</f>
        <v>9.0529103385716958E-2</v>
      </c>
      <c r="G14" s="1612">
        <f ca="1">+G13/F13-1</f>
        <v>-1</v>
      </c>
      <c r="H14" s="1612" t="e">
        <f ca="1">+H13/G13-1</f>
        <v>#DIV/0!</v>
      </c>
    </row>
    <row r="15" spans="1:8">
      <c r="C15" s="1223"/>
      <c r="D15" s="1223"/>
      <c r="E15" s="1223"/>
      <c r="F15" s="1223"/>
      <c r="G15" s="1223"/>
      <c r="H15" s="1223"/>
    </row>
    <row r="16" spans="1:8">
      <c r="C16" s="69"/>
      <c r="D16" s="69"/>
      <c r="E16" s="69"/>
      <c r="F16" s="1744"/>
      <c r="G16" s="1744"/>
      <c r="H16" s="1744">
        <v>15</v>
      </c>
    </row>
    <row r="17" spans="1:22">
      <c r="E17" s="1966"/>
      <c r="F17" s="1966"/>
      <c r="G17" s="1966"/>
      <c r="H17" s="1966">
        <f ca="1">+H13*H16</f>
        <v>0</v>
      </c>
    </row>
    <row r="18" spans="1:22">
      <c r="F18" s="1594"/>
      <c r="G18" s="1594"/>
      <c r="H18" s="1594">
        <f ca="1">+HLOOKUP(H16,N32:T37,6,FALSE)</f>
        <v>3.589527305525114</v>
      </c>
    </row>
    <row r="20" spans="1:22" s="42" customFormat="1">
      <c r="A20" s="1982">
        <v>2016</v>
      </c>
      <c r="J20" s="1982">
        <f>+A20</f>
        <v>2016</v>
      </c>
    </row>
    <row r="21" spans="1:22">
      <c r="A21" s="1745"/>
      <c r="J21" t="s">
        <v>702</v>
      </c>
      <c r="M21" s="1748" t="s">
        <v>1818</v>
      </c>
      <c r="N21" s="1747"/>
      <c r="O21" s="1747"/>
      <c r="P21" s="1747"/>
      <c r="Q21" s="1747"/>
      <c r="R21" s="1747"/>
      <c r="S21" s="1747"/>
      <c r="T21" s="1747"/>
    </row>
    <row r="22" spans="1:22">
      <c r="J22" t="s">
        <v>1912</v>
      </c>
      <c r="K22" s="2002">
        <f>+IF(mode=2,Valuation!M149,'FFO-AFFO'!K22)</f>
        <v>1649.7759999999998</v>
      </c>
      <c r="M22" s="41" t="s">
        <v>1914</v>
      </c>
      <c r="N22" s="1746">
        <f>+K27</f>
        <v>11.5</v>
      </c>
      <c r="O22" s="1746">
        <f t="shared" ref="O22:T22" si="0">+N22+$K28</f>
        <v>12</v>
      </c>
      <c r="P22" s="1746">
        <f t="shared" si="0"/>
        <v>12.5</v>
      </c>
      <c r="Q22" s="1746">
        <f t="shared" si="0"/>
        <v>13</v>
      </c>
      <c r="R22" s="1746">
        <f t="shared" si="0"/>
        <v>13.5</v>
      </c>
      <c r="S22" s="1746">
        <f t="shared" si="0"/>
        <v>14</v>
      </c>
      <c r="T22" s="1746">
        <f t="shared" si="0"/>
        <v>14.5</v>
      </c>
      <c r="U22" s="1594"/>
      <c r="V22" s="1594"/>
    </row>
    <row r="23" spans="1:22">
      <c r="J23" t="s">
        <v>1077</v>
      </c>
      <c r="K23" s="2003">
        <f>+IF(mode=2,Valuation!M$135,'FFO-AFFO'!K23)</f>
        <v>70.364000000000004</v>
      </c>
      <c r="M23" t="s">
        <v>366</v>
      </c>
      <c r="N23" s="1227">
        <f>+N22*$K26</f>
        <v>0</v>
      </c>
      <c r="O23" s="1227">
        <f t="shared" ref="O23:T23" si="1">+O22*$K26</f>
        <v>0</v>
      </c>
      <c r="P23" s="1227">
        <f t="shared" si="1"/>
        <v>0</v>
      </c>
      <c r="Q23" s="1227">
        <f t="shared" si="1"/>
        <v>0</v>
      </c>
      <c r="R23" s="1227">
        <f t="shared" si="1"/>
        <v>0</v>
      </c>
      <c r="S23" s="1227">
        <f t="shared" si="1"/>
        <v>0</v>
      </c>
      <c r="T23" s="1227">
        <f t="shared" si="1"/>
        <v>0</v>
      </c>
    </row>
    <row r="24" spans="1:22">
      <c r="J24" t="s">
        <v>1079</v>
      </c>
      <c r="K24" s="2002">
        <f>+IF(mode=2,Valuation!M140,'FFO-AFFO'!K24)</f>
        <v>6925.3099999999995</v>
      </c>
      <c r="M24" t="s">
        <v>1076</v>
      </c>
      <c r="N24" s="1227">
        <f>+N23*$K23</f>
        <v>0</v>
      </c>
      <c r="O24" s="1227">
        <f t="shared" ref="O24:T24" si="2">+O23*$K23</f>
        <v>0</v>
      </c>
      <c r="P24" s="1227">
        <f t="shared" si="2"/>
        <v>0</v>
      </c>
      <c r="Q24" s="1227">
        <f t="shared" si="2"/>
        <v>0</v>
      </c>
      <c r="R24" s="1227">
        <f t="shared" si="2"/>
        <v>0</v>
      </c>
      <c r="S24" s="1227">
        <f t="shared" si="2"/>
        <v>0</v>
      </c>
      <c r="T24" s="1227">
        <f t="shared" si="2"/>
        <v>0</v>
      </c>
    </row>
    <row r="25" spans="1:22">
      <c r="J25" t="s">
        <v>1086</v>
      </c>
      <c r="K25" s="2002">
        <f>+IF(mode=2,Valuation!M145,'FFO-AFFO'!K25)</f>
        <v>1003.3939999999997</v>
      </c>
      <c r="M25" t="s">
        <v>1078</v>
      </c>
      <c r="N25" s="1227">
        <f>+N24+$K24-$K25</f>
        <v>5921.9160000000002</v>
      </c>
      <c r="O25" s="1227">
        <f t="shared" ref="O25:T25" si="3">+O24+$K24-$K25</f>
        <v>5921.9160000000002</v>
      </c>
      <c r="P25" s="1227">
        <f t="shared" si="3"/>
        <v>5921.9160000000002</v>
      </c>
      <c r="Q25" s="1227">
        <f t="shared" si="3"/>
        <v>5921.9160000000002</v>
      </c>
      <c r="R25" s="1227">
        <f t="shared" si="3"/>
        <v>5921.9160000000002</v>
      </c>
      <c r="S25" s="1227">
        <f t="shared" si="3"/>
        <v>5921.9160000000002</v>
      </c>
      <c r="T25" s="1227">
        <f t="shared" si="3"/>
        <v>5921.9160000000002</v>
      </c>
    </row>
    <row r="26" spans="1:22">
      <c r="J26" t="s">
        <v>1913</v>
      </c>
      <c r="K26" s="1560">
        <f>+H5</f>
        <v>0</v>
      </c>
      <c r="M26" t="s">
        <v>1915</v>
      </c>
      <c r="N26" s="1227">
        <f>+$K22</f>
        <v>1649.7759999999998</v>
      </c>
      <c r="O26" s="1227">
        <f t="shared" ref="O26:T26" si="4">+$K22</f>
        <v>1649.7759999999998</v>
      </c>
      <c r="P26" s="1227">
        <f t="shared" si="4"/>
        <v>1649.7759999999998</v>
      </c>
      <c r="Q26" s="1227">
        <f t="shared" si="4"/>
        <v>1649.7759999999998</v>
      </c>
      <c r="R26" s="1227">
        <f t="shared" si="4"/>
        <v>1649.7759999999998</v>
      </c>
      <c r="S26" s="1227">
        <f t="shared" si="4"/>
        <v>1649.7759999999998</v>
      </c>
      <c r="T26" s="1227">
        <f t="shared" si="4"/>
        <v>1649.7759999999998</v>
      </c>
    </row>
    <row r="27" spans="1:22">
      <c r="J27" t="s">
        <v>1075</v>
      </c>
      <c r="K27" s="2001">
        <v>11.5</v>
      </c>
      <c r="M27" s="41" t="s">
        <v>1916</v>
      </c>
      <c r="N27" s="1746">
        <f t="shared" ref="N27:T27" si="5">+N25/N26</f>
        <v>3.589527305525114</v>
      </c>
      <c r="O27" s="1746">
        <f t="shared" si="5"/>
        <v>3.589527305525114</v>
      </c>
      <c r="P27" s="1746">
        <f t="shared" si="5"/>
        <v>3.589527305525114</v>
      </c>
      <c r="Q27" s="1746">
        <f t="shared" si="5"/>
        <v>3.589527305525114</v>
      </c>
      <c r="R27" s="1746">
        <f t="shared" si="5"/>
        <v>3.589527305525114</v>
      </c>
      <c r="S27" s="1746">
        <f t="shared" si="5"/>
        <v>3.589527305525114</v>
      </c>
      <c r="T27" s="1746">
        <f t="shared" si="5"/>
        <v>3.589527305525114</v>
      </c>
    </row>
    <row r="28" spans="1:22">
      <c r="J28" t="s">
        <v>1074</v>
      </c>
      <c r="K28" s="2001">
        <v>0.5</v>
      </c>
    </row>
    <row r="31" spans="1:22">
      <c r="J31" t="s">
        <v>703</v>
      </c>
      <c r="M31" s="1748" t="s">
        <v>1819</v>
      </c>
      <c r="N31" s="1747"/>
      <c r="O31" s="1747"/>
      <c r="P31" s="1747"/>
      <c r="Q31" s="1747"/>
      <c r="R31" s="1747"/>
      <c r="S31" s="1747"/>
      <c r="T31" s="1747"/>
    </row>
    <row r="32" spans="1:22">
      <c r="J32" t="s">
        <v>1912</v>
      </c>
      <c r="K32" s="2002">
        <f ca="1">+IF(mode=1,Valuation!M149,'FFO-AFFO'!K32)</f>
        <v>1649.7759999999998</v>
      </c>
      <c r="M32" s="41" t="s">
        <v>1914</v>
      </c>
      <c r="N32" s="1746">
        <f>+K37</f>
        <v>13.5</v>
      </c>
      <c r="O32" s="1746">
        <f t="shared" ref="O32:T32" si="6">+N32+$K38</f>
        <v>14</v>
      </c>
      <c r="P32" s="1746">
        <f t="shared" si="6"/>
        <v>14.5</v>
      </c>
      <c r="Q32" s="1746">
        <f t="shared" si="6"/>
        <v>15</v>
      </c>
      <c r="R32" s="1746">
        <f t="shared" si="6"/>
        <v>15.5</v>
      </c>
      <c r="S32" s="1746">
        <f t="shared" si="6"/>
        <v>16</v>
      </c>
      <c r="T32" s="1746">
        <f t="shared" si="6"/>
        <v>16.5</v>
      </c>
    </row>
    <row r="33" spans="1:22">
      <c r="J33" t="s">
        <v>1077</v>
      </c>
      <c r="K33" s="2003">
        <f ca="1">+IF(mode=1,Valuation!M135,'FFO-AFFO'!K33)</f>
        <v>70.364000000000004</v>
      </c>
      <c r="M33" t="s">
        <v>366</v>
      </c>
      <c r="N33" s="1227">
        <f t="shared" ref="N33:T33" ca="1" si="7">+N32*$K36</f>
        <v>0</v>
      </c>
      <c r="O33" s="1227">
        <f t="shared" ca="1" si="7"/>
        <v>0</v>
      </c>
      <c r="P33" s="1227">
        <f t="shared" ca="1" si="7"/>
        <v>0</v>
      </c>
      <c r="Q33" s="1227">
        <f t="shared" ca="1" si="7"/>
        <v>0</v>
      </c>
      <c r="R33" s="1227">
        <f t="shared" ca="1" si="7"/>
        <v>0</v>
      </c>
      <c r="S33" s="1227">
        <f t="shared" ca="1" si="7"/>
        <v>0</v>
      </c>
      <c r="T33" s="1227">
        <f t="shared" ca="1" si="7"/>
        <v>0</v>
      </c>
    </row>
    <row r="34" spans="1:22">
      <c r="J34" t="s">
        <v>1079</v>
      </c>
      <c r="K34" s="2002">
        <f ca="1">+IF(mode=1,Valuation!M140,'FFO-AFFO'!K34)</f>
        <v>6925.3099999999995</v>
      </c>
      <c r="M34" t="s">
        <v>1076</v>
      </c>
      <c r="N34" s="1227">
        <f t="shared" ref="N34:T34" ca="1" si="8">+N33*$K33</f>
        <v>0</v>
      </c>
      <c r="O34" s="1227">
        <f t="shared" ca="1" si="8"/>
        <v>0</v>
      </c>
      <c r="P34" s="1227">
        <f t="shared" ca="1" si="8"/>
        <v>0</v>
      </c>
      <c r="Q34" s="1227">
        <f t="shared" ca="1" si="8"/>
        <v>0</v>
      </c>
      <c r="R34" s="1227">
        <f t="shared" ca="1" si="8"/>
        <v>0</v>
      </c>
      <c r="S34" s="1227">
        <f t="shared" ca="1" si="8"/>
        <v>0</v>
      </c>
      <c r="T34" s="1227">
        <f t="shared" ca="1" si="8"/>
        <v>0</v>
      </c>
    </row>
    <row r="35" spans="1:22">
      <c r="J35" t="s">
        <v>1086</v>
      </c>
      <c r="K35" s="2002">
        <f ca="1">+IF(mode=1,Valuation!M145,'FFO-AFFO'!K35)</f>
        <v>1003.3939999999997</v>
      </c>
      <c r="M35" t="s">
        <v>1078</v>
      </c>
      <c r="N35" s="1227">
        <f t="shared" ref="N35:T35" ca="1" si="9">+N34+$K34-$K35</f>
        <v>5921.9160000000002</v>
      </c>
      <c r="O35" s="1227">
        <f t="shared" ca="1" si="9"/>
        <v>5921.9160000000002</v>
      </c>
      <c r="P35" s="1227">
        <f t="shared" ca="1" si="9"/>
        <v>5921.9160000000002</v>
      </c>
      <c r="Q35" s="1227">
        <f t="shared" ca="1" si="9"/>
        <v>5921.9160000000002</v>
      </c>
      <c r="R35" s="1227">
        <f t="shared" ca="1" si="9"/>
        <v>5921.9160000000002</v>
      </c>
      <c r="S35" s="1227">
        <f t="shared" ca="1" si="9"/>
        <v>5921.9160000000002</v>
      </c>
      <c r="T35" s="1227">
        <f t="shared" ca="1" si="9"/>
        <v>5921.9160000000002</v>
      </c>
    </row>
    <row r="36" spans="1:22">
      <c r="J36" t="s">
        <v>1913</v>
      </c>
      <c r="K36" s="1560">
        <f ca="1">+H13</f>
        <v>0</v>
      </c>
      <c r="M36" t="s">
        <v>1915</v>
      </c>
      <c r="N36" s="1227">
        <f ca="1">+$K32</f>
        <v>1649.7759999999998</v>
      </c>
      <c r="O36" s="1227">
        <f t="shared" ref="O36:T36" ca="1" si="10">+$K32</f>
        <v>1649.7759999999998</v>
      </c>
      <c r="P36" s="1227">
        <f t="shared" ca="1" si="10"/>
        <v>1649.7759999999998</v>
      </c>
      <c r="Q36" s="1227">
        <f t="shared" ca="1" si="10"/>
        <v>1649.7759999999998</v>
      </c>
      <c r="R36" s="1227">
        <f t="shared" ca="1" si="10"/>
        <v>1649.7759999999998</v>
      </c>
      <c r="S36" s="1227">
        <f t="shared" ca="1" si="10"/>
        <v>1649.7759999999998</v>
      </c>
      <c r="T36" s="1227">
        <f t="shared" ca="1" si="10"/>
        <v>1649.7759999999998</v>
      </c>
    </row>
    <row r="37" spans="1:22">
      <c r="J37" t="s">
        <v>1075</v>
      </c>
      <c r="K37" s="2001">
        <v>13.5</v>
      </c>
      <c r="M37" s="41" t="s">
        <v>1916</v>
      </c>
      <c r="N37" s="1746">
        <f t="shared" ref="N37:T37" ca="1" si="11">+N35/N36</f>
        <v>3.589527305525114</v>
      </c>
      <c r="O37" s="1746">
        <f t="shared" ca="1" si="11"/>
        <v>3.589527305525114</v>
      </c>
      <c r="P37" s="1746">
        <f t="shared" ca="1" si="11"/>
        <v>3.589527305525114</v>
      </c>
      <c r="Q37" s="1746">
        <f t="shared" ca="1" si="11"/>
        <v>3.589527305525114</v>
      </c>
      <c r="R37" s="1746">
        <f t="shared" ca="1" si="11"/>
        <v>3.589527305525114</v>
      </c>
      <c r="S37" s="1746">
        <f t="shared" ca="1" si="11"/>
        <v>3.589527305525114</v>
      </c>
      <c r="T37" s="1746">
        <f t="shared" ca="1" si="11"/>
        <v>3.589527305525114</v>
      </c>
    </row>
    <row r="38" spans="1:22">
      <c r="J38" t="s">
        <v>1074</v>
      </c>
      <c r="K38" s="2001">
        <v>0.5</v>
      </c>
    </row>
    <row r="40" spans="1:22" s="42" customFormat="1">
      <c r="A40" s="1982">
        <v>2015</v>
      </c>
      <c r="J40" s="1982">
        <f>+A40</f>
        <v>2015</v>
      </c>
    </row>
    <row r="41" spans="1:22">
      <c r="A41" s="1745"/>
      <c r="J41" t="s">
        <v>702</v>
      </c>
      <c r="M41" s="1748" t="s">
        <v>1818</v>
      </c>
      <c r="N41" s="1747"/>
      <c r="O41" s="1747"/>
      <c r="P41" s="1747"/>
      <c r="Q41" s="1747"/>
      <c r="R41" s="1747"/>
      <c r="S41" s="1747"/>
      <c r="T41" s="1747"/>
    </row>
    <row r="42" spans="1:22">
      <c r="J42" t="s">
        <v>299</v>
      </c>
      <c r="K42" s="2002">
        <f>+IF(mode=2,Valuation!L149,'FFO-AFFO'!K42)</f>
        <v>1271.6270000000004</v>
      </c>
      <c r="M42" s="41" t="s">
        <v>297</v>
      </c>
      <c r="N42" s="1746">
        <f>+K47</f>
        <v>11.5</v>
      </c>
      <c r="O42" s="1746">
        <f t="shared" ref="O42:T42" si="12">+N42+$K$68</f>
        <v>12</v>
      </c>
      <c r="P42" s="1746">
        <f t="shared" si="12"/>
        <v>12.5</v>
      </c>
      <c r="Q42" s="1746">
        <f t="shared" si="12"/>
        <v>13</v>
      </c>
      <c r="R42" s="1746">
        <f t="shared" si="12"/>
        <v>13.5</v>
      </c>
      <c r="S42" s="1746">
        <f t="shared" si="12"/>
        <v>14</v>
      </c>
      <c r="T42" s="1746">
        <f t="shared" si="12"/>
        <v>14.5</v>
      </c>
      <c r="U42" s="1594"/>
      <c r="V42" s="1594"/>
    </row>
    <row r="43" spans="1:22">
      <c r="J43" t="s">
        <v>1077</v>
      </c>
      <c r="K43" s="2003">
        <f>+IF(mode=2,Valuation!L$135,'FFO-AFFO'!K43)</f>
        <v>70.364000000000004</v>
      </c>
      <c r="M43" t="s">
        <v>366</v>
      </c>
      <c r="N43" s="1227">
        <f t="shared" ref="N43:T43" si="13">+N42*$K$46</f>
        <v>0</v>
      </c>
      <c r="O43" s="1227">
        <f t="shared" si="13"/>
        <v>0</v>
      </c>
      <c r="P43" s="1227">
        <f t="shared" si="13"/>
        <v>0</v>
      </c>
      <c r="Q43" s="1227">
        <f t="shared" si="13"/>
        <v>0</v>
      </c>
      <c r="R43" s="1227">
        <f t="shared" si="13"/>
        <v>0</v>
      </c>
      <c r="S43" s="1227">
        <f t="shared" si="13"/>
        <v>0</v>
      </c>
      <c r="T43" s="1227">
        <f t="shared" si="13"/>
        <v>0</v>
      </c>
    </row>
    <row r="44" spans="1:22">
      <c r="J44" t="s">
        <v>1079</v>
      </c>
      <c r="K44" s="2002">
        <f>+IF(mode=2,Valuation!L140,'FFO-AFFO'!K42)</f>
        <v>6925.3099999999995</v>
      </c>
      <c r="M44" t="s">
        <v>1076</v>
      </c>
      <c r="N44" s="1227">
        <f t="shared" ref="N44:T44" si="14">+N43*$K$43</f>
        <v>0</v>
      </c>
      <c r="O44" s="1227">
        <f t="shared" si="14"/>
        <v>0</v>
      </c>
      <c r="P44" s="1227">
        <f t="shared" si="14"/>
        <v>0</v>
      </c>
      <c r="Q44" s="1227">
        <f t="shared" si="14"/>
        <v>0</v>
      </c>
      <c r="R44" s="1227">
        <f t="shared" si="14"/>
        <v>0</v>
      </c>
      <c r="S44" s="1227">
        <f t="shared" si="14"/>
        <v>0</v>
      </c>
      <c r="T44" s="1227">
        <f t="shared" si="14"/>
        <v>0</v>
      </c>
    </row>
    <row r="45" spans="1:22">
      <c r="J45" t="s">
        <v>1086</v>
      </c>
      <c r="K45" s="2002">
        <f>+IF(mode=2,Valuation!L145,'FFO-AFFO'!K42)</f>
        <v>1003.3939999999997</v>
      </c>
      <c r="M45" t="s">
        <v>1078</v>
      </c>
      <c r="N45" s="1227">
        <f t="shared" ref="N45:T45" si="15">+N44+$K$44-$K$45</f>
        <v>5921.9160000000002</v>
      </c>
      <c r="O45" s="1227">
        <f t="shared" si="15"/>
        <v>5921.9160000000002</v>
      </c>
      <c r="P45" s="1227">
        <f t="shared" si="15"/>
        <v>5921.9160000000002</v>
      </c>
      <c r="Q45" s="1227">
        <f t="shared" si="15"/>
        <v>5921.9160000000002</v>
      </c>
      <c r="R45" s="1227">
        <f t="shared" si="15"/>
        <v>5921.9160000000002</v>
      </c>
      <c r="S45" s="1227">
        <f t="shared" si="15"/>
        <v>5921.9160000000002</v>
      </c>
      <c r="T45" s="1227">
        <f t="shared" si="15"/>
        <v>5921.9160000000002</v>
      </c>
    </row>
    <row r="46" spans="1:22">
      <c r="J46" t="s">
        <v>298</v>
      </c>
      <c r="K46" s="1560">
        <f>+G5</f>
        <v>0</v>
      </c>
      <c r="M46" t="s">
        <v>300</v>
      </c>
      <c r="N46" s="1227">
        <f t="shared" ref="N46:T46" si="16">+$K$42</f>
        <v>1271.6270000000004</v>
      </c>
      <c r="O46" s="1227">
        <f t="shared" si="16"/>
        <v>1271.6270000000004</v>
      </c>
      <c r="P46" s="1227">
        <f t="shared" si="16"/>
        <v>1271.6270000000004</v>
      </c>
      <c r="Q46" s="1227">
        <f t="shared" si="16"/>
        <v>1271.6270000000004</v>
      </c>
      <c r="R46" s="1227">
        <f t="shared" si="16"/>
        <v>1271.6270000000004</v>
      </c>
      <c r="S46" s="1227">
        <f t="shared" si="16"/>
        <v>1271.6270000000004</v>
      </c>
      <c r="T46" s="1227">
        <f t="shared" si="16"/>
        <v>1271.6270000000004</v>
      </c>
    </row>
    <row r="47" spans="1:22">
      <c r="J47" t="s">
        <v>1075</v>
      </c>
      <c r="K47" s="2001">
        <v>11.5</v>
      </c>
      <c r="M47" s="41" t="s">
        <v>301</v>
      </c>
      <c r="N47" s="1746">
        <f t="shared" ref="N47:T47" si="17">+N45/N46</f>
        <v>4.6569599418697454</v>
      </c>
      <c r="O47" s="1746">
        <f t="shared" si="17"/>
        <v>4.6569599418697454</v>
      </c>
      <c r="P47" s="1746">
        <f t="shared" si="17"/>
        <v>4.6569599418697454</v>
      </c>
      <c r="Q47" s="1746">
        <f t="shared" si="17"/>
        <v>4.6569599418697454</v>
      </c>
      <c r="R47" s="1746">
        <f t="shared" si="17"/>
        <v>4.6569599418697454</v>
      </c>
      <c r="S47" s="1746">
        <f t="shared" si="17"/>
        <v>4.6569599418697454</v>
      </c>
      <c r="T47" s="1746">
        <f t="shared" si="17"/>
        <v>4.6569599418697454</v>
      </c>
    </row>
    <row r="48" spans="1:22">
      <c r="J48" t="s">
        <v>1074</v>
      </c>
      <c r="K48" s="2001">
        <v>0.5</v>
      </c>
    </row>
    <row r="51" spans="1:22">
      <c r="J51" t="s">
        <v>703</v>
      </c>
      <c r="M51" s="1748" t="s">
        <v>1819</v>
      </c>
      <c r="N51" s="1747"/>
      <c r="O51" s="1747"/>
      <c r="P51" s="1747"/>
      <c r="Q51" s="1747"/>
      <c r="R51" s="1747"/>
      <c r="S51" s="1747"/>
      <c r="T51" s="1747"/>
    </row>
    <row r="52" spans="1:22">
      <c r="J52" t="s">
        <v>299</v>
      </c>
      <c r="K52" s="2002">
        <f ca="1">+IF(mode=1,Valuation!L149,'FFO-AFFO'!K52)</f>
        <v>1271.6270000000004</v>
      </c>
      <c r="M52" s="41" t="s">
        <v>297</v>
      </c>
      <c r="N52" s="1746">
        <f>+K57</f>
        <v>13.5</v>
      </c>
      <c r="O52" s="1746">
        <f t="shared" ref="O52:T52" si="18">+N52+$K$68</f>
        <v>14</v>
      </c>
      <c r="P52" s="1746">
        <f t="shared" si="18"/>
        <v>14.5</v>
      </c>
      <c r="Q52" s="1746">
        <f t="shared" si="18"/>
        <v>15</v>
      </c>
      <c r="R52" s="1746">
        <f t="shared" si="18"/>
        <v>15.5</v>
      </c>
      <c r="S52" s="1746">
        <f t="shared" si="18"/>
        <v>16</v>
      </c>
      <c r="T52" s="1746">
        <f t="shared" si="18"/>
        <v>16.5</v>
      </c>
    </row>
    <row r="53" spans="1:22">
      <c r="J53" t="s">
        <v>1077</v>
      </c>
      <c r="K53" s="2003">
        <f ca="1">+IF(mode=1,Valuation!L135,'FFO-AFFO'!K53)</f>
        <v>70.364000000000004</v>
      </c>
      <c r="M53" t="s">
        <v>366</v>
      </c>
      <c r="N53" s="1227">
        <f t="shared" ref="N53:T53" ca="1" si="19">+N52*$K$56</f>
        <v>0</v>
      </c>
      <c r="O53" s="1227">
        <f t="shared" ca="1" si="19"/>
        <v>0</v>
      </c>
      <c r="P53" s="1227">
        <f t="shared" ca="1" si="19"/>
        <v>0</v>
      </c>
      <c r="Q53" s="1227">
        <f t="shared" ca="1" si="19"/>
        <v>0</v>
      </c>
      <c r="R53" s="1227">
        <f t="shared" ca="1" si="19"/>
        <v>0</v>
      </c>
      <c r="S53" s="1227">
        <f t="shared" ca="1" si="19"/>
        <v>0</v>
      </c>
      <c r="T53" s="1227">
        <f t="shared" ca="1" si="19"/>
        <v>0</v>
      </c>
    </row>
    <row r="54" spans="1:22">
      <c r="J54" t="s">
        <v>1079</v>
      </c>
      <c r="K54" s="2002">
        <f ca="1">+IF(mode=1,Valuation!L140,'FFO-AFFO'!K54)</f>
        <v>6925.3099999999995</v>
      </c>
      <c r="M54" t="s">
        <v>1076</v>
      </c>
      <c r="N54" s="1227">
        <f t="shared" ref="N54:T54" ca="1" si="20">+N53*$K$53</f>
        <v>0</v>
      </c>
      <c r="O54" s="1227">
        <f t="shared" ca="1" si="20"/>
        <v>0</v>
      </c>
      <c r="P54" s="1227">
        <f t="shared" ca="1" si="20"/>
        <v>0</v>
      </c>
      <c r="Q54" s="1227">
        <f t="shared" ca="1" si="20"/>
        <v>0</v>
      </c>
      <c r="R54" s="1227">
        <f t="shared" ca="1" si="20"/>
        <v>0</v>
      </c>
      <c r="S54" s="1227">
        <f t="shared" ca="1" si="20"/>
        <v>0</v>
      </c>
      <c r="T54" s="1227">
        <f t="shared" ca="1" si="20"/>
        <v>0</v>
      </c>
    </row>
    <row r="55" spans="1:22">
      <c r="J55" t="s">
        <v>1086</v>
      </c>
      <c r="K55" s="2002">
        <f ca="1">+IF(mode=1,Valuation!L145,'FFO-AFFO'!K55)</f>
        <v>1003.3939999999997</v>
      </c>
      <c r="M55" t="s">
        <v>1078</v>
      </c>
      <c r="N55" s="1227">
        <f t="shared" ref="N55:T55" ca="1" si="21">+N54+$K$54-$K$55</f>
        <v>5921.9160000000002</v>
      </c>
      <c r="O55" s="1227">
        <f t="shared" ca="1" si="21"/>
        <v>5921.9160000000002</v>
      </c>
      <c r="P55" s="1227">
        <f t="shared" ca="1" si="21"/>
        <v>5921.9160000000002</v>
      </c>
      <c r="Q55" s="1227">
        <f t="shared" ca="1" si="21"/>
        <v>5921.9160000000002</v>
      </c>
      <c r="R55" s="1227">
        <f t="shared" ca="1" si="21"/>
        <v>5921.9160000000002</v>
      </c>
      <c r="S55" s="1227">
        <f t="shared" ca="1" si="21"/>
        <v>5921.9160000000002</v>
      </c>
      <c r="T55" s="1227">
        <f t="shared" ca="1" si="21"/>
        <v>5921.9160000000002</v>
      </c>
    </row>
    <row r="56" spans="1:22">
      <c r="J56" t="s">
        <v>298</v>
      </c>
      <c r="K56" s="1560">
        <f ca="1">+G13</f>
        <v>0</v>
      </c>
      <c r="M56" t="s">
        <v>300</v>
      </c>
      <c r="N56" s="1227">
        <f t="shared" ref="N56:T56" ca="1" si="22">+$K$52</f>
        <v>1271.6270000000004</v>
      </c>
      <c r="O56" s="1227">
        <f t="shared" ca="1" si="22"/>
        <v>1271.6270000000004</v>
      </c>
      <c r="P56" s="1227">
        <f t="shared" ca="1" si="22"/>
        <v>1271.6270000000004</v>
      </c>
      <c r="Q56" s="1227">
        <f t="shared" ca="1" si="22"/>
        <v>1271.6270000000004</v>
      </c>
      <c r="R56" s="1227">
        <f t="shared" ca="1" si="22"/>
        <v>1271.6270000000004</v>
      </c>
      <c r="S56" s="1227">
        <f t="shared" ca="1" si="22"/>
        <v>1271.6270000000004</v>
      </c>
      <c r="T56" s="1227">
        <f t="shared" ca="1" si="22"/>
        <v>1271.6270000000004</v>
      </c>
    </row>
    <row r="57" spans="1:22">
      <c r="J57" t="s">
        <v>1075</v>
      </c>
      <c r="K57" s="2001">
        <v>13.5</v>
      </c>
      <c r="M57" s="41" t="s">
        <v>301</v>
      </c>
      <c r="N57" s="1746">
        <f t="shared" ref="N57:T57" ca="1" si="23">+N55/N56</f>
        <v>4.6569599418697454</v>
      </c>
      <c r="O57" s="1746">
        <f t="shared" ca="1" si="23"/>
        <v>4.6569599418697454</v>
      </c>
      <c r="P57" s="1746">
        <f t="shared" ca="1" si="23"/>
        <v>4.6569599418697454</v>
      </c>
      <c r="Q57" s="1746">
        <f t="shared" ca="1" si="23"/>
        <v>4.6569599418697454</v>
      </c>
      <c r="R57" s="1746">
        <f t="shared" ca="1" si="23"/>
        <v>4.6569599418697454</v>
      </c>
      <c r="S57" s="1746">
        <f t="shared" ca="1" si="23"/>
        <v>4.6569599418697454</v>
      </c>
      <c r="T57" s="1746">
        <f t="shared" ca="1" si="23"/>
        <v>4.6569599418697454</v>
      </c>
    </row>
    <row r="58" spans="1:22">
      <c r="J58" t="s">
        <v>1074</v>
      </c>
      <c r="K58" s="2001">
        <v>0.5</v>
      </c>
    </row>
    <row r="60" spans="1:22" s="42" customFormat="1">
      <c r="A60" s="1982">
        <v>2014</v>
      </c>
      <c r="J60" s="1982">
        <f>+A60</f>
        <v>2014</v>
      </c>
    </row>
    <row r="61" spans="1:22">
      <c r="A61" s="1745"/>
      <c r="J61" t="s">
        <v>702</v>
      </c>
      <c r="M61" s="1748" t="s">
        <v>1818</v>
      </c>
      <c r="N61" s="1747"/>
      <c r="O61" s="1747"/>
      <c r="P61" s="1747"/>
      <c r="Q61" s="1747"/>
      <c r="R61" s="1747"/>
      <c r="S61" s="1747"/>
      <c r="T61" s="1747"/>
    </row>
    <row r="62" spans="1:22">
      <c r="J62" t="s">
        <v>1817</v>
      </c>
      <c r="K62" s="2002">
        <f>+IF(mode=2,Valuation!K149,'FFO-AFFO'!K62)</f>
        <v>1113.8909999999998</v>
      </c>
      <c r="M62" s="41" t="s">
        <v>367</v>
      </c>
      <c r="N62" s="1746">
        <f>+K67</f>
        <v>13.5</v>
      </c>
      <c r="O62" s="1746">
        <f t="shared" ref="O62:T62" si="24">+N62+$K$68</f>
        <v>14</v>
      </c>
      <c r="P62" s="1746">
        <f t="shared" si="24"/>
        <v>14.5</v>
      </c>
      <c r="Q62" s="1746">
        <f t="shared" si="24"/>
        <v>15</v>
      </c>
      <c r="R62" s="1746">
        <f t="shared" si="24"/>
        <v>15.5</v>
      </c>
      <c r="S62" s="1746">
        <f t="shared" si="24"/>
        <v>16</v>
      </c>
      <c r="T62" s="1746">
        <f t="shared" si="24"/>
        <v>16.5</v>
      </c>
      <c r="U62" s="1594"/>
      <c r="V62" s="1594"/>
    </row>
    <row r="63" spans="1:22">
      <c r="J63" t="s">
        <v>1077</v>
      </c>
      <c r="K63" s="2003">
        <f>+IF(mode=2,Valuation!K135,'FFO-AFFO'!K63)</f>
        <v>70.364000000000004</v>
      </c>
      <c r="M63" t="s">
        <v>366</v>
      </c>
      <c r="N63" s="1227">
        <f t="shared" ref="N63:T63" si="25">+N62*$K$66</f>
        <v>190.7506774609063</v>
      </c>
      <c r="O63" s="1227">
        <f t="shared" si="25"/>
        <v>197.81551736686578</v>
      </c>
      <c r="P63" s="1227">
        <f t="shared" si="25"/>
        <v>204.88035727282528</v>
      </c>
      <c r="Q63" s="1227">
        <f t="shared" si="25"/>
        <v>211.94519717878478</v>
      </c>
      <c r="R63" s="1227">
        <f t="shared" si="25"/>
        <v>219.01003708474425</v>
      </c>
      <c r="S63" s="1227">
        <f t="shared" si="25"/>
        <v>226.07487699070376</v>
      </c>
      <c r="T63" s="1227">
        <f t="shared" si="25"/>
        <v>233.13971689666326</v>
      </c>
    </row>
    <row r="64" spans="1:22">
      <c r="J64" t="s">
        <v>1079</v>
      </c>
      <c r="K64" s="2002">
        <f>+IF(mode=2,Valuation!K140,'FFO-AFFO'!K62)</f>
        <v>6925.3099999999995</v>
      </c>
      <c r="M64" t="s">
        <v>1076</v>
      </c>
      <c r="N64" s="1227">
        <f t="shared" ref="N64:T64" si="26">+N63*$K$63</f>
        <v>13421.980668859213</v>
      </c>
      <c r="O64" s="1227">
        <f t="shared" si="26"/>
        <v>13919.091064002145</v>
      </c>
      <c r="P64" s="1227">
        <f t="shared" si="26"/>
        <v>14416.201459145079</v>
      </c>
      <c r="Q64" s="1227">
        <f t="shared" si="26"/>
        <v>14913.311854288013</v>
      </c>
      <c r="R64" s="1227">
        <f t="shared" si="26"/>
        <v>15410.422249430945</v>
      </c>
      <c r="S64" s="1227">
        <f t="shared" si="26"/>
        <v>15907.532644573879</v>
      </c>
      <c r="T64" s="1227">
        <f t="shared" si="26"/>
        <v>16404.643039716815</v>
      </c>
    </row>
    <row r="65" spans="10:20">
      <c r="J65" t="s">
        <v>1086</v>
      </c>
      <c r="K65" s="2002">
        <f>+IF(mode=2,Valuation!K145,'FFO-AFFO'!K62)</f>
        <v>1003.3939999999997</v>
      </c>
      <c r="M65" t="s">
        <v>1078</v>
      </c>
      <c r="N65" s="1227">
        <f t="shared" ref="N65:T65" si="27">+N64+$K$64-$K$65</f>
        <v>19343.896668859212</v>
      </c>
      <c r="O65" s="1227">
        <f t="shared" si="27"/>
        <v>19841.007064002144</v>
      </c>
      <c r="P65" s="1227">
        <f t="shared" si="27"/>
        <v>20338.117459145076</v>
      </c>
      <c r="Q65" s="1227">
        <f t="shared" si="27"/>
        <v>20835.227854288012</v>
      </c>
      <c r="R65" s="1227">
        <f t="shared" si="27"/>
        <v>21332.338249430944</v>
      </c>
      <c r="S65" s="1227">
        <f t="shared" si="27"/>
        <v>21829.44864457388</v>
      </c>
      <c r="T65" s="1227">
        <f t="shared" si="27"/>
        <v>22326.559039716813</v>
      </c>
    </row>
    <row r="66" spans="10:20">
      <c r="J66" t="s">
        <v>1073</v>
      </c>
      <c r="K66" s="1560">
        <f>+F5</f>
        <v>14.129679811918985</v>
      </c>
      <c r="M66" t="s">
        <v>514</v>
      </c>
      <c r="N66" s="1227">
        <f t="shared" ref="N66:T66" si="28">+$K$62</f>
        <v>1113.8909999999998</v>
      </c>
      <c r="O66" s="1227">
        <f t="shared" si="28"/>
        <v>1113.8909999999998</v>
      </c>
      <c r="P66" s="1227">
        <f t="shared" si="28"/>
        <v>1113.8909999999998</v>
      </c>
      <c r="Q66" s="1227">
        <f t="shared" si="28"/>
        <v>1113.8909999999998</v>
      </c>
      <c r="R66" s="1227">
        <f t="shared" si="28"/>
        <v>1113.8909999999998</v>
      </c>
      <c r="S66" s="1227">
        <f t="shared" si="28"/>
        <v>1113.8909999999998</v>
      </c>
      <c r="T66" s="1227">
        <f t="shared" si="28"/>
        <v>1113.8909999999998</v>
      </c>
    </row>
    <row r="67" spans="10:20">
      <c r="J67" t="s">
        <v>1075</v>
      </c>
      <c r="K67" s="2001">
        <v>13.5</v>
      </c>
      <c r="M67" s="41" t="s">
        <v>368</v>
      </c>
      <c r="N67" s="1746">
        <f t="shared" ref="N67:T67" si="29">+N65/N66</f>
        <v>17.366058859313178</v>
      </c>
      <c r="O67" s="1746">
        <f t="shared" si="29"/>
        <v>17.812341660002772</v>
      </c>
      <c r="P67" s="1746">
        <f t="shared" si="29"/>
        <v>18.258624460692364</v>
      </c>
      <c r="Q67" s="1746">
        <f t="shared" si="29"/>
        <v>18.704907261381962</v>
      </c>
      <c r="R67" s="1746">
        <f t="shared" si="29"/>
        <v>19.151190062071556</v>
      </c>
      <c r="S67" s="1746">
        <f t="shared" si="29"/>
        <v>19.597472862761151</v>
      </c>
      <c r="T67" s="1746">
        <f t="shared" si="29"/>
        <v>20.043755663450746</v>
      </c>
    </row>
    <row r="68" spans="10:20">
      <c r="J68" t="s">
        <v>1074</v>
      </c>
      <c r="K68" s="2001">
        <v>0.5</v>
      </c>
    </row>
    <row r="71" spans="10:20">
      <c r="J71" t="s">
        <v>703</v>
      </c>
      <c r="M71" s="1748" t="s">
        <v>1819</v>
      </c>
      <c r="N71" s="1747"/>
      <c r="O71" s="1747"/>
      <c r="P71" s="1747"/>
      <c r="Q71" s="1747"/>
      <c r="R71" s="1747"/>
      <c r="S71" s="1747"/>
      <c r="T71" s="1747"/>
    </row>
    <row r="72" spans="10:20">
      <c r="J72" t="s">
        <v>1817</v>
      </c>
      <c r="K72" s="2002">
        <f ca="1">+IF(mode=1,Valuation!K149,'FFO-AFFO'!K72)</f>
        <v>1113.8909999999998</v>
      </c>
      <c r="M72" s="41" t="s">
        <v>367</v>
      </c>
      <c r="N72" s="1746">
        <f>+K77</f>
        <v>14</v>
      </c>
      <c r="O72" s="1746">
        <f t="shared" ref="O72:T72" si="30">+N72+$K$68</f>
        <v>14.5</v>
      </c>
      <c r="P72" s="1746">
        <f t="shared" si="30"/>
        <v>15</v>
      </c>
      <c r="Q72" s="1746">
        <f t="shared" si="30"/>
        <v>15.5</v>
      </c>
      <c r="R72" s="1746">
        <f t="shared" si="30"/>
        <v>16</v>
      </c>
      <c r="S72" s="1746">
        <f t="shared" si="30"/>
        <v>16.5</v>
      </c>
      <c r="T72" s="1746">
        <f t="shared" si="30"/>
        <v>17</v>
      </c>
    </row>
    <row r="73" spans="10:20">
      <c r="J73" t="s">
        <v>1077</v>
      </c>
      <c r="K73" s="2003">
        <f ca="1">+IF(mode=1,Valuation!K135,'FFO-AFFO'!K73)</f>
        <v>70.364000000000004</v>
      </c>
      <c r="M73" t="s">
        <v>366</v>
      </c>
      <c r="N73" s="1227">
        <f t="shared" ref="N73:T73" ca="1" si="31">+N72*$K$76</f>
        <v>197.81551736686578</v>
      </c>
      <c r="O73" s="1227">
        <f t="shared" ca="1" si="31"/>
        <v>204.88035727282528</v>
      </c>
      <c r="P73" s="1227">
        <f t="shared" ca="1" si="31"/>
        <v>211.94519717878478</v>
      </c>
      <c r="Q73" s="1227">
        <f t="shared" ca="1" si="31"/>
        <v>219.01003708474425</v>
      </c>
      <c r="R73" s="1227">
        <f t="shared" ca="1" si="31"/>
        <v>226.07487699070376</v>
      </c>
      <c r="S73" s="1227">
        <f t="shared" ca="1" si="31"/>
        <v>233.13971689666326</v>
      </c>
      <c r="T73" s="1227">
        <f t="shared" ca="1" si="31"/>
        <v>240.20455680262273</v>
      </c>
    </row>
    <row r="74" spans="10:20">
      <c r="J74" t="s">
        <v>1079</v>
      </c>
      <c r="K74" s="2002">
        <f ca="1">+IF(mode=1,Valuation!K140,'FFO-AFFO'!K74)</f>
        <v>6925.3099999999995</v>
      </c>
      <c r="M74" t="s">
        <v>1076</v>
      </c>
      <c r="N74" s="1227">
        <f t="shared" ref="N74:T74" ca="1" si="32">+N73*$K$73</f>
        <v>13919.091064002145</v>
      </c>
      <c r="O74" s="1227">
        <f t="shared" ca="1" si="32"/>
        <v>14416.201459145079</v>
      </c>
      <c r="P74" s="1227">
        <f t="shared" ca="1" si="32"/>
        <v>14913.311854288013</v>
      </c>
      <c r="Q74" s="1227">
        <f t="shared" ca="1" si="32"/>
        <v>15410.422249430945</v>
      </c>
      <c r="R74" s="1227">
        <f t="shared" ca="1" si="32"/>
        <v>15907.532644573879</v>
      </c>
      <c r="S74" s="1227">
        <f t="shared" ca="1" si="32"/>
        <v>16404.643039716815</v>
      </c>
      <c r="T74" s="1227">
        <f t="shared" ca="1" si="32"/>
        <v>16901.753434859747</v>
      </c>
    </row>
    <row r="75" spans="10:20">
      <c r="J75" t="s">
        <v>1086</v>
      </c>
      <c r="K75" s="2002">
        <f ca="1">+IF(mode=1,Valuation!K145,'FFO-AFFO'!K75)</f>
        <v>1003.3939999999997</v>
      </c>
      <c r="M75" t="s">
        <v>1078</v>
      </c>
      <c r="N75" s="1227">
        <f t="shared" ref="N75:T75" ca="1" si="33">+N74+$K$74-$K$75</f>
        <v>19841.007064002144</v>
      </c>
      <c r="O75" s="1227">
        <f t="shared" ca="1" si="33"/>
        <v>20338.117459145076</v>
      </c>
      <c r="P75" s="1227">
        <f t="shared" ca="1" si="33"/>
        <v>20835.227854288012</v>
      </c>
      <c r="Q75" s="1227">
        <f t="shared" ca="1" si="33"/>
        <v>21332.338249430944</v>
      </c>
      <c r="R75" s="1227">
        <f t="shared" ca="1" si="33"/>
        <v>21829.44864457388</v>
      </c>
      <c r="S75" s="1227">
        <f t="shared" ca="1" si="33"/>
        <v>22326.559039716813</v>
      </c>
      <c r="T75" s="1227">
        <f t="shared" ca="1" si="33"/>
        <v>22823.669434859745</v>
      </c>
    </row>
    <row r="76" spans="10:20">
      <c r="J76" t="s">
        <v>1073</v>
      </c>
      <c r="K76" s="1560">
        <f ca="1">+F13</f>
        <v>14.129679811918985</v>
      </c>
      <c r="M76" t="s">
        <v>514</v>
      </c>
      <c r="N76" s="1227">
        <f t="shared" ref="N76:T76" ca="1" si="34">+$K$72</f>
        <v>1113.8909999999998</v>
      </c>
      <c r="O76" s="1227">
        <f t="shared" ca="1" si="34"/>
        <v>1113.8909999999998</v>
      </c>
      <c r="P76" s="1227">
        <f t="shared" ca="1" si="34"/>
        <v>1113.8909999999998</v>
      </c>
      <c r="Q76" s="1227">
        <f t="shared" ca="1" si="34"/>
        <v>1113.8909999999998</v>
      </c>
      <c r="R76" s="1227">
        <f t="shared" ca="1" si="34"/>
        <v>1113.8909999999998</v>
      </c>
      <c r="S76" s="1227">
        <f t="shared" ca="1" si="34"/>
        <v>1113.8909999999998</v>
      </c>
      <c r="T76" s="1227">
        <f t="shared" ca="1" si="34"/>
        <v>1113.8909999999998</v>
      </c>
    </row>
    <row r="77" spans="10:20">
      <c r="J77" t="s">
        <v>1075</v>
      </c>
      <c r="K77" s="2001">
        <v>14</v>
      </c>
      <c r="M77" s="41" t="s">
        <v>368</v>
      </c>
      <c r="N77" s="1746">
        <f t="shared" ref="N77:T77" ca="1" si="35">+N75/N76</f>
        <v>17.812341660002772</v>
      </c>
      <c r="O77" s="1746">
        <f t="shared" ca="1" si="35"/>
        <v>18.258624460692364</v>
      </c>
      <c r="P77" s="1746">
        <f t="shared" ca="1" si="35"/>
        <v>18.704907261381962</v>
      </c>
      <c r="Q77" s="1746">
        <f t="shared" ca="1" si="35"/>
        <v>19.151190062071556</v>
      </c>
      <c r="R77" s="1746">
        <f t="shared" ca="1" si="35"/>
        <v>19.597472862761151</v>
      </c>
      <c r="S77" s="1746">
        <f t="shared" ca="1" si="35"/>
        <v>20.043755663450746</v>
      </c>
      <c r="T77" s="1746">
        <f t="shared" ca="1" si="35"/>
        <v>20.490038464140341</v>
      </c>
    </row>
    <row r="78" spans="10:20">
      <c r="J78" t="s">
        <v>1074</v>
      </c>
      <c r="K78" s="2001">
        <v>0.5</v>
      </c>
    </row>
  </sheetData>
  <phoneticPr fontId="2" type="noConversion"/>
  <pageMargins left="0.75" right="0.75" top="1" bottom="1" header="0.5" footer="0.5"/>
  <pageSetup scale="48" orientation="landscape" r:id="rId1"/>
  <headerFooter alignWithMargins="0"/>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B2:CK72"/>
  <sheetViews>
    <sheetView showGridLines="0" zoomScale="85" workbookViewId="0"/>
  </sheetViews>
  <sheetFormatPr defaultRowHeight="12.75" outlineLevelCol="1"/>
  <cols>
    <col min="2" max="2" width="24.42578125" customWidth="1"/>
    <col min="3" max="3" width="2.140625" customWidth="1"/>
    <col min="4" max="13" width="9.140625" hidden="1" customWidth="1" outlineLevel="1"/>
    <col min="14" max="14" width="9.140625" hidden="1" customWidth="1" outlineLevel="1" collapsed="1"/>
    <col min="15" max="15" width="0" hidden="1" customWidth="1" outlineLevel="1" collapsed="1"/>
    <col min="16" max="16" width="9.140625" collapsed="1"/>
    <col min="21" max="26" width="0" hidden="1" customWidth="1" outlineLevel="1"/>
    <col min="27" max="27" width="9.140625" collapsed="1"/>
    <col min="28" max="79" width="0" hidden="1" customWidth="1" outlineLevel="1"/>
    <col min="80" max="80" width="9.140625" collapsed="1"/>
  </cols>
  <sheetData>
    <row r="2" spans="2:89">
      <c r="B2" s="773" t="s">
        <v>1122</v>
      </c>
      <c r="C2" s="974"/>
      <c r="D2" s="15"/>
      <c r="E2" s="774"/>
      <c r="F2" s="121"/>
      <c r="G2" s="121"/>
      <c r="H2" s="121"/>
      <c r="I2" s="775" t="s">
        <v>1052</v>
      </c>
      <c r="J2" s="775"/>
      <c r="K2" s="775"/>
      <c r="L2" s="776"/>
      <c r="M2" s="776"/>
      <c r="N2" s="775"/>
      <c r="O2" s="775"/>
      <c r="P2" s="775"/>
      <c r="Q2" s="775"/>
      <c r="R2" s="775"/>
      <c r="S2" s="775"/>
      <c r="T2" s="775"/>
      <c r="U2" s="775"/>
      <c r="V2" s="775"/>
      <c r="W2" s="775"/>
      <c r="X2" s="775"/>
      <c r="Y2" s="775"/>
      <c r="Z2" s="779"/>
      <c r="AA2" s="778"/>
      <c r="AB2" s="776" t="s">
        <v>1242</v>
      </c>
      <c r="AC2" s="775"/>
      <c r="AD2" s="775"/>
      <c r="AE2" s="779"/>
      <c r="AF2" s="776" t="s">
        <v>1241</v>
      </c>
      <c r="AG2" s="775"/>
      <c r="AH2" s="775"/>
      <c r="AI2" s="779"/>
      <c r="AJ2" s="776" t="s">
        <v>1240</v>
      </c>
      <c r="AK2" s="775"/>
      <c r="AL2" s="775"/>
      <c r="AM2" s="779"/>
      <c r="AN2" s="776" t="s">
        <v>1239</v>
      </c>
      <c r="AO2" s="775"/>
      <c r="AP2" s="775"/>
      <c r="AQ2" s="779"/>
      <c r="AR2" s="776" t="s">
        <v>1238</v>
      </c>
      <c r="AS2" s="775"/>
      <c r="AT2" s="775"/>
      <c r="AU2" s="779"/>
      <c r="AV2" s="776" t="s">
        <v>1059</v>
      </c>
      <c r="AW2" s="775"/>
      <c r="AX2" s="775"/>
      <c r="AY2" s="779"/>
      <c r="AZ2" s="776" t="s">
        <v>1058</v>
      </c>
      <c r="BA2" s="775"/>
      <c r="BB2" s="775"/>
      <c r="BC2" s="779"/>
      <c r="BD2" s="776" t="s">
        <v>1057</v>
      </c>
      <c r="BE2" s="775"/>
      <c r="BF2" s="775"/>
      <c r="BG2" s="779"/>
      <c r="BH2" s="776" t="s">
        <v>1234</v>
      </c>
      <c r="BI2" s="775"/>
      <c r="BJ2" s="775"/>
      <c r="BK2" s="779"/>
      <c r="BL2" s="776" t="s">
        <v>843</v>
      </c>
      <c r="BM2" s="775"/>
      <c r="BN2" s="775"/>
      <c r="BO2" s="779"/>
      <c r="BP2" s="776" t="s">
        <v>634</v>
      </c>
      <c r="BQ2" s="775"/>
      <c r="BR2" s="775"/>
      <c r="BS2" s="779"/>
      <c r="BT2" s="776">
        <v>2011</v>
      </c>
      <c r="BU2" s="775"/>
      <c r="BV2" s="775"/>
      <c r="BW2" s="779"/>
      <c r="BX2" s="779" t="s">
        <v>1343</v>
      </c>
      <c r="BY2" s="779"/>
      <c r="BZ2" s="779"/>
      <c r="CA2" s="779"/>
      <c r="CB2" s="2008">
        <f>Rev!CF5</f>
        <v>2013</v>
      </c>
      <c r="CC2" s="2008"/>
      <c r="CD2" s="2008"/>
      <c r="CE2" s="2008"/>
      <c r="CF2" s="2008">
        <f>Rev!CJ5</f>
        <v>2014</v>
      </c>
      <c r="CG2" s="2008"/>
      <c r="CH2" s="2008"/>
      <c r="CI2" s="2008"/>
      <c r="CJ2" s="15"/>
      <c r="CK2" s="15"/>
    </row>
    <row r="3" spans="2:89">
      <c r="B3" s="773"/>
      <c r="C3" s="974"/>
      <c r="D3" s="15"/>
      <c r="E3" s="780" t="s">
        <v>1242</v>
      </c>
      <c r="F3" s="781" t="s">
        <v>1241</v>
      </c>
      <c r="G3" s="781" t="s">
        <v>1240</v>
      </c>
      <c r="H3" s="781" t="s">
        <v>1239</v>
      </c>
      <c r="I3" s="781" t="s">
        <v>1238</v>
      </c>
      <c r="J3" s="781" t="s">
        <v>1059</v>
      </c>
      <c r="K3" s="781" t="s">
        <v>1058</v>
      </c>
      <c r="L3" s="781" t="s">
        <v>1057</v>
      </c>
      <c r="M3" s="780" t="s">
        <v>1234</v>
      </c>
      <c r="N3" s="781" t="s">
        <v>843</v>
      </c>
      <c r="O3" s="781" t="s">
        <v>634</v>
      </c>
      <c r="P3" s="781" t="s">
        <v>1306</v>
      </c>
      <c r="Q3" s="781" t="s">
        <v>986</v>
      </c>
      <c r="R3" s="781" t="s">
        <v>1043</v>
      </c>
      <c r="S3" s="781" t="s">
        <v>1049</v>
      </c>
      <c r="T3" s="781" t="s">
        <v>191</v>
      </c>
      <c r="U3" s="781" t="s">
        <v>192</v>
      </c>
      <c r="V3" s="781" t="s">
        <v>193</v>
      </c>
      <c r="W3" s="781" t="s">
        <v>194</v>
      </c>
      <c r="X3" s="781" t="s">
        <v>276</v>
      </c>
      <c r="Y3" s="781" t="s">
        <v>277</v>
      </c>
      <c r="Z3" s="781" t="s">
        <v>880</v>
      </c>
      <c r="AA3" s="778"/>
      <c r="AB3" s="780" t="s">
        <v>131</v>
      </c>
      <c r="AC3" s="781" t="s">
        <v>132</v>
      </c>
      <c r="AD3" s="781" t="s">
        <v>133</v>
      </c>
      <c r="AE3" s="782" t="s">
        <v>134</v>
      </c>
      <c r="AF3" s="780" t="s">
        <v>102</v>
      </c>
      <c r="AG3" s="781" t="s">
        <v>103</v>
      </c>
      <c r="AH3" s="781" t="s">
        <v>104</v>
      </c>
      <c r="AI3" s="782" t="s">
        <v>105</v>
      </c>
      <c r="AJ3" s="780" t="s">
        <v>106</v>
      </c>
      <c r="AK3" s="781" t="s">
        <v>107</v>
      </c>
      <c r="AL3" s="781" t="s">
        <v>108</v>
      </c>
      <c r="AM3" s="782" t="s">
        <v>109</v>
      </c>
      <c r="AN3" s="780" t="s">
        <v>110</v>
      </c>
      <c r="AO3" s="781" t="s">
        <v>111</v>
      </c>
      <c r="AP3" s="781" t="s">
        <v>112</v>
      </c>
      <c r="AQ3" s="782" t="s">
        <v>113</v>
      </c>
      <c r="AR3" s="780" t="s">
        <v>114</v>
      </c>
      <c r="AS3" s="781" t="s">
        <v>115</v>
      </c>
      <c r="AT3" s="781" t="s">
        <v>116</v>
      </c>
      <c r="AU3" s="782" t="s">
        <v>117</v>
      </c>
      <c r="AV3" s="780" t="s">
        <v>118</v>
      </c>
      <c r="AW3" s="781" t="s">
        <v>119</v>
      </c>
      <c r="AX3" s="781" t="s">
        <v>120</v>
      </c>
      <c r="AY3" s="782" t="s">
        <v>121</v>
      </c>
      <c r="AZ3" s="780" t="s">
        <v>122</v>
      </c>
      <c r="BA3" s="781" t="s">
        <v>123</v>
      </c>
      <c r="BB3" s="781" t="s">
        <v>124</v>
      </c>
      <c r="BC3" s="782" t="s">
        <v>125</v>
      </c>
      <c r="BD3" s="780" t="s">
        <v>126</v>
      </c>
      <c r="BE3" s="781" t="s">
        <v>49</v>
      </c>
      <c r="BF3" s="781" t="s">
        <v>48</v>
      </c>
      <c r="BG3" s="782" t="s">
        <v>1513</v>
      </c>
      <c r="BH3" s="780" t="s">
        <v>1487</v>
      </c>
      <c r="BI3" s="781" t="s">
        <v>1488</v>
      </c>
      <c r="BJ3" s="781" t="s">
        <v>1492</v>
      </c>
      <c r="BK3" s="782" t="s">
        <v>1493</v>
      </c>
      <c r="BL3" s="780" t="s">
        <v>147</v>
      </c>
      <c r="BM3" s="781" t="s">
        <v>197</v>
      </c>
      <c r="BN3" s="781" t="s">
        <v>250</v>
      </c>
      <c r="BO3" s="781" t="s">
        <v>251</v>
      </c>
      <c r="BP3" s="780" t="s">
        <v>249</v>
      </c>
      <c r="BQ3" s="781" t="s">
        <v>252</v>
      </c>
      <c r="BR3" s="781" t="s">
        <v>1466</v>
      </c>
      <c r="BS3" s="781" t="s">
        <v>1378</v>
      </c>
      <c r="BT3" s="780" t="s">
        <v>1791</v>
      </c>
      <c r="BU3" s="781" t="s">
        <v>1790</v>
      </c>
      <c r="BV3" s="781" t="s">
        <v>1381</v>
      </c>
      <c r="BW3" s="782" t="s">
        <v>881</v>
      </c>
      <c r="BX3" s="780" t="s">
        <v>683</v>
      </c>
      <c r="BY3" s="781" t="s">
        <v>1622</v>
      </c>
      <c r="BZ3" s="781" t="s">
        <v>799</v>
      </c>
      <c r="CA3" s="782" t="s">
        <v>1723</v>
      </c>
      <c r="CB3" s="2009" t="str">
        <f>Rev!CF6</f>
        <v>1Q13</v>
      </c>
      <c r="CC3" s="2010" t="str">
        <f>Rev!CG6</f>
        <v>2Q13</v>
      </c>
      <c r="CD3" s="2010" t="str">
        <f>Rev!CH6</f>
        <v>3Q13</v>
      </c>
      <c r="CE3" s="2011" t="str">
        <f>Rev!CI6</f>
        <v>4Q13</v>
      </c>
      <c r="CF3" s="2009" t="str">
        <f>Rev!CJ6</f>
        <v>1Q14</v>
      </c>
      <c r="CG3" s="2010" t="str">
        <f>Rev!CK6</f>
        <v>2Q14</v>
      </c>
      <c r="CH3" s="2010" t="str">
        <f>Rev!CL6</f>
        <v>3Q14</v>
      </c>
      <c r="CI3" s="2011" t="str">
        <f>Rev!CM6</f>
        <v>4Q14</v>
      </c>
      <c r="CJ3" s="15"/>
      <c r="CK3" s="15"/>
    </row>
    <row r="5" spans="2:89">
      <c r="B5" s="146" t="s">
        <v>309</v>
      </c>
      <c r="C5" s="2004"/>
      <c r="D5" s="2004"/>
      <c r="E5" s="2004"/>
      <c r="F5" s="2004"/>
      <c r="G5" s="2004"/>
      <c r="H5" s="2004"/>
      <c r="I5" s="2004"/>
      <c r="J5" s="2004"/>
      <c r="K5" s="2004"/>
      <c r="L5" s="2004"/>
      <c r="M5" s="2004"/>
      <c r="N5" s="2004"/>
      <c r="O5" s="2004"/>
      <c r="P5" s="2004"/>
      <c r="Q5" s="2004"/>
      <c r="R5" s="2004"/>
      <c r="S5" s="2004"/>
      <c r="T5" s="2004"/>
      <c r="U5" s="2004"/>
      <c r="V5" s="2004"/>
      <c r="W5" s="2004"/>
      <c r="X5" s="2004"/>
      <c r="Y5" s="2004"/>
      <c r="Z5" s="2004"/>
      <c r="AA5" s="2004"/>
      <c r="AB5" s="2004"/>
      <c r="AC5" s="2004"/>
      <c r="AD5" s="2004"/>
      <c r="AE5" s="2004"/>
      <c r="AF5" s="2004"/>
      <c r="AG5" s="2004"/>
      <c r="AH5" s="2004"/>
      <c r="AI5" s="2004"/>
      <c r="AJ5" s="2004"/>
      <c r="AK5" s="2004"/>
      <c r="AL5" s="2004"/>
      <c r="AM5" s="2004"/>
      <c r="AN5" s="2004"/>
      <c r="AO5" s="2004"/>
      <c r="AP5" s="2004"/>
      <c r="AQ5" s="2004"/>
      <c r="AR5" s="2004"/>
      <c r="AS5" s="2004"/>
      <c r="AT5" s="2004"/>
      <c r="AU5" s="2004"/>
      <c r="AV5" s="2004"/>
      <c r="AW5" s="2004"/>
      <c r="AX5" s="2004"/>
      <c r="AY5" s="2004"/>
      <c r="AZ5" s="2004"/>
      <c r="BA5" s="2004"/>
      <c r="BB5" s="2004"/>
      <c r="BC5" s="2004"/>
      <c r="BD5" s="2004"/>
      <c r="BE5" s="2004"/>
      <c r="BF5" s="2004"/>
      <c r="BG5" s="2004"/>
      <c r="BH5" s="2004"/>
      <c r="BI5" s="2004"/>
      <c r="BJ5" s="2004"/>
      <c r="BK5" s="2004"/>
      <c r="BL5" s="2004"/>
      <c r="BM5" s="2004"/>
      <c r="BN5" s="2004"/>
      <c r="BO5" s="2004"/>
      <c r="BP5" s="2004"/>
      <c r="BQ5" s="2004"/>
      <c r="BR5" s="2004"/>
      <c r="BS5" s="2004"/>
      <c r="BT5" s="2004"/>
      <c r="BU5" s="2004"/>
      <c r="BV5" s="2004"/>
      <c r="BW5" s="2004"/>
      <c r="BX5" s="2004"/>
      <c r="BY5" s="2004"/>
      <c r="BZ5" s="2004"/>
      <c r="CA5" s="2004"/>
      <c r="CB5" s="2004"/>
      <c r="CC5" s="2004"/>
      <c r="CD5" s="2004"/>
      <c r="CE5" s="2004"/>
      <c r="CF5" s="2004"/>
      <c r="CG5" s="2004"/>
      <c r="CH5" s="2004"/>
      <c r="CI5" s="2004"/>
    </row>
    <row r="6" spans="2:89">
      <c r="B6" t="s">
        <v>1372</v>
      </c>
      <c r="E6" s="194"/>
      <c r="F6" s="194"/>
      <c r="G6" s="194"/>
      <c r="H6" s="194"/>
      <c r="I6" s="194"/>
      <c r="J6" s="194"/>
      <c r="K6" s="194"/>
      <c r="L6" s="194"/>
      <c r="M6" s="194"/>
      <c r="N6" s="2005">
        <f>Rev!N695</f>
        <v>60800</v>
      </c>
      <c r="O6" s="2005">
        <f>Rev!O695</f>
        <v>86600</v>
      </c>
      <c r="P6" s="2005">
        <f>Rev!P695</f>
        <v>90400</v>
      </c>
      <c r="Q6" s="2005">
        <f>Rev!Q695</f>
        <v>108100</v>
      </c>
      <c r="R6" s="2005">
        <f>Rev!R695</f>
        <v>117200</v>
      </c>
      <c r="S6" s="2005">
        <f>Rev!S695</f>
        <v>125000</v>
      </c>
      <c r="T6" s="2005">
        <f>Rev!T695</f>
        <v>139900</v>
      </c>
      <c r="U6" s="2005">
        <f>Rev!U695</f>
        <v>197600</v>
      </c>
      <c r="V6" s="2005">
        <f>Rev!V695</f>
        <v>241000</v>
      </c>
      <c r="W6" s="2005">
        <f>Rev!W695</f>
        <v>263605</v>
      </c>
      <c r="X6" s="2005">
        <f>Rev!X695</f>
        <v>285380</v>
      </c>
      <c r="Y6" s="2005">
        <f>Rev!Y695</f>
        <v>305000</v>
      </c>
      <c r="Z6" s="2005">
        <f>Rev!Z695</f>
        <v>324492</v>
      </c>
      <c r="AA6" s="2005"/>
      <c r="AB6" s="2005"/>
      <c r="AC6" s="2005"/>
      <c r="AD6" s="2005"/>
      <c r="AE6" s="2005"/>
      <c r="AF6" s="2005"/>
      <c r="AG6" s="2005"/>
      <c r="AH6" s="2005"/>
      <c r="AI6" s="2005"/>
      <c r="AJ6" s="2005"/>
      <c r="AK6" s="2005"/>
      <c r="AL6" s="2005"/>
      <c r="AM6" s="2005"/>
      <c r="AN6" s="2005"/>
      <c r="AO6" s="2005"/>
      <c r="AP6" s="2005"/>
      <c r="AQ6" s="2005"/>
      <c r="AR6" s="2005"/>
      <c r="AS6" s="2005"/>
      <c r="AT6" s="2005"/>
      <c r="AU6" s="2005"/>
      <c r="AV6" s="2005"/>
      <c r="AW6" s="2005"/>
      <c r="AX6" s="2005"/>
      <c r="AY6" s="2005"/>
      <c r="AZ6" s="2005"/>
      <c r="BA6" s="2005"/>
      <c r="BB6" s="2005"/>
      <c r="BC6" s="2005"/>
      <c r="BD6" s="2005"/>
      <c r="BE6" s="2005"/>
      <c r="BF6" s="2005">
        <f>Rev!BJ695</f>
        <v>25900</v>
      </c>
      <c r="BG6" s="2005">
        <f>Rev!BK695</f>
        <v>30100</v>
      </c>
      <c r="BH6" s="2005">
        <f>Rev!BL695</f>
        <v>30100</v>
      </c>
      <c r="BI6" s="2005">
        <f>Rev!BM695</f>
        <v>33300</v>
      </c>
      <c r="BJ6" s="2005">
        <f>Rev!BN695</f>
        <v>33800</v>
      </c>
      <c r="BK6" s="2005">
        <f>Rev!BO695</f>
        <v>34200</v>
      </c>
      <c r="BL6" s="2005">
        <f>Rev!BP695</f>
        <v>67819.867549668881</v>
      </c>
      <c r="BM6" s="2005">
        <f>Rev!BQ695</f>
        <v>69142.483660130718</v>
      </c>
      <c r="BN6" s="2005">
        <f>Rev!BR695</f>
        <v>72255.459272097054</v>
      </c>
      <c r="BO6" s="2005">
        <f>Rev!BS695</f>
        <v>74809.787928221864</v>
      </c>
      <c r="BP6" s="2005">
        <f>Rev!BT695</f>
        <v>77903.139717425423</v>
      </c>
      <c r="BQ6" s="2005">
        <f>Rev!BU695</f>
        <v>78700</v>
      </c>
      <c r="BR6" s="2005">
        <f>Rev!BV695</f>
        <v>81400</v>
      </c>
      <c r="BS6" s="2005">
        <f>Rev!BW695</f>
        <v>82900</v>
      </c>
      <c r="BT6" s="2005">
        <f>Rev!BX695</f>
        <v>84600</v>
      </c>
      <c r="BU6" s="2005">
        <f>Rev!BY695</f>
        <v>91300</v>
      </c>
      <c r="BV6" s="2005">
        <f>Rev!BZ695</f>
        <v>89000</v>
      </c>
      <c r="BW6" s="2005">
        <f>Rev!CA695</f>
        <v>90400</v>
      </c>
      <c r="BX6" s="2005">
        <f>Rev!CB695</f>
        <v>91200</v>
      </c>
      <c r="BY6" s="2005">
        <f>Rev!CC695</f>
        <v>92890</v>
      </c>
      <c r="BZ6" s="2005">
        <f>Rev!CD695</f>
        <v>106800</v>
      </c>
      <c r="CA6" s="2005">
        <f>Rev!CE695</f>
        <v>108100</v>
      </c>
      <c r="CB6" s="2005">
        <f>Rev!CF695</f>
        <v>110800</v>
      </c>
      <c r="CC6" s="2005">
        <f>Rev!CG695</f>
        <v>112400</v>
      </c>
      <c r="CD6" s="2005">
        <f>Rev!CH695</f>
        <v>113800</v>
      </c>
      <c r="CE6" s="2005">
        <f>Rev!CI695</f>
        <v>117200</v>
      </c>
      <c r="CF6" s="2005">
        <f>Rev!CJ695</f>
        <v>119400</v>
      </c>
      <c r="CG6" s="2005">
        <f>Rev!CK695</f>
        <v>120500</v>
      </c>
      <c r="CH6" s="2005">
        <f>Rev!CL695</f>
        <v>121500</v>
      </c>
      <c r="CI6" s="2005">
        <f>Rev!CM695</f>
        <v>125000</v>
      </c>
    </row>
    <row r="7" spans="2:89" s="580" customFormat="1">
      <c r="B7" s="246" t="s">
        <v>1322</v>
      </c>
      <c r="N7" s="1661"/>
      <c r="O7" s="1661">
        <f>+O6/N6-1</f>
        <v>0.42434210526315796</v>
      </c>
      <c r="P7" s="2007">
        <f t="shared" ref="P7:Z7" si="0">+P6/O6-1</f>
        <v>4.387990762124705E-2</v>
      </c>
      <c r="Q7" s="2007">
        <f t="shared" si="0"/>
        <v>0.19579646017699126</v>
      </c>
      <c r="R7" s="2007">
        <f t="shared" si="0"/>
        <v>8.418131359851988E-2</v>
      </c>
      <c r="S7" s="2007">
        <f t="shared" si="0"/>
        <v>6.6552901023890776E-2</v>
      </c>
      <c r="T7" s="2007">
        <f t="shared" si="0"/>
        <v>0.11919999999999997</v>
      </c>
      <c r="U7" s="2007">
        <f t="shared" si="0"/>
        <v>0.41243745532523235</v>
      </c>
      <c r="V7" s="2007">
        <f t="shared" si="0"/>
        <v>0.21963562753036436</v>
      </c>
      <c r="W7" s="2007">
        <f t="shared" si="0"/>
        <v>9.3796680497925333E-2</v>
      </c>
      <c r="X7" s="2007">
        <f t="shared" si="0"/>
        <v>8.2604654691678769E-2</v>
      </c>
      <c r="Y7" s="2007">
        <f t="shared" si="0"/>
        <v>6.8750438012474602E-2</v>
      </c>
      <c r="Z7" s="2007">
        <f t="shared" si="0"/>
        <v>6.3908196721311539E-2</v>
      </c>
      <c r="AA7" s="2007"/>
      <c r="AB7" s="2007"/>
      <c r="AC7" s="2007"/>
      <c r="AD7" s="2007"/>
      <c r="AE7" s="2007"/>
      <c r="AF7" s="2007"/>
      <c r="AG7" s="2007"/>
      <c r="AH7" s="2007"/>
      <c r="AI7" s="2007"/>
      <c r="AJ7" s="2007"/>
      <c r="AK7" s="2007"/>
      <c r="AL7" s="2007"/>
      <c r="AM7" s="2007"/>
      <c r="AN7" s="2007"/>
      <c r="AO7" s="2007"/>
      <c r="AP7" s="2007"/>
      <c r="AQ7" s="2007"/>
      <c r="AR7" s="2007"/>
      <c r="AS7" s="2007"/>
      <c r="AT7" s="2007"/>
      <c r="AU7" s="2007"/>
      <c r="AV7" s="2007"/>
      <c r="AW7" s="2007"/>
      <c r="AX7" s="2007"/>
      <c r="AY7" s="2007"/>
      <c r="AZ7" s="2007"/>
      <c r="BA7" s="2007"/>
      <c r="BB7" s="2007"/>
      <c r="BC7" s="2007"/>
      <c r="BD7" s="2007"/>
      <c r="BE7" s="2007"/>
      <c r="BF7" s="2007"/>
      <c r="BG7" s="2007"/>
      <c r="BH7" s="2007"/>
      <c r="BI7" s="2007"/>
      <c r="BJ7" s="2007">
        <f>+BJ6/BF6-1</f>
        <v>0.30501930501930508</v>
      </c>
      <c r="BK7" s="2007">
        <f t="shared" ref="BK7:CI7" si="1">+BK6/BG6-1</f>
        <v>0.1362126245847175</v>
      </c>
      <c r="BL7" s="2007">
        <f t="shared" si="1"/>
        <v>1.2531517458361754</v>
      </c>
      <c r="BM7" s="2007">
        <f t="shared" si="1"/>
        <v>1.076350860664586</v>
      </c>
      <c r="BN7" s="2007">
        <f t="shared" si="1"/>
        <v>1.1377354814229896</v>
      </c>
      <c r="BO7" s="2007">
        <f t="shared" si="1"/>
        <v>1.1874206996556103</v>
      </c>
      <c r="BP7" s="2007">
        <f t="shared" si="1"/>
        <v>0.14867726128146597</v>
      </c>
      <c r="BQ7" s="2007">
        <f t="shared" si="1"/>
        <v>0.13822928876621177</v>
      </c>
      <c r="BR7" s="2007">
        <f t="shared" si="1"/>
        <v>0.12655847488930561</v>
      </c>
      <c r="BS7" s="2007">
        <f t="shared" si="1"/>
        <v>0.10814376428309758</v>
      </c>
      <c r="BT7" s="2007">
        <f t="shared" si="1"/>
        <v>8.5963932992505709E-2</v>
      </c>
      <c r="BU7" s="2007">
        <f t="shared" si="1"/>
        <v>0.16010165184243963</v>
      </c>
      <c r="BV7" s="2007">
        <f t="shared" si="1"/>
        <v>9.3366093366093361E-2</v>
      </c>
      <c r="BW7" s="2007">
        <f t="shared" si="1"/>
        <v>9.0470446320868536E-2</v>
      </c>
      <c r="BX7" s="2007">
        <f t="shared" si="1"/>
        <v>7.8014184397163122E-2</v>
      </c>
      <c r="BY7" s="2007">
        <f t="shared" si="1"/>
        <v>1.7415115005476434E-2</v>
      </c>
      <c r="BZ7" s="2007">
        <f t="shared" si="1"/>
        <v>0.19999999999999996</v>
      </c>
      <c r="CA7" s="2007">
        <f t="shared" si="1"/>
        <v>0.19579646017699126</v>
      </c>
      <c r="CB7" s="2007">
        <f t="shared" si="1"/>
        <v>0.21491228070175428</v>
      </c>
      <c r="CC7" s="2007">
        <f t="shared" si="1"/>
        <v>0.21003337280654533</v>
      </c>
      <c r="CD7" s="2007">
        <f t="shared" si="1"/>
        <v>6.5543071161048738E-2</v>
      </c>
      <c r="CE7" s="2007">
        <f t="shared" si="1"/>
        <v>8.418131359851988E-2</v>
      </c>
      <c r="CF7" s="2007">
        <f t="shared" si="1"/>
        <v>7.7617328519855588E-2</v>
      </c>
      <c r="CG7" s="2007">
        <f t="shared" si="1"/>
        <v>7.2064056939501686E-2</v>
      </c>
      <c r="CH7" s="2007">
        <f t="shared" si="1"/>
        <v>6.7662565905096672E-2</v>
      </c>
      <c r="CI7" s="2007">
        <f t="shared" si="1"/>
        <v>6.6552901023890776E-2</v>
      </c>
    </row>
    <row r="8" spans="2:89" s="580" customFormat="1">
      <c r="B8" s="246" t="s">
        <v>95</v>
      </c>
      <c r="P8" s="1661"/>
      <c r="Q8" s="1661"/>
      <c r="R8" s="1661"/>
      <c r="S8" s="1661"/>
      <c r="T8" s="1661"/>
      <c r="U8" s="1661"/>
      <c r="V8" s="1661"/>
      <c r="W8" s="1661"/>
      <c r="X8" s="1661"/>
      <c r="Y8" s="1661"/>
      <c r="Z8" s="1661"/>
      <c r="AA8" s="1661"/>
      <c r="AB8" s="1661"/>
      <c r="AC8" s="1661"/>
      <c r="AD8" s="1661"/>
      <c r="AE8" s="1661"/>
      <c r="AF8" s="1661"/>
      <c r="AG8" s="1661"/>
      <c r="AH8" s="1661"/>
      <c r="AI8" s="1661"/>
      <c r="AJ8" s="1661"/>
      <c r="AK8" s="1661"/>
      <c r="AL8" s="1661"/>
      <c r="AM8" s="1661"/>
      <c r="AN8" s="1661"/>
      <c r="AO8" s="1661"/>
      <c r="AP8" s="1661"/>
      <c r="AQ8" s="1661"/>
      <c r="AR8" s="1661"/>
      <c r="AS8" s="1661"/>
      <c r="AT8" s="1661"/>
      <c r="AU8" s="1661"/>
      <c r="AV8" s="1661"/>
      <c r="AW8" s="1661"/>
      <c r="AX8" s="1661"/>
      <c r="AY8" s="1661"/>
      <c r="AZ8" s="1661"/>
      <c r="BA8" s="1661"/>
      <c r="BB8" s="1661"/>
      <c r="BC8" s="1661"/>
      <c r="BD8" s="1661"/>
      <c r="BE8" s="1661"/>
      <c r="BF8" s="1661"/>
      <c r="BG8" s="1661">
        <f>+BG6/BF6-1</f>
        <v>0.16216216216216206</v>
      </c>
      <c r="BH8" s="1661">
        <f>+BH6/BG6-1</f>
        <v>0</v>
      </c>
      <c r="BI8" s="1661">
        <f>+BI6/BH6-1</f>
        <v>0.10631229235880402</v>
      </c>
      <c r="BJ8" s="1661">
        <f>+BJ6/BI6-1</f>
        <v>1.501501501501501E-2</v>
      </c>
      <c r="BK8" s="1661">
        <f t="shared" ref="BK8:CI8" si="2">+BK6/BJ6-1</f>
        <v>1.1834319526627279E-2</v>
      </c>
      <c r="BL8" s="1661">
        <f t="shared" si="2"/>
        <v>0.98303706285581516</v>
      </c>
      <c r="BM8" s="1661">
        <f t="shared" si="2"/>
        <v>1.9501897574382587E-2</v>
      </c>
      <c r="BN8" s="1661">
        <f t="shared" si="2"/>
        <v>4.5022617747839888E-2</v>
      </c>
      <c r="BO8" s="1661">
        <f t="shared" si="2"/>
        <v>3.5351358663513688E-2</v>
      </c>
      <c r="BP8" s="1661">
        <f t="shared" si="2"/>
        <v>4.1349559661518542E-2</v>
      </c>
      <c r="BQ8" s="1661">
        <f t="shared" si="2"/>
        <v>1.0228859651420841E-2</v>
      </c>
      <c r="BR8" s="1661">
        <f t="shared" si="2"/>
        <v>3.4307496823379857E-2</v>
      </c>
      <c r="BS8" s="1661">
        <f t="shared" si="2"/>
        <v>1.8427518427518441E-2</v>
      </c>
      <c r="BT8" s="1661">
        <f t="shared" si="2"/>
        <v>2.0506634499396936E-2</v>
      </c>
      <c r="BU8" s="1661">
        <f t="shared" si="2"/>
        <v>7.9196217494089893E-2</v>
      </c>
      <c r="BV8" s="1661">
        <f t="shared" si="2"/>
        <v>-2.5191675794085433E-2</v>
      </c>
      <c r="BW8" s="1661">
        <f t="shared" si="2"/>
        <v>1.5730337078651679E-2</v>
      </c>
      <c r="BX8" s="1661">
        <f t="shared" si="2"/>
        <v>8.8495575221239076E-3</v>
      </c>
      <c r="BY8" s="1661">
        <f t="shared" si="2"/>
        <v>1.853070175438587E-2</v>
      </c>
      <c r="BZ8" s="1661">
        <f t="shared" si="2"/>
        <v>0.14974701259554313</v>
      </c>
      <c r="CA8" s="1661">
        <f t="shared" si="2"/>
        <v>1.2172284644194731E-2</v>
      </c>
      <c r="CB8" s="1661">
        <f t="shared" si="2"/>
        <v>2.4976873265494914E-2</v>
      </c>
      <c r="CC8" s="1661">
        <f t="shared" si="2"/>
        <v>1.4440433212996373E-2</v>
      </c>
      <c r="CD8" s="1661">
        <f t="shared" si="2"/>
        <v>1.245551601423478E-2</v>
      </c>
      <c r="CE8" s="1661">
        <f t="shared" si="2"/>
        <v>2.987697715289972E-2</v>
      </c>
      <c r="CF8" s="1661">
        <f t="shared" si="2"/>
        <v>1.8771331058020424E-2</v>
      </c>
      <c r="CG8" s="1661">
        <f t="shared" si="2"/>
        <v>9.2127303182578668E-3</v>
      </c>
      <c r="CH8" s="1661">
        <f t="shared" si="2"/>
        <v>8.2987551867219622E-3</v>
      </c>
      <c r="CI8" s="1661">
        <f t="shared" si="2"/>
        <v>2.8806584362139898E-2</v>
      </c>
    </row>
    <row r="9" spans="2:89">
      <c r="B9" t="s">
        <v>1356</v>
      </c>
      <c r="N9" s="1578">
        <f>Rev!N697</f>
        <v>56688</v>
      </c>
      <c r="O9" s="1578">
        <f>Rev!O697</f>
        <v>63900</v>
      </c>
      <c r="P9" s="2005">
        <f>Rev!P697</f>
        <v>72400</v>
      </c>
      <c r="Q9" s="2005">
        <f>Rev!Q697</f>
        <v>82000</v>
      </c>
      <c r="R9" s="2005">
        <f>Rev!R697</f>
        <v>89100</v>
      </c>
      <c r="S9" s="2005">
        <f>Rev!S697</f>
        <v>98600</v>
      </c>
      <c r="T9" s="2005">
        <f>Rev!T697</f>
        <v>113700</v>
      </c>
      <c r="U9" s="2005">
        <f>Rev!U697</f>
        <v>157400</v>
      </c>
      <c r="V9" s="2005">
        <f>Rev!V697</f>
        <v>195100</v>
      </c>
      <c r="W9" s="2005">
        <f>Rev!W697</f>
        <v>211901.57500000001</v>
      </c>
      <c r="X9" s="2005">
        <f>Rev!X697</f>
        <v>230167.88750000001</v>
      </c>
      <c r="Y9" s="2005">
        <f>Rev!Y697</f>
        <v>246900.13749999995</v>
      </c>
      <c r="Z9" s="2005">
        <f>Rev!Z697</f>
        <v>263655.11249999993</v>
      </c>
      <c r="AA9" s="2005"/>
      <c r="AB9" s="2005"/>
      <c r="AC9" s="2005"/>
      <c r="AD9" s="2005"/>
      <c r="AE9" s="2005"/>
      <c r="AF9" s="2005"/>
      <c r="AG9" s="2005"/>
      <c r="AH9" s="2005"/>
      <c r="AI9" s="2005"/>
      <c r="AJ9" s="2005"/>
      <c r="AK9" s="2005"/>
      <c r="AL9" s="2005"/>
      <c r="AM9" s="2005"/>
      <c r="AN9" s="2005"/>
      <c r="AO9" s="2005"/>
      <c r="AP9" s="2005"/>
      <c r="AQ9" s="2005"/>
      <c r="AR9" s="2005"/>
      <c r="AS9" s="2005"/>
      <c r="AT9" s="2005"/>
      <c r="AU9" s="2005"/>
      <c r="AV9" s="2005"/>
      <c r="AW9" s="2005"/>
      <c r="AX9" s="2005"/>
      <c r="AY9" s="2005"/>
      <c r="AZ9" s="2005"/>
      <c r="BA9" s="2005"/>
      <c r="BB9" s="2005"/>
      <c r="BC9" s="2005"/>
      <c r="BD9" s="2005"/>
      <c r="BE9" s="2005"/>
      <c r="BF9" s="2005"/>
      <c r="BG9" s="2005"/>
      <c r="BH9" s="2005"/>
      <c r="BI9" s="2005"/>
      <c r="BJ9" s="2005"/>
      <c r="BK9" s="2005"/>
      <c r="BL9" s="2005"/>
      <c r="BM9" s="2005">
        <f>Rev!BQ697</f>
        <v>53782</v>
      </c>
      <c r="BN9" s="2005">
        <f>Rev!BR697</f>
        <v>55110</v>
      </c>
      <c r="BO9" s="2005">
        <f>Rev!BS697</f>
        <v>56388</v>
      </c>
      <c r="BP9" s="2005">
        <f>Rev!BT697</f>
        <v>57320</v>
      </c>
      <c r="BQ9" s="2005">
        <f>Rev!BU697</f>
        <v>61000</v>
      </c>
      <c r="BR9" s="2005">
        <f>Rev!BV697</f>
        <v>61700</v>
      </c>
      <c r="BS9" s="2005">
        <f>Rev!BW697</f>
        <v>63900</v>
      </c>
      <c r="BT9" s="2005">
        <f>Rev!BX697</f>
        <v>67100</v>
      </c>
      <c r="BU9" s="2005">
        <f>Rev!BY697</f>
        <v>69500</v>
      </c>
      <c r="BV9" s="2005">
        <f>Rev!BZ697</f>
        <v>70800</v>
      </c>
      <c r="BW9" s="2005">
        <f>Rev!CA697</f>
        <v>72400</v>
      </c>
      <c r="BX9" s="2005">
        <f>Rev!CB697</f>
        <v>74000</v>
      </c>
      <c r="BY9" s="2005">
        <f>Rev!CC697</f>
        <v>75100</v>
      </c>
      <c r="BZ9" s="2005">
        <f>Rev!CD697</f>
        <v>79300</v>
      </c>
      <c r="CA9" s="2005">
        <f>Rev!CE697</f>
        <v>82000</v>
      </c>
      <c r="CB9" s="2005">
        <f>Rev!CF697</f>
        <v>83400</v>
      </c>
      <c r="CC9" s="2005">
        <f>Rev!CG697</f>
        <v>84700</v>
      </c>
      <c r="CD9" s="2005">
        <f>Rev!CH697</f>
        <v>87100</v>
      </c>
      <c r="CE9" s="2005">
        <f>Rev!CI697</f>
        <v>89100</v>
      </c>
      <c r="CF9" s="2005">
        <f>Rev!CJ697</f>
        <v>91100</v>
      </c>
      <c r="CG9" s="2005">
        <f>Rev!CK697</f>
        <v>93000</v>
      </c>
      <c r="CH9" s="2005">
        <f>Rev!CL697</f>
        <v>96700</v>
      </c>
      <c r="CI9" s="2005">
        <f>Rev!CM697</f>
        <v>98600</v>
      </c>
    </row>
    <row r="10" spans="2:89" s="580" customFormat="1">
      <c r="B10" s="246" t="s">
        <v>1322</v>
      </c>
      <c r="N10" s="1661"/>
      <c r="O10" s="1661">
        <f t="shared" ref="O10:Z10" si="3">+O9/N9-1</f>
        <v>0.1272226926333615</v>
      </c>
      <c r="P10" s="2007">
        <f t="shared" si="3"/>
        <v>0.13302034428794984</v>
      </c>
      <c r="Q10" s="2007">
        <f t="shared" si="3"/>
        <v>0.13259668508287303</v>
      </c>
      <c r="R10" s="2007">
        <f t="shared" si="3"/>
        <v>8.6585365853658613E-2</v>
      </c>
      <c r="S10" s="2007">
        <f t="shared" si="3"/>
        <v>0.10662177328844002</v>
      </c>
      <c r="T10" s="2007">
        <f t="shared" si="3"/>
        <v>0.15314401622718044</v>
      </c>
      <c r="U10" s="2007">
        <f t="shared" si="3"/>
        <v>0.38434476693051889</v>
      </c>
      <c r="V10" s="2007">
        <f t="shared" si="3"/>
        <v>0.23951715374841176</v>
      </c>
      <c r="W10" s="2007">
        <f t="shared" si="3"/>
        <v>8.6117760123013865E-2</v>
      </c>
      <c r="X10" s="2007">
        <f t="shared" si="3"/>
        <v>8.620187226074183E-2</v>
      </c>
      <c r="Y10" s="2007">
        <f t="shared" si="3"/>
        <v>7.2695849024551507E-2</v>
      </c>
      <c r="Z10" s="2007">
        <f t="shared" si="3"/>
        <v>6.7861343333597723E-2</v>
      </c>
      <c r="AA10" s="2007"/>
      <c r="AB10" s="2007"/>
      <c r="AC10" s="2007"/>
      <c r="AD10" s="2007"/>
      <c r="AE10" s="2007"/>
      <c r="AF10" s="2007"/>
      <c r="AG10" s="2007"/>
      <c r="AH10" s="2007"/>
      <c r="AI10" s="2007"/>
      <c r="AJ10" s="2007"/>
      <c r="AK10" s="2007"/>
      <c r="AL10" s="2007"/>
      <c r="AM10" s="2007"/>
      <c r="AN10" s="2007"/>
      <c r="AO10" s="2007"/>
      <c r="AP10" s="2007"/>
      <c r="AQ10" s="2007"/>
      <c r="AR10" s="2007"/>
      <c r="AS10" s="2007"/>
      <c r="AT10" s="2007"/>
      <c r="AU10" s="2007"/>
      <c r="AV10" s="2007"/>
      <c r="AW10" s="2007"/>
      <c r="AX10" s="2007"/>
      <c r="AY10" s="2007"/>
      <c r="AZ10" s="2007"/>
      <c r="BA10" s="2007"/>
      <c r="BB10" s="2007"/>
      <c r="BC10" s="2007"/>
      <c r="BD10" s="2007"/>
      <c r="BE10" s="2007"/>
      <c r="BF10" s="2007"/>
      <c r="BG10" s="2007"/>
      <c r="BH10" s="2007"/>
      <c r="BI10" s="2007"/>
      <c r="BJ10" s="2007"/>
      <c r="BK10" s="2007"/>
      <c r="BL10" s="2007"/>
      <c r="BM10" s="2007"/>
      <c r="BN10" s="2007"/>
      <c r="BO10" s="2007"/>
      <c r="BP10" s="2007"/>
      <c r="BQ10" s="2007">
        <f t="shared" ref="BQ10:CI10" si="4">+BQ9/BM9-1</f>
        <v>0.13420847123572943</v>
      </c>
      <c r="BR10" s="2007">
        <f t="shared" si="4"/>
        <v>0.11957902377064045</v>
      </c>
      <c r="BS10" s="2007">
        <f t="shared" si="4"/>
        <v>0.13321983400723547</v>
      </c>
      <c r="BT10" s="2007">
        <f t="shared" si="4"/>
        <v>0.17062107466852749</v>
      </c>
      <c r="BU10" s="2007">
        <f t="shared" si="4"/>
        <v>0.13934426229508201</v>
      </c>
      <c r="BV10" s="2007">
        <f t="shared" si="4"/>
        <v>0.14748784440842777</v>
      </c>
      <c r="BW10" s="2007">
        <f t="shared" si="4"/>
        <v>0.13302034428794984</v>
      </c>
      <c r="BX10" s="2007">
        <f t="shared" si="4"/>
        <v>0.10283159463487324</v>
      </c>
      <c r="BY10" s="2007">
        <f t="shared" si="4"/>
        <v>8.05755395683454E-2</v>
      </c>
      <c r="BZ10" s="2007">
        <f t="shared" si="4"/>
        <v>0.12005649717514122</v>
      </c>
      <c r="CA10" s="2007">
        <f t="shared" si="4"/>
        <v>0.13259668508287303</v>
      </c>
      <c r="CB10" s="2007">
        <f t="shared" si="4"/>
        <v>0.12702702702702706</v>
      </c>
      <c r="CC10" s="2007">
        <f t="shared" si="4"/>
        <v>0.12782956058588546</v>
      </c>
      <c r="CD10" s="2007">
        <f t="shared" si="4"/>
        <v>9.8360655737705027E-2</v>
      </c>
      <c r="CE10" s="2007">
        <f t="shared" si="4"/>
        <v>8.6585365853658613E-2</v>
      </c>
      <c r="CF10" s="2007">
        <f t="shared" si="4"/>
        <v>9.2326139088729109E-2</v>
      </c>
      <c r="CG10" s="2007">
        <f t="shared" si="4"/>
        <v>9.7992916174734379E-2</v>
      </c>
      <c r="CH10" s="2007">
        <f t="shared" si="4"/>
        <v>0.11021814006888642</v>
      </c>
      <c r="CI10" s="2007">
        <f t="shared" si="4"/>
        <v>0.10662177328844002</v>
      </c>
    </row>
    <row r="11" spans="2:89" s="580" customFormat="1">
      <c r="B11" s="246" t="s">
        <v>95</v>
      </c>
      <c r="P11" s="1661"/>
      <c r="Q11" s="1661"/>
      <c r="R11" s="1661"/>
      <c r="S11" s="1661"/>
      <c r="T11" s="1661"/>
      <c r="U11" s="1661"/>
      <c r="V11" s="1661"/>
      <c r="W11" s="1661"/>
      <c r="X11" s="1661"/>
      <c r="Y11" s="1661"/>
      <c r="Z11" s="1661"/>
      <c r="AA11" s="1661"/>
      <c r="AB11" s="1661"/>
      <c r="AC11" s="1661"/>
      <c r="AD11" s="1661"/>
      <c r="AE11" s="1661"/>
      <c r="AF11" s="1661"/>
      <c r="AG11" s="1661"/>
      <c r="AH11" s="1661"/>
      <c r="AI11" s="1661"/>
      <c r="AJ11" s="1661"/>
      <c r="AK11" s="1661"/>
      <c r="AL11" s="1661"/>
      <c r="AM11" s="1661"/>
      <c r="AN11" s="1661"/>
      <c r="AO11" s="1661"/>
      <c r="AP11" s="1661"/>
      <c r="AQ11" s="1661"/>
      <c r="AR11" s="1661"/>
      <c r="AS11" s="1661"/>
      <c r="AT11" s="1661"/>
      <c r="AU11" s="1661"/>
      <c r="AV11" s="1661"/>
      <c r="AW11" s="1661"/>
      <c r="AX11" s="1661"/>
      <c r="AY11" s="1661"/>
      <c r="AZ11" s="1661"/>
      <c r="BA11" s="1661"/>
      <c r="BB11" s="1661"/>
      <c r="BC11" s="1661"/>
      <c r="BD11" s="1661"/>
      <c r="BE11" s="1661"/>
      <c r="BF11" s="1661"/>
      <c r="BG11" s="1661"/>
      <c r="BH11" s="1661"/>
      <c r="BI11" s="1661"/>
      <c r="BJ11" s="1661"/>
      <c r="BK11" s="1661"/>
      <c r="BL11" s="1661"/>
      <c r="BM11" s="1661"/>
      <c r="BN11" s="1661">
        <f t="shared" ref="BN11:CI11" si="5">+BN9/BM9-1</f>
        <v>2.4692276226246701E-2</v>
      </c>
      <c r="BO11" s="1661">
        <f t="shared" si="5"/>
        <v>2.3189983669025693E-2</v>
      </c>
      <c r="BP11" s="1661">
        <f t="shared" si="5"/>
        <v>1.6528339362984923E-2</v>
      </c>
      <c r="BQ11" s="1661">
        <f t="shared" si="5"/>
        <v>6.4200976971388712E-2</v>
      </c>
      <c r="BR11" s="1661">
        <f t="shared" si="5"/>
        <v>1.1475409836065653E-2</v>
      </c>
      <c r="BS11" s="1661">
        <f t="shared" si="5"/>
        <v>3.5656401944894611E-2</v>
      </c>
      <c r="BT11" s="1661">
        <f t="shared" si="5"/>
        <v>5.007824726134591E-2</v>
      </c>
      <c r="BU11" s="1661">
        <f t="shared" si="5"/>
        <v>3.5767511177347222E-2</v>
      </c>
      <c r="BV11" s="1661">
        <f t="shared" si="5"/>
        <v>1.8705035971223083E-2</v>
      </c>
      <c r="BW11" s="1661">
        <f t="shared" si="5"/>
        <v>2.2598870056497189E-2</v>
      </c>
      <c r="BX11" s="1661">
        <f t="shared" si="5"/>
        <v>2.2099447513812098E-2</v>
      </c>
      <c r="BY11" s="1661">
        <f t="shared" si="5"/>
        <v>1.4864864864864824E-2</v>
      </c>
      <c r="BZ11" s="1661">
        <f t="shared" si="5"/>
        <v>5.5925432756325E-2</v>
      </c>
      <c r="CA11" s="1661">
        <f t="shared" si="5"/>
        <v>3.4047919293821005E-2</v>
      </c>
      <c r="CB11" s="1661">
        <f t="shared" si="5"/>
        <v>1.7073170731707332E-2</v>
      </c>
      <c r="CC11" s="1661">
        <f t="shared" si="5"/>
        <v>1.5587529976019088E-2</v>
      </c>
      <c r="CD11" s="1661">
        <f t="shared" si="5"/>
        <v>2.8335301062573759E-2</v>
      </c>
      <c r="CE11" s="1661">
        <f t="shared" si="5"/>
        <v>2.2962112514351318E-2</v>
      </c>
      <c r="CF11" s="1661">
        <f t="shared" si="5"/>
        <v>2.2446689113355678E-2</v>
      </c>
      <c r="CG11" s="1661">
        <f t="shared" si="5"/>
        <v>2.0856201975850697E-2</v>
      </c>
      <c r="CH11" s="1661">
        <f t="shared" si="5"/>
        <v>3.9784946236559149E-2</v>
      </c>
      <c r="CI11" s="1661">
        <f t="shared" si="5"/>
        <v>1.9648397104446769E-2</v>
      </c>
    </row>
    <row r="12" spans="2:89">
      <c r="B12" t="s">
        <v>161</v>
      </c>
      <c r="N12" s="2002"/>
      <c r="O12" s="2002">
        <f>Rev!O822</f>
        <v>1571.1707079753651</v>
      </c>
      <c r="P12" s="2002">
        <f>Rev!P822</f>
        <v>1824.9131817070188</v>
      </c>
      <c r="Q12" s="2002">
        <f>Rev!Q822</f>
        <v>1939.8402417962002</v>
      </c>
      <c r="R12" s="2002">
        <f>Rev!R822</f>
        <v>1996.8458990843562</v>
      </c>
      <c r="S12" s="2002">
        <f>Rev!S822</f>
        <v>2058.0616231575209</v>
      </c>
      <c r="T12" s="2002">
        <f>Rev!T822</f>
        <v>2016.9108180248079</v>
      </c>
      <c r="U12" s="2002">
        <f>Rev!U822</f>
        <v>1764.2401327923276</v>
      </c>
      <c r="V12" s="2002">
        <f>Rev!V822</f>
        <v>1778.4491725768321</v>
      </c>
      <c r="W12" s="2002">
        <f ca="1">Rev!W822</f>
        <v>1908.129632991875</v>
      </c>
      <c r="X12" s="2002">
        <f ca="1">Rev!X822</f>
        <v>1929.3535692499306</v>
      </c>
      <c r="Y12" s="2002">
        <f ca="1">Rev!Y822</f>
        <v>1939.1172194349822</v>
      </c>
      <c r="Z12" s="2002">
        <f ca="1">Rev!Z822</f>
        <v>1945.2089936684372</v>
      </c>
      <c r="AA12" s="2002"/>
      <c r="AB12" s="2002"/>
      <c r="AC12" s="2002"/>
      <c r="AD12" s="2002"/>
      <c r="AE12" s="2002"/>
      <c r="AF12" s="2002"/>
      <c r="AG12" s="2002"/>
      <c r="AH12" s="2002"/>
      <c r="AI12" s="2002"/>
      <c r="AJ12" s="2002"/>
      <c r="AK12" s="2002"/>
      <c r="AL12" s="2002"/>
      <c r="AM12" s="2002"/>
      <c r="AN12" s="2002"/>
      <c r="AO12" s="2002"/>
      <c r="AP12" s="2002"/>
      <c r="AQ12" s="2002"/>
      <c r="AR12" s="2002"/>
      <c r="AS12" s="2002"/>
      <c r="AT12" s="2002"/>
      <c r="AU12" s="2002"/>
      <c r="AV12" s="2002"/>
      <c r="AW12" s="2002"/>
      <c r="AX12" s="2002"/>
      <c r="AY12" s="2002"/>
      <c r="AZ12" s="2002"/>
      <c r="BA12" s="2002"/>
      <c r="BB12" s="2002"/>
      <c r="BC12" s="2002"/>
      <c r="BD12" s="2002"/>
      <c r="BE12" s="2002"/>
      <c r="BF12" s="2002"/>
      <c r="BG12" s="2002"/>
      <c r="BH12" s="2002"/>
      <c r="BI12" s="2002"/>
      <c r="BJ12" s="2002"/>
      <c r="BK12" s="2002"/>
      <c r="BL12" s="2002"/>
      <c r="BM12" s="2002"/>
      <c r="BN12" s="2002"/>
      <c r="BO12" s="2002"/>
      <c r="BP12" s="2002">
        <f>Rev!BT822</f>
        <v>1390.9077051160284</v>
      </c>
      <c r="BQ12" s="2002">
        <f>Rev!BU822</f>
        <v>1555.9443317556904</v>
      </c>
      <c r="BR12" s="2002">
        <f>Rev!BV822</f>
        <v>1662.4178212442271</v>
      </c>
      <c r="BS12" s="2002">
        <f>Rev!BW822</f>
        <v>1684.8885350318469</v>
      </c>
      <c r="BT12" s="2002">
        <f>Rev!BX822</f>
        <v>1705.0737913486007</v>
      </c>
      <c r="BU12" s="2002">
        <f>Rev!BY822</f>
        <v>1793.0112249877989</v>
      </c>
      <c r="BV12" s="2002">
        <f>Rev!BZ822</f>
        <v>1844.6851983844142</v>
      </c>
      <c r="BW12" s="2002">
        <f>Rev!CA822</f>
        <v>1870.4143389199253</v>
      </c>
      <c r="BX12" s="2002">
        <f>Rev!CB822</f>
        <v>1913.2285974499086</v>
      </c>
      <c r="BY12" s="2002">
        <f>Rev!CC822</f>
        <v>1938.810641627543</v>
      </c>
      <c r="BZ12" s="2002">
        <f>Rev!CD822</f>
        <v>1988.2642487046633</v>
      </c>
      <c r="CA12" s="2002">
        <f>Rev!CE822</f>
        <v>1995.5610663360194</v>
      </c>
      <c r="CB12" s="2002">
        <f>Rev!CF822</f>
        <v>1993.2365981459084</v>
      </c>
      <c r="CC12" s="2002">
        <f>Rev!CG822</f>
        <v>1990.1407892127702</v>
      </c>
      <c r="CD12" s="2002">
        <f>Rev!CH822</f>
        <v>2000.6441598758247</v>
      </c>
      <c r="CE12" s="2002">
        <f>Rev!CI822</f>
        <v>2035.7926598562242</v>
      </c>
      <c r="CF12" s="2002">
        <f>Rev!CJ822</f>
        <v>2033.6773954864962</v>
      </c>
      <c r="CG12" s="2002">
        <f>Rev!CK822</f>
        <v>2079.1526344378058</v>
      </c>
      <c r="CH12" s="2002">
        <f>Rev!CL822</f>
        <v>2067.9529081005094</v>
      </c>
      <c r="CI12" s="2002">
        <f>Rev!CM822</f>
        <v>2066.8783068783064</v>
      </c>
    </row>
    <row r="13" spans="2:89" s="580" customFormat="1">
      <c r="B13" s="246" t="s">
        <v>1322</v>
      </c>
      <c r="N13" s="1661"/>
      <c r="O13" s="1661"/>
      <c r="P13" s="2007">
        <f t="shared" ref="P13:Z13" si="6">+P12/O12-1</f>
        <v>0.16149898444748256</v>
      </c>
      <c r="Q13" s="2007">
        <f t="shared" si="6"/>
        <v>6.2976727463647908E-2</v>
      </c>
      <c r="R13" s="2007">
        <f t="shared" si="6"/>
        <v>2.9386779416108677E-2</v>
      </c>
      <c r="S13" s="2007">
        <f t="shared" si="6"/>
        <v>3.0656208424112652E-2</v>
      </c>
      <c r="T13" s="2007">
        <f t="shared" si="6"/>
        <v>-1.9994933421662364E-2</v>
      </c>
      <c r="U13" s="2007">
        <f t="shared" si="6"/>
        <v>-0.12527608210259122</v>
      </c>
      <c r="V13" s="2007">
        <f t="shared" si="6"/>
        <v>8.0539148386877812E-3</v>
      </c>
      <c r="W13" s="2007">
        <f t="shared" ca="1" si="6"/>
        <v>7.2917720908012296E-2</v>
      </c>
      <c r="X13" s="2007">
        <f t="shared" ca="1" si="6"/>
        <v>1.1122900609628505E-2</v>
      </c>
      <c r="Y13" s="2007">
        <f t="shared" ca="1" si="6"/>
        <v>5.0605810882280444E-3</v>
      </c>
      <c r="Z13" s="2007">
        <f t="shared" ca="1" si="6"/>
        <v>3.1415193328179214E-3</v>
      </c>
      <c r="AA13" s="2007"/>
      <c r="AB13" s="2007"/>
      <c r="AC13" s="2007"/>
      <c r="AD13" s="2007"/>
      <c r="AE13" s="2007"/>
      <c r="AF13" s="2007"/>
      <c r="AG13" s="2007"/>
      <c r="AH13" s="2007"/>
      <c r="AI13" s="2007"/>
      <c r="AJ13" s="2007"/>
      <c r="AK13" s="2007"/>
      <c r="AL13" s="2007"/>
      <c r="AM13" s="2007"/>
      <c r="AN13" s="2007"/>
      <c r="AO13" s="2007"/>
      <c r="AP13" s="2007"/>
      <c r="AQ13" s="2007"/>
      <c r="AR13" s="2007"/>
      <c r="AS13" s="2007"/>
      <c r="AT13" s="2007"/>
      <c r="AU13" s="2007"/>
      <c r="AV13" s="2007"/>
      <c r="AW13" s="2007"/>
      <c r="AX13" s="2007"/>
      <c r="AY13" s="2007"/>
      <c r="AZ13" s="2007"/>
      <c r="BA13" s="2007"/>
      <c r="BB13" s="2007"/>
      <c r="BC13" s="2007"/>
      <c r="BD13" s="2007"/>
      <c r="BE13" s="2007"/>
      <c r="BF13" s="2007"/>
      <c r="BG13" s="2007"/>
      <c r="BH13" s="2007"/>
      <c r="BI13" s="2007"/>
      <c r="BJ13" s="2007"/>
      <c r="BK13" s="2007"/>
      <c r="BL13" s="2007"/>
      <c r="BM13" s="2007"/>
      <c r="BN13" s="2007"/>
      <c r="BO13" s="2007"/>
      <c r="BP13" s="2007"/>
      <c r="BQ13" s="2007"/>
      <c r="BR13" s="2007"/>
      <c r="BS13" s="2007"/>
      <c r="BT13" s="2007">
        <f t="shared" ref="BT13:CI13" si="7">+BT12/BP12-1</f>
        <v>0.22587126742990105</v>
      </c>
      <c r="BU13" s="2007">
        <f t="shared" si="7"/>
        <v>0.15236206617020009</v>
      </c>
      <c r="BV13" s="2007">
        <f t="shared" si="7"/>
        <v>0.10963993215843315</v>
      </c>
      <c r="BW13" s="2007">
        <f t="shared" si="7"/>
        <v>0.11011161868020647</v>
      </c>
      <c r="BX13" s="2007">
        <f t="shared" si="7"/>
        <v>0.12207964673286731</v>
      </c>
      <c r="BY13" s="2007">
        <f t="shared" si="7"/>
        <v>8.1315395357179687E-2</v>
      </c>
      <c r="BZ13" s="2007">
        <f t="shared" si="7"/>
        <v>7.7833903825973438E-2</v>
      </c>
      <c r="CA13" s="2007">
        <f t="shared" si="7"/>
        <v>6.6908558607586599E-2</v>
      </c>
      <c r="CB13" s="2007">
        <f t="shared" si="7"/>
        <v>4.1818317373386593E-2</v>
      </c>
      <c r="CC13" s="2007">
        <f t="shared" si="7"/>
        <v>2.6475070067770057E-2</v>
      </c>
      <c r="CD13" s="2007">
        <f t="shared" si="7"/>
        <v>6.226491865569006E-3</v>
      </c>
      <c r="CE13" s="2007">
        <f t="shared" si="7"/>
        <v>2.016054241530818E-2</v>
      </c>
      <c r="CF13" s="2007">
        <f t="shared" si="7"/>
        <v>2.0289010034335808E-2</v>
      </c>
      <c r="CG13" s="2007">
        <f t="shared" si="7"/>
        <v>4.4726406145489506E-2</v>
      </c>
      <c r="CH13" s="2007">
        <f t="shared" si="7"/>
        <v>3.3643538203646628E-2</v>
      </c>
      <c r="CI13" s="2007">
        <f t="shared" si="7"/>
        <v>1.5269554525399354E-2</v>
      </c>
    </row>
    <row r="14" spans="2:89" s="580" customFormat="1">
      <c r="B14" s="246" t="s">
        <v>95</v>
      </c>
      <c r="P14" s="1661"/>
      <c r="Q14" s="1661"/>
      <c r="R14" s="1661"/>
      <c r="S14" s="1661"/>
      <c r="T14" s="1661"/>
      <c r="U14" s="1661"/>
      <c r="V14" s="1661"/>
      <c r="W14" s="1661"/>
      <c r="X14" s="1661"/>
      <c r="Y14" s="1661"/>
      <c r="Z14" s="1661"/>
      <c r="AA14" s="1661"/>
      <c r="AB14" s="1661"/>
      <c r="AC14" s="1661"/>
      <c r="AD14" s="1661"/>
      <c r="AE14" s="1661"/>
      <c r="AF14" s="1661"/>
      <c r="AG14" s="1661"/>
      <c r="AH14" s="1661"/>
      <c r="AI14" s="1661"/>
      <c r="AJ14" s="1661"/>
      <c r="AK14" s="1661"/>
      <c r="AL14" s="1661"/>
      <c r="AM14" s="1661"/>
      <c r="AN14" s="1661"/>
      <c r="AO14" s="1661"/>
      <c r="AP14" s="1661"/>
      <c r="AQ14" s="1661"/>
      <c r="AR14" s="1661"/>
      <c r="AS14" s="1661"/>
      <c r="AT14" s="1661"/>
      <c r="AU14" s="1661"/>
      <c r="AV14" s="1661"/>
      <c r="AW14" s="1661"/>
      <c r="AX14" s="1661"/>
      <c r="AY14" s="1661"/>
      <c r="AZ14" s="1661"/>
      <c r="BA14" s="1661"/>
      <c r="BB14" s="1661"/>
      <c r="BC14" s="1661"/>
      <c r="BD14" s="1661"/>
      <c r="BE14" s="1661"/>
      <c r="BF14" s="1661"/>
      <c r="BG14" s="1661"/>
      <c r="BH14" s="1661"/>
      <c r="BI14" s="1661"/>
      <c r="BJ14" s="1661"/>
      <c r="BK14" s="1661"/>
      <c r="BL14" s="1661"/>
      <c r="BM14" s="1661"/>
      <c r="BN14" s="1661"/>
      <c r="BO14" s="1661"/>
      <c r="BP14" s="1661"/>
      <c r="BQ14" s="1661">
        <f t="shared" ref="BQ14:CI14" si="8">+BQ12/BP12-1</f>
        <v>0.11865390207605087</v>
      </c>
      <c r="BR14" s="1661">
        <f t="shared" si="8"/>
        <v>6.8430140664733408E-2</v>
      </c>
      <c r="BS14" s="1661">
        <f t="shared" si="8"/>
        <v>1.3516886970570186E-2</v>
      </c>
      <c r="BT14" s="1661">
        <f t="shared" si="8"/>
        <v>1.1980173107636549E-2</v>
      </c>
      <c r="BU14" s="1661">
        <f t="shared" si="8"/>
        <v>5.1573975323170984E-2</v>
      </c>
      <c r="BV14" s="1661">
        <f t="shared" si="8"/>
        <v>2.8819659730221048E-2</v>
      </c>
      <c r="BW14" s="1661">
        <f t="shared" si="8"/>
        <v>1.3947713440778386E-2</v>
      </c>
      <c r="BX14" s="1661">
        <f t="shared" si="8"/>
        <v>2.2890253586649978E-2</v>
      </c>
      <c r="BY14" s="1661">
        <f t="shared" si="8"/>
        <v>1.337113830084502E-2</v>
      </c>
      <c r="BZ14" s="1661">
        <f t="shared" si="8"/>
        <v>2.5507187765178685E-2</v>
      </c>
      <c r="CA14" s="1661">
        <f t="shared" si="8"/>
        <v>3.6699435882880937E-3</v>
      </c>
      <c r="CB14" s="1661">
        <f t="shared" si="8"/>
        <v>-1.1648193730191547E-3</v>
      </c>
      <c r="CC14" s="1661">
        <f t="shared" si="8"/>
        <v>-1.5531567782860467E-3</v>
      </c>
      <c r="CD14" s="1661">
        <f t="shared" si="8"/>
        <v>5.2777023213566032E-3</v>
      </c>
      <c r="CE14" s="1661">
        <f t="shared" si="8"/>
        <v>1.7568591499340425E-2</v>
      </c>
      <c r="CF14" s="1661">
        <f t="shared" si="8"/>
        <v>-1.0390372317569119E-3</v>
      </c>
      <c r="CG14" s="1661">
        <f t="shared" si="8"/>
        <v>2.2361087875705676E-2</v>
      </c>
      <c r="CH14" s="1661">
        <f t="shared" si="8"/>
        <v>-5.3866782802719504E-3</v>
      </c>
      <c r="CI14" s="1661">
        <f t="shared" si="8"/>
        <v>-5.1964491937583901E-4</v>
      </c>
    </row>
    <row r="15" spans="2:89">
      <c r="B15" t="s">
        <v>162</v>
      </c>
      <c r="N15" s="2005">
        <f>Rev!N825</f>
        <v>21087</v>
      </c>
      <c r="O15" s="2005">
        <f>Rev!O825</f>
        <v>83489</v>
      </c>
      <c r="P15" s="2005">
        <f>Rev!P825</f>
        <v>94578</v>
      </c>
      <c r="Q15" s="2005">
        <f>Rev!Q825</f>
        <v>114100</v>
      </c>
      <c r="R15" s="2005">
        <f>Rev!R825</f>
        <v>128300</v>
      </c>
      <c r="S15" s="2005">
        <f>Rev!S825</f>
        <v>145100</v>
      </c>
      <c r="T15" s="2005">
        <f>Rev!T825</f>
        <v>171200</v>
      </c>
      <c r="U15" s="2005">
        <f>Rev!U825</f>
        <v>230200</v>
      </c>
      <c r="V15" s="2005">
        <f>Rev!V825</f>
        <v>277800</v>
      </c>
      <c r="W15" s="2005">
        <f>Rev!W825</f>
        <v>306741.07748365501</v>
      </c>
      <c r="X15" s="2005">
        <f>Rev!X825</f>
        <v>335593.75660593604</v>
      </c>
      <c r="Y15" s="2005">
        <f>Rev!Y825</f>
        <v>362046.21469874278</v>
      </c>
      <c r="Z15" s="2005">
        <f>Rev!Z825</f>
        <v>388659.12052558776</v>
      </c>
      <c r="AA15" s="2005"/>
      <c r="AB15" s="2005"/>
      <c r="AC15" s="2005"/>
      <c r="AD15" s="2005"/>
      <c r="AE15" s="2005"/>
      <c r="AF15" s="2005"/>
      <c r="AG15" s="2005"/>
      <c r="AH15" s="2005"/>
      <c r="AI15" s="2005"/>
      <c r="AJ15" s="2005"/>
      <c r="AK15" s="2005"/>
      <c r="AL15" s="2005"/>
      <c r="AM15" s="2005"/>
      <c r="AN15" s="2005"/>
      <c r="AO15" s="2005"/>
      <c r="AP15" s="2005"/>
      <c r="AQ15" s="2005"/>
      <c r="AR15" s="2005"/>
      <c r="AS15" s="2005"/>
      <c r="AT15" s="2005"/>
      <c r="AU15" s="2005"/>
      <c r="AV15" s="2005"/>
      <c r="AW15" s="2005"/>
      <c r="AX15" s="2005"/>
      <c r="AY15" s="2005"/>
      <c r="AZ15" s="2005"/>
      <c r="BA15" s="2005"/>
      <c r="BB15" s="2005"/>
      <c r="BC15" s="2005"/>
      <c r="BD15" s="2005"/>
      <c r="BE15" s="2005"/>
      <c r="BF15" s="2005"/>
      <c r="BG15" s="2005"/>
      <c r="BH15" s="2005"/>
      <c r="BI15" s="2005"/>
      <c r="BJ15" s="2005"/>
      <c r="BK15" s="2005"/>
      <c r="BL15" s="2005"/>
      <c r="BM15" s="2005"/>
      <c r="BN15" s="2005"/>
      <c r="BO15" s="2005"/>
      <c r="BP15" s="2005"/>
      <c r="BQ15" s="2005">
        <f>Rev!BU825</f>
        <v>75636</v>
      </c>
      <c r="BR15" s="2005">
        <f>Rev!BV825</f>
        <v>79437</v>
      </c>
      <c r="BS15" s="2005">
        <f>Rev!BW825</f>
        <v>83489</v>
      </c>
      <c r="BT15" s="2005">
        <f>Rev!BX825</f>
        <v>86179</v>
      </c>
      <c r="BU15" s="2005">
        <f>Rev!BY825</f>
        <v>89939</v>
      </c>
      <c r="BV15" s="2005">
        <f>Rev!BZ825</f>
        <v>90707</v>
      </c>
      <c r="BW15" s="2005">
        <f>Rev!CA825</f>
        <v>94578</v>
      </c>
      <c r="BX15" s="2005">
        <f>Rev!CB825</f>
        <v>97913</v>
      </c>
      <c r="BY15" s="2005">
        <f>Rev!CC825</f>
        <v>101214</v>
      </c>
      <c r="BZ15" s="2005">
        <f>Rev!CD825</f>
        <v>112000</v>
      </c>
      <c r="CA15" s="2005">
        <f>Rev!CE825</f>
        <v>114100</v>
      </c>
      <c r="CB15" s="2005">
        <f>Rev!CF825</f>
        <v>116900</v>
      </c>
      <c r="CC15" s="2005">
        <f>Rev!CG825</f>
        <v>120500</v>
      </c>
      <c r="CD15" s="2005">
        <f>Rev!CH825</f>
        <v>124100</v>
      </c>
      <c r="CE15" s="2005">
        <f>Rev!CI825</f>
        <v>128300</v>
      </c>
      <c r="CF15" s="2005">
        <f>Rev!CJ825</f>
        <v>134800</v>
      </c>
      <c r="CG15" s="2005">
        <f>Rev!CK825</f>
        <v>138600</v>
      </c>
      <c r="CH15" s="2005">
        <f>Rev!CL825</f>
        <v>144400</v>
      </c>
      <c r="CI15" s="2005">
        <f>Rev!CM825</f>
        <v>145100</v>
      </c>
    </row>
    <row r="16" spans="2:89" s="580" customFormat="1">
      <c r="B16" s="246" t="s">
        <v>1322</v>
      </c>
      <c r="N16" s="1661"/>
      <c r="O16" s="1661">
        <f t="shared" ref="O16:Z16" si="9">+O15/N15-1</f>
        <v>2.9592640015175227</v>
      </c>
      <c r="P16" s="2007">
        <f t="shared" si="9"/>
        <v>0.1328198924409203</v>
      </c>
      <c r="Q16" s="2007">
        <f t="shared" si="9"/>
        <v>0.20641163907039695</v>
      </c>
      <c r="R16" s="2007">
        <f t="shared" si="9"/>
        <v>0.12445223488168278</v>
      </c>
      <c r="S16" s="2007">
        <f t="shared" si="9"/>
        <v>0.13094310210444271</v>
      </c>
      <c r="T16" s="2007">
        <f t="shared" si="9"/>
        <v>0.1798759476223295</v>
      </c>
      <c r="U16" s="2007">
        <f t="shared" si="9"/>
        <v>0.34462616822429903</v>
      </c>
      <c r="V16" s="2007">
        <f t="shared" si="9"/>
        <v>0.20677671589921798</v>
      </c>
      <c r="W16" s="2007">
        <f t="shared" si="9"/>
        <v>0.10417954457759193</v>
      </c>
      <c r="X16" s="2007">
        <f t="shared" si="9"/>
        <v>9.4061999647955474E-2</v>
      </c>
      <c r="Y16" s="2007">
        <f t="shared" si="9"/>
        <v>7.8822855229300215E-2</v>
      </c>
      <c r="Z16" s="2007">
        <f t="shared" si="9"/>
        <v>7.350693018290344E-2</v>
      </c>
      <c r="AA16" s="2007"/>
      <c r="AB16" s="2007"/>
      <c r="AC16" s="2007"/>
      <c r="AD16" s="2007"/>
      <c r="AE16" s="2007"/>
      <c r="AF16" s="2007"/>
      <c r="AG16" s="2007"/>
      <c r="AH16" s="2007"/>
      <c r="AI16" s="2007"/>
      <c r="AJ16" s="2007"/>
      <c r="AK16" s="2007"/>
      <c r="AL16" s="2007"/>
      <c r="AM16" s="2007"/>
      <c r="AN16" s="2007"/>
      <c r="AO16" s="2007"/>
      <c r="AP16" s="2007"/>
      <c r="AQ16" s="2007"/>
      <c r="AR16" s="2007"/>
      <c r="AS16" s="2007"/>
      <c r="AT16" s="2007"/>
      <c r="AU16" s="2007"/>
      <c r="AV16" s="2007"/>
      <c r="AW16" s="2007"/>
      <c r="AX16" s="2007"/>
      <c r="AY16" s="2007"/>
      <c r="AZ16" s="2007"/>
      <c r="BA16" s="2007"/>
      <c r="BB16" s="2007"/>
      <c r="BC16" s="2007"/>
      <c r="BD16" s="2007"/>
      <c r="BE16" s="2007"/>
      <c r="BF16" s="2007"/>
      <c r="BG16" s="2007"/>
      <c r="BH16" s="2007"/>
      <c r="BI16" s="2007"/>
      <c r="BJ16" s="2007"/>
      <c r="BK16" s="2007"/>
      <c r="BL16" s="2007"/>
      <c r="BM16" s="2007"/>
      <c r="BN16" s="2007"/>
      <c r="BO16" s="2007"/>
      <c r="BP16" s="2007"/>
      <c r="BQ16" s="2007"/>
      <c r="BR16" s="2007"/>
      <c r="BS16" s="2007"/>
      <c r="BT16" s="2007"/>
      <c r="BU16" s="2007">
        <f t="shared" ref="BU16:CI16" si="10">+BU15/BQ15-1</f>
        <v>0.18910307261092596</v>
      </c>
      <c r="BV16" s="2007">
        <f t="shared" si="10"/>
        <v>0.14187343429384303</v>
      </c>
      <c r="BW16" s="2007">
        <f t="shared" si="10"/>
        <v>0.1328198924409203</v>
      </c>
      <c r="BX16" s="2007">
        <f t="shared" si="10"/>
        <v>0.13615846087794004</v>
      </c>
      <c r="BY16" s="2007">
        <f t="shared" si="10"/>
        <v>0.12536274586108354</v>
      </c>
      <c r="BZ16" s="2007">
        <f t="shared" si="10"/>
        <v>0.23474483777437238</v>
      </c>
      <c r="CA16" s="2007">
        <f t="shared" si="10"/>
        <v>0.20641163907039695</v>
      </c>
      <c r="CB16" s="2007">
        <f t="shared" si="10"/>
        <v>0.19391704880863614</v>
      </c>
      <c r="CC16" s="2007">
        <f t="shared" si="10"/>
        <v>0.19054676230560985</v>
      </c>
      <c r="CD16" s="2007">
        <f t="shared" si="10"/>
        <v>0.10803571428571423</v>
      </c>
      <c r="CE16" s="2007">
        <f t="shared" si="10"/>
        <v>0.12445223488168278</v>
      </c>
      <c r="CF16" s="2007">
        <f t="shared" si="10"/>
        <v>0.15312232677502147</v>
      </c>
      <c r="CG16" s="2007">
        <f t="shared" si="10"/>
        <v>0.15020746887966796</v>
      </c>
      <c r="CH16" s="2007">
        <f t="shared" si="10"/>
        <v>0.1635777598710717</v>
      </c>
      <c r="CI16" s="2007">
        <f t="shared" si="10"/>
        <v>0.13094310210444271</v>
      </c>
    </row>
    <row r="17" spans="2:87" s="580" customFormat="1">
      <c r="B17" s="246" t="s">
        <v>95</v>
      </c>
      <c r="P17" s="1661"/>
      <c r="Q17" s="1661"/>
      <c r="R17" s="1661"/>
      <c r="S17" s="1661"/>
      <c r="T17" s="1661"/>
      <c r="U17" s="1661"/>
      <c r="V17" s="1661"/>
      <c r="W17" s="1661"/>
      <c r="X17" s="1661"/>
      <c r="Y17" s="1661"/>
      <c r="Z17" s="1661"/>
      <c r="AA17" s="1661"/>
      <c r="AB17" s="1661"/>
      <c r="AC17" s="1661"/>
      <c r="AD17" s="1661"/>
      <c r="AE17" s="1661"/>
      <c r="AF17" s="1661"/>
      <c r="AG17" s="1661"/>
      <c r="AH17" s="1661"/>
      <c r="AI17" s="1661"/>
      <c r="AJ17" s="1661"/>
      <c r="AK17" s="1661"/>
      <c r="AL17" s="1661"/>
      <c r="AM17" s="1661"/>
      <c r="AN17" s="1661"/>
      <c r="AO17" s="1661"/>
      <c r="AP17" s="1661"/>
      <c r="AQ17" s="1661"/>
      <c r="AR17" s="1661"/>
      <c r="AS17" s="1661"/>
      <c r="AT17" s="1661"/>
      <c r="AU17" s="1661"/>
      <c r="AV17" s="1661"/>
      <c r="AW17" s="1661"/>
      <c r="AX17" s="1661"/>
      <c r="AY17" s="1661"/>
      <c r="AZ17" s="1661"/>
      <c r="BA17" s="1661"/>
      <c r="BB17" s="1661"/>
      <c r="BC17" s="1661"/>
      <c r="BD17" s="1661"/>
      <c r="BE17" s="1661"/>
      <c r="BF17" s="1661"/>
      <c r="BG17" s="1661"/>
      <c r="BH17" s="1661"/>
      <c r="BI17" s="1661"/>
      <c r="BJ17" s="1661"/>
      <c r="BK17" s="1661"/>
      <c r="BL17" s="1661"/>
      <c r="BM17" s="1661"/>
      <c r="BN17" s="1661"/>
      <c r="BO17" s="1661"/>
      <c r="BP17" s="1661"/>
      <c r="BQ17" s="1661"/>
      <c r="BR17" s="1661">
        <f t="shared" ref="BR17:CI17" si="11">+BR15/BQ15-1</f>
        <v>5.0253847374266192E-2</v>
      </c>
      <c r="BS17" s="1661">
        <f t="shared" si="11"/>
        <v>5.1008975666251288E-2</v>
      </c>
      <c r="BT17" s="1661">
        <f t="shared" si="11"/>
        <v>3.2219813388590035E-2</v>
      </c>
      <c r="BU17" s="1661">
        <f t="shared" si="11"/>
        <v>4.3630118706413423E-2</v>
      </c>
      <c r="BV17" s="1661">
        <f t="shared" si="11"/>
        <v>8.5391209597616147E-3</v>
      </c>
      <c r="BW17" s="1661">
        <f t="shared" si="11"/>
        <v>4.2675868455576804E-2</v>
      </c>
      <c r="BX17" s="1661">
        <f t="shared" si="11"/>
        <v>3.5261900230497689E-2</v>
      </c>
      <c r="BY17" s="1661">
        <f t="shared" si="11"/>
        <v>3.3713602892363692E-2</v>
      </c>
      <c r="BZ17" s="1661">
        <f t="shared" si="11"/>
        <v>0.10656628529650058</v>
      </c>
      <c r="CA17" s="1661">
        <f t="shared" si="11"/>
        <v>1.8750000000000044E-2</v>
      </c>
      <c r="CB17" s="1661">
        <f t="shared" si="11"/>
        <v>2.4539877300613577E-2</v>
      </c>
      <c r="CC17" s="1661">
        <f t="shared" si="11"/>
        <v>3.0795551753635575E-2</v>
      </c>
      <c r="CD17" s="1661">
        <f t="shared" si="11"/>
        <v>2.9875518672199064E-2</v>
      </c>
      <c r="CE17" s="1661">
        <f t="shared" si="11"/>
        <v>3.3843674456083717E-2</v>
      </c>
      <c r="CF17" s="1661">
        <f t="shared" si="11"/>
        <v>5.0662509742790407E-2</v>
      </c>
      <c r="CG17" s="1661">
        <f t="shared" si="11"/>
        <v>2.8189910979228516E-2</v>
      </c>
      <c r="CH17" s="1661">
        <f t="shared" si="11"/>
        <v>4.1847041847041799E-2</v>
      </c>
      <c r="CI17" s="1661">
        <f t="shared" si="11"/>
        <v>4.8476454293628901E-3</v>
      </c>
    </row>
    <row r="18" spans="2:87">
      <c r="B18" t="s">
        <v>662</v>
      </c>
      <c r="N18" s="2006"/>
      <c r="O18" s="2006">
        <f>Rev!O813</f>
        <v>9.8000000000000004E-2</v>
      </c>
      <c r="P18" s="2006">
        <f>Rev!P813</f>
        <v>8.199999999999999E-2</v>
      </c>
      <c r="Q18" s="2006">
        <f>Rev!Q813</f>
        <v>0.115</v>
      </c>
      <c r="R18" s="2006">
        <f>Rev!R813</f>
        <v>0.10899999999999999</v>
      </c>
      <c r="S18" s="2006">
        <f>Rev!S813</f>
        <v>9.1000000000000011E-2</v>
      </c>
      <c r="T18" s="2006">
        <f>Rev!T813</f>
        <v>8.0999999999999989E-2</v>
      </c>
      <c r="U18" s="2006">
        <f>Rev!U813</f>
        <v>8.3999999999999991E-2</v>
      </c>
      <c r="V18" s="2006">
        <f>Rev!V813</f>
        <v>9.7000000000000003E-2</v>
      </c>
      <c r="W18" s="2006">
        <f>Rev!W813</f>
        <v>8.7999999999999995E-2</v>
      </c>
      <c r="X18" s="2006">
        <f>Rev!X813</f>
        <v>0.08</v>
      </c>
      <c r="Y18" s="2006">
        <f>Rev!Y813</f>
        <v>0.08</v>
      </c>
      <c r="Z18" s="2006">
        <f>Rev!Z813</f>
        <v>0.08</v>
      </c>
      <c r="AA18" s="2006"/>
      <c r="AB18" s="2006"/>
      <c r="AC18" s="2006"/>
      <c r="AD18" s="2006"/>
      <c r="AE18" s="2006"/>
      <c r="AF18" s="2006"/>
      <c r="AG18" s="2006"/>
      <c r="AH18" s="2006"/>
      <c r="AI18" s="2006"/>
      <c r="AJ18" s="2006"/>
      <c r="AK18" s="2006"/>
      <c r="AL18" s="2006"/>
      <c r="AM18" s="2006"/>
      <c r="AN18" s="2006"/>
      <c r="AO18" s="2006"/>
      <c r="AP18" s="2006"/>
      <c r="AQ18" s="2006"/>
      <c r="AR18" s="2006"/>
      <c r="AS18" s="2006"/>
      <c r="AT18" s="2006"/>
      <c r="AU18" s="2006"/>
      <c r="AV18" s="2006"/>
      <c r="AW18" s="2006"/>
      <c r="AX18" s="2006"/>
      <c r="AY18" s="2006"/>
      <c r="AZ18" s="2006"/>
      <c r="BA18" s="2006"/>
      <c r="BB18" s="2006"/>
      <c r="BC18" s="2006"/>
      <c r="BD18" s="2006"/>
      <c r="BE18" s="2006"/>
      <c r="BF18" s="2006"/>
      <c r="BG18" s="2006"/>
      <c r="BH18" s="2006">
        <f>Rev!BL813</f>
        <v>2.24277550909871E-2</v>
      </c>
      <c r="BI18" s="2006">
        <f>Rev!BM813</f>
        <v>1.98505348828413E-2</v>
      </c>
      <c r="BJ18" s="2006">
        <f>Rev!BN813</f>
        <v>2.1076116799672799E-2</v>
      </c>
      <c r="BK18" s="2006">
        <f>Rev!BO813</f>
        <v>1.7606781890342801E-2</v>
      </c>
      <c r="BL18" s="2006">
        <f>Rev!BP813</f>
        <v>1.5641291275072501E-2</v>
      </c>
      <c r="BM18" s="2006">
        <f>Rev!BQ813</f>
        <v>1.7834843098760284E-2</v>
      </c>
      <c r="BN18" s="2006">
        <f>Rev!BR813</f>
        <v>2.2874242016269801E-2</v>
      </c>
      <c r="BO18" s="2006">
        <f>Rev!BS813</f>
        <v>1.4999999999999999E-2</v>
      </c>
      <c r="BP18" s="2006">
        <f>Rev!BT813</f>
        <v>2.1999999999999999E-2</v>
      </c>
      <c r="BQ18" s="2006">
        <f>Rev!BU813</f>
        <v>2.4E-2</v>
      </c>
      <c r="BR18" s="2006">
        <f>Rev!BV813</f>
        <v>2.7E-2</v>
      </c>
      <c r="BS18" s="2006">
        <f>Rev!BW813</f>
        <v>2.5000000000000001E-2</v>
      </c>
      <c r="BT18" s="2006">
        <f>Rev!BX813</f>
        <v>2.4E-2</v>
      </c>
      <c r="BU18" s="2006">
        <f>Rev!BY813</f>
        <v>1.6E-2</v>
      </c>
      <c r="BV18" s="2006">
        <f>Rev!BZ813</f>
        <v>0.02</v>
      </c>
      <c r="BW18" s="2006">
        <f>Rev!CA813</f>
        <v>2.1999999999999999E-2</v>
      </c>
      <c r="BX18" s="2006">
        <f>Rev!CB813</f>
        <v>2.4E-2</v>
      </c>
      <c r="BY18" s="2006">
        <f>Rev!CC813</f>
        <v>3.2000000000000001E-2</v>
      </c>
      <c r="BZ18" s="2006">
        <f>Rev!CD813</f>
        <v>2.9000000000000001E-2</v>
      </c>
      <c r="CA18" s="2006">
        <f>Rev!CE813</f>
        <v>0.03</v>
      </c>
      <c r="CB18" s="2006">
        <f>Rev!CF813</f>
        <v>3.6999999999999998E-2</v>
      </c>
      <c r="CC18" s="2006">
        <f>Rev!CG813</f>
        <v>2.4E-2</v>
      </c>
      <c r="CD18" s="2006">
        <f>Rev!CH813</f>
        <v>2.5000000000000001E-2</v>
      </c>
      <c r="CE18" s="2006">
        <f>Rev!CI813</f>
        <v>2.3E-2</v>
      </c>
      <c r="CF18" s="2006">
        <f>Rev!CJ813</f>
        <v>2.3E-2</v>
      </c>
      <c r="CG18" s="2006">
        <f>Rev!CK813</f>
        <v>2.8000000000000001E-2</v>
      </c>
      <c r="CH18" s="2006">
        <f>Rev!CL813</f>
        <v>0.02</v>
      </c>
      <c r="CI18" s="2006">
        <f>Rev!CM813</f>
        <v>0.02</v>
      </c>
    </row>
    <row r="20" spans="2:87">
      <c r="B20" s="146" t="s">
        <v>1371</v>
      </c>
      <c r="C20" s="2004"/>
      <c r="D20" s="2004"/>
      <c r="E20" s="2004"/>
      <c r="F20" s="2004"/>
      <c r="G20" s="2004"/>
      <c r="H20" s="2004"/>
      <c r="I20" s="2004"/>
      <c r="J20" s="2004"/>
      <c r="K20" s="2004"/>
      <c r="L20" s="2004"/>
      <c r="M20" s="2004"/>
      <c r="N20" s="2004"/>
      <c r="O20" s="2004"/>
      <c r="P20" s="2004"/>
      <c r="Q20" s="2004"/>
      <c r="R20" s="2004"/>
      <c r="S20" s="2004"/>
      <c r="T20" s="2004"/>
      <c r="U20" s="2004"/>
      <c r="V20" s="2004"/>
      <c r="W20" s="2004"/>
      <c r="X20" s="2004"/>
      <c r="Y20" s="2004"/>
      <c r="Z20" s="2004"/>
      <c r="AA20" s="2004"/>
      <c r="AB20" s="2004"/>
      <c r="AC20" s="2004"/>
      <c r="AD20" s="2004"/>
      <c r="AE20" s="2004"/>
      <c r="AF20" s="2004"/>
      <c r="AG20" s="2004"/>
      <c r="AH20" s="2004"/>
      <c r="AI20" s="2004"/>
      <c r="AJ20" s="2004"/>
      <c r="AK20" s="2004"/>
      <c r="AL20" s="2004"/>
      <c r="AM20" s="2004"/>
      <c r="AN20" s="2004"/>
      <c r="AO20" s="2004"/>
      <c r="AP20" s="2004"/>
      <c r="AQ20" s="2004"/>
      <c r="AR20" s="2004"/>
      <c r="AS20" s="2004"/>
      <c r="AT20" s="2004"/>
      <c r="AU20" s="2004"/>
      <c r="AV20" s="2004"/>
      <c r="AW20" s="2004"/>
      <c r="AX20" s="2004"/>
      <c r="AY20" s="2004"/>
      <c r="AZ20" s="2004"/>
      <c r="BA20" s="2004"/>
      <c r="BB20" s="2004"/>
      <c r="BC20" s="2004"/>
      <c r="BD20" s="2004"/>
      <c r="BE20" s="2004"/>
      <c r="BF20" s="2004"/>
      <c r="BG20" s="2004"/>
      <c r="BH20" s="2004"/>
      <c r="BI20" s="2004"/>
      <c r="BJ20" s="2004"/>
      <c r="BK20" s="2004"/>
      <c r="BL20" s="2004"/>
      <c r="BM20" s="2004"/>
      <c r="BN20" s="2004"/>
      <c r="BO20" s="2004"/>
      <c r="BP20" s="2004"/>
      <c r="BQ20" s="2004"/>
      <c r="BR20" s="2004"/>
      <c r="BS20" s="2004"/>
      <c r="BT20" s="2004"/>
      <c r="BU20" s="2004"/>
      <c r="BV20" s="2004"/>
      <c r="BW20" s="2004"/>
      <c r="BX20" s="2004"/>
      <c r="BY20" s="2004"/>
      <c r="BZ20" s="2004"/>
      <c r="CA20" s="2004"/>
      <c r="CB20" s="2004"/>
      <c r="CC20" s="2004"/>
      <c r="CD20" s="2004"/>
      <c r="CE20" s="2004"/>
      <c r="CF20" s="2004"/>
      <c r="CG20" s="2004"/>
      <c r="CH20" s="2004"/>
      <c r="CI20" s="2004"/>
    </row>
    <row r="21" spans="2:87">
      <c r="B21" t="s">
        <v>1372</v>
      </c>
      <c r="E21" s="194"/>
      <c r="F21" s="194"/>
      <c r="G21" s="194"/>
      <c r="H21" s="194"/>
      <c r="I21" s="194"/>
      <c r="J21" s="194"/>
      <c r="K21" s="194"/>
      <c r="L21" s="194"/>
      <c r="M21" s="194"/>
      <c r="N21" s="1081"/>
      <c r="O21" s="2005">
        <f>Rev!O167</f>
        <v>44300</v>
      </c>
      <c r="P21" s="2005">
        <f>Rev!P167</f>
        <v>45100</v>
      </c>
      <c r="Q21" s="2005">
        <f>Rev!Q167</f>
        <v>49900</v>
      </c>
      <c r="R21" s="2005">
        <f>Rev!R167</f>
        <v>53200</v>
      </c>
      <c r="S21" s="2005">
        <f>Rev!S167</f>
        <v>57500</v>
      </c>
      <c r="T21" s="2005">
        <f>Rev!T167</f>
        <v>62600</v>
      </c>
      <c r="U21" s="2005">
        <f>Rev!U167</f>
        <v>65100</v>
      </c>
      <c r="V21" s="2005">
        <f>Rev!V167</f>
        <v>96300</v>
      </c>
      <c r="W21" s="2005">
        <f>Rev!W167</f>
        <v>106265</v>
      </c>
      <c r="X21" s="2005">
        <f>Rev!X167</f>
        <v>113265</v>
      </c>
      <c r="Y21" s="2005">
        <f>Rev!Y167</f>
        <v>119265</v>
      </c>
      <c r="Z21" s="2005">
        <f>Rev!Z167</f>
        <v>125015</v>
      </c>
      <c r="AA21" s="2005"/>
      <c r="AB21" s="2005"/>
      <c r="AC21" s="2005"/>
      <c r="AD21" s="2005"/>
      <c r="AE21" s="2005"/>
      <c r="AF21" s="2005"/>
      <c r="AG21" s="2005"/>
      <c r="AH21" s="2005"/>
      <c r="AI21" s="2005"/>
      <c r="AJ21" s="2005"/>
      <c r="AK21" s="2005"/>
      <c r="AL21" s="2005"/>
      <c r="AM21" s="2005"/>
      <c r="AN21" s="2005"/>
      <c r="AO21" s="2005"/>
      <c r="AP21" s="2005"/>
      <c r="AQ21" s="2005"/>
      <c r="AR21" s="2005"/>
      <c r="AS21" s="2005"/>
      <c r="AT21" s="2005"/>
      <c r="AU21" s="2005"/>
      <c r="AV21" s="2005"/>
      <c r="AW21" s="2005"/>
      <c r="AX21" s="2005"/>
      <c r="AY21" s="2005"/>
      <c r="AZ21" s="2005"/>
      <c r="BA21" s="2005"/>
      <c r="BB21" s="2005"/>
      <c r="BC21" s="2005"/>
      <c r="BD21" s="2005"/>
      <c r="BE21" s="2005"/>
      <c r="BF21" s="2005"/>
      <c r="BG21" s="2005"/>
      <c r="BH21" s="2005"/>
      <c r="BI21" s="2005"/>
      <c r="BJ21" s="2005"/>
      <c r="BK21" s="2005"/>
      <c r="BL21" s="2005"/>
      <c r="BM21" s="2005"/>
      <c r="BN21" s="2005"/>
      <c r="BO21" s="2005"/>
      <c r="BP21" s="2005"/>
      <c r="BQ21" s="2005">
        <f>Rev!BU167</f>
        <v>41100</v>
      </c>
      <c r="BR21" s="2005">
        <f>Rev!BV167</f>
        <v>42800</v>
      </c>
      <c r="BS21" s="2005">
        <f>Rev!BW167</f>
        <v>44300</v>
      </c>
      <c r="BT21" s="2005">
        <f>Rev!BX167</f>
        <v>45900</v>
      </c>
      <c r="BU21" s="2005">
        <f>Rev!BY167</f>
        <v>45900</v>
      </c>
      <c r="BV21" s="2005">
        <f>Rev!BZ167</f>
        <v>43700</v>
      </c>
      <c r="BW21" s="2005">
        <f>Rev!CA167</f>
        <v>45100</v>
      </c>
      <c r="BX21" s="2005">
        <f>Rev!CB167</f>
        <v>45900</v>
      </c>
      <c r="BY21" s="2005">
        <f>Rev!CC167</f>
        <v>46600</v>
      </c>
      <c r="BZ21" s="2005">
        <f>Rev!CD167</f>
        <v>49200</v>
      </c>
      <c r="CA21" s="2005">
        <f>Rev!CE167</f>
        <v>49900</v>
      </c>
      <c r="CB21" s="2005">
        <f>Rev!CF167</f>
        <v>51800</v>
      </c>
      <c r="CC21" s="2005">
        <f>Rev!CG167</f>
        <v>51900</v>
      </c>
      <c r="CD21" s="2005">
        <f>Rev!CH167</f>
        <v>52800</v>
      </c>
      <c r="CE21" s="2005">
        <f>Rev!CI167</f>
        <v>53200</v>
      </c>
      <c r="CF21" s="2005">
        <f>Rev!CJ167</f>
        <v>56100</v>
      </c>
      <c r="CG21" s="2005">
        <f>Rev!CK167</f>
        <v>56600</v>
      </c>
      <c r="CH21" s="2005">
        <f>Rev!CL167</f>
        <v>57500</v>
      </c>
      <c r="CI21" s="2005">
        <f>Rev!CM167</f>
        <v>57500</v>
      </c>
    </row>
    <row r="22" spans="2:87" s="580" customFormat="1">
      <c r="B22" s="246" t="s">
        <v>1322</v>
      </c>
      <c r="O22" s="1661"/>
      <c r="P22" s="2007">
        <f t="shared" ref="P22:Z22" si="12">+P21/O21-1</f>
        <v>1.8058690744920947E-2</v>
      </c>
      <c r="Q22" s="2007">
        <f t="shared" si="12"/>
        <v>0.10643015521064303</v>
      </c>
      <c r="R22" s="2007">
        <f t="shared" si="12"/>
        <v>6.6132264529058071E-2</v>
      </c>
      <c r="S22" s="2007">
        <f t="shared" si="12"/>
        <v>8.0827067669172914E-2</v>
      </c>
      <c r="T22" s="2007">
        <f t="shared" si="12"/>
        <v>8.8695652173913064E-2</v>
      </c>
      <c r="U22" s="2007">
        <f t="shared" si="12"/>
        <v>3.9936102236421744E-2</v>
      </c>
      <c r="V22" s="2007">
        <f t="shared" si="12"/>
        <v>0.47926267281105983</v>
      </c>
      <c r="W22" s="2007">
        <f t="shared" si="12"/>
        <v>0.10347871235721695</v>
      </c>
      <c r="X22" s="2007">
        <f t="shared" si="12"/>
        <v>6.5873053216016553E-2</v>
      </c>
      <c r="Y22" s="2007">
        <f t="shared" si="12"/>
        <v>5.2973116143557153E-2</v>
      </c>
      <c r="Z22" s="2007">
        <f t="shared" si="12"/>
        <v>4.8211964951997643E-2</v>
      </c>
      <c r="AA22" s="2007"/>
      <c r="AB22" s="2007"/>
      <c r="AC22" s="2007"/>
      <c r="AD22" s="2007"/>
      <c r="AE22" s="2007"/>
      <c r="AF22" s="2007"/>
      <c r="AG22" s="2007"/>
      <c r="AH22" s="2007"/>
      <c r="AI22" s="2007"/>
      <c r="AJ22" s="2007"/>
      <c r="AK22" s="2007"/>
      <c r="AL22" s="2007"/>
      <c r="AM22" s="2007"/>
      <c r="AN22" s="2007"/>
      <c r="AO22" s="2007"/>
      <c r="AP22" s="2007"/>
      <c r="AQ22" s="2007"/>
      <c r="AR22" s="2007"/>
      <c r="AS22" s="2007"/>
      <c r="AT22" s="2007"/>
      <c r="AU22" s="2007"/>
      <c r="AV22" s="2007"/>
      <c r="AW22" s="2007"/>
      <c r="AX22" s="2007"/>
      <c r="AY22" s="2007"/>
      <c r="AZ22" s="2007"/>
      <c r="BA22" s="2007"/>
      <c r="BB22" s="2007"/>
      <c r="BC22" s="2007"/>
      <c r="BD22" s="2007"/>
      <c r="BE22" s="2007"/>
      <c r="BF22" s="2007"/>
      <c r="BG22" s="2007"/>
      <c r="BH22" s="2007"/>
      <c r="BI22" s="2007"/>
      <c r="BJ22" s="2007"/>
      <c r="BK22" s="2007"/>
      <c r="BL22" s="2007"/>
      <c r="BM22" s="2007"/>
      <c r="BN22" s="2007"/>
      <c r="BO22" s="2007"/>
      <c r="BP22" s="2007"/>
      <c r="BQ22" s="2007"/>
      <c r="BR22" s="2007"/>
      <c r="BS22" s="2007"/>
      <c r="BT22" s="2007"/>
      <c r="BU22" s="2007">
        <f t="shared" ref="BU22:CI22" si="13">+BU21/BQ21-1</f>
        <v>0.11678832116788329</v>
      </c>
      <c r="BV22" s="2007">
        <f t="shared" si="13"/>
        <v>2.1028037383177489E-2</v>
      </c>
      <c r="BW22" s="2007">
        <f t="shared" si="13"/>
        <v>1.8058690744920947E-2</v>
      </c>
      <c r="BX22" s="2007">
        <f t="shared" si="13"/>
        <v>0</v>
      </c>
      <c r="BY22" s="2007">
        <f t="shared" si="13"/>
        <v>1.5250544662309462E-2</v>
      </c>
      <c r="BZ22" s="2007">
        <f t="shared" si="13"/>
        <v>0.12585812356979398</v>
      </c>
      <c r="CA22" s="2007">
        <f t="shared" si="13"/>
        <v>0.10643015521064303</v>
      </c>
      <c r="CB22" s="2007">
        <f t="shared" si="13"/>
        <v>0.12854030501089331</v>
      </c>
      <c r="CC22" s="2007">
        <f t="shared" si="13"/>
        <v>0.11373390557939911</v>
      </c>
      <c r="CD22" s="2007">
        <f t="shared" si="13"/>
        <v>7.3170731707317138E-2</v>
      </c>
      <c r="CE22" s="2007">
        <f t="shared" si="13"/>
        <v>6.6132264529058071E-2</v>
      </c>
      <c r="CF22" s="2007">
        <f t="shared" si="13"/>
        <v>8.3011583011582957E-2</v>
      </c>
      <c r="CG22" s="2007">
        <f t="shared" si="13"/>
        <v>9.055876685934483E-2</v>
      </c>
      <c r="CH22" s="2007">
        <f t="shared" si="13"/>
        <v>8.9015151515151603E-2</v>
      </c>
      <c r="CI22" s="2007">
        <f t="shared" si="13"/>
        <v>8.0827067669172914E-2</v>
      </c>
    </row>
    <row r="23" spans="2:87" s="580" customFormat="1">
      <c r="B23" s="246" t="s">
        <v>95</v>
      </c>
      <c r="P23" s="1661"/>
      <c r="Q23" s="1661"/>
      <c r="R23" s="1661"/>
      <c r="S23" s="1661"/>
      <c r="T23" s="1661"/>
      <c r="U23" s="1661"/>
      <c r="V23" s="1661"/>
      <c r="W23" s="1661"/>
      <c r="X23" s="1661"/>
      <c r="Y23" s="1661"/>
      <c r="Z23" s="1661"/>
      <c r="AA23" s="1661"/>
      <c r="AB23" s="1661"/>
      <c r="AC23" s="1661"/>
      <c r="AD23" s="1661"/>
      <c r="AE23" s="1661"/>
      <c r="AF23" s="1661"/>
      <c r="AG23" s="1661"/>
      <c r="AH23" s="1661"/>
      <c r="AI23" s="1661"/>
      <c r="AJ23" s="1661"/>
      <c r="AK23" s="1661"/>
      <c r="AL23" s="1661"/>
      <c r="AM23" s="1661"/>
      <c r="AN23" s="1661"/>
      <c r="AO23" s="1661"/>
      <c r="AP23" s="1661"/>
      <c r="AQ23" s="1661"/>
      <c r="AR23" s="1661"/>
      <c r="AS23" s="1661"/>
      <c r="AT23" s="1661"/>
      <c r="AU23" s="1661"/>
      <c r="AV23" s="1661"/>
      <c r="AW23" s="1661"/>
      <c r="AX23" s="1661"/>
      <c r="AY23" s="1661"/>
      <c r="AZ23" s="1661"/>
      <c r="BA23" s="1661"/>
      <c r="BB23" s="1661"/>
      <c r="BC23" s="1661"/>
      <c r="BD23" s="1661"/>
      <c r="BE23" s="1661"/>
      <c r="BF23" s="1661"/>
      <c r="BG23" s="1661"/>
      <c r="BH23" s="1661"/>
      <c r="BI23" s="1661"/>
      <c r="BJ23" s="1661"/>
      <c r="BK23" s="1661"/>
      <c r="BL23" s="1661"/>
      <c r="BM23" s="1661"/>
      <c r="BN23" s="1661"/>
      <c r="BO23" s="1661"/>
      <c r="BP23" s="1661"/>
      <c r="BQ23" s="1661"/>
      <c r="BR23" s="1661">
        <f t="shared" ref="BR23:CI23" si="14">+BR21/BQ21-1</f>
        <v>4.1362530413625365E-2</v>
      </c>
      <c r="BS23" s="1661">
        <f t="shared" si="14"/>
        <v>3.5046728971962704E-2</v>
      </c>
      <c r="BT23" s="1661">
        <f t="shared" si="14"/>
        <v>3.6117381489841893E-2</v>
      </c>
      <c r="BU23" s="1661">
        <f t="shared" si="14"/>
        <v>0</v>
      </c>
      <c r="BV23" s="1661">
        <f t="shared" si="14"/>
        <v>-4.7930283224400849E-2</v>
      </c>
      <c r="BW23" s="1661">
        <f t="shared" si="14"/>
        <v>3.203661327231111E-2</v>
      </c>
      <c r="BX23" s="1661">
        <f t="shared" si="14"/>
        <v>1.7738359201773912E-2</v>
      </c>
      <c r="BY23" s="1661">
        <f t="shared" si="14"/>
        <v>1.5250544662309462E-2</v>
      </c>
      <c r="BZ23" s="1661">
        <f t="shared" si="14"/>
        <v>5.579399141630903E-2</v>
      </c>
      <c r="CA23" s="1661">
        <f t="shared" si="14"/>
        <v>1.4227642276422703E-2</v>
      </c>
      <c r="CB23" s="1661">
        <f t="shared" si="14"/>
        <v>3.8076152304609145E-2</v>
      </c>
      <c r="CC23" s="1661">
        <f t="shared" si="14"/>
        <v>1.9305019305020377E-3</v>
      </c>
      <c r="CD23" s="1661">
        <f t="shared" si="14"/>
        <v>1.7341040462427681E-2</v>
      </c>
      <c r="CE23" s="1661">
        <f t="shared" si="14"/>
        <v>7.575757575757569E-3</v>
      </c>
      <c r="CF23" s="1661">
        <f t="shared" si="14"/>
        <v>5.4511278195488622E-2</v>
      </c>
      <c r="CG23" s="1661">
        <f t="shared" si="14"/>
        <v>8.9126559714796105E-3</v>
      </c>
      <c r="CH23" s="1661">
        <f t="shared" si="14"/>
        <v>1.5901060070671269E-2</v>
      </c>
      <c r="CI23" s="1661">
        <f t="shared" si="14"/>
        <v>0</v>
      </c>
    </row>
    <row r="24" spans="2:87">
      <c r="B24" t="s">
        <v>1356</v>
      </c>
      <c r="N24" s="194"/>
      <c r="O24" s="1578">
        <f>Rev!O249</f>
        <v>34800</v>
      </c>
      <c r="P24" s="2005">
        <f>Rev!P249</f>
        <v>37500</v>
      </c>
      <c r="Q24" s="2005">
        <f>Rev!Q249</f>
        <v>40600</v>
      </c>
      <c r="R24" s="2005">
        <f>Rev!R249</f>
        <v>43400</v>
      </c>
      <c r="S24" s="2005">
        <f>Rev!S249</f>
        <v>45400</v>
      </c>
      <c r="T24" s="2005">
        <f>Rev!T249</f>
        <v>50600</v>
      </c>
      <c r="U24" s="2005">
        <f>Rev!U249</f>
        <v>53500</v>
      </c>
      <c r="V24" s="2005">
        <f>Rev!V249</f>
        <v>78900</v>
      </c>
      <c r="W24" s="2005">
        <f>Rev!W249</f>
        <v>84480.675000000003</v>
      </c>
      <c r="X24" s="2005">
        <f>Rev!X249</f>
        <v>92027.8125</v>
      </c>
      <c r="Y24" s="2005">
        <f>Rev!Y249</f>
        <v>97200.974999999991</v>
      </c>
      <c r="Z24" s="2005">
        <f>Rev!Z249</f>
        <v>102199.76249999998</v>
      </c>
      <c r="AA24" s="2005"/>
      <c r="AB24" s="2005"/>
      <c r="AC24" s="2005"/>
      <c r="AD24" s="2005"/>
      <c r="AE24" s="2005"/>
      <c r="AF24" s="2005"/>
      <c r="AG24" s="2005"/>
      <c r="AH24" s="2005"/>
      <c r="AI24" s="2005"/>
      <c r="AJ24" s="2005"/>
      <c r="AK24" s="2005"/>
      <c r="AL24" s="2005"/>
      <c r="AM24" s="2005"/>
      <c r="AN24" s="2005"/>
      <c r="AO24" s="2005"/>
      <c r="AP24" s="2005"/>
      <c r="AQ24" s="2005"/>
      <c r="AR24" s="2005"/>
      <c r="AS24" s="2005"/>
      <c r="AT24" s="2005"/>
      <c r="AU24" s="2005"/>
      <c r="AV24" s="2005"/>
      <c r="AW24" s="2005"/>
      <c r="AX24" s="2005"/>
      <c r="AY24" s="2005"/>
      <c r="AZ24" s="2005"/>
      <c r="BA24" s="2005"/>
      <c r="BB24" s="2005"/>
      <c r="BC24" s="2005"/>
      <c r="BD24" s="2005"/>
      <c r="BE24" s="2005"/>
      <c r="BF24" s="2005"/>
      <c r="BG24" s="2005"/>
      <c r="BH24" s="2005"/>
      <c r="BI24" s="2005"/>
      <c r="BJ24" s="2005"/>
      <c r="BK24" s="2005"/>
      <c r="BL24" s="2005"/>
      <c r="BM24" s="2005"/>
      <c r="BN24" s="2005"/>
      <c r="BO24" s="2005"/>
      <c r="BP24" s="2005"/>
      <c r="BQ24" s="2005">
        <f>Rev!BU249</f>
        <v>33300</v>
      </c>
      <c r="BR24" s="2005">
        <f>Rev!BV249</f>
        <v>33900</v>
      </c>
      <c r="BS24" s="2005">
        <f>Rev!BW249</f>
        <v>34800</v>
      </c>
      <c r="BT24" s="2005">
        <f>Rev!BX249</f>
        <v>36800</v>
      </c>
      <c r="BU24" s="2005">
        <f>Rev!BY249</f>
        <v>37300</v>
      </c>
      <c r="BV24" s="2005">
        <f>Rev!BZ249</f>
        <v>37000</v>
      </c>
      <c r="BW24" s="2005">
        <f>Rev!CA249</f>
        <v>37500</v>
      </c>
      <c r="BX24" s="2005">
        <f>Rev!CB249</f>
        <v>38400</v>
      </c>
      <c r="BY24" s="2005">
        <f>Rev!CC249</f>
        <v>39400</v>
      </c>
      <c r="BZ24" s="2005">
        <f>Rev!CD249</f>
        <v>39200</v>
      </c>
      <c r="CA24" s="2005">
        <f>Rev!CE249</f>
        <v>40600</v>
      </c>
      <c r="CB24" s="2005">
        <f>Rev!CF249</f>
        <v>41900</v>
      </c>
      <c r="CC24" s="2005">
        <f>Rev!CG249</f>
        <v>41800</v>
      </c>
      <c r="CD24" s="2005">
        <f>Rev!CH249</f>
        <v>42600</v>
      </c>
      <c r="CE24" s="2005">
        <f>Rev!CI249</f>
        <v>43400</v>
      </c>
      <c r="CF24" s="2005">
        <f>Rev!CJ249</f>
        <v>43100</v>
      </c>
      <c r="CG24" s="2005">
        <f>Rev!CK249</f>
        <v>43200</v>
      </c>
      <c r="CH24" s="2005">
        <f>Rev!CL249</f>
        <v>44900</v>
      </c>
      <c r="CI24" s="2005">
        <f>Rev!CM249</f>
        <v>45400</v>
      </c>
    </row>
    <row r="25" spans="2:87" s="580" customFormat="1">
      <c r="B25" s="246" t="s">
        <v>1322</v>
      </c>
      <c r="O25" s="1661"/>
      <c r="P25" s="2007">
        <f t="shared" ref="P25:Z25" si="15">+P24/O24-1</f>
        <v>7.7586206896551824E-2</v>
      </c>
      <c r="Q25" s="2007">
        <f t="shared" si="15"/>
        <v>8.2666666666666666E-2</v>
      </c>
      <c r="R25" s="2007">
        <f t="shared" si="15"/>
        <v>6.8965517241379226E-2</v>
      </c>
      <c r="S25" s="2007">
        <f t="shared" si="15"/>
        <v>4.6082949308755783E-2</v>
      </c>
      <c r="T25" s="2007">
        <f t="shared" si="15"/>
        <v>0.11453744493392071</v>
      </c>
      <c r="U25" s="2007">
        <f t="shared" si="15"/>
        <v>5.7312252964426769E-2</v>
      </c>
      <c r="V25" s="2007">
        <f t="shared" si="15"/>
        <v>0.47476635514018684</v>
      </c>
      <c r="W25" s="2007">
        <f t="shared" si="15"/>
        <v>7.0730988593155963E-2</v>
      </c>
      <c r="X25" s="2007">
        <f t="shared" si="15"/>
        <v>8.9335667594985457E-2</v>
      </c>
      <c r="Y25" s="2007">
        <f t="shared" si="15"/>
        <v>5.6213033423998748E-2</v>
      </c>
      <c r="Z25" s="2007">
        <f t="shared" si="15"/>
        <v>5.1427339077617207E-2</v>
      </c>
      <c r="AA25" s="2007"/>
      <c r="AB25" s="2007"/>
      <c r="AC25" s="2007"/>
      <c r="AD25" s="2007"/>
      <c r="AE25" s="2007"/>
      <c r="AF25" s="2007"/>
      <c r="AG25" s="2007"/>
      <c r="AH25" s="2007"/>
      <c r="AI25" s="2007"/>
      <c r="AJ25" s="2007"/>
      <c r="AK25" s="2007"/>
      <c r="AL25" s="2007"/>
      <c r="AM25" s="2007"/>
      <c r="AN25" s="2007"/>
      <c r="AO25" s="2007"/>
      <c r="AP25" s="2007"/>
      <c r="AQ25" s="2007"/>
      <c r="AR25" s="2007"/>
      <c r="AS25" s="2007"/>
      <c r="AT25" s="2007"/>
      <c r="AU25" s="2007"/>
      <c r="AV25" s="2007"/>
      <c r="AW25" s="2007"/>
      <c r="AX25" s="2007"/>
      <c r="AY25" s="2007"/>
      <c r="AZ25" s="2007"/>
      <c r="BA25" s="2007"/>
      <c r="BB25" s="2007"/>
      <c r="BC25" s="2007"/>
      <c r="BD25" s="2007"/>
      <c r="BE25" s="2007"/>
      <c r="BF25" s="2007"/>
      <c r="BG25" s="2007"/>
      <c r="BH25" s="2007"/>
      <c r="BI25" s="2007"/>
      <c r="BJ25" s="2007"/>
      <c r="BK25" s="2007"/>
      <c r="BL25" s="2007"/>
      <c r="BM25" s="2007"/>
      <c r="BN25" s="2007"/>
      <c r="BO25" s="2007"/>
      <c r="BP25" s="2007"/>
      <c r="BQ25" s="2007"/>
      <c r="BR25" s="2007"/>
      <c r="BS25" s="2007"/>
      <c r="BT25" s="2007"/>
      <c r="BU25" s="2007">
        <f t="shared" ref="BU25:CI25" si="16">+BU24/BQ24-1</f>
        <v>0.12012012012012008</v>
      </c>
      <c r="BV25" s="2007">
        <f t="shared" si="16"/>
        <v>9.1445427728613637E-2</v>
      </c>
      <c r="BW25" s="2007">
        <f t="shared" si="16"/>
        <v>7.7586206896551824E-2</v>
      </c>
      <c r="BX25" s="2007">
        <f t="shared" si="16"/>
        <v>4.3478260869565188E-2</v>
      </c>
      <c r="BY25" s="2007">
        <f t="shared" si="16"/>
        <v>5.6300268096514783E-2</v>
      </c>
      <c r="BZ25" s="2007">
        <f t="shared" si="16"/>
        <v>5.9459459459459518E-2</v>
      </c>
      <c r="CA25" s="2007">
        <f t="shared" si="16"/>
        <v>8.2666666666666666E-2</v>
      </c>
      <c r="CB25" s="2007">
        <f t="shared" si="16"/>
        <v>9.1145833333333259E-2</v>
      </c>
      <c r="CC25" s="2007">
        <f t="shared" si="16"/>
        <v>6.0913705583756306E-2</v>
      </c>
      <c r="CD25" s="2007">
        <f t="shared" si="16"/>
        <v>8.6734693877551061E-2</v>
      </c>
      <c r="CE25" s="2007">
        <f t="shared" si="16"/>
        <v>6.8965517241379226E-2</v>
      </c>
      <c r="CF25" s="2007">
        <f t="shared" si="16"/>
        <v>2.8639618138424749E-2</v>
      </c>
      <c r="CG25" s="2007">
        <f t="shared" si="16"/>
        <v>3.3492822966507241E-2</v>
      </c>
      <c r="CH25" s="2007">
        <f t="shared" si="16"/>
        <v>5.39906103286385E-2</v>
      </c>
      <c r="CI25" s="2007">
        <f t="shared" si="16"/>
        <v>4.6082949308755783E-2</v>
      </c>
    </row>
    <row r="26" spans="2:87" s="580" customFormat="1">
      <c r="B26" s="246" t="s">
        <v>95</v>
      </c>
      <c r="P26" s="1661"/>
      <c r="Q26" s="1661"/>
      <c r="R26" s="1661"/>
      <c r="S26" s="1661"/>
      <c r="T26" s="1661"/>
      <c r="U26" s="1661"/>
      <c r="V26" s="1661"/>
      <c r="W26" s="1661"/>
      <c r="X26" s="1661"/>
      <c r="Y26" s="1661"/>
      <c r="Z26" s="1661"/>
      <c r="AA26" s="1661"/>
      <c r="AB26" s="1661"/>
      <c r="AC26" s="1661"/>
      <c r="AD26" s="1661"/>
      <c r="AE26" s="1661"/>
      <c r="AF26" s="1661"/>
      <c r="AG26" s="1661"/>
      <c r="AH26" s="1661"/>
      <c r="AI26" s="1661"/>
      <c r="AJ26" s="1661"/>
      <c r="AK26" s="1661"/>
      <c r="AL26" s="1661"/>
      <c r="AM26" s="1661"/>
      <c r="AN26" s="1661"/>
      <c r="AO26" s="1661"/>
      <c r="AP26" s="1661"/>
      <c r="AQ26" s="1661"/>
      <c r="AR26" s="1661"/>
      <c r="AS26" s="1661"/>
      <c r="AT26" s="1661"/>
      <c r="AU26" s="1661"/>
      <c r="AV26" s="1661"/>
      <c r="AW26" s="1661"/>
      <c r="AX26" s="1661"/>
      <c r="AY26" s="1661"/>
      <c r="AZ26" s="1661"/>
      <c r="BA26" s="1661"/>
      <c r="BB26" s="1661"/>
      <c r="BC26" s="1661"/>
      <c r="BD26" s="1661"/>
      <c r="BE26" s="1661"/>
      <c r="BF26" s="1661"/>
      <c r="BG26" s="1661"/>
      <c r="BH26" s="1661"/>
      <c r="BI26" s="1661"/>
      <c r="BJ26" s="1661"/>
      <c r="BK26" s="1661"/>
      <c r="BL26" s="1661"/>
      <c r="BM26" s="1661"/>
      <c r="BN26" s="1661"/>
      <c r="BO26" s="1661"/>
      <c r="BP26" s="1661"/>
      <c r="BQ26" s="1661"/>
      <c r="BR26" s="1661">
        <f t="shared" ref="BR26:CI26" si="17">+BR24/BQ24-1</f>
        <v>1.8018018018018056E-2</v>
      </c>
      <c r="BS26" s="1661">
        <f t="shared" si="17"/>
        <v>2.6548672566371723E-2</v>
      </c>
      <c r="BT26" s="1661">
        <f t="shared" si="17"/>
        <v>5.7471264367816133E-2</v>
      </c>
      <c r="BU26" s="1661">
        <f t="shared" si="17"/>
        <v>1.3586956521739024E-2</v>
      </c>
      <c r="BV26" s="1661">
        <f t="shared" si="17"/>
        <v>-8.0428954423592547E-3</v>
      </c>
      <c r="BW26" s="1661">
        <f t="shared" si="17"/>
        <v>1.3513513513513598E-2</v>
      </c>
      <c r="BX26" s="1661">
        <f t="shared" si="17"/>
        <v>2.4000000000000021E-2</v>
      </c>
      <c r="BY26" s="1661">
        <f t="shared" si="17"/>
        <v>2.6041666666666741E-2</v>
      </c>
      <c r="BZ26" s="1661">
        <f t="shared" si="17"/>
        <v>-5.0761421319797106E-3</v>
      </c>
      <c r="CA26" s="1661">
        <f t="shared" si="17"/>
        <v>3.5714285714285809E-2</v>
      </c>
      <c r="CB26" s="1661">
        <f t="shared" si="17"/>
        <v>3.2019704433497553E-2</v>
      </c>
      <c r="CC26" s="1661">
        <f t="shared" si="17"/>
        <v>-2.3866348448687846E-3</v>
      </c>
      <c r="CD26" s="1661">
        <f t="shared" si="17"/>
        <v>1.9138755980861344E-2</v>
      </c>
      <c r="CE26" s="1661">
        <f t="shared" si="17"/>
        <v>1.8779342723004744E-2</v>
      </c>
      <c r="CF26" s="1661">
        <f t="shared" si="17"/>
        <v>-6.9124423963133896E-3</v>
      </c>
      <c r="CG26" s="1661">
        <f t="shared" si="17"/>
        <v>2.3201856148491462E-3</v>
      </c>
      <c r="CH26" s="1661">
        <f t="shared" si="17"/>
        <v>3.935185185185186E-2</v>
      </c>
      <c r="CI26" s="1661">
        <f t="shared" si="17"/>
        <v>1.1135857461024523E-2</v>
      </c>
    </row>
    <row r="27" spans="2:87">
      <c r="B27" t="s">
        <v>161</v>
      </c>
      <c r="N27" s="1227"/>
      <c r="O27" s="2002"/>
      <c r="P27" s="2002">
        <f>Rev!P274</f>
        <v>2121.75</v>
      </c>
      <c r="Q27" s="2002">
        <f>Rev!Q274</f>
        <v>2224.75</v>
      </c>
      <c r="R27" s="2002">
        <f>Rev!R274</f>
        <v>2243</v>
      </c>
      <c r="S27" s="2002">
        <f>Rev!S274</f>
        <v>2393.25</v>
      </c>
      <c r="T27" s="2002">
        <f>Rev!T274</f>
        <v>2453.5</v>
      </c>
      <c r="U27" s="2002">
        <f>Rev!U274</f>
        <v>2517.5</v>
      </c>
      <c r="V27" s="2002">
        <f>Rev!V274</f>
        <v>2524</v>
      </c>
      <c r="W27" s="2002">
        <f ca="1">Rev!W274</f>
        <v>2378.4130240245704</v>
      </c>
      <c r="X27" s="2002">
        <f ca="1">Rev!X274</f>
        <v>2390.3050891446928</v>
      </c>
      <c r="Y27" s="2002">
        <f ca="1">Rev!Y274</f>
        <v>2401.0614620458437</v>
      </c>
      <c r="Z27" s="2002">
        <f ca="1">Rev!Z274</f>
        <v>2410.665707894027</v>
      </c>
      <c r="AA27" s="2002"/>
      <c r="AB27" s="2002"/>
      <c r="AC27" s="2002"/>
      <c r="AD27" s="2002"/>
      <c r="AE27" s="2002"/>
      <c r="AF27" s="2002"/>
      <c r="AG27" s="2002"/>
      <c r="AH27" s="2002"/>
      <c r="AI27" s="2002"/>
      <c r="AJ27" s="2002"/>
      <c r="AK27" s="2002"/>
      <c r="AL27" s="2002"/>
      <c r="AM27" s="2002"/>
      <c r="AN27" s="2002"/>
      <c r="AO27" s="2002"/>
      <c r="AP27" s="2002"/>
      <c r="AQ27" s="2002"/>
      <c r="AR27" s="2002"/>
      <c r="AS27" s="2002"/>
      <c r="AT27" s="2002"/>
      <c r="AU27" s="2002"/>
      <c r="AV27" s="2002"/>
      <c r="AW27" s="2002"/>
      <c r="AX27" s="2002"/>
      <c r="AY27" s="2002"/>
      <c r="AZ27" s="2002"/>
      <c r="BA27" s="2002"/>
      <c r="BB27" s="2002"/>
      <c r="BC27" s="2002"/>
      <c r="BD27" s="2002"/>
      <c r="BE27" s="2002"/>
      <c r="BF27" s="2002"/>
      <c r="BG27" s="2002"/>
      <c r="BH27" s="2002"/>
      <c r="BI27" s="2002"/>
      <c r="BJ27" s="2002"/>
      <c r="BK27" s="2002"/>
      <c r="BL27" s="2002"/>
      <c r="BM27" s="2002"/>
      <c r="BN27" s="2002"/>
      <c r="BO27" s="2002"/>
      <c r="BP27" s="2002"/>
      <c r="BQ27" s="2002">
        <f>Rev!BU274</f>
        <v>2051</v>
      </c>
      <c r="BR27" s="2002">
        <f>Rev!BV274</f>
        <v>2059</v>
      </c>
      <c r="BS27" s="2002">
        <f>Rev!BW274</f>
        <v>2056</v>
      </c>
      <c r="BT27" s="2002">
        <f>Rev!BX274</f>
        <v>2080</v>
      </c>
      <c r="BU27" s="2002">
        <f>Rev!BY274</f>
        <v>2100</v>
      </c>
      <c r="BV27" s="2002">
        <f>Rev!BZ274</f>
        <v>2141</v>
      </c>
      <c r="BW27" s="2002">
        <f>Rev!CA274</f>
        <v>2166</v>
      </c>
      <c r="BX27" s="2002">
        <f>Rev!CB274</f>
        <v>2207</v>
      </c>
      <c r="BY27" s="2002">
        <f>Rev!CC274</f>
        <v>2212</v>
      </c>
      <c r="BZ27" s="2002">
        <f>Rev!CD274</f>
        <v>2232</v>
      </c>
      <c r="CA27" s="2002">
        <f>Rev!CE274</f>
        <v>2248</v>
      </c>
      <c r="CB27" s="2002">
        <f>Rev!CF274</f>
        <v>2223</v>
      </c>
      <c r="CC27" s="2002">
        <f>Rev!CG274</f>
        <v>2225</v>
      </c>
      <c r="CD27" s="2002">
        <f>Rev!CH274</f>
        <v>2262</v>
      </c>
      <c r="CE27" s="2002">
        <f>Rev!CI274</f>
        <v>2262</v>
      </c>
      <c r="CF27" s="2002">
        <f>Rev!CJ274</f>
        <v>2354</v>
      </c>
      <c r="CG27" s="2002">
        <f>Rev!CK274</f>
        <v>2378</v>
      </c>
      <c r="CH27" s="2002">
        <f>Rev!CL274</f>
        <v>2403</v>
      </c>
      <c r="CI27" s="2002">
        <f>Rev!CM274</f>
        <v>2438</v>
      </c>
    </row>
    <row r="28" spans="2:87" s="580" customFormat="1">
      <c r="B28" s="246" t="s">
        <v>1322</v>
      </c>
      <c r="O28" s="1661"/>
      <c r="P28" s="2007"/>
      <c r="Q28" s="2007">
        <f t="shared" ref="Q28:Z28" si="18">+Q27/P27-1</f>
        <v>4.8544833274419608E-2</v>
      </c>
      <c r="R28" s="2007">
        <f t="shared" si="18"/>
        <v>8.2031688953814186E-3</v>
      </c>
      <c r="S28" s="2007">
        <f t="shared" si="18"/>
        <v>6.6986179224253206E-2</v>
      </c>
      <c r="T28" s="2007">
        <f t="shared" si="18"/>
        <v>2.5174971273373092E-2</v>
      </c>
      <c r="U28" s="2007">
        <f t="shared" si="18"/>
        <v>2.6085184430405528E-2</v>
      </c>
      <c r="V28" s="2007">
        <f t="shared" si="18"/>
        <v>2.5819265143991466E-3</v>
      </c>
      <c r="W28" s="2007">
        <f t="shared" ca="1" si="18"/>
        <v>-5.7681052288205081E-2</v>
      </c>
      <c r="X28" s="2007">
        <f t="shared" ca="1" si="18"/>
        <v>4.9999999999998934E-3</v>
      </c>
      <c r="Y28" s="2007">
        <f t="shared" ca="1" si="18"/>
        <v>4.4999999999999485E-3</v>
      </c>
      <c r="Z28" s="2007">
        <f t="shared" ca="1" si="18"/>
        <v>4.0000000000000036E-3</v>
      </c>
      <c r="AA28" s="2007"/>
      <c r="AB28" s="2007"/>
      <c r="AC28" s="2007"/>
      <c r="AD28" s="2007"/>
      <c r="AE28" s="2007"/>
      <c r="AF28" s="2007"/>
      <c r="AG28" s="2007"/>
      <c r="AH28" s="2007"/>
      <c r="AI28" s="2007"/>
      <c r="AJ28" s="2007"/>
      <c r="AK28" s="2007"/>
      <c r="AL28" s="2007"/>
      <c r="AM28" s="2007"/>
      <c r="AN28" s="2007"/>
      <c r="AO28" s="2007"/>
      <c r="AP28" s="2007"/>
      <c r="AQ28" s="2007"/>
      <c r="AR28" s="2007"/>
      <c r="AS28" s="2007"/>
      <c r="AT28" s="2007"/>
      <c r="AU28" s="2007"/>
      <c r="AV28" s="2007"/>
      <c r="AW28" s="2007"/>
      <c r="AX28" s="2007"/>
      <c r="AY28" s="2007"/>
      <c r="AZ28" s="2007"/>
      <c r="BA28" s="2007"/>
      <c r="BB28" s="2007"/>
      <c r="BC28" s="2007"/>
      <c r="BD28" s="2007"/>
      <c r="BE28" s="2007"/>
      <c r="BF28" s="2007"/>
      <c r="BG28" s="2007"/>
      <c r="BH28" s="2007"/>
      <c r="BI28" s="2007"/>
      <c r="BJ28" s="2007"/>
      <c r="BK28" s="2007"/>
      <c r="BL28" s="2007"/>
      <c r="BM28" s="2007"/>
      <c r="BN28" s="2007"/>
      <c r="BO28" s="2007"/>
      <c r="BP28" s="2007"/>
      <c r="BQ28" s="2007"/>
      <c r="BR28" s="2007"/>
      <c r="BS28" s="2007"/>
      <c r="BT28" s="2007"/>
      <c r="BU28" s="2007">
        <f t="shared" ref="BU28:CI28" si="19">+BU27/BQ27-1</f>
        <v>2.3890784982935065E-2</v>
      </c>
      <c r="BV28" s="2007">
        <f t="shared" si="19"/>
        <v>3.9825157843613512E-2</v>
      </c>
      <c r="BW28" s="2007">
        <f t="shared" si="19"/>
        <v>5.3501945525291861E-2</v>
      </c>
      <c r="BX28" s="2007">
        <f t="shared" si="19"/>
        <v>6.1057692307692202E-2</v>
      </c>
      <c r="BY28" s="2007">
        <f t="shared" si="19"/>
        <v>5.3333333333333233E-2</v>
      </c>
      <c r="BZ28" s="2007">
        <f t="shared" si="19"/>
        <v>4.2503503035964396E-2</v>
      </c>
      <c r="CA28" s="2007">
        <f t="shared" si="19"/>
        <v>3.7857802400738771E-2</v>
      </c>
      <c r="CB28" s="2007">
        <f t="shared" si="19"/>
        <v>7.2496601721794285E-3</v>
      </c>
      <c r="CC28" s="2007">
        <f t="shared" si="19"/>
        <v>5.8770343580469842E-3</v>
      </c>
      <c r="CD28" s="2007">
        <f t="shared" si="19"/>
        <v>1.3440860215053752E-2</v>
      </c>
      <c r="CE28" s="2007">
        <f t="shared" si="19"/>
        <v>6.2277580071175009E-3</v>
      </c>
      <c r="CF28" s="2007">
        <f t="shared" si="19"/>
        <v>5.8929374718848404E-2</v>
      </c>
      <c r="CG28" s="2007">
        <f t="shared" si="19"/>
        <v>6.8764044943820268E-2</v>
      </c>
      <c r="CH28" s="2007">
        <f t="shared" si="19"/>
        <v>6.2334217506631262E-2</v>
      </c>
      <c r="CI28" s="2007">
        <f t="shared" si="19"/>
        <v>7.78072502210434E-2</v>
      </c>
    </row>
    <row r="29" spans="2:87" s="580" customFormat="1">
      <c r="B29" s="246" t="s">
        <v>95</v>
      </c>
      <c r="P29" s="1661"/>
      <c r="Q29" s="1661"/>
      <c r="R29" s="1661"/>
      <c r="S29" s="1661"/>
      <c r="T29" s="1661"/>
      <c r="U29" s="1661"/>
      <c r="V29" s="1661"/>
      <c r="W29" s="1661"/>
      <c r="X29" s="1661"/>
      <c r="Y29" s="1661"/>
      <c r="Z29" s="1661"/>
      <c r="AA29" s="1661"/>
      <c r="AB29" s="1661"/>
      <c r="AC29" s="1661"/>
      <c r="AD29" s="1661"/>
      <c r="AE29" s="1661"/>
      <c r="AF29" s="1661"/>
      <c r="AG29" s="1661"/>
      <c r="AH29" s="1661"/>
      <c r="AI29" s="1661"/>
      <c r="AJ29" s="1661"/>
      <c r="AK29" s="1661"/>
      <c r="AL29" s="1661"/>
      <c r="AM29" s="1661"/>
      <c r="AN29" s="1661"/>
      <c r="AO29" s="1661"/>
      <c r="AP29" s="1661"/>
      <c r="AQ29" s="1661"/>
      <c r="AR29" s="1661"/>
      <c r="AS29" s="1661"/>
      <c r="AT29" s="1661"/>
      <c r="AU29" s="1661"/>
      <c r="AV29" s="1661"/>
      <c r="AW29" s="1661"/>
      <c r="AX29" s="1661"/>
      <c r="AY29" s="1661"/>
      <c r="AZ29" s="1661"/>
      <c r="BA29" s="1661"/>
      <c r="BB29" s="1661"/>
      <c r="BC29" s="1661"/>
      <c r="BD29" s="1661"/>
      <c r="BE29" s="1661"/>
      <c r="BF29" s="1661"/>
      <c r="BG29" s="1661"/>
      <c r="BH29" s="1661"/>
      <c r="BI29" s="1661"/>
      <c r="BJ29" s="1661"/>
      <c r="BK29" s="1661"/>
      <c r="BL29" s="1661"/>
      <c r="BM29" s="1661"/>
      <c r="BN29" s="1661"/>
      <c r="BO29" s="1661"/>
      <c r="BP29" s="1661"/>
      <c r="BQ29" s="1661"/>
      <c r="BR29" s="1661">
        <f t="shared" ref="BR29:CI29" si="20">+BR27/BQ27-1</f>
        <v>3.9005363237445412E-3</v>
      </c>
      <c r="BS29" s="1661">
        <f t="shared" si="20"/>
        <v>-1.4570179698882857E-3</v>
      </c>
      <c r="BT29" s="1661">
        <f t="shared" si="20"/>
        <v>1.1673151750972721E-2</v>
      </c>
      <c r="BU29" s="1661">
        <f t="shared" si="20"/>
        <v>9.6153846153845812E-3</v>
      </c>
      <c r="BV29" s="1661">
        <f t="shared" si="20"/>
        <v>1.9523809523809499E-2</v>
      </c>
      <c r="BW29" s="1661">
        <f t="shared" si="20"/>
        <v>1.1676786548341811E-2</v>
      </c>
      <c r="BX29" s="1661">
        <f t="shared" si="20"/>
        <v>1.8928901200369275E-2</v>
      </c>
      <c r="BY29" s="1661">
        <f t="shared" si="20"/>
        <v>2.2655188038060992E-3</v>
      </c>
      <c r="BZ29" s="1661">
        <f t="shared" si="20"/>
        <v>9.0415913200723175E-3</v>
      </c>
      <c r="CA29" s="1661">
        <f t="shared" si="20"/>
        <v>7.1684587813620748E-3</v>
      </c>
      <c r="CB29" s="1661">
        <f t="shared" si="20"/>
        <v>-1.1120996441281172E-2</v>
      </c>
      <c r="CC29" s="1661">
        <f t="shared" si="20"/>
        <v>8.9968511021143449E-4</v>
      </c>
      <c r="CD29" s="1661">
        <f t="shared" si="20"/>
        <v>1.6629213483146055E-2</v>
      </c>
      <c r="CE29" s="1661">
        <f t="shared" si="20"/>
        <v>0</v>
      </c>
      <c r="CF29" s="1661">
        <f t="shared" si="20"/>
        <v>4.0671971706454535E-2</v>
      </c>
      <c r="CG29" s="1661">
        <f t="shared" si="20"/>
        <v>1.0195412064570863E-2</v>
      </c>
      <c r="CH29" s="1661">
        <f t="shared" si="20"/>
        <v>1.0513036164844447E-2</v>
      </c>
      <c r="CI29" s="1661">
        <f t="shared" si="20"/>
        <v>1.4565126924677596E-2</v>
      </c>
    </row>
    <row r="30" spans="2:87">
      <c r="B30" t="s">
        <v>162</v>
      </c>
      <c r="N30" s="1081"/>
      <c r="O30" s="2005">
        <f>Rev!O376</f>
        <v>54800</v>
      </c>
      <c r="P30" s="2005">
        <f>Rev!P376</f>
        <v>58800</v>
      </c>
      <c r="Q30" s="2005">
        <f>Rev!Q376</f>
        <v>64500</v>
      </c>
      <c r="R30" s="2005">
        <f>Rev!R376</f>
        <v>70300</v>
      </c>
      <c r="S30" s="2005">
        <f>Rev!S376</f>
        <v>81900</v>
      </c>
      <c r="T30" s="2005">
        <f>Rev!T376</f>
        <v>93800</v>
      </c>
      <c r="U30" s="2005">
        <f>Rev!U376</f>
        <v>106300</v>
      </c>
      <c r="V30" s="2005">
        <f>Rev!V376</f>
        <v>138900</v>
      </c>
      <c r="W30" s="2005">
        <f>Rev!W376</f>
        <v>150749.22439267571</v>
      </c>
      <c r="X30" s="2005">
        <f>Rev!X376</f>
        <v>164889.87112324897</v>
      </c>
      <c r="Y30" s="2005">
        <f>Rev!Y376</f>
        <v>174622.2789518155</v>
      </c>
      <c r="Z30" s="2005">
        <f>Rev!Z376</f>
        <v>184051.65605948484</v>
      </c>
      <c r="AA30" s="2005"/>
      <c r="AB30" s="2005"/>
      <c r="AC30" s="2005"/>
      <c r="AD30" s="2005"/>
      <c r="AE30" s="2005"/>
      <c r="AF30" s="2005"/>
      <c r="AG30" s="2005"/>
      <c r="AH30" s="2005"/>
      <c r="AI30" s="2005"/>
      <c r="AJ30" s="2005"/>
      <c r="AK30" s="2005"/>
      <c r="AL30" s="2005"/>
      <c r="AM30" s="2005"/>
      <c r="AN30" s="2005"/>
      <c r="AO30" s="2005"/>
      <c r="AP30" s="2005"/>
      <c r="AQ30" s="2005"/>
      <c r="AR30" s="2005"/>
      <c r="AS30" s="2005"/>
      <c r="AT30" s="2005"/>
      <c r="AU30" s="2005"/>
      <c r="AV30" s="2005"/>
      <c r="AW30" s="2005"/>
      <c r="AX30" s="2005"/>
      <c r="AY30" s="2005"/>
      <c r="AZ30" s="2005"/>
      <c r="BA30" s="2005"/>
      <c r="BB30" s="2005"/>
      <c r="BC30" s="2005"/>
      <c r="BD30" s="2005"/>
      <c r="BE30" s="2005"/>
      <c r="BF30" s="2005"/>
      <c r="BG30" s="2005"/>
      <c r="BH30" s="2005"/>
      <c r="BI30" s="2005"/>
      <c r="BJ30" s="2005"/>
      <c r="BK30" s="2005"/>
      <c r="BL30" s="2005"/>
      <c r="BM30" s="2005"/>
      <c r="BN30" s="2005"/>
      <c r="BO30" s="2005"/>
      <c r="BP30" s="2005"/>
      <c r="BQ30" s="2005">
        <f>Rev!BU376</f>
        <v>50764</v>
      </c>
      <c r="BR30" s="2005">
        <f>Rev!BV376</f>
        <v>52723</v>
      </c>
      <c r="BS30" s="2005">
        <f>Rev!BW376</f>
        <v>54800</v>
      </c>
      <c r="BT30" s="2005">
        <f>Rev!BX376</f>
        <v>56327</v>
      </c>
      <c r="BU30" s="2005">
        <f>Rev!BY376</f>
        <v>58424</v>
      </c>
      <c r="BV30" s="2005">
        <f>Rev!BZ376</f>
        <v>57200</v>
      </c>
      <c r="BW30" s="2005">
        <f>Rev!CA376</f>
        <v>58800</v>
      </c>
      <c r="BX30" s="2005">
        <f>Rev!CB376</f>
        <v>60400</v>
      </c>
      <c r="BY30" s="2005">
        <f>Rev!CC376</f>
        <v>62200</v>
      </c>
      <c r="BZ30" s="2005">
        <f>Rev!CD376</f>
        <v>63700</v>
      </c>
      <c r="CA30" s="2005">
        <f>Rev!CE376</f>
        <v>64500</v>
      </c>
      <c r="CB30" s="2005">
        <f>Rev!CF376</f>
        <v>65800</v>
      </c>
      <c r="CC30" s="2005">
        <f>Rev!CG376</f>
        <v>67400</v>
      </c>
      <c r="CD30" s="2005">
        <f>Rev!CH376</f>
        <v>68800</v>
      </c>
      <c r="CE30" s="2005">
        <f>Rev!CI376</f>
        <v>70300</v>
      </c>
      <c r="CF30" s="2005">
        <f>Rev!CJ376</f>
        <v>74000</v>
      </c>
      <c r="CG30" s="2005">
        <f>Rev!CK376</f>
        <v>75600</v>
      </c>
      <c r="CH30" s="2005">
        <f>Rev!CL376</f>
        <v>78300</v>
      </c>
      <c r="CI30" s="2005">
        <f>Rev!CM376</f>
        <v>81900</v>
      </c>
    </row>
    <row r="31" spans="2:87" s="580" customFormat="1">
      <c r="B31" s="246" t="s">
        <v>1322</v>
      </c>
      <c r="O31" s="1661"/>
      <c r="P31" s="2007">
        <f t="shared" ref="P31:Z31" si="21">+P30/O30-1</f>
        <v>7.2992700729926918E-2</v>
      </c>
      <c r="Q31" s="2007">
        <f t="shared" si="21"/>
        <v>9.6938775510204023E-2</v>
      </c>
      <c r="R31" s="2007">
        <f t="shared" si="21"/>
        <v>8.9922480620155065E-2</v>
      </c>
      <c r="S31" s="2007">
        <f t="shared" si="21"/>
        <v>0.16500711237553345</v>
      </c>
      <c r="T31" s="2007">
        <f t="shared" si="21"/>
        <v>0.14529914529914523</v>
      </c>
      <c r="U31" s="2007">
        <f t="shared" si="21"/>
        <v>0.13326226012793185</v>
      </c>
      <c r="V31" s="2007">
        <f t="shared" si="21"/>
        <v>0.30667920978363128</v>
      </c>
      <c r="W31" s="2007">
        <f t="shared" si="21"/>
        <v>8.530759101998342E-2</v>
      </c>
      <c r="X31" s="2007">
        <f t="shared" si="21"/>
        <v>9.380245097473483E-2</v>
      </c>
      <c r="Y31" s="2007">
        <f t="shared" si="21"/>
        <v>5.9023685095198619E-2</v>
      </c>
      <c r="Z31" s="2007">
        <f t="shared" si="21"/>
        <v>5.3998706031498145E-2</v>
      </c>
      <c r="AA31" s="2007"/>
      <c r="AB31" s="2007"/>
      <c r="AC31" s="2007"/>
      <c r="AD31" s="2007"/>
      <c r="AE31" s="2007"/>
      <c r="AF31" s="2007"/>
      <c r="AG31" s="2007"/>
      <c r="AH31" s="2007"/>
      <c r="AI31" s="2007"/>
      <c r="AJ31" s="2007"/>
      <c r="AK31" s="2007"/>
      <c r="AL31" s="2007"/>
      <c r="AM31" s="2007"/>
      <c r="AN31" s="2007"/>
      <c r="AO31" s="2007"/>
      <c r="AP31" s="2007"/>
      <c r="AQ31" s="2007"/>
      <c r="AR31" s="2007"/>
      <c r="AS31" s="2007"/>
      <c r="AT31" s="2007"/>
      <c r="AU31" s="2007"/>
      <c r="AV31" s="2007"/>
      <c r="AW31" s="2007"/>
      <c r="AX31" s="2007"/>
      <c r="AY31" s="2007"/>
      <c r="AZ31" s="2007"/>
      <c r="BA31" s="2007"/>
      <c r="BB31" s="2007"/>
      <c r="BC31" s="2007"/>
      <c r="BD31" s="2007"/>
      <c r="BE31" s="2007"/>
      <c r="BF31" s="2007"/>
      <c r="BG31" s="2007"/>
      <c r="BH31" s="2007"/>
      <c r="BI31" s="2007"/>
      <c r="BJ31" s="2007"/>
      <c r="BK31" s="2007"/>
      <c r="BL31" s="2007"/>
      <c r="BM31" s="2007"/>
      <c r="BN31" s="2007"/>
      <c r="BO31" s="2007"/>
      <c r="BP31" s="2007"/>
      <c r="BQ31" s="2007"/>
      <c r="BR31" s="2007"/>
      <c r="BS31" s="2007"/>
      <c r="BT31" s="2007"/>
      <c r="BU31" s="2007">
        <f t="shared" ref="BU31:CI31" si="22">+BU30/BQ30-1</f>
        <v>0.15089433456780399</v>
      </c>
      <c r="BV31" s="2007">
        <f t="shared" si="22"/>
        <v>8.4915501773419555E-2</v>
      </c>
      <c r="BW31" s="2007">
        <f t="shared" si="22"/>
        <v>7.2992700729926918E-2</v>
      </c>
      <c r="BX31" s="2007">
        <f t="shared" si="22"/>
        <v>7.2309904663838021E-2</v>
      </c>
      <c r="BY31" s="2007">
        <f t="shared" si="22"/>
        <v>6.4630973572504358E-2</v>
      </c>
      <c r="BZ31" s="2007">
        <f t="shared" si="22"/>
        <v>0.11363636363636354</v>
      </c>
      <c r="CA31" s="2007">
        <f t="shared" si="22"/>
        <v>9.6938775510204023E-2</v>
      </c>
      <c r="CB31" s="2007">
        <f t="shared" si="22"/>
        <v>8.9403973509933676E-2</v>
      </c>
      <c r="CC31" s="2007">
        <f t="shared" si="22"/>
        <v>8.3601286173633493E-2</v>
      </c>
      <c r="CD31" s="2007">
        <f t="shared" si="22"/>
        <v>8.0062794348508604E-2</v>
      </c>
      <c r="CE31" s="2007">
        <f t="shared" si="22"/>
        <v>8.9922480620155065E-2</v>
      </c>
      <c r="CF31" s="2007">
        <f t="shared" si="22"/>
        <v>0.12462006079027366</v>
      </c>
      <c r="CG31" s="2007">
        <f t="shared" si="22"/>
        <v>0.12166172106824935</v>
      </c>
      <c r="CH31" s="2007">
        <f t="shared" si="22"/>
        <v>0.13808139534883712</v>
      </c>
      <c r="CI31" s="2007">
        <f t="shared" si="22"/>
        <v>0.16500711237553345</v>
      </c>
    </row>
    <row r="32" spans="2:87" s="580" customFormat="1">
      <c r="B32" s="246" t="s">
        <v>95</v>
      </c>
      <c r="P32" s="1661"/>
      <c r="Q32" s="1661"/>
      <c r="R32" s="1661"/>
      <c r="S32" s="1661"/>
      <c r="T32" s="1661"/>
      <c r="U32" s="1661"/>
      <c r="V32" s="1661"/>
      <c r="W32" s="1661"/>
      <c r="X32" s="1661"/>
      <c r="Y32" s="1661"/>
      <c r="Z32" s="1661"/>
      <c r="AA32" s="1661"/>
      <c r="AB32" s="1661"/>
      <c r="AC32" s="1661"/>
      <c r="AD32" s="1661"/>
      <c r="AE32" s="1661"/>
      <c r="AF32" s="1661"/>
      <c r="AG32" s="1661"/>
      <c r="AH32" s="1661"/>
      <c r="AI32" s="1661"/>
      <c r="AJ32" s="1661"/>
      <c r="AK32" s="1661"/>
      <c r="AL32" s="1661"/>
      <c r="AM32" s="1661"/>
      <c r="AN32" s="1661"/>
      <c r="AO32" s="1661"/>
      <c r="AP32" s="1661"/>
      <c r="AQ32" s="1661"/>
      <c r="AR32" s="1661"/>
      <c r="AS32" s="1661"/>
      <c r="AT32" s="1661"/>
      <c r="AU32" s="1661"/>
      <c r="AV32" s="1661"/>
      <c r="AW32" s="1661"/>
      <c r="AX32" s="1661"/>
      <c r="AY32" s="1661"/>
      <c r="AZ32" s="1661"/>
      <c r="BA32" s="1661"/>
      <c r="BB32" s="1661"/>
      <c r="BC32" s="1661"/>
      <c r="BD32" s="1661"/>
      <c r="BE32" s="1661"/>
      <c r="BF32" s="1661"/>
      <c r="BG32" s="1661"/>
      <c r="BH32" s="1661"/>
      <c r="BI32" s="1661"/>
      <c r="BJ32" s="1661"/>
      <c r="BK32" s="1661"/>
      <c r="BL32" s="1661"/>
      <c r="BM32" s="1661"/>
      <c r="BN32" s="1661"/>
      <c r="BO32" s="1661"/>
      <c r="BP32" s="1661"/>
      <c r="BQ32" s="1661"/>
      <c r="BR32" s="1661">
        <f t="shared" ref="BR32:CI32" si="23">+BR30/BQ30-1</f>
        <v>3.859033961074787E-2</v>
      </c>
      <c r="BS32" s="1661">
        <f t="shared" si="23"/>
        <v>3.9394571629080222E-2</v>
      </c>
      <c r="BT32" s="1661">
        <f t="shared" si="23"/>
        <v>2.7864963503649642E-2</v>
      </c>
      <c r="BU32" s="1661">
        <f t="shared" si="23"/>
        <v>3.7229037584107116E-2</v>
      </c>
      <c r="BV32" s="1661">
        <f t="shared" si="23"/>
        <v>-2.0950294399561864E-2</v>
      </c>
      <c r="BW32" s="1661">
        <f t="shared" si="23"/>
        <v>2.7972027972027913E-2</v>
      </c>
      <c r="BX32" s="1661">
        <f t="shared" si="23"/>
        <v>2.7210884353741527E-2</v>
      </c>
      <c r="BY32" s="1661">
        <f t="shared" si="23"/>
        <v>2.9801324503311299E-2</v>
      </c>
      <c r="BZ32" s="1661">
        <f t="shared" si="23"/>
        <v>2.4115755627009738E-2</v>
      </c>
      <c r="CA32" s="1661">
        <f t="shared" si="23"/>
        <v>1.2558869701726927E-2</v>
      </c>
      <c r="CB32" s="1661">
        <f t="shared" si="23"/>
        <v>2.0155038759689825E-2</v>
      </c>
      <c r="CC32" s="1661">
        <f t="shared" si="23"/>
        <v>2.4316109422492405E-2</v>
      </c>
      <c r="CD32" s="1661">
        <f t="shared" si="23"/>
        <v>2.0771513353115667E-2</v>
      </c>
      <c r="CE32" s="1661">
        <f t="shared" si="23"/>
        <v>2.1802325581395277E-2</v>
      </c>
      <c r="CF32" s="1661">
        <f t="shared" si="23"/>
        <v>5.2631578947368363E-2</v>
      </c>
      <c r="CG32" s="1661">
        <f t="shared" si="23"/>
        <v>2.1621621621621623E-2</v>
      </c>
      <c r="CH32" s="1661">
        <f t="shared" si="23"/>
        <v>3.5714285714285809E-2</v>
      </c>
      <c r="CI32" s="1661">
        <f t="shared" si="23"/>
        <v>4.5977011494252817E-2</v>
      </c>
    </row>
    <row r="34" spans="2:87">
      <c r="B34" s="146" t="s">
        <v>1390</v>
      </c>
      <c r="C34" s="2004"/>
      <c r="D34" s="2004"/>
      <c r="E34" s="2004"/>
      <c r="F34" s="2004"/>
      <c r="G34" s="2004"/>
      <c r="H34" s="2004"/>
      <c r="I34" s="2004"/>
      <c r="J34" s="2004"/>
      <c r="K34" s="2004"/>
      <c r="L34" s="2004"/>
      <c r="M34" s="2004"/>
      <c r="N34" s="2004"/>
      <c r="O34" s="2004"/>
      <c r="P34" s="2004"/>
      <c r="Q34" s="2004"/>
      <c r="R34" s="2004"/>
      <c r="S34" s="2004"/>
      <c r="T34" s="2004"/>
      <c r="U34" s="2004"/>
      <c r="V34" s="2004"/>
      <c r="W34" s="2004"/>
      <c r="X34" s="2004"/>
      <c r="Y34" s="2004"/>
      <c r="Z34" s="2004"/>
      <c r="AA34" s="2004"/>
      <c r="AB34" s="2004"/>
      <c r="AC34" s="2004"/>
      <c r="AD34" s="2004"/>
      <c r="AE34" s="2004"/>
      <c r="AF34" s="2004"/>
      <c r="AG34" s="2004"/>
      <c r="AH34" s="2004"/>
      <c r="AI34" s="2004"/>
      <c r="AJ34" s="2004"/>
      <c r="AK34" s="2004"/>
      <c r="AL34" s="2004"/>
      <c r="AM34" s="2004"/>
      <c r="AN34" s="2004"/>
      <c r="AO34" s="2004"/>
      <c r="AP34" s="2004"/>
      <c r="AQ34" s="2004"/>
      <c r="AR34" s="2004"/>
      <c r="AS34" s="2004"/>
      <c r="AT34" s="2004"/>
      <c r="AU34" s="2004"/>
      <c r="AV34" s="2004"/>
      <c r="AW34" s="2004"/>
      <c r="AX34" s="2004"/>
      <c r="AY34" s="2004"/>
      <c r="AZ34" s="2004"/>
      <c r="BA34" s="2004"/>
      <c r="BB34" s="2004"/>
      <c r="BC34" s="2004"/>
      <c r="BD34" s="2004"/>
      <c r="BE34" s="2004"/>
      <c r="BF34" s="2004"/>
      <c r="BG34" s="2004"/>
      <c r="BH34" s="2004"/>
      <c r="BI34" s="2004"/>
      <c r="BJ34" s="2004"/>
      <c r="BK34" s="2004"/>
      <c r="BL34" s="2004"/>
      <c r="BM34" s="2004"/>
      <c r="BN34" s="2004"/>
      <c r="BO34" s="2004"/>
      <c r="BP34" s="2004"/>
      <c r="BQ34" s="2004"/>
      <c r="BR34" s="2004"/>
      <c r="BS34" s="2004"/>
      <c r="BT34" s="2004"/>
      <c r="BU34" s="2004"/>
      <c r="BV34" s="2004"/>
      <c r="BW34" s="2004"/>
      <c r="BX34" s="2004"/>
      <c r="BY34" s="2004"/>
      <c r="BZ34" s="2004"/>
      <c r="CA34" s="2004"/>
      <c r="CB34" s="2004"/>
      <c r="CC34" s="2004"/>
      <c r="CD34" s="2004"/>
      <c r="CE34" s="2004"/>
      <c r="CF34" s="2004"/>
      <c r="CG34" s="2004"/>
      <c r="CH34" s="2004"/>
      <c r="CI34" s="2004"/>
    </row>
    <row r="35" spans="2:87">
      <c r="B35" t="s">
        <v>1372</v>
      </c>
      <c r="E35" s="194"/>
      <c r="F35" s="194"/>
      <c r="G35" s="194"/>
      <c r="H35" s="194"/>
      <c r="I35" s="194"/>
      <c r="J35" s="194"/>
      <c r="K35" s="194"/>
      <c r="L35" s="194"/>
      <c r="M35" s="194"/>
      <c r="N35" s="1081"/>
      <c r="O35" s="2005">
        <f>Rev!O565</f>
        <v>28100</v>
      </c>
      <c r="P35" s="2005">
        <f>Rev!P565</f>
        <v>31600</v>
      </c>
      <c r="Q35" s="2005">
        <f>Rev!Q565</f>
        <v>37600</v>
      </c>
      <c r="R35" s="2005">
        <f>Rev!R565</f>
        <v>41300</v>
      </c>
      <c r="S35" s="2005">
        <f>Rev!S565</f>
        <v>43600</v>
      </c>
      <c r="T35" s="2005">
        <f>Rev!T565</f>
        <v>49500</v>
      </c>
      <c r="U35" s="2005">
        <f>Rev!U565</f>
        <v>92700</v>
      </c>
      <c r="V35" s="2005">
        <f>Rev!V565</f>
        <v>100300</v>
      </c>
      <c r="W35" s="2005">
        <f>Rev!W565</f>
        <v>107865</v>
      </c>
      <c r="X35" s="2005">
        <f>Rev!X565</f>
        <v>116640</v>
      </c>
      <c r="Y35" s="2005">
        <f>Rev!Y565</f>
        <v>124140</v>
      </c>
      <c r="Z35" s="2005">
        <f>Rev!Z565</f>
        <v>131640</v>
      </c>
      <c r="AA35" s="2005"/>
      <c r="AB35" s="2005"/>
      <c r="AC35" s="2005"/>
      <c r="AD35" s="2005"/>
      <c r="AE35" s="2005"/>
      <c r="AF35" s="2005"/>
      <c r="AG35" s="2005"/>
      <c r="AH35" s="2005"/>
      <c r="AI35" s="2005"/>
      <c r="AJ35" s="2005"/>
      <c r="AK35" s="2005"/>
      <c r="AL35" s="2005"/>
      <c r="AM35" s="2005"/>
      <c r="AN35" s="2005"/>
      <c r="AO35" s="2005"/>
      <c r="AP35" s="2005"/>
      <c r="AQ35" s="2005"/>
      <c r="AR35" s="2005"/>
      <c r="AS35" s="2005"/>
      <c r="AT35" s="2005"/>
      <c r="AU35" s="2005"/>
      <c r="AV35" s="2005"/>
      <c r="AW35" s="2005"/>
      <c r="AX35" s="2005"/>
      <c r="AY35" s="2005"/>
      <c r="AZ35" s="2005"/>
      <c r="BA35" s="2005"/>
      <c r="BB35" s="2005"/>
      <c r="BC35" s="2005"/>
      <c r="BD35" s="2005"/>
      <c r="BE35" s="2005"/>
      <c r="BF35" s="2005"/>
      <c r="BG35" s="2005"/>
      <c r="BH35" s="2005"/>
      <c r="BI35" s="2005"/>
      <c r="BJ35" s="2005"/>
      <c r="BK35" s="2005"/>
      <c r="BL35" s="2005"/>
      <c r="BM35" s="2005"/>
      <c r="BN35" s="2005"/>
      <c r="BO35" s="2005"/>
      <c r="BP35" s="2005"/>
      <c r="BQ35" s="2005">
        <f>Rev!BU565</f>
        <v>28100</v>
      </c>
      <c r="BR35" s="2005">
        <f>Rev!BV565</f>
        <v>28100</v>
      </c>
      <c r="BS35" s="2005">
        <f>Rev!BW565</f>
        <v>28100</v>
      </c>
      <c r="BT35" s="2005">
        <f>Rev!BX565</f>
        <v>28100</v>
      </c>
      <c r="BU35" s="2005">
        <f>Rev!BY565</f>
        <v>32100</v>
      </c>
      <c r="BV35" s="2005">
        <f>Rev!BZ565</f>
        <v>31600</v>
      </c>
      <c r="BW35" s="2005">
        <f>Rev!CA565</f>
        <v>31600</v>
      </c>
      <c r="BX35" s="2005">
        <f>Rev!CB565</f>
        <v>31600</v>
      </c>
      <c r="BY35" s="2005">
        <f>Rev!CC565</f>
        <v>31990</v>
      </c>
      <c r="BZ35" s="2005">
        <f>Rev!CD565</f>
        <v>37600</v>
      </c>
      <c r="CA35" s="2005">
        <f>Rev!CE565</f>
        <v>37600</v>
      </c>
      <c r="CB35" s="2005">
        <f>Rev!CF565</f>
        <v>38100</v>
      </c>
      <c r="CC35" s="2005">
        <f>Rev!CG565</f>
        <v>39600</v>
      </c>
      <c r="CD35" s="2005">
        <f>Rev!CH565</f>
        <v>39600</v>
      </c>
      <c r="CE35" s="2005">
        <f>Rev!CI565</f>
        <v>41300</v>
      </c>
      <c r="CF35" s="2005">
        <f>Rev!CJ565</f>
        <v>41700</v>
      </c>
      <c r="CG35" s="2005">
        <f>Rev!CK565</f>
        <v>41700</v>
      </c>
      <c r="CH35" s="2005">
        <f>Rev!CL565</f>
        <v>41700</v>
      </c>
      <c r="CI35" s="2005">
        <f>Rev!CM565</f>
        <v>43600</v>
      </c>
    </row>
    <row r="36" spans="2:87" s="580" customFormat="1">
      <c r="B36" s="246" t="s">
        <v>1322</v>
      </c>
      <c r="O36" s="1661"/>
      <c r="P36" s="2007">
        <f t="shared" ref="P36:Z36" si="24">+P35/O35-1</f>
        <v>0.12455516014234869</v>
      </c>
      <c r="Q36" s="2007">
        <f t="shared" si="24"/>
        <v>0.18987341772151889</v>
      </c>
      <c r="R36" s="2007">
        <f t="shared" si="24"/>
        <v>9.840425531914887E-2</v>
      </c>
      <c r="S36" s="2007">
        <f t="shared" si="24"/>
        <v>5.5690072639225097E-2</v>
      </c>
      <c r="T36" s="2007">
        <f t="shared" si="24"/>
        <v>0.1353211009174311</v>
      </c>
      <c r="U36" s="2007">
        <f t="shared" si="24"/>
        <v>0.8727272727272728</v>
      </c>
      <c r="V36" s="2007">
        <f t="shared" si="24"/>
        <v>8.1984897518878164E-2</v>
      </c>
      <c r="W36" s="2007">
        <f t="shared" si="24"/>
        <v>7.5423728813559299E-2</v>
      </c>
      <c r="X36" s="2007">
        <f t="shared" si="24"/>
        <v>8.1351689612014999E-2</v>
      </c>
      <c r="Y36" s="2007">
        <f t="shared" si="24"/>
        <v>6.4300411522633771E-2</v>
      </c>
      <c r="Z36" s="2007">
        <f t="shared" si="24"/>
        <v>6.0415659739004424E-2</v>
      </c>
      <c r="AA36" s="2007"/>
      <c r="AB36" s="2007"/>
      <c r="AC36" s="2007"/>
      <c r="AD36" s="2007"/>
      <c r="AE36" s="2007"/>
      <c r="AF36" s="2007"/>
      <c r="AG36" s="2007"/>
      <c r="AH36" s="2007"/>
      <c r="AI36" s="2007"/>
      <c r="AJ36" s="2007"/>
      <c r="AK36" s="2007"/>
      <c r="AL36" s="2007"/>
      <c r="AM36" s="2007"/>
      <c r="AN36" s="2007"/>
      <c r="AO36" s="2007"/>
      <c r="AP36" s="2007"/>
      <c r="AQ36" s="2007"/>
      <c r="AR36" s="2007"/>
      <c r="AS36" s="2007"/>
      <c r="AT36" s="2007"/>
      <c r="AU36" s="2007"/>
      <c r="AV36" s="2007"/>
      <c r="AW36" s="2007"/>
      <c r="AX36" s="2007"/>
      <c r="AY36" s="2007"/>
      <c r="AZ36" s="2007"/>
      <c r="BA36" s="2007"/>
      <c r="BB36" s="2007"/>
      <c r="BC36" s="2007"/>
      <c r="BD36" s="2007"/>
      <c r="BE36" s="2007"/>
      <c r="BF36" s="2007"/>
      <c r="BG36" s="2007"/>
      <c r="BH36" s="2007"/>
      <c r="BI36" s="2007"/>
      <c r="BJ36" s="2007"/>
      <c r="BK36" s="2007"/>
      <c r="BL36" s="2007"/>
      <c r="BM36" s="2007"/>
      <c r="BN36" s="2007"/>
      <c r="BO36" s="2007"/>
      <c r="BP36" s="2007"/>
      <c r="BQ36" s="2007"/>
      <c r="BR36" s="2007"/>
      <c r="BS36" s="2007"/>
      <c r="BT36" s="2007"/>
      <c r="BU36" s="2007">
        <f t="shared" ref="BU36:CI36" si="25">+BU35/BQ35-1</f>
        <v>0.14234875444839856</v>
      </c>
      <c r="BV36" s="2007">
        <f t="shared" si="25"/>
        <v>0.12455516014234869</v>
      </c>
      <c r="BW36" s="2007">
        <f t="shared" si="25"/>
        <v>0.12455516014234869</v>
      </c>
      <c r="BX36" s="2007">
        <f t="shared" si="25"/>
        <v>0.12455516014234869</v>
      </c>
      <c r="BY36" s="2007">
        <f t="shared" si="25"/>
        <v>-3.4267912772585341E-3</v>
      </c>
      <c r="BZ36" s="2007">
        <f t="shared" si="25"/>
        <v>0.18987341772151889</v>
      </c>
      <c r="CA36" s="2007">
        <f t="shared" si="25"/>
        <v>0.18987341772151889</v>
      </c>
      <c r="CB36" s="2007">
        <f t="shared" si="25"/>
        <v>0.20569620253164556</v>
      </c>
      <c r="CC36" s="2007">
        <f t="shared" si="25"/>
        <v>0.23788683963738677</v>
      </c>
      <c r="CD36" s="2007">
        <f t="shared" si="25"/>
        <v>5.3191489361702038E-2</v>
      </c>
      <c r="CE36" s="2007">
        <f t="shared" si="25"/>
        <v>9.840425531914887E-2</v>
      </c>
      <c r="CF36" s="2007">
        <f t="shared" si="25"/>
        <v>9.4488188976378007E-2</v>
      </c>
      <c r="CG36" s="2007">
        <f t="shared" si="25"/>
        <v>5.3030303030302983E-2</v>
      </c>
      <c r="CH36" s="2007">
        <f t="shared" si="25"/>
        <v>5.3030303030302983E-2</v>
      </c>
      <c r="CI36" s="2007">
        <f t="shared" si="25"/>
        <v>5.5690072639225097E-2</v>
      </c>
    </row>
    <row r="37" spans="2:87" s="580" customFormat="1">
      <c r="B37" s="246" t="s">
        <v>95</v>
      </c>
      <c r="P37" s="1661"/>
      <c r="Q37" s="1661"/>
      <c r="R37" s="1661"/>
      <c r="S37" s="1661"/>
      <c r="T37" s="1661"/>
      <c r="U37" s="1661"/>
      <c r="V37" s="1661"/>
      <c r="W37" s="1661"/>
      <c r="X37" s="1661"/>
      <c r="Y37" s="1661"/>
      <c r="Z37" s="1661"/>
      <c r="AA37" s="1661"/>
      <c r="AB37" s="1661"/>
      <c r="AC37" s="1661"/>
      <c r="AD37" s="1661"/>
      <c r="AE37" s="1661"/>
      <c r="AF37" s="1661"/>
      <c r="AG37" s="1661"/>
      <c r="AH37" s="1661"/>
      <c r="AI37" s="1661"/>
      <c r="AJ37" s="1661"/>
      <c r="AK37" s="1661"/>
      <c r="AL37" s="1661"/>
      <c r="AM37" s="1661"/>
      <c r="AN37" s="1661"/>
      <c r="AO37" s="1661"/>
      <c r="AP37" s="1661"/>
      <c r="AQ37" s="1661"/>
      <c r="AR37" s="1661"/>
      <c r="AS37" s="1661"/>
      <c r="AT37" s="1661"/>
      <c r="AU37" s="1661"/>
      <c r="AV37" s="1661"/>
      <c r="AW37" s="1661"/>
      <c r="AX37" s="1661"/>
      <c r="AY37" s="1661"/>
      <c r="AZ37" s="1661"/>
      <c r="BA37" s="1661"/>
      <c r="BB37" s="1661"/>
      <c r="BC37" s="1661"/>
      <c r="BD37" s="1661"/>
      <c r="BE37" s="1661"/>
      <c r="BF37" s="1661"/>
      <c r="BG37" s="1661"/>
      <c r="BH37" s="1661"/>
      <c r="BI37" s="1661"/>
      <c r="BJ37" s="1661"/>
      <c r="BK37" s="1661"/>
      <c r="BL37" s="1661"/>
      <c r="BM37" s="1661"/>
      <c r="BN37" s="1661"/>
      <c r="BO37" s="1661"/>
      <c r="BP37" s="1661"/>
      <c r="BQ37" s="1661"/>
      <c r="BR37" s="1661">
        <f t="shared" ref="BR37:CI37" si="26">+BR35/BQ35-1</f>
        <v>0</v>
      </c>
      <c r="BS37" s="1661">
        <f t="shared" si="26"/>
        <v>0</v>
      </c>
      <c r="BT37" s="1661">
        <f t="shared" si="26"/>
        <v>0</v>
      </c>
      <c r="BU37" s="1661">
        <f t="shared" si="26"/>
        <v>0.14234875444839856</v>
      </c>
      <c r="BV37" s="1661">
        <f t="shared" si="26"/>
        <v>-1.5576323987538943E-2</v>
      </c>
      <c r="BW37" s="1661">
        <f t="shared" si="26"/>
        <v>0</v>
      </c>
      <c r="BX37" s="1661">
        <f t="shared" si="26"/>
        <v>0</v>
      </c>
      <c r="BY37" s="1661">
        <f t="shared" si="26"/>
        <v>1.23417721518988E-2</v>
      </c>
      <c r="BZ37" s="1661">
        <f t="shared" si="26"/>
        <v>0.17536730228196307</v>
      </c>
      <c r="CA37" s="1661">
        <f t="shared" si="26"/>
        <v>0</v>
      </c>
      <c r="CB37" s="1661">
        <f t="shared" si="26"/>
        <v>1.3297872340425565E-2</v>
      </c>
      <c r="CC37" s="1661">
        <f t="shared" si="26"/>
        <v>3.937007874015741E-2</v>
      </c>
      <c r="CD37" s="1661">
        <f t="shared" si="26"/>
        <v>0</v>
      </c>
      <c r="CE37" s="1661">
        <f t="shared" si="26"/>
        <v>4.2929292929293039E-2</v>
      </c>
      <c r="CF37" s="1661">
        <f t="shared" si="26"/>
        <v>9.6852300242131761E-3</v>
      </c>
      <c r="CG37" s="1661">
        <f t="shared" si="26"/>
        <v>0</v>
      </c>
      <c r="CH37" s="1661">
        <f t="shared" si="26"/>
        <v>0</v>
      </c>
      <c r="CI37" s="1661">
        <f t="shared" si="26"/>
        <v>4.5563549160671402E-2</v>
      </c>
    </row>
    <row r="38" spans="2:87">
      <c r="B38" t="s">
        <v>1356</v>
      </c>
      <c r="N38" s="194"/>
      <c r="O38" s="1578">
        <f>Rev!O624</f>
        <v>20800</v>
      </c>
      <c r="P38" s="2005">
        <f>Rev!P624</f>
        <v>24700</v>
      </c>
      <c r="Q38" s="2005">
        <f>Rev!Q624</f>
        <v>26700</v>
      </c>
      <c r="R38" s="2005">
        <f>Rev!R624</f>
        <v>29500</v>
      </c>
      <c r="S38" s="2005">
        <f>Rev!S624</f>
        <v>35000</v>
      </c>
      <c r="T38" s="2005">
        <f>Rev!T624</f>
        <v>40500</v>
      </c>
      <c r="U38" s="2005">
        <f>Rev!U624</f>
        <v>74600</v>
      </c>
      <c r="V38" s="2005">
        <f>Rev!V624</f>
        <v>83200</v>
      </c>
      <c r="W38" s="2005">
        <f>Rev!W624</f>
        <v>90067.274999999994</v>
      </c>
      <c r="X38" s="2005">
        <f>Rev!X624</f>
        <v>96811.199999999997</v>
      </c>
      <c r="Y38" s="2005">
        <f>Rev!Y624</f>
        <v>103656.9</v>
      </c>
      <c r="Z38" s="2005">
        <f>Rev!Z624</f>
        <v>110577.59999999999</v>
      </c>
      <c r="AA38" s="2005"/>
      <c r="AB38" s="2005"/>
      <c r="AC38" s="2005"/>
      <c r="AD38" s="2005"/>
      <c r="AE38" s="2005"/>
      <c r="AF38" s="2005"/>
      <c r="AG38" s="2005"/>
      <c r="AH38" s="2005"/>
      <c r="AI38" s="2005"/>
      <c r="AJ38" s="2005"/>
      <c r="AK38" s="2005"/>
      <c r="AL38" s="2005"/>
      <c r="AM38" s="2005"/>
      <c r="AN38" s="2005"/>
      <c r="AO38" s="2005"/>
      <c r="AP38" s="2005"/>
      <c r="AQ38" s="2005"/>
      <c r="AR38" s="2005"/>
      <c r="AS38" s="2005"/>
      <c r="AT38" s="2005"/>
      <c r="AU38" s="2005"/>
      <c r="AV38" s="2005"/>
      <c r="AW38" s="2005"/>
      <c r="AX38" s="2005"/>
      <c r="AY38" s="2005"/>
      <c r="AZ38" s="2005"/>
      <c r="BA38" s="2005"/>
      <c r="BB38" s="2005"/>
      <c r="BC38" s="2005"/>
      <c r="BD38" s="2005"/>
      <c r="BE38" s="2005"/>
      <c r="BF38" s="2005"/>
      <c r="BG38" s="2005"/>
      <c r="BH38" s="2005"/>
      <c r="BI38" s="2005"/>
      <c r="BJ38" s="2005"/>
      <c r="BK38" s="2005"/>
      <c r="BL38" s="2005"/>
      <c r="BM38" s="2005"/>
      <c r="BN38" s="2005"/>
      <c r="BO38" s="2005"/>
      <c r="BP38" s="2005"/>
      <c r="BQ38" s="2005">
        <f>Rev!BU624</f>
        <v>19800</v>
      </c>
      <c r="BR38" s="2005">
        <f>Rev!BV624</f>
        <v>19800</v>
      </c>
      <c r="BS38" s="2005">
        <f>Rev!BW624</f>
        <v>20800</v>
      </c>
      <c r="BT38" s="2005">
        <f>Rev!BX624</f>
        <v>21700</v>
      </c>
      <c r="BU38" s="2005">
        <f>Rev!BY624</f>
        <v>22900</v>
      </c>
      <c r="BV38" s="2005">
        <f>Rev!BZ624</f>
        <v>24200</v>
      </c>
      <c r="BW38" s="2005">
        <f>Rev!CA624</f>
        <v>24700</v>
      </c>
      <c r="BX38" s="2005">
        <f>Rev!CB624</f>
        <v>25200</v>
      </c>
      <c r="BY38" s="2005">
        <f>Rev!CC624</f>
        <v>24800</v>
      </c>
      <c r="BZ38" s="2005">
        <f>Rev!CD624</f>
        <v>25600</v>
      </c>
      <c r="CA38" s="2005">
        <f>Rev!CE624</f>
        <v>26700</v>
      </c>
      <c r="CB38" s="2005">
        <f>Rev!CF624</f>
        <v>27200</v>
      </c>
      <c r="CC38" s="2005">
        <f>Rev!CG624</f>
        <v>28100</v>
      </c>
      <c r="CD38" s="2005">
        <f>Rev!CH624</f>
        <v>28900</v>
      </c>
      <c r="CE38" s="2005">
        <f>Rev!CI624</f>
        <v>29500</v>
      </c>
      <c r="CF38" s="2005">
        <f>Rev!CJ624</f>
        <v>32400</v>
      </c>
      <c r="CG38" s="2005">
        <f>Rev!CK624</f>
        <v>33300</v>
      </c>
      <c r="CH38" s="2005">
        <f>Rev!CL624</f>
        <v>34300</v>
      </c>
      <c r="CI38" s="2005">
        <f>Rev!CM624</f>
        <v>35000</v>
      </c>
    </row>
    <row r="39" spans="2:87" s="580" customFormat="1">
      <c r="B39" s="246" t="s">
        <v>1322</v>
      </c>
      <c r="O39" s="1661"/>
      <c r="P39" s="2007">
        <f t="shared" ref="P39:Z39" si="27">+P38/O38-1</f>
        <v>0.1875</v>
      </c>
      <c r="Q39" s="2007">
        <f t="shared" si="27"/>
        <v>8.0971659919028438E-2</v>
      </c>
      <c r="R39" s="2007">
        <f t="shared" si="27"/>
        <v>0.10486891385767794</v>
      </c>
      <c r="S39" s="2007">
        <f t="shared" si="27"/>
        <v>0.18644067796610164</v>
      </c>
      <c r="T39" s="2007">
        <f t="shared" si="27"/>
        <v>0.15714285714285725</v>
      </c>
      <c r="U39" s="2007">
        <f t="shared" si="27"/>
        <v>0.84197530864197523</v>
      </c>
      <c r="V39" s="2007">
        <f t="shared" si="27"/>
        <v>0.11528150134048265</v>
      </c>
      <c r="W39" s="2007">
        <f t="shared" si="27"/>
        <v>8.2539362980769138E-2</v>
      </c>
      <c r="X39" s="2007">
        <f t="shared" si="27"/>
        <v>7.4876529793979074E-2</v>
      </c>
      <c r="Y39" s="2007">
        <f t="shared" si="27"/>
        <v>7.0711859784818198E-2</v>
      </c>
      <c r="Z39" s="2007">
        <f t="shared" si="27"/>
        <v>6.6765454108699052E-2</v>
      </c>
      <c r="AA39" s="2007"/>
      <c r="AB39" s="2007"/>
      <c r="AC39" s="2007"/>
      <c r="AD39" s="2007"/>
      <c r="AE39" s="2007"/>
      <c r="AF39" s="2007"/>
      <c r="AG39" s="2007"/>
      <c r="AH39" s="2007"/>
      <c r="AI39" s="2007"/>
      <c r="AJ39" s="2007"/>
      <c r="AK39" s="2007"/>
      <c r="AL39" s="2007"/>
      <c r="AM39" s="2007"/>
      <c r="AN39" s="2007"/>
      <c r="AO39" s="2007"/>
      <c r="AP39" s="2007"/>
      <c r="AQ39" s="2007"/>
      <c r="AR39" s="2007"/>
      <c r="AS39" s="2007"/>
      <c r="AT39" s="2007"/>
      <c r="AU39" s="2007"/>
      <c r="AV39" s="2007"/>
      <c r="AW39" s="2007"/>
      <c r="AX39" s="2007"/>
      <c r="AY39" s="2007"/>
      <c r="AZ39" s="2007"/>
      <c r="BA39" s="2007"/>
      <c r="BB39" s="2007"/>
      <c r="BC39" s="2007"/>
      <c r="BD39" s="2007"/>
      <c r="BE39" s="2007"/>
      <c r="BF39" s="2007"/>
      <c r="BG39" s="2007"/>
      <c r="BH39" s="2007"/>
      <c r="BI39" s="2007"/>
      <c r="BJ39" s="2007"/>
      <c r="BK39" s="2007"/>
      <c r="BL39" s="2007"/>
      <c r="BM39" s="2007"/>
      <c r="BN39" s="2007"/>
      <c r="BO39" s="2007"/>
      <c r="BP39" s="2007"/>
      <c r="BQ39" s="2007"/>
      <c r="BR39" s="2007"/>
      <c r="BS39" s="2007"/>
      <c r="BT39" s="2007"/>
      <c r="BU39" s="2007">
        <f t="shared" ref="BU39:CI39" si="28">+BU38/BQ38-1</f>
        <v>0.15656565656565657</v>
      </c>
      <c r="BV39" s="2007">
        <f t="shared" si="28"/>
        <v>0.22222222222222232</v>
      </c>
      <c r="BW39" s="2007">
        <f t="shared" si="28"/>
        <v>0.1875</v>
      </c>
      <c r="BX39" s="2007">
        <f t="shared" si="28"/>
        <v>0.16129032258064524</v>
      </c>
      <c r="BY39" s="2007">
        <f t="shared" si="28"/>
        <v>8.2969432314410563E-2</v>
      </c>
      <c r="BZ39" s="2007">
        <f t="shared" si="28"/>
        <v>5.7851239669421517E-2</v>
      </c>
      <c r="CA39" s="2007">
        <f t="shared" si="28"/>
        <v>8.0971659919028438E-2</v>
      </c>
      <c r="CB39" s="2007">
        <f t="shared" si="28"/>
        <v>7.9365079365079305E-2</v>
      </c>
      <c r="CC39" s="2007">
        <f t="shared" si="28"/>
        <v>0.13306451612903225</v>
      </c>
      <c r="CD39" s="2007">
        <f t="shared" si="28"/>
        <v>0.12890625</v>
      </c>
      <c r="CE39" s="2007">
        <f t="shared" si="28"/>
        <v>0.10486891385767794</v>
      </c>
      <c r="CF39" s="2007">
        <f t="shared" si="28"/>
        <v>0.19117647058823528</v>
      </c>
      <c r="CG39" s="2007">
        <f t="shared" si="28"/>
        <v>0.18505338078291822</v>
      </c>
      <c r="CH39" s="2007">
        <f t="shared" si="28"/>
        <v>0.18685121107266434</v>
      </c>
      <c r="CI39" s="2007">
        <f t="shared" si="28"/>
        <v>0.18644067796610164</v>
      </c>
    </row>
    <row r="40" spans="2:87" s="580" customFormat="1">
      <c r="B40" s="246" t="s">
        <v>95</v>
      </c>
      <c r="P40" s="1661"/>
      <c r="Q40" s="1661"/>
      <c r="R40" s="1661"/>
      <c r="S40" s="1661"/>
      <c r="T40" s="1661"/>
      <c r="U40" s="1661"/>
      <c r="V40" s="1661"/>
      <c r="W40" s="1661"/>
      <c r="X40" s="1661"/>
      <c r="Y40" s="1661"/>
      <c r="Z40" s="1661"/>
      <c r="AA40" s="1661"/>
      <c r="AB40" s="1661"/>
      <c r="AC40" s="1661"/>
      <c r="AD40" s="1661"/>
      <c r="AE40" s="1661"/>
      <c r="AF40" s="1661"/>
      <c r="AG40" s="1661"/>
      <c r="AH40" s="1661"/>
      <c r="AI40" s="1661"/>
      <c r="AJ40" s="1661"/>
      <c r="AK40" s="1661"/>
      <c r="AL40" s="1661"/>
      <c r="AM40" s="1661"/>
      <c r="AN40" s="1661"/>
      <c r="AO40" s="1661"/>
      <c r="AP40" s="1661"/>
      <c r="AQ40" s="1661"/>
      <c r="AR40" s="1661"/>
      <c r="AS40" s="1661"/>
      <c r="AT40" s="1661"/>
      <c r="AU40" s="1661"/>
      <c r="AV40" s="1661"/>
      <c r="AW40" s="1661"/>
      <c r="AX40" s="1661"/>
      <c r="AY40" s="1661"/>
      <c r="AZ40" s="1661"/>
      <c r="BA40" s="1661"/>
      <c r="BB40" s="1661"/>
      <c r="BC40" s="1661"/>
      <c r="BD40" s="1661"/>
      <c r="BE40" s="1661"/>
      <c r="BF40" s="1661"/>
      <c r="BG40" s="1661"/>
      <c r="BH40" s="1661"/>
      <c r="BI40" s="1661"/>
      <c r="BJ40" s="1661"/>
      <c r="BK40" s="1661"/>
      <c r="BL40" s="1661"/>
      <c r="BM40" s="1661"/>
      <c r="BN40" s="1661"/>
      <c r="BO40" s="1661"/>
      <c r="BP40" s="1661"/>
      <c r="BQ40" s="1661"/>
      <c r="BR40" s="1661">
        <f t="shared" ref="BR40:CI40" si="29">+BR38/BQ38-1</f>
        <v>0</v>
      </c>
      <c r="BS40" s="1661">
        <f t="shared" si="29"/>
        <v>5.0505050505050608E-2</v>
      </c>
      <c r="BT40" s="1661">
        <f t="shared" si="29"/>
        <v>4.3269230769230838E-2</v>
      </c>
      <c r="BU40" s="1661">
        <f t="shared" si="29"/>
        <v>5.5299539170506895E-2</v>
      </c>
      <c r="BV40" s="1661">
        <f t="shared" si="29"/>
        <v>5.6768558951965087E-2</v>
      </c>
      <c r="BW40" s="1661">
        <f t="shared" si="29"/>
        <v>2.0661157024793431E-2</v>
      </c>
      <c r="BX40" s="1661">
        <f t="shared" si="29"/>
        <v>2.0242914979757165E-2</v>
      </c>
      <c r="BY40" s="1661">
        <f t="shared" si="29"/>
        <v>-1.5873015873015928E-2</v>
      </c>
      <c r="BZ40" s="1661">
        <f t="shared" si="29"/>
        <v>3.2258064516129004E-2</v>
      </c>
      <c r="CA40" s="1661">
        <f t="shared" si="29"/>
        <v>4.296875E-2</v>
      </c>
      <c r="CB40" s="1661">
        <f t="shared" si="29"/>
        <v>1.8726591760299671E-2</v>
      </c>
      <c r="CC40" s="1661">
        <f t="shared" si="29"/>
        <v>3.3088235294117752E-2</v>
      </c>
      <c r="CD40" s="1661">
        <f t="shared" si="29"/>
        <v>2.8469750889679624E-2</v>
      </c>
      <c r="CE40" s="1661">
        <f t="shared" si="29"/>
        <v>2.076124567474058E-2</v>
      </c>
      <c r="CF40" s="1661">
        <f t="shared" si="29"/>
        <v>9.8305084745762716E-2</v>
      </c>
      <c r="CG40" s="1661">
        <f t="shared" si="29"/>
        <v>2.7777777777777679E-2</v>
      </c>
      <c r="CH40" s="1661">
        <f t="shared" si="29"/>
        <v>3.0030030030030019E-2</v>
      </c>
      <c r="CI40" s="1661">
        <f t="shared" si="29"/>
        <v>2.0408163265306145E-2</v>
      </c>
    </row>
    <row r="41" spans="2:87">
      <c r="B41" t="s">
        <v>161</v>
      </c>
      <c r="N41" s="1227"/>
      <c r="O41" s="2002"/>
      <c r="P41" s="2002">
        <f>Rev!P634</f>
        <v>1191.5</v>
      </c>
      <c r="Q41" s="2002">
        <f>Rev!Q634</f>
        <v>1310.5</v>
      </c>
      <c r="R41" s="2002">
        <f>Rev!R634</f>
        <v>1462.25</v>
      </c>
      <c r="S41" s="2002">
        <f>Rev!S634</f>
        <v>1496.5</v>
      </c>
      <c r="T41" s="2002">
        <f>Rev!T634</f>
        <v>1446</v>
      </c>
      <c r="U41" s="2002">
        <f>Rev!U634</f>
        <v>1391.25</v>
      </c>
      <c r="V41" s="2002">
        <f>Rev!V634</f>
        <v>1330</v>
      </c>
      <c r="W41" s="2002">
        <f>Rev!W634</f>
        <v>1352.0985919374998</v>
      </c>
      <c r="X41" s="2002">
        <f>Rev!X634</f>
        <v>1358.8590848971871</v>
      </c>
      <c r="Y41" s="2002">
        <f>Rev!Y634</f>
        <v>1364.9739507792244</v>
      </c>
      <c r="Z41" s="2002">
        <f>Rev!Z634</f>
        <v>1370.5020952798805</v>
      </c>
      <c r="AA41" s="2002"/>
      <c r="AB41" s="2002"/>
      <c r="AC41" s="2002"/>
      <c r="AD41" s="2002"/>
      <c r="AE41" s="2002"/>
      <c r="AF41" s="2002"/>
      <c r="AG41" s="2002"/>
      <c r="AH41" s="2002"/>
      <c r="AI41" s="2002"/>
      <c r="AJ41" s="2002"/>
      <c r="AK41" s="2002"/>
      <c r="AL41" s="2002"/>
      <c r="AM41" s="2002"/>
      <c r="AN41" s="2002"/>
      <c r="AO41" s="2002"/>
      <c r="AP41" s="2002"/>
      <c r="AQ41" s="2002"/>
      <c r="AR41" s="2002"/>
      <c r="AS41" s="2002"/>
      <c r="AT41" s="2002"/>
      <c r="AU41" s="2002"/>
      <c r="AV41" s="2002"/>
      <c r="AW41" s="2002"/>
      <c r="AX41" s="2002"/>
      <c r="AY41" s="2002"/>
      <c r="AZ41" s="2002"/>
      <c r="BA41" s="2002"/>
      <c r="BB41" s="2002"/>
      <c r="BC41" s="2002"/>
      <c r="BD41" s="2002"/>
      <c r="BE41" s="2002"/>
      <c r="BF41" s="2002"/>
      <c r="BG41" s="2002"/>
      <c r="BH41" s="2002"/>
      <c r="BI41" s="2002"/>
      <c r="BJ41" s="2002"/>
      <c r="BK41" s="2002"/>
      <c r="BL41" s="2002"/>
      <c r="BM41" s="2002"/>
      <c r="BN41" s="2002"/>
      <c r="BO41" s="2002"/>
      <c r="BP41" s="2002"/>
      <c r="BQ41" s="2002">
        <f>Rev!BU634</f>
        <v>1084</v>
      </c>
      <c r="BR41" s="2002">
        <f>Rev!BV634</f>
        <v>1116</v>
      </c>
      <c r="BS41" s="2002">
        <f>Rev!BW634</f>
        <v>1151</v>
      </c>
      <c r="BT41" s="2002">
        <f>Rev!BX634</f>
        <v>1164</v>
      </c>
      <c r="BU41" s="2002">
        <f>Rev!BY634</f>
        <v>1205</v>
      </c>
      <c r="BV41" s="2002">
        <f>Rev!BZ634</f>
        <v>1204</v>
      </c>
      <c r="BW41" s="2002">
        <f>Rev!CA634</f>
        <v>1193</v>
      </c>
      <c r="BX41" s="2002">
        <f>Rev!CB634</f>
        <v>1223</v>
      </c>
      <c r="BY41" s="2002">
        <f>Rev!CC634</f>
        <v>1276</v>
      </c>
      <c r="BZ41" s="2002">
        <f>Rev!CD634</f>
        <v>1358</v>
      </c>
      <c r="CA41" s="2002">
        <f>Rev!CE634</f>
        <v>1385</v>
      </c>
      <c r="CB41" s="2002">
        <f>Rev!CF634</f>
        <v>1401</v>
      </c>
      <c r="CC41" s="2002">
        <f>Rev!CG634</f>
        <v>1432</v>
      </c>
      <c r="CD41" s="2002">
        <f>Rev!CH634</f>
        <v>1465</v>
      </c>
      <c r="CE41" s="2002">
        <f>Rev!CI634</f>
        <v>1551</v>
      </c>
      <c r="CF41" s="2002">
        <f>Rev!CJ634</f>
        <v>1480</v>
      </c>
      <c r="CG41" s="2002">
        <f>Rev!CK634</f>
        <v>1506</v>
      </c>
      <c r="CH41" s="2002">
        <f>Rev!CL634</f>
        <v>1505</v>
      </c>
      <c r="CI41" s="2002">
        <f>Rev!CM634</f>
        <v>1495</v>
      </c>
    </row>
    <row r="42" spans="2:87" s="580" customFormat="1">
      <c r="B42" s="246" t="s">
        <v>1322</v>
      </c>
      <c r="O42" s="1661"/>
      <c r="P42" s="2007"/>
      <c r="Q42" s="2007">
        <f t="shared" ref="Q42:Z42" si="30">+Q41/P41-1</f>
        <v>9.9874108266890582E-2</v>
      </c>
      <c r="R42" s="2007">
        <f t="shared" si="30"/>
        <v>0.11579549790156429</v>
      </c>
      <c r="S42" s="2007">
        <f t="shared" si="30"/>
        <v>2.3422807317490246E-2</v>
      </c>
      <c r="T42" s="2007">
        <f t="shared" si="30"/>
        <v>-3.3745405947210205E-2</v>
      </c>
      <c r="U42" s="2007">
        <f t="shared" si="30"/>
        <v>-3.7863070539419064E-2</v>
      </c>
      <c r="V42" s="2007">
        <f t="shared" si="30"/>
        <v>-4.4025157232704393E-2</v>
      </c>
      <c r="W42" s="2007">
        <f t="shared" si="30"/>
        <v>1.6615482659774194E-2</v>
      </c>
      <c r="X42" s="2007">
        <f t="shared" si="30"/>
        <v>4.9999999999998934E-3</v>
      </c>
      <c r="Y42" s="2007">
        <f t="shared" si="30"/>
        <v>4.4999999999999485E-3</v>
      </c>
      <c r="Z42" s="2007">
        <f t="shared" si="30"/>
        <v>4.0500000000001091E-3</v>
      </c>
      <c r="AA42" s="2007"/>
      <c r="AB42" s="2007"/>
      <c r="AC42" s="2007"/>
      <c r="AD42" s="2007"/>
      <c r="AE42" s="2007"/>
      <c r="AF42" s="2007"/>
      <c r="AG42" s="2007"/>
      <c r="AH42" s="2007"/>
      <c r="AI42" s="2007"/>
      <c r="AJ42" s="2007"/>
      <c r="AK42" s="2007"/>
      <c r="AL42" s="2007"/>
      <c r="AM42" s="2007"/>
      <c r="AN42" s="2007"/>
      <c r="AO42" s="2007"/>
      <c r="AP42" s="2007"/>
      <c r="AQ42" s="2007"/>
      <c r="AR42" s="2007"/>
      <c r="AS42" s="2007"/>
      <c r="AT42" s="2007"/>
      <c r="AU42" s="2007"/>
      <c r="AV42" s="2007"/>
      <c r="AW42" s="2007"/>
      <c r="AX42" s="2007"/>
      <c r="AY42" s="2007"/>
      <c r="AZ42" s="2007"/>
      <c r="BA42" s="2007"/>
      <c r="BB42" s="2007"/>
      <c r="BC42" s="2007"/>
      <c r="BD42" s="2007"/>
      <c r="BE42" s="2007"/>
      <c r="BF42" s="2007"/>
      <c r="BG42" s="2007"/>
      <c r="BH42" s="2007"/>
      <c r="BI42" s="2007"/>
      <c r="BJ42" s="2007"/>
      <c r="BK42" s="2007"/>
      <c r="BL42" s="2007"/>
      <c r="BM42" s="2007"/>
      <c r="BN42" s="2007"/>
      <c r="BO42" s="2007"/>
      <c r="BP42" s="2007"/>
      <c r="BQ42" s="2007"/>
      <c r="BR42" s="2007"/>
      <c r="BS42" s="2007"/>
      <c r="BT42" s="2007"/>
      <c r="BU42" s="2007">
        <f t="shared" ref="BU42:CI42" si="31">+BU41/BQ41-1</f>
        <v>0.11162361623616235</v>
      </c>
      <c r="BV42" s="2007">
        <f t="shared" si="31"/>
        <v>7.8853046594982157E-2</v>
      </c>
      <c r="BW42" s="2007">
        <f t="shared" si="31"/>
        <v>3.6490008688097264E-2</v>
      </c>
      <c r="BX42" s="2007">
        <f t="shared" si="31"/>
        <v>5.068728522336774E-2</v>
      </c>
      <c r="BY42" s="2007">
        <f t="shared" si="31"/>
        <v>5.8921161825726154E-2</v>
      </c>
      <c r="BZ42" s="2007">
        <f t="shared" si="31"/>
        <v>0.12790697674418605</v>
      </c>
      <c r="CA42" s="2007">
        <f t="shared" si="31"/>
        <v>0.16093880972338637</v>
      </c>
      <c r="CB42" s="2007">
        <f t="shared" si="31"/>
        <v>0.14554374488961574</v>
      </c>
      <c r="CC42" s="2007">
        <f t="shared" si="31"/>
        <v>0.12225705329153613</v>
      </c>
      <c r="CD42" s="2007">
        <f t="shared" si="31"/>
        <v>7.8792341678939559E-2</v>
      </c>
      <c r="CE42" s="2007">
        <f t="shared" si="31"/>
        <v>0.11985559566786996</v>
      </c>
      <c r="CF42" s="2007">
        <f t="shared" si="31"/>
        <v>5.638829407566015E-2</v>
      </c>
      <c r="CG42" s="2007">
        <f t="shared" si="31"/>
        <v>5.16759776536313E-2</v>
      </c>
      <c r="CH42" s="2007">
        <f t="shared" si="31"/>
        <v>2.7303754266211566E-2</v>
      </c>
      <c r="CI42" s="2007">
        <f t="shared" si="31"/>
        <v>-3.6105738233397799E-2</v>
      </c>
    </row>
    <row r="43" spans="2:87" s="580" customFormat="1">
      <c r="B43" s="246" t="s">
        <v>95</v>
      </c>
      <c r="P43" s="1661"/>
      <c r="Q43" s="1661"/>
      <c r="R43" s="1661"/>
      <c r="S43" s="1661"/>
      <c r="T43" s="1661"/>
      <c r="U43" s="1661"/>
      <c r="V43" s="1661"/>
      <c r="W43" s="1661"/>
      <c r="X43" s="1661"/>
      <c r="Y43" s="1661"/>
      <c r="Z43" s="1661"/>
      <c r="AA43" s="1661"/>
      <c r="AB43" s="1661"/>
      <c r="AC43" s="1661"/>
      <c r="AD43" s="1661"/>
      <c r="AE43" s="1661"/>
      <c r="AF43" s="1661"/>
      <c r="AG43" s="1661"/>
      <c r="AH43" s="1661"/>
      <c r="AI43" s="1661"/>
      <c r="AJ43" s="1661"/>
      <c r="AK43" s="1661"/>
      <c r="AL43" s="1661"/>
      <c r="AM43" s="1661"/>
      <c r="AN43" s="1661"/>
      <c r="AO43" s="1661"/>
      <c r="AP43" s="1661"/>
      <c r="AQ43" s="1661"/>
      <c r="AR43" s="1661"/>
      <c r="AS43" s="1661"/>
      <c r="AT43" s="1661"/>
      <c r="AU43" s="1661"/>
      <c r="AV43" s="1661"/>
      <c r="AW43" s="1661"/>
      <c r="AX43" s="1661"/>
      <c r="AY43" s="1661"/>
      <c r="AZ43" s="1661"/>
      <c r="BA43" s="1661"/>
      <c r="BB43" s="1661"/>
      <c r="BC43" s="1661"/>
      <c r="BD43" s="1661"/>
      <c r="BE43" s="1661"/>
      <c r="BF43" s="1661"/>
      <c r="BG43" s="1661"/>
      <c r="BH43" s="1661"/>
      <c r="BI43" s="1661"/>
      <c r="BJ43" s="1661"/>
      <c r="BK43" s="1661"/>
      <c r="BL43" s="1661"/>
      <c r="BM43" s="1661"/>
      <c r="BN43" s="1661"/>
      <c r="BO43" s="1661"/>
      <c r="BP43" s="1661"/>
      <c r="BQ43" s="1661"/>
      <c r="BR43" s="1661">
        <f t="shared" ref="BR43:CI43" si="32">+BR41/BQ41-1</f>
        <v>2.9520295202952074E-2</v>
      </c>
      <c r="BS43" s="1661">
        <f t="shared" si="32"/>
        <v>3.1362007168458828E-2</v>
      </c>
      <c r="BT43" s="1661">
        <f t="shared" si="32"/>
        <v>1.1294526498696777E-2</v>
      </c>
      <c r="BU43" s="1661">
        <f t="shared" si="32"/>
        <v>3.5223367697594599E-2</v>
      </c>
      <c r="BV43" s="1661">
        <f t="shared" si="32"/>
        <v>-8.2987551867219622E-4</v>
      </c>
      <c r="BW43" s="1661">
        <f t="shared" si="32"/>
        <v>-9.1362126245847497E-3</v>
      </c>
      <c r="BX43" s="1661">
        <f t="shared" si="32"/>
        <v>2.5146689019279078E-2</v>
      </c>
      <c r="BY43" s="1661">
        <f t="shared" si="32"/>
        <v>4.333605887162717E-2</v>
      </c>
      <c r="BZ43" s="1661">
        <f t="shared" si="32"/>
        <v>6.4263322884012597E-2</v>
      </c>
      <c r="CA43" s="1661">
        <f t="shared" si="32"/>
        <v>1.9882179675994038E-2</v>
      </c>
      <c r="CB43" s="1661">
        <f t="shared" si="32"/>
        <v>1.1552346570397054E-2</v>
      </c>
      <c r="CC43" s="1661">
        <f t="shared" si="32"/>
        <v>2.2127052105638922E-2</v>
      </c>
      <c r="CD43" s="1661">
        <f t="shared" si="32"/>
        <v>2.304469273743015E-2</v>
      </c>
      <c r="CE43" s="1661">
        <f t="shared" si="32"/>
        <v>5.870307167235489E-2</v>
      </c>
      <c r="CF43" s="1661">
        <f t="shared" si="32"/>
        <v>-4.5776918117343635E-2</v>
      </c>
      <c r="CG43" s="1661">
        <f t="shared" si="32"/>
        <v>1.7567567567567499E-2</v>
      </c>
      <c r="CH43" s="1661">
        <f t="shared" si="32"/>
        <v>-6.6401062416998613E-4</v>
      </c>
      <c r="CI43" s="1661">
        <f t="shared" si="32"/>
        <v>-6.6445182724252927E-3</v>
      </c>
    </row>
    <row r="44" spans="2:87">
      <c r="B44" t="s">
        <v>162</v>
      </c>
      <c r="N44" s="1081"/>
      <c r="O44" s="2005">
        <f>Rev!O678</f>
        <v>13378</v>
      </c>
      <c r="P44" s="2005">
        <f>Rev!P678</f>
        <v>17400</v>
      </c>
      <c r="Q44" s="2005">
        <f>Rev!Q678</f>
        <v>27200</v>
      </c>
      <c r="R44" s="2005">
        <f>Rev!R678</f>
        <v>32100</v>
      </c>
      <c r="S44" s="2005">
        <f>Rev!S678</f>
        <v>36900</v>
      </c>
      <c r="T44" s="2005">
        <f>Rev!T678</f>
        <v>43900</v>
      </c>
      <c r="U44" s="2005">
        <f>Rev!U678</f>
        <v>82900</v>
      </c>
      <c r="V44" s="2005">
        <f>Rev!V678</f>
        <v>92200</v>
      </c>
      <c r="W44" s="2005">
        <f>Rev!W678</f>
        <v>103771.91228199999</v>
      </c>
      <c r="X44" s="2005">
        <f>Rev!X678</f>
        <v>113037.73769093498</v>
      </c>
      <c r="Y44" s="2005">
        <f>Rev!Y678</f>
        <v>123312.73368812093</v>
      </c>
      <c r="Z44" s="2005">
        <f>Rev!Z678</f>
        <v>133897.7869774233</v>
      </c>
      <c r="AA44" s="2005"/>
      <c r="AB44" s="2005"/>
      <c r="AC44" s="2005"/>
      <c r="AD44" s="2005"/>
      <c r="AE44" s="2005"/>
      <c r="AF44" s="2005"/>
      <c r="AG44" s="2005"/>
      <c r="AH44" s="2005"/>
      <c r="AI44" s="2005"/>
      <c r="AJ44" s="2005"/>
      <c r="AK44" s="2005"/>
      <c r="AL44" s="2005"/>
      <c r="AM44" s="2005"/>
      <c r="AN44" s="2005"/>
      <c r="AO44" s="2005"/>
      <c r="AP44" s="2005"/>
      <c r="AQ44" s="2005"/>
      <c r="AR44" s="2005"/>
      <c r="AS44" s="2005"/>
      <c r="AT44" s="2005"/>
      <c r="AU44" s="2005"/>
      <c r="AV44" s="2005"/>
      <c r="AW44" s="2005"/>
      <c r="AX44" s="2005"/>
      <c r="AY44" s="2005"/>
      <c r="AZ44" s="2005"/>
      <c r="BA44" s="2005"/>
      <c r="BB44" s="2005"/>
      <c r="BC44" s="2005"/>
      <c r="BD44" s="2005"/>
      <c r="BE44" s="2005"/>
      <c r="BF44" s="2005"/>
      <c r="BG44" s="2005"/>
      <c r="BH44" s="2005"/>
      <c r="BI44" s="2005"/>
      <c r="BJ44" s="2005"/>
      <c r="BK44" s="2005"/>
      <c r="BL44" s="2005"/>
      <c r="BM44" s="2005"/>
      <c r="BN44" s="2005"/>
      <c r="BO44" s="2005"/>
      <c r="BP44" s="2005"/>
      <c r="BQ44" s="2005">
        <f>Rev!BU678</f>
        <v>11163</v>
      </c>
      <c r="BR44" s="2005">
        <f>Rev!BV678</f>
        <v>12128</v>
      </c>
      <c r="BS44" s="2005">
        <f>Rev!BW678</f>
        <v>13378</v>
      </c>
      <c r="BT44" s="2005">
        <f>Rev!BX678</f>
        <v>13718</v>
      </c>
      <c r="BU44" s="2005">
        <f>Rev!BY678</f>
        <v>14711</v>
      </c>
      <c r="BV44" s="2005">
        <f>Rev!BZ678</f>
        <v>15800</v>
      </c>
      <c r="BW44" s="2005">
        <f>Rev!CA678</f>
        <v>17400</v>
      </c>
      <c r="BX44" s="2005">
        <f>Rev!CB678</f>
        <v>18400</v>
      </c>
      <c r="BY44" s="2005">
        <f>Rev!CC678</f>
        <v>19100</v>
      </c>
      <c r="BZ44" s="2005">
        <f>Rev!CD678</f>
        <v>26500</v>
      </c>
      <c r="CA44" s="2005">
        <f>Rev!CE678</f>
        <v>27200</v>
      </c>
      <c r="CB44" s="2005">
        <f>Rev!CF678</f>
        <v>28100</v>
      </c>
      <c r="CC44" s="2005">
        <f>Rev!CG678</f>
        <v>29300</v>
      </c>
      <c r="CD44" s="2005">
        <f>Rev!CH678</f>
        <v>30700</v>
      </c>
      <c r="CE44" s="2005">
        <f>Rev!CI678</f>
        <v>32100</v>
      </c>
      <c r="CF44" s="2005">
        <f>Rev!CJ678</f>
        <v>33400</v>
      </c>
      <c r="CG44" s="2005">
        <f>Rev!CK678</f>
        <v>34600</v>
      </c>
      <c r="CH44" s="2005">
        <f>Rev!CL678</f>
        <v>35700</v>
      </c>
      <c r="CI44" s="2005">
        <f>Rev!CM678</f>
        <v>36900</v>
      </c>
    </row>
    <row r="45" spans="2:87" s="580" customFormat="1">
      <c r="B45" s="246" t="s">
        <v>1322</v>
      </c>
      <c r="O45" s="1661"/>
      <c r="P45" s="2007">
        <f t="shared" ref="P45:Z45" si="33">+P44/O44-1</f>
        <v>0.30064284646434447</v>
      </c>
      <c r="Q45" s="2007">
        <f t="shared" si="33"/>
        <v>0.56321839080459779</v>
      </c>
      <c r="R45" s="2007">
        <f t="shared" si="33"/>
        <v>0.18014705882352944</v>
      </c>
      <c r="S45" s="2007">
        <f t="shared" si="33"/>
        <v>0.14953271028037385</v>
      </c>
      <c r="T45" s="2007">
        <f t="shared" si="33"/>
        <v>0.18970189701897011</v>
      </c>
      <c r="U45" s="2007">
        <f t="shared" si="33"/>
        <v>0.88838268792710706</v>
      </c>
      <c r="V45" s="2007">
        <f t="shared" si="33"/>
        <v>0.11218335343787689</v>
      </c>
      <c r="W45" s="2007">
        <f t="shared" si="33"/>
        <v>0.12550880999999992</v>
      </c>
      <c r="X45" s="2007">
        <f t="shared" si="33"/>
        <v>8.9290302213523187E-2</v>
      </c>
      <c r="Y45" s="2007">
        <f t="shared" si="33"/>
        <v>9.0898811379962252E-2</v>
      </c>
      <c r="Z45" s="2007">
        <f t="shared" si="33"/>
        <v>8.5839093601426164E-2</v>
      </c>
      <c r="AA45" s="2007"/>
      <c r="AB45" s="2007"/>
      <c r="AC45" s="2007"/>
      <c r="AD45" s="2007"/>
      <c r="AE45" s="2007"/>
      <c r="AF45" s="2007"/>
      <c r="AG45" s="2007"/>
      <c r="AH45" s="2007"/>
      <c r="AI45" s="2007"/>
      <c r="AJ45" s="2007"/>
      <c r="AK45" s="2007"/>
      <c r="AL45" s="2007"/>
      <c r="AM45" s="2007"/>
      <c r="AN45" s="2007"/>
      <c r="AO45" s="2007"/>
      <c r="AP45" s="2007"/>
      <c r="AQ45" s="2007"/>
      <c r="AR45" s="2007"/>
      <c r="AS45" s="2007"/>
      <c r="AT45" s="2007"/>
      <c r="AU45" s="2007"/>
      <c r="AV45" s="2007"/>
      <c r="AW45" s="2007"/>
      <c r="AX45" s="2007"/>
      <c r="AY45" s="2007"/>
      <c r="AZ45" s="2007"/>
      <c r="BA45" s="2007"/>
      <c r="BB45" s="2007"/>
      <c r="BC45" s="2007"/>
      <c r="BD45" s="2007"/>
      <c r="BE45" s="2007"/>
      <c r="BF45" s="2007"/>
      <c r="BG45" s="2007"/>
      <c r="BH45" s="2007"/>
      <c r="BI45" s="2007"/>
      <c r="BJ45" s="2007"/>
      <c r="BK45" s="2007"/>
      <c r="BL45" s="2007"/>
      <c r="BM45" s="2007"/>
      <c r="BN45" s="2007"/>
      <c r="BO45" s="2007"/>
      <c r="BP45" s="2007"/>
      <c r="BQ45" s="2007"/>
      <c r="BR45" s="2007"/>
      <c r="BS45" s="2007"/>
      <c r="BT45" s="2007"/>
      <c r="BU45" s="2007">
        <f t="shared" ref="BU45:CI45" si="34">+BU44/BQ44-1</f>
        <v>0.31783570724715582</v>
      </c>
      <c r="BV45" s="2007">
        <f t="shared" si="34"/>
        <v>0.30277044854881274</v>
      </c>
      <c r="BW45" s="2007">
        <f t="shared" si="34"/>
        <v>0.30064284646434447</v>
      </c>
      <c r="BX45" s="2007">
        <f t="shared" si="34"/>
        <v>0.3413033969966468</v>
      </c>
      <c r="BY45" s="2007">
        <f t="shared" si="34"/>
        <v>0.2983481748351573</v>
      </c>
      <c r="BZ45" s="2007">
        <f t="shared" si="34"/>
        <v>0.67721518987341778</v>
      </c>
      <c r="CA45" s="2007">
        <f t="shared" si="34"/>
        <v>0.56321839080459779</v>
      </c>
      <c r="CB45" s="2007">
        <f t="shared" si="34"/>
        <v>0.52717391304347827</v>
      </c>
      <c r="CC45" s="2007">
        <f t="shared" si="34"/>
        <v>0.53403141361256545</v>
      </c>
      <c r="CD45" s="2007">
        <f t="shared" si="34"/>
        <v>0.15849056603773581</v>
      </c>
      <c r="CE45" s="2007">
        <f t="shared" si="34"/>
        <v>0.18014705882352944</v>
      </c>
      <c r="CF45" s="2007">
        <f t="shared" si="34"/>
        <v>0.18861209964412806</v>
      </c>
      <c r="CG45" s="2007">
        <f t="shared" si="34"/>
        <v>0.1808873720136519</v>
      </c>
      <c r="CH45" s="2007">
        <f t="shared" si="34"/>
        <v>0.16286644951140072</v>
      </c>
      <c r="CI45" s="2007">
        <f t="shared" si="34"/>
        <v>0.14953271028037385</v>
      </c>
    </row>
    <row r="46" spans="2:87" s="580" customFormat="1">
      <c r="B46" s="246" t="s">
        <v>95</v>
      </c>
      <c r="P46" s="1661"/>
      <c r="Q46" s="1661"/>
      <c r="R46" s="1661"/>
      <c r="S46" s="1661"/>
      <c r="T46" s="1661"/>
      <c r="U46" s="1661"/>
      <c r="V46" s="1661"/>
      <c r="W46" s="1661"/>
      <c r="X46" s="1661"/>
      <c r="Y46" s="1661"/>
      <c r="Z46" s="1661"/>
      <c r="AA46" s="1661"/>
      <c r="AB46" s="1661"/>
      <c r="AC46" s="1661"/>
      <c r="AD46" s="1661"/>
      <c r="AE46" s="1661"/>
      <c r="AF46" s="1661"/>
      <c r="AG46" s="1661"/>
      <c r="AH46" s="1661"/>
      <c r="AI46" s="1661"/>
      <c r="AJ46" s="1661"/>
      <c r="AK46" s="1661"/>
      <c r="AL46" s="1661"/>
      <c r="AM46" s="1661"/>
      <c r="AN46" s="1661"/>
      <c r="AO46" s="1661"/>
      <c r="AP46" s="1661"/>
      <c r="AQ46" s="1661"/>
      <c r="AR46" s="1661"/>
      <c r="AS46" s="1661"/>
      <c r="AT46" s="1661"/>
      <c r="AU46" s="1661"/>
      <c r="AV46" s="1661"/>
      <c r="AW46" s="1661"/>
      <c r="AX46" s="1661"/>
      <c r="AY46" s="1661"/>
      <c r="AZ46" s="1661"/>
      <c r="BA46" s="1661"/>
      <c r="BB46" s="1661"/>
      <c r="BC46" s="1661"/>
      <c r="BD46" s="1661"/>
      <c r="BE46" s="1661"/>
      <c r="BF46" s="1661"/>
      <c r="BG46" s="1661"/>
      <c r="BH46" s="1661"/>
      <c r="BI46" s="1661"/>
      <c r="BJ46" s="1661"/>
      <c r="BK46" s="1661"/>
      <c r="BL46" s="1661"/>
      <c r="BM46" s="1661"/>
      <c r="BN46" s="1661"/>
      <c r="BO46" s="1661"/>
      <c r="BP46" s="1661"/>
      <c r="BQ46" s="1661"/>
      <c r="BR46" s="1661">
        <f t="shared" ref="BR46:CI46" si="35">+BR44/BQ44-1</f>
        <v>8.6446295798620509E-2</v>
      </c>
      <c r="BS46" s="1661">
        <f t="shared" si="35"/>
        <v>0.10306728232189966</v>
      </c>
      <c r="BT46" s="1661">
        <f t="shared" si="35"/>
        <v>2.5414860218268887E-2</v>
      </c>
      <c r="BU46" s="1661">
        <f t="shared" si="35"/>
        <v>7.2386645283569084E-2</v>
      </c>
      <c r="BV46" s="1661">
        <f t="shared" si="35"/>
        <v>7.4026238868873717E-2</v>
      </c>
      <c r="BW46" s="1661">
        <f t="shared" si="35"/>
        <v>0.10126582278481022</v>
      </c>
      <c r="BX46" s="1661">
        <f t="shared" si="35"/>
        <v>5.7471264367816133E-2</v>
      </c>
      <c r="BY46" s="1661">
        <f t="shared" si="35"/>
        <v>3.8043478260869623E-2</v>
      </c>
      <c r="BZ46" s="1661">
        <f t="shared" si="35"/>
        <v>0.38743455497382207</v>
      </c>
      <c r="CA46" s="1661">
        <f t="shared" si="35"/>
        <v>2.6415094339622636E-2</v>
      </c>
      <c r="CB46" s="1661">
        <f t="shared" si="35"/>
        <v>3.3088235294117752E-2</v>
      </c>
      <c r="CC46" s="1661">
        <f t="shared" si="35"/>
        <v>4.2704626334519658E-2</v>
      </c>
      <c r="CD46" s="1661">
        <f t="shared" si="35"/>
        <v>4.7781569965870352E-2</v>
      </c>
      <c r="CE46" s="1661">
        <f t="shared" si="35"/>
        <v>4.5602605863192203E-2</v>
      </c>
      <c r="CF46" s="1661">
        <f t="shared" si="35"/>
        <v>4.049844236760114E-2</v>
      </c>
      <c r="CG46" s="1661">
        <f t="shared" si="35"/>
        <v>3.5928143712574911E-2</v>
      </c>
      <c r="CH46" s="1661">
        <f t="shared" si="35"/>
        <v>3.1791907514450823E-2</v>
      </c>
      <c r="CI46" s="1661">
        <f t="shared" si="35"/>
        <v>3.3613445378151363E-2</v>
      </c>
    </row>
    <row r="48" spans="2:87">
      <c r="B48" s="146" t="s">
        <v>1357</v>
      </c>
      <c r="C48" s="2004"/>
      <c r="D48" s="2004"/>
      <c r="E48" s="2004"/>
      <c r="F48" s="2004"/>
      <c r="G48" s="2004"/>
      <c r="H48" s="2004"/>
      <c r="I48" s="2004"/>
      <c r="J48" s="2004"/>
      <c r="K48" s="2004"/>
      <c r="L48" s="2004"/>
      <c r="M48" s="2004"/>
      <c r="N48" s="2004"/>
      <c r="O48" s="2004"/>
      <c r="P48" s="2004"/>
      <c r="Q48" s="2004"/>
      <c r="R48" s="2004"/>
      <c r="S48" s="2004"/>
      <c r="T48" s="2004"/>
      <c r="U48" s="2004"/>
      <c r="V48" s="2004"/>
      <c r="W48" s="2004"/>
      <c r="X48" s="2004"/>
      <c r="Y48" s="2004"/>
      <c r="Z48" s="2004"/>
      <c r="AA48" s="2004"/>
      <c r="AB48" s="2004"/>
      <c r="AC48" s="2004"/>
      <c r="AD48" s="2004"/>
      <c r="AE48" s="2004"/>
      <c r="AF48" s="2004"/>
      <c r="AG48" s="2004"/>
      <c r="AH48" s="2004"/>
      <c r="AI48" s="2004"/>
      <c r="AJ48" s="2004"/>
      <c r="AK48" s="2004"/>
      <c r="AL48" s="2004"/>
      <c r="AM48" s="2004"/>
      <c r="AN48" s="2004"/>
      <c r="AO48" s="2004"/>
      <c r="AP48" s="2004"/>
      <c r="AQ48" s="2004"/>
      <c r="AR48" s="2004"/>
      <c r="AS48" s="2004"/>
      <c r="AT48" s="2004"/>
      <c r="AU48" s="2004"/>
      <c r="AV48" s="2004"/>
      <c r="AW48" s="2004"/>
      <c r="AX48" s="2004"/>
      <c r="AY48" s="2004"/>
      <c r="AZ48" s="2004"/>
      <c r="BA48" s="2004"/>
      <c r="BB48" s="2004"/>
      <c r="BC48" s="2004"/>
      <c r="BD48" s="2004"/>
      <c r="BE48" s="2004"/>
      <c r="BF48" s="2004"/>
      <c r="BG48" s="2004"/>
      <c r="BH48" s="2004"/>
      <c r="BI48" s="2004"/>
      <c r="BJ48" s="2004"/>
      <c r="BK48" s="2004"/>
      <c r="BL48" s="2004"/>
      <c r="BM48" s="2004"/>
      <c r="BN48" s="2004"/>
      <c r="BO48" s="2004"/>
      <c r="BP48" s="2004"/>
      <c r="BQ48" s="2004"/>
      <c r="BR48" s="2004"/>
      <c r="BS48" s="2004"/>
      <c r="BT48" s="2004"/>
      <c r="BU48" s="2004"/>
      <c r="BV48" s="2004"/>
      <c r="BW48" s="2004"/>
      <c r="BX48" s="2004"/>
      <c r="BY48" s="2004"/>
      <c r="BZ48" s="2004"/>
      <c r="CA48" s="2004"/>
      <c r="CB48" s="2004"/>
      <c r="CC48" s="2004"/>
      <c r="CD48" s="2004"/>
      <c r="CE48" s="2004"/>
      <c r="CF48" s="2004"/>
      <c r="CG48" s="2004"/>
      <c r="CH48" s="2004"/>
      <c r="CI48" s="2004"/>
    </row>
    <row r="49" spans="2:87">
      <c r="B49" t="s">
        <v>1372</v>
      </c>
      <c r="E49" s="194"/>
      <c r="F49" s="194"/>
      <c r="G49" s="194"/>
      <c r="H49" s="194"/>
      <c r="I49" s="194"/>
      <c r="J49" s="194"/>
      <c r="K49" s="194"/>
      <c r="L49" s="194"/>
      <c r="M49" s="194"/>
      <c r="N49" s="1081"/>
      <c r="O49" s="2005">
        <f>Rev!O412</f>
        <v>10500</v>
      </c>
      <c r="P49" s="2005">
        <f>Rev!P412</f>
        <v>13700</v>
      </c>
      <c r="Q49" s="2005">
        <f>Rev!Q412</f>
        <v>20600</v>
      </c>
      <c r="R49" s="2005">
        <f>Rev!R412</f>
        <v>22700</v>
      </c>
      <c r="S49" s="2005">
        <f>Rev!S412</f>
        <v>23900</v>
      </c>
      <c r="T49" s="2005">
        <f>Rev!T412</f>
        <v>27800</v>
      </c>
      <c r="U49" s="2005">
        <f>Rev!U412</f>
        <v>39800</v>
      </c>
      <c r="V49" s="2005">
        <f>Rev!V412</f>
        <v>44400</v>
      </c>
      <c r="W49" s="2005">
        <f>Rev!W412</f>
        <v>49475</v>
      </c>
      <c r="X49" s="2005">
        <f>Rev!X412</f>
        <v>55475</v>
      </c>
      <c r="Y49" s="2005">
        <f>Rev!Y412</f>
        <v>61595</v>
      </c>
      <c r="Z49" s="2005">
        <f>Rev!Z412</f>
        <v>67837</v>
      </c>
      <c r="AA49" s="2005"/>
      <c r="AB49" s="2005"/>
      <c r="AC49" s="2005"/>
      <c r="AD49" s="2005"/>
      <c r="AE49" s="2005"/>
      <c r="AF49" s="2005"/>
      <c r="AG49" s="2005"/>
      <c r="AH49" s="2005"/>
      <c r="AI49" s="2005"/>
      <c r="AJ49" s="2005"/>
      <c r="AK49" s="2005"/>
      <c r="AL49" s="2005"/>
      <c r="AM49" s="2005"/>
      <c r="AN49" s="2005"/>
      <c r="AO49" s="2005"/>
      <c r="AP49" s="2005"/>
      <c r="AQ49" s="2005"/>
      <c r="AR49" s="2005"/>
      <c r="AS49" s="2005"/>
      <c r="AT49" s="2005"/>
      <c r="AU49" s="2005"/>
      <c r="AV49" s="2005"/>
      <c r="AW49" s="2005"/>
      <c r="AX49" s="2005"/>
      <c r="AY49" s="2005"/>
      <c r="AZ49" s="2005"/>
      <c r="BA49" s="2005"/>
      <c r="BB49" s="2005"/>
      <c r="BC49" s="2005"/>
      <c r="BD49" s="2005"/>
      <c r="BE49" s="2005"/>
      <c r="BF49" s="2005"/>
      <c r="BG49" s="2005"/>
      <c r="BH49" s="2005"/>
      <c r="BI49" s="2005"/>
      <c r="BJ49" s="2005"/>
      <c r="BK49" s="2005"/>
      <c r="BL49" s="2005"/>
      <c r="BM49" s="2005"/>
      <c r="BN49" s="2005"/>
      <c r="BO49" s="2005"/>
      <c r="BP49" s="2005"/>
      <c r="BQ49" s="2005">
        <f>Rev!BU412</f>
        <v>9500</v>
      </c>
      <c r="BR49" s="2005">
        <f>Rev!BV412</f>
        <v>10500</v>
      </c>
      <c r="BS49" s="2005">
        <f>Rev!BW412</f>
        <v>10500</v>
      </c>
      <c r="BT49" s="2005">
        <f>Rev!BX412</f>
        <v>10600</v>
      </c>
      <c r="BU49" s="2005">
        <f>Rev!BY412</f>
        <v>13300</v>
      </c>
      <c r="BV49" s="2005">
        <f>Rev!BZ412</f>
        <v>13700</v>
      </c>
      <c r="BW49" s="2005">
        <f>Rev!CA412</f>
        <v>13700</v>
      </c>
      <c r="BX49" s="2005">
        <f>Rev!CB412</f>
        <v>13700</v>
      </c>
      <c r="BY49" s="2005">
        <f>Rev!CC412</f>
        <v>14300</v>
      </c>
      <c r="BZ49" s="2005">
        <f>Rev!CD412</f>
        <v>20000</v>
      </c>
      <c r="CA49" s="2005">
        <f>Rev!CE412</f>
        <v>20600</v>
      </c>
      <c r="CB49" s="2005">
        <f>Rev!CF412</f>
        <v>20900</v>
      </c>
      <c r="CC49" s="2005">
        <f>Rev!CG412</f>
        <v>20900</v>
      </c>
      <c r="CD49" s="2005">
        <f>Rev!CH412</f>
        <v>21400</v>
      </c>
      <c r="CE49" s="2005">
        <f>Rev!CI412</f>
        <v>22700</v>
      </c>
      <c r="CF49" s="2005">
        <f>Rev!CJ412</f>
        <v>21600</v>
      </c>
      <c r="CG49" s="2005">
        <f>Rev!CK412</f>
        <v>22200</v>
      </c>
      <c r="CH49" s="2005">
        <f>Rev!CL412</f>
        <v>22300</v>
      </c>
      <c r="CI49" s="2005">
        <f>Rev!CM412</f>
        <v>23900</v>
      </c>
    </row>
    <row r="50" spans="2:87" s="580" customFormat="1">
      <c r="B50" s="246" t="s">
        <v>1322</v>
      </c>
      <c r="O50" s="1661"/>
      <c r="P50" s="2007">
        <f t="shared" ref="P50:Z50" si="36">+P49/O49-1</f>
        <v>0.30476190476190479</v>
      </c>
      <c r="Q50" s="2007">
        <f t="shared" si="36"/>
        <v>0.50364963503649629</v>
      </c>
      <c r="R50" s="2007">
        <f t="shared" si="36"/>
        <v>0.10194174757281549</v>
      </c>
      <c r="S50" s="2007">
        <f t="shared" si="36"/>
        <v>5.2863436123347984E-2</v>
      </c>
      <c r="T50" s="2007">
        <f t="shared" si="36"/>
        <v>0.16317991631799167</v>
      </c>
      <c r="U50" s="2007">
        <f t="shared" si="36"/>
        <v>0.43165467625899279</v>
      </c>
      <c r="V50" s="2007">
        <f t="shared" si="36"/>
        <v>0.11557788944723613</v>
      </c>
      <c r="W50" s="2007">
        <f t="shared" si="36"/>
        <v>0.11430180180180183</v>
      </c>
      <c r="X50" s="2007">
        <f t="shared" si="36"/>
        <v>0.12127337038908537</v>
      </c>
      <c r="Y50" s="2007">
        <f t="shared" si="36"/>
        <v>0.11031996394772414</v>
      </c>
      <c r="Z50" s="2007">
        <f t="shared" si="36"/>
        <v>0.10133939443136608</v>
      </c>
      <c r="AA50" s="2007"/>
      <c r="AB50" s="2007"/>
      <c r="AC50" s="2007"/>
      <c r="AD50" s="2007"/>
      <c r="AE50" s="2007"/>
      <c r="AF50" s="2007"/>
      <c r="AG50" s="2007"/>
      <c r="AH50" s="2007"/>
      <c r="AI50" s="2007"/>
      <c r="AJ50" s="2007"/>
      <c r="AK50" s="2007"/>
      <c r="AL50" s="2007"/>
      <c r="AM50" s="2007"/>
      <c r="AN50" s="2007"/>
      <c r="AO50" s="2007"/>
      <c r="AP50" s="2007"/>
      <c r="AQ50" s="2007"/>
      <c r="AR50" s="2007"/>
      <c r="AS50" s="2007"/>
      <c r="AT50" s="2007"/>
      <c r="AU50" s="2007"/>
      <c r="AV50" s="2007"/>
      <c r="AW50" s="2007"/>
      <c r="AX50" s="2007"/>
      <c r="AY50" s="2007"/>
      <c r="AZ50" s="2007"/>
      <c r="BA50" s="2007"/>
      <c r="BB50" s="2007"/>
      <c r="BC50" s="2007"/>
      <c r="BD50" s="2007"/>
      <c r="BE50" s="2007"/>
      <c r="BF50" s="2007"/>
      <c r="BG50" s="2007"/>
      <c r="BH50" s="2007"/>
      <c r="BI50" s="2007"/>
      <c r="BJ50" s="2007"/>
      <c r="BK50" s="2007"/>
      <c r="BL50" s="2007"/>
      <c r="BM50" s="2007"/>
      <c r="BN50" s="2007"/>
      <c r="BO50" s="2007"/>
      <c r="BP50" s="2007"/>
      <c r="BQ50" s="2007"/>
      <c r="BR50" s="2007"/>
      <c r="BS50" s="2007"/>
      <c r="BT50" s="2007"/>
      <c r="BU50" s="2007">
        <f t="shared" ref="BU50:CI50" si="37">+BU49/BQ49-1</f>
        <v>0.39999999999999991</v>
      </c>
      <c r="BV50" s="2007">
        <f t="shared" si="37"/>
        <v>0.30476190476190479</v>
      </c>
      <c r="BW50" s="2007">
        <f t="shared" si="37"/>
        <v>0.30476190476190479</v>
      </c>
      <c r="BX50" s="2007">
        <f t="shared" si="37"/>
        <v>0.29245283018867929</v>
      </c>
      <c r="BY50" s="2007">
        <f t="shared" si="37"/>
        <v>7.5187969924812137E-2</v>
      </c>
      <c r="BZ50" s="2007">
        <f t="shared" si="37"/>
        <v>0.45985401459854014</v>
      </c>
      <c r="CA50" s="2007">
        <f t="shared" si="37"/>
        <v>0.50364963503649629</v>
      </c>
      <c r="CB50" s="2007">
        <f t="shared" si="37"/>
        <v>0.52554744525547448</v>
      </c>
      <c r="CC50" s="2007">
        <f t="shared" si="37"/>
        <v>0.46153846153846145</v>
      </c>
      <c r="CD50" s="2007">
        <f t="shared" si="37"/>
        <v>7.0000000000000062E-2</v>
      </c>
      <c r="CE50" s="2007">
        <f t="shared" si="37"/>
        <v>0.10194174757281549</v>
      </c>
      <c r="CF50" s="2007">
        <f t="shared" si="37"/>
        <v>3.3492822966507241E-2</v>
      </c>
      <c r="CG50" s="2007">
        <f t="shared" si="37"/>
        <v>6.2200956937799035E-2</v>
      </c>
      <c r="CH50" s="2007">
        <f t="shared" si="37"/>
        <v>4.20560747663552E-2</v>
      </c>
      <c r="CI50" s="2007">
        <f t="shared" si="37"/>
        <v>5.2863436123347984E-2</v>
      </c>
    </row>
    <row r="51" spans="2:87" s="580" customFormat="1">
      <c r="B51" s="246" t="s">
        <v>95</v>
      </c>
      <c r="P51" s="1661"/>
      <c r="Q51" s="1661"/>
      <c r="R51" s="1661"/>
      <c r="S51" s="1661"/>
      <c r="T51" s="1661"/>
      <c r="U51" s="1661"/>
      <c r="V51" s="1661"/>
      <c r="W51" s="1661"/>
      <c r="X51" s="1661"/>
      <c r="Y51" s="1661"/>
      <c r="Z51" s="1661"/>
      <c r="AA51" s="1661"/>
      <c r="AB51" s="1661"/>
      <c r="AC51" s="1661"/>
      <c r="AD51" s="1661"/>
      <c r="AE51" s="1661"/>
      <c r="AF51" s="1661"/>
      <c r="AG51" s="1661"/>
      <c r="AH51" s="1661"/>
      <c r="AI51" s="1661"/>
      <c r="AJ51" s="1661"/>
      <c r="AK51" s="1661"/>
      <c r="AL51" s="1661"/>
      <c r="AM51" s="1661"/>
      <c r="AN51" s="1661"/>
      <c r="AO51" s="1661"/>
      <c r="AP51" s="1661"/>
      <c r="AQ51" s="1661"/>
      <c r="AR51" s="1661"/>
      <c r="AS51" s="1661"/>
      <c r="AT51" s="1661"/>
      <c r="AU51" s="1661"/>
      <c r="AV51" s="1661"/>
      <c r="AW51" s="1661"/>
      <c r="AX51" s="1661"/>
      <c r="AY51" s="1661"/>
      <c r="AZ51" s="1661"/>
      <c r="BA51" s="1661"/>
      <c r="BB51" s="1661"/>
      <c r="BC51" s="1661"/>
      <c r="BD51" s="1661"/>
      <c r="BE51" s="1661"/>
      <c r="BF51" s="1661"/>
      <c r="BG51" s="1661"/>
      <c r="BH51" s="1661"/>
      <c r="BI51" s="1661"/>
      <c r="BJ51" s="1661"/>
      <c r="BK51" s="1661"/>
      <c r="BL51" s="1661"/>
      <c r="BM51" s="1661"/>
      <c r="BN51" s="1661"/>
      <c r="BO51" s="1661"/>
      <c r="BP51" s="1661"/>
      <c r="BQ51" s="1661"/>
      <c r="BR51" s="1661">
        <f t="shared" ref="BR51:CI51" si="38">+BR49/BQ49-1</f>
        <v>0.10526315789473695</v>
      </c>
      <c r="BS51" s="1661">
        <f t="shared" si="38"/>
        <v>0</v>
      </c>
      <c r="BT51" s="1661">
        <f t="shared" si="38"/>
        <v>9.52380952380949E-3</v>
      </c>
      <c r="BU51" s="1661">
        <f t="shared" si="38"/>
        <v>0.25471698113207553</v>
      </c>
      <c r="BV51" s="1661">
        <f t="shared" si="38"/>
        <v>3.007518796992481E-2</v>
      </c>
      <c r="BW51" s="1661">
        <f t="shared" si="38"/>
        <v>0</v>
      </c>
      <c r="BX51" s="1661">
        <f t="shared" si="38"/>
        <v>0</v>
      </c>
      <c r="BY51" s="1661">
        <f t="shared" si="38"/>
        <v>4.3795620437956151E-2</v>
      </c>
      <c r="BZ51" s="1661">
        <f t="shared" si="38"/>
        <v>0.39860139860139854</v>
      </c>
      <c r="CA51" s="1661">
        <f t="shared" si="38"/>
        <v>3.0000000000000027E-2</v>
      </c>
      <c r="CB51" s="1661">
        <f t="shared" si="38"/>
        <v>1.4563106796116498E-2</v>
      </c>
      <c r="CC51" s="1661">
        <f t="shared" si="38"/>
        <v>0</v>
      </c>
      <c r="CD51" s="1661">
        <f t="shared" si="38"/>
        <v>2.3923444976076569E-2</v>
      </c>
      <c r="CE51" s="1661">
        <f t="shared" si="38"/>
        <v>6.0747663551401931E-2</v>
      </c>
      <c r="CF51" s="1661">
        <f t="shared" si="38"/>
        <v>-4.8458149779735726E-2</v>
      </c>
      <c r="CG51" s="1661">
        <f t="shared" si="38"/>
        <v>2.7777777777777679E-2</v>
      </c>
      <c r="CH51" s="1661">
        <f t="shared" si="38"/>
        <v>4.5045045045044585E-3</v>
      </c>
      <c r="CI51" s="1661">
        <f t="shared" si="38"/>
        <v>7.1748878923766801E-2</v>
      </c>
    </row>
    <row r="52" spans="2:87">
      <c r="B52" t="s">
        <v>1356</v>
      </c>
      <c r="N52" s="194"/>
      <c r="O52" s="1578">
        <f>Rev!O461</f>
        <v>8300</v>
      </c>
      <c r="P52" s="2005">
        <f>Rev!P461</f>
        <v>10200</v>
      </c>
      <c r="Q52" s="2005">
        <f>Rev!Q461</f>
        <v>14700</v>
      </c>
      <c r="R52" s="2005">
        <f>Rev!R461</f>
        <v>16200</v>
      </c>
      <c r="S52" s="2005">
        <f>Rev!S461</f>
        <v>18200</v>
      </c>
      <c r="T52" s="2005">
        <f>Rev!T461</f>
        <v>22600</v>
      </c>
      <c r="U52" s="2005">
        <f>Rev!U461</f>
        <v>29300</v>
      </c>
      <c r="V52" s="2005">
        <f>Rev!V461</f>
        <v>33000</v>
      </c>
      <c r="W52" s="2005">
        <f>Rev!W461</f>
        <v>37353.625</v>
      </c>
      <c r="X52" s="2005">
        <f>Rev!X461</f>
        <v>41328.875</v>
      </c>
      <c r="Y52" s="2005">
        <f>Rev!Y461</f>
        <v>46042.262499999997</v>
      </c>
      <c r="Z52" s="2005">
        <f>Rev!Z461</f>
        <v>50877.749999999993</v>
      </c>
      <c r="AA52" s="2005"/>
      <c r="AB52" s="2005"/>
      <c r="AC52" s="2005"/>
      <c r="AD52" s="2005"/>
      <c r="AE52" s="2005"/>
      <c r="AF52" s="2005"/>
      <c r="AG52" s="2005"/>
      <c r="AH52" s="2005"/>
      <c r="AI52" s="2005"/>
      <c r="AJ52" s="2005"/>
      <c r="AK52" s="2005"/>
      <c r="AL52" s="2005"/>
      <c r="AM52" s="2005"/>
      <c r="AN52" s="2005"/>
      <c r="AO52" s="2005"/>
      <c r="AP52" s="2005"/>
      <c r="AQ52" s="2005"/>
      <c r="AR52" s="2005"/>
      <c r="AS52" s="2005"/>
      <c r="AT52" s="2005"/>
      <c r="AU52" s="2005"/>
      <c r="AV52" s="2005"/>
      <c r="AW52" s="2005"/>
      <c r="AX52" s="2005"/>
      <c r="AY52" s="2005"/>
      <c r="AZ52" s="2005"/>
      <c r="BA52" s="2005"/>
      <c r="BB52" s="2005"/>
      <c r="BC52" s="2005"/>
      <c r="BD52" s="2005"/>
      <c r="BE52" s="2005"/>
      <c r="BF52" s="2005"/>
      <c r="BG52" s="2005"/>
      <c r="BH52" s="2005"/>
      <c r="BI52" s="2005"/>
      <c r="BJ52" s="2005"/>
      <c r="BK52" s="2005"/>
      <c r="BL52" s="2005"/>
      <c r="BM52" s="2005"/>
      <c r="BN52" s="2005"/>
      <c r="BO52" s="2005"/>
      <c r="BP52" s="2005"/>
      <c r="BQ52" s="2005">
        <f>Rev!BU461</f>
        <v>7900</v>
      </c>
      <c r="BR52" s="2005">
        <f>Rev!BV461</f>
        <v>8000</v>
      </c>
      <c r="BS52" s="2005">
        <f>Rev!BW461</f>
        <v>8300</v>
      </c>
      <c r="BT52" s="2005">
        <f>Rev!BX461</f>
        <v>8600</v>
      </c>
      <c r="BU52" s="2005">
        <f>Rev!BY461</f>
        <v>9300</v>
      </c>
      <c r="BV52" s="2005">
        <f>Rev!BZ461</f>
        <v>9600</v>
      </c>
      <c r="BW52" s="2005">
        <f>Rev!CA461</f>
        <v>10200</v>
      </c>
      <c r="BX52" s="2005">
        <f>Rev!CB461</f>
        <v>10400</v>
      </c>
      <c r="BY52" s="2005">
        <f>Rev!CC461</f>
        <v>10900</v>
      </c>
      <c r="BZ52" s="2005">
        <f>Rev!CD461</f>
        <v>14500</v>
      </c>
      <c r="CA52" s="2005">
        <f>Rev!CE461</f>
        <v>14700</v>
      </c>
      <c r="CB52" s="2005">
        <f>Rev!CF461</f>
        <v>14300</v>
      </c>
      <c r="CC52" s="2005">
        <f>Rev!CG461</f>
        <v>14800</v>
      </c>
      <c r="CD52" s="2005">
        <f>Rev!CH461</f>
        <v>15600</v>
      </c>
      <c r="CE52" s="2005">
        <f>Rev!CI461</f>
        <v>16200</v>
      </c>
      <c r="CF52" s="2005">
        <f>Rev!CJ461</f>
        <v>15600</v>
      </c>
      <c r="CG52" s="2005">
        <f>Rev!CK461</f>
        <v>16500</v>
      </c>
      <c r="CH52" s="2005">
        <f>Rev!CL461</f>
        <v>17500</v>
      </c>
      <c r="CI52" s="2005">
        <f>Rev!CM461</f>
        <v>18200</v>
      </c>
    </row>
    <row r="53" spans="2:87" s="580" customFormat="1">
      <c r="B53" s="246" t="s">
        <v>1322</v>
      </c>
      <c r="O53" s="1661"/>
      <c r="P53" s="2007">
        <f t="shared" ref="P53:Z53" si="39">+P52/O52-1</f>
        <v>0.22891566265060237</v>
      </c>
      <c r="Q53" s="2007">
        <f t="shared" si="39"/>
        <v>0.44117647058823528</v>
      </c>
      <c r="R53" s="2007">
        <f t="shared" si="39"/>
        <v>0.1020408163265305</v>
      </c>
      <c r="S53" s="2007">
        <f t="shared" si="39"/>
        <v>0.12345679012345689</v>
      </c>
      <c r="T53" s="2007">
        <f t="shared" si="39"/>
        <v>0.24175824175824179</v>
      </c>
      <c r="U53" s="2007">
        <f t="shared" si="39"/>
        <v>0.29646017699115035</v>
      </c>
      <c r="V53" s="2007">
        <f t="shared" si="39"/>
        <v>0.12627986348122877</v>
      </c>
      <c r="W53" s="2007">
        <f t="shared" si="39"/>
        <v>0.13192803030303035</v>
      </c>
      <c r="X53" s="2007">
        <f t="shared" si="39"/>
        <v>0.10642206747002469</v>
      </c>
      <c r="Y53" s="2007">
        <f t="shared" si="39"/>
        <v>0.11404586986701171</v>
      </c>
      <c r="Z53" s="2007">
        <f t="shared" si="39"/>
        <v>0.10502280377729045</v>
      </c>
      <c r="AA53" s="2007"/>
      <c r="AB53" s="2007"/>
      <c r="AC53" s="2007"/>
      <c r="AD53" s="2007"/>
      <c r="AE53" s="2007"/>
      <c r="AF53" s="2007"/>
      <c r="AG53" s="2007"/>
      <c r="AH53" s="2007"/>
      <c r="AI53" s="2007"/>
      <c r="AJ53" s="2007"/>
      <c r="AK53" s="2007"/>
      <c r="AL53" s="2007"/>
      <c r="AM53" s="2007"/>
      <c r="AN53" s="2007"/>
      <c r="AO53" s="2007"/>
      <c r="AP53" s="2007"/>
      <c r="AQ53" s="2007"/>
      <c r="AR53" s="2007"/>
      <c r="AS53" s="2007"/>
      <c r="AT53" s="2007"/>
      <c r="AU53" s="2007"/>
      <c r="AV53" s="2007"/>
      <c r="AW53" s="2007"/>
      <c r="AX53" s="2007"/>
      <c r="AY53" s="2007"/>
      <c r="AZ53" s="2007"/>
      <c r="BA53" s="2007"/>
      <c r="BB53" s="2007"/>
      <c r="BC53" s="2007"/>
      <c r="BD53" s="2007"/>
      <c r="BE53" s="2007"/>
      <c r="BF53" s="2007"/>
      <c r="BG53" s="2007"/>
      <c r="BH53" s="2007"/>
      <c r="BI53" s="2007"/>
      <c r="BJ53" s="2007"/>
      <c r="BK53" s="2007"/>
      <c r="BL53" s="2007"/>
      <c r="BM53" s="2007"/>
      <c r="BN53" s="2007"/>
      <c r="BO53" s="2007"/>
      <c r="BP53" s="2007"/>
      <c r="BQ53" s="2007"/>
      <c r="BR53" s="2007"/>
      <c r="BS53" s="2007"/>
      <c r="BT53" s="2007"/>
      <c r="BU53" s="2007">
        <f t="shared" ref="BU53:CI53" si="40">+BU52/BQ52-1</f>
        <v>0.17721518987341778</v>
      </c>
      <c r="BV53" s="2007">
        <f t="shared" si="40"/>
        <v>0.19999999999999996</v>
      </c>
      <c r="BW53" s="2007">
        <f t="shared" si="40"/>
        <v>0.22891566265060237</v>
      </c>
      <c r="BX53" s="2007">
        <f t="shared" si="40"/>
        <v>0.20930232558139528</v>
      </c>
      <c r="BY53" s="2007">
        <f t="shared" si="40"/>
        <v>0.17204301075268824</v>
      </c>
      <c r="BZ53" s="2007">
        <f t="shared" si="40"/>
        <v>0.51041666666666674</v>
      </c>
      <c r="CA53" s="2007">
        <f t="shared" si="40"/>
        <v>0.44117647058823528</v>
      </c>
      <c r="CB53" s="2007">
        <f t="shared" si="40"/>
        <v>0.375</v>
      </c>
      <c r="CC53" s="2007">
        <f t="shared" si="40"/>
        <v>0.35779816513761475</v>
      </c>
      <c r="CD53" s="2007">
        <f t="shared" si="40"/>
        <v>7.5862068965517171E-2</v>
      </c>
      <c r="CE53" s="2007">
        <f t="shared" si="40"/>
        <v>0.1020408163265305</v>
      </c>
      <c r="CF53" s="2007">
        <f t="shared" si="40"/>
        <v>9.0909090909090828E-2</v>
      </c>
      <c r="CG53" s="2007">
        <f t="shared" si="40"/>
        <v>0.11486486486486491</v>
      </c>
      <c r="CH53" s="2007">
        <f t="shared" si="40"/>
        <v>0.12179487179487181</v>
      </c>
      <c r="CI53" s="2007">
        <f t="shared" si="40"/>
        <v>0.12345679012345689</v>
      </c>
    </row>
    <row r="54" spans="2:87" s="580" customFormat="1">
      <c r="B54" s="246" t="s">
        <v>95</v>
      </c>
      <c r="P54" s="1661"/>
      <c r="Q54" s="1661"/>
      <c r="R54" s="1661"/>
      <c r="S54" s="1661"/>
      <c r="T54" s="1661"/>
      <c r="U54" s="1661"/>
      <c r="V54" s="1661"/>
      <c r="W54" s="1661"/>
      <c r="X54" s="1661"/>
      <c r="Y54" s="1661"/>
      <c r="Z54" s="1661"/>
      <c r="AA54" s="1661"/>
      <c r="AB54" s="1661"/>
      <c r="AC54" s="1661"/>
      <c r="AD54" s="1661"/>
      <c r="AE54" s="1661"/>
      <c r="AF54" s="1661"/>
      <c r="AG54" s="1661"/>
      <c r="AH54" s="1661"/>
      <c r="AI54" s="1661"/>
      <c r="AJ54" s="1661"/>
      <c r="AK54" s="1661"/>
      <c r="AL54" s="1661"/>
      <c r="AM54" s="1661"/>
      <c r="AN54" s="1661"/>
      <c r="AO54" s="1661"/>
      <c r="AP54" s="1661"/>
      <c r="AQ54" s="1661"/>
      <c r="AR54" s="1661"/>
      <c r="AS54" s="1661"/>
      <c r="AT54" s="1661"/>
      <c r="AU54" s="1661"/>
      <c r="AV54" s="1661"/>
      <c r="AW54" s="1661"/>
      <c r="AX54" s="1661"/>
      <c r="AY54" s="1661"/>
      <c r="AZ54" s="1661"/>
      <c r="BA54" s="1661"/>
      <c r="BB54" s="1661"/>
      <c r="BC54" s="1661"/>
      <c r="BD54" s="1661"/>
      <c r="BE54" s="1661"/>
      <c r="BF54" s="1661"/>
      <c r="BG54" s="1661"/>
      <c r="BH54" s="1661"/>
      <c r="BI54" s="1661"/>
      <c r="BJ54" s="1661"/>
      <c r="BK54" s="1661"/>
      <c r="BL54" s="1661"/>
      <c r="BM54" s="1661"/>
      <c r="BN54" s="1661"/>
      <c r="BO54" s="1661"/>
      <c r="BP54" s="1661"/>
      <c r="BQ54" s="1661"/>
      <c r="BR54" s="1661">
        <f t="shared" ref="BR54:CI54" si="41">+BR52/BQ52-1</f>
        <v>1.2658227848101333E-2</v>
      </c>
      <c r="BS54" s="1661">
        <f t="shared" si="41"/>
        <v>3.7500000000000089E-2</v>
      </c>
      <c r="BT54" s="1661">
        <f t="shared" si="41"/>
        <v>3.6144578313253017E-2</v>
      </c>
      <c r="BU54" s="1661">
        <f t="shared" si="41"/>
        <v>8.1395348837209225E-2</v>
      </c>
      <c r="BV54" s="1661">
        <f t="shared" si="41"/>
        <v>3.2258064516129004E-2</v>
      </c>
      <c r="BW54" s="1661">
        <f t="shared" si="41"/>
        <v>6.25E-2</v>
      </c>
      <c r="BX54" s="1661">
        <f t="shared" si="41"/>
        <v>1.9607843137254832E-2</v>
      </c>
      <c r="BY54" s="1661">
        <f t="shared" si="41"/>
        <v>4.8076923076923128E-2</v>
      </c>
      <c r="BZ54" s="1661">
        <f t="shared" si="41"/>
        <v>0.33027522935779818</v>
      </c>
      <c r="CA54" s="1661">
        <f t="shared" si="41"/>
        <v>1.379310344827589E-2</v>
      </c>
      <c r="CB54" s="1661">
        <f t="shared" si="41"/>
        <v>-2.7210884353741527E-2</v>
      </c>
      <c r="CC54" s="1661">
        <f t="shared" si="41"/>
        <v>3.4965034965035002E-2</v>
      </c>
      <c r="CD54" s="1661">
        <f t="shared" si="41"/>
        <v>5.4054054054053946E-2</v>
      </c>
      <c r="CE54" s="1661">
        <f t="shared" si="41"/>
        <v>3.8461538461538547E-2</v>
      </c>
      <c r="CF54" s="1661">
        <f t="shared" si="41"/>
        <v>-3.703703703703709E-2</v>
      </c>
      <c r="CG54" s="1661">
        <f t="shared" si="41"/>
        <v>5.7692307692307709E-2</v>
      </c>
      <c r="CH54" s="1661">
        <f t="shared" si="41"/>
        <v>6.0606060606060552E-2</v>
      </c>
      <c r="CI54" s="1661">
        <f t="shared" si="41"/>
        <v>4.0000000000000036E-2</v>
      </c>
    </row>
    <row r="55" spans="2:87">
      <c r="B55" t="s">
        <v>161</v>
      </c>
      <c r="N55" s="1227"/>
      <c r="O55" s="2002"/>
      <c r="P55" s="2002">
        <f>Rev!P471</f>
        <v>1850</v>
      </c>
      <c r="Q55" s="2002">
        <f>Rev!Q471</f>
        <v>1919.25</v>
      </c>
      <c r="R55" s="2002">
        <f>Rev!R471</f>
        <v>1902.5</v>
      </c>
      <c r="S55" s="2002">
        <f>Rev!S471</f>
        <v>2056.5</v>
      </c>
      <c r="T55" s="2002">
        <f>Rev!T471</f>
        <v>1907.5</v>
      </c>
      <c r="U55" s="2002">
        <f>Rev!U471</f>
        <v>1952.5</v>
      </c>
      <c r="V55" s="2002">
        <f>Rev!V471</f>
        <v>1984.5</v>
      </c>
      <c r="W55" s="2002">
        <f>Rev!W471</f>
        <v>2042.3994672543749</v>
      </c>
      <c r="X55" s="2002">
        <f>Rev!X471</f>
        <v>2073.0354592631902</v>
      </c>
      <c r="Y55" s="2002">
        <f>Rev!Y471</f>
        <v>2096.3571081799009</v>
      </c>
      <c r="Z55" s="2002">
        <f>Rev!Z471</f>
        <v>2114.045121280169</v>
      </c>
      <c r="AA55" s="2002"/>
      <c r="AB55" s="2002"/>
      <c r="AC55" s="2002"/>
      <c r="AD55" s="2002"/>
      <c r="AE55" s="2002"/>
      <c r="AF55" s="2002"/>
      <c r="AG55" s="2002"/>
      <c r="AH55" s="2002"/>
      <c r="AI55" s="2002"/>
      <c r="AJ55" s="2002"/>
      <c r="AK55" s="2002"/>
      <c r="AL55" s="2002"/>
      <c r="AM55" s="2002"/>
      <c r="AN55" s="2002"/>
      <c r="AO55" s="2002"/>
      <c r="AP55" s="2002"/>
      <c r="AQ55" s="2002"/>
      <c r="AR55" s="2002"/>
      <c r="AS55" s="2002"/>
      <c r="AT55" s="2002"/>
      <c r="AU55" s="2002"/>
      <c r="AV55" s="2002"/>
      <c r="AW55" s="2002"/>
      <c r="AX55" s="2002"/>
      <c r="AY55" s="2002"/>
      <c r="AZ55" s="2002"/>
      <c r="BA55" s="2002"/>
      <c r="BB55" s="2002"/>
      <c r="BC55" s="2002"/>
      <c r="BD55" s="2002"/>
      <c r="BE55" s="2002"/>
      <c r="BF55" s="2002"/>
      <c r="BG55" s="2002"/>
      <c r="BH55" s="2002"/>
      <c r="BI55" s="2002"/>
      <c r="BJ55" s="2002"/>
      <c r="BK55" s="2002"/>
      <c r="BL55" s="2002"/>
      <c r="BM55" s="2002"/>
      <c r="BN55" s="2002"/>
      <c r="BO55" s="2002"/>
      <c r="BP55" s="2002"/>
      <c r="BQ55" s="2002">
        <f>Rev!BU471</f>
        <v>1580</v>
      </c>
      <c r="BR55" s="2002">
        <f>Rev!BV471</f>
        <v>1688</v>
      </c>
      <c r="BS55" s="2002">
        <f>Rev!BW471</f>
        <v>1787</v>
      </c>
      <c r="BT55" s="2002">
        <f>Rev!BX471</f>
        <v>1819</v>
      </c>
      <c r="BU55" s="2002">
        <f>Rev!BY471</f>
        <v>1850</v>
      </c>
      <c r="BV55" s="2002">
        <f>Rev!BZ471</f>
        <v>1868</v>
      </c>
      <c r="BW55" s="2002">
        <f>Rev!CA471</f>
        <v>1863</v>
      </c>
      <c r="BX55" s="2002">
        <f>Rev!CB471</f>
        <v>1928</v>
      </c>
      <c r="BY55" s="2002">
        <f>Rev!CC471</f>
        <v>1959</v>
      </c>
      <c r="BZ55" s="2002">
        <f>Rev!CD471</f>
        <v>1846</v>
      </c>
      <c r="CA55" s="2002">
        <f>Rev!CE471</f>
        <v>1944</v>
      </c>
      <c r="CB55" s="2002">
        <f>Rev!CF471</f>
        <v>1976</v>
      </c>
      <c r="CC55" s="2002">
        <f>Rev!CG471</f>
        <v>1903</v>
      </c>
      <c r="CD55" s="2002">
        <f>Rev!CH471</f>
        <v>1859</v>
      </c>
      <c r="CE55" s="2002">
        <f>Rev!CI471</f>
        <v>1872</v>
      </c>
      <c r="CF55" s="2002">
        <f>Rev!CJ471</f>
        <v>2042</v>
      </c>
      <c r="CG55" s="2002">
        <f>Rev!CK471</f>
        <v>2082</v>
      </c>
      <c r="CH55" s="2002">
        <f>Rev!CL471</f>
        <v>2057</v>
      </c>
      <c r="CI55" s="2002">
        <f>Rev!CM471</f>
        <v>2045</v>
      </c>
    </row>
    <row r="56" spans="2:87" s="580" customFormat="1">
      <c r="B56" s="246" t="s">
        <v>1322</v>
      </c>
      <c r="O56" s="1661"/>
      <c r="P56" s="2007"/>
      <c r="Q56" s="2007">
        <f t="shared" ref="Q56:Z56" si="42">+Q55/P55-1</f>
        <v>3.7432432432432439E-2</v>
      </c>
      <c r="R56" s="2007">
        <f t="shared" si="42"/>
        <v>-8.7273674612479146E-3</v>
      </c>
      <c r="S56" s="2007">
        <f t="shared" si="42"/>
        <v>8.0946123521681956E-2</v>
      </c>
      <c r="T56" s="2007">
        <f t="shared" si="42"/>
        <v>-7.2453197179674245E-2</v>
      </c>
      <c r="U56" s="2007">
        <f t="shared" si="42"/>
        <v>2.3591087811271283E-2</v>
      </c>
      <c r="V56" s="2007">
        <f t="shared" si="42"/>
        <v>1.6389244558258742E-2</v>
      </c>
      <c r="W56" s="2007">
        <f t="shared" si="42"/>
        <v>2.9175846437074826E-2</v>
      </c>
      <c r="X56" s="2007">
        <f t="shared" si="42"/>
        <v>1.4999999999999902E-2</v>
      </c>
      <c r="Y56" s="2007">
        <f t="shared" si="42"/>
        <v>1.1249999999999982E-2</v>
      </c>
      <c r="Z56" s="2007">
        <f t="shared" si="42"/>
        <v>8.4375000000000977E-3</v>
      </c>
      <c r="AA56" s="2007"/>
      <c r="AB56" s="2007"/>
      <c r="AC56" s="2007"/>
      <c r="AD56" s="2007"/>
      <c r="AE56" s="2007"/>
      <c r="AF56" s="2007"/>
      <c r="AG56" s="2007"/>
      <c r="AH56" s="2007"/>
      <c r="AI56" s="2007"/>
      <c r="AJ56" s="2007"/>
      <c r="AK56" s="2007"/>
      <c r="AL56" s="2007"/>
      <c r="AM56" s="2007"/>
      <c r="AN56" s="2007"/>
      <c r="AO56" s="2007"/>
      <c r="AP56" s="2007"/>
      <c r="AQ56" s="2007"/>
      <c r="AR56" s="2007"/>
      <c r="AS56" s="2007"/>
      <c r="AT56" s="2007"/>
      <c r="AU56" s="2007"/>
      <c r="AV56" s="2007"/>
      <c r="AW56" s="2007"/>
      <c r="AX56" s="2007"/>
      <c r="AY56" s="2007"/>
      <c r="AZ56" s="2007"/>
      <c r="BA56" s="2007"/>
      <c r="BB56" s="2007"/>
      <c r="BC56" s="2007"/>
      <c r="BD56" s="2007"/>
      <c r="BE56" s="2007"/>
      <c r="BF56" s="2007"/>
      <c r="BG56" s="2007"/>
      <c r="BH56" s="2007"/>
      <c r="BI56" s="2007"/>
      <c r="BJ56" s="2007"/>
      <c r="BK56" s="2007"/>
      <c r="BL56" s="2007"/>
      <c r="BM56" s="2007"/>
      <c r="BN56" s="2007"/>
      <c r="BO56" s="2007"/>
      <c r="BP56" s="2007"/>
      <c r="BQ56" s="2007"/>
      <c r="BR56" s="2007"/>
      <c r="BS56" s="2007"/>
      <c r="BT56" s="2007"/>
      <c r="BU56" s="2007">
        <f t="shared" ref="BU56:CI56" si="43">+BU55/BQ55-1</f>
        <v>0.17088607594936711</v>
      </c>
      <c r="BV56" s="2007">
        <f t="shared" si="43"/>
        <v>0.10663507109004744</v>
      </c>
      <c r="BW56" s="2007">
        <f t="shared" si="43"/>
        <v>4.252937884723007E-2</v>
      </c>
      <c r="BX56" s="2007">
        <f t="shared" si="43"/>
        <v>5.9923034634414618E-2</v>
      </c>
      <c r="BY56" s="2007">
        <f t="shared" si="43"/>
        <v>5.8918918918918983E-2</v>
      </c>
      <c r="BZ56" s="2007">
        <f t="shared" si="43"/>
        <v>-1.1777301927194839E-2</v>
      </c>
      <c r="CA56" s="2007">
        <f t="shared" si="43"/>
        <v>4.3478260869565188E-2</v>
      </c>
      <c r="CB56" s="2007">
        <f t="shared" si="43"/>
        <v>2.4896265560165887E-2</v>
      </c>
      <c r="CC56" s="2007">
        <f t="shared" si="43"/>
        <v>-2.8586013272077548E-2</v>
      </c>
      <c r="CD56" s="2007">
        <f t="shared" si="43"/>
        <v>7.0422535211267512E-3</v>
      </c>
      <c r="CE56" s="2007">
        <f t="shared" si="43"/>
        <v>-3.703703703703709E-2</v>
      </c>
      <c r="CF56" s="2007">
        <f t="shared" si="43"/>
        <v>3.34008097165992E-2</v>
      </c>
      <c r="CG56" s="2007">
        <f t="shared" si="43"/>
        <v>9.4062007356805033E-2</v>
      </c>
      <c r="CH56" s="2007">
        <f t="shared" si="43"/>
        <v>0.10650887573964507</v>
      </c>
      <c r="CI56" s="2007">
        <f t="shared" si="43"/>
        <v>9.2414529914529808E-2</v>
      </c>
    </row>
    <row r="57" spans="2:87" s="580" customFormat="1">
      <c r="B57" s="246" t="s">
        <v>95</v>
      </c>
      <c r="P57" s="1661"/>
      <c r="Q57" s="1661"/>
      <c r="R57" s="1661"/>
      <c r="S57" s="1661"/>
      <c r="T57" s="1661"/>
      <c r="U57" s="1661"/>
      <c r="V57" s="1661"/>
      <c r="W57" s="1661"/>
      <c r="X57" s="1661"/>
      <c r="Y57" s="1661"/>
      <c r="Z57" s="1661"/>
      <c r="AA57" s="1661"/>
      <c r="AB57" s="1661"/>
      <c r="AC57" s="1661"/>
      <c r="AD57" s="1661"/>
      <c r="AE57" s="1661"/>
      <c r="AF57" s="1661"/>
      <c r="AG57" s="1661"/>
      <c r="AH57" s="1661"/>
      <c r="AI57" s="1661"/>
      <c r="AJ57" s="1661"/>
      <c r="AK57" s="1661"/>
      <c r="AL57" s="1661"/>
      <c r="AM57" s="1661"/>
      <c r="AN57" s="1661"/>
      <c r="AO57" s="1661"/>
      <c r="AP57" s="1661"/>
      <c r="AQ57" s="1661"/>
      <c r="AR57" s="1661"/>
      <c r="AS57" s="1661"/>
      <c r="AT57" s="1661"/>
      <c r="AU57" s="1661"/>
      <c r="AV57" s="1661"/>
      <c r="AW57" s="1661"/>
      <c r="AX57" s="1661"/>
      <c r="AY57" s="1661"/>
      <c r="AZ57" s="1661"/>
      <c r="BA57" s="1661"/>
      <c r="BB57" s="1661"/>
      <c r="BC57" s="1661"/>
      <c r="BD57" s="1661"/>
      <c r="BE57" s="1661"/>
      <c r="BF57" s="1661"/>
      <c r="BG57" s="1661"/>
      <c r="BH57" s="1661"/>
      <c r="BI57" s="1661"/>
      <c r="BJ57" s="1661"/>
      <c r="BK57" s="1661"/>
      <c r="BL57" s="1661"/>
      <c r="BM57" s="1661"/>
      <c r="BN57" s="1661"/>
      <c r="BO57" s="1661"/>
      <c r="BP57" s="1661"/>
      <c r="BQ57" s="1661"/>
      <c r="BR57" s="1661">
        <f t="shared" ref="BR57:CI57" si="44">+BR55/BQ55-1</f>
        <v>6.8354430379746756E-2</v>
      </c>
      <c r="BS57" s="1661">
        <f t="shared" si="44"/>
        <v>5.8649289099526047E-2</v>
      </c>
      <c r="BT57" s="1661">
        <f t="shared" si="44"/>
        <v>1.790710688304431E-2</v>
      </c>
      <c r="BU57" s="1661">
        <f t="shared" si="44"/>
        <v>1.7042330951072104E-2</v>
      </c>
      <c r="BV57" s="1661">
        <f t="shared" si="44"/>
        <v>9.7297297297296303E-3</v>
      </c>
      <c r="BW57" s="1661">
        <f t="shared" si="44"/>
        <v>-2.6766595289079431E-3</v>
      </c>
      <c r="BX57" s="1661">
        <f t="shared" si="44"/>
        <v>3.4889962426194243E-2</v>
      </c>
      <c r="BY57" s="1661">
        <f t="shared" si="44"/>
        <v>1.6078838174273802E-2</v>
      </c>
      <c r="BZ57" s="1661">
        <f t="shared" si="44"/>
        <v>-5.7682491066870845E-2</v>
      </c>
      <c r="CA57" s="1661">
        <f t="shared" si="44"/>
        <v>5.308775731310944E-2</v>
      </c>
      <c r="CB57" s="1661">
        <f t="shared" si="44"/>
        <v>1.6460905349794164E-2</v>
      </c>
      <c r="CC57" s="1661">
        <f t="shared" si="44"/>
        <v>-3.6943319838056654E-2</v>
      </c>
      <c r="CD57" s="1661">
        <f t="shared" si="44"/>
        <v>-2.3121387283236983E-2</v>
      </c>
      <c r="CE57" s="1661">
        <f t="shared" si="44"/>
        <v>6.9930069930070893E-3</v>
      </c>
      <c r="CF57" s="1661">
        <f t="shared" si="44"/>
        <v>9.0811965811965711E-2</v>
      </c>
      <c r="CG57" s="1661">
        <f t="shared" si="44"/>
        <v>1.9588638589618013E-2</v>
      </c>
      <c r="CH57" s="1661">
        <f t="shared" si="44"/>
        <v>-1.2007684918347694E-2</v>
      </c>
      <c r="CI57" s="1661">
        <f t="shared" si="44"/>
        <v>-5.8337384540593229E-3</v>
      </c>
    </row>
    <row r="58" spans="2:87">
      <c r="B58" t="s">
        <v>162</v>
      </c>
      <c r="N58" s="1081"/>
      <c r="O58" s="2005">
        <f>Rev!O508</f>
        <v>15311</v>
      </c>
      <c r="P58" s="2005">
        <f>Rev!P508</f>
        <v>18378</v>
      </c>
      <c r="Q58" s="2005">
        <f>Rev!Q508</f>
        <v>22400</v>
      </c>
      <c r="R58" s="2005">
        <f>Rev!R508</f>
        <v>25900</v>
      </c>
      <c r="S58" s="2005">
        <f>Rev!S508</f>
        <v>26300</v>
      </c>
      <c r="T58" s="2005">
        <f>Rev!T508</f>
        <v>33500</v>
      </c>
      <c r="U58" s="2005">
        <f>Rev!U508</f>
        <v>41000</v>
      </c>
      <c r="V58" s="2005">
        <f>Rev!V508</f>
        <v>46700</v>
      </c>
      <c r="W58" s="2005">
        <f>Rev!W508</f>
        <v>52219.9408089793</v>
      </c>
      <c r="X58" s="2005">
        <f>Rev!X508</f>
        <v>57666.147791752112</v>
      </c>
      <c r="Y58" s="2005">
        <f>Rev!Y508</f>
        <v>64111.202058806339</v>
      </c>
      <c r="Z58" s="2005">
        <f>Rev!Z508</f>
        <v>70709.677488679619</v>
      </c>
      <c r="AA58" s="2005"/>
      <c r="AB58" s="2005"/>
      <c r="AC58" s="2005"/>
      <c r="AD58" s="2005"/>
      <c r="AE58" s="2005"/>
      <c r="AF58" s="2005"/>
      <c r="AG58" s="2005"/>
      <c r="AH58" s="2005"/>
      <c r="AI58" s="2005"/>
      <c r="AJ58" s="2005"/>
      <c r="AK58" s="2005"/>
      <c r="AL58" s="2005"/>
      <c r="AM58" s="2005"/>
      <c r="AN58" s="2005"/>
      <c r="AO58" s="2005"/>
      <c r="AP58" s="2005"/>
      <c r="AQ58" s="2005"/>
      <c r="AR58" s="2005"/>
      <c r="AS58" s="2005"/>
      <c r="AT58" s="2005"/>
      <c r="AU58" s="2005"/>
      <c r="AV58" s="2005"/>
      <c r="AW58" s="2005"/>
      <c r="AX58" s="2005"/>
      <c r="AY58" s="2005"/>
      <c r="AZ58" s="2005"/>
      <c r="BA58" s="2005"/>
      <c r="BB58" s="2005"/>
      <c r="BC58" s="2005"/>
      <c r="BD58" s="2005"/>
      <c r="BE58" s="2005"/>
      <c r="BF58" s="2005"/>
      <c r="BG58" s="2005"/>
      <c r="BH58" s="2005"/>
      <c r="BI58" s="2005"/>
      <c r="BJ58" s="2005"/>
      <c r="BK58" s="2005"/>
      <c r="BL58" s="2005"/>
      <c r="BM58" s="2005"/>
      <c r="BN58" s="2005"/>
      <c r="BO58" s="2005"/>
      <c r="BP58" s="2005"/>
      <c r="BQ58" s="2005">
        <f>Rev!BU508</f>
        <v>13709</v>
      </c>
      <c r="BR58" s="2005">
        <f>Rev!BV508</f>
        <v>14586</v>
      </c>
      <c r="BS58" s="2005">
        <f>Rev!BW508</f>
        <v>15311</v>
      </c>
      <c r="BT58" s="2005">
        <f>Rev!BX508</f>
        <v>16134</v>
      </c>
      <c r="BU58" s="2005">
        <f>Rev!BY508</f>
        <v>16804</v>
      </c>
      <c r="BV58" s="2005">
        <f>Rev!BZ508</f>
        <v>17707</v>
      </c>
      <c r="BW58" s="2005">
        <f>Rev!CA508</f>
        <v>18378</v>
      </c>
      <c r="BX58" s="2005">
        <f>Rev!CB508</f>
        <v>19113</v>
      </c>
      <c r="BY58" s="2005">
        <f>Rev!CC508</f>
        <v>19914</v>
      </c>
      <c r="BZ58" s="2005">
        <f>Rev!CD508</f>
        <v>21800</v>
      </c>
      <c r="CA58" s="2005">
        <f>Rev!CE508</f>
        <v>22400</v>
      </c>
      <c r="CB58" s="2005">
        <f>Rev!CF508</f>
        <v>23000</v>
      </c>
      <c r="CC58" s="2005">
        <f>Rev!CG508</f>
        <v>23800</v>
      </c>
      <c r="CD58" s="2005">
        <f>Rev!CH508</f>
        <v>24600</v>
      </c>
      <c r="CE58" s="2005">
        <f>Rev!CI508</f>
        <v>25900</v>
      </c>
      <c r="CF58" s="2005">
        <f>Rev!CJ508</f>
        <v>27400</v>
      </c>
      <c r="CG58" s="2005">
        <f>Rev!CK508</f>
        <v>28400</v>
      </c>
      <c r="CH58" s="2005">
        <f>Rev!CL508</f>
        <v>30400</v>
      </c>
      <c r="CI58" s="2005">
        <f>Rev!CM508</f>
        <v>26300</v>
      </c>
    </row>
    <row r="59" spans="2:87" s="580" customFormat="1">
      <c r="B59" s="246" t="s">
        <v>1322</v>
      </c>
      <c r="O59" s="1661"/>
      <c r="P59" s="2007">
        <f t="shared" ref="P59:Z59" si="45">+P58/O58-1</f>
        <v>0.20031350009796878</v>
      </c>
      <c r="Q59" s="2007">
        <f t="shared" si="45"/>
        <v>0.21884862335401012</v>
      </c>
      <c r="R59" s="2007">
        <f t="shared" si="45"/>
        <v>0.15625</v>
      </c>
      <c r="S59" s="2007">
        <f t="shared" si="45"/>
        <v>1.5444015444015413E-2</v>
      </c>
      <c r="T59" s="2007">
        <f t="shared" si="45"/>
        <v>0.27376425855513298</v>
      </c>
      <c r="U59" s="2007">
        <f t="shared" si="45"/>
        <v>0.22388059701492535</v>
      </c>
      <c r="V59" s="2007">
        <f t="shared" si="45"/>
        <v>0.13902439024390234</v>
      </c>
      <c r="W59" s="2007">
        <f t="shared" si="45"/>
        <v>0.1182000173228972</v>
      </c>
      <c r="X59" s="2007">
        <f t="shared" si="45"/>
        <v>0.10429362612062421</v>
      </c>
      <c r="Y59" s="2007">
        <f t="shared" si="45"/>
        <v>0.11176495246967155</v>
      </c>
      <c r="Z59" s="2007">
        <f t="shared" si="45"/>
        <v>0.10292234770174469</v>
      </c>
      <c r="AA59" s="2007"/>
      <c r="AB59" s="2007"/>
      <c r="AC59" s="2007"/>
      <c r="AD59" s="2007"/>
      <c r="AE59" s="2007"/>
      <c r="AF59" s="2007"/>
      <c r="AG59" s="2007"/>
      <c r="AH59" s="2007"/>
      <c r="AI59" s="2007"/>
      <c r="AJ59" s="2007"/>
      <c r="AK59" s="2007"/>
      <c r="AL59" s="2007"/>
      <c r="AM59" s="2007"/>
      <c r="AN59" s="2007"/>
      <c r="AO59" s="2007"/>
      <c r="AP59" s="2007"/>
      <c r="AQ59" s="2007"/>
      <c r="AR59" s="2007"/>
      <c r="AS59" s="2007"/>
      <c r="AT59" s="2007"/>
      <c r="AU59" s="2007"/>
      <c r="AV59" s="2007"/>
      <c r="AW59" s="2007"/>
      <c r="AX59" s="2007"/>
      <c r="AY59" s="2007"/>
      <c r="AZ59" s="2007"/>
      <c r="BA59" s="2007"/>
      <c r="BB59" s="2007"/>
      <c r="BC59" s="2007"/>
      <c r="BD59" s="2007"/>
      <c r="BE59" s="2007"/>
      <c r="BF59" s="2007"/>
      <c r="BG59" s="2007"/>
      <c r="BH59" s="2007"/>
      <c r="BI59" s="2007"/>
      <c r="BJ59" s="2007"/>
      <c r="BK59" s="2007"/>
      <c r="BL59" s="2007"/>
      <c r="BM59" s="2007"/>
      <c r="BN59" s="2007"/>
      <c r="BO59" s="2007"/>
      <c r="BP59" s="2007"/>
      <c r="BQ59" s="2007"/>
      <c r="BR59" s="2007"/>
      <c r="BS59" s="2007"/>
      <c r="BT59" s="2007"/>
      <c r="BU59" s="2007">
        <f t="shared" ref="BU59:CI59" si="46">+BU58/BQ58-1</f>
        <v>0.22576409657888985</v>
      </c>
      <c r="BV59" s="2007">
        <f t="shared" si="46"/>
        <v>0.21397230220759633</v>
      </c>
      <c r="BW59" s="2007">
        <f t="shared" si="46"/>
        <v>0.20031350009796878</v>
      </c>
      <c r="BX59" s="2007">
        <f t="shared" si="46"/>
        <v>0.18464113053179632</v>
      </c>
      <c r="BY59" s="2007">
        <f t="shared" si="46"/>
        <v>0.18507498214710782</v>
      </c>
      <c r="BZ59" s="2007">
        <f t="shared" si="46"/>
        <v>0.23115152199695044</v>
      </c>
      <c r="CA59" s="2007">
        <f t="shared" si="46"/>
        <v>0.21884862335401012</v>
      </c>
      <c r="CB59" s="2007">
        <f t="shared" si="46"/>
        <v>0.2033694344163659</v>
      </c>
      <c r="CC59" s="2007">
        <f t="shared" si="46"/>
        <v>0.19513909812192431</v>
      </c>
      <c r="CD59" s="2007">
        <f t="shared" si="46"/>
        <v>0.12844036697247696</v>
      </c>
      <c r="CE59" s="2007">
        <f t="shared" si="46"/>
        <v>0.15625</v>
      </c>
      <c r="CF59" s="2007">
        <f t="shared" si="46"/>
        <v>0.19130434782608696</v>
      </c>
      <c r="CG59" s="2007">
        <f t="shared" si="46"/>
        <v>0.19327731092436973</v>
      </c>
      <c r="CH59" s="2007">
        <f t="shared" si="46"/>
        <v>0.2357723577235773</v>
      </c>
      <c r="CI59" s="2007">
        <f t="shared" si="46"/>
        <v>1.5444015444015413E-2</v>
      </c>
    </row>
    <row r="60" spans="2:87" s="580" customFormat="1">
      <c r="B60" s="246" t="s">
        <v>95</v>
      </c>
      <c r="P60" s="1661"/>
      <c r="Q60" s="1661"/>
      <c r="R60" s="1661"/>
      <c r="S60" s="1661"/>
      <c r="T60" s="1661"/>
      <c r="U60" s="1661"/>
      <c r="V60" s="1661"/>
      <c r="W60" s="1661"/>
      <c r="X60" s="1661"/>
      <c r="Y60" s="1661"/>
      <c r="Z60" s="1661"/>
      <c r="AA60" s="1661"/>
      <c r="AB60" s="1661"/>
      <c r="AC60" s="1661"/>
      <c r="AD60" s="1661"/>
      <c r="AE60" s="1661"/>
      <c r="AF60" s="1661"/>
      <c r="AG60" s="1661"/>
      <c r="AH60" s="1661"/>
      <c r="AI60" s="1661"/>
      <c r="AJ60" s="1661"/>
      <c r="AK60" s="1661"/>
      <c r="AL60" s="1661"/>
      <c r="AM60" s="1661"/>
      <c r="AN60" s="1661"/>
      <c r="AO60" s="1661"/>
      <c r="AP60" s="1661"/>
      <c r="AQ60" s="1661"/>
      <c r="AR60" s="1661"/>
      <c r="AS60" s="1661"/>
      <c r="AT60" s="1661"/>
      <c r="AU60" s="1661"/>
      <c r="AV60" s="1661"/>
      <c r="AW60" s="1661"/>
      <c r="AX60" s="1661"/>
      <c r="AY60" s="1661"/>
      <c r="AZ60" s="1661"/>
      <c r="BA60" s="1661"/>
      <c r="BB60" s="1661"/>
      <c r="BC60" s="1661"/>
      <c r="BD60" s="1661"/>
      <c r="BE60" s="1661"/>
      <c r="BF60" s="1661"/>
      <c r="BG60" s="1661"/>
      <c r="BH60" s="1661"/>
      <c r="BI60" s="1661"/>
      <c r="BJ60" s="1661"/>
      <c r="BK60" s="1661"/>
      <c r="BL60" s="1661"/>
      <c r="BM60" s="1661"/>
      <c r="BN60" s="1661"/>
      <c r="BO60" s="1661"/>
      <c r="BP60" s="1661"/>
      <c r="BQ60" s="1661"/>
      <c r="BR60" s="1661">
        <f t="shared" ref="BR60:CI60" si="47">+BR58/BQ58-1</f>
        <v>6.3972572762418745E-2</v>
      </c>
      <c r="BS60" s="1661">
        <f t="shared" si="47"/>
        <v>4.9705196764020299E-2</v>
      </c>
      <c r="BT60" s="1661">
        <f t="shared" si="47"/>
        <v>5.3752204297563777E-2</v>
      </c>
      <c r="BU60" s="1661">
        <f t="shared" si="47"/>
        <v>4.1527209619437233E-2</v>
      </c>
      <c r="BV60" s="1661">
        <f t="shared" si="47"/>
        <v>5.3737205427279111E-2</v>
      </c>
      <c r="BW60" s="1661">
        <f t="shared" si="47"/>
        <v>3.7894617947704212E-2</v>
      </c>
      <c r="BX60" s="1661">
        <f t="shared" si="47"/>
        <v>3.9993470453803415E-2</v>
      </c>
      <c r="BY60" s="1661">
        <f t="shared" si="47"/>
        <v>4.1908648563804718E-2</v>
      </c>
      <c r="BZ60" s="1661">
        <f t="shared" si="47"/>
        <v>9.4707241136888554E-2</v>
      </c>
      <c r="CA60" s="1661">
        <f t="shared" si="47"/>
        <v>2.7522935779816571E-2</v>
      </c>
      <c r="CB60" s="1661">
        <f t="shared" si="47"/>
        <v>2.6785714285714191E-2</v>
      </c>
      <c r="CC60" s="1661">
        <f t="shared" si="47"/>
        <v>3.4782608695652195E-2</v>
      </c>
      <c r="CD60" s="1661">
        <f t="shared" si="47"/>
        <v>3.3613445378151363E-2</v>
      </c>
      <c r="CE60" s="1661">
        <f t="shared" si="47"/>
        <v>5.2845528455284452E-2</v>
      </c>
      <c r="CF60" s="1661">
        <f t="shared" si="47"/>
        <v>5.7915057915058021E-2</v>
      </c>
      <c r="CG60" s="1661">
        <f t="shared" si="47"/>
        <v>3.649635036496357E-2</v>
      </c>
      <c r="CH60" s="1661">
        <f t="shared" si="47"/>
        <v>7.0422535211267512E-2</v>
      </c>
      <c r="CI60" s="1661">
        <f t="shared" si="47"/>
        <v>-0.13486842105263153</v>
      </c>
    </row>
    <row r="64" spans="2:87">
      <c r="B64" s="146" t="s">
        <v>866</v>
      </c>
      <c r="C64" s="2004"/>
      <c r="D64" s="2004"/>
      <c r="E64" s="2004"/>
      <c r="F64" s="2004"/>
      <c r="G64" s="2004"/>
      <c r="H64" s="2004"/>
      <c r="I64" s="2004"/>
      <c r="J64" s="2004"/>
      <c r="K64" s="2004"/>
      <c r="L64" s="2004"/>
      <c r="M64" s="2004"/>
      <c r="N64" s="2004"/>
      <c r="O64" s="2004"/>
      <c r="P64" s="1074" t="str">
        <f>+P3</f>
        <v>2011A</v>
      </c>
      <c r="Q64" s="1074" t="str">
        <f>+Q3</f>
        <v>2012E</v>
      </c>
      <c r="R64" s="1074" t="str">
        <f>+R3</f>
        <v>2013E</v>
      </c>
      <c r="S64" s="1074" t="str">
        <f>+S3</f>
        <v>2014E</v>
      </c>
      <c r="T64" s="1074" t="str">
        <f>+T3</f>
        <v>2015E</v>
      </c>
    </row>
    <row r="65" spans="2:20">
      <c r="B65" t="s">
        <v>1231</v>
      </c>
      <c r="P65" s="2083">
        <f>+IS!P47</f>
        <v>303.8950000000001</v>
      </c>
      <c r="Q65" s="2083">
        <f>+IS!Q47</f>
        <v>392.89599999999984</v>
      </c>
      <c r="R65" s="2083">
        <f>+IS!R47</f>
        <v>460.93200000000002</v>
      </c>
      <c r="S65" s="2083">
        <f>+IS!S47</f>
        <v>509.26599999999962</v>
      </c>
      <c r="T65" s="2083">
        <f>+IS!T47</f>
        <v>567.34200000000044</v>
      </c>
    </row>
    <row r="66" spans="2:20">
      <c r="B66" t="s">
        <v>867</v>
      </c>
      <c r="P66" s="2084">
        <v>0.35</v>
      </c>
      <c r="Q66" s="2084">
        <v>0.35</v>
      </c>
      <c r="R66" s="2084">
        <v>0.35</v>
      </c>
      <c r="S66" s="2084">
        <v>0.35</v>
      </c>
      <c r="T66" s="2084">
        <v>0.35</v>
      </c>
    </row>
    <row r="67" spans="2:20">
      <c r="B67" t="s">
        <v>845</v>
      </c>
      <c r="P67" s="1226">
        <f>+P65*(1-P66)</f>
        <v>197.53175000000007</v>
      </c>
      <c r="Q67" s="1226">
        <f>+Q65*(1-Q66)</f>
        <v>255.3823999999999</v>
      </c>
      <c r="R67" s="1226">
        <f>+R65*(1-R66)</f>
        <v>299.60580000000004</v>
      </c>
      <c r="S67" s="1226">
        <f>+S65*(1-S66)</f>
        <v>331.02289999999977</v>
      </c>
      <c r="T67" s="1226">
        <f>+T65*(1-T66)</f>
        <v>368.77230000000031</v>
      </c>
    </row>
    <row r="68" spans="2:20">
      <c r="B68" t="s">
        <v>868</v>
      </c>
      <c r="P68" s="2083">
        <f>BS!P113</f>
        <v>3099.13</v>
      </c>
      <c r="Q68" s="2083">
        <f>BS!Q113</f>
        <v>3010.7469999999998</v>
      </c>
      <c r="R68" s="2083">
        <f>BS!R113</f>
        <v>4158.6559999999999</v>
      </c>
      <c r="S68" s="2083">
        <f>BS!S113</f>
        <v>4679.4089999999997</v>
      </c>
      <c r="T68" s="2083">
        <f>BS!T113</f>
        <v>6503.6990000000005</v>
      </c>
    </row>
    <row r="69" spans="2:20">
      <c r="B69" t="s">
        <v>1086</v>
      </c>
      <c r="P69" s="2083">
        <f>BS!P112</f>
        <v>1050.8500000000001</v>
      </c>
      <c r="Q69" s="2083">
        <f>BS!Q112</f>
        <v>546.524</v>
      </c>
      <c r="R69" s="2083">
        <f>BS!R112</f>
        <v>1030.0919999999999</v>
      </c>
      <c r="S69" s="2083">
        <f>BS!S112</f>
        <v>1140.751</v>
      </c>
      <c r="T69" s="2083">
        <f>BS!T112</f>
        <v>2233.4219999999996</v>
      </c>
    </row>
    <row r="70" spans="2:20">
      <c r="B70" t="s">
        <v>869</v>
      </c>
      <c r="P70" s="1226">
        <f>+P68-P69</f>
        <v>2048.2799999999997</v>
      </c>
      <c r="Q70" s="1226">
        <f>+Q68-Q69</f>
        <v>2464.223</v>
      </c>
      <c r="R70" s="1226">
        <f>+R68-R69</f>
        <v>3128.5640000000003</v>
      </c>
      <c r="S70" s="1226">
        <f>+S68-S69</f>
        <v>3538.6579999999994</v>
      </c>
      <c r="T70" s="1226">
        <f>+T68-T69</f>
        <v>4270.277000000001</v>
      </c>
    </row>
    <row r="71" spans="2:20">
      <c r="B71" t="s">
        <v>870</v>
      </c>
      <c r="P71" s="2083">
        <f>BS!P71</f>
        <v>1926.7169999999994</v>
      </c>
      <c r="Q71" s="2083">
        <f>BS!Q71</f>
        <v>2313.4409999999998</v>
      </c>
      <c r="R71" s="2083">
        <f>BS!R71</f>
        <v>2459.0640000000003</v>
      </c>
      <c r="S71" s="2083">
        <f>BS!S71</f>
        <v>2270.1309999999994</v>
      </c>
      <c r="T71" s="2083">
        <f>BS!T71</f>
        <v>2745.386</v>
      </c>
    </row>
    <row r="72" spans="2:20">
      <c r="B72" t="s">
        <v>871</v>
      </c>
      <c r="P72" s="1612">
        <f>+P67/(P70+P71)</f>
        <v>4.9693559517151861E-2</v>
      </c>
      <c r="Q72" s="1612">
        <f>+Q67/(Q70+Q71)</f>
        <v>5.3453403169414992E-2</v>
      </c>
      <c r="R72" s="1612">
        <f>+R67/(R70+R71)</f>
        <v>5.3619496501914589E-2</v>
      </c>
      <c r="S72" s="1612">
        <f>+S67/(S70+S71)</f>
        <v>5.6986559504915713E-2</v>
      </c>
      <c r="T72" s="1612">
        <f>+T67/(T70+T71)</f>
        <v>5.2564141122514049E-2</v>
      </c>
    </row>
  </sheetData>
  <phoneticPr fontId="2" type="noConversion"/>
  <pageMargins left="0.75" right="0.75" top="1" bottom="1" header="0.5" footer="0.5"/>
  <pageSetup orientation="portrait"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dimension ref="A1:DN373"/>
  <sheetViews>
    <sheetView showGridLines="0" zoomScale="85" zoomScaleNormal="85" workbookViewId="0">
      <pane xSplit="3" ySplit="4" topLeftCell="U5" activePane="bottomRight" state="frozen"/>
      <selection activeCell="T5" sqref="T5"/>
      <selection pane="topRight" activeCell="T5" sqref="T5"/>
      <selection pane="bottomLeft" activeCell="T5" sqref="T5"/>
      <selection pane="bottomRight" activeCell="U5" sqref="U5"/>
    </sheetView>
  </sheetViews>
  <sheetFormatPr defaultRowHeight="12.75" outlineLevelRow="1" outlineLevelCol="1"/>
  <cols>
    <col min="2" max="2" width="44" customWidth="1"/>
    <col min="3" max="3" width="10.5703125" customWidth="1"/>
    <col min="4" max="17" width="9.140625" hidden="1" customWidth="1" outlineLevel="1"/>
    <col min="18" max="18" width="9.140625" hidden="1" customWidth="1" outlineLevel="1" collapsed="1"/>
    <col min="19" max="19" width="9.140625" hidden="1" customWidth="1" outlineLevel="1"/>
    <col min="20" max="20" width="0" hidden="1" customWidth="1" outlineLevel="1" collapsed="1"/>
    <col min="21" max="21" width="9.140625" collapsed="1"/>
    <col min="23" max="24" width="9.140625" customWidth="1"/>
    <col min="25" max="30" width="9.140625" hidden="1" customWidth="1" outlineLevel="1"/>
    <col min="31" max="31" width="9.140625" collapsed="1"/>
    <col min="32" max="91" width="9.140625" hidden="1" customWidth="1" outlineLevel="1"/>
    <col min="92" max="92" width="9.140625" hidden="1" customWidth="1" outlineLevel="1" collapsed="1"/>
    <col min="93" max="95" width="9.140625" hidden="1" customWidth="1" outlineLevel="1"/>
    <col min="96" max="96" width="9.140625" hidden="1" customWidth="1" outlineLevel="1" collapsed="1"/>
    <col min="97" max="99" width="9.140625" hidden="1" customWidth="1" outlineLevel="1"/>
    <col min="100" max="100" width="9.140625" customWidth="1" collapsed="1"/>
    <col min="101" max="107" width="9.140625" customWidth="1"/>
  </cols>
  <sheetData>
    <row r="1" spans="1:118">
      <c r="A1" s="2196" t="s">
        <v>2043</v>
      </c>
    </row>
    <row r="3" spans="1:118">
      <c r="B3" s="773" t="s">
        <v>1122</v>
      </c>
      <c r="C3" s="974"/>
      <c r="D3" s="121"/>
      <c r="E3" s="121"/>
      <c r="F3" s="121"/>
      <c r="G3" s="121"/>
      <c r="H3" s="121"/>
      <c r="I3" s="775"/>
      <c r="J3" s="775"/>
      <c r="K3" s="775"/>
      <c r="L3" s="776"/>
      <c r="M3" s="776"/>
      <c r="N3" s="775"/>
      <c r="O3" s="775"/>
      <c r="P3" s="775"/>
      <c r="Q3" s="775"/>
      <c r="R3" s="775"/>
      <c r="S3" s="775"/>
      <c r="T3" s="775"/>
      <c r="U3" s="775"/>
      <c r="V3" s="775"/>
      <c r="W3" s="775"/>
      <c r="X3" s="775"/>
      <c r="Y3" s="775"/>
      <c r="Z3" s="775"/>
      <c r="AA3" s="775"/>
      <c r="AB3" s="775"/>
      <c r="AC3" s="775"/>
      <c r="AD3" s="779"/>
      <c r="AE3" s="889"/>
      <c r="AF3" s="2186" t="str">
        <f>Rev!AF5</f>
        <v>2000A</v>
      </c>
      <c r="AG3" s="2187"/>
      <c r="AH3" s="2187"/>
      <c r="AI3" s="2188"/>
      <c r="AJ3" s="2186" t="str">
        <f>Rev!AJ5</f>
        <v>2001A</v>
      </c>
      <c r="AK3" s="2187"/>
      <c r="AL3" s="2187"/>
      <c r="AM3" s="2188"/>
      <c r="AN3" s="2186" t="str">
        <f>Rev!AN5</f>
        <v>2002A</v>
      </c>
      <c r="AO3" s="2187"/>
      <c r="AP3" s="2187"/>
      <c r="AQ3" s="2188"/>
      <c r="AR3" s="2186" t="str">
        <f>Rev!AR5</f>
        <v>2003A</v>
      </c>
      <c r="AS3" s="2187"/>
      <c r="AT3" s="2187"/>
      <c r="AU3" s="2188"/>
      <c r="AV3" s="2186" t="str">
        <f>Rev!AV5</f>
        <v>2004A</v>
      </c>
      <c r="AW3" s="2187"/>
      <c r="AX3" s="2187"/>
      <c r="AY3" s="2188"/>
      <c r="AZ3" s="2186" t="str">
        <f>Rev!AZ5</f>
        <v>2005A</v>
      </c>
      <c r="BA3" s="2187"/>
      <c r="BB3" s="2187"/>
      <c r="BC3" s="2188"/>
      <c r="BD3" s="2186" t="str">
        <f>Rev!BD5</f>
        <v>2006A</v>
      </c>
      <c r="BE3" s="2187"/>
      <c r="BF3" s="2187"/>
      <c r="BG3" s="2188"/>
      <c r="BH3" s="2186" t="str">
        <f>Rev!BH5</f>
        <v>2007A</v>
      </c>
      <c r="BI3" s="2187"/>
      <c r="BJ3" s="2187"/>
      <c r="BK3" s="2188"/>
      <c r="BL3" s="2186" t="str">
        <f>Rev!BL5</f>
        <v>2008A</v>
      </c>
      <c r="BM3" s="2187"/>
      <c r="BN3" s="2187"/>
      <c r="BO3" s="2188"/>
      <c r="BP3" s="2186" t="str">
        <f>Rev!BP5</f>
        <v>2009A</v>
      </c>
      <c r="BQ3" s="2187"/>
      <c r="BR3" s="2187"/>
      <c r="BS3" s="2188"/>
      <c r="BT3" s="2186" t="str">
        <f>Rev!BT5</f>
        <v>2010A</v>
      </c>
      <c r="BU3" s="2187"/>
      <c r="BV3" s="2187"/>
      <c r="BW3" s="2188"/>
      <c r="BX3" s="2186">
        <f>Rev!BX5</f>
        <v>2011</v>
      </c>
      <c r="BY3" s="2187"/>
      <c r="BZ3" s="2187"/>
      <c r="CA3" s="2188"/>
      <c r="CB3" s="2188" t="str">
        <f>Rev!CB5</f>
        <v>2012A</v>
      </c>
      <c r="CC3" s="2188"/>
      <c r="CD3" s="2188"/>
      <c r="CE3" s="2188"/>
      <c r="CF3" s="2188">
        <f>Rev!CF5</f>
        <v>2013</v>
      </c>
      <c r="CG3" s="2188"/>
      <c r="CH3" s="2188"/>
      <c r="CI3" s="2188"/>
      <c r="CJ3" s="2188">
        <f>Rev!CJ5</f>
        <v>2014</v>
      </c>
      <c r="CK3" s="2188"/>
      <c r="CL3" s="2188"/>
      <c r="CM3" s="2188"/>
      <c r="CN3" s="2188">
        <f>Rev!CN5</f>
        <v>2015</v>
      </c>
      <c r="CO3" s="2188"/>
      <c r="CP3" s="2188"/>
      <c r="CQ3" s="2188"/>
      <c r="CR3" s="2188">
        <f>Rev!CR5</f>
        <v>2016</v>
      </c>
      <c r="CS3" s="2188"/>
      <c r="CT3" s="2188"/>
      <c r="CU3" s="2188"/>
      <c r="CV3" s="2188">
        <f>Rev!CV5</f>
        <v>2017</v>
      </c>
      <c r="CW3" s="2188"/>
      <c r="CX3" s="2188"/>
      <c r="CY3" s="2188"/>
      <c r="CZ3" s="2188" t="str">
        <f>Rev!CZ5</f>
        <v>2018E</v>
      </c>
      <c r="DA3" s="2188"/>
      <c r="DB3" s="2188"/>
      <c r="DC3" s="2188"/>
    </row>
    <row r="4" spans="1:118">
      <c r="B4" s="773" t="s">
        <v>468</v>
      </c>
      <c r="C4" s="974"/>
      <c r="D4" s="781" t="str">
        <f>IS!D7</f>
        <v>1999A</v>
      </c>
      <c r="E4" s="781" t="str">
        <f>IS!E7</f>
        <v>2000A</v>
      </c>
      <c r="F4" s="781" t="str">
        <f>IS!F7</f>
        <v>2001A</v>
      </c>
      <c r="G4" s="781" t="str">
        <f>IS!G7</f>
        <v>2002A</v>
      </c>
      <c r="H4" s="781" t="str">
        <f>IS!H7</f>
        <v>2003A</v>
      </c>
      <c r="I4" s="781" t="str">
        <f>IS!I7</f>
        <v>2004A</v>
      </c>
      <c r="J4" s="781" t="str">
        <f>IS!J7</f>
        <v>2005A</v>
      </c>
      <c r="K4" s="781" t="str">
        <f>IS!K7</f>
        <v>2006A</v>
      </c>
      <c r="L4" s="780" t="str">
        <f>IS!L7</f>
        <v>2007A</v>
      </c>
      <c r="M4" s="780" t="str">
        <f>IS!M7</f>
        <v>2008A</v>
      </c>
      <c r="N4" s="781" t="str">
        <f>IS!N7</f>
        <v>2009A</v>
      </c>
      <c r="O4" s="781" t="str">
        <f>IS!O7</f>
        <v>2010A</v>
      </c>
      <c r="P4" s="781">
        <f>IS!P7</f>
        <v>2011</v>
      </c>
      <c r="Q4" s="781">
        <f>IS!Q7</f>
        <v>2012</v>
      </c>
      <c r="R4" s="2190">
        <f>IS!R7</f>
        <v>2013</v>
      </c>
      <c r="S4" s="2190">
        <f>IS!S7</f>
        <v>2014</v>
      </c>
      <c r="T4" s="2190">
        <f>IS!T7</f>
        <v>2015</v>
      </c>
      <c r="U4" s="2190">
        <f>IS!U7</f>
        <v>2016</v>
      </c>
      <c r="V4" s="2190">
        <f>IS!V7</f>
        <v>2017</v>
      </c>
      <c r="W4" s="2190" t="str">
        <f>IS!W7</f>
        <v>2018E</v>
      </c>
      <c r="X4" s="2190" t="str">
        <f>IS!X7</f>
        <v>2019E</v>
      </c>
      <c r="Y4" s="2190" t="str">
        <f>IS!Y7</f>
        <v>2020E</v>
      </c>
      <c r="Z4" s="2190" t="str">
        <f>IS!Z7</f>
        <v>2021E</v>
      </c>
      <c r="AA4" s="2190" t="str">
        <f>IS!AA7</f>
        <v>2022E</v>
      </c>
      <c r="AB4" s="2190" t="str">
        <f>IS!AB7</f>
        <v>2023E</v>
      </c>
      <c r="AC4" s="2190" t="str">
        <f>IS!AC7</f>
        <v>2024E</v>
      </c>
      <c r="AD4" s="2190" t="str">
        <f>IS!AD7</f>
        <v>2025E</v>
      </c>
      <c r="AE4" s="894"/>
      <c r="AF4" s="2189" t="str">
        <f>Rev!AF6</f>
        <v>1Q00</v>
      </c>
      <c r="AG4" s="2190" t="str">
        <f>Rev!AG6</f>
        <v>2Q00</v>
      </c>
      <c r="AH4" s="2190" t="str">
        <f>Rev!AH6</f>
        <v>3Q00</v>
      </c>
      <c r="AI4" s="2191" t="str">
        <f>Rev!AI6</f>
        <v>4Q00</v>
      </c>
      <c r="AJ4" s="2189" t="str">
        <f>Rev!AJ6</f>
        <v>1Q01</v>
      </c>
      <c r="AK4" s="2190" t="str">
        <f>Rev!AK6</f>
        <v>2Q01</v>
      </c>
      <c r="AL4" s="2190" t="str">
        <f>Rev!AL6</f>
        <v>3Q01</v>
      </c>
      <c r="AM4" s="2191" t="str">
        <f>Rev!AM6</f>
        <v>4Q01</v>
      </c>
      <c r="AN4" s="2189" t="str">
        <f>Rev!AN6</f>
        <v>1Q02</v>
      </c>
      <c r="AO4" s="2190" t="str">
        <f>Rev!AO6</f>
        <v>2Q02</v>
      </c>
      <c r="AP4" s="2190" t="str">
        <f>Rev!AP6</f>
        <v>3Q02</v>
      </c>
      <c r="AQ4" s="2191" t="str">
        <f>Rev!AQ6</f>
        <v>4Q02</v>
      </c>
      <c r="AR4" s="2189" t="str">
        <f>Rev!AR6</f>
        <v>1Q03</v>
      </c>
      <c r="AS4" s="2190" t="str">
        <f>Rev!AS6</f>
        <v>2Q03</v>
      </c>
      <c r="AT4" s="2190" t="str">
        <f>Rev!AT6</f>
        <v>3Q03</v>
      </c>
      <c r="AU4" s="2191" t="str">
        <f>Rev!AU6</f>
        <v>4Q03</v>
      </c>
      <c r="AV4" s="2189" t="str">
        <f>Rev!AV6</f>
        <v>1Q04</v>
      </c>
      <c r="AW4" s="2190" t="str">
        <f>Rev!AW6</f>
        <v>2Q04</v>
      </c>
      <c r="AX4" s="2190" t="str">
        <f>Rev!AX6</f>
        <v>3Q04</v>
      </c>
      <c r="AY4" s="2191" t="str">
        <f>Rev!AY6</f>
        <v>4Q04</v>
      </c>
      <c r="AZ4" s="2189" t="str">
        <f>Rev!AZ6</f>
        <v>1Q05</v>
      </c>
      <c r="BA4" s="2190" t="str">
        <f>Rev!BA6</f>
        <v>2Q05</v>
      </c>
      <c r="BB4" s="2190" t="str">
        <f>Rev!BB6</f>
        <v>3Q05</v>
      </c>
      <c r="BC4" s="2191" t="str">
        <f>Rev!BC6</f>
        <v>6Q05</v>
      </c>
      <c r="BD4" s="2189" t="str">
        <f>Rev!BD6</f>
        <v>1Q06</v>
      </c>
      <c r="BE4" s="2190" t="str">
        <f>Rev!BE6</f>
        <v>2Q06</v>
      </c>
      <c r="BF4" s="2190" t="str">
        <f>Rev!BF6</f>
        <v>3Q06</v>
      </c>
      <c r="BG4" s="2191" t="str">
        <f>Rev!BG6</f>
        <v>4Q06</v>
      </c>
      <c r="BH4" s="2189" t="str">
        <f>Rev!BH6</f>
        <v>1Q07</v>
      </c>
      <c r="BI4" s="2190" t="str">
        <f>Rev!BI6</f>
        <v>2Q07</v>
      </c>
      <c r="BJ4" s="2190" t="str">
        <f>Rev!BJ6</f>
        <v>3Q07</v>
      </c>
      <c r="BK4" s="2191" t="str">
        <f>Rev!BK6</f>
        <v>4Q07</v>
      </c>
      <c r="BL4" s="2189" t="str">
        <f>Rev!BL6</f>
        <v>1Q08</v>
      </c>
      <c r="BM4" s="2190" t="str">
        <f>Rev!BM6</f>
        <v>2Q08</v>
      </c>
      <c r="BN4" s="2190" t="str">
        <f>Rev!BN6</f>
        <v>3Q08</v>
      </c>
      <c r="BO4" s="2191" t="str">
        <f>Rev!BO6</f>
        <v>4Q08</v>
      </c>
      <c r="BP4" s="2189" t="str">
        <f>Rev!BP6</f>
        <v>1Q09</v>
      </c>
      <c r="BQ4" s="2190" t="str">
        <f>Rev!BQ6</f>
        <v>2Q09</v>
      </c>
      <c r="BR4" s="2190" t="str">
        <f>Rev!BR6</f>
        <v>3Q09</v>
      </c>
      <c r="BS4" s="2190" t="str">
        <f>Rev!BS6</f>
        <v>4Q09</v>
      </c>
      <c r="BT4" s="2189" t="str">
        <f>Rev!BT6</f>
        <v>1Q10</v>
      </c>
      <c r="BU4" s="2190" t="str">
        <f>Rev!BU6</f>
        <v>2Q10</v>
      </c>
      <c r="BV4" s="2190" t="str">
        <f>Rev!BV6</f>
        <v>3Q10</v>
      </c>
      <c r="BW4" s="2190" t="str">
        <f>Rev!BW6</f>
        <v>4Q10</v>
      </c>
      <c r="BX4" s="2189" t="str">
        <f>Rev!BX6</f>
        <v>1Q11</v>
      </c>
      <c r="BY4" s="2190" t="str">
        <f>Rev!BY6</f>
        <v>2Q11</v>
      </c>
      <c r="BZ4" s="2190" t="str">
        <f>Rev!BZ6</f>
        <v>3Q11</v>
      </c>
      <c r="CA4" s="2191" t="str">
        <f>Rev!CA6</f>
        <v>4Q11</v>
      </c>
      <c r="CB4" s="2189" t="str">
        <f>Rev!CB6</f>
        <v>1Q12</v>
      </c>
      <c r="CC4" s="2190" t="str">
        <f>Rev!CC6</f>
        <v>2Q12</v>
      </c>
      <c r="CD4" s="2190" t="str">
        <f>Rev!CD6</f>
        <v>3Q12</v>
      </c>
      <c r="CE4" s="2191" t="str">
        <f>Rev!CE6</f>
        <v>4Q12</v>
      </c>
      <c r="CF4" s="2189" t="str">
        <f>Rev!CF6</f>
        <v>1Q13</v>
      </c>
      <c r="CG4" s="2190" t="str">
        <f>Rev!CG6</f>
        <v>2Q13</v>
      </c>
      <c r="CH4" s="2190" t="str">
        <f>Rev!CH6</f>
        <v>3Q13</v>
      </c>
      <c r="CI4" s="2191" t="str">
        <f>Rev!CI6</f>
        <v>4Q13</v>
      </c>
      <c r="CJ4" s="2189" t="str">
        <f>Rev!CJ6</f>
        <v>1Q14</v>
      </c>
      <c r="CK4" s="2190" t="str">
        <f>Rev!CK6</f>
        <v>2Q14</v>
      </c>
      <c r="CL4" s="2190" t="str">
        <f>Rev!CL6</f>
        <v>3Q14</v>
      </c>
      <c r="CM4" s="2191" t="str">
        <f>Rev!CM6</f>
        <v>4Q14</v>
      </c>
      <c r="CN4" s="2189" t="str">
        <f>Rev!CN6</f>
        <v>1Q15</v>
      </c>
      <c r="CO4" s="2190" t="str">
        <f>Rev!CO6</f>
        <v>2Q15</v>
      </c>
      <c r="CP4" s="2190" t="str">
        <f>Rev!CP6</f>
        <v>3Q15</v>
      </c>
      <c r="CQ4" s="2191" t="str">
        <f>Rev!CQ6</f>
        <v>4Q15</v>
      </c>
      <c r="CR4" s="2189" t="str">
        <f>Rev!CR6</f>
        <v>1Q16</v>
      </c>
      <c r="CS4" s="2190" t="str">
        <f>Rev!CS6</f>
        <v>2Q16</v>
      </c>
      <c r="CT4" s="2190" t="str">
        <f>Rev!CT6</f>
        <v>3Q16</v>
      </c>
      <c r="CU4" s="2191" t="str">
        <f>Rev!CU6</f>
        <v>4Q16</v>
      </c>
      <c r="CV4" s="2189" t="str">
        <f>Rev!CV6</f>
        <v>1Q17</v>
      </c>
      <c r="CW4" s="2190" t="str">
        <f>Rev!CW6</f>
        <v>2Q17</v>
      </c>
      <c r="CX4" s="2190" t="str">
        <f>Rev!CX6</f>
        <v>3Q17</v>
      </c>
      <c r="CY4" s="2191" t="str">
        <f>Rev!CY6</f>
        <v>4Q17</v>
      </c>
      <c r="CZ4" s="2189" t="str">
        <f>Rev!CZ6</f>
        <v>1Q18E</v>
      </c>
      <c r="DA4" s="2190" t="str">
        <f>Rev!DA6</f>
        <v>2Q18E</v>
      </c>
      <c r="DB4" s="2190" t="str">
        <f>Rev!DB6</f>
        <v>3Q18E</v>
      </c>
      <c r="DC4" s="2191" t="str">
        <f>Rev!DC6</f>
        <v>4Q18E</v>
      </c>
    </row>
    <row r="6" spans="1:118">
      <c r="A6" s="1163" t="s">
        <v>604</v>
      </c>
      <c r="B6" s="66" t="s">
        <v>2039</v>
      </c>
      <c r="C6" s="60"/>
      <c r="D6" s="60"/>
      <c r="E6" s="60"/>
      <c r="F6" s="60"/>
      <c r="G6" s="60"/>
      <c r="H6" s="60"/>
      <c r="I6" s="60"/>
      <c r="J6" s="60"/>
      <c r="K6" s="60"/>
      <c r="L6" s="60"/>
      <c r="M6" s="60"/>
      <c r="N6" s="60"/>
      <c r="O6" s="60"/>
      <c r="P6" s="60"/>
      <c r="Q6" s="60"/>
      <c r="R6" s="60"/>
      <c r="S6" s="60"/>
      <c r="T6" s="60"/>
      <c r="U6" s="60"/>
      <c r="V6" s="60"/>
      <c r="W6" s="60"/>
      <c r="X6" s="60"/>
      <c r="Y6" s="60"/>
      <c r="Z6" s="60"/>
      <c r="AA6" s="60"/>
      <c r="AB6" s="60"/>
      <c r="AC6" s="60"/>
      <c r="AD6" s="60"/>
      <c r="AE6" s="15"/>
      <c r="AF6" s="60"/>
      <c r="AG6" s="60"/>
      <c r="AH6" s="60"/>
      <c r="AI6" s="60"/>
      <c r="AJ6" s="60"/>
      <c r="AK6" s="60"/>
      <c r="AL6" s="60"/>
      <c r="AM6" s="60"/>
      <c r="AN6" s="60"/>
      <c r="AO6" s="60"/>
      <c r="AP6" s="60"/>
      <c r="AQ6" s="60"/>
      <c r="AR6" s="60"/>
      <c r="AS6" s="60"/>
      <c r="AT6" s="60"/>
      <c r="AU6" s="60"/>
      <c r="AV6" s="60"/>
      <c r="AW6" s="60"/>
      <c r="AX6" s="60"/>
      <c r="AY6" s="60"/>
      <c r="AZ6" s="60"/>
      <c r="BA6" s="60"/>
      <c r="BB6" s="60"/>
      <c r="BC6" s="60"/>
      <c r="BD6" s="60"/>
      <c r="BE6" s="60"/>
      <c r="BF6" s="60"/>
      <c r="BG6" s="60"/>
      <c r="BH6" s="60"/>
      <c r="BI6" s="60"/>
      <c r="BJ6" s="60"/>
      <c r="BK6" s="60"/>
      <c r="BL6" s="60"/>
      <c r="BM6" s="60"/>
      <c r="BN6" s="60"/>
      <c r="BO6" s="60"/>
      <c r="BP6" s="60"/>
      <c r="BQ6" s="60"/>
      <c r="BR6" s="60"/>
      <c r="BS6" s="60"/>
      <c r="BT6" s="60"/>
      <c r="BU6" s="1690"/>
      <c r="BV6" s="1690"/>
      <c r="BW6" s="1690"/>
      <c r="BX6" s="1690"/>
      <c r="BY6" s="1690"/>
      <c r="BZ6" s="1690"/>
      <c r="CA6" s="1690"/>
      <c r="CB6" s="1690"/>
      <c r="CC6" s="1690"/>
      <c r="CD6" s="1690"/>
      <c r="CE6" s="1690"/>
      <c r="CF6" s="1690"/>
      <c r="CG6" s="1690"/>
      <c r="CH6" s="1690"/>
      <c r="CI6" s="1690"/>
      <c r="CJ6" s="1690"/>
      <c r="CK6" s="1690"/>
      <c r="CL6" s="1690"/>
      <c r="CM6" s="1690"/>
      <c r="CN6" s="1690"/>
      <c r="CO6" s="1690"/>
      <c r="CP6" s="60"/>
      <c r="CQ6" s="60"/>
      <c r="CR6" s="60"/>
      <c r="CS6" s="60"/>
      <c r="CT6" s="60"/>
      <c r="CU6" s="60"/>
      <c r="CV6" s="60"/>
      <c r="CW6" s="60"/>
      <c r="CX6" s="60"/>
      <c r="CY6" s="60"/>
      <c r="CZ6" s="60"/>
      <c r="DA6" s="60"/>
      <c r="DB6" s="60"/>
      <c r="DC6" s="60"/>
    </row>
    <row r="7" spans="1:118" s="15" customFormat="1">
      <c r="A7" s="1163"/>
      <c r="B7" s="23" t="s">
        <v>2041</v>
      </c>
      <c r="X7" s="2373"/>
      <c r="BU7" s="885"/>
      <c r="BV7" s="885"/>
      <c r="BW7" s="885"/>
      <c r="BX7" s="885"/>
      <c r="BY7" s="885"/>
      <c r="BZ7" s="885"/>
      <c r="CA7" s="885"/>
      <c r="CB7" s="885"/>
      <c r="CC7" s="885"/>
      <c r="CD7" s="885"/>
      <c r="CE7" s="885"/>
      <c r="CF7" s="885"/>
      <c r="CG7" s="885"/>
      <c r="CH7" s="885"/>
      <c r="CI7" s="885"/>
      <c r="CJ7" s="885"/>
      <c r="CK7" s="885"/>
      <c r="CL7" s="885"/>
      <c r="CM7" s="885"/>
      <c r="CN7" s="885"/>
      <c r="CO7" s="885"/>
      <c r="CQ7" s="2193">
        <f>2.604167+0.390625</f>
        <v>2.9947919999999999</v>
      </c>
      <c r="CR7" s="2193">
        <v>6.8535000000000004</v>
      </c>
      <c r="CV7" s="2193">
        <f>5.277778+0.791666</f>
        <v>6.0694439999999998</v>
      </c>
    </row>
    <row r="8" spans="1:118" s="15" customFormat="1">
      <c r="A8" s="1163"/>
      <c r="B8" s="23" t="s">
        <v>1924</v>
      </c>
      <c r="X8" s="2340"/>
      <c r="BU8" s="885"/>
      <c r="BV8" s="885"/>
      <c r="BW8" s="885"/>
      <c r="BX8" s="885"/>
      <c r="BY8" s="885"/>
      <c r="BZ8" s="885"/>
      <c r="CA8" s="885"/>
      <c r="CB8" s="885"/>
      <c r="CC8" s="885"/>
      <c r="CD8" s="885"/>
      <c r="CE8" s="885"/>
      <c r="CF8" s="885"/>
      <c r="CG8" s="885"/>
      <c r="CH8" s="885"/>
      <c r="CI8" s="885"/>
      <c r="CJ8" s="885"/>
      <c r="CK8" s="885"/>
      <c r="CL8" s="885"/>
      <c r="CM8" s="885"/>
      <c r="CN8" s="885"/>
      <c r="CO8" s="885"/>
      <c r="CQ8" s="2192">
        <v>288</v>
      </c>
      <c r="CR8" s="2248"/>
      <c r="CV8" s="2340">
        <v>360</v>
      </c>
    </row>
    <row r="9" spans="1:118">
      <c r="B9" s="33" t="s">
        <v>2040</v>
      </c>
      <c r="X9" s="2341"/>
      <c r="CQ9" s="1226">
        <f>+CQ7*CQ8</f>
        <v>862.50009599999998</v>
      </c>
      <c r="CR9" s="2249"/>
      <c r="CV9" s="1166">
        <f>+CV7*CV8</f>
        <v>2184.9998399999999</v>
      </c>
    </row>
    <row r="10" spans="1:118">
      <c r="B10" s="33" t="s">
        <v>1917</v>
      </c>
      <c r="X10" s="2342"/>
      <c r="CQ10" s="2194">
        <v>829.5</v>
      </c>
      <c r="CR10" s="2194"/>
      <c r="CV10" s="2341">
        <v>2122</v>
      </c>
    </row>
    <row r="11" spans="1:118">
      <c r="B11" s="2242" t="s">
        <v>2118</v>
      </c>
      <c r="X11" s="2342"/>
      <c r="CQ11" s="1076">
        <f>1-CQ10/CQ9</f>
        <v>3.826097661095218E-2</v>
      </c>
      <c r="CR11" s="2243"/>
      <c r="CV11" s="2342">
        <f>+CV9-CV10</f>
        <v>62.999839999999949</v>
      </c>
    </row>
    <row r="13" spans="1:118">
      <c r="A13" s="15"/>
      <c r="B13" s="14" t="s">
        <v>875</v>
      </c>
      <c r="C13" s="23"/>
      <c r="D13" s="15"/>
      <c r="E13" s="15"/>
      <c r="F13" s="15"/>
      <c r="G13" s="15"/>
      <c r="H13" s="15"/>
      <c r="I13" s="15"/>
      <c r="J13" s="15"/>
      <c r="K13" s="15"/>
      <c r="L13" s="15"/>
      <c r="M13" s="23"/>
      <c r="N13" s="23"/>
      <c r="O13" s="23"/>
      <c r="P13" s="23"/>
      <c r="Q13" s="23"/>
      <c r="R13" s="23"/>
      <c r="S13" s="23"/>
      <c r="T13" s="23"/>
      <c r="U13" s="23"/>
      <c r="V13" s="23"/>
      <c r="W13" s="23"/>
      <c r="X13" s="23"/>
      <c r="Y13" s="23"/>
      <c r="Z13" s="23"/>
      <c r="AA13" s="23"/>
      <c r="AB13" s="23"/>
      <c r="AC13" s="23"/>
      <c r="AD13" s="23"/>
      <c r="AE13" s="23"/>
      <c r="AF13" s="15"/>
      <c r="AG13" s="15"/>
      <c r="AH13" s="15"/>
      <c r="AI13" s="15"/>
      <c r="AJ13" s="15"/>
      <c r="AK13" s="15"/>
      <c r="AL13" s="15"/>
      <c r="AM13" s="15"/>
      <c r="AN13" s="15"/>
      <c r="AO13" s="15"/>
      <c r="AP13" s="15"/>
      <c r="AQ13" s="15"/>
      <c r="AR13" s="15"/>
      <c r="AS13" s="15"/>
      <c r="AT13" s="15"/>
      <c r="AU13" s="15"/>
      <c r="AV13" s="15"/>
      <c r="AW13" s="15"/>
      <c r="AX13" s="15"/>
      <c r="AY13" s="15"/>
      <c r="AZ13" s="15"/>
      <c r="BA13" s="15"/>
      <c r="BB13" s="15"/>
      <c r="BC13" s="15"/>
      <c r="BD13" s="15"/>
      <c r="BE13" s="15"/>
      <c r="BF13" s="15"/>
      <c r="BG13" s="15"/>
      <c r="BH13" s="15"/>
      <c r="BI13" s="15"/>
      <c r="BJ13" s="15"/>
      <c r="BK13" s="15"/>
      <c r="BL13" s="15"/>
      <c r="BM13" s="15"/>
      <c r="BN13" s="15"/>
      <c r="BO13" s="15"/>
      <c r="BP13" s="15"/>
      <c r="BQ13" s="15"/>
      <c r="BR13" s="15"/>
      <c r="BS13" s="15"/>
      <c r="BT13" s="23"/>
      <c r="BU13" s="23"/>
      <c r="BV13" s="23"/>
      <c r="BW13" s="23"/>
      <c r="BX13" s="23"/>
      <c r="BY13" s="23"/>
      <c r="BZ13" s="23"/>
      <c r="CA13" s="23"/>
      <c r="CB13" s="23"/>
      <c r="CC13" s="23"/>
      <c r="CD13" s="23"/>
      <c r="CE13" s="23"/>
      <c r="CF13" s="23"/>
      <c r="CG13" s="23"/>
      <c r="CH13" s="23"/>
      <c r="CI13" s="23"/>
      <c r="CJ13" s="23"/>
      <c r="CK13" s="23"/>
      <c r="CL13" s="23"/>
      <c r="CM13" s="23"/>
      <c r="CN13" s="23"/>
      <c r="CO13" s="23"/>
      <c r="CP13" s="23"/>
      <c r="CQ13" s="23"/>
      <c r="CR13" s="23"/>
      <c r="CS13" s="23"/>
      <c r="CT13" s="23"/>
      <c r="CU13" s="23"/>
      <c r="CV13" s="23"/>
      <c r="CW13" s="23"/>
      <c r="CX13" s="23"/>
      <c r="CY13" s="23"/>
      <c r="CZ13" s="23"/>
      <c r="DA13" s="23"/>
      <c r="DB13" s="23"/>
      <c r="DC13" s="23"/>
      <c r="DD13" s="15"/>
      <c r="DE13" s="15"/>
      <c r="DF13" s="15"/>
      <c r="DG13" s="15"/>
      <c r="DH13" s="15"/>
      <c r="DI13" s="15"/>
      <c r="DJ13" s="15"/>
      <c r="DK13" s="15"/>
      <c r="DL13" s="15"/>
      <c r="DM13" s="15"/>
      <c r="DN13" s="15"/>
    </row>
    <row r="14" spans="1:118">
      <c r="A14" s="15"/>
      <c r="B14" s="17" t="s">
        <v>844</v>
      </c>
      <c r="C14" s="23"/>
      <c r="D14" s="23"/>
      <c r="E14" s="54"/>
      <c r="F14" s="54"/>
      <c r="G14" s="54"/>
      <c r="H14" s="54"/>
      <c r="I14" s="54"/>
      <c r="J14" s="54"/>
      <c r="K14" s="54"/>
      <c r="L14" s="54"/>
      <c r="M14" s="992">
        <f>(BS!M113)/(BS!M110)</f>
        <v>4.1155171706396434</v>
      </c>
      <c r="N14" s="992">
        <f>(BS!N113)/(BS!N110)</f>
        <v>3.6342142101965695</v>
      </c>
      <c r="O14" s="992">
        <f>(BS!O113)/(BS!O110)</f>
        <v>3.8433476354590161</v>
      </c>
      <c r="P14" s="992">
        <f>(BS!P113)/(BS!P110)</f>
        <v>4.3055132987406299</v>
      </c>
      <c r="Q14" s="992">
        <f>(BS!Q113)/(BS!Q110)</f>
        <v>3.3910269333913008</v>
      </c>
      <c r="R14" s="992">
        <f>(BS!R113)/(BS!R110)</f>
        <v>4.1549248774600409</v>
      </c>
      <c r="S14" s="992">
        <f>(BS!S113)/(BS!S110)</f>
        <v>4.2009577238706495</v>
      </c>
      <c r="T14" s="992">
        <f>(BS!T113)/(BS!T110)</f>
        <v>5.1144706741835444</v>
      </c>
      <c r="U14" s="992">
        <f>(BS!U113)/(BS!U110)</f>
        <v>4.0782377280126267</v>
      </c>
      <c r="V14" s="992">
        <f>(BS!V113)/(BS!V110)</f>
        <v>4.9123867408107342</v>
      </c>
      <c r="W14" s="992">
        <f ca="1">(BS!W113)/(BS!W110)</f>
        <v>4.2068331028716965</v>
      </c>
      <c r="X14" s="992">
        <f ca="1">(BS!X113)/(BS!X110)</f>
        <v>4.0270906927033394</v>
      </c>
      <c r="Y14" s="992">
        <f ca="1">(BS!Y113)/(BS!Y110)</f>
        <v>3.889943090992225</v>
      </c>
      <c r="Z14" s="992">
        <f ca="1">(BS!Z113)/(BS!Z110)</f>
        <v>3.7850977942720001</v>
      </c>
      <c r="AA14" s="992">
        <f ca="1">(BS!AA113)/(BS!AA110)</f>
        <v>3.5397377866427875</v>
      </c>
      <c r="AB14" s="992">
        <f ca="1">(BS!AB113)/(BS!AB110)</f>
        <v>3.323428510549753</v>
      </c>
      <c r="AC14" s="992">
        <f ca="1">(BS!AC113)/(BS!AC110)</f>
        <v>3.1314064762780962</v>
      </c>
      <c r="AD14" s="992">
        <f ca="1">(BS!AD113)/(BS!AD110)</f>
        <v>2.959880414652436</v>
      </c>
      <c r="AE14" s="789"/>
      <c r="AF14" s="54"/>
      <c r="AG14" s="54"/>
      <c r="AH14" s="54"/>
      <c r="AI14" s="54"/>
      <c r="AJ14" s="54"/>
      <c r="AK14" s="54"/>
      <c r="AL14" s="54"/>
      <c r="AM14" s="54"/>
      <c r="AN14" s="54"/>
      <c r="AO14" s="54"/>
      <c r="AP14" s="54"/>
      <c r="AQ14" s="54"/>
      <c r="AR14" s="54"/>
      <c r="AS14" s="54"/>
      <c r="AT14" s="54"/>
      <c r="AU14" s="54"/>
      <c r="AV14" s="54"/>
      <c r="AW14" s="54"/>
      <c r="AX14" s="54"/>
      <c r="AY14" s="54"/>
      <c r="AZ14" s="54"/>
      <c r="BA14" s="54"/>
      <c r="BB14" s="54"/>
      <c r="BC14" s="54"/>
      <c r="BD14" s="54"/>
      <c r="BE14" s="54"/>
      <c r="BF14" s="54"/>
      <c r="BG14" s="54"/>
      <c r="BH14" s="54"/>
      <c r="BI14" s="54"/>
      <c r="BJ14" s="54"/>
      <c r="BK14" s="54"/>
      <c r="BL14" s="54"/>
      <c r="BM14" s="54"/>
      <c r="BN14" s="54"/>
      <c r="BO14" s="54"/>
      <c r="BP14" s="992">
        <f>(BS!BP113)/(BS!BP110*4)</f>
        <v>3.258577009783536</v>
      </c>
      <c r="BQ14" s="992">
        <f>(BS!BQ113)/(BS!BQ110*4)</f>
        <v>3.6477560431611309</v>
      </c>
      <c r="BR14" s="992">
        <f>(BS!BR113)/(BS!BR110*4)</f>
        <v>3.5277028556339354</v>
      </c>
      <c r="BS14" s="992">
        <f>(BS!BS113)/(BS!BS110*4)</f>
        <v>3.3247559555794379</v>
      </c>
      <c r="BT14" s="992">
        <f>(BS!BT113)/(BS!BT110*4)</f>
        <v>4.5019015621802296</v>
      </c>
      <c r="BU14" s="992">
        <f>(BS!BU113)/(BS!BU110*4)</f>
        <v>3.982294792859133</v>
      </c>
      <c r="BV14" s="992">
        <f>(BS!BV113)/(BS!BV110*4)</f>
        <v>3.7504662669087727</v>
      </c>
      <c r="BW14" s="992">
        <f>(BS!BW113)/(BS!BW110*4)</f>
        <v>3.5472350549595157</v>
      </c>
      <c r="BX14" s="992">
        <f>(BS!BX113)/(BS!BX110*4)</f>
        <v>3.2718524952718897</v>
      </c>
      <c r="BY14" s="992">
        <f>(BS!BY113)/(BS!BY110*4)</f>
        <v>3.1817709096648361</v>
      </c>
      <c r="BZ14" s="992">
        <f>(BS!BZ113)/(BS!BZ110*4)</f>
        <v>4.0940691438114207</v>
      </c>
      <c r="CA14" s="992">
        <f>(BS!CA113)/(BS!CA110*4)</f>
        <v>4.0093482850696534</v>
      </c>
      <c r="CB14" s="992">
        <f>(BS!CB113)/(BS!CB110*4)</f>
        <v>3.7275352504413863</v>
      </c>
      <c r="CC14" s="992">
        <f>(BS!CC113)/(BS!CC110*4)</f>
        <v>3.3424279179373442</v>
      </c>
      <c r="CD14" s="992">
        <f>(BS!CD113)/(BS!CD110*4)</f>
        <v>3.2847986365414021</v>
      </c>
      <c r="CE14" s="992">
        <f>(BS!CE113)/(BS!CE110*4)</f>
        <v>3.1403033552230837</v>
      </c>
      <c r="CF14" s="992">
        <f>(BS!CF113)/(BS!CF110*4)</f>
        <v>4.69487791006609</v>
      </c>
      <c r="CG14" s="992">
        <f>(BS!CG113)/(BS!CG110*4)</f>
        <v>3.9729060414860808</v>
      </c>
      <c r="CH14" s="992">
        <f>(BS!CH113)/(BS!CH110*4)</f>
        <v>4.0719032381412372</v>
      </c>
      <c r="CI14" s="992">
        <f>(BS!CI113)/(BS!CI110*4)</f>
        <v>3.9451447653018628</v>
      </c>
      <c r="CJ14" s="992">
        <f>(BS!CJ113)/(BS!CJ110*4)</f>
        <v>4.1086484400202767</v>
      </c>
      <c r="CK14" s="992">
        <f>(BS!CK113)/(BS!CK110*4)</f>
        <v>3.5747401708097657</v>
      </c>
      <c r="CL14" s="992">
        <f>(BS!CL113)/(BS!CL110*4)</f>
        <v>3.5084557230475482</v>
      </c>
      <c r="CM14" s="992">
        <f>(BS!CM113)/(BS!CM110*4)</f>
        <v>3.9741553853209446</v>
      </c>
      <c r="CN14" s="992">
        <f>(BS!CN113)/(BS!CN110*4)</f>
        <v>3.8157649436791079</v>
      </c>
      <c r="CO14" s="992">
        <f>(BS!CO113)/(BS!CO110*4)</f>
        <v>3.783010775488175</v>
      </c>
      <c r="CP14" s="992">
        <f>(BS!CP113)/(BS!CP110*4)</f>
        <v>3.6056110641051164</v>
      </c>
      <c r="CQ14" s="992">
        <f>(BS!CQ113)/(BS!CQ110*4)</f>
        <v>4.8805317504390002</v>
      </c>
      <c r="CR14" s="992">
        <f>(BS!CR113)/(BS!CR110*4)</f>
        <v>4.7167942992250094</v>
      </c>
      <c r="CS14" s="992">
        <f>(BS!CS113)/(BS!CS110*4)</f>
        <v>4.1645104225405731</v>
      </c>
      <c r="CT14" s="992">
        <f>(BS!CT113)/(BS!CT110*4)</f>
        <v>4.1217961537179617</v>
      </c>
      <c r="CU14" s="992">
        <f>(BS!CU113)/(BS!CU110*4)</f>
        <v>3.8715420249214763</v>
      </c>
      <c r="CV14" s="992">
        <f>(BS!CV113)/(BS!CV110*4)</f>
        <v>5.3682923891536882</v>
      </c>
      <c r="CW14" s="992">
        <f>(BS!CW113)/(BS!CW110*4)</f>
        <v>4.5596765611378576</v>
      </c>
      <c r="CX14" s="992">
        <f>(BS!CX113)/(BS!CX110*4)</f>
        <v>4.5544629569395214</v>
      </c>
      <c r="CY14" s="992">
        <f>(BS!CY113)/(BS!CY110*4)</f>
        <v>4.4616258586502369</v>
      </c>
      <c r="CZ14" s="992">
        <f ca="1">(BS!CZ113)/(BS!CZ110*4)</f>
        <v>4.5069352998841863</v>
      </c>
      <c r="DA14" s="992">
        <f ca="1">(BS!DA113)/(BS!DA110*4)</f>
        <v>4.2728361057892021</v>
      </c>
      <c r="DB14" s="992">
        <f ca="1">(BS!DB113)/(BS!DB110*4)</f>
        <v>4.1174172479153093</v>
      </c>
      <c r="DC14" s="992">
        <f ca="1">(BS!DC113)/(BS!DC110*4)</f>
        <v>3.9675225313031577</v>
      </c>
      <c r="DD14" s="15"/>
      <c r="DE14" s="15"/>
      <c r="DF14" s="15"/>
      <c r="DG14" s="15"/>
      <c r="DH14" s="15"/>
      <c r="DI14" s="15"/>
      <c r="DJ14" s="15"/>
      <c r="DK14" s="15"/>
      <c r="DL14" s="15"/>
      <c r="DM14" s="15"/>
      <c r="DN14" s="15"/>
    </row>
    <row r="15" spans="1:118">
      <c r="A15" s="15"/>
      <c r="B15" s="17" t="s">
        <v>1011</v>
      </c>
      <c r="C15" s="23"/>
      <c r="D15" s="23"/>
      <c r="E15" s="54"/>
      <c r="F15" s="54">
        <f>(BS!F113-BS!F112)/BS!F110</f>
        <v>-5.7544925934696218</v>
      </c>
      <c r="G15" s="54">
        <f>(BS!G113-BS!G112)/BS!G110</f>
        <v>-9.4496661313498453</v>
      </c>
      <c r="H15" s="54">
        <f>(BS!H113-BS!H112)/BS!H110</f>
        <v>8.0241460541813545</v>
      </c>
      <c r="I15" s="54">
        <f>(BS!I113-BS!I112)/BS!I110</f>
        <v>1.3810860897399877</v>
      </c>
      <c r="J15" s="54">
        <f>(BS!J113-BS!J112)/BS!J110</f>
        <v>0.76419680919317201</v>
      </c>
      <c r="K15" s="54">
        <f>(BS!K113-BS!K112)/BS!K110</f>
        <v>1.2085978524962762</v>
      </c>
      <c r="L15" s="54">
        <f>(BS!L113-BS!L112)/BS!L110</f>
        <v>4.6479438831327586</v>
      </c>
      <c r="M15" s="992">
        <f>(BS!M115)/(BS!M110)</f>
        <v>3.0626273608774732</v>
      </c>
      <c r="N15" s="992">
        <f>(BS!N115)/(BS!N110)</f>
        <v>2.1551266739760346</v>
      </c>
      <c r="O15" s="992">
        <f>(BS!O115)/(BS!O110)</f>
        <v>2.7502687511373844</v>
      </c>
      <c r="P15" s="992">
        <f>(BS!P115)/(BS!P110)</f>
        <v>2.8456040177548076</v>
      </c>
      <c r="Q15" s="992">
        <f>(BS!Q115)/(BS!Q110)</f>
        <v>2.7754728520471206</v>
      </c>
      <c r="R15" s="992">
        <f>(BS!R115)/(BS!R110)</f>
        <v>3.1257570701510047</v>
      </c>
      <c r="S15" s="992">
        <f>(BS!S115)/(BS!S110)</f>
        <v>3.176844053861644</v>
      </c>
      <c r="T15" s="992">
        <f>(BS!T115)/(BS!T110)</f>
        <v>3.3581207382353471</v>
      </c>
      <c r="U15" s="992">
        <f>(BS!U115)/(BS!U110)</f>
        <v>3.6185460526077637</v>
      </c>
      <c r="V15" s="992">
        <f>(BS!V115)/(BS!V110)</f>
        <v>4.2057580720853034</v>
      </c>
      <c r="W15" s="992">
        <f ca="1">(BS!W115)/(BS!W110)</f>
        <v>3.9582246453159837</v>
      </c>
      <c r="X15" s="992">
        <f ca="1">(BS!X115)/(BS!X110)</f>
        <v>3.8806208530107562</v>
      </c>
      <c r="Y15" s="992">
        <f ca="1">(BS!Y115)/(BS!Y110)</f>
        <v>3.7247776234599113</v>
      </c>
      <c r="Z15" s="992">
        <f ca="1">(BS!Z115)/(BS!Z110)</f>
        <v>3.5590386467667283</v>
      </c>
      <c r="AA15" s="992">
        <f ca="1">(BS!AA115)/(BS!AA110)</f>
        <v>3.387970306994522</v>
      </c>
      <c r="AB15" s="992">
        <f ca="1">(BS!AB115)/(BS!AB110)</f>
        <v>3.220120477893778</v>
      </c>
      <c r="AC15" s="992">
        <f ca="1">(BS!AC115)/(BS!AC110)</f>
        <v>3.0512254793563129</v>
      </c>
      <c r="AD15" s="992">
        <f ca="1">(BS!AD115)/(BS!AD110)</f>
        <v>2.8751639749061226</v>
      </c>
      <c r="AE15" s="54"/>
      <c r="AF15" s="54"/>
      <c r="AG15" s="54"/>
      <c r="AH15" s="54"/>
      <c r="AI15" s="54"/>
      <c r="AJ15" s="54">
        <f>(BS!AJ113-BS!AJ112)/(BS!AJ110*4)</f>
        <v>-0.25607660201325783</v>
      </c>
      <c r="AK15" s="54">
        <f>(BS!AK113-BS!AK112)/(BS!AK110*4)</f>
        <v>-0.78708467777099511</v>
      </c>
      <c r="AL15" s="54">
        <f>(BS!AL113-BS!AL112)/(BS!AL110*4)</f>
        <v>-2.8563823664825052</v>
      </c>
      <c r="AM15" s="54">
        <f>(BS!AM113-BS!AM112)/(BS!AM110*4)</f>
        <v>-28.177724358974384</v>
      </c>
      <c r="AN15" s="54">
        <f>(BS!AN113-BS!AN112)/(BS!AN110*4)</f>
        <v>-33.600714749837664</v>
      </c>
      <c r="AO15" s="54">
        <f>(BS!AO113-BS!AO112)/(BS!AO110*4)</f>
        <v>-8.546906547447362</v>
      </c>
      <c r="AP15" s="54">
        <f>(BS!AP113-BS!AP112)/(BS!AP110*4)</f>
        <v>-41.051827242524944</v>
      </c>
      <c r="AQ15" s="54">
        <f>(BS!AQ113-BS!AQ112)/(BS!AQ110*4)</f>
        <v>-29.412844036697276</v>
      </c>
      <c r="AR15" s="54">
        <f>(BS!AR113-BS!AR112)/(BS!AR110*4)</f>
        <v>-19.179163955757982</v>
      </c>
      <c r="AS15" s="54">
        <f>(BS!AS113-BS!AS112)/(BS!AS110*4)</f>
        <v>199.59602076124958</v>
      </c>
      <c r="AT15" s="54">
        <f>(BS!AT113-BS!AT112)/(BS!AT110*4)</f>
        <v>41.506159420289777</v>
      </c>
      <c r="AU15" s="54">
        <f>(BS!AU113-BS!AU112)/(BS!AU110*4)</f>
        <v>14.537624879149236</v>
      </c>
      <c r="AV15" s="54">
        <f>(BS!AV113-BS!AV112)/(BS!AV110*4)</f>
        <v>7.1310765423369205</v>
      </c>
      <c r="AW15" s="54">
        <f>(BS!AW113-BS!AW112)/(BS!AW110*4)</f>
        <v>5.2338270456960663</v>
      </c>
      <c r="AX15" s="54">
        <f>(BS!AX113-BS!AX112)/(BS!AX110*4)</f>
        <v>3.7548927081263659</v>
      </c>
      <c r="AY15" s="54">
        <f>(BS!AY113-BS!AY112)/(BS!AY110*4)</f>
        <v>3.5814931650893791</v>
      </c>
      <c r="AZ15" s="54">
        <f>(BS!AZ113-BS!AZ112)/(BS!AZ110*4)</f>
        <v>4.7187696170746998</v>
      </c>
      <c r="BA15" s="54">
        <f>(BS!BA113-BS!BA112)/(BS!BA110*4)</f>
        <v>3.9874649641856101</v>
      </c>
      <c r="BB15" s="54">
        <f>(BS!BB113-BS!BB112)/(BS!BB110*4)</f>
        <v>3.901236118086945</v>
      </c>
      <c r="BC15" s="54">
        <f>(BS!BC113-BS!BC112)/(BS!BC110*4)</f>
        <v>3.4771852666300163</v>
      </c>
      <c r="BD15" s="54">
        <f>(BS!BD113-BS!BD112)/(BS!BD110*4)</f>
        <v>3.6091854609152603</v>
      </c>
      <c r="BE15" s="54">
        <f>(BS!BE113-BS!BE112)/(BS!BE110*4)</f>
        <v>3.5699829436725175</v>
      </c>
      <c r="BF15" s="54">
        <f>(BS!BF113-BS!BF112)/(BS!BF110*4)</f>
        <v>3.2509327235527734</v>
      </c>
      <c r="BG15" s="54">
        <f>(BS!BG113-BS!BG112)/(BS!BG110*4)</f>
        <v>3.0834104122621575</v>
      </c>
      <c r="BH15" s="54">
        <f>(BS!BH113-BS!BH112)/(BS!BH110*4)</f>
        <v>1.3563558514464453</v>
      </c>
      <c r="BI15" s="54">
        <f>(BS!BI113-BS!BI112)/(BS!BI110*4)</f>
        <v>3.3216773809860931</v>
      </c>
      <c r="BJ15" s="54">
        <f>(BS!BJ113-BS!BJ112)/(BS!BJ110*4)</f>
        <v>5.3658308521371101</v>
      </c>
      <c r="BK15" s="54">
        <f>(BS!BK113-BS!BK112)/(BS!BK110*4)</f>
        <v>5.1646976329097782</v>
      </c>
      <c r="BL15" s="54">
        <f>(BS!BL113-BS!BL112)/(BS!BL110*4)</f>
        <v>4.3627166005556521</v>
      </c>
      <c r="BM15" s="54">
        <f>(BS!BM113-BS!BM112)/(BS!BM110*4)</f>
        <v>4.0402804698122488</v>
      </c>
      <c r="BN15" s="54">
        <f>(BS!BN113-BS!BN112)/(BS!BN110*4)</f>
        <v>3.6164499239993262</v>
      </c>
      <c r="BO15" s="54">
        <f>(BS!BO113-BS!BO112)/(BS!BO110*4)</f>
        <v>2.6627378121284182</v>
      </c>
      <c r="BP15" s="992">
        <f>(BS!BP115)/(BS!BP110*4)</f>
        <v>2.4816531331392673</v>
      </c>
      <c r="BQ15" s="992">
        <f>(BS!BQ115)/(BS!BQ110*4)</f>
        <v>2.1322688729479369</v>
      </c>
      <c r="BR15" s="992">
        <f>(BS!BR115)/(BS!BR110*4)</f>
        <v>2.0483892263005012</v>
      </c>
      <c r="BS15" s="992">
        <f>(BS!BS115)/(BS!BS110*4)</f>
        <v>1.9716147232670604</v>
      </c>
      <c r="BT15" s="992">
        <f>(BS!BT115)/(BS!BT110*4)</f>
        <v>1.9754289173886348</v>
      </c>
      <c r="BU15" s="992">
        <f>(BS!BU115)/(BS!BU110*4)</f>
        <v>2.5907498220970893</v>
      </c>
      <c r="BV15" s="992">
        <f>(BS!BV115)/(BS!BV110*4)</f>
        <v>2.5025143223118387</v>
      </c>
      <c r="BW15" s="992">
        <f>(BS!BW115)/(BS!BW110*4)</f>
        <v>2.5383729628270038</v>
      </c>
      <c r="BX15" s="992">
        <f>(BS!BX115)/(BS!BX110*4)</f>
        <v>2.5901883235690919</v>
      </c>
      <c r="BY15" s="992">
        <f>(BS!BY115)/(BS!BY110*4)</f>
        <v>2.6107938852124501</v>
      </c>
      <c r="BZ15" s="992">
        <f>(BS!BZ115)/(BS!BZ110*4)</f>
        <v>2.5572906630697756</v>
      </c>
      <c r="CA15" s="992">
        <f>(BS!CA115)/(BS!CA110*4)</f>
        <v>2.6498623501893976</v>
      </c>
      <c r="CB15" s="992">
        <f>(BS!CB115)/(BS!CB110*4)</f>
        <v>2.456017365226014</v>
      </c>
      <c r="CC15" s="992">
        <f>(BS!CC115)/(BS!CC110*4)</f>
        <v>2.429435819240366</v>
      </c>
      <c r="CD15" s="992">
        <f>(BS!CD115)/(BS!CD110*4)</f>
        <v>2.7131148451665661</v>
      </c>
      <c r="CE15" s="992">
        <f>(BS!CE115)/(BS!CE110*4)</f>
        <v>2.5702617174136164</v>
      </c>
      <c r="CF15" s="992">
        <f>(BS!CF115)/(BS!CF110*4)</f>
        <v>3.438874082561191</v>
      </c>
      <c r="CG15" s="992">
        <f>(BS!CG115)/(BS!CG110*4)</f>
        <v>2.7452496623460396</v>
      </c>
      <c r="CH15" s="992">
        <f>(BS!CH115)/(BS!CH110*4)</f>
        <v>2.8753577250498088</v>
      </c>
      <c r="CI15" s="992">
        <f>(BS!CI115)/(BS!CI110*4)</f>
        <v>2.9679391340644323</v>
      </c>
      <c r="CJ15" s="992">
        <f>(BS!CJ115)/(BS!CJ110*4)</f>
        <v>3.1084833018418663</v>
      </c>
      <c r="CK15" s="992">
        <f>(BS!CK115)/(BS!CK110*4)</f>
        <v>2.9350672231969974</v>
      </c>
      <c r="CL15" s="992">
        <f>(BS!CL115)/(BS!CL110*4)</f>
        <v>3.0671173567344581</v>
      </c>
      <c r="CM15" s="992">
        <f>(BS!CM115)/(BS!CM110*4)</f>
        <v>3.0053318159427915</v>
      </c>
      <c r="CN15" s="992">
        <f>(BS!CN115)/(BS!CN110*4)</f>
        <v>2.9410715687428857</v>
      </c>
      <c r="CO15" s="992">
        <f>(BS!CO115)/(BS!CO110*4)</f>
        <v>3.433169644865099</v>
      </c>
      <c r="CP15" s="992">
        <f>(BS!CP115)/(BS!CP110*4)</f>
        <v>3.341555407624925</v>
      </c>
      <c r="CQ15" s="992">
        <f>(BS!CQ115)/(BS!CQ110*4)</f>
        <v>3.2045183028411071</v>
      </c>
      <c r="CR15" s="992">
        <f>(BS!CR115)/(BS!CR110*4)</f>
        <v>4.2898404045711276</v>
      </c>
      <c r="CS15" s="992">
        <f>(BS!CS115)/(BS!CS110*4)</f>
        <v>3.8705581371002475</v>
      </c>
      <c r="CT15" s="992">
        <f>(BS!CT115)/(BS!CT110*4)</f>
        <v>3.5245975402459764</v>
      </c>
      <c r="CU15" s="992">
        <f>(BS!CU115)/(BS!CU110*4)</f>
        <v>3.4351487201339781</v>
      </c>
      <c r="CV15" s="992">
        <f>(BS!CV115)/(BS!CV110*4)</f>
        <v>2.4772945735708891</v>
      </c>
      <c r="CW15" s="992">
        <f>(BS!CW115)/(BS!CW110*4)</f>
        <v>4.0322903822441436</v>
      </c>
      <c r="CX15" s="992">
        <f>(BS!CX115)/(BS!CX110*4)</f>
        <v>3.8092383690186975</v>
      </c>
      <c r="CY15" s="992">
        <f>(BS!CY115)/(BS!CY110*4)</f>
        <v>3.8198374760994258</v>
      </c>
      <c r="CZ15" s="992">
        <f ca="1">(BS!CZ115)/(BS!CZ110*4)</f>
        <v>3.9220013354369869</v>
      </c>
      <c r="DA15" s="992">
        <f ca="1">(BS!DA115)/(BS!DA110*4)</f>
        <v>3.7088340482241153</v>
      </c>
      <c r="DB15" s="992">
        <f ca="1">(BS!DB115)/(BS!DB110*4)</f>
        <v>3.7302562343689805</v>
      </c>
      <c r="DC15" s="992">
        <f ca="1">(BS!DC115)/(BS!DC110*4)</f>
        <v>3.733056453684938</v>
      </c>
      <c r="DD15" s="15"/>
      <c r="DE15" s="15"/>
      <c r="DF15" s="15"/>
      <c r="DG15" s="15"/>
      <c r="DH15" s="15"/>
      <c r="DI15" s="15"/>
      <c r="DJ15" s="15"/>
      <c r="DK15" s="15"/>
      <c r="DL15" s="15"/>
      <c r="DM15" s="15"/>
      <c r="DN15" s="15"/>
    </row>
    <row r="16" spans="1:118">
      <c r="A16" s="15"/>
      <c r="B16" s="17"/>
      <c r="C16" s="23"/>
      <c r="D16" s="23"/>
      <c r="E16" s="54"/>
      <c r="F16" s="54"/>
      <c r="G16" s="54"/>
      <c r="H16" s="54"/>
      <c r="I16" s="54"/>
      <c r="J16" s="54"/>
      <c r="K16" s="54"/>
      <c r="L16" s="54"/>
      <c r="M16" s="992"/>
      <c r="N16" s="992"/>
      <c r="O16" s="992"/>
      <c r="P16" s="992"/>
      <c r="Q16" s="992"/>
      <c r="R16" s="992"/>
      <c r="S16" s="992"/>
      <c r="T16" s="992"/>
      <c r="U16" s="992"/>
      <c r="V16" s="992"/>
      <c r="W16" s="992"/>
      <c r="X16" s="992"/>
      <c r="Y16" s="992"/>
      <c r="Z16" s="992"/>
      <c r="AA16" s="992"/>
      <c r="AB16" s="992"/>
      <c r="AC16" s="992"/>
      <c r="AD16" s="992"/>
      <c r="AE16" s="54"/>
      <c r="AF16" s="54"/>
      <c r="AG16" s="54"/>
      <c r="AH16" s="54"/>
      <c r="AI16" s="54"/>
      <c r="AJ16" s="54"/>
      <c r="AK16" s="54"/>
      <c r="AL16" s="54"/>
      <c r="AM16" s="54"/>
      <c r="AN16" s="54"/>
      <c r="AO16" s="54"/>
      <c r="AP16" s="54"/>
      <c r="AQ16" s="54"/>
      <c r="AR16" s="54"/>
      <c r="AS16" s="54"/>
      <c r="AT16" s="54"/>
      <c r="AU16" s="54"/>
      <c r="AV16" s="54"/>
      <c r="AW16" s="54"/>
      <c r="AX16" s="54"/>
      <c r="AY16" s="54"/>
      <c r="AZ16" s="54"/>
      <c r="BA16" s="54"/>
      <c r="BB16" s="54"/>
      <c r="BC16" s="54"/>
      <c r="BD16" s="54"/>
      <c r="BE16" s="54"/>
      <c r="BF16" s="54"/>
      <c r="BG16" s="54"/>
      <c r="BH16" s="54"/>
      <c r="BI16" s="54"/>
      <c r="BJ16" s="54"/>
      <c r="BK16" s="54"/>
      <c r="BL16" s="54"/>
      <c r="BM16" s="54"/>
      <c r="BN16" s="54"/>
      <c r="BO16" s="54"/>
      <c r="BP16" s="992"/>
      <c r="BQ16" s="992"/>
      <c r="BR16" s="992"/>
      <c r="BS16" s="992"/>
      <c r="BT16" s="992"/>
      <c r="BU16" s="992"/>
      <c r="BV16" s="992"/>
      <c r="BW16" s="992"/>
      <c r="BX16" s="992"/>
      <c r="BY16" s="992"/>
      <c r="BZ16" s="992"/>
      <c r="CA16" s="992"/>
      <c r="CB16" s="992"/>
      <c r="CC16" s="992"/>
      <c r="CD16" s="992"/>
      <c r="CE16" s="992"/>
      <c r="CF16" s="992"/>
      <c r="CG16" s="992"/>
      <c r="CH16" s="992"/>
      <c r="CI16" s="992"/>
      <c r="CJ16" s="992"/>
      <c r="CK16" s="992"/>
      <c r="CL16" s="992"/>
      <c r="CM16" s="992"/>
      <c r="CN16" s="992"/>
      <c r="CO16" s="992"/>
      <c r="CP16" s="992"/>
      <c r="CQ16" s="992"/>
      <c r="CR16" s="992"/>
      <c r="CS16" s="992"/>
      <c r="CT16" s="992"/>
      <c r="CU16" s="992"/>
      <c r="CV16" s="992"/>
      <c r="CW16" s="992"/>
      <c r="CX16" s="992"/>
      <c r="CY16" s="992"/>
      <c r="CZ16" s="992"/>
      <c r="DA16" s="992"/>
      <c r="DB16" s="992"/>
      <c r="DC16" s="992"/>
      <c r="DD16" s="15"/>
      <c r="DE16" s="15"/>
      <c r="DF16" s="15"/>
      <c r="DG16" s="15"/>
      <c r="DH16" s="15"/>
      <c r="DI16" s="15"/>
      <c r="DJ16" s="15"/>
      <c r="DK16" s="15"/>
      <c r="DL16" s="15"/>
      <c r="DM16" s="15"/>
      <c r="DN16" s="15"/>
    </row>
    <row r="17" spans="1:107">
      <c r="A17" s="1163" t="s">
        <v>604</v>
      </c>
      <c r="B17" s="66" t="s">
        <v>2044</v>
      </c>
      <c r="C17" s="60"/>
      <c r="D17" s="60"/>
      <c r="E17" s="60"/>
      <c r="F17" s="60"/>
      <c r="G17" s="60"/>
      <c r="H17" s="60"/>
      <c r="I17" s="60"/>
      <c r="J17" s="60"/>
      <c r="K17" s="60"/>
      <c r="L17" s="60"/>
      <c r="M17" s="60"/>
      <c r="N17" s="60"/>
      <c r="O17" s="60"/>
      <c r="P17" s="60"/>
      <c r="Q17" s="60"/>
      <c r="R17" s="60"/>
      <c r="S17" s="60"/>
      <c r="T17" s="60"/>
      <c r="U17" s="60"/>
      <c r="V17" s="60"/>
      <c r="W17" s="60"/>
      <c r="X17" s="60"/>
      <c r="Y17" s="60"/>
      <c r="Z17" s="60"/>
      <c r="AA17" s="60"/>
      <c r="AB17" s="60"/>
      <c r="AC17" s="60"/>
      <c r="AD17" s="60"/>
      <c r="AE17" s="15"/>
      <c r="AF17" s="60"/>
      <c r="AG17" s="60"/>
      <c r="AH17" s="60"/>
      <c r="AI17" s="60"/>
      <c r="AJ17" s="60"/>
      <c r="AK17" s="60"/>
      <c r="AL17" s="60"/>
      <c r="AM17" s="60"/>
      <c r="AN17" s="60"/>
      <c r="AO17" s="60"/>
      <c r="AP17" s="60"/>
      <c r="AQ17" s="60"/>
      <c r="AR17" s="60"/>
      <c r="AS17" s="60"/>
      <c r="AT17" s="60"/>
      <c r="AU17" s="60"/>
      <c r="AV17" s="60"/>
      <c r="AW17" s="60"/>
      <c r="AX17" s="60"/>
      <c r="AY17" s="60"/>
      <c r="AZ17" s="60"/>
      <c r="BA17" s="60"/>
      <c r="BB17" s="60"/>
      <c r="BC17" s="60"/>
      <c r="BD17" s="60"/>
      <c r="BE17" s="60"/>
      <c r="BF17" s="60"/>
      <c r="BG17" s="60"/>
      <c r="BH17" s="60"/>
      <c r="BI17" s="60"/>
      <c r="BJ17" s="60"/>
      <c r="BK17" s="60"/>
      <c r="BL17" s="60"/>
      <c r="BM17" s="60"/>
      <c r="BN17" s="60"/>
      <c r="BO17" s="60"/>
      <c r="BP17" s="60"/>
      <c r="BQ17" s="60"/>
      <c r="BR17" s="60"/>
      <c r="BS17" s="60"/>
      <c r="BT17" s="60"/>
      <c r="BU17" s="1690"/>
      <c r="BV17" s="1690"/>
      <c r="BW17" s="1690"/>
      <c r="BX17" s="1690"/>
      <c r="BY17" s="1690"/>
      <c r="BZ17" s="1690"/>
      <c r="CA17" s="1690"/>
      <c r="CB17" s="1690"/>
      <c r="CC17" s="1690"/>
      <c r="CD17" s="1690"/>
      <c r="CE17" s="1690"/>
      <c r="CF17" s="1690"/>
      <c r="CG17" s="1690"/>
      <c r="CH17" s="1690"/>
      <c r="CI17" s="1690"/>
      <c r="CJ17" s="1690"/>
      <c r="CK17" s="1690"/>
      <c r="CL17" s="1690"/>
      <c r="CM17" s="1690"/>
      <c r="CN17" s="1690"/>
      <c r="CO17" s="1690"/>
      <c r="CP17" s="60"/>
      <c r="CQ17" s="60"/>
      <c r="CR17" s="60"/>
      <c r="CS17" s="60"/>
      <c r="CT17" s="60"/>
      <c r="CU17" s="60"/>
      <c r="CV17" s="60"/>
      <c r="CW17" s="60"/>
      <c r="CX17" s="60"/>
      <c r="CY17" s="60"/>
      <c r="CZ17" s="60"/>
      <c r="DA17" s="60"/>
      <c r="DB17" s="60"/>
      <c r="DC17" s="60"/>
    </row>
    <row r="18" spans="1:107" hidden="1" outlineLevel="1">
      <c r="A18" s="15"/>
      <c r="B18" s="15"/>
      <c r="C18" s="15"/>
      <c r="D18" s="15"/>
      <c r="E18" s="15"/>
      <c r="F18" s="15"/>
      <c r="G18" s="15"/>
      <c r="H18" s="15"/>
      <c r="I18" s="15"/>
      <c r="J18" s="15"/>
      <c r="K18" s="15"/>
      <c r="L18" s="15"/>
      <c r="M18" s="1006"/>
      <c r="N18" s="1006"/>
      <c r="O18" s="15"/>
      <c r="P18" s="15"/>
      <c r="Q18" s="15"/>
      <c r="R18" s="15"/>
      <c r="S18" s="15"/>
      <c r="T18" s="15"/>
      <c r="U18" s="15"/>
      <c r="V18" s="15"/>
      <c r="W18" s="15"/>
      <c r="X18" s="15"/>
      <c r="Y18" s="15"/>
      <c r="Z18" s="15"/>
      <c r="AA18" s="15"/>
      <c r="AB18" s="15"/>
      <c r="AC18" s="15"/>
      <c r="AD18" s="15"/>
      <c r="AE18" s="15"/>
      <c r="AF18" s="15"/>
      <c r="AG18" s="15"/>
      <c r="AH18" s="15"/>
      <c r="AI18" s="15"/>
      <c r="AJ18" s="15"/>
      <c r="AK18" s="15"/>
      <c r="AL18" s="15"/>
      <c r="AM18" s="15"/>
      <c r="AN18" s="15"/>
      <c r="AO18" s="15"/>
      <c r="AP18" s="15"/>
      <c r="AQ18" s="15"/>
      <c r="AR18" s="15"/>
      <c r="AS18" s="15"/>
      <c r="AT18" s="15"/>
      <c r="AU18" s="15"/>
      <c r="AV18" s="15"/>
      <c r="AW18" s="15"/>
      <c r="AX18" s="15"/>
      <c r="AY18" s="15"/>
      <c r="AZ18" s="15"/>
      <c r="BA18" s="15"/>
      <c r="BB18" s="15"/>
      <c r="BC18" s="15"/>
      <c r="BD18" s="15"/>
      <c r="BE18" s="15"/>
      <c r="BF18" s="15"/>
      <c r="BG18" s="15"/>
      <c r="BH18" s="15"/>
      <c r="BI18" s="15"/>
      <c r="BJ18" s="15"/>
      <c r="BK18" s="15"/>
      <c r="BL18" s="15"/>
      <c r="BM18" s="15"/>
      <c r="BN18" s="15"/>
      <c r="BO18" s="15"/>
      <c r="BP18" s="15"/>
      <c r="BQ18" s="15"/>
      <c r="BR18" s="15"/>
      <c r="BS18" s="15"/>
      <c r="BT18" s="15"/>
      <c r="BU18" s="15"/>
      <c r="BV18" s="15"/>
      <c r="BW18" s="15"/>
      <c r="BX18" s="15"/>
      <c r="BY18" s="15"/>
      <c r="BZ18" s="15"/>
      <c r="CA18" s="15"/>
      <c r="CB18" s="15"/>
      <c r="CC18" s="15"/>
      <c r="CD18" s="15"/>
      <c r="CE18" s="15"/>
      <c r="CF18" s="15"/>
      <c r="CG18" s="15"/>
      <c r="CH18" s="15"/>
      <c r="CI18" s="15"/>
      <c r="CJ18" s="15"/>
      <c r="CK18" s="15"/>
      <c r="CL18" s="15"/>
      <c r="CM18" s="15"/>
      <c r="CN18" s="15"/>
      <c r="CO18" s="15"/>
      <c r="CP18" s="15"/>
      <c r="CQ18" s="15"/>
      <c r="CR18" s="15"/>
      <c r="CS18" s="15"/>
      <c r="CT18" s="15"/>
      <c r="CU18" s="15"/>
      <c r="CV18" s="15"/>
      <c r="CW18" s="15"/>
      <c r="CX18" s="15"/>
      <c r="CY18" s="15"/>
      <c r="CZ18" s="15"/>
      <c r="DA18" s="15"/>
      <c r="DB18" s="15"/>
      <c r="DC18" s="15"/>
    </row>
    <row r="19" spans="1:107" hidden="1" outlineLevel="1">
      <c r="A19" s="2195"/>
      <c r="B19" s="389" t="s">
        <v>1445</v>
      </c>
      <c r="C19" s="389"/>
      <c r="D19" s="389"/>
      <c r="E19" s="389"/>
      <c r="F19" s="389"/>
      <c r="G19" s="389"/>
      <c r="H19" s="389"/>
      <c r="I19" s="389"/>
      <c r="J19" s="389"/>
      <c r="K19" s="389"/>
      <c r="L19" s="389"/>
      <c r="M19" s="389"/>
      <c r="N19" s="389"/>
      <c r="O19" s="389"/>
      <c r="P19" s="389"/>
      <c r="Q19" s="389"/>
      <c r="R19" s="389"/>
      <c r="S19" s="389"/>
      <c r="T19" s="389"/>
      <c r="U19" s="389"/>
      <c r="V19" s="389"/>
      <c r="W19" s="389"/>
      <c r="X19" s="389"/>
      <c r="Y19" s="389"/>
      <c r="Z19" s="389"/>
      <c r="AA19" s="389"/>
      <c r="AB19" s="389"/>
      <c r="AC19" s="389"/>
      <c r="AD19" s="389"/>
      <c r="AE19" s="15"/>
      <c r="AF19" s="389"/>
      <c r="AG19" s="389"/>
      <c r="AH19" s="389"/>
      <c r="AI19" s="389"/>
      <c r="AJ19" s="389"/>
      <c r="AK19" s="389"/>
      <c r="AL19" s="389"/>
      <c r="AM19" s="389"/>
      <c r="AN19" s="389"/>
      <c r="AO19" s="389"/>
      <c r="AP19" s="389"/>
      <c r="AQ19" s="389"/>
      <c r="AR19" s="389"/>
      <c r="AS19" s="389"/>
      <c r="AT19" s="389"/>
      <c r="AU19" s="389"/>
      <c r="AV19" s="389"/>
      <c r="AW19" s="389"/>
      <c r="AX19" s="389"/>
      <c r="AY19" s="389"/>
      <c r="AZ19" s="389"/>
      <c r="BA19" s="389"/>
      <c r="BB19" s="389"/>
      <c r="BC19" s="389"/>
      <c r="BD19" s="389"/>
      <c r="BE19" s="389"/>
      <c r="BF19" s="389"/>
      <c r="BG19" s="389"/>
      <c r="BH19" s="389"/>
      <c r="BI19" s="389"/>
      <c r="BJ19" s="389"/>
      <c r="BK19" s="389"/>
      <c r="BL19" s="389"/>
      <c r="BM19" s="389"/>
      <c r="BN19" s="389"/>
      <c r="BO19" s="389"/>
      <c r="BP19" s="389"/>
      <c r="BQ19" s="389"/>
      <c r="BR19" s="389"/>
      <c r="BS19" s="389"/>
      <c r="BT19" s="389"/>
      <c r="BU19" s="389"/>
      <c r="BV19" s="389"/>
      <c r="BW19" s="389"/>
      <c r="BX19" s="389"/>
      <c r="BY19" s="389"/>
      <c r="BZ19" s="389"/>
      <c r="CA19" s="389"/>
      <c r="CB19" s="389"/>
      <c r="CC19" s="389"/>
      <c r="CD19" s="389"/>
      <c r="CE19" s="389"/>
      <c r="CF19" s="389"/>
      <c r="CG19" s="389"/>
      <c r="CH19" s="389"/>
      <c r="CI19" s="389"/>
      <c r="CJ19" s="389"/>
      <c r="CK19" s="389"/>
      <c r="CL19" s="389"/>
      <c r="CM19" s="389"/>
      <c r="CN19" s="389"/>
      <c r="CO19" s="389"/>
      <c r="CP19" s="389"/>
      <c r="CQ19" s="389"/>
      <c r="CR19" s="389"/>
      <c r="CS19" s="389"/>
      <c r="CT19" s="389"/>
      <c r="CU19" s="389"/>
      <c r="CV19" s="389"/>
      <c r="CW19" s="389"/>
      <c r="CX19" s="389"/>
      <c r="CY19" s="389"/>
      <c r="CZ19" s="389"/>
      <c r="DA19" s="389"/>
      <c r="DB19" s="389"/>
      <c r="DC19" s="389"/>
    </row>
    <row r="20" spans="1:107" hidden="1" outlineLevel="1">
      <c r="A20" s="2195"/>
      <c r="B20" s="994" t="s">
        <v>1118</v>
      </c>
      <c r="C20" s="1915"/>
      <c r="D20" s="995"/>
      <c r="E20" s="995"/>
      <c r="F20" s="995"/>
      <c r="G20" s="995"/>
      <c r="H20" s="995"/>
      <c r="I20" s="995"/>
      <c r="J20" s="995"/>
      <c r="K20" s="995"/>
      <c r="L20" s="996">
        <f>BK20</f>
        <v>32.25</v>
      </c>
      <c r="M20" s="996">
        <f>BO20</f>
        <v>32.25</v>
      </c>
      <c r="N20" s="996">
        <f>BS20</f>
        <v>0</v>
      </c>
      <c r="O20" s="996">
        <f t="shared" ref="O20:Z20" si="0">N22</f>
        <v>0</v>
      </c>
      <c r="P20" s="996">
        <f t="shared" si="0"/>
        <v>0</v>
      </c>
      <c r="Q20" s="996">
        <f t="shared" si="0"/>
        <v>0</v>
      </c>
      <c r="R20" s="996">
        <f t="shared" si="0"/>
        <v>0</v>
      </c>
      <c r="S20" s="996">
        <f t="shared" si="0"/>
        <v>0</v>
      </c>
      <c r="T20" s="996">
        <f t="shared" si="0"/>
        <v>0</v>
      </c>
      <c r="U20" s="996">
        <f t="shared" si="0"/>
        <v>0</v>
      </c>
      <c r="V20" s="996">
        <f t="shared" si="0"/>
        <v>0</v>
      </c>
      <c r="W20" s="996">
        <f t="shared" si="0"/>
        <v>0</v>
      </c>
      <c r="X20" s="996">
        <f t="shared" si="0"/>
        <v>0</v>
      </c>
      <c r="Y20" s="996">
        <f t="shared" si="0"/>
        <v>0</v>
      </c>
      <c r="Z20" s="996">
        <f t="shared" si="0"/>
        <v>0</v>
      </c>
      <c r="AA20" s="996">
        <f t="shared" ref="AA20" si="1">Z22</f>
        <v>0</v>
      </c>
      <c r="AB20" s="996">
        <f t="shared" ref="AB20" si="2">AA22</f>
        <v>0</v>
      </c>
      <c r="AC20" s="996">
        <f t="shared" ref="AC20" si="3">AB22</f>
        <v>0</v>
      </c>
      <c r="AD20" s="996">
        <f t="shared" ref="AD20" si="4">AC22</f>
        <v>0</v>
      </c>
      <c r="AE20" s="996"/>
      <c r="AF20" s="995"/>
      <c r="AG20" s="995"/>
      <c r="AH20" s="995"/>
      <c r="AI20" s="995"/>
      <c r="AJ20" s="995"/>
      <c r="AK20" s="995"/>
      <c r="AL20" s="995"/>
      <c r="AM20" s="995"/>
      <c r="AN20" s="995"/>
      <c r="AO20" s="995"/>
      <c r="AP20" s="995"/>
      <c r="AQ20" s="995"/>
      <c r="AR20" s="995"/>
      <c r="AS20" s="995"/>
      <c r="AT20" s="995"/>
      <c r="AU20" s="995"/>
      <c r="AV20" s="996">
        <v>86.25</v>
      </c>
      <c r="AW20" s="996">
        <f t="shared" ref="AW20:BZ20" si="5">AV22</f>
        <v>86.25</v>
      </c>
      <c r="AX20" s="996">
        <f t="shared" si="5"/>
        <v>86.25</v>
      </c>
      <c r="AY20" s="996">
        <f t="shared" si="5"/>
        <v>86.25</v>
      </c>
      <c r="AZ20" s="996">
        <f t="shared" si="5"/>
        <v>86.25</v>
      </c>
      <c r="BA20" s="996">
        <f t="shared" si="5"/>
        <v>86.25</v>
      </c>
      <c r="BB20" s="996">
        <f t="shared" si="5"/>
        <v>86.25</v>
      </c>
      <c r="BC20" s="996">
        <f t="shared" si="5"/>
        <v>86.25</v>
      </c>
      <c r="BD20" s="996">
        <f t="shared" si="5"/>
        <v>86.25</v>
      </c>
      <c r="BE20" s="996">
        <f t="shared" si="5"/>
        <v>86.25</v>
      </c>
      <c r="BF20" s="996">
        <f t="shared" si="5"/>
        <v>86.25</v>
      </c>
      <c r="BG20" s="996">
        <f t="shared" si="5"/>
        <v>86.25</v>
      </c>
      <c r="BH20" s="996">
        <f t="shared" si="5"/>
        <v>86.25</v>
      </c>
      <c r="BI20" s="996">
        <f t="shared" si="5"/>
        <v>32.25</v>
      </c>
      <c r="BJ20" s="996">
        <f t="shared" si="5"/>
        <v>32.25</v>
      </c>
      <c r="BK20" s="996">
        <f t="shared" si="5"/>
        <v>32.25</v>
      </c>
      <c r="BL20" s="996">
        <f t="shared" si="5"/>
        <v>32.25</v>
      </c>
      <c r="BM20" s="996">
        <f t="shared" si="5"/>
        <v>32.25</v>
      </c>
      <c r="BN20" s="996">
        <f t="shared" si="5"/>
        <v>32.25</v>
      </c>
      <c r="BO20" s="996">
        <f t="shared" si="5"/>
        <v>32.25</v>
      </c>
      <c r="BP20" s="996">
        <f t="shared" si="5"/>
        <v>19.149999999999999</v>
      </c>
      <c r="BQ20" s="996">
        <f t="shared" si="5"/>
        <v>19.149999999999999</v>
      </c>
      <c r="BR20" s="996">
        <f t="shared" si="5"/>
        <v>0</v>
      </c>
      <c r="BS20" s="996">
        <f t="shared" si="5"/>
        <v>0</v>
      </c>
      <c r="BT20" s="996">
        <f t="shared" si="5"/>
        <v>0</v>
      </c>
      <c r="BU20" s="996">
        <f t="shared" si="5"/>
        <v>0</v>
      </c>
      <c r="BV20" s="996">
        <f t="shared" si="5"/>
        <v>0</v>
      </c>
      <c r="BW20" s="996">
        <f t="shared" ca="1" si="5"/>
        <v>0</v>
      </c>
      <c r="BX20" s="996">
        <f t="shared" ca="1" si="5"/>
        <v>0</v>
      </c>
      <c r="BY20" s="996">
        <f t="shared" ca="1" si="5"/>
        <v>0</v>
      </c>
      <c r="BZ20" s="996">
        <f t="shared" ca="1" si="5"/>
        <v>0</v>
      </c>
      <c r="CA20" s="996"/>
      <c r="CB20" s="996"/>
      <c r="CC20" s="996"/>
      <c r="CD20" s="996"/>
      <c r="CE20" s="996"/>
      <c r="CF20" s="996"/>
      <c r="CG20" s="996"/>
      <c r="CH20" s="996"/>
      <c r="CI20" s="996"/>
      <c r="CJ20" s="996"/>
      <c r="CK20" s="996"/>
      <c r="CL20" s="996"/>
      <c r="CM20" s="996"/>
      <c r="CN20" s="996"/>
      <c r="CO20" s="996"/>
      <c r="CP20" s="996"/>
      <c r="CQ20" s="996"/>
      <c r="CR20" s="996"/>
      <c r="CS20" s="996">
        <f t="shared" ref="CS20:CY20" si="6">CR22</f>
        <v>0</v>
      </c>
      <c r="CT20" s="996">
        <f t="shared" ca="1" si="6"/>
        <v>0</v>
      </c>
      <c r="CU20" s="996">
        <f t="shared" ca="1" si="6"/>
        <v>0</v>
      </c>
      <c r="CV20" s="996">
        <f t="shared" ca="1" si="6"/>
        <v>0</v>
      </c>
      <c r="CW20" s="996">
        <f t="shared" ca="1" si="6"/>
        <v>0</v>
      </c>
      <c r="CX20" s="996">
        <f t="shared" ca="1" si="6"/>
        <v>0</v>
      </c>
      <c r="CY20" s="996">
        <f t="shared" ca="1" si="6"/>
        <v>0</v>
      </c>
      <c r="CZ20" s="996">
        <f t="shared" ref="CZ20" ca="1" si="7">CY22</f>
        <v>0</v>
      </c>
      <c r="DA20" s="996">
        <f t="shared" ref="DA20" ca="1" si="8">CZ22</f>
        <v>0</v>
      </c>
      <c r="DB20" s="996">
        <f t="shared" ref="DB20" ca="1" si="9">DA22</f>
        <v>0</v>
      </c>
      <c r="DC20" s="996">
        <f t="shared" ref="DC20" ca="1" si="10">DB22</f>
        <v>0</v>
      </c>
    </row>
    <row r="21" spans="1:107" hidden="1" outlineLevel="1">
      <c r="A21" s="2195"/>
      <c r="B21" s="994" t="s">
        <v>1119</v>
      </c>
      <c r="C21" s="995"/>
      <c r="D21" s="995"/>
      <c r="E21" s="995"/>
      <c r="F21" s="995"/>
      <c r="G21" s="995"/>
      <c r="H21" s="995"/>
      <c r="I21" s="995"/>
      <c r="J21" s="995"/>
      <c r="K21" s="995"/>
      <c r="L21" s="1008">
        <f>BK21</f>
        <v>0</v>
      </c>
      <c r="M21" s="1008">
        <f>BO21</f>
        <v>-13.1</v>
      </c>
      <c r="N21" s="1008">
        <f>SUM(BP21:BS21)</f>
        <v>-19.149999999999999</v>
      </c>
      <c r="O21" s="1008">
        <f t="shared" ref="O21:Z21" si="11">O22-O20</f>
        <v>0</v>
      </c>
      <c r="P21" s="1008">
        <f t="shared" si="11"/>
        <v>0</v>
      </c>
      <c r="Q21" s="1008">
        <f t="shared" si="11"/>
        <v>0</v>
      </c>
      <c r="R21" s="1008">
        <f t="shared" si="11"/>
        <v>0</v>
      </c>
      <c r="S21" s="1008">
        <f t="shared" si="11"/>
        <v>0</v>
      </c>
      <c r="T21" s="1008">
        <f t="shared" si="11"/>
        <v>0</v>
      </c>
      <c r="U21" s="1008">
        <f t="shared" si="11"/>
        <v>0</v>
      </c>
      <c r="V21" s="1008">
        <f>V22-V20</f>
        <v>0</v>
      </c>
      <c r="W21" s="1008">
        <f>W22-W20</f>
        <v>0</v>
      </c>
      <c r="X21" s="1008">
        <f t="shared" si="11"/>
        <v>0</v>
      </c>
      <c r="Y21" s="1008">
        <f t="shared" si="11"/>
        <v>0</v>
      </c>
      <c r="Z21" s="1008">
        <f t="shared" si="11"/>
        <v>0</v>
      </c>
      <c r="AA21" s="1008">
        <f t="shared" ref="AA21:AD21" si="12">AA22-AA20</f>
        <v>0</v>
      </c>
      <c r="AB21" s="1008">
        <f t="shared" si="12"/>
        <v>0</v>
      </c>
      <c r="AC21" s="1008">
        <f t="shared" si="12"/>
        <v>0</v>
      </c>
      <c r="AD21" s="1008">
        <f t="shared" si="12"/>
        <v>0</v>
      </c>
      <c r="AE21" s="995"/>
      <c r="AF21" s="995"/>
      <c r="AG21" s="995"/>
      <c r="AH21" s="995"/>
      <c r="AI21" s="995"/>
      <c r="AJ21" s="995"/>
      <c r="AK21" s="995"/>
      <c r="AL21" s="995"/>
      <c r="AM21" s="995"/>
      <c r="AN21" s="995"/>
      <c r="AO21" s="995"/>
      <c r="AP21" s="995"/>
      <c r="AQ21" s="995"/>
      <c r="AR21" s="995"/>
      <c r="AS21" s="995"/>
      <c r="AT21" s="995"/>
      <c r="AU21" s="995"/>
      <c r="AV21" s="996">
        <v>0</v>
      </c>
      <c r="AW21" s="996">
        <v>0</v>
      </c>
      <c r="AX21" s="996">
        <v>0</v>
      </c>
      <c r="AY21" s="996">
        <v>0</v>
      </c>
      <c r="AZ21" s="996">
        <v>0</v>
      </c>
      <c r="BA21" s="996">
        <v>0</v>
      </c>
      <c r="BB21" s="996">
        <v>0</v>
      </c>
      <c r="BC21" s="996">
        <v>0</v>
      </c>
      <c r="BD21" s="996">
        <v>0</v>
      </c>
      <c r="BE21" s="996">
        <v>0</v>
      </c>
      <c r="BF21" s="996">
        <v>0</v>
      </c>
      <c r="BG21" s="996">
        <v>0</v>
      </c>
      <c r="BH21" s="996">
        <v>-54</v>
      </c>
      <c r="BI21" s="996">
        <v>0</v>
      </c>
      <c r="BJ21" s="996">
        <v>0</v>
      </c>
      <c r="BK21" s="996">
        <v>0</v>
      </c>
      <c r="BL21" s="996">
        <v>0</v>
      </c>
      <c r="BM21" s="996">
        <v>0</v>
      </c>
      <c r="BN21" s="996">
        <v>0</v>
      </c>
      <c r="BO21" s="996">
        <v>-13.1</v>
      </c>
      <c r="BP21" s="996">
        <v>0</v>
      </c>
      <c r="BQ21" s="996">
        <v>-19.149999999999999</v>
      </c>
      <c r="BR21" s="996">
        <v>0</v>
      </c>
      <c r="BS21" s="996">
        <v>0</v>
      </c>
      <c r="BT21" s="996">
        <v>0</v>
      </c>
      <c r="BU21" s="996">
        <v>0</v>
      </c>
      <c r="BV21" s="996">
        <f ca="1">BV22-BV20</f>
        <v>0</v>
      </c>
      <c r="BW21" s="996">
        <f ca="1">BW22-BW20</f>
        <v>0</v>
      </c>
      <c r="BX21" s="996">
        <f ca="1">BX22-BX20</f>
        <v>0</v>
      </c>
      <c r="BY21" s="996">
        <f ca="1">BY22-BY20</f>
        <v>0</v>
      </c>
      <c r="BZ21" s="996">
        <f ca="1">BZ22-BZ20</f>
        <v>0</v>
      </c>
      <c r="CA21" s="996"/>
      <c r="CB21" s="996"/>
      <c r="CC21" s="996"/>
      <c r="CD21" s="996"/>
      <c r="CE21" s="996"/>
      <c r="CF21" s="996"/>
      <c r="CG21" s="996"/>
      <c r="CH21" s="996"/>
      <c r="CI21" s="996"/>
      <c r="CJ21" s="996"/>
      <c r="CK21" s="996"/>
      <c r="CL21" s="996"/>
      <c r="CM21" s="996"/>
      <c r="CN21" s="996"/>
      <c r="CO21" s="996"/>
      <c r="CP21" s="996"/>
      <c r="CQ21" s="996"/>
      <c r="CR21" s="996"/>
      <c r="CS21" s="996">
        <f t="shared" ref="CS21:CY21" ca="1" si="13">CS22-CS20</f>
        <v>0</v>
      </c>
      <c r="CT21" s="996">
        <f t="shared" ca="1" si="13"/>
        <v>0</v>
      </c>
      <c r="CU21" s="996">
        <f t="shared" ca="1" si="13"/>
        <v>0</v>
      </c>
      <c r="CV21" s="996">
        <f t="shared" ca="1" si="13"/>
        <v>0</v>
      </c>
      <c r="CW21" s="996">
        <f t="shared" ca="1" si="13"/>
        <v>0</v>
      </c>
      <c r="CX21" s="996">
        <f t="shared" ca="1" si="13"/>
        <v>0</v>
      </c>
      <c r="CY21" s="996">
        <f t="shared" ca="1" si="13"/>
        <v>0</v>
      </c>
      <c r="CZ21" s="996">
        <f t="shared" ref="CZ21:DC21" ca="1" si="14">CZ22-CZ20</f>
        <v>0</v>
      </c>
      <c r="DA21" s="996">
        <f t="shared" ca="1" si="14"/>
        <v>0</v>
      </c>
      <c r="DB21" s="996">
        <f t="shared" ca="1" si="14"/>
        <v>0</v>
      </c>
      <c r="DC21" s="996">
        <f t="shared" ca="1" si="14"/>
        <v>0</v>
      </c>
    </row>
    <row r="22" spans="1:107" hidden="1" outlineLevel="1">
      <c r="A22" s="2195"/>
      <c r="B22" s="994" t="s">
        <v>261</v>
      </c>
      <c r="C22" s="995"/>
      <c r="D22" s="995"/>
      <c r="E22" s="995"/>
      <c r="F22" s="995"/>
      <c r="G22" s="995"/>
      <c r="H22" s="995"/>
      <c r="I22" s="995"/>
      <c r="J22" s="995"/>
      <c r="K22" s="996"/>
      <c r="L22" s="996">
        <f>BK22</f>
        <v>32.25</v>
      </c>
      <c r="M22" s="996">
        <f>BO22</f>
        <v>19.149999999999999</v>
      </c>
      <c r="N22" s="996">
        <f>BS22</f>
        <v>0</v>
      </c>
      <c r="O22" s="996">
        <v>0</v>
      </c>
      <c r="P22" s="996">
        <v>0</v>
      </c>
      <c r="Q22" s="996">
        <v>0</v>
      </c>
      <c r="R22" s="996">
        <v>0</v>
      </c>
      <c r="S22" s="996">
        <v>0</v>
      </c>
      <c r="T22" s="996">
        <v>0</v>
      </c>
      <c r="U22" s="996">
        <v>0</v>
      </c>
      <c r="V22" s="996">
        <v>0</v>
      </c>
      <c r="W22" s="996">
        <v>0</v>
      </c>
      <c r="X22" s="996">
        <v>0</v>
      </c>
      <c r="Y22" s="996">
        <v>0</v>
      </c>
      <c r="Z22" s="996">
        <v>0</v>
      </c>
      <c r="AA22" s="996">
        <v>0</v>
      </c>
      <c r="AB22" s="996">
        <v>0</v>
      </c>
      <c r="AC22" s="996">
        <v>0</v>
      </c>
      <c r="AD22" s="996">
        <v>0</v>
      </c>
      <c r="AE22" s="996"/>
      <c r="AF22" s="995"/>
      <c r="AG22" s="995"/>
      <c r="AH22" s="995"/>
      <c r="AI22" s="995"/>
      <c r="AJ22" s="995"/>
      <c r="AK22" s="995"/>
      <c r="AL22" s="995"/>
      <c r="AM22" s="995"/>
      <c r="AN22" s="995"/>
      <c r="AO22" s="995"/>
      <c r="AP22" s="995"/>
      <c r="AQ22" s="995"/>
      <c r="AR22" s="995"/>
      <c r="AS22" s="995"/>
      <c r="AT22" s="995"/>
      <c r="AU22" s="995"/>
      <c r="AV22" s="996">
        <f t="shared" ref="AV22:BZ22" si="15">SUM(AV20:AV21)</f>
        <v>86.25</v>
      </c>
      <c r="AW22" s="996">
        <f t="shared" si="15"/>
        <v>86.25</v>
      </c>
      <c r="AX22" s="996">
        <f t="shared" si="15"/>
        <v>86.25</v>
      </c>
      <c r="AY22" s="996">
        <f t="shared" si="15"/>
        <v>86.25</v>
      </c>
      <c r="AZ22" s="996">
        <f t="shared" si="15"/>
        <v>86.25</v>
      </c>
      <c r="BA22" s="996">
        <f t="shared" si="15"/>
        <v>86.25</v>
      </c>
      <c r="BB22" s="996">
        <f t="shared" si="15"/>
        <v>86.25</v>
      </c>
      <c r="BC22" s="996">
        <f t="shared" si="15"/>
        <v>86.25</v>
      </c>
      <c r="BD22" s="996">
        <f t="shared" si="15"/>
        <v>86.25</v>
      </c>
      <c r="BE22" s="996">
        <f t="shared" si="15"/>
        <v>86.25</v>
      </c>
      <c r="BF22" s="996">
        <f t="shared" si="15"/>
        <v>86.25</v>
      </c>
      <c r="BG22" s="996">
        <f t="shared" si="15"/>
        <v>86.25</v>
      </c>
      <c r="BH22" s="996">
        <f t="shared" si="15"/>
        <v>32.25</v>
      </c>
      <c r="BI22" s="996">
        <f t="shared" si="15"/>
        <v>32.25</v>
      </c>
      <c r="BJ22" s="996">
        <f t="shared" si="15"/>
        <v>32.25</v>
      </c>
      <c r="BK22" s="996">
        <f t="shared" si="15"/>
        <v>32.25</v>
      </c>
      <c r="BL22" s="996">
        <f t="shared" si="15"/>
        <v>32.25</v>
      </c>
      <c r="BM22" s="996">
        <f t="shared" si="15"/>
        <v>32.25</v>
      </c>
      <c r="BN22" s="996">
        <f t="shared" si="15"/>
        <v>32.25</v>
      </c>
      <c r="BO22" s="996">
        <f t="shared" si="15"/>
        <v>19.149999999999999</v>
      </c>
      <c r="BP22" s="996">
        <f t="shared" si="15"/>
        <v>19.149999999999999</v>
      </c>
      <c r="BQ22" s="996">
        <f t="shared" si="15"/>
        <v>0</v>
      </c>
      <c r="BR22" s="996">
        <f t="shared" si="15"/>
        <v>0</v>
      </c>
      <c r="BS22" s="996">
        <f t="shared" si="15"/>
        <v>0</v>
      </c>
      <c r="BT22" s="996">
        <f t="shared" si="15"/>
        <v>0</v>
      </c>
      <c r="BU22" s="996">
        <f t="shared" si="15"/>
        <v>0</v>
      </c>
      <c r="BV22" s="996">
        <f t="shared" ca="1" si="15"/>
        <v>0</v>
      </c>
      <c r="BW22" s="996">
        <f t="shared" ca="1" si="15"/>
        <v>0</v>
      </c>
      <c r="BX22" s="996">
        <f t="shared" ca="1" si="15"/>
        <v>0</v>
      </c>
      <c r="BY22" s="996">
        <f t="shared" ca="1" si="15"/>
        <v>0</v>
      </c>
      <c r="BZ22" s="996">
        <f t="shared" ca="1" si="15"/>
        <v>0</v>
      </c>
      <c r="CA22" s="996"/>
      <c r="CB22" s="996"/>
      <c r="CC22" s="996"/>
      <c r="CD22" s="996"/>
      <c r="CE22" s="996"/>
      <c r="CF22" s="996"/>
      <c r="CG22" s="996"/>
      <c r="CH22" s="996"/>
      <c r="CI22" s="996"/>
      <c r="CJ22" s="996"/>
      <c r="CK22" s="996"/>
      <c r="CL22" s="996"/>
      <c r="CM22" s="996"/>
      <c r="CN22" s="996"/>
      <c r="CO22" s="996"/>
      <c r="CP22" s="996"/>
      <c r="CQ22" s="996"/>
      <c r="CR22" s="996"/>
      <c r="CS22" s="996">
        <f t="shared" ref="CS22:CY22" ca="1" si="16">SUM(CS20:CS21)</f>
        <v>0</v>
      </c>
      <c r="CT22" s="996">
        <f t="shared" ca="1" si="16"/>
        <v>0</v>
      </c>
      <c r="CU22" s="996">
        <f t="shared" ca="1" si="16"/>
        <v>0</v>
      </c>
      <c r="CV22" s="996">
        <f t="shared" ca="1" si="16"/>
        <v>0</v>
      </c>
      <c r="CW22" s="996">
        <f t="shared" ca="1" si="16"/>
        <v>0</v>
      </c>
      <c r="CX22" s="996">
        <f t="shared" ca="1" si="16"/>
        <v>0</v>
      </c>
      <c r="CY22" s="996">
        <f t="shared" ca="1" si="16"/>
        <v>0</v>
      </c>
      <c r="CZ22" s="996">
        <f t="shared" ref="CZ22:DC22" ca="1" si="17">SUM(CZ20:CZ21)</f>
        <v>0</v>
      </c>
      <c r="DA22" s="996">
        <f t="shared" ca="1" si="17"/>
        <v>0</v>
      </c>
      <c r="DB22" s="996">
        <f t="shared" ca="1" si="17"/>
        <v>0</v>
      </c>
      <c r="DC22" s="996">
        <f t="shared" ca="1" si="17"/>
        <v>0</v>
      </c>
    </row>
    <row r="23" spans="1:107" hidden="1" outlineLevel="1">
      <c r="A23" s="2195"/>
      <c r="B23" s="994" t="s">
        <v>262</v>
      </c>
      <c r="C23" s="995"/>
      <c r="D23" s="995"/>
      <c r="E23" s="995"/>
      <c r="F23" s="995"/>
      <c r="G23" s="995"/>
      <c r="H23" s="995"/>
      <c r="I23" s="995"/>
      <c r="J23" s="995"/>
      <c r="K23" s="995"/>
      <c r="L23" s="995"/>
      <c r="M23" s="995"/>
      <c r="N23" s="995"/>
      <c r="O23" s="995"/>
      <c r="P23" s="995"/>
      <c r="Q23" s="995"/>
      <c r="R23" s="995"/>
      <c r="S23" s="995"/>
      <c r="T23" s="995"/>
      <c r="U23" s="995"/>
      <c r="V23" s="995"/>
      <c r="W23" s="995"/>
      <c r="X23" s="995"/>
      <c r="Y23" s="995"/>
      <c r="Z23" s="995"/>
      <c r="AA23" s="995"/>
      <c r="AB23" s="995"/>
      <c r="AC23" s="995"/>
      <c r="AD23" s="995"/>
      <c r="AE23" s="995"/>
      <c r="AF23" s="995"/>
      <c r="AG23" s="995"/>
      <c r="AH23" s="995"/>
      <c r="AI23" s="995"/>
      <c r="AJ23" s="995"/>
      <c r="AK23" s="995"/>
      <c r="AL23" s="995"/>
      <c r="AM23" s="995"/>
      <c r="AN23" s="995"/>
      <c r="AO23" s="995"/>
      <c r="AP23" s="995"/>
      <c r="AQ23" s="995"/>
      <c r="AR23" s="995"/>
      <c r="AS23" s="995"/>
      <c r="AT23" s="995"/>
      <c r="AU23" s="995"/>
      <c r="AV23" s="995"/>
      <c r="AW23" s="995"/>
      <c r="AX23" s="995"/>
      <c r="AY23" s="995"/>
      <c r="AZ23" s="995"/>
      <c r="BA23" s="995"/>
      <c r="BB23" s="995"/>
      <c r="BC23" s="995"/>
      <c r="BD23" s="995"/>
      <c r="BE23" s="995"/>
      <c r="BF23" s="995"/>
      <c r="BG23" s="995"/>
      <c r="BH23" s="995"/>
      <c r="BI23" s="995"/>
      <c r="BJ23" s="995"/>
      <c r="BK23" s="995"/>
      <c r="BL23" s="995"/>
      <c r="BM23" s="995"/>
      <c r="BN23" s="995"/>
      <c r="BO23" s="996">
        <v>19.29</v>
      </c>
      <c r="BP23" s="995"/>
      <c r="BQ23" s="995"/>
      <c r="BR23" s="996">
        <v>0</v>
      </c>
      <c r="BS23" s="996">
        <v>0</v>
      </c>
      <c r="BT23" s="996">
        <v>0</v>
      </c>
      <c r="BU23" s="996">
        <v>0</v>
      </c>
      <c r="BV23" s="995"/>
      <c r="BW23" s="995"/>
      <c r="BX23" s="995"/>
      <c r="BY23" s="995"/>
      <c r="BZ23" s="995"/>
      <c r="CA23" s="995"/>
      <c r="CB23" s="995"/>
      <c r="CC23" s="995"/>
      <c r="CD23" s="995"/>
      <c r="CE23" s="995"/>
      <c r="CF23" s="995"/>
      <c r="CG23" s="995"/>
      <c r="CH23" s="995"/>
      <c r="CI23" s="995"/>
      <c r="CJ23" s="995"/>
      <c r="CK23" s="995"/>
      <c r="CL23" s="995"/>
      <c r="CM23" s="995"/>
      <c r="CN23" s="995"/>
      <c r="CO23" s="995"/>
      <c r="CP23" s="995"/>
      <c r="CQ23" s="995"/>
      <c r="CR23" s="995"/>
      <c r="CS23" s="995"/>
      <c r="CT23" s="995"/>
      <c r="CU23" s="995"/>
      <c r="CV23" s="995"/>
      <c r="CW23" s="995"/>
      <c r="CX23" s="995"/>
      <c r="CY23" s="995"/>
      <c r="CZ23" s="995"/>
      <c r="DA23" s="995"/>
      <c r="DB23" s="995"/>
      <c r="DC23" s="995"/>
    </row>
    <row r="24" spans="1:107" hidden="1" outlineLevel="1">
      <c r="A24" s="15"/>
      <c r="B24" s="994"/>
      <c r="C24" s="995"/>
      <c r="D24" s="995"/>
      <c r="E24" s="995"/>
      <c r="F24" s="995"/>
      <c r="G24" s="995"/>
      <c r="H24" s="995"/>
      <c r="I24" s="995"/>
      <c r="J24" s="995"/>
      <c r="K24" s="995"/>
      <c r="L24" s="995"/>
      <c r="M24" s="995"/>
      <c r="N24" s="995"/>
      <c r="O24" s="995"/>
      <c r="P24" s="995"/>
      <c r="Q24" s="995"/>
      <c r="R24" s="995"/>
      <c r="S24" s="995"/>
      <c r="T24" s="995"/>
      <c r="U24" s="995"/>
      <c r="V24" s="995"/>
      <c r="W24" s="995"/>
      <c r="X24" s="995"/>
      <c r="Y24" s="995"/>
      <c r="Z24" s="995"/>
      <c r="AA24" s="995"/>
      <c r="AB24" s="995"/>
      <c r="AC24" s="995"/>
      <c r="AD24" s="995"/>
      <c r="AE24" s="995"/>
      <c r="AF24" s="995"/>
      <c r="AG24" s="995"/>
      <c r="AH24" s="995"/>
      <c r="AI24" s="995"/>
      <c r="AJ24" s="995"/>
      <c r="AK24" s="995"/>
      <c r="AL24" s="995"/>
      <c r="AM24" s="995"/>
      <c r="AN24" s="995"/>
      <c r="AO24" s="995"/>
      <c r="AP24" s="995"/>
      <c r="AQ24" s="995"/>
      <c r="AR24" s="995"/>
      <c r="AS24" s="995"/>
      <c r="AT24" s="995"/>
      <c r="AU24" s="995"/>
      <c r="AV24" s="995"/>
      <c r="AW24" s="995"/>
      <c r="AX24" s="995"/>
      <c r="AY24" s="995"/>
      <c r="AZ24" s="995"/>
      <c r="BA24" s="995"/>
      <c r="BB24" s="995"/>
      <c r="BC24" s="995"/>
      <c r="BD24" s="995"/>
      <c r="BE24" s="995"/>
      <c r="BF24" s="995"/>
      <c r="BG24" s="995"/>
      <c r="BH24" s="995"/>
      <c r="BI24" s="995"/>
      <c r="BJ24" s="995"/>
      <c r="BK24" s="995"/>
      <c r="BL24" s="995"/>
      <c r="BM24" s="995"/>
      <c r="BN24" s="995"/>
      <c r="BO24" s="995"/>
      <c r="BP24" s="995"/>
      <c r="BQ24" s="995"/>
      <c r="BR24" s="996"/>
      <c r="BS24" s="996"/>
      <c r="BT24" s="996"/>
      <c r="BU24" s="996"/>
      <c r="BV24" s="995"/>
      <c r="BW24" s="996"/>
      <c r="BX24" s="995"/>
      <c r="BY24" s="995"/>
      <c r="BZ24" s="995"/>
      <c r="CA24" s="996"/>
      <c r="CB24" s="996"/>
      <c r="CC24" s="996"/>
      <c r="CD24" s="996"/>
      <c r="CE24" s="996"/>
      <c r="CF24" s="996"/>
      <c r="CG24" s="996"/>
      <c r="CH24" s="996"/>
      <c r="CI24" s="996"/>
      <c r="CJ24" s="996"/>
      <c r="CK24" s="996"/>
      <c r="CL24" s="996"/>
      <c r="CM24" s="996"/>
      <c r="CN24" s="996"/>
      <c r="CO24" s="996"/>
      <c r="CP24" s="996"/>
      <c r="CQ24" s="996"/>
      <c r="CR24" s="996"/>
      <c r="CS24" s="995"/>
      <c r="CT24" s="995"/>
      <c r="CU24" s="995"/>
      <c r="CV24" s="995"/>
      <c r="CW24" s="995"/>
      <c r="CX24" s="995"/>
      <c r="CY24" s="995"/>
      <c r="CZ24" s="995"/>
      <c r="DA24" s="995"/>
      <c r="DB24" s="995"/>
      <c r="DC24" s="995"/>
    </row>
    <row r="25" spans="1:107" hidden="1" outlineLevel="1" collapsed="1">
      <c r="A25" s="2195"/>
      <c r="B25" s="389" t="s">
        <v>1446</v>
      </c>
      <c r="C25" s="132"/>
      <c r="D25" s="132"/>
      <c r="E25" s="132"/>
      <c r="F25" s="132"/>
      <c r="G25" s="132"/>
      <c r="H25" s="132"/>
      <c r="I25" s="132"/>
      <c r="J25" s="132"/>
      <c r="K25" s="132"/>
      <c r="L25" s="132"/>
      <c r="M25" s="132"/>
      <c r="N25" s="87">
        <f>BS25</f>
        <v>250</v>
      </c>
      <c r="O25" s="87">
        <f>BW25</f>
        <v>250</v>
      </c>
      <c r="P25" s="87">
        <f>CA25</f>
        <v>250</v>
      </c>
      <c r="Q25" s="87">
        <f>CE25</f>
        <v>0</v>
      </c>
      <c r="R25" s="87">
        <f t="shared" ref="R25:W25" si="18">CI25</f>
        <v>0</v>
      </c>
      <c r="S25" s="87">
        <f t="shared" si="18"/>
        <v>0</v>
      </c>
      <c r="T25" s="87">
        <f t="shared" si="18"/>
        <v>0</v>
      </c>
      <c r="U25" s="87">
        <f t="shared" si="18"/>
        <v>0</v>
      </c>
      <c r="V25" s="87">
        <f t="shared" si="18"/>
        <v>0</v>
      </c>
      <c r="W25" s="87">
        <f t="shared" si="18"/>
        <v>0</v>
      </c>
      <c r="X25" s="87">
        <f>+W25</f>
        <v>0</v>
      </c>
      <c r="Y25" s="87">
        <f>+X25</f>
        <v>0</v>
      </c>
      <c r="Z25" s="87">
        <f>+Y25</f>
        <v>0</v>
      </c>
      <c r="AA25" s="87">
        <f t="shared" ref="AA25:AD25" si="19">+Z25</f>
        <v>0</v>
      </c>
      <c r="AB25" s="87">
        <f t="shared" si="19"/>
        <v>0</v>
      </c>
      <c r="AC25" s="87">
        <f t="shared" si="19"/>
        <v>0</v>
      </c>
      <c r="AD25" s="87">
        <f t="shared" si="19"/>
        <v>0</v>
      </c>
      <c r="AE25" s="15"/>
      <c r="AF25" s="132"/>
      <c r="AG25" s="132"/>
      <c r="AH25" s="132"/>
      <c r="AI25" s="132"/>
      <c r="AJ25" s="132"/>
      <c r="AK25" s="132"/>
      <c r="AL25" s="132"/>
      <c r="AM25" s="132"/>
      <c r="AN25" s="132"/>
      <c r="AO25" s="132"/>
      <c r="AP25" s="132"/>
      <c r="AQ25" s="132"/>
      <c r="AR25" s="132"/>
      <c r="AS25" s="132"/>
      <c r="AT25" s="132"/>
      <c r="AU25" s="132"/>
      <c r="AV25" s="132"/>
      <c r="AW25" s="132"/>
      <c r="AX25" s="132"/>
      <c r="AY25" s="132"/>
      <c r="AZ25" s="132"/>
      <c r="BA25" s="132"/>
      <c r="BB25" s="132"/>
      <c r="BC25" s="132"/>
      <c r="BD25" s="132"/>
      <c r="BE25" s="132"/>
      <c r="BF25" s="132"/>
      <c r="BG25" s="132"/>
      <c r="BH25" s="132"/>
      <c r="BI25" s="132"/>
      <c r="BJ25" s="132"/>
      <c r="BK25" s="132"/>
      <c r="BL25" s="132"/>
      <c r="BM25" s="132"/>
      <c r="BN25" s="132"/>
      <c r="BO25" s="132"/>
      <c r="BP25" s="397">
        <v>250</v>
      </c>
      <c r="BQ25" s="397">
        <v>250</v>
      </c>
      <c r="BR25" s="397">
        <v>250</v>
      </c>
      <c r="BS25" s="397">
        <v>250</v>
      </c>
      <c r="BT25" s="397">
        <v>250</v>
      </c>
      <c r="BU25" s="397">
        <f t="shared" ref="BU25:CU25" si="20">+BT25+BU27</f>
        <v>250</v>
      </c>
      <c r="BV25" s="397">
        <f t="shared" si="20"/>
        <v>250</v>
      </c>
      <c r="BW25" s="397">
        <f t="shared" si="20"/>
        <v>250</v>
      </c>
      <c r="BX25" s="397">
        <f t="shared" si="20"/>
        <v>250</v>
      </c>
      <c r="BY25" s="397">
        <f t="shared" si="20"/>
        <v>250</v>
      </c>
      <c r="BZ25" s="397">
        <f t="shared" si="20"/>
        <v>250</v>
      </c>
      <c r="CA25" s="397">
        <f t="shared" si="20"/>
        <v>250</v>
      </c>
      <c r="CB25" s="397">
        <f t="shared" si="20"/>
        <v>250</v>
      </c>
      <c r="CC25" s="397">
        <f t="shared" si="20"/>
        <v>0</v>
      </c>
      <c r="CD25" s="397">
        <f t="shared" si="20"/>
        <v>0</v>
      </c>
      <c r="CE25" s="397">
        <f t="shared" si="20"/>
        <v>0</v>
      </c>
      <c r="CF25" s="397">
        <f t="shared" si="20"/>
        <v>0</v>
      </c>
      <c r="CG25" s="397">
        <f t="shared" si="20"/>
        <v>0</v>
      </c>
      <c r="CH25" s="397">
        <f t="shared" si="20"/>
        <v>0</v>
      </c>
      <c r="CI25" s="397">
        <f t="shared" si="20"/>
        <v>0</v>
      </c>
      <c r="CJ25" s="397">
        <f t="shared" si="20"/>
        <v>0</v>
      </c>
      <c r="CK25" s="397">
        <f t="shared" si="20"/>
        <v>0</v>
      </c>
      <c r="CL25" s="397">
        <f t="shared" si="20"/>
        <v>0</v>
      </c>
      <c r="CM25" s="397">
        <f t="shared" si="20"/>
        <v>0</v>
      </c>
      <c r="CN25" s="397">
        <f t="shared" si="20"/>
        <v>0</v>
      </c>
      <c r="CO25" s="397">
        <f t="shared" si="20"/>
        <v>0</v>
      </c>
      <c r="CP25" s="397">
        <f t="shared" si="20"/>
        <v>0</v>
      </c>
      <c r="CQ25" s="397">
        <f t="shared" si="20"/>
        <v>0</v>
      </c>
      <c r="CR25" s="397">
        <f t="shared" si="20"/>
        <v>0</v>
      </c>
      <c r="CS25" s="397">
        <f t="shared" si="20"/>
        <v>0</v>
      </c>
      <c r="CT25" s="397">
        <f t="shared" si="20"/>
        <v>0</v>
      </c>
      <c r="CU25" s="397">
        <f t="shared" si="20"/>
        <v>0</v>
      </c>
      <c r="CV25" s="397">
        <f>+CU25+CV27</f>
        <v>0</v>
      </c>
      <c r="CW25" s="397">
        <f>+CV25+CW27</f>
        <v>0</v>
      </c>
      <c r="CX25" s="397">
        <f>+CW25+CX27</f>
        <v>0</v>
      </c>
      <c r="CY25" s="397">
        <f>+CX25+CY27</f>
        <v>0</v>
      </c>
      <c r="CZ25" s="397">
        <f t="shared" ref="CZ25:DC25" si="21">+CY25+CZ27</f>
        <v>0</v>
      </c>
      <c r="DA25" s="397">
        <f t="shared" si="21"/>
        <v>0</v>
      </c>
      <c r="DB25" s="397">
        <f t="shared" si="21"/>
        <v>0</v>
      </c>
      <c r="DC25" s="397">
        <f t="shared" si="21"/>
        <v>0</v>
      </c>
    </row>
    <row r="26" spans="1:107" hidden="1" outlineLevel="1">
      <c r="A26" s="2195"/>
      <c r="B26" s="994" t="s">
        <v>1118</v>
      </c>
      <c r="C26" s="15"/>
      <c r="D26" s="15"/>
      <c r="E26" s="15"/>
      <c r="F26" s="15"/>
      <c r="G26" s="15"/>
      <c r="H26" s="15"/>
      <c r="I26" s="15"/>
      <c r="J26" s="15"/>
      <c r="K26" s="789"/>
      <c r="L26" s="26">
        <f>BK26</f>
        <v>0</v>
      </c>
      <c r="M26" s="26"/>
      <c r="N26" s="26">
        <f t="shared" ref="N26:Z26" si="22">M29</f>
        <v>212.524</v>
      </c>
      <c r="O26" s="26">
        <f t="shared" si="22"/>
        <v>222.94300000000001</v>
      </c>
      <c r="P26" s="26">
        <f t="shared" si="22"/>
        <v>234.185</v>
      </c>
      <c r="Q26" s="26">
        <f t="shared" ca="1" si="22"/>
        <v>244.79424287597715</v>
      </c>
      <c r="R26" s="26">
        <f t="shared" si="22"/>
        <v>0</v>
      </c>
      <c r="S26" s="26">
        <f t="shared" si="22"/>
        <v>0</v>
      </c>
      <c r="T26" s="26">
        <f t="shared" si="22"/>
        <v>0</v>
      </c>
      <c r="U26" s="26">
        <f t="shared" si="22"/>
        <v>0</v>
      </c>
      <c r="V26" s="26">
        <f t="shared" si="22"/>
        <v>0</v>
      </c>
      <c r="W26" s="26">
        <f t="shared" si="22"/>
        <v>0</v>
      </c>
      <c r="X26" s="996">
        <f t="shared" si="22"/>
        <v>0</v>
      </c>
      <c r="Y26" s="996">
        <f t="shared" si="22"/>
        <v>0</v>
      </c>
      <c r="Z26" s="996">
        <f t="shared" si="22"/>
        <v>0</v>
      </c>
      <c r="AA26" s="996">
        <f t="shared" ref="AA26" si="23">Z29</f>
        <v>0</v>
      </c>
      <c r="AB26" s="996">
        <f t="shared" ref="AB26" si="24">AA29</f>
        <v>0</v>
      </c>
      <c r="AC26" s="996">
        <f t="shared" ref="AC26" si="25">AB29</f>
        <v>0</v>
      </c>
      <c r="AD26" s="996">
        <f t="shared" ref="AD26" si="26">AC29</f>
        <v>0</v>
      </c>
      <c r="AE26" s="15"/>
      <c r="AF26" s="26"/>
      <c r="AG26" s="26"/>
      <c r="AH26" s="26"/>
      <c r="AI26" s="26"/>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814">
        <v>250</v>
      </c>
      <c r="BI26" s="26"/>
      <c r="BJ26" s="26"/>
      <c r="BK26" s="26"/>
      <c r="BL26" s="26"/>
      <c r="BM26" s="26"/>
      <c r="BN26" s="26"/>
      <c r="BO26" s="26"/>
      <c r="BP26" s="26">
        <f t="shared" ref="BP26:CB26" si="27">BO29</f>
        <v>212.524</v>
      </c>
      <c r="BQ26" s="26">
        <f t="shared" si="27"/>
        <v>215.03899999999999</v>
      </c>
      <c r="BR26" s="26">
        <f t="shared" si="27"/>
        <v>217.63499999999999</v>
      </c>
      <c r="BS26" s="26">
        <f t="shared" si="27"/>
        <v>220.24700000000001</v>
      </c>
      <c r="BT26" s="26">
        <f t="shared" si="27"/>
        <v>222.94300000000001</v>
      </c>
      <c r="BU26" s="26">
        <f t="shared" si="27"/>
        <v>225.65600000000001</v>
      </c>
      <c r="BV26" s="26">
        <f t="shared" si="27"/>
        <v>228.45699999999999</v>
      </c>
      <c r="BW26" s="26">
        <f t="shared" si="27"/>
        <v>231.27600000000001</v>
      </c>
      <c r="BX26" s="26">
        <f t="shared" si="27"/>
        <v>234.185</v>
      </c>
      <c r="BY26" s="26">
        <f t="shared" si="27"/>
        <v>236.78100000000001</v>
      </c>
      <c r="BZ26" s="26">
        <f t="shared" si="27"/>
        <v>239.40535937854574</v>
      </c>
      <c r="CA26" s="26">
        <f t="shared" si="27"/>
        <v>242.08617671947923</v>
      </c>
      <c r="CB26" s="26">
        <f t="shared" ca="1" si="27"/>
        <v>244.79424287597715</v>
      </c>
      <c r="CC26" s="26"/>
      <c r="CD26" s="996">
        <f t="shared" ref="CD26:CU26" si="28">CC29</f>
        <v>0</v>
      </c>
      <c r="CE26" s="996">
        <f t="shared" si="28"/>
        <v>0</v>
      </c>
      <c r="CF26" s="996">
        <f t="shared" si="28"/>
        <v>0</v>
      </c>
      <c r="CG26" s="996">
        <f t="shared" si="28"/>
        <v>0</v>
      </c>
      <c r="CH26" s="996">
        <f t="shared" si="28"/>
        <v>0</v>
      </c>
      <c r="CI26" s="996">
        <f t="shared" si="28"/>
        <v>0</v>
      </c>
      <c r="CJ26" s="996">
        <f t="shared" si="28"/>
        <v>0</v>
      </c>
      <c r="CK26" s="996">
        <f t="shared" si="28"/>
        <v>0</v>
      </c>
      <c r="CL26" s="996">
        <f t="shared" si="28"/>
        <v>0</v>
      </c>
      <c r="CM26" s="996">
        <f t="shared" si="28"/>
        <v>0</v>
      </c>
      <c r="CN26" s="996">
        <f t="shared" si="28"/>
        <v>0</v>
      </c>
      <c r="CO26" s="996">
        <f t="shared" si="28"/>
        <v>0</v>
      </c>
      <c r="CP26" s="996">
        <f t="shared" si="28"/>
        <v>0</v>
      </c>
      <c r="CQ26" s="996">
        <f t="shared" si="28"/>
        <v>0</v>
      </c>
      <c r="CR26" s="996">
        <f t="shared" si="28"/>
        <v>0</v>
      </c>
      <c r="CS26" s="996">
        <f t="shared" si="28"/>
        <v>0</v>
      </c>
      <c r="CT26" s="996">
        <f t="shared" si="28"/>
        <v>0</v>
      </c>
      <c r="CU26" s="996">
        <f t="shared" si="28"/>
        <v>0</v>
      </c>
      <c r="CV26" s="996">
        <f>CU29</f>
        <v>0</v>
      </c>
      <c r="CW26" s="996">
        <f>CV29</f>
        <v>0</v>
      </c>
      <c r="CX26" s="996">
        <f>CW29</f>
        <v>0</v>
      </c>
      <c r="CY26" s="996">
        <f>CX29</f>
        <v>0</v>
      </c>
      <c r="CZ26" s="996">
        <f t="shared" ref="CZ26:DC26" si="29">CY29</f>
        <v>0</v>
      </c>
      <c r="DA26" s="996">
        <f t="shared" si="29"/>
        <v>0</v>
      </c>
      <c r="DB26" s="996">
        <f t="shared" si="29"/>
        <v>0</v>
      </c>
      <c r="DC26" s="996">
        <f t="shared" si="29"/>
        <v>0</v>
      </c>
    </row>
    <row r="27" spans="1:107" hidden="1" outlineLevel="1">
      <c r="A27" s="2195"/>
      <c r="B27" s="994" t="s">
        <v>1119</v>
      </c>
      <c r="C27" s="15"/>
      <c r="D27" s="15"/>
      <c r="E27" s="15"/>
      <c r="F27" s="15"/>
      <c r="G27" s="15"/>
      <c r="H27" s="15"/>
      <c r="I27" s="15"/>
      <c r="J27" s="15"/>
      <c r="K27" s="789"/>
      <c r="L27" s="26"/>
      <c r="M27" s="26"/>
      <c r="N27" s="26"/>
      <c r="O27" s="26"/>
      <c r="P27" s="26"/>
      <c r="Q27" s="26"/>
      <c r="R27" s="26"/>
      <c r="S27" s="26"/>
      <c r="T27" s="26"/>
      <c r="U27" s="26"/>
      <c r="V27" s="26"/>
      <c r="W27" s="26"/>
      <c r="X27" s="996"/>
      <c r="Y27" s="996"/>
      <c r="Z27" s="996"/>
      <c r="AA27" s="996"/>
      <c r="AB27" s="996"/>
      <c r="AC27" s="996"/>
      <c r="AD27" s="996"/>
      <c r="AE27" s="15"/>
      <c r="AF27" s="26"/>
      <c r="AG27" s="26"/>
      <c r="AH27" s="26"/>
      <c r="AI27" s="26"/>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814"/>
      <c r="BI27" s="26"/>
      <c r="BJ27" s="26"/>
      <c r="BK27" s="26"/>
      <c r="BL27" s="26"/>
      <c r="BM27" s="26"/>
      <c r="BN27" s="26"/>
      <c r="BO27" s="26"/>
      <c r="BP27" s="26"/>
      <c r="BQ27" s="26"/>
      <c r="BR27" s="26"/>
      <c r="BS27" s="26"/>
      <c r="BT27" s="26"/>
      <c r="BU27" s="26"/>
      <c r="BV27" s="26"/>
      <c r="BW27" s="26"/>
      <c r="BX27" s="26"/>
      <c r="BY27" s="26"/>
      <c r="BZ27" s="26"/>
      <c r="CA27" s="26"/>
      <c r="CB27" s="26"/>
      <c r="CC27" s="1002">
        <v>-250</v>
      </c>
      <c r="CD27" s="996"/>
      <c r="CE27" s="996"/>
      <c r="CF27" s="996"/>
      <c r="CG27" s="996"/>
      <c r="CH27" s="996"/>
      <c r="CI27" s="996"/>
      <c r="CJ27" s="996"/>
      <c r="CK27" s="996"/>
      <c r="CL27" s="996"/>
      <c r="CM27" s="996"/>
      <c r="CN27" s="996"/>
      <c r="CO27" s="996"/>
      <c r="CP27" s="996"/>
      <c r="CQ27" s="996"/>
      <c r="CR27" s="996"/>
      <c r="CS27" s="996"/>
      <c r="CT27" s="996"/>
      <c r="CU27" s="996"/>
      <c r="CV27" s="996"/>
      <c r="CW27" s="996"/>
      <c r="CX27" s="996"/>
      <c r="CY27" s="996"/>
      <c r="CZ27" s="996"/>
      <c r="DA27" s="996"/>
      <c r="DB27" s="996"/>
      <c r="DC27" s="996"/>
    </row>
    <row r="28" spans="1:107" hidden="1" outlineLevel="1">
      <c r="A28" s="2195"/>
      <c r="B28" s="994" t="s">
        <v>15</v>
      </c>
      <c r="C28" s="15"/>
      <c r="D28" s="15"/>
      <c r="E28" s="15"/>
      <c r="F28" s="15"/>
      <c r="G28" s="15"/>
      <c r="H28" s="15"/>
      <c r="I28" s="15"/>
      <c r="J28" s="15"/>
      <c r="K28" s="789"/>
      <c r="L28" s="26">
        <f>BK28</f>
        <v>0</v>
      </c>
      <c r="M28" s="26"/>
      <c r="N28" s="26">
        <f>BS28</f>
        <v>-27.056999999999999</v>
      </c>
      <c r="O28" s="26">
        <f>BW28</f>
        <v>-15.815</v>
      </c>
      <c r="P28" s="26">
        <f ca="1">CA28</f>
        <v>-5.2057571240228526</v>
      </c>
      <c r="Q28" s="26">
        <f>CE28</f>
        <v>0</v>
      </c>
      <c r="R28" s="26">
        <f t="shared" ref="R28:W29" si="30">CI28</f>
        <v>0</v>
      </c>
      <c r="S28" s="26">
        <f t="shared" si="30"/>
        <v>0</v>
      </c>
      <c r="T28" s="26">
        <f t="shared" si="30"/>
        <v>0</v>
      </c>
      <c r="U28" s="26">
        <f t="shared" si="30"/>
        <v>0</v>
      </c>
      <c r="V28" s="26">
        <f t="shared" si="30"/>
        <v>0</v>
      </c>
      <c r="W28" s="26">
        <f t="shared" si="30"/>
        <v>0</v>
      </c>
      <c r="X28" s="996">
        <f>X29-X26</f>
        <v>0</v>
      </c>
      <c r="Y28" s="996">
        <f>Y29-Y26</f>
        <v>0</v>
      </c>
      <c r="Z28" s="996">
        <f>Z29-Z26</f>
        <v>0</v>
      </c>
      <c r="AA28" s="996">
        <f t="shared" ref="AA28:AD28" si="31">AA29-AA26</f>
        <v>0</v>
      </c>
      <c r="AB28" s="996">
        <f t="shared" si="31"/>
        <v>0</v>
      </c>
      <c r="AC28" s="996">
        <f t="shared" si="31"/>
        <v>0</v>
      </c>
      <c r="AD28" s="996">
        <f t="shared" si="31"/>
        <v>0</v>
      </c>
      <c r="AE28" s="15"/>
      <c r="AF28" s="783"/>
      <c r="AG28" s="783"/>
      <c r="AH28" s="783"/>
      <c r="AI28" s="783"/>
      <c r="AJ28" s="783"/>
      <c r="AK28" s="783"/>
      <c r="AL28" s="783"/>
      <c r="AM28" s="783"/>
      <c r="AN28" s="783"/>
      <c r="AO28" s="783"/>
      <c r="AP28" s="783"/>
      <c r="AQ28" s="783"/>
      <c r="AR28" s="783"/>
      <c r="AS28" s="783"/>
      <c r="AT28" s="783"/>
      <c r="AU28" s="783"/>
      <c r="AV28" s="783"/>
      <c r="AW28" s="783"/>
      <c r="AX28" s="783"/>
      <c r="AY28" s="783"/>
      <c r="AZ28" s="783"/>
      <c r="BA28" s="783"/>
      <c r="BB28" s="783"/>
      <c r="BC28" s="783"/>
      <c r="BD28" s="783"/>
      <c r="BE28" s="783"/>
      <c r="BF28" s="783"/>
      <c r="BG28" s="783"/>
      <c r="BH28" s="783">
        <f>BH29-BH26</f>
        <v>-68.57335903253221</v>
      </c>
      <c r="BI28" s="783"/>
      <c r="BJ28" s="783"/>
      <c r="BK28" s="783"/>
      <c r="BL28" s="783"/>
      <c r="BM28" s="783"/>
      <c r="BN28" s="783"/>
      <c r="BO28" s="398"/>
      <c r="BP28" s="398">
        <f>BP29-BH26</f>
        <v>-34.961000000000013</v>
      </c>
      <c r="BQ28" s="398">
        <v>-32.365000000000002</v>
      </c>
      <c r="BR28" s="398">
        <v>-29.752999999999986</v>
      </c>
      <c r="BS28" s="398">
        <v>-27.056999999999999</v>
      </c>
      <c r="BT28" s="398">
        <v>-24.344000000000008</v>
      </c>
      <c r="BU28" s="398">
        <v>-21.543000000000017</v>
      </c>
      <c r="BV28" s="398">
        <v>-18.72399999999999</v>
      </c>
      <c r="BW28" s="398">
        <f>2.90899999999999+BV28</f>
        <v>-15.815</v>
      </c>
      <c r="BX28" s="398">
        <f>-0.019-13.2</f>
        <v>-13.218999999999999</v>
      </c>
      <c r="BY28" s="398">
        <v>-10.594640621454273</v>
      </c>
      <c r="BZ28" s="398">
        <v>-7.91382328052077</v>
      </c>
      <c r="CA28" s="398">
        <f ca="1">-CA229-78.652</f>
        <v>-5.2057571240228526</v>
      </c>
      <c r="CB28" s="398">
        <f ca="1">-CB229-72.103</f>
        <v>-2.4381652178726227</v>
      </c>
      <c r="CC28" s="26"/>
      <c r="CD28" s="996">
        <f t="shared" ref="CD28:CU28" si="32">CD29-CD26</f>
        <v>0</v>
      </c>
      <c r="CE28" s="996">
        <f t="shared" si="32"/>
        <v>0</v>
      </c>
      <c r="CF28" s="996">
        <f t="shared" si="32"/>
        <v>0</v>
      </c>
      <c r="CG28" s="996">
        <f t="shared" si="32"/>
        <v>0</v>
      </c>
      <c r="CH28" s="996">
        <f t="shared" si="32"/>
        <v>0</v>
      </c>
      <c r="CI28" s="996">
        <f t="shared" si="32"/>
        <v>0</v>
      </c>
      <c r="CJ28" s="996">
        <f t="shared" si="32"/>
        <v>0</v>
      </c>
      <c r="CK28" s="996">
        <f t="shared" si="32"/>
        <v>0</v>
      </c>
      <c r="CL28" s="996">
        <f t="shared" si="32"/>
        <v>0</v>
      </c>
      <c r="CM28" s="996">
        <f t="shared" si="32"/>
        <v>0</v>
      </c>
      <c r="CN28" s="996">
        <f t="shared" si="32"/>
        <v>0</v>
      </c>
      <c r="CO28" s="996">
        <f t="shared" si="32"/>
        <v>0</v>
      </c>
      <c r="CP28" s="996">
        <f t="shared" si="32"/>
        <v>0</v>
      </c>
      <c r="CQ28" s="996">
        <f>CQ29-CQ26</f>
        <v>0</v>
      </c>
      <c r="CR28" s="996">
        <f>CR29-CR26</f>
        <v>0</v>
      </c>
      <c r="CS28" s="996">
        <f t="shared" si="32"/>
        <v>0</v>
      </c>
      <c r="CT28" s="996">
        <f t="shared" si="32"/>
        <v>0</v>
      </c>
      <c r="CU28" s="996">
        <f t="shared" si="32"/>
        <v>0</v>
      </c>
      <c r="CV28" s="996">
        <f>CV29-CV26</f>
        <v>0</v>
      </c>
      <c r="CW28" s="996">
        <f>CW29-CW26</f>
        <v>0</v>
      </c>
      <c r="CX28" s="996">
        <f>CX29-CX26</f>
        <v>0</v>
      </c>
      <c r="CY28" s="996">
        <f>CY29-CY26</f>
        <v>0</v>
      </c>
      <c r="CZ28" s="996">
        <f t="shared" ref="CZ28:DC28" si="33">CZ29-CZ26</f>
        <v>0</v>
      </c>
      <c r="DA28" s="996">
        <f t="shared" si="33"/>
        <v>0</v>
      </c>
      <c r="DB28" s="996">
        <f t="shared" si="33"/>
        <v>0</v>
      </c>
      <c r="DC28" s="996">
        <f t="shared" si="33"/>
        <v>0</v>
      </c>
    </row>
    <row r="29" spans="1:107" hidden="1" outlineLevel="1">
      <c r="A29" s="2195"/>
      <c r="B29" s="994" t="s">
        <v>261</v>
      </c>
      <c r="C29" s="15"/>
      <c r="D29" s="15"/>
      <c r="E29" s="15"/>
      <c r="F29" s="15"/>
      <c r="G29" s="15"/>
      <c r="H29" s="15"/>
      <c r="I29" s="15"/>
      <c r="J29" s="15"/>
      <c r="K29" s="789"/>
      <c r="L29" s="26">
        <f>BK29</f>
        <v>0</v>
      </c>
      <c r="M29" s="26">
        <f>BO29</f>
        <v>212.524</v>
      </c>
      <c r="N29" s="26">
        <f>BS29</f>
        <v>222.94300000000001</v>
      </c>
      <c r="O29" s="26">
        <f>BW29</f>
        <v>234.185</v>
      </c>
      <c r="P29" s="26">
        <f ca="1">CA29</f>
        <v>244.79424287597715</v>
      </c>
      <c r="Q29" s="26">
        <f>CE29</f>
        <v>0</v>
      </c>
      <c r="R29" s="26">
        <f t="shared" si="30"/>
        <v>0</v>
      </c>
      <c r="S29" s="26">
        <f t="shared" si="30"/>
        <v>0</v>
      </c>
      <c r="T29" s="26">
        <f t="shared" si="30"/>
        <v>0</v>
      </c>
      <c r="U29" s="26">
        <f t="shared" si="30"/>
        <v>0</v>
      </c>
      <c r="V29" s="26">
        <f t="shared" si="30"/>
        <v>0</v>
      </c>
      <c r="W29" s="26">
        <f t="shared" si="30"/>
        <v>0</v>
      </c>
      <c r="X29" s="996">
        <f>W29</f>
        <v>0</v>
      </c>
      <c r="Y29" s="996">
        <f>X29</f>
        <v>0</v>
      </c>
      <c r="Z29" s="996">
        <f>Y29</f>
        <v>0</v>
      </c>
      <c r="AA29" s="996">
        <f t="shared" ref="AA29:AD29" si="34">Z29</f>
        <v>0</v>
      </c>
      <c r="AB29" s="996">
        <f t="shared" si="34"/>
        <v>0</v>
      </c>
      <c r="AC29" s="996">
        <f t="shared" si="34"/>
        <v>0</v>
      </c>
      <c r="AD29" s="996">
        <f t="shared" si="34"/>
        <v>0</v>
      </c>
      <c r="AE29" s="15"/>
      <c r="AF29" s="54"/>
      <c r="AG29" s="5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54"/>
      <c r="BH29" s="54">
        <f>-PV(C317/4, 20, 1, BH26)</f>
        <v>181.42664096746779</v>
      </c>
      <c r="BI29" s="54"/>
      <c r="BJ29" s="54"/>
      <c r="BK29" s="54"/>
      <c r="BL29" s="54"/>
      <c r="BM29" s="54"/>
      <c r="BN29" s="54"/>
      <c r="BO29" s="398">
        <f>627.66-BO22-BO35</f>
        <v>212.524</v>
      </c>
      <c r="BP29" s="398">
        <f>630.175-BP22-BP35</f>
        <v>215.03899999999999</v>
      </c>
      <c r="BQ29" s="54">
        <f>BQ28+BP$25+BQ27</f>
        <v>217.63499999999999</v>
      </c>
      <c r="BR29" s="54">
        <f>BR28+BQ$25+BR27</f>
        <v>220.24700000000001</v>
      </c>
      <c r="BS29" s="54">
        <f>BS28+BR$25+BS27</f>
        <v>222.94300000000001</v>
      </c>
      <c r="BT29" s="54">
        <f t="shared" ref="BT29:CC29" si="35">BT28+BT$25</f>
        <v>225.65600000000001</v>
      </c>
      <c r="BU29" s="54">
        <f t="shared" si="35"/>
        <v>228.45699999999999</v>
      </c>
      <c r="BV29" s="54">
        <f t="shared" si="35"/>
        <v>231.27600000000001</v>
      </c>
      <c r="BW29" s="54">
        <f t="shared" si="35"/>
        <v>234.185</v>
      </c>
      <c r="BX29" s="54">
        <f t="shared" si="35"/>
        <v>236.78100000000001</v>
      </c>
      <c r="BY29" s="54">
        <f t="shared" si="35"/>
        <v>239.40535937854574</v>
      </c>
      <c r="BZ29" s="54">
        <f t="shared" si="35"/>
        <v>242.08617671947923</v>
      </c>
      <c r="CA29" s="54">
        <f t="shared" ca="1" si="35"/>
        <v>244.79424287597715</v>
      </c>
      <c r="CB29" s="54">
        <f t="shared" ca="1" si="35"/>
        <v>247.56183478212739</v>
      </c>
      <c r="CC29" s="54">
        <f t="shared" si="35"/>
        <v>0</v>
      </c>
      <c r="CD29" s="996">
        <f t="shared" ref="CD29:CU29" si="36">CC29</f>
        <v>0</v>
      </c>
      <c r="CE29" s="996">
        <f t="shared" si="36"/>
        <v>0</v>
      </c>
      <c r="CF29" s="996">
        <f t="shared" si="36"/>
        <v>0</v>
      </c>
      <c r="CG29" s="996">
        <f t="shared" si="36"/>
        <v>0</v>
      </c>
      <c r="CH29" s="996">
        <f t="shared" si="36"/>
        <v>0</v>
      </c>
      <c r="CI29" s="996">
        <f t="shared" si="36"/>
        <v>0</v>
      </c>
      <c r="CJ29" s="996">
        <f t="shared" si="36"/>
        <v>0</v>
      </c>
      <c r="CK29" s="996">
        <f t="shared" si="36"/>
        <v>0</v>
      </c>
      <c r="CL29" s="996">
        <f t="shared" si="36"/>
        <v>0</v>
      </c>
      <c r="CM29" s="996">
        <f t="shared" si="36"/>
        <v>0</v>
      </c>
      <c r="CN29" s="996">
        <f t="shared" si="36"/>
        <v>0</v>
      </c>
      <c r="CO29" s="996">
        <f t="shared" si="36"/>
        <v>0</v>
      </c>
      <c r="CP29" s="996">
        <f t="shared" si="36"/>
        <v>0</v>
      </c>
      <c r="CQ29" s="996">
        <f t="shared" si="36"/>
        <v>0</v>
      </c>
      <c r="CR29" s="996">
        <f t="shared" si="36"/>
        <v>0</v>
      </c>
      <c r="CS29" s="996">
        <f t="shared" si="36"/>
        <v>0</v>
      </c>
      <c r="CT29" s="996">
        <f t="shared" si="36"/>
        <v>0</v>
      </c>
      <c r="CU29" s="996">
        <f t="shared" si="36"/>
        <v>0</v>
      </c>
      <c r="CV29" s="996">
        <f>CU29</f>
        <v>0</v>
      </c>
      <c r="CW29" s="996">
        <f>CV29</f>
        <v>0</v>
      </c>
      <c r="CX29" s="996">
        <f>CW29</f>
        <v>0</v>
      </c>
      <c r="CY29" s="996">
        <f>CX29</f>
        <v>0</v>
      </c>
      <c r="CZ29" s="996">
        <f t="shared" ref="CZ29:DC29" si="37">CY29</f>
        <v>0</v>
      </c>
      <c r="DA29" s="996">
        <f t="shared" si="37"/>
        <v>0</v>
      </c>
      <c r="DB29" s="996">
        <f t="shared" si="37"/>
        <v>0</v>
      </c>
      <c r="DC29" s="996">
        <f t="shared" si="37"/>
        <v>0</v>
      </c>
    </row>
    <row r="30" spans="1:107" hidden="1" outlineLevel="1">
      <c r="A30" s="2195"/>
      <c r="B30" s="994" t="s">
        <v>262</v>
      </c>
      <c r="C30" s="15"/>
      <c r="D30" s="15"/>
      <c r="E30" s="15"/>
      <c r="F30" s="15"/>
      <c r="G30" s="15"/>
      <c r="H30" s="15"/>
      <c r="I30" s="15"/>
      <c r="J30" s="15"/>
      <c r="K30" s="15"/>
      <c r="L30" s="15"/>
      <c r="M30" s="15"/>
      <c r="N30" s="15"/>
      <c r="O30" s="15"/>
      <c r="P30" s="15"/>
      <c r="Q30" s="15"/>
      <c r="R30" s="15"/>
      <c r="S30" s="15"/>
      <c r="T30" s="15"/>
      <c r="U30" s="15"/>
      <c r="V30" s="15"/>
      <c r="W30" s="15"/>
      <c r="X30" s="15"/>
      <c r="Y30" s="15"/>
      <c r="Z30" s="15"/>
      <c r="AA30" s="15"/>
      <c r="AB30" s="15"/>
      <c r="AC30" s="15"/>
      <c r="AD30" s="15"/>
      <c r="AE30" s="15"/>
      <c r="AF30" s="26"/>
      <c r="AG30" s="26"/>
      <c r="AH30" s="26"/>
      <c r="AI30" s="26"/>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398"/>
      <c r="BO30" s="398">
        <v>128.55199999999999</v>
      </c>
      <c r="BP30" s="398"/>
      <c r="BQ30" s="398"/>
      <c r="BR30" s="398">
        <v>223.899</v>
      </c>
      <c r="BS30" s="398">
        <v>228.935</v>
      </c>
      <c r="BT30" s="398">
        <v>240.119</v>
      </c>
      <c r="BU30" s="398">
        <v>236.82400000000001</v>
      </c>
      <c r="BV30" s="398">
        <v>245.46899999999999</v>
      </c>
      <c r="BW30" s="398">
        <v>246.28</v>
      </c>
      <c r="BX30" s="26"/>
      <c r="BY30" s="26"/>
      <c r="BZ30" s="26"/>
      <c r="CA30" s="26"/>
      <c r="CB30" s="26"/>
      <c r="CC30" s="26"/>
      <c r="CD30" s="26"/>
      <c r="CE30" s="26"/>
      <c r="CF30" s="26"/>
      <c r="CG30" s="26"/>
      <c r="CH30" s="26"/>
      <c r="CI30" s="26"/>
      <c r="CJ30" s="26"/>
      <c r="CK30" s="26"/>
      <c r="CL30" s="26"/>
      <c r="CM30" s="26"/>
      <c r="CN30" s="26"/>
      <c r="CO30" s="26"/>
      <c r="CP30" s="26"/>
      <c r="CQ30" s="26"/>
      <c r="CR30" s="26"/>
      <c r="CS30" s="26"/>
      <c r="CT30" s="26"/>
      <c r="CU30" s="26"/>
      <c r="CV30" s="26"/>
      <c r="CW30" s="26"/>
      <c r="CX30" s="26"/>
      <c r="CY30" s="26"/>
      <c r="CZ30" s="26"/>
      <c r="DA30" s="26"/>
      <c r="DB30" s="26"/>
      <c r="DC30" s="26"/>
    </row>
    <row r="31" spans="1:107" hidden="1" outlineLevel="1">
      <c r="A31" s="15"/>
      <c r="B31" s="876"/>
      <c r="C31" s="15"/>
      <c r="D31" s="15"/>
      <c r="E31" s="15"/>
      <c r="F31" s="15"/>
      <c r="G31" s="15"/>
      <c r="H31" s="15"/>
      <c r="I31" s="15"/>
      <c r="J31" s="15"/>
      <c r="K31" s="15"/>
      <c r="L31" s="15"/>
      <c r="M31" s="15"/>
      <c r="N31" s="15"/>
      <c r="O31" s="15"/>
      <c r="P31" s="15"/>
      <c r="Q31" s="15"/>
      <c r="R31" s="15"/>
      <c r="S31" s="15"/>
      <c r="T31" s="15"/>
      <c r="U31" s="15"/>
      <c r="V31" s="15"/>
      <c r="W31" s="15"/>
      <c r="X31" s="15"/>
      <c r="Y31" s="15"/>
      <c r="Z31" s="15"/>
      <c r="AA31" s="15"/>
      <c r="AB31" s="15"/>
      <c r="AC31" s="15"/>
      <c r="AD31" s="15"/>
      <c r="AE31" s="15"/>
      <c r="AF31" s="26"/>
      <c r="AG31" s="26"/>
      <c r="AH31" s="26"/>
      <c r="AI31" s="26"/>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783"/>
      <c r="BS31" s="783"/>
      <c r="BT31" s="26"/>
      <c r="BU31" s="26"/>
      <c r="BV31" s="26"/>
      <c r="BW31" s="26"/>
      <c r="BX31" s="26"/>
      <c r="BY31" s="26"/>
      <c r="BZ31" s="26"/>
      <c r="CA31" s="26"/>
      <c r="CB31" s="26"/>
      <c r="CC31" s="26"/>
      <c r="CD31" s="26"/>
      <c r="CE31" s="26"/>
      <c r="CF31" s="26"/>
      <c r="CG31" s="26"/>
      <c r="CH31" s="26"/>
      <c r="CI31" s="26"/>
      <c r="CJ31" s="26"/>
      <c r="CK31" s="26"/>
      <c r="CL31" s="26"/>
      <c r="CM31" s="26"/>
      <c r="CN31" s="26"/>
      <c r="CO31" s="26"/>
      <c r="CP31" s="26"/>
      <c r="CQ31" s="26"/>
      <c r="CR31" s="26"/>
      <c r="CS31" s="26"/>
      <c r="CT31" s="26"/>
      <c r="CU31" s="26"/>
      <c r="CV31" s="26"/>
      <c r="CW31" s="26"/>
      <c r="CX31" s="26"/>
      <c r="CY31" s="26"/>
      <c r="CZ31" s="26"/>
      <c r="DA31" s="26"/>
      <c r="DB31" s="26"/>
      <c r="DC31" s="26"/>
    </row>
    <row r="32" spans="1:107" hidden="1" outlineLevel="1">
      <c r="A32" s="2195"/>
      <c r="B32" s="132" t="s">
        <v>1447</v>
      </c>
      <c r="C32" s="132"/>
      <c r="D32" s="132"/>
      <c r="E32" s="132"/>
      <c r="F32" s="132"/>
      <c r="G32" s="132"/>
      <c r="H32" s="132"/>
      <c r="I32" s="132"/>
      <c r="J32" s="132"/>
      <c r="K32" s="132"/>
      <c r="L32" s="132"/>
      <c r="M32" s="132"/>
      <c r="N32" s="87">
        <f>BS32</f>
        <v>395.98599999999999</v>
      </c>
      <c r="O32" s="87">
        <f>BW32</f>
        <v>395.98599999999999</v>
      </c>
      <c r="P32" s="87">
        <f>CA32</f>
        <v>395.98599999999999</v>
      </c>
      <c r="Q32" s="87">
        <f>CE32</f>
        <v>395.98599999999999</v>
      </c>
      <c r="R32" s="87">
        <f>CI32</f>
        <v>395.98599999999999</v>
      </c>
      <c r="S32" s="87">
        <f>CM32</f>
        <v>0</v>
      </c>
      <c r="T32" s="87">
        <f t="shared" ref="T32:W33" si="38">CQ32</f>
        <v>0</v>
      </c>
      <c r="U32" s="87">
        <f t="shared" si="38"/>
        <v>0</v>
      </c>
      <c r="V32" s="87">
        <f t="shared" si="38"/>
        <v>0</v>
      </c>
      <c r="W32" s="87">
        <f t="shared" si="38"/>
        <v>0</v>
      </c>
      <c r="X32" s="87">
        <f ca="1">X35</f>
        <v>0</v>
      </c>
      <c r="Y32" s="87">
        <f ca="1">Y35</f>
        <v>0</v>
      </c>
      <c r="Z32" s="87">
        <f ca="1">Z35</f>
        <v>0</v>
      </c>
      <c r="AA32" s="87">
        <f t="shared" ref="AA32:AD32" ca="1" si="39">AA35</f>
        <v>0</v>
      </c>
      <c r="AB32" s="87">
        <f t="shared" ca="1" si="39"/>
        <v>0</v>
      </c>
      <c r="AC32" s="87">
        <f t="shared" ca="1" si="39"/>
        <v>0</v>
      </c>
      <c r="AD32" s="87">
        <f t="shared" ca="1" si="39"/>
        <v>0</v>
      </c>
      <c r="AE32" s="15"/>
      <c r="AF32" s="132"/>
      <c r="AG32" s="132"/>
      <c r="AH32" s="132"/>
      <c r="AI32" s="132"/>
      <c r="AJ32" s="132"/>
      <c r="AK32" s="132"/>
      <c r="AL32" s="132"/>
      <c r="AM32" s="132"/>
      <c r="AN32" s="132"/>
      <c r="AO32" s="132"/>
      <c r="AP32" s="132"/>
      <c r="AQ32" s="132"/>
      <c r="AR32" s="132"/>
      <c r="AS32" s="132"/>
      <c r="AT32" s="132"/>
      <c r="AU32" s="132"/>
      <c r="AV32" s="132"/>
      <c r="AW32" s="132"/>
      <c r="AX32" s="132"/>
      <c r="AY32" s="132"/>
      <c r="AZ32" s="132"/>
      <c r="BA32" s="132"/>
      <c r="BB32" s="132"/>
      <c r="BC32" s="132"/>
      <c r="BD32" s="132"/>
      <c r="BE32" s="132"/>
      <c r="BF32" s="132"/>
      <c r="BG32" s="132"/>
      <c r="BH32" s="132"/>
      <c r="BI32" s="132"/>
      <c r="BJ32" s="397">
        <v>395.98599999999999</v>
      </c>
      <c r="BK32" s="397">
        <v>395.98599999999999</v>
      </c>
      <c r="BL32" s="397">
        <v>395.98599999999999</v>
      </c>
      <c r="BM32" s="397">
        <v>395.98599999999999</v>
      </c>
      <c r="BN32" s="397">
        <v>395.98599999999999</v>
      </c>
      <c r="BO32" s="397">
        <v>395.98599999999999</v>
      </c>
      <c r="BP32" s="397">
        <v>395.98599999999999</v>
      </c>
      <c r="BQ32" s="397">
        <v>395.98599999999999</v>
      </c>
      <c r="BR32" s="397">
        <v>395.98599999999999</v>
      </c>
      <c r="BS32" s="397">
        <v>395.98599999999999</v>
      </c>
      <c r="BT32" s="397">
        <v>395.98599999999999</v>
      </c>
      <c r="BU32" s="397">
        <v>395.98599999999999</v>
      </c>
      <c r="BV32" s="397">
        <v>395.98599999999999</v>
      </c>
      <c r="BW32" s="397">
        <v>395.98599999999999</v>
      </c>
      <c r="BX32" s="397">
        <v>395.98599999999999</v>
      </c>
      <c r="BY32" s="397">
        <v>395.98599999999999</v>
      </c>
      <c r="BZ32" s="397">
        <v>395.98599999999999</v>
      </c>
      <c r="CA32" s="397">
        <v>395.98599999999999</v>
      </c>
      <c r="CB32" s="397">
        <v>395.98599999999999</v>
      </c>
      <c r="CC32" s="397">
        <v>395.98599999999999</v>
      </c>
      <c r="CD32" s="397">
        <v>395.98599999999999</v>
      </c>
      <c r="CE32" s="397">
        <v>395.98599999999999</v>
      </c>
      <c r="CF32" s="397">
        <v>395.98599999999999</v>
      </c>
      <c r="CG32" s="397">
        <v>395.98599999999999</v>
      </c>
      <c r="CH32" s="397">
        <v>395.98599999999999</v>
      </c>
      <c r="CI32" s="397">
        <v>395.98599999999999</v>
      </c>
      <c r="CJ32" s="397">
        <v>395.98599999999999</v>
      </c>
      <c r="CK32" s="133">
        <f t="shared" ref="CK32:CU32" si="40">+CJ32+CK34</f>
        <v>178.78699999999998</v>
      </c>
      <c r="CL32" s="133">
        <f t="shared" si="40"/>
        <v>178.78699999999998</v>
      </c>
      <c r="CM32" s="1650">
        <f t="shared" si="40"/>
        <v>0</v>
      </c>
      <c r="CN32" s="1650">
        <f t="shared" si="40"/>
        <v>0</v>
      </c>
      <c r="CO32" s="1650">
        <f t="shared" si="40"/>
        <v>0</v>
      </c>
      <c r="CP32" s="1650">
        <f t="shared" si="40"/>
        <v>0</v>
      </c>
      <c r="CQ32" s="1650">
        <f t="shared" si="40"/>
        <v>0</v>
      </c>
      <c r="CR32" s="1650">
        <f t="shared" si="40"/>
        <v>0</v>
      </c>
      <c r="CS32" s="1650">
        <f t="shared" si="40"/>
        <v>0</v>
      </c>
      <c r="CT32" s="1650">
        <f t="shared" si="40"/>
        <v>0</v>
      </c>
      <c r="CU32" s="1650">
        <f t="shared" si="40"/>
        <v>0</v>
      </c>
      <c r="CV32" s="1650">
        <f>+CU32+CV34</f>
        <v>0</v>
      </c>
      <c r="CW32" s="1650">
        <f>+CV32+CW34</f>
        <v>0</v>
      </c>
      <c r="CX32" s="1650">
        <f>+CW32+CX34</f>
        <v>0</v>
      </c>
      <c r="CY32" s="1650">
        <f>+CX32+CY34</f>
        <v>0</v>
      </c>
      <c r="CZ32" s="1650">
        <f t="shared" ref="CZ32:DC32" si="41">+CY32+CZ34</f>
        <v>0</v>
      </c>
      <c r="DA32" s="1650">
        <f t="shared" si="41"/>
        <v>0</v>
      </c>
      <c r="DB32" s="1650">
        <f t="shared" si="41"/>
        <v>0</v>
      </c>
      <c r="DC32" s="1650">
        <f t="shared" si="41"/>
        <v>0</v>
      </c>
    </row>
    <row r="33" spans="1:107" hidden="1" outlineLevel="1">
      <c r="A33" s="2195"/>
      <c r="B33" s="876" t="s">
        <v>1118</v>
      </c>
      <c r="C33" s="15"/>
      <c r="D33" s="15"/>
      <c r="E33" s="15"/>
      <c r="F33" s="15"/>
      <c r="G33" s="15"/>
      <c r="H33" s="15"/>
      <c r="I33" s="15"/>
      <c r="J33" s="15"/>
      <c r="K33" s="783"/>
      <c r="L33" s="26">
        <f>BK33</f>
        <v>395.98599999999999</v>
      </c>
      <c r="M33" s="26">
        <f>BO33</f>
        <v>395.98599999999999</v>
      </c>
      <c r="N33" s="26">
        <f>BS33</f>
        <v>395.98599999999999</v>
      </c>
      <c r="O33" s="26">
        <f>N33</f>
        <v>395.98599999999999</v>
      </c>
      <c r="P33" s="26">
        <f>O33</f>
        <v>395.98599999999999</v>
      </c>
      <c r="Q33" s="26">
        <f>P33</f>
        <v>395.98599999999999</v>
      </c>
      <c r="R33" s="26">
        <f>+Q35</f>
        <v>395.98599999999999</v>
      </c>
      <c r="S33" s="26">
        <f>+R35</f>
        <v>395.98599999999999</v>
      </c>
      <c r="T33" s="26">
        <f t="shared" si="38"/>
        <v>0</v>
      </c>
      <c r="U33" s="26">
        <f t="shared" si="38"/>
        <v>0</v>
      </c>
      <c r="V33" s="26">
        <f t="shared" si="38"/>
        <v>0</v>
      </c>
      <c r="W33" s="26">
        <f t="shared" si="38"/>
        <v>0</v>
      </c>
      <c r="X33" s="26">
        <f>+W35</f>
        <v>0</v>
      </c>
      <c r="Y33" s="26">
        <f ca="1">+X35</f>
        <v>0</v>
      </c>
      <c r="Z33" s="26">
        <f ca="1">+Y35</f>
        <v>0</v>
      </c>
      <c r="AA33" s="26">
        <f t="shared" ref="AA33:AD33" ca="1" si="42">+Z35</f>
        <v>0</v>
      </c>
      <c r="AB33" s="26">
        <f t="shared" ca="1" si="42"/>
        <v>0</v>
      </c>
      <c r="AC33" s="26">
        <f t="shared" ca="1" si="42"/>
        <v>0</v>
      </c>
      <c r="AD33" s="26">
        <f t="shared" ca="1" si="42"/>
        <v>0</v>
      </c>
      <c r="AE33" s="15"/>
      <c r="AF33" s="26"/>
      <c r="AG33" s="26"/>
      <c r="AH33" s="26"/>
      <c r="AI33" s="26"/>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f>0.1*BH26</f>
        <v>25</v>
      </c>
      <c r="BI33" s="26"/>
      <c r="BJ33" s="26">
        <v>395.98599999999999</v>
      </c>
      <c r="BK33" s="26">
        <f t="shared" ref="BK33:CI33" si="43">BJ33</f>
        <v>395.98599999999999</v>
      </c>
      <c r="BL33" s="26">
        <f t="shared" si="43"/>
        <v>395.98599999999999</v>
      </c>
      <c r="BM33" s="26">
        <f t="shared" si="43"/>
        <v>395.98599999999999</v>
      </c>
      <c r="BN33" s="26">
        <f t="shared" si="43"/>
        <v>395.98599999999999</v>
      </c>
      <c r="BO33" s="26">
        <f t="shared" si="43"/>
        <v>395.98599999999999</v>
      </c>
      <c r="BP33" s="26">
        <f t="shared" si="43"/>
        <v>395.98599999999999</v>
      </c>
      <c r="BQ33" s="26">
        <f t="shared" si="43"/>
        <v>395.98599999999999</v>
      </c>
      <c r="BR33" s="26">
        <f t="shared" si="43"/>
        <v>395.98599999999999</v>
      </c>
      <c r="BS33" s="26">
        <f t="shared" si="43"/>
        <v>395.98599999999999</v>
      </c>
      <c r="BT33" s="26">
        <f t="shared" si="43"/>
        <v>395.98599999999999</v>
      </c>
      <c r="BU33" s="26">
        <f t="shared" si="43"/>
        <v>395.98599999999999</v>
      </c>
      <c r="BV33" s="26">
        <f t="shared" si="43"/>
        <v>395.98599999999999</v>
      </c>
      <c r="BW33" s="26">
        <f t="shared" si="43"/>
        <v>395.98599999999999</v>
      </c>
      <c r="BX33" s="26">
        <f t="shared" si="43"/>
        <v>395.98599999999999</v>
      </c>
      <c r="BY33" s="26">
        <f t="shared" si="43"/>
        <v>395.98599999999999</v>
      </c>
      <c r="BZ33" s="26">
        <f t="shared" si="43"/>
        <v>395.98599999999999</v>
      </c>
      <c r="CA33" s="26">
        <f t="shared" si="43"/>
        <v>395.98599999999999</v>
      </c>
      <c r="CB33" s="26">
        <f t="shared" si="43"/>
        <v>395.98599999999999</v>
      </c>
      <c r="CC33" s="26">
        <f t="shared" si="43"/>
        <v>395.98599999999999</v>
      </c>
      <c r="CD33" s="26">
        <f t="shared" si="43"/>
        <v>395.98599999999999</v>
      </c>
      <c r="CE33" s="26">
        <f t="shared" si="43"/>
        <v>395.98599999999999</v>
      </c>
      <c r="CF33" s="26">
        <f t="shared" si="43"/>
        <v>395.98599999999999</v>
      </c>
      <c r="CG33" s="26">
        <f t="shared" si="43"/>
        <v>395.98599999999999</v>
      </c>
      <c r="CH33" s="26">
        <f t="shared" si="43"/>
        <v>395.98599999999999</v>
      </c>
      <c r="CI33" s="26">
        <f t="shared" si="43"/>
        <v>395.98599999999999</v>
      </c>
      <c r="CJ33" s="26">
        <f t="shared" ref="CJ33:CU33" si="44">+CI35</f>
        <v>395.98599999999999</v>
      </c>
      <c r="CK33" s="26">
        <f t="shared" si="44"/>
        <v>395.98599999999999</v>
      </c>
      <c r="CL33" s="26">
        <f t="shared" si="44"/>
        <v>178.78699999999998</v>
      </c>
      <c r="CM33" s="26">
        <f t="shared" si="44"/>
        <v>178.78699999999998</v>
      </c>
      <c r="CN33" s="26">
        <f t="shared" si="44"/>
        <v>0</v>
      </c>
      <c r="CO33" s="26">
        <f t="shared" si="44"/>
        <v>0</v>
      </c>
      <c r="CP33" s="26">
        <f t="shared" si="44"/>
        <v>0</v>
      </c>
      <c r="CQ33" s="26">
        <f t="shared" si="44"/>
        <v>0</v>
      </c>
      <c r="CR33" s="26">
        <f t="shared" si="44"/>
        <v>0</v>
      </c>
      <c r="CS33" s="26">
        <f t="shared" si="44"/>
        <v>0</v>
      </c>
      <c r="CT33" s="26">
        <f t="shared" si="44"/>
        <v>0</v>
      </c>
      <c r="CU33" s="26">
        <f t="shared" si="44"/>
        <v>0</v>
      </c>
      <c r="CV33" s="26">
        <f>+CU35</f>
        <v>0</v>
      </c>
      <c r="CW33" s="26">
        <f>+CV35</f>
        <v>0</v>
      </c>
      <c r="CX33" s="26">
        <f>+CW35</f>
        <v>0</v>
      </c>
      <c r="CY33" s="26">
        <f>+CX35</f>
        <v>0</v>
      </c>
      <c r="CZ33" s="26">
        <f t="shared" ref="CZ33:DC33" si="45">+CY35</f>
        <v>0</v>
      </c>
      <c r="DA33" s="26">
        <f t="shared" si="45"/>
        <v>0</v>
      </c>
      <c r="DB33" s="26">
        <f t="shared" si="45"/>
        <v>0</v>
      </c>
      <c r="DC33" s="26">
        <f t="shared" si="45"/>
        <v>0</v>
      </c>
    </row>
    <row r="34" spans="1:107" hidden="1" outlineLevel="1">
      <c r="A34" s="2195"/>
      <c r="B34" s="876" t="s">
        <v>1121</v>
      </c>
      <c r="C34" s="15"/>
      <c r="D34" s="15"/>
      <c r="E34" s="15"/>
      <c r="F34" s="15"/>
      <c r="G34" s="15"/>
      <c r="H34" s="15"/>
      <c r="I34" s="15"/>
      <c r="J34" s="15"/>
      <c r="K34" s="783"/>
      <c r="L34" s="26">
        <f>BK34</f>
        <v>0</v>
      </c>
      <c r="M34" s="26">
        <f>BO34</f>
        <v>0</v>
      </c>
      <c r="N34" s="26">
        <f>BS34</f>
        <v>0</v>
      </c>
      <c r="O34" s="26">
        <f t="shared" ref="O34:Z34" si="46">O35-O33</f>
        <v>0</v>
      </c>
      <c r="P34" s="26">
        <f t="shared" si="46"/>
        <v>0</v>
      </c>
      <c r="Q34" s="26">
        <f t="shared" si="46"/>
        <v>0</v>
      </c>
      <c r="R34" s="26">
        <f t="shared" si="46"/>
        <v>0</v>
      </c>
      <c r="S34" s="26">
        <f t="shared" si="46"/>
        <v>-395.98599999999999</v>
      </c>
      <c r="T34" s="26">
        <f t="shared" si="46"/>
        <v>0</v>
      </c>
      <c r="U34" s="26">
        <f t="shared" si="46"/>
        <v>0</v>
      </c>
      <c r="V34" s="26">
        <f>V35-V33</f>
        <v>0</v>
      </c>
      <c r="W34" s="26">
        <f>W35-W33</f>
        <v>0</v>
      </c>
      <c r="X34" s="26">
        <f t="shared" ca="1" si="46"/>
        <v>0</v>
      </c>
      <c r="Y34" s="26">
        <f t="shared" ca="1" si="46"/>
        <v>0</v>
      </c>
      <c r="Z34" s="26">
        <f t="shared" ca="1" si="46"/>
        <v>0</v>
      </c>
      <c r="AA34" s="26">
        <f t="shared" ref="AA34:AD34" ca="1" si="47">AA35-AA33</f>
        <v>0</v>
      </c>
      <c r="AB34" s="26">
        <f t="shared" ca="1" si="47"/>
        <v>0</v>
      </c>
      <c r="AC34" s="26">
        <f t="shared" ca="1" si="47"/>
        <v>0</v>
      </c>
      <c r="AD34" s="26">
        <f t="shared" ca="1" si="47"/>
        <v>0</v>
      </c>
      <c r="AE34" s="15"/>
      <c r="AF34" s="783"/>
      <c r="AG34" s="783"/>
      <c r="AH34" s="783"/>
      <c r="AI34" s="783"/>
      <c r="AJ34" s="783"/>
      <c r="AK34" s="783"/>
      <c r="AL34" s="783"/>
      <c r="AM34" s="783"/>
      <c r="AN34" s="783"/>
      <c r="AO34" s="783"/>
      <c r="AP34" s="783"/>
      <c r="AQ34" s="783"/>
      <c r="AR34" s="783"/>
      <c r="AS34" s="783"/>
      <c r="AT34" s="783"/>
      <c r="AU34" s="783"/>
      <c r="AV34" s="783"/>
      <c r="AW34" s="783"/>
      <c r="AX34" s="783"/>
      <c r="AY34" s="783"/>
      <c r="AZ34" s="783"/>
      <c r="BA34" s="783"/>
      <c r="BB34" s="783"/>
      <c r="BC34" s="783"/>
      <c r="BD34" s="783"/>
      <c r="BE34" s="783"/>
      <c r="BF34" s="783"/>
      <c r="BG34" s="783"/>
      <c r="BH34" s="783">
        <f>BH33/20</f>
        <v>1.25</v>
      </c>
      <c r="BI34" s="783"/>
      <c r="BJ34" s="398">
        <f>BJ35-BJ33</f>
        <v>0</v>
      </c>
      <c r="BK34" s="398">
        <v>0</v>
      </c>
      <c r="BL34" s="398">
        <v>0</v>
      </c>
      <c r="BM34" s="398">
        <v>0</v>
      </c>
      <c r="BN34" s="398">
        <v>0</v>
      </c>
      <c r="BO34" s="398">
        <v>0</v>
      </c>
      <c r="BP34" s="398">
        <v>0</v>
      </c>
      <c r="BQ34" s="398">
        <v>0</v>
      </c>
      <c r="BR34" s="398">
        <v>0</v>
      </c>
      <c r="BS34" s="398">
        <v>0</v>
      </c>
      <c r="BT34" s="398">
        <v>0</v>
      </c>
      <c r="BU34" s="398">
        <v>0</v>
      </c>
      <c r="BV34" s="398">
        <v>0</v>
      </c>
      <c r="BW34" s="398">
        <v>0</v>
      </c>
      <c r="BX34" s="398">
        <v>0</v>
      </c>
      <c r="BY34" s="398">
        <v>0</v>
      </c>
      <c r="BZ34" s="398">
        <v>0</v>
      </c>
      <c r="CA34" s="398">
        <v>0</v>
      </c>
      <c r="CB34" s="398">
        <v>0</v>
      </c>
      <c r="CC34" s="398">
        <v>0</v>
      </c>
      <c r="CD34" s="398">
        <v>0</v>
      </c>
      <c r="CE34" s="398">
        <v>0</v>
      </c>
      <c r="CF34" s="398">
        <v>0</v>
      </c>
      <c r="CG34" s="398">
        <v>0</v>
      </c>
      <c r="CH34" s="398">
        <v>0</v>
      </c>
      <c r="CI34" s="398">
        <v>0</v>
      </c>
      <c r="CJ34" s="398">
        <v>0</v>
      </c>
      <c r="CK34" s="1002">
        <f>-217.199</f>
        <v>-217.19900000000001</v>
      </c>
      <c r="CL34" s="398">
        <v>0</v>
      </c>
      <c r="CM34" s="398">
        <f t="shared" ref="CM34:CU34" si="48">-CL32</f>
        <v>-178.78699999999998</v>
      </c>
      <c r="CN34" s="398">
        <f t="shared" si="48"/>
        <v>0</v>
      </c>
      <c r="CO34" s="398">
        <f t="shared" si="48"/>
        <v>0</v>
      </c>
      <c r="CP34" s="398">
        <f t="shared" si="48"/>
        <v>0</v>
      </c>
      <c r="CQ34" s="398">
        <f t="shared" si="48"/>
        <v>0</v>
      </c>
      <c r="CR34" s="398">
        <f t="shared" si="48"/>
        <v>0</v>
      </c>
      <c r="CS34" s="398">
        <f t="shared" si="48"/>
        <v>0</v>
      </c>
      <c r="CT34" s="398">
        <f t="shared" si="48"/>
        <v>0</v>
      </c>
      <c r="CU34" s="398">
        <f t="shared" si="48"/>
        <v>0</v>
      </c>
      <c r="CV34" s="398">
        <f>-CU32</f>
        <v>0</v>
      </c>
      <c r="CW34" s="398">
        <f>-CV32</f>
        <v>0</v>
      </c>
      <c r="CX34" s="398">
        <f>-CW32</f>
        <v>0</v>
      </c>
      <c r="CY34" s="398">
        <f>-CX32</f>
        <v>0</v>
      </c>
      <c r="CZ34" s="398">
        <f t="shared" ref="CZ34:DC34" si="49">-CY32</f>
        <v>0</v>
      </c>
      <c r="DA34" s="398">
        <f t="shared" si="49"/>
        <v>0</v>
      </c>
      <c r="DB34" s="398">
        <f t="shared" si="49"/>
        <v>0</v>
      </c>
      <c r="DC34" s="398">
        <f t="shared" si="49"/>
        <v>0</v>
      </c>
    </row>
    <row r="35" spans="1:107" hidden="1" outlineLevel="1">
      <c r="A35" s="2195"/>
      <c r="B35" s="876" t="s">
        <v>261</v>
      </c>
      <c r="C35" s="15"/>
      <c r="D35" s="15"/>
      <c r="E35" s="15"/>
      <c r="F35" s="15"/>
      <c r="G35" s="15"/>
      <c r="H35" s="15"/>
      <c r="I35" s="15"/>
      <c r="J35" s="15"/>
      <c r="K35" s="783"/>
      <c r="L35" s="26">
        <f>BK35</f>
        <v>395.98599999999999</v>
      </c>
      <c r="M35" s="26">
        <f>BO35</f>
        <v>395.98599999999999</v>
      </c>
      <c r="N35" s="26">
        <f>BS35</f>
        <v>395.98599999999999</v>
      </c>
      <c r="O35" s="26">
        <f>BW35</f>
        <v>395.98599999999999</v>
      </c>
      <c r="P35" s="26">
        <f>+CA35</f>
        <v>395.98599999999999</v>
      </c>
      <c r="Q35" s="26">
        <f>+CE35</f>
        <v>395.98599999999999</v>
      </c>
      <c r="R35" s="26">
        <f>CI35</f>
        <v>395.98599999999999</v>
      </c>
      <c r="S35" s="26">
        <f>CM35</f>
        <v>0</v>
      </c>
      <c r="T35" s="26">
        <f>CQ35</f>
        <v>0</v>
      </c>
      <c r="U35" s="26">
        <f>CR35</f>
        <v>0</v>
      </c>
      <c r="V35" s="26">
        <f>CS35</f>
        <v>0</v>
      </c>
      <c r="W35" s="26">
        <f>CT35</f>
        <v>0</v>
      </c>
      <c r="X35" s="26">
        <f ca="1">+SUM(X33:X34)</f>
        <v>0</v>
      </c>
      <c r="Y35" s="26">
        <f ca="1">+SUM(Y33:Y34)</f>
        <v>0</v>
      </c>
      <c r="Z35" s="26">
        <f ca="1">+SUM(Z33:Z34)</f>
        <v>0</v>
      </c>
      <c r="AA35" s="26">
        <f t="shared" ref="AA35:AD35" ca="1" si="50">+SUM(AA33:AA34)</f>
        <v>0</v>
      </c>
      <c r="AB35" s="26">
        <f t="shared" ca="1" si="50"/>
        <v>0</v>
      </c>
      <c r="AC35" s="26">
        <f t="shared" ca="1" si="50"/>
        <v>0</v>
      </c>
      <c r="AD35" s="26">
        <f t="shared" ca="1" si="50"/>
        <v>0</v>
      </c>
      <c r="AE35" s="15"/>
      <c r="AF35" s="54"/>
      <c r="AG35" s="5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54"/>
      <c r="BH35" s="54">
        <f>90/100*BH29</f>
        <v>163.28397687072101</v>
      </c>
      <c r="BI35" s="54"/>
      <c r="BJ35" s="54">
        <v>395.98599999999999</v>
      </c>
      <c r="BK35" s="54">
        <f t="shared" ref="BK35:CU35" si="51">SUM(BK33:BK34)</f>
        <v>395.98599999999999</v>
      </c>
      <c r="BL35" s="54">
        <f t="shared" si="51"/>
        <v>395.98599999999999</v>
      </c>
      <c r="BM35" s="54">
        <f t="shared" si="51"/>
        <v>395.98599999999999</v>
      </c>
      <c r="BN35" s="54">
        <f t="shared" si="51"/>
        <v>395.98599999999999</v>
      </c>
      <c r="BO35" s="54">
        <f t="shared" si="51"/>
        <v>395.98599999999999</v>
      </c>
      <c r="BP35" s="54">
        <f t="shared" si="51"/>
        <v>395.98599999999999</v>
      </c>
      <c r="BQ35" s="54">
        <f t="shared" si="51"/>
        <v>395.98599999999999</v>
      </c>
      <c r="BR35" s="54">
        <f t="shared" si="51"/>
        <v>395.98599999999999</v>
      </c>
      <c r="BS35" s="54">
        <f t="shared" si="51"/>
        <v>395.98599999999999</v>
      </c>
      <c r="BT35" s="54">
        <f t="shared" si="51"/>
        <v>395.98599999999999</v>
      </c>
      <c r="BU35" s="54">
        <f t="shared" si="51"/>
        <v>395.98599999999999</v>
      </c>
      <c r="BV35" s="54">
        <f t="shared" si="51"/>
        <v>395.98599999999999</v>
      </c>
      <c r="BW35" s="54">
        <f t="shared" si="51"/>
        <v>395.98599999999999</v>
      </c>
      <c r="BX35" s="54">
        <f t="shared" si="51"/>
        <v>395.98599999999999</v>
      </c>
      <c r="BY35" s="54">
        <f t="shared" si="51"/>
        <v>395.98599999999999</v>
      </c>
      <c r="BZ35" s="54">
        <f t="shared" si="51"/>
        <v>395.98599999999999</v>
      </c>
      <c r="CA35" s="54">
        <f t="shared" si="51"/>
        <v>395.98599999999999</v>
      </c>
      <c r="CB35" s="54">
        <f t="shared" si="51"/>
        <v>395.98599999999999</v>
      </c>
      <c r="CC35" s="54">
        <f t="shared" si="51"/>
        <v>395.98599999999999</v>
      </c>
      <c r="CD35" s="54">
        <f t="shared" si="51"/>
        <v>395.98599999999999</v>
      </c>
      <c r="CE35" s="54">
        <f t="shared" si="51"/>
        <v>395.98599999999999</v>
      </c>
      <c r="CF35" s="54">
        <f t="shared" si="51"/>
        <v>395.98599999999999</v>
      </c>
      <c r="CG35" s="54">
        <f t="shared" si="51"/>
        <v>395.98599999999999</v>
      </c>
      <c r="CH35" s="54">
        <f t="shared" si="51"/>
        <v>395.98599999999999</v>
      </c>
      <c r="CI35" s="54">
        <f t="shared" si="51"/>
        <v>395.98599999999999</v>
      </c>
      <c r="CJ35" s="54">
        <f t="shared" si="51"/>
        <v>395.98599999999999</v>
      </c>
      <c r="CK35" s="54">
        <f t="shared" si="51"/>
        <v>178.78699999999998</v>
      </c>
      <c r="CL35" s="54">
        <f t="shared" si="51"/>
        <v>178.78699999999998</v>
      </c>
      <c r="CM35" s="54">
        <f t="shared" si="51"/>
        <v>0</v>
      </c>
      <c r="CN35" s="54">
        <f t="shared" si="51"/>
        <v>0</v>
      </c>
      <c r="CO35" s="54">
        <f t="shared" si="51"/>
        <v>0</v>
      </c>
      <c r="CP35" s="54">
        <f t="shared" si="51"/>
        <v>0</v>
      </c>
      <c r="CQ35" s="54">
        <f>SUM(CQ33:CQ34)</f>
        <v>0</v>
      </c>
      <c r="CR35" s="54">
        <f>SUM(CR33:CR34)</f>
        <v>0</v>
      </c>
      <c r="CS35" s="54">
        <f t="shared" si="51"/>
        <v>0</v>
      </c>
      <c r="CT35" s="54">
        <f t="shared" si="51"/>
        <v>0</v>
      </c>
      <c r="CU35" s="54">
        <f t="shared" si="51"/>
        <v>0</v>
      </c>
      <c r="CV35" s="54">
        <f>SUM(CV33:CV34)</f>
        <v>0</v>
      </c>
      <c r="CW35" s="54">
        <f>SUM(CW33:CW34)</f>
        <v>0</v>
      </c>
      <c r="CX35" s="54">
        <f>SUM(CX33:CX34)</f>
        <v>0</v>
      </c>
      <c r="CY35" s="54">
        <f>SUM(CY33:CY34)</f>
        <v>0</v>
      </c>
      <c r="CZ35" s="54">
        <f t="shared" ref="CZ35:DC35" si="52">SUM(CZ33:CZ34)</f>
        <v>0</v>
      </c>
      <c r="DA35" s="54">
        <f t="shared" si="52"/>
        <v>0</v>
      </c>
      <c r="DB35" s="54">
        <f t="shared" si="52"/>
        <v>0</v>
      </c>
      <c r="DC35" s="54">
        <f t="shared" si="52"/>
        <v>0</v>
      </c>
    </row>
    <row r="36" spans="1:107" hidden="1" outlineLevel="1">
      <c r="A36" s="2195"/>
      <c r="B36" s="876" t="s">
        <v>262</v>
      </c>
      <c r="C36" s="15"/>
      <c r="D36" s="15"/>
      <c r="E36" s="15"/>
      <c r="F36" s="15"/>
      <c r="G36" s="15"/>
      <c r="H36" s="15"/>
      <c r="I36" s="15"/>
      <c r="J36" s="15"/>
      <c r="K36" s="789"/>
      <c r="L36" s="26"/>
      <c r="M36" s="26"/>
      <c r="N36" s="26"/>
      <c r="O36" s="15"/>
      <c r="P36" s="15"/>
      <c r="Q36" s="15"/>
      <c r="R36" s="15"/>
      <c r="S36" s="15"/>
      <c r="T36" s="15"/>
      <c r="U36" s="15"/>
      <c r="V36" s="15"/>
      <c r="W36" s="15"/>
      <c r="X36" s="15"/>
      <c r="Y36" s="15"/>
      <c r="Z36" s="15"/>
      <c r="AA36" s="15"/>
      <c r="AB36" s="15"/>
      <c r="AC36" s="15"/>
      <c r="AD36" s="15"/>
      <c r="AE36" s="15"/>
      <c r="AF36" s="789"/>
      <c r="AG36" s="789"/>
      <c r="AH36" s="789"/>
      <c r="AI36" s="789"/>
      <c r="AJ36" s="789"/>
      <c r="AK36" s="789"/>
      <c r="AL36" s="789"/>
      <c r="AM36" s="789"/>
      <c r="AN36" s="789"/>
      <c r="AO36" s="789"/>
      <c r="AP36" s="789"/>
      <c r="AQ36" s="789"/>
      <c r="AR36" s="789"/>
      <c r="AS36" s="789"/>
      <c r="AT36" s="789"/>
      <c r="AU36" s="789"/>
      <c r="AV36" s="789"/>
      <c r="AW36" s="789"/>
      <c r="AX36" s="789"/>
      <c r="AY36" s="789"/>
      <c r="AZ36" s="789"/>
      <c r="BA36" s="789"/>
      <c r="BB36" s="789"/>
      <c r="BC36" s="789"/>
      <c r="BD36" s="789"/>
      <c r="BE36" s="789"/>
      <c r="BF36" s="789"/>
      <c r="BG36" s="789"/>
      <c r="BH36" s="789"/>
      <c r="BI36" s="789"/>
      <c r="BJ36" s="789"/>
      <c r="BK36" s="789"/>
      <c r="BL36" s="789"/>
      <c r="BM36" s="789"/>
      <c r="BN36" s="789"/>
      <c r="BO36" s="398">
        <v>251.45099999999999</v>
      </c>
      <c r="BP36" s="398"/>
      <c r="BQ36" s="398">
        <v>322.64400000000001</v>
      </c>
      <c r="BR36" s="398">
        <v>419.86</v>
      </c>
      <c r="BS36" s="398">
        <v>461.32400000000001</v>
      </c>
      <c r="BT36" s="398">
        <v>426.82100000000003</v>
      </c>
      <c r="BU36" s="398">
        <v>372.72199999999998</v>
      </c>
      <c r="BV36" s="398">
        <v>437.88099999999997</v>
      </c>
      <c r="BW36" s="398">
        <v>399.94600000000003</v>
      </c>
      <c r="BX36" s="789"/>
      <c r="BY36" s="789"/>
      <c r="BZ36" s="789"/>
      <c r="CA36" s="789"/>
      <c r="CB36" s="789"/>
      <c r="CC36" s="789"/>
      <c r="CD36" s="789"/>
      <c r="CE36" s="789"/>
      <c r="CF36" s="789"/>
      <c r="CG36" s="789"/>
      <c r="CH36" s="789"/>
      <c r="CI36" s="789"/>
      <c r="CJ36" s="789"/>
      <c r="CK36" s="789"/>
      <c r="CL36" s="789"/>
      <c r="CM36" s="789"/>
      <c r="CN36" s="789"/>
      <c r="CO36" s="789"/>
      <c r="CP36" s="789"/>
      <c r="CQ36" s="789"/>
      <c r="CR36" s="789"/>
      <c r="CS36" s="789"/>
      <c r="CT36" s="789"/>
      <c r="CU36" s="789"/>
      <c r="CV36" s="789"/>
      <c r="CW36" s="789"/>
      <c r="CX36" s="789"/>
      <c r="CY36" s="789"/>
      <c r="CZ36" s="789"/>
      <c r="DA36" s="789"/>
      <c r="DB36" s="789"/>
      <c r="DC36" s="789"/>
    </row>
    <row r="37" spans="1:107" hidden="1" outlineLevel="1">
      <c r="A37" s="15"/>
      <c r="B37" s="876"/>
      <c r="C37" s="15"/>
      <c r="D37" s="15"/>
      <c r="E37" s="15"/>
      <c r="F37" s="15"/>
      <c r="G37" s="15"/>
      <c r="H37" s="15"/>
      <c r="I37" s="15"/>
      <c r="J37" s="15"/>
      <c r="K37" s="789"/>
      <c r="L37" s="26"/>
      <c r="M37" s="26"/>
      <c r="N37" s="26"/>
      <c r="O37" s="15"/>
      <c r="P37" s="15"/>
      <c r="Q37" s="15"/>
      <c r="R37" s="15"/>
      <c r="S37" s="15"/>
      <c r="T37" s="15"/>
      <c r="U37" s="15"/>
      <c r="V37" s="15"/>
      <c r="W37" s="15"/>
      <c r="X37" s="15"/>
      <c r="Y37" s="15"/>
      <c r="Z37" s="15"/>
      <c r="AA37" s="15"/>
      <c r="AB37" s="15"/>
      <c r="AC37" s="15"/>
      <c r="AD37" s="15"/>
      <c r="AE37" s="15"/>
      <c r="AF37" s="789"/>
      <c r="AG37" s="789"/>
      <c r="AH37" s="789"/>
      <c r="AI37" s="789"/>
      <c r="AJ37" s="789"/>
      <c r="AK37" s="789"/>
      <c r="AL37" s="789"/>
      <c r="AM37" s="789"/>
      <c r="AN37" s="789"/>
      <c r="AO37" s="789"/>
      <c r="AP37" s="789"/>
      <c r="AQ37" s="789"/>
      <c r="AR37" s="789"/>
      <c r="AS37" s="789"/>
      <c r="AT37" s="789"/>
      <c r="AU37" s="789"/>
      <c r="AV37" s="789"/>
      <c r="AW37" s="789"/>
      <c r="AX37" s="789"/>
      <c r="AY37" s="789"/>
      <c r="AZ37" s="789"/>
      <c r="BA37" s="789"/>
      <c r="BB37" s="789"/>
      <c r="BC37" s="789"/>
      <c r="BD37" s="789"/>
      <c r="BE37" s="789"/>
      <c r="BF37" s="789"/>
      <c r="BG37" s="789"/>
      <c r="BH37" s="789"/>
      <c r="BI37" s="789"/>
      <c r="BJ37" s="789"/>
      <c r="BK37" s="789"/>
      <c r="BL37" s="789"/>
      <c r="BM37" s="789"/>
      <c r="BN37" s="789"/>
      <c r="BO37" s="398"/>
      <c r="BP37" s="398"/>
      <c r="BQ37" s="398"/>
      <c r="BR37" s="398"/>
      <c r="BS37" s="398"/>
      <c r="BT37" s="398"/>
      <c r="BU37" s="398"/>
      <c r="BV37" s="398"/>
      <c r="BW37" s="398"/>
      <c r="BX37" s="789"/>
      <c r="BY37" s="789"/>
      <c r="BZ37" s="789"/>
      <c r="CA37" s="789"/>
      <c r="CB37" s="789"/>
      <c r="CC37" s="789"/>
      <c r="CD37" s="789"/>
      <c r="CE37" s="789"/>
      <c r="CF37" s="789"/>
      <c r="CG37" s="789"/>
      <c r="CH37" s="789"/>
      <c r="CI37" s="789"/>
      <c r="CJ37" s="789"/>
      <c r="CK37" s="789"/>
      <c r="CL37" s="789"/>
      <c r="CM37" s="789"/>
      <c r="CN37" s="789"/>
      <c r="CO37" s="789"/>
      <c r="CP37" s="789"/>
      <c r="CQ37" s="789"/>
      <c r="CR37" s="789"/>
      <c r="CS37" s="789"/>
      <c r="CT37" s="789"/>
      <c r="CU37" s="789"/>
      <c r="CV37" s="789"/>
      <c r="CW37" s="789"/>
      <c r="CX37" s="789"/>
      <c r="CY37" s="789"/>
      <c r="CZ37" s="789"/>
      <c r="DA37" s="789"/>
      <c r="DB37" s="789"/>
      <c r="DC37" s="789"/>
    </row>
    <row r="38" spans="1:107" hidden="1" outlineLevel="1">
      <c r="A38" s="2195"/>
      <c r="B38" s="132" t="s">
        <v>1518</v>
      </c>
      <c r="C38" s="132"/>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132"/>
      <c r="AB38" s="132"/>
      <c r="AC38" s="132"/>
      <c r="AD38" s="132"/>
      <c r="AE38" s="15"/>
      <c r="AF38" s="132"/>
      <c r="AG38" s="132"/>
      <c r="AH38" s="132"/>
      <c r="AI38" s="132"/>
      <c r="AJ38" s="132"/>
      <c r="AK38" s="132"/>
      <c r="AL38" s="132"/>
      <c r="AM38" s="132"/>
      <c r="AN38" s="132"/>
      <c r="AO38" s="132"/>
      <c r="AP38" s="132"/>
      <c r="AQ38" s="132"/>
      <c r="AR38" s="132"/>
      <c r="AS38" s="132"/>
      <c r="AT38" s="132"/>
      <c r="AU38" s="132"/>
      <c r="AV38" s="132"/>
      <c r="AW38" s="132"/>
      <c r="AX38" s="132"/>
      <c r="AY38" s="132"/>
      <c r="AZ38" s="132"/>
      <c r="BA38" s="132"/>
      <c r="BB38" s="132"/>
      <c r="BC38" s="132"/>
      <c r="BD38" s="132"/>
      <c r="BE38" s="132"/>
      <c r="BF38" s="132"/>
      <c r="BG38" s="132"/>
      <c r="BH38" s="132"/>
      <c r="BI38" s="132"/>
      <c r="BJ38" s="132"/>
      <c r="BK38" s="132"/>
      <c r="BL38" s="132"/>
      <c r="BM38" s="132"/>
      <c r="BN38" s="132"/>
      <c r="BO38" s="132"/>
      <c r="BP38" s="132"/>
      <c r="BQ38" s="132"/>
      <c r="BR38" s="132"/>
      <c r="BS38" s="132"/>
      <c r="BT38" s="132"/>
      <c r="BU38" s="132"/>
      <c r="BV38" s="132"/>
      <c r="BW38" s="132"/>
      <c r="BX38" s="132"/>
      <c r="BY38" s="132"/>
      <c r="BZ38" s="132"/>
      <c r="CA38" s="132"/>
      <c r="CB38" s="132"/>
      <c r="CC38" s="132"/>
      <c r="CD38" s="132"/>
      <c r="CE38" s="132"/>
      <c r="CF38" s="132"/>
      <c r="CG38" s="132"/>
      <c r="CH38" s="132"/>
      <c r="CI38" s="132"/>
      <c r="CJ38" s="132"/>
      <c r="CK38" s="132"/>
      <c r="CL38" s="132"/>
      <c r="CM38" s="132"/>
      <c r="CN38" s="132"/>
      <c r="CO38" s="132"/>
      <c r="CP38" s="132"/>
      <c r="CQ38" s="132"/>
      <c r="CR38" s="132"/>
      <c r="CS38" s="132"/>
      <c r="CT38" s="132"/>
      <c r="CU38" s="132"/>
      <c r="CV38" s="132"/>
      <c r="CW38" s="132"/>
      <c r="CX38" s="132"/>
      <c r="CY38" s="132"/>
      <c r="CZ38" s="132"/>
      <c r="DA38" s="132"/>
      <c r="DB38" s="132"/>
      <c r="DC38" s="132"/>
    </row>
    <row r="39" spans="1:107" hidden="1" outlineLevel="1">
      <c r="A39" s="2195"/>
      <c r="B39" s="876" t="s">
        <v>1118</v>
      </c>
      <c r="C39" s="15"/>
      <c r="D39" s="15"/>
      <c r="E39" s="15"/>
      <c r="F39" s="15"/>
      <c r="G39" s="15"/>
      <c r="H39" s="15"/>
      <c r="I39" s="15"/>
      <c r="J39" s="15"/>
      <c r="K39" s="783"/>
      <c r="L39" s="26">
        <f>BK39</f>
        <v>0</v>
      </c>
      <c r="M39" s="26"/>
      <c r="N39" s="26"/>
      <c r="O39" s="26"/>
      <c r="P39" s="26">
        <f t="shared" ref="P39:Z39" si="53">O41</f>
        <v>0</v>
      </c>
      <c r="Q39" s="26">
        <f t="shared" si="53"/>
        <v>52.103999999999999</v>
      </c>
      <c r="R39" s="26">
        <f t="shared" si="53"/>
        <v>8.0709999999999997</v>
      </c>
      <c r="S39" s="26">
        <f t="shared" si="53"/>
        <v>0.122</v>
      </c>
      <c r="T39" s="26">
        <f t="shared" si="53"/>
        <v>0</v>
      </c>
      <c r="U39" s="26">
        <f t="shared" si="53"/>
        <v>0</v>
      </c>
      <c r="V39" s="26">
        <f t="shared" si="53"/>
        <v>0</v>
      </c>
      <c r="W39" s="26">
        <f t="shared" si="53"/>
        <v>0</v>
      </c>
      <c r="X39" s="26">
        <f t="shared" si="53"/>
        <v>0</v>
      </c>
      <c r="Y39" s="26">
        <f t="shared" si="53"/>
        <v>0</v>
      </c>
      <c r="Z39" s="26">
        <f t="shared" si="53"/>
        <v>0</v>
      </c>
      <c r="AA39" s="26">
        <f t="shared" ref="AA39" si="54">Z41</f>
        <v>0</v>
      </c>
      <c r="AB39" s="26">
        <f t="shared" ref="AB39" si="55">AA41</f>
        <v>0</v>
      </c>
      <c r="AC39" s="26">
        <f t="shared" ref="AC39" si="56">AB41</f>
        <v>0</v>
      </c>
      <c r="AD39" s="26">
        <f t="shared" ref="AD39" si="57">AC41</f>
        <v>0</v>
      </c>
      <c r="AE39" s="15"/>
      <c r="AF39" s="26"/>
      <c r="AG39" s="26"/>
      <c r="AH39" s="26"/>
      <c r="AI39" s="26"/>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15"/>
      <c r="BK39" s="15"/>
      <c r="BL39" s="15"/>
      <c r="BM39" s="15"/>
      <c r="BN39" s="15"/>
      <c r="BO39" s="15"/>
      <c r="BP39" s="15"/>
      <c r="BQ39" s="15"/>
      <c r="BR39" s="15"/>
      <c r="BS39" s="15"/>
      <c r="BT39" s="15"/>
      <c r="BU39" s="15"/>
      <c r="BV39" s="15"/>
      <c r="BW39" s="26"/>
      <c r="BX39" s="26"/>
      <c r="BY39" s="26">
        <f t="shared" ref="BY39:CU39" si="58">BX41</f>
        <v>12.101000000000001</v>
      </c>
      <c r="BZ39" s="26">
        <f t="shared" si="58"/>
        <v>20.594000000000001</v>
      </c>
      <c r="CA39" s="26">
        <f t="shared" si="58"/>
        <v>40.054000000000002</v>
      </c>
      <c r="CB39" s="26">
        <f t="shared" si="58"/>
        <v>52.103999999999999</v>
      </c>
      <c r="CC39" s="26">
        <f t="shared" si="58"/>
        <v>16.799999999999997</v>
      </c>
      <c r="CD39" s="26">
        <f t="shared" si="58"/>
        <v>14.925000000000001</v>
      </c>
      <c r="CE39" s="26">
        <f t="shared" si="58"/>
        <v>6.1319999999999997</v>
      </c>
      <c r="CF39" s="26">
        <f t="shared" si="58"/>
        <v>8.0709999999999997</v>
      </c>
      <c r="CG39" s="26">
        <f t="shared" si="58"/>
        <v>7.3079999999999998</v>
      </c>
      <c r="CH39" s="26">
        <f t="shared" si="58"/>
        <v>0.31700000000000017</v>
      </c>
      <c r="CI39" s="26">
        <f t="shared" si="58"/>
        <v>0.11499999999999999</v>
      </c>
      <c r="CJ39" s="26">
        <f t="shared" si="58"/>
        <v>0.122</v>
      </c>
      <c r="CK39" s="26">
        <f t="shared" si="58"/>
        <v>0</v>
      </c>
      <c r="CL39" s="26">
        <f t="shared" si="58"/>
        <v>0</v>
      </c>
      <c r="CM39" s="26">
        <f t="shared" si="58"/>
        <v>0</v>
      </c>
      <c r="CN39" s="26">
        <f t="shared" si="58"/>
        <v>0</v>
      </c>
      <c r="CO39" s="26">
        <f t="shared" si="58"/>
        <v>0</v>
      </c>
      <c r="CP39" s="26">
        <f t="shared" si="58"/>
        <v>0</v>
      </c>
      <c r="CQ39" s="26">
        <f t="shared" si="58"/>
        <v>0</v>
      </c>
      <c r="CR39" s="26">
        <f t="shared" si="58"/>
        <v>0</v>
      </c>
      <c r="CS39" s="26">
        <f t="shared" si="58"/>
        <v>0</v>
      </c>
      <c r="CT39" s="26">
        <f t="shared" si="58"/>
        <v>0</v>
      </c>
      <c r="CU39" s="26">
        <f t="shared" si="58"/>
        <v>0</v>
      </c>
      <c r="CV39" s="26">
        <f>CU41</f>
        <v>0</v>
      </c>
      <c r="CW39" s="26">
        <f>CV41</f>
        <v>0</v>
      </c>
      <c r="CX39" s="26">
        <f>CW41</f>
        <v>0</v>
      </c>
      <c r="CY39" s="26">
        <f>CX41</f>
        <v>0</v>
      </c>
      <c r="CZ39" s="26">
        <f t="shared" ref="CZ39:DC39" si="59">CY41</f>
        <v>0</v>
      </c>
      <c r="DA39" s="26">
        <f t="shared" si="59"/>
        <v>0</v>
      </c>
      <c r="DB39" s="26">
        <f t="shared" si="59"/>
        <v>0</v>
      </c>
      <c r="DC39" s="26">
        <f t="shared" si="59"/>
        <v>0</v>
      </c>
    </row>
    <row r="40" spans="1:107" hidden="1" outlineLevel="1">
      <c r="A40" s="2195"/>
      <c r="B40" s="876" t="s">
        <v>1121</v>
      </c>
      <c r="C40" s="15"/>
      <c r="D40" s="15"/>
      <c r="E40" s="15"/>
      <c r="F40" s="15"/>
      <c r="G40" s="15"/>
      <c r="H40" s="15"/>
      <c r="I40" s="15"/>
      <c r="J40" s="15"/>
      <c r="K40" s="783"/>
      <c r="L40" s="26">
        <f>BK40</f>
        <v>0</v>
      </c>
      <c r="M40" s="26"/>
      <c r="N40" s="26"/>
      <c r="O40" s="26"/>
      <c r="P40" s="26">
        <f t="shared" ref="P40:U40" si="60">P41-P39</f>
        <v>52.103999999999999</v>
      </c>
      <c r="Q40" s="26">
        <f t="shared" si="60"/>
        <v>-44.033000000000001</v>
      </c>
      <c r="R40" s="26">
        <f t="shared" si="60"/>
        <v>-7.9489999999999998</v>
      </c>
      <c r="S40" s="26">
        <f t="shared" si="60"/>
        <v>-0.122</v>
      </c>
      <c r="T40" s="26">
        <f t="shared" si="60"/>
        <v>0</v>
      </c>
      <c r="U40" s="26">
        <f t="shared" si="60"/>
        <v>0</v>
      </c>
      <c r="V40" s="26">
        <f>V41-V39</f>
        <v>0</v>
      </c>
      <c r="W40" s="26">
        <f>W41-W39</f>
        <v>0</v>
      </c>
      <c r="X40" s="1000">
        <v>0</v>
      </c>
      <c r="Y40" s="1000">
        <v>0</v>
      </c>
      <c r="Z40" s="1000">
        <v>0</v>
      </c>
      <c r="AA40" s="1000">
        <v>0</v>
      </c>
      <c r="AB40" s="1000">
        <v>0</v>
      </c>
      <c r="AC40" s="1000">
        <v>0</v>
      </c>
      <c r="AD40" s="1000">
        <v>0</v>
      </c>
      <c r="AE40" s="15"/>
      <c r="AF40" s="783"/>
      <c r="AG40" s="783"/>
      <c r="AH40" s="783"/>
      <c r="AI40" s="783"/>
      <c r="AJ40" s="783"/>
      <c r="AK40" s="783"/>
      <c r="AL40" s="783"/>
      <c r="AM40" s="783"/>
      <c r="AN40" s="783"/>
      <c r="AO40" s="783"/>
      <c r="AP40" s="783"/>
      <c r="AQ40" s="783"/>
      <c r="AR40" s="783"/>
      <c r="AS40" s="783"/>
      <c r="AT40" s="783"/>
      <c r="AU40" s="783"/>
      <c r="AV40" s="783"/>
      <c r="AW40" s="783"/>
      <c r="AX40" s="783"/>
      <c r="AY40" s="783"/>
      <c r="AZ40" s="783"/>
      <c r="BA40" s="783"/>
      <c r="BB40" s="783"/>
      <c r="BC40" s="783"/>
      <c r="BD40" s="783"/>
      <c r="BE40" s="783"/>
      <c r="BF40" s="783"/>
      <c r="BG40" s="783"/>
      <c r="BH40" s="783"/>
      <c r="BI40" s="783"/>
      <c r="BJ40" s="15"/>
      <c r="BK40" s="15"/>
      <c r="BL40" s="15"/>
      <c r="BM40" s="15"/>
      <c r="BN40" s="15"/>
      <c r="BO40" s="15"/>
      <c r="BP40" s="15"/>
      <c r="BQ40" s="15"/>
      <c r="BR40" s="15"/>
      <c r="BS40" s="15"/>
      <c r="BT40" s="15"/>
      <c r="BU40" s="15"/>
      <c r="BV40" s="15"/>
      <c r="BW40" s="15"/>
      <c r="BX40" s="398"/>
      <c r="BY40" s="398">
        <f>20.594-BX41</f>
        <v>8.4930000000000003</v>
      </c>
      <c r="BZ40" s="398">
        <f>40.054-BY41</f>
        <v>19.46</v>
      </c>
      <c r="CA40" s="398">
        <f>52.104-BZ41</f>
        <v>12.049999999999997</v>
      </c>
      <c r="CB40" s="398">
        <f>16.8-CA41</f>
        <v>-35.304000000000002</v>
      </c>
      <c r="CC40" s="398">
        <f>14.925-CB41</f>
        <v>-1.8749999999999964</v>
      </c>
      <c r="CD40" s="398">
        <f>6.132-CC41</f>
        <v>-8.793000000000001</v>
      </c>
      <c r="CE40" s="398">
        <f>8.071-CD41</f>
        <v>1.9390000000000001</v>
      </c>
      <c r="CF40" s="398">
        <f>7.308-CE41</f>
        <v>-0.7629999999999999</v>
      </c>
      <c r="CG40" s="398">
        <f>0.317-CF41</f>
        <v>-6.9909999999999997</v>
      </c>
      <c r="CH40" s="398">
        <f>0.115-CG41</f>
        <v>-0.20200000000000018</v>
      </c>
      <c r="CI40" s="398">
        <f>0.122-CH41</f>
        <v>7.0000000000000062E-3</v>
      </c>
      <c r="CJ40" s="398">
        <f t="shared" ref="CJ40:CR40" si="61">-CI41</f>
        <v>-0.122</v>
      </c>
      <c r="CK40" s="398">
        <f t="shared" si="61"/>
        <v>0</v>
      </c>
      <c r="CL40" s="398">
        <f t="shared" si="61"/>
        <v>0</v>
      </c>
      <c r="CM40" s="398">
        <f t="shared" si="61"/>
        <v>0</v>
      </c>
      <c r="CN40" s="398">
        <f t="shared" si="61"/>
        <v>0</v>
      </c>
      <c r="CO40" s="398">
        <f t="shared" si="61"/>
        <v>0</v>
      </c>
      <c r="CP40" s="398">
        <f t="shared" si="61"/>
        <v>0</v>
      </c>
      <c r="CQ40" s="398">
        <f t="shared" si="61"/>
        <v>0</v>
      </c>
      <c r="CR40" s="398">
        <f t="shared" si="61"/>
        <v>0</v>
      </c>
      <c r="CS40" s="26"/>
      <c r="CT40" s="26"/>
      <c r="CU40" s="26"/>
      <c r="CV40" s="26"/>
      <c r="CW40" s="26"/>
      <c r="CX40" s="26"/>
      <c r="CY40" s="26"/>
      <c r="CZ40" s="26"/>
      <c r="DA40" s="26"/>
      <c r="DB40" s="26"/>
      <c r="DC40" s="26"/>
    </row>
    <row r="41" spans="1:107" hidden="1" outlineLevel="1">
      <c r="A41" s="2195"/>
      <c r="B41" s="876" t="s">
        <v>261</v>
      </c>
      <c r="C41" s="15"/>
      <c r="D41" s="15"/>
      <c r="E41" s="15"/>
      <c r="F41" s="15"/>
      <c r="G41" s="15"/>
      <c r="H41" s="15"/>
      <c r="I41" s="15"/>
      <c r="J41" s="15"/>
      <c r="K41" s="783"/>
      <c r="L41" s="26">
        <f>BK41</f>
        <v>0</v>
      </c>
      <c r="M41" s="26"/>
      <c r="N41" s="26"/>
      <c r="O41" s="26"/>
      <c r="P41" s="26">
        <f>CA41</f>
        <v>52.103999999999999</v>
      </c>
      <c r="Q41" s="26">
        <f>CE41</f>
        <v>8.0709999999999997</v>
      </c>
      <c r="R41" s="26">
        <f>CI41</f>
        <v>0.122</v>
      </c>
      <c r="S41" s="26">
        <f>CM41</f>
        <v>0</v>
      </c>
      <c r="T41" s="26">
        <f>CQ41</f>
        <v>0</v>
      </c>
      <c r="U41" s="26">
        <f>CR41</f>
        <v>0</v>
      </c>
      <c r="V41" s="26">
        <f>CS41</f>
        <v>0</v>
      </c>
      <c r="W41" s="26">
        <f>CT41</f>
        <v>0</v>
      </c>
      <c r="X41" s="26">
        <f>SUM(X39:X40)</f>
        <v>0</v>
      </c>
      <c r="Y41" s="26">
        <f>SUM(Y39:Y40)</f>
        <v>0</v>
      </c>
      <c r="Z41" s="26">
        <f>SUM(Z39:Z40)</f>
        <v>0</v>
      </c>
      <c r="AA41" s="26">
        <f t="shared" ref="AA41:AD41" si="62">SUM(AA39:AA40)</f>
        <v>0</v>
      </c>
      <c r="AB41" s="26">
        <f t="shared" si="62"/>
        <v>0</v>
      </c>
      <c r="AC41" s="26">
        <f t="shared" si="62"/>
        <v>0</v>
      </c>
      <c r="AD41" s="26">
        <f t="shared" si="62"/>
        <v>0</v>
      </c>
      <c r="AE41" s="15"/>
      <c r="AF41" s="54"/>
      <c r="AG41" s="5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54"/>
      <c r="BH41" s="54"/>
      <c r="BI41" s="54"/>
      <c r="BJ41" s="15"/>
      <c r="BK41" s="15"/>
      <c r="BL41" s="15"/>
      <c r="BM41" s="15"/>
      <c r="BN41" s="15"/>
      <c r="BO41" s="15"/>
      <c r="BP41" s="15"/>
      <c r="BQ41" s="15"/>
      <c r="BR41" s="15"/>
      <c r="BS41" s="15"/>
      <c r="BT41" s="15"/>
      <c r="BU41" s="15"/>
      <c r="BV41" s="15"/>
      <c r="BW41" s="15"/>
      <c r="BX41" s="1001">
        <v>12.101000000000001</v>
      </c>
      <c r="BY41" s="54">
        <f t="shared" ref="BY41:CU41" si="63">SUM(BY39:BY40)</f>
        <v>20.594000000000001</v>
      </c>
      <c r="BZ41" s="54">
        <f t="shared" si="63"/>
        <v>40.054000000000002</v>
      </c>
      <c r="CA41" s="54">
        <f t="shared" si="63"/>
        <v>52.103999999999999</v>
      </c>
      <c r="CB41" s="54">
        <f t="shared" si="63"/>
        <v>16.799999999999997</v>
      </c>
      <c r="CC41" s="54">
        <f t="shared" si="63"/>
        <v>14.925000000000001</v>
      </c>
      <c r="CD41" s="54">
        <f t="shared" si="63"/>
        <v>6.1319999999999997</v>
      </c>
      <c r="CE41" s="54">
        <f t="shared" si="63"/>
        <v>8.0709999999999997</v>
      </c>
      <c r="CF41" s="54">
        <f t="shared" si="63"/>
        <v>7.3079999999999998</v>
      </c>
      <c r="CG41" s="54">
        <f t="shared" si="63"/>
        <v>0.31700000000000017</v>
      </c>
      <c r="CH41" s="54">
        <f t="shared" si="63"/>
        <v>0.11499999999999999</v>
      </c>
      <c r="CI41" s="54">
        <f t="shared" si="63"/>
        <v>0.122</v>
      </c>
      <c r="CJ41" s="54">
        <f t="shared" si="63"/>
        <v>0</v>
      </c>
      <c r="CK41" s="54">
        <f t="shared" si="63"/>
        <v>0</v>
      </c>
      <c r="CL41" s="54">
        <f t="shared" si="63"/>
        <v>0</v>
      </c>
      <c r="CM41" s="54">
        <f t="shared" si="63"/>
        <v>0</v>
      </c>
      <c r="CN41" s="54">
        <f t="shared" si="63"/>
        <v>0</v>
      </c>
      <c r="CO41" s="54">
        <f t="shared" si="63"/>
        <v>0</v>
      </c>
      <c r="CP41" s="54">
        <f t="shared" si="63"/>
        <v>0</v>
      </c>
      <c r="CQ41" s="54">
        <f>SUM(CQ39:CQ40)</f>
        <v>0</v>
      </c>
      <c r="CR41" s="54">
        <f>SUM(CR39:CR40)</f>
        <v>0</v>
      </c>
      <c r="CS41" s="54">
        <f t="shared" si="63"/>
        <v>0</v>
      </c>
      <c r="CT41" s="54">
        <f t="shared" si="63"/>
        <v>0</v>
      </c>
      <c r="CU41" s="54">
        <f t="shared" si="63"/>
        <v>0</v>
      </c>
      <c r="CV41" s="54">
        <f>SUM(CV39:CV40)</f>
        <v>0</v>
      </c>
      <c r="CW41" s="54">
        <f>SUM(CW39:CW40)</f>
        <v>0</v>
      </c>
      <c r="CX41" s="54">
        <f>SUM(CX39:CX40)</f>
        <v>0</v>
      </c>
      <c r="CY41" s="54">
        <f>SUM(CY39:CY40)</f>
        <v>0</v>
      </c>
      <c r="CZ41" s="54">
        <f t="shared" ref="CZ41:DC41" si="64">SUM(CZ39:CZ40)</f>
        <v>0</v>
      </c>
      <c r="DA41" s="54">
        <f t="shared" si="64"/>
        <v>0</v>
      </c>
      <c r="DB41" s="54">
        <f t="shared" si="64"/>
        <v>0</v>
      </c>
      <c r="DC41" s="54">
        <f t="shared" si="64"/>
        <v>0</v>
      </c>
    </row>
    <row r="42" spans="1:107" hidden="1" outlineLevel="1">
      <c r="A42" s="2195"/>
      <c r="B42" s="876" t="s">
        <v>262</v>
      </c>
      <c r="C42" s="15"/>
      <c r="D42" s="15"/>
      <c r="E42" s="15"/>
      <c r="F42" s="15"/>
      <c r="G42" s="15"/>
      <c r="H42" s="15"/>
      <c r="I42" s="15"/>
      <c r="J42" s="15"/>
      <c r="K42" s="789"/>
      <c r="L42" s="26"/>
      <c r="M42" s="26"/>
      <c r="N42" s="26"/>
      <c r="O42" s="15"/>
      <c r="P42" s="15"/>
      <c r="Q42" s="15"/>
      <c r="R42" s="15"/>
      <c r="S42" s="15"/>
      <c r="T42" s="15"/>
      <c r="U42" s="15"/>
      <c r="V42" s="15"/>
      <c r="W42" s="15"/>
      <c r="X42" s="15"/>
      <c r="Y42" s="15"/>
      <c r="Z42" s="15"/>
      <c r="AA42" s="15"/>
      <c r="AB42" s="15"/>
      <c r="AC42" s="15"/>
      <c r="AD42" s="15"/>
      <c r="AE42" s="15"/>
      <c r="AF42" s="789"/>
      <c r="AG42" s="789"/>
      <c r="AH42" s="789"/>
      <c r="AI42" s="789"/>
      <c r="AJ42" s="789"/>
      <c r="AK42" s="789"/>
      <c r="AL42" s="789"/>
      <c r="AM42" s="789"/>
      <c r="AN42" s="789"/>
      <c r="AO42" s="789"/>
      <c r="AP42" s="789"/>
      <c r="AQ42" s="789"/>
      <c r="AR42" s="789"/>
      <c r="AS42" s="789"/>
      <c r="AT42" s="789"/>
      <c r="AU42" s="789"/>
      <c r="AV42" s="789"/>
      <c r="AW42" s="789"/>
      <c r="AX42" s="789"/>
      <c r="AY42" s="789"/>
      <c r="AZ42" s="789"/>
      <c r="BA42" s="789"/>
      <c r="BB42" s="789"/>
      <c r="BC42" s="789"/>
      <c r="BD42" s="789"/>
      <c r="BE42" s="789"/>
      <c r="BF42" s="789"/>
      <c r="BG42" s="789"/>
      <c r="BH42" s="789"/>
      <c r="BI42" s="789"/>
      <c r="BJ42" s="15"/>
      <c r="BK42" s="15"/>
      <c r="BL42" s="15"/>
      <c r="BM42" s="15"/>
      <c r="BN42" s="15"/>
      <c r="BO42" s="15"/>
      <c r="BP42" s="15"/>
      <c r="BQ42" s="15"/>
      <c r="BR42" s="15"/>
      <c r="BS42" s="15"/>
      <c r="BT42" s="15"/>
      <c r="BU42" s="15"/>
      <c r="BV42" s="15"/>
      <c r="BW42" s="15"/>
      <c r="BX42" s="789"/>
      <c r="BY42" s="789"/>
      <c r="BZ42" s="789"/>
      <c r="CA42" s="789"/>
      <c r="CB42" s="789"/>
      <c r="CC42" s="789"/>
      <c r="CD42" s="789"/>
      <c r="CE42" s="789"/>
      <c r="CF42" s="789"/>
      <c r="CG42" s="789"/>
      <c r="CH42" s="789"/>
      <c r="CI42" s="789"/>
      <c r="CJ42" s="789"/>
      <c r="CK42" s="789"/>
      <c r="CL42" s="789"/>
      <c r="CM42" s="789"/>
      <c r="CN42" s="789"/>
      <c r="CO42" s="789"/>
      <c r="CP42" s="789"/>
      <c r="CQ42" s="789"/>
      <c r="CR42" s="789"/>
      <c r="CS42" s="789"/>
      <c r="CT42" s="789"/>
      <c r="CU42" s="789"/>
      <c r="CV42" s="789"/>
      <c r="CW42" s="789"/>
      <c r="CX42" s="789"/>
      <c r="CY42" s="789"/>
      <c r="CZ42" s="789"/>
      <c r="DA42" s="789"/>
      <c r="DB42" s="789"/>
      <c r="DC42" s="789"/>
    </row>
    <row r="43" spans="1:107" hidden="1" outlineLevel="1">
      <c r="A43" s="15"/>
      <c r="B43" s="876"/>
      <c r="C43" s="15"/>
      <c r="D43" s="15"/>
      <c r="E43" s="15"/>
      <c r="F43" s="15"/>
      <c r="G43" s="15"/>
      <c r="H43" s="15"/>
      <c r="I43" s="15"/>
      <c r="J43" s="15"/>
      <c r="K43" s="789"/>
      <c r="L43" s="26"/>
      <c r="M43" s="26"/>
      <c r="N43" s="26"/>
      <c r="O43" s="15"/>
      <c r="P43" s="15"/>
      <c r="Q43" s="15"/>
      <c r="R43" s="15"/>
      <c r="S43" s="15"/>
      <c r="T43" s="15"/>
      <c r="U43" s="15"/>
      <c r="V43" s="15"/>
      <c r="W43" s="15"/>
      <c r="X43" s="15"/>
      <c r="Y43" s="15"/>
      <c r="Z43" s="15"/>
      <c r="AA43" s="15"/>
      <c r="AB43" s="15"/>
      <c r="AC43" s="15"/>
      <c r="AD43" s="15"/>
      <c r="AE43" s="15"/>
      <c r="AF43" s="789"/>
      <c r="AG43" s="789"/>
      <c r="AH43" s="789"/>
      <c r="AI43" s="789"/>
      <c r="AJ43" s="789"/>
      <c r="AK43" s="789"/>
      <c r="AL43" s="789"/>
      <c r="AM43" s="789"/>
      <c r="AN43" s="789"/>
      <c r="AO43" s="789"/>
      <c r="AP43" s="789"/>
      <c r="AQ43" s="789"/>
      <c r="AR43" s="789"/>
      <c r="AS43" s="789"/>
      <c r="AT43" s="789"/>
      <c r="AU43" s="789"/>
      <c r="AV43" s="789"/>
      <c r="AW43" s="789"/>
      <c r="AX43" s="789"/>
      <c r="AY43" s="789"/>
      <c r="AZ43" s="789"/>
      <c r="BA43" s="789"/>
      <c r="BB43" s="789"/>
      <c r="BC43" s="789"/>
      <c r="BD43" s="789"/>
      <c r="BE43" s="789"/>
      <c r="BF43" s="789"/>
      <c r="BG43" s="789"/>
      <c r="BH43" s="789"/>
      <c r="BI43" s="789"/>
      <c r="BJ43" s="15"/>
      <c r="BK43" s="15"/>
      <c r="BL43" s="15"/>
      <c r="BM43" s="15"/>
      <c r="BN43" s="15"/>
      <c r="BO43" s="15"/>
      <c r="BP43" s="15"/>
      <c r="BQ43" s="15"/>
      <c r="BR43" s="15"/>
      <c r="BS43" s="15"/>
      <c r="BT43" s="15"/>
      <c r="BU43" s="15"/>
      <c r="BV43" s="15"/>
      <c r="BW43" s="789"/>
      <c r="BX43" s="789"/>
      <c r="BY43" s="789"/>
      <c r="BZ43" s="789"/>
      <c r="CA43" s="789"/>
      <c r="CB43" s="789"/>
      <c r="CC43" s="789"/>
      <c r="CD43" s="789"/>
      <c r="CE43" s="789"/>
      <c r="CF43" s="789"/>
      <c r="CG43" s="789"/>
      <c r="CH43" s="789"/>
      <c r="CI43" s="789"/>
      <c r="CJ43" s="789"/>
      <c r="CK43" s="789"/>
      <c r="CL43" s="789"/>
      <c r="CM43" s="789"/>
      <c r="CN43" s="789"/>
      <c r="CO43" s="789"/>
      <c r="CP43" s="789"/>
      <c r="CQ43" s="789"/>
      <c r="CR43" s="789"/>
      <c r="CS43" s="789"/>
      <c r="CT43" s="789"/>
      <c r="CU43" s="789"/>
      <c r="CV43" s="789"/>
      <c r="CW43" s="789"/>
      <c r="CX43" s="789"/>
      <c r="CY43" s="789"/>
      <c r="CZ43" s="789"/>
      <c r="DA43" s="789"/>
      <c r="DB43" s="789"/>
      <c r="DC43" s="789"/>
    </row>
    <row r="44" spans="1:107" hidden="1" outlineLevel="1" collapsed="1">
      <c r="A44" s="2195"/>
      <c r="B44" s="132" t="s">
        <v>574</v>
      </c>
      <c r="C44" s="132"/>
      <c r="D44" s="132"/>
      <c r="E44" s="132"/>
      <c r="F44" s="132"/>
      <c r="G44" s="132"/>
      <c r="H44" s="132"/>
      <c r="I44" s="132"/>
      <c r="J44" s="132"/>
      <c r="K44" s="132"/>
      <c r="L44" s="132"/>
      <c r="M44" s="132"/>
      <c r="N44" s="132"/>
      <c r="O44" s="132"/>
      <c r="P44" s="132"/>
      <c r="Q44" s="132"/>
      <c r="R44" s="132"/>
      <c r="S44" s="132"/>
      <c r="T44" s="132"/>
      <c r="U44" s="132"/>
      <c r="V44" s="132"/>
      <c r="W44" s="132"/>
      <c r="X44" s="132"/>
      <c r="Y44" s="132"/>
      <c r="Z44" s="132"/>
      <c r="AA44" s="132"/>
      <c r="AB44" s="132"/>
      <c r="AC44" s="132"/>
      <c r="AD44" s="132"/>
      <c r="AE44" s="15"/>
      <c r="AF44" s="132"/>
      <c r="AG44" s="132"/>
      <c r="AH44" s="132"/>
      <c r="AI44" s="132"/>
      <c r="AJ44" s="132"/>
      <c r="AK44" s="132"/>
      <c r="AL44" s="132"/>
      <c r="AM44" s="132"/>
      <c r="AN44" s="132"/>
      <c r="AO44" s="132"/>
      <c r="AP44" s="132"/>
      <c r="AQ44" s="132"/>
      <c r="AR44" s="132"/>
      <c r="AS44" s="132"/>
      <c r="AT44" s="132"/>
      <c r="AU44" s="132"/>
      <c r="AV44" s="132"/>
      <c r="AW44" s="132"/>
      <c r="AX44" s="132"/>
      <c r="AY44" s="132"/>
      <c r="AZ44" s="132"/>
      <c r="BA44" s="132"/>
      <c r="BB44" s="132"/>
      <c r="BC44" s="132"/>
      <c r="BD44" s="132"/>
      <c r="BE44" s="132"/>
      <c r="BF44" s="132"/>
      <c r="BG44" s="132"/>
      <c r="BH44" s="132"/>
      <c r="BI44" s="132"/>
      <c r="BJ44" s="132"/>
      <c r="BK44" s="132"/>
      <c r="BL44" s="132"/>
      <c r="BM44" s="132"/>
      <c r="BN44" s="132"/>
      <c r="BO44" s="132"/>
      <c r="BP44" s="132"/>
      <c r="BQ44" s="132"/>
      <c r="BR44" s="132"/>
      <c r="BS44" s="132"/>
      <c r="BT44" s="132"/>
      <c r="BU44" s="132"/>
      <c r="BV44" s="132"/>
      <c r="BW44" s="132"/>
      <c r="BX44" s="132"/>
      <c r="BY44" s="132"/>
      <c r="BZ44" s="132"/>
      <c r="CA44" s="132"/>
      <c r="CB44" s="132"/>
      <c r="CC44" s="132"/>
      <c r="CD44" s="132"/>
      <c r="CE44" s="132"/>
      <c r="CF44" s="132"/>
      <c r="CG44" s="132"/>
      <c r="CH44" s="132"/>
      <c r="CI44" s="132"/>
      <c r="CJ44" s="132"/>
      <c r="CK44" s="132"/>
      <c r="CL44" s="132"/>
      <c r="CM44" s="132"/>
      <c r="CN44" s="132"/>
      <c r="CO44" s="132"/>
      <c r="CP44" s="132"/>
      <c r="CQ44" s="132"/>
      <c r="CR44" s="132"/>
      <c r="CS44" s="132"/>
      <c r="CT44" s="132"/>
      <c r="CU44" s="132"/>
      <c r="CV44" s="132"/>
      <c r="CW44" s="132"/>
      <c r="CX44" s="132"/>
      <c r="CY44" s="132"/>
      <c r="CZ44" s="132"/>
      <c r="DA44" s="132"/>
      <c r="DB44" s="132"/>
      <c r="DC44" s="132"/>
    </row>
    <row r="45" spans="1:107" hidden="1" outlineLevel="1">
      <c r="A45" s="2195"/>
      <c r="B45" s="876" t="s">
        <v>1118</v>
      </c>
      <c r="C45" s="15"/>
      <c r="D45" s="15"/>
      <c r="E45" s="15"/>
      <c r="F45" s="15"/>
      <c r="G45" s="15"/>
      <c r="H45" s="15"/>
      <c r="I45" s="15"/>
      <c r="J45" s="15"/>
      <c r="K45" s="783"/>
      <c r="L45" s="26">
        <f>BK45</f>
        <v>0</v>
      </c>
      <c r="M45" s="26"/>
      <c r="N45" s="26"/>
      <c r="O45" s="26"/>
      <c r="P45" s="26"/>
      <c r="Q45" s="26"/>
      <c r="R45" s="26"/>
      <c r="S45" s="26"/>
      <c r="T45" s="26"/>
      <c r="U45" s="26"/>
      <c r="V45" s="26"/>
      <c r="W45" s="26"/>
      <c r="X45" s="26">
        <f>W47</f>
        <v>0</v>
      </c>
      <c r="Y45" s="26">
        <f>X47</f>
        <v>0</v>
      </c>
      <c r="Z45" s="26">
        <f>Y47</f>
        <v>0</v>
      </c>
      <c r="AA45" s="26">
        <f t="shared" ref="AA45:AD45" si="65">Z47</f>
        <v>0</v>
      </c>
      <c r="AB45" s="26">
        <f t="shared" si="65"/>
        <v>0</v>
      </c>
      <c r="AC45" s="26">
        <f t="shared" si="65"/>
        <v>0</v>
      </c>
      <c r="AD45" s="26">
        <f t="shared" si="65"/>
        <v>0</v>
      </c>
      <c r="AE45" s="15"/>
      <c r="AF45" s="26"/>
      <c r="AG45" s="26"/>
      <c r="AH45" s="26"/>
      <c r="AI45" s="26"/>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15"/>
      <c r="BK45" s="15"/>
      <c r="BL45" s="15"/>
      <c r="BM45" s="15"/>
      <c r="BN45" s="15"/>
      <c r="BO45" s="15"/>
      <c r="BP45" s="15"/>
      <c r="BQ45" s="15"/>
      <c r="BR45" s="15"/>
      <c r="BS45" s="15"/>
      <c r="BT45" s="15"/>
      <c r="BU45" s="15"/>
      <c r="BV45" s="15"/>
      <c r="BW45" s="26"/>
      <c r="BX45" s="26"/>
      <c r="BY45" s="26"/>
      <c r="BZ45" s="26"/>
      <c r="CA45" s="26"/>
      <c r="CB45" s="26">
        <f>+CA47</f>
        <v>10.288</v>
      </c>
      <c r="CC45" s="26">
        <f t="shared" ref="CC45:CU45" si="66">CB47</f>
        <v>17.323</v>
      </c>
      <c r="CD45" s="26">
        <f t="shared" si="66"/>
        <v>14.545999999999999</v>
      </c>
      <c r="CE45" s="26">
        <f t="shared" si="66"/>
        <v>49.348999999999997</v>
      </c>
      <c r="CF45" s="26">
        <f t="shared" si="66"/>
        <v>48.807000000000002</v>
      </c>
      <c r="CG45" s="26">
        <f t="shared" si="66"/>
        <v>49.566000000000003</v>
      </c>
      <c r="CH45" s="26">
        <f t="shared" si="66"/>
        <v>44.923999999999999</v>
      </c>
      <c r="CI45" s="26">
        <f t="shared" si="66"/>
        <v>46.792000000000002</v>
      </c>
      <c r="CJ45" s="26">
        <f t="shared" si="66"/>
        <v>67.882000000000005</v>
      </c>
      <c r="CK45" s="26">
        <f t="shared" si="66"/>
        <v>70.799000000000007</v>
      </c>
      <c r="CL45" s="26">
        <f t="shared" si="66"/>
        <v>65.971999999999994</v>
      </c>
      <c r="CM45" s="26">
        <f t="shared" si="66"/>
        <v>59.317</v>
      </c>
      <c r="CN45" s="26">
        <f t="shared" si="66"/>
        <v>56.863</v>
      </c>
      <c r="CO45" s="26">
        <f t="shared" si="66"/>
        <v>46.109000000000002</v>
      </c>
      <c r="CP45" s="26">
        <f t="shared" si="66"/>
        <v>43.133000000000003</v>
      </c>
      <c r="CQ45" s="26">
        <f t="shared" si="66"/>
        <v>32.765999999999998</v>
      </c>
      <c r="CR45" s="26">
        <f t="shared" si="66"/>
        <v>26.667999999999999</v>
      </c>
      <c r="CS45" s="26">
        <f t="shared" si="66"/>
        <v>28.472999999999999</v>
      </c>
      <c r="CT45" s="26">
        <f t="shared" si="66"/>
        <v>2.8410000000000011</v>
      </c>
      <c r="CU45" s="26">
        <f t="shared" si="66"/>
        <v>1.585</v>
      </c>
      <c r="CV45" s="26">
        <f>CU47</f>
        <v>0</v>
      </c>
      <c r="CW45" s="26">
        <f>CV47</f>
        <v>0</v>
      </c>
      <c r="CX45" s="26">
        <f>CW47</f>
        <v>0</v>
      </c>
      <c r="CY45" s="26">
        <f>CX47</f>
        <v>0</v>
      </c>
      <c r="CZ45" s="26">
        <f t="shared" ref="CZ45:DC45" si="67">CY47</f>
        <v>0</v>
      </c>
      <c r="DA45" s="26">
        <f t="shared" si="67"/>
        <v>0</v>
      </c>
      <c r="DB45" s="26">
        <f t="shared" si="67"/>
        <v>0</v>
      </c>
      <c r="DC45" s="26">
        <f t="shared" si="67"/>
        <v>0</v>
      </c>
    </row>
    <row r="46" spans="1:107" hidden="1" outlineLevel="1">
      <c r="A46" s="2195"/>
      <c r="B46" s="876" t="s">
        <v>1121</v>
      </c>
      <c r="C46" s="15"/>
      <c r="D46" s="15"/>
      <c r="E46" s="15"/>
      <c r="F46" s="15"/>
      <c r="G46" s="15"/>
      <c r="H46" s="15"/>
      <c r="I46" s="15"/>
      <c r="J46" s="15"/>
      <c r="K46" s="783"/>
      <c r="L46" s="26">
        <f>BK46</f>
        <v>0</v>
      </c>
      <c r="M46" s="26"/>
      <c r="N46" s="26"/>
      <c r="O46" s="26"/>
      <c r="P46" s="26"/>
      <c r="Q46" s="26"/>
      <c r="R46" s="26"/>
      <c r="S46" s="26"/>
      <c r="T46" s="26"/>
      <c r="U46" s="26"/>
      <c r="V46" s="26"/>
      <c r="W46" s="26"/>
      <c r="X46" s="1000">
        <v>0</v>
      </c>
      <c r="Y46" s="1000">
        <v>0</v>
      </c>
      <c r="Z46" s="1000">
        <v>0</v>
      </c>
      <c r="AA46" s="1000">
        <v>0</v>
      </c>
      <c r="AB46" s="1000">
        <v>0</v>
      </c>
      <c r="AC46" s="1000">
        <v>0</v>
      </c>
      <c r="AD46" s="1000">
        <v>0</v>
      </c>
      <c r="AE46" s="15"/>
      <c r="AF46" s="783"/>
      <c r="AG46" s="783"/>
      <c r="AH46" s="783"/>
      <c r="AI46" s="783"/>
      <c r="AJ46" s="783"/>
      <c r="AK46" s="783"/>
      <c r="AL46" s="783"/>
      <c r="AM46" s="783"/>
      <c r="AN46" s="783"/>
      <c r="AO46" s="783"/>
      <c r="AP46" s="783"/>
      <c r="AQ46" s="783"/>
      <c r="AR46" s="783"/>
      <c r="AS46" s="783"/>
      <c r="AT46" s="783"/>
      <c r="AU46" s="783"/>
      <c r="AV46" s="783"/>
      <c r="AW46" s="783"/>
      <c r="AX46" s="783"/>
      <c r="AY46" s="783"/>
      <c r="AZ46" s="783"/>
      <c r="BA46" s="783"/>
      <c r="BB46" s="783"/>
      <c r="BC46" s="783"/>
      <c r="BD46" s="783"/>
      <c r="BE46" s="783"/>
      <c r="BF46" s="783"/>
      <c r="BG46" s="783"/>
      <c r="BH46" s="783"/>
      <c r="BI46" s="783"/>
      <c r="BJ46" s="15"/>
      <c r="BK46" s="15"/>
      <c r="BL46" s="15"/>
      <c r="BM46" s="15"/>
      <c r="BN46" s="15"/>
      <c r="BO46" s="15"/>
      <c r="BP46" s="15"/>
      <c r="BQ46" s="15"/>
      <c r="BR46" s="15"/>
      <c r="BS46" s="15"/>
      <c r="BT46" s="15"/>
      <c r="BU46" s="15"/>
      <c r="BV46" s="15"/>
      <c r="BW46" s="15"/>
      <c r="BX46" s="398"/>
      <c r="BZ46" s="15"/>
      <c r="CA46" s="15"/>
      <c r="CB46" s="398">
        <f>17.323-CA47</f>
        <v>7.0350000000000001</v>
      </c>
      <c r="CC46" s="398">
        <f>14.546-CB47</f>
        <v>-2.777000000000001</v>
      </c>
      <c r="CD46" s="398">
        <f>49.349-CC47</f>
        <v>34.802999999999997</v>
      </c>
      <c r="CE46" s="398">
        <f>48.807-CD47</f>
        <v>-0.54199999999999449</v>
      </c>
      <c r="CF46" s="398">
        <f>49.566-CE47</f>
        <v>0.75900000000000034</v>
      </c>
      <c r="CG46" s="398">
        <f>44.924-CF47</f>
        <v>-4.642000000000003</v>
      </c>
      <c r="CH46" s="398">
        <f>46.792-CG47</f>
        <v>1.8680000000000021</v>
      </c>
      <c r="CI46" s="398">
        <f>67.882-CH47</f>
        <v>21.090000000000003</v>
      </c>
      <c r="CJ46" s="398">
        <f>70.799-CI47</f>
        <v>2.9170000000000016</v>
      </c>
      <c r="CK46" s="398">
        <f>65.972-CJ47</f>
        <v>-4.8270000000000124</v>
      </c>
      <c r="CL46" s="398">
        <f>59.317-CK47</f>
        <v>-6.654999999999994</v>
      </c>
      <c r="CM46" s="398">
        <f>56.863-CL47</f>
        <v>-2.4540000000000006</v>
      </c>
      <c r="CN46" s="398">
        <f>46.109-CM47</f>
        <v>-10.753999999999998</v>
      </c>
      <c r="CO46" s="398">
        <f>43.133-CN47</f>
        <v>-2.9759999999999991</v>
      </c>
      <c r="CP46" s="398">
        <f>32.766-CO47</f>
        <v>-10.367000000000004</v>
      </c>
      <c r="CQ46" s="398">
        <f>26.668-CP47</f>
        <v>-6.097999999999999</v>
      </c>
      <c r="CR46" s="398">
        <f>28.473-CQ47</f>
        <v>1.8049999999999997</v>
      </c>
      <c r="CS46" s="398">
        <f>2.841-CR47</f>
        <v>-25.631999999999998</v>
      </c>
      <c r="CT46" s="398">
        <f>1.585-CS47</f>
        <v>-1.2560000000000011</v>
      </c>
      <c r="CU46" s="398">
        <f>0-CT47</f>
        <v>-1.585</v>
      </c>
      <c r="CV46" s="783">
        <v>0</v>
      </c>
      <c r="CW46" s="783">
        <v>0</v>
      </c>
      <c r="CX46" s="783">
        <v>0</v>
      </c>
      <c r="CY46" s="783">
        <v>0</v>
      </c>
      <c r="CZ46" s="783">
        <v>0</v>
      </c>
      <c r="DA46" s="783">
        <v>0</v>
      </c>
      <c r="DB46" s="783">
        <v>0</v>
      </c>
      <c r="DC46" s="783">
        <v>0</v>
      </c>
    </row>
    <row r="47" spans="1:107" hidden="1" outlineLevel="1">
      <c r="A47" s="2195"/>
      <c r="B47" s="876" t="s">
        <v>261</v>
      </c>
      <c r="C47" s="15"/>
      <c r="D47" s="15"/>
      <c r="E47" s="15"/>
      <c r="F47" s="15"/>
      <c r="G47" s="15"/>
      <c r="H47" s="15"/>
      <c r="I47" s="15"/>
      <c r="J47" s="15"/>
      <c r="K47" s="783"/>
      <c r="L47" s="26">
        <f>BK47</f>
        <v>0</v>
      </c>
      <c r="M47" s="26"/>
      <c r="N47" s="26"/>
      <c r="O47" s="26"/>
      <c r="P47" s="26">
        <f>CA47</f>
        <v>10.288</v>
      </c>
      <c r="Q47" s="26">
        <f>CE47</f>
        <v>48.807000000000002</v>
      </c>
      <c r="R47" s="26">
        <f>CI47</f>
        <v>67.882000000000005</v>
      </c>
      <c r="S47" s="26">
        <f>CM47</f>
        <v>56.863</v>
      </c>
      <c r="T47" s="26">
        <f>CQ47</f>
        <v>26.667999999999999</v>
      </c>
      <c r="U47" s="26">
        <f>CU47</f>
        <v>0</v>
      </c>
      <c r="V47" s="26">
        <f>CY47</f>
        <v>0</v>
      </c>
      <c r="W47" s="26">
        <f>CZ47</f>
        <v>0</v>
      </c>
      <c r="X47" s="26">
        <f>SUM(X45:X46)</f>
        <v>0</v>
      </c>
      <c r="Y47" s="26">
        <f>SUM(Y45:Y46)</f>
        <v>0</v>
      </c>
      <c r="Z47" s="26">
        <f>SUM(Z45:Z46)</f>
        <v>0</v>
      </c>
      <c r="AA47" s="26">
        <f t="shared" ref="AA47:AD47" si="68">SUM(AA45:AA46)</f>
        <v>0</v>
      </c>
      <c r="AB47" s="26">
        <f t="shared" si="68"/>
        <v>0</v>
      </c>
      <c r="AC47" s="26">
        <f t="shared" si="68"/>
        <v>0</v>
      </c>
      <c r="AD47" s="26">
        <f t="shared" si="68"/>
        <v>0</v>
      </c>
      <c r="AE47" s="15"/>
      <c r="AF47" s="54"/>
      <c r="AG47" s="54"/>
      <c r="AH47" s="54"/>
      <c r="AI47" s="54"/>
      <c r="AJ47" s="54"/>
      <c r="AK47" s="54"/>
      <c r="AL47" s="54"/>
      <c r="AM47" s="54"/>
      <c r="AN47" s="54"/>
      <c r="AO47" s="54"/>
      <c r="AP47" s="54"/>
      <c r="AQ47" s="54"/>
      <c r="AR47" s="54"/>
      <c r="AS47" s="54"/>
      <c r="AT47" s="54"/>
      <c r="AU47" s="54"/>
      <c r="AV47" s="54"/>
      <c r="AW47" s="54"/>
      <c r="AX47" s="54"/>
      <c r="AY47" s="54"/>
      <c r="AZ47" s="54"/>
      <c r="BA47" s="54"/>
      <c r="BB47" s="54"/>
      <c r="BC47" s="54"/>
      <c r="BD47" s="54"/>
      <c r="BE47" s="54"/>
      <c r="BF47" s="54"/>
      <c r="BG47" s="54"/>
      <c r="BH47" s="54"/>
      <c r="BI47" s="54"/>
      <c r="BJ47" s="15"/>
      <c r="BK47" s="15"/>
      <c r="BL47" s="15"/>
      <c r="BM47" s="15"/>
      <c r="BN47" s="15"/>
      <c r="BO47" s="15"/>
      <c r="BP47" s="15"/>
      <c r="BQ47" s="15"/>
      <c r="BR47" s="15"/>
      <c r="BS47" s="15"/>
      <c r="BT47" s="15"/>
      <c r="BU47" s="15"/>
      <c r="BV47" s="15"/>
      <c r="BW47" s="15"/>
      <c r="BX47" s="1001"/>
      <c r="BY47" s="398">
        <v>19.254000000000001</v>
      </c>
      <c r="BZ47" s="398">
        <v>11.738</v>
      </c>
      <c r="CA47" s="398">
        <v>10.288</v>
      </c>
      <c r="CB47" s="54">
        <f>+SUM(CB45:CB46)</f>
        <v>17.323</v>
      </c>
      <c r="CC47" s="54">
        <f t="shared" ref="CC47:CT47" si="69">SUM(CC45:CC46)</f>
        <v>14.545999999999999</v>
      </c>
      <c r="CD47" s="54">
        <f t="shared" si="69"/>
        <v>49.348999999999997</v>
      </c>
      <c r="CE47" s="54">
        <f t="shared" si="69"/>
        <v>48.807000000000002</v>
      </c>
      <c r="CF47" s="54">
        <f t="shared" si="69"/>
        <v>49.566000000000003</v>
      </c>
      <c r="CG47" s="54">
        <f t="shared" si="69"/>
        <v>44.923999999999999</v>
      </c>
      <c r="CH47" s="54">
        <f t="shared" si="69"/>
        <v>46.792000000000002</v>
      </c>
      <c r="CI47" s="54">
        <f t="shared" si="69"/>
        <v>67.882000000000005</v>
      </c>
      <c r="CJ47" s="54">
        <f t="shared" si="69"/>
        <v>70.799000000000007</v>
      </c>
      <c r="CK47" s="54">
        <f t="shared" si="69"/>
        <v>65.971999999999994</v>
      </c>
      <c r="CL47" s="54">
        <f t="shared" si="69"/>
        <v>59.317</v>
      </c>
      <c r="CM47" s="54">
        <f t="shared" si="69"/>
        <v>56.863</v>
      </c>
      <c r="CN47" s="54">
        <f t="shared" si="69"/>
        <v>46.109000000000002</v>
      </c>
      <c r="CO47" s="54">
        <f t="shared" si="69"/>
        <v>43.133000000000003</v>
      </c>
      <c r="CP47" s="54">
        <f t="shared" si="69"/>
        <v>32.765999999999998</v>
      </c>
      <c r="CQ47" s="54">
        <f>SUM(CQ45:CQ46)</f>
        <v>26.667999999999999</v>
      </c>
      <c r="CR47" s="54">
        <f>SUM(CR45:CR46)</f>
        <v>28.472999999999999</v>
      </c>
      <c r="CS47" s="54">
        <f>SUM(CS45:CS46)</f>
        <v>2.8410000000000011</v>
      </c>
      <c r="CT47" s="54">
        <f t="shared" si="69"/>
        <v>1.585</v>
      </c>
      <c r="CU47" s="54">
        <f>SUM(CU45:CU46)</f>
        <v>0</v>
      </c>
      <c r="CV47" s="54">
        <f>SUM(CV45:CV46)</f>
        <v>0</v>
      </c>
      <c r="CW47" s="54">
        <f>SUM(CW45:CW46)</f>
        <v>0</v>
      </c>
      <c r="CX47" s="54">
        <f>SUM(CX45:CX46)</f>
        <v>0</v>
      </c>
      <c r="CY47" s="54">
        <f>SUM(CY45:CY46)</f>
        <v>0</v>
      </c>
      <c r="CZ47" s="54">
        <f t="shared" ref="CZ47:DC47" si="70">SUM(CZ45:CZ46)</f>
        <v>0</v>
      </c>
      <c r="DA47" s="54">
        <f t="shared" si="70"/>
        <v>0</v>
      </c>
      <c r="DB47" s="54">
        <f t="shared" si="70"/>
        <v>0</v>
      </c>
      <c r="DC47" s="54">
        <f t="shared" si="70"/>
        <v>0</v>
      </c>
    </row>
    <row r="48" spans="1:107" hidden="1" outlineLevel="1">
      <c r="A48" s="2195"/>
      <c r="B48" s="876" t="s">
        <v>262</v>
      </c>
      <c r="C48" s="15"/>
      <c r="D48" s="15"/>
      <c r="E48" s="15"/>
      <c r="F48" s="15"/>
      <c r="G48" s="15"/>
      <c r="H48" s="15"/>
      <c r="I48" s="15"/>
      <c r="J48" s="15"/>
      <c r="K48" s="789"/>
      <c r="L48" s="26"/>
      <c r="M48" s="26"/>
      <c r="N48" s="26"/>
      <c r="O48" s="15"/>
      <c r="P48" s="15"/>
      <c r="Q48" s="15"/>
      <c r="R48" s="15"/>
      <c r="S48" s="15"/>
      <c r="T48" s="15"/>
      <c r="U48" s="15"/>
      <c r="V48" s="15"/>
      <c r="W48" s="15"/>
      <c r="X48" s="15"/>
      <c r="Y48" s="15"/>
      <c r="Z48" s="15"/>
      <c r="AA48" s="15"/>
      <c r="AB48" s="15"/>
      <c r="AC48" s="15"/>
      <c r="AD48" s="15"/>
      <c r="AE48" s="15"/>
      <c r="AF48" s="789"/>
      <c r="AG48" s="789"/>
      <c r="AH48" s="789"/>
      <c r="AI48" s="789"/>
      <c r="AJ48" s="789"/>
      <c r="AK48" s="789"/>
      <c r="AL48" s="789"/>
      <c r="AM48" s="789"/>
      <c r="AN48" s="789"/>
      <c r="AO48" s="789"/>
      <c r="AP48" s="789"/>
      <c r="AQ48" s="789"/>
      <c r="AR48" s="789"/>
      <c r="AS48" s="789"/>
      <c r="AT48" s="789"/>
      <c r="AU48" s="789"/>
      <c r="AV48" s="789"/>
      <c r="AW48" s="789"/>
      <c r="AX48" s="789"/>
      <c r="AY48" s="789"/>
      <c r="AZ48" s="789"/>
      <c r="BA48" s="789"/>
      <c r="BB48" s="789"/>
      <c r="BC48" s="789"/>
      <c r="BD48" s="789"/>
      <c r="BE48" s="789"/>
      <c r="BF48" s="789"/>
      <c r="BG48" s="789"/>
      <c r="BH48" s="789"/>
      <c r="BI48" s="789"/>
      <c r="BJ48" s="15"/>
      <c r="BK48" s="15"/>
      <c r="BL48" s="15"/>
      <c r="BM48" s="15"/>
      <c r="BN48" s="15"/>
      <c r="BO48" s="15"/>
      <c r="BP48" s="15"/>
      <c r="BQ48" s="15"/>
      <c r="BR48" s="15"/>
      <c r="BS48" s="15"/>
      <c r="BT48" s="15"/>
      <c r="BU48" s="15"/>
      <c r="BV48" s="15"/>
      <c r="BW48" s="15"/>
      <c r="BX48" s="789"/>
      <c r="BY48" s="789"/>
      <c r="BZ48" s="789"/>
      <c r="CA48" s="789"/>
      <c r="CB48" s="789"/>
      <c r="CC48" s="789"/>
      <c r="CD48" s="789"/>
      <c r="CE48" s="789"/>
      <c r="CF48" s="789"/>
      <c r="CG48" s="789"/>
      <c r="CH48" s="789"/>
      <c r="CI48" s="789"/>
      <c r="CJ48" s="789"/>
      <c r="CK48" s="789"/>
      <c r="CL48" s="789"/>
      <c r="CM48" s="789"/>
      <c r="CN48" s="789"/>
      <c r="CO48" s="789"/>
      <c r="CP48" s="789"/>
      <c r="CQ48" s="789"/>
      <c r="CR48" s="789"/>
      <c r="CS48" s="789"/>
      <c r="CT48" s="789"/>
      <c r="CU48" s="789"/>
      <c r="CV48" s="789"/>
      <c r="CW48" s="789"/>
      <c r="CX48" s="789"/>
      <c r="CY48" s="789"/>
      <c r="CZ48" s="789"/>
      <c r="DA48" s="789"/>
      <c r="DB48" s="789"/>
      <c r="DC48" s="789"/>
    </row>
    <row r="49" spans="1:107" collapsed="1">
      <c r="A49" s="15"/>
      <c r="B49" s="876"/>
      <c r="C49" s="15"/>
      <c r="D49" s="15"/>
      <c r="E49" s="15"/>
      <c r="F49" s="15"/>
      <c r="G49" s="15"/>
      <c r="H49" s="15"/>
      <c r="I49" s="15"/>
      <c r="J49" s="15"/>
      <c r="K49" s="789"/>
      <c r="L49" s="26"/>
      <c r="M49" s="26"/>
      <c r="N49" s="26"/>
      <c r="O49" s="15"/>
      <c r="P49" s="15"/>
      <c r="Q49" s="15"/>
      <c r="R49" s="15"/>
      <c r="S49" s="15"/>
      <c r="T49" s="15"/>
      <c r="U49" s="15"/>
      <c r="V49" s="15"/>
      <c r="W49" s="15"/>
      <c r="X49" s="15"/>
      <c r="Y49" s="15"/>
      <c r="Z49" s="15"/>
      <c r="AA49" s="15"/>
      <c r="AB49" s="15"/>
      <c r="AC49" s="15"/>
      <c r="AD49" s="15"/>
      <c r="AE49" s="15"/>
      <c r="AF49" s="789"/>
      <c r="AG49" s="789"/>
      <c r="AH49" s="789"/>
      <c r="AI49" s="789"/>
      <c r="AJ49" s="789"/>
      <c r="AK49" s="789"/>
      <c r="AL49" s="789"/>
      <c r="AM49" s="789"/>
      <c r="AN49" s="789"/>
      <c r="AO49" s="789"/>
      <c r="AP49" s="789"/>
      <c r="AQ49" s="789"/>
      <c r="AR49" s="789"/>
      <c r="AS49" s="789"/>
      <c r="AT49" s="789"/>
      <c r="AU49" s="789"/>
      <c r="AV49" s="789"/>
      <c r="AW49" s="789"/>
      <c r="AX49" s="789"/>
      <c r="AY49" s="789"/>
      <c r="AZ49" s="789"/>
      <c r="BA49" s="789"/>
      <c r="BB49" s="789"/>
      <c r="BC49" s="789"/>
      <c r="BD49" s="789"/>
      <c r="BE49" s="789"/>
      <c r="BF49" s="789"/>
      <c r="BG49" s="789"/>
      <c r="BH49" s="789"/>
      <c r="BI49" s="789"/>
      <c r="BJ49" s="15"/>
      <c r="BK49" s="15"/>
      <c r="BL49" s="15"/>
      <c r="BM49" s="15"/>
      <c r="BN49" s="15"/>
      <c r="BO49" s="15"/>
      <c r="BP49" s="15"/>
      <c r="BQ49" s="15"/>
      <c r="BR49" s="15"/>
      <c r="BS49" s="15"/>
      <c r="BT49" s="15"/>
      <c r="BU49" s="15"/>
      <c r="BV49" s="15"/>
      <c r="BW49" s="15"/>
      <c r="BX49" s="789"/>
      <c r="BY49" s="789"/>
      <c r="BZ49" s="789"/>
      <c r="CA49" s="789"/>
      <c r="CB49" s="789"/>
      <c r="CC49" s="789"/>
      <c r="CD49" s="789"/>
      <c r="CE49" s="789"/>
      <c r="CF49" s="789"/>
      <c r="CG49" s="789"/>
      <c r="CH49" s="789"/>
      <c r="CI49" s="789"/>
      <c r="CJ49" s="789"/>
      <c r="CK49" s="789"/>
      <c r="CL49" s="789"/>
      <c r="CM49" s="789"/>
      <c r="CN49" s="789"/>
      <c r="CO49" s="789"/>
      <c r="CP49" s="789"/>
      <c r="CQ49" s="789"/>
      <c r="CR49" s="789"/>
      <c r="CS49" s="789"/>
      <c r="CT49" s="789"/>
      <c r="CU49" s="789"/>
      <c r="CV49" s="789"/>
      <c r="CW49" s="789"/>
      <c r="CX49" s="789"/>
      <c r="CY49" s="789"/>
      <c r="CZ49" s="789"/>
      <c r="DA49" s="789"/>
      <c r="DB49" s="789"/>
      <c r="DC49" s="789"/>
    </row>
    <row r="50" spans="1:107">
      <c r="A50" s="15"/>
      <c r="B50" s="132" t="s">
        <v>1203</v>
      </c>
      <c r="C50" s="132"/>
      <c r="D50" s="132"/>
      <c r="E50" s="132"/>
      <c r="F50" s="132"/>
      <c r="G50" s="132"/>
      <c r="H50" s="132"/>
      <c r="I50" s="132"/>
      <c r="J50" s="132"/>
      <c r="K50" s="132"/>
      <c r="L50" s="132"/>
      <c r="M50" s="132"/>
      <c r="N50" s="132"/>
      <c r="O50" s="132"/>
      <c r="P50" s="132"/>
      <c r="Q50" s="132"/>
      <c r="R50" s="132"/>
      <c r="S50" s="132"/>
      <c r="T50" s="132"/>
      <c r="U50" s="132"/>
      <c r="V50" s="132"/>
      <c r="W50" s="132"/>
      <c r="X50" s="132"/>
      <c r="Y50" s="132"/>
      <c r="Z50" s="132"/>
      <c r="AA50" s="132"/>
      <c r="AB50" s="132"/>
      <c r="AC50" s="132"/>
      <c r="AD50" s="132"/>
      <c r="AE50" s="15"/>
      <c r="AF50" s="132"/>
      <c r="AG50" s="132"/>
      <c r="AH50" s="132"/>
      <c r="AI50" s="132"/>
      <c r="AJ50" s="132"/>
      <c r="AK50" s="132"/>
      <c r="AL50" s="132"/>
      <c r="AM50" s="132"/>
      <c r="AN50" s="132"/>
      <c r="AO50" s="132"/>
      <c r="AP50" s="132"/>
      <c r="AQ50" s="132"/>
      <c r="AR50" s="132"/>
      <c r="AS50" s="132"/>
      <c r="AT50" s="132"/>
      <c r="AU50" s="132"/>
      <c r="AV50" s="132"/>
      <c r="AW50" s="132"/>
      <c r="AX50" s="132"/>
      <c r="AY50" s="132"/>
      <c r="AZ50" s="132"/>
      <c r="BA50" s="132"/>
      <c r="BB50" s="132"/>
      <c r="BC50" s="132"/>
      <c r="BD50" s="132"/>
      <c r="BE50" s="132"/>
      <c r="BF50" s="132"/>
      <c r="BG50" s="132"/>
      <c r="BH50" s="132"/>
      <c r="BI50" s="132"/>
      <c r="BJ50" s="132"/>
      <c r="BK50" s="132"/>
      <c r="BL50" s="132"/>
      <c r="BM50" s="132"/>
      <c r="BN50" s="132"/>
      <c r="BO50" s="132"/>
      <c r="BP50" s="132"/>
      <c r="BQ50" s="132"/>
      <c r="BR50" s="132"/>
      <c r="BS50" s="132"/>
      <c r="BT50" s="132"/>
      <c r="BU50" s="132"/>
      <c r="BV50" s="132"/>
      <c r="BW50" s="132"/>
      <c r="BX50" s="132"/>
      <c r="BY50" s="132"/>
      <c r="BZ50" s="132"/>
      <c r="CA50" s="132"/>
      <c r="CB50" s="132"/>
      <c r="CC50" s="132"/>
      <c r="CD50" s="132"/>
      <c r="CE50" s="132"/>
      <c r="CF50" s="132"/>
      <c r="CG50" s="132"/>
      <c r="CH50" s="132"/>
      <c r="CI50" s="132"/>
      <c r="CJ50" s="132"/>
      <c r="CK50" s="132"/>
      <c r="CL50" s="132"/>
      <c r="CM50" s="132"/>
      <c r="CN50" s="132"/>
      <c r="CO50" s="132"/>
      <c r="CP50" s="132"/>
      <c r="CQ50" s="132"/>
      <c r="CR50" s="132"/>
      <c r="CS50" s="132"/>
      <c r="CT50" s="132"/>
      <c r="CU50" s="132"/>
      <c r="CV50" s="132"/>
      <c r="CW50" s="132"/>
      <c r="CX50" s="132"/>
      <c r="CY50" s="132"/>
      <c r="CZ50" s="132"/>
      <c r="DA50" s="132"/>
      <c r="DB50" s="132"/>
      <c r="DC50" s="132"/>
    </row>
    <row r="51" spans="1:107">
      <c r="A51" s="15"/>
      <c r="B51" s="876" t="s">
        <v>1118</v>
      </c>
      <c r="C51" s="15"/>
      <c r="D51" s="15"/>
      <c r="E51" s="15"/>
      <c r="F51" s="15"/>
      <c r="G51" s="15"/>
      <c r="H51" s="15"/>
      <c r="I51" s="15"/>
      <c r="J51" s="15"/>
      <c r="K51" s="783"/>
      <c r="L51" s="26">
        <f>BK51</f>
        <v>0</v>
      </c>
      <c r="M51" s="26"/>
      <c r="N51" s="26"/>
      <c r="O51" s="26"/>
      <c r="P51" s="26"/>
      <c r="Q51" s="26"/>
      <c r="R51" s="26"/>
      <c r="S51" s="26"/>
      <c r="T51" s="26"/>
      <c r="U51" s="26"/>
      <c r="V51" s="26"/>
      <c r="W51" s="26"/>
      <c r="X51" s="26">
        <f>W53</f>
        <v>50.923000000000002</v>
      </c>
      <c r="Y51" s="26">
        <f>X53</f>
        <v>50.923000000000002</v>
      </c>
      <c r="Z51" s="26">
        <f>Y53</f>
        <v>50.923000000000002</v>
      </c>
      <c r="AA51" s="26">
        <f t="shared" ref="AA51:AD51" si="71">Z53</f>
        <v>50.923000000000002</v>
      </c>
      <c r="AB51" s="26">
        <f t="shared" si="71"/>
        <v>50.923000000000002</v>
      </c>
      <c r="AC51" s="26">
        <f t="shared" si="71"/>
        <v>50.923000000000002</v>
      </c>
      <c r="AD51" s="26">
        <f t="shared" si="71"/>
        <v>50.923000000000002</v>
      </c>
      <c r="AE51" s="15"/>
      <c r="AF51" s="26"/>
      <c r="AG51" s="26"/>
      <c r="AH51" s="26"/>
      <c r="AI51" s="26"/>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15"/>
      <c r="BK51" s="15"/>
      <c r="BL51" s="15"/>
      <c r="BM51" s="15"/>
      <c r="BN51" s="15"/>
      <c r="BO51" s="15"/>
      <c r="BP51" s="15"/>
      <c r="BQ51" s="15"/>
      <c r="BR51" s="15"/>
      <c r="BS51" s="15"/>
      <c r="BT51" s="15"/>
      <c r="BU51" s="15"/>
      <c r="BV51" s="15"/>
      <c r="BW51" s="26"/>
      <c r="BX51" s="26"/>
      <c r="BY51" s="26"/>
      <c r="BZ51" s="26"/>
      <c r="CA51" s="26"/>
      <c r="CB51" s="26"/>
      <c r="CC51" s="26"/>
      <c r="CD51" s="26"/>
      <c r="CE51" s="26"/>
      <c r="CF51" s="26"/>
      <c r="CG51" s="26"/>
      <c r="CH51" s="26"/>
      <c r="CI51" s="26">
        <f t="shared" ref="CI51:CV51" si="72">CH53</f>
        <v>0</v>
      </c>
      <c r="CJ51" s="26">
        <f t="shared" si="72"/>
        <v>43.497</v>
      </c>
      <c r="CK51" s="26">
        <f t="shared" si="72"/>
        <v>43.201999999999998</v>
      </c>
      <c r="CL51" s="26">
        <f t="shared" si="72"/>
        <v>42.634</v>
      </c>
      <c r="CM51" s="26">
        <f t="shared" si="72"/>
        <v>39.052</v>
      </c>
      <c r="CN51" s="26">
        <f t="shared" si="72"/>
        <v>38.889000000000003</v>
      </c>
      <c r="CO51" s="26">
        <f t="shared" si="72"/>
        <v>32.764000000000003</v>
      </c>
      <c r="CP51" s="26">
        <f t="shared" si="72"/>
        <v>33.72</v>
      </c>
      <c r="CQ51" s="26">
        <f t="shared" si="72"/>
        <v>33.567</v>
      </c>
      <c r="CR51" s="26">
        <f t="shared" si="72"/>
        <v>418.89100000000002</v>
      </c>
      <c r="CS51" s="26">
        <f t="shared" si="72"/>
        <v>473.90899999999999</v>
      </c>
      <c r="CT51" s="26">
        <f t="shared" si="72"/>
        <v>523.95100000000002</v>
      </c>
      <c r="CU51" s="26">
        <f t="shared" si="72"/>
        <v>519.86800000000005</v>
      </c>
      <c r="CV51" s="26">
        <f t="shared" si="72"/>
        <v>46.244000000000028</v>
      </c>
      <c r="CW51" s="26">
        <f>CV53</f>
        <v>46.745000000000005</v>
      </c>
      <c r="CX51" s="26">
        <f>CW53</f>
        <v>47.863999999999997</v>
      </c>
      <c r="CY51" s="26">
        <f>CX53</f>
        <v>48.195</v>
      </c>
      <c r="CZ51" s="26">
        <f t="shared" ref="CZ51:DC51" si="73">CY53</f>
        <v>50.923000000000002</v>
      </c>
      <c r="DA51" s="26">
        <f t="shared" si="73"/>
        <v>50.923000000000002</v>
      </c>
      <c r="DB51" s="26">
        <f t="shared" si="73"/>
        <v>50.923000000000002</v>
      </c>
      <c r="DC51" s="26">
        <f t="shared" si="73"/>
        <v>50.923000000000002</v>
      </c>
    </row>
    <row r="52" spans="1:107">
      <c r="A52" s="15"/>
      <c r="B52" s="876" t="s">
        <v>1121</v>
      </c>
      <c r="C52" s="15"/>
      <c r="D52" s="15"/>
      <c r="E52" s="15"/>
      <c r="F52" s="15"/>
      <c r="G52" s="15"/>
      <c r="H52" s="15"/>
      <c r="I52" s="15"/>
      <c r="J52" s="15"/>
      <c r="K52" s="783"/>
      <c r="L52" s="26">
        <f>BK52</f>
        <v>0</v>
      </c>
      <c r="M52" s="26"/>
      <c r="N52" s="26"/>
      <c r="O52" s="26"/>
      <c r="P52" s="26"/>
      <c r="Q52" s="26"/>
      <c r="R52" s="26"/>
      <c r="S52" s="26"/>
      <c r="T52" s="26"/>
      <c r="U52" s="26"/>
      <c r="V52" s="26"/>
      <c r="W52" s="26"/>
      <c r="X52" s="1000">
        <v>0</v>
      </c>
      <c r="Y52" s="1000">
        <v>0</v>
      </c>
      <c r="Z52" s="1000">
        <v>0</v>
      </c>
      <c r="AA52" s="1000">
        <v>0</v>
      </c>
      <c r="AB52" s="1000">
        <v>0</v>
      </c>
      <c r="AC52" s="1000">
        <v>0</v>
      </c>
      <c r="AD52" s="1000">
        <v>0</v>
      </c>
      <c r="AE52" s="15"/>
      <c r="AF52" s="783"/>
      <c r="AG52" s="783"/>
      <c r="AH52" s="783"/>
      <c r="AI52" s="783"/>
      <c r="AJ52" s="783"/>
      <c r="AK52" s="783"/>
      <c r="AL52" s="783"/>
      <c r="AM52" s="783"/>
      <c r="AN52" s="783"/>
      <c r="AO52" s="783"/>
      <c r="AP52" s="783"/>
      <c r="AQ52" s="783"/>
      <c r="AR52" s="783"/>
      <c r="AS52" s="783"/>
      <c r="AT52" s="783"/>
      <c r="AU52" s="783"/>
      <c r="AV52" s="783"/>
      <c r="AW52" s="783"/>
      <c r="AX52" s="783"/>
      <c r="AY52" s="783"/>
      <c r="AZ52" s="783"/>
      <c r="BA52" s="783"/>
      <c r="BB52" s="783"/>
      <c r="BC52" s="783"/>
      <c r="BD52" s="783"/>
      <c r="BE52" s="783"/>
      <c r="BF52" s="783"/>
      <c r="BG52" s="783"/>
      <c r="BH52" s="783"/>
      <c r="BI52" s="783"/>
      <c r="BJ52" s="15"/>
      <c r="BK52" s="15"/>
      <c r="BL52" s="15"/>
      <c r="BM52" s="15"/>
      <c r="BN52" s="15"/>
      <c r="BO52" s="15"/>
      <c r="BP52" s="15"/>
      <c r="BQ52" s="15"/>
      <c r="BR52" s="15"/>
      <c r="BS52" s="15"/>
      <c r="BT52" s="15"/>
      <c r="BU52" s="15"/>
      <c r="BV52" s="15"/>
      <c r="BW52" s="15"/>
      <c r="BX52" s="398"/>
      <c r="BZ52" s="15"/>
      <c r="CA52" s="15"/>
      <c r="CB52" s="398"/>
      <c r="CC52" s="398"/>
      <c r="CD52" s="398"/>
      <c r="CE52" s="398"/>
      <c r="CF52" s="398"/>
      <c r="CG52" s="398"/>
      <c r="CH52" s="398"/>
      <c r="CI52" s="783">
        <v>43.497</v>
      </c>
      <c r="CJ52" s="783">
        <f>43.202-CI53</f>
        <v>-0.29500000000000171</v>
      </c>
      <c r="CK52" s="783">
        <f>42.634-CJ53</f>
        <v>-0.56799999999999784</v>
      </c>
      <c r="CL52" s="783">
        <f>39.052-CK53</f>
        <v>-3.5820000000000007</v>
      </c>
      <c r="CM52" s="783">
        <f>38.889-CL53</f>
        <v>-0.1629999999999967</v>
      </c>
      <c r="CN52" s="783">
        <f>32.764-CM53</f>
        <v>-6.125</v>
      </c>
      <c r="CO52" s="783">
        <f>31.649+2.071-CN53</f>
        <v>0.95599999999999596</v>
      </c>
      <c r="CP52" s="783">
        <f>31.505+2.062-CO53</f>
        <v>-0.15299999999999869</v>
      </c>
      <c r="CQ52" s="783">
        <f>418.891-CP53</f>
        <v>385.32400000000001</v>
      </c>
      <c r="CR52" s="783">
        <f>473.909-CQ53</f>
        <v>55.017999999999972</v>
      </c>
      <c r="CS52" s="783">
        <f>511.3+12.651-CR53</f>
        <v>50.04200000000003</v>
      </c>
      <c r="CT52" s="783">
        <f>519.868-CS53</f>
        <v>-4.08299999999997</v>
      </c>
      <c r="CU52" s="783">
        <f>46.244-CT53</f>
        <v>-473.62400000000002</v>
      </c>
      <c r="CV52" s="783">
        <f>44.871+1.874-CU53</f>
        <v>0.50099999999997635</v>
      </c>
      <c r="CW52" s="783">
        <f>45.879+1.985-CV53</f>
        <v>1.1189999999999927</v>
      </c>
      <c r="CX52" s="783">
        <f>48.195-CW53</f>
        <v>0.33100000000000307</v>
      </c>
      <c r="CY52" s="783">
        <f>50.923-CX53</f>
        <v>2.7280000000000015</v>
      </c>
      <c r="CZ52" s="783">
        <v>0</v>
      </c>
      <c r="DA52" s="783">
        <v>0</v>
      </c>
      <c r="DB52" s="783">
        <v>0</v>
      </c>
      <c r="DC52" s="783">
        <v>0</v>
      </c>
    </row>
    <row r="53" spans="1:107">
      <c r="A53" s="15"/>
      <c r="B53" s="876" t="s">
        <v>261</v>
      </c>
      <c r="C53" s="15"/>
      <c r="D53" s="15"/>
      <c r="E53" s="15"/>
      <c r="F53" s="15"/>
      <c r="G53" s="15"/>
      <c r="H53" s="15"/>
      <c r="I53" s="15"/>
      <c r="J53" s="15"/>
      <c r="K53" s="783"/>
      <c r="L53" s="26">
        <f>BK53</f>
        <v>0</v>
      </c>
      <c r="M53" s="26"/>
      <c r="N53" s="26"/>
      <c r="O53" s="26"/>
      <c r="P53" s="26">
        <f>CA53</f>
        <v>0</v>
      </c>
      <c r="Q53" s="26">
        <f>CE53</f>
        <v>0</v>
      </c>
      <c r="R53" s="26">
        <f>CI53</f>
        <v>43.497</v>
      </c>
      <c r="S53" s="26">
        <f>CM53</f>
        <v>38.889000000000003</v>
      </c>
      <c r="T53" s="26">
        <f>CQ53</f>
        <v>418.89100000000002</v>
      </c>
      <c r="U53" s="26">
        <f>CU53</f>
        <v>46.244000000000028</v>
      </c>
      <c r="V53" s="26">
        <f>CY53</f>
        <v>50.923000000000002</v>
      </c>
      <c r="W53" s="26">
        <f>DC53</f>
        <v>50.923000000000002</v>
      </c>
      <c r="X53" s="26">
        <f>SUM(X51:X52)</f>
        <v>50.923000000000002</v>
      </c>
      <c r="Y53" s="26">
        <f>SUM(Y51:Y52)</f>
        <v>50.923000000000002</v>
      </c>
      <c r="Z53" s="26">
        <f>SUM(Z51:Z52)</f>
        <v>50.923000000000002</v>
      </c>
      <c r="AA53" s="26">
        <f t="shared" ref="AA53:AD53" si="74">SUM(AA51:AA52)</f>
        <v>50.923000000000002</v>
      </c>
      <c r="AB53" s="26">
        <f t="shared" si="74"/>
        <v>50.923000000000002</v>
      </c>
      <c r="AC53" s="26">
        <f t="shared" si="74"/>
        <v>50.923000000000002</v>
      </c>
      <c r="AD53" s="26">
        <f t="shared" si="74"/>
        <v>50.923000000000002</v>
      </c>
      <c r="AE53" s="15"/>
      <c r="AF53" s="54"/>
      <c r="AG53" s="54"/>
      <c r="AH53" s="54"/>
      <c r="AI53" s="54"/>
      <c r="AJ53" s="54"/>
      <c r="AK53" s="54"/>
      <c r="AL53" s="54"/>
      <c r="AM53" s="54"/>
      <c r="AN53" s="54"/>
      <c r="AO53" s="54"/>
      <c r="AP53" s="54"/>
      <c r="AQ53" s="54"/>
      <c r="AR53" s="54"/>
      <c r="AS53" s="54"/>
      <c r="AT53" s="54"/>
      <c r="AU53" s="54"/>
      <c r="AV53" s="54"/>
      <c r="AW53" s="54"/>
      <c r="AX53" s="54"/>
      <c r="AY53" s="54"/>
      <c r="AZ53" s="54"/>
      <c r="BA53" s="54"/>
      <c r="BB53" s="54"/>
      <c r="BC53" s="54"/>
      <c r="BD53" s="54"/>
      <c r="BE53" s="54"/>
      <c r="BF53" s="54"/>
      <c r="BG53" s="54"/>
      <c r="BH53" s="54"/>
      <c r="BI53" s="54"/>
      <c r="BJ53" s="15"/>
      <c r="BK53" s="15"/>
      <c r="BL53" s="15"/>
      <c r="BM53" s="15"/>
      <c r="BN53" s="15"/>
      <c r="BO53" s="15"/>
      <c r="BP53" s="15"/>
      <c r="BQ53" s="15"/>
      <c r="BR53" s="15"/>
      <c r="BS53" s="15"/>
      <c r="BT53" s="15"/>
      <c r="BU53" s="15"/>
      <c r="BV53" s="15"/>
      <c r="BW53" s="15"/>
      <c r="BX53" s="1001"/>
      <c r="BY53" s="398"/>
      <c r="BZ53" s="398"/>
      <c r="CA53" s="398"/>
      <c r="CB53" s="54"/>
      <c r="CC53" s="54"/>
      <c r="CD53" s="54"/>
      <c r="CE53" s="54"/>
      <c r="CF53" s="54"/>
      <c r="CG53" s="54"/>
      <c r="CH53" s="54"/>
      <c r="CI53" s="54">
        <f t="shared" ref="CI53:CT53" si="75">SUM(CI51:CI52)</f>
        <v>43.497</v>
      </c>
      <c r="CJ53" s="54">
        <f t="shared" si="75"/>
        <v>43.201999999999998</v>
      </c>
      <c r="CK53" s="54">
        <f t="shared" si="75"/>
        <v>42.634</v>
      </c>
      <c r="CL53" s="54">
        <f t="shared" si="75"/>
        <v>39.052</v>
      </c>
      <c r="CM53" s="54">
        <f t="shared" si="75"/>
        <v>38.889000000000003</v>
      </c>
      <c r="CN53" s="54">
        <f t="shared" si="75"/>
        <v>32.764000000000003</v>
      </c>
      <c r="CO53" s="54">
        <f t="shared" si="75"/>
        <v>33.72</v>
      </c>
      <c r="CP53" s="54">
        <f t="shared" si="75"/>
        <v>33.567</v>
      </c>
      <c r="CQ53" s="54">
        <f>SUM(CQ51:CQ52)</f>
        <v>418.89100000000002</v>
      </c>
      <c r="CR53" s="54">
        <f>SUM(CR51:CR52)</f>
        <v>473.90899999999999</v>
      </c>
      <c r="CS53" s="54">
        <f t="shared" si="75"/>
        <v>523.95100000000002</v>
      </c>
      <c r="CT53" s="54">
        <f t="shared" si="75"/>
        <v>519.86800000000005</v>
      </c>
      <c r="CU53" s="54">
        <f>SUM(CU51:CU52)</f>
        <v>46.244000000000028</v>
      </c>
      <c r="CV53" s="54">
        <f>SUM(CV51:CV52)</f>
        <v>46.745000000000005</v>
      </c>
      <c r="CW53" s="54">
        <f>SUM(CW51:CW52)</f>
        <v>47.863999999999997</v>
      </c>
      <c r="CX53" s="54">
        <f>SUM(CX51:CX52)</f>
        <v>48.195</v>
      </c>
      <c r="CY53" s="54">
        <f>SUM(CY51:CY52)</f>
        <v>50.923000000000002</v>
      </c>
      <c r="CZ53" s="54">
        <f t="shared" ref="CZ53:DC53" si="76">SUM(CZ51:CZ52)</f>
        <v>50.923000000000002</v>
      </c>
      <c r="DA53" s="54">
        <f t="shared" si="76"/>
        <v>50.923000000000002</v>
      </c>
      <c r="DB53" s="54">
        <f t="shared" si="76"/>
        <v>50.923000000000002</v>
      </c>
      <c r="DC53" s="54">
        <f t="shared" si="76"/>
        <v>50.923000000000002</v>
      </c>
    </row>
    <row r="54" spans="1:107">
      <c r="A54" s="15"/>
      <c r="B54" s="876" t="s">
        <v>262</v>
      </c>
      <c r="C54" s="15"/>
      <c r="D54" s="15"/>
      <c r="E54" s="15"/>
      <c r="F54" s="15"/>
      <c r="G54" s="15"/>
      <c r="H54" s="15"/>
      <c r="I54" s="15"/>
      <c r="J54" s="15"/>
      <c r="K54" s="789"/>
      <c r="L54" s="26"/>
      <c r="M54" s="26"/>
      <c r="N54" s="26"/>
      <c r="O54" s="15"/>
      <c r="P54" s="15"/>
      <c r="Q54" s="15"/>
      <c r="R54" s="15"/>
      <c r="S54" s="15"/>
      <c r="T54" s="15"/>
      <c r="U54" s="15"/>
      <c r="V54" s="15"/>
      <c r="W54" s="15"/>
      <c r="X54" s="15"/>
      <c r="Y54" s="15"/>
      <c r="Z54" s="15"/>
      <c r="AA54" s="15"/>
      <c r="AB54" s="15"/>
      <c r="AC54" s="15"/>
      <c r="AD54" s="15"/>
      <c r="AE54" s="15"/>
      <c r="AF54" s="789"/>
      <c r="AG54" s="789"/>
      <c r="AH54" s="789"/>
      <c r="AI54" s="789"/>
      <c r="AJ54" s="789"/>
      <c r="AK54" s="789"/>
      <c r="AL54" s="789"/>
      <c r="AM54" s="789"/>
      <c r="AN54" s="789"/>
      <c r="AO54" s="789"/>
      <c r="AP54" s="789"/>
      <c r="AQ54" s="789"/>
      <c r="AR54" s="789"/>
      <c r="AS54" s="789"/>
      <c r="AT54" s="789"/>
      <c r="AU54" s="789"/>
      <c r="AV54" s="789"/>
      <c r="AW54" s="789"/>
      <c r="AX54" s="789"/>
      <c r="AY54" s="789"/>
      <c r="AZ54" s="789"/>
      <c r="BA54" s="789"/>
      <c r="BB54" s="789"/>
      <c r="BC54" s="789"/>
      <c r="BD54" s="789"/>
      <c r="BE54" s="789"/>
      <c r="BF54" s="789"/>
      <c r="BG54" s="789"/>
      <c r="BH54" s="789"/>
      <c r="BI54" s="789"/>
      <c r="BJ54" s="15"/>
      <c r="BK54" s="15"/>
      <c r="BL54" s="15"/>
      <c r="BM54" s="15"/>
      <c r="BN54" s="15"/>
      <c r="BO54" s="15"/>
      <c r="BP54" s="15"/>
      <c r="BQ54" s="15"/>
      <c r="BR54" s="15"/>
      <c r="BS54" s="15"/>
      <c r="BT54" s="15"/>
      <c r="BU54" s="15"/>
      <c r="BV54" s="15"/>
      <c r="BW54" s="15"/>
      <c r="BX54" s="789"/>
      <c r="BY54" s="789"/>
      <c r="BZ54" s="789"/>
      <c r="CA54" s="789"/>
      <c r="CB54" s="789"/>
      <c r="CC54" s="789"/>
      <c r="CD54" s="789"/>
      <c r="CE54" s="789"/>
      <c r="CF54" s="789"/>
      <c r="CG54" s="789"/>
      <c r="CH54" s="789"/>
      <c r="CI54" s="789"/>
      <c r="CJ54" s="789"/>
      <c r="CK54" s="789"/>
      <c r="CL54" s="789"/>
      <c r="CM54" s="789"/>
      <c r="CN54" s="789"/>
      <c r="CO54" s="789"/>
      <c r="CP54" s="789"/>
      <c r="CQ54" s="789"/>
      <c r="CR54" s="789"/>
      <c r="CS54" s="789"/>
      <c r="CT54" s="789"/>
      <c r="CU54" s="789"/>
      <c r="CV54" s="789"/>
      <c r="CW54" s="789"/>
      <c r="CX54" s="789"/>
      <c r="CY54" s="789"/>
      <c r="CZ54" s="789"/>
      <c r="DA54" s="789"/>
      <c r="DB54" s="789"/>
      <c r="DC54" s="789"/>
    </row>
    <row r="55" spans="1:107">
      <c r="A55" s="15"/>
      <c r="B55" s="876"/>
      <c r="C55" s="15"/>
      <c r="D55" s="15"/>
      <c r="E55" s="15"/>
      <c r="F55" s="15"/>
      <c r="G55" s="15"/>
      <c r="H55" s="15"/>
      <c r="I55" s="15"/>
      <c r="J55" s="15"/>
      <c r="K55" s="789"/>
      <c r="L55" s="26"/>
      <c r="M55" s="26"/>
      <c r="N55" s="26"/>
      <c r="O55" s="15"/>
      <c r="P55" s="15"/>
      <c r="Q55" s="15"/>
      <c r="R55" s="15"/>
      <c r="S55" s="15"/>
      <c r="T55" s="15"/>
      <c r="U55" s="15"/>
      <c r="V55" s="15"/>
      <c r="W55" s="15"/>
      <c r="X55" s="15"/>
      <c r="Y55" s="15"/>
      <c r="Z55" s="15"/>
      <c r="AA55" s="15"/>
      <c r="AB55" s="15"/>
      <c r="AC55" s="15"/>
      <c r="AD55" s="15"/>
      <c r="AE55" s="15"/>
      <c r="AF55" s="789"/>
      <c r="AG55" s="789"/>
      <c r="AH55" s="789"/>
      <c r="AI55" s="789"/>
      <c r="AJ55" s="789"/>
      <c r="AK55" s="789"/>
      <c r="AL55" s="789"/>
      <c r="AM55" s="789"/>
      <c r="AN55" s="789"/>
      <c r="AO55" s="789"/>
      <c r="AP55" s="789"/>
      <c r="AQ55" s="789"/>
      <c r="AR55" s="789"/>
      <c r="AS55" s="789"/>
      <c r="AT55" s="789"/>
      <c r="AU55" s="789"/>
      <c r="AV55" s="789"/>
      <c r="AW55" s="789"/>
      <c r="AX55" s="789"/>
      <c r="AY55" s="789"/>
      <c r="AZ55" s="789"/>
      <c r="BA55" s="789"/>
      <c r="BB55" s="789"/>
      <c r="BC55" s="789"/>
      <c r="BD55" s="789"/>
      <c r="BE55" s="789"/>
      <c r="BF55" s="789"/>
      <c r="BG55" s="789"/>
      <c r="BH55" s="789"/>
      <c r="BI55" s="789"/>
      <c r="BJ55" s="15"/>
      <c r="BK55" s="15"/>
      <c r="BL55" s="15"/>
      <c r="BM55" s="15"/>
      <c r="BN55" s="15"/>
      <c r="BO55" s="15"/>
      <c r="BP55" s="15"/>
      <c r="BQ55" s="15"/>
      <c r="BR55" s="15"/>
      <c r="BS55" s="15"/>
      <c r="BT55" s="15"/>
      <c r="BU55" s="15"/>
      <c r="BV55" s="15"/>
      <c r="BW55" s="15"/>
      <c r="BX55" s="789"/>
      <c r="BY55" s="789"/>
      <c r="BZ55" s="789"/>
      <c r="CA55" s="789"/>
      <c r="CB55" s="789"/>
      <c r="CC55" s="789"/>
      <c r="CD55" s="789"/>
      <c r="CE55" s="789"/>
      <c r="CF55" s="789"/>
      <c r="CG55" s="789"/>
      <c r="CH55" s="789"/>
      <c r="CI55" s="789"/>
      <c r="CJ55" s="789"/>
      <c r="CK55" s="789"/>
      <c r="CL55" s="789"/>
      <c r="CM55" s="789"/>
      <c r="CN55" s="789"/>
      <c r="CO55" s="789"/>
      <c r="CP55" s="789"/>
      <c r="CQ55" s="789"/>
      <c r="CR55" s="789"/>
      <c r="CS55" s="789"/>
      <c r="CT55" s="789"/>
      <c r="CU55" s="789"/>
      <c r="CV55" s="789"/>
      <c r="CW55" s="789"/>
      <c r="CX55" s="789"/>
      <c r="CY55" s="789"/>
      <c r="CZ55" s="789"/>
      <c r="DA55" s="789"/>
      <c r="DB55" s="789"/>
      <c r="DC55" s="789"/>
    </row>
    <row r="56" spans="1:107" hidden="1" outlineLevel="1">
      <c r="A56" s="2197"/>
      <c r="B56" s="389" t="s">
        <v>223</v>
      </c>
      <c r="C56" s="132"/>
      <c r="D56" s="132"/>
      <c r="E56" s="132"/>
      <c r="F56" s="132"/>
      <c r="G56" s="132"/>
      <c r="H56" s="132"/>
      <c r="I56" s="132"/>
      <c r="J56" s="132"/>
      <c r="K56" s="132"/>
      <c r="L56" s="132"/>
      <c r="M56" s="132"/>
      <c r="N56" s="132"/>
      <c r="O56" s="132"/>
      <c r="P56" s="132"/>
      <c r="Q56" s="132"/>
      <c r="R56" s="132"/>
      <c r="S56" s="132"/>
      <c r="T56" s="132"/>
      <c r="U56" s="132"/>
      <c r="V56" s="132"/>
      <c r="W56" s="132"/>
      <c r="X56" s="132"/>
      <c r="Y56" s="132"/>
      <c r="Z56" s="132"/>
      <c r="AA56" s="132"/>
      <c r="AB56" s="132"/>
      <c r="AC56" s="132"/>
      <c r="AD56" s="132"/>
      <c r="AE56" s="15"/>
      <c r="AF56" s="132"/>
      <c r="AG56" s="132"/>
      <c r="AH56" s="132"/>
      <c r="AI56" s="132"/>
      <c r="AJ56" s="132"/>
      <c r="AK56" s="132"/>
      <c r="AL56" s="132"/>
      <c r="AM56" s="132"/>
      <c r="AN56" s="132"/>
      <c r="AO56" s="132"/>
      <c r="AP56" s="132"/>
      <c r="AQ56" s="132"/>
      <c r="AR56" s="132"/>
      <c r="AS56" s="132"/>
      <c r="AT56" s="132"/>
      <c r="AU56" s="132"/>
      <c r="AV56" s="132"/>
      <c r="AW56" s="132"/>
      <c r="AX56" s="132"/>
      <c r="AY56" s="132"/>
      <c r="AZ56" s="132"/>
      <c r="BA56" s="132"/>
      <c r="BB56" s="132"/>
      <c r="BC56" s="132"/>
      <c r="BD56" s="132"/>
      <c r="BE56" s="132"/>
      <c r="BF56" s="132"/>
      <c r="BG56" s="132"/>
      <c r="BH56" s="132"/>
      <c r="BI56" s="132"/>
      <c r="BJ56" s="132"/>
      <c r="BK56" s="132"/>
      <c r="BL56" s="132"/>
      <c r="BM56" s="132"/>
      <c r="BN56" s="132"/>
      <c r="BO56" s="132"/>
      <c r="BP56" s="132"/>
      <c r="BQ56" s="132"/>
      <c r="BR56" s="132"/>
      <c r="BS56" s="132"/>
      <c r="BT56" s="132"/>
      <c r="BU56" s="132"/>
      <c r="BV56" s="132"/>
      <c r="BW56" s="132"/>
      <c r="BX56" s="132"/>
      <c r="BY56" s="132"/>
      <c r="BZ56" s="132"/>
      <c r="CA56" s="132"/>
      <c r="CB56" s="132"/>
      <c r="CC56" s="132"/>
      <c r="CD56" s="132"/>
      <c r="CE56" s="132"/>
      <c r="CF56" s="132"/>
      <c r="CG56" s="132"/>
      <c r="CH56" s="132"/>
      <c r="CI56" s="132"/>
      <c r="CJ56" s="132"/>
      <c r="CK56" s="132"/>
      <c r="CL56" s="132"/>
      <c r="CM56" s="132"/>
      <c r="CN56" s="132"/>
      <c r="CO56" s="132"/>
      <c r="CP56" s="132"/>
      <c r="CQ56" s="132"/>
      <c r="CR56" s="132"/>
      <c r="CS56" s="132"/>
      <c r="CT56" s="132"/>
      <c r="CU56" s="132"/>
      <c r="CV56" s="132"/>
      <c r="CW56" s="132"/>
      <c r="CX56" s="132"/>
      <c r="CY56" s="132"/>
      <c r="CZ56" s="132"/>
      <c r="DA56" s="132"/>
      <c r="DB56" s="132"/>
      <c r="DC56" s="132"/>
    </row>
    <row r="57" spans="1:107" hidden="1" outlineLevel="1">
      <c r="A57" s="2197"/>
      <c r="B57" s="994" t="s">
        <v>1118</v>
      </c>
      <c r="C57" s="15"/>
      <c r="D57" s="15"/>
      <c r="E57" s="15"/>
      <c r="F57" s="15"/>
      <c r="G57" s="15"/>
      <c r="H57" s="15"/>
      <c r="I57" s="15"/>
      <c r="J57" s="15"/>
      <c r="K57" s="783"/>
      <c r="L57" s="26">
        <f>BK57</f>
        <v>0</v>
      </c>
      <c r="M57" s="26"/>
      <c r="N57" s="26"/>
      <c r="O57" s="26"/>
      <c r="P57" s="26"/>
      <c r="Q57" s="26"/>
      <c r="R57" s="26"/>
      <c r="S57" s="26"/>
      <c r="T57" s="26"/>
      <c r="U57" s="26"/>
      <c r="V57" s="26"/>
      <c r="W57" s="26"/>
      <c r="X57" s="26">
        <f>W59</f>
        <v>0</v>
      </c>
      <c r="Y57" s="26">
        <f>X59</f>
        <v>0</v>
      </c>
      <c r="Z57" s="26">
        <f>Y59</f>
        <v>0</v>
      </c>
      <c r="AA57" s="26">
        <f t="shared" ref="AA57:AD57" si="77">Z59</f>
        <v>0</v>
      </c>
      <c r="AB57" s="26">
        <f t="shared" si="77"/>
        <v>0</v>
      </c>
      <c r="AC57" s="26">
        <f t="shared" si="77"/>
        <v>0</v>
      </c>
      <c r="AD57" s="26">
        <f t="shared" si="77"/>
        <v>0</v>
      </c>
      <c r="AE57" s="15"/>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15"/>
      <c r="BK57" s="15"/>
      <c r="BL57" s="15"/>
      <c r="BM57" s="15"/>
      <c r="BN57" s="15"/>
      <c r="BO57" s="15"/>
      <c r="BP57" s="15"/>
      <c r="BQ57" s="15"/>
      <c r="BR57" s="15"/>
      <c r="BS57" s="15"/>
      <c r="BT57" s="15"/>
      <c r="BU57" s="15"/>
      <c r="BV57" s="15"/>
      <c r="BW57" s="26"/>
      <c r="BX57" s="26"/>
      <c r="BY57" s="26"/>
      <c r="BZ57" s="26"/>
      <c r="CA57" s="26"/>
      <c r="CB57" s="26"/>
      <c r="CC57" s="26"/>
      <c r="CD57" s="26">
        <f t="shared" ref="CD57:CU57" si="78">CC59</f>
        <v>0</v>
      </c>
      <c r="CE57" s="26">
        <f t="shared" si="78"/>
        <v>3.2</v>
      </c>
      <c r="CF57" s="26">
        <f t="shared" si="78"/>
        <v>0</v>
      </c>
      <c r="CG57" s="26">
        <f t="shared" si="78"/>
        <v>0</v>
      </c>
      <c r="CH57" s="26">
        <f t="shared" si="78"/>
        <v>0</v>
      </c>
      <c r="CI57" s="26">
        <f t="shared" si="78"/>
        <v>0</v>
      </c>
      <c r="CJ57" s="26">
        <f t="shared" si="78"/>
        <v>0</v>
      </c>
      <c r="CK57" s="26">
        <f t="shared" si="78"/>
        <v>0</v>
      </c>
      <c r="CL57" s="26">
        <f t="shared" si="78"/>
        <v>0</v>
      </c>
      <c r="CM57" s="26">
        <f t="shared" si="78"/>
        <v>0</v>
      </c>
      <c r="CN57" s="26">
        <f t="shared" si="78"/>
        <v>0</v>
      </c>
      <c r="CO57" s="26">
        <f t="shared" si="78"/>
        <v>0</v>
      </c>
      <c r="CP57" s="26">
        <f t="shared" si="78"/>
        <v>0</v>
      </c>
      <c r="CQ57" s="26">
        <f t="shared" si="78"/>
        <v>0</v>
      </c>
      <c r="CR57" s="26">
        <f t="shared" si="78"/>
        <v>0</v>
      </c>
      <c r="CS57" s="26">
        <f t="shared" si="78"/>
        <v>0</v>
      </c>
      <c r="CT57" s="26">
        <f t="shared" si="78"/>
        <v>0</v>
      </c>
      <c r="CU57" s="26">
        <f t="shared" si="78"/>
        <v>0</v>
      </c>
      <c r="CV57" s="26">
        <f>CU59</f>
        <v>0</v>
      </c>
      <c r="CW57" s="26">
        <f>CV59</f>
        <v>0</v>
      </c>
      <c r="CX57" s="26">
        <f>CW59</f>
        <v>0</v>
      </c>
      <c r="CY57" s="26">
        <f>CX59</f>
        <v>0</v>
      </c>
      <c r="CZ57" s="26">
        <f t="shared" ref="CZ57:DC57" si="79">CY59</f>
        <v>0</v>
      </c>
      <c r="DA57" s="26">
        <f t="shared" si="79"/>
        <v>0</v>
      </c>
      <c r="DB57" s="26">
        <f t="shared" si="79"/>
        <v>0</v>
      </c>
      <c r="DC57" s="26">
        <f t="shared" si="79"/>
        <v>0</v>
      </c>
    </row>
    <row r="58" spans="1:107" hidden="1" outlineLevel="1">
      <c r="A58" s="2197"/>
      <c r="B58" s="994" t="s">
        <v>1121</v>
      </c>
      <c r="C58" s="15"/>
      <c r="D58" s="15"/>
      <c r="E58" s="15"/>
      <c r="F58" s="15"/>
      <c r="G58" s="15"/>
      <c r="H58" s="15"/>
      <c r="I58" s="15"/>
      <c r="J58" s="15"/>
      <c r="K58" s="783"/>
      <c r="L58" s="26">
        <f>BK58</f>
        <v>0</v>
      </c>
      <c r="M58" s="26"/>
      <c r="N58" s="26"/>
      <c r="O58" s="26"/>
      <c r="P58" s="26"/>
      <c r="Q58" s="26"/>
      <c r="R58" s="26"/>
      <c r="S58" s="26"/>
      <c r="T58" s="26"/>
      <c r="U58" s="26"/>
      <c r="V58" s="26"/>
      <c r="W58" s="26"/>
      <c r="X58" s="1000">
        <v>0</v>
      </c>
      <c r="Y58" s="1000">
        <v>0</v>
      </c>
      <c r="Z58" s="1000">
        <v>0</v>
      </c>
      <c r="AA58" s="1000">
        <v>0</v>
      </c>
      <c r="AB58" s="1000">
        <v>0</v>
      </c>
      <c r="AC58" s="1000">
        <v>0</v>
      </c>
      <c r="AD58" s="1000">
        <v>0</v>
      </c>
      <c r="AE58" s="15"/>
      <c r="AF58" s="783"/>
      <c r="AG58" s="783"/>
      <c r="AH58" s="783"/>
      <c r="AI58" s="783"/>
      <c r="AJ58" s="783"/>
      <c r="AK58" s="783"/>
      <c r="AL58" s="783"/>
      <c r="AM58" s="783"/>
      <c r="AN58" s="783"/>
      <c r="AO58" s="783"/>
      <c r="AP58" s="783"/>
      <c r="AQ58" s="783"/>
      <c r="AR58" s="783"/>
      <c r="AS58" s="783"/>
      <c r="AT58" s="783"/>
      <c r="AU58" s="783"/>
      <c r="AV58" s="783"/>
      <c r="AW58" s="783"/>
      <c r="AX58" s="783"/>
      <c r="AY58" s="783"/>
      <c r="AZ58" s="783"/>
      <c r="BA58" s="783"/>
      <c r="BB58" s="783"/>
      <c r="BC58" s="783"/>
      <c r="BD58" s="783"/>
      <c r="BE58" s="783"/>
      <c r="BF58" s="783"/>
      <c r="BG58" s="783"/>
      <c r="BH58" s="783"/>
      <c r="BI58" s="783"/>
      <c r="BJ58" s="15"/>
      <c r="BK58" s="15"/>
      <c r="BL58" s="15"/>
      <c r="BM58" s="15"/>
      <c r="BN58" s="15"/>
      <c r="BO58" s="15"/>
      <c r="BP58" s="15"/>
      <c r="BQ58" s="15"/>
      <c r="BR58" s="15"/>
      <c r="BS58" s="15"/>
      <c r="BT58" s="15"/>
      <c r="BU58" s="15"/>
      <c r="BV58" s="15"/>
      <c r="BW58" s="15"/>
      <c r="BX58" s="398"/>
      <c r="BZ58" s="15"/>
      <c r="CA58" s="15"/>
      <c r="CB58" s="398"/>
      <c r="CC58" s="398"/>
      <c r="CD58" s="398">
        <v>3.2</v>
      </c>
      <c r="CE58" s="398">
        <f>-CE57</f>
        <v>-3.2</v>
      </c>
      <c r="CF58" s="26">
        <v>0</v>
      </c>
      <c r="CG58" s="26">
        <v>0</v>
      </c>
      <c r="CH58" s="26">
        <v>0</v>
      </c>
      <c r="CI58" s="26">
        <v>0</v>
      </c>
      <c r="CJ58" s="26">
        <v>0</v>
      </c>
      <c r="CK58" s="26">
        <v>0</v>
      </c>
      <c r="CL58" s="26">
        <v>0</v>
      </c>
      <c r="CM58" s="26">
        <v>0</v>
      </c>
      <c r="CN58" s="26">
        <v>0</v>
      </c>
      <c r="CO58" s="26">
        <v>0</v>
      </c>
      <c r="CP58" s="26">
        <v>0</v>
      </c>
      <c r="CQ58" s="26">
        <v>0</v>
      </c>
      <c r="CR58" s="26">
        <f t="shared" ref="CR58:CY58" si="80">CQ58</f>
        <v>0</v>
      </c>
      <c r="CS58" s="26">
        <f t="shared" si="80"/>
        <v>0</v>
      </c>
      <c r="CT58" s="26">
        <f t="shared" si="80"/>
        <v>0</v>
      </c>
      <c r="CU58" s="26">
        <f t="shared" si="80"/>
        <v>0</v>
      </c>
      <c r="CV58" s="26">
        <f t="shared" si="80"/>
        <v>0</v>
      </c>
      <c r="CW58" s="26">
        <f t="shared" si="80"/>
        <v>0</v>
      </c>
      <c r="CX58" s="26">
        <f t="shared" si="80"/>
        <v>0</v>
      </c>
      <c r="CY58" s="26">
        <f t="shared" si="80"/>
        <v>0</v>
      </c>
      <c r="CZ58" s="26">
        <f t="shared" ref="CZ58" si="81">CY58</f>
        <v>0</v>
      </c>
      <c r="DA58" s="26">
        <f t="shared" ref="DA58" si="82">CZ58</f>
        <v>0</v>
      </c>
      <c r="DB58" s="26">
        <f t="shared" ref="DB58" si="83">DA58</f>
        <v>0</v>
      </c>
      <c r="DC58" s="26">
        <f t="shared" ref="DC58" si="84">DB58</f>
        <v>0</v>
      </c>
    </row>
    <row r="59" spans="1:107" hidden="1" outlineLevel="1">
      <c r="A59" s="2197"/>
      <c r="B59" s="994" t="s">
        <v>261</v>
      </c>
      <c r="C59" s="15"/>
      <c r="D59" s="15"/>
      <c r="E59" s="15"/>
      <c r="F59" s="15"/>
      <c r="G59" s="15"/>
      <c r="H59" s="15"/>
      <c r="I59" s="15"/>
      <c r="J59" s="15"/>
      <c r="K59" s="783"/>
      <c r="L59" s="26">
        <f>BK59</f>
        <v>0</v>
      </c>
      <c r="M59" s="26"/>
      <c r="N59" s="26"/>
      <c r="O59" s="26"/>
      <c r="P59" s="26">
        <f>CA59</f>
        <v>0</v>
      </c>
      <c r="Q59" s="26">
        <f>CE59</f>
        <v>0</v>
      </c>
      <c r="R59" s="26">
        <f t="shared" ref="R59:W59" si="85">CI59</f>
        <v>0</v>
      </c>
      <c r="S59" s="26">
        <f t="shared" si="85"/>
        <v>0</v>
      </c>
      <c r="T59" s="26">
        <f t="shared" si="85"/>
        <v>0</v>
      </c>
      <c r="U59" s="26">
        <f t="shared" si="85"/>
        <v>0</v>
      </c>
      <c r="V59" s="26">
        <f t="shared" si="85"/>
        <v>0</v>
      </c>
      <c r="W59" s="26">
        <f t="shared" si="85"/>
        <v>0</v>
      </c>
      <c r="X59" s="26">
        <f>SUM(X57:X58)</f>
        <v>0</v>
      </c>
      <c r="Y59" s="26">
        <f>SUM(Y57:Y58)</f>
        <v>0</v>
      </c>
      <c r="Z59" s="26">
        <f>SUM(Z57:Z58)</f>
        <v>0</v>
      </c>
      <c r="AA59" s="26">
        <f t="shared" ref="AA59:AD59" si="86">SUM(AA57:AA58)</f>
        <v>0</v>
      </c>
      <c r="AB59" s="26">
        <f t="shared" si="86"/>
        <v>0</v>
      </c>
      <c r="AC59" s="26">
        <f t="shared" si="86"/>
        <v>0</v>
      </c>
      <c r="AD59" s="26">
        <f t="shared" si="86"/>
        <v>0</v>
      </c>
      <c r="AE59" s="15"/>
      <c r="AF59" s="54"/>
      <c r="AG59" s="54"/>
      <c r="AH59" s="54"/>
      <c r="AI59" s="54"/>
      <c r="AJ59" s="54"/>
      <c r="AK59" s="54"/>
      <c r="AL59" s="54"/>
      <c r="AM59" s="54"/>
      <c r="AN59" s="54"/>
      <c r="AO59" s="54"/>
      <c r="AP59" s="54"/>
      <c r="AQ59" s="54"/>
      <c r="AR59" s="54"/>
      <c r="AS59" s="54"/>
      <c r="AT59" s="54"/>
      <c r="AU59" s="54"/>
      <c r="AV59" s="54"/>
      <c r="AW59" s="54"/>
      <c r="AX59" s="54"/>
      <c r="AY59" s="54"/>
      <c r="AZ59" s="54"/>
      <c r="BA59" s="54"/>
      <c r="BB59" s="54"/>
      <c r="BC59" s="54"/>
      <c r="BD59" s="54"/>
      <c r="BE59" s="54"/>
      <c r="BF59" s="54"/>
      <c r="BG59" s="54"/>
      <c r="BH59" s="54"/>
      <c r="BI59" s="54"/>
      <c r="BJ59" s="15"/>
      <c r="BK59" s="15"/>
      <c r="BL59" s="15"/>
      <c r="BM59" s="15"/>
      <c r="BN59" s="15"/>
      <c r="BO59" s="15"/>
      <c r="BP59" s="15"/>
      <c r="BQ59" s="15"/>
      <c r="BR59" s="15"/>
      <c r="BS59" s="15"/>
      <c r="BT59" s="15"/>
      <c r="BU59" s="15"/>
      <c r="BV59" s="15"/>
      <c r="BW59" s="15"/>
      <c r="BX59" s="1001"/>
      <c r="BY59" s="398"/>
      <c r="BZ59" s="398"/>
      <c r="CA59" s="398"/>
      <c r="CB59" s="54"/>
      <c r="CC59" s="54"/>
      <c r="CD59" s="54">
        <f t="shared" ref="CD59:CT59" si="87">SUM(CD57:CD58)</f>
        <v>3.2</v>
      </c>
      <c r="CE59" s="54">
        <f t="shared" si="87"/>
        <v>0</v>
      </c>
      <c r="CF59" s="54">
        <f t="shared" si="87"/>
        <v>0</v>
      </c>
      <c r="CG59" s="54">
        <f t="shared" si="87"/>
        <v>0</v>
      </c>
      <c r="CH59" s="54">
        <f t="shared" si="87"/>
        <v>0</v>
      </c>
      <c r="CI59" s="54">
        <f t="shared" si="87"/>
        <v>0</v>
      </c>
      <c r="CJ59" s="54">
        <f t="shared" si="87"/>
        <v>0</v>
      </c>
      <c r="CK59" s="54">
        <f t="shared" si="87"/>
        <v>0</v>
      </c>
      <c r="CL59" s="54">
        <f t="shared" si="87"/>
        <v>0</v>
      </c>
      <c r="CM59" s="54">
        <f t="shared" si="87"/>
        <v>0</v>
      </c>
      <c r="CN59" s="54">
        <f t="shared" si="87"/>
        <v>0</v>
      </c>
      <c r="CO59" s="54">
        <f t="shared" si="87"/>
        <v>0</v>
      </c>
      <c r="CP59" s="54">
        <f t="shared" si="87"/>
        <v>0</v>
      </c>
      <c r="CQ59" s="54">
        <f>SUM(CQ57:CQ58)</f>
        <v>0</v>
      </c>
      <c r="CR59" s="54">
        <f t="shared" si="87"/>
        <v>0</v>
      </c>
      <c r="CS59" s="54">
        <f t="shared" si="87"/>
        <v>0</v>
      </c>
      <c r="CT59" s="54">
        <f t="shared" si="87"/>
        <v>0</v>
      </c>
      <c r="CU59" s="54">
        <f>SUM(CU57:CU58)</f>
        <v>0</v>
      </c>
      <c r="CV59" s="54">
        <f>SUM(CV57:CV58)</f>
        <v>0</v>
      </c>
      <c r="CW59" s="54">
        <f>SUM(CW57:CW58)</f>
        <v>0</v>
      </c>
      <c r="CX59" s="54">
        <f>SUM(CX57:CX58)</f>
        <v>0</v>
      </c>
      <c r="CY59" s="54">
        <f>SUM(CY57:CY58)</f>
        <v>0</v>
      </c>
      <c r="CZ59" s="54">
        <f t="shared" ref="CZ59:DC59" si="88">SUM(CZ57:CZ58)</f>
        <v>0</v>
      </c>
      <c r="DA59" s="54">
        <f t="shared" si="88"/>
        <v>0</v>
      </c>
      <c r="DB59" s="54">
        <f t="shared" si="88"/>
        <v>0</v>
      </c>
      <c r="DC59" s="54">
        <f t="shared" si="88"/>
        <v>0</v>
      </c>
    </row>
    <row r="60" spans="1:107" hidden="1" outlineLevel="1">
      <c r="A60" s="2197"/>
      <c r="B60" s="994" t="s">
        <v>262</v>
      </c>
      <c r="C60" s="15"/>
      <c r="D60" s="15"/>
      <c r="E60" s="15"/>
      <c r="F60" s="15"/>
      <c r="G60" s="15"/>
      <c r="H60" s="15"/>
      <c r="I60" s="15"/>
      <c r="J60" s="15"/>
      <c r="K60" s="789"/>
      <c r="L60" s="26"/>
      <c r="M60" s="26"/>
      <c r="N60" s="26"/>
      <c r="O60" s="15"/>
      <c r="P60" s="15"/>
      <c r="Q60" s="15"/>
      <c r="R60" s="15"/>
      <c r="S60" s="15"/>
      <c r="T60" s="15"/>
      <c r="U60" s="15"/>
      <c r="V60" s="15"/>
      <c r="W60" s="15"/>
      <c r="X60" s="15"/>
      <c r="Y60" s="15"/>
      <c r="Z60" s="15"/>
      <c r="AA60" s="15"/>
      <c r="AB60" s="15"/>
      <c r="AC60" s="15"/>
      <c r="AD60" s="15"/>
      <c r="AE60" s="15"/>
      <c r="AF60" s="789"/>
      <c r="AG60" s="789"/>
      <c r="AH60" s="789"/>
      <c r="AI60" s="789"/>
      <c r="AJ60" s="789"/>
      <c r="AK60" s="789"/>
      <c r="AL60" s="789"/>
      <c r="AM60" s="789"/>
      <c r="AN60" s="789"/>
      <c r="AO60" s="789"/>
      <c r="AP60" s="789"/>
      <c r="AQ60" s="789"/>
      <c r="AR60" s="789"/>
      <c r="AS60" s="789"/>
      <c r="AT60" s="789"/>
      <c r="AU60" s="789"/>
      <c r="AV60" s="789"/>
      <c r="AW60" s="789"/>
      <c r="AX60" s="789"/>
      <c r="AY60" s="789"/>
      <c r="AZ60" s="789"/>
      <c r="BA60" s="789"/>
      <c r="BB60" s="789"/>
      <c r="BC60" s="789"/>
      <c r="BD60" s="789"/>
      <c r="BE60" s="789"/>
      <c r="BF60" s="789"/>
      <c r="BG60" s="789"/>
      <c r="BH60" s="789"/>
      <c r="BI60" s="789"/>
      <c r="BJ60" s="15"/>
      <c r="BK60" s="15"/>
      <c r="BL60" s="15"/>
      <c r="BM60" s="15"/>
      <c r="BN60" s="15"/>
      <c r="BO60" s="15"/>
      <c r="BP60" s="15"/>
      <c r="BQ60" s="15"/>
      <c r="BR60" s="15"/>
      <c r="BS60" s="15"/>
      <c r="BT60" s="15"/>
      <c r="BU60" s="15"/>
      <c r="BV60" s="15"/>
      <c r="BW60" s="15"/>
      <c r="BX60" s="789"/>
      <c r="BY60" s="789"/>
      <c r="BZ60" s="789"/>
      <c r="CA60" s="789"/>
      <c r="CB60" s="789"/>
      <c r="CC60" s="789"/>
      <c r="CD60" s="789"/>
      <c r="CE60" s="789"/>
      <c r="CF60" s="789"/>
      <c r="CG60" s="789"/>
      <c r="CH60" s="789"/>
      <c r="CI60" s="789"/>
      <c r="CJ60" s="789"/>
      <c r="CK60" s="789"/>
      <c r="CL60" s="789"/>
      <c r="CM60" s="789"/>
      <c r="CN60" s="789"/>
      <c r="CO60" s="789"/>
      <c r="CP60" s="789"/>
      <c r="CQ60" s="789"/>
      <c r="CR60" s="789"/>
      <c r="CS60" s="789"/>
      <c r="CT60" s="789"/>
      <c r="CU60" s="789"/>
      <c r="CV60" s="789"/>
      <c r="CW60" s="789"/>
      <c r="CX60" s="789"/>
      <c r="CY60" s="789"/>
      <c r="CZ60" s="789"/>
      <c r="DA60" s="789"/>
      <c r="DB60" s="789"/>
      <c r="DC60" s="789"/>
    </row>
    <row r="61" spans="1:107" hidden="1" outlineLevel="1">
      <c r="A61" s="15"/>
      <c r="B61" s="876"/>
      <c r="C61" s="15"/>
      <c r="D61" s="15"/>
      <c r="E61" s="15"/>
      <c r="F61" s="15"/>
      <c r="G61" s="15"/>
      <c r="H61" s="15"/>
      <c r="I61" s="15"/>
      <c r="J61" s="15"/>
      <c r="K61" s="789"/>
      <c r="L61" s="26"/>
      <c r="M61" s="26"/>
      <c r="N61" s="26"/>
      <c r="O61" s="15"/>
      <c r="P61" s="15"/>
      <c r="Q61" s="15"/>
      <c r="R61" s="15"/>
      <c r="S61" s="15"/>
      <c r="T61" s="15"/>
      <c r="U61" s="15"/>
      <c r="V61" s="15"/>
      <c r="W61" s="15"/>
      <c r="X61" s="15"/>
      <c r="Y61" s="15"/>
      <c r="Z61" s="15"/>
      <c r="AA61" s="15"/>
      <c r="AB61" s="15"/>
      <c r="AC61" s="15"/>
      <c r="AD61" s="15"/>
      <c r="AE61" s="15"/>
      <c r="AF61" s="789"/>
      <c r="AG61" s="789"/>
      <c r="AH61" s="789"/>
      <c r="AI61" s="789"/>
      <c r="AJ61" s="789"/>
      <c r="AK61" s="789"/>
      <c r="AL61" s="789"/>
      <c r="AM61" s="789"/>
      <c r="AN61" s="789"/>
      <c r="AO61" s="789"/>
      <c r="AP61" s="789"/>
      <c r="AQ61" s="789"/>
      <c r="AR61" s="789"/>
      <c r="AS61" s="789"/>
      <c r="AT61" s="789"/>
      <c r="AU61" s="789"/>
      <c r="AV61" s="789"/>
      <c r="AW61" s="789"/>
      <c r="AX61" s="789"/>
      <c r="AY61" s="789"/>
      <c r="AZ61" s="789"/>
      <c r="BA61" s="789"/>
      <c r="BB61" s="789"/>
      <c r="BC61" s="789"/>
      <c r="BD61" s="789"/>
      <c r="BE61" s="789"/>
      <c r="BF61" s="789"/>
      <c r="BG61" s="789"/>
      <c r="BH61" s="789"/>
      <c r="BI61" s="789"/>
      <c r="BJ61" s="15"/>
      <c r="BK61" s="15"/>
      <c r="BL61" s="15"/>
      <c r="BM61" s="15"/>
      <c r="BN61" s="15"/>
      <c r="BO61" s="15"/>
      <c r="BP61" s="15"/>
      <c r="BQ61" s="15"/>
      <c r="BR61" s="15"/>
      <c r="BS61" s="15"/>
      <c r="BT61" s="15"/>
      <c r="BU61" s="15"/>
      <c r="BV61" s="15"/>
      <c r="BW61" s="789"/>
      <c r="BX61" s="789"/>
      <c r="BY61" s="789"/>
      <c r="BZ61" s="789"/>
      <c r="CA61" s="789"/>
      <c r="CB61" s="789"/>
      <c r="CC61" s="789"/>
      <c r="CD61" s="789"/>
      <c r="CE61" s="789"/>
      <c r="CF61" s="789"/>
      <c r="CG61" s="789"/>
      <c r="CH61" s="789"/>
      <c r="CI61" s="789"/>
      <c r="CJ61" s="789"/>
      <c r="CK61" s="789"/>
      <c r="CL61" s="789"/>
      <c r="CM61" s="789"/>
      <c r="CN61" s="789"/>
      <c r="CO61" s="789"/>
      <c r="CP61" s="789"/>
      <c r="CQ61" s="789"/>
      <c r="CR61" s="789"/>
      <c r="CS61" s="789"/>
      <c r="CT61" s="789"/>
      <c r="CU61" s="789"/>
      <c r="CV61" s="789"/>
      <c r="CW61" s="789"/>
      <c r="CX61" s="789"/>
      <c r="CY61" s="789"/>
      <c r="CZ61" s="789"/>
      <c r="DA61" s="789"/>
      <c r="DB61" s="789"/>
      <c r="DC61" s="789"/>
    </row>
    <row r="62" spans="1:107" hidden="1" outlineLevel="1">
      <c r="A62" s="2197"/>
      <c r="B62" s="389" t="s">
        <v>1478</v>
      </c>
      <c r="C62" s="389"/>
      <c r="D62" s="389"/>
      <c r="E62" s="389"/>
      <c r="F62" s="389"/>
      <c r="G62" s="389"/>
      <c r="H62" s="389"/>
      <c r="I62" s="389"/>
      <c r="J62" s="389"/>
      <c r="K62" s="389"/>
      <c r="L62" s="389"/>
      <c r="M62" s="389"/>
      <c r="N62" s="389"/>
      <c r="O62" s="389"/>
      <c r="P62" s="389"/>
      <c r="Q62" s="389"/>
      <c r="R62" s="389"/>
      <c r="S62" s="389"/>
      <c r="T62" s="389"/>
      <c r="U62" s="389"/>
      <c r="V62" s="389"/>
      <c r="W62" s="389"/>
      <c r="X62" s="389"/>
      <c r="Y62" s="389"/>
      <c r="Z62" s="389"/>
      <c r="AA62" s="389"/>
      <c r="AB62" s="389"/>
      <c r="AC62" s="389"/>
      <c r="AD62" s="389"/>
      <c r="AE62" s="15"/>
      <c r="AF62" s="389"/>
      <c r="AG62" s="389"/>
      <c r="AH62" s="389"/>
      <c r="AI62" s="389"/>
      <c r="AJ62" s="389"/>
      <c r="AK62" s="389"/>
      <c r="AL62" s="389"/>
      <c r="AM62" s="389"/>
      <c r="AN62" s="389"/>
      <c r="AO62" s="389"/>
      <c r="AP62" s="389"/>
      <c r="AQ62" s="389"/>
      <c r="AR62" s="389"/>
      <c r="AS62" s="389"/>
      <c r="AT62" s="389"/>
      <c r="AU62" s="389"/>
      <c r="AV62" s="389"/>
      <c r="AW62" s="389"/>
      <c r="AX62" s="389"/>
      <c r="AY62" s="389"/>
      <c r="AZ62" s="389"/>
      <c r="BA62" s="389"/>
      <c r="BB62" s="389"/>
      <c r="BC62" s="389"/>
      <c r="BD62" s="389"/>
      <c r="BE62" s="389"/>
      <c r="BF62" s="389"/>
      <c r="BG62" s="389"/>
      <c r="BH62" s="389"/>
      <c r="BI62" s="389"/>
      <c r="BJ62" s="389"/>
      <c r="BK62" s="389"/>
      <c r="BL62" s="389"/>
      <c r="BM62" s="389"/>
      <c r="BN62" s="389"/>
      <c r="BO62" s="389"/>
      <c r="BP62" s="389"/>
      <c r="BQ62" s="389"/>
      <c r="BR62" s="389"/>
      <c r="BS62" s="389"/>
      <c r="BT62" s="389"/>
      <c r="BU62" s="389"/>
      <c r="BV62" s="389"/>
      <c r="BW62" s="389"/>
      <c r="BX62" s="389"/>
      <c r="BY62" s="389"/>
      <c r="BZ62" s="389"/>
      <c r="CA62" s="389"/>
      <c r="CB62" s="389"/>
      <c r="CC62" s="389"/>
      <c r="CD62" s="389"/>
      <c r="CE62" s="389"/>
      <c r="CF62" s="389"/>
      <c r="CG62" s="389"/>
      <c r="CH62" s="389"/>
      <c r="CI62" s="389"/>
      <c r="CJ62" s="389"/>
      <c r="CK62" s="389"/>
      <c r="CL62" s="389"/>
      <c r="CM62" s="389"/>
      <c r="CN62" s="389"/>
      <c r="CO62" s="389"/>
      <c r="CP62" s="389"/>
      <c r="CQ62" s="389"/>
      <c r="CR62" s="389"/>
      <c r="CS62" s="389"/>
      <c r="CT62" s="389"/>
      <c r="CU62" s="389"/>
      <c r="CV62" s="389"/>
      <c r="CW62" s="389"/>
      <c r="CX62" s="389"/>
      <c r="CY62" s="389"/>
      <c r="CZ62" s="389"/>
      <c r="DA62" s="389"/>
      <c r="DB62" s="389"/>
      <c r="DC62" s="389"/>
    </row>
    <row r="63" spans="1:107" hidden="1" outlineLevel="1">
      <c r="A63" s="2197"/>
      <c r="B63" s="994" t="s">
        <v>1118</v>
      </c>
      <c r="C63" s="995"/>
      <c r="D63" s="995"/>
      <c r="E63" s="995"/>
      <c r="F63" s="995"/>
      <c r="G63" s="995"/>
      <c r="H63" s="995"/>
      <c r="I63" s="995"/>
      <c r="J63" s="995"/>
      <c r="K63" s="996"/>
      <c r="L63" s="996">
        <f>BK63</f>
        <v>66</v>
      </c>
      <c r="M63" s="996">
        <f>BO63</f>
        <v>127.879</v>
      </c>
      <c r="N63" s="996">
        <f t="shared" ref="N63:Z63" si="89">M65</f>
        <v>130.98099999999999</v>
      </c>
      <c r="O63" s="996">
        <f t="shared" si="89"/>
        <v>130.041</v>
      </c>
      <c r="P63" s="996">
        <f t="shared" si="89"/>
        <v>0</v>
      </c>
      <c r="Q63" s="996">
        <f t="shared" si="89"/>
        <v>0</v>
      </c>
      <c r="R63" s="996">
        <f t="shared" si="89"/>
        <v>0</v>
      </c>
      <c r="S63" s="996">
        <f t="shared" si="89"/>
        <v>0</v>
      </c>
      <c r="T63" s="996">
        <f t="shared" si="89"/>
        <v>0</v>
      </c>
      <c r="U63" s="996">
        <f t="shared" si="89"/>
        <v>0</v>
      </c>
      <c r="V63" s="996">
        <f t="shared" si="89"/>
        <v>0</v>
      </c>
      <c r="W63" s="996">
        <f t="shared" si="89"/>
        <v>0</v>
      </c>
      <c r="X63" s="996">
        <f t="shared" si="89"/>
        <v>0</v>
      </c>
      <c r="Y63" s="996">
        <f t="shared" si="89"/>
        <v>0</v>
      </c>
      <c r="Z63" s="996">
        <f t="shared" si="89"/>
        <v>0</v>
      </c>
      <c r="AA63" s="996">
        <f t="shared" ref="AA63" si="90">Z65</f>
        <v>0</v>
      </c>
      <c r="AB63" s="996">
        <f t="shared" ref="AB63" si="91">AA65</f>
        <v>0</v>
      </c>
      <c r="AC63" s="996">
        <f t="shared" ref="AC63" si="92">AB65</f>
        <v>0</v>
      </c>
      <c r="AD63" s="996">
        <f t="shared" ref="AD63" si="93">AC65</f>
        <v>0</v>
      </c>
      <c r="AE63" s="15"/>
      <c r="AF63" s="996"/>
      <c r="AG63" s="996"/>
      <c r="AH63" s="996"/>
      <c r="AI63" s="996"/>
      <c r="AJ63" s="996"/>
      <c r="AK63" s="996"/>
      <c r="AL63" s="996"/>
      <c r="AM63" s="996"/>
      <c r="AN63" s="996"/>
      <c r="AO63" s="996"/>
      <c r="AP63" s="996"/>
      <c r="AQ63" s="996"/>
      <c r="AR63" s="996"/>
      <c r="AS63" s="996"/>
      <c r="AT63" s="996"/>
      <c r="AU63" s="996"/>
      <c r="AV63" s="996"/>
      <c r="AW63" s="996"/>
      <c r="AX63" s="996"/>
      <c r="AY63" s="996"/>
      <c r="AZ63" s="996"/>
      <c r="BA63" s="996"/>
      <c r="BB63" s="996"/>
      <c r="BC63" s="996"/>
      <c r="BD63" s="996"/>
      <c r="BE63" s="996"/>
      <c r="BF63" s="996"/>
      <c r="BG63" s="996"/>
      <c r="BH63" s="996"/>
      <c r="BI63" s="996"/>
      <c r="BJ63" s="996">
        <v>66</v>
      </c>
      <c r="BK63" s="996">
        <f t="shared" ref="BK63:CU63" si="94">BJ65</f>
        <v>66</v>
      </c>
      <c r="BL63" s="996">
        <f t="shared" si="94"/>
        <v>83.543999999999997</v>
      </c>
      <c r="BM63" s="996">
        <f t="shared" si="94"/>
        <v>116.541</v>
      </c>
      <c r="BN63" s="996">
        <f t="shared" si="94"/>
        <v>134.43600000000001</v>
      </c>
      <c r="BO63" s="996">
        <f t="shared" si="94"/>
        <v>127.879</v>
      </c>
      <c r="BP63" s="996">
        <f t="shared" si="94"/>
        <v>130.98099999999999</v>
      </c>
      <c r="BQ63" s="996">
        <f t="shared" si="94"/>
        <v>126.083</v>
      </c>
      <c r="BR63" s="996">
        <f t="shared" si="94"/>
        <v>133.96899999999999</v>
      </c>
      <c r="BS63" s="996">
        <f t="shared" si="94"/>
        <v>135.43800000000002</v>
      </c>
      <c r="BT63" s="996">
        <f t="shared" si="94"/>
        <v>130.041</v>
      </c>
      <c r="BU63" s="996">
        <f t="shared" si="94"/>
        <v>122.539</v>
      </c>
      <c r="BV63" s="996">
        <f t="shared" si="94"/>
        <v>0</v>
      </c>
      <c r="BW63" s="996">
        <f t="shared" si="94"/>
        <v>0</v>
      </c>
      <c r="BX63" s="996">
        <f t="shared" si="94"/>
        <v>0</v>
      </c>
      <c r="BY63" s="996">
        <f t="shared" si="94"/>
        <v>0</v>
      </c>
      <c r="BZ63" s="996">
        <f t="shared" si="94"/>
        <v>0</v>
      </c>
      <c r="CA63" s="996">
        <f t="shared" si="94"/>
        <v>0</v>
      </c>
      <c r="CB63" s="996">
        <f t="shared" si="94"/>
        <v>0</v>
      </c>
      <c r="CC63" s="996">
        <f t="shared" si="94"/>
        <v>0</v>
      </c>
      <c r="CD63" s="996">
        <f t="shared" si="94"/>
        <v>0</v>
      </c>
      <c r="CE63" s="996">
        <f t="shared" si="94"/>
        <v>0</v>
      </c>
      <c r="CF63" s="996">
        <f t="shared" si="94"/>
        <v>0</v>
      </c>
      <c r="CG63" s="996">
        <f t="shared" si="94"/>
        <v>0</v>
      </c>
      <c r="CH63" s="996">
        <f t="shared" si="94"/>
        <v>0</v>
      </c>
      <c r="CI63" s="996">
        <f t="shared" si="94"/>
        <v>0</v>
      </c>
      <c r="CJ63" s="996">
        <f t="shared" si="94"/>
        <v>0</v>
      </c>
      <c r="CK63" s="996">
        <f t="shared" si="94"/>
        <v>0</v>
      </c>
      <c r="CL63" s="996">
        <f t="shared" si="94"/>
        <v>0</v>
      </c>
      <c r="CM63" s="996">
        <f t="shared" si="94"/>
        <v>0</v>
      </c>
      <c r="CN63" s="996">
        <f t="shared" si="94"/>
        <v>0</v>
      </c>
      <c r="CO63" s="996">
        <f t="shared" si="94"/>
        <v>0</v>
      </c>
      <c r="CP63" s="996">
        <f t="shared" si="94"/>
        <v>0</v>
      </c>
      <c r="CQ63" s="996">
        <f t="shared" si="94"/>
        <v>0</v>
      </c>
      <c r="CR63" s="996">
        <f t="shared" si="94"/>
        <v>0</v>
      </c>
      <c r="CS63" s="996">
        <f t="shared" si="94"/>
        <v>0</v>
      </c>
      <c r="CT63" s="996">
        <f t="shared" si="94"/>
        <v>0</v>
      </c>
      <c r="CU63" s="996">
        <f t="shared" si="94"/>
        <v>0</v>
      </c>
      <c r="CV63" s="996">
        <f>CU65</f>
        <v>0</v>
      </c>
      <c r="CW63" s="996">
        <f>CV65</f>
        <v>0</v>
      </c>
      <c r="CX63" s="996">
        <f>CW65</f>
        <v>0</v>
      </c>
      <c r="CY63" s="996">
        <f>CX65</f>
        <v>0</v>
      </c>
      <c r="CZ63" s="996">
        <f t="shared" ref="CZ63:DC63" si="95">CY65</f>
        <v>0</v>
      </c>
      <c r="DA63" s="996">
        <f t="shared" si="95"/>
        <v>0</v>
      </c>
      <c r="DB63" s="996">
        <f t="shared" si="95"/>
        <v>0</v>
      </c>
      <c r="DC63" s="996">
        <f t="shared" si="95"/>
        <v>0</v>
      </c>
    </row>
    <row r="64" spans="1:107" hidden="1" outlineLevel="1">
      <c r="A64" s="2197"/>
      <c r="B64" s="994" t="s">
        <v>1121</v>
      </c>
      <c r="C64" s="995"/>
      <c r="D64" s="995"/>
      <c r="E64" s="995"/>
      <c r="F64" s="995"/>
      <c r="G64" s="995"/>
      <c r="H64" s="995"/>
      <c r="I64" s="995"/>
      <c r="J64" s="995"/>
      <c r="K64" s="996"/>
      <c r="L64" s="996">
        <f>BK64</f>
        <v>17.543999999999997</v>
      </c>
      <c r="M64" s="996">
        <f>BO64</f>
        <v>3.1019999999999897</v>
      </c>
      <c r="N64" s="996">
        <f>SUM(BP64:BS64)</f>
        <v>-0.93999999999999773</v>
      </c>
      <c r="O64" s="996">
        <f>SUM(BT64:BW64)</f>
        <v>-130.041</v>
      </c>
      <c r="P64" s="996">
        <v>0</v>
      </c>
      <c r="Q64" s="996">
        <v>0</v>
      </c>
      <c r="R64" s="996">
        <v>0</v>
      </c>
      <c r="S64" s="996">
        <v>0</v>
      </c>
      <c r="T64" s="996">
        <v>0</v>
      </c>
      <c r="U64" s="996">
        <v>0</v>
      </c>
      <c r="V64" s="996">
        <v>0</v>
      </c>
      <c r="W64" s="996">
        <v>0</v>
      </c>
      <c r="X64" s="996">
        <v>0</v>
      </c>
      <c r="Y64" s="996">
        <v>0</v>
      </c>
      <c r="Z64" s="996">
        <v>0</v>
      </c>
      <c r="AA64" s="996">
        <v>0</v>
      </c>
      <c r="AB64" s="996">
        <v>0</v>
      </c>
      <c r="AC64" s="996">
        <v>0</v>
      </c>
      <c r="AD64" s="996">
        <v>0</v>
      </c>
      <c r="AE64" s="15"/>
      <c r="AF64" s="996"/>
      <c r="AG64" s="996"/>
      <c r="AH64" s="996"/>
      <c r="AI64" s="996"/>
      <c r="AJ64" s="996"/>
      <c r="AK64" s="996"/>
      <c r="AL64" s="996"/>
      <c r="AM64" s="996"/>
      <c r="AN64" s="996"/>
      <c r="AO64" s="996"/>
      <c r="AP64" s="996"/>
      <c r="AQ64" s="996"/>
      <c r="AR64" s="996"/>
      <c r="AS64" s="996"/>
      <c r="AT64" s="996"/>
      <c r="AU64" s="996"/>
      <c r="AV64" s="996"/>
      <c r="AW64" s="996"/>
      <c r="AX64" s="996"/>
      <c r="AY64" s="996"/>
      <c r="AZ64" s="996"/>
      <c r="BA64" s="996"/>
      <c r="BB64" s="996"/>
      <c r="BC64" s="996"/>
      <c r="BD64" s="996"/>
      <c r="BE64" s="996"/>
      <c r="BF64" s="996"/>
      <c r="BG64" s="996"/>
      <c r="BH64" s="996"/>
      <c r="BI64" s="996"/>
      <c r="BJ64" s="996">
        <v>0</v>
      </c>
      <c r="BK64" s="996">
        <v>17.543999999999997</v>
      </c>
      <c r="BL64" s="996">
        <v>32.997</v>
      </c>
      <c r="BM64" s="996">
        <v>17.895</v>
      </c>
      <c r="BN64" s="996">
        <v>-6.5570000000000022</v>
      </c>
      <c r="BO64" s="996">
        <v>3.1019999999999897</v>
      </c>
      <c r="BP64" s="996">
        <f>BP65-BP63</f>
        <v>-4.8979999999999961</v>
      </c>
      <c r="BQ64" s="996">
        <v>7.8859999999999957</v>
      </c>
      <c r="BR64" s="996">
        <v>1.4690000000000225</v>
      </c>
      <c r="BS64" s="996">
        <v>-5.3970000000000198</v>
      </c>
      <c r="BT64" s="996">
        <v>-7.5019999999999953</v>
      </c>
      <c r="BU64" s="996">
        <f>-BU63</f>
        <v>-122.539</v>
      </c>
      <c r="BV64" s="996">
        <v>0</v>
      </c>
      <c r="BW64" s="996">
        <f t="shared" ref="BW64:CU64" si="96">BV64</f>
        <v>0</v>
      </c>
      <c r="BX64" s="996">
        <f t="shared" si="96"/>
        <v>0</v>
      </c>
      <c r="BY64" s="996">
        <f t="shared" si="96"/>
        <v>0</v>
      </c>
      <c r="BZ64" s="996">
        <f t="shared" si="96"/>
        <v>0</v>
      </c>
      <c r="CA64" s="996">
        <f t="shared" si="96"/>
        <v>0</v>
      </c>
      <c r="CB64" s="996">
        <f t="shared" si="96"/>
        <v>0</v>
      </c>
      <c r="CC64" s="996">
        <f t="shared" si="96"/>
        <v>0</v>
      </c>
      <c r="CD64" s="996">
        <f t="shared" si="96"/>
        <v>0</v>
      </c>
      <c r="CE64" s="996">
        <f t="shared" si="96"/>
        <v>0</v>
      </c>
      <c r="CF64" s="996">
        <f t="shared" si="96"/>
        <v>0</v>
      </c>
      <c r="CG64" s="996">
        <f t="shared" si="96"/>
        <v>0</v>
      </c>
      <c r="CH64" s="996">
        <f t="shared" si="96"/>
        <v>0</v>
      </c>
      <c r="CI64" s="996">
        <f t="shared" si="96"/>
        <v>0</v>
      </c>
      <c r="CJ64" s="996">
        <f t="shared" si="96"/>
        <v>0</v>
      </c>
      <c r="CK64" s="996">
        <f t="shared" si="96"/>
        <v>0</v>
      </c>
      <c r="CL64" s="996">
        <f t="shared" si="96"/>
        <v>0</v>
      </c>
      <c r="CM64" s="996">
        <f t="shared" si="96"/>
        <v>0</v>
      </c>
      <c r="CN64" s="996">
        <f t="shared" si="96"/>
        <v>0</v>
      </c>
      <c r="CO64" s="996">
        <f t="shared" si="96"/>
        <v>0</v>
      </c>
      <c r="CP64" s="996">
        <f t="shared" si="96"/>
        <v>0</v>
      </c>
      <c r="CQ64" s="996">
        <f t="shared" si="96"/>
        <v>0</v>
      </c>
      <c r="CR64" s="996">
        <f t="shared" si="96"/>
        <v>0</v>
      </c>
      <c r="CS64" s="996">
        <f t="shared" si="96"/>
        <v>0</v>
      </c>
      <c r="CT64" s="996">
        <f t="shared" si="96"/>
        <v>0</v>
      </c>
      <c r="CU64" s="996">
        <f t="shared" si="96"/>
        <v>0</v>
      </c>
      <c r="CV64" s="996">
        <f>CU64</f>
        <v>0</v>
      </c>
      <c r="CW64" s="996">
        <f>CV64</f>
        <v>0</v>
      </c>
      <c r="CX64" s="996">
        <f>CW64</f>
        <v>0</v>
      </c>
      <c r="CY64" s="996">
        <f>CX64</f>
        <v>0</v>
      </c>
      <c r="CZ64" s="996">
        <f t="shared" ref="CZ64:DC64" si="97">CY64</f>
        <v>0</v>
      </c>
      <c r="DA64" s="996">
        <f t="shared" si="97"/>
        <v>0</v>
      </c>
      <c r="DB64" s="996">
        <f t="shared" si="97"/>
        <v>0</v>
      </c>
      <c r="DC64" s="996">
        <f t="shared" si="97"/>
        <v>0</v>
      </c>
    </row>
    <row r="65" spans="1:107" hidden="1" outlineLevel="1">
      <c r="A65" s="2197"/>
      <c r="B65" s="994" t="s">
        <v>261</v>
      </c>
      <c r="C65" s="995"/>
      <c r="D65" s="995"/>
      <c r="E65" s="995"/>
      <c r="F65" s="995"/>
      <c r="G65" s="995"/>
      <c r="H65" s="995"/>
      <c r="I65" s="995"/>
      <c r="J65" s="995"/>
      <c r="K65" s="996"/>
      <c r="L65" s="996">
        <f>BK65</f>
        <v>83.543999999999997</v>
      </c>
      <c r="M65" s="996">
        <f>BO65</f>
        <v>130.98099999999999</v>
      </c>
      <c r="N65" s="996">
        <f>BS65</f>
        <v>130.041</v>
      </c>
      <c r="O65" s="996">
        <f>BW65</f>
        <v>0</v>
      </c>
      <c r="P65" s="996">
        <f t="shared" ref="P65:Z65" si="98">SUM(P63:P64)</f>
        <v>0</v>
      </c>
      <c r="Q65" s="996">
        <f t="shared" si="98"/>
        <v>0</v>
      </c>
      <c r="R65" s="996">
        <f t="shared" si="98"/>
        <v>0</v>
      </c>
      <c r="S65" s="996">
        <f t="shared" si="98"/>
        <v>0</v>
      </c>
      <c r="T65" s="996">
        <f t="shared" si="98"/>
        <v>0</v>
      </c>
      <c r="U65" s="996">
        <f t="shared" si="98"/>
        <v>0</v>
      </c>
      <c r="V65" s="996">
        <f>SUM(V63:V64)</f>
        <v>0</v>
      </c>
      <c r="W65" s="996">
        <f>SUM(W63:W64)</f>
        <v>0</v>
      </c>
      <c r="X65" s="996">
        <f t="shared" si="98"/>
        <v>0</v>
      </c>
      <c r="Y65" s="996">
        <f t="shared" si="98"/>
        <v>0</v>
      </c>
      <c r="Z65" s="996">
        <f t="shared" si="98"/>
        <v>0</v>
      </c>
      <c r="AA65" s="996">
        <f t="shared" ref="AA65:AD65" si="99">SUM(AA63:AA64)</f>
        <v>0</v>
      </c>
      <c r="AB65" s="996">
        <f t="shared" si="99"/>
        <v>0</v>
      </c>
      <c r="AC65" s="996">
        <f t="shared" si="99"/>
        <v>0</v>
      </c>
      <c r="AD65" s="996">
        <f t="shared" si="99"/>
        <v>0</v>
      </c>
      <c r="AE65" s="15"/>
      <c r="AF65" s="996"/>
      <c r="AG65" s="996"/>
      <c r="AH65" s="996"/>
      <c r="AI65" s="996"/>
      <c r="AJ65" s="996"/>
      <c r="AK65" s="996"/>
      <c r="AL65" s="996"/>
      <c r="AM65" s="996"/>
      <c r="AN65" s="996"/>
      <c r="AO65" s="996"/>
      <c r="AP65" s="996"/>
      <c r="AQ65" s="996"/>
      <c r="AR65" s="996"/>
      <c r="AS65" s="996"/>
      <c r="AT65" s="996"/>
      <c r="AU65" s="996"/>
      <c r="AV65" s="996"/>
      <c r="AW65" s="996"/>
      <c r="AX65" s="996"/>
      <c r="AY65" s="996"/>
      <c r="AZ65" s="996"/>
      <c r="BA65" s="996"/>
      <c r="BB65" s="996"/>
      <c r="BC65" s="996"/>
      <c r="BD65" s="996"/>
      <c r="BE65" s="996"/>
      <c r="BF65" s="996"/>
      <c r="BG65" s="996"/>
      <c r="BH65" s="996"/>
      <c r="BI65" s="996"/>
      <c r="BJ65" s="996">
        <f t="shared" ref="BJ65:BO65" si="100">SUM(BJ63:BJ64)</f>
        <v>66</v>
      </c>
      <c r="BK65" s="996">
        <f t="shared" si="100"/>
        <v>83.543999999999997</v>
      </c>
      <c r="BL65" s="996">
        <f t="shared" si="100"/>
        <v>116.541</v>
      </c>
      <c r="BM65" s="996">
        <f t="shared" si="100"/>
        <v>134.43600000000001</v>
      </c>
      <c r="BN65" s="996">
        <f t="shared" si="100"/>
        <v>127.879</v>
      </c>
      <c r="BO65" s="996">
        <f t="shared" si="100"/>
        <v>130.98099999999999</v>
      </c>
      <c r="BP65" s="996">
        <v>126.083</v>
      </c>
      <c r="BQ65" s="996">
        <f t="shared" ref="BQ65:CT65" si="101">SUM(BQ63:BQ64)</f>
        <v>133.96899999999999</v>
      </c>
      <c r="BR65" s="996">
        <f t="shared" si="101"/>
        <v>135.43800000000002</v>
      </c>
      <c r="BS65" s="996">
        <f t="shared" si="101"/>
        <v>130.041</v>
      </c>
      <c r="BT65" s="996">
        <f t="shared" si="101"/>
        <v>122.539</v>
      </c>
      <c r="BU65" s="996">
        <f t="shared" si="101"/>
        <v>0</v>
      </c>
      <c r="BV65" s="996">
        <f t="shared" si="101"/>
        <v>0</v>
      </c>
      <c r="BW65" s="996">
        <f t="shared" si="101"/>
        <v>0</v>
      </c>
      <c r="BX65" s="996">
        <f t="shared" si="101"/>
        <v>0</v>
      </c>
      <c r="BY65" s="996">
        <f t="shared" si="101"/>
        <v>0</v>
      </c>
      <c r="BZ65" s="996">
        <f t="shared" si="101"/>
        <v>0</v>
      </c>
      <c r="CA65" s="996">
        <f t="shared" si="101"/>
        <v>0</v>
      </c>
      <c r="CB65" s="996">
        <f t="shared" si="101"/>
        <v>0</v>
      </c>
      <c r="CC65" s="996">
        <f t="shared" si="101"/>
        <v>0</v>
      </c>
      <c r="CD65" s="996">
        <f t="shared" si="101"/>
        <v>0</v>
      </c>
      <c r="CE65" s="996">
        <f t="shared" si="101"/>
        <v>0</v>
      </c>
      <c r="CF65" s="996">
        <f t="shared" si="101"/>
        <v>0</v>
      </c>
      <c r="CG65" s="996">
        <f t="shared" si="101"/>
        <v>0</v>
      </c>
      <c r="CH65" s="996">
        <f t="shared" si="101"/>
        <v>0</v>
      </c>
      <c r="CI65" s="996">
        <f t="shared" si="101"/>
        <v>0</v>
      </c>
      <c r="CJ65" s="996">
        <f t="shared" si="101"/>
        <v>0</v>
      </c>
      <c r="CK65" s="996">
        <f t="shared" si="101"/>
        <v>0</v>
      </c>
      <c r="CL65" s="996">
        <f t="shared" si="101"/>
        <v>0</v>
      </c>
      <c r="CM65" s="996">
        <f t="shared" si="101"/>
        <v>0</v>
      </c>
      <c r="CN65" s="996">
        <f t="shared" si="101"/>
        <v>0</v>
      </c>
      <c r="CO65" s="996">
        <f t="shared" si="101"/>
        <v>0</v>
      </c>
      <c r="CP65" s="996">
        <f t="shared" si="101"/>
        <v>0</v>
      </c>
      <c r="CQ65" s="996">
        <f>SUM(CQ63:CQ64)</f>
        <v>0</v>
      </c>
      <c r="CR65" s="996">
        <f t="shared" si="101"/>
        <v>0</v>
      </c>
      <c r="CS65" s="996">
        <f t="shared" si="101"/>
        <v>0</v>
      </c>
      <c r="CT65" s="996">
        <f t="shared" si="101"/>
        <v>0</v>
      </c>
      <c r="CU65" s="996">
        <f>SUM(CU63:CU64)</f>
        <v>0</v>
      </c>
      <c r="CV65" s="996">
        <f>SUM(CV63:CV64)</f>
        <v>0</v>
      </c>
      <c r="CW65" s="996">
        <f>SUM(CW63:CW64)</f>
        <v>0</v>
      </c>
      <c r="CX65" s="996">
        <f>SUM(CX63:CX64)</f>
        <v>0</v>
      </c>
      <c r="CY65" s="996">
        <f>SUM(CY63:CY64)</f>
        <v>0</v>
      </c>
      <c r="CZ65" s="996">
        <f t="shared" ref="CZ65:DC65" si="102">SUM(CZ63:CZ64)</f>
        <v>0</v>
      </c>
      <c r="DA65" s="996">
        <f t="shared" si="102"/>
        <v>0</v>
      </c>
      <c r="DB65" s="996">
        <f t="shared" si="102"/>
        <v>0</v>
      </c>
      <c r="DC65" s="996">
        <f t="shared" si="102"/>
        <v>0</v>
      </c>
    </row>
    <row r="66" spans="1:107" hidden="1" outlineLevel="1">
      <c r="A66" s="2197"/>
      <c r="B66" s="994" t="s">
        <v>262</v>
      </c>
      <c r="C66" s="995"/>
      <c r="D66" s="995"/>
      <c r="E66" s="995"/>
      <c r="F66" s="995"/>
      <c r="G66" s="995"/>
      <c r="H66" s="995"/>
      <c r="I66" s="995"/>
      <c r="J66" s="995"/>
      <c r="K66" s="996"/>
      <c r="L66" s="996"/>
      <c r="M66" s="996"/>
      <c r="N66" s="996"/>
      <c r="O66" s="995"/>
      <c r="P66" s="995"/>
      <c r="Q66" s="995"/>
      <c r="R66" s="995"/>
      <c r="S66" s="995"/>
      <c r="T66" s="995"/>
      <c r="U66" s="995"/>
      <c r="V66" s="995"/>
      <c r="W66" s="995"/>
      <c r="X66" s="995"/>
      <c r="Y66" s="995"/>
      <c r="Z66" s="995"/>
      <c r="AA66" s="995"/>
      <c r="AB66" s="995"/>
      <c r="AC66" s="995"/>
      <c r="AD66" s="995"/>
      <c r="AE66" s="15"/>
      <c r="AF66" s="996"/>
      <c r="AG66" s="996"/>
      <c r="AH66" s="996"/>
      <c r="AI66" s="996"/>
      <c r="AJ66" s="996"/>
      <c r="AK66" s="996"/>
      <c r="AL66" s="996"/>
      <c r="AM66" s="996"/>
      <c r="AN66" s="996"/>
      <c r="AO66" s="996"/>
      <c r="AP66" s="996"/>
      <c r="AQ66" s="996"/>
      <c r="AR66" s="996"/>
      <c r="AS66" s="996"/>
      <c r="AT66" s="996"/>
      <c r="AU66" s="996"/>
      <c r="AV66" s="996"/>
      <c r="AW66" s="996"/>
      <c r="AX66" s="996"/>
      <c r="AY66" s="996"/>
      <c r="AZ66" s="996"/>
      <c r="BA66" s="996"/>
      <c r="BB66" s="996"/>
      <c r="BC66" s="996"/>
      <c r="BD66" s="996"/>
      <c r="BE66" s="996"/>
      <c r="BF66" s="996"/>
      <c r="BG66" s="996"/>
      <c r="BH66" s="996"/>
      <c r="BI66" s="996"/>
      <c r="BJ66" s="996"/>
      <c r="BK66" s="996"/>
      <c r="BL66" s="996"/>
      <c r="BM66" s="996"/>
      <c r="BN66" s="996"/>
      <c r="BO66" s="996">
        <v>96.852999999999994</v>
      </c>
      <c r="BP66" s="996"/>
      <c r="BQ66" s="996">
        <v>112.259</v>
      </c>
      <c r="BR66" s="996">
        <v>112.581</v>
      </c>
      <c r="BS66" s="996">
        <v>111.375</v>
      </c>
      <c r="BT66" s="996">
        <v>108.133</v>
      </c>
      <c r="BU66" s="996"/>
      <c r="BV66" s="996"/>
      <c r="BW66" s="996"/>
      <c r="BX66" s="996"/>
      <c r="BY66" s="996"/>
      <c r="BZ66" s="996"/>
      <c r="CA66" s="996"/>
      <c r="CB66" s="996"/>
      <c r="CC66" s="996"/>
      <c r="CD66" s="996"/>
      <c r="CE66" s="996"/>
      <c r="CF66" s="996"/>
      <c r="CG66" s="996"/>
      <c r="CH66" s="996"/>
      <c r="CI66" s="996"/>
      <c r="CJ66" s="996"/>
      <c r="CK66" s="996"/>
      <c r="CL66" s="996"/>
      <c r="CM66" s="996"/>
      <c r="CN66" s="996"/>
      <c r="CO66" s="996"/>
      <c r="CP66" s="996"/>
      <c r="CQ66" s="996"/>
      <c r="CR66" s="996"/>
      <c r="CS66" s="996"/>
      <c r="CT66" s="996"/>
      <c r="CU66" s="996"/>
      <c r="CV66" s="996"/>
      <c r="CW66" s="996"/>
      <c r="CX66" s="996"/>
      <c r="CY66" s="996"/>
      <c r="CZ66" s="996"/>
      <c r="DA66" s="996"/>
      <c r="DB66" s="996"/>
      <c r="DC66" s="996"/>
    </row>
    <row r="67" spans="1:107" hidden="1" outlineLevel="1">
      <c r="A67" s="15"/>
      <c r="B67" s="994"/>
      <c r="C67" s="995"/>
      <c r="D67" s="995"/>
      <c r="E67" s="995"/>
      <c r="F67" s="995"/>
      <c r="G67" s="995"/>
      <c r="H67" s="995"/>
      <c r="I67" s="995"/>
      <c r="J67" s="995"/>
      <c r="K67" s="996"/>
      <c r="L67" s="996"/>
      <c r="M67" s="996"/>
      <c r="N67" s="996"/>
      <c r="O67" s="995"/>
      <c r="P67" s="995"/>
      <c r="Q67" s="995"/>
      <c r="R67" s="995"/>
      <c r="S67" s="995"/>
      <c r="T67" s="995"/>
      <c r="U67" s="995"/>
      <c r="V67" s="995"/>
      <c r="W67" s="995"/>
      <c r="X67" s="995"/>
      <c r="Y67" s="995"/>
      <c r="Z67" s="995"/>
      <c r="AA67" s="995"/>
      <c r="AB67" s="995"/>
      <c r="AC67" s="995"/>
      <c r="AD67" s="995"/>
      <c r="AE67" s="15"/>
      <c r="AF67" s="996"/>
      <c r="AG67" s="996"/>
      <c r="AH67" s="996"/>
      <c r="AI67" s="996"/>
      <c r="AJ67" s="996"/>
      <c r="AK67" s="996"/>
      <c r="AL67" s="996"/>
      <c r="AM67" s="996"/>
      <c r="AN67" s="996"/>
      <c r="AO67" s="996"/>
      <c r="AP67" s="996"/>
      <c r="AQ67" s="996"/>
      <c r="AR67" s="996"/>
      <c r="AS67" s="996"/>
      <c r="AT67" s="996"/>
      <c r="AU67" s="996"/>
      <c r="AV67" s="996"/>
      <c r="AW67" s="996"/>
      <c r="AX67" s="996"/>
      <c r="AY67" s="996"/>
      <c r="AZ67" s="996"/>
      <c r="BA67" s="996"/>
      <c r="BB67" s="996"/>
      <c r="BC67" s="996"/>
      <c r="BD67" s="996"/>
      <c r="BE67" s="996"/>
      <c r="BF67" s="996"/>
      <c r="BG67" s="996"/>
      <c r="BH67" s="996"/>
      <c r="BI67" s="996"/>
      <c r="BJ67" s="996"/>
      <c r="BK67" s="996"/>
      <c r="BL67" s="996"/>
      <c r="BM67" s="996"/>
      <c r="BN67" s="996"/>
      <c r="BO67" s="996"/>
      <c r="BP67" s="996"/>
      <c r="BQ67" s="996"/>
      <c r="BR67" s="996"/>
      <c r="BS67" s="996"/>
      <c r="BT67" s="996"/>
      <c r="BU67" s="996"/>
      <c r="BV67" s="996"/>
      <c r="BW67" s="996"/>
      <c r="BX67" s="996"/>
      <c r="BY67" s="996"/>
      <c r="BZ67" s="996"/>
      <c r="CA67" s="996"/>
      <c r="CB67" s="996"/>
      <c r="CC67" s="996"/>
      <c r="CD67" s="996"/>
      <c r="CE67" s="996"/>
      <c r="CF67" s="996"/>
      <c r="CG67" s="996"/>
      <c r="CH67" s="996"/>
      <c r="CI67" s="996"/>
      <c r="CJ67" s="996"/>
      <c r="CK67" s="996"/>
      <c r="CL67" s="996"/>
      <c r="CM67" s="996"/>
      <c r="CN67" s="996"/>
      <c r="CO67" s="996"/>
      <c r="CP67" s="996"/>
      <c r="CQ67" s="996"/>
      <c r="CR67" s="996"/>
      <c r="CS67" s="996"/>
      <c r="CT67" s="996"/>
      <c r="CU67" s="996"/>
      <c r="CV67" s="996"/>
      <c r="CW67" s="996"/>
      <c r="CX67" s="996"/>
      <c r="CY67" s="996"/>
      <c r="CZ67" s="996"/>
      <c r="DA67" s="996"/>
      <c r="DB67" s="996"/>
      <c r="DC67" s="996"/>
    </row>
    <row r="68" spans="1:107" hidden="1" outlineLevel="1">
      <c r="A68" s="2197"/>
      <c r="B68" s="389" t="s">
        <v>1448</v>
      </c>
      <c r="C68" s="389"/>
      <c r="D68" s="389"/>
      <c r="E68" s="389"/>
      <c r="F68" s="389"/>
      <c r="G68" s="389"/>
      <c r="H68" s="389"/>
      <c r="I68" s="389"/>
      <c r="J68" s="389"/>
      <c r="K68" s="389"/>
      <c r="L68" s="389"/>
      <c r="M68" s="389"/>
      <c r="N68" s="389"/>
      <c r="O68" s="389"/>
      <c r="P68" s="389"/>
      <c r="Q68" s="389"/>
      <c r="R68" s="389"/>
      <c r="S68" s="389"/>
      <c r="T68" s="389"/>
      <c r="U68" s="389"/>
      <c r="V68" s="389"/>
      <c r="W68" s="389"/>
      <c r="X68" s="389"/>
      <c r="Y68" s="389"/>
      <c r="Z68" s="389"/>
      <c r="AA68" s="389"/>
      <c r="AB68" s="389"/>
      <c r="AC68" s="389"/>
      <c r="AD68" s="389"/>
      <c r="AE68" s="15"/>
      <c r="AF68" s="389"/>
      <c r="AG68" s="389"/>
      <c r="AH68" s="389"/>
      <c r="AI68" s="389"/>
      <c r="AJ68" s="389"/>
      <c r="AK68" s="389"/>
      <c r="AL68" s="389"/>
      <c r="AM68" s="389"/>
      <c r="AN68" s="389"/>
      <c r="AO68" s="389"/>
      <c r="AP68" s="389"/>
      <c r="AQ68" s="389"/>
      <c r="AR68" s="389"/>
      <c r="AS68" s="389"/>
      <c r="AT68" s="389"/>
      <c r="AU68" s="389"/>
      <c r="AV68" s="389"/>
      <c r="AW68" s="389"/>
      <c r="AX68" s="389"/>
      <c r="AY68" s="389"/>
      <c r="AZ68" s="389"/>
      <c r="BA68" s="389"/>
      <c r="BB68" s="389"/>
      <c r="BC68" s="389"/>
      <c r="BD68" s="389"/>
      <c r="BE68" s="389"/>
      <c r="BF68" s="389"/>
      <c r="BG68" s="389"/>
      <c r="BH68" s="389"/>
      <c r="BI68" s="389"/>
      <c r="BJ68" s="389"/>
      <c r="BK68" s="389"/>
      <c r="BL68" s="389"/>
      <c r="BM68" s="389"/>
      <c r="BN68" s="389"/>
      <c r="BO68" s="389"/>
      <c r="BP68" s="389"/>
      <c r="BQ68" s="389"/>
      <c r="BR68" s="389"/>
      <c r="BS68" s="389"/>
      <c r="BT68" s="389"/>
      <c r="BU68" s="389"/>
      <c r="BV68" s="389"/>
      <c r="BW68" s="389"/>
      <c r="BX68" s="389"/>
      <c r="BY68" s="389"/>
      <c r="BZ68" s="389"/>
      <c r="CA68" s="389"/>
      <c r="CB68" s="389"/>
      <c r="CC68" s="389"/>
      <c r="CD68" s="389"/>
      <c r="CE68" s="389"/>
      <c r="CF68" s="389"/>
      <c r="CG68" s="389"/>
      <c r="CH68" s="389"/>
      <c r="CI68" s="389"/>
      <c r="CJ68" s="389"/>
      <c r="CK68" s="389"/>
      <c r="CL68" s="389"/>
      <c r="CM68" s="389"/>
      <c r="CN68" s="389"/>
      <c r="CO68" s="389"/>
      <c r="CP68" s="389"/>
      <c r="CQ68" s="389"/>
      <c r="CR68" s="389"/>
      <c r="CS68" s="389"/>
      <c r="CT68" s="389"/>
      <c r="CU68" s="389"/>
      <c r="CV68" s="389"/>
      <c r="CW68" s="389"/>
      <c r="CX68" s="389"/>
      <c r="CY68" s="389"/>
      <c r="CZ68" s="389"/>
      <c r="DA68" s="389"/>
      <c r="DB68" s="389"/>
      <c r="DC68" s="389"/>
    </row>
    <row r="69" spans="1:107" hidden="1" outlineLevel="1">
      <c r="A69" s="2197"/>
      <c r="B69" s="994" t="s">
        <v>1118</v>
      </c>
      <c r="C69" s="995"/>
      <c r="D69" s="995"/>
      <c r="E69" s="995"/>
      <c r="F69" s="995"/>
      <c r="G69" s="995"/>
      <c r="H69" s="995"/>
      <c r="I69" s="995"/>
      <c r="J69" s="995"/>
      <c r="K69" s="996"/>
      <c r="L69" s="996">
        <f>BK69</f>
        <v>93.721000000000004</v>
      </c>
      <c r="M69" s="996">
        <f>BO69</f>
        <v>109.991</v>
      </c>
      <c r="N69" s="996">
        <f>BS69</f>
        <v>109.991</v>
      </c>
      <c r="O69" s="996">
        <f>N69</f>
        <v>109.991</v>
      </c>
      <c r="P69" s="996">
        <f t="shared" ref="P69:W69" si="103">O71</f>
        <v>0</v>
      </c>
      <c r="Q69" s="996">
        <f t="shared" si="103"/>
        <v>0</v>
      </c>
      <c r="R69" s="996">
        <f t="shared" si="103"/>
        <v>0</v>
      </c>
      <c r="S69" s="996">
        <f t="shared" si="103"/>
        <v>0</v>
      </c>
      <c r="T69" s="996">
        <f t="shared" si="103"/>
        <v>0</v>
      </c>
      <c r="U69" s="996">
        <f t="shared" si="103"/>
        <v>0</v>
      </c>
      <c r="V69" s="996">
        <f t="shared" si="103"/>
        <v>0</v>
      </c>
      <c r="W69" s="996">
        <f t="shared" si="103"/>
        <v>0</v>
      </c>
      <c r="X69" s="996">
        <f>W69</f>
        <v>0</v>
      </c>
      <c r="Y69" s="996">
        <f>X69</f>
        <v>0</v>
      </c>
      <c r="Z69" s="996">
        <f>Y69</f>
        <v>0</v>
      </c>
      <c r="AA69" s="996">
        <f t="shared" ref="AA69:AD69" si="104">Z69</f>
        <v>0</v>
      </c>
      <c r="AB69" s="996">
        <f t="shared" si="104"/>
        <v>0</v>
      </c>
      <c r="AC69" s="996">
        <f t="shared" si="104"/>
        <v>0</v>
      </c>
      <c r="AD69" s="996">
        <f t="shared" si="104"/>
        <v>0</v>
      </c>
      <c r="AE69" s="15"/>
      <c r="AF69" s="996"/>
      <c r="AG69" s="996"/>
      <c r="AH69" s="996"/>
      <c r="AI69" s="996"/>
      <c r="AJ69" s="996"/>
      <c r="AK69" s="996"/>
      <c r="AL69" s="996"/>
      <c r="AM69" s="996"/>
      <c r="AN69" s="996"/>
      <c r="AO69" s="996"/>
      <c r="AP69" s="996"/>
      <c r="AQ69" s="996"/>
      <c r="AR69" s="996"/>
      <c r="AS69" s="996"/>
      <c r="AT69" s="996"/>
      <c r="AU69" s="996"/>
      <c r="AV69" s="996"/>
      <c r="AW69" s="996"/>
      <c r="AX69" s="996"/>
      <c r="AY69" s="996"/>
      <c r="AZ69" s="996"/>
      <c r="BA69" s="996"/>
      <c r="BB69" s="996"/>
      <c r="BC69" s="996"/>
      <c r="BD69" s="996"/>
      <c r="BE69" s="996"/>
      <c r="BF69" s="996"/>
      <c r="BG69" s="996"/>
      <c r="BH69" s="996">
        <v>24.606999999999999</v>
      </c>
      <c r="BI69" s="996">
        <f t="shared" ref="BI69:CU69" si="105">BH71</f>
        <v>24.606999999999999</v>
      </c>
      <c r="BJ69" s="996">
        <f t="shared" si="105"/>
        <v>69.263000000000005</v>
      </c>
      <c r="BK69" s="996">
        <f t="shared" si="105"/>
        <v>93.721000000000004</v>
      </c>
      <c r="BL69" s="996">
        <f t="shared" si="105"/>
        <v>105.6</v>
      </c>
      <c r="BM69" s="996">
        <f t="shared" si="105"/>
        <v>107.27500000000001</v>
      </c>
      <c r="BN69" s="996">
        <f t="shared" si="105"/>
        <v>109.991</v>
      </c>
      <c r="BO69" s="996">
        <f t="shared" si="105"/>
        <v>109.991</v>
      </c>
      <c r="BP69" s="996">
        <f t="shared" si="105"/>
        <v>109.991</v>
      </c>
      <c r="BQ69" s="996">
        <f t="shared" si="105"/>
        <v>109.991</v>
      </c>
      <c r="BR69" s="996">
        <f t="shared" si="105"/>
        <v>109.991</v>
      </c>
      <c r="BS69" s="996">
        <f t="shared" si="105"/>
        <v>109.991</v>
      </c>
      <c r="BT69" s="996">
        <f t="shared" si="105"/>
        <v>109.991</v>
      </c>
      <c r="BU69" s="996">
        <f t="shared" si="105"/>
        <v>0</v>
      </c>
      <c r="BV69" s="996">
        <f t="shared" si="105"/>
        <v>0</v>
      </c>
      <c r="BW69" s="996">
        <f t="shared" si="105"/>
        <v>0</v>
      </c>
      <c r="BX69" s="996">
        <f t="shared" si="105"/>
        <v>0</v>
      </c>
      <c r="BY69" s="996">
        <f t="shared" si="105"/>
        <v>0</v>
      </c>
      <c r="BZ69" s="996">
        <f t="shared" si="105"/>
        <v>0</v>
      </c>
      <c r="CA69" s="996">
        <f t="shared" si="105"/>
        <v>0</v>
      </c>
      <c r="CB69" s="996">
        <f t="shared" si="105"/>
        <v>0</v>
      </c>
      <c r="CC69" s="996">
        <f t="shared" si="105"/>
        <v>0</v>
      </c>
      <c r="CD69" s="996">
        <f t="shared" si="105"/>
        <v>0</v>
      </c>
      <c r="CE69" s="996">
        <f t="shared" si="105"/>
        <v>0</v>
      </c>
      <c r="CF69" s="996">
        <f t="shared" si="105"/>
        <v>0</v>
      </c>
      <c r="CG69" s="996">
        <f t="shared" si="105"/>
        <v>0</v>
      </c>
      <c r="CH69" s="996">
        <f t="shared" si="105"/>
        <v>0</v>
      </c>
      <c r="CI69" s="996">
        <f t="shared" si="105"/>
        <v>0</v>
      </c>
      <c r="CJ69" s="996">
        <f t="shared" si="105"/>
        <v>0</v>
      </c>
      <c r="CK69" s="996">
        <f t="shared" si="105"/>
        <v>0</v>
      </c>
      <c r="CL69" s="996">
        <f t="shared" si="105"/>
        <v>0</v>
      </c>
      <c r="CM69" s="996">
        <f t="shared" si="105"/>
        <v>0</v>
      </c>
      <c r="CN69" s="996">
        <f t="shared" si="105"/>
        <v>0</v>
      </c>
      <c r="CO69" s="996">
        <f t="shared" si="105"/>
        <v>0</v>
      </c>
      <c r="CP69" s="996">
        <f t="shared" si="105"/>
        <v>0</v>
      </c>
      <c r="CQ69" s="996">
        <f t="shared" si="105"/>
        <v>0</v>
      </c>
      <c r="CR69" s="996">
        <f t="shared" si="105"/>
        <v>0</v>
      </c>
      <c r="CS69" s="996">
        <f t="shared" si="105"/>
        <v>0</v>
      </c>
      <c r="CT69" s="996">
        <f t="shared" si="105"/>
        <v>0</v>
      </c>
      <c r="CU69" s="996">
        <f t="shared" si="105"/>
        <v>0</v>
      </c>
      <c r="CV69" s="996">
        <f>CU71</f>
        <v>0</v>
      </c>
      <c r="CW69" s="996">
        <f>CV71</f>
        <v>0</v>
      </c>
      <c r="CX69" s="996">
        <f>CW71</f>
        <v>0</v>
      </c>
      <c r="CY69" s="996">
        <f>CX71</f>
        <v>0</v>
      </c>
      <c r="CZ69" s="996">
        <f t="shared" ref="CZ69:DC69" si="106">CY71</f>
        <v>0</v>
      </c>
      <c r="DA69" s="996">
        <f t="shared" si="106"/>
        <v>0</v>
      </c>
      <c r="DB69" s="996">
        <f t="shared" si="106"/>
        <v>0</v>
      </c>
      <c r="DC69" s="996">
        <f t="shared" si="106"/>
        <v>0</v>
      </c>
    </row>
    <row r="70" spans="1:107" hidden="1" outlineLevel="1">
      <c r="A70" s="2197"/>
      <c r="B70" s="994" t="s">
        <v>1121</v>
      </c>
      <c r="C70" s="995"/>
      <c r="D70" s="995"/>
      <c r="E70" s="995"/>
      <c r="F70" s="995"/>
      <c r="G70" s="995"/>
      <c r="H70" s="995"/>
      <c r="I70" s="995"/>
      <c r="J70" s="995"/>
      <c r="K70" s="996"/>
      <c r="L70" s="996">
        <f>BK70</f>
        <v>11.878999999999991</v>
      </c>
      <c r="M70" s="996">
        <f>BO70</f>
        <v>0</v>
      </c>
      <c r="N70" s="996">
        <f>SUM(BP70:BS70)</f>
        <v>0</v>
      </c>
      <c r="O70" s="996">
        <f>SUM(BT70:BW70)</f>
        <v>-109.991</v>
      </c>
      <c r="P70" s="996">
        <v>0</v>
      </c>
      <c r="Q70" s="996">
        <v>0</v>
      </c>
      <c r="R70" s="996">
        <v>0</v>
      </c>
      <c r="S70" s="996">
        <v>0</v>
      </c>
      <c r="T70" s="996">
        <v>0</v>
      </c>
      <c r="U70" s="996">
        <v>0</v>
      </c>
      <c r="V70" s="996">
        <v>0</v>
      </c>
      <c r="W70" s="996">
        <v>0</v>
      </c>
      <c r="X70" s="996">
        <v>0</v>
      </c>
      <c r="Y70" s="996">
        <v>0</v>
      </c>
      <c r="Z70" s="996">
        <v>0</v>
      </c>
      <c r="AA70" s="996">
        <v>0</v>
      </c>
      <c r="AB70" s="996">
        <v>0</v>
      </c>
      <c r="AC70" s="996">
        <v>0</v>
      </c>
      <c r="AD70" s="996">
        <v>0</v>
      </c>
      <c r="AE70" s="15"/>
      <c r="AF70" s="996"/>
      <c r="AG70" s="996"/>
      <c r="AH70" s="996"/>
      <c r="AI70" s="996"/>
      <c r="AJ70" s="996"/>
      <c r="AK70" s="996"/>
      <c r="AL70" s="996"/>
      <c r="AM70" s="996"/>
      <c r="AN70" s="996"/>
      <c r="AO70" s="996"/>
      <c r="AP70" s="996"/>
      <c r="AQ70" s="996"/>
      <c r="AR70" s="996"/>
      <c r="AS70" s="996"/>
      <c r="AT70" s="996"/>
      <c r="AU70" s="996"/>
      <c r="AV70" s="996"/>
      <c r="AW70" s="996"/>
      <c r="AX70" s="996"/>
      <c r="AY70" s="996"/>
      <c r="AZ70" s="996"/>
      <c r="BA70" s="996"/>
      <c r="BB70" s="996"/>
      <c r="BC70" s="996"/>
      <c r="BD70" s="996"/>
      <c r="BE70" s="996"/>
      <c r="BF70" s="996"/>
      <c r="BG70" s="996"/>
      <c r="BH70" s="996">
        <v>0</v>
      </c>
      <c r="BI70" s="996">
        <v>44.656000000000006</v>
      </c>
      <c r="BJ70" s="996">
        <v>24.457999999999998</v>
      </c>
      <c r="BK70" s="996">
        <v>11.878999999999991</v>
      </c>
      <c r="BL70" s="996">
        <v>1.6750000000000114</v>
      </c>
      <c r="BM70" s="996">
        <v>2.715999999999994</v>
      </c>
      <c r="BN70" s="996">
        <v>0</v>
      </c>
      <c r="BO70" s="996">
        <v>0</v>
      </c>
      <c r="BP70" s="996">
        <v>0</v>
      </c>
      <c r="BQ70" s="996">
        <v>0</v>
      </c>
      <c r="BR70" s="996">
        <v>0</v>
      </c>
      <c r="BS70" s="996">
        <v>0</v>
      </c>
      <c r="BT70" s="996">
        <f>-BT69</f>
        <v>-109.991</v>
      </c>
      <c r="BU70" s="996">
        <v>0</v>
      </c>
      <c r="BV70" s="996">
        <f t="shared" ref="BV70:CU70" si="107">BU70</f>
        <v>0</v>
      </c>
      <c r="BW70" s="996">
        <f t="shared" si="107"/>
        <v>0</v>
      </c>
      <c r="BX70" s="996">
        <f t="shared" si="107"/>
        <v>0</v>
      </c>
      <c r="BY70" s="996">
        <f t="shared" si="107"/>
        <v>0</v>
      </c>
      <c r="BZ70" s="996">
        <f t="shared" si="107"/>
        <v>0</v>
      </c>
      <c r="CA70" s="996">
        <f t="shared" si="107"/>
        <v>0</v>
      </c>
      <c r="CB70" s="996">
        <f t="shared" si="107"/>
        <v>0</v>
      </c>
      <c r="CC70" s="996">
        <f t="shared" si="107"/>
        <v>0</v>
      </c>
      <c r="CD70" s="996">
        <f t="shared" si="107"/>
        <v>0</v>
      </c>
      <c r="CE70" s="996">
        <f t="shared" si="107"/>
        <v>0</v>
      </c>
      <c r="CF70" s="996">
        <f t="shared" si="107"/>
        <v>0</v>
      </c>
      <c r="CG70" s="996">
        <f t="shared" si="107"/>
        <v>0</v>
      </c>
      <c r="CH70" s="996">
        <f t="shared" si="107"/>
        <v>0</v>
      </c>
      <c r="CI70" s="996">
        <f t="shared" si="107"/>
        <v>0</v>
      </c>
      <c r="CJ70" s="996">
        <f t="shared" si="107"/>
        <v>0</v>
      </c>
      <c r="CK70" s="996">
        <f t="shared" si="107"/>
        <v>0</v>
      </c>
      <c r="CL70" s="996">
        <f t="shared" si="107"/>
        <v>0</v>
      </c>
      <c r="CM70" s="996">
        <f t="shared" si="107"/>
        <v>0</v>
      </c>
      <c r="CN70" s="996">
        <f t="shared" si="107"/>
        <v>0</v>
      </c>
      <c r="CO70" s="996">
        <f t="shared" si="107"/>
        <v>0</v>
      </c>
      <c r="CP70" s="996">
        <f t="shared" si="107"/>
        <v>0</v>
      </c>
      <c r="CQ70" s="996">
        <f t="shared" si="107"/>
        <v>0</v>
      </c>
      <c r="CR70" s="996">
        <f t="shared" si="107"/>
        <v>0</v>
      </c>
      <c r="CS70" s="996">
        <f t="shared" si="107"/>
        <v>0</v>
      </c>
      <c r="CT70" s="996">
        <f t="shared" si="107"/>
        <v>0</v>
      </c>
      <c r="CU70" s="996">
        <f t="shared" si="107"/>
        <v>0</v>
      </c>
      <c r="CV70" s="996">
        <f>CU70</f>
        <v>0</v>
      </c>
      <c r="CW70" s="996">
        <f>CV70</f>
        <v>0</v>
      </c>
      <c r="CX70" s="996">
        <f>CW70</f>
        <v>0</v>
      </c>
      <c r="CY70" s="996">
        <f>CX70</f>
        <v>0</v>
      </c>
      <c r="CZ70" s="996">
        <f t="shared" ref="CZ70:DC70" si="108">CY70</f>
        <v>0</v>
      </c>
      <c r="DA70" s="996">
        <f t="shared" si="108"/>
        <v>0</v>
      </c>
      <c r="DB70" s="996">
        <f t="shared" si="108"/>
        <v>0</v>
      </c>
      <c r="DC70" s="996">
        <f t="shared" si="108"/>
        <v>0</v>
      </c>
    </row>
    <row r="71" spans="1:107" hidden="1" outlineLevel="1">
      <c r="A71" s="2197"/>
      <c r="B71" s="994" t="s">
        <v>261</v>
      </c>
      <c r="C71" s="995"/>
      <c r="D71" s="995"/>
      <c r="E71" s="995"/>
      <c r="F71" s="995"/>
      <c r="G71" s="995"/>
      <c r="H71" s="995"/>
      <c r="I71" s="995"/>
      <c r="J71" s="995"/>
      <c r="K71" s="996"/>
      <c r="L71" s="996">
        <f>BK71</f>
        <v>105.6</v>
      </c>
      <c r="M71" s="996">
        <f>BO71</f>
        <v>109.991</v>
      </c>
      <c r="N71" s="996">
        <f>BS71</f>
        <v>109.991</v>
      </c>
      <c r="O71" s="996">
        <f>BW71</f>
        <v>0</v>
      </c>
      <c r="P71" s="996">
        <v>0</v>
      </c>
      <c r="Q71" s="996">
        <v>0</v>
      </c>
      <c r="R71" s="996">
        <v>0</v>
      </c>
      <c r="S71" s="996">
        <v>0</v>
      </c>
      <c r="T71" s="996">
        <v>0</v>
      </c>
      <c r="U71" s="996">
        <v>0</v>
      </c>
      <c r="V71" s="996">
        <v>0</v>
      </c>
      <c r="W71" s="996">
        <v>0</v>
      </c>
      <c r="X71" s="996">
        <v>0</v>
      </c>
      <c r="Y71" s="996">
        <v>0</v>
      </c>
      <c r="Z71" s="996">
        <v>0</v>
      </c>
      <c r="AA71" s="996">
        <v>0</v>
      </c>
      <c r="AB71" s="996">
        <v>0</v>
      </c>
      <c r="AC71" s="996">
        <v>0</v>
      </c>
      <c r="AD71" s="996">
        <v>0</v>
      </c>
      <c r="AE71" s="15"/>
      <c r="AF71" s="996"/>
      <c r="AG71" s="996"/>
      <c r="AH71" s="996"/>
      <c r="AI71" s="996"/>
      <c r="AJ71" s="996"/>
      <c r="AK71" s="996"/>
      <c r="AL71" s="996"/>
      <c r="AM71" s="996"/>
      <c r="AN71" s="996"/>
      <c r="AO71" s="996"/>
      <c r="AP71" s="996"/>
      <c r="AQ71" s="996"/>
      <c r="AR71" s="996"/>
      <c r="AS71" s="996"/>
      <c r="AT71" s="996"/>
      <c r="AU71" s="996"/>
      <c r="AV71" s="996"/>
      <c r="AW71" s="996"/>
      <c r="AX71" s="996"/>
      <c r="AY71" s="996"/>
      <c r="AZ71" s="996"/>
      <c r="BA71" s="996"/>
      <c r="BB71" s="996"/>
      <c r="BC71" s="996"/>
      <c r="BD71" s="996"/>
      <c r="BE71" s="996"/>
      <c r="BF71" s="996"/>
      <c r="BG71" s="996"/>
      <c r="BH71" s="996">
        <f t="shared" ref="BH71:CT71" si="109">SUM(BH69:BH70)</f>
        <v>24.606999999999999</v>
      </c>
      <c r="BI71" s="996">
        <f t="shared" si="109"/>
        <v>69.263000000000005</v>
      </c>
      <c r="BJ71" s="996">
        <f t="shared" si="109"/>
        <v>93.721000000000004</v>
      </c>
      <c r="BK71" s="996">
        <f t="shared" si="109"/>
        <v>105.6</v>
      </c>
      <c r="BL71" s="996">
        <f t="shared" si="109"/>
        <v>107.27500000000001</v>
      </c>
      <c r="BM71" s="996">
        <f t="shared" si="109"/>
        <v>109.991</v>
      </c>
      <c r="BN71" s="996">
        <f t="shared" si="109"/>
        <v>109.991</v>
      </c>
      <c r="BO71" s="996">
        <f t="shared" si="109"/>
        <v>109.991</v>
      </c>
      <c r="BP71" s="996">
        <f t="shared" si="109"/>
        <v>109.991</v>
      </c>
      <c r="BQ71" s="996">
        <f t="shared" si="109"/>
        <v>109.991</v>
      </c>
      <c r="BR71" s="996">
        <f t="shared" si="109"/>
        <v>109.991</v>
      </c>
      <c r="BS71" s="996">
        <f t="shared" si="109"/>
        <v>109.991</v>
      </c>
      <c r="BT71" s="996">
        <f t="shared" si="109"/>
        <v>0</v>
      </c>
      <c r="BU71" s="996">
        <f t="shared" si="109"/>
        <v>0</v>
      </c>
      <c r="BV71" s="996">
        <f t="shared" si="109"/>
        <v>0</v>
      </c>
      <c r="BW71" s="996">
        <f t="shared" si="109"/>
        <v>0</v>
      </c>
      <c r="BX71" s="996">
        <f t="shared" si="109"/>
        <v>0</v>
      </c>
      <c r="BY71" s="996">
        <f t="shared" si="109"/>
        <v>0</v>
      </c>
      <c r="BZ71" s="996">
        <f t="shared" si="109"/>
        <v>0</v>
      </c>
      <c r="CA71" s="996">
        <f t="shared" si="109"/>
        <v>0</v>
      </c>
      <c r="CB71" s="996">
        <f t="shared" si="109"/>
        <v>0</v>
      </c>
      <c r="CC71" s="996">
        <f t="shared" si="109"/>
        <v>0</v>
      </c>
      <c r="CD71" s="996">
        <f t="shared" si="109"/>
        <v>0</v>
      </c>
      <c r="CE71" s="996">
        <f t="shared" si="109"/>
        <v>0</v>
      </c>
      <c r="CF71" s="996">
        <f t="shared" si="109"/>
        <v>0</v>
      </c>
      <c r="CG71" s="996">
        <f t="shared" si="109"/>
        <v>0</v>
      </c>
      <c r="CH71" s="996">
        <f t="shared" si="109"/>
        <v>0</v>
      </c>
      <c r="CI71" s="996">
        <f t="shared" si="109"/>
        <v>0</v>
      </c>
      <c r="CJ71" s="996">
        <f t="shared" si="109"/>
        <v>0</v>
      </c>
      <c r="CK71" s="996">
        <f t="shared" si="109"/>
        <v>0</v>
      </c>
      <c r="CL71" s="996">
        <f t="shared" si="109"/>
        <v>0</v>
      </c>
      <c r="CM71" s="996">
        <f t="shared" si="109"/>
        <v>0</v>
      </c>
      <c r="CN71" s="996">
        <f t="shared" si="109"/>
        <v>0</v>
      </c>
      <c r="CO71" s="996">
        <f t="shared" si="109"/>
        <v>0</v>
      </c>
      <c r="CP71" s="996">
        <f t="shared" si="109"/>
        <v>0</v>
      </c>
      <c r="CQ71" s="996">
        <f>SUM(CQ69:CQ70)</f>
        <v>0</v>
      </c>
      <c r="CR71" s="996">
        <f t="shared" si="109"/>
        <v>0</v>
      </c>
      <c r="CS71" s="996">
        <f t="shared" si="109"/>
        <v>0</v>
      </c>
      <c r="CT71" s="996">
        <f t="shared" si="109"/>
        <v>0</v>
      </c>
      <c r="CU71" s="996">
        <f>SUM(CU69:CU70)</f>
        <v>0</v>
      </c>
      <c r="CV71" s="996">
        <f>SUM(CV69:CV70)</f>
        <v>0</v>
      </c>
      <c r="CW71" s="996">
        <f>SUM(CW69:CW70)</f>
        <v>0</v>
      </c>
      <c r="CX71" s="996">
        <f>SUM(CX69:CX70)</f>
        <v>0</v>
      </c>
      <c r="CY71" s="996">
        <f>SUM(CY69:CY70)</f>
        <v>0</v>
      </c>
      <c r="CZ71" s="996">
        <f t="shared" ref="CZ71:DC71" si="110">SUM(CZ69:CZ70)</f>
        <v>0</v>
      </c>
      <c r="DA71" s="996">
        <f t="shared" si="110"/>
        <v>0</v>
      </c>
      <c r="DB71" s="996">
        <f t="shared" si="110"/>
        <v>0</v>
      </c>
      <c r="DC71" s="996">
        <f t="shared" si="110"/>
        <v>0</v>
      </c>
    </row>
    <row r="72" spans="1:107" hidden="1" outlineLevel="1">
      <c r="A72" s="2197"/>
      <c r="B72" s="994" t="s">
        <v>262</v>
      </c>
      <c r="C72" s="995"/>
      <c r="D72" s="995"/>
      <c r="E72" s="995"/>
      <c r="F72" s="995"/>
      <c r="G72" s="995"/>
      <c r="H72" s="995"/>
      <c r="I72" s="995"/>
      <c r="J72" s="995"/>
      <c r="K72" s="996"/>
      <c r="L72" s="996"/>
      <c r="M72" s="996"/>
      <c r="N72" s="996"/>
      <c r="O72" s="995"/>
      <c r="P72" s="995"/>
      <c r="Q72" s="995"/>
      <c r="R72" s="995"/>
      <c r="S72" s="995"/>
      <c r="T72" s="995"/>
      <c r="U72" s="995"/>
      <c r="V72" s="995"/>
      <c r="W72" s="995"/>
      <c r="X72" s="995"/>
      <c r="Y72" s="995"/>
      <c r="Z72" s="995"/>
      <c r="AA72" s="995"/>
      <c r="AB72" s="995"/>
      <c r="AC72" s="995"/>
      <c r="AD72" s="995"/>
      <c r="AE72" s="15"/>
      <c r="AF72" s="996"/>
      <c r="AG72" s="996"/>
      <c r="AH72" s="996"/>
      <c r="AI72" s="996"/>
      <c r="AJ72" s="996"/>
      <c r="AK72" s="996"/>
      <c r="AL72" s="996"/>
      <c r="AM72" s="996"/>
      <c r="AN72" s="996"/>
      <c r="AO72" s="996"/>
      <c r="AP72" s="996"/>
      <c r="AQ72" s="996"/>
      <c r="AR72" s="996"/>
      <c r="AS72" s="996"/>
      <c r="AT72" s="996"/>
      <c r="AU72" s="996"/>
      <c r="AV72" s="996"/>
      <c r="AW72" s="996"/>
      <c r="AX72" s="996"/>
      <c r="AY72" s="996"/>
      <c r="AZ72" s="996"/>
      <c r="BA72" s="996"/>
      <c r="BB72" s="996"/>
      <c r="BC72" s="996"/>
      <c r="BD72" s="996"/>
      <c r="BE72" s="996"/>
      <c r="BF72" s="996"/>
      <c r="BG72" s="996"/>
      <c r="BH72" s="996"/>
      <c r="BI72" s="996"/>
      <c r="BJ72" s="996"/>
      <c r="BK72" s="996"/>
      <c r="BL72" s="996"/>
      <c r="BM72" s="996"/>
      <c r="BN72" s="996"/>
      <c r="BO72" s="996">
        <v>103.184</v>
      </c>
      <c r="BP72" s="996"/>
      <c r="BQ72" s="996"/>
      <c r="BR72" s="996">
        <v>106.369</v>
      </c>
      <c r="BS72" s="996">
        <v>109.7</v>
      </c>
      <c r="BT72" s="1157"/>
      <c r="BU72" s="1157"/>
      <c r="BV72" s="1157"/>
      <c r="BW72" s="1157"/>
      <c r="BX72" s="1157"/>
      <c r="BY72" s="1157"/>
      <c r="BZ72" s="1157"/>
      <c r="CA72" s="1157"/>
      <c r="CB72" s="1157"/>
      <c r="CC72" s="1157"/>
      <c r="CD72" s="1157"/>
      <c r="CE72" s="1157"/>
      <c r="CF72" s="1157"/>
      <c r="CG72" s="1157"/>
      <c r="CH72" s="1157"/>
      <c r="CI72" s="1157"/>
      <c r="CJ72" s="1157"/>
      <c r="CK72" s="1157"/>
      <c r="CL72" s="1157"/>
      <c r="CM72" s="1157"/>
      <c r="CN72" s="1157"/>
      <c r="CO72" s="1157"/>
      <c r="CP72" s="1157"/>
      <c r="CQ72" s="1157"/>
      <c r="CR72" s="1157"/>
      <c r="CS72" s="1157"/>
      <c r="CT72" s="1157"/>
      <c r="CU72" s="1157"/>
      <c r="CV72" s="1157"/>
      <c r="CW72" s="1157"/>
      <c r="CX72" s="1157"/>
      <c r="CY72" s="1157"/>
      <c r="CZ72" s="1157"/>
      <c r="DA72" s="1157"/>
      <c r="DB72" s="1157"/>
      <c r="DC72" s="1157"/>
    </row>
    <row r="73" spans="1:107" hidden="1" outlineLevel="1">
      <c r="A73" s="15"/>
      <c r="B73" s="876"/>
      <c r="C73" s="15"/>
      <c r="D73" s="15"/>
      <c r="E73" s="15"/>
      <c r="F73" s="15"/>
      <c r="G73" s="15"/>
      <c r="H73" s="15"/>
      <c r="I73" s="15"/>
      <c r="J73" s="15"/>
      <c r="K73" s="783"/>
      <c r="L73" s="26"/>
      <c r="M73" s="26"/>
      <c r="N73" s="26"/>
      <c r="O73" s="15"/>
      <c r="P73" s="15"/>
      <c r="Q73" s="15"/>
      <c r="R73" s="15"/>
      <c r="S73" s="15"/>
      <c r="T73" s="15"/>
      <c r="U73" s="15"/>
      <c r="V73" s="15"/>
      <c r="W73" s="15"/>
      <c r="X73" s="15"/>
      <c r="Y73" s="15"/>
      <c r="Z73" s="15"/>
      <c r="AA73" s="15"/>
      <c r="AB73" s="15"/>
      <c r="AC73" s="15"/>
      <c r="AD73" s="15"/>
      <c r="AE73" s="15"/>
      <c r="AF73" s="783"/>
      <c r="AG73" s="783"/>
      <c r="AH73" s="783"/>
      <c r="AI73" s="783"/>
      <c r="AJ73" s="783"/>
      <c r="AK73" s="783"/>
      <c r="AL73" s="783"/>
      <c r="AM73" s="783"/>
      <c r="AN73" s="783"/>
      <c r="AO73" s="783"/>
      <c r="AP73" s="783"/>
      <c r="AQ73" s="783"/>
      <c r="AR73" s="783"/>
      <c r="AS73" s="783"/>
      <c r="AT73" s="783"/>
      <c r="AU73" s="783"/>
      <c r="AV73" s="783"/>
      <c r="AW73" s="783"/>
      <c r="AX73" s="783"/>
      <c r="AY73" s="783"/>
      <c r="AZ73" s="783"/>
      <c r="BA73" s="783"/>
      <c r="BB73" s="783"/>
      <c r="BC73" s="783"/>
      <c r="BD73" s="783"/>
      <c r="BE73" s="783"/>
      <c r="BF73" s="783"/>
      <c r="BG73" s="783"/>
      <c r="BH73" s="783"/>
      <c r="BI73" s="783"/>
      <c r="BJ73" s="783"/>
      <c r="BK73" s="783"/>
      <c r="BL73" s="783"/>
      <c r="BM73" s="783"/>
      <c r="BN73" s="783"/>
      <c r="BO73" s="783"/>
      <c r="BP73" s="783"/>
      <c r="BQ73" s="783"/>
      <c r="BR73" s="783"/>
      <c r="BS73" s="783"/>
      <c r="BT73" s="980"/>
      <c r="BU73" s="980"/>
      <c r="BV73" s="980"/>
      <c r="BW73" s="980"/>
      <c r="BX73" s="980"/>
      <c r="BY73" s="980"/>
      <c r="BZ73" s="980"/>
      <c r="CA73" s="980"/>
      <c r="CB73" s="980"/>
      <c r="CC73" s="980"/>
      <c r="CD73" s="980"/>
      <c r="CE73" s="980"/>
      <c r="CF73" s="980"/>
      <c r="CG73" s="980"/>
      <c r="CH73" s="980"/>
      <c r="CI73" s="980"/>
      <c r="CJ73" s="980"/>
      <c r="CK73" s="980"/>
      <c r="CL73" s="980"/>
      <c r="CM73" s="980"/>
      <c r="CN73" s="980"/>
      <c r="CO73" s="980"/>
      <c r="CP73" s="980"/>
      <c r="CQ73" s="980"/>
      <c r="CR73" s="980"/>
      <c r="CS73" s="980"/>
      <c r="CT73" s="980"/>
      <c r="CU73" s="980"/>
      <c r="CV73" s="980"/>
      <c r="CW73" s="980"/>
      <c r="CX73" s="980"/>
      <c r="CY73" s="980"/>
      <c r="CZ73" s="980"/>
      <c r="DA73" s="980"/>
      <c r="DB73" s="980"/>
      <c r="DC73" s="980"/>
    </row>
    <row r="74" spans="1:107" hidden="1" outlineLevel="1">
      <c r="A74" s="2197"/>
      <c r="B74" s="389" t="s">
        <v>1449</v>
      </c>
      <c r="C74" s="389"/>
      <c r="D74" s="389"/>
      <c r="E74" s="389"/>
      <c r="F74" s="389"/>
      <c r="G74" s="389"/>
      <c r="H74" s="389"/>
      <c r="I74" s="389"/>
      <c r="J74" s="389"/>
      <c r="K74" s="389"/>
      <c r="L74" s="389"/>
      <c r="M74" s="389"/>
      <c r="N74" s="389"/>
      <c r="O74" s="389"/>
      <c r="P74" s="389"/>
      <c r="Q74" s="389"/>
      <c r="R74" s="389"/>
      <c r="S74" s="389"/>
      <c r="T74" s="389"/>
      <c r="U74" s="389"/>
      <c r="V74" s="389"/>
      <c r="W74" s="389"/>
      <c r="X74" s="389"/>
      <c r="Y74" s="389"/>
      <c r="Z74" s="389"/>
      <c r="AA74" s="389"/>
      <c r="AB74" s="389"/>
      <c r="AC74" s="389"/>
      <c r="AD74" s="389"/>
      <c r="AE74" s="995"/>
      <c r="AF74" s="389"/>
      <c r="AG74" s="389"/>
      <c r="AH74" s="389"/>
      <c r="AI74" s="389"/>
      <c r="AJ74" s="389"/>
      <c r="AK74" s="389"/>
      <c r="AL74" s="389"/>
      <c r="AM74" s="389"/>
      <c r="AN74" s="389"/>
      <c r="AO74" s="389"/>
      <c r="AP74" s="389"/>
      <c r="AQ74" s="389"/>
      <c r="AR74" s="389"/>
      <c r="AS74" s="389"/>
      <c r="AT74" s="389"/>
      <c r="AU74" s="389"/>
      <c r="AV74" s="389"/>
      <c r="AW74" s="389"/>
      <c r="AX74" s="389"/>
      <c r="AY74" s="389"/>
      <c r="AZ74" s="389"/>
      <c r="BA74" s="389"/>
      <c r="BB74" s="389"/>
      <c r="BC74" s="389"/>
      <c r="BD74" s="389"/>
      <c r="BE74" s="389"/>
      <c r="BF74" s="389"/>
      <c r="BG74" s="389"/>
      <c r="BH74" s="389"/>
      <c r="BI74" s="389"/>
      <c r="BJ74" s="389"/>
      <c r="BK74" s="389"/>
      <c r="BL74" s="389"/>
      <c r="BM74" s="389"/>
      <c r="BN74" s="389"/>
      <c r="BO74" s="389"/>
      <c r="BP74" s="389"/>
      <c r="BQ74" s="389"/>
      <c r="BR74" s="389"/>
      <c r="BS74" s="389"/>
      <c r="BT74" s="389"/>
      <c r="BU74" s="389"/>
      <c r="BV74" s="389"/>
      <c r="BW74" s="389"/>
      <c r="BX74" s="389"/>
      <c r="BY74" s="389"/>
      <c r="BZ74" s="389"/>
      <c r="CA74" s="389"/>
      <c r="CB74" s="389"/>
      <c r="CC74" s="389"/>
      <c r="CD74" s="389"/>
      <c r="CE74" s="389"/>
      <c r="CF74" s="389"/>
      <c r="CG74" s="389"/>
      <c r="CH74" s="389"/>
      <c r="CI74" s="389"/>
      <c r="CJ74" s="389"/>
      <c r="CK74" s="389"/>
      <c r="CL74" s="389"/>
      <c r="CM74" s="389"/>
      <c r="CN74" s="389"/>
      <c r="CO74" s="389"/>
      <c r="CP74" s="389"/>
      <c r="CQ74" s="389"/>
      <c r="CR74" s="389"/>
      <c r="CS74" s="389"/>
      <c r="CT74" s="389"/>
      <c r="CU74" s="389"/>
      <c r="CV74" s="389"/>
      <c r="CW74" s="389"/>
      <c r="CX74" s="389"/>
      <c r="CY74" s="389"/>
      <c r="CZ74" s="389"/>
      <c r="DA74" s="389"/>
      <c r="DB74" s="389"/>
      <c r="DC74" s="389"/>
    </row>
    <row r="75" spans="1:107" hidden="1" outlineLevel="1">
      <c r="A75" s="2197"/>
      <c r="B75" s="994" t="s">
        <v>1118</v>
      </c>
      <c r="C75" s="995"/>
      <c r="D75" s="995"/>
      <c r="E75" s="995"/>
      <c r="F75" s="995"/>
      <c r="G75" s="995"/>
      <c r="H75" s="995"/>
      <c r="I75" s="995"/>
      <c r="J75" s="995"/>
      <c r="K75" s="996"/>
      <c r="L75" s="996">
        <f>BK75</f>
        <v>0</v>
      </c>
      <c r="M75" s="996"/>
      <c r="N75" s="996">
        <f t="shared" ref="N75:Z75" si="111">M77</f>
        <v>94.361999999999995</v>
      </c>
      <c r="O75" s="996">
        <f t="shared" si="111"/>
        <v>91.773016617636927</v>
      </c>
      <c r="P75" s="996">
        <f t="shared" si="111"/>
        <v>0</v>
      </c>
      <c r="Q75" s="996">
        <f t="shared" si="111"/>
        <v>0</v>
      </c>
      <c r="R75" s="996">
        <f t="shared" si="111"/>
        <v>0</v>
      </c>
      <c r="S75" s="996">
        <f t="shared" si="111"/>
        <v>0</v>
      </c>
      <c r="T75" s="996">
        <f t="shared" si="111"/>
        <v>0</v>
      </c>
      <c r="U75" s="996">
        <f t="shared" si="111"/>
        <v>0</v>
      </c>
      <c r="V75" s="996">
        <f t="shared" si="111"/>
        <v>0</v>
      </c>
      <c r="W75" s="996">
        <f t="shared" si="111"/>
        <v>0</v>
      </c>
      <c r="X75" s="996">
        <f t="shared" si="111"/>
        <v>0</v>
      </c>
      <c r="Y75" s="996">
        <f t="shared" si="111"/>
        <v>0</v>
      </c>
      <c r="Z75" s="996">
        <f t="shared" si="111"/>
        <v>0</v>
      </c>
      <c r="AA75" s="996">
        <f t="shared" ref="AA75" si="112">Z77</f>
        <v>0</v>
      </c>
      <c r="AB75" s="996">
        <f t="shared" ref="AB75" si="113">AA77</f>
        <v>0</v>
      </c>
      <c r="AC75" s="996">
        <f t="shared" ref="AC75" si="114">AB77</f>
        <v>0</v>
      </c>
      <c r="AD75" s="996">
        <f t="shared" ref="AD75" si="115">AC77</f>
        <v>0</v>
      </c>
      <c r="AE75" s="995"/>
      <c r="AF75" s="996"/>
      <c r="AG75" s="996"/>
      <c r="AH75" s="996"/>
      <c r="AI75" s="996"/>
      <c r="AJ75" s="996"/>
      <c r="AK75" s="996"/>
      <c r="AL75" s="996"/>
      <c r="AM75" s="996"/>
      <c r="AN75" s="996"/>
      <c r="AO75" s="996"/>
      <c r="AP75" s="996"/>
      <c r="AQ75" s="996"/>
      <c r="AR75" s="996"/>
      <c r="AS75" s="996"/>
      <c r="AT75" s="996"/>
      <c r="AU75" s="996"/>
      <c r="AV75" s="996"/>
      <c r="AW75" s="996"/>
      <c r="AX75" s="996"/>
      <c r="AY75" s="996"/>
      <c r="AZ75" s="996"/>
      <c r="BA75" s="996"/>
      <c r="BB75" s="996"/>
      <c r="BC75" s="996"/>
      <c r="BD75" s="996"/>
      <c r="BE75" s="996"/>
      <c r="BF75" s="996"/>
      <c r="BG75" s="996"/>
      <c r="BH75" s="996"/>
      <c r="BI75" s="996"/>
      <c r="BJ75" s="996"/>
      <c r="BK75" s="996"/>
      <c r="BL75" s="996"/>
      <c r="BM75" s="996"/>
      <c r="BN75" s="996"/>
      <c r="BO75" s="996"/>
      <c r="BP75" s="996">
        <f t="shared" ref="BP75:CU75" si="116">BO77</f>
        <v>94.361999999999995</v>
      </c>
      <c r="BQ75" s="996">
        <f t="shared" si="116"/>
        <v>93.704999999999998</v>
      </c>
      <c r="BR75" s="996">
        <f t="shared" si="116"/>
        <v>93.092016617636929</v>
      </c>
      <c r="BS75" s="996">
        <f t="shared" si="116"/>
        <v>92.449016617636929</v>
      </c>
      <c r="BT75" s="996">
        <f t="shared" si="116"/>
        <v>91.773016617636927</v>
      </c>
      <c r="BU75" s="996">
        <f t="shared" si="116"/>
        <v>91.063016617636933</v>
      </c>
      <c r="BV75" s="996">
        <f t="shared" si="116"/>
        <v>90.361000000000004</v>
      </c>
      <c r="BW75" s="996">
        <f t="shared" si="116"/>
        <v>89.662999999999997</v>
      </c>
      <c r="BX75" s="996">
        <f t="shared" si="116"/>
        <v>0</v>
      </c>
      <c r="BY75" s="996">
        <f t="shared" si="116"/>
        <v>0</v>
      </c>
      <c r="BZ75" s="996">
        <f t="shared" si="116"/>
        <v>0</v>
      </c>
      <c r="CA75" s="996">
        <f t="shared" si="116"/>
        <v>0</v>
      </c>
      <c r="CB75" s="996">
        <f t="shared" si="116"/>
        <v>0</v>
      </c>
      <c r="CC75" s="996">
        <f t="shared" si="116"/>
        <v>0</v>
      </c>
      <c r="CD75" s="996">
        <f t="shared" si="116"/>
        <v>0</v>
      </c>
      <c r="CE75" s="996">
        <f t="shared" si="116"/>
        <v>0</v>
      </c>
      <c r="CF75" s="996">
        <f t="shared" si="116"/>
        <v>0</v>
      </c>
      <c r="CG75" s="996">
        <f t="shared" si="116"/>
        <v>0</v>
      </c>
      <c r="CH75" s="996">
        <f t="shared" si="116"/>
        <v>0</v>
      </c>
      <c r="CI75" s="996">
        <f t="shared" si="116"/>
        <v>0</v>
      </c>
      <c r="CJ75" s="996">
        <f t="shared" si="116"/>
        <v>0</v>
      </c>
      <c r="CK75" s="996">
        <f t="shared" si="116"/>
        <v>0</v>
      </c>
      <c r="CL75" s="996">
        <f t="shared" si="116"/>
        <v>0</v>
      </c>
      <c r="CM75" s="996">
        <f t="shared" si="116"/>
        <v>0</v>
      </c>
      <c r="CN75" s="996">
        <f t="shared" si="116"/>
        <v>0</v>
      </c>
      <c r="CO75" s="996">
        <f t="shared" si="116"/>
        <v>0</v>
      </c>
      <c r="CP75" s="996">
        <f t="shared" si="116"/>
        <v>0</v>
      </c>
      <c r="CQ75" s="996">
        <f t="shared" si="116"/>
        <v>0</v>
      </c>
      <c r="CR75" s="996">
        <f t="shared" si="116"/>
        <v>0</v>
      </c>
      <c r="CS75" s="996">
        <f t="shared" si="116"/>
        <v>0</v>
      </c>
      <c r="CT75" s="996">
        <f t="shared" si="116"/>
        <v>0</v>
      </c>
      <c r="CU75" s="996">
        <f t="shared" si="116"/>
        <v>0</v>
      </c>
      <c r="CV75" s="996">
        <f>CU77</f>
        <v>0</v>
      </c>
      <c r="CW75" s="996">
        <f>CV77</f>
        <v>0</v>
      </c>
      <c r="CX75" s="996">
        <f>CW77</f>
        <v>0</v>
      </c>
      <c r="CY75" s="996">
        <f>CX77</f>
        <v>0</v>
      </c>
      <c r="CZ75" s="996">
        <f t="shared" ref="CZ75:DC75" si="117">CY77</f>
        <v>0</v>
      </c>
      <c r="DA75" s="996">
        <f t="shared" si="117"/>
        <v>0</v>
      </c>
      <c r="DB75" s="996">
        <f t="shared" si="117"/>
        <v>0</v>
      </c>
      <c r="DC75" s="996">
        <f t="shared" si="117"/>
        <v>0</v>
      </c>
    </row>
    <row r="76" spans="1:107" hidden="1" outlineLevel="1">
      <c r="A76" s="2197"/>
      <c r="B76" s="994" t="s">
        <v>1121</v>
      </c>
      <c r="C76" s="995"/>
      <c r="D76" s="995"/>
      <c r="E76" s="995"/>
      <c r="F76" s="995"/>
      <c r="G76" s="995"/>
      <c r="H76" s="995"/>
      <c r="I76" s="995"/>
      <c r="J76" s="995"/>
      <c r="K76" s="996"/>
      <c r="L76" s="996">
        <f>SUM(BH76:BK76)</f>
        <v>0</v>
      </c>
      <c r="M76" s="996"/>
      <c r="N76" s="996">
        <f t="shared" ref="N76:U76" si="118">N77-N75</f>
        <v>-2.5889833823630681</v>
      </c>
      <c r="O76" s="996">
        <f t="shared" si="118"/>
        <v>-91.773016617636927</v>
      </c>
      <c r="P76" s="996">
        <f t="shared" si="118"/>
        <v>0</v>
      </c>
      <c r="Q76" s="996">
        <f t="shared" si="118"/>
        <v>0</v>
      </c>
      <c r="R76" s="996">
        <f t="shared" si="118"/>
        <v>0</v>
      </c>
      <c r="S76" s="996">
        <f t="shared" si="118"/>
        <v>0</v>
      </c>
      <c r="T76" s="996">
        <f t="shared" si="118"/>
        <v>0</v>
      </c>
      <c r="U76" s="996">
        <f t="shared" si="118"/>
        <v>0</v>
      </c>
      <c r="V76" s="996">
        <f>V77-V75</f>
        <v>0</v>
      </c>
      <c r="W76" s="996">
        <f>W77-W75</f>
        <v>0</v>
      </c>
      <c r="X76" s="996">
        <f>W76</f>
        <v>0</v>
      </c>
      <c r="Y76" s="996">
        <f>X76</f>
        <v>0</v>
      </c>
      <c r="Z76" s="996">
        <f>Y76</f>
        <v>0</v>
      </c>
      <c r="AA76" s="996">
        <f t="shared" ref="AA76:AD76" si="119">Z76</f>
        <v>0</v>
      </c>
      <c r="AB76" s="996">
        <f t="shared" si="119"/>
        <v>0</v>
      </c>
      <c r="AC76" s="996">
        <f t="shared" si="119"/>
        <v>0</v>
      </c>
      <c r="AD76" s="996">
        <f t="shared" si="119"/>
        <v>0</v>
      </c>
      <c r="AE76" s="995"/>
      <c r="AF76" s="996"/>
      <c r="AG76" s="996"/>
      <c r="AH76" s="996"/>
      <c r="AI76" s="996"/>
      <c r="AJ76" s="996"/>
      <c r="AK76" s="996"/>
      <c r="AL76" s="996"/>
      <c r="AM76" s="996"/>
      <c r="AN76" s="996"/>
      <c r="AO76" s="996"/>
      <c r="AP76" s="996"/>
      <c r="AQ76" s="996"/>
      <c r="AR76" s="996"/>
      <c r="AS76" s="996"/>
      <c r="AT76" s="996"/>
      <c r="AU76" s="996"/>
      <c r="AV76" s="996"/>
      <c r="AW76" s="996"/>
      <c r="AX76" s="996"/>
      <c r="AY76" s="996"/>
      <c r="AZ76" s="996"/>
      <c r="BA76" s="996"/>
      <c r="BB76" s="996"/>
      <c r="BC76" s="996"/>
      <c r="BD76" s="996"/>
      <c r="BE76" s="996"/>
      <c r="BF76" s="996"/>
      <c r="BG76" s="996"/>
      <c r="BH76" s="996"/>
      <c r="BI76" s="996"/>
      <c r="BJ76" s="996"/>
      <c r="BK76" s="996"/>
      <c r="BL76" s="996"/>
      <c r="BM76" s="996"/>
      <c r="BN76" s="996"/>
      <c r="BO76" s="996"/>
      <c r="BP76" s="996">
        <f>BP77-BP75</f>
        <v>-0.65699999999999648</v>
      </c>
      <c r="BQ76" s="996">
        <v>-0.61298338236306904</v>
      </c>
      <c r="BR76" s="996">
        <v>-0.64300000000000068</v>
      </c>
      <c r="BS76" s="996">
        <v>-0.67600000000000204</v>
      </c>
      <c r="BT76" s="996">
        <v>-0.70999999999999375</v>
      </c>
      <c r="BU76" s="996">
        <v>-0.70201661763692869</v>
      </c>
      <c r="BV76" s="996">
        <v>-0.6980000000000075</v>
      </c>
      <c r="BW76" s="996">
        <f>-BW75</f>
        <v>-89.662999999999997</v>
      </c>
      <c r="BX76" s="996">
        <v>0</v>
      </c>
      <c r="BY76" s="996">
        <f t="shared" ref="BY76:CU76" si="120">BX76</f>
        <v>0</v>
      </c>
      <c r="BZ76" s="996">
        <f t="shared" si="120"/>
        <v>0</v>
      </c>
      <c r="CA76" s="996">
        <f t="shared" si="120"/>
        <v>0</v>
      </c>
      <c r="CB76" s="996">
        <f t="shared" si="120"/>
        <v>0</v>
      </c>
      <c r="CC76" s="996">
        <f t="shared" si="120"/>
        <v>0</v>
      </c>
      <c r="CD76" s="996">
        <f t="shared" si="120"/>
        <v>0</v>
      </c>
      <c r="CE76" s="996">
        <f t="shared" si="120"/>
        <v>0</v>
      </c>
      <c r="CF76" s="996">
        <f t="shared" si="120"/>
        <v>0</v>
      </c>
      <c r="CG76" s="996">
        <f t="shared" si="120"/>
        <v>0</v>
      </c>
      <c r="CH76" s="996">
        <f t="shared" si="120"/>
        <v>0</v>
      </c>
      <c r="CI76" s="996">
        <f t="shared" si="120"/>
        <v>0</v>
      </c>
      <c r="CJ76" s="996">
        <f t="shared" si="120"/>
        <v>0</v>
      </c>
      <c r="CK76" s="996">
        <f t="shared" si="120"/>
        <v>0</v>
      </c>
      <c r="CL76" s="996">
        <f t="shared" si="120"/>
        <v>0</v>
      </c>
      <c r="CM76" s="996">
        <f t="shared" si="120"/>
        <v>0</v>
      </c>
      <c r="CN76" s="996">
        <f t="shared" si="120"/>
        <v>0</v>
      </c>
      <c r="CO76" s="996">
        <f t="shared" si="120"/>
        <v>0</v>
      </c>
      <c r="CP76" s="996">
        <f t="shared" si="120"/>
        <v>0</v>
      </c>
      <c r="CQ76" s="996">
        <f t="shared" si="120"/>
        <v>0</v>
      </c>
      <c r="CR76" s="996">
        <f t="shared" si="120"/>
        <v>0</v>
      </c>
      <c r="CS76" s="996">
        <f t="shared" si="120"/>
        <v>0</v>
      </c>
      <c r="CT76" s="996">
        <f t="shared" si="120"/>
        <v>0</v>
      </c>
      <c r="CU76" s="996">
        <f t="shared" si="120"/>
        <v>0</v>
      </c>
      <c r="CV76" s="996">
        <f>CU76</f>
        <v>0</v>
      </c>
      <c r="CW76" s="996">
        <f>CV76</f>
        <v>0</v>
      </c>
      <c r="CX76" s="996">
        <f>CW76</f>
        <v>0</v>
      </c>
      <c r="CY76" s="996">
        <f>CX76</f>
        <v>0</v>
      </c>
      <c r="CZ76" s="996">
        <f t="shared" ref="CZ76:DC76" si="121">CY76</f>
        <v>0</v>
      </c>
      <c r="DA76" s="996">
        <f t="shared" si="121"/>
        <v>0</v>
      </c>
      <c r="DB76" s="996">
        <f t="shared" si="121"/>
        <v>0</v>
      </c>
      <c r="DC76" s="996">
        <f t="shared" si="121"/>
        <v>0</v>
      </c>
    </row>
    <row r="77" spans="1:107" hidden="1" outlineLevel="1">
      <c r="A77" s="2197"/>
      <c r="B77" s="994" t="s">
        <v>261</v>
      </c>
      <c r="C77" s="995"/>
      <c r="D77" s="995"/>
      <c r="E77" s="995"/>
      <c r="F77" s="995"/>
      <c r="G77" s="995"/>
      <c r="H77" s="995"/>
      <c r="I77" s="995"/>
      <c r="J77" s="995"/>
      <c r="K77" s="996"/>
      <c r="L77" s="996">
        <f>BK77</f>
        <v>0</v>
      </c>
      <c r="M77" s="996">
        <f>BO77</f>
        <v>94.361999999999995</v>
      </c>
      <c r="N77" s="996">
        <f>BS77</f>
        <v>91.773016617636927</v>
      </c>
      <c r="O77" s="996">
        <f>BW77</f>
        <v>0</v>
      </c>
      <c r="P77" s="996">
        <f t="shared" ref="P77:W77" si="122">CA77</f>
        <v>0</v>
      </c>
      <c r="Q77" s="996">
        <f t="shared" si="122"/>
        <v>0</v>
      </c>
      <c r="R77" s="996">
        <f t="shared" si="122"/>
        <v>0</v>
      </c>
      <c r="S77" s="996">
        <f t="shared" si="122"/>
        <v>0</v>
      </c>
      <c r="T77" s="996">
        <f t="shared" si="122"/>
        <v>0</v>
      </c>
      <c r="U77" s="996">
        <f t="shared" si="122"/>
        <v>0</v>
      </c>
      <c r="V77" s="996">
        <f t="shared" si="122"/>
        <v>0</v>
      </c>
      <c r="W77" s="996">
        <f t="shared" si="122"/>
        <v>0</v>
      </c>
      <c r="X77" s="996">
        <f>X75+X76</f>
        <v>0</v>
      </c>
      <c r="Y77" s="996">
        <f>Y75+Y76</f>
        <v>0</v>
      </c>
      <c r="Z77" s="996">
        <f>Z75+Z76</f>
        <v>0</v>
      </c>
      <c r="AA77" s="996">
        <f t="shared" ref="AA77:AD77" si="123">AA75+AA76</f>
        <v>0</v>
      </c>
      <c r="AB77" s="996">
        <f t="shared" si="123"/>
        <v>0</v>
      </c>
      <c r="AC77" s="996">
        <f t="shared" si="123"/>
        <v>0</v>
      </c>
      <c r="AD77" s="996">
        <f t="shared" si="123"/>
        <v>0</v>
      </c>
      <c r="AE77" s="995"/>
      <c r="AF77" s="996"/>
      <c r="AG77" s="996"/>
      <c r="AH77" s="996"/>
      <c r="AI77" s="996"/>
      <c r="AJ77" s="996"/>
      <c r="AK77" s="996"/>
      <c r="AL77" s="996"/>
      <c r="AM77" s="996"/>
      <c r="AN77" s="996"/>
      <c r="AO77" s="996"/>
      <c r="AP77" s="996"/>
      <c r="AQ77" s="996"/>
      <c r="AR77" s="996"/>
      <c r="AS77" s="996"/>
      <c r="AT77" s="996"/>
      <c r="AU77" s="996"/>
      <c r="AV77" s="996"/>
      <c r="AW77" s="996"/>
      <c r="AX77" s="996"/>
      <c r="AY77" s="996"/>
      <c r="AZ77" s="996"/>
      <c r="BA77" s="996"/>
      <c r="BB77" s="996"/>
      <c r="BC77" s="996"/>
      <c r="BD77" s="996"/>
      <c r="BE77" s="996"/>
      <c r="BF77" s="996"/>
      <c r="BG77" s="996"/>
      <c r="BH77" s="996"/>
      <c r="BI77" s="996"/>
      <c r="BJ77" s="996"/>
      <c r="BK77" s="996"/>
      <c r="BL77" s="996"/>
      <c r="BM77" s="996"/>
      <c r="BN77" s="996"/>
      <c r="BO77" s="996">
        <v>94.361999999999995</v>
      </c>
      <c r="BP77" s="996">
        <v>93.704999999999998</v>
      </c>
      <c r="BQ77" s="996">
        <f>SUM(BQ75:BQ76)</f>
        <v>93.092016617636929</v>
      </c>
      <c r="BR77" s="996">
        <f>SUM(BR75:BR76)</f>
        <v>92.449016617636929</v>
      </c>
      <c r="BS77" s="996">
        <f>SUM(BS75:BS76)</f>
        <v>91.773016617636927</v>
      </c>
      <c r="BT77" s="996">
        <f>SUM(BT75:BT76)</f>
        <v>91.063016617636933</v>
      </c>
      <c r="BU77" s="996">
        <v>90.361000000000004</v>
      </c>
      <c r="BV77" s="996">
        <f t="shared" ref="BV77:CT77" si="124">SUM(BV75:BV76)</f>
        <v>89.662999999999997</v>
      </c>
      <c r="BW77" s="996">
        <f t="shared" si="124"/>
        <v>0</v>
      </c>
      <c r="BX77" s="996">
        <f t="shared" si="124"/>
        <v>0</v>
      </c>
      <c r="BY77" s="996">
        <f t="shared" si="124"/>
        <v>0</v>
      </c>
      <c r="BZ77" s="996">
        <f t="shared" si="124"/>
        <v>0</v>
      </c>
      <c r="CA77" s="996">
        <f t="shared" si="124"/>
        <v>0</v>
      </c>
      <c r="CB77" s="996">
        <f t="shared" si="124"/>
        <v>0</v>
      </c>
      <c r="CC77" s="996">
        <f t="shared" si="124"/>
        <v>0</v>
      </c>
      <c r="CD77" s="996">
        <f t="shared" si="124"/>
        <v>0</v>
      </c>
      <c r="CE77" s="996">
        <f t="shared" si="124"/>
        <v>0</v>
      </c>
      <c r="CF77" s="996">
        <f t="shared" si="124"/>
        <v>0</v>
      </c>
      <c r="CG77" s="996">
        <f t="shared" si="124"/>
        <v>0</v>
      </c>
      <c r="CH77" s="996">
        <f t="shared" si="124"/>
        <v>0</v>
      </c>
      <c r="CI77" s="996">
        <f t="shared" si="124"/>
        <v>0</v>
      </c>
      <c r="CJ77" s="996">
        <f t="shared" si="124"/>
        <v>0</v>
      </c>
      <c r="CK77" s="996">
        <f t="shared" si="124"/>
        <v>0</v>
      </c>
      <c r="CL77" s="996">
        <f t="shared" si="124"/>
        <v>0</v>
      </c>
      <c r="CM77" s="996">
        <f t="shared" si="124"/>
        <v>0</v>
      </c>
      <c r="CN77" s="996">
        <f t="shared" si="124"/>
        <v>0</v>
      </c>
      <c r="CO77" s="996">
        <f t="shared" si="124"/>
        <v>0</v>
      </c>
      <c r="CP77" s="996">
        <f t="shared" si="124"/>
        <v>0</v>
      </c>
      <c r="CQ77" s="996">
        <f>SUM(CQ75:CQ76)</f>
        <v>0</v>
      </c>
      <c r="CR77" s="996">
        <f t="shared" si="124"/>
        <v>0</v>
      </c>
      <c r="CS77" s="996">
        <f t="shared" si="124"/>
        <v>0</v>
      </c>
      <c r="CT77" s="996">
        <f t="shared" si="124"/>
        <v>0</v>
      </c>
      <c r="CU77" s="996">
        <f>SUM(CU75:CU76)</f>
        <v>0</v>
      </c>
      <c r="CV77" s="996">
        <f>SUM(CV75:CV76)</f>
        <v>0</v>
      </c>
      <c r="CW77" s="996">
        <f>SUM(CW75:CW76)</f>
        <v>0</v>
      </c>
      <c r="CX77" s="996">
        <f>SUM(CX75:CX76)</f>
        <v>0</v>
      </c>
      <c r="CY77" s="996">
        <f>SUM(CY75:CY76)</f>
        <v>0</v>
      </c>
      <c r="CZ77" s="996">
        <f t="shared" ref="CZ77:DC77" si="125">SUM(CZ75:CZ76)</f>
        <v>0</v>
      </c>
      <c r="DA77" s="996">
        <f t="shared" si="125"/>
        <v>0</v>
      </c>
      <c r="DB77" s="996">
        <f t="shared" si="125"/>
        <v>0</v>
      </c>
      <c r="DC77" s="996">
        <f t="shared" si="125"/>
        <v>0</v>
      </c>
    </row>
    <row r="78" spans="1:107" hidden="1" outlineLevel="1">
      <c r="A78" s="2197"/>
      <c r="B78" s="994" t="s">
        <v>262</v>
      </c>
      <c r="C78" s="995"/>
      <c r="D78" s="995"/>
      <c r="E78" s="995"/>
      <c r="F78" s="995"/>
      <c r="G78" s="995"/>
      <c r="H78" s="995"/>
      <c r="I78" s="995"/>
      <c r="J78" s="995"/>
      <c r="K78" s="996"/>
      <c r="L78" s="996"/>
      <c r="M78" s="996"/>
      <c r="N78" s="996"/>
      <c r="O78" s="1158"/>
      <c r="P78" s="1158"/>
      <c r="Q78" s="1158"/>
      <c r="R78" s="1158"/>
      <c r="S78" s="1158"/>
      <c r="T78" s="1158"/>
      <c r="U78" s="1158"/>
      <c r="V78" s="1158"/>
      <c r="W78" s="1158"/>
      <c r="X78" s="1158"/>
      <c r="Y78" s="1158"/>
      <c r="Z78" s="1158"/>
      <c r="AA78" s="1158"/>
      <c r="AB78" s="1158"/>
      <c r="AC78" s="1158"/>
      <c r="AD78" s="1158"/>
      <c r="AE78" s="995"/>
      <c r="AF78" s="996"/>
      <c r="AG78" s="996"/>
      <c r="AH78" s="996"/>
      <c r="AI78" s="996"/>
      <c r="AJ78" s="996"/>
      <c r="AK78" s="996"/>
      <c r="AL78" s="996"/>
      <c r="AM78" s="996"/>
      <c r="AN78" s="996"/>
      <c r="AO78" s="996"/>
      <c r="AP78" s="996"/>
      <c r="AQ78" s="996"/>
      <c r="AR78" s="996"/>
      <c r="AS78" s="996"/>
      <c r="AT78" s="996"/>
      <c r="AU78" s="996"/>
      <c r="AV78" s="996"/>
      <c r="AW78" s="996"/>
      <c r="AX78" s="996"/>
      <c r="AY78" s="996"/>
      <c r="AZ78" s="996"/>
      <c r="BA78" s="996"/>
      <c r="BB78" s="996"/>
      <c r="BC78" s="996"/>
      <c r="BD78" s="996"/>
      <c r="BE78" s="996"/>
      <c r="BF78" s="996"/>
      <c r="BG78" s="996"/>
      <c r="BH78" s="996"/>
      <c r="BI78" s="996"/>
      <c r="BJ78" s="996"/>
      <c r="BK78" s="996"/>
      <c r="BL78" s="996"/>
      <c r="BM78" s="996"/>
      <c r="BN78" s="996"/>
      <c r="BO78" s="996">
        <v>80.221000000000004</v>
      </c>
      <c r="BP78" s="996"/>
      <c r="BQ78" s="996">
        <v>95.674000000000007</v>
      </c>
      <c r="BR78" s="996">
        <v>97.403000000000006</v>
      </c>
      <c r="BS78" s="996">
        <v>83.406000000000006</v>
      </c>
      <c r="BT78" s="996">
        <v>86.953999999999994</v>
      </c>
      <c r="BU78" s="996">
        <v>88.896000000000001</v>
      </c>
      <c r="BV78" s="996">
        <v>92.301000000000002</v>
      </c>
      <c r="BW78" s="996"/>
      <c r="BX78" s="996"/>
      <c r="BY78" s="996"/>
      <c r="BZ78" s="996"/>
      <c r="CA78" s="996"/>
      <c r="CB78" s="996"/>
      <c r="CC78" s="996"/>
      <c r="CD78" s="996"/>
      <c r="CE78" s="996"/>
      <c r="CF78" s="996"/>
      <c r="CG78" s="996"/>
      <c r="CH78" s="996"/>
      <c r="CI78" s="996"/>
      <c r="CJ78" s="996"/>
      <c r="CK78" s="996"/>
      <c r="CL78" s="996"/>
      <c r="CM78" s="996"/>
      <c r="CN78" s="996"/>
      <c r="CO78" s="996"/>
      <c r="CP78" s="996"/>
      <c r="CQ78" s="996"/>
      <c r="CR78" s="996"/>
      <c r="CS78" s="996"/>
      <c r="CT78" s="996"/>
      <c r="CU78" s="996"/>
      <c r="CV78" s="996"/>
      <c r="CW78" s="996"/>
      <c r="CX78" s="996"/>
      <c r="CY78" s="996"/>
      <c r="CZ78" s="996"/>
      <c r="DA78" s="996"/>
      <c r="DB78" s="996"/>
      <c r="DC78" s="996"/>
    </row>
    <row r="79" spans="1:107" hidden="1" outlineLevel="1">
      <c r="A79" s="15"/>
      <c r="B79" s="876"/>
      <c r="C79" s="15"/>
      <c r="D79" s="15"/>
      <c r="E79" s="15"/>
      <c r="F79" s="15"/>
      <c r="G79" s="15"/>
      <c r="H79" s="15"/>
      <c r="I79" s="15"/>
      <c r="J79" s="15"/>
      <c r="K79" s="783"/>
      <c r="L79" s="26"/>
      <c r="M79" s="26"/>
      <c r="N79" s="26"/>
      <c r="O79" s="1004"/>
      <c r="P79" s="1004"/>
      <c r="Q79" s="1004"/>
      <c r="R79" s="1004"/>
      <c r="S79" s="1004"/>
      <c r="T79" s="1004"/>
      <c r="U79" s="1004"/>
      <c r="V79" s="1004"/>
      <c r="W79" s="1004"/>
      <c r="X79" s="1004"/>
      <c r="Y79" s="1004"/>
      <c r="Z79" s="1004"/>
      <c r="AA79" s="1004"/>
      <c r="AB79" s="1004"/>
      <c r="AC79" s="1004"/>
      <c r="AD79" s="1004"/>
      <c r="AE79" s="15"/>
      <c r="AF79" s="789"/>
      <c r="AG79" s="789"/>
      <c r="AH79" s="789"/>
      <c r="AI79" s="789"/>
      <c r="AJ79" s="789"/>
      <c r="AK79" s="789"/>
      <c r="AL79" s="789"/>
      <c r="AM79" s="789"/>
      <c r="AN79" s="789"/>
      <c r="AO79" s="789"/>
      <c r="AP79" s="789"/>
      <c r="AQ79" s="789"/>
      <c r="AR79" s="789"/>
      <c r="AS79" s="789"/>
      <c r="AT79" s="789"/>
      <c r="AU79" s="789"/>
      <c r="AV79" s="789"/>
      <c r="AW79" s="789"/>
      <c r="AX79" s="789"/>
      <c r="AY79" s="789"/>
      <c r="AZ79" s="789"/>
      <c r="BA79" s="789"/>
      <c r="BB79" s="789"/>
      <c r="BC79" s="789"/>
      <c r="BD79" s="789"/>
      <c r="BE79" s="789"/>
      <c r="BF79" s="789"/>
      <c r="BG79" s="789"/>
      <c r="BH79" s="789"/>
      <c r="BI79" s="789"/>
      <c r="BJ79" s="789"/>
      <c r="BK79" s="789"/>
      <c r="BL79" s="789"/>
      <c r="BM79" s="789"/>
      <c r="BN79" s="789"/>
      <c r="BO79" s="789"/>
      <c r="BP79" s="789"/>
      <c r="BQ79" s="783"/>
      <c r="BR79" s="783"/>
      <c r="BS79" s="783"/>
      <c r="BT79" s="789"/>
      <c r="BU79" s="789"/>
      <c r="BV79" s="789"/>
      <c r="BW79" s="789"/>
      <c r="BX79" s="789"/>
      <c r="BY79" s="789"/>
      <c r="BZ79" s="789"/>
      <c r="CA79" s="789"/>
      <c r="CB79" s="789"/>
      <c r="CC79" s="789"/>
      <c r="CD79" s="789"/>
      <c r="CE79" s="789"/>
      <c r="CF79" s="789"/>
      <c r="CG79" s="789"/>
      <c r="CH79" s="789"/>
      <c r="CI79" s="789"/>
      <c r="CJ79" s="789"/>
      <c r="CK79" s="789"/>
      <c r="CL79" s="789"/>
      <c r="CM79" s="789"/>
      <c r="CN79" s="789"/>
      <c r="CO79" s="789"/>
      <c r="CP79" s="789"/>
      <c r="CQ79" s="789"/>
      <c r="CR79" s="789"/>
      <c r="CS79" s="789"/>
      <c r="CT79" s="789"/>
      <c r="CU79" s="789"/>
      <c r="CV79" s="789"/>
      <c r="CW79" s="789"/>
      <c r="CX79" s="789"/>
      <c r="CY79" s="789"/>
      <c r="CZ79" s="789"/>
      <c r="DA79" s="789"/>
      <c r="DB79" s="789"/>
      <c r="DC79" s="789"/>
    </row>
    <row r="80" spans="1:107" hidden="1" outlineLevel="1">
      <c r="A80" s="2197"/>
      <c r="B80" s="132" t="s">
        <v>1450</v>
      </c>
      <c r="C80" s="132"/>
      <c r="D80" s="132"/>
      <c r="E80" s="132"/>
      <c r="F80" s="132"/>
      <c r="G80" s="132"/>
      <c r="H80" s="132"/>
      <c r="I80" s="132"/>
      <c r="J80" s="132"/>
      <c r="K80" s="132"/>
      <c r="L80" s="132"/>
      <c r="M80" s="132"/>
      <c r="N80" s="132"/>
      <c r="O80" s="132"/>
      <c r="P80" s="132"/>
      <c r="Q80" s="132"/>
      <c r="R80" s="132"/>
      <c r="S80" s="132"/>
      <c r="T80" s="132"/>
      <c r="U80" s="132"/>
      <c r="V80" s="132"/>
      <c r="W80" s="132"/>
      <c r="X80" s="132"/>
      <c r="Y80" s="132"/>
      <c r="Z80" s="132"/>
      <c r="AA80" s="132"/>
      <c r="AB80" s="132"/>
      <c r="AC80" s="132"/>
      <c r="AD80" s="132"/>
      <c r="AE80" s="15"/>
      <c r="AF80" s="132"/>
      <c r="AG80" s="132"/>
      <c r="AH80" s="132"/>
      <c r="AI80" s="132"/>
      <c r="AJ80" s="132"/>
      <c r="AK80" s="132"/>
      <c r="AL80" s="132"/>
      <c r="AM80" s="132"/>
      <c r="AN80" s="132"/>
      <c r="AO80" s="132"/>
      <c r="AP80" s="132"/>
      <c r="AQ80" s="132"/>
      <c r="AR80" s="132"/>
      <c r="AS80" s="132"/>
      <c r="AT80" s="132"/>
      <c r="AU80" s="132"/>
      <c r="AV80" s="132"/>
      <c r="AW80" s="132"/>
      <c r="AX80" s="132"/>
      <c r="AY80" s="132"/>
      <c r="AZ80" s="132"/>
      <c r="BA80" s="132"/>
      <c r="BB80" s="132"/>
      <c r="BC80" s="132"/>
      <c r="BD80" s="132"/>
      <c r="BE80" s="132"/>
      <c r="BF80" s="132"/>
      <c r="BG80" s="132"/>
      <c r="BH80" s="132"/>
      <c r="BI80" s="132"/>
      <c r="BJ80" s="132"/>
      <c r="BK80" s="132"/>
      <c r="BL80" s="132"/>
      <c r="BM80" s="132"/>
      <c r="BN80" s="132"/>
      <c r="BO80" s="132"/>
      <c r="BP80" s="132"/>
      <c r="BQ80" s="132"/>
      <c r="BR80" s="132"/>
      <c r="BS80" s="132"/>
      <c r="BT80" s="132"/>
      <c r="BU80" s="132"/>
      <c r="BV80" s="132"/>
      <c r="BW80" s="132"/>
      <c r="BX80" s="132"/>
      <c r="BY80" s="132"/>
      <c r="BZ80" s="132"/>
      <c r="CA80" s="132"/>
      <c r="CB80" s="132"/>
      <c r="CC80" s="132"/>
      <c r="CD80" s="132"/>
      <c r="CE80" s="132"/>
      <c r="CF80" s="132"/>
      <c r="CG80" s="132"/>
      <c r="CH80" s="132"/>
      <c r="CI80" s="132"/>
      <c r="CJ80" s="132"/>
      <c r="CK80" s="132"/>
      <c r="CL80" s="132"/>
      <c r="CM80" s="132"/>
      <c r="CN80" s="132"/>
      <c r="CO80" s="132"/>
      <c r="CP80" s="132"/>
      <c r="CQ80" s="132"/>
      <c r="CR80" s="132"/>
      <c r="CS80" s="132"/>
      <c r="CT80" s="132"/>
      <c r="CU80" s="132"/>
      <c r="CV80" s="132"/>
      <c r="CW80" s="132"/>
      <c r="CX80" s="132"/>
      <c r="CY80" s="132"/>
      <c r="CZ80" s="132"/>
      <c r="DA80" s="132"/>
      <c r="DB80" s="132"/>
      <c r="DC80" s="132"/>
    </row>
    <row r="81" spans="1:108" hidden="1" outlineLevel="1">
      <c r="A81" s="2197"/>
      <c r="B81" s="876" t="s">
        <v>1118</v>
      </c>
      <c r="C81" s="15"/>
      <c r="D81" s="15"/>
      <c r="E81" s="15"/>
      <c r="F81" s="15"/>
      <c r="G81" s="15"/>
      <c r="H81" s="15"/>
      <c r="I81" s="15"/>
      <c r="J81" s="15"/>
      <c r="K81" s="783"/>
      <c r="L81" s="26">
        <f>BK81</f>
        <v>25</v>
      </c>
      <c r="M81" s="26">
        <f>BO81</f>
        <v>65.433000000000007</v>
      </c>
      <c r="N81" s="26">
        <f>BS81</f>
        <v>72.989999999999995</v>
      </c>
      <c r="O81" s="26">
        <f t="shared" ref="O81:Z81" si="126">N83</f>
        <v>64.558999999999997</v>
      </c>
      <c r="P81" s="26">
        <f t="shared" si="126"/>
        <v>120.315</v>
      </c>
      <c r="Q81" s="26">
        <f t="shared" si="126"/>
        <v>193.84299999999999</v>
      </c>
      <c r="R81" s="26">
        <f t="shared" si="126"/>
        <v>4.0839999999999996</v>
      </c>
      <c r="S81" s="26">
        <f t="shared" si="126"/>
        <v>1.7070000000000001</v>
      </c>
      <c r="T81" s="26">
        <f t="shared" si="126"/>
        <v>0</v>
      </c>
      <c r="U81" s="26">
        <f t="shared" si="126"/>
        <v>0</v>
      </c>
      <c r="V81" s="26">
        <f t="shared" si="126"/>
        <v>0</v>
      </c>
      <c r="W81" s="26">
        <f t="shared" si="126"/>
        <v>0</v>
      </c>
      <c r="X81" s="26">
        <f t="shared" si="126"/>
        <v>0</v>
      </c>
      <c r="Y81" s="26">
        <f t="shared" si="126"/>
        <v>0</v>
      </c>
      <c r="Z81" s="26">
        <f t="shared" si="126"/>
        <v>0</v>
      </c>
      <c r="AA81" s="26">
        <f t="shared" ref="AA81" si="127">Z83</f>
        <v>0</v>
      </c>
      <c r="AB81" s="26">
        <f t="shared" ref="AB81" si="128">AA83</f>
        <v>0</v>
      </c>
      <c r="AC81" s="26">
        <f t="shared" ref="AC81" si="129">AB83</f>
        <v>0</v>
      </c>
      <c r="AD81" s="26">
        <f t="shared" ref="AD81" si="130">AC83</f>
        <v>0</v>
      </c>
      <c r="AE81" s="15"/>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c r="BJ81" s="26">
        <v>0</v>
      </c>
      <c r="BK81" s="26">
        <f t="shared" ref="BK81:CU81" si="131">BJ83</f>
        <v>25</v>
      </c>
      <c r="BL81" s="26">
        <f t="shared" si="131"/>
        <v>25.933</v>
      </c>
      <c r="BM81" s="26">
        <f t="shared" si="131"/>
        <v>37.4</v>
      </c>
      <c r="BN81" s="26">
        <f t="shared" si="131"/>
        <v>50.343000000000004</v>
      </c>
      <c r="BO81" s="26">
        <f t="shared" si="131"/>
        <v>65.433000000000007</v>
      </c>
      <c r="BP81" s="26">
        <f t="shared" si="131"/>
        <v>87.009</v>
      </c>
      <c r="BQ81" s="26">
        <f t="shared" si="131"/>
        <v>79.525999999999996</v>
      </c>
      <c r="BR81" s="26">
        <f t="shared" si="131"/>
        <v>76.847999999999999</v>
      </c>
      <c r="BS81" s="26">
        <f t="shared" si="131"/>
        <v>72.989999999999995</v>
      </c>
      <c r="BT81" s="26">
        <f t="shared" si="131"/>
        <v>64.558999999999997</v>
      </c>
      <c r="BU81" s="26">
        <f t="shared" si="131"/>
        <v>56.881</v>
      </c>
      <c r="BV81" s="26">
        <f t="shared" si="131"/>
        <v>98.957999999999998</v>
      </c>
      <c r="BW81" s="26">
        <f t="shared" si="131"/>
        <v>111.84399999999999</v>
      </c>
      <c r="BX81" s="26">
        <f t="shared" si="131"/>
        <v>120.315</v>
      </c>
      <c r="BY81" s="26">
        <f t="shared" si="131"/>
        <v>134.72</v>
      </c>
      <c r="BZ81" s="26">
        <f t="shared" si="131"/>
        <v>192.84399999999999</v>
      </c>
      <c r="CA81" s="26">
        <f t="shared" si="131"/>
        <v>184.84399999999999</v>
      </c>
      <c r="CB81" s="26">
        <f t="shared" si="131"/>
        <v>193.84299999999999</v>
      </c>
      <c r="CC81" s="26">
        <f t="shared" si="131"/>
        <v>185.82</v>
      </c>
      <c r="CD81" s="26">
        <f t="shared" si="131"/>
        <v>184.82400000000001</v>
      </c>
      <c r="CE81" s="26">
        <f t="shared" si="131"/>
        <v>0</v>
      </c>
      <c r="CF81" s="26">
        <f t="shared" si="131"/>
        <v>4.0839999999999996</v>
      </c>
      <c r="CG81" s="26">
        <f t="shared" si="131"/>
        <v>3.5999999999999588E-2</v>
      </c>
      <c r="CH81" s="26">
        <f t="shared" si="131"/>
        <v>3.7999999999999999E-2</v>
      </c>
      <c r="CI81" s="26">
        <f t="shared" si="131"/>
        <v>6.5000000000000002E-2</v>
      </c>
      <c r="CJ81" s="26">
        <f t="shared" si="131"/>
        <v>1.7070000000000001</v>
      </c>
      <c r="CK81" s="26">
        <f t="shared" si="131"/>
        <v>1.8819999999999999</v>
      </c>
      <c r="CL81" s="26">
        <f t="shared" si="131"/>
        <v>2.048</v>
      </c>
      <c r="CM81" s="26">
        <f t="shared" si="131"/>
        <v>10.041</v>
      </c>
      <c r="CN81" s="26">
        <f t="shared" si="131"/>
        <v>0</v>
      </c>
      <c r="CO81" s="26">
        <f t="shared" si="131"/>
        <v>0</v>
      </c>
      <c r="CP81" s="26">
        <f t="shared" si="131"/>
        <v>0</v>
      </c>
      <c r="CQ81" s="26">
        <f t="shared" si="131"/>
        <v>0</v>
      </c>
      <c r="CR81" s="26">
        <f t="shared" si="131"/>
        <v>0</v>
      </c>
      <c r="CS81" s="26">
        <f t="shared" si="131"/>
        <v>0</v>
      </c>
      <c r="CT81" s="26">
        <f t="shared" si="131"/>
        <v>0</v>
      </c>
      <c r="CU81" s="26">
        <f t="shared" si="131"/>
        <v>0</v>
      </c>
      <c r="CV81" s="26">
        <f>CU83</f>
        <v>0</v>
      </c>
      <c r="CW81" s="26">
        <f>CV83</f>
        <v>0</v>
      </c>
      <c r="CX81" s="26">
        <f>CW83</f>
        <v>0</v>
      </c>
      <c r="CY81" s="26">
        <f>CX83</f>
        <v>0</v>
      </c>
      <c r="CZ81" s="26">
        <f t="shared" ref="CZ81:DC81" si="132">CY83</f>
        <v>0</v>
      </c>
      <c r="DA81" s="26">
        <f t="shared" si="132"/>
        <v>0</v>
      </c>
      <c r="DB81" s="26">
        <f t="shared" si="132"/>
        <v>0</v>
      </c>
      <c r="DC81" s="26">
        <f t="shared" si="132"/>
        <v>0</v>
      </c>
    </row>
    <row r="82" spans="1:108" hidden="1" outlineLevel="1">
      <c r="A82" s="2197"/>
      <c r="B82" s="876" t="s">
        <v>1121</v>
      </c>
      <c r="C82" s="15"/>
      <c r="D82" s="15"/>
      <c r="E82" s="15"/>
      <c r="F82" s="15"/>
      <c r="G82" s="15"/>
      <c r="H82" s="15"/>
      <c r="I82" s="15"/>
      <c r="J82" s="15"/>
      <c r="K82" s="783"/>
      <c r="L82" s="26">
        <f>BK82</f>
        <v>0.93299999999999983</v>
      </c>
      <c r="M82" s="26">
        <f t="shared" ref="M82:U82" si="133">M83-M81</f>
        <v>21.575999999999993</v>
      </c>
      <c r="N82" s="26">
        <f t="shared" si="133"/>
        <v>-8.4309999999999974</v>
      </c>
      <c r="O82" s="26">
        <f t="shared" si="133"/>
        <v>55.756</v>
      </c>
      <c r="P82" s="26">
        <f t="shared" si="133"/>
        <v>73.527999999999992</v>
      </c>
      <c r="Q82" s="26">
        <f t="shared" si="133"/>
        <v>-189.75899999999999</v>
      </c>
      <c r="R82" s="26">
        <f t="shared" si="133"/>
        <v>-2.3769999999999998</v>
      </c>
      <c r="S82" s="26">
        <f t="shared" si="133"/>
        <v>-1.7070000000000001</v>
      </c>
      <c r="T82" s="26">
        <f t="shared" si="133"/>
        <v>0</v>
      </c>
      <c r="U82" s="26">
        <f t="shared" si="133"/>
        <v>0</v>
      </c>
      <c r="V82" s="26">
        <f>V83-V81</f>
        <v>0</v>
      </c>
      <c r="W82" s="26">
        <f>W83-W81</f>
        <v>0</v>
      </c>
      <c r="X82" s="1000">
        <v>0</v>
      </c>
      <c r="Y82" s="1000">
        <v>0</v>
      </c>
      <c r="Z82" s="1000">
        <v>0</v>
      </c>
      <c r="AA82" s="1000">
        <v>0</v>
      </c>
      <c r="AB82" s="1000">
        <v>0</v>
      </c>
      <c r="AC82" s="1000">
        <v>0</v>
      </c>
      <c r="AD82" s="1000">
        <v>0</v>
      </c>
      <c r="AE82" s="15"/>
      <c r="AF82" s="783"/>
      <c r="AG82" s="783"/>
      <c r="AH82" s="783"/>
      <c r="AI82" s="783"/>
      <c r="AJ82" s="783"/>
      <c r="AK82" s="783"/>
      <c r="AL82" s="783"/>
      <c r="AM82" s="783"/>
      <c r="AN82" s="783"/>
      <c r="AO82" s="783"/>
      <c r="AP82" s="783"/>
      <c r="AQ82" s="783"/>
      <c r="AR82" s="783"/>
      <c r="AS82" s="783"/>
      <c r="AT82" s="783"/>
      <c r="AU82" s="783"/>
      <c r="AV82" s="783"/>
      <c r="AW82" s="783"/>
      <c r="AX82" s="783"/>
      <c r="AY82" s="783"/>
      <c r="AZ82" s="783"/>
      <c r="BA82" s="783"/>
      <c r="BB82" s="783"/>
      <c r="BC82" s="783"/>
      <c r="BD82" s="783"/>
      <c r="BE82" s="783"/>
      <c r="BF82" s="783"/>
      <c r="BG82" s="783"/>
      <c r="BH82" s="783"/>
      <c r="BI82" s="783"/>
      <c r="BJ82" s="398">
        <v>25</v>
      </c>
      <c r="BK82" s="398">
        <v>0.93299999999999983</v>
      </c>
      <c r="BL82" s="398">
        <v>11.466999999999999</v>
      </c>
      <c r="BM82" s="398">
        <v>12.943000000000005</v>
      </c>
      <c r="BN82" s="398">
        <v>15.09</v>
      </c>
      <c r="BO82" s="398">
        <v>21.575999999999993</v>
      </c>
      <c r="BP82" s="54">
        <f>BP83-BP81</f>
        <v>-7.4830000000000041</v>
      </c>
      <c r="BQ82" s="54">
        <f>BQ83-BQ81</f>
        <v>-2.6779999999999973</v>
      </c>
      <c r="BR82" s="398">
        <v>-3.8580000000000041</v>
      </c>
      <c r="BS82" s="398">
        <v>-8.4309999999999974</v>
      </c>
      <c r="BT82" s="398">
        <v>-7.6779999999999973</v>
      </c>
      <c r="BU82" s="1002">
        <v>42.076999999999998</v>
      </c>
      <c r="BV82" s="398">
        <v>12.885999999999996</v>
      </c>
      <c r="BW82" s="398">
        <v>8.4710000000000036</v>
      </c>
      <c r="BX82" s="398">
        <v>14.404999999999999</v>
      </c>
      <c r="BY82" s="398">
        <f>192.844-BX83</f>
        <v>58.123999999999995</v>
      </c>
      <c r="BZ82" s="398">
        <f>184.844-BY83</f>
        <v>-8</v>
      </c>
      <c r="CA82" s="398">
        <f>193.843-BZ83</f>
        <v>8.9989999999999952</v>
      </c>
      <c r="CB82" s="398">
        <f>185.82-CA83</f>
        <v>-8.0229999999999961</v>
      </c>
      <c r="CC82" s="398">
        <f>184.824-CB83</f>
        <v>-0.9959999999999809</v>
      </c>
      <c r="CD82" s="398">
        <f>-CD81</f>
        <v>-184.82400000000001</v>
      </c>
      <c r="CE82" s="398">
        <v>4.0839999999999996</v>
      </c>
      <c r="CF82" s="398">
        <f>0.036-CE83</f>
        <v>-4.048</v>
      </c>
      <c r="CG82" s="398">
        <f>0.038-CF83</f>
        <v>2.0000000000004112E-3</v>
      </c>
      <c r="CH82" s="398">
        <f>0.065-CG83</f>
        <v>2.7000000000000003E-2</v>
      </c>
      <c r="CI82" s="398">
        <f>1.707-CH83</f>
        <v>1.6420000000000001</v>
      </c>
      <c r="CJ82" s="398">
        <f>1.882-CI83</f>
        <v>0.17499999999999982</v>
      </c>
      <c r="CK82" s="398">
        <f>2.048-CJ83</f>
        <v>0.16600000000000015</v>
      </c>
      <c r="CL82" s="398">
        <f>10.041-CK83</f>
        <v>7.9930000000000003</v>
      </c>
      <c r="CM82" s="398">
        <f>-CM81</f>
        <v>-10.041</v>
      </c>
      <c r="CN82" s="398"/>
      <c r="CO82" s="398"/>
      <c r="CP82" s="398"/>
      <c r="CQ82" s="398"/>
      <c r="CR82" s="398"/>
      <c r="CS82" s="398"/>
      <c r="CT82" s="398"/>
      <c r="CU82" s="398"/>
      <c r="CV82" s="398"/>
      <c r="CW82" s="398"/>
      <c r="CX82" s="398"/>
      <c r="CY82" s="398"/>
      <c r="CZ82" s="398"/>
      <c r="DA82" s="398"/>
      <c r="DB82" s="398"/>
      <c r="DC82" s="398"/>
    </row>
    <row r="83" spans="1:108" ht="12.75" hidden="1" customHeight="1" outlineLevel="1">
      <c r="A83" s="2197"/>
      <c r="B83" s="876" t="s">
        <v>261</v>
      </c>
      <c r="C83" s="15"/>
      <c r="D83" s="15"/>
      <c r="E83" s="15"/>
      <c r="F83" s="15"/>
      <c r="G83" s="15"/>
      <c r="H83" s="15"/>
      <c r="I83" s="15"/>
      <c r="J83" s="15"/>
      <c r="K83" s="783"/>
      <c r="L83" s="26">
        <f>BK83</f>
        <v>25.933</v>
      </c>
      <c r="M83" s="26">
        <f>BO83</f>
        <v>87.009</v>
      </c>
      <c r="N83" s="26">
        <f>BS83</f>
        <v>64.558999999999997</v>
      </c>
      <c r="O83" s="26">
        <f>BW83</f>
        <v>120.315</v>
      </c>
      <c r="P83" s="26">
        <f>CA83</f>
        <v>193.84299999999999</v>
      </c>
      <c r="Q83" s="26">
        <f>CE83</f>
        <v>4.0839999999999996</v>
      </c>
      <c r="R83" s="26">
        <f>CI83</f>
        <v>1.7070000000000001</v>
      </c>
      <c r="S83" s="26">
        <f>CM83</f>
        <v>0</v>
      </c>
      <c r="T83" s="26">
        <f>CQ83</f>
        <v>0</v>
      </c>
      <c r="U83" s="26">
        <f>CR83</f>
        <v>0</v>
      </c>
      <c r="V83" s="26">
        <f>CS83</f>
        <v>0</v>
      </c>
      <c r="W83" s="26">
        <f>CT83</f>
        <v>0</v>
      </c>
      <c r="X83" s="26">
        <f>SUM(X81:X82)</f>
        <v>0</v>
      </c>
      <c r="Y83" s="26">
        <f>SUM(Y81:Y82)</f>
        <v>0</v>
      </c>
      <c r="Z83" s="26">
        <f>SUM(Z81:Z82)</f>
        <v>0</v>
      </c>
      <c r="AA83" s="26">
        <f t="shared" ref="AA83:AD83" si="134">SUM(AA81:AA82)</f>
        <v>0</v>
      </c>
      <c r="AB83" s="26">
        <f t="shared" si="134"/>
        <v>0</v>
      </c>
      <c r="AC83" s="26">
        <f t="shared" si="134"/>
        <v>0</v>
      </c>
      <c r="AD83" s="26">
        <f t="shared" si="134"/>
        <v>0</v>
      </c>
      <c r="AE83" s="15"/>
      <c r="AF83" s="54"/>
      <c r="AG83" s="54"/>
      <c r="AH83" s="54"/>
      <c r="AI83" s="54"/>
      <c r="AJ83" s="54"/>
      <c r="AK83" s="54"/>
      <c r="AL83" s="54"/>
      <c r="AM83" s="54"/>
      <c r="AN83" s="54"/>
      <c r="AO83" s="54"/>
      <c r="AP83" s="54"/>
      <c r="AQ83" s="54"/>
      <c r="AR83" s="54"/>
      <c r="AS83" s="54"/>
      <c r="AT83" s="54"/>
      <c r="AU83" s="54"/>
      <c r="AV83" s="54"/>
      <c r="AW83" s="54"/>
      <c r="AX83" s="54"/>
      <c r="AY83" s="54"/>
      <c r="AZ83" s="54"/>
      <c r="BA83" s="54"/>
      <c r="BB83" s="54"/>
      <c r="BC83" s="54"/>
      <c r="BD83" s="54"/>
      <c r="BE83" s="54"/>
      <c r="BF83" s="54"/>
      <c r="BG83" s="54"/>
      <c r="BH83" s="54"/>
      <c r="BI83" s="54"/>
      <c r="BJ83" s="54">
        <f t="shared" ref="BJ83:BO83" si="135">SUM(BJ81:BJ82)</f>
        <v>25</v>
      </c>
      <c r="BK83" s="54">
        <f t="shared" si="135"/>
        <v>25.933</v>
      </c>
      <c r="BL83" s="54">
        <f t="shared" si="135"/>
        <v>37.4</v>
      </c>
      <c r="BM83" s="54">
        <f t="shared" si="135"/>
        <v>50.343000000000004</v>
      </c>
      <c r="BN83" s="54">
        <f t="shared" si="135"/>
        <v>65.433000000000007</v>
      </c>
      <c r="BO83" s="54">
        <f t="shared" si="135"/>
        <v>87.009</v>
      </c>
      <c r="BP83" s="398">
        <v>79.525999999999996</v>
      </c>
      <c r="BQ83" s="398">
        <v>76.847999999999999</v>
      </c>
      <c r="BR83" s="54">
        <f t="shared" ref="BR83:CT83" si="136">SUM(BR81:BR82)</f>
        <v>72.989999999999995</v>
      </c>
      <c r="BS83" s="54">
        <f t="shared" si="136"/>
        <v>64.558999999999997</v>
      </c>
      <c r="BT83" s="54">
        <f t="shared" si="136"/>
        <v>56.881</v>
      </c>
      <c r="BU83" s="54">
        <f t="shared" si="136"/>
        <v>98.957999999999998</v>
      </c>
      <c r="BV83" s="391">
        <f t="shared" si="136"/>
        <v>111.84399999999999</v>
      </c>
      <c r="BW83" s="391">
        <f t="shared" si="136"/>
        <v>120.315</v>
      </c>
      <c r="BX83" s="391">
        <f t="shared" si="136"/>
        <v>134.72</v>
      </c>
      <c r="BY83" s="54">
        <f t="shared" si="136"/>
        <v>192.84399999999999</v>
      </c>
      <c r="BZ83" s="54">
        <f t="shared" si="136"/>
        <v>184.84399999999999</v>
      </c>
      <c r="CA83" s="54">
        <f t="shared" si="136"/>
        <v>193.84299999999999</v>
      </c>
      <c r="CB83" s="54">
        <f t="shared" si="136"/>
        <v>185.82</v>
      </c>
      <c r="CC83" s="54">
        <f t="shared" si="136"/>
        <v>184.82400000000001</v>
      </c>
      <c r="CD83" s="54">
        <f t="shared" si="136"/>
        <v>0</v>
      </c>
      <c r="CE83" s="54">
        <f t="shared" si="136"/>
        <v>4.0839999999999996</v>
      </c>
      <c r="CF83" s="54">
        <f t="shared" si="136"/>
        <v>3.5999999999999588E-2</v>
      </c>
      <c r="CG83" s="54">
        <f t="shared" si="136"/>
        <v>3.7999999999999999E-2</v>
      </c>
      <c r="CH83" s="54">
        <f t="shared" si="136"/>
        <v>6.5000000000000002E-2</v>
      </c>
      <c r="CI83" s="54">
        <f t="shared" si="136"/>
        <v>1.7070000000000001</v>
      </c>
      <c r="CJ83" s="54">
        <f t="shared" si="136"/>
        <v>1.8819999999999999</v>
      </c>
      <c r="CK83" s="54">
        <f t="shared" si="136"/>
        <v>2.048</v>
      </c>
      <c r="CL83" s="54">
        <f t="shared" si="136"/>
        <v>10.041</v>
      </c>
      <c r="CM83" s="54">
        <f t="shared" si="136"/>
        <v>0</v>
      </c>
      <c r="CN83" s="54">
        <f t="shared" si="136"/>
        <v>0</v>
      </c>
      <c r="CO83" s="54">
        <f t="shared" si="136"/>
        <v>0</v>
      </c>
      <c r="CP83" s="54">
        <f t="shared" si="136"/>
        <v>0</v>
      </c>
      <c r="CQ83" s="54">
        <f>SUM(CQ81:CQ82)</f>
        <v>0</v>
      </c>
      <c r="CR83" s="54">
        <f t="shared" si="136"/>
        <v>0</v>
      </c>
      <c r="CS83" s="54">
        <f t="shared" si="136"/>
        <v>0</v>
      </c>
      <c r="CT83" s="54">
        <f t="shared" si="136"/>
        <v>0</v>
      </c>
      <c r="CU83" s="54">
        <f>SUM(CU81:CU82)</f>
        <v>0</v>
      </c>
      <c r="CV83" s="54">
        <f>SUM(CV81:CV82)</f>
        <v>0</v>
      </c>
      <c r="CW83" s="54">
        <f>SUM(CW81:CW82)</f>
        <v>0</v>
      </c>
      <c r="CX83" s="54">
        <f>SUM(CX81:CX82)</f>
        <v>0</v>
      </c>
      <c r="CY83" s="54">
        <f>SUM(CY81:CY82)</f>
        <v>0</v>
      </c>
      <c r="CZ83" s="54">
        <f t="shared" ref="CZ83:DC83" si="137">SUM(CZ81:CZ82)</f>
        <v>0</v>
      </c>
      <c r="DA83" s="54">
        <f t="shared" si="137"/>
        <v>0</v>
      </c>
      <c r="DB83" s="54">
        <f t="shared" si="137"/>
        <v>0</v>
      </c>
      <c r="DC83" s="54">
        <f t="shared" si="137"/>
        <v>0</v>
      </c>
    </row>
    <row r="84" spans="1:108" hidden="1" outlineLevel="1">
      <c r="A84" s="2197"/>
      <c r="B84" s="876" t="s">
        <v>262</v>
      </c>
      <c r="C84" s="15"/>
      <c r="D84" s="15"/>
      <c r="E84" s="15"/>
      <c r="F84" s="15"/>
      <c r="G84" s="15"/>
      <c r="H84" s="15"/>
      <c r="I84" s="15"/>
      <c r="J84" s="15"/>
      <c r="K84" s="789"/>
      <c r="L84" s="26"/>
      <c r="M84" s="26"/>
      <c r="N84" s="26"/>
      <c r="O84" s="15"/>
      <c r="P84" s="15"/>
      <c r="Q84" s="15"/>
      <c r="R84" s="15"/>
      <c r="S84" s="15"/>
      <c r="T84" s="15"/>
      <c r="U84" s="15"/>
      <c r="V84" s="15"/>
      <c r="W84" s="15"/>
      <c r="X84" s="15"/>
      <c r="Y84" s="15"/>
      <c r="Z84" s="15"/>
      <c r="AA84" s="15"/>
      <c r="AB84" s="15"/>
      <c r="AC84" s="15"/>
      <c r="AD84" s="15"/>
      <c r="AE84" s="15"/>
      <c r="AF84" s="789"/>
      <c r="AG84" s="789"/>
      <c r="AH84" s="789"/>
      <c r="AI84" s="789"/>
      <c r="AJ84" s="789"/>
      <c r="AK84" s="789"/>
      <c r="AL84" s="789"/>
      <c r="AM84" s="789"/>
      <c r="AN84" s="789"/>
      <c r="AO84" s="789"/>
      <c r="AP84" s="789"/>
      <c r="AQ84" s="789"/>
      <c r="AR84" s="789"/>
      <c r="AS84" s="789"/>
      <c r="AT84" s="789"/>
      <c r="AU84" s="789"/>
      <c r="AV84" s="789"/>
      <c r="AW84" s="789"/>
      <c r="AX84" s="789"/>
      <c r="AY84" s="789"/>
      <c r="AZ84" s="789"/>
      <c r="BA84" s="789"/>
      <c r="BB84" s="789"/>
      <c r="BC84" s="789"/>
      <c r="BD84" s="789"/>
      <c r="BE84" s="789"/>
      <c r="BF84" s="789"/>
      <c r="BG84" s="789"/>
      <c r="BH84" s="789"/>
      <c r="BI84" s="789"/>
      <c r="BJ84" s="789"/>
      <c r="BK84" s="789"/>
      <c r="BL84" s="789"/>
      <c r="BM84" s="789"/>
      <c r="BN84" s="789"/>
      <c r="BO84" s="398">
        <v>77.382000000000005</v>
      </c>
      <c r="BP84" s="398"/>
      <c r="BQ84" s="398">
        <v>71.555999999999997</v>
      </c>
      <c r="BR84" s="398">
        <v>67.5</v>
      </c>
      <c r="BS84" s="398">
        <v>60.826999999999998</v>
      </c>
      <c r="BT84" s="398">
        <v>54.246000000000002</v>
      </c>
      <c r="BU84" s="398">
        <v>94.984999999999999</v>
      </c>
      <c r="BV84" s="398">
        <v>114.062</v>
      </c>
      <c r="BW84" s="398">
        <v>126.958</v>
      </c>
      <c r="BX84" s="789"/>
      <c r="BY84" s="789"/>
      <c r="BZ84" s="789"/>
      <c r="CA84" s="789"/>
      <c r="CB84" s="789"/>
      <c r="CC84" s="789"/>
      <c r="CD84" s="789"/>
      <c r="CE84" s="789"/>
      <c r="CF84" s="789"/>
      <c r="CG84" s="789"/>
      <c r="CH84" s="789"/>
      <c r="CI84" s="789"/>
      <c r="CJ84" s="789"/>
      <c r="CK84" s="789"/>
      <c r="CL84" s="789"/>
      <c r="CM84" s="789"/>
      <c r="CN84" s="789"/>
      <c r="CO84" s="789"/>
      <c r="CP84" s="789"/>
      <c r="CQ84" s="789"/>
      <c r="CR84" s="789"/>
      <c r="CS84" s="789"/>
      <c r="CT84" s="789"/>
      <c r="CU84" s="789"/>
      <c r="CV84" s="789"/>
      <c r="CW84" s="789"/>
      <c r="CX84" s="789"/>
      <c r="CY84" s="789"/>
      <c r="CZ84" s="789"/>
      <c r="DA84" s="789"/>
      <c r="DB84" s="789"/>
      <c r="DC84" s="789"/>
    </row>
    <row r="85" spans="1:108" hidden="1" outlineLevel="1">
      <c r="A85" s="15"/>
      <c r="B85" s="876"/>
      <c r="C85" s="15"/>
      <c r="D85" s="15"/>
      <c r="E85" s="15"/>
      <c r="F85" s="15"/>
      <c r="G85" s="15"/>
      <c r="H85" s="15"/>
      <c r="I85" s="15"/>
      <c r="J85" s="15"/>
      <c r="K85" s="789"/>
      <c r="L85" s="26"/>
      <c r="M85" s="26"/>
      <c r="N85" s="26"/>
      <c r="O85" s="15"/>
      <c r="P85" s="15"/>
      <c r="Q85" s="15"/>
      <c r="R85" s="15"/>
      <c r="S85" s="15"/>
      <c r="T85" s="15"/>
      <c r="U85" s="15"/>
      <c r="V85" s="15"/>
      <c r="W85" s="15"/>
      <c r="X85" s="15"/>
      <c r="Y85" s="15"/>
      <c r="Z85" s="15"/>
      <c r="AA85" s="15"/>
      <c r="AB85" s="15"/>
      <c r="AC85" s="15"/>
      <c r="AD85" s="15"/>
      <c r="AE85" s="15"/>
      <c r="AF85" s="789"/>
      <c r="AG85" s="789"/>
      <c r="AH85" s="789"/>
      <c r="AI85" s="789"/>
      <c r="AJ85" s="789"/>
      <c r="AK85" s="789"/>
      <c r="AL85" s="789"/>
      <c r="AM85" s="789"/>
      <c r="AN85" s="789"/>
      <c r="AO85" s="789"/>
      <c r="AP85" s="789"/>
      <c r="AQ85" s="789"/>
      <c r="AR85" s="789"/>
      <c r="AS85" s="789"/>
      <c r="AT85" s="789"/>
      <c r="AU85" s="789"/>
      <c r="AV85" s="789"/>
      <c r="AW85" s="789"/>
      <c r="AX85" s="789"/>
      <c r="AY85" s="789"/>
      <c r="AZ85" s="789"/>
      <c r="BA85" s="789"/>
      <c r="BB85" s="789"/>
      <c r="BC85" s="789"/>
      <c r="BD85" s="789"/>
      <c r="BE85" s="789"/>
      <c r="BF85" s="789"/>
      <c r="BG85" s="789"/>
      <c r="BH85" s="789"/>
      <c r="BI85" s="789"/>
      <c r="BJ85" s="789"/>
      <c r="BK85" s="789"/>
      <c r="BL85" s="789"/>
      <c r="BM85" s="789"/>
      <c r="BN85" s="789"/>
      <c r="BO85" s="398"/>
      <c r="BP85" s="398"/>
      <c r="BQ85" s="398"/>
      <c r="BR85" s="398"/>
      <c r="BS85" s="398"/>
      <c r="BT85" s="398"/>
      <c r="BU85" s="398"/>
      <c r="BV85" s="398"/>
      <c r="BW85" s="398"/>
      <c r="BX85" s="789"/>
      <c r="BY85" s="789"/>
      <c r="BZ85" s="789"/>
      <c r="CA85" s="789"/>
      <c r="CB85" s="789"/>
      <c r="CC85" s="789"/>
      <c r="CD85" s="789"/>
      <c r="CE85" s="789"/>
      <c r="CF85" s="789"/>
      <c r="CG85" s="789"/>
      <c r="CH85" s="789"/>
      <c r="CI85" s="789"/>
      <c r="CJ85" s="789"/>
      <c r="CK85" s="789"/>
      <c r="CL85" s="789"/>
      <c r="CM85" s="789"/>
      <c r="CN85" s="789"/>
      <c r="CO85" s="789"/>
      <c r="CP85" s="789"/>
      <c r="CQ85" s="789"/>
      <c r="CR85" s="789"/>
      <c r="CS85" s="789"/>
      <c r="CT85" s="789"/>
      <c r="CU85" s="789"/>
      <c r="CV85" s="789"/>
      <c r="CW85" s="789"/>
      <c r="CX85" s="789"/>
      <c r="CY85" s="789"/>
      <c r="CZ85" s="789"/>
      <c r="DA85" s="789"/>
      <c r="DB85" s="789"/>
      <c r="DC85" s="789"/>
    </row>
    <row r="86" spans="1:108" hidden="1" outlineLevel="1">
      <c r="A86" s="2197"/>
      <c r="B86" s="2044" t="s">
        <v>1831</v>
      </c>
      <c r="C86" s="132"/>
      <c r="D86" s="132"/>
      <c r="E86" s="132"/>
      <c r="F86" s="132"/>
      <c r="G86" s="132"/>
      <c r="H86" s="132"/>
      <c r="I86" s="132"/>
      <c r="J86" s="132"/>
      <c r="K86" s="132"/>
      <c r="L86" s="132"/>
      <c r="M86" s="132"/>
      <c r="N86" s="132"/>
      <c r="O86" s="132"/>
      <c r="P86" s="132"/>
      <c r="Q86" s="132"/>
      <c r="R86" s="132"/>
      <c r="S86" s="132"/>
      <c r="T86" s="132"/>
      <c r="U86" s="132"/>
      <c r="V86" s="132"/>
      <c r="W86" s="132"/>
      <c r="X86" s="132"/>
      <c r="Y86" s="132"/>
      <c r="Z86" s="132"/>
      <c r="AA86" s="132"/>
      <c r="AB86" s="132"/>
      <c r="AC86" s="132"/>
      <c r="AD86" s="132"/>
      <c r="AE86" s="15"/>
      <c r="AF86" s="132"/>
      <c r="AG86" s="132"/>
      <c r="AH86" s="132"/>
      <c r="AI86" s="132"/>
      <c r="AJ86" s="132"/>
      <c r="AK86" s="132"/>
      <c r="AL86" s="132"/>
      <c r="AM86" s="132"/>
      <c r="AN86" s="132"/>
      <c r="AO86" s="132"/>
      <c r="AP86" s="132"/>
      <c r="AQ86" s="132"/>
      <c r="AR86" s="132"/>
      <c r="AS86" s="132"/>
      <c r="AT86" s="132"/>
      <c r="AU86" s="132"/>
      <c r="AV86" s="132"/>
      <c r="AW86" s="132"/>
      <c r="AX86" s="132"/>
      <c r="AY86" s="132"/>
      <c r="AZ86" s="132"/>
      <c r="BA86" s="132"/>
      <c r="BB86" s="132"/>
      <c r="BC86" s="132"/>
      <c r="BD86" s="132"/>
      <c r="BE86" s="132"/>
      <c r="BF86" s="132"/>
      <c r="BG86" s="132"/>
      <c r="BH86" s="132"/>
      <c r="BI86" s="132"/>
      <c r="BJ86" s="132"/>
      <c r="BK86" s="132"/>
      <c r="BL86" s="132"/>
      <c r="BM86" s="132"/>
      <c r="BN86" s="132"/>
      <c r="BO86" s="132"/>
      <c r="BP86" s="132"/>
      <c r="BQ86" s="132"/>
      <c r="BR86" s="132"/>
      <c r="BS86" s="132"/>
      <c r="BT86" s="132"/>
      <c r="BU86" s="132"/>
      <c r="BV86" s="132"/>
      <c r="BW86" s="132"/>
      <c r="BX86" s="132"/>
      <c r="BY86" s="132"/>
      <c r="BZ86" s="132"/>
      <c r="CA86" s="132"/>
      <c r="CB86" s="132"/>
      <c r="CC86" s="132"/>
      <c r="CD86" s="132"/>
      <c r="CE86" s="132"/>
      <c r="CF86" s="132"/>
      <c r="CG86" s="132"/>
      <c r="CH86" s="132"/>
      <c r="CI86" s="132"/>
      <c r="CJ86" s="132"/>
      <c r="CK86" s="132"/>
      <c r="CL86" s="132"/>
      <c r="CM86" s="132"/>
      <c r="CN86" s="132"/>
      <c r="CO86" s="132"/>
      <c r="CP86" s="132"/>
      <c r="CQ86" s="132"/>
      <c r="CR86" s="132"/>
      <c r="CS86" s="132"/>
      <c r="CT86" s="132"/>
      <c r="CU86" s="132"/>
      <c r="CV86" s="132"/>
      <c r="CW86" s="132"/>
      <c r="CX86" s="132"/>
      <c r="CY86" s="132"/>
      <c r="CZ86" s="132"/>
      <c r="DA86" s="132"/>
      <c r="DB86" s="132"/>
      <c r="DC86" s="132"/>
    </row>
    <row r="87" spans="1:108" hidden="1" outlineLevel="1">
      <c r="A87" s="2197"/>
      <c r="B87" s="2045" t="s">
        <v>1118</v>
      </c>
      <c r="C87" s="15"/>
      <c r="D87" s="15"/>
      <c r="E87" s="15"/>
      <c r="F87" s="15"/>
      <c r="G87" s="15"/>
      <c r="H87" s="15"/>
      <c r="I87" s="15"/>
      <c r="J87" s="15"/>
      <c r="K87" s="783"/>
      <c r="L87" s="26">
        <f>BK87</f>
        <v>0</v>
      </c>
      <c r="M87" s="26">
        <f>BO87</f>
        <v>0</v>
      </c>
      <c r="N87" s="26">
        <f>BS87</f>
        <v>0</v>
      </c>
      <c r="O87" s="26">
        <f>N89</f>
        <v>0</v>
      </c>
      <c r="P87" s="26">
        <f>O89</f>
        <v>0</v>
      </c>
      <c r="Q87" s="26">
        <f>P89</f>
        <v>0</v>
      </c>
      <c r="R87" s="26">
        <f>CI87</f>
        <v>0</v>
      </c>
      <c r="S87" s="26">
        <f>CM87</f>
        <v>0</v>
      </c>
      <c r="T87" s="26">
        <f>CN87</f>
        <v>0</v>
      </c>
      <c r="U87" s="26">
        <f>CO87</f>
        <v>0</v>
      </c>
      <c r="V87" s="26">
        <f>CP87</f>
        <v>0</v>
      </c>
      <c r="W87" s="26">
        <f>CQ87</f>
        <v>0</v>
      </c>
      <c r="X87" s="26">
        <f>W89</f>
        <v>0</v>
      </c>
      <c r="Y87" s="26">
        <f>X89</f>
        <v>0</v>
      </c>
      <c r="Z87" s="26">
        <f>Y89</f>
        <v>0</v>
      </c>
      <c r="AA87" s="26">
        <f t="shared" ref="AA87:AD87" si="138">Z89</f>
        <v>0</v>
      </c>
      <c r="AB87" s="26">
        <f t="shared" si="138"/>
        <v>0</v>
      </c>
      <c r="AC87" s="26">
        <f t="shared" si="138"/>
        <v>0</v>
      </c>
      <c r="AD87" s="26">
        <f t="shared" si="138"/>
        <v>0</v>
      </c>
      <c r="AE87" s="15"/>
      <c r="AF87" s="26"/>
      <c r="AG87" s="26"/>
      <c r="AH87" s="26"/>
      <c r="AI87" s="26"/>
      <c r="AJ87" s="26"/>
      <c r="AK87" s="26"/>
      <c r="AL87" s="26"/>
      <c r="AM87" s="26"/>
      <c r="AN87" s="26"/>
      <c r="AO87" s="26"/>
      <c r="AP87" s="26"/>
      <c r="AQ87" s="26"/>
      <c r="AR87" s="26"/>
      <c r="AS87" s="26"/>
      <c r="AT87" s="26"/>
      <c r="AU87" s="26"/>
      <c r="AV87" s="26"/>
      <c r="AW87" s="26"/>
      <c r="AX87" s="26"/>
      <c r="AY87" s="26"/>
      <c r="AZ87" s="26"/>
      <c r="BA87" s="26"/>
      <c r="BB87" s="26"/>
      <c r="BC87" s="26"/>
      <c r="BD87" s="26"/>
      <c r="BE87" s="26"/>
      <c r="BF87" s="26"/>
      <c r="BG87" s="26"/>
      <c r="BH87" s="26"/>
      <c r="BI87" s="26"/>
      <c r="BJ87" s="26"/>
      <c r="BK87" s="26"/>
      <c r="BL87" s="26"/>
      <c r="BM87" s="26"/>
      <c r="BN87" s="26"/>
      <c r="BO87" s="26"/>
      <c r="BP87" s="26"/>
      <c r="BQ87" s="26"/>
      <c r="BR87" s="26"/>
      <c r="BS87" s="26"/>
      <c r="BT87" s="26"/>
      <c r="BU87" s="26"/>
      <c r="BV87" s="26"/>
      <c r="BW87" s="26"/>
      <c r="BX87" s="26"/>
      <c r="BY87" s="26"/>
      <c r="BZ87" s="26">
        <f t="shared" ref="BZ87:CU87" si="139">BY89</f>
        <v>0</v>
      </c>
      <c r="CA87" s="26">
        <f t="shared" si="139"/>
        <v>0</v>
      </c>
      <c r="CB87" s="26">
        <f t="shared" si="139"/>
        <v>0</v>
      </c>
      <c r="CC87" s="26">
        <f t="shared" si="139"/>
        <v>0</v>
      </c>
      <c r="CD87" s="26">
        <f t="shared" si="139"/>
        <v>0</v>
      </c>
      <c r="CE87" s="26">
        <f t="shared" si="139"/>
        <v>0</v>
      </c>
      <c r="CF87" s="26">
        <f t="shared" si="139"/>
        <v>0</v>
      </c>
      <c r="CG87" s="26">
        <f t="shared" si="139"/>
        <v>0</v>
      </c>
      <c r="CH87" s="26">
        <f t="shared" si="139"/>
        <v>0</v>
      </c>
      <c r="CI87" s="26">
        <f t="shared" si="139"/>
        <v>0</v>
      </c>
      <c r="CJ87" s="26">
        <f t="shared" si="139"/>
        <v>0</v>
      </c>
      <c r="CK87" s="26">
        <f t="shared" si="139"/>
        <v>0</v>
      </c>
      <c r="CL87" s="26">
        <f t="shared" si="139"/>
        <v>0</v>
      </c>
      <c r="CM87" s="26">
        <f t="shared" si="139"/>
        <v>0</v>
      </c>
      <c r="CN87" s="26">
        <f t="shared" si="139"/>
        <v>0</v>
      </c>
      <c r="CO87" s="26">
        <f t="shared" si="139"/>
        <v>0</v>
      </c>
      <c r="CP87" s="26">
        <f t="shared" si="139"/>
        <v>0</v>
      </c>
      <c r="CQ87" s="26">
        <f t="shared" si="139"/>
        <v>0</v>
      </c>
      <c r="CR87" s="26">
        <f t="shared" si="139"/>
        <v>0</v>
      </c>
      <c r="CS87" s="26">
        <f t="shared" si="139"/>
        <v>0</v>
      </c>
      <c r="CT87" s="26">
        <f t="shared" si="139"/>
        <v>0</v>
      </c>
      <c r="CU87" s="26">
        <f t="shared" si="139"/>
        <v>0</v>
      </c>
      <c r="CV87" s="26">
        <f>CU89</f>
        <v>0</v>
      </c>
      <c r="CW87" s="26">
        <f>CV89</f>
        <v>0</v>
      </c>
      <c r="CX87" s="26">
        <f>CW89</f>
        <v>0</v>
      </c>
      <c r="CY87" s="26">
        <f>CX89</f>
        <v>0</v>
      </c>
      <c r="CZ87" s="26">
        <f t="shared" ref="CZ87:DC87" si="140">CY89</f>
        <v>0</v>
      </c>
      <c r="DA87" s="26">
        <f t="shared" si="140"/>
        <v>0</v>
      </c>
      <c r="DB87" s="26">
        <f t="shared" si="140"/>
        <v>0</v>
      </c>
      <c r="DC87" s="26">
        <f t="shared" si="140"/>
        <v>0</v>
      </c>
    </row>
    <row r="88" spans="1:108" hidden="1" outlineLevel="1">
      <c r="A88" s="2197"/>
      <c r="B88" s="2045" t="s">
        <v>1121</v>
      </c>
      <c r="C88" s="15"/>
      <c r="D88" s="15"/>
      <c r="E88" s="15"/>
      <c r="F88" s="15"/>
      <c r="G88" s="15"/>
      <c r="H88" s="15"/>
      <c r="I88" s="15"/>
      <c r="J88" s="15"/>
      <c r="K88" s="783"/>
      <c r="L88" s="26">
        <f>BK88</f>
        <v>0</v>
      </c>
      <c r="M88" s="26">
        <f t="shared" ref="M88:U88" si="141">M89-M87</f>
        <v>0</v>
      </c>
      <c r="N88" s="26">
        <f t="shared" si="141"/>
        <v>0</v>
      </c>
      <c r="O88" s="26">
        <f t="shared" si="141"/>
        <v>0</v>
      </c>
      <c r="P88" s="26">
        <f t="shared" si="141"/>
        <v>0</v>
      </c>
      <c r="Q88" s="26">
        <f t="shared" si="141"/>
        <v>0</v>
      </c>
      <c r="R88" s="26">
        <f t="shared" si="141"/>
        <v>0</v>
      </c>
      <c r="S88" s="26">
        <f t="shared" si="141"/>
        <v>0</v>
      </c>
      <c r="T88" s="26">
        <f t="shared" si="141"/>
        <v>0</v>
      </c>
      <c r="U88" s="26">
        <f t="shared" si="141"/>
        <v>0</v>
      </c>
      <c r="V88" s="26">
        <f>V89-V87</f>
        <v>0</v>
      </c>
      <c r="W88" s="26">
        <f>W89-W87</f>
        <v>0</v>
      </c>
      <c r="X88" s="1000">
        <v>0</v>
      </c>
      <c r="Y88" s="1000">
        <v>0</v>
      </c>
      <c r="Z88" s="1000">
        <v>0</v>
      </c>
      <c r="AA88" s="1000">
        <v>0</v>
      </c>
      <c r="AB88" s="1000">
        <v>0</v>
      </c>
      <c r="AC88" s="1000">
        <v>0</v>
      </c>
      <c r="AD88" s="1000">
        <v>0</v>
      </c>
      <c r="AE88" s="15"/>
      <c r="AF88" s="783"/>
      <c r="AG88" s="783"/>
      <c r="AH88" s="783"/>
      <c r="AI88" s="783"/>
      <c r="AJ88" s="783"/>
      <c r="AK88" s="783"/>
      <c r="AL88" s="783"/>
      <c r="AM88" s="783"/>
      <c r="AN88" s="783"/>
      <c r="AO88" s="783"/>
      <c r="AP88" s="783"/>
      <c r="AQ88" s="783"/>
      <c r="AR88" s="783"/>
      <c r="AS88" s="783"/>
      <c r="AT88" s="783"/>
      <c r="AU88" s="783"/>
      <c r="AV88" s="783"/>
      <c r="AW88" s="783"/>
      <c r="AX88" s="783"/>
      <c r="AY88" s="783"/>
      <c r="AZ88" s="783"/>
      <c r="BA88" s="783"/>
      <c r="BB88" s="783"/>
      <c r="BC88" s="783"/>
      <c r="BD88" s="783"/>
      <c r="BE88" s="783"/>
      <c r="BF88" s="783"/>
      <c r="BG88" s="783"/>
      <c r="BH88" s="783"/>
      <c r="BI88" s="783"/>
      <c r="BJ88" s="398"/>
      <c r="BK88" s="398"/>
      <c r="BL88" s="398"/>
      <c r="BM88" s="398"/>
      <c r="BN88" s="398"/>
      <c r="BO88" s="398"/>
      <c r="BP88" s="54"/>
      <c r="BQ88" s="54"/>
      <c r="BR88" s="398"/>
      <c r="BS88" s="398"/>
      <c r="BT88" s="398"/>
      <c r="BU88" s="1002"/>
      <c r="BV88" s="398"/>
      <c r="BW88" s="398"/>
      <c r="BX88" s="398"/>
      <c r="BY88" s="398"/>
      <c r="BZ88" s="398"/>
      <c r="CA88" s="398"/>
      <c r="CB88" s="398"/>
      <c r="CC88" s="398">
        <f t="shared" ref="CC88:CU88" si="142">CB88</f>
        <v>0</v>
      </c>
      <c r="CD88" s="398">
        <f t="shared" si="142"/>
        <v>0</v>
      </c>
      <c r="CE88" s="398">
        <f t="shared" si="142"/>
        <v>0</v>
      </c>
      <c r="CF88" s="398">
        <f t="shared" si="142"/>
        <v>0</v>
      </c>
      <c r="CG88" s="398">
        <f t="shared" si="142"/>
        <v>0</v>
      </c>
      <c r="CH88" s="398">
        <f t="shared" si="142"/>
        <v>0</v>
      </c>
      <c r="CI88" s="398">
        <f t="shared" si="142"/>
        <v>0</v>
      </c>
      <c r="CJ88" s="398">
        <f t="shared" si="142"/>
        <v>0</v>
      </c>
      <c r="CK88" s="398">
        <f t="shared" si="142"/>
        <v>0</v>
      </c>
      <c r="CL88" s="398">
        <f t="shared" si="142"/>
        <v>0</v>
      </c>
      <c r="CM88" s="398">
        <f t="shared" si="142"/>
        <v>0</v>
      </c>
      <c r="CN88" s="398">
        <f t="shared" si="142"/>
        <v>0</v>
      </c>
      <c r="CO88" s="398">
        <f t="shared" si="142"/>
        <v>0</v>
      </c>
      <c r="CP88" s="398">
        <f t="shared" si="142"/>
        <v>0</v>
      </c>
      <c r="CQ88" s="398">
        <f t="shared" si="142"/>
        <v>0</v>
      </c>
      <c r="CR88" s="398">
        <f t="shared" si="142"/>
        <v>0</v>
      </c>
      <c r="CS88" s="398">
        <f t="shared" si="142"/>
        <v>0</v>
      </c>
      <c r="CT88" s="398">
        <f t="shared" si="142"/>
        <v>0</v>
      </c>
      <c r="CU88" s="398">
        <f t="shared" si="142"/>
        <v>0</v>
      </c>
      <c r="CV88" s="398">
        <f>CU88</f>
        <v>0</v>
      </c>
      <c r="CW88" s="398">
        <f>CV88</f>
        <v>0</v>
      </c>
      <c r="CX88" s="398">
        <f>CW88</f>
        <v>0</v>
      </c>
      <c r="CY88" s="398">
        <f>CX88</f>
        <v>0</v>
      </c>
      <c r="CZ88" s="398">
        <f t="shared" ref="CZ88:DC88" si="143">CY88</f>
        <v>0</v>
      </c>
      <c r="DA88" s="398">
        <f t="shared" si="143"/>
        <v>0</v>
      </c>
      <c r="DB88" s="398">
        <f t="shared" si="143"/>
        <v>0</v>
      </c>
      <c r="DC88" s="398">
        <f t="shared" si="143"/>
        <v>0</v>
      </c>
    </row>
    <row r="89" spans="1:108" ht="12.75" hidden="1" customHeight="1" outlineLevel="1">
      <c r="A89" s="2197"/>
      <c r="B89" s="2045" t="s">
        <v>261</v>
      </c>
      <c r="C89" s="15"/>
      <c r="D89" s="15"/>
      <c r="E89" s="15"/>
      <c r="F89" s="15"/>
      <c r="G89" s="15"/>
      <c r="H89" s="15"/>
      <c r="I89" s="15"/>
      <c r="J89" s="15"/>
      <c r="K89" s="783"/>
      <c r="L89" s="26">
        <f>BK89</f>
        <v>0</v>
      </c>
      <c r="M89" s="26">
        <f>BO89</f>
        <v>0</v>
      </c>
      <c r="N89" s="26">
        <f>BS89</f>
        <v>0</v>
      </c>
      <c r="O89" s="26">
        <f>BW89</f>
        <v>0</v>
      </c>
      <c r="P89" s="26">
        <f>CA89</f>
        <v>0</v>
      </c>
      <c r="Q89" s="26">
        <f>CE89</f>
        <v>0</v>
      </c>
      <c r="R89" s="26">
        <f>CI89</f>
        <v>0</v>
      </c>
      <c r="S89" s="26">
        <f>CM89</f>
        <v>0</v>
      </c>
      <c r="T89" s="26">
        <f>CN89</f>
        <v>0</v>
      </c>
      <c r="U89" s="26">
        <f>CO89</f>
        <v>0</v>
      </c>
      <c r="V89" s="26">
        <f>CP89</f>
        <v>0</v>
      </c>
      <c r="W89" s="26">
        <f>CQ89</f>
        <v>0</v>
      </c>
      <c r="X89" s="26">
        <f>SUM(X87:X88)</f>
        <v>0</v>
      </c>
      <c r="Y89" s="26">
        <f>SUM(Y87:Y88)</f>
        <v>0</v>
      </c>
      <c r="Z89" s="26">
        <f>SUM(Z87:Z88)</f>
        <v>0</v>
      </c>
      <c r="AA89" s="26">
        <f t="shared" ref="AA89:AD89" si="144">SUM(AA87:AA88)</f>
        <v>0</v>
      </c>
      <c r="AB89" s="26">
        <f t="shared" si="144"/>
        <v>0</v>
      </c>
      <c r="AC89" s="26">
        <f t="shared" si="144"/>
        <v>0</v>
      </c>
      <c r="AD89" s="26">
        <f t="shared" si="144"/>
        <v>0</v>
      </c>
      <c r="AE89" s="15"/>
      <c r="AF89" s="54"/>
      <c r="AG89" s="54"/>
      <c r="AH89" s="54"/>
      <c r="AI89" s="54"/>
      <c r="AJ89" s="54"/>
      <c r="AK89" s="54"/>
      <c r="AL89" s="54"/>
      <c r="AM89" s="54"/>
      <c r="AN89" s="54"/>
      <c r="AO89" s="54"/>
      <c r="AP89" s="54"/>
      <c r="AQ89" s="54"/>
      <c r="AR89" s="54"/>
      <c r="AS89" s="54"/>
      <c r="AT89" s="54"/>
      <c r="AU89" s="54"/>
      <c r="AV89" s="54"/>
      <c r="AW89" s="54"/>
      <c r="AX89" s="54"/>
      <c r="AY89" s="54"/>
      <c r="AZ89" s="54"/>
      <c r="BA89" s="54"/>
      <c r="BB89" s="54"/>
      <c r="BC89" s="54"/>
      <c r="BD89" s="54"/>
      <c r="BE89" s="54"/>
      <c r="BF89" s="54"/>
      <c r="BG89" s="54"/>
      <c r="BH89" s="54"/>
      <c r="BI89" s="54"/>
      <c r="BJ89" s="54"/>
      <c r="BK89" s="54"/>
      <c r="BL89" s="54"/>
      <c r="BM89" s="54"/>
      <c r="BN89" s="54"/>
      <c r="BO89" s="54"/>
      <c r="BP89" s="398"/>
      <c r="BQ89" s="398"/>
      <c r="BR89" s="54"/>
      <c r="BS89" s="54"/>
      <c r="BT89" s="54"/>
      <c r="BU89" s="54"/>
      <c r="BV89" s="391"/>
      <c r="BW89" s="391"/>
      <c r="BX89" s="391"/>
      <c r="BY89" s="54"/>
      <c r="BZ89" s="54">
        <f t="shared" ref="BZ89:CT89" si="145">SUM(BZ87:BZ88)</f>
        <v>0</v>
      </c>
      <c r="CA89" s="54">
        <f t="shared" si="145"/>
        <v>0</v>
      </c>
      <c r="CB89" s="54">
        <f t="shared" si="145"/>
        <v>0</v>
      </c>
      <c r="CC89" s="54">
        <f t="shared" si="145"/>
        <v>0</v>
      </c>
      <c r="CD89" s="54">
        <f t="shared" si="145"/>
        <v>0</v>
      </c>
      <c r="CE89" s="54">
        <f t="shared" si="145"/>
        <v>0</v>
      </c>
      <c r="CF89" s="54">
        <f t="shared" si="145"/>
        <v>0</v>
      </c>
      <c r="CG89" s="54">
        <f t="shared" si="145"/>
        <v>0</v>
      </c>
      <c r="CH89" s="54">
        <f t="shared" si="145"/>
        <v>0</v>
      </c>
      <c r="CI89" s="54">
        <f t="shared" si="145"/>
        <v>0</v>
      </c>
      <c r="CJ89" s="54">
        <f t="shared" si="145"/>
        <v>0</v>
      </c>
      <c r="CK89" s="54">
        <f t="shared" si="145"/>
        <v>0</v>
      </c>
      <c r="CL89" s="54">
        <f t="shared" si="145"/>
        <v>0</v>
      </c>
      <c r="CM89" s="54">
        <f t="shared" si="145"/>
        <v>0</v>
      </c>
      <c r="CN89" s="54">
        <f t="shared" si="145"/>
        <v>0</v>
      </c>
      <c r="CO89" s="54">
        <f t="shared" si="145"/>
        <v>0</v>
      </c>
      <c r="CP89" s="54">
        <f t="shared" si="145"/>
        <v>0</v>
      </c>
      <c r="CQ89" s="54">
        <f>SUM(CQ87:CQ88)</f>
        <v>0</v>
      </c>
      <c r="CR89" s="54">
        <f t="shared" si="145"/>
        <v>0</v>
      </c>
      <c r="CS89" s="54">
        <f t="shared" si="145"/>
        <v>0</v>
      </c>
      <c r="CT89" s="54">
        <f t="shared" si="145"/>
        <v>0</v>
      </c>
      <c r="CU89" s="54">
        <f>SUM(CU87:CU88)</f>
        <v>0</v>
      </c>
      <c r="CV89" s="54">
        <f>SUM(CV87:CV88)</f>
        <v>0</v>
      </c>
      <c r="CW89" s="54">
        <f>SUM(CW87:CW88)</f>
        <v>0</v>
      </c>
      <c r="CX89" s="54">
        <f>SUM(CX87:CX88)</f>
        <v>0</v>
      </c>
      <c r="CY89" s="54">
        <f>SUM(CY87:CY88)</f>
        <v>0</v>
      </c>
      <c r="CZ89" s="54">
        <f t="shared" ref="CZ89:DC89" si="146">SUM(CZ87:CZ88)</f>
        <v>0</v>
      </c>
      <c r="DA89" s="54">
        <f t="shared" si="146"/>
        <v>0</v>
      </c>
      <c r="DB89" s="54">
        <f t="shared" si="146"/>
        <v>0</v>
      </c>
      <c r="DC89" s="54">
        <f t="shared" si="146"/>
        <v>0</v>
      </c>
    </row>
    <row r="90" spans="1:108" hidden="1" outlineLevel="1">
      <c r="A90" s="2197"/>
      <c r="B90" s="2045" t="s">
        <v>262</v>
      </c>
      <c r="C90" s="15"/>
      <c r="D90" s="15"/>
      <c r="E90" s="15"/>
      <c r="F90" s="15"/>
      <c r="G90" s="15"/>
      <c r="H90" s="15"/>
      <c r="I90" s="15"/>
      <c r="J90" s="15"/>
      <c r="K90" s="789"/>
      <c r="L90" s="26"/>
      <c r="M90" s="26"/>
      <c r="N90" s="26"/>
      <c r="O90" s="15"/>
      <c r="P90" s="15"/>
      <c r="Q90" s="15"/>
      <c r="R90" s="15"/>
      <c r="S90" s="15"/>
      <c r="T90" s="15"/>
      <c r="U90" s="15"/>
      <c r="V90" s="15"/>
      <c r="W90" s="15"/>
      <c r="X90" s="15"/>
      <c r="Y90" s="15"/>
      <c r="Z90" s="15"/>
      <c r="AA90" s="15"/>
      <c r="AB90" s="15"/>
      <c r="AC90" s="15"/>
      <c r="AD90" s="15"/>
      <c r="AE90" s="15"/>
      <c r="AF90" s="789"/>
      <c r="AG90" s="789"/>
      <c r="AH90" s="789"/>
      <c r="AI90" s="789"/>
      <c r="AJ90" s="789"/>
      <c r="AK90" s="789"/>
      <c r="AL90" s="789"/>
      <c r="AM90" s="789"/>
      <c r="AN90" s="789"/>
      <c r="AO90" s="789"/>
      <c r="AP90" s="789"/>
      <c r="AQ90" s="789"/>
      <c r="AR90" s="789"/>
      <c r="AS90" s="789"/>
      <c r="AT90" s="789"/>
      <c r="AU90" s="789"/>
      <c r="AV90" s="789"/>
      <c r="AW90" s="789"/>
      <c r="AX90" s="789"/>
      <c r="AY90" s="789"/>
      <c r="AZ90" s="789"/>
      <c r="BA90" s="789"/>
      <c r="BB90" s="789"/>
      <c r="BC90" s="789"/>
      <c r="BD90" s="789"/>
      <c r="BE90" s="789"/>
      <c r="BF90" s="789"/>
      <c r="BG90" s="789"/>
      <c r="BH90" s="789"/>
      <c r="BI90" s="789"/>
      <c r="BJ90" s="789"/>
      <c r="BK90" s="789"/>
      <c r="BL90" s="789"/>
      <c r="BM90" s="789"/>
      <c r="BN90" s="789"/>
      <c r="BO90" s="398"/>
      <c r="BP90" s="398"/>
      <c r="BQ90" s="398"/>
      <c r="BR90" s="398"/>
      <c r="BS90" s="398"/>
      <c r="BT90" s="398"/>
      <c r="BU90" s="398"/>
      <c r="BV90" s="398"/>
      <c r="BW90" s="398"/>
      <c r="BX90" s="789"/>
      <c r="BY90" s="789"/>
      <c r="BZ90" s="789"/>
      <c r="CA90" s="789"/>
      <c r="CB90" s="789"/>
      <c r="CC90" s="789"/>
      <c r="CD90" s="789"/>
      <c r="CE90" s="789"/>
      <c r="CF90" s="789"/>
      <c r="CG90" s="789"/>
      <c r="CH90" s="789"/>
      <c r="CI90" s="789"/>
      <c r="CJ90" s="789"/>
      <c r="CK90" s="789"/>
      <c r="CL90" s="789"/>
      <c r="CM90" s="789"/>
      <c r="CN90" s="789"/>
      <c r="CO90" s="789"/>
      <c r="CP90" s="789"/>
      <c r="CQ90" s="789"/>
      <c r="CR90" s="789"/>
      <c r="CS90" s="789"/>
      <c r="CT90" s="789"/>
      <c r="CU90" s="789"/>
      <c r="CV90" s="789"/>
      <c r="CW90" s="789"/>
      <c r="CX90" s="789"/>
      <c r="CY90" s="789"/>
      <c r="CZ90" s="789"/>
      <c r="DA90" s="789"/>
      <c r="DB90" s="789"/>
      <c r="DC90" s="789"/>
    </row>
    <row r="91" spans="1:108" hidden="1" outlineLevel="1">
      <c r="A91" s="15"/>
      <c r="B91" s="876"/>
      <c r="C91" s="15"/>
      <c r="D91" s="15"/>
      <c r="E91" s="15"/>
      <c r="F91" s="15"/>
      <c r="G91" s="15"/>
      <c r="H91" s="15"/>
      <c r="I91" s="15"/>
      <c r="J91" s="15"/>
      <c r="K91" s="789"/>
      <c r="L91" s="26"/>
      <c r="M91" s="26"/>
      <c r="N91" s="26"/>
      <c r="O91" s="15"/>
      <c r="P91" s="15"/>
      <c r="Q91" s="15"/>
      <c r="R91" s="15"/>
      <c r="S91" s="15"/>
      <c r="T91" s="15"/>
      <c r="U91" s="15"/>
      <c r="V91" s="15"/>
      <c r="W91" s="15"/>
      <c r="X91" s="15"/>
      <c r="Y91" s="15"/>
      <c r="Z91" s="15"/>
      <c r="AA91" s="15"/>
      <c r="AB91" s="15"/>
      <c r="AC91" s="15"/>
      <c r="AD91" s="15"/>
      <c r="AE91" s="15"/>
      <c r="AF91" s="789"/>
      <c r="AG91" s="789"/>
      <c r="AH91" s="789"/>
      <c r="AI91" s="789"/>
      <c r="AJ91" s="789"/>
      <c r="AK91" s="789"/>
      <c r="AL91" s="789"/>
      <c r="AM91" s="789"/>
      <c r="AN91" s="789"/>
      <c r="AO91" s="789"/>
      <c r="AP91" s="789"/>
      <c r="AQ91" s="789"/>
      <c r="AR91" s="789"/>
      <c r="AS91" s="789"/>
      <c r="AT91" s="789"/>
      <c r="AU91" s="789"/>
      <c r="AV91" s="789"/>
      <c r="AW91" s="789"/>
      <c r="AX91" s="789"/>
      <c r="AY91" s="789"/>
      <c r="AZ91" s="789"/>
      <c r="BA91" s="789"/>
      <c r="BB91" s="789"/>
      <c r="BC91" s="789"/>
      <c r="BD91" s="789"/>
      <c r="BE91" s="789"/>
      <c r="BF91" s="789"/>
      <c r="BG91" s="789"/>
      <c r="BH91" s="789"/>
      <c r="BI91" s="789"/>
      <c r="BJ91" s="789"/>
      <c r="BK91" s="789"/>
      <c r="BL91" s="789"/>
      <c r="BM91" s="789"/>
      <c r="BN91" s="789"/>
      <c r="BO91" s="398"/>
      <c r="BP91" s="398"/>
      <c r="BQ91" s="398"/>
      <c r="BR91" s="398"/>
      <c r="BS91" s="398"/>
      <c r="BT91" s="398"/>
      <c r="BU91" s="398"/>
      <c r="BV91" s="398"/>
      <c r="BW91" s="398"/>
      <c r="BX91" s="789"/>
      <c r="BY91" s="789"/>
      <c r="BZ91" s="789"/>
      <c r="CA91" s="789"/>
      <c r="CB91" s="789"/>
      <c r="CC91" s="789"/>
      <c r="CD91" s="789"/>
      <c r="CE91" s="789"/>
      <c r="CF91" s="789"/>
      <c r="CG91" s="789"/>
      <c r="CH91" s="789"/>
      <c r="CI91" s="789"/>
      <c r="CJ91" s="789"/>
      <c r="CK91" s="789"/>
      <c r="CL91" s="789"/>
      <c r="CM91" s="789"/>
      <c r="CN91" s="789"/>
      <c r="CO91" s="789"/>
      <c r="CP91" s="789"/>
      <c r="CQ91" s="789"/>
      <c r="CR91" s="789"/>
      <c r="CS91" s="789"/>
      <c r="CT91" s="789"/>
      <c r="CU91" s="789"/>
      <c r="CV91" s="789"/>
      <c r="CW91" s="789"/>
      <c r="CX91" s="789"/>
      <c r="CY91" s="789"/>
      <c r="CZ91" s="789"/>
      <c r="DA91" s="789"/>
      <c r="DB91" s="789"/>
      <c r="DC91" s="789"/>
    </row>
    <row r="92" spans="1:108" collapsed="1">
      <c r="A92" s="15"/>
      <c r="B92" s="89" t="s">
        <v>2618</v>
      </c>
      <c r="C92" s="132"/>
      <c r="D92" s="132"/>
      <c r="E92" s="132"/>
      <c r="F92" s="132"/>
      <c r="G92" s="132"/>
      <c r="H92" s="132"/>
      <c r="I92" s="132"/>
      <c r="J92" s="132"/>
      <c r="K92" s="132"/>
      <c r="L92" s="132"/>
      <c r="M92" s="132"/>
      <c r="N92" s="132"/>
      <c r="O92" s="132"/>
      <c r="P92" s="132"/>
      <c r="Q92" s="132"/>
      <c r="R92" s="132"/>
      <c r="S92" s="132"/>
      <c r="T92" s="132"/>
      <c r="U92" s="132"/>
      <c r="V92" s="132"/>
      <c r="W92" s="132"/>
      <c r="X92" s="132"/>
      <c r="Y92" s="132"/>
      <c r="Z92" s="132"/>
      <c r="AA92" s="132"/>
      <c r="AB92" s="132"/>
      <c r="AC92" s="132"/>
      <c r="AD92" s="132"/>
      <c r="AE92" s="15"/>
      <c r="AF92" s="132"/>
      <c r="AG92" s="132"/>
      <c r="AH92" s="132"/>
      <c r="AI92" s="132"/>
      <c r="AJ92" s="132"/>
      <c r="AK92" s="132"/>
      <c r="AL92" s="132"/>
      <c r="AM92" s="132"/>
      <c r="AN92" s="132"/>
      <c r="AO92" s="132"/>
      <c r="AP92" s="132"/>
      <c r="AQ92" s="132"/>
      <c r="AR92" s="132"/>
      <c r="AS92" s="132"/>
      <c r="AT92" s="132"/>
      <c r="AU92" s="132"/>
      <c r="AV92" s="132"/>
      <c r="AW92" s="132"/>
      <c r="AX92" s="132"/>
      <c r="AY92" s="132"/>
      <c r="AZ92" s="132"/>
      <c r="BA92" s="132"/>
      <c r="BB92" s="132"/>
      <c r="BC92" s="132"/>
      <c r="BD92" s="132"/>
      <c r="BE92" s="132"/>
      <c r="BF92" s="132"/>
      <c r="BG92" s="132"/>
      <c r="BH92" s="132"/>
      <c r="BI92" s="132"/>
      <c r="BJ92" s="132"/>
      <c r="BK92" s="132"/>
      <c r="BL92" s="132"/>
      <c r="BM92" s="132"/>
      <c r="BN92" s="132"/>
      <c r="BO92" s="132"/>
      <c r="BP92" s="132"/>
      <c r="BQ92" s="132"/>
      <c r="BR92" s="132"/>
      <c r="BS92" s="132"/>
      <c r="BT92" s="132"/>
      <c r="BU92" s="132"/>
      <c r="BV92" s="132"/>
      <c r="BW92" s="132"/>
      <c r="BX92" s="132"/>
      <c r="BY92" s="132"/>
      <c r="BZ92" s="132"/>
      <c r="CA92" s="132"/>
      <c r="CB92" s="132"/>
      <c r="CC92" s="132"/>
      <c r="CD92" s="132"/>
      <c r="CE92" s="132"/>
      <c r="CF92" s="132"/>
      <c r="CG92" s="132"/>
      <c r="CH92" s="132"/>
      <c r="CI92" s="132"/>
      <c r="CJ92" s="132"/>
      <c r="CK92" s="132"/>
      <c r="CL92" s="132"/>
      <c r="CM92" s="132"/>
      <c r="CN92" s="132"/>
      <c r="CO92" s="132"/>
      <c r="CP92" s="132"/>
      <c r="CQ92" s="132"/>
      <c r="CR92" s="132"/>
      <c r="CS92" s="132"/>
      <c r="CT92" s="132"/>
      <c r="CU92" s="132"/>
      <c r="CV92" s="132"/>
      <c r="CW92" s="132"/>
      <c r="CX92" s="132"/>
      <c r="CY92" s="132"/>
      <c r="CZ92" s="132"/>
      <c r="DA92" s="132"/>
      <c r="DB92" s="132"/>
      <c r="DC92" s="132"/>
    </row>
    <row r="93" spans="1:108">
      <c r="A93" s="15"/>
      <c r="B93" s="876" t="s">
        <v>1118</v>
      </c>
      <c r="C93" s="15"/>
      <c r="D93" s="15"/>
      <c r="E93" s="15"/>
      <c r="F93" s="15"/>
      <c r="G93" s="15"/>
      <c r="H93" s="15"/>
      <c r="I93" s="15"/>
      <c r="J93" s="15"/>
      <c r="K93" s="783"/>
      <c r="L93" s="26">
        <f>BK93</f>
        <v>0</v>
      </c>
      <c r="M93" s="26">
        <f>BO93</f>
        <v>0</v>
      </c>
      <c r="N93" s="26">
        <f>BS93</f>
        <v>0</v>
      </c>
      <c r="O93" s="26">
        <f t="shared" ref="O93:Z93" si="147">N95</f>
        <v>0</v>
      </c>
      <c r="P93" s="26">
        <f t="shared" si="147"/>
        <v>0</v>
      </c>
      <c r="Q93" s="26">
        <f t="shared" si="147"/>
        <v>0</v>
      </c>
      <c r="R93" s="26">
        <f t="shared" si="147"/>
        <v>180</v>
      </c>
      <c r="S93" s="26">
        <f t="shared" si="147"/>
        <v>140</v>
      </c>
      <c r="T93" s="26">
        <f t="shared" si="147"/>
        <v>498.4</v>
      </c>
      <c r="U93" s="26">
        <f t="shared" si="147"/>
        <v>454.50299999999999</v>
      </c>
      <c r="V93" s="26">
        <f t="shared" si="147"/>
        <v>993.57200000000012</v>
      </c>
      <c r="W93" s="26">
        <f t="shared" si="147"/>
        <v>1009.4869999999999</v>
      </c>
      <c r="X93" s="26">
        <f t="shared" si="147"/>
        <v>1009.4869999999999</v>
      </c>
      <c r="Y93" s="26">
        <f t="shared" si="147"/>
        <v>1009.4869999999999</v>
      </c>
      <c r="Z93" s="26">
        <f t="shared" si="147"/>
        <v>1009.4869999999999</v>
      </c>
      <c r="AA93" s="26">
        <f t="shared" ref="AA93" si="148">Z95</f>
        <v>1009.4869999999999</v>
      </c>
      <c r="AB93" s="26">
        <f t="shared" ref="AB93" si="149">AA95</f>
        <v>1009.4869999999999</v>
      </c>
      <c r="AC93" s="26">
        <f t="shared" ref="AC93" si="150">AB95</f>
        <v>1009.4869999999999</v>
      </c>
      <c r="AD93" s="26">
        <f t="shared" ref="AD93" si="151">AC95</f>
        <v>1009.4869999999999</v>
      </c>
      <c r="AE93" s="15"/>
      <c r="AF93" s="26"/>
      <c r="AG93" s="26"/>
      <c r="AH93" s="26"/>
      <c r="AI93" s="26"/>
      <c r="AJ93" s="26"/>
      <c r="AK93" s="26"/>
      <c r="AL93" s="26"/>
      <c r="AM93" s="26"/>
      <c r="AN93" s="26"/>
      <c r="AO93" s="26"/>
      <c r="AP93" s="26"/>
      <c r="AQ93" s="26"/>
      <c r="AR93" s="26"/>
      <c r="AS93" s="26"/>
      <c r="AT93" s="26"/>
      <c r="AU93" s="26"/>
      <c r="AV93" s="26"/>
      <c r="AW93" s="26"/>
      <c r="AX93" s="26"/>
      <c r="AY93" s="26"/>
      <c r="AZ93" s="26"/>
      <c r="BA93" s="26"/>
      <c r="BB93" s="26"/>
      <c r="BC93" s="26"/>
      <c r="BD93" s="26"/>
      <c r="BE93" s="26"/>
      <c r="BF93" s="26"/>
      <c r="BG93" s="26"/>
      <c r="BH93" s="26"/>
      <c r="BI93" s="26"/>
      <c r="BJ93" s="26"/>
      <c r="BK93" s="26"/>
      <c r="BL93" s="26"/>
      <c r="BM93" s="26"/>
      <c r="BN93" s="26"/>
      <c r="BO93" s="26"/>
      <c r="BP93" s="26"/>
      <c r="BQ93" s="26"/>
      <c r="BR93" s="26"/>
      <c r="BS93" s="26"/>
      <c r="BT93" s="26"/>
      <c r="BU93" s="26"/>
      <c r="BV93" s="26"/>
      <c r="BW93" s="26"/>
      <c r="BX93" s="26"/>
      <c r="BY93" s="26"/>
      <c r="BZ93" s="26">
        <f t="shared" ref="BZ93:CV93" si="152">BY95</f>
        <v>0</v>
      </c>
      <c r="CA93" s="26">
        <f t="shared" si="152"/>
        <v>0</v>
      </c>
      <c r="CB93" s="26">
        <f t="shared" si="152"/>
        <v>0</v>
      </c>
      <c r="CC93" s="26">
        <f t="shared" si="152"/>
        <v>0</v>
      </c>
      <c r="CD93" s="26">
        <f t="shared" si="152"/>
        <v>0</v>
      </c>
      <c r="CE93" s="26">
        <f t="shared" si="152"/>
        <v>190</v>
      </c>
      <c r="CF93" s="26">
        <f t="shared" si="152"/>
        <v>180</v>
      </c>
      <c r="CG93" s="26">
        <f t="shared" si="152"/>
        <v>170</v>
      </c>
      <c r="CH93" s="26">
        <f t="shared" si="152"/>
        <v>160</v>
      </c>
      <c r="CI93" s="26">
        <f t="shared" si="152"/>
        <v>150</v>
      </c>
      <c r="CJ93" s="26">
        <f t="shared" si="152"/>
        <v>140</v>
      </c>
      <c r="CK93" s="26">
        <f t="shared" si="152"/>
        <v>130</v>
      </c>
      <c r="CL93" s="26">
        <f t="shared" si="152"/>
        <v>120</v>
      </c>
      <c r="CM93" s="26">
        <f t="shared" si="152"/>
        <v>110</v>
      </c>
      <c r="CN93" s="26">
        <f t="shared" si="152"/>
        <v>498.4</v>
      </c>
      <c r="CO93" s="26">
        <f t="shared" si="152"/>
        <v>488.51299999999998</v>
      </c>
      <c r="CP93" s="26">
        <f t="shared" si="152"/>
        <v>488.81899999999996</v>
      </c>
      <c r="CQ93" s="26">
        <f t="shared" si="152"/>
        <v>472.73999999999995</v>
      </c>
      <c r="CR93" s="26">
        <f t="shared" si="152"/>
        <v>454.50299999999999</v>
      </c>
      <c r="CS93" s="26">
        <f t="shared" si="152"/>
        <v>1124.49</v>
      </c>
      <c r="CT93" s="26">
        <f t="shared" si="152"/>
        <v>1071.8530000000001</v>
      </c>
      <c r="CU93" s="26">
        <f t="shared" si="152"/>
        <v>1055.95</v>
      </c>
      <c r="CV93" s="26">
        <f t="shared" si="152"/>
        <v>993.572</v>
      </c>
      <c r="CW93" s="26">
        <f>CV95</f>
        <v>1000.8650000000001</v>
      </c>
      <c r="CX93" s="26">
        <f>CW95</f>
        <v>1080.806</v>
      </c>
      <c r="CY93" s="26">
        <f>CX95</f>
        <v>1121.971</v>
      </c>
      <c r="CZ93" s="26">
        <f t="shared" ref="CZ93:DC93" si="153">CY95</f>
        <v>1009.4869999999999</v>
      </c>
      <c r="DA93" s="26">
        <f t="shared" si="153"/>
        <v>1009.4869999999999</v>
      </c>
      <c r="DB93" s="26">
        <f t="shared" si="153"/>
        <v>1009.4869999999999</v>
      </c>
      <c r="DC93" s="26">
        <f t="shared" si="153"/>
        <v>1009.4869999999999</v>
      </c>
    </row>
    <row r="94" spans="1:108">
      <c r="A94" s="15"/>
      <c r="B94" s="876" t="s">
        <v>1121</v>
      </c>
      <c r="C94" s="15"/>
      <c r="D94" s="15"/>
      <c r="E94" s="15"/>
      <c r="F94" s="15"/>
      <c r="G94" s="15"/>
      <c r="H94" s="15"/>
      <c r="I94" s="15"/>
      <c r="J94" s="15"/>
      <c r="K94" s="783"/>
      <c r="L94" s="26">
        <f>BK94</f>
        <v>0</v>
      </c>
      <c r="M94" s="26">
        <f t="shared" ref="M94:T94" si="154">M95-M93</f>
        <v>0</v>
      </c>
      <c r="N94" s="26">
        <f t="shared" si="154"/>
        <v>0</v>
      </c>
      <c r="O94" s="26">
        <f t="shared" si="154"/>
        <v>0</v>
      </c>
      <c r="P94" s="26">
        <f t="shared" si="154"/>
        <v>0</v>
      </c>
      <c r="Q94" s="26">
        <f t="shared" si="154"/>
        <v>180</v>
      </c>
      <c r="R94" s="26">
        <f t="shared" si="154"/>
        <v>-40</v>
      </c>
      <c r="S94" s="26">
        <f t="shared" si="154"/>
        <v>358.4</v>
      </c>
      <c r="T94" s="26">
        <f t="shared" si="154"/>
        <v>-43.896999999999991</v>
      </c>
      <c r="U94" s="26">
        <f>+SUM(CR94:CU94)</f>
        <v>539.06900000000007</v>
      </c>
      <c r="V94" s="26">
        <f>+SUM(CV94:CY94)</f>
        <v>15.914999999999793</v>
      </c>
      <c r="W94" s="26">
        <f>+SUM(CZ94:DC94)</f>
        <v>0</v>
      </c>
      <c r="X94" s="1000">
        <v>0</v>
      </c>
      <c r="Y94" s="1000">
        <v>0</v>
      </c>
      <c r="Z94" s="1000">
        <v>0</v>
      </c>
      <c r="AA94" s="1000">
        <v>0</v>
      </c>
      <c r="AB94" s="1000">
        <v>0</v>
      </c>
      <c r="AC94" s="1000">
        <v>0</v>
      </c>
      <c r="AD94" s="1000">
        <v>0</v>
      </c>
      <c r="AE94" s="15"/>
      <c r="AF94" s="783"/>
      <c r="AG94" s="783"/>
      <c r="AH94" s="783"/>
      <c r="AI94" s="783"/>
      <c r="AJ94" s="783"/>
      <c r="AK94" s="783"/>
      <c r="AL94" s="783"/>
      <c r="AM94" s="783"/>
      <c r="AN94" s="783"/>
      <c r="AO94" s="783"/>
      <c r="AP94" s="783"/>
      <c r="AQ94" s="783"/>
      <c r="AR94" s="783"/>
      <c r="AS94" s="783"/>
      <c r="AT94" s="783"/>
      <c r="AU94" s="783"/>
      <c r="AV94" s="783"/>
      <c r="AW94" s="783"/>
      <c r="AX94" s="783"/>
      <c r="AY94" s="783"/>
      <c r="AZ94" s="783"/>
      <c r="BA94" s="783"/>
      <c r="BB94" s="783"/>
      <c r="BC94" s="783"/>
      <c r="BD94" s="783"/>
      <c r="BE94" s="783"/>
      <c r="BF94" s="783"/>
      <c r="BG94" s="783"/>
      <c r="BH94" s="783"/>
      <c r="BI94" s="783"/>
      <c r="BJ94" s="398"/>
      <c r="BK94" s="398"/>
      <c r="BL94" s="398"/>
      <c r="BM94" s="398"/>
      <c r="BN94" s="398"/>
      <c r="BO94" s="398"/>
      <c r="BP94" s="54"/>
      <c r="BQ94" s="54"/>
      <c r="BR94" s="398"/>
      <c r="BS94" s="398"/>
      <c r="BT94" s="398"/>
      <c r="BU94" s="1002"/>
      <c r="BV94" s="398"/>
      <c r="BW94" s="398"/>
      <c r="BX94" s="398"/>
      <c r="BY94" s="398"/>
      <c r="BZ94" s="398"/>
      <c r="CA94" s="398"/>
      <c r="CB94" s="398"/>
      <c r="CC94" s="398"/>
      <c r="CD94" s="398">
        <v>190</v>
      </c>
      <c r="CE94" s="398">
        <v>-10</v>
      </c>
      <c r="CF94" s="398">
        <v>-10</v>
      </c>
      <c r="CG94" s="398">
        <v>-10</v>
      </c>
      <c r="CH94" s="398">
        <v>-10</v>
      </c>
      <c r="CI94" s="398">
        <v>-10</v>
      </c>
      <c r="CJ94" s="398">
        <v>-10</v>
      </c>
      <c r="CK94" s="398">
        <v>-10</v>
      </c>
      <c r="CL94" s="398">
        <v>-10</v>
      </c>
      <c r="CM94" s="398">
        <f>498.4-CM93</f>
        <v>388.4</v>
      </c>
      <c r="CN94" s="398">
        <f>488.513-CN93</f>
        <v>-9.8870000000000005</v>
      </c>
      <c r="CO94" s="398">
        <f>490.21-1.391-CO93</f>
        <v>0.30599999999998317</v>
      </c>
      <c r="CP94" s="398">
        <f>475.631-2.891-CP93</f>
        <v>-16.079000000000008</v>
      </c>
      <c r="CQ94" s="398">
        <f>454.503-CQ93</f>
        <v>-18.236999999999966</v>
      </c>
      <c r="CR94" s="2105">
        <f>1124.49-CR93</f>
        <v>669.98700000000008</v>
      </c>
      <c r="CS94" s="2105">
        <f>1071.853-CS93</f>
        <v>-52.636999999999944</v>
      </c>
      <c r="CT94" s="2122">
        <f>1055.95-CT93</f>
        <v>-15.90300000000002</v>
      </c>
      <c r="CU94" s="2122">
        <f>993.572-CU93</f>
        <v>-62.378000000000043</v>
      </c>
      <c r="CV94" s="2122">
        <f>2502.063-35.399-CV93-CV101-CV107</f>
        <v>7.2930000000001201</v>
      </c>
      <c r="CW94" s="2122">
        <f>2580.198-33.593-CW93-CW101-CW107</f>
        <v>79.940999999999804</v>
      </c>
      <c r="CX94" s="2122">
        <f>2587.77-CX93-CX101-CX107</f>
        <v>41.164999999999964</v>
      </c>
      <c r="CY94" s="2122">
        <f>1406.686-CY93-CY101-CY107</f>
        <v>-112.48400000000009</v>
      </c>
      <c r="CZ94" s="398"/>
      <c r="DA94" s="398"/>
      <c r="DB94" s="398"/>
      <c r="DC94" s="398"/>
    </row>
    <row r="95" spans="1:108" ht="12.75" customHeight="1">
      <c r="A95" s="15"/>
      <c r="B95" s="876" t="s">
        <v>261</v>
      </c>
      <c r="C95" s="15"/>
      <c r="D95" s="15"/>
      <c r="E95" s="15"/>
      <c r="F95" s="15"/>
      <c r="G95" s="15"/>
      <c r="H95" s="15"/>
      <c r="I95" s="15"/>
      <c r="J95" s="15"/>
      <c r="K95" s="783"/>
      <c r="L95" s="26">
        <f>BK95</f>
        <v>0</v>
      </c>
      <c r="M95" s="26">
        <f>BO95</f>
        <v>0</v>
      </c>
      <c r="N95" s="26">
        <f>BS95</f>
        <v>0</v>
      </c>
      <c r="O95" s="26">
        <f>BW95</f>
        <v>0</v>
      </c>
      <c r="P95" s="26">
        <f>CA95</f>
        <v>0</v>
      </c>
      <c r="Q95" s="26">
        <f>CE95</f>
        <v>180</v>
      </c>
      <c r="R95" s="26">
        <f>CI95</f>
        <v>140</v>
      </c>
      <c r="S95" s="26">
        <f>CM95</f>
        <v>498.4</v>
      </c>
      <c r="T95" s="26">
        <f>CQ95</f>
        <v>454.50299999999999</v>
      </c>
      <c r="U95" s="26">
        <f t="shared" ref="U95:Z95" si="155">SUM(U93:U94)</f>
        <v>993.57200000000012</v>
      </c>
      <c r="V95" s="26">
        <f>SUM(V93:V94)</f>
        <v>1009.4869999999999</v>
      </c>
      <c r="W95" s="26">
        <f>SUM(W93:W94)</f>
        <v>1009.4869999999999</v>
      </c>
      <c r="X95" s="26">
        <f t="shared" si="155"/>
        <v>1009.4869999999999</v>
      </c>
      <c r="Y95" s="26">
        <f t="shared" si="155"/>
        <v>1009.4869999999999</v>
      </c>
      <c r="Z95" s="26">
        <f t="shared" si="155"/>
        <v>1009.4869999999999</v>
      </c>
      <c r="AA95" s="26">
        <f t="shared" ref="AA95:AD95" si="156">SUM(AA93:AA94)</f>
        <v>1009.4869999999999</v>
      </c>
      <c r="AB95" s="26">
        <f t="shared" si="156"/>
        <v>1009.4869999999999</v>
      </c>
      <c r="AC95" s="26">
        <f t="shared" si="156"/>
        <v>1009.4869999999999</v>
      </c>
      <c r="AD95" s="26">
        <f t="shared" si="156"/>
        <v>1009.4869999999999</v>
      </c>
      <c r="AE95" s="15"/>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54"/>
      <c r="BN95" s="54"/>
      <c r="BO95" s="54"/>
      <c r="BP95" s="398"/>
      <c r="BQ95" s="398"/>
      <c r="BR95" s="54"/>
      <c r="BS95" s="54"/>
      <c r="BT95" s="54"/>
      <c r="BU95" s="54"/>
      <c r="BV95" s="391"/>
      <c r="BW95" s="391"/>
      <c r="BX95" s="391"/>
      <c r="BY95" s="54"/>
      <c r="BZ95" s="54">
        <f t="shared" ref="BZ95:CT95" si="157">SUM(BZ93:BZ94)</f>
        <v>0</v>
      </c>
      <c r="CA95" s="54">
        <f t="shared" si="157"/>
        <v>0</v>
      </c>
      <c r="CB95" s="54">
        <f t="shared" si="157"/>
        <v>0</v>
      </c>
      <c r="CC95" s="54">
        <f t="shared" si="157"/>
        <v>0</v>
      </c>
      <c r="CD95" s="54">
        <f t="shared" si="157"/>
        <v>190</v>
      </c>
      <c r="CE95" s="54">
        <f t="shared" si="157"/>
        <v>180</v>
      </c>
      <c r="CF95" s="54">
        <f t="shared" si="157"/>
        <v>170</v>
      </c>
      <c r="CG95" s="54">
        <f t="shared" si="157"/>
        <v>160</v>
      </c>
      <c r="CH95" s="54">
        <f t="shared" si="157"/>
        <v>150</v>
      </c>
      <c r="CI95" s="54">
        <f t="shared" si="157"/>
        <v>140</v>
      </c>
      <c r="CJ95" s="54">
        <f t="shared" si="157"/>
        <v>130</v>
      </c>
      <c r="CK95" s="54">
        <f t="shared" si="157"/>
        <v>120</v>
      </c>
      <c r="CL95" s="54">
        <f t="shared" si="157"/>
        <v>110</v>
      </c>
      <c r="CM95" s="54">
        <f t="shared" si="157"/>
        <v>498.4</v>
      </c>
      <c r="CN95" s="54">
        <f t="shared" si="157"/>
        <v>488.51299999999998</v>
      </c>
      <c r="CO95" s="54">
        <f t="shared" si="157"/>
        <v>488.81899999999996</v>
      </c>
      <c r="CP95" s="54">
        <f t="shared" si="157"/>
        <v>472.73999999999995</v>
      </c>
      <c r="CQ95" s="54">
        <f>SUM(CQ93:CQ94)</f>
        <v>454.50299999999999</v>
      </c>
      <c r="CR95" s="54">
        <f t="shared" si="157"/>
        <v>1124.49</v>
      </c>
      <c r="CS95" s="54">
        <f t="shared" si="157"/>
        <v>1071.8530000000001</v>
      </c>
      <c r="CT95" s="54">
        <f t="shared" si="157"/>
        <v>1055.95</v>
      </c>
      <c r="CU95" s="54">
        <f>SUM(CU93:CU94)</f>
        <v>993.572</v>
      </c>
      <c r="CV95" s="54">
        <f>SUM(CV93:CV94)</f>
        <v>1000.8650000000001</v>
      </c>
      <c r="CW95" s="54">
        <f>SUM(CW93:CW94)</f>
        <v>1080.806</v>
      </c>
      <c r="CX95" s="54">
        <f>SUM(CX93:CX94)</f>
        <v>1121.971</v>
      </c>
      <c r="CY95" s="54">
        <f>SUM(CY93:CY94)</f>
        <v>1009.4869999999999</v>
      </c>
      <c r="CZ95" s="54">
        <f t="shared" ref="CZ95:DC95" si="158">SUM(CZ93:CZ94)</f>
        <v>1009.4869999999999</v>
      </c>
      <c r="DA95" s="54">
        <f t="shared" si="158"/>
        <v>1009.4869999999999</v>
      </c>
      <c r="DB95" s="54">
        <f t="shared" si="158"/>
        <v>1009.4869999999999</v>
      </c>
      <c r="DC95" s="54">
        <f t="shared" si="158"/>
        <v>1009.4869999999999</v>
      </c>
      <c r="DD95" s="81"/>
    </row>
    <row r="96" spans="1:108">
      <c r="A96" s="15"/>
      <c r="B96" s="876" t="s">
        <v>262</v>
      </c>
      <c r="C96" s="15"/>
      <c r="D96" s="15"/>
      <c r="E96" s="15"/>
      <c r="F96" s="15"/>
      <c r="G96" s="15"/>
      <c r="H96" s="15"/>
      <c r="I96" s="15"/>
      <c r="J96" s="15"/>
      <c r="K96" s="789"/>
      <c r="L96" s="26"/>
      <c r="M96" s="26"/>
      <c r="N96" s="26"/>
      <c r="O96" s="15"/>
      <c r="P96" s="15"/>
      <c r="Q96" s="15"/>
      <c r="R96" s="15"/>
      <c r="S96" s="15"/>
      <c r="T96" s="15"/>
      <c r="U96" s="15"/>
      <c r="V96" s="15"/>
      <c r="W96" s="15"/>
      <c r="X96" s="15"/>
      <c r="Y96" s="15"/>
      <c r="Z96" s="15"/>
      <c r="AA96" s="15"/>
      <c r="AB96" s="15"/>
      <c r="AC96" s="15"/>
      <c r="AD96" s="15"/>
      <c r="AE96" s="15"/>
      <c r="AF96" s="789"/>
      <c r="AG96" s="789"/>
      <c r="AH96" s="789"/>
      <c r="AI96" s="789"/>
      <c r="AJ96" s="789"/>
      <c r="AK96" s="789"/>
      <c r="AL96" s="789"/>
      <c r="AM96" s="789"/>
      <c r="AN96" s="789"/>
      <c r="AO96" s="789"/>
      <c r="AP96" s="789"/>
      <c r="AQ96" s="789"/>
      <c r="AR96" s="789"/>
      <c r="AS96" s="789"/>
      <c r="AT96" s="789"/>
      <c r="AU96" s="789"/>
      <c r="AV96" s="789"/>
      <c r="AW96" s="789"/>
      <c r="AX96" s="789"/>
      <c r="AY96" s="789"/>
      <c r="AZ96" s="789"/>
      <c r="BA96" s="789"/>
      <c r="BB96" s="789"/>
      <c r="BC96" s="789"/>
      <c r="BD96" s="789"/>
      <c r="BE96" s="789"/>
      <c r="BF96" s="789"/>
      <c r="BG96" s="789"/>
      <c r="BH96" s="789"/>
      <c r="BI96" s="789"/>
      <c r="BJ96" s="789"/>
      <c r="BK96" s="789"/>
      <c r="BL96" s="789"/>
      <c r="BM96" s="789"/>
      <c r="BN96" s="789"/>
      <c r="BO96" s="398"/>
      <c r="BP96" s="398"/>
      <c r="BQ96" s="398"/>
      <c r="BR96" s="398"/>
      <c r="BS96" s="398"/>
      <c r="BT96" s="398"/>
      <c r="BU96" s="398"/>
      <c r="BV96" s="398"/>
      <c r="BW96" s="398"/>
      <c r="BX96" s="789"/>
      <c r="BY96" s="789"/>
      <c r="BZ96" s="789"/>
      <c r="CA96" s="789"/>
      <c r="CB96" s="789"/>
      <c r="CC96" s="789"/>
      <c r="CD96" s="789"/>
      <c r="CE96" s="789"/>
      <c r="CF96" s="789"/>
      <c r="CG96" s="789"/>
      <c r="CH96" s="789"/>
      <c r="CI96" s="789"/>
      <c r="CJ96" s="789"/>
      <c r="CK96" s="789"/>
      <c r="CL96" s="789"/>
      <c r="CM96" s="789"/>
      <c r="CN96" s="789"/>
      <c r="CO96" s="789"/>
      <c r="CP96" s="789"/>
      <c r="CQ96" s="789"/>
      <c r="CR96" s="789"/>
      <c r="CS96" s="789"/>
      <c r="CT96" s="789"/>
      <c r="CU96" s="789"/>
      <c r="CV96" s="789"/>
      <c r="CW96" s="789"/>
      <c r="CX96" s="789"/>
      <c r="CY96" s="789"/>
      <c r="CZ96" s="789"/>
      <c r="DA96" s="789"/>
      <c r="DB96" s="789"/>
      <c r="DC96" s="789"/>
    </row>
    <row r="97" spans="1:107">
      <c r="A97" s="15"/>
      <c r="B97" s="876"/>
      <c r="C97" s="15"/>
      <c r="D97" s="15"/>
      <c r="E97" s="15"/>
      <c r="F97" s="15"/>
      <c r="G97" s="15"/>
      <c r="H97" s="15"/>
      <c r="I97" s="15"/>
      <c r="J97" s="15"/>
      <c r="K97" s="789"/>
      <c r="L97" s="26"/>
      <c r="M97" s="26"/>
      <c r="N97" s="26"/>
      <c r="O97" s="15"/>
      <c r="P97" s="15"/>
      <c r="Q97" s="15"/>
      <c r="R97" s="15"/>
      <c r="S97" s="15"/>
      <c r="T97" s="15"/>
      <c r="U97" s="15"/>
      <c r="V97" s="15"/>
      <c r="W97" s="15"/>
      <c r="X97" s="15"/>
      <c r="Y97" s="15"/>
      <c r="Z97" s="15"/>
      <c r="AA97" s="15"/>
      <c r="AB97" s="15"/>
      <c r="AC97" s="15"/>
      <c r="AD97" s="15"/>
      <c r="AE97" s="15"/>
      <c r="AF97" s="789"/>
      <c r="AG97" s="789"/>
      <c r="AH97" s="789"/>
      <c r="AI97" s="789"/>
      <c r="AJ97" s="789"/>
      <c r="AK97" s="789"/>
      <c r="AL97" s="789"/>
      <c r="AM97" s="789"/>
      <c r="AN97" s="789"/>
      <c r="AO97" s="789"/>
      <c r="AP97" s="789"/>
      <c r="AQ97" s="789"/>
      <c r="AR97" s="789"/>
      <c r="AS97" s="789"/>
      <c r="AT97" s="789"/>
      <c r="AU97" s="789"/>
      <c r="AV97" s="789"/>
      <c r="AW97" s="789"/>
      <c r="AX97" s="789"/>
      <c r="AY97" s="789"/>
      <c r="AZ97" s="789"/>
      <c r="BA97" s="789"/>
      <c r="BB97" s="789"/>
      <c r="BC97" s="789"/>
      <c r="BD97" s="789"/>
      <c r="BE97" s="789"/>
      <c r="BF97" s="789"/>
      <c r="BG97" s="789"/>
      <c r="BH97" s="789"/>
      <c r="BI97" s="789"/>
      <c r="BJ97" s="789"/>
      <c r="BK97" s="789"/>
      <c r="BL97" s="789"/>
      <c r="BM97" s="789"/>
      <c r="BN97" s="789"/>
      <c r="BO97" s="398"/>
      <c r="BP97" s="398"/>
      <c r="BQ97" s="398"/>
      <c r="BR97" s="398"/>
      <c r="BS97" s="398"/>
      <c r="BT97" s="398"/>
      <c r="BU97" s="398"/>
      <c r="BV97" s="398"/>
      <c r="BW97" s="398"/>
      <c r="BX97" s="789"/>
      <c r="BY97" s="789"/>
      <c r="BZ97" s="789"/>
      <c r="CA97" s="789"/>
      <c r="CB97" s="789"/>
      <c r="CC97" s="789"/>
      <c r="CD97" s="789"/>
      <c r="CE97" s="789"/>
      <c r="CF97" s="789"/>
      <c r="CG97" s="789"/>
      <c r="CH97" s="789"/>
      <c r="CI97" s="789"/>
      <c r="CJ97" s="789"/>
      <c r="CK97" s="789"/>
      <c r="CL97" s="789"/>
      <c r="CM97" s="789"/>
      <c r="CN97" s="789"/>
      <c r="CO97" s="789"/>
      <c r="CP97" s="789"/>
      <c r="CQ97" s="789"/>
      <c r="CR97" s="789"/>
      <c r="CS97" s="789"/>
      <c r="CT97" s="789"/>
      <c r="CU97" s="789"/>
      <c r="CV97" s="789"/>
      <c r="CW97" s="789"/>
      <c r="CX97" s="789"/>
      <c r="CY97" s="789"/>
      <c r="CZ97" s="789"/>
      <c r="DA97" s="789"/>
      <c r="DB97" s="789"/>
      <c r="DC97" s="789"/>
    </row>
    <row r="98" spans="1:107" collapsed="1">
      <c r="A98" s="15"/>
      <c r="B98" s="89" t="s">
        <v>2619</v>
      </c>
      <c r="C98" s="132"/>
      <c r="D98" s="132"/>
      <c r="E98" s="132"/>
      <c r="F98" s="132"/>
      <c r="G98" s="132"/>
      <c r="H98" s="132"/>
      <c r="I98" s="132"/>
      <c r="J98" s="132"/>
      <c r="K98" s="132"/>
      <c r="L98" s="132"/>
      <c r="M98" s="132"/>
      <c r="N98" s="132"/>
      <c r="O98" s="132"/>
      <c r="P98" s="132"/>
      <c r="Q98" s="132"/>
      <c r="R98" s="132"/>
      <c r="S98" s="132"/>
      <c r="T98" s="132"/>
      <c r="U98" s="132"/>
      <c r="V98" s="132"/>
      <c r="W98" s="132"/>
      <c r="X98" s="132"/>
      <c r="Y98" s="132"/>
      <c r="Z98" s="132"/>
      <c r="AA98" s="132"/>
      <c r="AB98" s="132"/>
      <c r="AC98" s="132"/>
      <c r="AD98" s="132"/>
      <c r="AE98" s="15"/>
      <c r="AF98" s="132"/>
      <c r="AG98" s="132"/>
      <c r="AH98" s="132"/>
      <c r="AI98" s="132"/>
      <c r="AJ98" s="132"/>
      <c r="AK98" s="132"/>
      <c r="AL98" s="132"/>
      <c r="AM98" s="132"/>
      <c r="AN98" s="132"/>
      <c r="AO98" s="132"/>
      <c r="AP98" s="132"/>
      <c r="AQ98" s="132"/>
      <c r="AR98" s="132"/>
      <c r="AS98" s="132"/>
      <c r="AT98" s="132"/>
      <c r="AU98" s="132"/>
      <c r="AV98" s="132"/>
      <c r="AW98" s="132"/>
      <c r="AX98" s="132"/>
      <c r="AY98" s="132"/>
      <c r="AZ98" s="132"/>
      <c r="BA98" s="132"/>
      <c r="BB98" s="132"/>
      <c r="BC98" s="132"/>
      <c r="BD98" s="132"/>
      <c r="BE98" s="132"/>
      <c r="BF98" s="132"/>
      <c r="BG98" s="132"/>
      <c r="BH98" s="132"/>
      <c r="BI98" s="132"/>
      <c r="BJ98" s="132"/>
      <c r="BK98" s="132"/>
      <c r="BL98" s="132"/>
      <c r="BM98" s="132"/>
      <c r="BN98" s="132"/>
      <c r="BO98" s="132"/>
      <c r="BP98" s="132"/>
      <c r="BQ98" s="132"/>
      <c r="BR98" s="132"/>
      <c r="BS98" s="132"/>
      <c r="BT98" s="132"/>
      <c r="BU98" s="132"/>
      <c r="BV98" s="132"/>
      <c r="BW98" s="132"/>
      <c r="BX98" s="132"/>
      <c r="BY98" s="132"/>
      <c r="BZ98" s="132"/>
      <c r="CA98" s="132"/>
      <c r="CB98" s="132"/>
      <c r="CC98" s="132"/>
      <c r="CD98" s="132"/>
      <c r="CE98" s="132"/>
      <c r="CF98" s="132"/>
      <c r="CG98" s="132"/>
      <c r="CH98" s="132"/>
      <c r="CI98" s="132"/>
      <c r="CJ98" s="132"/>
      <c r="CK98" s="132"/>
      <c r="CL98" s="132"/>
      <c r="CM98" s="132"/>
      <c r="CN98" s="132"/>
      <c r="CO98" s="132"/>
      <c r="CP98" s="132"/>
      <c r="CQ98" s="132"/>
      <c r="CR98" s="132"/>
      <c r="CS98" s="132"/>
      <c r="CT98" s="132"/>
      <c r="CU98" s="132"/>
      <c r="CV98" s="132"/>
      <c r="CW98" s="132"/>
      <c r="CX98" s="132"/>
      <c r="CY98" s="132"/>
      <c r="CZ98" s="132"/>
      <c r="DA98" s="132"/>
      <c r="DB98" s="132"/>
      <c r="DC98" s="132"/>
    </row>
    <row r="99" spans="1:107">
      <c r="A99" s="15"/>
      <c r="B99" s="876" t="s">
        <v>1118</v>
      </c>
      <c r="C99" s="15"/>
      <c r="D99" s="15"/>
      <c r="E99" s="15"/>
      <c r="F99" s="15"/>
      <c r="G99" s="15"/>
      <c r="H99" s="15"/>
      <c r="I99" s="15"/>
      <c r="J99" s="15"/>
      <c r="K99" s="783"/>
      <c r="L99" s="26"/>
      <c r="M99" s="26"/>
      <c r="N99" s="26"/>
      <c r="O99" s="26"/>
      <c r="P99" s="26"/>
      <c r="Q99" s="26"/>
      <c r="R99" s="26"/>
      <c r="S99" s="26"/>
      <c r="T99" s="26"/>
      <c r="U99" s="26">
        <f t="shared" ref="U99:Z99" si="159">T101</f>
        <v>0</v>
      </c>
      <c r="V99" s="26">
        <f t="shared" si="159"/>
        <v>397.19900000000001</v>
      </c>
      <c r="W99" s="26">
        <f t="shared" si="159"/>
        <v>397.19900000000001</v>
      </c>
      <c r="X99" s="26">
        <f t="shared" si="159"/>
        <v>397.19900000000001</v>
      </c>
      <c r="Y99" s="26">
        <f t="shared" si="159"/>
        <v>397.19900000000001</v>
      </c>
      <c r="Z99" s="26">
        <f t="shared" si="159"/>
        <v>397.19900000000001</v>
      </c>
      <c r="AA99" s="26">
        <f t="shared" ref="AA99" si="160">Z101</f>
        <v>397.19900000000001</v>
      </c>
      <c r="AB99" s="26">
        <f t="shared" ref="AB99" si="161">AA101</f>
        <v>397.19900000000001</v>
      </c>
      <c r="AC99" s="26">
        <f t="shared" ref="AC99" si="162">AB101</f>
        <v>397.19900000000001</v>
      </c>
      <c r="AD99" s="26">
        <f t="shared" ref="AD99" si="163">AC101</f>
        <v>397.19900000000001</v>
      </c>
      <c r="AE99" s="15"/>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c r="BD99" s="26"/>
      <c r="BE99" s="26"/>
      <c r="BF99" s="26"/>
      <c r="BG99" s="26"/>
      <c r="BH99" s="26"/>
      <c r="BI99" s="26"/>
      <c r="BJ99" s="26"/>
      <c r="BK99" s="26"/>
      <c r="BL99" s="26"/>
      <c r="BM99" s="26"/>
      <c r="BN99" s="26"/>
      <c r="BO99" s="26"/>
      <c r="BP99" s="26"/>
      <c r="BQ99" s="26"/>
      <c r="BR99" s="26"/>
      <c r="BS99" s="26"/>
      <c r="BT99" s="26"/>
      <c r="BU99" s="26"/>
      <c r="BV99" s="26"/>
      <c r="BW99" s="26"/>
      <c r="BX99" s="26"/>
      <c r="BY99" s="26"/>
      <c r="BZ99" s="26"/>
      <c r="CA99" s="26"/>
      <c r="CB99" s="26"/>
      <c r="CC99" s="26"/>
      <c r="CD99" s="26"/>
      <c r="CE99" s="26"/>
      <c r="CF99" s="26"/>
      <c r="CG99" s="26"/>
      <c r="CH99" s="26"/>
      <c r="CI99" s="26"/>
      <c r="CJ99" s="26"/>
      <c r="CK99" s="26"/>
      <c r="CL99" s="26"/>
      <c r="CM99" s="26"/>
      <c r="CN99" s="26"/>
      <c r="CO99" s="26"/>
      <c r="CP99" s="26"/>
      <c r="CQ99" s="26"/>
      <c r="CR99" s="26"/>
      <c r="CS99" s="26"/>
      <c r="CT99" s="26"/>
      <c r="CU99" s="26">
        <f>CT101</f>
        <v>0</v>
      </c>
      <c r="CV99" s="26">
        <f>CU101</f>
        <v>397.19900000000001</v>
      </c>
      <c r="CW99" s="26">
        <f>CV101</f>
        <v>397.19900000000001</v>
      </c>
      <c r="CX99" s="26">
        <f>CW101</f>
        <v>397.19900000000001</v>
      </c>
      <c r="CY99" s="26">
        <f>CX101</f>
        <v>397.19900000000001</v>
      </c>
      <c r="CZ99" s="26">
        <f t="shared" ref="CZ99:DC99" si="164">CY101</f>
        <v>397.19900000000001</v>
      </c>
      <c r="DA99" s="26">
        <f t="shared" si="164"/>
        <v>397.19900000000001</v>
      </c>
      <c r="DB99" s="26">
        <f t="shared" si="164"/>
        <v>397.19900000000001</v>
      </c>
      <c r="DC99" s="26">
        <f t="shared" si="164"/>
        <v>397.19900000000001</v>
      </c>
    </row>
    <row r="100" spans="1:107">
      <c r="A100" s="15"/>
      <c r="B100" s="876" t="s">
        <v>1121</v>
      </c>
      <c r="C100" s="15"/>
      <c r="D100" s="15"/>
      <c r="E100" s="15"/>
      <c r="F100" s="15"/>
      <c r="G100" s="15"/>
      <c r="H100" s="15"/>
      <c r="I100" s="15"/>
      <c r="J100" s="15"/>
      <c r="K100" s="783"/>
      <c r="L100" s="26"/>
      <c r="M100" s="26"/>
      <c r="N100" s="26"/>
      <c r="O100" s="26"/>
      <c r="P100" s="26"/>
      <c r="Q100" s="26"/>
      <c r="R100" s="26"/>
      <c r="S100" s="26"/>
      <c r="T100" s="26"/>
      <c r="U100" s="26">
        <f>+SUM(CR100:CU100)</f>
        <v>397.19900000000001</v>
      </c>
      <c r="V100" s="26">
        <f>+SUM(CV100:CY100)</f>
        <v>0</v>
      </c>
      <c r="W100" s="26">
        <f>+SUM(CZ100:DC100)</f>
        <v>0</v>
      </c>
      <c r="X100" s="1000">
        <v>0</v>
      </c>
      <c r="Y100" s="1000">
        <v>0</v>
      </c>
      <c r="Z100" s="1000">
        <v>0</v>
      </c>
      <c r="AA100" s="1000">
        <v>0</v>
      </c>
      <c r="AB100" s="1000">
        <v>0</v>
      </c>
      <c r="AC100" s="1000">
        <v>0</v>
      </c>
      <c r="AD100" s="1000">
        <v>0</v>
      </c>
      <c r="AE100" s="15"/>
      <c r="AF100" s="783"/>
      <c r="AG100" s="783"/>
      <c r="AH100" s="783"/>
      <c r="AI100" s="783"/>
      <c r="AJ100" s="783"/>
      <c r="AK100" s="783"/>
      <c r="AL100" s="783"/>
      <c r="AM100" s="783"/>
      <c r="AN100" s="783"/>
      <c r="AO100" s="783"/>
      <c r="AP100" s="783"/>
      <c r="AQ100" s="783"/>
      <c r="AR100" s="783"/>
      <c r="AS100" s="783"/>
      <c r="AT100" s="783"/>
      <c r="AU100" s="783"/>
      <c r="AV100" s="783"/>
      <c r="AW100" s="783"/>
      <c r="AX100" s="783"/>
      <c r="AY100" s="783"/>
      <c r="AZ100" s="783"/>
      <c r="BA100" s="783"/>
      <c r="BB100" s="783"/>
      <c r="BC100" s="783"/>
      <c r="BD100" s="783"/>
      <c r="BE100" s="783"/>
      <c r="BF100" s="783"/>
      <c r="BG100" s="783"/>
      <c r="BH100" s="783"/>
      <c r="BI100" s="783"/>
      <c r="BJ100" s="398"/>
      <c r="BK100" s="398"/>
      <c r="BL100" s="398"/>
      <c r="BM100" s="398"/>
      <c r="BN100" s="398"/>
      <c r="BO100" s="398"/>
      <c r="BP100" s="54"/>
      <c r="BQ100" s="54"/>
      <c r="BR100" s="398"/>
      <c r="BS100" s="398"/>
      <c r="BT100" s="398"/>
      <c r="BU100" s="1002"/>
      <c r="BV100" s="398"/>
      <c r="BW100" s="398"/>
      <c r="BX100" s="398"/>
      <c r="BY100" s="398"/>
      <c r="BZ100" s="398"/>
      <c r="CA100" s="398"/>
      <c r="CB100" s="398"/>
      <c r="CC100" s="398"/>
      <c r="CD100" s="398"/>
      <c r="CE100" s="398"/>
      <c r="CF100" s="398"/>
      <c r="CG100" s="398"/>
      <c r="CH100" s="398"/>
      <c r="CI100" s="398"/>
      <c r="CJ100" s="398"/>
      <c r="CK100" s="398"/>
      <c r="CL100" s="398"/>
      <c r="CM100" s="398"/>
      <c r="CN100" s="398"/>
      <c r="CO100" s="398"/>
      <c r="CP100" s="398"/>
      <c r="CQ100" s="398"/>
      <c r="CR100" s="2105"/>
      <c r="CS100" s="2105"/>
      <c r="CT100" s="2122"/>
      <c r="CU100" s="398">
        <v>397.19900000000001</v>
      </c>
      <c r="CV100" s="398"/>
      <c r="CW100" s="398"/>
      <c r="CX100" s="398"/>
      <c r="CY100" s="398"/>
      <c r="CZ100" s="398"/>
      <c r="DA100" s="398"/>
      <c r="DB100" s="398"/>
      <c r="DC100" s="398"/>
    </row>
    <row r="101" spans="1:107" ht="12.75" customHeight="1">
      <c r="A101" s="15"/>
      <c r="B101" s="876" t="s">
        <v>261</v>
      </c>
      <c r="C101" s="15"/>
      <c r="D101" s="15"/>
      <c r="E101" s="15"/>
      <c r="F101" s="15"/>
      <c r="G101" s="15"/>
      <c r="H101" s="15"/>
      <c r="I101" s="15"/>
      <c r="J101" s="15"/>
      <c r="K101" s="783"/>
      <c r="L101" s="26"/>
      <c r="M101" s="26"/>
      <c r="N101" s="26"/>
      <c r="O101" s="26"/>
      <c r="P101" s="26"/>
      <c r="Q101" s="26"/>
      <c r="R101" s="26"/>
      <c r="S101" s="26"/>
      <c r="T101" s="26"/>
      <c r="U101" s="26">
        <f t="shared" ref="U101:Z101" si="165">SUM(U99:U100)</f>
        <v>397.19900000000001</v>
      </c>
      <c r="V101" s="26">
        <f t="shared" si="165"/>
        <v>397.19900000000001</v>
      </c>
      <c r="W101" s="26">
        <f t="shared" ref="W101" si="166">SUM(W99:W100)</f>
        <v>397.19900000000001</v>
      </c>
      <c r="X101" s="26">
        <f t="shared" si="165"/>
        <v>397.19900000000001</v>
      </c>
      <c r="Y101" s="26">
        <f t="shared" si="165"/>
        <v>397.19900000000001</v>
      </c>
      <c r="Z101" s="26">
        <f t="shared" si="165"/>
        <v>397.19900000000001</v>
      </c>
      <c r="AA101" s="26">
        <f t="shared" ref="AA101:AD101" si="167">SUM(AA99:AA100)</f>
        <v>397.19900000000001</v>
      </c>
      <c r="AB101" s="26">
        <f t="shared" si="167"/>
        <v>397.19900000000001</v>
      </c>
      <c r="AC101" s="26">
        <f t="shared" si="167"/>
        <v>397.19900000000001</v>
      </c>
      <c r="AD101" s="26">
        <f t="shared" si="167"/>
        <v>397.19900000000001</v>
      </c>
      <c r="AE101" s="15"/>
      <c r="AF101" s="54"/>
      <c r="AG101" s="54"/>
      <c r="AH101" s="54"/>
      <c r="AI101" s="54"/>
      <c r="AJ101" s="54"/>
      <c r="AK101" s="54"/>
      <c r="AL101" s="54"/>
      <c r="AM101" s="54"/>
      <c r="AN101" s="54"/>
      <c r="AO101" s="54"/>
      <c r="AP101" s="54"/>
      <c r="AQ101" s="54"/>
      <c r="AR101" s="54"/>
      <c r="AS101" s="54"/>
      <c r="AT101" s="54"/>
      <c r="AU101" s="54"/>
      <c r="AV101" s="54"/>
      <c r="AW101" s="54"/>
      <c r="AX101" s="54"/>
      <c r="AY101" s="54"/>
      <c r="AZ101" s="54"/>
      <c r="BA101" s="54"/>
      <c r="BB101" s="54"/>
      <c r="BC101" s="54"/>
      <c r="BD101" s="54"/>
      <c r="BE101" s="54"/>
      <c r="BF101" s="54"/>
      <c r="BG101" s="54"/>
      <c r="BH101" s="54"/>
      <c r="BI101" s="54"/>
      <c r="BJ101" s="54"/>
      <c r="BK101" s="54"/>
      <c r="BL101" s="54"/>
      <c r="BM101" s="54"/>
      <c r="BN101" s="54"/>
      <c r="BO101" s="54"/>
      <c r="BP101" s="398"/>
      <c r="BQ101" s="398"/>
      <c r="BR101" s="54"/>
      <c r="BS101" s="54"/>
      <c r="BT101" s="54"/>
      <c r="BU101" s="54"/>
      <c r="BV101" s="391"/>
      <c r="BW101" s="391"/>
      <c r="BX101" s="391"/>
      <c r="BY101" s="54"/>
      <c r="BZ101" s="54"/>
      <c r="CA101" s="54"/>
      <c r="CB101" s="54"/>
      <c r="CC101" s="54"/>
      <c r="CD101" s="54"/>
      <c r="CE101" s="54"/>
      <c r="CF101" s="54"/>
      <c r="CG101" s="54"/>
      <c r="CH101" s="54"/>
      <c r="CI101" s="54"/>
      <c r="CJ101" s="54"/>
      <c r="CK101" s="54"/>
      <c r="CL101" s="54"/>
      <c r="CM101" s="54"/>
      <c r="CN101" s="54"/>
      <c r="CO101" s="54"/>
      <c r="CP101" s="54"/>
      <c r="CQ101" s="54"/>
      <c r="CR101" s="54"/>
      <c r="CS101" s="54"/>
      <c r="CT101" s="54"/>
      <c r="CU101" s="54">
        <f>SUM(CU99:CU100)</f>
        <v>397.19900000000001</v>
      </c>
      <c r="CV101" s="54">
        <f>SUM(CV99:CV100)</f>
        <v>397.19900000000001</v>
      </c>
      <c r="CW101" s="54">
        <f>SUM(CW99:CW100)</f>
        <v>397.19900000000001</v>
      </c>
      <c r="CX101" s="54">
        <f>SUM(CX99:CX100)</f>
        <v>397.19900000000001</v>
      </c>
      <c r="CY101" s="54">
        <f>SUM(CY99:CY100)</f>
        <v>397.19900000000001</v>
      </c>
      <c r="CZ101" s="54">
        <f t="shared" ref="CZ101:DC101" si="168">SUM(CZ99:CZ100)</f>
        <v>397.19900000000001</v>
      </c>
      <c r="DA101" s="54">
        <f t="shared" si="168"/>
        <v>397.19900000000001</v>
      </c>
      <c r="DB101" s="54">
        <f t="shared" si="168"/>
        <v>397.19900000000001</v>
      </c>
      <c r="DC101" s="54">
        <f t="shared" si="168"/>
        <v>397.19900000000001</v>
      </c>
    </row>
    <row r="102" spans="1:107">
      <c r="A102" s="15"/>
      <c r="B102" s="876" t="s">
        <v>262</v>
      </c>
      <c r="C102" s="15"/>
      <c r="D102" s="15"/>
      <c r="E102" s="15"/>
      <c r="F102" s="15"/>
      <c r="G102" s="15"/>
      <c r="H102" s="15"/>
      <c r="I102" s="15"/>
      <c r="J102" s="15"/>
      <c r="K102" s="789"/>
      <c r="L102" s="26"/>
      <c r="M102" s="26"/>
      <c r="N102" s="26"/>
      <c r="O102" s="15"/>
      <c r="P102" s="15"/>
      <c r="Q102" s="15"/>
      <c r="R102" s="15"/>
      <c r="S102" s="15"/>
      <c r="T102" s="15"/>
      <c r="U102" s="15"/>
      <c r="V102" s="15"/>
      <c r="W102" s="15"/>
      <c r="X102" s="15"/>
      <c r="Y102" s="15"/>
      <c r="Z102" s="15"/>
      <c r="AA102" s="15"/>
      <c r="AB102" s="15"/>
      <c r="AC102" s="15"/>
      <c r="AD102" s="15"/>
      <c r="AE102" s="15"/>
      <c r="AF102" s="789"/>
      <c r="AG102" s="789"/>
      <c r="AH102" s="789"/>
      <c r="AI102" s="789"/>
      <c r="AJ102" s="789"/>
      <c r="AK102" s="789"/>
      <c r="AL102" s="789"/>
      <c r="AM102" s="789"/>
      <c r="AN102" s="789"/>
      <c r="AO102" s="789"/>
      <c r="AP102" s="789"/>
      <c r="AQ102" s="789"/>
      <c r="AR102" s="789"/>
      <c r="AS102" s="789"/>
      <c r="AT102" s="789"/>
      <c r="AU102" s="789"/>
      <c r="AV102" s="789"/>
      <c r="AW102" s="789"/>
      <c r="AX102" s="789"/>
      <c r="AY102" s="789"/>
      <c r="AZ102" s="789"/>
      <c r="BA102" s="789"/>
      <c r="BB102" s="789"/>
      <c r="BC102" s="789"/>
      <c r="BD102" s="789"/>
      <c r="BE102" s="789"/>
      <c r="BF102" s="789"/>
      <c r="BG102" s="789"/>
      <c r="BH102" s="789"/>
      <c r="BI102" s="789"/>
      <c r="BJ102" s="789"/>
      <c r="BK102" s="789"/>
      <c r="BL102" s="789"/>
      <c r="BM102" s="789"/>
      <c r="BN102" s="789"/>
      <c r="BO102" s="398"/>
      <c r="BP102" s="398"/>
      <c r="BQ102" s="398"/>
      <c r="BR102" s="398"/>
      <c r="BS102" s="398"/>
      <c r="BT102" s="398"/>
      <c r="BU102" s="398"/>
      <c r="BV102" s="398"/>
      <c r="BW102" s="398"/>
      <c r="BX102" s="789"/>
      <c r="BY102" s="789"/>
      <c r="BZ102" s="789"/>
      <c r="CA102" s="789"/>
      <c r="CB102" s="789"/>
      <c r="CC102" s="789"/>
      <c r="CD102" s="789"/>
      <c r="CE102" s="789"/>
      <c r="CF102" s="789"/>
      <c r="CG102" s="789"/>
      <c r="CH102" s="789"/>
      <c r="CI102" s="789"/>
      <c r="CJ102" s="789"/>
      <c r="CK102" s="789"/>
      <c r="CL102" s="789"/>
      <c r="CM102" s="789"/>
      <c r="CN102" s="789"/>
      <c r="CO102" s="789"/>
      <c r="CP102" s="789"/>
      <c r="CQ102" s="789"/>
      <c r="CR102" s="789"/>
      <c r="CS102" s="789"/>
      <c r="CT102" s="789"/>
      <c r="CU102" s="789"/>
      <c r="CV102" s="789"/>
      <c r="CW102" s="789"/>
      <c r="CX102" s="789"/>
      <c r="CY102" s="789"/>
      <c r="CZ102" s="789"/>
      <c r="DA102" s="789"/>
      <c r="DB102" s="789"/>
      <c r="DC102" s="789"/>
    </row>
    <row r="103" spans="1:107">
      <c r="A103" s="15"/>
      <c r="B103" s="876"/>
      <c r="C103" s="15"/>
      <c r="D103" s="15"/>
      <c r="E103" s="15"/>
      <c r="F103" s="15"/>
      <c r="G103" s="15"/>
      <c r="H103" s="15"/>
      <c r="I103" s="15"/>
      <c r="J103" s="15"/>
      <c r="K103" s="789"/>
      <c r="L103" s="26"/>
      <c r="M103" s="26"/>
      <c r="N103" s="26"/>
      <c r="O103" s="15"/>
      <c r="P103" s="15"/>
      <c r="Q103" s="15"/>
      <c r="R103" s="15"/>
      <c r="S103" s="15"/>
      <c r="T103" s="15"/>
      <c r="U103" s="15"/>
      <c r="V103" s="15"/>
      <c r="W103" s="15"/>
      <c r="X103" s="15"/>
      <c r="Y103" s="15"/>
      <c r="Z103" s="15"/>
      <c r="AA103" s="15"/>
      <c r="AB103" s="15"/>
      <c r="AC103" s="15"/>
      <c r="AD103" s="15"/>
      <c r="AE103" s="15"/>
      <c r="AF103" s="789"/>
      <c r="AG103" s="789"/>
      <c r="AH103" s="789"/>
      <c r="AI103" s="789"/>
      <c r="AJ103" s="789"/>
      <c r="AK103" s="789"/>
      <c r="AL103" s="789"/>
      <c r="AM103" s="789"/>
      <c r="AN103" s="789"/>
      <c r="AO103" s="789"/>
      <c r="AP103" s="789"/>
      <c r="AQ103" s="789"/>
      <c r="AR103" s="789"/>
      <c r="AS103" s="789"/>
      <c r="AT103" s="789"/>
      <c r="AU103" s="789"/>
      <c r="AV103" s="789"/>
      <c r="AW103" s="789"/>
      <c r="AX103" s="789"/>
      <c r="AY103" s="789"/>
      <c r="AZ103" s="789"/>
      <c r="BA103" s="789"/>
      <c r="BB103" s="789"/>
      <c r="BC103" s="789"/>
      <c r="BD103" s="789"/>
      <c r="BE103" s="789"/>
      <c r="BF103" s="789"/>
      <c r="BG103" s="789"/>
      <c r="BH103" s="789"/>
      <c r="BI103" s="789"/>
      <c r="BJ103" s="789"/>
      <c r="BK103" s="789"/>
      <c r="BL103" s="789"/>
      <c r="BM103" s="789"/>
      <c r="BN103" s="789"/>
      <c r="BO103" s="398"/>
      <c r="BP103" s="398"/>
      <c r="BQ103" s="398"/>
      <c r="BR103" s="398"/>
      <c r="BS103" s="398"/>
      <c r="BT103" s="398"/>
      <c r="BU103" s="398"/>
      <c r="BV103" s="398"/>
      <c r="BW103" s="398"/>
      <c r="BX103" s="789"/>
      <c r="BY103" s="789"/>
      <c r="BZ103" s="789"/>
      <c r="CA103" s="789"/>
      <c r="CB103" s="789"/>
      <c r="CC103" s="789"/>
      <c r="CD103" s="789"/>
      <c r="CE103" s="789"/>
      <c r="CF103" s="789"/>
      <c r="CG103" s="789"/>
      <c r="CH103" s="789"/>
      <c r="CI103" s="789"/>
      <c r="CJ103" s="789"/>
      <c r="CK103" s="789"/>
      <c r="CL103" s="789"/>
      <c r="CM103" s="789"/>
      <c r="CN103" s="789"/>
      <c r="CO103" s="789"/>
      <c r="CP103" s="789"/>
      <c r="CQ103" s="789"/>
      <c r="CR103" s="789"/>
      <c r="CS103" s="789"/>
      <c r="CT103" s="789"/>
      <c r="CU103" s="789"/>
      <c r="CV103" s="789"/>
      <c r="CW103" s="789"/>
      <c r="CX103" s="789"/>
      <c r="CY103" s="789"/>
      <c r="CZ103" s="789"/>
      <c r="DA103" s="789"/>
      <c r="DB103" s="789"/>
      <c r="DC103" s="789"/>
    </row>
    <row r="104" spans="1:107" hidden="1" outlineLevel="1" collapsed="1">
      <c r="A104" s="2196"/>
      <c r="B104" s="89" t="s">
        <v>2660</v>
      </c>
      <c r="C104" s="132"/>
      <c r="D104" s="132"/>
      <c r="E104" s="132"/>
      <c r="F104" s="132"/>
      <c r="G104" s="132"/>
      <c r="H104" s="132"/>
      <c r="I104" s="132"/>
      <c r="J104" s="132"/>
      <c r="K104" s="132"/>
      <c r="L104" s="132"/>
      <c r="M104" s="132"/>
      <c r="N104" s="132"/>
      <c r="O104" s="132"/>
      <c r="P104" s="132"/>
      <c r="Q104" s="132"/>
      <c r="R104" s="132"/>
      <c r="S104" s="132"/>
      <c r="T104" s="132"/>
      <c r="U104" s="132"/>
      <c r="V104" s="132"/>
      <c r="W104" s="132"/>
      <c r="X104" s="132"/>
      <c r="Y104" s="132"/>
      <c r="Z104" s="132"/>
      <c r="AA104" s="132"/>
      <c r="AB104" s="132"/>
      <c r="AC104" s="132"/>
      <c r="AD104" s="132"/>
      <c r="AE104" s="15"/>
      <c r="AF104" s="132"/>
      <c r="AG104" s="132"/>
      <c r="AH104" s="132"/>
      <c r="AI104" s="132"/>
      <c r="AJ104" s="132"/>
      <c r="AK104" s="132"/>
      <c r="AL104" s="132"/>
      <c r="AM104" s="132"/>
      <c r="AN104" s="132"/>
      <c r="AO104" s="132"/>
      <c r="AP104" s="132"/>
      <c r="AQ104" s="132"/>
      <c r="AR104" s="132"/>
      <c r="AS104" s="132"/>
      <c r="AT104" s="132"/>
      <c r="AU104" s="132"/>
      <c r="AV104" s="132"/>
      <c r="AW104" s="132"/>
      <c r="AX104" s="132"/>
      <c r="AY104" s="132"/>
      <c r="AZ104" s="132"/>
      <c r="BA104" s="132"/>
      <c r="BB104" s="132"/>
      <c r="BC104" s="132"/>
      <c r="BD104" s="132"/>
      <c r="BE104" s="132"/>
      <c r="BF104" s="132"/>
      <c r="BG104" s="132"/>
      <c r="BH104" s="132"/>
      <c r="BI104" s="132"/>
      <c r="BJ104" s="132"/>
      <c r="BK104" s="132"/>
      <c r="BL104" s="132"/>
      <c r="BM104" s="132"/>
      <c r="BN104" s="132"/>
      <c r="BO104" s="132"/>
      <c r="BP104" s="132"/>
      <c r="BQ104" s="132"/>
      <c r="BR104" s="132"/>
      <c r="BS104" s="132"/>
      <c r="BT104" s="132"/>
      <c r="BU104" s="132"/>
      <c r="BV104" s="132"/>
      <c r="BW104" s="132"/>
      <c r="BX104" s="132"/>
      <c r="BY104" s="132"/>
      <c r="BZ104" s="132"/>
      <c r="CA104" s="132"/>
      <c r="CB104" s="132"/>
      <c r="CC104" s="132"/>
      <c r="CD104" s="132"/>
      <c r="CE104" s="132"/>
      <c r="CF104" s="132"/>
      <c r="CG104" s="132"/>
      <c r="CH104" s="132"/>
      <c r="CI104" s="132"/>
      <c r="CJ104" s="132"/>
      <c r="CK104" s="132"/>
      <c r="CL104" s="132"/>
      <c r="CM104" s="132"/>
      <c r="CN104" s="132"/>
      <c r="CO104" s="132"/>
      <c r="CP104" s="132"/>
      <c r="CQ104" s="132"/>
      <c r="CR104" s="132"/>
      <c r="CS104" s="132"/>
      <c r="CT104" s="132"/>
      <c r="CU104" s="132"/>
      <c r="CV104" s="132"/>
      <c r="CW104" s="132"/>
      <c r="CX104" s="132"/>
      <c r="CY104" s="132"/>
      <c r="CZ104" s="132"/>
      <c r="DA104" s="132"/>
      <c r="DB104" s="132"/>
      <c r="DC104" s="132"/>
    </row>
    <row r="105" spans="1:107" hidden="1" outlineLevel="1">
      <c r="A105" s="2196"/>
      <c r="B105" s="876" t="s">
        <v>1118</v>
      </c>
      <c r="C105" s="15"/>
      <c r="D105" s="15"/>
      <c r="E105" s="15"/>
      <c r="F105" s="15"/>
      <c r="G105" s="15"/>
      <c r="H105" s="15"/>
      <c r="I105" s="15"/>
      <c r="J105" s="15"/>
      <c r="K105" s="783"/>
      <c r="L105" s="26"/>
      <c r="M105" s="26"/>
      <c r="N105" s="26"/>
      <c r="O105" s="26"/>
      <c r="P105" s="26"/>
      <c r="Q105" s="26"/>
      <c r="R105" s="26"/>
      <c r="S105" s="26"/>
      <c r="T105" s="26"/>
      <c r="U105" s="26"/>
      <c r="V105" s="26">
        <f>U107</f>
        <v>0</v>
      </c>
      <c r="W105" s="26">
        <f>V107</f>
        <v>0</v>
      </c>
      <c r="X105" s="26">
        <f>W107</f>
        <v>0</v>
      </c>
      <c r="Y105" s="26">
        <f>X107</f>
        <v>0</v>
      </c>
      <c r="Z105" s="26">
        <f>Y107</f>
        <v>0</v>
      </c>
      <c r="AA105" s="26">
        <f t="shared" ref="AA105:AD105" si="169">Z107</f>
        <v>0</v>
      </c>
      <c r="AB105" s="26">
        <f t="shared" si="169"/>
        <v>0</v>
      </c>
      <c r="AC105" s="26">
        <f t="shared" si="169"/>
        <v>0</v>
      </c>
      <c r="AD105" s="26">
        <f t="shared" si="169"/>
        <v>0</v>
      </c>
      <c r="AE105" s="15"/>
      <c r="AF105" s="26"/>
      <c r="AG105" s="26"/>
      <c r="AH105" s="26"/>
      <c r="AI105" s="26"/>
      <c r="AJ105" s="26"/>
      <c r="AK105" s="26"/>
      <c r="AL105" s="26"/>
      <c r="AM105" s="26"/>
      <c r="AN105" s="26"/>
      <c r="AO105" s="26"/>
      <c r="AP105" s="26"/>
      <c r="AQ105" s="26"/>
      <c r="AR105" s="26"/>
      <c r="AS105" s="26"/>
      <c r="AT105" s="26"/>
      <c r="AU105" s="26"/>
      <c r="AV105" s="26"/>
      <c r="AW105" s="26"/>
      <c r="AX105" s="26"/>
      <c r="AY105" s="26"/>
      <c r="AZ105" s="26"/>
      <c r="BA105" s="26"/>
      <c r="BB105" s="26"/>
      <c r="BC105" s="26"/>
      <c r="BD105" s="26"/>
      <c r="BE105" s="26"/>
      <c r="BF105" s="26"/>
      <c r="BG105" s="26"/>
      <c r="BH105" s="26"/>
      <c r="BI105" s="26"/>
      <c r="BJ105" s="26"/>
      <c r="BK105" s="26"/>
      <c r="BL105" s="26"/>
      <c r="BM105" s="26"/>
      <c r="BN105" s="26"/>
      <c r="BO105" s="26"/>
      <c r="BP105" s="26"/>
      <c r="BQ105" s="26"/>
      <c r="BR105" s="26"/>
      <c r="BS105" s="26"/>
      <c r="BT105" s="26"/>
      <c r="BU105" s="26"/>
      <c r="BV105" s="26"/>
      <c r="BW105" s="26"/>
      <c r="BX105" s="26"/>
      <c r="BY105" s="26"/>
      <c r="BZ105" s="26"/>
      <c r="CA105" s="26"/>
      <c r="CB105" s="26"/>
      <c r="CC105" s="26"/>
      <c r="CD105" s="26"/>
      <c r="CE105" s="26"/>
      <c r="CF105" s="26"/>
      <c r="CG105" s="26"/>
      <c r="CH105" s="26"/>
      <c r="CI105" s="26"/>
      <c r="CJ105" s="26"/>
      <c r="CK105" s="26"/>
      <c r="CL105" s="26"/>
      <c r="CM105" s="26"/>
      <c r="CN105" s="26"/>
      <c r="CO105" s="26"/>
      <c r="CP105" s="26"/>
      <c r="CQ105" s="26"/>
      <c r="CR105" s="26"/>
      <c r="CS105" s="26"/>
      <c r="CT105" s="26"/>
      <c r="CU105" s="26"/>
      <c r="CV105" s="26">
        <f>CU107</f>
        <v>0</v>
      </c>
      <c r="CW105" s="26">
        <f>CV107</f>
        <v>1068.5999999999999</v>
      </c>
      <c r="CX105" s="26">
        <f>CW107</f>
        <v>1068.5999999999999</v>
      </c>
      <c r="CY105" s="26">
        <f>CX107</f>
        <v>1068.5999999999999</v>
      </c>
      <c r="CZ105" s="26">
        <f t="shared" ref="CZ105:DC105" si="170">CY107</f>
        <v>0</v>
      </c>
      <c r="DA105" s="26">
        <f t="shared" si="170"/>
        <v>0</v>
      </c>
      <c r="DB105" s="26">
        <f t="shared" si="170"/>
        <v>0</v>
      </c>
      <c r="DC105" s="26">
        <f t="shared" si="170"/>
        <v>0</v>
      </c>
    </row>
    <row r="106" spans="1:107" hidden="1" outlineLevel="1">
      <c r="A106" s="2196"/>
      <c r="B106" s="876" t="s">
        <v>1121</v>
      </c>
      <c r="C106" s="15"/>
      <c r="D106" s="15"/>
      <c r="E106" s="15"/>
      <c r="F106" s="15"/>
      <c r="G106" s="15"/>
      <c r="H106" s="15"/>
      <c r="I106" s="15"/>
      <c r="J106" s="15"/>
      <c r="K106" s="783"/>
      <c r="L106" s="26"/>
      <c r="M106" s="26"/>
      <c r="N106" s="26"/>
      <c r="O106" s="26"/>
      <c r="P106" s="26"/>
      <c r="Q106" s="26"/>
      <c r="R106" s="26"/>
      <c r="S106" s="26"/>
      <c r="T106" s="26"/>
      <c r="U106" s="26"/>
      <c r="V106" s="26">
        <f>+SUM(CV106:CY106)</f>
        <v>0</v>
      </c>
      <c r="W106" s="26">
        <f>+SUM(CZ106:DC106)</f>
        <v>0</v>
      </c>
      <c r="X106" s="1000">
        <v>0</v>
      </c>
      <c r="Y106" s="1000">
        <v>0</v>
      </c>
      <c r="Z106" s="1000">
        <v>0</v>
      </c>
      <c r="AA106" s="1000">
        <v>0</v>
      </c>
      <c r="AB106" s="1000">
        <v>0</v>
      </c>
      <c r="AC106" s="1000">
        <v>0</v>
      </c>
      <c r="AD106" s="1000">
        <v>0</v>
      </c>
      <c r="AE106" s="15"/>
      <c r="AF106" s="783"/>
      <c r="AG106" s="783"/>
      <c r="AH106" s="783"/>
      <c r="AI106" s="783"/>
      <c r="AJ106" s="783"/>
      <c r="AK106" s="783"/>
      <c r="AL106" s="783"/>
      <c r="AM106" s="783"/>
      <c r="AN106" s="783"/>
      <c r="AO106" s="783"/>
      <c r="AP106" s="783"/>
      <c r="AQ106" s="783"/>
      <c r="AR106" s="783"/>
      <c r="AS106" s="783"/>
      <c r="AT106" s="783"/>
      <c r="AU106" s="783"/>
      <c r="AV106" s="783"/>
      <c r="AW106" s="783"/>
      <c r="AX106" s="783"/>
      <c r="AY106" s="783"/>
      <c r="AZ106" s="783"/>
      <c r="BA106" s="783"/>
      <c r="BB106" s="783"/>
      <c r="BC106" s="783"/>
      <c r="BD106" s="783"/>
      <c r="BE106" s="783"/>
      <c r="BF106" s="783"/>
      <c r="BG106" s="783"/>
      <c r="BH106" s="783"/>
      <c r="BI106" s="783"/>
      <c r="BJ106" s="398"/>
      <c r="BK106" s="398"/>
      <c r="BL106" s="398"/>
      <c r="BM106" s="398"/>
      <c r="BN106" s="398"/>
      <c r="BO106" s="398"/>
      <c r="BP106" s="54"/>
      <c r="BQ106" s="54"/>
      <c r="BR106" s="398"/>
      <c r="BS106" s="398"/>
      <c r="BT106" s="398"/>
      <c r="BU106" s="1002"/>
      <c r="BV106" s="398"/>
      <c r="BW106" s="398"/>
      <c r="BX106" s="398"/>
      <c r="BY106" s="398"/>
      <c r="BZ106" s="398"/>
      <c r="CA106" s="398"/>
      <c r="CB106" s="398"/>
      <c r="CC106" s="398"/>
      <c r="CD106" s="398"/>
      <c r="CE106" s="398"/>
      <c r="CF106" s="398"/>
      <c r="CG106" s="398"/>
      <c r="CH106" s="398"/>
      <c r="CI106" s="398"/>
      <c r="CJ106" s="398"/>
      <c r="CK106" s="398"/>
      <c r="CL106" s="398"/>
      <c r="CM106" s="398"/>
      <c r="CN106" s="398"/>
      <c r="CO106" s="398"/>
      <c r="CP106" s="398"/>
      <c r="CQ106" s="398"/>
      <c r="CR106" s="2105"/>
      <c r="CS106" s="2105"/>
      <c r="CT106" s="2122"/>
      <c r="CU106" s="398"/>
      <c r="CV106" s="398">
        <v>1068.5999999999999</v>
      </c>
      <c r="CW106" s="398"/>
      <c r="CX106" s="398"/>
      <c r="CY106" s="398">
        <f>-CX107</f>
        <v>-1068.5999999999999</v>
      </c>
      <c r="CZ106" s="398"/>
      <c r="DA106" s="398"/>
      <c r="DB106" s="398"/>
      <c r="DC106" s="398"/>
    </row>
    <row r="107" spans="1:107" ht="12.75" hidden="1" customHeight="1" outlineLevel="1">
      <c r="A107" s="2196"/>
      <c r="B107" s="876" t="s">
        <v>261</v>
      </c>
      <c r="C107" s="15"/>
      <c r="D107" s="15"/>
      <c r="E107" s="15"/>
      <c r="F107" s="15"/>
      <c r="G107" s="15"/>
      <c r="H107" s="15"/>
      <c r="I107" s="15"/>
      <c r="J107" s="15"/>
      <c r="K107" s="783"/>
      <c r="L107" s="26"/>
      <c r="M107" s="26"/>
      <c r="N107" s="26"/>
      <c r="O107" s="26"/>
      <c r="P107" s="26"/>
      <c r="Q107" s="26"/>
      <c r="R107" s="26"/>
      <c r="S107" s="26"/>
      <c r="T107" s="26"/>
      <c r="U107" s="26"/>
      <c r="V107" s="26">
        <f>SUM(V105:V106)</f>
        <v>0</v>
      </c>
      <c r="W107" s="26">
        <f>SUM(W105:W106)</f>
        <v>0</v>
      </c>
      <c r="X107" s="26">
        <f>SUM(X105:X106)</f>
        <v>0</v>
      </c>
      <c r="Y107" s="26">
        <f>SUM(Y105:Y106)</f>
        <v>0</v>
      </c>
      <c r="Z107" s="26">
        <f>SUM(Z105:Z106)</f>
        <v>0</v>
      </c>
      <c r="AA107" s="26">
        <f t="shared" ref="AA107:AD107" si="171">SUM(AA105:AA106)</f>
        <v>0</v>
      </c>
      <c r="AB107" s="26">
        <f t="shared" si="171"/>
        <v>0</v>
      </c>
      <c r="AC107" s="26">
        <f t="shared" si="171"/>
        <v>0</v>
      </c>
      <c r="AD107" s="26">
        <f t="shared" si="171"/>
        <v>0</v>
      </c>
      <c r="AE107" s="15"/>
      <c r="AF107" s="54"/>
      <c r="AG107" s="54"/>
      <c r="AH107" s="54"/>
      <c r="AI107" s="54"/>
      <c r="AJ107" s="54"/>
      <c r="AK107" s="54"/>
      <c r="AL107" s="54"/>
      <c r="AM107" s="54"/>
      <c r="AN107" s="54"/>
      <c r="AO107" s="54"/>
      <c r="AP107" s="54"/>
      <c r="AQ107" s="54"/>
      <c r="AR107" s="54"/>
      <c r="AS107" s="54"/>
      <c r="AT107" s="54"/>
      <c r="AU107" s="54"/>
      <c r="AV107" s="54"/>
      <c r="AW107" s="54"/>
      <c r="AX107" s="54"/>
      <c r="AY107" s="54"/>
      <c r="AZ107" s="54"/>
      <c r="BA107" s="54"/>
      <c r="BB107" s="54"/>
      <c r="BC107" s="54"/>
      <c r="BD107" s="54"/>
      <c r="BE107" s="54"/>
      <c r="BF107" s="54"/>
      <c r="BG107" s="54"/>
      <c r="BH107" s="54"/>
      <c r="BI107" s="54"/>
      <c r="BJ107" s="54"/>
      <c r="BK107" s="54"/>
      <c r="BL107" s="54"/>
      <c r="BM107" s="54"/>
      <c r="BN107" s="54"/>
      <c r="BO107" s="54"/>
      <c r="BP107" s="398"/>
      <c r="BQ107" s="398"/>
      <c r="BR107" s="54"/>
      <c r="BS107" s="54"/>
      <c r="BT107" s="54"/>
      <c r="BU107" s="54"/>
      <c r="BV107" s="391"/>
      <c r="BW107" s="391"/>
      <c r="BX107" s="391"/>
      <c r="BY107" s="54"/>
      <c r="BZ107" s="54"/>
      <c r="CA107" s="54"/>
      <c r="CB107" s="54"/>
      <c r="CC107" s="54"/>
      <c r="CD107" s="54"/>
      <c r="CE107" s="54"/>
      <c r="CF107" s="54"/>
      <c r="CG107" s="54"/>
      <c r="CH107" s="54"/>
      <c r="CI107" s="54"/>
      <c r="CJ107" s="54"/>
      <c r="CK107" s="54"/>
      <c r="CL107" s="54"/>
      <c r="CM107" s="54"/>
      <c r="CN107" s="54"/>
      <c r="CO107" s="54"/>
      <c r="CP107" s="54"/>
      <c r="CQ107" s="54"/>
      <c r="CR107" s="54"/>
      <c r="CS107" s="54"/>
      <c r="CT107" s="54"/>
      <c r="CU107" s="54"/>
      <c r="CV107" s="54">
        <f>SUM(CV105:CV106)</f>
        <v>1068.5999999999999</v>
      </c>
      <c r="CW107" s="54">
        <f>SUM(CW105:CW106)</f>
        <v>1068.5999999999999</v>
      </c>
      <c r="CX107" s="54">
        <f>SUM(CX105:CX106)</f>
        <v>1068.5999999999999</v>
      </c>
      <c r="CY107" s="54">
        <f>SUM(CY105:CY106)</f>
        <v>0</v>
      </c>
      <c r="CZ107" s="54">
        <f t="shared" ref="CZ107:DC107" si="172">SUM(CZ105:CZ106)</f>
        <v>0</v>
      </c>
      <c r="DA107" s="54">
        <f t="shared" si="172"/>
        <v>0</v>
      </c>
      <c r="DB107" s="54">
        <f t="shared" si="172"/>
        <v>0</v>
      </c>
      <c r="DC107" s="54">
        <f t="shared" si="172"/>
        <v>0</v>
      </c>
    </row>
    <row r="108" spans="1:107" hidden="1" outlineLevel="1">
      <c r="A108" s="2196"/>
      <c r="B108" s="876" t="s">
        <v>262</v>
      </c>
      <c r="C108" s="15"/>
      <c r="D108" s="15"/>
      <c r="E108" s="15"/>
      <c r="F108" s="15"/>
      <c r="G108" s="15"/>
      <c r="H108" s="15"/>
      <c r="I108" s="15"/>
      <c r="J108" s="15"/>
      <c r="K108" s="789"/>
      <c r="L108" s="26"/>
      <c r="M108" s="26"/>
      <c r="N108" s="26"/>
      <c r="O108" s="15"/>
      <c r="P108" s="15"/>
      <c r="Q108" s="15"/>
      <c r="R108" s="15"/>
      <c r="S108" s="15"/>
      <c r="T108" s="15"/>
      <c r="U108" s="15"/>
      <c r="V108" s="15"/>
      <c r="W108" s="15"/>
      <c r="X108" s="15"/>
      <c r="Y108" s="15"/>
      <c r="Z108" s="15"/>
      <c r="AA108" s="15"/>
      <c r="AB108" s="15"/>
      <c r="AC108" s="15"/>
      <c r="AD108" s="15"/>
      <c r="AE108" s="15"/>
      <c r="AF108" s="789"/>
      <c r="AG108" s="789"/>
      <c r="AH108" s="789"/>
      <c r="AI108" s="789"/>
      <c r="AJ108" s="789"/>
      <c r="AK108" s="789"/>
      <c r="AL108" s="789"/>
      <c r="AM108" s="789"/>
      <c r="AN108" s="789"/>
      <c r="AO108" s="789"/>
      <c r="AP108" s="789"/>
      <c r="AQ108" s="789"/>
      <c r="AR108" s="789"/>
      <c r="AS108" s="789"/>
      <c r="AT108" s="789"/>
      <c r="AU108" s="789"/>
      <c r="AV108" s="789"/>
      <c r="AW108" s="789"/>
      <c r="AX108" s="789"/>
      <c r="AY108" s="789"/>
      <c r="AZ108" s="789"/>
      <c r="BA108" s="789"/>
      <c r="BB108" s="789"/>
      <c r="BC108" s="789"/>
      <c r="BD108" s="789"/>
      <c r="BE108" s="789"/>
      <c r="BF108" s="789"/>
      <c r="BG108" s="789"/>
      <c r="BH108" s="789"/>
      <c r="BI108" s="789"/>
      <c r="BJ108" s="789"/>
      <c r="BK108" s="789"/>
      <c r="BL108" s="789"/>
      <c r="BM108" s="789"/>
      <c r="BN108" s="789"/>
      <c r="BO108" s="398"/>
      <c r="BP108" s="398"/>
      <c r="BQ108" s="398"/>
      <c r="BR108" s="398"/>
      <c r="BS108" s="398"/>
      <c r="BT108" s="398"/>
      <c r="BU108" s="398"/>
      <c r="BV108" s="398"/>
      <c r="BW108" s="398"/>
      <c r="BX108" s="789"/>
      <c r="BY108" s="789"/>
      <c r="BZ108" s="789"/>
      <c r="CA108" s="789"/>
      <c r="CB108" s="789"/>
      <c r="CC108" s="789"/>
      <c r="CD108" s="789"/>
      <c r="CE108" s="789"/>
      <c r="CF108" s="789"/>
      <c r="CG108" s="789"/>
      <c r="CH108" s="789"/>
      <c r="CI108" s="789"/>
      <c r="CJ108" s="789"/>
      <c r="CK108" s="789"/>
      <c r="CL108" s="789"/>
      <c r="CM108" s="789"/>
      <c r="CN108" s="789"/>
      <c r="CO108" s="789"/>
      <c r="CP108" s="789"/>
      <c r="CQ108" s="789"/>
      <c r="CR108" s="789"/>
      <c r="CS108" s="789"/>
      <c r="CT108" s="789"/>
      <c r="CU108" s="789"/>
      <c r="CV108" s="789"/>
      <c r="CW108" s="789"/>
      <c r="CX108" s="789"/>
      <c r="CY108" s="789"/>
      <c r="CZ108" s="789"/>
      <c r="DA108" s="789"/>
      <c r="DB108" s="789"/>
      <c r="DC108" s="789"/>
    </row>
    <row r="109" spans="1:107" hidden="1" outlineLevel="1">
      <c r="A109" s="15"/>
      <c r="B109" s="876"/>
      <c r="C109" s="15"/>
      <c r="D109" s="15"/>
      <c r="E109" s="15"/>
      <c r="F109" s="15"/>
      <c r="G109" s="15"/>
      <c r="H109" s="15"/>
      <c r="I109" s="15"/>
      <c r="J109" s="15"/>
      <c r="K109" s="789"/>
      <c r="L109" s="26"/>
      <c r="M109" s="26"/>
      <c r="N109" s="26"/>
      <c r="O109" s="15"/>
      <c r="P109" s="15"/>
      <c r="Q109" s="15"/>
      <c r="R109" s="15"/>
      <c r="S109" s="15"/>
      <c r="T109" s="15"/>
      <c r="U109" s="15"/>
      <c r="V109" s="15"/>
      <c r="W109" s="15"/>
      <c r="X109" s="15"/>
      <c r="Y109" s="15"/>
      <c r="Z109" s="15"/>
      <c r="AA109" s="15"/>
      <c r="AB109" s="15"/>
      <c r="AC109" s="15"/>
      <c r="AD109" s="15"/>
      <c r="AE109" s="15"/>
      <c r="AF109" s="789"/>
      <c r="AG109" s="789"/>
      <c r="AH109" s="789"/>
      <c r="AI109" s="789"/>
      <c r="AJ109" s="789"/>
      <c r="AK109" s="789"/>
      <c r="AL109" s="789"/>
      <c r="AM109" s="789"/>
      <c r="AN109" s="789"/>
      <c r="AO109" s="789"/>
      <c r="AP109" s="789"/>
      <c r="AQ109" s="789"/>
      <c r="AR109" s="789"/>
      <c r="AS109" s="789"/>
      <c r="AT109" s="789"/>
      <c r="AU109" s="789"/>
      <c r="AV109" s="789"/>
      <c r="AW109" s="789"/>
      <c r="AX109" s="789"/>
      <c r="AY109" s="789"/>
      <c r="AZ109" s="789"/>
      <c r="BA109" s="789"/>
      <c r="BB109" s="789"/>
      <c r="BC109" s="789"/>
      <c r="BD109" s="789"/>
      <c r="BE109" s="789"/>
      <c r="BF109" s="789"/>
      <c r="BG109" s="789"/>
      <c r="BH109" s="789"/>
      <c r="BI109" s="789"/>
      <c r="BJ109" s="789"/>
      <c r="BK109" s="789"/>
      <c r="BL109" s="789"/>
      <c r="BM109" s="789"/>
      <c r="BN109" s="789"/>
      <c r="BO109" s="398"/>
      <c r="BP109" s="398"/>
      <c r="BQ109" s="398"/>
      <c r="BR109" s="398"/>
      <c r="BS109" s="398"/>
      <c r="BT109" s="398"/>
      <c r="BU109" s="398"/>
      <c r="BV109" s="398"/>
      <c r="BW109" s="398"/>
      <c r="BX109" s="789"/>
      <c r="BY109" s="789"/>
      <c r="BZ109" s="789"/>
      <c r="CA109" s="789"/>
      <c r="CB109" s="789"/>
      <c r="CC109" s="789"/>
      <c r="CD109" s="789"/>
      <c r="CE109" s="789"/>
      <c r="CF109" s="789"/>
      <c r="CG109" s="789"/>
      <c r="CH109" s="789"/>
      <c r="CI109" s="789"/>
      <c r="CJ109" s="789"/>
      <c r="CK109" s="789"/>
      <c r="CL109" s="789"/>
      <c r="CM109" s="789"/>
      <c r="CN109" s="789"/>
      <c r="CO109" s="789"/>
      <c r="CP109" s="789"/>
      <c r="CQ109" s="789"/>
      <c r="CR109" s="789"/>
      <c r="CS109" s="789"/>
      <c r="CT109" s="789"/>
      <c r="CU109" s="789"/>
      <c r="CV109" s="789"/>
      <c r="CW109" s="789"/>
      <c r="CX109" s="789"/>
      <c r="CY109" s="789"/>
      <c r="CZ109" s="789"/>
      <c r="DA109" s="789"/>
      <c r="DB109" s="789"/>
      <c r="DC109" s="789"/>
    </row>
    <row r="110" spans="1:107" hidden="1" outlineLevel="1">
      <c r="A110" s="2195"/>
      <c r="B110" s="995" t="s">
        <v>1451</v>
      </c>
      <c r="C110" s="995"/>
      <c r="D110" s="995"/>
      <c r="E110" s="995"/>
      <c r="F110" s="995"/>
      <c r="G110" s="995"/>
      <c r="H110" s="995"/>
      <c r="I110" s="995"/>
      <c r="J110" s="995"/>
      <c r="K110" s="995"/>
      <c r="L110" s="995"/>
      <c r="M110" s="995"/>
      <c r="N110" s="995"/>
      <c r="O110" s="995"/>
      <c r="P110" s="995"/>
      <c r="Q110" s="995"/>
      <c r="R110" s="995"/>
      <c r="S110" s="995"/>
      <c r="T110" s="995"/>
      <c r="U110" s="995"/>
      <c r="V110" s="995"/>
      <c r="W110" s="995"/>
      <c r="X110" s="995"/>
      <c r="Y110" s="995"/>
      <c r="Z110" s="995"/>
      <c r="AA110" s="995"/>
      <c r="AB110" s="995"/>
      <c r="AC110" s="995"/>
      <c r="AD110" s="995"/>
      <c r="AE110" s="15"/>
      <c r="AF110" s="995"/>
      <c r="AG110" s="995"/>
      <c r="AH110" s="995"/>
      <c r="AI110" s="995"/>
      <c r="AJ110" s="995"/>
      <c r="AK110" s="995"/>
      <c r="AL110" s="995"/>
      <c r="AM110" s="995"/>
      <c r="AN110" s="995"/>
      <c r="AO110" s="995"/>
      <c r="AP110" s="995"/>
      <c r="AQ110" s="995"/>
      <c r="AR110" s="995"/>
      <c r="AS110" s="995"/>
      <c r="AT110" s="995"/>
      <c r="AU110" s="995"/>
      <c r="AV110" s="995"/>
      <c r="AW110" s="995"/>
      <c r="AX110" s="995"/>
      <c r="AY110" s="995"/>
      <c r="AZ110" s="995"/>
      <c r="BA110" s="995"/>
      <c r="BB110" s="995"/>
      <c r="BC110" s="995"/>
      <c r="BD110" s="995"/>
      <c r="BE110" s="995"/>
      <c r="BF110" s="995"/>
      <c r="BG110" s="995"/>
      <c r="BH110" s="995"/>
      <c r="BI110" s="995"/>
      <c r="BJ110" s="995"/>
      <c r="BK110" s="995"/>
      <c r="BL110" s="995"/>
      <c r="BM110" s="995"/>
      <c r="BN110" s="995"/>
      <c r="BO110" s="995"/>
      <c r="BP110" s="995"/>
      <c r="BQ110" s="995"/>
      <c r="BR110" s="995"/>
      <c r="BS110" s="995"/>
      <c r="BT110" s="995"/>
      <c r="BU110" s="995"/>
      <c r="BV110" s="995"/>
      <c r="BW110" s="995"/>
      <c r="BX110" s="995"/>
      <c r="BY110" s="995"/>
      <c r="BZ110" s="995"/>
      <c r="CA110" s="995"/>
      <c r="CB110" s="995"/>
      <c r="CC110" s="995"/>
      <c r="CD110" s="995"/>
      <c r="CE110" s="995"/>
      <c r="CF110" s="995"/>
      <c r="CG110" s="995"/>
      <c r="CH110" s="995"/>
      <c r="CI110" s="995"/>
      <c r="CJ110" s="995"/>
      <c r="CK110" s="995"/>
      <c r="CL110" s="995"/>
      <c r="CM110" s="995"/>
      <c r="CN110" s="995"/>
      <c r="CO110" s="995"/>
      <c r="CP110" s="995"/>
      <c r="CQ110" s="995"/>
      <c r="CR110" s="995"/>
      <c r="CS110" s="995"/>
      <c r="CT110" s="995"/>
      <c r="CU110" s="995"/>
      <c r="CV110" s="995"/>
      <c r="CW110" s="995"/>
      <c r="CX110" s="995"/>
      <c r="CY110" s="995"/>
      <c r="CZ110" s="995"/>
      <c r="DA110" s="995"/>
      <c r="DB110" s="995"/>
      <c r="DC110" s="995"/>
    </row>
    <row r="111" spans="1:107" hidden="1" outlineLevel="1">
      <c r="A111" s="2195"/>
      <c r="B111" s="994" t="s">
        <v>1118</v>
      </c>
      <c r="C111" s="995"/>
      <c r="D111" s="995"/>
      <c r="E111" s="995"/>
      <c r="F111" s="995"/>
      <c r="G111" s="995"/>
      <c r="H111" s="995"/>
      <c r="I111" s="995"/>
      <c r="J111" s="995"/>
      <c r="K111" s="996"/>
      <c r="L111" s="996">
        <f>BK111</f>
        <v>0</v>
      </c>
      <c r="M111" s="996">
        <f>BO111</f>
        <v>6.0869999999999997</v>
      </c>
      <c r="N111" s="996">
        <f>BS111</f>
        <v>10.247</v>
      </c>
      <c r="O111" s="996">
        <f t="shared" ref="O111:Z111" si="173">N113</f>
        <v>9.3109999999999999</v>
      </c>
      <c r="P111" s="996">
        <f t="shared" si="173"/>
        <v>0</v>
      </c>
      <c r="Q111" s="996">
        <f t="shared" si="173"/>
        <v>0</v>
      </c>
      <c r="R111" s="996">
        <f t="shared" si="173"/>
        <v>0</v>
      </c>
      <c r="S111" s="996">
        <f t="shared" si="173"/>
        <v>0</v>
      </c>
      <c r="T111" s="996">
        <f t="shared" si="173"/>
        <v>0</v>
      </c>
      <c r="U111" s="996">
        <f t="shared" si="173"/>
        <v>0</v>
      </c>
      <c r="V111" s="996">
        <f t="shared" si="173"/>
        <v>0</v>
      </c>
      <c r="W111" s="996">
        <f t="shared" si="173"/>
        <v>0</v>
      </c>
      <c r="X111" s="996">
        <f t="shared" si="173"/>
        <v>0</v>
      </c>
      <c r="Y111" s="996">
        <f t="shared" si="173"/>
        <v>0</v>
      </c>
      <c r="Z111" s="996">
        <f t="shared" si="173"/>
        <v>0</v>
      </c>
      <c r="AA111" s="996">
        <f t="shared" ref="AA111" si="174">Z113</f>
        <v>0</v>
      </c>
      <c r="AB111" s="996">
        <f t="shared" ref="AB111" si="175">AA113</f>
        <v>0</v>
      </c>
      <c r="AC111" s="996">
        <f t="shared" ref="AC111" si="176">AB113</f>
        <v>0</v>
      </c>
      <c r="AD111" s="996">
        <f t="shared" ref="AD111" si="177">AC113</f>
        <v>0</v>
      </c>
      <c r="AE111" s="15"/>
      <c r="AF111" s="996"/>
      <c r="AG111" s="996"/>
      <c r="AH111" s="996"/>
      <c r="AI111" s="996"/>
      <c r="AJ111" s="996"/>
      <c r="AK111" s="996"/>
      <c r="AL111" s="996"/>
      <c r="AM111" s="996"/>
      <c r="AN111" s="996"/>
      <c r="AO111" s="996"/>
      <c r="AP111" s="996"/>
      <c r="AQ111" s="996"/>
      <c r="AR111" s="996"/>
      <c r="AS111" s="996"/>
      <c r="AT111" s="996"/>
      <c r="AU111" s="996"/>
      <c r="AV111" s="996"/>
      <c r="AW111" s="996"/>
      <c r="AX111" s="996"/>
      <c r="AY111" s="996"/>
      <c r="AZ111" s="996"/>
      <c r="BA111" s="996"/>
      <c r="BB111" s="996"/>
      <c r="BC111" s="996"/>
      <c r="BD111" s="996"/>
      <c r="BE111" s="996"/>
      <c r="BF111" s="996"/>
      <c r="BG111" s="996"/>
      <c r="BH111" s="996"/>
      <c r="BI111" s="996"/>
      <c r="BJ111" s="996"/>
      <c r="BK111" s="996"/>
      <c r="BL111" s="996">
        <v>0</v>
      </c>
      <c r="BM111" s="996">
        <f t="shared" ref="BM111:CU111" si="178">BL113</f>
        <v>8.0229999999999997</v>
      </c>
      <c r="BN111" s="996">
        <f t="shared" si="178"/>
        <v>7.8</v>
      </c>
      <c r="BO111" s="996">
        <f t="shared" si="178"/>
        <v>6.0869999999999997</v>
      </c>
      <c r="BP111" s="996">
        <f t="shared" si="178"/>
        <v>6.4850000000000003</v>
      </c>
      <c r="BQ111" s="996">
        <f t="shared" si="178"/>
        <v>6.71</v>
      </c>
      <c r="BR111" s="996">
        <f t="shared" si="178"/>
        <v>5.7789999999999999</v>
      </c>
      <c r="BS111" s="996">
        <f t="shared" si="178"/>
        <v>10.247</v>
      </c>
      <c r="BT111" s="996">
        <f t="shared" si="178"/>
        <v>9.3109999999999999</v>
      </c>
      <c r="BU111" s="996">
        <f t="shared" si="178"/>
        <v>8.7929999999999993</v>
      </c>
      <c r="BV111" s="996">
        <f t="shared" si="178"/>
        <v>0</v>
      </c>
      <c r="BW111" s="996">
        <f t="shared" si="178"/>
        <v>0</v>
      </c>
      <c r="BX111" s="996">
        <f t="shared" si="178"/>
        <v>0</v>
      </c>
      <c r="BY111" s="996">
        <f t="shared" si="178"/>
        <v>0</v>
      </c>
      <c r="BZ111" s="996">
        <f t="shared" si="178"/>
        <v>0</v>
      </c>
      <c r="CA111" s="996">
        <f t="shared" si="178"/>
        <v>0</v>
      </c>
      <c r="CB111" s="996">
        <f t="shared" si="178"/>
        <v>0</v>
      </c>
      <c r="CC111" s="996">
        <f t="shared" si="178"/>
        <v>0</v>
      </c>
      <c r="CD111" s="996">
        <f t="shared" si="178"/>
        <v>0</v>
      </c>
      <c r="CE111" s="996">
        <f t="shared" si="178"/>
        <v>0</v>
      </c>
      <c r="CF111" s="996">
        <f t="shared" si="178"/>
        <v>0</v>
      </c>
      <c r="CG111" s="996">
        <f t="shared" si="178"/>
        <v>0</v>
      </c>
      <c r="CH111" s="996">
        <f t="shared" si="178"/>
        <v>0</v>
      </c>
      <c r="CI111" s="996">
        <f t="shared" si="178"/>
        <v>0</v>
      </c>
      <c r="CJ111" s="996">
        <f t="shared" si="178"/>
        <v>0</v>
      </c>
      <c r="CK111" s="996">
        <f t="shared" si="178"/>
        <v>0</v>
      </c>
      <c r="CL111" s="996">
        <f t="shared" si="178"/>
        <v>0</v>
      </c>
      <c r="CM111" s="996">
        <f t="shared" si="178"/>
        <v>0</v>
      </c>
      <c r="CN111" s="996">
        <f t="shared" si="178"/>
        <v>0</v>
      </c>
      <c r="CO111" s="996">
        <f t="shared" si="178"/>
        <v>0</v>
      </c>
      <c r="CP111" s="996">
        <f t="shared" si="178"/>
        <v>0</v>
      </c>
      <c r="CQ111" s="996">
        <f t="shared" si="178"/>
        <v>0</v>
      </c>
      <c r="CR111" s="996">
        <f t="shared" si="178"/>
        <v>0</v>
      </c>
      <c r="CS111" s="996">
        <f t="shared" si="178"/>
        <v>0</v>
      </c>
      <c r="CT111" s="996">
        <f t="shared" si="178"/>
        <v>0</v>
      </c>
      <c r="CU111" s="996">
        <f t="shared" si="178"/>
        <v>0</v>
      </c>
      <c r="CV111" s="996">
        <f>CU113</f>
        <v>0</v>
      </c>
      <c r="CW111" s="996">
        <f>CV113</f>
        <v>0</v>
      </c>
      <c r="CX111" s="996">
        <f>CW113</f>
        <v>0</v>
      </c>
      <c r="CY111" s="996">
        <f>CX113</f>
        <v>0</v>
      </c>
      <c r="CZ111" s="996">
        <f t="shared" ref="CZ111:DC111" si="179">CY113</f>
        <v>0</v>
      </c>
      <c r="DA111" s="996">
        <f t="shared" si="179"/>
        <v>0</v>
      </c>
      <c r="DB111" s="996">
        <f t="shared" si="179"/>
        <v>0</v>
      </c>
      <c r="DC111" s="996">
        <f t="shared" si="179"/>
        <v>0</v>
      </c>
    </row>
    <row r="112" spans="1:107" hidden="1" outlineLevel="1">
      <c r="A112" s="2195"/>
      <c r="B112" s="994" t="s">
        <v>1121</v>
      </c>
      <c r="C112" s="995"/>
      <c r="D112" s="995"/>
      <c r="E112" s="995"/>
      <c r="F112" s="995"/>
      <c r="G112" s="995"/>
      <c r="H112" s="995"/>
      <c r="I112" s="995"/>
      <c r="J112" s="995"/>
      <c r="K112" s="996"/>
      <c r="L112" s="996">
        <f>BK112</f>
        <v>0</v>
      </c>
      <c r="M112" s="996">
        <f>BO112</f>
        <v>0.39800000000000058</v>
      </c>
      <c r="N112" s="996">
        <f>SUM(BP112:BS112)</f>
        <v>2.8259999999999996</v>
      </c>
      <c r="O112" s="996">
        <f>SUM(BT112:BW112)</f>
        <v>-9.3109999999999999</v>
      </c>
      <c r="P112" s="996">
        <v>0</v>
      </c>
      <c r="Q112" s="996">
        <v>0</v>
      </c>
      <c r="R112" s="996">
        <v>0</v>
      </c>
      <c r="S112" s="996">
        <v>0</v>
      </c>
      <c r="T112" s="996">
        <v>0</v>
      </c>
      <c r="U112" s="996">
        <v>0</v>
      </c>
      <c r="V112" s="996">
        <v>0</v>
      </c>
      <c r="W112" s="996">
        <v>0</v>
      </c>
      <c r="X112" s="996">
        <v>0</v>
      </c>
      <c r="Y112" s="996">
        <v>0</v>
      </c>
      <c r="Z112" s="996">
        <v>0</v>
      </c>
      <c r="AA112" s="996">
        <v>0</v>
      </c>
      <c r="AB112" s="996">
        <v>0</v>
      </c>
      <c r="AC112" s="996">
        <v>0</v>
      </c>
      <c r="AD112" s="996">
        <v>0</v>
      </c>
      <c r="AE112" s="15"/>
      <c r="AF112" s="996"/>
      <c r="AG112" s="996"/>
      <c r="AH112" s="996"/>
      <c r="AI112" s="996"/>
      <c r="AJ112" s="996"/>
      <c r="AK112" s="996"/>
      <c r="AL112" s="996"/>
      <c r="AM112" s="996"/>
      <c r="AN112" s="996"/>
      <c r="AO112" s="996"/>
      <c r="AP112" s="996"/>
      <c r="AQ112" s="996"/>
      <c r="AR112" s="996"/>
      <c r="AS112" s="996"/>
      <c r="AT112" s="996"/>
      <c r="AU112" s="996"/>
      <c r="AV112" s="996"/>
      <c r="AW112" s="996"/>
      <c r="AX112" s="996"/>
      <c r="AY112" s="996"/>
      <c r="AZ112" s="996"/>
      <c r="BA112" s="996"/>
      <c r="BB112" s="996"/>
      <c r="BC112" s="996"/>
      <c r="BD112" s="996"/>
      <c r="BE112" s="996"/>
      <c r="BF112" s="996"/>
      <c r="BG112" s="996"/>
      <c r="BH112" s="996"/>
      <c r="BI112" s="996"/>
      <c r="BJ112" s="996"/>
      <c r="BK112" s="996"/>
      <c r="BL112" s="996">
        <v>8.0229999999999997</v>
      </c>
      <c r="BM112" s="996">
        <v>-0.22299999999999986</v>
      </c>
      <c r="BN112" s="996">
        <v>-1.7130000000000001</v>
      </c>
      <c r="BO112" s="996">
        <v>0.39800000000000058</v>
      </c>
      <c r="BP112" s="996">
        <f>BP113-BP111</f>
        <v>0.22499999999999964</v>
      </c>
      <c r="BQ112" s="996">
        <f>BQ113-BQ111</f>
        <v>-0.93100000000000005</v>
      </c>
      <c r="BR112" s="996">
        <v>4.468</v>
      </c>
      <c r="BS112" s="996">
        <v>-0.93600000000000005</v>
      </c>
      <c r="BT112" s="996">
        <v>-0.51800000000000068</v>
      </c>
      <c r="BU112" s="996">
        <v>-8.7929999999999993</v>
      </c>
      <c r="BV112" s="996">
        <v>0</v>
      </c>
      <c r="BW112" s="996">
        <f t="shared" ref="BW112:CU112" si="180">BV112</f>
        <v>0</v>
      </c>
      <c r="BX112" s="996">
        <f t="shared" si="180"/>
        <v>0</v>
      </c>
      <c r="BY112" s="996">
        <f t="shared" si="180"/>
        <v>0</v>
      </c>
      <c r="BZ112" s="996">
        <f t="shared" si="180"/>
        <v>0</v>
      </c>
      <c r="CA112" s="996">
        <f t="shared" si="180"/>
        <v>0</v>
      </c>
      <c r="CB112" s="996">
        <f t="shared" si="180"/>
        <v>0</v>
      </c>
      <c r="CC112" s="996">
        <f t="shared" si="180"/>
        <v>0</v>
      </c>
      <c r="CD112" s="996">
        <f t="shared" si="180"/>
        <v>0</v>
      </c>
      <c r="CE112" s="996">
        <f t="shared" si="180"/>
        <v>0</v>
      </c>
      <c r="CF112" s="996">
        <f t="shared" si="180"/>
        <v>0</v>
      </c>
      <c r="CG112" s="996">
        <f t="shared" si="180"/>
        <v>0</v>
      </c>
      <c r="CH112" s="996">
        <f t="shared" si="180"/>
        <v>0</v>
      </c>
      <c r="CI112" s="996">
        <f t="shared" si="180"/>
        <v>0</v>
      </c>
      <c r="CJ112" s="996">
        <f t="shared" si="180"/>
        <v>0</v>
      </c>
      <c r="CK112" s="996">
        <f t="shared" si="180"/>
        <v>0</v>
      </c>
      <c r="CL112" s="996">
        <f t="shared" si="180"/>
        <v>0</v>
      </c>
      <c r="CM112" s="996">
        <f t="shared" si="180"/>
        <v>0</v>
      </c>
      <c r="CN112" s="996">
        <f t="shared" si="180"/>
        <v>0</v>
      </c>
      <c r="CO112" s="996">
        <f t="shared" si="180"/>
        <v>0</v>
      </c>
      <c r="CP112" s="996">
        <f t="shared" si="180"/>
        <v>0</v>
      </c>
      <c r="CQ112" s="996">
        <f t="shared" si="180"/>
        <v>0</v>
      </c>
      <c r="CR112" s="996">
        <f t="shared" si="180"/>
        <v>0</v>
      </c>
      <c r="CS112" s="996">
        <f t="shared" si="180"/>
        <v>0</v>
      </c>
      <c r="CT112" s="996">
        <f t="shared" si="180"/>
        <v>0</v>
      </c>
      <c r="CU112" s="996">
        <f t="shared" si="180"/>
        <v>0</v>
      </c>
      <c r="CV112" s="996">
        <f>CU112</f>
        <v>0</v>
      </c>
      <c r="CW112" s="996">
        <f>CV112</f>
        <v>0</v>
      </c>
      <c r="CX112" s="996">
        <f>CW112</f>
        <v>0</v>
      </c>
      <c r="CY112" s="996">
        <f>CX112</f>
        <v>0</v>
      </c>
      <c r="CZ112" s="996">
        <f t="shared" ref="CZ112:DC112" si="181">CY112</f>
        <v>0</v>
      </c>
      <c r="DA112" s="996">
        <f t="shared" si="181"/>
        <v>0</v>
      </c>
      <c r="DB112" s="996">
        <f t="shared" si="181"/>
        <v>0</v>
      </c>
      <c r="DC112" s="996">
        <f t="shared" si="181"/>
        <v>0</v>
      </c>
    </row>
    <row r="113" spans="1:107" hidden="1" outlineLevel="1">
      <c r="A113" s="2195"/>
      <c r="B113" s="994" t="s">
        <v>261</v>
      </c>
      <c r="C113" s="995"/>
      <c r="D113" s="995"/>
      <c r="E113" s="995"/>
      <c r="F113" s="995"/>
      <c r="G113" s="995"/>
      <c r="H113" s="995"/>
      <c r="I113" s="995"/>
      <c r="J113" s="995"/>
      <c r="K113" s="996"/>
      <c r="L113" s="996">
        <f>BK113</f>
        <v>0</v>
      </c>
      <c r="M113" s="996">
        <f>BO113</f>
        <v>6.4850000000000003</v>
      </c>
      <c r="N113" s="996">
        <f>BS113</f>
        <v>9.3109999999999999</v>
      </c>
      <c r="O113" s="996">
        <f t="shared" ref="O113:U113" si="182">SUM(O111:O112)</f>
        <v>0</v>
      </c>
      <c r="P113" s="996">
        <f t="shared" si="182"/>
        <v>0</v>
      </c>
      <c r="Q113" s="996">
        <f t="shared" si="182"/>
        <v>0</v>
      </c>
      <c r="R113" s="996">
        <f t="shared" si="182"/>
        <v>0</v>
      </c>
      <c r="S113" s="996">
        <f t="shared" si="182"/>
        <v>0</v>
      </c>
      <c r="T113" s="996">
        <f t="shared" si="182"/>
        <v>0</v>
      </c>
      <c r="U113" s="996">
        <f t="shared" si="182"/>
        <v>0</v>
      </c>
      <c r="V113" s="996">
        <f>SUM(V111:V112)</f>
        <v>0</v>
      </c>
      <c r="W113" s="996">
        <f>SUM(W111:W112)</f>
        <v>0</v>
      </c>
      <c r="X113" s="996">
        <v>0</v>
      </c>
      <c r="Y113" s="996">
        <v>0</v>
      </c>
      <c r="Z113" s="996">
        <v>0</v>
      </c>
      <c r="AA113" s="996">
        <v>0</v>
      </c>
      <c r="AB113" s="996">
        <v>0</v>
      </c>
      <c r="AC113" s="996">
        <v>0</v>
      </c>
      <c r="AD113" s="996">
        <v>0</v>
      </c>
      <c r="AE113" s="15"/>
      <c r="AF113" s="996"/>
      <c r="AG113" s="996"/>
      <c r="AH113" s="996"/>
      <c r="AI113" s="996"/>
      <c r="AJ113" s="996"/>
      <c r="AK113" s="996"/>
      <c r="AL113" s="996"/>
      <c r="AM113" s="996"/>
      <c r="AN113" s="996"/>
      <c r="AO113" s="996"/>
      <c r="AP113" s="996"/>
      <c r="AQ113" s="996"/>
      <c r="AR113" s="996"/>
      <c r="AS113" s="996"/>
      <c r="AT113" s="996"/>
      <c r="AU113" s="996"/>
      <c r="AV113" s="996"/>
      <c r="AW113" s="996"/>
      <c r="AX113" s="996"/>
      <c r="AY113" s="996"/>
      <c r="AZ113" s="996"/>
      <c r="BA113" s="996"/>
      <c r="BB113" s="996"/>
      <c r="BC113" s="996"/>
      <c r="BD113" s="996"/>
      <c r="BE113" s="996"/>
      <c r="BF113" s="996"/>
      <c r="BG113" s="996"/>
      <c r="BH113" s="996"/>
      <c r="BI113" s="996"/>
      <c r="BJ113" s="996"/>
      <c r="BK113" s="996"/>
      <c r="BL113" s="996">
        <f>SUM(BL111:BL112)</f>
        <v>8.0229999999999997</v>
      </c>
      <c r="BM113" s="996">
        <f>SUM(BM111:BM112)</f>
        <v>7.8</v>
      </c>
      <c r="BN113" s="996">
        <f>SUM(BN111:BN112)</f>
        <v>6.0869999999999997</v>
      </c>
      <c r="BO113" s="996">
        <f>SUM(BO111:BO112)</f>
        <v>6.4850000000000003</v>
      </c>
      <c r="BP113" s="996">
        <v>6.71</v>
      </c>
      <c r="BQ113" s="996">
        <v>5.7789999999999999</v>
      </c>
      <c r="BR113" s="996">
        <f>SUM(BR111:BR112)</f>
        <v>10.247</v>
      </c>
      <c r="BS113" s="996">
        <f>SUM(BS111:BS112)</f>
        <v>9.3109999999999999</v>
      </c>
      <c r="BT113" s="996">
        <f>SUM(BT111:BT112)</f>
        <v>8.7929999999999993</v>
      </c>
      <c r="BU113" s="996">
        <f>SUM(BU111:BU112)</f>
        <v>0</v>
      </c>
      <c r="BV113" s="996">
        <v>0</v>
      </c>
      <c r="BW113" s="996">
        <f t="shared" ref="BW113:CT113" si="183">SUM(BW111:BW112)</f>
        <v>0</v>
      </c>
      <c r="BX113" s="996">
        <f t="shared" si="183"/>
        <v>0</v>
      </c>
      <c r="BY113" s="996">
        <f t="shared" si="183"/>
        <v>0</v>
      </c>
      <c r="BZ113" s="996">
        <f t="shared" si="183"/>
        <v>0</v>
      </c>
      <c r="CA113" s="996">
        <f t="shared" si="183"/>
        <v>0</v>
      </c>
      <c r="CB113" s="996">
        <f t="shared" si="183"/>
        <v>0</v>
      </c>
      <c r="CC113" s="996">
        <f t="shared" si="183"/>
        <v>0</v>
      </c>
      <c r="CD113" s="996">
        <f t="shared" si="183"/>
        <v>0</v>
      </c>
      <c r="CE113" s="996">
        <f t="shared" si="183"/>
        <v>0</v>
      </c>
      <c r="CF113" s="996">
        <f t="shared" si="183"/>
        <v>0</v>
      </c>
      <c r="CG113" s="996">
        <f t="shared" si="183"/>
        <v>0</v>
      </c>
      <c r="CH113" s="996">
        <f t="shared" si="183"/>
        <v>0</v>
      </c>
      <c r="CI113" s="996">
        <f t="shared" si="183"/>
        <v>0</v>
      </c>
      <c r="CJ113" s="996">
        <f t="shared" si="183"/>
        <v>0</v>
      </c>
      <c r="CK113" s="996">
        <f t="shared" si="183"/>
        <v>0</v>
      </c>
      <c r="CL113" s="996">
        <f t="shared" si="183"/>
        <v>0</v>
      </c>
      <c r="CM113" s="996">
        <f t="shared" si="183"/>
        <v>0</v>
      </c>
      <c r="CN113" s="996">
        <f t="shared" si="183"/>
        <v>0</v>
      </c>
      <c r="CO113" s="996">
        <f t="shared" si="183"/>
        <v>0</v>
      </c>
      <c r="CP113" s="996">
        <f t="shared" si="183"/>
        <v>0</v>
      </c>
      <c r="CQ113" s="996">
        <f>SUM(CQ111:CQ112)</f>
        <v>0</v>
      </c>
      <c r="CR113" s="996">
        <f t="shared" si="183"/>
        <v>0</v>
      </c>
      <c r="CS113" s="996">
        <f t="shared" si="183"/>
        <v>0</v>
      </c>
      <c r="CT113" s="996">
        <f t="shared" si="183"/>
        <v>0</v>
      </c>
      <c r="CU113" s="996">
        <f>SUM(CU111:CU112)</f>
        <v>0</v>
      </c>
      <c r="CV113" s="996">
        <f>SUM(CV111:CV112)</f>
        <v>0</v>
      </c>
      <c r="CW113" s="996">
        <f>SUM(CW111:CW112)</f>
        <v>0</v>
      </c>
      <c r="CX113" s="996">
        <f>SUM(CX111:CX112)</f>
        <v>0</v>
      </c>
      <c r="CY113" s="996">
        <f>SUM(CY111:CY112)</f>
        <v>0</v>
      </c>
      <c r="CZ113" s="996">
        <f t="shared" ref="CZ113:DC113" si="184">SUM(CZ111:CZ112)</f>
        <v>0</v>
      </c>
      <c r="DA113" s="996">
        <f t="shared" si="184"/>
        <v>0</v>
      </c>
      <c r="DB113" s="996">
        <f t="shared" si="184"/>
        <v>0</v>
      </c>
      <c r="DC113" s="996">
        <f t="shared" si="184"/>
        <v>0</v>
      </c>
    </row>
    <row r="114" spans="1:107" hidden="1" outlineLevel="1">
      <c r="A114" s="2195"/>
      <c r="B114" s="994" t="s">
        <v>262</v>
      </c>
      <c r="C114" s="995"/>
      <c r="D114" s="995"/>
      <c r="E114" s="995"/>
      <c r="F114" s="995"/>
      <c r="G114" s="995"/>
      <c r="H114" s="995"/>
      <c r="I114" s="995"/>
      <c r="J114" s="995"/>
      <c r="K114" s="996"/>
      <c r="L114" s="996"/>
      <c r="M114" s="996"/>
      <c r="N114" s="996"/>
      <c r="O114" s="995"/>
      <c r="P114" s="995"/>
      <c r="Q114" s="995"/>
      <c r="R114" s="995"/>
      <c r="S114" s="995"/>
      <c r="T114" s="995"/>
      <c r="U114" s="995"/>
      <c r="V114" s="995"/>
      <c r="W114" s="995"/>
      <c r="X114" s="995"/>
      <c r="Y114" s="995"/>
      <c r="Z114" s="995"/>
      <c r="AA114" s="995"/>
      <c r="AB114" s="995"/>
      <c r="AC114" s="995"/>
      <c r="AD114" s="995"/>
      <c r="AE114" s="15"/>
      <c r="AF114" s="996"/>
      <c r="AG114" s="996"/>
      <c r="AH114" s="996"/>
      <c r="AI114" s="996"/>
      <c r="AJ114" s="996"/>
      <c r="AK114" s="996"/>
      <c r="AL114" s="996"/>
      <c r="AM114" s="996"/>
      <c r="AN114" s="996"/>
      <c r="AO114" s="996"/>
      <c r="AP114" s="996"/>
      <c r="AQ114" s="996"/>
      <c r="AR114" s="996"/>
      <c r="AS114" s="996"/>
      <c r="AT114" s="996"/>
      <c r="AU114" s="996"/>
      <c r="AV114" s="996"/>
      <c r="AW114" s="996"/>
      <c r="AX114" s="996"/>
      <c r="AY114" s="996"/>
      <c r="AZ114" s="996"/>
      <c r="BA114" s="996"/>
      <c r="BB114" s="996"/>
      <c r="BC114" s="996"/>
      <c r="BD114" s="996"/>
      <c r="BE114" s="996"/>
      <c r="BF114" s="996"/>
      <c r="BG114" s="996"/>
      <c r="BH114" s="996"/>
      <c r="BI114" s="996"/>
      <c r="BJ114" s="996"/>
      <c r="BK114" s="996"/>
      <c r="BL114" s="996"/>
      <c r="BM114" s="996"/>
      <c r="BN114" s="996"/>
      <c r="BO114" s="996">
        <v>6.4850000000000003</v>
      </c>
      <c r="BP114" s="996"/>
      <c r="BQ114" s="996">
        <v>5.4269999999999996</v>
      </c>
      <c r="BR114" s="996">
        <v>8.1880000000000006</v>
      </c>
      <c r="BS114" s="996">
        <v>7.9409999999999998</v>
      </c>
      <c r="BT114" s="996">
        <v>7.4</v>
      </c>
      <c r="BU114" s="996"/>
      <c r="BV114" s="996"/>
      <c r="BW114" s="996"/>
      <c r="BX114" s="996"/>
      <c r="BY114" s="996"/>
      <c r="BZ114" s="996"/>
      <c r="CA114" s="996"/>
      <c r="CB114" s="996"/>
      <c r="CC114" s="996"/>
      <c r="CD114" s="996"/>
      <c r="CE114" s="996"/>
      <c r="CF114" s="996"/>
      <c r="CG114" s="996"/>
      <c r="CH114" s="996"/>
      <c r="CI114" s="996"/>
      <c r="CJ114" s="996"/>
      <c r="CK114" s="996"/>
      <c r="CL114" s="996"/>
      <c r="CM114" s="996"/>
      <c r="CN114" s="996"/>
      <c r="CO114" s="996"/>
      <c r="CP114" s="996"/>
      <c r="CQ114" s="996"/>
      <c r="CR114" s="996"/>
      <c r="CS114" s="996"/>
      <c r="CT114" s="996"/>
      <c r="CU114" s="996"/>
      <c r="CV114" s="996"/>
      <c r="CW114" s="996"/>
      <c r="CX114" s="996"/>
      <c r="CY114" s="996"/>
      <c r="CZ114" s="996"/>
      <c r="DA114" s="996"/>
      <c r="DB114" s="996"/>
      <c r="DC114" s="996"/>
    </row>
    <row r="115" spans="1:107" hidden="1" outlineLevel="1">
      <c r="A115" s="15"/>
      <c r="B115" s="994"/>
      <c r="C115" s="995"/>
      <c r="D115" s="995"/>
      <c r="E115" s="995"/>
      <c r="F115" s="995"/>
      <c r="G115" s="995"/>
      <c r="H115" s="995"/>
      <c r="I115" s="995"/>
      <c r="J115" s="995"/>
      <c r="K115" s="996"/>
      <c r="L115" s="996"/>
      <c r="M115" s="996"/>
      <c r="N115" s="996"/>
      <c r="O115" s="995"/>
      <c r="P115" s="995"/>
      <c r="Q115" s="995"/>
      <c r="R115" s="995"/>
      <c r="S115" s="995"/>
      <c r="T115" s="995"/>
      <c r="U115" s="995"/>
      <c r="V115" s="995"/>
      <c r="W115" s="995"/>
      <c r="X115" s="995"/>
      <c r="Y115" s="995"/>
      <c r="Z115" s="995"/>
      <c r="AA115" s="995"/>
      <c r="AB115" s="995"/>
      <c r="AC115" s="995"/>
      <c r="AD115" s="995"/>
      <c r="AE115" s="15"/>
      <c r="AF115" s="996"/>
      <c r="AG115" s="996"/>
      <c r="AH115" s="996"/>
      <c r="AI115" s="996"/>
      <c r="AJ115" s="996"/>
      <c r="AK115" s="996"/>
      <c r="AL115" s="996"/>
      <c r="AM115" s="996"/>
      <c r="AN115" s="996"/>
      <c r="AO115" s="996"/>
      <c r="AP115" s="996"/>
      <c r="AQ115" s="996"/>
      <c r="AR115" s="996"/>
      <c r="AS115" s="996"/>
      <c r="AT115" s="996"/>
      <c r="AU115" s="996"/>
      <c r="AV115" s="996"/>
      <c r="AW115" s="996"/>
      <c r="AX115" s="996"/>
      <c r="AY115" s="996"/>
      <c r="AZ115" s="996"/>
      <c r="BA115" s="996"/>
      <c r="BB115" s="996"/>
      <c r="BC115" s="996"/>
      <c r="BD115" s="996"/>
      <c r="BE115" s="996"/>
      <c r="BF115" s="996"/>
      <c r="BG115" s="996"/>
      <c r="BH115" s="996"/>
      <c r="BI115" s="996"/>
      <c r="BJ115" s="996"/>
      <c r="BK115" s="996"/>
      <c r="BL115" s="996"/>
      <c r="BM115" s="996"/>
      <c r="BN115" s="996"/>
      <c r="BO115" s="996"/>
      <c r="BP115" s="996"/>
      <c r="BQ115" s="996"/>
      <c r="BR115" s="996"/>
      <c r="BS115" s="996"/>
      <c r="BT115" s="996"/>
      <c r="BU115" s="996"/>
      <c r="BV115" s="996"/>
      <c r="BW115" s="996"/>
      <c r="BX115" s="996"/>
      <c r="BY115" s="996"/>
      <c r="BZ115" s="996"/>
      <c r="CA115" s="996"/>
      <c r="CB115" s="996"/>
      <c r="CC115" s="996"/>
      <c r="CD115" s="996"/>
      <c r="CE115" s="996"/>
      <c r="CF115" s="996"/>
      <c r="CG115" s="996"/>
      <c r="CH115" s="996"/>
      <c r="CI115" s="996"/>
      <c r="CJ115" s="996"/>
      <c r="CK115" s="996"/>
      <c r="CL115" s="996"/>
      <c r="CM115" s="996"/>
      <c r="CN115" s="996"/>
      <c r="CO115" s="996"/>
      <c r="CP115" s="996"/>
      <c r="CQ115" s="996"/>
      <c r="CR115" s="996"/>
      <c r="CS115" s="996"/>
      <c r="CT115" s="996"/>
      <c r="CU115" s="996"/>
      <c r="CV115" s="996"/>
      <c r="CW115" s="996"/>
      <c r="CX115" s="996"/>
      <c r="CY115" s="996"/>
      <c r="CZ115" s="996"/>
      <c r="DA115" s="996"/>
      <c r="DB115" s="996"/>
      <c r="DC115" s="996"/>
    </row>
    <row r="116" spans="1:107" hidden="1" outlineLevel="1">
      <c r="A116" s="2195"/>
      <c r="B116" s="995" t="s">
        <v>1452</v>
      </c>
      <c r="C116" s="995"/>
      <c r="D116" s="995"/>
      <c r="E116" s="995"/>
      <c r="F116" s="995"/>
      <c r="G116" s="995"/>
      <c r="H116" s="995"/>
      <c r="I116" s="995"/>
      <c r="J116" s="995"/>
      <c r="K116" s="995"/>
      <c r="L116" s="995"/>
      <c r="M116" s="995"/>
      <c r="N116" s="995"/>
      <c r="O116" s="995"/>
      <c r="P116" s="995"/>
      <c r="Q116" s="995"/>
      <c r="R116" s="995"/>
      <c r="S116" s="995"/>
      <c r="T116" s="995"/>
      <c r="U116" s="995"/>
      <c r="V116" s="995"/>
      <c r="W116" s="995"/>
      <c r="X116" s="995"/>
      <c r="Y116" s="995"/>
      <c r="Z116" s="995"/>
      <c r="AA116" s="995"/>
      <c r="AB116" s="995"/>
      <c r="AC116" s="995"/>
      <c r="AD116" s="995"/>
      <c r="AE116" s="15"/>
      <c r="AF116" s="995"/>
      <c r="AG116" s="995"/>
      <c r="AH116" s="995"/>
      <c r="AI116" s="995"/>
      <c r="AJ116" s="995"/>
      <c r="AK116" s="995"/>
      <c r="AL116" s="995"/>
      <c r="AM116" s="995"/>
      <c r="AN116" s="995"/>
      <c r="AO116" s="995"/>
      <c r="AP116" s="995"/>
      <c r="AQ116" s="995"/>
      <c r="AR116" s="995"/>
      <c r="AS116" s="995"/>
      <c r="AT116" s="995"/>
      <c r="AU116" s="995"/>
      <c r="AV116" s="995"/>
      <c r="AW116" s="995"/>
      <c r="AX116" s="995"/>
      <c r="AY116" s="995"/>
      <c r="AZ116" s="995"/>
      <c r="BA116" s="995"/>
      <c r="BB116" s="995"/>
      <c r="BC116" s="995"/>
      <c r="BD116" s="995"/>
      <c r="BE116" s="995"/>
      <c r="BF116" s="995"/>
      <c r="BG116" s="995"/>
      <c r="BH116" s="995"/>
      <c r="BI116" s="995"/>
      <c r="BJ116" s="995"/>
      <c r="BK116" s="995"/>
      <c r="BL116" s="995"/>
      <c r="BM116" s="995"/>
      <c r="BN116" s="995"/>
      <c r="BO116" s="995"/>
      <c r="BP116" s="995"/>
      <c r="BQ116" s="995"/>
      <c r="BR116" s="995"/>
      <c r="BS116" s="995"/>
      <c r="BT116" s="995"/>
      <c r="BU116" s="995"/>
      <c r="BV116" s="995"/>
      <c r="BW116" s="995"/>
      <c r="BX116" s="995"/>
      <c r="BY116" s="995"/>
      <c r="BZ116" s="995"/>
      <c r="CA116" s="995"/>
      <c r="CB116" s="995"/>
      <c r="CC116" s="995"/>
      <c r="CD116" s="995"/>
      <c r="CE116" s="995"/>
      <c r="CF116" s="995"/>
      <c r="CG116" s="995"/>
      <c r="CH116" s="995"/>
      <c r="CI116" s="995"/>
      <c r="CJ116" s="995"/>
      <c r="CK116" s="995"/>
      <c r="CL116" s="995"/>
      <c r="CM116" s="995"/>
      <c r="CN116" s="995"/>
      <c r="CO116" s="995"/>
      <c r="CP116" s="995"/>
      <c r="CQ116" s="995"/>
      <c r="CR116" s="995"/>
      <c r="CS116" s="995"/>
      <c r="CT116" s="995"/>
      <c r="CU116" s="995"/>
      <c r="CV116" s="995"/>
      <c r="CW116" s="995"/>
      <c r="CX116" s="995"/>
      <c r="CY116" s="995"/>
      <c r="CZ116" s="995"/>
      <c r="DA116" s="995"/>
      <c r="DB116" s="995"/>
      <c r="DC116" s="995"/>
    </row>
    <row r="117" spans="1:107" hidden="1" outlineLevel="1">
      <c r="A117" s="2195"/>
      <c r="B117" s="994" t="s">
        <v>1118</v>
      </c>
      <c r="C117" s="995"/>
      <c r="D117" s="995"/>
      <c r="E117" s="995"/>
      <c r="F117" s="995"/>
      <c r="G117" s="995"/>
      <c r="H117" s="995"/>
      <c r="I117" s="995"/>
      <c r="J117" s="995"/>
      <c r="K117" s="996"/>
      <c r="L117" s="996">
        <f>BK117</f>
        <v>0</v>
      </c>
      <c r="M117" s="996">
        <f>BO117</f>
        <v>0</v>
      </c>
      <c r="N117" s="996">
        <f>BS117</f>
        <v>2.4853000000000001</v>
      </c>
      <c r="O117" s="996">
        <f>N119</f>
        <v>0</v>
      </c>
      <c r="P117" s="996">
        <f t="shared" ref="P117:Z117" si="185">O117</f>
        <v>0</v>
      </c>
      <c r="Q117" s="996">
        <f t="shared" si="185"/>
        <v>0</v>
      </c>
      <c r="R117" s="996">
        <f t="shared" si="185"/>
        <v>0</v>
      </c>
      <c r="S117" s="996">
        <f t="shared" si="185"/>
        <v>0</v>
      </c>
      <c r="T117" s="996">
        <f t="shared" si="185"/>
        <v>0</v>
      </c>
      <c r="U117" s="996">
        <f t="shared" si="185"/>
        <v>0</v>
      </c>
      <c r="V117" s="996">
        <f t="shared" si="185"/>
        <v>0</v>
      </c>
      <c r="W117" s="996">
        <f t="shared" si="185"/>
        <v>0</v>
      </c>
      <c r="X117" s="996">
        <f t="shared" si="185"/>
        <v>0</v>
      </c>
      <c r="Y117" s="996">
        <f t="shared" si="185"/>
        <v>0</v>
      </c>
      <c r="Z117" s="996">
        <f t="shared" si="185"/>
        <v>0</v>
      </c>
      <c r="AA117" s="996">
        <f t="shared" ref="AA117" si="186">Z117</f>
        <v>0</v>
      </c>
      <c r="AB117" s="996">
        <f t="shared" ref="AB117" si="187">AA117</f>
        <v>0</v>
      </c>
      <c r="AC117" s="996">
        <f t="shared" ref="AC117" si="188">AB117</f>
        <v>0</v>
      </c>
      <c r="AD117" s="996">
        <f t="shared" ref="AD117" si="189">AC117</f>
        <v>0</v>
      </c>
      <c r="AE117" s="15"/>
      <c r="AF117" s="996"/>
      <c r="AG117" s="996"/>
      <c r="AH117" s="996"/>
      <c r="AI117" s="996"/>
      <c r="AJ117" s="996"/>
      <c r="AK117" s="996"/>
      <c r="AL117" s="996"/>
      <c r="AM117" s="996"/>
      <c r="AN117" s="996"/>
      <c r="AO117" s="996"/>
      <c r="AP117" s="996"/>
      <c r="AQ117" s="996"/>
      <c r="AR117" s="996"/>
      <c r="AS117" s="996"/>
      <c r="AT117" s="996"/>
      <c r="AU117" s="996"/>
      <c r="AV117" s="996"/>
      <c r="AW117" s="996"/>
      <c r="AX117" s="996"/>
      <c r="AY117" s="996"/>
      <c r="AZ117" s="996"/>
      <c r="BA117" s="996"/>
      <c r="BB117" s="996"/>
      <c r="BC117" s="996"/>
      <c r="BD117" s="996"/>
      <c r="BE117" s="996"/>
      <c r="BF117" s="996"/>
      <c r="BG117" s="996"/>
      <c r="BH117" s="996"/>
      <c r="BI117" s="996"/>
      <c r="BJ117" s="996"/>
      <c r="BK117" s="996"/>
      <c r="BL117" s="996"/>
      <c r="BM117" s="996"/>
      <c r="BN117" s="996"/>
      <c r="BO117" s="996"/>
      <c r="BP117" s="996">
        <f t="shared" ref="BP117:CU117" si="190">BO119</f>
        <v>9.6720000000000006</v>
      </c>
      <c r="BQ117" s="996">
        <f t="shared" si="190"/>
        <v>7.32</v>
      </c>
      <c r="BR117" s="996">
        <f t="shared" si="190"/>
        <v>4.9249999999999998</v>
      </c>
      <c r="BS117" s="996">
        <f t="shared" si="190"/>
        <v>2.4853000000000001</v>
      </c>
      <c r="BT117" s="996">
        <f t="shared" si="190"/>
        <v>0</v>
      </c>
      <c r="BU117" s="996">
        <f t="shared" si="190"/>
        <v>0</v>
      </c>
      <c r="BV117" s="996">
        <f t="shared" si="190"/>
        <v>0</v>
      </c>
      <c r="BW117" s="996">
        <f t="shared" si="190"/>
        <v>0</v>
      </c>
      <c r="BX117" s="996">
        <f t="shared" si="190"/>
        <v>0</v>
      </c>
      <c r="BY117" s="996">
        <f t="shared" si="190"/>
        <v>0</v>
      </c>
      <c r="BZ117" s="996">
        <f t="shared" si="190"/>
        <v>0</v>
      </c>
      <c r="CA117" s="996">
        <f t="shared" si="190"/>
        <v>0</v>
      </c>
      <c r="CB117" s="996">
        <f t="shared" si="190"/>
        <v>0</v>
      </c>
      <c r="CC117" s="996">
        <f t="shared" si="190"/>
        <v>0</v>
      </c>
      <c r="CD117" s="996">
        <f t="shared" si="190"/>
        <v>0</v>
      </c>
      <c r="CE117" s="996">
        <f t="shared" si="190"/>
        <v>0</v>
      </c>
      <c r="CF117" s="996">
        <f t="shared" si="190"/>
        <v>0</v>
      </c>
      <c r="CG117" s="996">
        <f t="shared" si="190"/>
        <v>0</v>
      </c>
      <c r="CH117" s="996">
        <f t="shared" si="190"/>
        <v>0</v>
      </c>
      <c r="CI117" s="996">
        <f t="shared" si="190"/>
        <v>0</v>
      </c>
      <c r="CJ117" s="996">
        <f t="shared" si="190"/>
        <v>0</v>
      </c>
      <c r="CK117" s="996">
        <f t="shared" si="190"/>
        <v>0</v>
      </c>
      <c r="CL117" s="996">
        <f t="shared" si="190"/>
        <v>0</v>
      </c>
      <c r="CM117" s="996">
        <f t="shared" si="190"/>
        <v>0</v>
      </c>
      <c r="CN117" s="996">
        <f t="shared" si="190"/>
        <v>0</v>
      </c>
      <c r="CO117" s="996">
        <f t="shared" si="190"/>
        <v>0</v>
      </c>
      <c r="CP117" s="996">
        <f t="shared" si="190"/>
        <v>0</v>
      </c>
      <c r="CQ117" s="996">
        <f t="shared" si="190"/>
        <v>0</v>
      </c>
      <c r="CR117" s="996">
        <f t="shared" si="190"/>
        <v>0</v>
      </c>
      <c r="CS117" s="996">
        <f t="shared" si="190"/>
        <v>0</v>
      </c>
      <c r="CT117" s="996">
        <f t="shared" si="190"/>
        <v>0</v>
      </c>
      <c r="CU117" s="996">
        <f t="shared" si="190"/>
        <v>0</v>
      </c>
      <c r="CV117" s="996">
        <f>CU119</f>
        <v>0</v>
      </c>
      <c r="CW117" s="996">
        <f>CV119</f>
        <v>0</v>
      </c>
      <c r="CX117" s="996">
        <f>CW119</f>
        <v>0</v>
      </c>
      <c r="CY117" s="996">
        <f>CX119</f>
        <v>0</v>
      </c>
      <c r="CZ117" s="996">
        <f t="shared" ref="CZ117:DC117" si="191">CY119</f>
        <v>0</v>
      </c>
      <c r="DA117" s="996">
        <f t="shared" si="191"/>
        <v>0</v>
      </c>
      <c r="DB117" s="996">
        <f t="shared" si="191"/>
        <v>0</v>
      </c>
      <c r="DC117" s="996">
        <f t="shared" si="191"/>
        <v>0</v>
      </c>
    </row>
    <row r="118" spans="1:107" hidden="1" outlineLevel="1">
      <c r="A118" s="2195"/>
      <c r="B118" s="994" t="s">
        <v>1121</v>
      </c>
      <c r="C118" s="995"/>
      <c r="D118" s="995"/>
      <c r="E118" s="995"/>
      <c r="F118" s="995"/>
      <c r="G118" s="995"/>
      <c r="H118" s="995"/>
      <c r="I118" s="995"/>
      <c r="J118" s="995"/>
      <c r="K118" s="996"/>
      <c r="L118" s="996">
        <f>BK118</f>
        <v>0</v>
      </c>
      <c r="M118" s="996">
        <f>BO118</f>
        <v>0</v>
      </c>
      <c r="N118" s="996">
        <f>SUM(BP118:BS118)</f>
        <v>-9.6264000000000003</v>
      </c>
      <c r="O118" s="996">
        <f>SUM(BT118:BW118)</f>
        <v>0</v>
      </c>
      <c r="P118" s="996">
        <f>P119-P117</f>
        <v>0</v>
      </c>
      <c r="Q118" s="996">
        <f>Q119-Q117</f>
        <v>0</v>
      </c>
      <c r="R118" s="996">
        <f>R119-R117</f>
        <v>0</v>
      </c>
      <c r="S118" s="996">
        <f>S119-S117</f>
        <v>0</v>
      </c>
      <c r="T118" s="996">
        <f>T119-T117</f>
        <v>0</v>
      </c>
      <c r="U118" s="996">
        <v>0</v>
      </c>
      <c r="V118" s="996">
        <v>0</v>
      </c>
      <c r="W118" s="996">
        <v>0</v>
      </c>
      <c r="X118" s="996">
        <v>0</v>
      </c>
      <c r="Y118" s="996">
        <v>0</v>
      </c>
      <c r="Z118" s="996">
        <v>0</v>
      </c>
      <c r="AA118" s="996">
        <v>0</v>
      </c>
      <c r="AB118" s="996">
        <v>0</v>
      </c>
      <c r="AC118" s="996">
        <v>0</v>
      </c>
      <c r="AD118" s="996">
        <v>0</v>
      </c>
      <c r="AE118" s="15"/>
      <c r="AF118" s="996"/>
      <c r="AG118" s="996"/>
      <c r="AH118" s="996"/>
      <c r="AI118" s="996"/>
      <c r="AJ118" s="996"/>
      <c r="AK118" s="996"/>
      <c r="AL118" s="996"/>
      <c r="AM118" s="996"/>
      <c r="AN118" s="996"/>
      <c r="AO118" s="996"/>
      <c r="AP118" s="996"/>
      <c r="AQ118" s="996"/>
      <c r="AR118" s="996"/>
      <c r="AS118" s="996"/>
      <c r="AT118" s="996"/>
      <c r="AU118" s="996"/>
      <c r="AV118" s="996"/>
      <c r="AW118" s="996"/>
      <c r="AX118" s="996"/>
      <c r="AY118" s="996"/>
      <c r="AZ118" s="996"/>
      <c r="BA118" s="996"/>
      <c r="BB118" s="996"/>
      <c r="BC118" s="996"/>
      <c r="BD118" s="996"/>
      <c r="BE118" s="996"/>
      <c r="BF118" s="996"/>
      <c r="BG118" s="996"/>
      <c r="BH118" s="996"/>
      <c r="BI118" s="996"/>
      <c r="BJ118" s="996"/>
      <c r="BK118" s="996"/>
      <c r="BL118" s="996"/>
      <c r="BM118" s="996"/>
      <c r="BN118" s="996"/>
      <c r="BO118" s="996"/>
      <c r="BP118" s="996">
        <f>BP119-BP117</f>
        <v>-2.3520000000000003</v>
      </c>
      <c r="BQ118" s="996">
        <f>BQ119-BQ117</f>
        <v>-2.3950000000000005</v>
      </c>
      <c r="BR118" s="996">
        <v>-2.4396999999999998</v>
      </c>
      <c r="BS118" s="996">
        <f>BR118</f>
        <v>-2.4396999999999998</v>
      </c>
      <c r="BT118" s="996">
        <v>0</v>
      </c>
      <c r="BU118" s="996">
        <f t="shared" ref="BU118:CU118" si="192">BT118</f>
        <v>0</v>
      </c>
      <c r="BV118" s="996">
        <f t="shared" si="192"/>
        <v>0</v>
      </c>
      <c r="BW118" s="996">
        <f t="shared" si="192"/>
        <v>0</v>
      </c>
      <c r="BX118" s="996">
        <f t="shared" si="192"/>
        <v>0</v>
      </c>
      <c r="BY118" s="996">
        <f t="shared" si="192"/>
        <v>0</v>
      </c>
      <c r="BZ118" s="996">
        <f t="shared" si="192"/>
        <v>0</v>
      </c>
      <c r="CA118" s="996">
        <f t="shared" si="192"/>
        <v>0</v>
      </c>
      <c r="CB118" s="996">
        <f t="shared" si="192"/>
        <v>0</v>
      </c>
      <c r="CC118" s="996">
        <f t="shared" si="192"/>
        <v>0</v>
      </c>
      <c r="CD118" s="996">
        <f t="shared" si="192"/>
        <v>0</v>
      </c>
      <c r="CE118" s="996">
        <f t="shared" si="192"/>
        <v>0</v>
      </c>
      <c r="CF118" s="996">
        <f t="shared" si="192"/>
        <v>0</v>
      </c>
      <c r="CG118" s="996">
        <f t="shared" si="192"/>
        <v>0</v>
      </c>
      <c r="CH118" s="996">
        <f t="shared" si="192"/>
        <v>0</v>
      </c>
      <c r="CI118" s="996">
        <f t="shared" si="192"/>
        <v>0</v>
      </c>
      <c r="CJ118" s="996">
        <f t="shared" si="192"/>
        <v>0</v>
      </c>
      <c r="CK118" s="996">
        <f t="shared" si="192"/>
        <v>0</v>
      </c>
      <c r="CL118" s="996">
        <f t="shared" si="192"/>
        <v>0</v>
      </c>
      <c r="CM118" s="996">
        <f t="shared" si="192"/>
        <v>0</v>
      </c>
      <c r="CN118" s="996">
        <f t="shared" si="192"/>
        <v>0</v>
      </c>
      <c r="CO118" s="996">
        <f t="shared" si="192"/>
        <v>0</v>
      </c>
      <c r="CP118" s="996">
        <f t="shared" si="192"/>
        <v>0</v>
      </c>
      <c r="CQ118" s="996">
        <f t="shared" si="192"/>
        <v>0</v>
      </c>
      <c r="CR118" s="996">
        <f t="shared" si="192"/>
        <v>0</v>
      </c>
      <c r="CS118" s="996">
        <f t="shared" si="192"/>
        <v>0</v>
      </c>
      <c r="CT118" s="996">
        <f t="shared" si="192"/>
        <v>0</v>
      </c>
      <c r="CU118" s="996">
        <f t="shared" si="192"/>
        <v>0</v>
      </c>
      <c r="CV118" s="996">
        <f>CU118</f>
        <v>0</v>
      </c>
      <c r="CW118" s="996">
        <f>CV118</f>
        <v>0</v>
      </c>
      <c r="CX118" s="996">
        <f>CW118</f>
        <v>0</v>
      </c>
      <c r="CY118" s="996">
        <f>CX118</f>
        <v>0</v>
      </c>
      <c r="CZ118" s="996">
        <f t="shared" ref="CZ118:DC118" si="193">CY118</f>
        <v>0</v>
      </c>
      <c r="DA118" s="996">
        <f t="shared" si="193"/>
        <v>0</v>
      </c>
      <c r="DB118" s="996">
        <f t="shared" si="193"/>
        <v>0</v>
      </c>
      <c r="DC118" s="996">
        <f t="shared" si="193"/>
        <v>0</v>
      </c>
    </row>
    <row r="119" spans="1:107" hidden="1" outlineLevel="1">
      <c r="A119" s="2195"/>
      <c r="B119" s="994" t="s">
        <v>261</v>
      </c>
      <c r="C119" s="995"/>
      <c r="D119" s="995"/>
      <c r="E119" s="995"/>
      <c r="F119" s="995"/>
      <c r="G119" s="995"/>
      <c r="H119" s="995"/>
      <c r="I119" s="995"/>
      <c r="J119" s="995"/>
      <c r="K119" s="996"/>
      <c r="L119" s="996">
        <f>BK119</f>
        <v>0</v>
      </c>
      <c r="M119" s="996">
        <f>BO119</f>
        <v>9.6720000000000006</v>
      </c>
      <c r="N119" s="996">
        <f>BS119</f>
        <v>0</v>
      </c>
      <c r="O119" s="996">
        <f t="shared" ref="O119:T119" si="194">N119</f>
        <v>0</v>
      </c>
      <c r="P119" s="996">
        <f t="shared" si="194"/>
        <v>0</v>
      </c>
      <c r="Q119" s="996">
        <f t="shared" si="194"/>
        <v>0</v>
      </c>
      <c r="R119" s="996">
        <f t="shared" si="194"/>
        <v>0</v>
      </c>
      <c r="S119" s="996">
        <f t="shared" si="194"/>
        <v>0</v>
      </c>
      <c r="T119" s="996">
        <f t="shared" si="194"/>
        <v>0</v>
      </c>
      <c r="U119" s="996">
        <f t="shared" ref="U119:Z119" si="195">SUM(U117:U118)</f>
        <v>0</v>
      </c>
      <c r="V119" s="996">
        <f>SUM(V117:V118)</f>
        <v>0</v>
      </c>
      <c r="W119" s="996">
        <f>SUM(W117:W118)</f>
        <v>0</v>
      </c>
      <c r="X119" s="996">
        <f t="shared" si="195"/>
        <v>0</v>
      </c>
      <c r="Y119" s="996">
        <f t="shared" si="195"/>
        <v>0</v>
      </c>
      <c r="Z119" s="996">
        <f t="shared" si="195"/>
        <v>0</v>
      </c>
      <c r="AA119" s="996">
        <f t="shared" ref="AA119:AD119" si="196">SUM(AA117:AA118)</f>
        <v>0</v>
      </c>
      <c r="AB119" s="996">
        <f t="shared" si="196"/>
        <v>0</v>
      </c>
      <c r="AC119" s="996">
        <f t="shared" si="196"/>
        <v>0</v>
      </c>
      <c r="AD119" s="996">
        <f t="shared" si="196"/>
        <v>0</v>
      </c>
      <c r="AE119" s="15"/>
      <c r="AF119" s="996"/>
      <c r="AG119" s="996"/>
      <c r="AH119" s="996"/>
      <c r="AI119" s="996"/>
      <c r="AJ119" s="996"/>
      <c r="AK119" s="996"/>
      <c r="AL119" s="996"/>
      <c r="AM119" s="996"/>
      <c r="AN119" s="996"/>
      <c r="AO119" s="996"/>
      <c r="AP119" s="996"/>
      <c r="AQ119" s="996"/>
      <c r="AR119" s="996"/>
      <c r="AS119" s="996"/>
      <c r="AT119" s="996"/>
      <c r="AU119" s="996"/>
      <c r="AV119" s="996"/>
      <c r="AW119" s="996"/>
      <c r="AX119" s="996"/>
      <c r="AY119" s="996"/>
      <c r="AZ119" s="996"/>
      <c r="BA119" s="996"/>
      <c r="BB119" s="996"/>
      <c r="BC119" s="996"/>
      <c r="BD119" s="996"/>
      <c r="BE119" s="996"/>
      <c r="BF119" s="996"/>
      <c r="BG119" s="996"/>
      <c r="BH119" s="996"/>
      <c r="BI119" s="996"/>
      <c r="BJ119" s="996"/>
      <c r="BK119" s="996"/>
      <c r="BL119" s="996"/>
      <c r="BM119" s="996"/>
      <c r="BN119" s="996"/>
      <c r="BO119" s="996">
        <v>9.6720000000000006</v>
      </c>
      <c r="BP119" s="996">
        <v>7.32</v>
      </c>
      <c r="BQ119" s="996">
        <v>4.9249999999999998</v>
      </c>
      <c r="BR119" s="996">
        <f>SUM(BR117:BR118)</f>
        <v>2.4853000000000001</v>
      </c>
      <c r="BS119" s="996">
        <v>0</v>
      </c>
      <c r="BT119" s="996">
        <v>0</v>
      </c>
      <c r="BU119" s="996">
        <f t="shared" ref="BU119:CT119" si="197">SUM(BU117:BU118)</f>
        <v>0</v>
      </c>
      <c r="BV119" s="996">
        <f t="shared" si="197"/>
        <v>0</v>
      </c>
      <c r="BW119" s="996">
        <f t="shared" si="197"/>
        <v>0</v>
      </c>
      <c r="BX119" s="996">
        <f t="shared" si="197"/>
        <v>0</v>
      </c>
      <c r="BY119" s="996">
        <f t="shared" si="197"/>
        <v>0</v>
      </c>
      <c r="BZ119" s="996">
        <f t="shared" si="197"/>
        <v>0</v>
      </c>
      <c r="CA119" s="996">
        <f t="shared" si="197"/>
        <v>0</v>
      </c>
      <c r="CB119" s="996">
        <f t="shared" si="197"/>
        <v>0</v>
      </c>
      <c r="CC119" s="996">
        <f t="shared" si="197"/>
        <v>0</v>
      </c>
      <c r="CD119" s="996">
        <f t="shared" si="197"/>
        <v>0</v>
      </c>
      <c r="CE119" s="996">
        <f t="shared" si="197"/>
        <v>0</v>
      </c>
      <c r="CF119" s="996">
        <f t="shared" si="197"/>
        <v>0</v>
      </c>
      <c r="CG119" s="996">
        <f t="shared" si="197"/>
        <v>0</v>
      </c>
      <c r="CH119" s="996">
        <f t="shared" si="197"/>
        <v>0</v>
      </c>
      <c r="CI119" s="996">
        <f t="shared" si="197"/>
        <v>0</v>
      </c>
      <c r="CJ119" s="996">
        <f t="shared" si="197"/>
        <v>0</v>
      </c>
      <c r="CK119" s="996">
        <f t="shared" si="197"/>
        <v>0</v>
      </c>
      <c r="CL119" s="996">
        <f t="shared" si="197"/>
        <v>0</v>
      </c>
      <c r="CM119" s="996">
        <f t="shared" si="197"/>
        <v>0</v>
      </c>
      <c r="CN119" s="996">
        <f t="shared" si="197"/>
        <v>0</v>
      </c>
      <c r="CO119" s="996">
        <f t="shared" si="197"/>
        <v>0</v>
      </c>
      <c r="CP119" s="996">
        <f t="shared" si="197"/>
        <v>0</v>
      </c>
      <c r="CQ119" s="996">
        <f>SUM(CQ117:CQ118)</f>
        <v>0</v>
      </c>
      <c r="CR119" s="996">
        <f t="shared" si="197"/>
        <v>0</v>
      </c>
      <c r="CS119" s="996">
        <f t="shared" si="197"/>
        <v>0</v>
      </c>
      <c r="CT119" s="996">
        <f t="shared" si="197"/>
        <v>0</v>
      </c>
      <c r="CU119" s="996">
        <f>SUM(CU117:CU118)</f>
        <v>0</v>
      </c>
      <c r="CV119" s="996">
        <f>SUM(CV117:CV118)</f>
        <v>0</v>
      </c>
      <c r="CW119" s="996">
        <f>SUM(CW117:CW118)</f>
        <v>0</v>
      </c>
      <c r="CX119" s="996">
        <f>SUM(CX117:CX118)</f>
        <v>0</v>
      </c>
      <c r="CY119" s="996">
        <f>SUM(CY117:CY118)</f>
        <v>0</v>
      </c>
      <c r="CZ119" s="996">
        <f t="shared" ref="CZ119:DC119" si="198">SUM(CZ117:CZ118)</f>
        <v>0</v>
      </c>
      <c r="DA119" s="996">
        <f t="shared" si="198"/>
        <v>0</v>
      </c>
      <c r="DB119" s="996">
        <f t="shared" si="198"/>
        <v>0</v>
      </c>
      <c r="DC119" s="996">
        <f t="shared" si="198"/>
        <v>0</v>
      </c>
    </row>
    <row r="120" spans="1:107" hidden="1" outlineLevel="1">
      <c r="A120" s="2195"/>
      <c r="B120" s="994" t="s">
        <v>262</v>
      </c>
      <c r="C120" s="995"/>
      <c r="D120" s="995"/>
      <c r="E120" s="995"/>
      <c r="F120" s="995"/>
      <c r="G120" s="995"/>
      <c r="H120" s="995"/>
      <c r="I120" s="995"/>
      <c r="J120" s="995"/>
      <c r="K120" s="996"/>
      <c r="L120" s="996"/>
      <c r="M120" s="996"/>
      <c r="N120" s="996"/>
      <c r="O120" s="996"/>
      <c r="P120" s="996"/>
      <c r="Q120" s="996"/>
      <c r="R120" s="996"/>
      <c r="S120" s="996"/>
      <c r="T120" s="996"/>
      <c r="U120" s="996"/>
      <c r="V120" s="996"/>
      <c r="W120" s="996"/>
      <c r="X120" s="996"/>
      <c r="Y120" s="996"/>
      <c r="Z120" s="996"/>
      <c r="AA120" s="996"/>
      <c r="AB120" s="996"/>
      <c r="AC120" s="996"/>
      <c r="AD120" s="996"/>
      <c r="AE120" s="15"/>
      <c r="AF120" s="996"/>
      <c r="AG120" s="996"/>
      <c r="AH120" s="996"/>
      <c r="AI120" s="996"/>
      <c r="AJ120" s="996"/>
      <c r="AK120" s="996"/>
      <c r="AL120" s="996"/>
      <c r="AM120" s="996"/>
      <c r="AN120" s="996"/>
      <c r="AO120" s="996"/>
      <c r="AP120" s="996"/>
      <c r="AQ120" s="996"/>
      <c r="AR120" s="996"/>
      <c r="AS120" s="996"/>
      <c r="AT120" s="996"/>
      <c r="AU120" s="996"/>
      <c r="AV120" s="996"/>
      <c r="AW120" s="996"/>
      <c r="AX120" s="996"/>
      <c r="AY120" s="996"/>
      <c r="AZ120" s="996"/>
      <c r="BA120" s="996"/>
      <c r="BB120" s="996"/>
      <c r="BC120" s="996"/>
      <c r="BD120" s="996"/>
      <c r="BE120" s="996"/>
      <c r="BF120" s="996"/>
      <c r="BG120" s="996"/>
      <c r="BH120" s="996"/>
      <c r="BI120" s="996"/>
      <c r="BJ120" s="996"/>
      <c r="BK120" s="996"/>
      <c r="BL120" s="996"/>
      <c r="BM120" s="996"/>
      <c r="BN120" s="996"/>
      <c r="BO120" s="996">
        <v>9.6720000000000006</v>
      </c>
      <c r="BP120" s="996"/>
      <c r="BQ120" s="996">
        <v>4.9249999999999998</v>
      </c>
      <c r="BR120" s="996">
        <v>2.4849999999999999</v>
      </c>
      <c r="BS120" s="996">
        <v>0</v>
      </c>
      <c r="BT120" s="996"/>
      <c r="BU120" s="996"/>
      <c r="BV120" s="996"/>
      <c r="BW120" s="996"/>
      <c r="BX120" s="996"/>
      <c r="BY120" s="996"/>
      <c r="BZ120" s="996"/>
      <c r="CA120" s="996"/>
      <c r="CB120" s="996"/>
      <c r="CC120" s="996"/>
      <c r="CD120" s="996"/>
      <c r="CE120" s="996"/>
      <c r="CF120" s="996"/>
      <c r="CG120" s="996"/>
      <c r="CH120" s="996"/>
      <c r="CI120" s="996"/>
      <c r="CJ120" s="996"/>
      <c r="CK120" s="996"/>
      <c r="CL120" s="996"/>
      <c r="CM120" s="996"/>
      <c r="CN120" s="996"/>
      <c r="CO120" s="996"/>
      <c r="CP120" s="996"/>
      <c r="CQ120" s="996"/>
      <c r="CR120" s="996"/>
      <c r="CS120" s="996"/>
      <c r="CT120" s="996"/>
      <c r="CU120" s="996"/>
      <c r="CV120" s="996"/>
      <c r="CW120" s="996"/>
      <c r="CX120" s="996"/>
      <c r="CY120" s="996"/>
      <c r="CZ120" s="996"/>
      <c r="DA120" s="996"/>
      <c r="DB120" s="996"/>
      <c r="DC120" s="996"/>
    </row>
    <row r="121" spans="1:107" hidden="1" outlineLevel="1">
      <c r="A121" s="15"/>
      <c r="B121" s="876"/>
      <c r="C121" s="15"/>
      <c r="D121" s="15"/>
      <c r="E121" s="15"/>
      <c r="F121" s="15"/>
      <c r="G121" s="15"/>
      <c r="H121" s="15"/>
      <c r="I121" s="15"/>
      <c r="J121" s="15"/>
      <c r="K121" s="783"/>
      <c r="L121" s="26"/>
      <c r="M121" s="26"/>
      <c r="N121" s="26"/>
      <c r="O121" s="26"/>
      <c r="P121" s="26"/>
      <c r="Q121" s="26"/>
      <c r="R121" s="26"/>
      <c r="S121" s="26"/>
      <c r="T121" s="26"/>
      <c r="U121" s="26"/>
      <c r="V121" s="26"/>
      <c r="W121" s="26"/>
      <c r="X121" s="26"/>
      <c r="Y121" s="26"/>
      <c r="Z121" s="26"/>
      <c r="AA121" s="26"/>
      <c r="AB121" s="26"/>
      <c r="AC121" s="26"/>
      <c r="AD121" s="26"/>
      <c r="AE121" s="15"/>
      <c r="AF121" s="783"/>
      <c r="AG121" s="783"/>
      <c r="AH121" s="783"/>
      <c r="AI121" s="783"/>
      <c r="AJ121" s="783"/>
      <c r="AK121" s="783"/>
      <c r="AL121" s="783"/>
      <c r="AM121" s="783"/>
      <c r="AN121" s="783"/>
      <c r="AO121" s="783"/>
      <c r="AP121" s="783"/>
      <c r="AQ121" s="783"/>
      <c r="AR121" s="783"/>
      <c r="AS121" s="783"/>
      <c r="AT121" s="783"/>
      <c r="AU121" s="783"/>
      <c r="AV121" s="783"/>
      <c r="AW121" s="783"/>
      <c r="AX121" s="783"/>
      <c r="AY121" s="783"/>
      <c r="AZ121" s="783"/>
      <c r="BA121" s="783"/>
      <c r="BB121" s="783"/>
      <c r="BC121" s="783"/>
      <c r="BD121" s="783"/>
      <c r="BE121" s="783"/>
      <c r="BF121" s="783"/>
      <c r="BG121" s="783"/>
      <c r="BH121" s="783"/>
      <c r="BI121" s="783"/>
      <c r="BJ121" s="783"/>
      <c r="BK121" s="783"/>
      <c r="BL121" s="783"/>
      <c r="BM121" s="783"/>
      <c r="BN121" s="783"/>
      <c r="BO121" s="783"/>
      <c r="BP121" s="783"/>
      <c r="BQ121" s="783"/>
      <c r="BR121" s="783"/>
      <c r="BS121" s="783"/>
      <c r="BT121" s="783"/>
      <c r="BU121" s="783"/>
      <c r="BV121" s="783"/>
      <c r="BW121" s="783"/>
      <c r="BX121" s="783"/>
      <c r="BY121" s="783"/>
      <c r="BZ121" s="783"/>
      <c r="CA121" s="783"/>
      <c r="CB121" s="783"/>
      <c r="CC121" s="783"/>
      <c r="CD121" s="783"/>
      <c r="CE121" s="783"/>
      <c r="CF121" s="783"/>
      <c r="CG121" s="783"/>
      <c r="CH121" s="783"/>
      <c r="CI121" s="783"/>
      <c r="CJ121" s="783"/>
      <c r="CK121" s="783"/>
      <c r="CL121" s="783"/>
      <c r="CM121" s="783"/>
      <c r="CN121" s="783"/>
      <c r="CO121" s="783"/>
      <c r="CP121" s="783"/>
      <c r="CQ121" s="783"/>
      <c r="CR121" s="783"/>
      <c r="CS121" s="783"/>
      <c r="CT121" s="783"/>
      <c r="CU121" s="783"/>
      <c r="CV121" s="783"/>
      <c r="CW121" s="783"/>
      <c r="CX121" s="783"/>
      <c r="CY121" s="783"/>
      <c r="CZ121" s="783"/>
      <c r="DA121" s="783"/>
      <c r="DB121" s="783"/>
      <c r="DC121" s="783"/>
    </row>
    <row r="122" spans="1:107" hidden="1" outlineLevel="1">
      <c r="A122" s="2195"/>
      <c r="B122" s="995" t="s">
        <v>467</v>
      </c>
      <c r="C122" s="995"/>
      <c r="D122" s="995"/>
      <c r="E122" s="995"/>
      <c r="F122" s="995"/>
      <c r="G122" s="995"/>
      <c r="H122" s="995"/>
      <c r="I122" s="995"/>
      <c r="J122" s="995"/>
      <c r="K122" s="995"/>
      <c r="L122" s="995"/>
      <c r="M122" s="995"/>
      <c r="N122" s="995"/>
      <c r="O122" s="995"/>
      <c r="P122" s="995"/>
      <c r="Q122" s="995"/>
      <c r="R122" s="995"/>
      <c r="S122" s="995"/>
      <c r="T122" s="995"/>
      <c r="U122" s="995"/>
      <c r="V122" s="995"/>
      <c r="W122" s="995"/>
      <c r="X122" s="995"/>
      <c r="Y122" s="995"/>
      <c r="Z122" s="995"/>
      <c r="AA122" s="995"/>
      <c r="AB122" s="995"/>
      <c r="AC122" s="995"/>
      <c r="AD122" s="995"/>
      <c r="AE122" s="15"/>
      <c r="AF122" s="995"/>
      <c r="AG122" s="995"/>
      <c r="AH122" s="995"/>
      <c r="AI122" s="995"/>
      <c r="AJ122" s="995"/>
      <c r="AK122" s="995"/>
      <c r="AL122" s="995"/>
      <c r="AM122" s="995"/>
      <c r="AN122" s="995"/>
      <c r="AO122" s="995"/>
      <c r="AP122" s="995"/>
      <c r="AQ122" s="995"/>
      <c r="AR122" s="995"/>
      <c r="AS122" s="995"/>
      <c r="AT122" s="995"/>
      <c r="AU122" s="995"/>
      <c r="AV122" s="995"/>
      <c r="AW122" s="995"/>
      <c r="AX122" s="995"/>
      <c r="AY122" s="995"/>
      <c r="AZ122" s="995"/>
      <c r="BA122" s="995"/>
      <c r="BB122" s="995"/>
      <c r="BC122" s="995"/>
      <c r="BD122" s="995"/>
      <c r="BE122" s="995"/>
      <c r="BF122" s="995"/>
      <c r="BG122" s="995"/>
      <c r="BH122" s="995"/>
      <c r="BI122" s="995"/>
      <c r="BJ122" s="995"/>
      <c r="BK122" s="995"/>
      <c r="BL122" s="995"/>
      <c r="BM122" s="995"/>
      <c r="BN122" s="995"/>
      <c r="BO122" s="995"/>
      <c r="BP122" s="995"/>
      <c r="BQ122" s="995"/>
      <c r="BR122" s="995"/>
      <c r="BS122" s="995"/>
      <c r="BT122" s="995"/>
      <c r="BU122" s="995"/>
      <c r="BV122" s="995"/>
      <c r="BW122" s="995"/>
      <c r="BX122" s="995"/>
      <c r="BY122" s="995"/>
      <c r="BZ122" s="995"/>
      <c r="CA122" s="995"/>
      <c r="CB122" s="995"/>
      <c r="CC122" s="995"/>
      <c r="CD122" s="995"/>
      <c r="CE122" s="995"/>
      <c r="CF122" s="995"/>
      <c r="CG122" s="995"/>
      <c r="CH122" s="995"/>
      <c r="CI122" s="995"/>
      <c r="CJ122" s="995"/>
      <c r="CK122" s="995"/>
      <c r="CL122" s="995"/>
      <c r="CM122" s="995"/>
      <c r="CN122" s="995"/>
      <c r="CO122" s="995"/>
      <c r="CP122" s="995"/>
      <c r="CQ122" s="995"/>
      <c r="CR122" s="995"/>
      <c r="CS122" s="995"/>
      <c r="CT122" s="995"/>
      <c r="CU122" s="995"/>
      <c r="CV122" s="995"/>
      <c r="CW122" s="995"/>
      <c r="CX122" s="995"/>
      <c r="CY122" s="995"/>
      <c r="CZ122" s="995"/>
      <c r="DA122" s="995"/>
      <c r="DB122" s="995"/>
      <c r="DC122" s="995"/>
    </row>
    <row r="123" spans="1:107" hidden="1" outlineLevel="1">
      <c r="A123" s="2195"/>
      <c r="B123" s="994" t="s">
        <v>1118</v>
      </c>
      <c r="C123" s="995"/>
      <c r="D123" s="995"/>
      <c r="E123" s="995"/>
      <c r="F123" s="995"/>
      <c r="G123" s="995"/>
      <c r="H123" s="995"/>
      <c r="I123" s="995"/>
      <c r="J123" s="995"/>
      <c r="K123" s="996"/>
      <c r="L123" s="996"/>
      <c r="M123" s="996"/>
      <c r="N123" s="996">
        <f>BS123</f>
        <v>23.763999999999999</v>
      </c>
      <c r="O123" s="996">
        <f t="shared" ref="O123:Z123" si="199">N125</f>
        <v>24.559000000000001</v>
      </c>
      <c r="P123" s="996">
        <f t="shared" si="199"/>
        <v>0</v>
      </c>
      <c r="Q123" s="996">
        <f t="shared" si="199"/>
        <v>0</v>
      </c>
      <c r="R123" s="996">
        <f t="shared" si="199"/>
        <v>0</v>
      </c>
      <c r="S123" s="996">
        <f t="shared" si="199"/>
        <v>0</v>
      </c>
      <c r="T123" s="996">
        <f t="shared" si="199"/>
        <v>0</v>
      </c>
      <c r="U123" s="996">
        <f t="shared" si="199"/>
        <v>0</v>
      </c>
      <c r="V123" s="996">
        <f t="shared" si="199"/>
        <v>0</v>
      </c>
      <c r="W123" s="996">
        <f t="shared" si="199"/>
        <v>0</v>
      </c>
      <c r="X123" s="996">
        <f t="shared" si="199"/>
        <v>0</v>
      </c>
      <c r="Y123" s="996">
        <f t="shared" si="199"/>
        <v>0</v>
      </c>
      <c r="Z123" s="996">
        <f t="shared" si="199"/>
        <v>0</v>
      </c>
      <c r="AA123" s="996">
        <f t="shared" ref="AA123" si="200">Z125</f>
        <v>0</v>
      </c>
      <c r="AB123" s="996">
        <f t="shared" ref="AB123" si="201">AA125</f>
        <v>0</v>
      </c>
      <c r="AC123" s="996">
        <f t="shared" ref="AC123" si="202">AB125</f>
        <v>0</v>
      </c>
      <c r="AD123" s="996">
        <f t="shared" ref="AD123" si="203">AC125</f>
        <v>0</v>
      </c>
      <c r="AE123" s="15"/>
      <c r="AF123" s="996"/>
      <c r="AG123" s="996"/>
      <c r="AH123" s="996"/>
      <c r="AI123" s="996"/>
      <c r="AJ123" s="996"/>
      <c r="AK123" s="996"/>
      <c r="AL123" s="996"/>
      <c r="AM123" s="996"/>
      <c r="AN123" s="996"/>
      <c r="AO123" s="996"/>
      <c r="AP123" s="996"/>
      <c r="AQ123" s="996"/>
      <c r="AR123" s="996"/>
      <c r="AS123" s="996"/>
      <c r="AT123" s="996"/>
      <c r="AU123" s="996"/>
      <c r="AV123" s="996"/>
      <c r="AW123" s="996"/>
      <c r="AX123" s="996"/>
      <c r="AY123" s="996"/>
      <c r="AZ123" s="996"/>
      <c r="BA123" s="996"/>
      <c r="BB123" s="996"/>
      <c r="BC123" s="996"/>
      <c r="BD123" s="996"/>
      <c r="BE123" s="996"/>
      <c r="BF123" s="996"/>
      <c r="BG123" s="996"/>
      <c r="BH123" s="996"/>
      <c r="BI123" s="996"/>
      <c r="BJ123" s="996"/>
      <c r="BK123" s="996"/>
      <c r="BL123" s="996"/>
      <c r="BM123" s="996"/>
      <c r="BN123" s="996"/>
      <c r="BO123" s="996"/>
      <c r="BP123" s="996"/>
      <c r="BQ123" s="996"/>
      <c r="BR123" s="996"/>
      <c r="BS123" s="996">
        <f t="shared" ref="BS123:CU123" si="204">BR125</f>
        <v>23.763999999999999</v>
      </c>
      <c r="BT123" s="996">
        <f t="shared" si="204"/>
        <v>24.559000000000001</v>
      </c>
      <c r="BU123" s="996">
        <f t="shared" si="204"/>
        <v>24.667000000000002</v>
      </c>
      <c r="BV123" s="996">
        <f t="shared" si="204"/>
        <v>0</v>
      </c>
      <c r="BW123" s="996">
        <f t="shared" si="204"/>
        <v>0</v>
      </c>
      <c r="BX123" s="996">
        <f t="shared" si="204"/>
        <v>0</v>
      </c>
      <c r="BY123" s="996">
        <f t="shared" si="204"/>
        <v>0</v>
      </c>
      <c r="BZ123" s="996">
        <f t="shared" si="204"/>
        <v>0</v>
      </c>
      <c r="CA123" s="996">
        <f t="shared" si="204"/>
        <v>0</v>
      </c>
      <c r="CB123" s="996">
        <f t="shared" si="204"/>
        <v>0</v>
      </c>
      <c r="CC123" s="996">
        <f t="shared" si="204"/>
        <v>0</v>
      </c>
      <c r="CD123" s="996">
        <f t="shared" si="204"/>
        <v>0</v>
      </c>
      <c r="CE123" s="996">
        <f t="shared" si="204"/>
        <v>0</v>
      </c>
      <c r="CF123" s="996">
        <f t="shared" si="204"/>
        <v>0</v>
      </c>
      <c r="CG123" s="996">
        <f t="shared" si="204"/>
        <v>0</v>
      </c>
      <c r="CH123" s="996">
        <f t="shared" si="204"/>
        <v>0</v>
      </c>
      <c r="CI123" s="996">
        <f t="shared" si="204"/>
        <v>0</v>
      </c>
      <c r="CJ123" s="996">
        <f t="shared" si="204"/>
        <v>0</v>
      </c>
      <c r="CK123" s="996">
        <f t="shared" si="204"/>
        <v>0</v>
      </c>
      <c r="CL123" s="996">
        <f t="shared" si="204"/>
        <v>0</v>
      </c>
      <c r="CM123" s="996">
        <f t="shared" si="204"/>
        <v>0</v>
      </c>
      <c r="CN123" s="996">
        <f t="shared" si="204"/>
        <v>0</v>
      </c>
      <c r="CO123" s="996">
        <f t="shared" si="204"/>
        <v>0</v>
      </c>
      <c r="CP123" s="996">
        <f t="shared" si="204"/>
        <v>0</v>
      </c>
      <c r="CQ123" s="996">
        <f t="shared" si="204"/>
        <v>0</v>
      </c>
      <c r="CR123" s="996">
        <f t="shared" si="204"/>
        <v>0</v>
      </c>
      <c r="CS123" s="996">
        <f t="shared" si="204"/>
        <v>0</v>
      </c>
      <c r="CT123" s="996">
        <f t="shared" si="204"/>
        <v>0</v>
      </c>
      <c r="CU123" s="996">
        <f t="shared" si="204"/>
        <v>0</v>
      </c>
      <c r="CV123" s="996">
        <f>CU125</f>
        <v>0</v>
      </c>
      <c r="CW123" s="996">
        <f>CV125</f>
        <v>0</v>
      </c>
      <c r="CX123" s="996">
        <f>CW125</f>
        <v>0</v>
      </c>
      <c r="CY123" s="996">
        <f>CX125</f>
        <v>0</v>
      </c>
      <c r="CZ123" s="996">
        <f t="shared" ref="CZ123:DC123" si="205">CY125</f>
        <v>0</v>
      </c>
      <c r="DA123" s="996">
        <f t="shared" si="205"/>
        <v>0</v>
      </c>
      <c r="DB123" s="996">
        <f t="shared" si="205"/>
        <v>0</v>
      </c>
      <c r="DC123" s="996">
        <f t="shared" si="205"/>
        <v>0</v>
      </c>
    </row>
    <row r="124" spans="1:107" hidden="1" outlineLevel="1">
      <c r="A124" s="2195"/>
      <c r="B124" s="994" t="s">
        <v>1121</v>
      </c>
      <c r="C124" s="995"/>
      <c r="D124" s="995"/>
      <c r="E124" s="995"/>
      <c r="F124" s="995"/>
      <c r="G124" s="995"/>
      <c r="H124" s="995"/>
      <c r="I124" s="995"/>
      <c r="J124" s="995"/>
      <c r="K124" s="996"/>
      <c r="L124" s="996"/>
      <c r="M124" s="996"/>
      <c r="N124" s="996">
        <f>SUM(BP124:BS124)</f>
        <v>0.79500000000000171</v>
      </c>
      <c r="O124" s="996">
        <f>SUM(BT124:BW124)</f>
        <v>-24.559000000000001</v>
      </c>
      <c r="P124" s="996">
        <v>0</v>
      </c>
      <c r="Q124" s="996">
        <v>0</v>
      </c>
      <c r="R124" s="996">
        <v>0</v>
      </c>
      <c r="S124" s="996">
        <v>0</v>
      </c>
      <c r="T124" s="996">
        <v>0</v>
      </c>
      <c r="U124" s="996">
        <v>0</v>
      </c>
      <c r="V124" s="996">
        <v>0</v>
      </c>
      <c r="W124" s="996">
        <v>0</v>
      </c>
      <c r="X124" s="996">
        <v>0</v>
      </c>
      <c r="Y124" s="996">
        <v>0</v>
      </c>
      <c r="Z124" s="996">
        <v>0</v>
      </c>
      <c r="AA124" s="996">
        <v>0</v>
      </c>
      <c r="AB124" s="996">
        <v>0</v>
      </c>
      <c r="AC124" s="996">
        <v>0</v>
      </c>
      <c r="AD124" s="996">
        <v>0</v>
      </c>
      <c r="AE124" s="15"/>
      <c r="AF124" s="1003"/>
      <c r="AG124" s="1003"/>
      <c r="AH124" s="1003"/>
      <c r="AI124" s="1003"/>
      <c r="AJ124" s="1003"/>
      <c r="AK124" s="1003"/>
      <c r="AL124" s="1003"/>
      <c r="AM124" s="1003"/>
      <c r="AN124" s="1003"/>
      <c r="AO124" s="1003"/>
      <c r="AP124" s="1003"/>
      <c r="AQ124" s="1003"/>
      <c r="AR124" s="1003"/>
      <c r="AS124" s="1003"/>
      <c r="AT124" s="1003"/>
      <c r="AU124" s="1003"/>
      <c r="AV124" s="1003"/>
      <c r="AW124" s="1003"/>
      <c r="AX124" s="1003"/>
      <c r="AY124" s="1003"/>
      <c r="AZ124" s="1003"/>
      <c r="BA124" s="1003"/>
      <c r="BB124" s="1003"/>
      <c r="BC124" s="1003"/>
      <c r="BD124" s="1003"/>
      <c r="BE124" s="1003"/>
      <c r="BF124" s="1003"/>
      <c r="BG124" s="1003"/>
      <c r="BH124" s="1003"/>
      <c r="BI124" s="1003"/>
      <c r="BJ124" s="1003"/>
      <c r="BK124" s="1003"/>
      <c r="BL124" s="1003"/>
      <c r="BM124" s="1003"/>
      <c r="BN124" s="1003"/>
      <c r="BO124" s="1003"/>
      <c r="BP124" s="1003"/>
      <c r="BQ124" s="1003"/>
      <c r="BR124" s="1003"/>
      <c r="BS124" s="996">
        <f>BS125-BS123</f>
        <v>0.79500000000000171</v>
      </c>
      <c r="BT124" s="996">
        <v>0.10800000000000054</v>
      </c>
      <c r="BU124" s="996">
        <v>-24.667000000000002</v>
      </c>
      <c r="BV124" s="996">
        <v>0</v>
      </c>
      <c r="BW124" s="996">
        <v>0</v>
      </c>
      <c r="BX124" s="996">
        <v>0</v>
      </c>
      <c r="BY124" s="996">
        <v>0</v>
      </c>
      <c r="BZ124" s="996">
        <v>0</v>
      </c>
      <c r="CA124" s="996">
        <v>0</v>
      </c>
      <c r="CB124" s="996">
        <v>0</v>
      </c>
      <c r="CC124" s="996">
        <v>0</v>
      </c>
      <c r="CD124" s="996">
        <v>0</v>
      </c>
      <c r="CE124" s="996">
        <v>0</v>
      </c>
      <c r="CF124" s="996">
        <v>0</v>
      </c>
      <c r="CG124" s="996">
        <v>0</v>
      </c>
      <c r="CH124" s="996">
        <v>0</v>
      </c>
      <c r="CI124" s="996">
        <v>0</v>
      </c>
      <c r="CJ124" s="996">
        <v>0</v>
      </c>
      <c r="CK124" s="996">
        <v>0</v>
      </c>
      <c r="CL124" s="996">
        <v>0</v>
      </c>
      <c r="CM124" s="996">
        <v>0</v>
      </c>
      <c r="CN124" s="996">
        <v>0</v>
      </c>
      <c r="CO124" s="996">
        <v>0</v>
      </c>
      <c r="CP124" s="996">
        <v>0</v>
      </c>
      <c r="CQ124" s="996">
        <v>0</v>
      </c>
      <c r="CR124" s="996">
        <v>0</v>
      </c>
      <c r="CS124" s="996">
        <v>0</v>
      </c>
      <c r="CT124" s="996">
        <v>0</v>
      </c>
      <c r="CU124" s="996">
        <v>0</v>
      </c>
      <c r="CV124" s="996">
        <v>0</v>
      </c>
      <c r="CW124" s="996">
        <v>0</v>
      </c>
      <c r="CX124" s="996">
        <v>0</v>
      </c>
      <c r="CY124" s="996">
        <v>0</v>
      </c>
      <c r="CZ124" s="996">
        <v>0</v>
      </c>
      <c r="DA124" s="996">
        <v>0</v>
      </c>
      <c r="DB124" s="996">
        <v>0</v>
      </c>
      <c r="DC124" s="996">
        <v>0</v>
      </c>
    </row>
    <row r="125" spans="1:107" hidden="1" outlineLevel="1">
      <c r="A125" s="2195"/>
      <c r="B125" s="994" t="s">
        <v>1044</v>
      </c>
      <c r="C125" s="995"/>
      <c r="D125" s="995"/>
      <c r="E125" s="995"/>
      <c r="F125" s="995"/>
      <c r="G125" s="995"/>
      <c r="H125" s="995"/>
      <c r="I125" s="995"/>
      <c r="J125" s="995"/>
      <c r="K125" s="996"/>
      <c r="L125" s="996"/>
      <c r="M125" s="996">
        <f>BO125</f>
        <v>0</v>
      </c>
      <c r="N125" s="996">
        <f>BS125</f>
        <v>24.559000000000001</v>
      </c>
      <c r="O125" s="996">
        <f t="shared" ref="O125:Z125" si="206">SUM(O123:O124)</f>
        <v>0</v>
      </c>
      <c r="P125" s="996">
        <f t="shared" si="206"/>
        <v>0</v>
      </c>
      <c r="Q125" s="996">
        <f t="shared" si="206"/>
        <v>0</v>
      </c>
      <c r="R125" s="996">
        <f t="shared" si="206"/>
        <v>0</v>
      </c>
      <c r="S125" s="996">
        <f t="shared" si="206"/>
        <v>0</v>
      </c>
      <c r="T125" s="996">
        <f t="shared" si="206"/>
        <v>0</v>
      </c>
      <c r="U125" s="996">
        <f t="shared" si="206"/>
        <v>0</v>
      </c>
      <c r="V125" s="996">
        <f>SUM(V123:V124)</f>
        <v>0</v>
      </c>
      <c r="W125" s="996">
        <f>SUM(W123:W124)</f>
        <v>0</v>
      </c>
      <c r="X125" s="996">
        <f t="shared" si="206"/>
        <v>0</v>
      </c>
      <c r="Y125" s="996">
        <f t="shared" si="206"/>
        <v>0</v>
      </c>
      <c r="Z125" s="996">
        <f t="shared" si="206"/>
        <v>0</v>
      </c>
      <c r="AA125" s="996">
        <f t="shared" ref="AA125:AD125" si="207">SUM(AA123:AA124)</f>
        <v>0</v>
      </c>
      <c r="AB125" s="996">
        <f t="shared" si="207"/>
        <v>0</v>
      </c>
      <c r="AC125" s="996">
        <f t="shared" si="207"/>
        <v>0</v>
      </c>
      <c r="AD125" s="996">
        <f t="shared" si="207"/>
        <v>0</v>
      </c>
      <c r="AE125" s="15"/>
      <c r="AF125" s="996"/>
      <c r="AG125" s="996"/>
      <c r="AH125" s="996"/>
      <c r="AI125" s="996"/>
      <c r="AJ125" s="996"/>
      <c r="AK125" s="996"/>
      <c r="AL125" s="996"/>
      <c r="AM125" s="996"/>
      <c r="AN125" s="996"/>
      <c r="AO125" s="996"/>
      <c r="AP125" s="996"/>
      <c r="AQ125" s="996"/>
      <c r="AR125" s="996"/>
      <c r="AS125" s="996"/>
      <c r="AT125" s="996"/>
      <c r="AU125" s="996"/>
      <c r="AV125" s="996"/>
      <c r="AW125" s="996"/>
      <c r="AX125" s="996"/>
      <c r="AY125" s="996"/>
      <c r="AZ125" s="996"/>
      <c r="BA125" s="996"/>
      <c r="BB125" s="996"/>
      <c r="BC125" s="996"/>
      <c r="BD125" s="996"/>
      <c r="BE125" s="996"/>
      <c r="BF125" s="996"/>
      <c r="BG125" s="996"/>
      <c r="BH125" s="996"/>
      <c r="BI125" s="996"/>
      <c r="BJ125" s="996"/>
      <c r="BK125" s="996"/>
      <c r="BL125" s="996"/>
      <c r="BM125" s="996"/>
      <c r="BN125" s="996"/>
      <c r="BO125" s="996"/>
      <c r="BP125" s="996"/>
      <c r="BQ125" s="996"/>
      <c r="BR125" s="996">
        <v>23.763999999999999</v>
      </c>
      <c r="BS125" s="996">
        <v>24.559000000000001</v>
      </c>
      <c r="BT125" s="996">
        <f t="shared" ref="BT125:CT125" si="208">SUM(BT123:BT124)</f>
        <v>24.667000000000002</v>
      </c>
      <c r="BU125" s="996">
        <f t="shared" si="208"/>
        <v>0</v>
      </c>
      <c r="BV125" s="996">
        <f t="shared" si="208"/>
        <v>0</v>
      </c>
      <c r="BW125" s="996">
        <f t="shared" si="208"/>
        <v>0</v>
      </c>
      <c r="BX125" s="996">
        <f t="shared" si="208"/>
        <v>0</v>
      </c>
      <c r="BY125" s="996">
        <f t="shared" si="208"/>
        <v>0</v>
      </c>
      <c r="BZ125" s="996">
        <f t="shared" si="208"/>
        <v>0</v>
      </c>
      <c r="CA125" s="996">
        <f t="shared" si="208"/>
        <v>0</v>
      </c>
      <c r="CB125" s="996">
        <f t="shared" si="208"/>
        <v>0</v>
      </c>
      <c r="CC125" s="996">
        <f t="shared" si="208"/>
        <v>0</v>
      </c>
      <c r="CD125" s="996">
        <f t="shared" si="208"/>
        <v>0</v>
      </c>
      <c r="CE125" s="996">
        <f t="shared" si="208"/>
        <v>0</v>
      </c>
      <c r="CF125" s="996">
        <f t="shared" si="208"/>
        <v>0</v>
      </c>
      <c r="CG125" s="996">
        <f t="shared" si="208"/>
        <v>0</v>
      </c>
      <c r="CH125" s="996">
        <f t="shared" si="208"/>
        <v>0</v>
      </c>
      <c r="CI125" s="996">
        <f t="shared" si="208"/>
        <v>0</v>
      </c>
      <c r="CJ125" s="996">
        <f t="shared" si="208"/>
        <v>0</v>
      </c>
      <c r="CK125" s="996">
        <f t="shared" si="208"/>
        <v>0</v>
      </c>
      <c r="CL125" s="996">
        <f t="shared" si="208"/>
        <v>0</v>
      </c>
      <c r="CM125" s="996">
        <f t="shared" si="208"/>
        <v>0</v>
      </c>
      <c r="CN125" s="996">
        <f t="shared" si="208"/>
        <v>0</v>
      </c>
      <c r="CO125" s="996">
        <f t="shared" si="208"/>
        <v>0</v>
      </c>
      <c r="CP125" s="996">
        <f t="shared" si="208"/>
        <v>0</v>
      </c>
      <c r="CQ125" s="996">
        <f>SUM(CQ123:CQ124)</f>
        <v>0</v>
      </c>
      <c r="CR125" s="996">
        <f t="shared" si="208"/>
        <v>0</v>
      </c>
      <c r="CS125" s="996">
        <f t="shared" si="208"/>
        <v>0</v>
      </c>
      <c r="CT125" s="996">
        <f t="shared" si="208"/>
        <v>0</v>
      </c>
      <c r="CU125" s="996">
        <f>SUM(CU123:CU124)</f>
        <v>0</v>
      </c>
      <c r="CV125" s="996">
        <f>SUM(CV123:CV124)</f>
        <v>0</v>
      </c>
      <c r="CW125" s="996">
        <f>SUM(CW123:CW124)</f>
        <v>0</v>
      </c>
      <c r="CX125" s="996">
        <f>SUM(CX123:CX124)</f>
        <v>0</v>
      </c>
      <c r="CY125" s="996">
        <f>SUM(CY123:CY124)</f>
        <v>0</v>
      </c>
      <c r="CZ125" s="996">
        <f t="shared" ref="CZ125:DC125" si="209">SUM(CZ123:CZ124)</f>
        <v>0</v>
      </c>
      <c r="DA125" s="996">
        <f t="shared" si="209"/>
        <v>0</v>
      </c>
      <c r="DB125" s="996">
        <f t="shared" si="209"/>
        <v>0</v>
      </c>
      <c r="DC125" s="996">
        <f t="shared" si="209"/>
        <v>0</v>
      </c>
    </row>
    <row r="126" spans="1:107" hidden="1" outlineLevel="1">
      <c r="A126" s="15"/>
      <c r="B126" s="994"/>
      <c r="C126" s="995"/>
      <c r="D126" s="995"/>
      <c r="E126" s="995"/>
      <c r="F126" s="995"/>
      <c r="G126" s="995"/>
      <c r="H126" s="995"/>
      <c r="I126" s="995"/>
      <c r="J126" s="995"/>
      <c r="K126" s="996"/>
      <c r="L126" s="996"/>
      <c r="M126" s="996"/>
      <c r="N126" s="996"/>
      <c r="O126" s="996"/>
      <c r="P126" s="996"/>
      <c r="Q126" s="996"/>
      <c r="R126" s="996"/>
      <c r="S126" s="996"/>
      <c r="T126" s="996"/>
      <c r="U126" s="996"/>
      <c r="V126" s="996"/>
      <c r="W126" s="996"/>
      <c r="X126" s="996"/>
      <c r="Y126" s="996"/>
      <c r="Z126" s="996"/>
      <c r="AA126" s="996"/>
      <c r="AB126" s="996"/>
      <c r="AC126" s="996"/>
      <c r="AD126" s="996"/>
      <c r="AE126" s="15"/>
      <c r="AF126" s="996"/>
      <c r="AG126" s="996"/>
      <c r="AH126" s="996"/>
      <c r="AI126" s="996"/>
      <c r="AJ126" s="996"/>
      <c r="AK126" s="996"/>
      <c r="AL126" s="996"/>
      <c r="AM126" s="996"/>
      <c r="AN126" s="996"/>
      <c r="AO126" s="996"/>
      <c r="AP126" s="996"/>
      <c r="AQ126" s="996"/>
      <c r="AR126" s="996"/>
      <c r="AS126" s="996"/>
      <c r="AT126" s="996"/>
      <c r="AU126" s="996"/>
      <c r="AV126" s="996"/>
      <c r="AW126" s="996"/>
      <c r="AX126" s="996"/>
      <c r="AY126" s="996"/>
      <c r="AZ126" s="996"/>
      <c r="BA126" s="996"/>
      <c r="BB126" s="996"/>
      <c r="BC126" s="996"/>
      <c r="BD126" s="996"/>
      <c r="BE126" s="996"/>
      <c r="BF126" s="996"/>
      <c r="BG126" s="996"/>
      <c r="BH126" s="996"/>
      <c r="BI126" s="996"/>
      <c r="BJ126" s="996"/>
      <c r="BK126" s="996"/>
      <c r="BL126" s="996"/>
      <c r="BM126" s="996"/>
      <c r="BN126" s="996"/>
      <c r="BO126" s="996"/>
      <c r="BP126" s="996"/>
      <c r="BQ126" s="996"/>
      <c r="BR126" s="996"/>
      <c r="BS126" s="996"/>
      <c r="BT126" s="996"/>
      <c r="BU126" s="996"/>
      <c r="BV126" s="996"/>
      <c r="BW126" s="996"/>
      <c r="BX126" s="996"/>
      <c r="BY126" s="996"/>
      <c r="BZ126" s="996"/>
      <c r="CA126" s="996"/>
      <c r="CB126" s="996"/>
      <c r="CC126" s="996"/>
      <c r="CD126" s="996"/>
      <c r="CE126" s="996"/>
      <c r="CF126" s="996"/>
      <c r="CG126" s="996"/>
      <c r="CH126" s="996"/>
      <c r="CI126" s="996"/>
      <c r="CJ126" s="996"/>
      <c r="CK126" s="996"/>
      <c r="CL126" s="996"/>
      <c r="CM126" s="996"/>
      <c r="CN126" s="996"/>
      <c r="CO126" s="996"/>
      <c r="CP126" s="996"/>
      <c r="CQ126" s="996"/>
      <c r="CR126" s="996"/>
      <c r="CS126" s="996"/>
      <c r="CT126" s="996"/>
      <c r="CU126" s="996"/>
      <c r="CV126" s="996"/>
      <c r="CW126" s="996"/>
      <c r="CX126" s="996"/>
      <c r="CY126" s="996"/>
      <c r="CZ126" s="996"/>
      <c r="DA126" s="996"/>
      <c r="DB126" s="996"/>
      <c r="DC126" s="996"/>
    </row>
    <row r="127" spans="1:107" ht="12.75" hidden="1" customHeight="1" outlineLevel="1">
      <c r="A127" s="2195"/>
      <c r="B127" s="995" t="s">
        <v>1537</v>
      </c>
      <c r="C127" s="995"/>
      <c r="D127" s="995"/>
      <c r="E127" s="995"/>
      <c r="F127" s="995"/>
      <c r="G127" s="995"/>
      <c r="H127" s="995"/>
      <c r="I127" s="995"/>
      <c r="J127" s="995"/>
      <c r="K127" s="995"/>
      <c r="L127" s="995"/>
      <c r="M127" s="995"/>
      <c r="N127" s="995"/>
      <c r="O127" s="995"/>
      <c r="P127" s="995"/>
      <c r="Q127" s="995"/>
      <c r="R127" s="995"/>
      <c r="S127" s="995"/>
      <c r="T127" s="995"/>
      <c r="U127" s="995"/>
      <c r="V127" s="995"/>
      <c r="W127" s="995"/>
      <c r="X127" s="995"/>
      <c r="Y127" s="995"/>
      <c r="Z127" s="995"/>
      <c r="AA127" s="995"/>
      <c r="AB127" s="995"/>
      <c r="AC127" s="995"/>
      <c r="AD127" s="995"/>
      <c r="AE127" s="995"/>
      <c r="AF127" s="995"/>
      <c r="AG127" s="995"/>
      <c r="AH127" s="995"/>
      <c r="AI127" s="995"/>
      <c r="AJ127" s="995"/>
      <c r="AK127" s="995"/>
      <c r="AL127" s="995"/>
      <c r="AM127" s="995"/>
      <c r="AN127" s="995"/>
      <c r="AO127" s="995"/>
      <c r="AP127" s="995"/>
      <c r="AQ127" s="995"/>
      <c r="AR127" s="995"/>
      <c r="AS127" s="995"/>
      <c r="AT127" s="995"/>
      <c r="AU127" s="995"/>
      <c r="AV127" s="995"/>
      <c r="AW127" s="995"/>
      <c r="AX127" s="995"/>
      <c r="AY127" s="995"/>
      <c r="AZ127" s="995"/>
      <c r="BA127" s="995"/>
      <c r="BB127" s="995"/>
      <c r="BC127" s="995"/>
      <c r="BD127" s="995"/>
      <c r="BE127" s="995"/>
      <c r="BF127" s="995"/>
      <c r="BG127" s="995"/>
      <c r="BH127" s="995"/>
      <c r="BI127" s="995"/>
      <c r="BJ127" s="995"/>
      <c r="BK127" s="995"/>
      <c r="BL127" s="995"/>
      <c r="BM127" s="995"/>
      <c r="BN127" s="995"/>
      <c r="BO127" s="995"/>
      <c r="BP127" s="995"/>
      <c r="BQ127" s="995"/>
      <c r="BR127" s="995"/>
      <c r="BS127" s="995"/>
      <c r="BT127" s="995"/>
      <c r="BU127" s="995"/>
      <c r="BV127" s="995"/>
      <c r="BW127" s="995"/>
      <c r="BX127" s="995"/>
      <c r="BY127" s="995"/>
      <c r="BZ127" s="995"/>
      <c r="CA127" s="995"/>
      <c r="CB127" s="995"/>
      <c r="CC127" s="995"/>
      <c r="CD127" s="995"/>
      <c r="CE127" s="995"/>
      <c r="CF127" s="995"/>
      <c r="CG127" s="995"/>
      <c r="CH127" s="995"/>
      <c r="CI127" s="995"/>
      <c r="CJ127" s="995"/>
      <c r="CK127" s="995"/>
      <c r="CL127" s="995"/>
      <c r="CM127" s="995"/>
      <c r="CN127" s="995"/>
      <c r="CO127" s="995"/>
      <c r="CP127" s="995"/>
      <c r="CQ127" s="995"/>
      <c r="CR127" s="995"/>
      <c r="CS127" s="995"/>
      <c r="CT127" s="995"/>
      <c r="CU127" s="995"/>
      <c r="CV127" s="995"/>
      <c r="CW127" s="995"/>
      <c r="CX127" s="995"/>
      <c r="CY127" s="995"/>
      <c r="CZ127" s="995"/>
      <c r="DA127" s="995"/>
      <c r="DB127" s="995"/>
      <c r="DC127" s="995"/>
    </row>
    <row r="128" spans="1:107" ht="12.75" hidden="1" customHeight="1" outlineLevel="1">
      <c r="A128" s="2195"/>
      <c r="B128" s="994" t="s">
        <v>1118</v>
      </c>
      <c r="C128" s="995"/>
      <c r="D128" s="995"/>
      <c r="E128" s="995"/>
      <c r="F128" s="995"/>
      <c r="G128" s="995"/>
      <c r="H128" s="995"/>
      <c r="I128" s="995"/>
      <c r="J128" s="996"/>
      <c r="K128" s="996"/>
      <c r="L128" s="996"/>
      <c r="M128" s="996"/>
      <c r="N128" s="996">
        <f>BS128</f>
        <v>6.3544999999999998</v>
      </c>
      <c r="O128" s="996">
        <f t="shared" ref="O128:Z128" si="210">N130</f>
        <v>6.1709999999999994</v>
      </c>
      <c r="P128" s="996">
        <f t="shared" si="210"/>
        <v>0</v>
      </c>
      <c r="Q128" s="996">
        <f t="shared" si="210"/>
        <v>0</v>
      </c>
      <c r="R128" s="996">
        <f t="shared" si="210"/>
        <v>0</v>
      </c>
      <c r="S128" s="996">
        <f t="shared" si="210"/>
        <v>0</v>
      </c>
      <c r="T128" s="996">
        <f t="shared" si="210"/>
        <v>0</v>
      </c>
      <c r="U128" s="996">
        <f t="shared" si="210"/>
        <v>0</v>
      </c>
      <c r="V128" s="996">
        <f t="shared" si="210"/>
        <v>0</v>
      </c>
      <c r="W128" s="996">
        <f t="shared" si="210"/>
        <v>0</v>
      </c>
      <c r="X128" s="996">
        <f t="shared" si="210"/>
        <v>0</v>
      </c>
      <c r="Y128" s="996">
        <f t="shared" si="210"/>
        <v>0</v>
      </c>
      <c r="Z128" s="996">
        <f t="shared" si="210"/>
        <v>0</v>
      </c>
      <c r="AA128" s="996">
        <f t="shared" ref="AA128" si="211">Z130</f>
        <v>0</v>
      </c>
      <c r="AB128" s="996">
        <f t="shared" ref="AB128" si="212">AA130</f>
        <v>0</v>
      </c>
      <c r="AC128" s="996">
        <f t="shared" ref="AC128" si="213">AB130</f>
        <v>0</v>
      </c>
      <c r="AD128" s="996">
        <f t="shared" ref="AD128" si="214">AC130</f>
        <v>0</v>
      </c>
      <c r="AE128" s="995"/>
      <c r="AF128" s="996"/>
      <c r="AG128" s="996"/>
      <c r="AH128" s="996"/>
      <c r="AI128" s="996"/>
      <c r="AJ128" s="996"/>
      <c r="AK128" s="996"/>
      <c r="AL128" s="996"/>
      <c r="AM128" s="996"/>
      <c r="AN128" s="996"/>
      <c r="AO128" s="996"/>
      <c r="AP128" s="996"/>
      <c r="AQ128" s="996"/>
      <c r="AR128" s="996"/>
      <c r="AS128" s="996"/>
      <c r="AT128" s="996"/>
      <c r="AU128" s="996"/>
      <c r="AV128" s="996"/>
      <c r="AW128" s="996"/>
      <c r="AX128" s="996"/>
      <c r="AY128" s="996"/>
      <c r="AZ128" s="996"/>
      <c r="BA128" s="996"/>
      <c r="BB128" s="996"/>
      <c r="BC128" s="996"/>
      <c r="BD128" s="996"/>
      <c r="BE128" s="996"/>
      <c r="BF128" s="996"/>
      <c r="BG128" s="996"/>
      <c r="BH128" s="996"/>
      <c r="BI128" s="996"/>
      <c r="BJ128" s="996"/>
      <c r="BK128" s="996"/>
      <c r="BL128" s="996"/>
      <c r="BM128" s="996"/>
      <c r="BN128" s="996"/>
      <c r="BO128" s="996"/>
      <c r="BP128" s="996">
        <f t="shared" ref="BP128:CU128" si="215">BO130</f>
        <v>6.9050000000000002</v>
      </c>
      <c r="BQ128" s="996">
        <f t="shared" si="215"/>
        <v>6.7215000000000007</v>
      </c>
      <c r="BR128" s="996">
        <f t="shared" si="215"/>
        <v>6.5380000000000003</v>
      </c>
      <c r="BS128" s="996">
        <f t="shared" si="215"/>
        <v>6.3544999999999998</v>
      </c>
      <c r="BT128" s="996">
        <f t="shared" si="215"/>
        <v>6.1709999999999994</v>
      </c>
      <c r="BU128" s="996">
        <f t="shared" si="215"/>
        <v>6.1709999999999994</v>
      </c>
      <c r="BV128" s="996">
        <f t="shared" si="215"/>
        <v>6.1709999999999994</v>
      </c>
      <c r="BW128" s="996">
        <f t="shared" si="215"/>
        <v>6.1709999999999994</v>
      </c>
      <c r="BX128" s="996">
        <f t="shared" si="215"/>
        <v>0</v>
      </c>
      <c r="BY128" s="996">
        <f t="shared" si="215"/>
        <v>0</v>
      </c>
      <c r="BZ128" s="996">
        <f t="shared" si="215"/>
        <v>0</v>
      </c>
      <c r="CA128" s="996">
        <f t="shared" si="215"/>
        <v>0</v>
      </c>
      <c r="CB128" s="996">
        <f t="shared" si="215"/>
        <v>0</v>
      </c>
      <c r="CC128" s="996">
        <f t="shared" si="215"/>
        <v>0</v>
      </c>
      <c r="CD128" s="996">
        <f t="shared" si="215"/>
        <v>0</v>
      </c>
      <c r="CE128" s="996">
        <f t="shared" si="215"/>
        <v>0</v>
      </c>
      <c r="CF128" s="996">
        <f t="shared" si="215"/>
        <v>0</v>
      </c>
      <c r="CG128" s="996">
        <f t="shared" si="215"/>
        <v>0</v>
      </c>
      <c r="CH128" s="996">
        <f t="shared" si="215"/>
        <v>0</v>
      </c>
      <c r="CI128" s="996">
        <f t="shared" si="215"/>
        <v>0</v>
      </c>
      <c r="CJ128" s="996">
        <f t="shared" si="215"/>
        <v>0</v>
      </c>
      <c r="CK128" s="996">
        <f t="shared" si="215"/>
        <v>0</v>
      </c>
      <c r="CL128" s="996">
        <f t="shared" si="215"/>
        <v>0</v>
      </c>
      <c r="CM128" s="996">
        <f t="shared" si="215"/>
        <v>0</v>
      </c>
      <c r="CN128" s="996">
        <f t="shared" si="215"/>
        <v>0</v>
      </c>
      <c r="CO128" s="996">
        <f t="shared" si="215"/>
        <v>0</v>
      </c>
      <c r="CP128" s="996">
        <f t="shared" si="215"/>
        <v>0</v>
      </c>
      <c r="CQ128" s="996">
        <f t="shared" si="215"/>
        <v>0</v>
      </c>
      <c r="CR128" s="996">
        <f t="shared" si="215"/>
        <v>0</v>
      </c>
      <c r="CS128" s="996">
        <f t="shared" si="215"/>
        <v>0</v>
      </c>
      <c r="CT128" s="996">
        <f t="shared" si="215"/>
        <v>0</v>
      </c>
      <c r="CU128" s="996">
        <f t="shared" si="215"/>
        <v>0</v>
      </c>
      <c r="CV128" s="996">
        <f>CU130</f>
        <v>0</v>
      </c>
      <c r="CW128" s="996">
        <f>CV130</f>
        <v>0</v>
      </c>
      <c r="CX128" s="996">
        <f>CW130</f>
        <v>0</v>
      </c>
      <c r="CY128" s="996">
        <f>CX130</f>
        <v>0</v>
      </c>
      <c r="CZ128" s="996">
        <f t="shared" ref="CZ128:DC128" si="216">CY130</f>
        <v>0</v>
      </c>
      <c r="DA128" s="996">
        <f t="shared" si="216"/>
        <v>0</v>
      </c>
      <c r="DB128" s="996">
        <f t="shared" si="216"/>
        <v>0</v>
      </c>
      <c r="DC128" s="996">
        <f t="shared" si="216"/>
        <v>0</v>
      </c>
    </row>
    <row r="129" spans="1:107" ht="12.75" hidden="1" customHeight="1" outlineLevel="1">
      <c r="A129" s="2195"/>
      <c r="B129" s="994" t="s">
        <v>1121</v>
      </c>
      <c r="C129" s="995"/>
      <c r="D129" s="995"/>
      <c r="E129" s="995"/>
      <c r="F129" s="995"/>
      <c r="G129" s="995"/>
      <c r="H129" s="995"/>
      <c r="I129" s="995"/>
      <c r="J129" s="996"/>
      <c r="K129" s="996"/>
      <c r="L129" s="996"/>
      <c r="M129" s="996"/>
      <c r="N129" s="996">
        <f t="shared" ref="N129:T129" si="217">N130-N128</f>
        <v>-0.18350000000000044</v>
      </c>
      <c r="O129" s="996">
        <f t="shared" si="217"/>
        <v>-6.1709999999999994</v>
      </c>
      <c r="P129" s="996">
        <f t="shared" si="217"/>
        <v>0</v>
      </c>
      <c r="Q129" s="996">
        <f t="shared" si="217"/>
        <v>0</v>
      </c>
      <c r="R129" s="996">
        <f t="shared" si="217"/>
        <v>0</v>
      </c>
      <c r="S129" s="996">
        <f t="shared" si="217"/>
        <v>0</v>
      </c>
      <c r="T129" s="996">
        <f t="shared" si="217"/>
        <v>0</v>
      </c>
      <c r="U129" s="996">
        <v>0</v>
      </c>
      <c r="V129" s="996">
        <v>0</v>
      </c>
      <c r="W129" s="996">
        <v>0</v>
      </c>
      <c r="X129" s="996">
        <v>0</v>
      </c>
      <c r="Y129" s="996">
        <v>0</v>
      </c>
      <c r="Z129" s="996">
        <v>0</v>
      </c>
      <c r="AA129" s="996">
        <v>0</v>
      </c>
      <c r="AB129" s="996">
        <v>0</v>
      </c>
      <c r="AC129" s="996">
        <v>0</v>
      </c>
      <c r="AD129" s="996">
        <v>0</v>
      </c>
      <c r="AE129" s="995"/>
      <c r="AF129" s="1008"/>
      <c r="AG129" s="1008"/>
      <c r="AH129" s="1008"/>
      <c r="AI129" s="1008"/>
      <c r="AJ129" s="1008"/>
      <c r="AK129" s="1008"/>
      <c r="AL129" s="1008"/>
      <c r="AM129" s="1008"/>
      <c r="AN129" s="1008"/>
      <c r="AO129" s="1008"/>
      <c r="AP129" s="1008"/>
      <c r="AQ129" s="1008"/>
      <c r="AR129" s="1008"/>
      <c r="AS129" s="1008"/>
      <c r="AT129" s="1008"/>
      <c r="AU129" s="1008"/>
      <c r="AV129" s="1008"/>
      <c r="AW129" s="1008"/>
      <c r="AX129" s="1008"/>
      <c r="AY129" s="1008"/>
      <c r="AZ129" s="1008"/>
      <c r="BA129" s="1008"/>
      <c r="BB129" s="1008"/>
      <c r="BC129" s="1008"/>
      <c r="BD129" s="1008"/>
      <c r="BE129" s="1008"/>
      <c r="BF129" s="1008"/>
      <c r="BG129" s="1008"/>
      <c r="BH129" s="1008"/>
      <c r="BI129" s="1008"/>
      <c r="BJ129" s="1008"/>
      <c r="BK129" s="1008"/>
      <c r="BL129" s="1008"/>
      <c r="BM129" s="1008"/>
      <c r="BN129" s="1008"/>
      <c r="BO129" s="1008"/>
      <c r="BP129" s="996">
        <f>-0.734/4</f>
        <v>-0.1835</v>
      </c>
      <c r="BQ129" s="996">
        <f>-0.734/4</f>
        <v>-0.1835</v>
      </c>
      <c r="BR129" s="996">
        <f>-0.734/4</f>
        <v>-0.1835</v>
      </c>
      <c r="BS129" s="996">
        <f>-0.734/4</f>
        <v>-0.1835</v>
      </c>
      <c r="BT129" s="996">
        <v>0</v>
      </c>
      <c r="BU129" s="996">
        <f>BT129</f>
        <v>0</v>
      </c>
      <c r="BV129" s="996">
        <f>BU129</f>
        <v>0</v>
      </c>
      <c r="BW129" s="996">
        <v>0</v>
      </c>
      <c r="BX129" s="996">
        <f t="shared" ref="BX129:CU129" si="218">BW129</f>
        <v>0</v>
      </c>
      <c r="BY129" s="996">
        <f t="shared" si="218"/>
        <v>0</v>
      </c>
      <c r="BZ129" s="996">
        <f t="shared" si="218"/>
        <v>0</v>
      </c>
      <c r="CA129" s="996">
        <f t="shared" si="218"/>
        <v>0</v>
      </c>
      <c r="CB129" s="996">
        <f t="shared" si="218"/>
        <v>0</v>
      </c>
      <c r="CC129" s="996">
        <f t="shared" si="218"/>
        <v>0</v>
      </c>
      <c r="CD129" s="996">
        <f t="shared" si="218"/>
        <v>0</v>
      </c>
      <c r="CE129" s="996">
        <f t="shared" si="218"/>
        <v>0</v>
      </c>
      <c r="CF129" s="996">
        <f t="shared" si="218"/>
        <v>0</v>
      </c>
      <c r="CG129" s="996">
        <f t="shared" si="218"/>
        <v>0</v>
      </c>
      <c r="CH129" s="996">
        <f t="shared" si="218"/>
        <v>0</v>
      </c>
      <c r="CI129" s="996">
        <f t="shared" si="218"/>
        <v>0</v>
      </c>
      <c r="CJ129" s="996">
        <f t="shared" si="218"/>
        <v>0</v>
      </c>
      <c r="CK129" s="996">
        <f t="shared" si="218"/>
        <v>0</v>
      </c>
      <c r="CL129" s="996">
        <f t="shared" si="218"/>
        <v>0</v>
      </c>
      <c r="CM129" s="996">
        <f t="shared" si="218"/>
        <v>0</v>
      </c>
      <c r="CN129" s="996">
        <f t="shared" si="218"/>
        <v>0</v>
      </c>
      <c r="CO129" s="996">
        <f t="shared" si="218"/>
        <v>0</v>
      </c>
      <c r="CP129" s="996">
        <f t="shared" si="218"/>
        <v>0</v>
      </c>
      <c r="CQ129" s="996">
        <f t="shared" si="218"/>
        <v>0</v>
      </c>
      <c r="CR129" s="996">
        <f t="shared" si="218"/>
        <v>0</v>
      </c>
      <c r="CS129" s="996">
        <f t="shared" si="218"/>
        <v>0</v>
      </c>
      <c r="CT129" s="996">
        <f t="shared" si="218"/>
        <v>0</v>
      </c>
      <c r="CU129" s="996">
        <f t="shared" si="218"/>
        <v>0</v>
      </c>
      <c r="CV129" s="996">
        <f>CU129</f>
        <v>0</v>
      </c>
      <c r="CW129" s="996">
        <f>CV129</f>
        <v>0</v>
      </c>
      <c r="CX129" s="996">
        <f>CW129</f>
        <v>0</v>
      </c>
      <c r="CY129" s="996">
        <f>CX129</f>
        <v>0</v>
      </c>
      <c r="CZ129" s="996">
        <f t="shared" ref="CZ129:DC129" si="219">CY129</f>
        <v>0</v>
      </c>
      <c r="DA129" s="996">
        <f t="shared" si="219"/>
        <v>0</v>
      </c>
      <c r="DB129" s="996">
        <f t="shared" si="219"/>
        <v>0</v>
      </c>
      <c r="DC129" s="996">
        <f t="shared" si="219"/>
        <v>0</v>
      </c>
    </row>
    <row r="130" spans="1:107" ht="12.75" hidden="1" customHeight="1" outlineLevel="1">
      <c r="A130" s="2195"/>
      <c r="B130" s="994" t="s">
        <v>1044</v>
      </c>
      <c r="C130" s="995"/>
      <c r="D130" s="995"/>
      <c r="E130" s="995"/>
      <c r="F130" s="995"/>
      <c r="G130" s="995"/>
      <c r="H130" s="995"/>
      <c r="I130" s="995"/>
      <c r="J130" s="996"/>
      <c r="K130" s="996"/>
      <c r="L130" s="996"/>
      <c r="M130" s="996">
        <f>BO130</f>
        <v>6.9050000000000002</v>
      </c>
      <c r="N130" s="996">
        <f>BS130</f>
        <v>6.1709999999999994</v>
      </c>
      <c r="O130" s="996">
        <f>BW130</f>
        <v>0</v>
      </c>
      <c r="P130" s="996">
        <f>CA130</f>
        <v>0</v>
      </c>
      <c r="Q130" s="996">
        <f>CE130</f>
        <v>0</v>
      </c>
      <c r="R130" s="996">
        <f>CI130</f>
        <v>0</v>
      </c>
      <c r="S130" s="996">
        <f>CM130</f>
        <v>0</v>
      </c>
      <c r="T130" s="996">
        <f>CQ130</f>
        <v>0</v>
      </c>
      <c r="U130" s="996">
        <f t="shared" ref="U130:Z130" si="220">SUM(U128:U129)</f>
        <v>0</v>
      </c>
      <c r="V130" s="996">
        <f>SUM(V128:V129)</f>
        <v>0</v>
      </c>
      <c r="W130" s="996">
        <f>SUM(W128:W129)</f>
        <v>0</v>
      </c>
      <c r="X130" s="996">
        <f t="shared" si="220"/>
        <v>0</v>
      </c>
      <c r="Y130" s="996">
        <f t="shared" si="220"/>
        <v>0</v>
      </c>
      <c r="Z130" s="996">
        <f t="shared" si="220"/>
        <v>0</v>
      </c>
      <c r="AA130" s="996">
        <f t="shared" ref="AA130:AD130" si="221">SUM(AA128:AA129)</f>
        <v>0</v>
      </c>
      <c r="AB130" s="996">
        <f t="shared" si="221"/>
        <v>0</v>
      </c>
      <c r="AC130" s="996">
        <f t="shared" si="221"/>
        <v>0</v>
      </c>
      <c r="AD130" s="996">
        <f t="shared" si="221"/>
        <v>0</v>
      </c>
      <c r="AE130" s="995"/>
      <c r="AF130" s="996"/>
      <c r="AG130" s="996"/>
      <c r="AH130" s="996"/>
      <c r="AI130" s="996"/>
      <c r="AJ130" s="996"/>
      <c r="AK130" s="996"/>
      <c r="AL130" s="996"/>
      <c r="AM130" s="996"/>
      <c r="AN130" s="996"/>
      <c r="AO130" s="996"/>
      <c r="AP130" s="996"/>
      <c r="AQ130" s="996"/>
      <c r="AR130" s="996"/>
      <c r="AS130" s="996"/>
      <c r="AT130" s="996"/>
      <c r="AU130" s="996"/>
      <c r="AV130" s="996"/>
      <c r="AW130" s="996"/>
      <c r="AX130" s="996"/>
      <c r="AY130" s="996"/>
      <c r="AZ130" s="996"/>
      <c r="BA130" s="996"/>
      <c r="BB130" s="996"/>
      <c r="BC130" s="996"/>
      <c r="BD130" s="996"/>
      <c r="BE130" s="996"/>
      <c r="BF130" s="996"/>
      <c r="BG130" s="996"/>
      <c r="BH130" s="996"/>
      <c r="BI130" s="996"/>
      <c r="BJ130" s="996"/>
      <c r="BK130" s="996"/>
      <c r="BL130" s="996"/>
      <c r="BM130" s="996"/>
      <c r="BN130" s="996"/>
      <c r="BO130" s="996">
        <v>6.9050000000000002</v>
      </c>
      <c r="BP130" s="996">
        <f t="shared" ref="BP130:BV130" si="222">SUM(BP128:BP129)</f>
        <v>6.7215000000000007</v>
      </c>
      <c r="BQ130" s="996">
        <f t="shared" si="222"/>
        <v>6.5380000000000003</v>
      </c>
      <c r="BR130" s="996">
        <f t="shared" si="222"/>
        <v>6.3544999999999998</v>
      </c>
      <c r="BS130" s="996">
        <f t="shared" si="222"/>
        <v>6.1709999999999994</v>
      </c>
      <c r="BT130" s="996">
        <f t="shared" si="222"/>
        <v>6.1709999999999994</v>
      </c>
      <c r="BU130" s="996">
        <f t="shared" si="222"/>
        <v>6.1709999999999994</v>
      </c>
      <c r="BV130" s="996">
        <f t="shared" si="222"/>
        <v>6.1709999999999994</v>
      </c>
      <c r="BW130" s="996">
        <v>0</v>
      </c>
      <c r="BX130" s="996">
        <v>0</v>
      </c>
      <c r="BY130" s="996">
        <v>0</v>
      </c>
      <c r="BZ130" s="996">
        <v>0</v>
      </c>
      <c r="CA130" s="996">
        <v>0</v>
      </c>
      <c r="CB130" s="996">
        <v>0</v>
      </c>
      <c r="CC130" s="996">
        <v>0</v>
      </c>
      <c r="CD130" s="996">
        <v>0</v>
      </c>
      <c r="CE130" s="996">
        <v>0</v>
      </c>
      <c r="CF130" s="996">
        <v>0</v>
      </c>
      <c r="CG130" s="996">
        <v>0</v>
      </c>
      <c r="CH130" s="996">
        <v>0</v>
      </c>
      <c r="CI130" s="996">
        <v>0</v>
      </c>
      <c r="CJ130" s="996">
        <v>0</v>
      </c>
      <c r="CK130" s="996">
        <v>0</v>
      </c>
      <c r="CL130" s="996">
        <v>0</v>
      </c>
      <c r="CM130" s="996">
        <v>0</v>
      </c>
      <c r="CN130" s="996">
        <v>0</v>
      </c>
      <c r="CO130" s="996">
        <v>0</v>
      </c>
      <c r="CP130" s="996">
        <v>0</v>
      </c>
      <c r="CQ130" s="996">
        <v>0</v>
      </c>
      <c r="CR130" s="996">
        <v>0</v>
      </c>
      <c r="CS130" s="996">
        <v>0</v>
      </c>
      <c r="CT130" s="996">
        <v>0</v>
      </c>
      <c r="CU130" s="996">
        <v>0</v>
      </c>
      <c r="CV130" s="996">
        <v>0</v>
      </c>
      <c r="CW130" s="996">
        <v>0</v>
      </c>
      <c r="CX130" s="996">
        <v>0</v>
      </c>
      <c r="CY130" s="996">
        <v>0</v>
      </c>
      <c r="CZ130" s="996">
        <v>0</v>
      </c>
      <c r="DA130" s="996">
        <v>0</v>
      </c>
      <c r="DB130" s="996">
        <v>0</v>
      </c>
      <c r="DC130" s="996">
        <v>0</v>
      </c>
    </row>
    <row r="131" spans="1:107" ht="12.75" hidden="1" customHeight="1" outlineLevel="1">
      <c r="A131" s="15"/>
      <c r="B131" s="876"/>
      <c r="C131" s="15"/>
      <c r="D131" s="15"/>
      <c r="E131" s="15"/>
      <c r="F131" s="15"/>
      <c r="G131" s="15"/>
      <c r="H131" s="15"/>
      <c r="I131" s="15"/>
      <c r="J131" s="15"/>
      <c r="K131" s="1004"/>
      <c r="L131" s="1004"/>
      <c r="M131" s="1004"/>
      <c r="N131" s="1004"/>
      <c r="O131" s="1004"/>
      <c r="P131" s="1004"/>
      <c r="Q131" s="1004"/>
      <c r="R131" s="1004"/>
      <c r="S131" s="1004"/>
      <c r="T131" s="1004"/>
      <c r="U131" s="1004"/>
      <c r="V131" s="1004"/>
      <c r="W131" s="1004"/>
      <c r="X131" s="1004"/>
      <c r="Y131" s="1004"/>
      <c r="Z131" s="1004"/>
      <c r="AA131" s="1004"/>
      <c r="AB131" s="1004"/>
      <c r="AC131" s="1004"/>
      <c r="AD131" s="1004"/>
      <c r="AE131" s="15"/>
      <c r="AF131" s="1004"/>
      <c r="AG131" s="1004"/>
      <c r="AH131" s="1004"/>
      <c r="AI131" s="1004"/>
      <c r="AJ131" s="1004"/>
      <c r="AK131" s="1004"/>
      <c r="AL131" s="1004"/>
      <c r="AM131" s="1004"/>
      <c r="AN131" s="1004"/>
      <c r="AO131" s="1004"/>
      <c r="AP131" s="1004"/>
      <c r="AQ131" s="1004"/>
      <c r="AR131" s="1004"/>
      <c r="AS131" s="1004"/>
      <c r="AT131" s="1004"/>
      <c r="AU131" s="1004"/>
      <c r="AV131" s="1004"/>
      <c r="AW131" s="1004"/>
      <c r="AX131" s="1004"/>
      <c r="AY131" s="1004"/>
      <c r="AZ131" s="1004"/>
      <c r="BA131" s="1004"/>
      <c r="BB131" s="1004"/>
      <c r="BC131" s="1004"/>
      <c r="BD131" s="1004"/>
      <c r="BE131" s="1004"/>
      <c r="BF131" s="1004"/>
      <c r="BG131" s="1004"/>
      <c r="BH131" s="1004"/>
      <c r="BI131" s="1004"/>
      <c r="BJ131" s="1004"/>
      <c r="BK131" s="1004"/>
      <c r="BL131" s="1004"/>
      <c r="BM131" s="1004"/>
      <c r="BN131" s="1004"/>
      <c r="BO131" s="1004"/>
      <c r="BP131" s="1004"/>
      <c r="BQ131" s="1004"/>
      <c r="BR131" s="1004"/>
      <c r="BS131" s="1004"/>
      <c r="BT131" s="1004"/>
      <c r="BU131" s="1004"/>
      <c r="BV131" s="1004"/>
      <c r="BW131" s="1004"/>
      <c r="BX131" s="1004"/>
      <c r="BY131" s="1004"/>
      <c r="BZ131" s="1004"/>
      <c r="CA131" s="1004"/>
      <c r="CB131" s="1004"/>
      <c r="CC131" s="1004"/>
      <c r="CD131" s="1004"/>
      <c r="CE131" s="1004"/>
      <c r="CF131" s="1004"/>
      <c r="CG131" s="1004"/>
      <c r="CH131" s="1004"/>
      <c r="CI131" s="1004"/>
      <c r="CJ131" s="1004"/>
      <c r="CK131" s="1004"/>
      <c r="CL131" s="1004"/>
      <c r="CM131" s="1004"/>
      <c r="CN131" s="1004"/>
      <c r="CO131" s="1004"/>
      <c r="CP131" s="1004"/>
      <c r="CQ131" s="1004"/>
      <c r="CR131" s="1004"/>
      <c r="CS131" s="1004"/>
      <c r="CT131" s="1004"/>
      <c r="CU131" s="1004"/>
      <c r="CV131" s="1004"/>
      <c r="CW131" s="1004"/>
      <c r="CX131" s="1004"/>
      <c r="CY131" s="1004"/>
      <c r="CZ131" s="1004"/>
      <c r="DA131" s="1004"/>
      <c r="DB131" s="1004"/>
      <c r="DC131" s="1004"/>
    </row>
    <row r="132" spans="1:107" s="15" customFormat="1" hidden="1" outlineLevel="1" collapsed="1">
      <c r="B132" s="15" t="s">
        <v>1206</v>
      </c>
    </row>
    <row r="133" spans="1:107" s="15" customFormat="1" hidden="1" outlineLevel="1">
      <c r="B133" s="876" t="s">
        <v>1118</v>
      </c>
      <c r="K133" s="783"/>
      <c r="L133" s="26"/>
      <c r="M133" s="26"/>
      <c r="N133" s="26">
        <f>BS133</f>
        <v>0</v>
      </c>
      <c r="O133" s="26">
        <f t="shared" ref="O133:Z133" si="223">N135</f>
        <v>0</v>
      </c>
      <c r="P133" s="26">
        <f t="shared" si="223"/>
        <v>0</v>
      </c>
      <c r="Q133" s="26">
        <f t="shared" si="223"/>
        <v>0</v>
      </c>
      <c r="R133" s="26">
        <f t="shared" si="223"/>
        <v>105.008</v>
      </c>
      <c r="S133" s="26">
        <f t="shared" si="223"/>
        <v>105.008</v>
      </c>
      <c r="T133" s="26">
        <f t="shared" si="223"/>
        <v>105.008</v>
      </c>
      <c r="U133" s="26">
        <f t="shared" si="223"/>
        <v>105.008</v>
      </c>
      <c r="V133" s="26">
        <f t="shared" si="223"/>
        <v>105.008</v>
      </c>
      <c r="W133" s="26">
        <f t="shared" si="223"/>
        <v>105.008</v>
      </c>
      <c r="X133" s="26">
        <f t="shared" si="223"/>
        <v>105.008</v>
      </c>
      <c r="Y133" s="26">
        <f t="shared" si="223"/>
        <v>105.008</v>
      </c>
      <c r="Z133" s="26">
        <f t="shared" si="223"/>
        <v>105.008</v>
      </c>
      <c r="AA133" s="26">
        <f t="shared" ref="AA133" si="224">Z135</f>
        <v>105.008</v>
      </c>
      <c r="AB133" s="26">
        <f t="shared" ref="AB133" si="225">AA135</f>
        <v>105.008</v>
      </c>
      <c r="AC133" s="26">
        <f t="shared" ref="AC133" si="226">AB135</f>
        <v>105.008</v>
      </c>
      <c r="AD133" s="26">
        <f t="shared" ref="AD133" si="227">AC135</f>
        <v>105.008</v>
      </c>
      <c r="AF133" s="26"/>
      <c r="AG133" s="26"/>
      <c r="AH133" s="26"/>
      <c r="AI133" s="26"/>
      <c r="AJ133" s="26"/>
      <c r="AK133" s="26"/>
      <c r="AL133" s="26"/>
      <c r="AM133" s="26"/>
      <c r="AN133" s="26"/>
      <c r="AO133" s="26"/>
      <c r="AP133" s="26"/>
      <c r="AQ133" s="26"/>
      <c r="AR133" s="26"/>
      <c r="AS133" s="26"/>
      <c r="AT133" s="26"/>
      <c r="AU133" s="26"/>
      <c r="AV133" s="26"/>
      <c r="AW133" s="26"/>
      <c r="AX133" s="26"/>
      <c r="AY133" s="26"/>
      <c r="AZ133" s="26"/>
      <c r="BA133" s="26"/>
      <c r="BB133" s="26"/>
      <c r="BC133" s="26"/>
      <c r="BD133" s="26"/>
      <c r="BE133" s="26"/>
      <c r="BF133" s="26"/>
      <c r="BG133" s="26"/>
      <c r="BH133" s="26"/>
      <c r="BI133" s="26"/>
      <c r="BJ133" s="26"/>
      <c r="BK133" s="26"/>
      <c r="BL133" s="26"/>
      <c r="BM133" s="26"/>
      <c r="BN133" s="26"/>
      <c r="BO133" s="26"/>
      <c r="BP133" s="26"/>
      <c r="BQ133" s="26"/>
      <c r="BR133" s="26"/>
      <c r="BS133" s="26"/>
      <c r="BT133" s="26"/>
      <c r="BU133" s="26"/>
      <c r="BV133" s="26"/>
      <c r="BW133" s="26"/>
      <c r="BX133" s="26"/>
      <c r="BY133" s="26"/>
      <c r="BZ133" s="26"/>
      <c r="CA133" s="26"/>
      <c r="CB133" s="26"/>
      <c r="CC133" s="26"/>
      <c r="CD133" s="26"/>
      <c r="CE133" s="26"/>
      <c r="CF133" s="26">
        <f t="shared" ref="CF133:CU133" si="228">CE135</f>
        <v>105.008</v>
      </c>
      <c r="CG133" s="26">
        <f t="shared" si="228"/>
        <v>105.008</v>
      </c>
      <c r="CH133" s="26">
        <f t="shared" si="228"/>
        <v>105.008</v>
      </c>
      <c r="CI133" s="26">
        <f t="shared" si="228"/>
        <v>105.008</v>
      </c>
      <c r="CJ133" s="26">
        <f t="shared" si="228"/>
        <v>105.008</v>
      </c>
      <c r="CK133" s="26">
        <f t="shared" si="228"/>
        <v>105.008</v>
      </c>
      <c r="CL133" s="26">
        <f t="shared" si="228"/>
        <v>105.008</v>
      </c>
      <c r="CM133" s="26">
        <f t="shared" si="228"/>
        <v>105.008</v>
      </c>
      <c r="CN133" s="26">
        <f t="shared" si="228"/>
        <v>105.008</v>
      </c>
      <c r="CO133" s="26">
        <f t="shared" si="228"/>
        <v>105.008</v>
      </c>
      <c r="CP133" s="26">
        <f t="shared" si="228"/>
        <v>105.008</v>
      </c>
      <c r="CQ133" s="26">
        <f t="shared" si="228"/>
        <v>105.008</v>
      </c>
      <c r="CR133" s="26">
        <f t="shared" si="228"/>
        <v>105.008</v>
      </c>
      <c r="CS133" s="26">
        <f t="shared" si="228"/>
        <v>105.008</v>
      </c>
      <c r="CT133" s="26">
        <f t="shared" si="228"/>
        <v>105.008</v>
      </c>
      <c r="CU133" s="26">
        <f t="shared" si="228"/>
        <v>105.008</v>
      </c>
      <c r="CV133" s="26">
        <f>CU135</f>
        <v>105.008</v>
      </c>
      <c r="CW133" s="26">
        <f>CV135</f>
        <v>105.008</v>
      </c>
      <c r="CX133" s="26">
        <f>CW135</f>
        <v>105.008</v>
      </c>
      <c r="CY133" s="26">
        <f>CX135</f>
        <v>105.008</v>
      </c>
      <c r="CZ133" s="26">
        <f t="shared" ref="CZ133:DC133" si="229">CY135</f>
        <v>105.008</v>
      </c>
      <c r="DA133" s="26">
        <f t="shared" si="229"/>
        <v>105.008</v>
      </c>
      <c r="DB133" s="26">
        <f t="shared" si="229"/>
        <v>105.008</v>
      </c>
      <c r="DC133" s="26">
        <f t="shared" si="229"/>
        <v>105.008</v>
      </c>
    </row>
    <row r="134" spans="1:107" s="15" customFormat="1" hidden="1" outlineLevel="1">
      <c r="B134" s="876" t="s">
        <v>1121</v>
      </c>
      <c r="K134" s="783"/>
      <c r="L134" s="26"/>
      <c r="M134" s="26"/>
      <c r="N134" s="26">
        <f t="shared" ref="N134:T134" si="230">N135-N133</f>
        <v>0</v>
      </c>
      <c r="O134" s="26">
        <f t="shared" si="230"/>
        <v>0</v>
      </c>
      <c r="P134" s="26">
        <f t="shared" si="230"/>
        <v>0</v>
      </c>
      <c r="Q134" s="26">
        <f t="shared" si="230"/>
        <v>105.008</v>
      </c>
      <c r="R134" s="26">
        <f t="shared" si="230"/>
        <v>0</v>
      </c>
      <c r="S134" s="26">
        <f t="shared" si="230"/>
        <v>0</v>
      </c>
      <c r="T134" s="26">
        <f t="shared" si="230"/>
        <v>0</v>
      </c>
      <c r="U134" s="26">
        <f>+SUM(CR134:CU134)</f>
        <v>0</v>
      </c>
      <c r="V134" s="26">
        <f>+SUM(CS134:CV134)</f>
        <v>0</v>
      </c>
      <c r="W134" s="26">
        <f>+SUM(CT134:CW134)</f>
        <v>0</v>
      </c>
      <c r="X134" s="1000">
        <f>W134</f>
        <v>0</v>
      </c>
      <c r="Y134" s="1000">
        <f>X134</f>
        <v>0</v>
      </c>
      <c r="Z134" s="1000">
        <f>Y134</f>
        <v>0</v>
      </c>
      <c r="AA134" s="1000">
        <f t="shared" ref="AA134:AD134" si="231">Z134</f>
        <v>0</v>
      </c>
      <c r="AB134" s="1000">
        <f t="shared" si="231"/>
        <v>0</v>
      </c>
      <c r="AC134" s="1000">
        <f t="shared" si="231"/>
        <v>0</v>
      </c>
      <c r="AD134" s="1000">
        <f t="shared" si="231"/>
        <v>0</v>
      </c>
      <c r="AF134" s="772"/>
      <c r="AG134" s="772"/>
      <c r="AH134" s="772"/>
      <c r="AI134" s="772"/>
      <c r="AJ134" s="772"/>
      <c r="AK134" s="772"/>
      <c r="AL134" s="772"/>
      <c r="AM134" s="772"/>
      <c r="AN134" s="772"/>
      <c r="AO134" s="772"/>
      <c r="AP134" s="772"/>
      <c r="AQ134" s="772"/>
      <c r="AR134" s="772"/>
      <c r="AS134" s="772"/>
      <c r="AT134" s="772"/>
      <c r="AU134" s="772"/>
      <c r="AV134" s="772"/>
      <c r="AW134" s="772"/>
      <c r="AX134" s="772"/>
      <c r="AY134" s="772"/>
      <c r="AZ134" s="772"/>
      <c r="BA134" s="772"/>
      <c r="BB134" s="772"/>
      <c r="BC134" s="772"/>
      <c r="BD134" s="772"/>
      <c r="BE134" s="772"/>
      <c r="BF134" s="772"/>
      <c r="BG134" s="772"/>
      <c r="BH134" s="772"/>
      <c r="BI134" s="772"/>
      <c r="BJ134" s="772"/>
      <c r="BK134" s="772"/>
      <c r="BL134" s="772"/>
      <c r="BM134" s="772"/>
      <c r="BN134" s="772"/>
      <c r="BO134" s="772"/>
      <c r="BP134" s="1000"/>
      <c r="BQ134" s="1000"/>
      <c r="BR134" s="1000"/>
      <c r="BS134" s="1000"/>
      <c r="BT134" s="1000"/>
      <c r="BU134" s="1000"/>
      <c r="BV134" s="1000"/>
      <c r="BW134" s="1000"/>
      <c r="BX134" s="1000"/>
      <c r="BY134" s="1000"/>
      <c r="BZ134" s="1000"/>
      <c r="CA134" s="1000"/>
      <c r="CB134" s="1000"/>
      <c r="CC134" s="1000"/>
      <c r="CD134" s="1000"/>
      <c r="CE134" s="772"/>
      <c r="CF134" s="1000">
        <f t="shared" ref="CF134:CU134" si="232">CE134</f>
        <v>0</v>
      </c>
      <c r="CG134" s="1000">
        <f t="shared" si="232"/>
        <v>0</v>
      </c>
      <c r="CH134" s="1000">
        <f t="shared" si="232"/>
        <v>0</v>
      </c>
      <c r="CI134" s="1000">
        <f t="shared" si="232"/>
        <v>0</v>
      </c>
      <c r="CJ134" s="1000">
        <f t="shared" si="232"/>
        <v>0</v>
      </c>
      <c r="CK134" s="1000">
        <f t="shared" si="232"/>
        <v>0</v>
      </c>
      <c r="CL134" s="1000">
        <f t="shared" si="232"/>
        <v>0</v>
      </c>
      <c r="CM134" s="1000">
        <f t="shared" si="232"/>
        <v>0</v>
      </c>
      <c r="CN134" s="1000">
        <f t="shared" si="232"/>
        <v>0</v>
      </c>
      <c r="CO134" s="1000">
        <f t="shared" si="232"/>
        <v>0</v>
      </c>
      <c r="CP134" s="1000">
        <f t="shared" si="232"/>
        <v>0</v>
      </c>
      <c r="CQ134" s="1000">
        <f t="shared" si="232"/>
        <v>0</v>
      </c>
      <c r="CR134" s="1000">
        <f t="shared" si="232"/>
        <v>0</v>
      </c>
      <c r="CS134" s="1000">
        <f t="shared" si="232"/>
        <v>0</v>
      </c>
      <c r="CT134" s="1000">
        <f t="shared" si="232"/>
        <v>0</v>
      </c>
      <c r="CU134" s="1000">
        <f t="shared" si="232"/>
        <v>0</v>
      </c>
      <c r="CV134" s="1000">
        <f>CU134</f>
        <v>0</v>
      </c>
      <c r="CW134" s="1000">
        <f>CV134</f>
        <v>0</v>
      </c>
      <c r="CX134" s="1000">
        <f>CW134</f>
        <v>0</v>
      </c>
      <c r="CY134" s="1000">
        <f>CX134</f>
        <v>0</v>
      </c>
      <c r="CZ134" s="1000">
        <f t="shared" ref="CZ134:DC134" si="233">CY134</f>
        <v>0</v>
      </c>
      <c r="DA134" s="1000">
        <f t="shared" si="233"/>
        <v>0</v>
      </c>
      <c r="DB134" s="1000">
        <f t="shared" si="233"/>
        <v>0</v>
      </c>
      <c r="DC134" s="1000">
        <f t="shared" si="233"/>
        <v>0</v>
      </c>
    </row>
    <row r="135" spans="1:107" s="15" customFormat="1" hidden="1" outlineLevel="1">
      <c r="B135" s="876" t="s">
        <v>1044</v>
      </c>
      <c r="K135" s="783"/>
      <c r="L135" s="26"/>
      <c r="M135" s="54">
        <f>BO135</f>
        <v>0</v>
      </c>
      <c r="N135" s="26">
        <f>BS135</f>
        <v>0</v>
      </c>
      <c r="O135" s="26">
        <f>BW135</f>
        <v>0</v>
      </c>
      <c r="P135" s="26">
        <f>CA135</f>
        <v>0</v>
      </c>
      <c r="Q135" s="26">
        <f>CE135</f>
        <v>105.008</v>
      </c>
      <c r="R135" s="26">
        <f>CI135</f>
        <v>105.008</v>
      </c>
      <c r="S135" s="26">
        <f>CM135</f>
        <v>105.008</v>
      </c>
      <c r="T135" s="26">
        <f>CN135</f>
        <v>105.008</v>
      </c>
      <c r="U135" s="26">
        <f t="shared" ref="U135:Z135" si="234">SUM(U133:U134)</f>
        <v>105.008</v>
      </c>
      <c r="V135" s="26">
        <f>SUM(V133:V134)</f>
        <v>105.008</v>
      </c>
      <c r="W135" s="26">
        <f>SUM(W133:W134)</f>
        <v>105.008</v>
      </c>
      <c r="X135" s="54">
        <f t="shared" si="234"/>
        <v>105.008</v>
      </c>
      <c r="Y135" s="54">
        <f t="shared" si="234"/>
        <v>105.008</v>
      </c>
      <c r="Z135" s="54">
        <f t="shared" si="234"/>
        <v>105.008</v>
      </c>
      <c r="AA135" s="54">
        <f t="shared" ref="AA135:AD135" si="235">SUM(AA133:AA134)</f>
        <v>105.008</v>
      </c>
      <c r="AB135" s="54">
        <f t="shared" si="235"/>
        <v>105.008</v>
      </c>
      <c r="AC135" s="54">
        <f t="shared" si="235"/>
        <v>105.008</v>
      </c>
      <c r="AD135" s="54">
        <f t="shared" si="235"/>
        <v>105.008</v>
      </c>
      <c r="AF135" s="54"/>
      <c r="AG135" s="54"/>
      <c r="AH135" s="54"/>
      <c r="AI135" s="54"/>
      <c r="AJ135" s="54"/>
      <c r="AK135" s="54"/>
      <c r="AL135" s="54"/>
      <c r="AM135" s="54"/>
      <c r="AN135" s="54"/>
      <c r="AO135" s="54"/>
      <c r="AP135" s="54"/>
      <c r="AQ135" s="54"/>
      <c r="AR135" s="54"/>
      <c r="AS135" s="54"/>
      <c r="AT135" s="54"/>
      <c r="AU135" s="54"/>
      <c r="AV135" s="54"/>
      <c r="AW135" s="54"/>
      <c r="AX135" s="54"/>
      <c r="AY135" s="54"/>
      <c r="AZ135" s="54"/>
      <c r="BA135" s="54"/>
      <c r="BB135" s="54"/>
      <c r="BC135" s="54"/>
      <c r="BD135" s="54"/>
      <c r="BE135" s="54"/>
      <c r="BF135" s="54"/>
      <c r="BG135" s="54"/>
      <c r="BH135" s="54"/>
      <c r="BI135" s="54"/>
      <c r="BJ135" s="54"/>
      <c r="BK135" s="54"/>
      <c r="BL135" s="54"/>
      <c r="BM135" s="54"/>
      <c r="BN135" s="54"/>
      <c r="BO135" s="1000"/>
      <c r="BP135" s="54"/>
      <c r="BQ135" s="54"/>
      <c r="BR135" s="54"/>
      <c r="BS135" s="54"/>
      <c r="BT135" s="54"/>
      <c r="BU135" s="54"/>
      <c r="BV135" s="54"/>
      <c r="BW135" s="54"/>
      <c r="BX135" s="54"/>
      <c r="BY135" s="54"/>
      <c r="BZ135" s="54"/>
      <c r="CA135" s="54"/>
      <c r="CB135" s="54"/>
      <c r="CC135" s="54"/>
      <c r="CD135" s="54"/>
      <c r="CE135" s="783">
        <v>105.008</v>
      </c>
      <c r="CF135" s="54">
        <f t="shared" ref="CF135:CT135" si="236">SUM(CF133:CF134)</f>
        <v>105.008</v>
      </c>
      <c r="CG135" s="54">
        <f t="shared" si="236"/>
        <v>105.008</v>
      </c>
      <c r="CH135" s="54">
        <f t="shared" si="236"/>
        <v>105.008</v>
      </c>
      <c r="CI135" s="54">
        <f t="shared" si="236"/>
        <v>105.008</v>
      </c>
      <c r="CJ135" s="54">
        <f t="shared" si="236"/>
        <v>105.008</v>
      </c>
      <c r="CK135" s="54">
        <f t="shared" si="236"/>
        <v>105.008</v>
      </c>
      <c r="CL135" s="54">
        <f t="shared" si="236"/>
        <v>105.008</v>
      </c>
      <c r="CM135" s="54">
        <f t="shared" si="236"/>
        <v>105.008</v>
      </c>
      <c r="CN135" s="54">
        <f t="shared" si="236"/>
        <v>105.008</v>
      </c>
      <c r="CO135" s="54">
        <f t="shared" si="236"/>
        <v>105.008</v>
      </c>
      <c r="CP135" s="54">
        <f t="shared" si="236"/>
        <v>105.008</v>
      </c>
      <c r="CQ135" s="54">
        <f>SUM(CQ133:CQ134)</f>
        <v>105.008</v>
      </c>
      <c r="CR135" s="54">
        <f t="shared" si="236"/>
        <v>105.008</v>
      </c>
      <c r="CS135" s="54">
        <f t="shared" si="236"/>
        <v>105.008</v>
      </c>
      <c r="CT135" s="54">
        <f t="shared" si="236"/>
        <v>105.008</v>
      </c>
      <c r="CU135" s="54">
        <f>SUM(CU133:CU134)</f>
        <v>105.008</v>
      </c>
      <c r="CV135" s="54">
        <f>SUM(CV133:CV134)</f>
        <v>105.008</v>
      </c>
      <c r="CW135" s="54">
        <f>SUM(CW133:CW134)</f>
        <v>105.008</v>
      </c>
      <c r="CX135" s="54">
        <f>SUM(CX133:CX134)</f>
        <v>105.008</v>
      </c>
      <c r="CY135" s="54">
        <f>SUM(CY133:CY134)</f>
        <v>105.008</v>
      </c>
      <c r="CZ135" s="54">
        <f t="shared" ref="CZ135:DC135" si="237">SUM(CZ133:CZ134)</f>
        <v>105.008</v>
      </c>
      <c r="DA135" s="54">
        <f t="shared" si="237"/>
        <v>105.008</v>
      </c>
      <c r="DB135" s="54">
        <f t="shared" si="237"/>
        <v>105.008</v>
      </c>
      <c r="DC135" s="54">
        <f t="shared" si="237"/>
        <v>105.008</v>
      </c>
    </row>
    <row r="136" spans="1:107" s="15" customFormat="1" hidden="1" outlineLevel="1">
      <c r="B136" s="876"/>
      <c r="K136" s="783"/>
      <c r="L136" s="26"/>
      <c r="M136" s="26"/>
      <c r="N136" s="1004"/>
      <c r="O136" s="1004"/>
      <c r="P136" s="1004"/>
      <c r="Q136" s="1004"/>
      <c r="R136" s="1004"/>
      <c r="S136" s="1004"/>
      <c r="T136" s="1004"/>
      <c r="U136" s="1004"/>
      <c r="V136" s="1004"/>
      <c r="W136" s="1004"/>
      <c r="X136" s="1004"/>
      <c r="Y136" s="1004"/>
      <c r="Z136" s="1004"/>
      <c r="AA136" s="1004"/>
      <c r="AB136" s="1004"/>
      <c r="AC136" s="1004"/>
      <c r="AD136" s="1004"/>
      <c r="AF136" s="1005"/>
      <c r="AG136" s="1005"/>
      <c r="AH136" s="1005"/>
      <c r="AI136" s="1005"/>
      <c r="AJ136" s="1005"/>
      <c r="AK136" s="1005"/>
      <c r="AL136" s="1005"/>
      <c r="AM136" s="1005"/>
      <c r="AN136" s="1005"/>
      <c r="AO136" s="1005"/>
      <c r="AP136" s="1005"/>
      <c r="AQ136" s="1005"/>
      <c r="AR136" s="1005"/>
      <c r="AS136" s="1005"/>
      <c r="AT136" s="1005"/>
      <c r="AU136" s="1005"/>
      <c r="AV136" s="1005"/>
      <c r="AW136" s="1005"/>
      <c r="AX136" s="1005"/>
      <c r="AY136" s="1005"/>
      <c r="AZ136" s="1005"/>
      <c r="BA136" s="1005"/>
      <c r="BB136" s="1005"/>
      <c r="BC136" s="1005"/>
      <c r="BD136" s="1005"/>
      <c r="BE136" s="1005"/>
      <c r="BF136" s="1005"/>
      <c r="BG136" s="1005"/>
      <c r="BH136" s="1005"/>
      <c r="BI136" s="1005"/>
      <c r="BJ136" s="1005"/>
      <c r="BK136" s="1005"/>
      <c r="BL136" s="1005"/>
      <c r="BM136" s="1005"/>
      <c r="BN136" s="1005"/>
      <c r="BO136" s="1005"/>
      <c r="BP136" s="1005"/>
      <c r="BQ136" s="1005"/>
      <c r="BR136" s="1005"/>
      <c r="BS136" s="789"/>
      <c r="BT136" s="789"/>
      <c r="BU136" s="789"/>
      <c r="BV136" s="789"/>
      <c r="BW136" s="789"/>
      <c r="BX136" s="789"/>
      <c r="BY136" s="789"/>
      <c r="BZ136" s="789"/>
      <c r="CA136" s="789"/>
      <c r="CB136" s="789"/>
      <c r="CC136" s="789"/>
      <c r="CD136" s="789"/>
      <c r="CE136" s="789"/>
      <c r="CF136" s="789"/>
      <c r="CG136" s="789"/>
      <c r="CH136" s="789"/>
      <c r="CI136" s="789"/>
      <c r="CJ136" s="789"/>
      <c r="CK136" s="789"/>
      <c r="CL136" s="789"/>
      <c r="CM136" s="789"/>
      <c r="CN136" s="789"/>
      <c r="CO136" s="789"/>
      <c r="CP136" s="789"/>
      <c r="CQ136" s="789"/>
      <c r="CR136" s="789"/>
      <c r="CS136" s="789"/>
      <c r="CT136" s="789"/>
      <c r="CU136" s="789"/>
      <c r="CV136" s="789"/>
      <c r="CW136" s="789"/>
      <c r="CX136" s="789"/>
      <c r="CY136" s="789"/>
      <c r="CZ136" s="789"/>
      <c r="DA136" s="789"/>
      <c r="DB136" s="789"/>
      <c r="DC136" s="789"/>
    </row>
    <row r="137" spans="1:107" s="15" customFormat="1" hidden="1" outlineLevel="1" collapsed="1">
      <c r="B137" s="15" t="s">
        <v>1208</v>
      </c>
    </row>
    <row r="138" spans="1:107" s="15" customFormat="1" hidden="1" outlineLevel="1">
      <c r="B138" s="876" t="s">
        <v>1118</v>
      </c>
      <c r="K138" s="783"/>
      <c r="L138" s="26"/>
      <c r="M138" s="26"/>
      <c r="N138" s="26">
        <f>BS138</f>
        <v>40.459500000000006</v>
      </c>
      <c r="O138" s="26">
        <f t="shared" ref="O138:Z138" si="238">N140</f>
        <v>40.597000000000008</v>
      </c>
      <c r="P138" s="26">
        <f t="shared" si="238"/>
        <v>58.295999999999992</v>
      </c>
      <c r="Q138" s="26">
        <f t="shared" si="238"/>
        <v>58.295999999999992</v>
      </c>
      <c r="R138" s="26">
        <f t="shared" si="238"/>
        <v>56.045000000000002</v>
      </c>
      <c r="S138" s="26">
        <f t="shared" si="238"/>
        <v>47.041000000000039</v>
      </c>
      <c r="T138" s="26">
        <f t="shared" si="238"/>
        <v>38.037000000000077</v>
      </c>
      <c r="U138" s="26">
        <f t="shared" si="238"/>
        <v>35.786000000000087</v>
      </c>
      <c r="V138" s="26">
        <f t="shared" si="238"/>
        <v>26.782000000000124</v>
      </c>
      <c r="W138" s="26">
        <f t="shared" si="238"/>
        <v>17.778000000000162</v>
      </c>
      <c r="X138" s="26">
        <f t="shared" si="238"/>
        <v>8.7740000000001999</v>
      </c>
      <c r="Y138" s="26">
        <f t="shared" si="238"/>
        <v>8.7740000000001999</v>
      </c>
      <c r="Z138" s="26">
        <f t="shared" si="238"/>
        <v>8.7740000000001999</v>
      </c>
      <c r="AA138" s="26">
        <f t="shared" ref="AA138" si="239">Z140</f>
        <v>8.7740000000001999</v>
      </c>
      <c r="AB138" s="26">
        <f t="shared" ref="AB138" si="240">AA140</f>
        <v>8.7740000000001999</v>
      </c>
      <c r="AC138" s="26">
        <f t="shared" ref="AC138" si="241">AB140</f>
        <v>8.7740000000001999</v>
      </c>
      <c r="AD138" s="26">
        <f t="shared" ref="AD138" si="242">AC140</f>
        <v>8.7740000000001999</v>
      </c>
      <c r="AF138" s="26"/>
      <c r="AG138" s="26"/>
      <c r="AH138" s="26"/>
      <c r="AI138" s="26"/>
      <c r="AJ138" s="26"/>
      <c r="AK138" s="26"/>
      <c r="AL138" s="26"/>
      <c r="AM138" s="26"/>
      <c r="AN138" s="26"/>
      <c r="AO138" s="26"/>
      <c r="AP138" s="26"/>
      <c r="AQ138" s="26"/>
      <c r="AR138" s="26"/>
      <c r="AS138" s="26"/>
      <c r="AT138" s="26"/>
      <c r="AU138" s="26"/>
      <c r="AV138" s="26"/>
      <c r="AW138" s="26"/>
      <c r="AX138" s="26"/>
      <c r="AY138" s="26"/>
      <c r="AZ138" s="26"/>
      <c r="BA138" s="26"/>
      <c r="BB138" s="26"/>
      <c r="BC138" s="26"/>
      <c r="BD138" s="26"/>
      <c r="BE138" s="26"/>
      <c r="BF138" s="26"/>
      <c r="BG138" s="26"/>
      <c r="BH138" s="26"/>
      <c r="BI138" s="26"/>
      <c r="BJ138" s="26"/>
      <c r="BK138" s="26"/>
      <c r="BL138" s="26"/>
      <c r="BM138" s="26"/>
      <c r="BN138" s="26"/>
      <c r="BO138" s="26"/>
      <c r="BP138" s="26">
        <f t="shared" ref="BP138:CU138" si="243">BO140</f>
        <v>40.046999999999997</v>
      </c>
      <c r="BQ138" s="26">
        <f t="shared" si="243"/>
        <v>40.1845</v>
      </c>
      <c r="BR138" s="26">
        <f t="shared" si="243"/>
        <v>40.322000000000003</v>
      </c>
      <c r="BS138" s="26">
        <f t="shared" si="243"/>
        <v>40.459500000000006</v>
      </c>
      <c r="BT138" s="26">
        <f t="shared" si="243"/>
        <v>40.597000000000008</v>
      </c>
      <c r="BU138" s="26">
        <f t="shared" si="243"/>
        <v>45.021750000000004</v>
      </c>
      <c r="BV138" s="26">
        <f t="shared" si="243"/>
        <v>49.4465</v>
      </c>
      <c r="BW138" s="26">
        <f t="shared" si="243"/>
        <v>53.871249999999996</v>
      </c>
      <c r="BX138" s="26">
        <f t="shared" si="243"/>
        <v>58.295999999999992</v>
      </c>
      <c r="BY138" s="26">
        <f t="shared" si="243"/>
        <v>58.295999999999992</v>
      </c>
      <c r="BZ138" s="26">
        <f t="shared" si="243"/>
        <v>58.295999999999992</v>
      </c>
      <c r="CA138" s="26">
        <f t="shared" si="243"/>
        <v>58.295999999999992</v>
      </c>
      <c r="CB138" s="26">
        <f t="shared" si="243"/>
        <v>58.295999999999992</v>
      </c>
      <c r="CC138" s="26">
        <f t="shared" si="243"/>
        <v>58.295999999999992</v>
      </c>
      <c r="CD138" s="26">
        <f t="shared" si="243"/>
        <v>58.295999999999992</v>
      </c>
      <c r="CE138" s="26">
        <f t="shared" si="243"/>
        <v>58.295999999999992</v>
      </c>
      <c r="CF138" s="26">
        <f t="shared" si="243"/>
        <v>56.045000000000002</v>
      </c>
      <c r="CG138" s="26">
        <f t="shared" si="243"/>
        <v>53.794000000000011</v>
      </c>
      <c r="CH138" s="26">
        <f t="shared" si="243"/>
        <v>51.543000000000021</v>
      </c>
      <c r="CI138" s="26">
        <f t="shared" si="243"/>
        <v>49.29200000000003</v>
      </c>
      <c r="CJ138" s="26">
        <f t="shared" si="243"/>
        <v>47.041000000000039</v>
      </c>
      <c r="CK138" s="26">
        <f t="shared" si="243"/>
        <v>44.790000000000049</v>
      </c>
      <c r="CL138" s="26">
        <f t="shared" si="243"/>
        <v>42.539000000000058</v>
      </c>
      <c r="CM138" s="26">
        <f t="shared" si="243"/>
        <v>40.288000000000068</v>
      </c>
      <c r="CN138" s="26">
        <f t="shared" si="243"/>
        <v>38.037000000000077</v>
      </c>
      <c r="CO138" s="26">
        <f t="shared" si="243"/>
        <v>35.786000000000087</v>
      </c>
      <c r="CP138" s="26">
        <f t="shared" si="243"/>
        <v>33.535000000000096</v>
      </c>
      <c r="CQ138" s="26">
        <f t="shared" si="243"/>
        <v>31.284000000000106</v>
      </c>
      <c r="CR138" s="26">
        <f t="shared" si="243"/>
        <v>29.033000000000115</v>
      </c>
      <c r="CS138" s="26">
        <f t="shared" si="243"/>
        <v>26.782000000000124</v>
      </c>
      <c r="CT138" s="26">
        <f t="shared" si="243"/>
        <v>24.531000000000134</v>
      </c>
      <c r="CU138" s="26">
        <f t="shared" si="243"/>
        <v>22.280000000000143</v>
      </c>
      <c r="CV138" s="26">
        <f>CU140</f>
        <v>20.029000000000153</v>
      </c>
      <c r="CW138" s="26">
        <f>CV140</f>
        <v>17.778000000000162</v>
      </c>
      <c r="CX138" s="26">
        <f>CW140</f>
        <v>15.527000000000172</v>
      </c>
      <c r="CY138" s="26">
        <f>CX140</f>
        <v>13.276000000000181</v>
      </c>
      <c r="CZ138" s="26">
        <f t="shared" ref="CZ138:DC138" si="244">CY140</f>
        <v>11.02500000000019</v>
      </c>
      <c r="DA138" s="26">
        <f t="shared" si="244"/>
        <v>8.7740000000001999</v>
      </c>
      <c r="DB138" s="26">
        <f t="shared" si="244"/>
        <v>6.5230000000002093</v>
      </c>
      <c r="DC138" s="26">
        <f t="shared" si="244"/>
        <v>4.2720000000002187</v>
      </c>
    </row>
    <row r="139" spans="1:107" s="15" customFormat="1" hidden="1" outlineLevel="1">
      <c r="B139" s="876" t="s">
        <v>1121</v>
      </c>
      <c r="K139" s="783"/>
      <c r="L139" s="26"/>
      <c r="M139" s="26"/>
      <c r="N139" s="26">
        <f t="shared" ref="N139:T139" si="245">N140-N138</f>
        <v>0.13750000000000284</v>
      </c>
      <c r="O139" s="26">
        <f t="shared" si="245"/>
        <v>17.698999999999984</v>
      </c>
      <c r="P139" s="26">
        <f t="shared" si="245"/>
        <v>0</v>
      </c>
      <c r="Q139" s="26">
        <f t="shared" si="245"/>
        <v>-2.2509999999999906</v>
      </c>
      <c r="R139" s="26">
        <f t="shared" si="245"/>
        <v>-9.0039999999999623</v>
      </c>
      <c r="S139" s="26">
        <f t="shared" si="245"/>
        <v>-9.0039999999999623</v>
      </c>
      <c r="T139" s="26">
        <f t="shared" si="245"/>
        <v>-2.2509999999999906</v>
      </c>
      <c r="U139" s="26">
        <f>+SUM(CR139:CU139)</f>
        <v>-9.0039999999999623</v>
      </c>
      <c r="V139" s="26">
        <f>+SUM(CS139:CV139)</f>
        <v>-9.0039999999999623</v>
      </c>
      <c r="W139" s="26">
        <f>+SUM(CT139:CW139)</f>
        <v>-9.0039999999999623</v>
      </c>
      <c r="X139" s="1000">
        <v>0</v>
      </c>
      <c r="Y139" s="1000">
        <v>0</v>
      </c>
      <c r="Z139" s="1000">
        <v>0</v>
      </c>
      <c r="AA139" s="1000">
        <v>0</v>
      </c>
      <c r="AB139" s="1000">
        <v>0</v>
      </c>
      <c r="AC139" s="1000">
        <v>0</v>
      </c>
      <c r="AD139" s="1000">
        <v>0</v>
      </c>
      <c r="AF139" s="772"/>
      <c r="AG139" s="772"/>
      <c r="AH139" s="772"/>
      <c r="AI139" s="772"/>
      <c r="AJ139" s="772"/>
      <c r="AK139" s="772"/>
      <c r="AL139" s="772"/>
      <c r="AM139" s="772"/>
      <c r="AN139" s="772"/>
      <c r="AO139" s="772"/>
      <c r="AP139" s="772"/>
      <c r="AQ139" s="772"/>
      <c r="AR139" s="772"/>
      <c r="AS139" s="772"/>
      <c r="AT139" s="772"/>
      <c r="AU139" s="772"/>
      <c r="AV139" s="772"/>
      <c r="AW139" s="772"/>
      <c r="AX139" s="772"/>
      <c r="AY139" s="772"/>
      <c r="AZ139" s="772"/>
      <c r="BA139" s="772"/>
      <c r="BB139" s="772"/>
      <c r="BC139" s="772"/>
      <c r="BD139" s="772"/>
      <c r="BE139" s="772"/>
      <c r="BF139" s="772"/>
      <c r="BG139" s="772"/>
      <c r="BH139" s="772"/>
      <c r="BI139" s="772"/>
      <c r="BJ139" s="772"/>
      <c r="BK139" s="772"/>
      <c r="BL139" s="772"/>
      <c r="BM139" s="772"/>
      <c r="BN139" s="772"/>
      <c r="BO139" s="772"/>
      <c r="BP139" s="1000">
        <f>0.55/4</f>
        <v>0.13750000000000001</v>
      </c>
      <c r="BQ139" s="1000">
        <f>0.55/4</f>
        <v>0.13750000000000001</v>
      </c>
      <c r="BR139" s="1000">
        <f>0.55/4</f>
        <v>0.13750000000000001</v>
      </c>
      <c r="BS139" s="1000">
        <f>0.55/4</f>
        <v>0.13750000000000001</v>
      </c>
      <c r="BT139" s="1000">
        <v>4.4247499999999977</v>
      </c>
      <c r="BU139" s="1000">
        <v>4.4247499999999977</v>
      </c>
      <c r="BV139" s="1000">
        <v>4.4247499999999977</v>
      </c>
      <c r="BW139" s="1000">
        <v>4.4247499999999977</v>
      </c>
      <c r="BX139" s="1000">
        <v>0</v>
      </c>
      <c r="BY139" s="1000">
        <f t="shared" ref="BY139:CD139" si="246">BX139</f>
        <v>0</v>
      </c>
      <c r="BZ139" s="1000">
        <f t="shared" si="246"/>
        <v>0</v>
      </c>
      <c r="CA139" s="1000">
        <f t="shared" si="246"/>
        <v>0</v>
      </c>
      <c r="CB139" s="1000">
        <f t="shared" si="246"/>
        <v>0</v>
      </c>
      <c r="CC139" s="1000">
        <f t="shared" si="246"/>
        <v>0</v>
      </c>
      <c r="CD139" s="1000">
        <f t="shared" si="246"/>
        <v>0</v>
      </c>
      <c r="CE139" s="783">
        <f>56.045-CD140</f>
        <v>-2.2509999999999906</v>
      </c>
      <c r="CF139" s="1000">
        <f t="shared" ref="CF139:CU139" si="247">CE139</f>
        <v>-2.2509999999999906</v>
      </c>
      <c r="CG139" s="1000">
        <f t="shared" si="247"/>
        <v>-2.2509999999999906</v>
      </c>
      <c r="CH139" s="1000">
        <f t="shared" si="247"/>
        <v>-2.2509999999999906</v>
      </c>
      <c r="CI139" s="1000">
        <f t="shared" si="247"/>
        <v>-2.2509999999999906</v>
      </c>
      <c r="CJ139" s="1000">
        <f t="shared" si="247"/>
        <v>-2.2509999999999906</v>
      </c>
      <c r="CK139" s="1000">
        <f t="shared" si="247"/>
        <v>-2.2509999999999906</v>
      </c>
      <c r="CL139" s="1000">
        <f t="shared" si="247"/>
        <v>-2.2509999999999906</v>
      </c>
      <c r="CM139" s="1000">
        <f t="shared" si="247"/>
        <v>-2.2509999999999906</v>
      </c>
      <c r="CN139" s="1000">
        <f t="shared" si="247"/>
        <v>-2.2509999999999906</v>
      </c>
      <c r="CO139" s="1000">
        <f t="shared" si="247"/>
        <v>-2.2509999999999906</v>
      </c>
      <c r="CP139" s="1000">
        <f t="shared" si="247"/>
        <v>-2.2509999999999906</v>
      </c>
      <c r="CQ139" s="1000">
        <f t="shared" si="247"/>
        <v>-2.2509999999999906</v>
      </c>
      <c r="CR139" s="1000">
        <f t="shared" si="247"/>
        <v>-2.2509999999999906</v>
      </c>
      <c r="CS139" s="1000">
        <f t="shared" si="247"/>
        <v>-2.2509999999999906</v>
      </c>
      <c r="CT139" s="1000">
        <f t="shared" si="247"/>
        <v>-2.2509999999999906</v>
      </c>
      <c r="CU139" s="1000">
        <f t="shared" si="247"/>
        <v>-2.2509999999999906</v>
      </c>
      <c r="CV139" s="1000">
        <f>CU139</f>
        <v>-2.2509999999999906</v>
      </c>
      <c r="CW139" s="1000">
        <f>CV139</f>
        <v>-2.2509999999999906</v>
      </c>
      <c r="CX139" s="1000">
        <f>CW139</f>
        <v>-2.2509999999999906</v>
      </c>
      <c r="CY139" s="1000">
        <f>CX139</f>
        <v>-2.2509999999999906</v>
      </c>
      <c r="CZ139" s="1000">
        <f t="shared" ref="CZ139:DC139" si="248">CY139</f>
        <v>-2.2509999999999906</v>
      </c>
      <c r="DA139" s="1000">
        <f t="shared" si="248"/>
        <v>-2.2509999999999906</v>
      </c>
      <c r="DB139" s="1000">
        <f t="shared" si="248"/>
        <v>-2.2509999999999906</v>
      </c>
      <c r="DC139" s="1000">
        <f t="shared" si="248"/>
        <v>-2.2509999999999906</v>
      </c>
    </row>
    <row r="140" spans="1:107" s="15" customFormat="1" hidden="1" outlineLevel="1">
      <c r="B140" s="876" t="s">
        <v>1044</v>
      </c>
      <c r="K140" s="783"/>
      <c r="L140" s="26"/>
      <c r="M140" s="54">
        <f>BO140</f>
        <v>40.046999999999997</v>
      </c>
      <c r="N140" s="26">
        <f>BS140</f>
        <v>40.597000000000008</v>
      </c>
      <c r="O140" s="26">
        <f>BW140</f>
        <v>58.295999999999992</v>
      </c>
      <c r="P140" s="26">
        <f>CA140</f>
        <v>58.295999999999992</v>
      </c>
      <c r="Q140" s="26">
        <f>CE140</f>
        <v>56.045000000000002</v>
      </c>
      <c r="R140" s="26">
        <f>CI140</f>
        <v>47.041000000000039</v>
      </c>
      <c r="S140" s="26">
        <f>CM140</f>
        <v>38.037000000000077</v>
      </c>
      <c r="T140" s="26">
        <f>CN140</f>
        <v>35.786000000000087</v>
      </c>
      <c r="U140" s="26">
        <f t="shared" ref="U140:Z140" si="249">SUM(U138:U139)</f>
        <v>26.782000000000124</v>
      </c>
      <c r="V140" s="26">
        <f>SUM(V138:V139)</f>
        <v>17.778000000000162</v>
      </c>
      <c r="W140" s="26">
        <f>SUM(W138:W139)</f>
        <v>8.7740000000001999</v>
      </c>
      <c r="X140" s="54">
        <f t="shared" si="249"/>
        <v>8.7740000000001999</v>
      </c>
      <c r="Y140" s="54">
        <f t="shared" si="249"/>
        <v>8.7740000000001999</v>
      </c>
      <c r="Z140" s="54">
        <f t="shared" si="249"/>
        <v>8.7740000000001999</v>
      </c>
      <c r="AA140" s="54">
        <f t="shared" ref="AA140:AD140" si="250">SUM(AA138:AA139)</f>
        <v>8.7740000000001999</v>
      </c>
      <c r="AB140" s="54">
        <f t="shared" si="250"/>
        <v>8.7740000000001999</v>
      </c>
      <c r="AC140" s="54">
        <f t="shared" si="250"/>
        <v>8.7740000000001999</v>
      </c>
      <c r="AD140" s="54">
        <f t="shared" si="250"/>
        <v>8.7740000000001999</v>
      </c>
      <c r="AF140" s="54"/>
      <c r="AG140" s="54"/>
      <c r="AH140" s="54"/>
      <c r="AI140" s="54"/>
      <c r="AJ140" s="54"/>
      <c r="AK140" s="54"/>
      <c r="AL140" s="54"/>
      <c r="AM140" s="54"/>
      <c r="AN140" s="54"/>
      <c r="AO140" s="54"/>
      <c r="AP140" s="54"/>
      <c r="AQ140" s="54"/>
      <c r="AR140" s="54"/>
      <c r="AS140" s="54"/>
      <c r="AT140" s="54"/>
      <c r="AU140" s="54"/>
      <c r="AV140" s="54"/>
      <c r="AW140" s="54"/>
      <c r="AX140" s="54"/>
      <c r="AY140" s="54"/>
      <c r="AZ140" s="54"/>
      <c r="BA140" s="54"/>
      <c r="BB140" s="54"/>
      <c r="BC140" s="54"/>
      <c r="BD140" s="54"/>
      <c r="BE140" s="54"/>
      <c r="BF140" s="54"/>
      <c r="BG140" s="54"/>
      <c r="BH140" s="54"/>
      <c r="BI140" s="54"/>
      <c r="BJ140" s="54"/>
      <c r="BK140" s="54"/>
      <c r="BL140" s="54"/>
      <c r="BM140" s="54"/>
      <c r="BN140" s="54"/>
      <c r="BO140" s="1000">
        <v>40.046999999999997</v>
      </c>
      <c r="BP140" s="54">
        <f t="shared" ref="BP140:CT140" si="251">SUM(BP138:BP139)</f>
        <v>40.1845</v>
      </c>
      <c r="BQ140" s="54">
        <f t="shared" si="251"/>
        <v>40.322000000000003</v>
      </c>
      <c r="BR140" s="54">
        <f t="shared" si="251"/>
        <v>40.459500000000006</v>
      </c>
      <c r="BS140" s="54">
        <f t="shared" si="251"/>
        <v>40.597000000000008</v>
      </c>
      <c r="BT140" s="54">
        <f t="shared" si="251"/>
        <v>45.021750000000004</v>
      </c>
      <c r="BU140" s="54">
        <f t="shared" si="251"/>
        <v>49.4465</v>
      </c>
      <c r="BV140" s="54">
        <f t="shared" si="251"/>
        <v>53.871249999999996</v>
      </c>
      <c r="BW140" s="54">
        <f t="shared" si="251"/>
        <v>58.295999999999992</v>
      </c>
      <c r="BX140" s="54">
        <f t="shared" si="251"/>
        <v>58.295999999999992</v>
      </c>
      <c r="BY140" s="54">
        <f t="shared" si="251"/>
        <v>58.295999999999992</v>
      </c>
      <c r="BZ140" s="54">
        <f t="shared" si="251"/>
        <v>58.295999999999992</v>
      </c>
      <c r="CA140" s="54">
        <f t="shared" si="251"/>
        <v>58.295999999999992</v>
      </c>
      <c r="CB140" s="54">
        <f t="shared" si="251"/>
        <v>58.295999999999992</v>
      </c>
      <c r="CC140" s="54">
        <f t="shared" si="251"/>
        <v>58.295999999999992</v>
      </c>
      <c r="CD140" s="54">
        <f t="shared" si="251"/>
        <v>58.295999999999992</v>
      </c>
      <c r="CE140" s="54">
        <f t="shared" si="251"/>
        <v>56.045000000000002</v>
      </c>
      <c r="CF140" s="54">
        <f t="shared" si="251"/>
        <v>53.794000000000011</v>
      </c>
      <c r="CG140" s="54">
        <f t="shared" si="251"/>
        <v>51.543000000000021</v>
      </c>
      <c r="CH140" s="54">
        <f t="shared" si="251"/>
        <v>49.29200000000003</v>
      </c>
      <c r="CI140" s="54">
        <f t="shared" si="251"/>
        <v>47.041000000000039</v>
      </c>
      <c r="CJ140" s="54">
        <f t="shared" si="251"/>
        <v>44.790000000000049</v>
      </c>
      <c r="CK140" s="54">
        <f t="shared" si="251"/>
        <v>42.539000000000058</v>
      </c>
      <c r="CL140" s="54">
        <f t="shared" si="251"/>
        <v>40.288000000000068</v>
      </c>
      <c r="CM140" s="54">
        <f t="shared" si="251"/>
        <v>38.037000000000077</v>
      </c>
      <c r="CN140" s="54">
        <f t="shared" si="251"/>
        <v>35.786000000000087</v>
      </c>
      <c r="CO140" s="54">
        <f t="shared" si="251"/>
        <v>33.535000000000096</v>
      </c>
      <c r="CP140" s="54">
        <f t="shared" si="251"/>
        <v>31.284000000000106</v>
      </c>
      <c r="CQ140" s="54">
        <f>SUM(CQ138:CQ139)</f>
        <v>29.033000000000115</v>
      </c>
      <c r="CR140" s="54">
        <f t="shared" si="251"/>
        <v>26.782000000000124</v>
      </c>
      <c r="CS140" s="54">
        <f t="shared" si="251"/>
        <v>24.531000000000134</v>
      </c>
      <c r="CT140" s="54">
        <f t="shared" si="251"/>
        <v>22.280000000000143</v>
      </c>
      <c r="CU140" s="54">
        <f>SUM(CU138:CU139)</f>
        <v>20.029000000000153</v>
      </c>
      <c r="CV140" s="54">
        <f>SUM(CV138:CV139)</f>
        <v>17.778000000000162</v>
      </c>
      <c r="CW140" s="54">
        <f>SUM(CW138:CW139)</f>
        <v>15.527000000000172</v>
      </c>
      <c r="CX140" s="54">
        <f>SUM(CX138:CX139)</f>
        <v>13.276000000000181</v>
      </c>
      <c r="CY140" s="54">
        <f>SUM(CY138:CY139)</f>
        <v>11.02500000000019</v>
      </c>
      <c r="CZ140" s="54">
        <f t="shared" ref="CZ140:DC140" si="252">SUM(CZ138:CZ139)</f>
        <v>8.7740000000001999</v>
      </c>
      <c r="DA140" s="54">
        <f t="shared" si="252"/>
        <v>6.5230000000002093</v>
      </c>
      <c r="DB140" s="54">
        <f t="shared" si="252"/>
        <v>4.2720000000002187</v>
      </c>
      <c r="DC140" s="54">
        <f t="shared" si="252"/>
        <v>2.0210000000002282</v>
      </c>
    </row>
    <row r="141" spans="1:107" s="15" customFormat="1" hidden="1" outlineLevel="1">
      <c r="B141" s="876"/>
      <c r="K141" s="783"/>
      <c r="L141" s="26"/>
      <c r="M141" s="26"/>
      <c r="N141" s="1004"/>
      <c r="O141" s="1004"/>
      <c r="P141" s="1004"/>
      <c r="Q141" s="1004"/>
      <c r="R141" s="1004"/>
      <c r="S141" s="1004"/>
      <c r="T141" s="1004"/>
      <c r="U141" s="1004"/>
      <c r="V141" s="1004"/>
      <c r="W141" s="1004"/>
      <c r="X141" s="1004"/>
      <c r="Y141" s="1004"/>
      <c r="Z141" s="1004"/>
      <c r="AA141" s="1004"/>
      <c r="AB141" s="1004"/>
      <c r="AC141" s="1004"/>
      <c r="AD141" s="1004"/>
      <c r="AF141" s="1005"/>
      <c r="AG141" s="1005"/>
      <c r="AH141" s="1005"/>
      <c r="AI141" s="1005"/>
      <c r="AJ141" s="1005"/>
      <c r="AK141" s="1005"/>
      <c r="AL141" s="1005"/>
      <c r="AM141" s="1005"/>
      <c r="AN141" s="1005"/>
      <c r="AO141" s="1005"/>
      <c r="AP141" s="1005"/>
      <c r="AQ141" s="1005"/>
      <c r="AR141" s="1005"/>
      <c r="AS141" s="1005"/>
      <c r="AT141" s="1005"/>
      <c r="AU141" s="1005"/>
      <c r="AV141" s="1005"/>
      <c r="AW141" s="1005"/>
      <c r="AX141" s="1005"/>
      <c r="AY141" s="1005"/>
      <c r="AZ141" s="1005"/>
      <c r="BA141" s="1005"/>
      <c r="BB141" s="1005"/>
      <c r="BC141" s="1005"/>
      <c r="BD141" s="1005"/>
      <c r="BE141" s="1005"/>
      <c r="BF141" s="1005"/>
      <c r="BG141" s="1005"/>
      <c r="BH141" s="1005"/>
      <c r="BI141" s="1005"/>
      <c r="BJ141" s="1005"/>
      <c r="BK141" s="1005"/>
      <c r="BL141" s="1005"/>
      <c r="BM141" s="1005"/>
      <c r="BN141" s="1005"/>
      <c r="BO141" s="1005"/>
      <c r="BP141" s="1005"/>
      <c r="BQ141" s="1005"/>
      <c r="BR141" s="1005"/>
      <c r="BS141" s="789"/>
      <c r="BT141" s="789"/>
      <c r="BU141" s="789"/>
      <c r="BV141" s="789"/>
      <c r="BW141" s="789"/>
      <c r="BX141" s="789"/>
      <c r="BY141" s="789"/>
      <c r="BZ141" s="789"/>
      <c r="CA141" s="789"/>
      <c r="CB141" s="789"/>
      <c r="CC141" s="789"/>
      <c r="CD141" s="789"/>
      <c r="CE141" s="789"/>
      <c r="CF141" s="789"/>
      <c r="CG141" s="789"/>
      <c r="CH141" s="789"/>
      <c r="CI141" s="789"/>
      <c r="CJ141" s="789"/>
      <c r="CK141" s="789"/>
      <c r="CL141" s="789"/>
      <c r="CM141" s="789"/>
      <c r="CN141" s="789"/>
      <c r="CO141" s="789"/>
      <c r="CP141" s="789"/>
      <c r="CQ141" s="789"/>
      <c r="CR141" s="789"/>
      <c r="CS141" s="789"/>
      <c r="CT141" s="789"/>
      <c r="CU141" s="789"/>
      <c r="CV141" s="789"/>
      <c r="CW141" s="789"/>
      <c r="CX141" s="789"/>
      <c r="CY141" s="789"/>
      <c r="CZ141" s="789"/>
      <c r="DA141" s="789"/>
      <c r="DB141" s="789"/>
      <c r="DC141" s="789"/>
    </row>
    <row r="142" spans="1:107" s="15" customFormat="1" hidden="1" outlineLevel="1" collapsed="1">
      <c r="B142" s="15" t="s">
        <v>1207</v>
      </c>
    </row>
    <row r="143" spans="1:107" s="15" customFormat="1" hidden="1" outlineLevel="1">
      <c r="B143" s="876" t="s">
        <v>1118</v>
      </c>
      <c r="K143" s="783"/>
      <c r="L143" s="26"/>
      <c r="M143" s="26"/>
      <c r="N143" s="26">
        <f>BS143</f>
        <v>0</v>
      </c>
      <c r="O143" s="26">
        <f t="shared" ref="O143:Z143" si="253">N145</f>
        <v>0</v>
      </c>
      <c r="P143" s="26">
        <f t="shared" si="253"/>
        <v>0</v>
      </c>
      <c r="Q143" s="26">
        <f t="shared" si="253"/>
        <v>0</v>
      </c>
      <c r="R143" s="26">
        <f t="shared" si="253"/>
        <v>44.396999999999998</v>
      </c>
      <c r="S143" s="26">
        <f t="shared" si="253"/>
        <v>44.396999999999998</v>
      </c>
      <c r="T143" s="26">
        <f t="shared" si="253"/>
        <v>44.396999999999998</v>
      </c>
      <c r="U143" s="26">
        <f t="shared" si="253"/>
        <v>44.396999999999998</v>
      </c>
      <c r="V143" s="26">
        <f t="shared" si="253"/>
        <v>44.396999999999998</v>
      </c>
      <c r="W143" s="26">
        <f t="shared" si="253"/>
        <v>44.396999999999998</v>
      </c>
      <c r="X143" s="26">
        <f t="shared" si="253"/>
        <v>44.396999999999998</v>
      </c>
      <c r="Y143" s="26">
        <f t="shared" si="253"/>
        <v>44.396999999999998</v>
      </c>
      <c r="Z143" s="26">
        <f t="shared" si="253"/>
        <v>44.396999999999998</v>
      </c>
      <c r="AA143" s="26">
        <f t="shared" ref="AA143" si="254">Z145</f>
        <v>44.396999999999998</v>
      </c>
      <c r="AB143" s="26">
        <f t="shared" ref="AB143" si="255">AA145</f>
        <v>44.396999999999998</v>
      </c>
      <c r="AC143" s="26">
        <f t="shared" ref="AC143" si="256">AB145</f>
        <v>44.396999999999998</v>
      </c>
      <c r="AD143" s="26">
        <f t="shared" ref="AD143" si="257">AC145</f>
        <v>44.396999999999998</v>
      </c>
      <c r="AF143" s="26"/>
      <c r="AG143" s="26"/>
      <c r="AH143" s="26"/>
      <c r="AI143" s="26"/>
      <c r="AJ143" s="26"/>
      <c r="AK143" s="26"/>
      <c r="AL143" s="26"/>
      <c r="AM143" s="26"/>
      <c r="AN143" s="26"/>
      <c r="AO143" s="26"/>
      <c r="AP143" s="26"/>
      <c r="AQ143" s="26"/>
      <c r="AR143" s="26"/>
      <c r="AS143" s="26"/>
      <c r="AT143" s="26"/>
      <c r="AU143" s="26"/>
      <c r="AV143" s="26"/>
      <c r="AW143" s="26"/>
      <c r="AX143" s="26"/>
      <c r="AY143" s="26"/>
      <c r="AZ143" s="26"/>
      <c r="BA143" s="26"/>
      <c r="BB143" s="26"/>
      <c r="BC143" s="26"/>
      <c r="BD143" s="26"/>
      <c r="BE143" s="26"/>
      <c r="BF143" s="26"/>
      <c r="BG143" s="26"/>
      <c r="BH143" s="26"/>
      <c r="BI143" s="26"/>
      <c r="BJ143" s="26"/>
      <c r="BK143" s="26"/>
      <c r="BL143" s="26"/>
      <c r="BM143" s="26"/>
      <c r="BN143" s="26"/>
      <c r="BO143" s="26"/>
      <c r="BP143" s="26"/>
      <c r="BQ143" s="26"/>
      <c r="BR143" s="26"/>
      <c r="BS143" s="26"/>
      <c r="BT143" s="26"/>
      <c r="BU143" s="26"/>
      <c r="BV143" s="26"/>
      <c r="BW143" s="26"/>
      <c r="BX143" s="26"/>
      <c r="BY143" s="26"/>
      <c r="BZ143" s="26"/>
      <c r="CA143" s="26"/>
      <c r="CB143" s="26"/>
      <c r="CC143" s="26"/>
      <c r="CD143" s="26"/>
      <c r="CE143" s="26"/>
      <c r="CF143" s="26">
        <f t="shared" ref="CF143:CU143" si="258">CE145</f>
        <v>44.396999999999998</v>
      </c>
      <c r="CG143" s="26">
        <f t="shared" si="258"/>
        <v>44.396999999999998</v>
      </c>
      <c r="CH143" s="26">
        <f t="shared" si="258"/>
        <v>44.396999999999998</v>
      </c>
      <c r="CI143" s="26">
        <f t="shared" si="258"/>
        <v>44.396999999999998</v>
      </c>
      <c r="CJ143" s="26">
        <f t="shared" si="258"/>
        <v>44.396999999999998</v>
      </c>
      <c r="CK143" s="26">
        <f t="shared" si="258"/>
        <v>44.396999999999998</v>
      </c>
      <c r="CL143" s="26">
        <f t="shared" si="258"/>
        <v>44.396999999999998</v>
      </c>
      <c r="CM143" s="26">
        <f t="shared" si="258"/>
        <v>44.396999999999998</v>
      </c>
      <c r="CN143" s="26">
        <f t="shared" si="258"/>
        <v>44.396999999999998</v>
      </c>
      <c r="CO143" s="26">
        <f t="shared" si="258"/>
        <v>44.396999999999998</v>
      </c>
      <c r="CP143" s="26">
        <f t="shared" si="258"/>
        <v>44.396999999999998</v>
      </c>
      <c r="CQ143" s="26">
        <f t="shared" si="258"/>
        <v>44.396999999999998</v>
      </c>
      <c r="CR143" s="26">
        <f t="shared" si="258"/>
        <v>44.396999999999998</v>
      </c>
      <c r="CS143" s="26">
        <f t="shared" si="258"/>
        <v>44.396999999999998</v>
      </c>
      <c r="CT143" s="26">
        <f t="shared" si="258"/>
        <v>44.396999999999998</v>
      </c>
      <c r="CU143" s="26">
        <f t="shared" si="258"/>
        <v>44.396999999999998</v>
      </c>
      <c r="CV143" s="26">
        <f>CU145</f>
        <v>44.396999999999998</v>
      </c>
      <c r="CW143" s="26">
        <f>CV145</f>
        <v>44.396999999999998</v>
      </c>
      <c r="CX143" s="26">
        <f>CW145</f>
        <v>44.396999999999998</v>
      </c>
      <c r="CY143" s="26">
        <f>CX145</f>
        <v>44.396999999999998</v>
      </c>
      <c r="CZ143" s="26">
        <f t="shared" ref="CZ143:DC143" si="259">CY145</f>
        <v>44.396999999999998</v>
      </c>
      <c r="DA143" s="26">
        <f t="shared" si="259"/>
        <v>44.396999999999998</v>
      </c>
      <c r="DB143" s="26">
        <f t="shared" si="259"/>
        <v>44.396999999999998</v>
      </c>
      <c r="DC143" s="26">
        <f t="shared" si="259"/>
        <v>44.396999999999998</v>
      </c>
    </row>
    <row r="144" spans="1:107" s="15" customFormat="1" hidden="1" outlineLevel="1">
      <c r="B144" s="876" t="s">
        <v>1121</v>
      </c>
      <c r="K144" s="783"/>
      <c r="L144" s="26"/>
      <c r="M144" s="26"/>
      <c r="N144" s="26">
        <f t="shared" ref="N144:T144" si="260">N145-N143</f>
        <v>0</v>
      </c>
      <c r="O144" s="26">
        <f t="shared" si="260"/>
        <v>0</v>
      </c>
      <c r="P144" s="26">
        <f t="shared" si="260"/>
        <v>0</v>
      </c>
      <c r="Q144" s="26">
        <f t="shared" si="260"/>
        <v>44.396999999999998</v>
      </c>
      <c r="R144" s="26">
        <f t="shared" si="260"/>
        <v>0</v>
      </c>
      <c r="S144" s="26">
        <f t="shared" si="260"/>
        <v>0</v>
      </c>
      <c r="T144" s="26">
        <f t="shared" si="260"/>
        <v>0</v>
      </c>
      <c r="U144" s="26">
        <f>+SUM(CR144:CU144)</f>
        <v>0</v>
      </c>
      <c r="V144" s="26">
        <f>+SUM(CS144:CV144)</f>
        <v>0</v>
      </c>
      <c r="W144" s="26">
        <f>+SUM(CT144:CW144)</f>
        <v>0</v>
      </c>
      <c r="X144" s="1000">
        <v>0</v>
      </c>
      <c r="Y144" s="1000">
        <v>0</v>
      </c>
      <c r="Z144" s="1000">
        <v>0</v>
      </c>
      <c r="AA144" s="1000">
        <v>0</v>
      </c>
      <c r="AB144" s="1000">
        <v>0</v>
      </c>
      <c r="AC144" s="1000">
        <v>0</v>
      </c>
      <c r="AD144" s="1000">
        <v>0</v>
      </c>
      <c r="AF144" s="772"/>
      <c r="AG144" s="772"/>
      <c r="AH144" s="772"/>
      <c r="AI144" s="772"/>
      <c r="AJ144" s="772"/>
      <c r="AK144" s="772"/>
      <c r="AL144" s="772"/>
      <c r="AM144" s="772"/>
      <c r="AN144" s="772"/>
      <c r="AO144" s="772"/>
      <c r="AP144" s="772"/>
      <c r="AQ144" s="772"/>
      <c r="AR144" s="772"/>
      <c r="AS144" s="772"/>
      <c r="AT144" s="772"/>
      <c r="AU144" s="772"/>
      <c r="AV144" s="772"/>
      <c r="AW144" s="772"/>
      <c r="AX144" s="772"/>
      <c r="AY144" s="772"/>
      <c r="AZ144" s="772"/>
      <c r="BA144" s="772"/>
      <c r="BB144" s="772"/>
      <c r="BC144" s="772"/>
      <c r="BD144" s="772"/>
      <c r="BE144" s="772"/>
      <c r="BF144" s="772"/>
      <c r="BG144" s="772"/>
      <c r="BH144" s="772"/>
      <c r="BI144" s="772"/>
      <c r="BJ144" s="772"/>
      <c r="BK144" s="772"/>
      <c r="BL144" s="772"/>
      <c r="BM144" s="772"/>
      <c r="BN144" s="772"/>
      <c r="BO144" s="772"/>
      <c r="BP144" s="1000"/>
      <c r="BQ144" s="1000"/>
      <c r="BR144" s="1000"/>
      <c r="BS144" s="1000"/>
      <c r="BT144" s="1000"/>
      <c r="BU144" s="1000"/>
      <c r="BV144" s="1000"/>
      <c r="BW144" s="1000"/>
      <c r="BX144" s="1000"/>
      <c r="BY144" s="1000"/>
      <c r="BZ144" s="1000"/>
      <c r="CA144" s="1000"/>
      <c r="CB144" s="1000"/>
      <c r="CC144" s="1000"/>
      <c r="CD144" s="1000"/>
      <c r="CE144" s="772"/>
      <c r="CF144" s="1000">
        <f t="shared" ref="CF144:CU144" si="261">CE144</f>
        <v>0</v>
      </c>
      <c r="CG144" s="1000">
        <f t="shared" si="261"/>
        <v>0</v>
      </c>
      <c r="CH144" s="1000">
        <f t="shared" si="261"/>
        <v>0</v>
      </c>
      <c r="CI144" s="1000">
        <f t="shared" si="261"/>
        <v>0</v>
      </c>
      <c r="CJ144" s="1000">
        <f t="shared" si="261"/>
        <v>0</v>
      </c>
      <c r="CK144" s="1000">
        <f t="shared" si="261"/>
        <v>0</v>
      </c>
      <c r="CL144" s="1000">
        <f t="shared" si="261"/>
        <v>0</v>
      </c>
      <c r="CM144" s="1000">
        <f t="shared" si="261"/>
        <v>0</v>
      </c>
      <c r="CN144" s="1000">
        <f t="shared" si="261"/>
        <v>0</v>
      </c>
      <c r="CO144" s="1000">
        <f t="shared" si="261"/>
        <v>0</v>
      </c>
      <c r="CP144" s="1000">
        <f t="shared" si="261"/>
        <v>0</v>
      </c>
      <c r="CQ144" s="1000">
        <f t="shared" si="261"/>
        <v>0</v>
      </c>
      <c r="CR144" s="1000">
        <f t="shared" si="261"/>
        <v>0</v>
      </c>
      <c r="CS144" s="1000">
        <f t="shared" si="261"/>
        <v>0</v>
      </c>
      <c r="CT144" s="1000">
        <f t="shared" si="261"/>
        <v>0</v>
      </c>
      <c r="CU144" s="1000">
        <f t="shared" si="261"/>
        <v>0</v>
      </c>
      <c r="CV144" s="1000">
        <f>CU144</f>
        <v>0</v>
      </c>
      <c r="CW144" s="1000">
        <f>CV144</f>
        <v>0</v>
      </c>
      <c r="CX144" s="1000">
        <f>CW144</f>
        <v>0</v>
      </c>
      <c r="CY144" s="1000">
        <f>CX144</f>
        <v>0</v>
      </c>
      <c r="CZ144" s="1000">
        <f t="shared" ref="CZ144:DC144" si="262">CY144</f>
        <v>0</v>
      </c>
      <c r="DA144" s="1000">
        <f t="shared" si="262"/>
        <v>0</v>
      </c>
      <c r="DB144" s="1000">
        <f t="shared" si="262"/>
        <v>0</v>
      </c>
      <c r="DC144" s="1000">
        <f t="shared" si="262"/>
        <v>0</v>
      </c>
    </row>
    <row r="145" spans="2:107" s="15" customFormat="1" hidden="1" outlineLevel="1">
      <c r="B145" s="876" t="s">
        <v>1044</v>
      </c>
      <c r="K145" s="783"/>
      <c r="L145" s="26"/>
      <c r="M145" s="54">
        <f>BO145</f>
        <v>0</v>
      </c>
      <c r="N145" s="26">
        <f>BS145</f>
        <v>0</v>
      </c>
      <c r="O145" s="26">
        <f>BW145</f>
        <v>0</v>
      </c>
      <c r="P145" s="26">
        <f>CA145</f>
        <v>0</v>
      </c>
      <c r="Q145" s="26">
        <f>CE145</f>
        <v>44.396999999999998</v>
      </c>
      <c r="R145" s="26">
        <f>CI145</f>
        <v>44.396999999999998</v>
      </c>
      <c r="S145" s="26">
        <f>CM145</f>
        <v>44.396999999999998</v>
      </c>
      <c r="T145" s="26">
        <f>CN145</f>
        <v>44.396999999999998</v>
      </c>
      <c r="U145" s="26">
        <f t="shared" ref="U145:Z145" si="263">SUM(U143:U144)</f>
        <v>44.396999999999998</v>
      </c>
      <c r="V145" s="26">
        <f>SUM(V143:V144)</f>
        <v>44.396999999999998</v>
      </c>
      <c r="W145" s="26">
        <f>SUM(W143:W144)</f>
        <v>44.396999999999998</v>
      </c>
      <c r="X145" s="54">
        <f t="shared" si="263"/>
        <v>44.396999999999998</v>
      </c>
      <c r="Y145" s="54">
        <f t="shared" si="263"/>
        <v>44.396999999999998</v>
      </c>
      <c r="Z145" s="54">
        <f t="shared" si="263"/>
        <v>44.396999999999998</v>
      </c>
      <c r="AA145" s="54">
        <f t="shared" ref="AA145:AD145" si="264">SUM(AA143:AA144)</f>
        <v>44.396999999999998</v>
      </c>
      <c r="AB145" s="54">
        <f t="shared" si="264"/>
        <v>44.396999999999998</v>
      </c>
      <c r="AC145" s="54">
        <f t="shared" si="264"/>
        <v>44.396999999999998</v>
      </c>
      <c r="AD145" s="54">
        <f t="shared" si="264"/>
        <v>44.396999999999998</v>
      </c>
      <c r="AF145" s="54"/>
      <c r="AG145" s="54"/>
      <c r="AH145" s="54"/>
      <c r="AI145" s="54"/>
      <c r="AJ145" s="54"/>
      <c r="AK145" s="54"/>
      <c r="AL145" s="54"/>
      <c r="AM145" s="54"/>
      <c r="AN145" s="54"/>
      <c r="AO145" s="54"/>
      <c r="AP145" s="54"/>
      <c r="AQ145" s="54"/>
      <c r="AR145" s="54"/>
      <c r="AS145" s="54"/>
      <c r="AT145" s="54"/>
      <c r="AU145" s="54"/>
      <c r="AV145" s="54"/>
      <c r="AW145" s="54"/>
      <c r="AX145" s="54"/>
      <c r="AY145" s="54"/>
      <c r="AZ145" s="54"/>
      <c r="BA145" s="54"/>
      <c r="BB145" s="54"/>
      <c r="BC145" s="54"/>
      <c r="BD145" s="54"/>
      <c r="BE145" s="54"/>
      <c r="BF145" s="54"/>
      <c r="BG145" s="54"/>
      <c r="BH145" s="54"/>
      <c r="BI145" s="54"/>
      <c r="BJ145" s="54"/>
      <c r="BK145" s="54"/>
      <c r="BL145" s="54"/>
      <c r="BM145" s="54"/>
      <c r="BN145" s="54"/>
      <c r="BO145" s="1000"/>
      <c r="BP145" s="54"/>
      <c r="BQ145" s="54"/>
      <c r="BR145" s="54"/>
      <c r="BS145" s="54"/>
      <c r="BT145" s="54"/>
      <c r="BU145" s="54"/>
      <c r="BV145" s="54"/>
      <c r="BW145" s="54"/>
      <c r="BX145" s="54"/>
      <c r="BY145" s="54"/>
      <c r="BZ145" s="54"/>
      <c r="CA145" s="54"/>
      <c r="CB145" s="54"/>
      <c r="CC145" s="54"/>
      <c r="CD145" s="54"/>
      <c r="CE145" s="783">
        <v>44.396999999999998</v>
      </c>
      <c r="CF145" s="54">
        <f t="shared" ref="CF145:CT145" si="265">SUM(CF143:CF144)</f>
        <v>44.396999999999998</v>
      </c>
      <c r="CG145" s="54">
        <f t="shared" si="265"/>
        <v>44.396999999999998</v>
      </c>
      <c r="CH145" s="54">
        <f t="shared" si="265"/>
        <v>44.396999999999998</v>
      </c>
      <c r="CI145" s="54">
        <f t="shared" si="265"/>
        <v>44.396999999999998</v>
      </c>
      <c r="CJ145" s="54">
        <f t="shared" si="265"/>
        <v>44.396999999999998</v>
      </c>
      <c r="CK145" s="54">
        <f t="shared" si="265"/>
        <v>44.396999999999998</v>
      </c>
      <c r="CL145" s="54">
        <f t="shared" si="265"/>
        <v>44.396999999999998</v>
      </c>
      <c r="CM145" s="54">
        <f t="shared" si="265"/>
        <v>44.396999999999998</v>
      </c>
      <c r="CN145" s="54">
        <f t="shared" si="265"/>
        <v>44.396999999999998</v>
      </c>
      <c r="CO145" s="54">
        <f t="shared" si="265"/>
        <v>44.396999999999998</v>
      </c>
      <c r="CP145" s="54">
        <f t="shared" si="265"/>
        <v>44.396999999999998</v>
      </c>
      <c r="CQ145" s="54">
        <f>SUM(CQ143:CQ144)</f>
        <v>44.396999999999998</v>
      </c>
      <c r="CR145" s="54">
        <f t="shared" si="265"/>
        <v>44.396999999999998</v>
      </c>
      <c r="CS145" s="54">
        <f t="shared" si="265"/>
        <v>44.396999999999998</v>
      </c>
      <c r="CT145" s="54">
        <f t="shared" si="265"/>
        <v>44.396999999999998</v>
      </c>
      <c r="CU145" s="54">
        <f>SUM(CU143:CU144)</f>
        <v>44.396999999999998</v>
      </c>
      <c r="CV145" s="54">
        <f>SUM(CV143:CV144)</f>
        <v>44.396999999999998</v>
      </c>
      <c r="CW145" s="54">
        <f>SUM(CW143:CW144)</f>
        <v>44.396999999999998</v>
      </c>
      <c r="CX145" s="54">
        <f>SUM(CX143:CX144)</f>
        <v>44.396999999999998</v>
      </c>
      <c r="CY145" s="54">
        <f>SUM(CY143:CY144)</f>
        <v>44.396999999999998</v>
      </c>
      <c r="CZ145" s="54">
        <f t="shared" ref="CZ145:DC145" si="266">SUM(CZ143:CZ144)</f>
        <v>44.396999999999998</v>
      </c>
      <c r="DA145" s="54">
        <f t="shared" si="266"/>
        <v>44.396999999999998</v>
      </c>
      <c r="DB145" s="54">
        <f t="shared" si="266"/>
        <v>44.396999999999998</v>
      </c>
      <c r="DC145" s="54">
        <f t="shared" si="266"/>
        <v>44.396999999999998</v>
      </c>
    </row>
    <row r="146" spans="2:107" s="15" customFormat="1" hidden="1" outlineLevel="1">
      <c r="B146" s="876"/>
      <c r="K146" s="783"/>
      <c r="L146" s="26"/>
      <c r="M146" s="26"/>
      <c r="N146" s="1004"/>
      <c r="O146" s="1004"/>
      <c r="P146" s="1004"/>
      <c r="Q146" s="1004"/>
      <c r="R146" s="1004"/>
      <c r="S146" s="1004"/>
      <c r="T146" s="1004"/>
      <c r="U146" s="1004"/>
      <c r="V146" s="1004"/>
      <c r="W146" s="1004"/>
      <c r="X146" s="1004"/>
      <c r="Y146" s="1004"/>
      <c r="Z146" s="1004"/>
      <c r="AA146" s="1004"/>
      <c r="AB146" s="1004"/>
      <c r="AC146" s="1004"/>
      <c r="AD146" s="1004"/>
      <c r="AF146" s="1005"/>
      <c r="AG146" s="1005"/>
      <c r="AH146" s="1005"/>
      <c r="AI146" s="1005"/>
      <c r="AJ146" s="1005"/>
      <c r="AK146" s="1005"/>
      <c r="AL146" s="1005"/>
      <c r="AM146" s="1005"/>
      <c r="AN146" s="1005"/>
      <c r="AO146" s="1005"/>
      <c r="AP146" s="1005"/>
      <c r="AQ146" s="1005"/>
      <c r="AR146" s="1005"/>
      <c r="AS146" s="1005"/>
      <c r="AT146" s="1005"/>
      <c r="AU146" s="1005"/>
      <c r="AV146" s="1005"/>
      <c r="AW146" s="1005"/>
      <c r="AX146" s="1005"/>
      <c r="AY146" s="1005"/>
      <c r="AZ146" s="1005"/>
      <c r="BA146" s="1005"/>
      <c r="BB146" s="1005"/>
      <c r="BC146" s="1005"/>
      <c r="BD146" s="1005"/>
      <c r="BE146" s="1005"/>
      <c r="BF146" s="1005"/>
      <c r="BG146" s="1005"/>
      <c r="BH146" s="1005"/>
      <c r="BI146" s="1005"/>
      <c r="BJ146" s="1005"/>
      <c r="BK146" s="1005"/>
      <c r="BL146" s="1005"/>
      <c r="BM146" s="1005"/>
      <c r="BN146" s="1005"/>
      <c r="BO146" s="1005"/>
      <c r="BP146" s="1005"/>
      <c r="BQ146" s="1005"/>
      <c r="BR146" s="1005"/>
      <c r="BS146" s="789"/>
      <c r="BT146" s="789"/>
      <c r="BU146" s="789"/>
      <c r="BV146" s="789"/>
      <c r="BW146" s="789"/>
      <c r="BX146" s="789"/>
      <c r="BY146" s="789"/>
      <c r="BZ146" s="789"/>
      <c r="CA146" s="789"/>
      <c r="CB146" s="789"/>
      <c r="CC146" s="789"/>
      <c r="CD146" s="789"/>
      <c r="CE146" s="789"/>
      <c r="CF146" s="789"/>
      <c r="CG146" s="789"/>
      <c r="CH146" s="789"/>
      <c r="CI146" s="789"/>
      <c r="CJ146" s="789"/>
      <c r="CK146" s="789"/>
      <c r="CL146" s="789"/>
      <c r="CM146" s="789"/>
      <c r="CN146" s="789"/>
      <c r="CO146" s="789"/>
      <c r="CP146" s="789"/>
      <c r="CQ146" s="789"/>
      <c r="CR146" s="789"/>
      <c r="CS146" s="789"/>
      <c r="CT146" s="789"/>
      <c r="CU146" s="789"/>
      <c r="CV146" s="789"/>
      <c r="CW146" s="789"/>
      <c r="CX146" s="789"/>
      <c r="CY146" s="789"/>
      <c r="CZ146" s="789"/>
      <c r="DA146" s="789"/>
      <c r="DB146" s="789"/>
      <c r="DC146" s="789"/>
    </row>
    <row r="147" spans="2:107" s="15" customFormat="1" ht="12.75" hidden="1" customHeight="1" outlineLevel="1">
      <c r="B147" s="15" t="s">
        <v>1211</v>
      </c>
    </row>
    <row r="148" spans="2:107" s="15" customFormat="1" ht="12.75" hidden="1" customHeight="1" outlineLevel="1">
      <c r="B148" s="876" t="s">
        <v>1118</v>
      </c>
      <c r="K148" s="26">
        <f>J150</f>
        <v>0</v>
      </c>
      <c r="L148" s="26">
        <f>BH148</f>
        <v>0</v>
      </c>
      <c r="M148" s="26"/>
      <c r="N148" s="26">
        <f>BS148</f>
        <v>0</v>
      </c>
      <c r="O148" s="26">
        <f t="shared" ref="O148:Z148" si="267">N150</f>
        <v>0</v>
      </c>
      <c r="P148" s="26">
        <f t="shared" si="267"/>
        <v>25.196999999999999</v>
      </c>
      <c r="Q148" s="26">
        <f t="shared" si="267"/>
        <v>25.196999999999999</v>
      </c>
      <c r="R148" s="26">
        <f t="shared" si="267"/>
        <v>39.094999999999999</v>
      </c>
      <c r="S148" s="26">
        <f t="shared" si="267"/>
        <v>39.094999999999999</v>
      </c>
      <c r="T148" s="26">
        <f t="shared" si="267"/>
        <v>39.094999999999999</v>
      </c>
      <c r="U148" s="26">
        <f t="shared" si="267"/>
        <v>39.094999999999999</v>
      </c>
      <c r="V148" s="26">
        <f t="shared" si="267"/>
        <v>39.094999999999999</v>
      </c>
      <c r="W148" s="26">
        <f t="shared" si="267"/>
        <v>39.094999999999999</v>
      </c>
      <c r="X148" s="26">
        <f t="shared" si="267"/>
        <v>39.094999999999999</v>
      </c>
      <c r="Y148" s="26">
        <f t="shared" si="267"/>
        <v>39.094999999999999</v>
      </c>
      <c r="Z148" s="26">
        <f t="shared" si="267"/>
        <v>39.094999999999999</v>
      </c>
      <c r="AA148" s="26">
        <f t="shared" ref="AA148" si="268">Z150</f>
        <v>39.094999999999999</v>
      </c>
      <c r="AB148" s="26">
        <f t="shared" ref="AB148" si="269">AA150</f>
        <v>39.094999999999999</v>
      </c>
      <c r="AC148" s="26">
        <f t="shared" ref="AC148" si="270">AB150</f>
        <v>39.094999999999999</v>
      </c>
      <c r="AD148" s="26">
        <f t="shared" ref="AD148" si="271">AC150</f>
        <v>39.094999999999999</v>
      </c>
      <c r="AF148" s="26"/>
      <c r="AG148" s="26"/>
      <c r="AH148" s="26"/>
      <c r="AI148" s="26"/>
      <c r="AJ148" s="26"/>
      <c r="AK148" s="26"/>
      <c r="AL148" s="26"/>
      <c r="AM148" s="26"/>
      <c r="AN148" s="26"/>
      <c r="AO148" s="26"/>
      <c r="AP148" s="26"/>
      <c r="AQ148" s="26"/>
      <c r="AR148" s="26"/>
      <c r="AS148" s="26"/>
      <c r="AT148" s="26"/>
      <c r="AU148" s="26"/>
      <c r="AV148" s="26"/>
      <c r="AW148" s="26"/>
      <c r="AX148" s="26"/>
      <c r="AY148" s="26"/>
      <c r="AZ148" s="26"/>
      <c r="BA148" s="26"/>
      <c r="BB148" s="26"/>
      <c r="BC148" s="26"/>
      <c r="BD148" s="26"/>
      <c r="BE148" s="26"/>
      <c r="BF148" s="26"/>
      <c r="BG148" s="26"/>
      <c r="BH148" s="26"/>
      <c r="BI148" s="26"/>
      <c r="BJ148" s="26"/>
      <c r="BK148" s="26"/>
      <c r="BL148" s="26"/>
      <c r="BM148" s="26"/>
      <c r="BN148" s="26"/>
      <c r="BO148" s="26"/>
      <c r="BP148" s="26"/>
      <c r="BQ148" s="26"/>
      <c r="BR148" s="26"/>
      <c r="BS148" s="26"/>
      <c r="BT148" s="26"/>
      <c r="BU148" s="26"/>
      <c r="BV148" s="26"/>
      <c r="BW148" s="26">
        <f t="shared" ref="BW148:CU148" si="272">BV150</f>
        <v>0</v>
      </c>
      <c r="BX148" s="26">
        <f t="shared" si="272"/>
        <v>25.196999999999999</v>
      </c>
      <c r="BY148" s="26">
        <f t="shared" si="272"/>
        <v>25.196999999999999</v>
      </c>
      <c r="BZ148" s="26">
        <f t="shared" si="272"/>
        <v>25.196999999999999</v>
      </c>
      <c r="CA148" s="26">
        <f t="shared" si="272"/>
        <v>25.196999999999999</v>
      </c>
      <c r="CB148" s="26">
        <f t="shared" si="272"/>
        <v>25.196999999999999</v>
      </c>
      <c r="CC148" s="26">
        <f t="shared" si="272"/>
        <v>25.196999999999999</v>
      </c>
      <c r="CD148" s="26">
        <f t="shared" si="272"/>
        <v>25.196999999999999</v>
      </c>
      <c r="CE148" s="26">
        <f t="shared" si="272"/>
        <v>25.196999999999999</v>
      </c>
      <c r="CF148" s="26">
        <f t="shared" si="272"/>
        <v>39.094999999999999</v>
      </c>
      <c r="CG148" s="26">
        <f t="shared" si="272"/>
        <v>39.094999999999999</v>
      </c>
      <c r="CH148" s="26">
        <f t="shared" si="272"/>
        <v>39.094999999999999</v>
      </c>
      <c r="CI148" s="26">
        <f t="shared" si="272"/>
        <v>39.094999999999999</v>
      </c>
      <c r="CJ148" s="26">
        <f t="shared" si="272"/>
        <v>39.094999999999999</v>
      </c>
      <c r="CK148" s="26">
        <f t="shared" si="272"/>
        <v>39.094999999999999</v>
      </c>
      <c r="CL148" s="26">
        <f t="shared" si="272"/>
        <v>39.094999999999999</v>
      </c>
      <c r="CM148" s="26">
        <f t="shared" si="272"/>
        <v>39.094999999999999</v>
      </c>
      <c r="CN148" s="26">
        <f t="shared" si="272"/>
        <v>39.094999999999999</v>
      </c>
      <c r="CO148" s="26">
        <f t="shared" si="272"/>
        <v>39.094999999999999</v>
      </c>
      <c r="CP148" s="26">
        <f t="shared" si="272"/>
        <v>39.094999999999999</v>
      </c>
      <c r="CQ148" s="26">
        <f t="shared" si="272"/>
        <v>39.094999999999999</v>
      </c>
      <c r="CR148" s="26">
        <f t="shared" si="272"/>
        <v>39.094999999999999</v>
      </c>
      <c r="CS148" s="26">
        <f t="shared" si="272"/>
        <v>39.094999999999999</v>
      </c>
      <c r="CT148" s="26">
        <f t="shared" si="272"/>
        <v>39.094999999999999</v>
      </c>
      <c r="CU148" s="26">
        <f t="shared" si="272"/>
        <v>39.094999999999999</v>
      </c>
      <c r="CV148" s="26">
        <f>CU150</f>
        <v>39.094999999999999</v>
      </c>
      <c r="CW148" s="26">
        <f>CV150</f>
        <v>39.094999999999999</v>
      </c>
      <c r="CX148" s="26">
        <f>CW150</f>
        <v>39.094999999999999</v>
      </c>
      <c r="CY148" s="26">
        <f>CX150</f>
        <v>39.094999999999999</v>
      </c>
      <c r="CZ148" s="26">
        <f t="shared" ref="CZ148:DC148" si="273">CY150</f>
        <v>39.094999999999999</v>
      </c>
      <c r="DA148" s="26">
        <f t="shared" si="273"/>
        <v>39.094999999999999</v>
      </c>
      <c r="DB148" s="26">
        <f t="shared" si="273"/>
        <v>39.094999999999999</v>
      </c>
      <c r="DC148" s="26">
        <f t="shared" si="273"/>
        <v>39.094999999999999</v>
      </c>
    </row>
    <row r="149" spans="2:107" s="15" customFormat="1" ht="12.75" hidden="1" customHeight="1" outlineLevel="1">
      <c r="B149" s="876" t="s">
        <v>1121</v>
      </c>
      <c r="K149" s="26">
        <f>SUM(BD149:BG149)</f>
        <v>0</v>
      </c>
      <c r="L149" s="26">
        <f>SUM(BH149:BK149)</f>
        <v>0</v>
      </c>
      <c r="M149" s="26"/>
      <c r="N149" s="26">
        <f t="shared" ref="N149:T149" si="274">N150-N148</f>
        <v>0</v>
      </c>
      <c r="O149" s="26">
        <f t="shared" si="274"/>
        <v>25.196999999999999</v>
      </c>
      <c r="P149" s="26">
        <f t="shared" si="274"/>
        <v>0</v>
      </c>
      <c r="Q149" s="26">
        <f t="shared" si="274"/>
        <v>13.898</v>
      </c>
      <c r="R149" s="26">
        <f t="shared" si="274"/>
        <v>0</v>
      </c>
      <c r="S149" s="26">
        <f t="shared" si="274"/>
        <v>0</v>
      </c>
      <c r="T149" s="26">
        <f t="shared" si="274"/>
        <v>0</v>
      </c>
      <c r="U149" s="26">
        <f>+SUM(CR149:CU149)</f>
        <v>0</v>
      </c>
      <c r="V149" s="26">
        <f>+SUM(CS149:CV149)</f>
        <v>0</v>
      </c>
      <c r="W149" s="26">
        <f>+SUM(CT149:CW149)</f>
        <v>0</v>
      </c>
      <c r="X149" s="1000">
        <v>0</v>
      </c>
      <c r="Y149" s="1000">
        <v>0</v>
      </c>
      <c r="Z149" s="1000">
        <v>0</v>
      </c>
      <c r="AA149" s="1000">
        <v>0</v>
      </c>
      <c r="AB149" s="1000">
        <v>0</v>
      </c>
      <c r="AC149" s="1000">
        <v>0</v>
      </c>
      <c r="AD149" s="1000">
        <v>0</v>
      </c>
      <c r="AF149" s="1006"/>
      <c r="AG149" s="1006"/>
      <c r="AH149" s="1006"/>
      <c r="AI149" s="1006"/>
      <c r="AJ149" s="1006"/>
      <c r="AK149" s="1006"/>
      <c r="AL149" s="1006"/>
      <c r="AM149" s="1006"/>
      <c r="AN149" s="1006"/>
      <c r="AO149" s="1006"/>
      <c r="AP149" s="1006"/>
      <c r="AQ149" s="1006"/>
      <c r="AR149" s="1006"/>
      <c r="AS149" s="1006"/>
      <c r="AT149" s="1006"/>
      <c r="AU149" s="1006"/>
      <c r="AV149" s="1006"/>
      <c r="AW149" s="1006"/>
      <c r="AX149" s="1006"/>
      <c r="AY149" s="1006"/>
      <c r="AZ149" s="1006"/>
      <c r="BA149" s="1006"/>
      <c r="BB149" s="1006"/>
      <c r="BC149" s="1006"/>
      <c r="BD149" s="1006"/>
      <c r="BE149" s="1006"/>
      <c r="BF149" s="1006"/>
      <c r="BG149" s="1006"/>
      <c r="BH149" s="1006"/>
      <c r="BI149" s="1006"/>
      <c r="BJ149" s="1006"/>
      <c r="BK149" s="1006"/>
      <c r="BL149" s="1006"/>
      <c r="BM149" s="1006"/>
      <c r="BN149" s="1006"/>
      <c r="BO149" s="1006"/>
      <c r="BP149" s="1006"/>
      <c r="BQ149" s="1006"/>
      <c r="BR149" s="1006"/>
      <c r="BS149" s="26"/>
      <c r="BT149" s="1000"/>
      <c r="BU149" s="1000"/>
      <c r="BV149" s="1000"/>
      <c r="BW149" s="1000">
        <v>25.196999999999999</v>
      </c>
      <c r="BX149" s="1000">
        <v>0</v>
      </c>
      <c r="BY149" s="1000">
        <v>0</v>
      </c>
      <c r="BZ149" s="1000">
        <v>0</v>
      </c>
      <c r="CA149" s="1000">
        <v>0</v>
      </c>
      <c r="CB149" s="1000">
        <v>0</v>
      </c>
      <c r="CC149" s="1000">
        <v>0</v>
      </c>
      <c r="CD149" s="1000">
        <v>0</v>
      </c>
      <c r="CE149" s="783">
        <f>39.095-CD150</f>
        <v>13.898</v>
      </c>
      <c r="CF149" s="1000">
        <v>0</v>
      </c>
      <c r="CG149" s="1000">
        <v>0</v>
      </c>
      <c r="CH149" s="1000">
        <v>0</v>
      </c>
      <c r="CI149" s="1000">
        <v>0</v>
      </c>
      <c r="CJ149" s="1000">
        <v>0</v>
      </c>
      <c r="CK149" s="1000">
        <v>0</v>
      </c>
      <c r="CL149" s="1000">
        <v>0</v>
      </c>
      <c r="CM149" s="1000">
        <v>0</v>
      </c>
      <c r="CN149" s="1000">
        <v>0</v>
      </c>
      <c r="CO149" s="1000">
        <v>0</v>
      </c>
      <c r="CP149" s="1000">
        <v>0</v>
      </c>
      <c r="CQ149" s="1000">
        <v>0</v>
      </c>
      <c r="CR149" s="1000">
        <v>0</v>
      </c>
      <c r="CS149" s="1000">
        <v>0</v>
      </c>
      <c r="CT149" s="1000">
        <v>0</v>
      </c>
      <c r="CU149" s="1000">
        <v>0</v>
      </c>
      <c r="CV149" s="1000">
        <v>0</v>
      </c>
      <c r="CW149" s="1000">
        <v>0</v>
      </c>
      <c r="CX149" s="1000">
        <v>0</v>
      </c>
      <c r="CY149" s="1000">
        <v>0</v>
      </c>
      <c r="CZ149" s="1000">
        <v>0</v>
      </c>
      <c r="DA149" s="1000">
        <v>0</v>
      </c>
      <c r="DB149" s="1000">
        <v>0</v>
      </c>
      <c r="DC149" s="1000">
        <v>0</v>
      </c>
    </row>
    <row r="150" spans="2:107" s="15" customFormat="1" ht="12.75" hidden="1" customHeight="1" outlineLevel="1">
      <c r="B150" s="876" t="s">
        <v>1044</v>
      </c>
      <c r="J150" s="26">
        <f>BC150</f>
        <v>0</v>
      </c>
      <c r="K150" s="26">
        <f>SUM(K148:K149)</f>
        <v>0</v>
      </c>
      <c r="L150" s="26">
        <f>SUM(L148:L149)</f>
        <v>0</v>
      </c>
      <c r="M150" s="54">
        <f>BO150</f>
        <v>0</v>
      </c>
      <c r="N150" s="26">
        <f>BS150</f>
        <v>0</v>
      </c>
      <c r="O150" s="26">
        <f>BW150</f>
        <v>25.196999999999999</v>
      </c>
      <c r="P150" s="26">
        <f>CA150</f>
        <v>25.196999999999999</v>
      </c>
      <c r="Q150" s="26">
        <f>CE150</f>
        <v>39.094999999999999</v>
      </c>
      <c r="R150" s="26">
        <f>CI150</f>
        <v>39.094999999999999</v>
      </c>
      <c r="S150" s="26">
        <f>CM150</f>
        <v>39.094999999999999</v>
      </c>
      <c r="T150" s="26">
        <f>CN150</f>
        <v>39.094999999999999</v>
      </c>
      <c r="U150" s="26">
        <f t="shared" ref="U150:Z150" si="275">SUM(U148:U149)</f>
        <v>39.094999999999999</v>
      </c>
      <c r="V150" s="26">
        <f>SUM(V148:V149)</f>
        <v>39.094999999999999</v>
      </c>
      <c r="W150" s="26">
        <f>SUM(W148:W149)</f>
        <v>39.094999999999999</v>
      </c>
      <c r="X150" s="26">
        <f t="shared" si="275"/>
        <v>39.094999999999999</v>
      </c>
      <c r="Y150" s="26">
        <f t="shared" si="275"/>
        <v>39.094999999999999</v>
      </c>
      <c r="Z150" s="26">
        <f t="shared" si="275"/>
        <v>39.094999999999999</v>
      </c>
      <c r="AA150" s="26">
        <f t="shared" ref="AA150:AD150" si="276">SUM(AA148:AA149)</f>
        <v>39.094999999999999</v>
      </c>
      <c r="AB150" s="26">
        <f t="shared" si="276"/>
        <v>39.094999999999999</v>
      </c>
      <c r="AC150" s="26">
        <f t="shared" si="276"/>
        <v>39.094999999999999</v>
      </c>
      <c r="AD150" s="26">
        <f t="shared" si="276"/>
        <v>39.094999999999999</v>
      </c>
      <c r="AF150" s="26"/>
      <c r="AG150" s="26"/>
      <c r="AH150" s="26"/>
      <c r="AI150" s="26"/>
      <c r="AJ150" s="26"/>
      <c r="AK150" s="26"/>
      <c r="AL150" s="26"/>
      <c r="AM150" s="26"/>
      <c r="AN150" s="26"/>
      <c r="AO150" s="26"/>
      <c r="AP150" s="26"/>
      <c r="AQ150" s="26"/>
      <c r="AR150" s="26"/>
      <c r="AS150" s="26"/>
      <c r="AT150" s="26"/>
      <c r="AU150" s="26"/>
      <c r="AV150" s="26"/>
      <c r="AW150" s="26"/>
      <c r="AX150" s="26"/>
      <c r="AY150" s="26"/>
      <c r="AZ150" s="26"/>
      <c r="BA150" s="26"/>
      <c r="BB150" s="26"/>
      <c r="BC150" s="26"/>
      <c r="BD150" s="26"/>
      <c r="BE150" s="26"/>
      <c r="BF150" s="26"/>
      <c r="BG150" s="26"/>
      <c r="BH150" s="26"/>
      <c r="BI150" s="26"/>
      <c r="BJ150" s="26"/>
      <c r="BK150" s="26"/>
      <c r="BL150" s="26"/>
      <c r="BM150" s="26"/>
      <c r="BN150" s="26"/>
      <c r="BO150" s="26"/>
      <c r="BP150" s="26"/>
      <c r="BQ150" s="26"/>
      <c r="BR150" s="883"/>
      <c r="BS150" s="783"/>
      <c r="BT150" s="54"/>
      <c r="BU150" s="54"/>
      <c r="BV150" s="54"/>
      <c r="BW150" s="54">
        <f t="shared" ref="BW150:CT150" si="277">SUM(BW148:BW149)</f>
        <v>25.196999999999999</v>
      </c>
      <c r="BX150" s="54">
        <f t="shared" si="277"/>
        <v>25.196999999999999</v>
      </c>
      <c r="BY150" s="54">
        <f t="shared" si="277"/>
        <v>25.196999999999999</v>
      </c>
      <c r="BZ150" s="54">
        <f t="shared" si="277"/>
        <v>25.196999999999999</v>
      </c>
      <c r="CA150" s="54">
        <f t="shared" si="277"/>
        <v>25.196999999999999</v>
      </c>
      <c r="CB150" s="54">
        <f t="shared" si="277"/>
        <v>25.196999999999999</v>
      </c>
      <c r="CC150" s="54">
        <f t="shared" si="277"/>
        <v>25.196999999999999</v>
      </c>
      <c r="CD150" s="54">
        <f t="shared" si="277"/>
        <v>25.196999999999999</v>
      </c>
      <c r="CE150" s="54">
        <f t="shared" si="277"/>
        <v>39.094999999999999</v>
      </c>
      <c r="CF150" s="54">
        <f t="shared" si="277"/>
        <v>39.094999999999999</v>
      </c>
      <c r="CG150" s="54">
        <f t="shared" si="277"/>
        <v>39.094999999999999</v>
      </c>
      <c r="CH150" s="54">
        <f t="shared" si="277"/>
        <v>39.094999999999999</v>
      </c>
      <c r="CI150" s="54">
        <f t="shared" si="277"/>
        <v>39.094999999999999</v>
      </c>
      <c r="CJ150" s="54">
        <f t="shared" si="277"/>
        <v>39.094999999999999</v>
      </c>
      <c r="CK150" s="54">
        <f t="shared" si="277"/>
        <v>39.094999999999999</v>
      </c>
      <c r="CL150" s="54">
        <f t="shared" si="277"/>
        <v>39.094999999999999</v>
      </c>
      <c r="CM150" s="54">
        <f t="shared" si="277"/>
        <v>39.094999999999999</v>
      </c>
      <c r="CN150" s="54">
        <f t="shared" si="277"/>
        <v>39.094999999999999</v>
      </c>
      <c r="CO150" s="54">
        <f t="shared" si="277"/>
        <v>39.094999999999999</v>
      </c>
      <c r="CP150" s="54">
        <f t="shared" si="277"/>
        <v>39.094999999999999</v>
      </c>
      <c r="CQ150" s="54">
        <f>SUM(CQ148:CQ149)</f>
        <v>39.094999999999999</v>
      </c>
      <c r="CR150" s="54">
        <f t="shared" si="277"/>
        <v>39.094999999999999</v>
      </c>
      <c r="CS150" s="54">
        <f t="shared" si="277"/>
        <v>39.094999999999999</v>
      </c>
      <c r="CT150" s="54">
        <f t="shared" si="277"/>
        <v>39.094999999999999</v>
      </c>
      <c r="CU150" s="54">
        <f>SUM(CU148:CU149)</f>
        <v>39.094999999999999</v>
      </c>
      <c r="CV150" s="54">
        <f>SUM(CV148:CV149)</f>
        <v>39.094999999999999</v>
      </c>
      <c r="CW150" s="54">
        <f>SUM(CW148:CW149)</f>
        <v>39.094999999999999</v>
      </c>
      <c r="CX150" s="54">
        <f>SUM(CX148:CX149)</f>
        <v>39.094999999999999</v>
      </c>
      <c r="CY150" s="54">
        <f>SUM(CY148:CY149)</f>
        <v>39.094999999999999</v>
      </c>
      <c r="CZ150" s="54">
        <f t="shared" ref="CZ150:DC150" si="278">SUM(CZ148:CZ149)</f>
        <v>39.094999999999999</v>
      </c>
      <c r="DA150" s="54">
        <f t="shared" si="278"/>
        <v>39.094999999999999</v>
      </c>
      <c r="DB150" s="54">
        <f t="shared" si="278"/>
        <v>39.094999999999999</v>
      </c>
      <c r="DC150" s="54">
        <f t="shared" si="278"/>
        <v>39.094999999999999</v>
      </c>
    </row>
    <row r="151" spans="2:107" s="15" customFormat="1" ht="12.75" hidden="1" customHeight="1" outlineLevel="1">
      <c r="B151" s="876"/>
      <c r="K151" s="1004"/>
      <c r="L151" s="1004"/>
      <c r="M151" s="1004"/>
      <c r="N151" s="1004"/>
      <c r="O151" s="1004"/>
      <c r="P151" s="1004"/>
      <c r="Q151" s="1004"/>
      <c r="R151" s="1004"/>
      <c r="S151" s="1004"/>
      <c r="T151" s="1004"/>
      <c r="U151" s="1004"/>
      <c r="V151" s="1004"/>
      <c r="W151" s="1004"/>
      <c r="X151" s="1004"/>
      <c r="Y151" s="1004"/>
      <c r="Z151" s="1004"/>
      <c r="AA151" s="1004"/>
      <c r="AB151" s="1004"/>
      <c r="AC151" s="1004"/>
      <c r="AD151" s="1004"/>
      <c r="AF151" s="1004"/>
      <c r="AG151" s="1004"/>
      <c r="AH151" s="1004"/>
      <c r="AI151" s="1004"/>
      <c r="AJ151" s="1004"/>
      <c r="AK151" s="1004"/>
      <c r="AL151" s="1004"/>
      <c r="AM151" s="1004"/>
      <c r="AN151" s="1004"/>
      <c r="AO151" s="1004"/>
      <c r="AP151" s="1004"/>
      <c r="AQ151" s="1004"/>
      <c r="AR151" s="1004"/>
      <c r="AS151" s="1004"/>
      <c r="AT151" s="1004"/>
      <c r="AU151" s="1004"/>
      <c r="AV151" s="1004"/>
      <c r="AW151" s="1004"/>
      <c r="AX151" s="1004"/>
      <c r="AY151" s="1004"/>
      <c r="AZ151" s="1004"/>
      <c r="BA151" s="1004"/>
      <c r="BB151" s="1004"/>
      <c r="BC151" s="1004"/>
      <c r="BD151" s="1004"/>
      <c r="BE151" s="1004"/>
      <c r="BF151" s="1004"/>
      <c r="BG151" s="1004"/>
      <c r="BH151" s="1004"/>
      <c r="BI151" s="1004"/>
      <c r="BJ151" s="1004"/>
      <c r="BK151" s="1004"/>
      <c r="BL151" s="1004"/>
      <c r="BM151" s="1004"/>
      <c r="BN151" s="1004"/>
      <c r="BO151" s="1004"/>
      <c r="BP151" s="1004"/>
      <c r="BQ151" s="1004"/>
      <c r="BR151" s="1007"/>
      <c r="BS151" s="1004"/>
      <c r="BT151" s="1004"/>
      <c r="BU151" s="1004"/>
      <c r="BV151" s="1004"/>
      <c r="BW151" s="1004"/>
      <c r="BX151" s="1004"/>
      <c r="BY151" s="1004"/>
      <c r="BZ151" s="1004"/>
      <c r="CA151" s="1004"/>
      <c r="CB151" s="1004"/>
      <c r="CC151" s="1004"/>
      <c r="CD151" s="1004"/>
      <c r="CE151" s="1004"/>
      <c r="CF151" s="1004"/>
      <c r="CG151" s="1004"/>
      <c r="CH151" s="1004"/>
      <c r="CI151" s="1004"/>
      <c r="CJ151" s="1004"/>
      <c r="CK151" s="1004"/>
      <c r="CL151" s="1004"/>
      <c r="CM151" s="1004"/>
      <c r="CN151" s="1004"/>
      <c r="CO151" s="1004"/>
      <c r="CP151" s="1004"/>
      <c r="CQ151" s="1004"/>
      <c r="CR151" s="1004"/>
      <c r="CS151" s="1004"/>
      <c r="CT151" s="1004"/>
      <c r="CU151" s="1004"/>
      <c r="CV151" s="1004"/>
      <c r="CW151" s="1004"/>
      <c r="CX151" s="1004"/>
      <c r="CY151" s="1004"/>
      <c r="CZ151" s="1004"/>
      <c r="DA151" s="1004"/>
      <c r="DB151" s="1004"/>
      <c r="DC151" s="1004"/>
    </row>
    <row r="152" spans="2:107" s="15" customFormat="1" hidden="1" outlineLevel="1" collapsed="1">
      <c r="B152" s="15" t="s">
        <v>1209</v>
      </c>
    </row>
    <row r="153" spans="2:107" s="15" customFormat="1" hidden="1" outlineLevel="1">
      <c r="B153" s="876" t="s">
        <v>1118</v>
      </c>
      <c r="K153" s="783"/>
      <c r="L153" s="26"/>
      <c r="M153" s="26"/>
      <c r="N153" s="26">
        <f>BS153</f>
        <v>0</v>
      </c>
      <c r="O153" s="26">
        <f t="shared" ref="O153:Z153" si="279">N155</f>
        <v>0</v>
      </c>
      <c r="P153" s="26">
        <f t="shared" si="279"/>
        <v>0</v>
      </c>
      <c r="Q153" s="26">
        <f t="shared" si="279"/>
        <v>0</v>
      </c>
      <c r="R153" s="26">
        <f t="shared" si="279"/>
        <v>39.131</v>
      </c>
      <c r="S153" s="26">
        <f t="shared" si="279"/>
        <v>39.131</v>
      </c>
      <c r="T153" s="26">
        <f t="shared" si="279"/>
        <v>39.131</v>
      </c>
      <c r="U153" s="26">
        <f t="shared" si="279"/>
        <v>39.131</v>
      </c>
      <c r="V153" s="26">
        <f t="shared" si="279"/>
        <v>39.131</v>
      </c>
      <c r="W153" s="26">
        <f t="shared" si="279"/>
        <v>39.131</v>
      </c>
      <c r="X153" s="26">
        <f t="shared" si="279"/>
        <v>39.131</v>
      </c>
      <c r="Y153" s="26">
        <f t="shared" si="279"/>
        <v>39.131</v>
      </c>
      <c r="Z153" s="26">
        <f t="shared" si="279"/>
        <v>39.131</v>
      </c>
      <c r="AA153" s="26">
        <f t="shared" ref="AA153" si="280">Z155</f>
        <v>39.131</v>
      </c>
      <c r="AB153" s="26">
        <f t="shared" ref="AB153" si="281">AA155</f>
        <v>39.131</v>
      </c>
      <c r="AC153" s="26">
        <f t="shared" ref="AC153" si="282">AB155</f>
        <v>39.131</v>
      </c>
      <c r="AD153" s="26">
        <f t="shared" ref="AD153" si="283">AC155</f>
        <v>39.131</v>
      </c>
      <c r="AF153" s="26"/>
      <c r="AG153" s="26"/>
      <c r="AH153" s="26"/>
      <c r="AI153" s="26"/>
      <c r="AJ153" s="26"/>
      <c r="AK153" s="26"/>
      <c r="AL153" s="26"/>
      <c r="AM153" s="26"/>
      <c r="AN153" s="26"/>
      <c r="AO153" s="26"/>
      <c r="AP153" s="26"/>
      <c r="AQ153" s="26"/>
      <c r="AR153" s="26"/>
      <c r="AS153" s="26"/>
      <c r="AT153" s="26"/>
      <c r="AU153" s="26"/>
      <c r="AV153" s="26"/>
      <c r="AW153" s="26"/>
      <c r="AX153" s="26"/>
      <c r="AY153" s="26"/>
      <c r="AZ153" s="26"/>
      <c r="BA153" s="26"/>
      <c r="BB153" s="26"/>
      <c r="BC153" s="26"/>
      <c r="BD153" s="26"/>
      <c r="BE153" s="26"/>
      <c r="BF153" s="26"/>
      <c r="BG153" s="26"/>
      <c r="BH153" s="26"/>
      <c r="BI153" s="26"/>
      <c r="BJ153" s="26"/>
      <c r="BK153" s="26"/>
      <c r="BL153" s="26"/>
      <c r="BM153" s="26"/>
      <c r="BN153" s="26"/>
      <c r="BO153" s="26"/>
      <c r="BP153" s="26"/>
      <c r="BQ153" s="26"/>
      <c r="BR153" s="26"/>
      <c r="BS153" s="26"/>
      <c r="BT153" s="26"/>
      <c r="BU153" s="26"/>
      <c r="BV153" s="26"/>
      <c r="BW153" s="26"/>
      <c r="BX153" s="26"/>
      <c r="BY153" s="26"/>
      <c r="BZ153" s="26"/>
      <c r="CA153" s="26"/>
      <c r="CB153" s="26"/>
      <c r="CC153" s="26"/>
      <c r="CD153" s="26"/>
      <c r="CE153" s="26"/>
      <c r="CF153" s="26">
        <f t="shared" ref="CF153:CU153" si="284">CE155</f>
        <v>39.131</v>
      </c>
      <c r="CG153" s="26">
        <f t="shared" si="284"/>
        <v>39.131</v>
      </c>
      <c r="CH153" s="26">
        <f t="shared" si="284"/>
        <v>39.131</v>
      </c>
      <c r="CI153" s="26">
        <f t="shared" si="284"/>
        <v>39.131</v>
      </c>
      <c r="CJ153" s="26">
        <f t="shared" si="284"/>
        <v>39.131</v>
      </c>
      <c r="CK153" s="26">
        <f t="shared" si="284"/>
        <v>39.131</v>
      </c>
      <c r="CL153" s="26">
        <f t="shared" si="284"/>
        <v>39.131</v>
      </c>
      <c r="CM153" s="26">
        <f t="shared" si="284"/>
        <v>39.131</v>
      </c>
      <c r="CN153" s="26">
        <f t="shared" si="284"/>
        <v>39.131</v>
      </c>
      <c r="CO153" s="26">
        <f t="shared" si="284"/>
        <v>39.131</v>
      </c>
      <c r="CP153" s="26">
        <f t="shared" si="284"/>
        <v>39.131</v>
      </c>
      <c r="CQ153" s="26">
        <f t="shared" si="284"/>
        <v>39.131</v>
      </c>
      <c r="CR153" s="26">
        <f t="shared" si="284"/>
        <v>39.131</v>
      </c>
      <c r="CS153" s="26">
        <f t="shared" si="284"/>
        <v>39.131</v>
      </c>
      <c r="CT153" s="26">
        <f t="shared" si="284"/>
        <v>39.131</v>
      </c>
      <c r="CU153" s="26">
        <f t="shared" si="284"/>
        <v>39.131</v>
      </c>
      <c r="CV153" s="26">
        <f>CU155</f>
        <v>39.131</v>
      </c>
      <c r="CW153" s="26">
        <f>CV155</f>
        <v>39.131</v>
      </c>
      <c r="CX153" s="26">
        <f>CW155</f>
        <v>39.131</v>
      </c>
      <c r="CY153" s="26">
        <f>CX155</f>
        <v>39.131</v>
      </c>
      <c r="CZ153" s="26">
        <f t="shared" ref="CZ153:DC153" si="285">CY155</f>
        <v>39.131</v>
      </c>
      <c r="DA153" s="26">
        <f t="shared" si="285"/>
        <v>39.131</v>
      </c>
      <c r="DB153" s="26">
        <f t="shared" si="285"/>
        <v>39.131</v>
      </c>
      <c r="DC153" s="26">
        <f t="shared" si="285"/>
        <v>39.131</v>
      </c>
    </row>
    <row r="154" spans="2:107" s="15" customFormat="1" hidden="1" outlineLevel="1">
      <c r="B154" s="876" t="s">
        <v>1121</v>
      </c>
      <c r="K154" s="783"/>
      <c r="L154" s="26"/>
      <c r="M154" s="26"/>
      <c r="N154" s="26">
        <f t="shared" ref="N154:T154" si="286">N155-N153</f>
        <v>0</v>
      </c>
      <c r="O154" s="26">
        <f t="shared" si="286"/>
        <v>0</v>
      </c>
      <c r="P154" s="26">
        <f t="shared" si="286"/>
        <v>0</v>
      </c>
      <c r="Q154" s="26">
        <f t="shared" si="286"/>
        <v>39.131</v>
      </c>
      <c r="R154" s="26">
        <f t="shared" si="286"/>
        <v>0</v>
      </c>
      <c r="S154" s="26">
        <f t="shared" si="286"/>
        <v>0</v>
      </c>
      <c r="T154" s="26">
        <f t="shared" si="286"/>
        <v>0</v>
      </c>
      <c r="U154" s="26">
        <f>+SUM(CR154:CU154)</f>
        <v>0</v>
      </c>
      <c r="V154" s="26">
        <f>+SUM(CS154:CV154)</f>
        <v>0</v>
      </c>
      <c r="W154" s="26">
        <f>+SUM(CT154:CW154)</f>
        <v>0</v>
      </c>
      <c r="X154" s="1000">
        <v>0</v>
      </c>
      <c r="Y154" s="1000">
        <v>0</v>
      </c>
      <c r="Z154" s="1000">
        <v>0</v>
      </c>
      <c r="AA154" s="1000">
        <v>0</v>
      </c>
      <c r="AB154" s="1000">
        <v>0</v>
      </c>
      <c r="AC154" s="1000">
        <v>0</v>
      </c>
      <c r="AD154" s="1000">
        <v>0</v>
      </c>
      <c r="AF154" s="772"/>
      <c r="AG154" s="772"/>
      <c r="AH154" s="772"/>
      <c r="AI154" s="772"/>
      <c r="AJ154" s="772"/>
      <c r="AK154" s="772"/>
      <c r="AL154" s="772"/>
      <c r="AM154" s="772"/>
      <c r="AN154" s="772"/>
      <c r="AO154" s="772"/>
      <c r="AP154" s="772"/>
      <c r="AQ154" s="772"/>
      <c r="AR154" s="772"/>
      <c r="AS154" s="772"/>
      <c r="AT154" s="772"/>
      <c r="AU154" s="772"/>
      <c r="AV154" s="772"/>
      <c r="AW154" s="772"/>
      <c r="AX154" s="772"/>
      <c r="AY154" s="772"/>
      <c r="AZ154" s="772"/>
      <c r="BA154" s="772"/>
      <c r="BB154" s="772"/>
      <c r="BC154" s="772"/>
      <c r="BD154" s="772"/>
      <c r="BE154" s="772"/>
      <c r="BF154" s="772"/>
      <c r="BG154" s="772"/>
      <c r="BH154" s="772"/>
      <c r="BI154" s="772"/>
      <c r="BJ154" s="772"/>
      <c r="BK154" s="772"/>
      <c r="BL154" s="772"/>
      <c r="BM154" s="772"/>
      <c r="BN154" s="772"/>
      <c r="BO154" s="772"/>
      <c r="BP154" s="1000"/>
      <c r="BQ154" s="1000"/>
      <c r="BR154" s="1000"/>
      <c r="BS154" s="1000"/>
      <c r="BT154" s="1000"/>
      <c r="BU154" s="1000"/>
      <c r="BV154" s="1000"/>
      <c r="BW154" s="1000"/>
      <c r="BX154" s="1000"/>
      <c r="BY154" s="1000"/>
      <c r="BZ154" s="1000"/>
      <c r="CA154" s="1000"/>
      <c r="CB154" s="1000"/>
      <c r="CC154" s="1000"/>
      <c r="CD154" s="1000"/>
      <c r="CE154" s="772"/>
      <c r="CF154" s="1000">
        <f t="shared" ref="CF154:CU154" si="287">CE154</f>
        <v>0</v>
      </c>
      <c r="CG154" s="1000">
        <f t="shared" si="287"/>
        <v>0</v>
      </c>
      <c r="CH154" s="1000">
        <f t="shared" si="287"/>
        <v>0</v>
      </c>
      <c r="CI154" s="1000">
        <f t="shared" si="287"/>
        <v>0</v>
      </c>
      <c r="CJ154" s="1000">
        <f t="shared" si="287"/>
        <v>0</v>
      </c>
      <c r="CK154" s="1000">
        <f t="shared" si="287"/>
        <v>0</v>
      </c>
      <c r="CL154" s="1000">
        <f t="shared" si="287"/>
        <v>0</v>
      </c>
      <c r="CM154" s="1000">
        <f t="shared" si="287"/>
        <v>0</v>
      </c>
      <c r="CN154" s="1000">
        <f t="shared" si="287"/>
        <v>0</v>
      </c>
      <c r="CO154" s="1000">
        <f t="shared" si="287"/>
        <v>0</v>
      </c>
      <c r="CP154" s="1000">
        <f t="shared" si="287"/>
        <v>0</v>
      </c>
      <c r="CQ154" s="1000">
        <f t="shared" si="287"/>
        <v>0</v>
      </c>
      <c r="CR154" s="1000">
        <f t="shared" si="287"/>
        <v>0</v>
      </c>
      <c r="CS154" s="1000">
        <f t="shared" si="287"/>
        <v>0</v>
      </c>
      <c r="CT154" s="1000">
        <f t="shared" si="287"/>
        <v>0</v>
      </c>
      <c r="CU154" s="1000">
        <f t="shared" si="287"/>
        <v>0</v>
      </c>
      <c r="CV154" s="1000">
        <f>CU154</f>
        <v>0</v>
      </c>
      <c r="CW154" s="1000">
        <f>CV154</f>
        <v>0</v>
      </c>
      <c r="CX154" s="1000">
        <f>CW154</f>
        <v>0</v>
      </c>
      <c r="CY154" s="1000">
        <f>CX154</f>
        <v>0</v>
      </c>
      <c r="CZ154" s="1000">
        <f t="shared" ref="CZ154:DC154" si="288">CY154</f>
        <v>0</v>
      </c>
      <c r="DA154" s="1000">
        <f t="shared" si="288"/>
        <v>0</v>
      </c>
      <c r="DB154" s="1000">
        <f t="shared" si="288"/>
        <v>0</v>
      </c>
      <c r="DC154" s="1000">
        <f t="shared" si="288"/>
        <v>0</v>
      </c>
    </row>
    <row r="155" spans="2:107" s="15" customFormat="1" hidden="1" outlineLevel="1">
      <c r="B155" s="876" t="s">
        <v>1044</v>
      </c>
      <c r="K155" s="783"/>
      <c r="L155" s="26"/>
      <c r="M155" s="54">
        <f>BO155</f>
        <v>0</v>
      </c>
      <c r="N155" s="26">
        <f>BS155</f>
        <v>0</v>
      </c>
      <c r="O155" s="26">
        <f>BW155</f>
        <v>0</v>
      </c>
      <c r="P155" s="26">
        <f>CA155</f>
        <v>0</v>
      </c>
      <c r="Q155" s="26">
        <f>CE155</f>
        <v>39.131</v>
      </c>
      <c r="R155" s="26">
        <f>CI155</f>
        <v>39.131</v>
      </c>
      <c r="S155" s="26">
        <f>CM155</f>
        <v>39.131</v>
      </c>
      <c r="T155" s="26">
        <f>CN155</f>
        <v>39.131</v>
      </c>
      <c r="U155" s="26">
        <f t="shared" ref="U155:Z155" si="289">SUM(U153:U154)</f>
        <v>39.131</v>
      </c>
      <c r="V155" s="26">
        <f>SUM(V153:V154)</f>
        <v>39.131</v>
      </c>
      <c r="W155" s="26">
        <f>SUM(W153:W154)</f>
        <v>39.131</v>
      </c>
      <c r="X155" s="54">
        <f t="shared" si="289"/>
        <v>39.131</v>
      </c>
      <c r="Y155" s="54">
        <f t="shared" si="289"/>
        <v>39.131</v>
      </c>
      <c r="Z155" s="54">
        <f t="shared" si="289"/>
        <v>39.131</v>
      </c>
      <c r="AA155" s="54">
        <f t="shared" ref="AA155:AD155" si="290">SUM(AA153:AA154)</f>
        <v>39.131</v>
      </c>
      <c r="AB155" s="54">
        <f t="shared" si="290"/>
        <v>39.131</v>
      </c>
      <c r="AC155" s="54">
        <f t="shared" si="290"/>
        <v>39.131</v>
      </c>
      <c r="AD155" s="54">
        <f t="shared" si="290"/>
        <v>39.131</v>
      </c>
      <c r="AF155" s="54"/>
      <c r="AG155" s="54"/>
      <c r="AH155" s="54"/>
      <c r="AI155" s="54"/>
      <c r="AJ155" s="54"/>
      <c r="AK155" s="54"/>
      <c r="AL155" s="54"/>
      <c r="AM155" s="54"/>
      <c r="AN155" s="54"/>
      <c r="AO155" s="54"/>
      <c r="AP155" s="54"/>
      <c r="AQ155" s="54"/>
      <c r="AR155" s="54"/>
      <c r="AS155" s="54"/>
      <c r="AT155" s="54"/>
      <c r="AU155" s="54"/>
      <c r="AV155" s="54"/>
      <c r="AW155" s="54"/>
      <c r="AX155" s="54"/>
      <c r="AY155" s="54"/>
      <c r="AZ155" s="54"/>
      <c r="BA155" s="54"/>
      <c r="BB155" s="54"/>
      <c r="BC155" s="54"/>
      <c r="BD155" s="54"/>
      <c r="BE155" s="54"/>
      <c r="BF155" s="54"/>
      <c r="BG155" s="54"/>
      <c r="BH155" s="54"/>
      <c r="BI155" s="54"/>
      <c r="BJ155" s="54"/>
      <c r="BK155" s="54"/>
      <c r="BL155" s="54"/>
      <c r="BM155" s="54"/>
      <c r="BN155" s="54"/>
      <c r="BO155" s="1000"/>
      <c r="BP155" s="54"/>
      <c r="BQ155" s="54"/>
      <c r="BR155" s="54"/>
      <c r="BS155" s="54"/>
      <c r="BT155" s="54"/>
      <c r="BU155" s="54"/>
      <c r="BV155" s="54"/>
      <c r="BW155" s="54"/>
      <c r="BX155" s="54"/>
      <c r="BY155" s="54"/>
      <c r="BZ155" s="54"/>
      <c r="CA155" s="54"/>
      <c r="CB155" s="54"/>
      <c r="CC155" s="54"/>
      <c r="CD155" s="54"/>
      <c r="CE155" s="783">
        <v>39.131</v>
      </c>
      <c r="CF155" s="54">
        <f t="shared" ref="CF155:CT155" si="291">SUM(CF153:CF154)</f>
        <v>39.131</v>
      </c>
      <c r="CG155" s="54">
        <f t="shared" si="291"/>
        <v>39.131</v>
      </c>
      <c r="CH155" s="54">
        <f t="shared" si="291"/>
        <v>39.131</v>
      </c>
      <c r="CI155" s="54">
        <f t="shared" si="291"/>
        <v>39.131</v>
      </c>
      <c r="CJ155" s="54">
        <f t="shared" si="291"/>
        <v>39.131</v>
      </c>
      <c r="CK155" s="54">
        <f t="shared" si="291"/>
        <v>39.131</v>
      </c>
      <c r="CL155" s="54">
        <f t="shared" si="291"/>
        <v>39.131</v>
      </c>
      <c r="CM155" s="54">
        <f t="shared" si="291"/>
        <v>39.131</v>
      </c>
      <c r="CN155" s="54">
        <f t="shared" si="291"/>
        <v>39.131</v>
      </c>
      <c r="CO155" s="54">
        <f t="shared" si="291"/>
        <v>39.131</v>
      </c>
      <c r="CP155" s="54">
        <f t="shared" si="291"/>
        <v>39.131</v>
      </c>
      <c r="CQ155" s="54">
        <f>SUM(CQ153:CQ154)</f>
        <v>39.131</v>
      </c>
      <c r="CR155" s="54">
        <f t="shared" si="291"/>
        <v>39.131</v>
      </c>
      <c r="CS155" s="54">
        <f t="shared" si="291"/>
        <v>39.131</v>
      </c>
      <c r="CT155" s="54">
        <f t="shared" si="291"/>
        <v>39.131</v>
      </c>
      <c r="CU155" s="54">
        <f>SUM(CU153:CU154)</f>
        <v>39.131</v>
      </c>
      <c r="CV155" s="54">
        <f>SUM(CV153:CV154)</f>
        <v>39.131</v>
      </c>
      <c r="CW155" s="54">
        <f>SUM(CW153:CW154)</f>
        <v>39.131</v>
      </c>
      <c r="CX155" s="54">
        <f>SUM(CX153:CX154)</f>
        <v>39.131</v>
      </c>
      <c r="CY155" s="54">
        <f>SUM(CY153:CY154)</f>
        <v>39.131</v>
      </c>
      <c r="CZ155" s="54">
        <f t="shared" ref="CZ155:DC155" si="292">SUM(CZ153:CZ154)</f>
        <v>39.131</v>
      </c>
      <c r="DA155" s="54">
        <f t="shared" si="292"/>
        <v>39.131</v>
      </c>
      <c r="DB155" s="54">
        <f t="shared" si="292"/>
        <v>39.131</v>
      </c>
      <c r="DC155" s="54">
        <f t="shared" si="292"/>
        <v>39.131</v>
      </c>
    </row>
    <row r="156" spans="2:107" s="15" customFormat="1" hidden="1" outlineLevel="1">
      <c r="B156" s="876"/>
      <c r="K156" s="783"/>
      <c r="L156" s="26"/>
      <c r="M156" s="26"/>
      <c r="N156" s="1004"/>
      <c r="O156" s="1004"/>
      <c r="P156" s="1004"/>
      <c r="Q156" s="1004"/>
      <c r="R156" s="1004"/>
      <c r="S156" s="1004"/>
      <c r="T156" s="1004"/>
      <c r="U156" s="1004"/>
      <c r="V156" s="1004"/>
      <c r="W156" s="1004"/>
      <c r="X156" s="1004"/>
      <c r="Y156" s="1004"/>
      <c r="Z156" s="1004"/>
      <c r="AA156" s="1004"/>
      <c r="AB156" s="1004"/>
      <c r="AC156" s="1004"/>
      <c r="AD156" s="1004"/>
      <c r="AF156" s="1005"/>
      <c r="AG156" s="1005"/>
      <c r="AH156" s="1005"/>
      <c r="AI156" s="1005"/>
      <c r="AJ156" s="1005"/>
      <c r="AK156" s="1005"/>
      <c r="AL156" s="1005"/>
      <c r="AM156" s="1005"/>
      <c r="AN156" s="1005"/>
      <c r="AO156" s="1005"/>
      <c r="AP156" s="1005"/>
      <c r="AQ156" s="1005"/>
      <c r="AR156" s="1005"/>
      <c r="AS156" s="1005"/>
      <c r="AT156" s="1005"/>
      <c r="AU156" s="1005"/>
      <c r="AV156" s="1005"/>
      <c r="AW156" s="1005"/>
      <c r="AX156" s="1005"/>
      <c r="AY156" s="1005"/>
      <c r="AZ156" s="1005"/>
      <c r="BA156" s="1005"/>
      <c r="BB156" s="1005"/>
      <c r="BC156" s="1005"/>
      <c r="BD156" s="1005"/>
      <c r="BE156" s="1005"/>
      <c r="BF156" s="1005"/>
      <c r="BG156" s="1005"/>
      <c r="BH156" s="1005"/>
      <c r="BI156" s="1005"/>
      <c r="BJ156" s="1005"/>
      <c r="BK156" s="1005"/>
      <c r="BL156" s="1005"/>
      <c r="BM156" s="1005"/>
      <c r="BN156" s="1005"/>
      <c r="BO156" s="1005"/>
      <c r="BP156" s="1005"/>
      <c r="BQ156" s="1005"/>
      <c r="BR156" s="1005"/>
      <c r="BS156" s="789"/>
      <c r="BT156" s="789"/>
      <c r="BU156" s="789"/>
      <c r="BV156" s="789"/>
      <c r="BW156" s="789"/>
      <c r="BX156" s="789"/>
      <c r="BY156" s="789"/>
      <c r="BZ156" s="789"/>
      <c r="CA156" s="789"/>
      <c r="CB156" s="789"/>
      <c r="CC156" s="789"/>
      <c r="CD156" s="789"/>
      <c r="CE156" s="789"/>
      <c r="CF156" s="789"/>
      <c r="CG156" s="789"/>
      <c r="CH156" s="789"/>
      <c r="CI156" s="789"/>
      <c r="CJ156" s="789"/>
      <c r="CK156" s="789"/>
      <c r="CL156" s="789"/>
      <c r="CM156" s="789"/>
      <c r="CN156" s="789"/>
      <c r="CO156" s="789"/>
      <c r="CP156" s="789"/>
      <c r="CQ156" s="789"/>
      <c r="CR156" s="789"/>
      <c r="CS156" s="789"/>
      <c r="CT156" s="789"/>
      <c r="CU156" s="789"/>
      <c r="CV156" s="789"/>
      <c r="CW156" s="789"/>
      <c r="CX156" s="789"/>
      <c r="CY156" s="789"/>
      <c r="CZ156" s="789"/>
      <c r="DA156" s="789"/>
      <c r="DB156" s="789"/>
      <c r="DC156" s="789"/>
    </row>
    <row r="157" spans="2:107" s="15" customFormat="1" hidden="1" outlineLevel="1">
      <c r="B157" s="15" t="s">
        <v>1497</v>
      </c>
    </row>
    <row r="158" spans="2:107" s="15" customFormat="1" hidden="1" outlineLevel="1">
      <c r="B158" s="876" t="s">
        <v>1118</v>
      </c>
      <c r="K158" s="783"/>
      <c r="L158" s="26"/>
      <c r="M158" s="26"/>
      <c r="N158" s="26">
        <f t="shared" ref="N158:Z158" si="293">M160</f>
        <v>37.700000000000003</v>
      </c>
      <c r="O158" s="26">
        <f t="shared" si="293"/>
        <v>37.363000000000014</v>
      </c>
      <c r="P158" s="26">
        <f t="shared" si="293"/>
        <v>36.914000000000001</v>
      </c>
      <c r="Q158" s="26">
        <f t="shared" si="293"/>
        <v>36.464999999999989</v>
      </c>
      <c r="R158" s="26">
        <f t="shared" si="293"/>
        <v>35.64</v>
      </c>
      <c r="S158" s="26">
        <f t="shared" si="293"/>
        <v>33.687000000000083</v>
      </c>
      <c r="T158" s="26">
        <f t="shared" si="293"/>
        <v>31.734000000000165</v>
      </c>
      <c r="U158" s="26">
        <f t="shared" si="293"/>
        <v>31.245750000000186</v>
      </c>
      <c r="V158" s="26">
        <f t="shared" si="293"/>
        <v>29.292750000000268</v>
      </c>
      <c r="W158" s="26">
        <f t="shared" si="293"/>
        <v>27.33975000000035</v>
      </c>
      <c r="X158" s="26">
        <f t="shared" si="293"/>
        <v>25.386750000000433</v>
      </c>
      <c r="Y158" s="26">
        <f t="shared" si="293"/>
        <v>23.433750000000515</v>
      </c>
      <c r="Z158" s="26">
        <f t="shared" si="293"/>
        <v>21.480750000000597</v>
      </c>
      <c r="AA158" s="26">
        <f t="shared" ref="AA158" si="294">Z160</f>
        <v>19.52775000000068</v>
      </c>
      <c r="AB158" s="26">
        <f t="shared" ref="AB158" si="295">AA160</f>
        <v>17.574750000000762</v>
      </c>
      <c r="AC158" s="26">
        <f t="shared" ref="AC158" si="296">AB160</f>
        <v>15.621750000000844</v>
      </c>
      <c r="AD158" s="26">
        <f t="shared" ref="AD158" si="297">AC160</f>
        <v>13.668750000000927</v>
      </c>
      <c r="AF158" s="26"/>
      <c r="AG158" s="26"/>
      <c r="AH158" s="26"/>
      <c r="AI158" s="26"/>
      <c r="AJ158" s="26"/>
      <c r="AK158" s="26"/>
      <c r="AL158" s="26"/>
      <c r="AM158" s="26"/>
      <c r="AN158" s="26"/>
      <c r="AO158" s="26"/>
      <c r="AP158" s="26"/>
      <c r="AQ158" s="26"/>
      <c r="AR158" s="26"/>
      <c r="AS158" s="26"/>
      <c r="AT158" s="26"/>
      <c r="AU158" s="26"/>
      <c r="AV158" s="26"/>
      <c r="AW158" s="26"/>
      <c r="AX158" s="26"/>
      <c r="AY158" s="26"/>
      <c r="AZ158" s="26"/>
      <c r="BA158" s="26"/>
      <c r="BB158" s="26"/>
      <c r="BC158" s="26"/>
      <c r="BD158" s="26"/>
      <c r="BE158" s="26"/>
      <c r="BF158" s="26"/>
      <c r="BG158" s="26"/>
      <c r="BH158" s="26"/>
      <c r="BI158" s="26"/>
      <c r="BJ158" s="26"/>
      <c r="BK158" s="26"/>
      <c r="BL158" s="26"/>
      <c r="BM158" s="26"/>
      <c r="BN158" s="26"/>
      <c r="BO158" s="26"/>
      <c r="BP158" s="26">
        <f t="shared" ref="BP158:CU158" si="298">BO160</f>
        <v>37.700000000000003</v>
      </c>
      <c r="BQ158" s="26">
        <f t="shared" si="298"/>
        <v>37.615750000000006</v>
      </c>
      <c r="BR158" s="26">
        <f t="shared" si="298"/>
        <v>37.531500000000008</v>
      </c>
      <c r="BS158" s="26">
        <f t="shared" si="298"/>
        <v>37.447250000000011</v>
      </c>
      <c r="BT158" s="26">
        <f t="shared" si="298"/>
        <v>37.363000000000014</v>
      </c>
      <c r="BU158" s="26">
        <f t="shared" si="298"/>
        <v>37.250750000000011</v>
      </c>
      <c r="BV158" s="26">
        <f t="shared" si="298"/>
        <v>37.138500000000008</v>
      </c>
      <c r="BW158" s="26">
        <f t="shared" si="298"/>
        <v>37.026250000000005</v>
      </c>
      <c r="BX158" s="26">
        <f t="shared" si="298"/>
        <v>36.914000000000001</v>
      </c>
      <c r="BY158" s="26">
        <f t="shared" si="298"/>
        <v>36.801749999999998</v>
      </c>
      <c r="BZ158" s="26">
        <f t="shared" si="298"/>
        <v>36.689499999999995</v>
      </c>
      <c r="CA158" s="26">
        <f t="shared" si="298"/>
        <v>36.577249999999992</v>
      </c>
      <c r="CB158" s="26">
        <f t="shared" si="298"/>
        <v>36.464999999999989</v>
      </c>
      <c r="CC158" s="26">
        <f t="shared" si="298"/>
        <v>36.352749999999986</v>
      </c>
      <c r="CD158" s="26">
        <f t="shared" si="298"/>
        <v>36.240499999999983</v>
      </c>
      <c r="CE158" s="26">
        <f t="shared" si="298"/>
        <v>36.12824999999998</v>
      </c>
      <c r="CF158" s="26">
        <f t="shared" si="298"/>
        <v>35.64</v>
      </c>
      <c r="CG158" s="26">
        <f t="shared" si="298"/>
        <v>35.151750000000021</v>
      </c>
      <c r="CH158" s="26">
        <f t="shared" si="298"/>
        <v>34.663500000000042</v>
      </c>
      <c r="CI158" s="26">
        <f t="shared" si="298"/>
        <v>34.175250000000062</v>
      </c>
      <c r="CJ158" s="26">
        <f t="shared" si="298"/>
        <v>33.687000000000083</v>
      </c>
      <c r="CK158" s="26">
        <f t="shared" si="298"/>
        <v>33.198750000000103</v>
      </c>
      <c r="CL158" s="26">
        <f t="shared" si="298"/>
        <v>32.710500000000124</v>
      </c>
      <c r="CM158" s="26">
        <f t="shared" si="298"/>
        <v>32.222250000000145</v>
      </c>
      <c r="CN158" s="26">
        <f t="shared" si="298"/>
        <v>31.734000000000165</v>
      </c>
      <c r="CO158" s="26">
        <f t="shared" si="298"/>
        <v>31.245750000000186</v>
      </c>
      <c r="CP158" s="26">
        <f t="shared" si="298"/>
        <v>30.757500000000206</v>
      </c>
      <c r="CQ158" s="26">
        <f t="shared" si="298"/>
        <v>30.269250000000227</v>
      </c>
      <c r="CR158" s="26">
        <f t="shared" si="298"/>
        <v>29.781000000000247</v>
      </c>
      <c r="CS158" s="26">
        <f t="shared" si="298"/>
        <v>29.292750000000268</v>
      </c>
      <c r="CT158" s="26">
        <f t="shared" si="298"/>
        <v>28.804500000000289</v>
      </c>
      <c r="CU158" s="26">
        <f t="shared" si="298"/>
        <v>28.316250000000309</v>
      </c>
      <c r="CV158" s="26">
        <f>CU160</f>
        <v>27.82800000000033</v>
      </c>
      <c r="CW158" s="26">
        <f>CV160</f>
        <v>27.33975000000035</v>
      </c>
      <c r="CX158" s="26">
        <f>CW160</f>
        <v>26.851500000000371</v>
      </c>
      <c r="CY158" s="26">
        <f>CX160</f>
        <v>26.363250000000392</v>
      </c>
      <c r="CZ158" s="26">
        <f t="shared" ref="CZ158:DC158" si="299">CY160</f>
        <v>25.875000000000412</v>
      </c>
      <c r="DA158" s="26">
        <f t="shared" si="299"/>
        <v>25.386750000000433</v>
      </c>
      <c r="DB158" s="26">
        <f t="shared" si="299"/>
        <v>24.898500000000453</v>
      </c>
      <c r="DC158" s="26">
        <f t="shared" si="299"/>
        <v>24.410250000000474</v>
      </c>
    </row>
    <row r="159" spans="2:107" s="15" customFormat="1" hidden="1" outlineLevel="1">
      <c r="B159" s="876" t="s">
        <v>1121</v>
      </c>
      <c r="K159" s="26"/>
      <c r="L159" s="26"/>
      <c r="M159" s="26"/>
      <c r="N159" s="26">
        <f t="shared" ref="N159:T159" si="300">N160-N158</f>
        <v>-0.33699999999998909</v>
      </c>
      <c r="O159" s="26">
        <f t="shared" si="300"/>
        <v>-0.44900000000001228</v>
      </c>
      <c r="P159" s="26">
        <f t="shared" si="300"/>
        <v>-0.44900000000001228</v>
      </c>
      <c r="Q159" s="26">
        <f t="shared" si="300"/>
        <v>-0.82499999999998863</v>
      </c>
      <c r="R159" s="26">
        <f t="shared" si="300"/>
        <v>-1.9529999999999177</v>
      </c>
      <c r="S159" s="26">
        <f t="shared" si="300"/>
        <v>-1.9529999999999177</v>
      </c>
      <c r="T159" s="26">
        <f t="shared" si="300"/>
        <v>-0.48824999999997942</v>
      </c>
      <c r="U159" s="26">
        <f>+SUM(CR159:CU159)</f>
        <v>-1.9529999999999177</v>
      </c>
      <c r="V159" s="26">
        <f>+SUM(CS159:CV159)</f>
        <v>-1.9529999999999177</v>
      </c>
      <c r="W159" s="26">
        <f>+SUM(CT159:CW159)</f>
        <v>-1.9529999999999177</v>
      </c>
      <c r="X159" s="1000">
        <f>W159</f>
        <v>-1.9529999999999177</v>
      </c>
      <c r="Y159" s="1000">
        <f>X159</f>
        <v>-1.9529999999999177</v>
      </c>
      <c r="Z159" s="1000">
        <f>Y159</f>
        <v>-1.9529999999999177</v>
      </c>
      <c r="AA159" s="1000">
        <f t="shared" ref="AA159:AD159" si="301">Z159</f>
        <v>-1.9529999999999177</v>
      </c>
      <c r="AB159" s="1000">
        <f t="shared" si="301"/>
        <v>-1.9529999999999177</v>
      </c>
      <c r="AC159" s="1000">
        <f t="shared" si="301"/>
        <v>-1.9529999999999177</v>
      </c>
      <c r="AD159" s="1000">
        <f t="shared" si="301"/>
        <v>-1.9529999999999177</v>
      </c>
      <c r="AF159" s="772"/>
      <c r="AG159" s="772"/>
      <c r="AH159" s="772"/>
      <c r="AI159" s="772"/>
      <c r="AJ159" s="772"/>
      <c r="AK159" s="772"/>
      <c r="AL159" s="772"/>
      <c r="AM159" s="772"/>
      <c r="AN159" s="772"/>
      <c r="AO159" s="772"/>
      <c r="AP159" s="772"/>
      <c r="AQ159" s="772"/>
      <c r="AR159" s="772"/>
      <c r="AS159" s="772"/>
      <c r="AT159" s="772"/>
      <c r="AU159" s="772"/>
      <c r="AV159" s="772"/>
      <c r="AW159" s="772"/>
      <c r="AX159" s="772"/>
      <c r="AY159" s="772"/>
      <c r="AZ159" s="772"/>
      <c r="BA159" s="772"/>
      <c r="BB159" s="772"/>
      <c r="BC159" s="772"/>
      <c r="BD159" s="772"/>
      <c r="BE159" s="772"/>
      <c r="BF159" s="772"/>
      <c r="BG159" s="772"/>
      <c r="BH159" s="772"/>
      <c r="BI159" s="772"/>
      <c r="BJ159" s="772"/>
      <c r="BK159" s="772"/>
      <c r="BL159" s="772"/>
      <c r="BM159" s="772"/>
      <c r="BN159" s="772"/>
      <c r="BO159" s="772"/>
      <c r="BP159" s="1000">
        <f>-0.337/4</f>
        <v>-8.4250000000000005E-2</v>
      </c>
      <c r="BQ159" s="1000">
        <f>-0.337/4</f>
        <v>-8.4250000000000005E-2</v>
      </c>
      <c r="BR159" s="1000">
        <f>-0.337/4</f>
        <v>-8.4250000000000005E-2</v>
      </c>
      <c r="BS159" s="1000">
        <f>-0.337/4</f>
        <v>-8.4250000000000005E-2</v>
      </c>
      <c r="BT159" s="1000">
        <v>-0.11225000000000307</v>
      </c>
      <c r="BU159" s="1000">
        <v>-0.11225000000000307</v>
      </c>
      <c r="BV159" s="1000">
        <v>-0.11225000000000307</v>
      </c>
      <c r="BW159" s="1000">
        <v>-0.11225000000000307</v>
      </c>
      <c r="BX159" s="26">
        <f t="shared" ref="BX159:CD159" si="302">BW159</f>
        <v>-0.11225000000000307</v>
      </c>
      <c r="BY159" s="26">
        <f t="shared" si="302"/>
        <v>-0.11225000000000307</v>
      </c>
      <c r="BZ159" s="26">
        <f t="shared" si="302"/>
        <v>-0.11225000000000307</v>
      </c>
      <c r="CA159" s="26">
        <f t="shared" si="302"/>
        <v>-0.11225000000000307</v>
      </c>
      <c r="CB159" s="26">
        <f t="shared" si="302"/>
        <v>-0.11225000000000307</v>
      </c>
      <c r="CC159" s="26">
        <f t="shared" si="302"/>
        <v>-0.11225000000000307</v>
      </c>
      <c r="CD159" s="26">
        <f t="shared" si="302"/>
        <v>-0.11225000000000307</v>
      </c>
      <c r="CE159" s="783">
        <f>35.64-CD160</f>
        <v>-0.48824999999997942</v>
      </c>
      <c r="CF159" s="26">
        <f t="shared" ref="CF159:CU159" si="303">CE159</f>
        <v>-0.48824999999997942</v>
      </c>
      <c r="CG159" s="26">
        <f t="shared" si="303"/>
        <v>-0.48824999999997942</v>
      </c>
      <c r="CH159" s="26">
        <f t="shared" si="303"/>
        <v>-0.48824999999997942</v>
      </c>
      <c r="CI159" s="26">
        <f t="shared" si="303"/>
        <v>-0.48824999999997942</v>
      </c>
      <c r="CJ159" s="26">
        <f t="shared" si="303"/>
        <v>-0.48824999999997942</v>
      </c>
      <c r="CK159" s="26">
        <f t="shared" si="303"/>
        <v>-0.48824999999997942</v>
      </c>
      <c r="CL159" s="26">
        <f t="shared" si="303"/>
        <v>-0.48824999999997942</v>
      </c>
      <c r="CM159" s="26">
        <f t="shared" si="303"/>
        <v>-0.48824999999997942</v>
      </c>
      <c r="CN159" s="26">
        <f t="shared" si="303"/>
        <v>-0.48824999999997942</v>
      </c>
      <c r="CO159" s="26">
        <f t="shared" si="303"/>
        <v>-0.48824999999997942</v>
      </c>
      <c r="CP159" s="26">
        <f t="shared" si="303"/>
        <v>-0.48824999999997942</v>
      </c>
      <c r="CQ159" s="26">
        <f t="shared" si="303"/>
        <v>-0.48824999999997942</v>
      </c>
      <c r="CR159" s="783">
        <f t="shared" si="303"/>
        <v>-0.48824999999997942</v>
      </c>
      <c r="CS159" s="783">
        <f t="shared" si="303"/>
        <v>-0.48824999999997942</v>
      </c>
      <c r="CT159" s="783">
        <f t="shared" si="303"/>
        <v>-0.48824999999997942</v>
      </c>
      <c r="CU159" s="783">
        <f t="shared" si="303"/>
        <v>-0.48824999999997942</v>
      </c>
      <c r="CV159" s="783">
        <f>CU159</f>
        <v>-0.48824999999997942</v>
      </c>
      <c r="CW159" s="783">
        <f>CV159</f>
        <v>-0.48824999999997942</v>
      </c>
      <c r="CX159" s="783">
        <f>CW159</f>
        <v>-0.48824999999997942</v>
      </c>
      <c r="CY159" s="783">
        <f>CX159</f>
        <v>-0.48824999999997942</v>
      </c>
      <c r="CZ159" s="783">
        <f t="shared" ref="CZ159:DC159" si="304">CY159</f>
        <v>-0.48824999999997942</v>
      </c>
      <c r="DA159" s="783">
        <f t="shared" si="304"/>
        <v>-0.48824999999997942</v>
      </c>
      <c r="DB159" s="783">
        <f t="shared" si="304"/>
        <v>-0.48824999999997942</v>
      </c>
      <c r="DC159" s="783">
        <f t="shared" si="304"/>
        <v>-0.48824999999997942</v>
      </c>
    </row>
    <row r="160" spans="2:107" s="15" customFormat="1" hidden="1" outlineLevel="1">
      <c r="B160" s="876" t="s">
        <v>1044</v>
      </c>
      <c r="K160" s="54"/>
      <c r="L160" s="26"/>
      <c r="M160" s="54">
        <f>BO160</f>
        <v>37.700000000000003</v>
      </c>
      <c r="N160" s="26">
        <f>BS160</f>
        <v>37.363000000000014</v>
      </c>
      <c r="O160" s="26">
        <f>BW160</f>
        <v>36.914000000000001</v>
      </c>
      <c r="P160" s="26">
        <f>CA160</f>
        <v>36.464999999999989</v>
      </c>
      <c r="Q160" s="26">
        <f>CE160</f>
        <v>35.64</v>
      </c>
      <c r="R160" s="26">
        <f>CI160</f>
        <v>33.687000000000083</v>
      </c>
      <c r="S160" s="26">
        <f>CM160</f>
        <v>31.734000000000165</v>
      </c>
      <c r="T160" s="26">
        <f>CN160</f>
        <v>31.245750000000186</v>
      </c>
      <c r="U160" s="26">
        <f t="shared" ref="U160:Z160" si="305">SUM(U158:U159)</f>
        <v>29.292750000000268</v>
      </c>
      <c r="V160" s="26">
        <f>SUM(V158:V159)</f>
        <v>27.33975000000035</v>
      </c>
      <c r="W160" s="26">
        <f>SUM(W158:W159)</f>
        <v>25.386750000000433</v>
      </c>
      <c r="X160" s="26">
        <f t="shared" si="305"/>
        <v>23.433750000000515</v>
      </c>
      <c r="Y160" s="26">
        <f t="shared" si="305"/>
        <v>21.480750000000597</v>
      </c>
      <c r="Z160" s="26">
        <f t="shared" si="305"/>
        <v>19.52775000000068</v>
      </c>
      <c r="AA160" s="26">
        <f t="shared" ref="AA160:AD160" si="306">SUM(AA158:AA159)</f>
        <v>17.574750000000762</v>
      </c>
      <c r="AB160" s="26">
        <f t="shared" si="306"/>
        <v>15.621750000000844</v>
      </c>
      <c r="AC160" s="26">
        <f t="shared" si="306"/>
        <v>13.668750000000927</v>
      </c>
      <c r="AD160" s="26">
        <f t="shared" si="306"/>
        <v>11.715750000001009</v>
      </c>
      <c r="AF160" s="54"/>
      <c r="AG160" s="54"/>
      <c r="AH160" s="54"/>
      <c r="AI160" s="54"/>
      <c r="AJ160" s="54"/>
      <c r="AK160" s="54"/>
      <c r="AL160" s="54"/>
      <c r="AM160" s="54"/>
      <c r="AN160" s="54"/>
      <c r="AO160" s="54"/>
      <c r="AP160" s="54"/>
      <c r="AQ160" s="54"/>
      <c r="AR160" s="54"/>
      <c r="AS160" s="54"/>
      <c r="AT160" s="54"/>
      <c r="AU160" s="54"/>
      <c r="AV160" s="54"/>
      <c r="AW160" s="54"/>
      <c r="AX160" s="54"/>
      <c r="AY160" s="54"/>
      <c r="AZ160" s="54"/>
      <c r="BA160" s="54"/>
      <c r="BB160" s="54"/>
      <c r="BC160" s="54"/>
      <c r="BD160" s="54"/>
      <c r="BE160" s="54"/>
      <c r="BF160" s="54"/>
      <c r="BG160" s="54"/>
      <c r="BH160" s="54"/>
      <c r="BI160" s="54"/>
      <c r="BJ160" s="54"/>
      <c r="BK160" s="54"/>
      <c r="BL160" s="54"/>
      <c r="BM160" s="54"/>
      <c r="BN160" s="54"/>
      <c r="BO160" s="1000">
        <v>37.700000000000003</v>
      </c>
      <c r="BP160" s="54">
        <f t="shared" ref="BP160:CT160" si="307">SUM(BP158:BP159)</f>
        <v>37.615750000000006</v>
      </c>
      <c r="BQ160" s="54">
        <f t="shared" si="307"/>
        <v>37.531500000000008</v>
      </c>
      <c r="BR160" s="54">
        <f t="shared" si="307"/>
        <v>37.447250000000011</v>
      </c>
      <c r="BS160" s="54">
        <f t="shared" si="307"/>
        <v>37.363000000000014</v>
      </c>
      <c r="BT160" s="54">
        <f t="shared" si="307"/>
        <v>37.250750000000011</v>
      </c>
      <c r="BU160" s="54">
        <f t="shared" si="307"/>
        <v>37.138500000000008</v>
      </c>
      <c r="BV160" s="54">
        <f t="shared" si="307"/>
        <v>37.026250000000005</v>
      </c>
      <c r="BW160" s="54">
        <f t="shared" si="307"/>
        <v>36.914000000000001</v>
      </c>
      <c r="BX160" s="54">
        <f t="shared" si="307"/>
        <v>36.801749999999998</v>
      </c>
      <c r="BY160" s="54">
        <f t="shared" si="307"/>
        <v>36.689499999999995</v>
      </c>
      <c r="BZ160" s="54">
        <f t="shared" si="307"/>
        <v>36.577249999999992</v>
      </c>
      <c r="CA160" s="54">
        <f t="shared" si="307"/>
        <v>36.464999999999989</v>
      </c>
      <c r="CB160" s="54">
        <f t="shared" si="307"/>
        <v>36.352749999999986</v>
      </c>
      <c r="CC160" s="54">
        <f t="shared" si="307"/>
        <v>36.240499999999983</v>
      </c>
      <c r="CD160" s="54">
        <f t="shared" si="307"/>
        <v>36.12824999999998</v>
      </c>
      <c r="CE160" s="54">
        <f t="shared" si="307"/>
        <v>35.64</v>
      </c>
      <c r="CF160" s="54">
        <f t="shared" si="307"/>
        <v>35.151750000000021</v>
      </c>
      <c r="CG160" s="54">
        <f t="shared" si="307"/>
        <v>34.663500000000042</v>
      </c>
      <c r="CH160" s="54">
        <f t="shared" si="307"/>
        <v>34.175250000000062</v>
      </c>
      <c r="CI160" s="54">
        <f t="shared" si="307"/>
        <v>33.687000000000083</v>
      </c>
      <c r="CJ160" s="54">
        <f t="shared" si="307"/>
        <v>33.198750000000103</v>
      </c>
      <c r="CK160" s="54">
        <f t="shared" si="307"/>
        <v>32.710500000000124</v>
      </c>
      <c r="CL160" s="54">
        <f t="shared" si="307"/>
        <v>32.222250000000145</v>
      </c>
      <c r="CM160" s="54">
        <f t="shared" si="307"/>
        <v>31.734000000000165</v>
      </c>
      <c r="CN160" s="54">
        <f t="shared" si="307"/>
        <v>31.245750000000186</v>
      </c>
      <c r="CO160" s="54">
        <f t="shared" si="307"/>
        <v>30.757500000000206</v>
      </c>
      <c r="CP160" s="54">
        <f t="shared" si="307"/>
        <v>30.269250000000227</v>
      </c>
      <c r="CQ160" s="54">
        <f>SUM(CQ158:CQ159)</f>
        <v>29.781000000000247</v>
      </c>
      <c r="CR160" s="54">
        <f t="shared" si="307"/>
        <v>29.292750000000268</v>
      </c>
      <c r="CS160" s="54">
        <f t="shared" si="307"/>
        <v>28.804500000000289</v>
      </c>
      <c r="CT160" s="54">
        <f t="shared" si="307"/>
        <v>28.316250000000309</v>
      </c>
      <c r="CU160" s="54">
        <f>SUM(CU158:CU159)</f>
        <v>27.82800000000033</v>
      </c>
      <c r="CV160" s="54">
        <f>SUM(CV158:CV159)</f>
        <v>27.33975000000035</v>
      </c>
      <c r="CW160" s="54">
        <f>SUM(CW158:CW159)</f>
        <v>26.851500000000371</v>
      </c>
      <c r="CX160" s="54">
        <f>SUM(CX158:CX159)</f>
        <v>26.363250000000392</v>
      </c>
      <c r="CY160" s="54">
        <f>SUM(CY158:CY159)</f>
        <v>25.875000000000412</v>
      </c>
      <c r="CZ160" s="54">
        <f t="shared" ref="CZ160:DC160" si="308">SUM(CZ158:CZ159)</f>
        <v>25.386750000000433</v>
      </c>
      <c r="DA160" s="54">
        <f t="shared" si="308"/>
        <v>24.898500000000453</v>
      </c>
      <c r="DB160" s="54">
        <f t="shared" si="308"/>
        <v>24.410250000000474</v>
      </c>
      <c r="DC160" s="54">
        <f t="shared" si="308"/>
        <v>23.922000000000494</v>
      </c>
    </row>
    <row r="161" spans="2:107" s="15" customFormat="1" hidden="1" outlineLevel="1">
      <c r="B161" s="876"/>
      <c r="K161" s="54"/>
      <c r="L161" s="1004"/>
      <c r="M161" s="1004"/>
      <c r="N161" s="1004"/>
      <c r="O161" s="1004"/>
      <c r="P161" s="1004"/>
      <c r="Q161" s="1004"/>
      <c r="R161" s="1004"/>
      <c r="S161" s="1004"/>
      <c r="T161" s="1004"/>
      <c r="U161" s="1004"/>
      <c r="V161" s="1004"/>
      <c r="W161" s="1004"/>
      <c r="X161" s="1004"/>
      <c r="Y161" s="1004"/>
      <c r="Z161" s="1004"/>
      <c r="AA161" s="1004"/>
      <c r="AB161" s="1004"/>
      <c r="AC161" s="1004"/>
      <c r="AD161" s="1004"/>
      <c r="AF161" s="1004"/>
      <c r="AG161" s="1004"/>
      <c r="AH161" s="1004"/>
      <c r="AI161" s="1004"/>
      <c r="AJ161" s="1004"/>
      <c r="AK161" s="1004"/>
      <c r="AL161" s="1004"/>
      <c r="AM161" s="1004"/>
      <c r="AN161" s="1004"/>
      <c r="AO161" s="1004"/>
      <c r="AP161" s="1004"/>
      <c r="AQ161" s="1004"/>
      <c r="AR161" s="1004"/>
      <c r="AS161" s="1004"/>
      <c r="AT161" s="1004"/>
      <c r="AU161" s="1004"/>
      <c r="AV161" s="1004"/>
      <c r="AW161" s="1004"/>
      <c r="AX161" s="1004"/>
      <c r="AY161" s="1004"/>
      <c r="AZ161" s="1004"/>
      <c r="BA161" s="1004"/>
      <c r="BB161" s="1004"/>
      <c r="BC161" s="1004"/>
      <c r="BD161" s="1004"/>
      <c r="BE161" s="1004"/>
      <c r="BF161" s="1004"/>
      <c r="BG161" s="1004"/>
      <c r="BH161" s="1004"/>
      <c r="BI161" s="1004"/>
      <c r="BJ161" s="1004"/>
      <c r="BK161" s="1004"/>
      <c r="BL161" s="1004"/>
      <c r="BM161" s="1004"/>
      <c r="BN161" s="1004"/>
      <c r="BO161" s="1004"/>
      <c r="BP161" s="1004"/>
      <c r="BQ161" s="1004"/>
      <c r="BR161" s="1004"/>
      <c r="BS161" s="789"/>
      <c r="BT161" s="789"/>
      <c r="BU161" s="789"/>
      <c r="BV161" s="789"/>
      <c r="BW161" s="789"/>
      <c r="BX161" s="789"/>
      <c r="BY161" s="789"/>
      <c r="BZ161" s="789"/>
      <c r="CA161" s="789"/>
      <c r="CB161" s="789"/>
      <c r="CC161" s="789"/>
      <c r="CD161" s="789"/>
      <c r="CE161" s="789"/>
      <c r="CF161" s="789"/>
      <c r="CG161" s="789"/>
      <c r="CH161" s="789"/>
      <c r="CI161" s="789"/>
      <c r="CJ161" s="789"/>
      <c r="CK161" s="789"/>
      <c r="CL161" s="789"/>
      <c r="CM161" s="789"/>
      <c r="CN161" s="789"/>
      <c r="CO161" s="789"/>
      <c r="CP161" s="789"/>
      <c r="CQ161" s="789"/>
      <c r="CR161" s="789"/>
      <c r="CS161" s="789"/>
      <c r="CT161" s="789"/>
      <c r="CU161" s="789"/>
      <c r="CV161" s="789"/>
      <c r="CW161" s="789"/>
      <c r="CX161" s="789"/>
      <c r="CY161" s="789"/>
      <c r="CZ161" s="789"/>
      <c r="DA161" s="789"/>
      <c r="DB161" s="789"/>
      <c r="DC161" s="789"/>
    </row>
    <row r="162" spans="2:107" s="15" customFormat="1" hidden="1" outlineLevel="1" collapsed="1">
      <c r="B162" s="15" t="s">
        <v>1210</v>
      </c>
    </row>
    <row r="163" spans="2:107" s="15" customFormat="1" hidden="1" outlineLevel="1">
      <c r="B163" s="876" t="s">
        <v>1118</v>
      </c>
      <c r="K163" s="783"/>
      <c r="L163" s="26"/>
      <c r="M163" s="26"/>
      <c r="N163" s="26">
        <f>BS163</f>
        <v>0</v>
      </c>
      <c r="O163" s="26">
        <f t="shared" ref="O163:Z163" si="309">N165</f>
        <v>0</v>
      </c>
      <c r="P163" s="26">
        <f t="shared" si="309"/>
        <v>0</v>
      </c>
      <c r="Q163" s="26">
        <f t="shared" si="309"/>
        <v>0</v>
      </c>
      <c r="R163" s="26">
        <f t="shared" si="309"/>
        <v>30.928000000000001</v>
      </c>
      <c r="S163" s="26">
        <f t="shared" si="309"/>
        <v>30.928000000000001</v>
      </c>
      <c r="T163" s="26">
        <f t="shared" si="309"/>
        <v>30.928000000000001</v>
      </c>
      <c r="U163" s="26">
        <f t="shared" si="309"/>
        <v>30.928000000000001</v>
      </c>
      <c r="V163" s="26">
        <f t="shared" si="309"/>
        <v>30.928000000000001</v>
      </c>
      <c r="W163" s="26">
        <f t="shared" si="309"/>
        <v>30.928000000000001</v>
      </c>
      <c r="X163" s="26">
        <f t="shared" si="309"/>
        <v>30.928000000000001</v>
      </c>
      <c r="Y163" s="26">
        <f t="shared" si="309"/>
        <v>30.928000000000001</v>
      </c>
      <c r="Z163" s="26">
        <f t="shared" si="309"/>
        <v>30.928000000000001</v>
      </c>
      <c r="AA163" s="26">
        <f t="shared" ref="AA163" si="310">Z165</f>
        <v>30.928000000000001</v>
      </c>
      <c r="AB163" s="26">
        <f t="shared" ref="AB163" si="311">AA165</f>
        <v>30.928000000000001</v>
      </c>
      <c r="AC163" s="26">
        <f t="shared" ref="AC163" si="312">AB165</f>
        <v>30.928000000000001</v>
      </c>
      <c r="AD163" s="26">
        <f t="shared" ref="AD163" si="313">AC165</f>
        <v>30.928000000000001</v>
      </c>
      <c r="AF163" s="26"/>
      <c r="AG163" s="26"/>
      <c r="AH163" s="26"/>
      <c r="AI163" s="26"/>
      <c r="AJ163" s="26"/>
      <c r="AK163" s="26"/>
      <c r="AL163" s="26"/>
      <c r="AM163" s="26"/>
      <c r="AN163" s="26"/>
      <c r="AO163" s="26"/>
      <c r="AP163" s="26"/>
      <c r="AQ163" s="26"/>
      <c r="AR163" s="26"/>
      <c r="AS163" s="26"/>
      <c r="AT163" s="26"/>
      <c r="AU163" s="26"/>
      <c r="AV163" s="26"/>
      <c r="AW163" s="26"/>
      <c r="AX163" s="26"/>
      <c r="AY163" s="26"/>
      <c r="AZ163" s="26"/>
      <c r="BA163" s="26"/>
      <c r="BB163" s="26"/>
      <c r="BC163" s="26"/>
      <c r="BD163" s="26"/>
      <c r="BE163" s="26"/>
      <c r="BF163" s="26"/>
      <c r="BG163" s="26"/>
      <c r="BH163" s="26"/>
      <c r="BI163" s="26"/>
      <c r="BJ163" s="26"/>
      <c r="BK163" s="26"/>
      <c r="BL163" s="26"/>
      <c r="BM163" s="26"/>
      <c r="BN163" s="26"/>
      <c r="BO163" s="26"/>
      <c r="BP163" s="26"/>
      <c r="BQ163" s="26"/>
      <c r="BR163" s="26"/>
      <c r="BS163" s="26"/>
      <c r="BT163" s="26"/>
      <c r="BU163" s="26"/>
      <c r="BV163" s="26"/>
      <c r="BW163" s="26"/>
      <c r="BX163" s="26"/>
      <c r="BY163" s="26"/>
      <c r="BZ163" s="26"/>
      <c r="CA163" s="26"/>
      <c r="CB163" s="26"/>
      <c r="CC163" s="26"/>
      <c r="CD163" s="26"/>
      <c r="CE163" s="26"/>
      <c r="CF163" s="26">
        <f t="shared" ref="CF163:CU163" si="314">CE165</f>
        <v>30.928000000000001</v>
      </c>
      <c r="CG163" s="26">
        <f t="shared" si="314"/>
        <v>30.928000000000001</v>
      </c>
      <c r="CH163" s="26">
        <f t="shared" si="314"/>
        <v>30.928000000000001</v>
      </c>
      <c r="CI163" s="26">
        <f t="shared" si="314"/>
        <v>30.928000000000001</v>
      </c>
      <c r="CJ163" s="26">
        <f t="shared" si="314"/>
        <v>30.928000000000001</v>
      </c>
      <c r="CK163" s="26">
        <f t="shared" si="314"/>
        <v>30.928000000000001</v>
      </c>
      <c r="CL163" s="26">
        <f t="shared" si="314"/>
        <v>30.928000000000001</v>
      </c>
      <c r="CM163" s="26">
        <f t="shared" si="314"/>
        <v>30.928000000000001</v>
      </c>
      <c r="CN163" s="26">
        <f t="shared" si="314"/>
        <v>30.928000000000001</v>
      </c>
      <c r="CO163" s="26">
        <f t="shared" si="314"/>
        <v>30.928000000000001</v>
      </c>
      <c r="CP163" s="26">
        <f t="shared" si="314"/>
        <v>30.928000000000001</v>
      </c>
      <c r="CQ163" s="26">
        <f t="shared" si="314"/>
        <v>30.928000000000001</v>
      </c>
      <c r="CR163" s="26">
        <f t="shared" si="314"/>
        <v>30.928000000000001</v>
      </c>
      <c r="CS163" s="26">
        <f t="shared" si="314"/>
        <v>30.928000000000001</v>
      </c>
      <c r="CT163" s="26">
        <f t="shared" si="314"/>
        <v>30.928000000000001</v>
      </c>
      <c r="CU163" s="26">
        <f t="shared" si="314"/>
        <v>30.928000000000001</v>
      </c>
      <c r="CV163" s="26">
        <f>CU165</f>
        <v>30.928000000000001</v>
      </c>
      <c r="CW163" s="26">
        <f>CV165</f>
        <v>30.928000000000001</v>
      </c>
      <c r="CX163" s="26">
        <f>CW165</f>
        <v>30.928000000000001</v>
      </c>
      <c r="CY163" s="26">
        <f>CX165</f>
        <v>30.928000000000001</v>
      </c>
      <c r="CZ163" s="26">
        <f t="shared" ref="CZ163:DC163" si="315">CY165</f>
        <v>30.928000000000001</v>
      </c>
      <c r="DA163" s="26">
        <f t="shared" si="315"/>
        <v>30.928000000000001</v>
      </c>
      <c r="DB163" s="26">
        <f t="shared" si="315"/>
        <v>30.928000000000001</v>
      </c>
      <c r="DC163" s="26">
        <f t="shared" si="315"/>
        <v>30.928000000000001</v>
      </c>
    </row>
    <row r="164" spans="2:107" s="15" customFormat="1" hidden="1" outlineLevel="1">
      <c r="B164" s="876" t="s">
        <v>1121</v>
      </c>
      <c r="K164" s="783"/>
      <c r="L164" s="26"/>
      <c r="M164" s="26"/>
      <c r="N164" s="26">
        <f t="shared" ref="N164:T164" si="316">N165-N163</f>
        <v>0</v>
      </c>
      <c r="O164" s="26">
        <f t="shared" si="316"/>
        <v>0</v>
      </c>
      <c r="P164" s="26">
        <f t="shared" si="316"/>
        <v>0</v>
      </c>
      <c r="Q164" s="26">
        <f t="shared" si="316"/>
        <v>30.928000000000001</v>
      </c>
      <c r="R164" s="26">
        <f t="shared" si="316"/>
        <v>0</v>
      </c>
      <c r="S164" s="26">
        <f t="shared" si="316"/>
        <v>0</v>
      </c>
      <c r="T164" s="26">
        <f t="shared" si="316"/>
        <v>0</v>
      </c>
      <c r="U164" s="26">
        <f>+SUM(CR164:CU164)</f>
        <v>0</v>
      </c>
      <c r="V164" s="26">
        <f>+SUM(CS164:CV164)</f>
        <v>0</v>
      </c>
      <c r="W164" s="26">
        <f>+SUM(CT164:CW164)</f>
        <v>0</v>
      </c>
      <c r="X164" s="1000">
        <v>0</v>
      </c>
      <c r="Y164" s="1000">
        <v>0</v>
      </c>
      <c r="Z164" s="1000">
        <v>0</v>
      </c>
      <c r="AA164" s="1000">
        <v>0</v>
      </c>
      <c r="AB164" s="1000">
        <v>0</v>
      </c>
      <c r="AC164" s="1000">
        <v>0</v>
      </c>
      <c r="AD164" s="1000">
        <v>0</v>
      </c>
      <c r="AF164" s="772"/>
      <c r="AG164" s="772"/>
      <c r="AH164" s="772"/>
      <c r="AI164" s="772"/>
      <c r="AJ164" s="772"/>
      <c r="AK164" s="772"/>
      <c r="AL164" s="772"/>
      <c r="AM164" s="772"/>
      <c r="AN164" s="772"/>
      <c r="AO164" s="772"/>
      <c r="AP164" s="772"/>
      <c r="AQ164" s="772"/>
      <c r="AR164" s="772"/>
      <c r="AS164" s="772"/>
      <c r="AT164" s="772"/>
      <c r="AU164" s="772"/>
      <c r="AV164" s="772"/>
      <c r="AW164" s="772"/>
      <c r="AX164" s="772"/>
      <c r="AY164" s="772"/>
      <c r="AZ164" s="772"/>
      <c r="BA164" s="772"/>
      <c r="BB164" s="772"/>
      <c r="BC164" s="772"/>
      <c r="BD164" s="772"/>
      <c r="BE164" s="772"/>
      <c r="BF164" s="772"/>
      <c r="BG164" s="772"/>
      <c r="BH164" s="772"/>
      <c r="BI164" s="772"/>
      <c r="BJ164" s="772"/>
      <c r="BK164" s="772"/>
      <c r="BL164" s="772"/>
      <c r="BM164" s="772"/>
      <c r="BN164" s="772"/>
      <c r="BO164" s="772"/>
      <c r="BP164" s="1000"/>
      <c r="BQ164" s="1000"/>
      <c r="BR164" s="1000"/>
      <c r="BS164" s="1000"/>
      <c r="BT164" s="1000"/>
      <c r="BU164" s="1000"/>
      <c r="BV164" s="1000"/>
      <c r="BW164" s="1000"/>
      <c r="BX164" s="1000"/>
      <c r="BY164" s="1000"/>
      <c r="BZ164" s="1000"/>
      <c r="CA164" s="1000"/>
      <c r="CB164" s="1000"/>
      <c r="CC164" s="1000"/>
      <c r="CD164" s="1000"/>
      <c r="CE164" s="772"/>
      <c r="CF164" s="1000">
        <f t="shared" ref="CF164:CU164" si="317">CE164</f>
        <v>0</v>
      </c>
      <c r="CG164" s="1000">
        <f t="shared" si="317"/>
        <v>0</v>
      </c>
      <c r="CH164" s="1000">
        <f t="shared" si="317"/>
        <v>0</v>
      </c>
      <c r="CI164" s="1000">
        <f t="shared" si="317"/>
        <v>0</v>
      </c>
      <c r="CJ164" s="1000">
        <f t="shared" si="317"/>
        <v>0</v>
      </c>
      <c r="CK164" s="1000">
        <f t="shared" si="317"/>
        <v>0</v>
      </c>
      <c r="CL164" s="1000">
        <f t="shared" si="317"/>
        <v>0</v>
      </c>
      <c r="CM164" s="1000">
        <f t="shared" si="317"/>
        <v>0</v>
      </c>
      <c r="CN164" s="1000">
        <f t="shared" si="317"/>
        <v>0</v>
      </c>
      <c r="CO164" s="1000">
        <f t="shared" si="317"/>
        <v>0</v>
      </c>
      <c r="CP164" s="1000">
        <f t="shared" si="317"/>
        <v>0</v>
      </c>
      <c r="CQ164" s="1000">
        <f t="shared" si="317"/>
        <v>0</v>
      </c>
      <c r="CR164" s="1000">
        <f t="shared" si="317"/>
        <v>0</v>
      </c>
      <c r="CS164" s="1000">
        <f t="shared" si="317"/>
        <v>0</v>
      </c>
      <c r="CT164" s="1000">
        <f t="shared" si="317"/>
        <v>0</v>
      </c>
      <c r="CU164" s="1000">
        <f t="shared" si="317"/>
        <v>0</v>
      </c>
      <c r="CV164" s="1000">
        <f>CU164</f>
        <v>0</v>
      </c>
      <c r="CW164" s="1000">
        <f>CV164</f>
        <v>0</v>
      </c>
      <c r="CX164" s="1000">
        <f>CW164</f>
        <v>0</v>
      </c>
      <c r="CY164" s="1000">
        <f>CX164</f>
        <v>0</v>
      </c>
      <c r="CZ164" s="1000">
        <f t="shared" ref="CZ164:DC164" si="318">CY164</f>
        <v>0</v>
      </c>
      <c r="DA164" s="1000">
        <f t="shared" si="318"/>
        <v>0</v>
      </c>
      <c r="DB164" s="1000">
        <f t="shared" si="318"/>
        <v>0</v>
      </c>
      <c r="DC164" s="1000">
        <f t="shared" si="318"/>
        <v>0</v>
      </c>
    </row>
    <row r="165" spans="2:107" s="15" customFormat="1" hidden="1" outlineLevel="1">
      <c r="B165" s="876" t="s">
        <v>1044</v>
      </c>
      <c r="K165" s="783"/>
      <c r="L165" s="26"/>
      <c r="M165" s="54">
        <f>BO165</f>
        <v>0</v>
      </c>
      <c r="N165" s="26">
        <f>BS165</f>
        <v>0</v>
      </c>
      <c r="O165" s="26">
        <f>BW165</f>
        <v>0</v>
      </c>
      <c r="P165" s="26">
        <f>CA165</f>
        <v>0</v>
      </c>
      <c r="Q165" s="26">
        <f>CE165</f>
        <v>30.928000000000001</v>
      </c>
      <c r="R165" s="26">
        <f>CI165</f>
        <v>30.928000000000001</v>
      </c>
      <c r="S165" s="26">
        <f>CM165</f>
        <v>30.928000000000001</v>
      </c>
      <c r="T165" s="26">
        <f>CN165</f>
        <v>30.928000000000001</v>
      </c>
      <c r="U165" s="26">
        <f t="shared" ref="U165:Z165" si="319">SUM(U163:U164)</f>
        <v>30.928000000000001</v>
      </c>
      <c r="V165" s="26">
        <f>SUM(V163:V164)</f>
        <v>30.928000000000001</v>
      </c>
      <c r="W165" s="26">
        <f>SUM(W163:W164)</f>
        <v>30.928000000000001</v>
      </c>
      <c r="X165" s="54">
        <f t="shared" si="319"/>
        <v>30.928000000000001</v>
      </c>
      <c r="Y165" s="54">
        <f t="shared" si="319"/>
        <v>30.928000000000001</v>
      </c>
      <c r="Z165" s="54">
        <f t="shared" si="319"/>
        <v>30.928000000000001</v>
      </c>
      <c r="AA165" s="54">
        <f t="shared" ref="AA165:AD165" si="320">SUM(AA163:AA164)</f>
        <v>30.928000000000001</v>
      </c>
      <c r="AB165" s="54">
        <f t="shared" si="320"/>
        <v>30.928000000000001</v>
      </c>
      <c r="AC165" s="54">
        <f t="shared" si="320"/>
        <v>30.928000000000001</v>
      </c>
      <c r="AD165" s="54">
        <f t="shared" si="320"/>
        <v>30.928000000000001</v>
      </c>
      <c r="AF165" s="54"/>
      <c r="AG165" s="54"/>
      <c r="AH165" s="54"/>
      <c r="AI165" s="54"/>
      <c r="AJ165" s="54"/>
      <c r="AK165" s="54"/>
      <c r="AL165" s="54"/>
      <c r="AM165" s="54"/>
      <c r="AN165" s="54"/>
      <c r="AO165" s="54"/>
      <c r="AP165" s="54"/>
      <c r="AQ165" s="54"/>
      <c r="AR165" s="54"/>
      <c r="AS165" s="54"/>
      <c r="AT165" s="54"/>
      <c r="AU165" s="54"/>
      <c r="AV165" s="54"/>
      <c r="AW165" s="54"/>
      <c r="AX165" s="54"/>
      <c r="AY165" s="54"/>
      <c r="AZ165" s="54"/>
      <c r="BA165" s="54"/>
      <c r="BB165" s="54"/>
      <c r="BC165" s="54"/>
      <c r="BD165" s="54"/>
      <c r="BE165" s="54"/>
      <c r="BF165" s="54"/>
      <c r="BG165" s="54"/>
      <c r="BH165" s="54"/>
      <c r="BI165" s="54"/>
      <c r="BJ165" s="54"/>
      <c r="BK165" s="54"/>
      <c r="BL165" s="54"/>
      <c r="BM165" s="54"/>
      <c r="BN165" s="54"/>
      <c r="BO165" s="1000"/>
      <c r="BP165" s="54"/>
      <c r="BQ165" s="54"/>
      <c r="BR165" s="54"/>
      <c r="BS165" s="54"/>
      <c r="BT165" s="54"/>
      <c r="BU165" s="54"/>
      <c r="BV165" s="54"/>
      <c r="BW165" s="54"/>
      <c r="BX165" s="54"/>
      <c r="BY165" s="54"/>
      <c r="BZ165" s="54"/>
      <c r="CA165" s="54"/>
      <c r="CB165" s="54"/>
      <c r="CC165" s="54"/>
      <c r="CD165" s="54"/>
      <c r="CE165" s="783">
        <v>30.928000000000001</v>
      </c>
      <c r="CF165" s="54">
        <f t="shared" ref="CF165:CT165" si="321">SUM(CF163:CF164)</f>
        <v>30.928000000000001</v>
      </c>
      <c r="CG165" s="54">
        <f t="shared" si="321"/>
        <v>30.928000000000001</v>
      </c>
      <c r="CH165" s="54">
        <f t="shared" si="321"/>
        <v>30.928000000000001</v>
      </c>
      <c r="CI165" s="54">
        <f t="shared" si="321"/>
        <v>30.928000000000001</v>
      </c>
      <c r="CJ165" s="54">
        <f t="shared" si="321"/>
        <v>30.928000000000001</v>
      </c>
      <c r="CK165" s="54">
        <f t="shared" si="321"/>
        <v>30.928000000000001</v>
      </c>
      <c r="CL165" s="54">
        <f t="shared" si="321"/>
        <v>30.928000000000001</v>
      </c>
      <c r="CM165" s="54">
        <f t="shared" si="321"/>
        <v>30.928000000000001</v>
      </c>
      <c r="CN165" s="54">
        <f t="shared" si="321"/>
        <v>30.928000000000001</v>
      </c>
      <c r="CO165" s="54">
        <f t="shared" si="321"/>
        <v>30.928000000000001</v>
      </c>
      <c r="CP165" s="54">
        <f t="shared" si="321"/>
        <v>30.928000000000001</v>
      </c>
      <c r="CQ165" s="54">
        <f>SUM(CQ163:CQ164)</f>
        <v>30.928000000000001</v>
      </c>
      <c r="CR165" s="54">
        <f t="shared" si="321"/>
        <v>30.928000000000001</v>
      </c>
      <c r="CS165" s="54">
        <f t="shared" si="321"/>
        <v>30.928000000000001</v>
      </c>
      <c r="CT165" s="54">
        <f t="shared" si="321"/>
        <v>30.928000000000001</v>
      </c>
      <c r="CU165" s="54">
        <f>SUM(CU163:CU164)</f>
        <v>30.928000000000001</v>
      </c>
      <c r="CV165" s="54">
        <f>SUM(CV163:CV164)</f>
        <v>30.928000000000001</v>
      </c>
      <c r="CW165" s="54">
        <f>SUM(CW163:CW164)</f>
        <v>30.928000000000001</v>
      </c>
      <c r="CX165" s="54">
        <f>SUM(CX163:CX164)</f>
        <v>30.928000000000001</v>
      </c>
      <c r="CY165" s="54">
        <f>SUM(CY163:CY164)</f>
        <v>30.928000000000001</v>
      </c>
      <c r="CZ165" s="54">
        <f t="shared" ref="CZ165:DC165" si="322">SUM(CZ163:CZ164)</f>
        <v>30.928000000000001</v>
      </c>
      <c r="DA165" s="54">
        <f t="shared" si="322"/>
        <v>30.928000000000001</v>
      </c>
      <c r="DB165" s="54">
        <f t="shared" si="322"/>
        <v>30.928000000000001</v>
      </c>
      <c r="DC165" s="54">
        <f t="shared" si="322"/>
        <v>30.928000000000001</v>
      </c>
    </row>
    <row r="166" spans="2:107" s="15" customFormat="1" hidden="1" outlineLevel="1">
      <c r="B166" s="876"/>
      <c r="K166" s="783"/>
      <c r="L166" s="26"/>
      <c r="M166" s="26"/>
      <c r="N166" s="1004"/>
      <c r="O166" s="1004"/>
      <c r="P166" s="1004"/>
      <c r="Q166" s="1004"/>
      <c r="R166" s="1004"/>
      <c r="S166" s="1004"/>
      <c r="T166" s="1004"/>
      <c r="U166" s="1004"/>
      <c r="V166" s="1004"/>
      <c r="W166" s="1004"/>
      <c r="X166" s="1004"/>
      <c r="Y166" s="1004"/>
      <c r="Z166" s="1004"/>
      <c r="AA166" s="1004"/>
      <c r="AB166" s="1004"/>
      <c r="AC166" s="1004"/>
      <c r="AD166" s="1004"/>
      <c r="AF166" s="1005"/>
      <c r="AG166" s="1005"/>
      <c r="AH166" s="1005"/>
      <c r="AI166" s="1005"/>
      <c r="AJ166" s="1005"/>
      <c r="AK166" s="1005"/>
      <c r="AL166" s="1005"/>
      <c r="AM166" s="1005"/>
      <c r="AN166" s="1005"/>
      <c r="AO166" s="1005"/>
      <c r="AP166" s="1005"/>
      <c r="AQ166" s="1005"/>
      <c r="AR166" s="1005"/>
      <c r="AS166" s="1005"/>
      <c r="AT166" s="1005"/>
      <c r="AU166" s="1005"/>
      <c r="AV166" s="1005"/>
      <c r="AW166" s="1005"/>
      <c r="AX166" s="1005"/>
      <c r="AY166" s="1005"/>
      <c r="AZ166" s="1005"/>
      <c r="BA166" s="1005"/>
      <c r="BB166" s="1005"/>
      <c r="BC166" s="1005"/>
      <c r="BD166" s="1005"/>
      <c r="BE166" s="1005"/>
      <c r="BF166" s="1005"/>
      <c r="BG166" s="1005"/>
      <c r="BH166" s="1005"/>
      <c r="BI166" s="1005"/>
      <c r="BJ166" s="1005"/>
      <c r="BK166" s="1005"/>
      <c r="BL166" s="1005"/>
      <c r="BM166" s="1005"/>
      <c r="BN166" s="1005"/>
      <c r="BO166" s="1005"/>
      <c r="BP166" s="1005"/>
      <c r="BQ166" s="1005"/>
      <c r="BR166" s="1005"/>
      <c r="BS166" s="789"/>
      <c r="BT166" s="789"/>
      <c r="BU166" s="789"/>
      <c r="BV166" s="789"/>
      <c r="BW166" s="789"/>
      <c r="BX166" s="789"/>
      <c r="BY166" s="789"/>
      <c r="BZ166" s="789"/>
      <c r="CA166" s="789"/>
      <c r="CB166" s="789"/>
      <c r="CC166" s="789"/>
      <c r="CD166" s="789"/>
      <c r="CE166" s="789"/>
      <c r="CF166" s="789"/>
      <c r="CG166" s="789"/>
      <c r="CH166" s="789"/>
      <c r="CI166" s="789"/>
      <c r="CJ166" s="789"/>
      <c r="CK166" s="789"/>
      <c r="CL166" s="789"/>
      <c r="CM166" s="789"/>
      <c r="CN166" s="789"/>
      <c r="CO166" s="789"/>
      <c r="CP166" s="789"/>
      <c r="CQ166" s="789"/>
      <c r="CR166" s="789"/>
      <c r="CS166" s="789"/>
      <c r="CT166" s="789"/>
      <c r="CU166" s="789"/>
      <c r="CV166" s="789"/>
      <c r="CW166" s="789"/>
      <c r="CX166" s="789"/>
      <c r="CY166" s="789"/>
      <c r="CZ166" s="789"/>
      <c r="DA166" s="789"/>
      <c r="DB166" s="789"/>
      <c r="DC166" s="789"/>
    </row>
    <row r="167" spans="2:107" s="15" customFormat="1" hidden="1" outlineLevel="1">
      <c r="B167" s="15" t="s">
        <v>1498</v>
      </c>
    </row>
    <row r="168" spans="2:107" s="15" customFormat="1" hidden="1" outlineLevel="1">
      <c r="B168" s="876" t="s">
        <v>1118</v>
      </c>
      <c r="J168" s="26"/>
      <c r="K168" s="26"/>
      <c r="L168" s="26"/>
      <c r="M168" s="26"/>
      <c r="N168" s="26">
        <f t="shared" ref="N168:Z168" si="323">M170</f>
        <v>31.513000000000002</v>
      </c>
      <c r="O168" s="26">
        <f t="shared" si="323"/>
        <v>30.118999999999996</v>
      </c>
      <c r="P168" s="26">
        <f t="shared" si="323"/>
        <v>28.496999999999996</v>
      </c>
      <c r="Q168" s="26">
        <f t="shared" si="323"/>
        <v>26.874999999999996</v>
      </c>
      <c r="R168" s="26">
        <f t="shared" si="323"/>
        <v>24.477</v>
      </c>
      <c r="S168" s="26">
        <f t="shared" si="323"/>
        <v>24.477</v>
      </c>
      <c r="T168" s="26">
        <f t="shared" si="323"/>
        <v>24.477</v>
      </c>
      <c r="U168" s="26">
        <f t="shared" si="323"/>
        <v>24.477</v>
      </c>
      <c r="V168" s="26">
        <f t="shared" si="323"/>
        <v>24.477</v>
      </c>
      <c r="W168" s="26">
        <f t="shared" si="323"/>
        <v>24.477</v>
      </c>
      <c r="X168" s="26">
        <f t="shared" si="323"/>
        <v>24.477</v>
      </c>
      <c r="Y168" s="26">
        <f t="shared" si="323"/>
        <v>24.477</v>
      </c>
      <c r="Z168" s="26">
        <f t="shared" si="323"/>
        <v>24.477</v>
      </c>
      <c r="AA168" s="26">
        <f t="shared" ref="AA168" si="324">Z170</f>
        <v>24.477</v>
      </c>
      <c r="AB168" s="26">
        <f t="shared" ref="AB168" si="325">AA170</f>
        <v>24.477</v>
      </c>
      <c r="AC168" s="26">
        <f t="shared" ref="AC168" si="326">AB170</f>
        <v>24.477</v>
      </c>
      <c r="AD168" s="26">
        <f t="shared" ref="AD168" si="327">AC170</f>
        <v>24.477</v>
      </c>
      <c r="AF168" s="26"/>
      <c r="AG168" s="26"/>
      <c r="AH168" s="26"/>
      <c r="AI168" s="26"/>
      <c r="AJ168" s="26"/>
      <c r="AK168" s="26"/>
      <c r="AL168" s="26"/>
      <c r="AM168" s="26"/>
      <c r="AN168" s="26"/>
      <c r="AO168" s="26"/>
      <c r="AP168" s="26"/>
      <c r="AQ168" s="26"/>
      <c r="AR168" s="26"/>
      <c r="AS168" s="26"/>
      <c r="AT168" s="26"/>
      <c r="AU168" s="26"/>
      <c r="AV168" s="26"/>
      <c r="AW168" s="26"/>
      <c r="AX168" s="26"/>
      <c r="AY168" s="26"/>
      <c r="AZ168" s="26"/>
      <c r="BA168" s="26"/>
      <c r="BB168" s="26"/>
      <c r="BC168" s="26"/>
      <c r="BD168" s="26"/>
      <c r="BE168" s="26"/>
      <c r="BF168" s="26"/>
      <c r="BG168" s="26"/>
      <c r="BH168" s="26"/>
      <c r="BI168" s="26"/>
      <c r="BJ168" s="26"/>
      <c r="BK168" s="26"/>
      <c r="BL168" s="26"/>
      <c r="BM168" s="26"/>
      <c r="BN168" s="26"/>
      <c r="BO168" s="26"/>
      <c r="BP168" s="26">
        <f t="shared" ref="BP168:CU168" si="328">BO170</f>
        <v>31.513000000000002</v>
      </c>
      <c r="BQ168" s="26">
        <f t="shared" si="328"/>
        <v>31.1645</v>
      </c>
      <c r="BR168" s="26">
        <f t="shared" si="328"/>
        <v>30.815999999999999</v>
      </c>
      <c r="BS168" s="26">
        <f t="shared" si="328"/>
        <v>30.467499999999998</v>
      </c>
      <c r="BT168" s="26">
        <f t="shared" si="328"/>
        <v>30.118999999999996</v>
      </c>
      <c r="BU168" s="26">
        <f t="shared" si="328"/>
        <v>29.713499999999996</v>
      </c>
      <c r="BV168" s="26">
        <f t="shared" si="328"/>
        <v>29.307999999999996</v>
      </c>
      <c r="BW168" s="26">
        <f t="shared" si="328"/>
        <v>28.902499999999996</v>
      </c>
      <c r="BX168" s="26">
        <f t="shared" si="328"/>
        <v>28.496999999999996</v>
      </c>
      <c r="BY168" s="26">
        <f t="shared" si="328"/>
        <v>28.091499999999996</v>
      </c>
      <c r="BZ168" s="26">
        <f t="shared" si="328"/>
        <v>27.685999999999996</v>
      </c>
      <c r="CA168" s="26">
        <f t="shared" si="328"/>
        <v>27.280499999999996</v>
      </c>
      <c r="CB168" s="26">
        <f t="shared" si="328"/>
        <v>26.874999999999996</v>
      </c>
      <c r="CC168" s="26">
        <f t="shared" si="328"/>
        <v>26.469499999999996</v>
      </c>
      <c r="CD168" s="26">
        <f t="shared" si="328"/>
        <v>26.063999999999997</v>
      </c>
      <c r="CE168" s="26">
        <f t="shared" si="328"/>
        <v>25.658499999999997</v>
      </c>
      <c r="CF168" s="26">
        <f t="shared" si="328"/>
        <v>24.477</v>
      </c>
      <c r="CG168" s="26">
        <f t="shared" si="328"/>
        <v>24.477</v>
      </c>
      <c r="CH168" s="26">
        <f t="shared" si="328"/>
        <v>24.477</v>
      </c>
      <c r="CI168" s="26">
        <f t="shared" si="328"/>
        <v>24.477</v>
      </c>
      <c r="CJ168" s="26">
        <f t="shared" si="328"/>
        <v>24.477</v>
      </c>
      <c r="CK168" s="26">
        <f t="shared" si="328"/>
        <v>24.477</v>
      </c>
      <c r="CL168" s="26">
        <f t="shared" si="328"/>
        <v>24.477</v>
      </c>
      <c r="CM168" s="26">
        <f t="shared" si="328"/>
        <v>24.477</v>
      </c>
      <c r="CN168" s="26">
        <f t="shared" si="328"/>
        <v>24.477</v>
      </c>
      <c r="CO168" s="26">
        <f t="shared" si="328"/>
        <v>24.477</v>
      </c>
      <c r="CP168" s="26">
        <f t="shared" si="328"/>
        <v>24.477</v>
      </c>
      <c r="CQ168" s="26">
        <f t="shared" si="328"/>
        <v>24.477</v>
      </c>
      <c r="CR168" s="26">
        <f t="shared" si="328"/>
        <v>24.477</v>
      </c>
      <c r="CS168" s="26">
        <f t="shared" si="328"/>
        <v>24.477</v>
      </c>
      <c r="CT168" s="26">
        <f t="shared" si="328"/>
        <v>24.477</v>
      </c>
      <c r="CU168" s="26">
        <f t="shared" si="328"/>
        <v>24.477</v>
      </c>
      <c r="CV168" s="26">
        <f>CU170</f>
        <v>24.477</v>
      </c>
      <c r="CW168" s="26">
        <f>CV170</f>
        <v>24.477</v>
      </c>
      <c r="CX168" s="26">
        <f>CW170</f>
        <v>24.477</v>
      </c>
      <c r="CY168" s="26">
        <f>CX170</f>
        <v>24.477</v>
      </c>
      <c r="CZ168" s="26">
        <f t="shared" ref="CZ168:DC168" si="329">CY170</f>
        <v>24.477</v>
      </c>
      <c r="DA168" s="26">
        <f t="shared" si="329"/>
        <v>24.477</v>
      </c>
      <c r="DB168" s="26">
        <f t="shared" si="329"/>
        <v>24.477</v>
      </c>
      <c r="DC168" s="26">
        <f t="shared" si="329"/>
        <v>24.477</v>
      </c>
    </row>
    <row r="169" spans="2:107" s="15" customFormat="1" ht="12.75" hidden="1" customHeight="1" outlineLevel="1">
      <c r="B169" s="876" t="s">
        <v>1121</v>
      </c>
      <c r="J169" s="772"/>
      <c r="K169" s="26"/>
      <c r="L169" s="26"/>
      <c r="M169" s="26"/>
      <c r="N169" s="26">
        <f t="shared" ref="N169:T169" si="330">N170-N168</f>
        <v>-1.3940000000000055</v>
      </c>
      <c r="O169" s="26">
        <f t="shared" si="330"/>
        <v>-1.6219999999999999</v>
      </c>
      <c r="P169" s="26">
        <f t="shared" si="330"/>
        <v>-1.6219999999999999</v>
      </c>
      <c r="Q169" s="26">
        <f t="shared" si="330"/>
        <v>-2.3979999999999961</v>
      </c>
      <c r="R169" s="26">
        <f t="shared" si="330"/>
        <v>0</v>
      </c>
      <c r="S169" s="26">
        <f t="shared" si="330"/>
        <v>0</v>
      </c>
      <c r="T169" s="26">
        <f t="shared" si="330"/>
        <v>0</v>
      </c>
      <c r="U169" s="26">
        <f>+SUM(CR169:CU169)</f>
        <v>0</v>
      </c>
      <c r="V169" s="26">
        <f>+SUM(CS169:CV169)</f>
        <v>0</v>
      </c>
      <c r="W169" s="26">
        <f>+SUM(CT169:CW169)</f>
        <v>0</v>
      </c>
      <c r="X169" s="1000">
        <v>0</v>
      </c>
      <c r="Y169" s="1000">
        <v>0</v>
      </c>
      <c r="Z169" s="1000">
        <v>0</v>
      </c>
      <c r="AA169" s="1000">
        <v>0</v>
      </c>
      <c r="AB169" s="1000">
        <v>0</v>
      </c>
      <c r="AC169" s="1000">
        <v>0</v>
      </c>
      <c r="AD169" s="1000">
        <v>0</v>
      </c>
      <c r="AF169" s="772"/>
      <c r="AG169" s="772"/>
      <c r="AH169" s="772"/>
      <c r="AI169" s="772"/>
      <c r="AJ169" s="772"/>
      <c r="AK169" s="772"/>
      <c r="AL169" s="772"/>
      <c r="AM169" s="772"/>
      <c r="AN169" s="772"/>
      <c r="AO169" s="772"/>
      <c r="AP169" s="772"/>
      <c r="AQ169" s="772"/>
      <c r="AR169" s="772"/>
      <c r="AS169" s="772"/>
      <c r="AT169" s="772"/>
      <c r="AU169" s="772"/>
      <c r="AV169" s="772"/>
      <c r="AW169" s="772"/>
      <c r="AX169" s="772"/>
      <c r="AY169" s="772"/>
      <c r="AZ169" s="772"/>
      <c r="BA169" s="772"/>
      <c r="BB169" s="772"/>
      <c r="BC169" s="772"/>
      <c r="BD169" s="772"/>
      <c r="BE169" s="772"/>
      <c r="BF169" s="772"/>
      <c r="BG169" s="772"/>
      <c r="BH169" s="772"/>
      <c r="BI169" s="772"/>
      <c r="BJ169" s="772"/>
      <c r="BK169" s="772"/>
      <c r="BL169" s="772"/>
      <c r="BM169" s="772"/>
      <c r="BN169" s="772"/>
      <c r="BO169" s="772"/>
      <c r="BP169" s="1000">
        <f>-1.394/4</f>
        <v>-0.34849999999999998</v>
      </c>
      <c r="BQ169" s="1000">
        <f>-1.394/4</f>
        <v>-0.34849999999999998</v>
      </c>
      <c r="BR169" s="1000">
        <f>-1.394/4</f>
        <v>-0.34849999999999998</v>
      </c>
      <c r="BS169" s="1000">
        <f>-1.394/4</f>
        <v>-0.34849999999999998</v>
      </c>
      <c r="BT169" s="1000">
        <v>-0.40549999999999908</v>
      </c>
      <c r="BU169" s="1000">
        <v>-0.40549999999999908</v>
      </c>
      <c r="BV169" s="1000">
        <v>-0.40549999999999908</v>
      </c>
      <c r="BW169" s="1000">
        <v>-0.40549999999999908</v>
      </c>
      <c r="BX169" s="26">
        <f t="shared" ref="BX169:CD169" si="331">BW169</f>
        <v>-0.40549999999999908</v>
      </c>
      <c r="BY169" s="26">
        <f t="shared" si="331"/>
        <v>-0.40549999999999908</v>
      </c>
      <c r="BZ169" s="26">
        <f t="shared" si="331"/>
        <v>-0.40549999999999908</v>
      </c>
      <c r="CA169" s="26">
        <f t="shared" si="331"/>
        <v>-0.40549999999999908</v>
      </c>
      <c r="CB169" s="26">
        <f t="shared" si="331"/>
        <v>-0.40549999999999908</v>
      </c>
      <c r="CC169" s="26">
        <f t="shared" si="331"/>
        <v>-0.40549999999999908</v>
      </c>
      <c r="CD169" s="26">
        <f t="shared" si="331"/>
        <v>-0.40549999999999908</v>
      </c>
      <c r="CE169" s="783">
        <f>24.477-CD170</f>
        <v>-1.1814999999999962</v>
      </c>
      <c r="CF169" s="783">
        <v>0</v>
      </c>
      <c r="CG169" s="783">
        <v>0</v>
      </c>
      <c r="CH169" s="783">
        <v>0</v>
      </c>
      <c r="CI169" s="783">
        <v>0</v>
      </c>
      <c r="CJ169" s="783">
        <v>0</v>
      </c>
      <c r="CK169" s="783">
        <v>0</v>
      </c>
      <c r="CL169" s="783">
        <v>0</v>
      </c>
      <c r="CM169" s="783">
        <v>0</v>
      </c>
      <c r="CN169" s="783">
        <v>0</v>
      </c>
      <c r="CO169" s="783">
        <v>0</v>
      </c>
      <c r="CP169" s="783">
        <v>0</v>
      </c>
      <c r="CQ169" s="783">
        <v>0</v>
      </c>
      <c r="CR169" s="783">
        <v>0</v>
      </c>
      <c r="CS169" s="783">
        <v>0</v>
      </c>
      <c r="CT169" s="783">
        <v>0</v>
      </c>
      <c r="CU169" s="783">
        <v>0</v>
      </c>
      <c r="CV169" s="783">
        <v>0</v>
      </c>
      <c r="CW169" s="783">
        <v>0</v>
      </c>
      <c r="CX169" s="783">
        <v>0</v>
      </c>
      <c r="CY169" s="783">
        <v>0</v>
      </c>
      <c r="CZ169" s="783">
        <v>0</v>
      </c>
      <c r="DA169" s="783">
        <v>0</v>
      </c>
      <c r="DB169" s="783">
        <v>0</v>
      </c>
      <c r="DC169" s="783">
        <v>0</v>
      </c>
    </row>
    <row r="170" spans="2:107" s="15" customFormat="1" ht="12.75" hidden="1" customHeight="1" outlineLevel="1">
      <c r="B170" s="876" t="s">
        <v>1044</v>
      </c>
      <c r="I170" s="54"/>
      <c r="J170" s="54"/>
      <c r="K170" s="54"/>
      <c r="L170" s="54"/>
      <c r="M170" s="54">
        <f>BO170</f>
        <v>31.513000000000002</v>
      </c>
      <c r="N170" s="26">
        <f>BS170</f>
        <v>30.118999999999996</v>
      </c>
      <c r="O170" s="26">
        <f>BW170</f>
        <v>28.496999999999996</v>
      </c>
      <c r="P170" s="26">
        <f>CA170</f>
        <v>26.874999999999996</v>
      </c>
      <c r="Q170" s="26">
        <f>CE170</f>
        <v>24.477</v>
      </c>
      <c r="R170" s="26">
        <f>CI170</f>
        <v>24.477</v>
      </c>
      <c r="S170" s="26">
        <f>CM170</f>
        <v>24.477</v>
      </c>
      <c r="T170" s="26">
        <f>CN170</f>
        <v>24.477</v>
      </c>
      <c r="U170" s="26">
        <f t="shared" ref="U170:Z170" si="332">SUM(U168:U169)</f>
        <v>24.477</v>
      </c>
      <c r="V170" s="26">
        <f>SUM(V168:V169)</f>
        <v>24.477</v>
      </c>
      <c r="W170" s="26">
        <f>SUM(W168:W169)</f>
        <v>24.477</v>
      </c>
      <c r="X170" s="54">
        <f t="shared" si="332"/>
        <v>24.477</v>
      </c>
      <c r="Y170" s="54">
        <f t="shared" si="332"/>
        <v>24.477</v>
      </c>
      <c r="Z170" s="54">
        <f t="shared" si="332"/>
        <v>24.477</v>
      </c>
      <c r="AA170" s="54">
        <f t="shared" ref="AA170:AD170" si="333">SUM(AA168:AA169)</f>
        <v>24.477</v>
      </c>
      <c r="AB170" s="54">
        <f t="shared" si="333"/>
        <v>24.477</v>
      </c>
      <c r="AC170" s="54">
        <f t="shared" si="333"/>
        <v>24.477</v>
      </c>
      <c r="AD170" s="54">
        <f t="shared" si="333"/>
        <v>24.477</v>
      </c>
      <c r="AF170" s="26"/>
      <c r="AG170" s="26"/>
      <c r="AH170" s="26"/>
      <c r="AI170" s="26"/>
      <c r="AJ170" s="26"/>
      <c r="AK170" s="26"/>
      <c r="AL170" s="26"/>
      <c r="AM170" s="26"/>
      <c r="AN170" s="26"/>
      <c r="AO170" s="26"/>
      <c r="AP170" s="26"/>
      <c r="AQ170" s="26"/>
      <c r="AR170" s="26"/>
      <c r="AS170" s="26"/>
      <c r="AT170" s="26"/>
      <c r="AU170" s="26"/>
      <c r="AV170" s="26"/>
      <c r="AW170" s="26"/>
      <c r="AX170" s="26"/>
      <c r="AY170" s="26"/>
      <c r="AZ170" s="26"/>
      <c r="BA170" s="26"/>
      <c r="BB170" s="26"/>
      <c r="BC170" s="26"/>
      <c r="BD170" s="26"/>
      <c r="BE170" s="26"/>
      <c r="BF170" s="26"/>
      <c r="BG170" s="26"/>
      <c r="BH170" s="26"/>
      <c r="BI170" s="26"/>
      <c r="BJ170" s="26"/>
      <c r="BK170" s="26"/>
      <c r="BL170" s="26"/>
      <c r="BM170" s="26"/>
      <c r="BN170" s="26"/>
      <c r="BO170" s="1000">
        <v>31.513000000000002</v>
      </c>
      <c r="BP170" s="26">
        <f t="shared" ref="BP170:CT170" si="334">SUM(BP168:BP169)</f>
        <v>31.1645</v>
      </c>
      <c r="BQ170" s="26">
        <f t="shared" si="334"/>
        <v>30.815999999999999</v>
      </c>
      <c r="BR170" s="26">
        <f t="shared" si="334"/>
        <v>30.467499999999998</v>
      </c>
      <c r="BS170" s="26">
        <f t="shared" si="334"/>
        <v>30.118999999999996</v>
      </c>
      <c r="BT170" s="26">
        <f t="shared" si="334"/>
        <v>29.713499999999996</v>
      </c>
      <c r="BU170" s="26">
        <f t="shared" si="334"/>
        <v>29.307999999999996</v>
      </c>
      <c r="BV170" s="26">
        <f t="shared" si="334"/>
        <v>28.902499999999996</v>
      </c>
      <c r="BW170" s="26">
        <f t="shared" si="334"/>
        <v>28.496999999999996</v>
      </c>
      <c r="BX170" s="54">
        <f t="shared" si="334"/>
        <v>28.091499999999996</v>
      </c>
      <c r="BY170" s="54">
        <f t="shared" si="334"/>
        <v>27.685999999999996</v>
      </c>
      <c r="BZ170" s="54">
        <f t="shared" si="334"/>
        <v>27.280499999999996</v>
      </c>
      <c r="CA170" s="54">
        <f t="shared" si="334"/>
        <v>26.874999999999996</v>
      </c>
      <c r="CB170" s="54">
        <f t="shared" si="334"/>
        <v>26.469499999999996</v>
      </c>
      <c r="CC170" s="54">
        <f t="shared" si="334"/>
        <v>26.063999999999997</v>
      </c>
      <c r="CD170" s="54">
        <f t="shared" si="334"/>
        <v>25.658499999999997</v>
      </c>
      <c r="CE170" s="54">
        <f t="shared" si="334"/>
        <v>24.477</v>
      </c>
      <c r="CF170" s="54">
        <f t="shared" si="334"/>
        <v>24.477</v>
      </c>
      <c r="CG170" s="54">
        <f t="shared" si="334"/>
        <v>24.477</v>
      </c>
      <c r="CH170" s="54">
        <f t="shared" si="334"/>
        <v>24.477</v>
      </c>
      <c r="CI170" s="54">
        <f t="shared" si="334"/>
        <v>24.477</v>
      </c>
      <c r="CJ170" s="54">
        <f t="shared" si="334"/>
        <v>24.477</v>
      </c>
      <c r="CK170" s="54">
        <f t="shared" si="334"/>
        <v>24.477</v>
      </c>
      <c r="CL170" s="54">
        <f t="shared" si="334"/>
        <v>24.477</v>
      </c>
      <c r="CM170" s="54">
        <f t="shared" si="334"/>
        <v>24.477</v>
      </c>
      <c r="CN170" s="54">
        <f t="shared" si="334"/>
        <v>24.477</v>
      </c>
      <c r="CO170" s="54">
        <f t="shared" si="334"/>
        <v>24.477</v>
      </c>
      <c r="CP170" s="54">
        <f t="shared" si="334"/>
        <v>24.477</v>
      </c>
      <c r="CQ170" s="54">
        <f>SUM(CQ168:CQ169)</f>
        <v>24.477</v>
      </c>
      <c r="CR170" s="54">
        <f t="shared" si="334"/>
        <v>24.477</v>
      </c>
      <c r="CS170" s="54">
        <f t="shared" si="334"/>
        <v>24.477</v>
      </c>
      <c r="CT170" s="54">
        <f t="shared" si="334"/>
        <v>24.477</v>
      </c>
      <c r="CU170" s="54">
        <f>SUM(CU168:CU169)</f>
        <v>24.477</v>
      </c>
      <c r="CV170" s="54">
        <f>SUM(CV168:CV169)</f>
        <v>24.477</v>
      </c>
      <c r="CW170" s="54">
        <f>SUM(CW168:CW169)</f>
        <v>24.477</v>
      </c>
      <c r="CX170" s="54">
        <f>SUM(CX168:CX169)</f>
        <v>24.477</v>
      </c>
      <c r="CY170" s="54">
        <f>SUM(CY168:CY169)</f>
        <v>24.477</v>
      </c>
      <c r="CZ170" s="54">
        <f t="shared" ref="CZ170:DC170" si="335">SUM(CZ168:CZ169)</f>
        <v>24.477</v>
      </c>
      <c r="DA170" s="54">
        <f t="shared" si="335"/>
        <v>24.477</v>
      </c>
      <c r="DB170" s="54">
        <f t="shared" si="335"/>
        <v>24.477</v>
      </c>
      <c r="DC170" s="54">
        <f t="shared" si="335"/>
        <v>24.477</v>
      </c>
    </row>
    <row r="171" spans="2:107" s="15" customFormat="1" ht="12.75" hidden="1" customHeight="1" outlineLevel="1">
      <c r="B171" s="876"/>
      <c r="J171" s="1004"/>
      <c r="K171" s="1004"/>
      <c r="L171" s="1004"/>
      <c r="M171" s="1004"/>
      <c r="N171" s="1004"/>
      <c r="O171" s="1004"/>
      <c r="P171" s="1004"/>
      <c r="Q171" s="1004"/>
      <c r="R171" s="1004"/>
      <c r="S171" s="1004"/>
      <c r="T171" s="1004"/>
      <c r="U171" s="1004"/>
      <c r="V171" s="1004"/>
      <c r="W171" s="1004"/>
      <c r="X171" s="1004"/>
      <c r="Y171" s="1004"/>
      <c r="Z171" s="1004"/>
      <c r="AA171" s="1004"/>
      <c r="AB171" s="1004"/>
      <c r="AC171" s="1004"/>
      <c r="AD171" s="1004"/>
      <c r="AF171" s="1004"/>
      <c r="AG171" s="1004"/>
      <c r="AH171" s="1004"/>
      <c r="AI171" s="1004"/>
      <c r="AJ171" s="1004"/>
      <c r="AK171" s="1004"/>
      <c r="AL171" s="1004"/>
      <c r="AM171" s="1004"/>
      <c r="AN171" s="1004"/>
      <c r="AO171" s="1004"/>
      <c r="AP171" s="1004"/>
      <c r="AQ171" s="1004"/>
      <c r="AR171" s="1004"/>
      <c r="AS171" s="1004"/>
      <c r="AT171" s="1004"/>
      <c r="AU171" s="1004"/>
      <c r="AV171" s="1004"/>
      <c r="AW171" s="1004"/>
      <c r="AX171" s="1004"/>
      <c r="AY171" s="1004"/>
      <c r="AZ171" s="1004"/>
      <c r="BA171" s="1004"/>
      <c r="BB171" s="1004"/>
      <c r="BC171" s="1004"/>
      <c r="BD171" s="1004"/>
      <c r="BE171" s="1004"/>
      <c r="BF171" s="1004"/>
      <c r="BG171" s="1004"/>
      <c r="BH171" s="1004"/>
      <c r="BI171" s="1004"/>
      <c r="BJ171" s="1004"/>
      <c r="BK171" s="1004"/>
      <c r="BL171" s="1004"/>
      <c r="BM171" s="1004"/>
      <c r="BN171" s="1004"/>
      <c r="BO171" s="1004"/>
      <c r="BP171" s="1004"/>
      <c r="BQ171" s="1004"/>
      <c r="BR171" s="1004"/>
      <c r="BS171" s="1004"/>
      <c r="BT171" s="1004"/>
      <c r="BU171" s="1004"/>
      <c r="BV171" s="1004"/>
      <c r="BW171" s="1004"/>
      <c r="BX171" s="1004"/>
      <c r="BY171" s="1004"/>
      <c r="BZ171" s="1004"/>
      <c r="CA171" s="1004"/>
      <c r="CB171" s="1004"/>
      <c r="CC171" s="1004"/>
      <c r="CD171" s="1004"/>
      <c r="CE171" s="1004"/>
      <c r="CF171" s="1004"/>
      <c r="CG171" s="1004"/>
      <c r="CH171" s="1004"/>
      <c r="CI171" s="1004"/>
      <c r="CJ171" s="1004"/>
      <c r="CK171" s="1004"/>
      <c r="CL171" s="1004"/>
      <c r="CM171" s="1004"/>
      <c r="CN171" s="1004"/>
      <c r="CO171" s="1004"/>
      <c r="CP171" s="1004"/>
      <c r="CQ171" s="1004"/>
      <c r="CR171" s="1004"/>
      <c r="CS171" s="1004"/>
      <c r="CT171" s="1004"/>
      <c r="CU171" s="1004"/>
      <c r="CV171" s="1004"/>
      <c r="CW171" s="1004"/>
      <c r="CX171" s="1004"/>
      <c r="CY171" s="1004"/>
      <c r="CZ171" s="1004"/>
      <c r="DA171" s="1004"/>
      <c r="DB171" s="1004"/>
      <c r="DC171" s="1004"/>
    </row>
    <row r="172" spans="2:107" s="15" customFormat="1" ht="12.75" hidden="1" customHeight="1" outlineLevel="1">
      <c r="B172" s="15" t="s">
        <v>40</v>
      </c>
    </row>
    <row r="173" spans="2:107" s="15" customFormat="1" ht="12.75" hidden="1" customHeight="1" outlineLevel="1">
      <c r="B173" s="876" t="s">
        <v>1118</v>
      </c>
      <c r="K173" s="26">
        <f>J175</f>
        <v>0</v>
      </c>
      <c r="L173" s="26">
        <f>BH173</f>
        <v>0</v>
      </c>
      <c r="M173" s="26"/>
      <c r="N173" s="26">
        <f>BS173</f>
        <v>0</v>
      </c>
      <c r="O173" s="26">
        <f t="shared" ref="O173:Z173" si="336">N175</f>
        <v>0</v>
      </c>
      <c r="P173" s="26">
        <f t="shared" si="336"/>
        <v>24.161000000000001</v>
      </c>
      <c r="Q173" s="26">
        <f t="shared" si="336"/>
        <v>24.161000000000001</v>
      </c>
      <c r="R173" s="26">
        <f t="shared" si="336"/>
        <v>22.484999999999999</v>
      </c>
      <c r="S173" s="26">
        <f t="shared" si="336"/>
        <v>22.484999999999999</v>
      </c>
      <c r="T173" s="26">
        <f t="shared" si="336"/>
        <v>22.484999999999999</v>
      </c>
      <c r="U173" s="26">
        <f t="shared" si="336"/>
        <v>22.484999999999999</v>
      </c>
      <c r="V173" s="26">
        <f t="shared" si="336"/>
        <v>22.484999999999999</v>
      </c>
      <c r="W173" s="26">
        <f t="shared" si="336"/>
        <v>22.484999999999999</v>
      </c>
      <c r="X173" s="26">
        <f t="shared" si="336"/>
        <v>22.484999999999999</v>
      </c>
      <c r="Y173" s="26">
        <f t="shared" si="336"/>
        <v>22.484999999999999</v>
      </c>
      <c r="Z173" s="26">
        <f t="shared" si="336"/>
        <v>22.484999999999999</v>
      </c>
      <c r="AA173" s="26">
        <f t="shared" ref="AA173" si="337">Z175</f>
        <v>22.484999999999999</v>
      </c>
      <c r="AB173" s="26">
        <f t="shared" ref="AB173" si="338">AA175</f>
        <v>22.484999999999999</v>
      </c>
      <c r="AC173" s="26">
        <f t="shared" ref="AC173" si="339">AB175</f>
        <v>22.484999999999999</v>
      </c>
      <c r="AD173" s="26">
        <f t="shared" ref="AD173" si="340">AC175</f>
        <v>22.484999999999999</v>
      </c>
      <c r="AF173" s="26"/>
      <c r="AG173" s="26"/>
      <c r="AH173" s="26"/>
      <c r="AI173" s="26"/>
      <c r="AJ173" s="26"/>
      <c r="AK173" s="26"/>
      <c r="AL173" s="26"/>
      <c r="AM173" s="26"/>
      <c r="AN173" s="26"/>
      <c r="AO173" s="26"/>
      <c r="AP173" s="26"/>
      <c r="AQ173" s="26"/>
      <c r="AR173" s="26"/>
      <c r="AS173" s="26"/>
      <c r="AT173" s="26"/>
      <c r="AU173" s="26"/>
      <c r="AV173" s="26"/>
      <c r="AW173" s="26"/>
      <c r="AX173" s="26"/>
      <c r="AY173" s="26"/>
      <c r="AZ173" s="26"/>
      <c r="BA173" s="26"/>
      <c r="BB173" s="26"/>
      <c r="BC173" s="26"/>
      <c r="BD173" s="26"/>
      <c r="BE173" s="26"/>
      <c r="BF173" s="26"/>
      <c r="BG173" s="26"/>
      <c r="BH173" s="26"/>
      <c r="BI173" s="26"/>
      <c r="BJ173" s="26"/>
      <c r="BK173" s="26"/>
      <c r="BL173" s="26"/>
      <c r="BM173" s="26"/>
      <c r="BN173" s="26"/>
      <c r="BO173" s="26"/>
      <c r="BP173" s="26"/>
      <c r="BQ173" s="26"/>
      <c r="BR173" s="26"/>
      <c r="BS173" s="26"/>
      <c r="BT173" s="26"/>
      <c r="BU173" s="26"/>
      <c r="BV173" s="26"/>
      <c r="BW173" s="26">
        <f t="shared" ref="BW173:CU173" si="341">BV175</f>
        <v>0</v>
      </c>
      <c r="BX173" s="26">
        <f t="shared" si="341"/>
        <v>24.161000000000001</v>
      </c>
      <c r="BY173" s="26">
        <f t="shared" si="341"/>
        <v>24.161000000000001</v>
      </c>
      <c r="BZ173" s="26">
        <f t="shared" si="341"/>
        <v>24.161000000000001</v>
      </c>
      <c r="CA173" s="26">
        <f t="shared" si="341"/>
        <v>24.161000000000001</v>
      </c>
      <c r="CB173" s="26">
        <f t="shared" si="341"/>
        <v>24.161000000000001</v>
      </c>
      <c r="CC173" s="26">
        <f t="shared" si="341"/>
        <v>24.161000000000001</v>
      </c>
      <c r="CD173" s="26">
        <f t="shared" si="341"/>
        <v>24.161000000000001</v>
      </c>
      <c r="CE173" s="26">
        <f t="shared" si="341"/>
        <v>24.161000000000001</v>
      </c>
      <c r="CF173" s="26">
        <f t="shared" si="341"/>
        <v>22.484999999999999</v>
      </c>
      <c r="CG173" s="26">
        <f t="shared" si="341"/>
        <v>22.484999999999999</v>
      </c>
      <c r="CH173" s="26">
        <f t="shared" si="341"/>
        <v>22.484999999999999</v>
      </c>
      <c r="CI173" s="26">
        <f t="shared" si="341"/>
        <v>22.484999999999999</v>
      </c>
      <c r="CJ173" s="26">
        <f t="shared" si="341"/>
        <v>22.484999999999999</v>
      </c>
      <c r="CK173" s="26">
        <f t="shared" si="341"/>
        <v>22.484999999999999</v>
      </c>
      <c r="CL173" s="26">
        <f t="shared" si="341"/>
        <v>22.484999999999999</v>
      </c>
      <c r="CM173" s="26">
        <f t="shared" si="341"/>
        <v>22.484999999999999</v>
      </c>
      <c r="CN173" s="26">
        <f t="shared" si="341"/>
        <v>22.484999999999999</v>
      </c>
      <c r="CO173" s="26">
        <f t="shared" si="341"/>
        <v>22.484999999999999</v>
      </c>
      <c r="CP173" s="26">
        <f t="shared" si="341"/>
        <v>22.484999999999999</v>
      </c>
      <c r="CQ173" s="26">
        <f t="shared" si="341"/>
        <v>22.484999999999999</v>
      </c>
      <c r="CR173" s="26">
        <f t="shared" si="341"/>
        <v>22.484999999999999</v>
      </c>
      <c r="CS173" s="26">
        <f t="shared" si="341"/>
        <v>22.484999999999999</v>
      </c>
      <c r="CT173" s="26">
        <f t="shared" si="341"/>
        <v>22.484999999999999</v>
      </c>
      <c r="CU173" s="26">
        <f t="shared" si="341"/>
        <v>22.484999999999999</v>
      </c>
      <c r="CV173" s="26">
        <f>CU175</f>
        <v>22.484999999999999</v>
      </c>
      <c r="CW173" s="26">
        <f>CV175</f>
        <v>22.484999999999999</v>
      </c>
      <c r="CX173" s="26">
        <f>CW175</f>
        <v>22.484999999999999</v>
      </c>
      <c r="CY173" s="26">
        <f>CX175</f>
        <v>22.484999999999999</v>
      </c>
      <c r="CZ173" s="26">
        <f t="shared" ref="CZ173:DC173" si="342">CY175</f>
        <v>22.484999999999999</v>
      </c>
      <c r="DA173" s="26">
        <f t="shared" si="342"/>
        <v>22.484999999999999</v>
      </c>
      <c r="DB173" s="26">
        <f t="shared" si="342"/>
        <v>22.484999999999999</v>
      </c>
      <c r="DC173" s="26">
        <f t="shared" si="342"/>
        <v>22.484999999999999</v>
      </c>
    </row>
    <row r="174" spans="2:107" s="15" customFormat="1" ht="12.75" hidden="1" customHeight="1" outlineLevel="1">
      <c r="B174" s="876" t="s">
        <v>1121</v>
      </c>
      <c r="K174" s="26">
        <f>SUM(BD174:BG174)</f>
        <v>0</v>
      </c>
      <c r="L174" s="26">
        <f>SUM(BH174:BK174)</f>
        <v>0</v>
      </c>
      <c r="M174" s="26"/>
      <c r="N174" s="26">
        <f t="shared" ref="N174:T174" si="343">N175-N173</f>
        <v>0</v>
      </c>
      <c r="O174" s="26">
        <f t="shared" si="343"/>
        <v>24.161000000000001</v>
      </c>
      <c r="P174" s="26">
        <f t="shared" si="343"/>
        <v>0</v>
      </c>
      <c r="Q174" s="26">
        <f t="shared" si="343"/>
        <v>-1.6760000000000019</v>
      </c>
      <c r="R174" s="26">
        <f t="shared" si="343"/>
        <v>0</v>
      </c>
      <c r="S174" s="26">
        <f t="shared" si="343"/>
        <v>0</v>
      </c>
      <c r="T174" s="26">
        <f t="shared" si="343"/>
        <v>0</v>
      </c>
      <c r="U174" s="26">
        <f>+SUM(CR174:CU174)</f>
        <v>0</v>
      </c>
      <c r="V174" s="26">
        <f>+SUM(CS174:CV174)</f>
        <v>0</v>
      </c>
      <c r="W174" s="26">
        <f>+SUM(CT174:CW174)</f>
        <v>0</v>
      </c>
      <c r="X174" s="1000">
        <v>0</v>
      </c>
      <c r="Y174" s="1000">
        <v>0</v>
      </c>
      <c r="Z174" s="1000">
        <v>0</v>
      </c>
      <c r="AA174" s="1000">
        <v>0</v>
      </c>
      <c r="AB174" s="1000">
        <v>0</v>
      </c>
      <c r="AC174" s="1000">
        <v>0</v>
      </c>
      <c r="AD174" s="1000">
        <v>0</v>
      </c>
      <c r="AF174" s="1006"/>
      <c r="AG174" s="1006"/>
      <c r="AH174" s="1006"/>
      <c r="AI174" s="1006"/>
      <c r="AJ174" s="1006"/>
      <c r="AK174" s="1006"/>
      <c r="AL174" s="1006"/>
      <c r="AM174" s="1006"/>
      <c r="AN174" s="1006"/>
      <c r="AO174" s="1006"/>
      <c r="AP174" s="1006"/>
      <c r="AQ174" s="1006"/>
      <c r="AR174" s="1006"/>
      <c r="AS174" s="1006"/>
      <c r="AT174" s="1006"/>
      <c r="AU174" s="1006"/>
      <c r="AV174" s="1006"/>
      <c r="AW174" s="1006"/>
      <c r="AX174" s="1006"/>
      <c r="AY174" s="1006"/>
      <c r="AZ174" s="1006"/>
      <c r="BA174" s="1006"/>
      <c r="BB174" s="1006"/>
      <c r="BC174" s="1006"/>
      <c r="BD174" s="1006"/>
      <c r="BE174" s="1006"/>
      <c r="BF174" s="1006"/>
      <c r="BG174" s="1006"/>
      <c r="BH174" s="1006"/>
      <c r="BI174" s="1006"/>
      <c r="BJ174" s="1006"/>
      <c r="BK174" s="1006"/>
      <c r="BL174" s="1006"/>
      <c r="BM174" s="1006"/>
      <c r="BN174" s="1006"/>
      <c r="BO174" s="1006"/>
      <c r="BP174" s="1006"/>
      <c r="BQ174" s="1006"/>
      <c r="BR174" s="1006"/>
      <c r="BS174" s="26"/>
      <c r="BT174" s="1000"/>
      <c r="BU174" s="1000"/>
      <c r="BV174" s="1000"/>
      <c r="BW174" s="1000">
        <v>24.161000000000001</v>
      </c>
      <c r="BX174" s="1000">
        <v>0</v>
      </c>
      <c r="BY174" s="1000">
        <v>0</v>
      </c>
      <c r="BZ174" s="1000">
        <v>0</v>
      </c>
      <c r="CA174" s="1000">
        <v>0</v>
      </c>
      <c r="CB174" s="1000">
        <v>0</v>
      </c>
      <c r="CC174" s="1000">
        <v>0</v>
      </c>
      <c r="CD174" s="1000">
        <v>0</v>
      </c>
      <c r="CE174" s="783">
        <f>22.485-CD175</f>
        <v>-1.6760000000000019</v>
      </c>
      <c r="CF174" s="1000">
        <v>0</v>
      </c>
      <c r="CG174" s="1000">
        <v>0</v>
      </c>
      <c r="CH174" s="1000">
        <v>0</v>
      </c>
      <c r="CI174" s="1000">
        <v>0</v>
      </c>
      <c r="CJ174" s="1000">
        <v>0</v>
      </c>
      <c r="CK174" s="1000">
        <v>0</v>
      </c>
      <c r="CL174" s="1000">
        <v>0</v>
      </c>
      <c r="CM174" s="1000">
        <v>0</v>
      </c>
      <c r="CN174" s="1000">
        <v>0</v>
      </c>
      <c r="CO174" s="1000">
        <v>0</v>
      </c>
      <c r="CP174" s="1000">
        <v>0</v>
      </c>
      <c r="CQ174" s="1000">
        <v>0</v>
      </c>
      <c r="CR174" s="1000">
        <v>0</v>
      </c>
      <c r="CS174" s="1000">
        <v>0</v>
      </c>
      <c r="CT174" s="1000">
        <v>0</v>
      </c>
      <c r="CU174" s="1000">
        <v>0</v>
      </c>
      <c r="CV174" s="1000">
        <v>0</v>
      </c>
      <c r="CW174" s="1000">
        <v>0</v>
      </c>
      <c r="CX174" s="1000">
        <v>0</v>
      </c>
      <c r="CY174" s="1000">
        <v>0</v>
      </c>
      <c r="CZ174" s="1000">
        <v>0</v>
      </c>
      <c r="DA174" s="1000">
        <v>0</v>
      </c>
      <c r="DB174" s="1000">
        <v>0</v>
      </c>
      <c r="DC174" s="1000">
        <v>0</v>
      </c>
    </row>
    <row r="175" spans="2:107" s="15" customFormat="1" ht="12.75" hidden="1" customHeight="1" outlineLevel="1">
      <c r="B175" s="876" t="s">
        <v>1044</v>
      </c>
      <c r="J175" s="26">
        <f>BC175</f>
        <v>0</v>
      </c>
      <c r="K175" s="26">
        <f>SUM(K173:K174)</f>
        <v>0</v>
      </c>
      <c r="L175" s="26">
        <f>SUM(L173:L174)</f>
        <v>0</v>
      </c>
      <c r="M175" s="54">
        <f>BO175</f>
        <v>0</v>
      </c>
      <c r="N175" s="26">
        <f>BS175</f>
        <v>0</v>
      </c>
      <c r="O175" s="26">
        <f>BW175</f>
        <v>24.161000000000001</v>
      </c>
      <c r="P175" s="26">
        <f>CA175</f>
        <v>24.161000000000001</v>
      </c>
      <c r="Q175" s="26">
        <f>CE175</f>
        <v>22.484999999999999</v>
      </c>
      <c r="R175" s="26">
        <f>CI175</f>
        <v>22.484999999999999</v>
      </c>
      <c r="S175" s="26">
        <f>CM175</f>
        <v>22.484999999999999</v>
      </c>
      <c r="T175" s="26">
        <f>CN175</f>
        <v>22.484999999999999</v>
      </c>
      <c r="U175" s="26">
        <f t="shared" ref="U175:Z175" si="344">SUM(U173:U174)</f>
        <v>22.484999999999999</v>
      </c>
      <c r="V175" s="26">
        <f>SUM(V173:V174)</f>
        <v>22.484999999999999</v>
      </c>
      <c r="W175" s="26">
        <f>SUM(W173:W174)</f>
        <v>22.484999999999999</v>
      </c>
      <c r="X175" s="26">
        <f t="shared" si="344"/>
        <v>22.484999999999999</v>
      </c>
      <c r="Y175" s="26">
        <f t="shared" si="344"/>
        <v>22.484999999999999</v>
      </c>
      <c r="Z175" s="26">
        <f t="shared" si="344"/>
        <v>22.484999999999999</v>
      </c>
      <c r="AA175" s="26">
        <f t="shared" ref="AA175:AD175" si="345">SUM(AA173:AA174)</f>
        <v>22.484999999999999</v>
      </c>
      <c r="AB175" s="26">
        <f t="shared" si="345"/>
        <v>22.484999999999999</v>
      </c>
      <c r="AC175" s="26">
        <f t="shared" si="345"/>
        <v>22.484999999999999</v>
      </c>
      <c r="AD175" s="26">
        <f t="shared" si="345"/>
        <v>22.484999999999999</v>
      </c>
      <c r="AF175" s="26"/>
      <c r="AG175" s="26"/>
      <c r="AH175" s="26"/>
      <c r="AI175" s="26"/>
      <c r="AJ175" s="26"/>
      <c r="AK175" s="26"/>
      <c r="AL175" s="26"/>
      <c r="AM175" s="26"/>
      <c r="AN175" s="26"/>
      <c r="AO175" s="26"/>
      <c r="AP175" s="26"/>
      <c r="AQ175" s="26"/>
      <c r="AR175" s="26"/>
      <c r="AS175" s="26"/>
      <c r="AT175" s="26"/>
      <c r="AU175" s="26"/>
      <c r="AV175" s="26"/>
      <c r="AW175" s="26"/>
      <c r="AX175" s="26"/>
      <c r="AY175" s="26"/>
      <c r="AZ175" s="26"/>
      <c r="BA175" s="26"/>
      <c r="BB175" s="26"/>
      <c r="BC175" s="26"/>
      <c r="BD175" s="26"/>
      <c r="BE175" s="26"/>
      <c r="BF175" s="26"/>
      <c r="BG175" s="26"/>
      <c r="BH175" s="26"/>
      <c r="BI175" s="26"/>
      <c r="BJ175" s="26"/>
      <c r="BK175" s="26"/>
      <c r="BL175" s="26"/>
      <c r="BM175" s="26"/>
      <c r="BN175" s="26"/>
      <c r="BO175" s="26"/>
      <c r="BP175" s="26"/>
      <c r="BQ175" s="26"/>
      <c r="BR175" s="883"/>
      <c r="BS175" s="783"/>
      <c r="BT175" s="54"/>
      <c r="BU175" s="54"/>
      <c r="BV175" s="54"/>
      <c r="BW175" s="54">
        <f t="shared" ref="BW175:CT175" si="346">SUM(BW173:BW174)</f>
        <v>24.161000000000001</v>
      </c>
      <c r="BX175" s="54">
        <f t="shared" si="346"/>
        <v>24.161000000000001</v>
      </c>
      <c r="BY175" s="54">
        <f t="shared" si="346"/>
        <v>24.161000000000001</v>
      </c>
      <c r="BZ175" s="54">
        <f t="shared" si="346"/>
        <v>24.161000000000001</v>
      </c>
      <c r="CA175" s="54">
        <f t="shared" si="346"/>
        <v>24.161000000000001</v>
      </c>
      <c r="CB175" s="54">
        <f t="shared" si="346"/>
        <v>24.161000000000001</v>
      </c>
      <c r="CC175" s="54">
        <f t="shared" si="346"/>
        <v>24.161000000000001</v>
      </c>
      <c r="CD175" s="54">
        <f t="shared" si="346"/>
        <v>24.161000000000001</v>
      </c>
      <c r="CE175" s="54">
        <f t="shared" si="346"/>
        <v>22.484999999999999</v>
      </c>
      <c r="CF175" s="54">
        <f t="shared" si="346"/>
        <v>22.484999999999999</v>
      </c>
      <c r="CG175" s="54">
        <f t="shared" si="346"/>
        <v>22.484999999999999</v>
      </c>
      <c r="CH175" s="54">
        <f t="shared" si="346"/>
        <v>22.484999999999999</v>
      </c>
      <c r="CI175" s="54">
        <f t="shared" si="346"/>
        <v>22.484999999999999</v>
      </c>
      <c r="CJ175" s="54">
        <f t="shared" si="346"/>
        <v>22.484999999999999</v>
      </c>
      <c r="CK175" s="54">
        <f t="shared" si="346"/>
        <v>22.484999999999999</v>
      </c>
      <c r="CL175" s="54">
        <f t="shared" si="346"/>
        <v>22.484999999999999</v>
      </c>
      <c r="CM175" s="54">
        <f t="shared" si="346"/>
        <v>22.484999999999999</v>
      </c>
      <c r="CN175" s="54">
        <f t="shared" si="346"/>
        <v>22.484999999999999</v>
      </c>
      <c r="CO175" s="54">
        <f t="shared" si="346"/>
        <v>22.484999999999999</v>
      </c>
      <c r="CP175" s="54">
        <f t="shared" si="346"/>
        <v>22.484999999999999</v>
      </c>
      <c r="CQ175" s="54">
        <f>SUM(CQ173:CQ174)</f>
        <v>22.484999999999999</v>
      </c>
      <c r="CR175" s="54">
        <f t="shared" si="346"/>
        <v>22.484999999999999</v>
      </c>
      <c r="CS175" s="54">
        <f t="shared" si="346"/>
        <v>22.484999999999999</v>
      </c>
      <c r="CT175" s="54">
        <f t="shared" si="346"/>
        <v>22.484999999999999</v>
      </c>
      <c r="CU175" s="54">
        <f>SUM(CU173:CU174)</f>
        <v>22.484999999999999</v>
      </c>
      <c r="CV175" s="54">
        <f>SUM(CV173:CV174)</f>
        <v>22.484999999999999</v>
      </c>
      <c r="CW175" s="54">
        <f>SUM(CW173:CW174)</f>
        <v>22.484999999999999</v>
      </c>
      <c r="CX175" s="54">
        <f>SUM(CX173:CX174)</f>
        <v>22.484999999999999</v>
      </c>
      <c r="CY175" s="54">
        <f>SUM(CY173:CY174)</f>
        <v>22.484999999999999</v>
      </c>
      <c r="CZ175" s="54">
        <f t="shared" ref="CZ175:DC175" si="347">SUM(CZ173:CZ174)</f>
        <v>22.484999999999999</v>
      </c>
      <c r="DA175" s="54">
        <f t="shared" si="347"/>
        <v>22.484999999999999</v>
      </c>
      <c r="DB175" s="54">
        <f t="shared" si="347"/>
        <v>22.484999999999999</v>
      </c>
      <c r="DC175" s="54">
        <f t="shared" si="347"/>
        <v>22.484999999999999</v>
      </c>
    </row>
    <row r="176" spans="2:107" s="15" customFormat="1" ht="12.75" hidden="1" customHeight="1" outlineLevel="1">
      <c r="B176" s="876"/>
      <c r="J176" s="1004"/>
      <c r="K176" s="1004"/>
      <c r="L176" s="1004"/>
      <c r="M176" s="1004"/>
      <c r="N176" s="1004"/>
      <c r="O176" s="1004"/>
      <c r="P176" s="1004"/>
      <c r="Q176" s="1004"/>
      <c r="R176" s="1004"/>
      <c r="S176" s="1004"/>
      <c r="T176" s="1004"/>
      <c r="U176" s="1004"/>
      <c r="V176" s="1004"/>
      <c r="W176" s="1004"/>
      <c r="X176" s="1004"/>
      <c r="Y176" s="1004"/>
      <c r="Z176" s="1004"/>
      <c r="AA176" s="1004"/>
      <c r="AB176" s="1004"/>
      <c r="AC176" s="1004"/>
      <c r="AD176" s="1004"/>
      <c r="AF176" s="1004"/>
      <c r="AG176" s="1004"/>
      <c r="AH176" s="1004"/>
      <c r="AI176" s="1004"/>
      <c r="AJ176" s="1004"/>
      <c r="AK176" s="1004"/>
      <c r="AL176" s="1004"/>
      <c r="AM176" s="1004"/>
      <c r="AN176" s="1004"/>
      <c r="AO176" s="1004"/>
      <c r="AP176" s="1004"/>
      <c r="AQ176" s="1004"/>
      <c r="AR176" s="1004"/>
      <c r="AS176" s="1004"/>
      <c r="AT176" s="1004"/>
      <c r="AU176" s="1004"/>
      <c r="AV176" s="1004"/>
      <c r="AW176" s="1004"/>
      <c r="AX176" s="1004"/>
      <c r="AY176" s="1004"/>
      <c r="AZ176" s="1004"/>
      <c r="BA176" s="1004"/>
      <c r="BB176" s="1004"/>
      <c r="BC176" s="1004"/>
      <c r="BD176" s="1004"/>
      <c r="BE176" s="1004"/>
      <c r="BF176" s="1004"/>
      <c r="BG176" s="1004"/>
      <c r="BH176" s="1004"/>
      <c r="BI176" s="1004"/>
      <c r="BJ176" s="1004"/>
      <c r="BK176" s="1004"/>
      <c r="BL176" s="1004"/>
      <c r="BM176" s="1004"/>
      <c r="BN176" s="1004"/>
      <c r="BO176" s="1004"/>
      <c r="BP176" s="1004"/>
      <c r="BQ176" s="1004"/>
      <c r="BR176" s="1004"/>
      <c r="BS176" s="1004"/>
      <c r="BT176" s="1004"/>
      <c r="BU176" s="1004"/>
      <c r="BV176" s="1004"/>
      <c r="BW176" s="1004"/>
      <c r="BX176" s="1004"/>
      <c r="BY176" s="1004"/>
      <c r="BZ176" s="1004"/>
      <c r="CA176" s="1004"/>
      <c r="CB176" s="1004"/>
      <c r="CC176" s="1004"/>
      <c r="CD176" s="1004"/>
      <c r="CE176" s="1004"/>
      <c r="CF176" s="1004"/>
      <c r="CG176" s="1004"/>
      <c r="CH176" s="1004"/>
      <c r="CI176" s="1004"/>
      <c r="CJ176" s="1004"/>
      <c r="CK176" s="1004"/>
      <c r="CL176" s="1004"/>
      <c r="CM176" s="1004"/>
      <c r="CN176" s="1004"/>
      <c r="CO176" s="1004"/>
      <c r="CP176" s="1004"/>
      <c r="CQ176" s="1004"/>
      <c r="CR176" s="1004"/>
      <c r="CS176" s="1004"/>
      <c r="CT176" s="1004"/>
      <c r="CU176" s="1004"/>
      <c r="CV176" s="1004"/>
      <c r="CW176" s="1004"/>
      <c r="CX176" s="1004"/>
      <c r="CY176" s="1004"/>
      <c r="CZ176" s="1004"/>
      <c r="DA176" s="1004"/>
      <c r="DB176" s="1004"/>
      <c r="DC176" s="1004"/>
    </row>
    <row r="177" spans="2:107" s="15" customFormat="1" hidden="1" outlineLevel="1" collapsed="1">
      <c r="B177" s="15" t="s">
        <v>1212</v>
      </c>
    </row>
    <row r="178" spans="2:107" s="15" customFormat="1" hidden="1" outlineLevel="1">
      <c r="B178" s="876" t="s">
        <v>1118</v>
      </c>
      <c r="K178" s="783"/>
      <c r="L178" s="26"/>
      <c r="M178" s="26"/>
      <c r="N178" s="26">
        <f>BS178</f>
        <v>0</v>
      </c>
      <c r="O178" s="26">
        <f t="shared" ref="O178:Z178" si="348">N180</f>
        <v>0</v>
      </c>
      <c r="P178" s="26">
        <f t="shared" si="348"/>
        <v>0</v>
      </c>
      <c r="Q178" s="26">
        <f t="shared" si="348"/>
        <v>0</v>
      </c>
      <c r="R178" s="26">
        <f t="shared" si="348"/>
        <v>20.864999999999998</v>
      </c>
      <c r="S178" s="26">
        <f t="shared" si="348"/>
        <v>20.864999999999998</v>
      </c>
      <c r="T178" s="26">
        <f t="shared" si="348"/>
        <v>20.864999999999998</v>
      </c>
      <c r="U178" s="26">
        <f t="shared" si="348"/>
        <v>20.864999999999998</v>
      </c>
      <c r="V178" s="26">
        <f t="shared" si="348"/>
        <v>20.864999999999998</v>
      </c>
      <c r="W178" s="26">
        <f t="shared" si="348"/>
        <v>20.864999999999998</v>
      </c>
      <c r="X178" s="26">
        <f t="shared" si="348"/>
        <v>20.864999999999998</v>
      </c>
      <c r="Y178" s="26">
        <f t="shared" si="348"/>
        <v>20.864999999999998</v>
      </c>
      <c r="Z178" s="26">
        <f t="shared" si="348"/>
        <v>20.864999999999998</v>
      </c>
      <c r="AA178" s="26">
        <f t="shared" ref="AA178" si="349">Z180</f>
        <v>20.864999999999998</v>
      </c>
      <c r="AB178" s="26">
        <f t="shared" ref="AB178" si="350">AA180</f>
        <v>20.864999999999998</v>
      </c>
      <c r="AC178" s="26">
        <f t="shared" ref="AC178" si="351">AB180</f>
        <v>20.864999999999998</v>
      </c>
      <c r="AD178" s="26">
        <f t="shared" ref="AD178" si="352">AC180</f>
        <v>20.864999999999998</v>
      </c>
      <c r="AF178" s="26"/>
      <c r="AG178" s="26"/>
      <c r="AH178" s="26"/>
      <c r="AI178" s="26"/>
      <c r="AJ178" s="26"/>
      <c r="AK178" s="26"/>
      <c r="AL178" s="26"/>
      <c r="AM178" s="26"/>
      <c r="AN178" s="26"/>
      <c r="AO178" s="26"/>
      <c r="AP178" s="26"/>
      <c r="AQ178" s="26"/>
      <c r="AR178" s="26"/>
      <c r="AS178" s="26"/>
      <c r="AT178" s="26"/>
      <c r="AU178" s="26"/>
      <c r="AV178" s="26"/>
      <c r="AW178" s="26"/>
      <c r="AX178" s="26"/>
      <c r="AY178" s="26"/>
      <c r="AZ178" s="26"/>
      <c r="BA178" s="26"/>
      <c r="BB178" s="26"/>
      <c r="BC178" s="26"/>
      <c r="BD178" s="26"/>
      <c r="BE178" s="26"/>
      <c r="BF178" s="26"/>
      <c r="BG178" s="26"/>
      <c r="BH178" s="26"/>
      <c r="BI178" s="26"/>
      <c r="BJ178" s="26"/>
      <c r="BK178" s="26"/>
      <c r="BL178" s="26"/>
      <c r="BM178" s="26"/>
      <c r="BN178" s="26"/>
      <c r="BO178" s="26"/>
      <c r="BP178" s="26"/>
      <c r="BQ178" s="26"/>
      <c r="BR178" s="26"/>
      <c r="BS178" s="26"/>
      <c r="BT178" s="26"/>
      <c r="BU178" s="26"/>
      <c r="BV178" s="26"/>
      <c r="BW178" s="26"/>
      <c r="BX178" s="26"/>
      <c r="BY178" s="26"/>
      <c r="BZ178" s="26"/>
      <c r="CA178" s="26"/>
      <c r="CB178" s="26"/>
      <c r="CC178" s="26"/>
      <c r="CD178" s="26"/>
      <c r="CE178" s="26"/>
      <c r="CF178" s="26">
        <f t="shared" ref="CF178:CU178" si="353">CE180</f>
        <v>20.864999999999998</v>
      </c>
      <c r="CG178" s="26">
        <f t="shared" si="353"/>
        <v>20.864999999999998</v>
      </c>
      <c r="CH178" s="26">
        <f t="shared" si="353"/>
        <v>20.864999999999998</v>
      </c>
      <c r="CI178" s="26">
        <f t="shared" si="353"/>
        <v>20.864999999999998</v>
      </c>
      <c r="CJ178" s="26">
        <f t="shared" si="353"/>
        <v>20.864999999999998</v>
      </c>
      <c r="CK178" s="26">
        <f t="shared" si="353"/>
        <v>20.864999999999998</v>
      </c>
      <c r="CL178" s="26">
        <f t="shared" si="353"/>
        <v>20.864999999999998</v>
      </c>
      <c r="CM178" s="26">
        <f t="shared" si="353"/>
        <v>20.864999999999998</v>
      </c>
      <c r="CN178" s="26">
        <f t="shared" si="353"/>
        <v>20.864999999999998</v>
      </c>
      <c r="CO178" s="26">
        <f t="shared" si="353"/>
        <v>20.864999999999998</v>
      </c>
      <c r="CP178" s="26">
        <f t="shared" si="353"/>
        <v>20.864999999999998</v>
      </c>
      <c r="CQ178" s="26">
        <f t="shared" si="353"/>
        <v>20.864999999999998</v>
      </c>
      <c r="CR178" s="26">
        <f t="shared" si="353"/>
        <v>20.864999999999998</v>
      </c>
      <c r="CS178" s="26">
        <f t="shared" si="353"/>
        <v>20.864999999999998</v>
      </c>
      <c r="CT178" s="26">
        <f t="shared" si="353"/>
        <v>20.864999999999998</v>
      </c>
      <c r="CU178" s="26">
        <f t="shared" si="353"/>
        <v>20.864999999999998</v>
      </c>
      <c r="CV178" s="26">
        <f>CU180</f>
        <v>20.864999999999998</v>
      </c>
      <c r="CW178" s="26">
        <f>CV180</f>
        <v>20.864999999999998</v>
      </c>
      <c r="CX178" s="26">
        <f>CW180</f>
        <v>20.864999999999998</v>
      </c>
      <c r="CY178" s="26">
        <f>CX180</f>
        <v>20.864999999999998</v>
      </c>
      <c r="CZ178" s="26">
        <f t="shared" ref="CZ178:DC178" si="354">CY180</f>
        <v>20.864999999999998</v>
      </c>
      <c r="DA178" s="26">
        <f t="shared" si="354"/>
        <v>20.864999999999998</v>
      </c>
      <c r="DB178" s="26">
        <f t="shared" si="354"/>
        <v>20.864999999999998</v>
      </c>
      <c r="DC178" s="26">
        <f t="shared" si="354"/>
        <v>20.864999999999998</v>
      </c>
    </row>
    <row r="179" spans="2:107" s="15" customFormat="1" hidden="1" outlineLevel="1">
      <c r="B179" s="876" t="s">
        <v>1121</v>
      </c>
      <c r="K179" s="783"/>
      <c r="L179" s="26"/>
      <c r="M179" s="26"/>
      <c r="N179" s="26">
        <f t="shared" ref="N179:T179" si="355">N180-N178</f>
        <v>0</v>
      </c>
      <c r="O179" s="26">
        <f t="shared" si="355"/>
        <v>0</v>
      </c>
      <c r="P179" s="26">
        <f t="shared" si="355"/>
        <v>0</v>
      </c>
      <c r="Q179" s="26">
        <f t="shared" si="355"/>
        <v>20.864999999999998</v>
      </c>
      <c r="R179" s="26">
        <f t="shared" si="355"/>
        <v>0</v>
      </c>
      <c r="S179" s="26">
        <f t="shared" si="355"/>
        <v>0</v>
      </c>
      <c r="T179" s="26">
        <f t="shared" si="355"/>
        <v>0</v>
      </c>
      <c r="U179" s="26">
        <f>+SUM(CR179:CU179)</f>
        <v>0</v>
      </c>
      <c r="V179" s="26">
        <f>+SUM(CS179:CV179)</f>
        <v>0</v>
      </c>
      <c r="W179" s="26">
        <f>+SUM(CT179:CW179)</f>
        <v>0</v>
      </c>
      <c r="X179" s="1000">
        <v>0</v>
      </c>
      <c r="Y179" s="1000">
        <v>0</v>
      </c>
      <c r="Z179" s="1000">
        <v>0</v>
      </c>
      <c r="AA179" s="1000">
        <v>0</v>
      </c>
      <c r="AB179" s="1000">
        <v>0</v>
      </c>
      <c r="AC179" s="1000">
        <v>0</v>
      </c>
      <c r="AD179" s="1000">
        <v>0</v>
      </c>
      <c r="AF179" s="772"/>
      <c r="AG179" s="772"/>
      <c r="AH179" s="772"/>
      <c r="AI179" s="772"/>
      <c r="AJ179" s="772"/>
      <c r="AK179" s="772"/>
      <c r="AL179" s="772"/>
      <c r="AM179" s="772"/>
      <c r="AN179" s="772"/>
      <c r="AO179" s="772"/>
      <c r="AP179" s="772"/>
      <c r="AQ179" s="772"/>
      <c r="AR179" s="772"/>
      <c r="AS179" s="772"/>
      <c r="AT179" s="772"/>
      <c r="AU179" s="772"/>
      <c r="AV179" s="772"/>
      <c r="AW179" s="772"/>
      <c r="AX179" s="772"/>
      <c r="AY179" s="772"/>
      <c r="AZ179" s="772"/>
      <c r="BA179" s="772"/>
      <c r="BB179" s="772"/>
      <c r="BC179" s="772"/>
      <c r="BD179" s="772"/>
      <c r="BE179" s="772"/>
      <c r="BF179" s="772"/>
      <c r="BG179" s="772"/>
      <c r="BH179" s="772"/>
      <c r="BI179" s="772"/>
      <c r="BJ179" s="772"/>
      <c r="BK179" s="772"/>
      <c r="BL179" s="772"/>
      <c r="BM179" s="772"/>
      <c r="BN179" s="772"/>
      <c r="BO179" s="772"/>
      <c r="BP179" s="1000"/>
      <c r="BQ179" s="1000"/>
      <c r="BR179" s="1000"/>
      <c r="BS179" s="1000"/>
      <c r="BT179" s="1000"/>
      <c r="BU179" s="1000"/>
      <c r="BV179" s="1000"/>
      <c r="BW179" s="1000"/>
      <c r="BX179" s="1000"/>
      <c r="BY179" s="1000"/>
      <c r="BZ179" s="1000"/>
      <c r="CA179" s="1000"/>
      <c r="CB179" s="1000"/>
      <c r="CC179" s="1000"/>
      <c r="CD179" s="1000"/>
      <c r="CE179" s="772"/>
      <c r="CF179" s="1000">
        <f t="shared" ref="CF179:CU179" si="356">CE179</f>
        <v>0</v>
      </c>
      <c r="CG179" s="1000">
        <f t="shared" si="356"/>
        <v>0</v>
      </c>
      <c r="CH179" s="1000">
        <f t="shared" si="356"/>
        <v>0</v>
      </c>
      <c r="CI179" s="1000">
        <f t="shared" si="356"/>
        <v>0</v>
      </c>
      <c r="CJ179" s="1000">
        <f t="shared" si="356"/>
        <v>0</v>
      </c>
      <c r="CK179" s="1000">
        <f t="shared" si="356"/>
        <v>0</v>
      </c>
      <c r="CL179" s="1000">
        <f t="shared" si="356"/>
        <v>0</v>
      </c>
      <c r="CM179" s="1000">
        <f t="shared" si="356"/>
        <v>0</v>
      </c>
      <c r="CN179" s="1000">
        <f t="shared" si="356"/>
        <v>0</v>
      </c>
      <c r="CO179" s="1000">
        <f t="shared" si="356"/>
        <v>0</v>
      </c>
      <c r="CP179" s="1000">
        <f t="shared" si="356"/>
        <v>0</v>
      </c>
      <c r="CQ179" s="1000">
        <f t="shared" si="356"/>
        <v>0</v>
      </c>
      <c r="CR179" s="1000">
        <f t="shared" si="356"/>
        <v>0</v>
      </c>
      <c r="CS179" s="1000">
        <f t="shared" si="356"/>
        <v>0</v>
      </c>
      <c r="CT179" s="1000">
        <f t="shared" si="356"/>
        <v>0</v>
      </c>
      <c r="CU179" s="1000">
        <f t="shared" si="356"/>
        <v>0</v>
      </c>
      <c r="CV179" s="1000">
        <f>CU179</f>
        <v>0</v>
      </c>
      <c r="CW179" s="1000">
        <f>CV179</f>
        <v>0</v>
      </c>
      <c r="CX179" s="1000">
        <f>CW179</f>
        <v>0</v>
      </c>
      <c r="CY179" s="1000">
        <f>CX179</f>
        <v>0</v>
      </c>
      <c r="CZ179" s="1000">
        <f t="shared" ref="CZ179:DC179" si="357">CY179</f>
        <v>0</v>
      </c>
      <c r="DA179" s="1000">
        <f t="shared" si="357"/>
        <v>0</v>
      </c>
      <c r="DB179" s="1000">
        <f t="shared" si="357"/>
        <v>0</v>
      </c>
      <c r="DC179" s="1000">
        <f t="shared" si="357"/>
        <v>0</v>
      </c>
    </row>
    <row r="180" spans="2:107" s="15" customFormat="1" hidden="1" outlineLevel="1">
      <c r="B180" s="876" t="s">
        <v>1044</v>
      </c>
      <c r="K180" s="783"/>
      <c r="L180" s="26"/>
      <c r="M180" s="54">
        <f>BO180</f>
        <v>0</v>
      </c>
      <c r="N180" s="26">
        <f>BS180</f>
        <v>0</v>
      </c>
      <c r="O180" s="26">
        <f>BW180</f>
        <v>0</v>
      </c>
      <c r="P180" s="26">
        <f>CA180</f>
        <v>0</v>
      </c>
      <c r="Q180" s="26">
        <f>CE180</f>
        <v>20.864999999999998</v>
      </c>
      <c r="R180" s="26">
        <f>CI180</f>
        <v>20.864999999999998</v>
      </c>
      <c r="S180" s="26">
        <f>CM180</f>
        <v>20.864999999999998</v>
      </c>
      <c r="T180" s="26">
        <f>CN180</f>
        <v>20.864999999999998</v>
      </c>
      <c r="U180" s="26">
        <f t="shared" ref="U180:Z180" si="358">SUM(U178:U179)</f>
        <v>20.864999999999998</v>
      </c>
      <c r="V180" s="26">
        <f>SUM(V178:V179)</f>
        <v>20.864999999999998</v>
      </c>
      <c r="W180" s="26">
        <f>SUM(W178:W179)</f>
        <v>20.864999999999998</v>
      </c>
      <c r="X180" s="54">
        <f t="shared" si="358"/>
        <v>20.864999999999998</v>
      </c>
      <c r="Y180" s="54">
        <f t="shared" si="358"/>
        <v>20.864999999999998</v>
      </c>
      <c r="Z180" s="54">
        <f t="shared" si="358"/>
        <v>20.864999999999998</v>
      </c>
      <c r="AA180" s="54">
        <f t="shared" ref="AA180:AD180" si="359">SUM(AA178:AA179)</f>
        <v>20.864999999999998</v>
      </c>
      <c r="AB180" s="54">
        <f t="shared" si="359"/>
        <v>20.864999999999998</v>
      </c>
      <c r="AC180" s="54">
        <f t="shared" si="359"/>
        <v>20.864999999999998</v>
      </c>
      <c r="AD180" s="54">
        <f t="shared" si="359"/>
        <v>20.864999999999998</v>
      </c>
      <c r="AF180" s="54"/>
      <c r="AG180" s="54"/>
      <c r="AH180" s="54"/>
      <c r="AI180" s="54"/>
      <c r="AJ180" s="54"/>
      <c r="AK180" s="54"/>
      <c r="AL180" s="54"/>
      <c r="AM180" s="54"/>
      <c r="AN180" s="54"/>
      <c r="AO180" s="54"/>
      <c r="AP180" s="54"/>
      <c r="AQ180" s="54"/>
      <c r="AR180" s="54"/>
      <c r="AS180" s="54"/>
      <c r="AT180" s="54"/>
      <c r="AU180" s="54"/>
      <c r="AV180" s="54"/>
      <c r="AW180" s="54"/>
      <c r="AX180" s="54"/>
      <c r="AY180" s="54"/>
      <c r="AZ180" s="54"/>
      <c r="BA180" s="54"/>
      <c r="BB180" s="54"/>
      <c r="BC180" s="54"/>
      <c r="BD180" s="54"/>
      <c r="BE180" s="54"/>
      <c r="BF180" s="54"/>
      <c r="BG180" s="54"/>
      <c r="BH180" s="54"/>
      <c r="BI180" s="54"/>
      <c r="BJ180" s="54"/>
      <c r="BK180" s="54"/>
      <c r="BL180" s="54"/>
      <c r="BM180" s="54"/>
      <c r="BN180" s="54"/>
      <c r="BO180" s="1000"/>
      <c r="BP180" s="54"/>
      <c r="BQ180" s="54"/>
      <c r="BR180" s="54"/>
      <c r="BS180" s="54"/>
      <c r="BT180" s="54"/>
      <c r="BU180" s="54"/>
      <c r="BV180" s="54"/>
      <c r="BW180" s="54"/>
      <c r="BX180" s="54"/>
      <c r="BY180" s="54"/>
      <c r="BZ180" s="54"/>
      <c r="CA180" s="54"/>
      <c r="CB180" s="54"/>
      <c r="CC180" s="54"/>
      <c r="CD180" s="54"/>
      <c r="CE180" s="783">
        <v>20.864999999999998</v>
      </c>
      <c r="CF180" s="54">
        <f t="shared" ref="CF180:CT180" si="360">SUM(CF178:CF179)</f>
        <v>20.864999999999998</v>
      </c>
      <c r="CG180" s="54">
        <f t="shared" si="360"/>
        <v>20.864999999999998</v>
      </c>
      <c r="CH180" s="54">
        <f t="shared" si="360"/>
        <v>20.864999999999998</v>
      </c>
      <c r="CI180" s="54">
        <f t="shared" si="360"/>
        <v>20.864999999999998</v>
      </c>
      <c r="CJ180" s="54">
        <f t="shared" si="360"/>
        <v>20.864999999999998</v>
      </c>
      <c r="CK180" s="54">
        <f t="shared" si="360"/>
        <v>20.864999999999998</v>
      </c>
      <c r="CL180" s="54">
        <f t="shared" si="360"/>
        <v>20.864999999999998</v>
      </c>
      <c r="CM180" s="54">
        <f t="shared" si="360"/>
        <v>20.864999999999998</v>
      </c>
      <c r="CN180" s="54">
        <f t="shared" si="360"/>
        <v>20.864999999999998</v>
      </c>
      <c r="CO180" s="54">
        <f t="shared" si="360"/>
        <v>20.864999999999998</v>
      </c>
      <c r="CP180" s="54">
        <f t="shared" si="360"/>
        <v>20.864999999999998</v>
      </c>
      <c r="CQ180" s="54">
        <f>SUM(CQ178:CQ179)</f>
        <v>20.864999999999998</v>
      </c>
      <c r="CR180" s="54">
        <f t="shared" si="360"/>
        <v>20.864999999999998</v>
      </c>
      <c r="CS180" s="54">
        <f t="shared" si="360"/>
        <v>20.864999999999998</v>
      </c>
      <c r="CT180" s="54">
        <f t="shared" si="360"/>
        <v>20.864999999999998</v>
      </c>
      <c r="CU180" s="54">
        <f>SUM(CU178:CU179)</f>
        <v>20.864999999999998</v>
      </c>
      <c r="CV180" s="54">
        <f>SUM(CV178:CV179)</f>
        <v>20.864999999999998</v>
      </c>
      <c r="CW180" s="54">
        <f>SUM(CW178:CW179)</f>
        <v>20.864999999999998</v>
      </c>
      <c r="CX180" s="54">
        <f>SUM(CX178:CX179)</f>
        <v>20.864999999999998</v>
      </c>
      <c r="CY180" s="54">
        <f>SUM(CY178:CY179)</f>
        <v>20.864999999999998</v>
      </c>
      <c r="CZ180" s="54">
        <f t="shared" ref="CZ180:DC180" si="361">SUM(CZ178:CZ179)</f>
        <v>20.864999999999998</v>
      </c>
      <c r="DA180" s="54">
        <f t="shared" si="361"/>
        <v>20.864999999999998</v>
      </c>
      <c r="DB180" s="54">
        <f t="shared" si="361"/>
        <v>20.864999999999998</v>
      </c>
      <c r="DC180" s="54">
        <f t="shared" si="361"/>
        <v>20.864999999999998</v>
      </c>
    </row>
    <row r="181" spans="2:107" s="15" customFormat="1" hidden="1" outlineLevel="1">
      <c r="B181" s="876"/>
      <c r="K181" s="783"/>
      <c r="L181" s="26"/>
      <c r="M181" s="26"/>
      <c r="N181" s="1004"/>
      <c r="O181" s="1004"/>
      <c r="P181" s="1004"/>
      <c r="Q181" s="1004"/>
      <c r="R181" s="1004"/>
      <c r="S181" s="1004"/>
      <c r="T181" s="1004"/>
      <c r="U181" s="1004"/>
      <c r="V181" s="1004"/>
      <c r="W181" s="1004"/>
      <c r="X181" s="1004"/>
      <c r="Y181" s="1004"/>
      <c r="Z181" s="1004"/>
      <c r="AA181" s="1004"/>
      <c r="AB181" s="1004"/>
      <c r="AC181" s="1004"/>
      <c r="AD181" s="1004"/>
      <c r="AF181" s="1005"/>
      <c r="AG181" s="1005"/>
      <c r="AH181" s="1005"/>
      <c r="AI181" s="1005"/>
      <c r="AJ181" s="1005"/>
      <c r="AK181" s="1005"/>
      <c r="AL181" s="1005"/>
      <c r="AM181" s="1005"/>
      <c r="AN181" s="1005"/>
      <c r="AO181" s="1005"/>
      <c r="AP181" s="1005"/>
      <c r="AQ181" s="1005"/>
      <c r="AR181" s="1005"/>
      <c r="AS181" s="1005"/>
      <c r="AT181" s="1005"/>
      <c r="AU181" s="1005"/>
      <c r="AV181" s="1005"/>
      <c r="AW181" s="1005"/>
      <c r="AX181" s="1005"/>
      <c r="AY181" s="1005"/>
      <c r="AZ181" s="1005"/>
      <c r="BA181" s="1005"/>
      <c r="BB181" s="1005"/>
      <c r="BC181" s="1005"/>
      <c r="BD181" s="1005"/>
      <c r="BE181" s="1005"/>
      <c r="BF181" s="1005"/>
      <c r="BG181" s="1005"/>
      <c r="BH181" s="1005"/>
      <c r="BI181" s="1005"/>
      <c r="BJ181" s="1005"/>
      <c r="BK181" s="1005"/>
      <c r="BL181" s="1005"/>
      <c r="BM181" s="1005"/>
      <c r="BN181" s="1005"/>
      <c r="BO181" s="1005"/>
      <c r="BP181" s="1005"/>
      <c r="BQ181" s="1005"/>
      <c r="BR181" s="1005"/>
      <c r="BS181" s="789"/>
      <c r="BT181" s="789"/>
      <c r="BU181" s="789"/>
      <c r="BV181" s="789"/>
      <c r="BW181" s="789"/>
      <c r="BX181" s="789"/>
      <c r="BY181" s="789"/>
      <c r="BZ181" s="789"/>
      <c r="CA181" s="789"/>
      <c r="CB181" s="789"/>
      <c r="CC181" s="789"/>
      <c r="CD181" s="789"/>
      <c r="CE181" s="789"/>
      <c r="CF181" s="789"/>
      <c r="CG181" s="789"/>
      <c r="CH181" s="789"/>
      <c r="CI181" s="789"/>
      <c r="CJ181" s="789"/>
      <c r="CK181" s="789"/>
      <c r="CL181" s="789"/>
      <c r="CM181" s="789"/>
      <c r="CN181" s="789"/>
      <c r="CO181" s="789"/>
      <c r="CP181" s="789"/>
      <c r="CQ181" s="789"/>
      <c r="CR181" s="789"/>
      <c r="CS181" s="789"/>
      <c r="CT181" s="789"/>
      <c r="CU181" s="789"/>
      <c r="CV181" s="789"/>
      <c r="CW181" s="789"/>
      <c r="CX181" s="789"/>
      <c r="CY181" s="789"/>
      <c r="CZ181" s="789"/>
      <c r="DA181" s="789"/>
      <c r="DB181" s="789"/>
      <c r="DC181" s="789"/>
    </row>
    <row r="182" spans="2:107" s="15" customFormat="1" ht="12.75" hidden="1" customHeight="1" outlineLevel="1">
      <c r="B182" s="15" t="s">
        <v>41</v>
      </c>
    </row>
    <row r="183" spans="2:107" s="15" customFormat="1" ht="12.75" hidden="1" customHeight="1" outlineLevel="1">
      <c r="B183" s="876" t="s">
        <v>1118</v>
      </c>
      <c r="K183" s="26">
        <f>J185</f>
        <v>0</v>
      </c>
      <c r="L183" s="26">
        <f>BH183</f>
        <v>0</v>
      </c>
      <c r="M183" s="26"/>
      <c r="N183" s="26">
        <f>BS183</f>
        <v>0</v>
      </c>
      <c r="O183" s="26">
        <f t="shared" ref="O183:Z183" si="362">N185</f>
        <v>14.003</v>
      </c>
      <c r="P183" s="26">
        <f t="shared" si="362"/>
        <v>15.917000000000002</v>
      </c>
      <c r="Q183" s="26">
        <f t="shared" si="362"/>
        <v>17.831000000000003</v>
      </c>
      <c r="R183" s="26">
        <f t="shared" si="362"/>
        <v>17.561</v>
      </c>
      <c r="S183" s="26">
        <f t="shared" si="362"/>
        <v>10.738999999999983</v>
      </c>
      <c r="T183" s="26">
        <f t="shared" si="362"/>
        <v>3.9169999999999661</v>
      </c>
      <c r="U183" s="26">
        <f t="shared" si="362"/>
        <v>2.2114999999999618</v>
      </c>
      <c r="V183" s="26">
        <f t="shared" si="362"/>
        <v>2.2114999999999618</v>
      </c>
      <c r="W183" s="26">
        <f t="shared" si="362"/>
        <v>2.2114999999999618</v>
      </c>
      <c r="X183" s="26">
        <f t="shared" si="362"/>
        <v>2.2114999999999618</v>
      </c>
      <c r="Y183" s="26">
        <f t="shared" si="362"/>
        <v>2.2114999999999618</v>
      </c>
      <c r="Z183" s="26">
        <f t="shared" si="362"/>
        <v>2.2114999999999618</v>
      </c>
      <c r="AA183" s="26">
        <f t="shared" ref="AA183" si="363">Z185</f>
        <v>2.2114999999999618</v>
      </c>
      <c r="AB183" s="26">
        <f t="shared" ref="AB183" si="364">AA185</f>
        <v>2.2114999999999618</v>
      </c>
      <c r="AC183" s="26">
        <f t="shared" ref="AC183" si="365">AB185</f>
        <v>2.2114999999999618</v>
      </c>
      <c r="AD183" s="26">
        <f t="shared" ref="AD183" si="366">AC185</f>
        <v>2.2114999999999618</v>
      </c>
      <c r="AF183" s="26"/>
      <c r="AG183" s="26"/>
      <c r="AH183" s="26"/>
      <c r="AI183" s="26"/>
      <c r="AJ183" s="26"/>
      <c r="AK183" s="26"/>
      <c r="AL183" s="26"/>
      <c r="AM183" s="26"/>
      <c r="AN183" s="26"/>
      <c r="AO183" s="26"/>
      <c r="AP183" s="26"/>
      <c r="AQ183" s="26"/>
      <c r="AR183" s="26"/>
      <c r="AS183" s="26"/>
      <c r="AT183" s="26"/>
      <c r="AU183" s="26"/>
      <c r="AV183" s="26"/>
      <c r="AW183" s="26"/>
      <c r="AX183" s="26"/>
      <c r="AY183" s="26"/>
      <c r="AZ183" s="26"/>
      <c r="BA183" s="26"/>
      <c r="BB183" s="26"/>
      <c r="BC183" s="26"/>
      <c r="BD183" s="26"/>
      <c r="BE183" s="26"/>
      <c r="BF183" s="26"/>
      <c r="BG183" s="26"/>
      <c r="BH183" s="26"/>
      <c r="BI183" s="26"/>
      <c r="BJ183" s="26"/>
      <c r="BK183" s="26"/>
      <c r="BL183" s="26"/>
      <c r="BM183" s="26"/>
      <c r="BN183" s="26"/>
      <c r="BO183" s="26"/>
      <c r="BP183" s="26"/>
      <c r="BQ183" s="26"/>
      <c r="BR183" s="26"/>
      <c r="BS183" s="26">
        <f t="shared" ref="BS183:CU183" si="367">BR185</f>
        <v>0</v>
      </c>
      <c r="BT183" s="26">
        <f t="shared" si="367"/>
        <v>14.003</v>
      </c>
      <c r="BU183" s="26">
        <f t="shared" si="367"/>
        <v>14.4815</v>
      </c>
      <c r="BV183" s="26">
        <f t="shared" si="367"/>
        <v>14.96</v>
      </c>
      <c r="BW183" s="26">
        <f t="shared" si="367"/>
        <v>15.438500000000001</v>
      </c>
      <c r="BX183" s="26">
        <f t="shared" si="367"/>
        <v>15.917000000000002</v>
      </c>
      <c r="BY183" s="26">
        <f t="shared" si="367"/>
        <v>16.395500000000002</v>
      </c>
      <c r="BZ183" s="26">
        <f t="shared" si="367"/>
        <v>16.874000000000002</v>
      </c>
      <c r="CA183" s="26">
        <f t="shared" si="367"/>
        <v>17.352500000000003</v>
      </c>
      <c r="CB183" s="26">
        <f t="shared" si="367"/>
        <v>17.831000000000003</v>
      </c>
      <c r="CC183" s="26">
        <f t="shared" si="367"/>
        <v>18.309500000000003</v>
      </c>
      <c r="CD183" s="26">
        <f t="shared" si="367"/>
        <v>18.788000000000004</v>
      </c>
      <c r="CE183" s="26">
        <f t="shared" si="367"/>
        <v>19.266500000000004</v>
      </c>
      <c r="CF183" s="26">
        <f t="shared" si="367"/>
        <v>17.561</v>
      </c>
      <c r="CG183" s="26">
        <f t="shared" si="367"/>
        <v>15.855499999999996</v>
      </c>
      <c r="CH183" s="26">
        <f t="shared" si="367"/>
        <v>14.149999999999991</v>
      </c>
      <c r="CI183" s="26">
        <f t="shared" si="367"/>
        <v>12.444499999999987</v>
      </c>
      <c r="CJ183" s="26">
        <f t="shared" si="367"/>
        <v>10.738999999999983</v>
      </c>
      <c r="CK183" s="26">
        <f t="shared" si="367"/>
        <v>9.0334999999999788</v>
      </c>
      <c r="CL183" s="26">
        <f t="shared" si="367"/>
        <v>7.3279999999999745</v>
      </c>
      <c r="CM183" s="26">
        <f t="shared" si="367"/>
        <v>5.6224999999999703</v>
      </c>
      <c r="CN183" s="26">
        <f t="shared" si="367"/>
        <v>3.9169999999999661</v>
      </c>
      <c r="CO183" s="26">
        <f t="shared" si="367"/>
        <v>2.2114999999999618</v>
      </c>
      <c r="CP183" s="26">
        <f t="shared" si="367"/>
        <v>0.50599999999995759</v>
      </c>
      <c r="CQ183" s="26">
        <f t="shared" si="367"/>
        <v>-1.1995000000000466</v>
      </c>
      <c r="CR183" s="26">
        <f t="shared" si="367"/>
        <v>-2.9050000000000509</v>
      </c>
      <c r="CS183" s="26">
        <f t="shared" si="367"/>
        <v>-2.9050000000000509</v>
      </c>
      <c r="CT183" s="26">
        <f t="shared" si="367"/>
        <v>-2.9050000000000509</v>
      </c>
      <c r="CU183" s="26">
        <f t="shared" si="367"/>
        <v>-2.9050000000000509</v>
      </c>
      <c r="CV183" s="26">
        <f>CU185</f>
        <v>-2.9050000000000509</v>
      </c>
      <c r="CW183" s="26">
        <f>CV185</f>
        <v>-2.9050000000000509</v>
      </c>
      <c r="CX183" s="26">
        <f>CW185</f>
        <v>-2.9050000000000509</v>
      </c>
      <c r="CY183" s="26">
        <f>CX185</f>
        <v>-2.9050000000000509</v>
      </c>
      <c r="CZ183" s="26">
        <f t="shared" ref="CZ183:DC183" si="368">CY185</f>
        <v>-2.9050000000000509</v>
      </c>
      <c r="DA183" s="26">
        <f t="shared" si="368"/>
        <v>-2.9050000000000509</v>
      </c>
      <c r="DB183" s="26">
        <f t="shared" si="368"/>
        <v>-2.9050000000000509</v>
      </c>
      <c r="DC183" s="26">
        <f t="shared" si="368"/>
        <v>-2.9050000000000509</v>
      </c>
    </row>
    <row r="184" spans="2:107" s="15" customFormat="1" ht="12.75" hidden="1" customHeight="1" outlineLevel="1">
      <c r="B184" s="876" t="s">
        <v>1121</v>
      </c>
      <c r="K184" s="26">
        <f>SUM(BD184:BG184)</f>
        <v>0</v>
      </c>
      <c r="L184" s="26">
        <f>SUM(BH184:BK184)</f>
        <v>0</v>
      </c>
      <c r="M184" s="26"/>
      <c r="N184" s="26">
        <f t="shared" ref="N184:T184" si="369">N185-N183</f>
        <v>14.003</v>
      </c>
      <c r="O184" s="26">
        <f t="shared" si="369"/>
        <v>1.9140000000000015</v>
      </c>
      <c r="P184" s="26">
        <f t="shared" si="369"/>
        <v>1.9140000000000015</v>
      </c>
      <c r="Q184" s="26">
        <f t="shared" si="369"/>
        <v>-0.27000000000000313</v>
      </c>
      <c r="R184" s="26">
        <f t="shared" si="369"/>
        <v>-6.8220000000000169</v>
      </c>
      <c r="S184" s="26">
        <f t="shared" si="369"/>
        <v>-6.8220000000000169</v>
      </c>
      <c r="T184" s="26">
        <f t="shared" si="369"/>
        <v>-1.7055000000000042</v>
      </c>
      <c r="U184" s="26">
        <f>+SUM(CR184:CU184)</f>
        <v>0</v>
      </c>
      <c r="V184" s="26">
        <f>+SUM(CS184:CV184)</f>
        <v>0</v>
      </c>
      <c r="W184" s="26">
        <f>+SUM(CT184:CW184)</f>
        <v>0</v>
      </c>
      <c r="X184" s="1000">
        <v>0</v>
      </c>
      <c r="Y184" s="1000">
        <v>0</v>
      </c>
      <c r="Z184" s="1000">
        <v>0</v>
      </c>
      <c r="AA184" s="1000">
        <v>0</v>
      </c>
      <c r="AB184" s="1000">
        <v>0</v>
      </c>
      <c r="AC184" s="1000">
        <v>0</v>
      </c>
      <c r="AD184" s="1000">
        <v>0</v>
      </c>
      <c r="AF184" s="1006"/>
      <c r="AG184" s="1006"/>
      <c r="AH184" s="1006"/>
      <c r="AI184" s="1006"/>
      <c r="AJ184" s="1006"/>
      <c r="AK184" s="1006"/>
      <c r="AL184" s="1006"/>
      <c r="AM184" s="1006"/>
      <c r="AN184" s="1006"/>
      <c r="AO184" s="1006"/>
      <c r="AP184" s="1006"/>
      <c r="AQ184" s="1006"/>
      <c r="AR184" s="1006"/>
      <c r="AS184" s="1006"/>
      <c r="AT184" s="1006"/>
      <c r="AU184" s="1006"/>
      <c r="AV184" s="1006"/>
      <c r="AW184" s="1006"/>
      <c r="AX184" s="1006"/>
      <c r="AY184" s="1006"/>
      <c r="AZ184" s="1006"/>
      <c r="BA184" s="1006"/>
      <c r="BB184" s="1006"/>
      <c r="BC184" s="1006"/>
      <c r="BD184" s="1006"/>
      <c r="BE184" s="1006"/>
      <c r="BF184" s="1006"/>
      <c r="BG184" s="1006"/>
      <c r="BH184" s="1006"/>
      <c r="BI184" s="1006"/>
      <c r="BJ184" s="1006"/>
      <c r="BK184" s="1006"/>
      <c r="BL184" s="1006"/>
      <c r="BM184" s="1006"/>
      <c r="BN184" s="1006"/>
      <c r="BO184" s="1006"/>
      <c r="BP184" s="1006"/>
      <c r="BQ184" s="1006"/>
      <c r="BR184" s="1006"/>
      <c r="BS184" s="26">
        <f>BS185-BS183</f>
        <v>14.003</v>
      </c>
      <c r="BT184" s="1000">
        <v>0.47849999999999993</v>
      </c>
      <c r="BU184" s="1000">
        <v>0.47849999999999993</v>
      </c>
      <c r="BV184" s="1000">
        <v>0.47849999999999993</v>
      </c>
      <c r="BW184" s="1000">
        <v>0.47849999999999993</v>
      </c>
      <c r="BX184" s="1000">
        <f t="shared" ref="BX184:CD184" si="370">BW184</f>
        <v>0.47849999999999993</v>
      </c>
      <c r="BY184" s="1000">
        <f t="shared" si="370"/>
        <v>0.47849999999999993</v>
      </c>
      <c r="BZ184" s="1000">
        <f t="shared" si="370"/>
        <v>0.47849999999999993</v>
      </c>
      <c r="CA184" s="1000">
        <f t="shared" si="370"/>
        <v>0.47849999999999993</v>
      </c>
      <c r="CB184" s="1000">
        <f t="shared" si="370"/>
        <v>0.47849999999999993</v>
      </c>
      <c r="CC184" s="1000">
        <f t="shared" si="370"/>
        <v>0.47849999999999993</v>
      </c>
      <c r="CD184" s="1000">
        <f t="shared" si="370"/>
        <v>0.47849999999999993</v>
      </c>
      <c r="CE184" s="783">
        <f>17.561-CD185</f>
        <v>-1.7055000000000042</v>
      </c>
      <c r="CF184" s="1000">
        <f t="shared" ref="CF184:CQ184" si="371">CE184</f>
        <v>-1.7055000000000042</v>
      </c>
      <c r="CG184" s="1000">
        <f t="shared" si="371"/>
        <v>-1.7055000000000042</v>
      </c>
      <c r="CH184" s="1000">
        <f t="shared" si="371"/>
        <v>-1.7055000000000042</v>
      </c>
      <c r="CI184" s="1000">
        <f t="shared" si="371"/>
        <v>-1.7055000000000042</v>
      </c>
      <c r="CJ184" s="1000">
        <f t="shared" si="371"/>
        <v>-1.7055000000000042</v>
      </c>
      <c r="CK184" s="1000">
        <f t="shared" si="371"/>
        <v>-1.7055000000000042</v>
      </c>
      <c r="CL184" s="1000">
        <f t="shared" si="371"/>
        <v>-1.7055000000000042</v>
      </c>
      <c r="CM184" s="1000">
        <f t="shared" si="371"/>
        <v>-1.7055000000000042</v>
      </c>
      <c r="CN184" s="1000">
        <f t="shared" si="371"/>
        <v>-1.7055000000000042</v>
      </c>
      <c r="CO184" s="1000">
        <f t="shared" si="371"/>
        <v>-1.7055000000000042</v>
      </c>
      <c r="CP184" s="1000">
        <f t="shared" si="371"/>
        <v>-1.7055000000000042</v>
      </c>
      <c r="CQ184" s="1000">
        <f t="shared" si="371"/>
        <v>-1.7055000000000042</v>
      </c>
      <c r="CR184" s="1000">
        <v>0</v>
      </c>
      <c r="CS184" s="1000">
        <v>0</v>
      </c>
      <c r="CT184" s="1000">
        <v>0</v>
      </c>
      <c r="CU184" s="1000">
        <v>0</v>
      </c>
      <c r="CV184" s="1000">
        <v>0</v>
      </c>
      <c r="CW184" s="1000">
        <v>0</v>
      </c>
      <c r="CX184" s="1000">
        <v>0</v>
      </c>
      <c r="CY184" s="1000">
        <v>0</v>
      </c>
      <c r="CZ184" s="1000">
        <v>0</v>
      </c>
      <c r="DA184" s="1000">
        <v>0</v>
      </c>
      <c r="DB184" s="1000">
        <v>0</v>
      </c>
      <c r="DC184" s="1000">
        <v>0</v>
      </c>
    </row>
    <row r="185" spans="2:107" s="15" customFormat="1" ht="12.75" hidden="1" customHeight="1" outlineLevel="1">
      <c r="B185" s="876" t="s">
        <v>1044</v>
      </c>
      <c r="J185" s="26">
        <f>BC185</f>
        <v>0</v>
      </c>
      <c r="K185" s="26">
        <f>SUM(K183:K184)</f>
        <v>0</v>
      </c>
      <c r="L185" s="26">
        <f>SUM(L183:L184)</f>
        <v>0</v>
      </c>
      <c r="M185" s="54">
        <f>BO185</f>
        <v>0</v>
      </c>
      <c r="N185" s="26">
        <f>BS185</f>
        <v>14.003</v>
      </c>
      <c r="O185" s="26">
        <f>BW185</f>
        <v>15.917000000000002</v>
      </c>
      <c r="P185" s="26">
        <f>CA185</f>
        <v>17.831000000000003</v>
      </c>
      <c r="Q185" s="26">
        <f>CE185</f>
        <v>17.561</v>
      </c>
      <c r="R185" s="26">
        <f>CI185</f>
        <v>10.738999999999983</v>
      </c>
      <c r="S185" s="26">
        <f>CM185</f>
        <v>3.9169999999999661</v>
      </c>
      <c r="T185" s="26">
        <f>CN185</f>
        <v>2.2114999999999618</v>
      </c>
      <c r="U185" s="26">
        <f t="shared" ref="U185:Z185" si="372">SUM(U183:U184)</f>
        <v>2.2114999999999618</v>
      </c>
      <c r="V185" s="26">
        <f>SUM(V183:V184)</f>
        <v>2.2114999999999618</v>
      </c>
      <c r="W185" s="26">
        <f>SUM(W183:W184)</f>
        <v>2.2114999999999618</v>
      </c>
      <c r="X185" s="26">
        <f t="shared" si="372"/>
        <v>2.2114999999999618</v>
      </c>
      <c r="Y185" s="26">
        <f t="shared" si="372"/>
        <v>2.2114999999999618</v>
      </c>
      <c r="Z185" s="26">
        <f t="shared" si="372"/>
        <v>2.2114999999999618</v>
      </c>
      <c r="AA185" s="26">
        <f t="shared" ref="AA185:AD185" si="373">SUM(AA183:AA184)</f>
        <v>2.2114999999999618</v>
      </c>
      <c r="AB185" s="26">
        <f t="shared" si="373"/>
        <v>2.2114999999999618</v>
      </c>
      <c r="AC185" s="26">
        <f t="shared" si="373"/>
        <v>2.2114999999999618</v>
      </c>
      <c r="AD185" s="26">
        <f t="shared" si="373"/>
        <v>2.2114999999999618</v>
      </c>
      <c r="AF185" s="26"/>
      <c r="AG185" s="26"/>
      <c r="AH185" s="26"/>
      <c r="AI185" s="26"/>
      <c r="AJ185" s="26"/>
      <c r="AK185" s="26"/>
      <c r="AL185" s="26"/>
      <c r="AM185" s="26"/>
      <c r="AN185" s="26"/>
      <c r="AO185" s="26"/>
      <c r="AP185" s="26"/>
      <c r="AQ185" s="26"/>
      <c r="AR185" s="26"/>
      <c r="AS185" s="26"/>
      <c r="AT185" s="26"/>
      <c r="AU185" s="26"/>
      <c r="AV185" s="26"/>
      <c r="AW185" s="26"/>
      <c r="AX185" s="26"/>
      <c r="AY185" s="26"/>
      <c r="AZ185" s="26"/>
      <c r="BA185" s="26"/>
      <c r="BB185" s="26"/>
      <c r="BC185" s="26"/>
      <c r="BD185" s="26"/>
      <c r="BE185" s="26"/>
      <c r="BF185" s="26"/>
      <c r="BG185" s="26"/>
      <c r="BH185" s="26"/>
      <c r="BI185" s="26"/>
      <c r="BJ185" s="26"/>
      <c r="BK185" s="26"/>
      <c r="BL185" s="26"/>
      <c r="BM185" s="26"/>
      <c r="BN185" s="26"/>
      <c r="BO185" s="26"/>
      <c r="BP185" s="26"/>
      <c r="BQ185" s="26"/>
      <c r="BR185" s="883"/>
      <c r="BS185" s="783">
        <v>14.003</v>
      </c>
      <c r="BT185" s="54">
        <f t="shared" ref="BT185:CT185" si="374">SUM(BT183:BT184)</f>
        <v>14.4815</v>
      </c>
      <c r="BU185" s="54">
        <f t="shared" si="374"/>
        <v>14.96</v>
      </c>
      <c r="BV185" s="54">
        <f t="shared" si="374"/>
        <v>15.438500000000001</v>
      </c>
      <c r="BW185" s="54">
        <f t="shared" si="374"/>
        <v>15.917000000000002</v>
      </c>
      <c r="BX185" s="54">
        <f t="shared" si="374"/>
        <v>16.395500000000002</v>
      </c>
      <c r="BY185" s="54">
        <f t="shared" si="374"/>
        <v>16.874000000000002</v>
      </c>
      <c r="BZ185" s="54">
        <f t="shared" si="374"/>
        <v>17.352500000000003</v>
      </c>
      <c r="CA185" s="54">
        <f t="shared" si="374"/>
        <v>17.831000000000003</v>
      </c>
      <c r="CB185" s="54">
        <f t="shared" si="374"/>
        <v>18.309500000000003</v>
      </c>
      <c r="CC185" s="54">
        <f t="shared" si="374"/>
        <v>18.788000000000004</v>
      </c>
      <c r="CD185" s="54">
        <f t="shared" si="374"/>
        <v>19.266500000000004</v>
      </c>
      <c r="CE185" s="54">
        <f t="shared" si="374"/>
        <v>17.561</v>
      </c>
      <c r="CF185" s="54">
        <f t="shared" si="374"/>
        <v>15.855499999999996</v>
      </c>
      <c r="CG185" s="54">
        <f t="shared" si="374"/>
        <v>14.149999999999991</v>
      </c>
      <c r="CH185" s="54">
        <f t="shared" si="374"/>
        <v>12.444499999999987</v>
      </c>
      <c r="CI185" s="54">
        <f t="shared" si="374"/>
        <v>10.738999999999983</v>
      </c>
      <c r="CJ185" s="54">
        <f t="shared" si="374"/>
        <v>9.0334999999999788</v>
      </c>
      <c r="CK185" s="54">
        <f t="shared" si="374"/>
        <v>7.3279999999999745</v>
      </c>
      <c r="CL185" s="54">
        <f t="shared" si="374"/>
        <v>5.6224999999999703</v>
      </c>
      <c r="CM185" s="54">
        <f t="shared" si="374"/>
        <v>3.9169999999999661</v>
      </c>
      <c r="CN185" s="54">
        <f t="shared" si="374"/>
        <v>2.2114999999999618</v>
      </c>
      <c r="CO185" s="54">
        <f t="shared" si="374"/>
        <v>0.50599999999995759</v>
      </c>
      <c r="CP185" s="54">
        <f t="shared" si="374"/>
        <v>-1.1995000000000466</v>
      </c>
      <c r="CQ185" s="54">
        <f>SUM(CQ183:CQ184)</f>
        <v>-2.9050000000000509</v>
      </c>
      <c r="CR185" s="54">
        <f t="shared" si="374"/>
        <v>-2.9050000000000509</v>
      </c>
      <c r="CS185" s="54">
        <f t="shared" si="374"/>
        <v>-2.9050000000000509</v>
      </c>
      <c r="CT185" s="54">
        <f t="shared" si="374"/>
        <v>-2.9050000000000509</v>
      </c>
      <c r="CU185" s="54">
        <f>SUM(CU183:CU184)</f>
        <v>-2.9050000000000509</v>
      </c>
      <c r="CV185" s="54">
        <f>SUM(CV183:CV184)</f>
        <v>-2.9050000000000509</v>
      </c>
      <c r="CW185" s="54">
        <f>SUM(CW183:CW184)</f>
        <v>-2.9050000000000509</v>
      </c>
      <c r="CX185" s="54">
        <f>SUM(CX183:CX184)</f>
        <v>-2.9050000000000509</v>
      </c>
      <c r="CY185" s="54">
        <f>SUM(CY183:CY184)</f>
        <v>-2.9050000000000509</v>
      </c>
      <c r="CZ185" s="54">
        <f t="shared" ref="CZ185:DC185" si="375">SUM(CZ183:CZ184)</f>
        <v>-2.9050000000000509</v>
      </c>
      <c r="DA185" s="54">
        <f t="shared" si="375"/>
        <v>-2.9050000000000509</v>
      </c>
      <c r="DB185" s="54">
        <f t="shared" si="375"/>
        <v>-2.9050000000000509</v>
      </c>
      <c r="DC185" s="54">
        <f t="shared" si="375"/>
        <v>-2.9050000000000509</v>
      </c>
    </row>
    <row r="186" spans="2:107" s="15" customFormat="1" ht="12.75" hidden="1" customHeight="1" outlineLevel="1">
      <c r="B186" s="876"/>
      <c r="K186" s="1004"/>
      <c r="L186" s="1004"/>
      <c r="M186" s="1004"/>
      <c r="N186" s="1004"/>
      <c r="O186" s="1004"/>
      <c r="P186" s="1004"/>
      <c r="Q186" s="1004"/>
      <c r="R186" s="1004"/>
      <c r="S186" s="1004"/>
      <c r="T186" s="1004"/>
      <c r="U186" s="1004"/>
      <c r="V186" s="1004"/>
      <c r="W186" s="1004"/>
      <c r="X186" s="1004"/>
      <c r="Y186" s="1004"/>
      <c r="Z186" s="1004"/>
      <c r="AA186" s="1004"/>
      <c r="AB186" s="1004"/>
      <c r="AC186" s="1004"/>
      <c r="AD186" s="1004"/>
      <c r="AF186" s="1004"/>
      <c r="AG186" s="1004"/>
      <c r="AH186" s="1004"/>
      <c r="AI186" s="1004"/>
      <c r="AJ186" s="1004"/>
      <c r="AK186" s="1004"/>
      <c r="AL186" s="1004"/>
      <c r="AM186" s="1004"/>
      <c r="AN186" s="1004"/>
      <c r="AO186" s="1004"/>
      <c r="AP186" s="1004"/>
      <c r="AQ186" s="1004"/>
      <c r="AR186" s="1004"/>
      <c r="AS186" s="1004"/>
      <c r="AT186" s="1004"/>
      <c r="AU186" s="1004"/>
      <c r="AV186" s="1004"/>
      <c r="AW186" s="1004"/>
      <c r="AX186" s="1004"/>
      <c r="AY186" s="1004"/>
      <c r="AZ186" s="1004"/>
      <c r="BA186" s="1004"/>
      <c r="BB186" s="1004"/>
      <c r="BC186" s="1004"/>
      <c r="BD186" s="1004"/>
      <c r="BE186" s="1004"/>
      <c r="BF186" s="1004"/>
      <c r="BG186" s="1004"/>
      <c r="BH186" s="1004"/>
      <c r="BI186" s="1004"/>
      <c r="BJ186" s="1004"/>
      <c r="BK186" s="1004"/>
      <c r="BL186" s="1004"/>
      <c r="BM186" s="1004"/>
      <c r="BN186" s="1004"/>
      <c r="BO186" s="1004"/>
      <c r="BP186" s="1004"/>
      <c r="BQ186" s="1004"/>
      <c r="BR186" s="1007"/>
      <c r="BS186" s="1004"/>
      <c r="BT186" s="1004"/>
      <c r="BU186" s="1004"/>
      <c r="BV186" s="1004"/>
      <c r="BW186" s="1004"/>
      <c r="BX186" s="1004"/>
      <c r="BY186" s="1004"/>
      <c r="BZ186" s="1004"/>
      <c r="CA186" s="1004"/>
      <c r="CB186" s="1004"/>
      <c r="CC186" s="1004"/>
      <c r="CD186" s="1004"/>
      <c r="CE186" s="1004"/>
      <c r="CF186" s="1004"/>
      <c r="CG186" s="1004"/>
      <c r="CH186" s="1004"/>
      <c r="CI186" s="1004"/>
      <c r="CJ186" s="1004"/>
      <c r="CK186" s="1004"/>
      <c r="CL186" s="1004"/>
      <c r="CM186" s="1004"/>
      <c r="CN186" s="1004"/>
      <c r="CO186" s="1004"/>
      <c r="CP186" s="1004"/>
      <c r="CQ186" s="1004"/>
      <c r="CR186" s="1004"/>
      <c r="CS186" s="1004"/>
      <c r="CT186" s="1004"/>
      <c r="CU186" s="1004"/>
      <c r="CV186" s="1004"/>
      <c r="CW186" s="1004"/>
      <c r="CX186" s="1004"/>
      <c r="CY186" s="1004"/>
      <c r="CZ186" s="1004"/>
      <c r="DA186" s="1004"/>
      <c r="DB186" s="1004"/>
      <c r="DC186" s="1004"/>
    </row>
    <row r="187" spans="2:107" s="15" customFormat="1" hidden="1" outlineLevel="1" collapsed="1">
      <c r="B187" s="15" t="s">
        <v>1213</v>
      </c>
    </row>
    <row r="188" spans="2:107" s="15" customFormat="1" hidden="1" outlineLevel="1">
      <c r="B188" s="876" t="s">
        <v>1118</v>
      </c>
      <c r="K188" s="783"/>
      <c r="L188" s="26"/>
      <c r="M188" s="26"/>
      <c r="N188" s="26">
        <f>BS188</f>
        <v>0</v>
      </c>
      <c r="O188" s="26">
        <f t="shared" ref="O188:Z188" si="376">N190</f>
        <v>0</v>
      </c>
      <c r="P188" s="26">
        <f t="shared" si="376"/>
        <v>0</v>
      </c>
      <c r="Q188" s="26">
        <f t="shared" si="376"/>
        <v>0</v>
      </c>
      <c r="R188" s="26">
        <f t="shared" si="376"/>
        <v>17.428999999999998</v>
      </c>
      <c r="S188" s="26">
        <f t="shared" si="376"/>
        <v>17.428999999999998</v>
      </c>
      <c r="T188" s="26">
        <f t="shared" si="376"/>
        <v>17.428999999999998</v>
      </c>
      <c r="U188" s="26">
        <f t="shared" si="376"/>
        <v>17.428999999999998</v>
      </c>
      <c r="V188" s="26">
        <f t="shared" si="376"/>
        <v>17.428999999999998</v>
      </c>
      <c r="W188" s="26">
        <f t="shared" si="376"/>
        <v>17.428999999999998</v>
      </c>
      <c r="X188" s="26">
        <f t="shared" si="376"/>
        <v>17.428999999999998</v>
      </c>
      <c r="Y188" s="26">
        <f t="shared" si="376"/>
        <v>17.428999999999998</v>
      </c>
      <c r="Z188" s="26">
        <f t="shared" si="376"/>
        <v>17.428999999999998</v>
      </c>
      <c r="AA188" s="26">
        <f t="shared" ref="AA188" si="377">Z190</f>
        <v>17.428999999999998</v>
      </c>
      <c r="AB188" s="26">
        <f t="shared" ref="AB188" si="378">AA190</f>
        <v>17.428999999999998</v>
      </c>
      <c r="AC188" s="26">
        <f t="shared" ref="AC188" si="379">AB190</f>
        <v>17.428999999999998</v>
      </c>
      <c r="AD188" s="26">
        <f t="shared" ref="AD188" si="380">AC190</f>
        <v>17.428999999999998</v>
      </c>
      <c r="AF188" s="26"/>
      <c r="AG188" s="26"/>
      <c r="AH188" s="26"/>
      <c r="AI188" s="26"/>
      <c r="AJ188" s="26"/>
      <c r="AK188" s="26"/>
      <c r="AL188" s="26"/>
      <c r="AM188" s="26"/>
      <c r="AN188" s="26"/>
      <c r="AO188" s="26"/>
      <c r="AP188" s="26"/>
      <c r="AQ188" s="26"/>
      <c r="AR188" s="26"/>
      <c r="AS188" s="26"/>
      <c r="AT188" s="26"/>
      <c r="AU188" s="26"/>
      <c r="AV188" s="26"/>
      <c r="AW188" s="26"/>
      <c r="AX188" s="26"/>
      <c r="AY188" s="26"/>
      <c r="AZ188" s="26"/>
      <c r="BA188" s="26"/>
      <c r="BB188" s="26"/>
      <c r="BC188" s="26"/>
      <c r="BD188" s="26"/>
      <c r="BE188" s="26"/>
      <c r="BF188" s="26"/>
      <c r="BG188" s="26"/>
      <c r="BH188" s="26"/>
      <c r="BI188" s="26"/>
      <c r="BJ188" s="26"/>
      <c r="BK188" s="26"/>
      <c r="BL188" s="26"/>
      <c r="BM188" s="26"/>
      <c r="BN188" s="26"/>
      <c r="BO188" s="26"/>
      <c r="BP188" s="26"/>
      <c r="BQ188" s="26"/>
      <c r="BR188" s="26"/>
      <c r="BS188" s="26"/>
      <c r="BT188" s="26"/>
      <c r="BU188" s="26"/>
      <c r="BV188" s="26"/>
      <c r="BW188" s="26"/>
      <c r="BX188" s="26"/>
      <c r="BY188" s="26"/>
      <c r="BZ188" s="26"/>
      <c r="CA188" s="26"/>
      <c r="CB188" s="26"/>
      <c r="CC188" s="26"/>
      <c r="CD188" s="26"/>
      <c r="CE188" s="26"/>
      <c r="CF188" s="26">
        <f t="shared" ref="CF188:CU188" si="381">CE190</f>
        <v>17.428999999999998</v>
      </c>
      <c r="CG188" s="26">
        <f t="shared" si="381"/>
        <v>17.428999999999998</v>
      </c>
      <c r="CH188" s="26">
        <f t="shared" si="381"/>
        <v>17.428999999999998</v>
      </c>
      <c r="CI188" s="26">
        <f t="shared" si="381"/>
        <v>17.428999999999998</v>
      </c>
      <c r="CJ188" s="26">
        <f t="shared" si="381"/>
        <v>17.428999999999998</v>
      </c>
      <c r="CK188" s="26">
        <f t="shared" si="381"/>
        <v>17.428999999999998</v>
      </c>
      <c r="CL188" s="26">
        <f t="shared" si="381"/>
        <v>17.428999999999998</v>
      </c>
      <c r="CM188" s="26">
        <f t="shared" si="381"/>
        <v>17.428999999999998</v>
      </c>
      <c r="CN188" s="26">
        <f t="shared" si="381"/>
        <v>17.428999999999998</v>
      </c>
      <c r="CO188" s="26">
        <f t="shared" si="381"/>
        <v>17.428999999999998</v>
      </c>
      <c r="CP188" s="26">
        <f t="shared" si="381"/>
        <v>17.428999999999998</v>
      </c>
      <c r="CQ188" s="26">
        <f t="shared" si="381"/>
        <v>17.428999999999998</v>
      </c>
      <c r="CR188" s="26">
        <f t="shared" si="381"/>
        <v>17.428999999999998</v>
      </c>
      <c r="CS188" s="26">
        <f t="shared" si="381"/>
        <v>17.428999999999998</v>
      </c>
      <c r="CT188" s="26">
        <f t="shared" si="381"/>
        <v>17.428999999999998</v>
      </c>
      <c r="CU188" s="26">
        <f t="shared" si="381"/>
        <v>17.428999999999998</v>
      </c>
      <c r="CV188" s="26">
        <f>CU190</f>
        <v>17.428999999999998</v>
      </c>
      <c r="CW188" s="26">
        <f>CV190</f>
        <v>17.428999999999998</v>
      </c>
      <c r="CX188" s="26">
        <f>CW190</f>
        <v>17.428999999999998</v>
      </c>
      <c r="CY188" s="26">
        <f>CX190</f>
        <v>17.428999999999998</v>
      </c>
      <c r="CZ188" s="26">
        <f t="shared" ref="CZ188:DC188" si="382">CY190</f>
        <v>17.428999999999998</v>
      </c>
      <c r="DA188" s="26">
        <f t="shared" si="382"/>
        <v>17.428999999999998</v>
      </c>
      <c r="DB188" s="26">
        <f t="shared" si="382"/>
        <v>17.428999999999998</v>
      </c>
      <c r="DC188" s="26">
        <f t="shared" si="382"/>
        <v>17.428999999999998</v>
      </c>
    </row>
    <row r="189" spans="2:107" s="15" customFormat="1" hidden="1" outlineLevel="1">
      <c r="B189" s="876" t="s">
        <v>1121</v>
      </c>
      <c r="K189" s="783"/>
      <c r="L189" s="26"/>
      <c r="M189" s="26"/>
      <c r="N189" s="26">
        <f t="shared" ref="N189:T189" si="383">N190-N188</f>
        <v>0</v>
      </c>
      <c r="O189" s="26">
        <f t="shared" si="383"/>
        <v>0</v>
      </c>
      <c r="P189" s="26">
        <f t="shared" si="383"/>
        <v>0</v>
      </c>
      <c r="Q189" s="26">
        <f t="shared" si="383"/>
        <v>17.428999999999998</v>
      </c>
      <c r="R189" s="26">
        <f t="shared" si="383"/>
        <v>0</v>
      </c>
      <c r="S189" s="26">
        <f t="shared" si="383"/>
        <v>0</v>
      </c>
      <c r="T189" s="26">
        <f t="shared" si="383"/>
        <v>0</v>
      </c>
      <c r="U189" s="26">
        <f>+SUM(CR189:CU189)</f>
        <v>0</v>
      </c>
      <c r="V189" s="26">
        <f>+SUM(CS189:CV189)</f>
        <v>0</v>
      </c>
      <c r="W189" s="26">
        <f>+SUM(CT189:CW189)</f>
        <v>0</v>
      </c>
      <c r="X189" s="1000">
        <v>0</v>
      </c>
      <c r="Y189" s="1000">
        <v>0</v>
      </c>
      <c r="Z189" s="1000">
        <v>0</v>
      </c>
      <c r="AA189" s="1000">
        <v>0</v>
      </c>
      <c r="AB189" s="1000">
        <v>0</v>
      </c>
      <c r="AC189" s="1000">
        <v>0</v>
      </c>
      <c r="AD189" s="1000">
        <v>0</v>
      </c>
      <c r="AF189" s="772"/>
      <c r="AG189" s="772"/>
      <c r="AH189" s="772"/>
      <c r="AI189" s="772"/>
      <c r="AJ189" s="772"/>
      <c r="AK189" s="772"/>
      <c r="AL189" s="772"/>
      <c r="AM189" s="772"/>
      <c r="AN189" s="772"/>
      <c r="AO189" s="772"/>
      <c r="AP189" s="772"/>
      <c r="AQ189" s="772"/>
      <c r="AR189" s="772"/>
      <c r="AS189" s="772"/>
      <c r="AT189" s="772"/>
      <c r="AU189" s="772"/>
      <c r="AV189" s="772"/>
      <c r="AW189" s="772"/>
      <c r="AX189" s="772"/>
      <c r="AY189" s="772"/>
      <c r="AZ189" s="772"/>
      <c r="BA189" s="772"/>
      <c r="BB189" s="772"/>
      <c r="BC189" s="772"/>
      <c r="BD189" s="772"/>
      <c r="BE189" s="772"/>
      <c r="BF189" s="772"/>
      <c r="BG189" s="772"/>
      <c r="BH189" s="772"/>
      <c r="BI189" s="772"/>
      <c r="BJ189" s="772"/>
      <c r="BK189" s="772"/>
      <c r="BL189" s="772"/>
      <c r="BM189" s="772"/>
      <c r="BN189" s="772"/>
      <c r="BO189" s="772"/>
      <c r="BP189" s="1000"/>
      <c r="BQ189" s="1000"/>
      <c r="BR189" s="1000"/>
      <c r="BS189" s="1000"/>
      <c r="BT189" s="1000"/>
      <c r="BU189" s="1000"/>
      <c r="BV189" s="1000"/>
      <c r="BW189" s="1000"/>
      <c r="BX189" s="1000"/>
      <c r="BY189" s="1000"/>
      <c r="BZ189" s="1000"/>
      <c r="CA189" s="1000"/>
      <c r="CB189" s="1000"/>
      <c r="CC189" s="1000"/>
      <c r="CD189" s="1000"/>
      <c r="CE189" s="772"/>
      <c r="CF189" s="1000">
        <f t="shared" ref="CF189:CU189" si="384">CE189</f>
        <v>0</v>
      </c>
      <c r="CG189" s="1000">
        <f t="shared" si="384"/>
        <v>0</v>
      </c>
      <c r="CH189" s="1000">
        <f t="shared" si="384"/>
        <v>0</v>
      </c>
      <c r="CI189" s="1000">
        <f t="shared" si="384"/>
        <v>0</v>
      </c>
      <c r="CJ189" s="1000">
        <f t="shared" si="384"/>
        <v>0</v>
      </c>
      <c r="CK189" s="1000">
        <f t="shared" si="384"/>
        <v>0</v>
      </c>
      <c r="CL189" s="1000">
        <f t="shared" si="384"/>
        <v>0</v>
      </c>
      <c r="CM189" s="1000">
        <f t="shared" si="384"/>
        <v>0</v>
      </c>
      <c r="CN189" s="1000">
        <f t="shared" si="384"/>
        <v>0</v>
      </c>
      <c r="CO189" s="1000">
        <f t="shared" si="384"/>
        <v>0</v>
      </c>
      <c r="CP189" s="1000">
        <f t="shared" si="384"/>
        <v>0</v>
      </c>
      <c r="CQ189" s="1000">
        <f t="shared" si="384"/>
        <v>0</v>
      </c>
      <c r="CR189" s="1000">
        <f t="shared" si="384"/>
        <v>0</v>
      </c>
      <c r="CS189" s="1000">
        <f t="shared" si="384"/>
        <v>0</v>
      </c>
      <c r="CT189" s="1000">
        <f t="shared" si="384"/>
        <v>0</v>
      </c>
      <c r="CU189" s="1000">
        <f t="shared" si="384"/>
        <v>0</v>
      </c>
      <c r="CV189" s="1000">
        <f>CU189</f>
        <v>0</v>
      </c>
      <c r="CW189" s="1000">
        <f>CV189</f>
        <v>0</v>
      </c>
      <c r="CX189" s="1000">
        <f>CW189</f>
        <v>0</v>
      </c>
      <c r="CY189" s="1000">
        <f>CX189</f>
        <v>0</v>
      </c>
      <c r="CZ189" s="1000">
        <f t="shared" ref="CZ189:DC189" si="385">CY189</f>
        <v>0</v>
      </c>
      <c r="DA189" s="1000">
        <f t="shared" si="385"/>
        <v>0</v>
      </c>
      <c r="DB189" s="1000">
        <f t="shared" si="385"/>
        <v>0</v>
      </c>
      <c r="DC189" s="1000">
        <f t="shared" si="385"/>
        <v>0</v>
      </c>
    </row>
    <row r="190" spans="2:107" s="15" customFormat="1" hidden="1" outlineLevel="1">
      <c r="B190" s="876" t="s">
        <v>1044</v>
      </c>
      <c r="K190" s="783"/>
      <c r="L190" s="26"/>
      <c r="M190" s="54">
        <f>BO190</f>
        <v>0</v>
      </c>
      <c r="N190" s="26">
        <f>BS190</f>
        <v>0</v>
      </c>
      <c r="O190" s="26">
        <f>BW190</f>
        <v>0</v>
      </c>
      <c r="P190" s="26">
        <f>CA190</f>
        <v>0</v>
      </c>
      <c r="Q190" s="26">
        <f>CE190</f>
        <v>17.428999999999998</v>
      </c>
      <c r="R190" s="26">
        <f>CI190</f>
        <v>17.428999999999998</v>
      </c>
      <c r="S190" s="26">
        <f>CM190</f>
        <v>17.428999999999998</v>
      </c>
      <c r="T190" s="26">
        <f>CN190</f>
        <v>17.428999999999998</v>
      </c>
      <c r="U190" s="26">
        <f t="shared" ref="U190:Z190" si="386">SUM(U188:U189)</f>
        <v>17.428999999999998</v>
      </c>
      <c r="V190" s="26">
        <f>SUM(V188:V189)</f>
        <v>17.428999999999998</v>
      </c>
      <c r="W190" s="26">
        <f>SUM(W188:W189)</f>
        <v>17.428999999999998</v>
      </c>
      <c r="X190" s="54">
        <f t="shared" si="386"/>
        <v>17.428999999999998</v>
      </c>
      <c r="Y190" s="54">
        <f t="shared" si="386"/>
        <v>17.428999999999998</v>
      </c>
      <c r="Z190" s="54">
        <f t="shared" si="386"/>
        <v>17.428999999999998</v>
      </c>
      <c r="AA190" s="54">
        <f t="shared" ref="AA190:AD190" si="387">SUM(AA188:AA189)</f>
        <v>17.428999999999998</v>
      </c>
      <c r="AB190" s="54">
        <f t="shared" si="387"/>
        <v>17.428999999999998</v>
      </c>
      <c r="AC190" s="54">
        <f t="shared" si="387"/>
        <v>17.428999999999998</v>
      </c>
      <c r="AD190" s="54">
        <f t="shared" si="387"/>
        <v>17.428999999999998</v>
      </c>
      <c r="AF190" s="54"/>
      <c r="AG190" s="54"/>
      <c r="AH190" s="54"/>
      <c r="AI190" s="54"/>
      <c r="AJ190" s="54"/>
      <c r="AK190" s="54"/>
      <c r="AL190" s="54"/>
      <c r="AM190" s="54"/>
      <c r="AN190" s="54"/>
      <c r="AO190" s="54"/>
      <c r="AP190" s="54"/>
      <c r="AQ190" s="54"/>
      <c r="AR190" s="54"/>
      <c r="AS190" s="54"/>
      <c r="AT190" s="54"/>
      <c r="AU190" s="54"/>
      <c r="AV190" s="54"/>
      <c r="AW190" s="54"/>
      <c r="AX190" s="54"/>
      <c r="AY190" s="54"/>
      <c r="AZ190" s="54"/>
      <c r="BA190" s="54"/>
      <c r="BB190" s="54"/>
      <c r="BC190" s="54"/>
      <c r="BD190" s="54"/>
      <c r="BE190" s="54"/>
      <c r="BF190" s="54"/>
      <c r="BG190" s="54"/>
      <c r="BH190" s="54"/>
      <c r="BI190" s="54"/>
      <c r="BJ190" s="54"/>
      <c r="BK190" s="54"/>
      <c r="BL190" s="54"/>
      <c r="BM190" s="54"/>
      <c r="BN190" s="54"/>
      <c r="BO190" s="1000"/>
      <c r="BP190" s="54"/>
      <c r="BQ190" s="54"/>
      <c r="BR190" s="54"/>
      <c r="BS190" s="54"/>
      <c r="BT190" s="54"/>
      <c r="BU190" s="54"/>
      <c r="BV190" s="54"/>
      <c r="BW190" s="54"/>
      <c r="BX190" s="54"/>
      <c r="BY190" s="54"/>
      <c r="BZ190" s="54"/>
      <c r="CA190" s="54"/>
      <c r="CB190" s="54"/>
      <c r="CC190" s="54"/>
      <c r="CD190" s="54"/>
      <c r="CE190" s="783">
        <v>17.428999999999998</v>
      </c>
      <c r="CF190" s="54">
        <f t="shared" ref="CF190:CT190" si="388">SUM(CF188:CF189)</f>
        <v>17.428999999999998</v>
      </c>
      <c r="CG190" s="54">
        <f t="shared" si="388"/>
        <v>17.428999999999998</v>
      </c>
      <c r="CH190" s="54">
        <f t="shared" si="388"/>
        <v>17.428999999999998</v>
      </c>
      <c r="CI190" s="54">
        <f t="shared" si="388"/>
        <v>17.428999999999998</v>
      </c>
      <c r="CJ190" s="54">
        <f t="shared" si="388"/>
        <v>17.428999999999998</v>
      </c>
      <c r="CK190" s="54">
        <f t="shared" si="388"/>
        <v>17.428999999999998</v>
      </c>
      <c r="CL190" s="54">
        <f t="shared" si="388"/>
        <v>17.428999999999998</v>
      </c>
      <c r="CM190" s="54">
        <f t="shared" si="388"/>
        <v>17.428999999999998</v>
      </c>
      <c r="CN190" s="54">
        <f t="shared" si="388"/>
        <v>17.428999999999998</v>
      </c>
      <c r="CO190" s="54">
        <f t="shared" si="388"/>
        <v>17.428999999999998</v>
      </c>
      <c r="CP190" s="54">
        <f t="shared" si="388"/>
        <v>17.428999999999998</v>
      </c>
      <c r="CQ190" s="54">
        <f>SUM(CQ188:CQ189)</f>
        <v>17.428999999999998</v>
      </c>
      <c r="CR190" s="54">
        <f t="shared" si="388"/>
        <v>17.428999999999998</v>
      </c>
      <c r="CS190" s="54">
        <f t="shared" si="388"/>
        <v>17.428999999999998</v>
      </c>
      <c r="CT190" s="54">
        <f t="shared" si="388"/>
        <v>17.428999999999998</v>
      </c>
      <c r="CU190" s="54">
        <f>SUM(CU188:CU189)</f>
        <v>17.428999999999998</v>
      </c>
      <c r="CV190" s="54">
        <f>SUM(CV188:CV189)</f>
        <v>17.428999999999998</v>
      </c>
      <c r="CW190" s="54">
        <f>SUM(CW188:CW189)</f>
        <v>17.428999999999998</v>
      </c>
      <c r="CX190" s="54">
        <f>SUM(CX188:CX189)</f>
        <v>17.428999999999998</v>
      </c>
      <c r="CY190" s="54">
        <f>SUM(CY188:CY189)</f>
        <v>17.428999999999998</v>
      </c>
      <c r="CZ190" s="54">
        <f t="shared" ref="CZ190:DC190" si="389">SUM(CZ188:CZ189)</f>
        <v>17.428999999999998</v>
      </c>
      <c r="DA190" s="54">
        <f t="shared" si="389"/>
        <v>17.428999999999998</v>
      </c>
      <c r="DB190" s="54">
        <f t="shared" si="389"/>
        <v>17.428999999999998</v>
      </c>
      <c r="DC190" s="54">
        <f t="shared" si="389"/>
        <v>17.428999999999998</v>
      </c>
    </row>
    <row r="191" spans="2:107" s="15" customFormat="1" hidden="1" outlineLevel="1">
      <c r="B191" s="876"/>
      <c r="K191" s="783"/>
      <c r="L191" s="26"/>
      <c r="M191" s="26"/>
      <c r="N191" s="1004"/>
      <c r="O191" s="1004"/>
      <c r="P191" s="1004"/>
      <c r="Q191" s="1004"/>
      <c r="R191" s="1004"/>
      <c r="S191" s="1004"/>
      <c r="T191" s="1004"/>
      <c r="U191" s="1004"/>
      <c r="V191" s="1004"/>
      <c r="W191" s="1004"/>
      <c r="X191" s="1004"/>
      <c r="Y191" s="1004"/>
      <c r="Z191" s="1004"/>
      <c r="AA191" s="1004"/>
      <c r="AB191" s="1004"/>
      <c r="AC191" s="1004"/>
      <c r="AD191" s="1004"/>
      <c r="AF191" s="1005"/>
      <c r="AG191" s="1005"/>
      <c r="AH191" s="1005"/>
      <c r="AI191" s="1005"/>
      <c r="AJ191" s="1005"/>
      <c r="AK191" s="1005"/>
      <c r="AL191" s="1005"/>
      <c r="AM191" s="1005"/>
      <c r="AN191" s="1005"/>
      <c r="AO191" s="1005"/>
      <c r="AP191" s="1005"/>
      <c r="AQ191" s="1005"/>
      <c r="AR191" s="1005"/>
      <c r="AS191" s="1005"/>
      <c r="AT191" s="1005"/>
      <c r="AU191" s="1005"/>
      <c r="AV191" s="1005"/>
      <c r="AW191" s="1005"/>
      <c r="AX191" s="1005"/>
      <c r="AY191" s="1005"/>
      <c r="AZ191" s="1005"/>
      <c r="BA191" s="1005"/>
      <c r="BB191" s="1005"/>
      <c r="BC191" s="1005"/>
      <c r="BD191" s="1005"/>
      <c r="BE191" s="1005"/>
      <c r="BF191" s="1005"/>
      <c r="BG191" s="1005"/>
      <c r="BH191" s="1005"/>
      <c r="BI191" s="1005"/>
      <c r="BJ191" s="1005"/>
      <c r="BK191" s="1005"/>
      <c r="BL191" s="1005"/>
      <c r="BM191" s="1005"/>
      <c r="BN191" s="1005"/>
      <c r="BO191" s="1005"/>
      <c r="BP191" s="1005"/>
      <c r="BQ191" s="1005"/>
      <c r="BR191" s="1005"/>
      <c r="BS191" s="789"/>
      <c r="BT191" s="789"/>
      <c r="BU191" s="789"/>
      <c r="BV191" s="789"/>
      <c r="BW191" s="789"/>
      <c r="BX191" s="789"/>
      <c r="BY191" s="789"/>
      <c r="BZ191" s="789"/>
      <c r="CA191" s="789"/>
      <c r="CB191" s="789"/>
      <c r="CC191" s="789"/>
      <c r="CD191" s="789"/>
      <c r="CE191" s="789"/>
      <c r="CF191" s="789"/>
      <c r="CG191" s="789"/>
      <c r="CH191" s="789"/>
      <c r="CI191" s="789"/>
      <c r="CJ191" s="789"/>
      <c r="CK191" s="789"/>
      <c r="CL191" s="789"/>
      <c r="CM191" s="789"/>
      <c r="CN191" s="789"/>
      <c r="CO191" s="789"/>
      <c r="CP191" s="789"/>
      <c r="CQ191" s="789"/>
      <c r="CR191" s="789"/>
      <c r="CS191" s="789"/>
      <c r="CT191" s="789"/>
      <c r="CU191" s="789"/>
      <c r="CV191" s="789"/>
      <c r="CW191" s="789"/>
      <c r="CX191" s="789"/>
      <c r="CY191" s="789"/>
      <c r="CZ191" s="789"/>
      <c r="DA191" s="789"/>
      <c r="DB191" s="789"/>
      <c r="DC191" s="789"/>
    </row>
    <row r="192" spans="2:107" s="15" customFormat="1" ht="12.75" hidden="1" customHeight="1" outlineLevel="1">
      <c r="B192" s="15" t="s">
        <v>42</v>
      </c>
    </row>
    <row r="193" spans="2:107" s="15" customFormat="1" ht="12.75" hidden="1" customHeight="1" outlineLevel="1">
      <c r="B193" s="876" t="s">
        <v>1118</v>
      </c>
      <c r="K193" s="26">
        <f>J195</f>
        <v>0</v>
      </c>
      <c r="L193" s="26">
        <f>BH193</f>
        <v>0</v>
      </c>
      <c r="M193" s="26"/>
      <c r="N193" s="26">
        <f>BS193</f>
        <v>0</v>
      </c>
      <c r="O193" s="26">
        <f t="shared" ref="O193:Z193" si="390">N195</f>
        <v>0</v>
      </c>
      <c r="P193" s="26">
        <f t="shared" si="390"/>
        <v>15.268000000000001</v>
      </c>
      <c r="Q193" s="26">
        <f t="shared" si="390"/>
        <v>15.268000000000001</v>
      </c>
      <c r="R193" s="26">
        <f t="shared" si="390"/>
        <v>14.063000000000001</v>
      </c>
      <c r="S193" s="26">
        <f t="shared" si="390"/>
        <v>14.063000000000001</v>
      </c>
      <c r="T193" s="26">
        <f t="shared" si="390"/>
        <v>14.063000000000001</v>
      </c>
      <c r="U193" s="26">
        <f t="shared" si="390"/>
        <v>14.063000000000001</v>
      </c>
      <c r="V193" s="26">
        <f t="shared" si="390"/>
        <v>14.063000000000001</v>
      </c>
      <c r="W193" s="26">
        <f t="shared" si="390"/>
        <v>14.063000000000001</v>
      </c>
      <c r="X193" s="26">
        <f t="shared" si="390"/>
        <v>14.063000000000001</v>
      </c>
      <c r="Y193" s="26">
        <f t="shared" si="390"/>
        <v>14.063000000000001</v>
      </c>
      <c r="Z193" s="26">
        <f t="shared" si="390"/>
        <v>14.063000000000001</v>
      </c>
      <c r="AA193" s="26">
        <f t="shared" ref="AA193" si="391">Z195</f>
        <v>14.063000000000001</v>
      </c>
      <c r="AB193" s="26">
        <f t="shared" ref="AB193" si="392">AA195</f>
        <v>14.063000000000001</v>
      </c>
      <c r="AC193" s="26">
        <f t="shared" ref="AC193" si="393">AB195</f>
        <v>14.063000000000001</v>
      </c>
      <c r="AD193" s="26">
        <f t="shared" ref="AD193" si="394">AC195</f>
        <v>14.063000000000001</v>
      </c>
      <c r="AF193" s="26"/>
      <c r="AG193" s="26"/>
      <c r="AH193" s="26"/>
      <c r="AI193" s="26"/>
      <c r="AJ193" s="26"/>
      <c r="AK193" s="26"/>
      <c r="AL193" s="26"/>
      <c r="AM193" s="26"/>
      <c r="AN193" s="26"/>
      <c r="AO193" s="26"/>
      <c r="AP193" s="26"/>
      <c r="AQ193" s="26"/>
      <c r="AR193" s="26"/>
      <c r="AS193" s="26"/>
      <c r="AT193" s="26"/>
      <c r="AU193" s="26"/>
      <c r="AV193" s="26"/>
      <c r="AW193" s="26"/>
      <c r="AX193" s="26"/>
      <c r="AY193" s="26"/>
      <c r="AZ193" s="26"/>
      <c r="BA193" s="26"/>
      <c r="BB193" s="26"/>
      <c r="BC193" s="26"/>
      <c r="BD193" s="26"/>
      <c r="BE193" s="26"/>
      <c r="BF193" s="26"/>
      <c r="BG193" s="26"/>
      <c r="BH193" s="26"/>
      <c r="BI193" s="26"/>
      <c r="BJ193" s="26"/>
      <c r="BK193" s="26"/>
      <c r="BL193" s="26"/>
      <c r="BM193" s="26"/>
      <c r="BN193" s="26"/>
      <c r="BO193" s="26"/>
      <c r="BP193" s="26"/>
      <c r="BQ193" s="26"/>
      <c r="BR193" s="26"/>
      <c r="BS193" s="26"/>
      <c r="BT193" s="26"/>
      <c r="BU193" s="26"/>
      <c r="BV193" s="26"/>
      <c r="BW193" s="26">
        <f t="shared" ref="BW193:CU193" si="395">BV195</f>
        <v>0</v>
      </c>
      <c r="BX193" s="26">
        <f t="shared" si="395"/>
        <v>15.268000000000001</v>
      </c>
      <c r="BY193" s="26">
        <f t="shared" si="395"/>
        <v>15.268000000000001</v>
      </c>
      <c r="BZ193" s="26">
        <f t="shared" si="395"/>
        <v>15.268000000000001</v>
      </c>
      <c r="CA193" s="26">
        <f t="shared" si="395"/>
        <v>15.268000000000001</v>
      </c>
      <c r="CB193" s="26">
        <f t="shared" si="395"/>
        <v>15.268000000000001</v>
      </c>
      <c r="CC193" s="26">
        <f t="shared" si="395"/>
        <v>15.268000000000001</v>
      </c>
      <c r="CD193" s="26">
        <f t="shared" si="395"/>
        <v>15.268000000000001</v>
      </c>
      <c r="CE193" s="26">
        <f t="shared" si="395"/>
        <v>15.268000000000001</v>
      </c>
      <c r="CF193" s="26">
        <f t="shared" si="395"/>
        <v>14.063000000000001</v>
      </c>
      <c r="CG193" s="26">
        <f t="shared" si="395"/>
        <v>14.063000000000001</v>
      </c>
      <c r="CH193" s="26">
        <f t="shared" si="395"/>
        <v>14.063000000000001</v>
      </c>
      <c r="CI193" s="26">
        <f t="shared" si="395"/>
        <v>14.063000000000001</v>
      </c>
      <c r="CJ193" s="26">
        <f t="shared" si="395"/>
        <v>14.063000000000001</v>
      </c>
      <c r="CK193" s="26">
        <f t="shared" si="395"/>
        <v>14.063000000000001</v>
      </c>
      <c r="CL193" s="26">
        <f t="shared" si="395"/>
        <v>14.063000000000001</v>
      </c>
      <c r="CM193" s="26">
        <f t="shared" si="395"/>
        <v>14.063000000000001</v>
      </c>
      <c r="CN193" s="26">
        <f t="shared" si="395"/>
        <v>14.063000000000001</v>
      </c>
      <c r="CO193" s="26">
        <f t="shared" si="395"/>
        <v>14.063000000000001</v>
      </c>
      <c r="CP193" s="26">
        <f t="shared" si="395"/>
        <v>14.063000000000001</v>
      </c>
      <c r="CQ193" s="26">
        <f t="shared" si="395"/>
        <v>14.063000000000001</v>
      </c>
      <c r="CR193" s="26">
        <f t="shared" si="395"/>
        <v>14.063000000000001</v>
      </c>
      <c r="CS193" s="26">
        <f t="shared" si="395"/>
        <v>14.063000000000001</v>
      </c>
      <c r="CT193" s="26">
        <f t="shared" si="395"/>
        <v>14.063000000000001</v>
      </c>
      <c r="CU193" s="26">
        <f t="shared" si="395"/>
        <v>14.063000000000001</v>
      </c>
      <c r="CV193" s="26">
        <f>CU195</f>
        <v>14.063000000000001</v>
      </c>
      <c r="CW193" s="26">
        <f>CV195</f>
        <v>14.063000000000001</v>
      </c>
      <c r="CX193" s="26">
        <f>CW195</f>
        <v>14.063000000000001</v>
      </c>
      <c r="CY193" s="26">
        <f>CX195</f>
        <v>14.063000000000001</v>
      </c>
      <c r="CZ193" s="26">
        <f t="shared" ref="CZ193:DC193" si="396">CY195</f>
        <v>14.063000000000001</v>
      </c>
      <c r="DA193" s="26">
        <f t="shared" si="396"/>
        <v>14.063000000000001</v>
      </c>
      <c r="DB193" s="26">
        <f t="shared" si="396"/>
        <v>14.063000000000001</v>
      </c>
      <c r="DC193" s="26">
        <f t="shared" si="396"/>
        <v>14.063000000000001</v>
      </c>
    </row>
    <row r="194" spans="2:107" s="15" customFormat="1" ht="12.75" hidden="1" customHeight="1" outlineLevel="1">
      <c r="B194" s="876" t="s">
        <v>1121</v>
      </c>
      <c r="K194" s="26">
        <f>SUM(BD194:BG194)</f>
        <v>0</v>
      </c>
      <c r="L194" s="26">
        <f>SUM(BH194:BK194)</f>
        <v>0</v>
      </c>
      <c r="M194" s="26"/>
      <c r="N194" s="26">
        <f t="shared" ref="N194:T194" si="397">N195-N193</f>
        <v>0</v>
      </c>
      <c r="O194" s="26">
        <f t="shared" si="397"/>
        <v>15.268000000000001</v>
      </c>
      <c r="P194" s="26">
        <f t="shared" si="397"/>
        <v>0</v>
      </c>
      <c r="Q194" s="26">
        <f t="shared" si="397"/>
        <v>-1.2050000000000001</v>
      </c>
      <c r="R194" s="26">
        <f t="shared" si="397"/>
        <v>0</v>
      </c>
      <c r="S194" s="26">
        <f t="shared" si="397"/>
        <v>0</v>
      </c>
      <c r="T194" s="26">
        <f t="shared" si="397"/>
        <v>0</v>
      </c>
      <c r="U194" s="26">
        <f>+SUM(CR194:CU194)</f>
        <v>0</v>
      </c>
      <c r="V194" s="26">
        <f>+SUM(CS194:CV194)</f>
        <v>0</v>
      </c>
      <c r="W194" s="26">
        <f>+SUM(CT194:CW194)</f>
        <v>0</v>
      </c>
      <c r="X194" s="1000">
        <v>0</v>
      </c>
      <c r="Y194" s="1000">
        <v>0</v>
      </c>
      <c r="Z194" s="1000">
        <v>0</v>
      </c>
      <c r="AA194" s="1000">
        <v>0</v>
      </c>
      <c r="AB194" s="1000">
        <v>0</v>
      </c>
      <c r="AC194" s="1000">
        <v>0</v>
      </c>
      <c r="AD194" s="1000">
        <v>0</v>
      </c>
      <c r="AF194" s="1006"/>
      <c r="AG194" s="1006"/>
      <c r="AH194" s="1006"/>
      <c r="AI194" s="1006"/>
      <c r="AJ194" s="1006"/>
      <c r="AK194" s="1006"/>
      <c r="AL194" s="1006"/>
      <c r="AM194" s="1006"/>
      <c r="AN194" s="1006"/>
      <c r="AO194" s="1006"/>
      <c r="AP194" s="1006"/>
      <c r="AQ194" s="1006"/>
      <c r="AR194" s="1006"/>
      <c r="AS194" s="1006"/>
      <c r="AT194" s="1006"/>
      <c r="AU194" s="1006"/>
      <c r="AV194" s="1006"/>
      <c r="AW194" s="1006"/>
      <c r="AX194" s="1006"/>
      <c r="AY194" s="1006"/>
      <c r="AZ194" s="1006"/>
      <c r="BA194" s="1006"/>
      <c r="BB194" s="1006"/>
      <c r="BC194" s="1006"/>
      <c r="BD194" s="1006"/>
      <c r="BE194" s="1006"/>
      <c r="BF194" s="1006"/>
      <c r="BG194" s="1006"/>
      <c r="BH194" s="1006"/>
      <c r="BI194" s="1006"/>
      <c r="BJ194" s="1006"/>
      <c r="BK194" s="1006"/>
      <c r="BL194" s="1006"/>
      <c r="BM194" s="1006"/>
      <c r="BN194" s="1006"/>
      <c r="BO194" s="1006"/>
      <c r="BP194" s="1006"/>
      <c r="BQ194" s="1006"/>
      <c r="BR194" s="1006"/>
      <c r="BS194" s="26"/>
      <c r="BT194" s="1000"/>
      <c r="BU194" s="1000"/>
      <c r="BV194" s="1000"/>
      <c r="BW194" s="1000">
        <v>15.268000000000001</v>
      </c>
      <c r="BX194" s="1000">
        <v>0</v>
      </c>
      <c r="BY194" s="1000">
        <v>0</v>
      </c>
      <c r="BZ194" s="1000">
        <v>0</v>
      </c>
      <c r="CA194" s="1000">
        <v>0</v>
      </c>
      <c r="CB194" s="1000">
        <v>0</v>
      </c>
      <c r="CC194" s="1000">
        <v>0</v>
      </c>
      <c r="CD194" s="1000">
        <v>0</v>
      </c>
      <c r="CE194" s="783">
        <f>14.063-CD195</f>
        <v>-1.2050000000000001</v>
      </c>
      <c r="CF194" s="1000">
        <v>0</v>
      </c>
      <c r="CG194" s="1000">
        <v>0</v>
      </c>
      <c r="CH194" s="1000">
        <v>0</v>
      </c>
      <c r="CI194" s="1000">
        <v>0</v>
      </c>
      <c r="CJ194" s="1000">
        <v>0</v>
      </c>
      <c r="CK194" s="1000">
        <v>0</v>
      </c>
      <c r="CL194" s="1000">
        <v>0</v>
      </c>
      <c r="CM194" s="1000">
        <v>0</v>
      </c>
      <c r="CN194" s="1000">
        <v>0</v>
      </c>
      <c r="CO194" s="1000">
        <v>0</v>
      </c>
      <c r="CP194" s="1000">
        <v>0</v>
      </c>
      <c r="CQ194" s="1000">
        <v>0</v>
      </c>
      <c r="CR194" s="1000">
        <v>0</v>
      </c>
      <c r="CS194" s="1000">
        <v>0</v>
      </c>
      <c r="CT194" s="1000">
        <v>0</v>
      </c>
      <c r="CU194" s="1000">
        <v>0</v>
      </c>
      <c r="CV194" s="1000">
        <v>0</v>
      </c>
      <c r="CW194" s="1000">
        <v>0</v>
      </c>
      <c r="CX194" s="1000">
        <v>0</v>
      </c>
      <c r="CY194" s="1000">
        <v>0</v>
      </c>
      <c r="CZ194" s="1000">
        <v>0</v>
      </c>
      <c r="DA194" s="1000">
        <v>0</v>
      </c>
      <c r="DB194" s="1000">
        <v>0</v>
      </c>
      <c r="DC194" s="1000">
        <v>0</v>
      </c>
    </row>
    <row r="195" spans="2:107" s="15" customFormat="1" ht="12.75" hidden="1" customHeight="1" outlineLevel="1">
      <c r="B195" s="876" t="s">
        <v>1044</v>
      </c>
      <c r="J195" s="26">
        <f>BC195</f>
        <v>0</v>
      </c>
      <c r="K195" s="26">
        <f>SUM(K193:K194)</f>
        <v>0</v>
      </c>
      <c r="L195" s="26">
        <f>SUM(L193:L194)</f>
        <v>0</v>
      </c>
      <c r="M195" s="54">
        <f>BO195</f>
        <v>0</v>
      </c>
      <c r="N195" s="26">
        <f>BS195</f>
        <v>0</v>
      </c>
      <c r="O195" s="26">
        <f>BW195</f>
        <v>15.268000000000001</v>
      </c>
      <c r="P195" s="26">
        <f>CA195</f>
        <v>15.268000000000001</v>
      </c>
      <c r="Q195" s="26">
        <f>CE195</f>
        <v>14.063000000000001</v>
      </c>
      <c r="R195" s="26">
        <f>CI195</f>
        <v>14.063000000000001</v>
      </c>
      <c r="S195" s="26">
        <f>CM195</f>
        <v>14.063000000000001</v>
      </c>
      <c r="T195" s="26">
        <f>CN195</f>
        <v>14.063000000000001</v>
      </c>
      <c r="U195" s="26">
        <f t="shared" ref="U195:Z195" si="398">SUM(U193:U194)</f>
        <v>14.063000000000001</v>
      </c>
      <c r="V195" s="26">
        <f>SUM(V193:V194)</f>
        <v>14.063000000000001</v>
      </c>
      <c r="W195" s="26">
        <f>SUM(W193:W194)</f>
        <v>14.063000000000001</v>
      </c>
      <c r="X195" s="26">
        <f t="shared" si="398"/>
        <v>14.063000000000001</v>
      </c>
      <c r="Y195" s="26">
        <f t="shared" si="398"/>
        <v>14.063000000000001</v>
      </c>
      <c r="Z195" s="26">
        <f t="shared" si="398"/>
        <v>14.063000000000001</v>
      </c>
      <c r="AA195" s="26">
        <f t="shared" ref="AA195:AD195" si="399">SUM(AA193:AA194)</f>
        <v>14.063000000000001</v>
      </c>
      <c r="AB195" s="26">
        <f t="shared" si="399"/>
        <v>14.063000000000001</v>
      </c>
      <c r="AC195" s="26">
        <f t="shared" si="399"/>
        <v>14.063000000000001</v>
      </c>
      <c r="AD195" s="26">
        <f t="shared" si="399"/>
        <v>14.063000000000001</v>
      </c>
      <c r="AF195" s="26"/>
      <c r="AG195" s="26"/>
      <c r="AH195" s="26"/>
      <c r="AI195" s="26"/>
      <c r="AJ195" s="26"/>
      <c r="AK195" s="26"/>
      <c r="AL195" s="26"/>
      <c r="AM195" s="26"/>
      <c r="AN195" s="26"/>
      <c r="AO195" s="26"/>
      <c r="AP195" s="26"/>
      <c r="AQ195" s="26"/>
      <c r="AR195" s="26"/>
      <c r="AS195" s="26"/>
      <c r="AT195" s="26"/>
      <c r="AU195" s="26"/>
      <c r="AV195" s="26"/>
      <c r="AW195" s="26"/>
      <c r="AX195" s="26"/>
      <c r="AY195" s="26"/>
      <c r="AZ195" s="26"/>
      <c r="BA195" s="26"/>
      <c r="BB195" s="26"/>
      <c r="BC195" s="26"/>
      <c r="BD195" s="26"/>
      <c r="BE195" s="26"/>
      <c r="BF195" s="26"/>
      <c r="BG195" s="26"/>
      <c r="BH195" s="26"/>
      <c r="BI195" s="26"/>
      <c r="BJ195" s="26"/>
      <c r="BK195" s="26"/>
      <c r="BL195" s="26"/>
      <c r="BM195" s="26"/>
      <c r="BN195" s="26"/>
      <c r="BO195" s="26"/>
      <c r="BP195" s="26"/>
      <c r="BQ195" s="26"/>
      <c r="BR195" s="883"/>
      <c r="BS195" s="783"/>
      <c r="BT195" s="54"/>
      <c r="BU195" s="54"/>
      <c r="BV195" s="54"/>
      <c r="BW195" s="54">
        <f t="shared" ref="BW195:CT195" si="400">SUM(BW193:BW194)</f>
        <v>15.268000000000001</v>
      </c>
      <c r="BX195" s="54">
        <f t="shared" si="400"/>
        <v>15.268000000000001</v>
      </c>
      <c r="BY195" s="54">
        <f t="shared" si="400"/>
        <v>15.268000000000001</v>
      </c>
      <c r="BZ195" s="54">
        <f t="shared" si="400"/>
        <v>15.268000000000001</v>
      </c>
      <c r="CA195" s="54">
        <f t="shared" si="400"/>
        <v>15.268000000000001</v>
      </c>
      <c r="CB195" s="54">
        <f t="shared" si="400"/>
        <v>15.268000000000001</v>
      </c>
      <c r="CC195" s="54">
        <f t="shared" si="400"/>
        <v>15.268000000000001</v>
      </c>
      <c r="CD195" s="54">
        <f t="shared" si="400"/>
        <v>15.268000000000001</v>
      </c>
      <c r="CE195" s="54">
        <f t="shared" si="400"/>
        <v>14.063000000000001</v>
      </c>
      <c r="CF195" s="54">
        <f t="shared" si="400"/>
        <v>14.063000000000001</v>
      </c>
      <c r="CG195" s="54">
        <f t="shared" si="400"/>
        <v>14.063000000000001</v>
      </c>
      <c r="CH195" s="54">
        <f t="shared" si="400"/>
        <v>14.063000000000001</v>
      </c>
      <c r="CI195" s="54">
        <f t="shared" si="400"/>
        <v>14.063000000000001</v>
      </c>
      <c r="CJ195" s="54">
        <f t="shared" si="400"/>
        <v>14.063000000000001</v>
      </c>
      <c r="CK195" s="54">
        <f t="shared" si="400"/>
        <v>14.063000000000001</v>
      </c>
      <c r="CL195" s="54">
        <f t="shared" si="400"/>
        <v>14.063000000000001</v>
      </c>
      <c r="CM195" s="54">
        <f t="shared" si="400"/>
        <v>14.063000000000001</v>
      </c>
      <c r="CN195" s="54">
        <f t="shared" si="400"/>
        <v>14.063000000000001</v>
      </c>
      <c r="CO195" s="54">
        <f t="shared" si="400"/>
        <v>14.063000000000001</v>
      </c>
      <c r="CP195" s="54">
        <f t="shared" si="400"/>
        <v>14.063000000000001</v>
      </c>
      <c r="CQ195" s="54">
        <f>SUM(CQ193:CQ194)</f>
        <v>14.063000000000001</v>
      </c>
      <c r="CR195" s="54">
        <f t="shared" si="400"/>
        <v>14.063000000000001</v>
      </c>
      <c r="CS195" s="54">
        <f t="shared" si="400"/>
        <v>14.063000000000001</v>
      </c>
      <c r="CT195" s="54">
        <f t="shared" si="400"/>
        <v>14.063000000000001</v>
      </c>
      <c r="CU195" s="54">
        <f>SUM(CU193:CU194)</f>
        <v>14.063000000000001</v>
      </c>
      <c r="CV195" s="54">
        <f>SUM(CV193:CV194)</f>
        <v>14.063000000000001</v>
      </c>
      <c r="CW195" s="54">
        <f>SUM(CW193:CW194)</f>
        <v>14.063000000000001</v>
      </c>
      <c r="CX195" s="54">
        <f>SUM(CX193:CX194)</f>
        <v>14.063000000000001</v>
      </c>
      <c r="CY195" s="54">
        <f>SUM(CY193:CY194)</f>
        <v>14.063000000000001</v>
      </c>
      <c r="CZ195" s="54">
        <f t="shared" ref="CZ195:DC195" si="401">SUM(CZ193:CZ194)</f>
        <v>14.063000000000001</v>
      </c>
      <c r="DA195" s="54">
        <f t="shared" si="401"/>
        <v>14.063000000000001</v>
      </c>
      <c r="DB195" s="54">
        <f t="shared" si="401"/>
        <v>14.063000000000001</v>
      </c>
      <c r="DC195" s="54">
        <f t="shared" si="401"/>
        <v>14.063000000000001</v>
      </c>
    </row>
    <row r="196" spans="2:107" s="15" customFormat="1" ht="12.75" hidden="1" customHeight="1" outlineLevel="1">
      <c r="B196" s="876"/>
      <c r="K196" s="1004"/>
      <c r="L196" s="1004"/>
      <c r="M196" s="1004"/>
      <c r="N196" s="1004"/>
      <c r="O196" s="1004"/>
      <c r="P196" s="1004"/>
      <c r="Q196" s="1004"/>
      <c r="R196" s="1004"/>
      <c r="S196" s="1004"/>
      <c r="T196" s="1004"/>
      <c r="U196" s="1004"/>
      <c r="V196" s="1004"/>
      <c r="W196" s="1004"/>
      <c r="X196" s="1004"/>
      <c r="Y196" s="1004"/>
      <c r="Z196" s="1004"/>
      <c r="AA196" s="1004"/>
      <c r="AB196" s="1004"/>
      <c r="AC196" s="1004"/>
      <c r="AD196" s="1004"/>
      <c r="AF196" s="1004"/>
      <c r="AG196" s="1004"/>
      <c r="AH196" s="1004"/>
      <c r="AI196" s="1004"/>
      <c r="AJ196" s="1004"/>
      <c r="AK196" s="1004"/>
      <c r="AL196" s="1004"/>
      <c r="AM196" s="1004"/>
      <c r="AN196" s="1004"/>
      <c r="AO196" s="1004"/>
      <c r="AP196" s="1004"/>
      <c r="AQ196" s="1004"/>
      <c r="AR196" s="1004"/>
      <c r="AS196" s="1004"/>
      <c r="AT196" s="1004"/>
      <c r="AU196" s="1004"/>
      <c r="AV196" s="1004"/>
      <c r="AW196" s="1004"/>
      <c r="AX196" s="1004"/>
      <c r="AY196" s="1004"/>
      <c r="AZ196" s="1004"/>
      <c r="BA196" s="1004"/>
      <c r="BB196" s="1004"/>
      <c r="BC196" s="1004"/>
      <c r="BD196" s="1004"/>
      <c r="BE196" s="1004"/>
      <c r="BF196" s="1004"/>
      <c r="BG196" s="1004"/>
      <c r="BH196" s="1004"/>
      <c r="BI196" s="1004"/>
      <c r="BJ196" s="1004"/>
      <c r="BK196" s="1004"/>
      <c r="BL196" s="1004"/>
      <c r="BM196" s="1004"/>
      <c r="BN196" s="1004"/>
      <c r="BO196" s="1004"/>
      <c r="BP196" s="1004"/>
      <c r="BQ196" s="1004"/>
      <c r="BR196" s="1007"/>
      <c r="BS196" s="1004"/>
      <c r="BT196" s="1004"/>
      <c r="BU196" s="1004"/>
      <c r="BV196" s="1004"/>
      <c r="BW196" s="1004"/>
      <c r="BX196" s="1004"/>
      <c r="BY196" s="1004"/>
      <c r="BZ196" s="1004"/>
      <c r="CA196" s="1004"/>
      <c r="CB196" s="1004"/>
      <c r="CC196" s="1004"/>
      <c r="CD196" s="1004"/>
      <c r="CE196" s="1004"/>
      <c r="CF196" s="1004"/>
      <c r="CG196" s="1004"/>
      <c r="CH196" s="1004"/>
      <c r="CI196" s="1004"/>
      <c r="CJ196" s="1004"/>
      <c r="CK196" s="1004"/>
      <c r="CL196" s="1004"/>
      <c r="CM196" s="1004"/>
      <c r="CN196" s="1004"/>
      <c r="CO196" s="1004"/>
      <c r="CP196" s="1004"/>
      <c r="CQ196" s="1004"/>
      <c r="CR196" s="1004"/>
      <c r="CS196" s="1004"/>
      <c r="CT196" s="1004"/>
      <c r="CU196" s="1004"/>
      <c r="CV196" s="1004"/>
      <c r="CW196" s="1004"/>
      <c r="CX196" s="1004"/>
      <c r="CY196" s="1004"/>
      <c r="CZ196" s="1004"/>
      <c r="DA196" s="1004"/>
      <c r="DB196" s="1004"/>
      <c r="DC196" s="1004"/>
    </row>
    <row r="197" spans="2:107" s="15" customFormat="1" ht="12.75" hidden="1" customHeight="1" outlineLevel="1">
      <c r="B197" s="15" t="s">
        <v>1214</v>
      </c>
    </row>
    <row r="198" spans="2:107" s="15" customFormat="1" ht="12.75" hidden="1" customHeight="1" outlineLevel="1">
      <c r="B198" s="876" t="s">
        <v>1118</v>
      </c>
      <c r="K198" s="26">
        <f>J200</f>
        <v>0</v>
      </c>
      <c r="L198" s="26">
        <f>BH198</f>
        <v>0</v>
      </c>
      <c r="M198" s="26"/>
      <c r="N198" s="26">
        <f>BP198</f>
        <v>0</v>
      </c>
      <c r="O198" s="26">
        <f t="shared" ref="O198:Z198" si="402">N200</f>
        <v>11.47</v>
      </c>
      <c r="P198" s="26">
        <f t="shared" si="402"/>
        <v>12.574</v>
      </c>
      <c r="Q198" s="26">
        <f t="shared" si="402"/>
        <v>13.774000000000003</v>
      </c>
      <c r="R198" s="26">
        <f t="shared" si="402"/>
        <v>12.19</v>
      </c>
      <c r="S198" s="26">
        <f t="shared" si="402"/>
        <v>13.390000000000002</v>
      </c>
      <c r="T198" s="26">
        <f t="shared" si="402"/>
        <v>14.590000000000005</v>
      </c>
      <c r="U198" s="26">
        <f t="shared" si="402"/>
        <v>14.890000000000006</v>
      </c>
      <c r="V198" s="26">
        <f t="shared" si="402"/>
        <v>16.090000000000007</v>
      </c>
      <c r="W198" s="26">
        <f t="shared" si="402"/>
        <v>17.290000000000006</v>
      </c>
      <c r="X198" s="26">
        <f t="shared" si="402"/>
        <v>18.490000000000006</v>
      </c>
      <c r="Y198" s="26">
        <f t="shared" si="402"/>
        <v>19.690000000000005</v>
      </c>
      <c r="Z198" s="26">
        <f t="shared" si="402"/>
        <v>20.890000000000004</v>
      </c>
      <c r="AA198" s="26">
        <f t="shared" ref="AA198" si="403">Z200</f>
        <v>22.090000000000003</v>
      </c>
      <c r="AB198" s="26">
        <f t="shared" ref="AB198" si="404">AA200</f>
        <v>23.290000000000003</v>
      </c>
      <c r="AC198" s="26">
        <f t="shared" ref="AC198" si="405">AB200</f>
        <v>24.490000000000002</v>
      </c>
      <c r="AD198" s="26">
        <f t="shared" ref="AD198" si="406">AC200</f>
        <v>25.69</v>
      </c>
      <c r="AF198" s="26"/>
      <c r="AG198" s="26"/>
      <c r="AH198" s="26"/>
      <c r="AI198" s="26"/>
      <c r="AJ198" s="26"/>
      <c r="AK198" s="26"/>
      <c r="AL198" s="26"/>
      <c r="AM198" s="26"/>
      <c r="AN198" s="26"/>
      <c r="AO198" s="26"/>
      <c r="AP198" s="26"/>
      <c r="AQ198" s="26"/>
      <c r="AR198" s="26"/>
      <c r="AS198" s="26"/>
      <c r="AT198" s="26"/>
      <c r="AU198" s="26"/>
      <c r="AV198" s="26"/>
      <c r="AW198" s="26"/>
      <c r="AX198" s="26"/>
      <c r="AY198" s="26"/>
      <c r="AZ198" s="26"/>
      <c r="BA198" s="26"/>
      <c r="BB198" s="26"/>
      <c r="BC198" s="26"/>
      <c r="BD198" s="26"/>
      <c r="BE198" s="26"/>
      <c r="BF198" s="26"/>
      <c r="BG198" s="26"/>
      <c r="BH198" s="26"/>
      <c r="BI198" s="26"/>
      <c r="BJ198" s="26"/>
      <c r="BK198" s="26"/>
      <c r="BL198" s="26"/>
      <c r="BM198" s="26"/>
      <c r="BN198" s="26"/>
      <c r="BO198" s="26"/>
      <c r="BP198" s="26"/>
      <c r="BQ198" s="26"/>
      <c r="BR198" s="26"/>
      <c r="BS198" s="26">
        <f t="shared" ref="BS198:CU198" si="407">BR200</f>
        <v>0</v>
      </c>
      <c r="BT198" s="26">
        <f t="shared" si="407"/>
        <v>11.47</v>
      </c>
      <c r="BU198" s="26">
        <f t="shared" si="407"/>
        <v>11.746</v>
      </c>
      <c r="BV198" s="26">
        <f t="shared" si="407"/>
        <v>12.022</v>
      </c>
      <c r="BW198" s="26">
        <f t="shared" si="407"/>
        <v>12.298</v>
      </c>
      <c r="BX198" s="26">
        <f t="shared" si="407"/>
        <v>12.574</v>
      </c>
      <c r="BY198" s="26">
        <f t="shared" si="407"/>
        <v>12.874000000000001</v>
      </c>
      <c r="BZ198" s="26">
        <f t="shared" si="407"/>
        <v>13.174000000000001</v>
      </c>
      <c r="CA198" s="26">
        <f t="shared" si="407"/>
        <v>13.474000000000002</v>
      </c>
      <c r="CB198" s="26">
        <f t="shared" si="407"/>
        <v>13.774000000000003</v>
      </c>
      <c r="CC198" s="26">
        <f t="shared" si="407"/>
        <v>14.074000000000003</v>
      </c>
      <c r="CD198" s="26">
        <f t="shared" si="407"/>
        <v>14.374000000000004</v>
      </c>
      <c r="CE198" s="26">
        <f t="shared" si="407"/>
        <v>14.674000000000005</v>
      </c>
      <c r="CF198" s="26">
        <f t="shared" si="407"/>
        <v>12.19</v>
      </c>
      <c r="CG198" s="26">
        <f t="shared" si="407"/>
        <v>12.49</v>
      </c>
      <c r="CH198" s="26">
        <f t="shared" si="407"/>
        <v>12.790000000000001</v>
      </c>
      <c r="CI198" s="26">
        <f t="shared" si="407"/>
        <v>13.090000000000002</v>
      </c>
      <c r="CJ198" s="26">
        <f t="shared" si="407"/>
        <v>13.390000000000002</v>
      </c>
      <c r="CK198" s="26">
        <f t="shared" si="407"/>
        <v>13.690000000000003</v>
      </c>
      <c r="CL198" s="26">
        <f t="shared" si="407"/>
        <v>13.990000000000004</v>
      </c>
      <c r="CM198" s="26">
        <f t="shared" si="407"/>
        <v>14.290000000000004</v>
      </c>
      <c r="CN198" s="26">
        <f t="shared" si="407"/>
        <v>14.590000000000005</v>
      </c>
      <c r="CO198" s="26">
        <f t="shared" si="407"/>
        <v>14.890000000000006</v>
      </c>
      <c r="CP198" s="26">
        <f t="shared" si="407"/>
        <v>15.190000000000007</v>
      </c>
      <c r="CQ198" s="26">
        <f t="shared" si="407"/>
        <v>15.490000000000007</v>
      </c>
      <c r="CR198" s="26">
        <f t="shared" si="407"/>
        <v>15.790000000000008</v>
      </c>
      <c r="CS198" s="26">
        <f t="shared" si="407"/>
        <v>16.090000000000007</v>
      </c>
      <c r="CT198" s="26">
        <f t="shared" si="407"/>
        <v>16.390000000000008</v>
      </c>
      <c r="CU198" s="26">
        <f t="shared" si="407"/>
        <v>16.690000000000008</v>
      </c>
      <c r="CV198" s="26">
        <f>CU200</f>
        <v>16.990000000000009</v>
      </c>
      <c r="CW198" s="26">
        <f>CV200</f>
        <v>17.29000000000001</v>
      </c>
      <c r="CX198" s="26">
        <f>CW200</f>
        <v>17.590000000000011</v>
      </c>
      <c r="CY198" s="26">
        <f>CX200</f>
        <v>17.890000000000011</v>
      </c>
      <c r="CZ198" s="26">
        <f t="shared" ref="CZ198:DC198" si="408">CY200</f>
        <v>18.190000000000012</v>
      </c>
      <c r="DA198" s="26">
        <f t="shared" si="408"/>
        <v>18.490000000000013</v>
      </c>
      <c r="DB198" s="26">
        <f t="shared" si="408"/>
        <v>18.790000000000013</v>
      </c>
      <c r="DC198" s="26">
        <f t="shared" si="408"/>
        <v>19.090000000000014</v>
      </c>
    </row>
    <row r="199" spans="2:107" s="15" customFormat="1" ht="12.75" hidden="1" customHeight="1" outlineLevel="1">
      <c r="B199" s="876" t="s">
        <v>1121</v>
      </c>
      <c r="K199" s="26">
        <f>SUM(BD199:BG199)</f>
        <v>0</v>
      </c>
      <c r="L199" s="26">
        <f>SUM(BH199:BK199)</f>
        <v>0</v>
      </c>
      <c r="M199" s="26"/>
      <c r="N199" s="26">
        <f t="shared" ref="N199:T199" si="409">N200-N198</f>
        <v>11.47</v>
      </c>
      <c r="O199" s="26">
        <f t="shared" si="409"/>
        <v>1.1039999999999992</v>
      </c>
      <c r="P199" s="26">
        <f t="shared" si="409"/>
        <v>1.2000000000000028</v>
      </c>
      <c r="Q199" s="26">
        <f t="shared" si="409"/>
        <v>-1.5840000000000032</v>
      </c>
      <c r="R199" s="26">
        <f t="shared" si="409"/>
        <v>1.2000000000000028</v>
      </c>
      <c r="S199" s="26">
        <f t="shared" si="409"/>
        <v>1.2000000000000028</v>
      </c>
      <c r="T199" s="26">
        <f t="shared" si="409"/>
        <v>0.30000000000000071</v>
      </c>
      <c r="U199" s="26">
        <f>+SUM(CR199:CU199)</f>
        <v>1.2</v>
      </c>
      <c r="V199" s="26">
        <f>+SUM(CS199:CV199)</f>
        <v>1.2</v>
      </c>
      <c r="W199" s="26">
        <f>+SUM(CT199:CW199)</f>
        <v>1.2</v>
      </c>
      <c r="X199" s="1000">
        <f>W199</f>
        <v>1.2</v>
      </c>
      <c r="Y199" s="1000">
        <f>X199</f>
        <v>1.2</v>
      </c>
      <c r="Z199" s="1000">
        <f>Y199</f>
        <v>1.2</v>
      </c>
      <c r="AA199" s="1000">
        <f t="shared" ref="AA199:AD199" si="410">Z199</f>
        <v>1.2</v>
      </c>
      <c r="AB199" s="1000">
        <f t="shared" si="410"/>
        <v>1.2</v>
      </c>
      <c r="AC199" s="1000">
        <f t="shared" si="410"/>
        <v>1.2</v>
      </c>
      <c r="AD199" s="1000">
        <f t="shared" si="410"/>
        <v>1.2</v>
      </c>
      <c r="AF199" s="1006"/>
      <c r="AG199" s="1006"/>
      <c r="AH199" s="1006"/>
      <c r="AI199" s="1006"/>
      <c r="AJ199" s="1006"/>
      <c r="AK199" s="1006"/>
      <c r="AL199" s="1006"/>
      <c r="AM199" s="1006"/>
      <c r="AN199" s="1006"/>
      <c r="AO199" s="1006"/>
      <c r="AP199" s="1006"/>
      <c r="AQ199" s="1006"/>
      <c r="AR199" s="1006"/>
      <c r="AS199" s="1006"/>
      <c r="AT199" s="1006"/>
      <c r="AU199" s="1006"/>
      <c r="AV199" s="1006"/>
      <c r="AW199" s="1006"/>
      <c r="AX199" s="1006"/>
      <c r="AY199" s="1006"/>
      <c r="AZ199" s="1006"/>
      <c r="BA199" s="1006"/>
      <c r="BB199" s="1006"/>
      <c r="BC199" s="1006"/>
      <c r="BD199" s="1006"/>
      <c r="BE199" s="1006"/>
      <c r="BF199" s="1006"/>
      <c r="BG199" s="1006"/>
      <c r="BH199" s="1006"/>
      <c r="BI199" s="1006"/>
      <c r="BJ199" s="1006"/>
      <c r="BK199" s="1006"/>
      <c r="BL199" s="1006"/>
      <c r="BM199" s="1006"/>
      <c r="BN199" s="1006"/>
      <c r="BO199" s="1006"/>
      <c r="BP199" s="26"/>
      <c r="BQ199" s="26"/>
      <c r="BR199" s="26"/>
      <c r="BS199" s="26">
        <f>BS200-BS198</f>
        <v>11.47</v>
      </c>
      <c r="BT199" s="1000">
        <v>0.2759999999999998</v>
      </c>
      <c r="BU199" s="1000">
        <v>0.2759999999999998</v>
      </c>
      <c r="BV199" s="1000">
        <v>0.2759999999999998</v>
      </c>
      <c r="BW199" s="1000">
        <v>0.2759999999999998</v>
      </c>
      <c r="BX199" s="1000">
        <v>0.3</v>
      </c>
      <c r="BY199" s="1000">
        <v>0.3</v>
      </c>
      <c r="BZ199" s="1000">
        <v>0.3</v>
      </c>
      <c r="CA199" s="1000">
        <v>0.3</v>
      </c>
      <c r="CB199" s="1000">
        <v>0.3</v>
      </c>
      <c r="CC199" s="1000">
        <v>0.3</v>
      </c>
      <c r="CD199" s="1000">
        <v>0.3</v>
      </c>
      <c r="CE199" s="783">
        <f>12.19-CD200</f>
        <v>-2.4840000000000053</v>
      </c>
      <c r="CF199" s="1000">
        <v>0.3</v>
      </c>
      <c r="CG199" s="1000">
        <v>0.3</v>
      </c>
      <c r="CH199" s="1000">
        <v>0.3</v>
      </c>
      <c r="CI199" s="1000">
        <v>0.3</v>
      </c>
      <c r="CJ199" s="1000">
        <v>0.3</v>
      </c>
      <c r="CK199" s="1000">
        <v>0.3</v>
      </c>
      <c r="CL199" s="1000">
        <v>0.3</v>
      </c>
      <c r="CM199" s="1000">
        <v>0.3</v>
      </c>
      <c r="CN199" s="1000">
        <v>0.3</v>
      </c>
      <c r="CO199" s="1000">
        <v>0.3</v>
      </c>
      <c r="CP199" s="1000">
        <v>0.3</v>
      </c>
      <c r="CQ199" s="1000">
        <v>0.3</v>
      </c>
      <c r="CR199" s="1000">
        <v>0.3</v>
      </c>
      <c r="CS199" s="1000">
        <v>0.3</v>
      </c>
      <c r="CT199" s="1000">
        <v>0.3</v>
      </c>
      <c r="CU199" s="1000">
        <v>0.3</v>
      </c>
      <c r="CV199" s="1000">
        <v>0.3</v>
      </c>
      <c r="CW199" s="1000">
        <v>0.3</v>
      </c>
      <c r="CX199" s="1000">
        <v>0.3</v>
      </c>
      <c r="CY199" s="1000">
        <v>0.3</v>
      </c>
      <c r="CZ199" s="1000">
        <v>0.3</v>
      </c>
      <c r="DA199" s="1000">
        <v>0.3</v>
      </c>
      <c r="DB199" s="1000">
        <v>0.3</v>
      </c>
      <c r="DC199" s="1000">
        <v>0.3</v>
      </c>
    </row>
    <row r="200" spans="2:107" s="15" customFormat="1" ht="12.75" hidden="1" customHeight="1" outlineLevel="1">
      <c r="B200" s="876" t="s">
        <v>1044</v>
      </c>
      <c r="J200" s="26">
        <f>BC200</f>
        <v>0</v>
      </c>
      <c r="K200" s="26">
        <f>SUM(K198:K199)</f>
        <v>0</v>
      </c>
      <c r="L200" s="26">
        <f>SUM(L198:L199)</f>
        <v>0</v>
      </c>
      <c r="M200" s="54">
        <f>BO200</f>
        <v>0</v>
      </c>
      <c r="N200" s="26">
        <f>BS200</f>
        <v>11.47</v>
      </c>
      <c r="O200" s="26">
        <f>BW200</f>
        <v>12.574</v>
      </c>
      <c r="P200" s="26">
        <f>CA200</f>
        <v>13.774000000000003</v>
      </c>
      <c r="Q200" s="26">
        <f>CE200</f>
        <v>12.19</v>
      </c>
      <c r="R200" s="26">
        <f>CI200</f>
        <v>13.390000000000002</v>
      </c>
      <c r="S200" s="26">
        <f>CM200</f>
        <v>14.590000000000005</v>
      </c>
      <c r="T200" s="26">
        <f>CN200</f>
        <v>14.890000000000006</v>
      </c>
      <c r="U200" s="26">
        <f t="shared" ref="U200:Z200" si="411">SUM(U198:U199)</f>
        <v>16.090000000000007</v>
      </c>
      <c r="V200" s="26">
        <f>SUM(V198:V199)</f>
        <v>17.290000000000006</v>
      </c>
      <c r="W200" s="26">
        <f>SUM(W198:W199)</f>
        <v>18.490000000000006</v>
      </c>
      <c r="X200" s="26">
        <f t="shared" si="411"/>
        <v>19.690000000000005</v>
      </c>
      <c r="Y200" s="26">
        <f t="shared" si="411"/>
        <v>20.890000000000004</v>
      </c>
      <c r="Z200" s="26">
        <f t="shared" si="411"/>
        <v>22.090000000000003</v>
      </c>
      <c r="AA200" s="26">
        <f t="shared" ref="AA200:AD200" si="412">SUM(AA198:AA199)</f>
        <v>23.290000000000003</v>
      </c>
      <c r="AB200" s="26">
        <f t="shared" si="412"/>
        <v>24.490000000000002</v>
      </c>
      <c r="AC200" s="26">
        <f t="shared" si="412"/>
        <v>25.69</v>
      </c>
      <c r="AD200" s="26">
        <f t="shared" si="412"/>
        <v>26.89</v>
      </c>
      <c r="AF200" s="26"/>
      <c r="AG200" s="26"/>
      <c r="AH200" s="26"/>
      <c r="AI200" s="26"/>
      <c r="AJ200" s="26"/>
      <c r="AK200" s="26"/>
      <c r="AL200" s="26"/>
      <c r="AM200" s="26"/>
      <c r="AN200" s="26"/>
      <c r="AO200" s="26"/>
      <c r="AP200" s="26"/>
      <c r="AQ200" s="26"/>
      <c r="AR200" s="26"/>
      <c r="AS200" s="26"/>
      <c r="AT200" s="26"/>
      <c r="AU200" s="26"/>
      <c r="AV200" s="26"/>
      <c r="AW200" s="26"/>
      <c r="AX200" s="26"/>
      <c r="AY200" s="26"/>
      <c r="AZ200" s="26"/>
      <c r="BA200" s="26"/>
      <c r="BB200" s="26"/>
      <c r="BC200" s="26"/>
      <c r="BD200" s="26"/>
      <c r="BE200" s="26"/>
      <c r="BF200" s="26"/>
      <c r="BG200" s="26"/>
      <c r="BH200" s="26"/>
      <c r="BI200" s="26"/>
      <c r="BJ200" s="26"/>
      <c r="BK200" s="26"/>
      <c r="BL200" s="26"/>
      <c r="BM200" s="26"/>
      <c r="BN200" s="26"/>
      <c r="BO200" s="26"/>
      <c r="BP200" s="783"/>
      <c r="BQ200" s="54"/>
      <c r="BR200" s="54"/>
      <c r="BS200" s="1000">
        <v>11.47</v>
      </c>
      <c r="BT200" s="54">
        <f t="shared" ref="BT200:CT200" si="413">SUM(BT198:BT199)</f>
        <v>11.746</v>
      </c>
      <c r="BU200" s="54">
        <f t="shared" si="413"/>
        <v>12.022</v>
      </c>
      <c r="BV200" s="54">
        <f t="shared" si="413"/>
        <v>12.298</v>
      </c>
      <c r="BW200" s="54">
        <f t="shared" si="413"/>
        <v>12.574</v>
      </c>
      <c r="BX200" s="54">
        <f t="shared" si="413"/>
        <v>12.874000000000001</v>
      </c>
      <c r="BY200" s="54">
        <f t="shared" si="413"/>
        <v>13.174000000000001</v>
      </c>
      <c r="BZ200" s="54">
        <f t="shared" si="413"/>
        <v>13.474000000000002</v>
      </c>
      <c r="CA200" s="54">
        <f t="shared" si="413"/>
        <v>13.774000000000003</v>
      </c>
      <c r="CB200" s="54">
        <f t="shared" si="413"/>
        <v>14.074000000000003</v>
      </c>
      <c r="CC200" s="54">
        <f t="shared" si="413"/>
        <v>14.374000000000004</v>
      </c>
      <c r="CD200" s="54">
        <f t="shared" si="413"/>
        <v>14.674000000000005</v>
      </c>
      <c r="CE200" s="54">
        <f t="shared" si="413"/>
        <v>12.19</v>
      </c>
      <c r="CF200" s="54">
        <f t="shared" si="413"/>
        <v>12.49</v>
      </c>
      <c r="CG200" s="54">
        <f t="shared" si="413"/>
        <v>12.790000000000001</v>
      </c>
      <c r="CH200" s="54">
        <f t="shared" si="413"/>
        <v>13.090000000000002</v>
      </c>
      <c r="CI200" s="54">
        <f t="shared" si="413"/>
        <v>13.390000000000002</v>
      </c>
      <c r="CJ200" s="54">
        <f t="shared" si="413"/>
        <v>13.690000000000003</v>
      </c>
      <c r="CK200" s="54">
        <f t="shared" si="413"/>
        <v>13.990000000000004</v>
      </c>
      <c r="CL200" s="54">
        <f t="shared" si="413"/>
        <v>14.290000000000004</v>
      </c>
      <c r="CM200" s="54">
        <f t="shared" si="413"/>
        <v>14.590000000000005</v>
      </c>
      <c r="CN200" s="54">
        <f t="shared" si="413"/>
        <v>14.890000000000006</v>
      </c>
      <c r="CO200" s="54">
        <f t="shared" si="413"/>
        <v>15.190000000000007</v>
      </c>
      <c r="CP200" s="54">
        <f t="shared" si="413"/>
        <v>15.490000000000007</v>
      </c>
      <c r="CQ200" s="54">
        <f>SUM(CQ198:CQ199)</f>
        <v>15.790000000000008</v>
      </c>
      <c r="CR200" s="54">
        <f t="shared" si="413"/>
        <v>16.090000000000007</v>
      </c>
      <c r="CS200" s="54">
        <f t="shared" si="413"/>
        <v>16.390000000000008</v>
      </c>
      <c r="CT200" s="54">
        <f t="shared" si="413"/>
        <v>16.690000000000008</v>
      </c>
      <c r="CU200" s="54">
        <f>SUM(CU198:CU199)</f>
        <v>16.990000000000009</v>
      </c>
      <c r="CV200" s="54">
        <f>SUM(CV198:CV199)</f>
        <v>17.29000000000001</v>
      </c>
      <c r="CW200" s="54">
        <f>SUM(CW198:CW199)</f>
        <v>17.590000000000011</v>
      </c>
      <c r="CX200" s="54">
        <f>SUM(CX198:CX199)</f>
        <v>17.890000000000011</v>
      </c>
      <c r="CY200" s="54">
        <f>SUM(CY198:CY199)</f>
        <v>18.190000000000012</v>
      </c>
      <c r="CZ200" s="54">
        <f t="shared" ref="CZ200:DC200" si="414">SUM(CZ198:CZ199)</f>
        <v>18.490000000000013</v>
      </c>
      <c r="DA200" s="54">
        <f t="shared" si="414"/>
        <v>18.790000000000013</v>
      </c>
      <c r="DB200" s="54">
        <f t="shared" si="414"/>
        <v>19.090000000000014</v>
      </c>
      <c r="DC200" s="54">
        <f t="shared" si="414"/>
        <v>19.390000000000015</v>
      </c>
    </row>
    <row r="201" spans="2:107" s="15" customFormat="1" ht="12.75" hidden="1" customHeight="1" outlineLevel="1">
      <c r="B201" s="876"/>
      <c r="K201" s="1004"/>
      <c r="L201" s="1004"/>
      <c r="M201" s="1004"/>
      <c r="N201" s="1004"/>
      <c r="O201" s="1004"/>
      <c r="P201" s="1004"/>
      <c r="Q201" s="1004"/>
      <c r="R201" s="1004"/>
      <c r="S201" s="1004"/>
      <c r="T201" s="1004"/>
      <c r="U201" s="1004"/>
      <c r="V201" s="1004"/>
      <c r="W201" s="1004"/>
      <c r="X201" s="1004"/>
      <c r="Y201" s="1004"/>
      <c r="Z201" s="1004"/>
      <c r="AA201" s="1004"/>
      <c r="AB201" s="1004"/>
      <c r="AC201" s="1004"/>
      <c r="AD201" s="1004"/>
      <c r="AF201" s="1004"/>
      <c r="AG201" s="1004"/>
      <c r="AH201" s="1004"/>
      <c r="AI201" s="1004"/>
      <c r="AJ201" s="1004"/>
      <c r="AK201" s="1004"/>
      <c r="AL201" s="1004"/>
      <c r="AM201" s="1004"/>
      <c r="AN201" s="1004"/>
      <c r="AO201" s="1004"/>
      <c r="AP201" s="1004"/>
      <c r="AQ201" s="1004"/>
      <c r="AR201" s="1004"/>
      <c r="AS201" s="1004"/>
      <c r="AT201" s="1004"/>
      <c r="AU201" s="1004"/>
      <c r="AV201" s="1004"/>
      <c r="AW201" s="1004"/>
      <c r="AX201" s="1004"/>
      <c r="AY201" s="1004"/>
      <c r="AZ201" s="1004"/>
      <c r="BA201" s="1004"/>
      <c r="BB201" s="1004"/>
      <c r="BC201" s="1004"/>
      <c r="BD201" s="1004"/>
      <c r="BE201" s="1004"/>
      <c r="BF201" s="1004"/>
      <c r="BG201" s="1004"/>
      <c r="BH201" s="1004"/>
      <c r="BI201" s="1004"/>
      <c r="BJ201" s="1004"/>
      <c r="BK201" s="1004"/>
      <c r="BL201" s="1004"/>
      <c r="BM201" s="1004"/>
      <c r="BN201" s="1004"/>
      <c r="BO201" s="1004"/>
      <c r="BP201" s="1004"/>
      <c r="BQ201" s="1004"/>
      <c r="BR201" s="1004"/>
      <c r="BS201" s="980"/>
      <c r="BT201" s="1004"/>
      <c r="BU201" s="1004"/>
      <c r="BV201" s="1004"/>
      <c r="BW201" s="1004"/>
      <c r="BX201" s="1004"/>
      <c r="BY201" s="1004"/>
      <c r="BZ201" s="1004"/>
      <c r="CA201" s="1004"/>
      <c r="CB201" s="1004"/>
      <c r="CC201" s="1004"/>
      <c r="CD201" s="1004"/>
      <c r="CE201" s="1004"/>
      <c r="CF201" s="1004"/>
      <c r="CG201" s="1004"/>
      <c r="CH201" s="1004"/>
      <c r="CI201" s="1004"/>
      <c r="CJ201" s="1004"/>
      <c r="CK201" s="1004"/>
      <c r="CL201" s="1004"/>
      <c r="CM201" s="1004"/>
      <c r="CN201" s="1004"/>
      <c r="CO201" s="1004"/>
      <c r="CP201" s="1004"/>
      <c r="CQ201" s="1004"/>
      <c r="CR201" s="1004"/>
      <c r="CS201" s="1004"/>
      <c r="CT201" s="1004"/>
      <c r="CU201" s="1004"/>
      <c r="CV201" s="1004"/>
      <c r="CW201" s="1004"/>
      <c r="CX201" s="1004"/>
      <c r="CY201" s="1004"/>
      <c r="CZ201" s="1004"/>
      <c r="DA201" s="1004"/>
      <c r="DB201" s="1004"/>
      <c r="DC201" s="1004"/>
    </row>
    <row r="202" spans="2:107" s="15" customFormat="1" ht="12.75" hidden="1" customHeight="1" outlineLevel="1">
      <c r="B202" s="15" t="s">
        <v>282</v>
      </c>
    </row>
    <row r="203" spans="2:107" s="15" customFormat="1" ht="12.75" hidden="1" customHeight="1" outlineLevel="1">
      <c r="B203" s="876" t="s">
        <v>1118</v>
      </c>
      <c r="K203" s="26">
        <f>J205</f>
        <v>0</v>
      </c>
      <c r="L203" s="26">
        <f>BH203</f>
        <v>0</v>
      </c>
      <c r="M203" s="26"/>
      <c r="N203" s="26">
        <f>BS203</f>
        <v>0</v>
      </c>
      <c r="O203" s="26">
        <f t="shared" ref="O203:Z203" si="415">N205</f>
        <v>0</v>
      </c>
      <c r="P203" s="26">
        <f t="shared" si="415"/>
        <v>11.053000000000001</v>
      </c>
      <c r="Q203" s="26">
        <f t="shared" si="415"/>
        <v>11.053000000000001</v>
      </c>
      <c r="R203" s="26">
        <f t="shared" si="415"/>
        <v>11.728999999999999</v>
      </c>
      <c r="S203" s="26">
        <f t="shared" si="415"/>
        <v>11.728999999999999</v>
      </c>
      <c r="T203" s="26">
        <f t="shared" si="415"/>
        <v>11.728999999999999</v>
      </c>
      <c r="U203" s="26">
        <f t="shared" si="415"/>
        <v>11.728999999999999</v>
      </c>
      <c r="V203" s="26">
        <f t="shared" si="415"/>
        <v>11.728999999999999</v>
      </c>
      <c r="W203" s="26">
        <f t="shared" si="415"/>
        <v>11.728999999999999</v>
      </c>
      <c r="X203" s="26">
        <f t="shared" si="415"/>
        <v>11.728999999999999</v>
      </c>
      <c r="Y203" s="26">
        <f t="shared" si="415"/>
        <v>11.728999999999999</v>
      </c>
      <c r="Z203" s="26">
        <f t="shared" si="415"/>
        <v>11.728999999999999</v>
      </c>
      <c r="AA203" s="26">
        <f t="shared" ref="AA203" si="416">Z205</f>
        <v>11.728999999999999</v>
      </c>
      <c r="AB203" s="26">
        <f t="shared" ref="AB203" si="417">AA205</f>
        <v>11.728999999999999</v>
      </c>
      <c r="AC203" s="26">
        <f t="shared" ref="AC203" si="418">AB205</f>
        <v>11.728999999999999</v>
      </c>
      <c r="AD203" s="26">
        <f t="shared" ref="AD203" si="419">AC205</f>
        <v>11.728999999999999</v>
      </c>
      <c r="AF203" s="26"/>
      <c r="AG203" s="26"/>
      <c r="AH203" s="26"/>
      <c r="AI203" s="26"/>
      <c r="AJ203" s="26"/>
      <c r="AK203" s="26"/>
      <c r="AL203" s="26"/>
      <c r="AM203" s="26"/>
      <c r="AN203" s="26"/>
      <c r="AO203" s="26"/>
      <c r="AP203" s="26"/>
      <c r="AQ203" s="26"/>
      <c r="AR203" s="26"/>
      <c r="AS203" s="26"/>
      <c r="AT203" s="26"/>
      <c r="AU203" s="26"/>
      <c r="AV203" s="26"/>
      <c r="AW203" s="26"/>
      <c r="AX203" s="26"/>
      <c r="AY203" s="26"/>
      <c r="AZ203" s="26"/>
      <c r="BA203" s="26"/>
      <c r="BB203" s="26"/>
      <c r="BC203" s="26"/>
      <c r="BD203" s="26"/>
      <c r="BE203" s="26"/>
      <c r="BF203" s="26"/>
      <c r="BG203" s="26"/>
      <c r="BH203" s="26"/>
      <c r="BI203" s="26"/>
      <c r="BJ203" s="26"/>
      <c r="BK203" s="26"/>
      <c r="BL203" s="26"/>
      <c r="BM203" s="26"/>
      <c r="BN203" s="26"/>
      <c r="BO203" s="26"/>
      <c r="BP203" s="26"/>
      <c r="BQ203" s="26"/>
      <c r="BR203" s="26"/>
      <c r="BS203" s="26"/>
      <c r="BT203" s="26"/>
      <c r="BU203" s="26"/>
      <c r="BV203" s="26"/>
      <c r="BW203" s="26">
        <f t="shared" ref="BW203:CU203" si="420">BV205</f>
        <v>0</v>
      </c>
      <c r="BX203" s="26">
        <f t="shared" si="420"/>
        <v>11.053000000000001</v>
      </c>
      <c r="BY203" s="26">
        <f t="shared" si="420"/>
        <v>11.053000000000001</v>
      </c>
      <c r="BZ203" s="26">
        <f t="shared" si="420"/>
        <v>11.053000000000001</v>
      </c>
      <c r="CA203" s="26">
        <f t="shared" si="420"/>
        <v>11.053000000000001</v>
      </c>
      <c r="CB203" s="26">
        <f t="shared" si="420"/>
        <v>11.053000000000001</v>
      </c>
      <c r="CC203" s="26">
        <f t="shared" si="420"/>
        <v>11.053000000000001</v>
      </c>
      <c r="CD203" s="26">
        <f t="shared" si="420"/>
        <v>11.053000000000001</v>
      </c>
      <c r="CE203" s="26">
        <f t="shared" si="420"/>
        <v>11.053000000000001</v>
      </c>
      <c r="CF203" s="26">
        <f t="shared" si="420"/>
        <v>11.728999999999999</v>
      </c>
      <c r="CG203" s="26">
        <f t="shared" si="420"/>
        <v>11.728999999999999</v>
      </c>
      <c r="CH203" s="26">
        <f t="shared" si="420"/>
        <v>11.728999999999999</v>
      </c>
      <c r="CI203" s="26">
        <f t="shared" si="420"/>
        <v>11.728999999999999</v>
      </c>
      <c r="CJ203" s="26">
        <f t="shared" si="420"/>
        <v>11.728999999999999</v>
      </c>
      <c r="CK203" s="26">
        <f t="shared" si="420"/>
        <v>11.728999999999999</v>
      </c>
      <c r="CL203" s="26">
        <f t="shared" si="420"/>
        <v>11.728999999999999</v>
      </c>
      <c r="CM203" s="26">
        <f t="shared" si="420"/>
        <v>11.728999999999999</v>
      </c>
      <c r="CN203" s="26">
        <f t="shared" si="420"/>
        <v>11.728999999999999</v>
      </c>
      <c r="CO203" s="26">
        <f t="shared" si="420"/>
        <v>11.728999999999999</v>
      </c>
      <c r="CP203" s="26">
        <f t="shared" si="420"/>
        <v>11.728999999999999</v>
      </c>
      <c r="CQ203" s="26">
        <f t="shared" si="420"/>
        <v>11.728999999999999</v>
      </c>
      <c r="CR203" s="26">
        <f t="shared" si="420"/>
        <v>11.728999999999999</v>
      </c>
      <c r="CS203" s="26">
        <f t="shared" si="420"/>
        <v>11.728999999999999</v>
      </c>
      <c r="CT203" s="26">
        <f t="shared" si="420"/>
        <v>11.728999999999999</v>
      </c>
      <c r="CU203" s="26">
        <f t="shared" si="420"/>
        <v>11.728999999999999</v>
      </c>
      <c r="CV203" s="26">
        <f>CU205</f>
        <v>11.728999999999999</v>
      </c>
      <c r="CW203" s="26">
        <f>CV205</f>
        <v>11.728999999999999</v>
      </c>
      <c r="CX203" s="26">
        <f>CW205</f>
        <v>11.728999999999999</v>
      </c>
      <c r="CY203" s="26">
        <f>CX205</f>
        <v>11.728999999999999</v>
      </c>
      <c r="CZ203" s="26">
        <f t="shared" ref="CZ203:DC203" si="421">CY205</f>
        <v>11.728999999999999</v>
      </c>
      <c r="DA203" s="26">
        <f t="shared" si="421"/>
        <v>11.728999999999999</v>
      </c>
      <c r="DB203" s="26">
        <f t="shared" si="421"/>
        <v>11.728999999999999</v>
      </c>
      <c r="DC203" s="26">
        <f t="shared" si="421"/>
        <v>11.728999999999999</v>
      </c>
    </row>
    <row r="204" spans="2:107" s="15" customFormat="1" ht="12.75" hidden="1" customHeight="1" outlineLevel="1">
      <c r="B204" s="876" t="s">
        <v>1121</v>
      </c>
      <c r="K204" s="26">
        <f>SUM(BD204:BG204)</f>
        <v>0</v>
      </c>
      <c r="L204" s="26">
        <f>SUM(BH204:BK204)</f>
        <v>0</v>
      </c>
      <c r="M204" s="26"/>
      <c r="N204" s="26">
        <f t="shared" ref="N204:T204" si="422">N205-N203</f>
        <v>0</v>
      </c>
      <c r="O204" s="26">
        <f t="shared" si="422"/>
        <v>11.053000000000001</v>
      </c>
      <c r="P204" s="26">
        <f t="shared" si="422"/>
        <v>0</v>
      </c>
      <c r="Q204" s="26">
        <f t="shared" si="422"/>
        <v>0.67599999999999838</v>
      </c>
      <c r="R204" s="26">
        <f t="shared" si="422"/>
        <v>0</v>
      </c>
      <c r="S204" s="26">
        <f t="shared" si="422"/>
        <v>0</v>
      </c>
      <c r="T204" s="26">
        <f t="shared" si="422"/>
        <v>0</v>
      </c>
      <c r="U204" s="26">
        <f>+SUM(CR204:CU204)</f>
        <v>0</v>
      </c>
      <c r="V204" s="26">
        <f>+SUM(CS204:CV204)</f>
        <v>0</v>
      </c>
      <c r="W204" s="26">
        <f>+SUM(CT204:CW204)</f>
        <v>0</v>
      </c>
      <c r="X204" s="1000">
        <v>0</v>
      </c>
      <c r="Y204" s="1000">
        <v>0</v>
      </c>
      <c r="Z204" s="1000">
        <v>0</v>
      </c>
      <c r="AA204" s="1000">
        <v>0</v>
      </c>
      <c r="AB204" s="1000">
        <v>0</v>
      </c>
      <c r="AC204" s="1000">
        <v>0</v>
      </c>
      <c r="AD204" s="1000">
        <v>0</v>
      </c>
      <c r="AF204" s="1006"/>
      <c r="AG204" s="1006"/>
      <c r="AH204" s="1006"/>
      <c r="AI204" s="1006"/>
      <c r="AJ204" s="1006"/>
      <c r="AK204" s="1006"/>
      <c r="AL204" s="1006"/>
      <c r="AM204" s="1006"/>
      <c r="AN204" s="1006"/>
      <c r="AO204" s="1006"/>
      <c r="AP204" s="1006"/>
      <c r="AQ204" s="1006"/>
      <c r="AR204" s="1006"/>
      <c r="AS204" s="1006"/>
      <c r="AT204" s="1006"/>
      <c r="AU204" s="1006"/>
      <c r="AV204" s="1006"/>
      <c r="AW204" s="1006"/>
      <c r="AX204" s="1006"/>
      <c r="AY204" s="1006"/>
      <c r="AZ204" s="1006"/>
      <c r="BA204" s="1006"/>
      <c r="BB204" s="1006"/>
      <c r="BC204" s="1006"/>
      <c r="BD204" s="1006"/>
      <c r="BE204" s="1006"/>
      <c r="BF204" s="1006"/>
      <c r="BG204" s="1006"/>
      <c r="BH204" s="1006"/>
      <c r="BI204" s="1006"/>
      <c r="BJ204" s="1006"/>
      <c r="BK204" s="1006"/>
      <c r="BL204" s="1006"/>
      <c r="BM204" s="1006"/>
      <c r="BN204" s="1006"/>
      <c r="BO204" s="1006"/>
      <c r="BP204" s="1006"/>
      <c r="BQ204" s="1006"/>
      <c r="BR204" s="1006"/>
      <c r="BS204" s="26"/>
      <c r="BT204" s="1000"/>
      <c r="BU204" s="1000"/>
      <c r="BV204" s="1000"/>
      <c r="BW204" s="1000">
        <v>11.053000000000001</v>
      </c>
      <c r="BX204" s="1000">
        <v>0</v>
      </c>
      <c r="BY204" s="1000">
        <v>0</v>
      </c>
      <c r="BZ204" s="1000">
        <v>0</v>
      </c>
      <c r="CA204" s="1000">
        <v>0</v>
      </c>
      <c r="CB204" s="1000">
        <v>0</v>
      </c>
      <c r="CC204" s="1000">
        <v>0</v>
      </c>
      <c r="CD204" s="1000">
        <v>0</v>
      </c>
      <c r="CE204" s="783">
        <f>11.729-CD205</f>
        <v>0.67599999999999838</v>
      </c>
      <c r="CF204" s="1000">
        <v>0</v>
      </c>
      <c r="CG204" s="1000">
        <v>0</v>
      </c>
      <c r="CH204" s="1000">
        <v>0</v>
      </c>
      <c r="CI204" s="1000">
        <v>0</v>
      </c>
      <c r="CJ204" s="1000">
        <v>0</v>
      </c>
      <c r="CK204" s="1000">
        <v>0</v>
      </c>
      <c r="CL204" s="1000">
        <v>0</v>
      </c>
      <c r="CM204" s="1000">
        <v>0</v>
      </c>
      <c r="CN204" s="1000">
        <v>0</v>
      </c>
      <c r="CO204" s="1000">
        <v>0</v>
      </c>
      <c r="CP204" s="1000">
        <v>0</v>
      </c>
      <c r="CQ204" s="1000">
        <v>0</v>
      </c>
      <c r="CR204" s="1000">
        <v>0</v>
      </c>
      <c r="CS204" s="1000">
        <v>0</v>
      </c>
      <c r="CT204" s="1000">
        <v>0</v>
      </c>
      <c r="CU204" s="1000">
        <v>0</v>
      </c>
      <c r="CV204" s="1000">
        <v>0</v>
      </c>
      <c r="CW204" s="1000">
        <v>0</v>
      </c>
      <c r="CX204" s="1000">
        <v>0</v>
      </c>
      <c r="CY204" s="1000">
        <v>0</v>
      </c>
      <c r="CZ204" s="1000">
        <v>0</v>
      </c>
      <c r="DA204" s="1000">
        <v>0</v>
      </c>
      <c r="DB204" s="1000">
        <v>0</v>
      </c>
      <c r="DC204" s="1000">
        <v>0</v>
      </c>
    </row>
    <row r="205" spans="2:107" s="15" customFormat="1" ht="12.75" hidden="1" customHeight="1" outlineLevel="1">
      <c r="B205" s="876" t="s">
        <v>1044</v>
      </c>
      <c r="J205" s="26">
        <f>BC205</f>
        <v>0</v>
      </c>
      <c r="K205" s="26">
        <f>SUM(K203:K204)</f>
        <v>0</v>
      </c>
      <c r="L205" s="26">
        <f>SUM(L203:L204)</f>
        <v>0</v>
      </c>
      <c r="M205" s="54">
        <f>BO205</f>
        <v>0</v>
      </c>
      <c r="N205" s="26">
        <f>BS205</f>
        <v>0</v>
      </c>
      <c r="O205" s="26">
        <f>BW205</f>
        <v>11.053000000000001</v>
      </c>
      <c r="P205" s="26">
        <f>CA205</f>
        <v>11.053000000000001</v>
      </c>
      <c r="Q205" s="26">
        <f>CE205</f>
        <v>11.728999999999999</v>
      </c>
      <c r="R205" s="26">
        <f>CI205</f>
        <v>11.728999999999999</v>
      </c>
      <c r="S205" s="26">
        <f>CM205</f>
        <v>11.728999999999999</v>
      </c>
      <c r="T205" s="26">
        <f>CN205</f>
        <v>11.728999999999999</v>
      </c>
      <c r="U205" s="26">
        <f t="shared" ref="U205:Z205" si="423">SUM(U203:U204)</f>
        <v>11.728999999999999</v>
      </c>
      <c r="V205" s="26">
        <f>SUM(V203:V204)</f>
        <v>11.728999999999999</v>
      </c>
      <c r="W205" s="26">
        <f>SUM(W203:W204)</f>
        <v>11.728999999999999</v>
      </c>
      <c r="X205" s="26">
        <f t="shared" si="423"/>
        <v>11.728999999999999</v>
      </c>
      <c r="Y205" s="26">
        <f t="shared" si="423"/>
        <v>11.728999999999999</v>
      </c>
      <c r="Z205" s="26">
        <f t="shared" si="423"/>
        <v>11.728999999999999</v>
      </c>
      <c r="AA205" s="26">
        <f t="shared" ref="AA205:AD205" si="424">SUM(AA203:AA204)</f>
        <v>11.728999999999999</v>
      </c>
      <c r="AB205" s="26">
        <f t="shared" si="424"/>
        <v>11.728999999999999</v>
      </c>
      <c r="AC205" s="26">
        <f t="shared" si="424"/>
        <v>11.728999999999999</v>
      </c>
      <c r="AD205" s="26">
        <f t="shared" si="424"/>
        <v>11.728999999999999</v>
      </c>
      <c r="AF205" s="26"/>
      <c r="AG205" s="26"/>
      <c r="AH205" s="26"/>
      <c r="AI205" s="26"/>
      <c r="AJ205" s="26"/>
      <c r="AK205" s="26"/>
      <c r="AL205" s="26"/>
      <c r="AM205" s="26"/>
      <c r="AN205" s="26"/>
      <c r="AO205" s="26"/>
      <c r="AP205" s="26"/>
      <c r="AQ205" s="26"/>
      <c r="AR205" s="26"/>
      <c r="AS205" s="26"/>
      <c r="AT205" s="26"/>
      <c r="AU205" s="26"/>
      <c r="AV205" s="26"/>
      <c r="AW205" s="26"/>
      <c r="AX205" s="26"/>
      <c r="AY205" s="26"/>
      <c r="AZ205" s="26"/>
      <c r="BA205" s="26"/>
      <c r="BB205" s="26"/>
      <c r="BC205" s="26"/>
      <c r="BD205" s="26"/>
      <c r="BE205" s="26"/>
      <c r="BF205" s="26"/>
      <c r="BG205" s="26"/>
      <c r="BH205" s="26"/>
      <c r="BI205" s="26"/>
      <c r="BJ205" s="26"/>
      <c r="BK205" s="26"/>
      <c r="BL205" s="26"/>
      <c r="BM205" s="26"/>
      <c r="BN205" s="26"/>
      <c r="BO205" s="26"/>
      <c r="BP205" s="26"/>
      <c r="BQ205" s="26"/>
      <c r="BR205" s="883"/>
      <c r="BS205" s="783"/>
      <c r="BT205" s="54"/>
      <c r="BU205" s="54"/>
      <c r="BV205" s="54"/>
      <c r="BW205" s="54">
        <f t="shared" ref="BW205:CT205" si="425">SUM(BW203:BW204)</f>
        <v>11.053000000000001</v>
      </c>
      <c r="BX205" s="54">
        <f t="shared" si="425"/>
        <v>11.053000000000001</v>
      </c>
      <c r="BY205" s="54">
        <f t="shared" si="425"/>
        <v>11.053000000000001</v>
      </c>
      <c r="BZ205" s="54">
        <f t="shared" si="425"/>
        <v>11.053000000000001</v>
      </c>
      <c r="CA205" s="54">
        <f t="shared" si="425"/>
        <v>11.053000000000001</v>
      </c>
      <c r="CB205" s="54">
        <f t="shared" si="425"/>
        <v>11.053000000000001</v>
      </c>
      <c r="CC205" s="54">
        <f t="shared" si="425"/>
        <v>11.053000000000001</v>
      </c>
      <c r="CD205" s="54">
        <f t="shared" si="425"/>
        <v>11.053000000000001</v>
      </c>
      <c r="CE205" s="54">
        <f t="shared" si="425"/>
        <v>11.728999999999999</v>
      </c>
      <c r="CF205" s="54">
        <f t="shared" si="425"/>
        <v>11.728999999999999</v>
      </c>
      <c r="CG205" s="54">
        <f t="shared" si="425"/>
        <v>11.728999999999999</v>
      </c>
      <c r="CH205" s="54">
        <f t="shared" si="425"/>
        <v>11.728999999999999</v>
      </c>
      <c r="CI205" s="54">
        <f t="shared" si="425"/>
        <v>11.728999999999999</v>
      </c>
      <c r="CJ205" s="54">
        <f t="shared" si="425"/>
        <v>11.728999999999999</v>
      </c>
      <c r="CK205" s="54">
        <f t="shared" si="425"/>
        <v>11.728999999999999</v>
      </c>
      <c r="CL205" s="54">
        <f t="shared" si="425"/>
        <v>11.728999999999999</v>
      </c>
      <c r="CM205" s="54">
        <f t="shared" si="425"/>
        <v>11.728999999999999</v>
      </c>
      <c r="CN205" s="54">
        <f t="shared" si="425"/>
        <v>11.728999999999999</v>
      </c>
      <c r="CO205" s="54">
        <f t="shared" si="425"/>
        <v>11.728999999999999</v>
      </c>
      <c r="CP205" s="54">
        <f t="shared" si="425"/>
        <v>11.728999999999999</v>
      </c>
      <c r="CQ205" s="54">
        <f>SUM(CQ203:CQ204)</f>
        <v>11.728999999999999</v>
      </c>
      <c r="CR205" s="54">
        <f t="shared" si="425"/>
        <v>11.728999999999999</v>
      </c>
      <c r="CS205" s="54">
        <f t="shared" si="425"/>
        <v>11.728999999999999</v>
      </c>
      <c r="CT205" s="54">
        <f t="shared" si="425"/>
        <v>11.728999999999999</v>
      </c>
      <c r="CU205" s="54">
        <f>SUM(CU203:CU204)</f>
        <v>11.728999999999999</v>
      </c>
      <c r="CV205" s="54">
        <f>SUM(CV203:CV204)</f>
        <v>11.728999999999999</v>
      </c>
      <c r="CW205" s="54">
        <f>SUM(CW203:CW204)</f>
        <v>11.728999999999999</v>
      </c>
      <c r="CX205" s="54">
        <f>SUM(CX203:CX204)</f>
        <v>11.728999999999999</v>
      </c>
      <c r="CY205" s="54">
        <f>SUM(CY203:CY204)</f>
        <v>11.728999999999999</v>
      </c>
      <c r="CZ205" s="54">
        <f t="shared" ref="CZ205:DC205" si="426">SUM(CZ203:CZ204)</f>
        <v>11.728999999999999</v>
      </c>
      <c r="DA205" s="54">
        <f t="shared" si="426"/>
        <v>11.728999999999999</v>
      </c>
      <c r="DB205" s="54">
        <f t="shared" si="426"/>
        <v>11.728999999999999</v>
      </c>
      <c r="DC205" s="54">
        <f t="shared" si="426"/>
        <v>11.728999999999999</v>
      </c>
    </row>
    <row r="206" spans="2:107" s="15" customFormat="1" ht="12.75" hidden="1" customHeight="1" outlineLevel="1">
      <c r="B206" s="876"/>
      <c r="K206" s="1004"/>
      <c r="L206" s="1004"/>
      <c r="M206" s="1004"/>
      <c r="N206" s="1004"/>
      <c r="O206" s="1004"/>
      <c r="P206" s="1004"/>
      <c r="Q206" s="1004"/>
      <c r="R206" s="1004"/>
      <c r="S206" s="1004"/>
      <c r="T206" s="1004"/>
      <c r="U206" s="1004"/>
      <c r="V206" s="1004"/>
      <c r="W206" s="1004"/>
      <c r="X206" s="1004"/>
      <c r="Y206" s="1004"/>
      <c r="Z206" s="1004"/>
      <c r="AA206" s="1004"/>
      <c r="AB206" s="1004"/>
      <c r="AC206" s="1004"/>
      <c r="AD206" s="1004"/>
      <c r="AF206" s="1004"/>
      <c r="AG206" s="1004"/>
      <c r="AH206" s="1004"/>
      <c r="AI206" s="1004"/>
      <c r="AJ206" s="1004"/>
      <c r="AK206" s="1004"/>
      <c r="AL206" s="1004"/>
      <c r="AM206" s="1004"/>
      <c r="AN206" s="1004"/>
      <c r="AO206" s="1004"/>
      <c r="AP206" s="1004"/>
      <c r="AQ206" s="1004"/>
      <c r="AR206" s="1004"/>
      <c r="AS206" s="1004"/>
      <c r="AT206" s="1004"/>
      <c r="AU206" s="1004"/>
      <c r="AV206" s="1004"/>
      <c r="AW206" s="1004"/>
      <c r="AX206" s="1004"/>
      <c r="AY206" s="1004"/>
      <c r="AZ206" s="1004"/>
      <c r="BA206" s="1004"/>
      <c r="BB206" s="1004"/>
      <c r="BC206" s="1004"/>
      <c r="BD206" s="1004"/>
      <c r="BE206" s="1004"/>
      <c r="BF206" s="1004"/>
      <c r="BG206" s="1004"/>
      <c r="BH206" s="1004"/>
      <c r="BI206" s="1004"/>
      <c r="BJ206" s="1004"/>
      <c r="BK206" s="1004"/>
      <c r="BL206" s="1004"/>
      <c r="BM206" s="1004"/>
      <c r="BN206" s="1004"/>
      <c r="BO206" s="1004"/>
      <c r="BP206" s="1004"/>
      <c r="BQ206" s="1004"/>
      <c r="BR206" s="1007"/>
      <c r="BS206" s="1004"/>
      <c r="BT206" s="1004"/>
      <c r="BU206" s="1004"/>
      <c r="BV206" s="1004"/>
      <c r="BW206" s="1004"/>
      <c r="BX206" s="1004"/>
      <c r="BY206" s="1004"/>
      <c r="BZ206" s="1004"/>
      <c r="CA206" s="1004"/>
      <c r="CB206" s="1004"/>
      <c r="CC206" s="1004"/>
      <c r="CD206" s="1004"/>
      <c r="CE206" s="1004"/>
      <c r="CF206" s="1004"/>
      <c r="CG206" s="1004"/>
      <c r="CH206" s="1004"/>
      <c r="CI206" s="1004"/>
      <c r="CJ206" s="1004"/>
      <c r="CK206" s="1004"/>
      <c r="CL206" s="1004"/>
      <c r="CM206" s="1004"/>
      <c r="CN206" s="1004"/>
      <c r="CO206" s="1004"/>
      <c r="CP206" s="1004"/>
      <c r="CQ206" s="1004"/>
      <c r="CR206" s="1004"/>
      <c r="CS206" s="1004"/>
      <c r="CT206" s="1004"/>
      <c r="CU206" s="1004"/>
      <c r="CV206" s="1004"/>
      <c r="CW206" s="1004"/>
      <c r="CX206" s="1004"/>
      <c r="CY206" s="1004"/>
      <c r="CZ206" s="1004"/>
      <c r="DA206" s="1004"/>
      <c r="DB206" s="1004"/>
      <c r="DC206" s="1004"/>
    </row>
    <row r="207" spans="2:107" s="15" customFormat="1" ht="12.75" hidden="1" customHeight="1" outlineLevel="1">
      <c r="B207" s="15" t="s">
        <v>1510</v>
      </c>
    </row>
    <row r="208" spans="2:107" s="15" customFormat="1" ht="12.75" hidden="1" customHeight="1" outlineLevel="1">
      <c r="B208" s="876" t="s">
        <v>1118</v>
      </c>
      <c r="K208" s="26"/>
      <c r="L208" s="26"/>
      <c r="M208" s="26"/>
      <c r="N208" s="26">
        <f t="shared" ref="N208:Z208" si="427">M210</f>
        <v>14.146000000000001</v>
      </c>
      <c r="O208" s="26">
        <f t="shared" si="427"/>
        <v>13.722999999999999</v>
      </c>
      <c r="P208" s="26">
        <f t="shared" si="427"/>
        <v>13.176000000000002</v>
      </c>
      <c r="Q208" s="26">
        <f t="shared" si="427"/>
        <v>12.629000000000005</v>
      </c>
      <c r="R208" s="26">
        <f t="shared" si="427"/>
        <v>11.711</v>
      </c>
      <c r="S208" s="26">
        <f t="shared" si="427"/>
        <v>9.6799999999999731</v>
      </c>
      <c r="T208" s="26">
        <f t="shared" si="427"/>
        <v>7.6489999999999458</v>
      </c>
      <c r="U208" s="26">
        <f t="shared" si="427"/>
        <v>7.141249999999939</v>
      </c>
      <c r="V208" s="26">
        <f t="shared" si="427"/>
        <v>5.1102499999999118</v>
      </c>
      <c r="W208" s="26">
        <f t="shared" si="427"/>
        <v>3.0792499999998846</v>
      </c>
      <c r="X208" s="26">
        <f t="shared" si="427"/>
        <v>1.0482499999998574</v>
      </c>
      <c r="Y208" s="26">
        <f t="shared" si="427"/>
        <v>-0.98275000000016988</v>
      </c>
      <c r="Z208" s="26">
        <f t="shared" si="427"/>
        <v>-3.0137500000001971</v>
      </c>
      <c r="AA208" s="26">
        <f t="shared" ref="AA208" si="428">Z210</f>
        <v>-5.0447500000002243</v>
      </c>
      <c r="AB208" s="26">
        <f t="shared" ref="AB208" si="429">AA210</f>
        <v>-7.0757500000002516</v>
      </c>
      <c r="AC208" s="26">
        <f t="shared" ref="AC208" si="430">AB210</f>
        <v>-9.1067500000002788</v>
      </c>
      <c r="AD208" s="26">
        <f t="shared" ref="AD208" si="431">AC210</f>
        <v>-11.137750000000306</v>
      </c>
      <c r="AF208" s="26"/>
      <c r="AG208" s="26"/>
      <c r="AH208" s="26"/>
      <c r="AI208" s="26"/>
      <c r="AJ208" s="26"/>
      <c r="AK208" s="26"/>
      <c r="AL208" s="26"/>
      <c r="AM208" s="26"/>
      <c r="AN208" s="26"/>
      <c r="AO208" s="26"/>
      <c r="AP208" s="26"/>
      <c r="AQ208" s="26"/>
      <c r="AR208" s="26"/>
      <c r="AS208" s="26"/>
      <c r="AT208" s="26"/>
      <c r="AU208" s="26"/>
      <c r="AV208" s="26"/>
      <c r="AW208" s="26"/>
      <c r="AX208" s="26"/>
      <c r="AY208" s="26"/>
      <c r="AZ208" s="26"/>
      <c r="BA208" s="26"/>
      <c r="BB208" s="26"/>
      <c r="BC208" s="26"/>
      <c r="BD208" s="26"/>
      <c r="BE208" s="26"/>
      <c r="BF208" s="26"/>
      <c r="BG208" s="26"/>
      <c r="BH208" s="26"/>
      <c r="BI208" s="26"/>
      <c r="BJ208" s="26"/>
      <c r="BK208" s="26"/>
      <c r="BL208" s="26"/>
      <c r="BM208" s="26"/>
      <c r="BN208" s="26"/>
      <c r="BO208" s="26"/>
      <c r="BP208" s="26">
        <f t="shared" ref="BP208:CU208" si="432">BO210</f>
        <v>14.146000000000001</v>
      </c>
      <c r="BQ208" s="26">
        <f t="shared" si="432"/>
        <v>14.04025</v>
      </c>
      <c r="BR208" s="26">
        <f t="shared" si="432"/>
        <v>13.9345</v>
      </c>
      <c r="BS208" s="26">
        <f t="shared" si="432"/>
        <v>13.828749999999999</v>
      </c>
      <c r="BT208" s="26">
        <f t="shared" si="432"/>
        <v>13.722999999999999</v>
      </c>
      <c r="BU208" s="26">
        <f t="shared" si="432"/>
        <v>13.58625</v>
      </c>
      <c r="BV208" s="26">
        <f t="shared" si="432"/>
        <v>13.4495</v>
      </c>
      <c r="BW208" s="26">
        <f t="shared" si="432"/>
        <v>13.312750000000001</v>
      </c>
      <c r="BX208" s="26">
        <f t="shared" si="432"/>
        <v>13.176000000000002</v>
      </c>
      <c r="BY208" s="26">
        <f t="shared" si="432"/>
        <v>13.039250000000003</v>
      </c>
      <c r="BZ208" s="26">
        <f t="shared" si="432"/>
        <v>12.902500000000003</v>
      </c>
      <c r="CA208" s="26">
        <f t="shared" si="432"/>
        <v>12.765750000000004</v>
      </c>
      <c r="CB208" s="26">
        <f t="shared" si="432"/>
        <v>12.629000000000005</v>
      </c>
      <c r="CC208" s="26">
        <f t="shared" si="432"/>
        <v>12.492250000000006</v>
      </c>
      <c r="CD208" s="26">
        <f t="shared" si="432"/>
        <v>12.355500000000006</v>
      </c>
      <c r="CE208" s="26">
        <f t="shared" si="432"/>
        <v>12.218750000000007</v>
      </c>
      <c r="CF208" s="26">
        <f t="shared" si="432"/>
        <v>11.711</v>
      </c>
      <c r="CG208" s="26">
        <f t="shared" si="432"/>
        <v>11.203249999999993</v>
      </c>
      <c r="CH208" s="26">
        <f t="shared" si="432"/>
        <v>10.695499999999987</v>
      </c>
      <c r="CI208" s="26">
        <f t="shared" si="432"/>
        <v>10.18774999999998</v>
      </c>
      <c r="CJ208" s="26">
        <f t="shared" si="432"/>
        <v>9.6799999999999731</v>
      </c>
      <c r="CK208" s="26">
        <f t="shared" si="432"/>
        <v>9.1722499999999663</v>
      </c>
      <c r="CL208" s="26">
        <f t="shared" si="432"/>
        <v>8.6644999999999595</v>
      </c>
      <c r="CM208" s="26">
        <f t="shared" si="432"/>
        <v>8.1567499999999526</v>
      </c>
      <c r="CN208" s="26">
        <f t="shared" si="432"/>
        <v>7.6489999999999458</v>
      </c>
      <c r="CO208" s="26">
        <f t="shared" si="432"/>
        <v>7.141249999999939</v>
      </c>
      <c r="CP208" s="26">
        <f t="shared" si="432"/>
        <v>6.6334999999999322</v>
      </c>
      <c r="CQ208" s="26">
        <f t="shared" si="432"/>
        <v>6.1257499999999254</v>
      </c>
      <c r="CR208" s="26">
        <f t="shared" si="432"/>
        <v>5.6179999999999186</v>
      </c>
      <c r="CS208" s="26">
        <f t="shared" si="432"/>
        <v>5.1102499999999118</v>
      </c>
      <c r="CT208" s="26">
        <f t="shared" si="432"/>
        <v>4.602499999999905</v>
      </c>
      <c r="CU208" s="26">
        <f t="shared" si="432"/>
        <v>4.0947499999998982</v>
      </c>
      <c r="CV208" s="26">
        <f>CU210</f>
        <v>3.5869999999998914</v>
      </c>
      <c r="CW208" s="26">
        <f>CV210</f>
        <v>3.0792499999998846</v>
      </c>
      <c r="CX208" s="26">
        <f>CW210</f>
        <v>2.5714999999998778</v>
      </c>
      <c r="CY208" s="26">
        <f>CX210</f>
        <v>2.063749999999871</v>
      </c>
      <c r="CZ208" s="26">
        <f t="shared" ref="CZ208:DC208" si="433">CY210</f>
        <v>1.5559999999998642</v>
      </c>
      <c r="DA208" s="26">
        <f t="shared" si="433"/>
        <v>1.0482499999998574</v>
      </c>
      <c r="DB208" s="26">
        <f t="shared" si="433"/>
        <v>0.54049999999985054</v>
      </c>
      <c r="DC208" s="26">
        <f t="shared" si="433"/>
        <v>3.2749999999843737E-2</v>
      </c>
    </row>
    <row r="209" spans="1:107" s="15" customFormat="1" ht="12.75" hidden="1" customHeight="1" outlineLevel="1">
      <c r="B209" s="876" t="s">
        <v>1121</v>
      </c>
      <c r="K209" s="26"/>
      <c r="L209" s="26"/>
      <c r="M209" s="26"/>
      <c r="N209" s="26">
        <f t="shared" ref="N209:T209" si="434">N210-N208</f>
        <v>-0.42300000000000182</v>
      </c>
      <c r="O209" s="26">
        <f t="shared" si="434"/>
        <v>-0.54699999999999704</v>
      </c>
      <c r="P209" s="26">
        <f t="shared" si="434"/>
        <v>-0.54699999999999704</v>
      </c>
      <c r="Q209" s="26">
        <f t="shared" si="434"/>
        <v>-0.91800000000000459</v>
      </c>
      <c r="R209" s="26">
        <f t="shared" si="434"/>
        <v>-2.0310000000000272</v>
      </c>
      <c r="S209" s="26">
        <f t="shared" si="434"/>
        <v>-2.0310000000000272</v>
      </c>
      <c r="T209" s="26">
        <f t="shared" si="434"/>
        <v>-0.50775000000000681</v>
      </c>
      <c r="U209" s="26">
        <f>+SUM(CR209:CU209)</f>
        <v>-2.0310000000000272</v>
      </c>
      <c r="V209" s="26">
        <f>+SUM(CS209:CV209)</f>
        <v>-2.0310000000000272</v>
      </c>
      <c r="W209" s="26">
        <f>+SUM(CT209:CW209)</f>
        <v>-2.0310000000000272</v>
      </c>
      <c r="X209" s="1000">
        <f>W209</f>
        <v>-2.0310000000000272</v>
      </c>
      <c r="Y209" s="1000">
        <f>X209</f>
        <v>-2.0310000000000272</v>
      </c>
      <c r="Z209" s="1000">
        <f>Y209</f>
        <v>-2.0310000000000272</v>
      </c>
      <c r="AA209" s="1000">
        <f t="shared" ref="AA209:AD209" si="435">Z209</f>
        <v>-2.0310000000000272</v>
      </c>
      <c r="AB209" s="1000">
        <f t="shared" si="435"/>
        <v>-2.0310000000000272</v>
      </c>
      <c r="AC209" s="1000">
        <f t="shared" si="435"/>
        <v>-2.0310000000000272</v>
      </c>
      <c r="AD209" s="1000">
        <f t="shared" si="435"/>
        <v>-2.0310000000000272</v>
      </c>
      <c r="AF209" s="772"/>
      <c r="AG209" s="772"/>
      <c r="AH209" s="772"/>
      <c r="AI209" s="772"/>
      <c r="AJ209" s="772"/>
      <c r="AK209" s="772"/>
      <c r="AL209" s="772"/>
      <c r="AM209" s="772"/>
      <c r="AN209" s="772"/>
      <c r="AO209" s="772"/>
      <c r="AP209" s="772"/>
      <c r="AQ209" s="772"/>
      <c r="AR209" s="772"/>
      <c r="AS209" s="772"/>
      <c r="AT209" s="772"/>
      <c r="AU209" s="772"/>
      <c r="AV209" s="772"/>
      <c r="AW209" s="772"/>
      <c r="AX209" s="772"/>
      <c r="AY209" s="772"/>
      <c r="AZ209" s="772"/>
      <c r="BA209" s="772"/>
      <c r="BB209" s="772"/>
      <c r="BC209" s="772"/>
      <c r="BD209" s="772"/>
      <c r="BE209" s="772"/>
      <c r="BF209" s="772"/>
      <c r="BG209" s="772"/>
      <c r="BH209" s="772"/>
      <c r="BI209" s="772"/>
      <c r="BJ209" s="772"/>
      <c r="BK209" s="772"/>
      <c r="BL209" s="772"/>
      <c r="BM209" s="772"/>
      <c r="BN209" s="772"/>
      <c r="BO209" s="772"/>
      <c r="BP209" s="1000">
        <f>-0.423/4</f>
        <v>-0.10575</v>
      </c>
      <c r="BQ209" s="1000">
        <f>-0.423/4</f>
        <v>-0.10575</v>
      </c>
      <c r="BR209" s="1000">
        <f>-0.423/4</f>
        <v>-0.10575</v>
      </c>
      <c r="BS209" s="1000">
        <f>-0.423/4</f>
        <v>-0.10575</v>
      </c>
      <c r="BT209" s="1000">
        <v>-0.13674999999999971</v>
      </c>
      <c r="BU209" s="1000">
        <v>-0.13674999999999971</v>
      </c>
      <c r="BV209" s="1000">
        <v>-0.13674999999999971</v>
      </c>
      <c r="BW209" s="1000">
        <v>-0.13674999999999971</v>
      </c>
      <c r="BX209" s="26">
        <f t="shared" ref="BX209:CD209" si="436">BW209</f>
        <v>-0.13674999999999971</v>
      </c>
      <c r="BY209" s="26">
        <f t="shared" si="436"/>
        <v>-0.13674999999999971</v>
      </c>
      <c r="BZ209" s="26">
        <f t="shared" si="436"/>
        <v>-0.13674999999999971</v>
      </c>
      <c r="CA209" s="26">
        <f t="shared" si="436"/>
        <v>-0.13674999999999971</v>
      </c>
      <c r="CB209" s="26">
        <f t="shared" si="436"/>
        <v>-0.13674999999999971</v>
      </c>
      <c r="CC209" s="26">
        <f t="shared" si="436"/>
        <v>-0.13674999999999971</v>
      </c>
      <c r="CD209" s="26">
        <f t="shared" si="436"/>
        <v>-0.13674999999999971</v>
      </c>
      <c r="CE209" s="1000">
        <f>11.711-CD210</f>
        <v>-0.50775000000000681</v>
      </c>
      <c r="CF209" s="26">
        <f t="shared" ref="CF209:CU209" si="437">CE209</f>
        <v>-0.50775000000000681</v>
      </c>
      <c r="CG209" s="26">
        <f t="shared" si="437"/>
        <v>-0.50775000000000681</v>
      </c>
      <c r="CH209" s="26">
        <f t="shared" si="437"/>
        <v>-0.50775000000000681</v>
      </c>
      <c r="CI209" s="26">
        <f t="shared" si="437"/>
        <v>-0.50775000000000681</v>
      </c>
      <c r="CJ209" s="26">
        <f t="shared" si="437"/>
        <v>-0.50775000000000681</v>
      </c>
      <c r="CK209" s="26">
        <f t="shared" si="437"/>
        <v>-0.50775000000000681</v>
      </c>
      <c r="CL209" s="26">
        <f t="shared" si="437"/>
        <v>-0.50775000000000681</v>
      </c>
      <c r="CM209" s="26">
        <f t="shared" si="437"/>
        <v>-0.50775000000000681</v>
      </c>
      <c r="CN209" s="26">
        <f t="shared" si="437"/>
        <v>-0.50775000000000681</v>
      </c>
      <c r="CO209" s="26">
        <f t="shared" si="437"/>
        <v>-0.50775000000000681</v>
      </c>
      <c r="CP209" s="26">
        <f t="shared" si="437"/>
        <v>-0.50775000000000681</v>
      </c>
      <c r="CQ209" s="26">
        <f t="shared" si="437"/>
        <v>-0.50775000000000681</v>
      </c>
      <c r="CR209" s="26">
        <f t="shared" si="437"/>
        <v>-0.50775000000000681</v>
      </c>
      <c r="CS209" s="26">
        <f t="shared" si="437"/>
        <v>-0.50775000000000681</v>
      </c>
      <c r="CT209" s="26">
        <f t="shared" si="437"/>
        <v>-0.50775000000000681</v>
      </c>
      <c r="CU209" s="26">
        <f t="shared" si="437"/>
        <v>-0.50775000000000681</v>
      </c>
      <c r="CV209" s="26">
        <f>CU209</f>
        <v>-0.50775000000000681</v>
      </c>
      <c r="CW209" s="26">
        <f>CV209</f>
        <v>-0.50775000000000681</v>
      </c>
      <c r="CX209" s="26">
        <f>CW209</f>
        <v>-0.50775000000000681</v>
      </c>
      <c r="CY209" s="26">
        <f>CX209</f>
        <v>-0.50775000000000681</v>
      </c>
      <c r="CZ209" s="26">
        <f t="shared" ref="CZ209:DC209" si="438">CY209</f>
        <v>-0.50775000000000681</v>
      </c>
      <c r="DA209" s="26">
        <f t="shared" si="438"/>
        <v>-0.50775000000000681</v>
      </c>
      <c r="DB209" s="26">
        <f t="shared" si="438"/>
        <v>-0.50775000000000681</v>
      </c>
      <c r="DC209" s="26">
        <f t="shared" si="438"/>
        <v>-0.50775000000000681</v>
      </c>
    </row>
    <row r="210" spans="1:107" s="15" customFormat="1" ht="12.75" hidden="1" customHeight="1" outlineLevel="1">
      <c r="B210" s="876" t="s">
        <v>1044</v>
      </c>
      <c r="J210" s="26"/>
      <c r="K210" s="54"/>
      <c r="L210" s="54"/>
      <c r="M210" s="54">
        <f>BO210</f>
        <v>14.146000000000001</v>
      </c>
      <c r="N210" s="26">
        <f>BS210</f>
        <v>13.722999999999999</v>
      </c>
      <c r="O210" s="26">
        <f>BW210</f>
        <v>13.176000000000002</v>
      </c>
      <c r="P210" s="26">
        <f>CA210</f>
        <v>12.629000000000005</v>
      </c>
      <c r="Q210" s="26">
        <f>CE210</f>
        <v>11.711</v>
      </c>
      <c r="R210" s="26">
        <f>CI210</f>
        <v>9.6799999999999731</v>
      </c>
      <c r="S210" s="26">
        <f>CM210</f>
        <v>7.6489999999999458</v>
      </c>
      <c r="T210" s="26">
        <f>CN210</f>
        <v>7.141249999999939</v>
      </c>
      <c r="U210" s="26">
        <f t="shared" ref="U210:Z210" si="439">SUM(U208:U209)</f>
        <v>5.1102499999999118</v>
      </c>
      <c r="V210" s="26">
        <f>SUM(V208:V209)</f>
        <v>3.0792499999998846</v>
      </c>
      <c r="W210" s="26">
        <f>SUM(W208:W209)</f>
        <v>1.0482499999998574</v>
      </c>
      <c r="X210" s="54">
        <f t="shared" si="439"/>
        <v>-0.98275000000016988</v>
      </c>
      <c r="Y210" s="54">
        <f t="shared" si="439"/>
        <v>-3.0137500000001971</v>
      </c>
      <c r="Z210" s="54">
        <f t="shared" si="439"/>
        <v>-5.0447500000002243</v>
      </c>
      <c r="AA210" s="54">
        <f t="shared" ref="AA210:AD210" si="440">SUM(AA208:AA209)</f>
        <v>-7.0757500000002516</v>
      </c>
      <c r="AB210" s="54">
        <f t="shared" si="440"/>
        <v>-9.1067500000002788</v>
      </c>
      <c r="AC210" s="54">
        <f t="shared" si="440"/>
        <v>-11.137750000000306</v>
      </c>
      <c r="AD210" s="54">
        <f t="shared" si="440"/>
        <v>-13.168750000000333</v>
      </c>
      <c r="AF210" s="26"/>
      <c r="AG210" s="26"/>
      <c r="AH210" s="26"/>
      <c r="AI210" s="26"/>
      <c r="AJ210" s="26"/>
      <c r="AK210" s="26"/>
      <c r="AL210" s="26"/>
      <c r="AM210" s="26"/>
      <c r="AN210" s="26"/>
      <c r="AO210" s="26"/>
      <c r="AP210" s="26"/>
      <c r="AQ210" s="26"/>
      <c r="AR210" s="26"/>
      <c r="AS210" s="26"/>
      <c r="AT210" s="26"/>
      <c r="AU210" s="26"/>
      <c r="AV210" s="26"/>
      <c r="AW210" s="26"/>
      <c r="AX210" s="26"/>
      <c r="AY210" s="26"/>
      <c r="AZ210" s="26"/>
      <c r="BA210" s="26"/>
      <c r="BB210" s="26"/>
      <c r="BC210" s="26"/>
      <c r="BD210" s="26"/>
      <c r="BE210" s="26"/>
      <c r="BF210" s="26"/>
      <c r="BG210" s="26"/>
      <c r="BH210" s="26"/>
      <c r="BI210" s="26"/>
      <c r="BJ210" s="26"/>
      <c r="BK210" s="26"/>
      <c r="BL210" s="26"/>
      <c r="BM210" s="26"/>
      <c r="BN210" s="26"/>
      <c r="BO210" s="1000">
        <v>14.146000000000001</v>
      </c>
      <c r="BP210" s="26">
        <f t="shared" ref="BP210:CT210" si="441">SUM(BP208:BP209)</f>
        <v>14.04025</v>
      </c>
      <c r="BQ210" s="26">
        <f t="shared" si="441"/>
        <v>13.9345</v>
      </c>
      <c r="BR210" s="26">
        <f t="shared" si="441"/>
        <v>13.828749999999999</v>
      </c>
      <c r="BS210" s="26">
        <f t="shared" si="441"/>
        <v>13.722999999999999</v>
      </c>
      <c r="BT210" s="26">
        <f t="shared" si="441"/>
        <v>13.58625</v>
      </c>
      <c r="BU210" s="26">
        <f t="shared" si="441"/>
        <v>13.4495</v>
      </c>
      <c r="BV210" s="26">
        <f t="shared" si="441"/>
        <v>13.312750000000001</v>
      </c>
      <c r="BW210" s="26">
        <f t="shared" si="441"/>
        <v>13.176000000000002</v>
      </c>
      <c r="BX210" s="54">
        <f t="shared" si="441"/>
        <v>13.039250000000003</v>
      </c>
      <c r="BY210" s="54">
        <f t="shared" si="441"/>
        <v>12.902500000000003</v>
      </c>
      <c r="BZ210" s="54">
        <f t="shared" si="441"/>
        <v>12.765750000000004</v>
      </c>
      <c r="CA210" s="54">
        <f t="shared" si="441"/>
        <v>12.629000000000005</v>
      </c>
      <c r="CB210" s="54">
        <f t="shared" si="441"/>
        <v>12.492250000000006</v>
      </c>
      <c r="CC210" s="54">
        <f t="shared" si="441"/>
        <v>12.355500000000006</v>
      </c>
      <c r="CD210" s="54">
        <f t="shared" si="441"/>
        <v>12.218750000000007</v>
      </c>
      <c r="CE210" s="54">
        <f t="shared" si="441"/>
        <v>11.711</v>
      </c>
      <c r="CF210" s="54">
        <f t="shared" si="441"/>
        <v>11.203249999999993</v>
      </c>
      <c r="CG210" s="54">
        <f t="shared" si="441"/>
        <v>10.695499999999987</v>
      </c>
      <c r="CH210" s="54">
        <f t="shared" si="441"/>
        <v>10.18774999999998</v>
      </c>
      <c r="CI210" s="54">
        <f t="shared" si="441"/>
        <v>9.6799999999999731</v>
      </c>
      <c r="CJ210" s="54">
        <f t="shared" si="441"/>
        <v>9.1722499999999663</v>
      </c>
      <c r="CK210" s="54">
        <f t="shared" si="441"/>
        <v>8.6644999999999595</v>
      </c>
      <c r="CL210" s="54">
        <f t="shared" si="441"/>
        <v>8.1567499999999526</v>
      </c>
      <c r="CM210" s="54">
        <f t="shared" si="441"/>
        <v>7.6489999999999458</v>
      </c>
      <c r="CN210" s="54">
        <f t="shared" si="441"/>
        <v>7.141249999999939</v>
      </c>
      <c r="CO210" s="54">
        <f t="shared" si="441"/>
        <v>6.6334999999999322</v>
      </c>
      <c r="CP210" s="54">
        <f t="shared" si="441"/>
        <v>6.1257499999999254</v>
      </c>
      <c r="CQ210" s="54">
        <f>SUM(CQ208:CQ209)</f>
        <v>5.6179999999999186</v>
      </c>
      <c r="CR210" s="54">
        <f t="shared" si="441"/>
        <v>5.1102499999999118</v>
      </c>
      <c r="CS210" s="54">
        <f t="shared" si="441"/>
        <v>4.602499999999905</v>
      </c>
      <c r="CT210" s="54">
        <f t="shared" si="441"/>
        <v>4.0947499999998982</v>
      </c>
      <c r="CU210" s="54">
        <f>SUM(CU208:CU209)</f>
        <v>3.5869999999998914</v>
      </c>
      <c r="CV210" s="54">
        <f>SUM(CV208:CV209)</f>
        <v>3.0792499999998846</v>
      </c>
      <c r="CW210" s="54">
        <f>SUM(CW208:CW209)</f>
        <v>2.5714999999998778</v>
      </c>
      <c r="CX210" s="54">
        <f>SUM(CX208:CX209)</f>
        <v>2.063749999999871</v>
      </c>
      <c r="CY210" s="54">
        <f>SUM(CY208:CY209)</f>
        <v>1.5559999999998642</v>
      </c>
      <c r="CZ210" s="54">
        <f t="shared" ref="CZ210:DC210" si="442">SUM(CZ208:CZ209)</f>
        <v>1.0482499999998574</v>
      </c>
      <c r="DA210" s="54">
        <f t="shared" si="442"/>
        <v>0.54049999999985054</v>
      </c>
      <c r="DB210" s="54">
        <f t="shared" si="442"/>
        <v>3.2749999999843737E-2</v>
      </c>
      <c r="DC210" s="54">
        <f t="shared" si="442"/>
        <v>-0.47500000000016307</v>
      </c>
    </row>
    <row r="211" spans="1:107" s="15" customFormat="1" ht="12.75" hidden="1" customHeight="1" outlineLevel="1">
      <c r="B211" s="876"/>
      <c r="K211" s="1004"/>
      <c r="L211" s="1004"/>
      <c r="M211" s="1004"/>
      <c r="N211" s="1004"/>
      <c r="O211" s="1004"/>
      <c r="P211" s="1004"/>
      <c r="Q211" s="1004"/>
      <c r="R211" s="1004"/>
      <c r="S211" s="1004"/>
      <c r="T211" s="1004"/>
      <c r="U211" s="1004"/>
      <c r="V211" s="1004"/>
      <c r="W211" s="1004"/>
      <c r="X211" s="1004"/>
      <c r="Y211" s="1004"/>
      <c r="Z211" s="1004"/>
      <c r="AA211" s="1004"/>
      <c r="AB211" s="1004"/>
      <c r="AC211" s="1004"/>
      <c r="AD211" s="1004"/>
      <c r="AF211" s="1004"/>
      <c r="AG211" s="1004"/>
      <c r="AH211" s="1004"/>
      <c r="AI211" s="1004"/>
      <c r="AJ211" s="1004"/>
      <c r="AK211" s="1004"/>
      <c r="AL211" s="1004"/>
      <c r="AM211" s="1004"/>
      <c r="AN211" s="1004"/>
      <c r="AO211" s="1004"/>
      <c r="AP211" s="1004"/>
      <c r="AQ211" s="1004"/>
      <c r="AR211" s="1004"/>
      <c r="AS211" s="1004"/>
      <c r="AT211" s="1004"/>
      <c r="AU211" s="1004"/>
      <c r="AV211" s="1004"/>
      <c r="AW211" s="1004"/>
      <c r="AX211" s="1004"/>
      <c r="AY211" s="1004"/>
      <c r="AZ211" s="1004"/>
      <c r="BA211" s="1004"/>
      <c r="BB211" s="1004"/>
      <c r="BC211" s="1004"/>
      <c r="BD211" s="1004"/>
      <c r="BE211" s="1004"/>
      <c r="BF211" s="1004"/>
      <c r="BG211" s="1004"/>
      <c r="BH211" s="1004"/>
      <c r="BI211" s="1004"/>
      <c r="BJ211" s="1004"/>
      <c r="BK211" s="1004"/>
      <c r="BL211" s="1004"/>
      <c r="BM211" s="1004"/>
      <c r="BN211" s="1004"/>
      <c r="BO211" s="1004"/>
      <c r="BP211" s="1004"/>
      <c r="BQ211" s="1004"/>
      <c r="BR211" s="1004"/>
      <c r="BS211" s="1004"/>
      <c r="BT211" s="1004"/>
      <c r="BU211" s="1004"/>
      <c r="BV211" s="1004"/>
      <c r="BW211" s="1004"/>
      <c r="BX211" s="1004"/>
      <c r="BY211" s="1004"/>
      <c r="BZ211" s="1004"/>
      <c r="CA211" s="1004"/>
      <c r="CB211" s="1004"/>
      <c r="CC211" s="1004"/>
      <c r="CD211" s="1004"/>
      <c r="CE211" s="1004"/>
      <c r="CF211" s="1004"/>
      <c r="CG211" s="1004"/>
      <c r="CH211" s="1004"/>
      <c r="CI211" s="1004"/>
      <c r="CJ211" s="1004"/>
      <c r="CK211" s="1004"/>
      <c r="CL211" s="1004"/>
      <c r="CM211" s="1004"/>
      <c r="CN211" s="1004"/>
      <c r="CO211" s="1004"/>
      <c r="CP211" s="1004"/>
      <c r="CQ211" s="1004"/>
      <c r="CR211" s="1004"/>
      <c r="CS211" s="1004"/>
      <c r="CT211" s="1004"/>
      <c r="CU211" s="1004"/>
      <c r="CV211" s="1004"/>
      <c r="CW211" s="1004"/>
      <c r="CX211" s="1004"/>
      <c r="CY211" s="1004"/>
      <c r="CZ211" s="1004"/>
      <c r="DA211" s="1004"/>
      <c r="DB211" s="1004"/>
      <c r="DC211" s="1004"/>
    </row>
    <row r="212" spans="1:107" hidden="1" outlineLevel="1">
      <c r="A212" s="2195"/>
      <c r="B212" s="132" t="s">
        <v>283</v>
      </c>
      <c r="C212" s="132"/>
      <c r="D212" s="132"/>
      <c r="E212" s="132"/>
      <c r="F212" s="132"/>
      <c r="G212" s="132"/>
      <c r="H212" s="132"/>
      <c r="I212" s="132"/>
      <c r="J212" s="132"/>
      <c r="K212" s="132"/>
      <c r="L212" s="132"/>
      <c r="M212" s="132"/>
      <c r="N212" s="132"/>
      <c r="O212" s="132"/>
      <c r="P212" s="132"/>
      <c r="Q212" s="132"/>
      <c r="R212" s="132"/>
      <c r="S212" s="132"/>
      <c r="T212" s="132"/>
      <c r="U212" s="132"/>
      <c r="V212" s="132"/>
      <c r="W212" s="132"/>
      <c r="X212" s="132"/>
      <c r="Y212" s="132"/>
      <c r="Z212" s="132"/>
      <c r="AA212" s="132"/>
      <c r="AB212" s="132"/>
      <c r="AC212" s="132"/>
      <c r="AD212" s="132"/>
      <c r="AE212" s="15"/>
      <c r="AF212" s="132"/>
      <c r="AG212" s="132"/>
      <c r="AH212" s="132"/>
      <c r="AI212" s="132"/>
      <c r="AJ212" s="132"/>
      <c r="AK212" s="132"/>
      <c r="AL212" s="132"/>
      <c r="AM212" s="132"/>
      <c r="AN212" s="132"/>
      <c r="AO212" s="132"/>
      <c r="AP212" s="132"/>
      <c r="AQ212" s="132"/>
      <c r="AR212" s="132"/>
      <c r="AS212" s="132"/>
      <c r="AT212" s="132"/>
      <c r="AU212" s="132"/>
      <c r="AV212" s="132"/>
      <c r="AW212" s="132"/>
      <c r="AX212" s="132"/>
      <c r="AY212" s="132"/>
      <c r="AZ212" s="132"/>
      <c r="BA212" s="132"/>
      <c r="BB212" s="132"/>
      <c r="BC212" s="132"/>
      <c r="BD212" s="132"/>
      <c r="BE212" s="132"/>
      <c r="BF212" s="132"/>
      <c r="BG212" s="132"/>
      <c r="BH212" s="132"/>
      <c r="BI212" s="132"/>
      <c r="BJ212" s="132"/>
      <c r="BK212" s="132"/>
      <c r="BL212" s="132"/>
      <c r="BM212" s="132"/>
      <c r="BN212" s="132"/>
      <c r="BO212" s="132"/>
      <c r="BP212" s="132"/>
      <c r="BQ212" s="132"/>
      <c r="BR212" s="132"/>
      <c r="BS212" s="132"/>
      <c r="BT212" s="132"/>
      <c r="BU212" s="132"/>
      <c r="BV212" s="132"/>
      <c r="BW212" s="132"/>
      <c r="BX212" s="132"/>
      <c r="BY212" s="132"/>
      <c r="BZ212" s="132"/>
      <c r="CA212" s="132"/>
      <c r="CB212" s="132"/>
      <c r="CC212" s="132"/>
      <c r="CD212" s="132"/>
      <c r="CE212" s="132"/>
      <c r="CF212" s="132"/>
      <c r="CG212" s="132"/>
      <c r="CH212" s="132"/>
      <c r="CI212" s="132"/>
      <c r="CJ212" s="132"/>
      <c r="CK212" s="132"/>
      <c r="CL212" s="132"/>
      <c r="CM212" s="87"/>
      <c r="CN212" s="87"/>
      <c r="CO212" s="87"/>
      <c r="CP212" s="87"/>
      <c r="CQ212" s="87"/>
      <c r="CR212" s="132"/>
      <c r="CS212" s="132"/>
      <c r="CT212" s="132"/>
      <c r="CU212" s="132"/>
      <c r="CV212" s="132"/>
      <c r="CW212" s="132"/>
      <c r="CX212" s="132"/>
      <c r="CY212" s="132"/>
      <c r="CZ212" s="132"/>
      <c r="DA212" s="132"/>
      <c r="DB212" s="132"/>
      <c r="DC212" s="132"/>
    </row>
    <row r="213" spans="1:107" s="15" customFormat="1" ht="12.75" hidden="1" customHeight="1" outlineLevel="1">
      <c r="A213" s="2195"/>
      <c r="B213" s="876" t="s">
        <v>1118</v>
      </c>
      <c r="K213" s="26">
        <f>J215</f>
        <v>0</v>
      </c>
      <c r="L213" s="26">
        <f>BH213</f>
        <v>0</v>
      </c>
      <c r="M213" s="26"/>
      <c r="N213" s="26">
        <f>BS213</f>
        <v>7.4875000000000007</v>
      </c>
      <c r="O213" s="26">
        <f t="shared" ref="O213:Z213" si="443">N215</f>
        <v>7.5830000000000011</v>
      </c>
      <c r="P213" s="26">
        <f t="shared" si="443"/>
        <v>20.88</v>
      </c>
      <c r="Q213" s="26">
        <f t="shared" si="443"/>
        <v>20.88</v>
      </c>
      <c r="R213" s="26">
        <f t="shared" si="443"/>
        <v>58.304999999999993</v>
      </c>
      <c r="S213" s="26">
        <f t="shared" si="443"/>
        <v>58.304999999999993</v>
      </c>
      <c r="T213" s="26">
        <f t="shared" si="443"/>
        <v>723.86599999999999</v>
      </c>
      <c r="U213" s="26">
        <f t="shared" si="443"/>
        <v>0</v>
      </c>
      <c r="V213" s="26">
        <f t="shared" si="443"/>
        <v>0</v>
      </c>
      <c r="W213" s="26">
        <f t="shared" si="443"/>
        <v>0</v>
      </c>
      <c r="X213" s="26">
        <f t="shared" si="443"/>
        <v>0</v>
      </c>
      <c r="Y213" s="26">
        <f t="shared" si="443"/>
        <v>0</v>
      </c>
      <c r="Z213" s="26">
        <f t="shared" si="443"/>
        <v>0</v>
      </c>
      <c r="AA213" s="26">
        <f t="shared" ref="AA213" si="444">Z215</f>
        <v>0</v>
      </c>
      <c r="AB213" s="26">
        <f t="shared" ref="AB213" si="445">AA215</f>
        <v>0</v>
      </c>
      <c r="AC213" s="26">
        <f t="shared" ref="AC213" si="446">AB215</f>
        <v>0</v>
      </c>
      <c r="AD213" s="26">
        <f t="shared" ref="AD213" si="447">AC215</f>
        <v>0</v>
      </c>
      <c r="AF213" s="26"/>
      <c r="AG213" s="26"/>
      <c r="AH213" s="26"/>
      <c r="AI213" s="26"/>
      <c r="AJ213" s="26"/>
      <c r="AK213" s="26"/>
      <c r="AL213" s="26"/>
      <c r="AM213" s="26"/>
      <c r="AN213" s="26"/>
      <c r="AO213" s="26"/>
      <c r="AP213" s="26"/>
      <c r="AQ213" s="26"/>
      <c r="AR213" s="26"/>
      <c r="AS213" s="26"/>
      <c r="AT213" s="26"/>
      <c r="AU213" s="26"/>
      <c r="AV213" s="26"/>
      <c r="AW213" s="26"/>
      <c r="AX213" s="26"/>
      <c r="AY213" s="26"/>
      <c r="AZ213" s="26"/>
      <c r="BA213" s="26"/>
      <c r="BB213" s="26"/>
      <c r="BC213" s="26"/>
      <c r="BD213" s="26"/>
      <c r="BE213" s="26"/>
      <c r="BF213" s="26"/>
      <c r="BG213" s="26"/>
      <c r="BH213" s="26"/>
      <c r="BI213" s="26"/>
      <c r="BJ213" s="26"/>
      <c r="BK213" s="26"/>
      <c r="BL213" s="26"/>
      <c r="BM213" s="26"/>
      <c r="BN213" s="26"/>
      <c r="BO213" s="26"/>
      <c r="BP213" s="26">
        <f t="shared" ref="BP213:CU213" si="448">BO215</f>
        <v>7.2009999999999996</v>
      </c>
      <c r="BQ213" s="26">
        <f t="shared" si="448"/>
        <v>7.2965</v>
      </c>
      <c r="BR213" s="26">
        <f t="shared" si="448"/>
        <v>7.3920000000000003</v>
      </c>
      <c r="BS213" s="26">
        <f t="shared" si="448"/>
        <v>7.4875000000000007</v>
      </c>
      <c r="BT213" s="26">
        <f t="shared" si="448"/>
        <v>7.5830000000000011</v>
      </c>
      <c r="BU213" s="26">
        <f t="shared" si="448"/>
        <v>7.5830000000000011</v>
      </c>
      <c r="BV213" s="26">
        <f t="shared" si="448"/>
        <v>7.5830000000000011</v>
      </c>
      <c r="BW213" s="26">
        <f t="shared" si="448"/>
        <v>7.5830000000000011</v>
      </c>
      <c r="BX213" s="26">
        <f t="shared" si="448"/>
        <v>20.88</v>
      </c>
      <c r="BY213" s="26">
        <f t="shared" si="448"/>
        <v>20.88</v>
      </c>
      <c r="BZ213" s="26">
        <f t="shared" si="448"/>
        <v>20.88</v>
      </c>
      <c r="CA213" s="26">
        <f t="shared" si="448"/>
        <v>20.88</v>
      </c>
      <c r="CB213" s="26">
        <f t="shared" si="448"/>
        <v>20.88</v>
      </c>
      <c r="CC213" s="26">
        <f t="shared" si="448"/>
        <v>20.88</v>
      </c>
      <c r="CD213" s="26">
        <f t="shared" si="448"/>
        <v>20.88</v>
      </c>
      <c r="CE213" s="26">
        <f t="shared" si="448"/>
        <v>20.88</v>
      </c>
      <c r="CF213" s="26">
        <f t="shared" si="448"/>
        <v>58.304999999999993</v>
      </c>
      <c r="CG213" s="26">
        <f t="shared" si="448"/>
        <v>58.304999999999993</v>
      </c>
      <c r="CH213" s="26">
        <f t="shared" si="448"/>
        <v>58.304999999999993</v>
      </c>
      <c r="CI213" s="26">
        <f t="shared" si="448"/>
        <v>58.304999999999993</v>
      </c>
      <c r="CJ213" s="26">
        <f t="shared" si="448"/>
        <v>58.304999999999993</v>
      </c>
      <c r="CK213" s="26">
        <f t="shared" si="448"/>
        <v>58.304999999999993</v>
      </c>
      <c r="CL213" s="26">
        <f t="shared" si="448"/>
        <v>58.304999999999993</v>
      </c>
      <c r="CM213" s="26">
        <f t="shared" si="448"/>
        <v>58.304999999999993</v>
      </c>
      <c r="CN213" s="26">
        <f t="shared" si="448"/>
        <v>723.86599999999999</v>
      </c>
      <c r="CO213" s="26">
        <f t="shared" si="448"/>
        <v>0</v>
      </c>
      <c r="CP213" s="26">
        <f t="shared" si="448"/>
        <v>0</v>
      </c>
      <c r="CQ213" s="26">
        <f t="shared" si="448"/>
        <v>0</v>
      </c>
      <c r="CR213" s="26">
        <f t="shared" si="448"/>
        <v>0</v>
      </c>
      <c r="CS213" s="26">
        <f t="shared" si="448"/>
        <v>0</v>
      </c>
      <c r="CT213" s="26">
        <f t="shared" si="448"/>
        <v>0</v>
      </c>
      <c r="CU213" s="26">
        <f t="shared" si="448"/>
        <v>0</v>
      </c>
      <c r="CV213" s="26">
        <f>CU215</f>
        <v>0</v>
      </c>
      <c r="CW213" s="26">
        <f>CV215</f>
        <v>0</v>
      </c>
      <c r="CX213" s="26">
        <f>CW215</f>
        <v>0</v>
      </c>
      <c r="CY213" s="26">
        <f>CX215</f>
        <v>0</v>
      </c>
      <c r="CZ213" s="26">
        <f t="shared" ref="CZ213:DC213" si="449">CY215</f>
        <v>0</v>
      </c>
      <c r="DA213" s="26">
        <f t="shared" si="449"/>
        <v>0</v>
      </c>
      <c r="DB213" s="26">
        <f t="shared" si="449"/>
        <v>0</v>
      </c>
      <c r="DC213" s="26">
        <f t="shared" si="449"/>
        <v>0</v>
      </c>
    </row>
    <row r="214" spans="1:107" s="15" customFormat="1" ht="12.75" hidden="1" customHeight="1" outlineLevel="1">
      <c r="A214" s="2195"/>
      <c r="B214" s="876" t="s">
        <v>1121</v>
      </c>
      <c r="K214" s="26">
        <f>SUM(BD214:BG214)</f>
        <v>0</v>
      </c>
      <c r="L214" s="26">
        <f>SUM(BH214:BK214)</f>
        <v>0</v>
      </c>
      <c r="M214" s="26"/>
      <c r="N214" s="26">
        <f t="shared" ref="N214:T214" si="450">N215-N213</f>
        <v>9.5500000000000362E-2</v>
      </c>
      <c r="O214" s="26">
        <f t="shared" si="450"/>
        <v>13.296999999999997</v>
      </c>
      <c r="P214" s="26">
        <f t="shared" si="450"/>
        <v>0</v>
      </c>
      <c r="Q214" s="26">
        <f t="shared" si="450"/>
        <v>37.424999999999997</v>
      </c>
      <c r="R214" s="26">
        <f t="shared" si="450"/>
        <v>0</v>
      </c>
      <c r="S214" s="26">
        <f t="shared" si="450"/>
        <v>665.56100000000004</v>
      </c>
      <c r="T214" s="26">
        <f t="shared" si="450"/>
        <v>-723.86599999999999</v>
      </c>
      <c r="U214" s="26">
        <f>+SUM(CR214:CU214)</f>
        <v>0</v>
      </c>
      <c r="V214" s="26">
        <f>+SUM(CS214:CV214)</f>
        <v>0</v>
      </c>
      <c r="W214" s="26">
        <f>+SUM(CT214:CW214)</f>
        <v>0</v>
      </c>
      <c r="X214" s="1000"/>
      <c r="Y214" s="1000"/>
      <c r="Z214" s="1000"/>
      <c r="AA214" s="1000"/>
      <c r="AB214" s="1000"/>
      <c r="AC214" s="1000"/>
      <c r="AD214" s="1000"/>
      <c r="AF214" s="1006"/>
      <c r="AG214" s="1006"/>
      <c r="AH214" s="1006"/>
      <c r="AI214" s="1006"/>
      <c r="AJ214" s="1006"/>
      <c r="AK214" s="1006"/>
      <c r="AL214" s="1006"/>
      <c r="AM214" s="1006"/>
      <c r="AN214" s="1006"/>
      <c r="AO214" s="1006"/>
      <c r="AP214" s="1006"/>
      <c r="AQ214" s="1006"/>
      <c r="AR214" s="1006"/>
      <c r="AS214" s="1006"/>
      <c r="AT214" s="1006"/>
      <c r="AU214" s="1006"/>
      <c r="AV214" s="1006"/>
      <c r="AW214" s="1006"/>
      <c r="AX214" s="1006"/>
      <c r="AY214" s="1006"/>
      <c r="AZ214" s="1006"/>
      <c r="BA214" s="1006"/>
      <c r="BB214" s="1006"/>
      <c r="BC214" s="1006"/>
      <c r="BD214" s="1006"/>
      <c r="BE214" s="1006"/>
      <c r="BF214" s="1006"/>
      <c r="BG214" s="1006"/>
      <c r="BH214" s="1006"/>
      <c r="BI214" s="1006"/>
      <c r="BJ214" s="1006"/>
      <c r="BK214" s="1006"/>
      <c r="BL214" s="1006"/>
      <c r="BM214" s="1006"/>
      <c r="BN214" s="1006"/>
      <c r="BO214" s="1006"/>
      <c r="BP214" s="398">
        <f>0.382/4</f>
        <v>9.5500000000000002E-2</v>
      </c>
      <c r="BQ214" s="398">
        <f>0.382/4</f>
        <v>9.5500000000000002E-2</v>
      </c>
      <c r="BR214" s="398">
        <f>0.382/4</f>
        <v>9.5500000000000002E-2</v>
      </c>
      <c r="BS214" s="398">
        <f>0.382/4</f>
        <v>9.5500000000000002E-2</v>
      </c>
      <c r="BT214" s="26"/>
      <c r="BU214" s="26"/>
      <c r="BV214" s="26"/>
      <c r="BW214" s="783"/>
      <c r="BX214" s="1000">
        <v>0</v>
      </c>
      <c r="BY214" s="1000">
        <v>0</v>
      </c>
      <c r="BZ214" s="1000">
        <v>0</v>
      </c>
      <c r="CA214" s="1000">
        <v>0</v>
      </c>
      <c r="CB214" s="1000">
        <v>0</v>
      </c>
      <c r="CC214" s="1000">
        <v>0</v>
      </c>
      <c r="CD214" s="1000">
        <v>0</v>
      </c>
      <c r="CE214" s="783">
        <f>58.305-CE213</f>
        <v>37.424999999999997</v>
      </c>
      <c r="CF214" s="1000">
        <v>0</v>
      </c>
      <c r="CG214" s="1000">
        <v>0</v>
      </c>
      <c r="CH214" s="1000">
        <v>0</v>
      </c>
      <c r="CI214" s="1000">
        <v>0</v>
      </c>
      <c r="CJ214" s="1000">
        <v>0</v>
      </c>
      <c r="CK214" s="1000">
        <v>0</v>
      </c>
      <c r="CL214" s="1000">
        <v>0</v>
      </c>
      <c r="CM214" s="2122">
        <f>1189.4-SUM(CM135,CM140,CM145,CM150,CM155,CM160,CM165,CM170,CM175,CM180,CM185,CM190,CM195,CM200,CM205,CM210,CM213)</f>
        <v>665.56100000000004</v>
      </c>
      <c r="CN214" s="1000">
        <f>-CN213</f>
        <v>-723.86599999999999</v>
      </c>
      <c r="CO214" s="1000">
        <f>-CO213</f>
        <v>0</v>
      </c>
      <c r="CP214" s="1000">
        <f>-CP213</f>
        <v>0</v>
      </c>
      <c r="CQ214" s="1000">
        <f>-CQ213</f>
        <v>0</v>
      </c>
      <c r="CR214" s="1000">
        <v>0</v>
      </c>
      <c r="CS214" s="1000">
        <v>0</v>
      </c>
      <c r="CT214" s="1000">
        <v>0</v>
      </c>
      <c r="CU214" s="1000">
        <v>0</v>
      </c>
      <c r="CV214" s="1000">
        <v>0</v>
      </c>
      <c r="CW214" s="1000">
        <v>0</v>
      </c>
      <c r="CX214" s="1000">
        <v>0</v>
      </c>
      <c r="CY214" s="1000">
        <v>0</v>
      </c>
      <c r="CZ214" s="1000">
        <v>0</v>
      </c>
      <c r="DA214" s="1000">
        <v>0</v>
      </c>
      <c r="DB214" s="1000">
        <v>0</v>
      </c>
      <c r="DC214" s="1000">
        <v>0</v>
      </c>
    </row>
    <row r="215" spans="1:107" s="15" customFormat="1" ht="12.75" hidden="1" customHeight="1" outlineLevel="1">
      <c r="A215" s="2195"/>
      <c r="B215" s="876" t="s">
        <v>1044</v>
      </c>
      <c r="J215" s="26">
        <f>BC215</f>
        <v>0</v>
      </c>
      <c r="K215" s="54">
        <f>SUM(K213:K214)</f>
        <v>0</v>
      </c>
      <c r="L215" s="54">
        <f>SUM(L213:L214)</f>
        <v>0</v>
      </c>
      <c r="M215" s="54">
        <f>BO215</f>
        <v>7.2009999999999996</v>
      </c>
      <c r="N215" s="54">
        <f>BS215</f>
        <v>7.5830000000000011</v>
      </c>
      <c r="O215" s="54">
        <f>BW215</f>
        <v>20.88</v>
      </c>
      <c r="P215" s="54">
        <f>CA215</f>
        <v>20.88</v>
      </c>
      <c r="Q215" s="54">
        <f>CE215</f>
        <v>58.304999999999993</v>
      </c>
      <c r="R215" s="54">
        <f>CI215</f>
        <v>58.304999999999993</v>
      </c>
      <c r="S215" s="54">
        <f>CM215</f>
        <v>723.86599999999999</v>
      </c>
      <c r="T215" s="54">
        <f>CN215</f>
        <v>0</v>
      </c>
      <c r="U215" s="54">
        <f t="shared" ref="U215:Z215" si="451">SUM(U213:U214)</f>
        <v>0</v>
      </c>
      <c r="V215" s="54">
        <f>SUM(V213:V214)</f>
        <v>0</v>
      </c>
      <c r="W215" s="54">
        <f>SUM(W213:W214)</f>
        <v>0</v>
      </c>
      <c r="X215" s="54">
        <f t="shared" si="451"/>
        <v>0</v>
      </c>
      <c r="Y215" s="54">
        <f t="shared" si="451"/>
        <v>0</v>
      </c>
      <c r="Z215" s="54">
        <f t="shared" si="451"/>
        <v>0</v>
      </c>
      <c r="AA215" s="54">
        <f t="shared" ref="AA215:AD215" si="452">SUM(AA213:AA214)</f>
        <v>0</v>
      </c>
      <c r="AB215" s="54">
        <f t="shared" si="452"/>
        <v>0</v>
      </c>
      <c r="AC215" s="54">
        <f t="shared" si="452"/>
        <v>0</v>
      </c>
      <c r="AD215" s="54">
        <f t="shared" si="452"/>
        <v>0</v>
      </c>
      <c r="AF215" s="26"/>
      <c r="AG215" s="26"/>
      <c r="AH215" s="26"/>
      <c r="AI215" s="26"/>
      <c r="AJ215" s="26"/>
      <c r="AK215" s="26"/>
      <c r="AL215" s="26"/>
      <c r="AM215" s="26"/>
      <c r="AN215" s="26"/>
      <c r="AO215" s="26"/>
      <c r="AP215" s="26"/>
      <c r="AQ215" s="26"/>
      <c r="AR215" s="26"/>
      <c r="AS215" s="26"/>
      <c r="AT215" s="26"/>
      <c r="AU215" s="26"/>
      <c r="AV215" s="26"/>
      <c r="AW215" s="26"/>
      <c r="AX215" s="26"/>
      <c r="AY215" s="26"/>
      <c r="AZ215" s="26"/>
      <c r="BA215" s="26"/>
      <c r="BB215" s="26"/>
      <c r="BC215" s="26"/>
      <c r="BD215" s="26"/>
      <c r="BE215" s="26"/>
      <c r="BF215" s="26"/>
      <c r="BG215" s="26"/>
      <c r="BH215" s="26"/>
      <c r="BI215" s="26"/>
      <c r="BJ215" s="26"/>
      <c r="BK215" s="26"/>
      <c r="BL215" s="26"/>
      <c r="BM215" s="26"/>
      <c r="BN215" s="26"/>
      <c r="BO215" s="398">
        <v>7.2009999999999996</v>
      </c>
      <c r="BP215" s="26">
        <f t="shared" ref="BP215:BV215" si="453">SUM(BP213:BP214)</f>
        <v>7.2965</v>
      </c>
      <c r="BQ215" s="26">
        <f t="shared" si="453"/>
        <v>7.3920000000000003</v>
      </c>
      <c r="BR215" s="26">
        <f t="shared" si="453"/>
        <v>7.4875000000000007</v>
      </c>
      <c r="BS215" s="26">
        <f t="shared" si="453"/>
        <v>7.5830000000000011</v>
      </c>
      <c r="BT215" s="54">
        <f t="shared" si="453"/>
        <v>7.5830000000000011</v>
      </c>
      <c r="BU215" s="54">
        <f t="shared" si="453"/>
        <v>7.5830000000000011</v>
      </c>
      <c r="BV215" s="54">
        <f t="shared" si="453"/>
        <v>7.5830000000000011</v>
      </c>
      <c r="BW215" s="1000">
        <v>20.88</v>
      </c>
      <c r="BX215" s="54">
        <f t="shared" ref="BX215:CT215" si="454">SUM(BX213:BX214)</f>
        <v>20.88</v>
      </c>
      <c r="BY215" s="54">
        <f t="shared" si="454"/>
        <v>20.88</v>
      </c>
      <c r="BZ215" s="54">
        <f t="shared" si="454"/>
        <v>20.88</v>
      </c>
      <c r="CA215" s="54">
        <f t="shared" si="454"/>
        <v>20.88</v>
      </c>
      <c r="CB215" s="54">
        <f t="shared" si="454"/>
        <v>20.88</v>
      </c>
      <c r="CC215" s="54">
        <f t="shared" si="454"/>
        <v>20.88</v>
      </c>
      <c r="CD215" s="54">
        <f t="shared" si="454"/>
        <v>20.88</v>
      </c>
      <c r="CE215" s="54">
        <f t="shared" si="454"/>
        <v>58.304999999999993</v>
      </c>
      <c r="CF215" s="54">
        <f t="shared" si="454"/>
        <v>58.304999999999993</v>
      </c>
      <c r="CG215" s="54">
        <f t="shared" si="454"/>
        <v>58.304999999999993</v>
      </c>
      <c r="CH215" s="54">
        <f t="shared" si="454"/>
        <v>58.304999999999993</v>
      </c>
      <c r="CI215" s="54">
        <f t="shared" si="454"/>
        <v>58.304999999999993</v>
      </c>
      <c r="CJ215" s="54">
        <f t="shared" si="454"/>
        <v>58.304999999999993</v>
      </c>
      <c r="CK215" s="54">
        <f t="shared" si="454"/>
        <v>58.304999999999993</v>
      </c>
      <c r="CL215" s="54">
        <f t="shared" si="454"/>
        <v>58.304999999999993</v>
      </c>
      <c r="CM215" s="54">
        <f t="shared" si="454"/>
        <v>723.86599999999999</v>
      </c>
      <c r="CN215" s="54">
        <f t="shared" si="454"/>
        <v>0</v>
      </c>
      <c r="CO215" s="54">
        <f t="shared" si="454"/>
        <v>0</v>
      </c>
      <c r="CP215" s="54">
        <f t="shared" si="454"/>
        <v>0</v>
      </c>
      <c r="CQ215" s="54">
        <f>SUM(CQ213:CQ214)</f>
        <v>0</v>
      </c>
      <c r="CR215" s="54">
        <f t="shared" si="454"/>
        <v>0</v>
      </c>
      <c r="CS215" s="54">
        <f t="shared" si="454"/>
        <v>0</v>
      </c>
      <c r="CT215" s="54">
        <f t="shared" si="454"/>
        <v>0</v>
      </c>
      <c r="CU215" s="54">
        <f>SUM(CU213:CU214)</f>
        <v>0</v>
      </c>
      <c r="CV215" s="54">
        <f>SUM(CV213:CV214)</f>
        <v>0</v>
      </c>
      <c r="CW215" s="54">
        <f>SUM(CW213:CW214)</f>
        <v>0</v>
      </c>
      <c r="CX215" s="54">
        <f>SUM(CX213:CX214)</f>
        <v>0</v>
      </c>
      <c r="CY215" s="54">
        <f>SUM(CY213:CY214)</f>
        <v>0</v>
      </c>
      <c r="CZ215" s="54">
        <f t="shared" ref="CZ215:DC215" si="455">SUM(CZ213:CZ214)</f>
        <v>0</v>
      </c>
      <c r="DA215" s="54">
        <f t="shared" si="455"/>
        <v>0</v>
      </c>
      <c r="DB215" s="54">
        <f t="shared" si="455"/>
        <v>0</v>
      </c>
      <c r="DC215" s="54">
        <f t="shared" si="455"/>
        <v>0</v>
      </c>
    </row>
    <row r="216" spans="1:107" hidden="1" outlineLevel="1">
      <c r="A216" s="15"/>
      <c r="B216" s="876"/>
      <c r="C216" s="15"/>
      <c r="D216" s="15"/>
      <c r="E216" s="15"/>
      <c r="F216" s="15"/>
      <c r="G216" s="15"/>
      <c r="H216" s="15"/>
      <c r="I216" s="15"/>
      <c r="J216" s="15"/>
      <c r="K216" s="1004"/>
      <c r="L216" s="1004"/>
      <c r="M216" s="1004"/>
      <c r="N216" s="1004"/>
      <c r="O216" s="1004"/>
      <c r="P216" s="1004"/>
      <c r="Q216" s="1004"/>
      <c r="R216" s="1004"/>
      <c r="S216" s="1004"/>
      <c r="T216" s="1004"/>
      <c r="U216" s="1004"/>
      <c r="V216" s="1004"/>
      <c r="W216" s="1004"/>
      <c r="X216" s="1004"/>
      <c r="Y216" s="1004"/>
      <c r="Z216" s="1004"/>
      <c r="AA216" s="1004"/>
      <c r="AB216" s="1004"/>
      <c r="AC216" s="1004"/>
      <c r="AD216" s="1004"/>
      <c r="AE216" s="15"/>
      <c r="AF216" s="1004"/>
      <c r="AG216" s="1004"/>
      <c r="AH216" s="1004"/>
      <c r="AI216" s="1004"/>
      <c r="AJ216" s="1004"/>
      <c r="AK216" s="1004"/>
      <c r="AL216" s="1004"/>
      <c r="AM216" s="1004"/>
      <c r="AN216" s="1004"/>
      <c r="AO216" s="1004"/>
      <c r="AP216" s="1004"/>
      <c r="AQ216" s="1004"/>
      <c r="AR216" s="1004"/>
      <c r="AS216" s="1004"/>
      <c r="AT216" s="1004"/>
      <c r="AU216" s="1004"/>
      <c r="AV216" s="1004"/>
      <c r="AW216" s="1004"/>
      <c r="AX216" s="1004"/>
      <c r="AY216" s="1004"/>
      <c r="AZ216" s="1004"/>
      <c r="BA216" s="1004"/>
      <c r="BB216" s="1004"/>
      <c r="BC216" s="1004"/>
      <c r="BD216" s="1004"/>
      <c r="BE216" s="1004"/>
      <c r="BF216" s="1004"/>
      <c r="BG216" s="1004"/>
      <c r="BH216" s="1004"/>
      <c r="BI216" s="1004"/>
      <c r="BJ216" s="1004"/>
      <c r="BK216" s="1004"/>
      <c r="BL216" s="1004"/>
      <c r="BM216" s="1004"/>
      <c r="BN216" s="1004"/>
      <c r="BO216" s="1004"/>
      <c r="BP216" s="1004"/>
      <c r="BQ216" s="1004"/>
      <c r="BR216" s="1004"/>
      <c r="BS216" s="1004"/>
      <c r="BT216" s="1004"/>
      <c r="BU216" s="1004"/>
      <c r="BV216" s="1004"/>
      <c r="BW216" s="1004"/>
      <c r="BX216" s="1004"/>
      <c r="BY216" s="1004"/>
      <c r="BZ216" s="1004"/>
      <c r="CA216" s="1004"/>
      <c r="CB216" s="1004"/>
      <c r="CC216" s="1004"/>
      <c r="CD216" s="1004"/>
      <c r="CE216" s="1004"/>
      <c r="CF216" s="1004"/>
      <c r="CG216" s="1004"/>
      <c r="CH216" s="1004"/>
      <c r="CI216" s="1004"/>
      <c r="CJ216" s="1004"/>
      <c r="CK216" s="1004"/>
      <c r="CL216" s="1004"/>
      <c r="CM216" s="1004"/>
      <c r="CN216" s="1004"/>
      <c r="CO216" s="1004"/>
      <c r="CP216" s="1004"/>
      <c r="CQ216" s="1004"/>
      <c r="CR216" s="1004"/>
      <c r="CS216" s="1004"/>
      <c r="CT216" s="1004"/>
      <c r="CU216" s="1004"/>
      <c r="CV216" s="1004"/>
      <c r="CW216" s="1004"/>
      <c r="CX216" s="1004"/>
      <c r="CY216" s="1004"/>
      <c r="CZ216" s="1004"/>
      <c r="DA216" s="1004"/>
      <c r="DB216" s="1004"/>
      <c r="DC216" s="1004"/>
    </row>
    <row r="217" spans="1:107" collapsed="1">
      <c r="A217" s="15"/>
      <c r="B217" s="132" t="s">
        <v>1701</v>
      </c>
      <c r="C217" s="132"/>
      <c r="D217" s="132"/>
      <c r="E217" s="132"/>
      <c r="F217" s="132"/>
      <c r="G217" s="132"/>
      <c r="H217" s="132"/>
      <c r="I217" s="132"/>
      <c r="J217" s="132"/>
      <c r="K217" s="132"/>
      <c r="L217" s="132"/>
      <c r="M217" s="132"/>
      <c r="N217" s="132"/>
      <c r="O217" s="132"/>
      <c r="P217" s="132"/>
      <c r="Q217" s="132"/>
      <c r="R217" s="132"/>
      <c r="S217" s="132"/>
      <c r="T217" s="132"/>
      <c r="U217" s="132"/>
      <c r="V217" s="132"/>
      <c r="W217" s="132"/>
      <c r="X217" s="132"/>
      <c r="Y217" s="132"/>
      <c r="Z217" s="132"/>
      <c r="AA217" s="132"/>
      <c r="AB217" s="132"/>
      <c r="AC217" s="132"/>
      <c r="AD217" s="132"/>
      <c r="AE217" s="15"/>
      <c r="AF217" s="132"/>
      <c r="AG217" s="132"/>
      <c r="AH217" s="132"/>
      <c r="AI217" s="132"/>
      <c r="AJ217" s="132"/>
      <c r="AK217" s="132"/>
      <c r="AL217" s="132"/>
      <c r="AM217" s="132"/>
      <c r="AN217" s="132"/>
      <c r="AO217" s="132"/>
      <c r="AP217" s="132"/>
      <c r="AQ217" s="132"/>
      <c r="AR217" s="132"/>
      <c r="AS217" s="132"/>
      <c r="AT217" s="132"/>
      <c r="AU217" s="132"/>
      <c r="AV217" s="132"/>
      <c r="AW217" s="132"/>
      <c r="AX217" s="132"/>
      <c r="AY217" s="132"/>
      <c r="AZ217" s="132"/>
      <c r="BA217" s="132"/>
      <c r="BB217" s="132"/>
      <c r="BC217" s="132"/>
      <c r="BD217" s="132"/>
      <c r="BE217" s="132"/>
      <c r="BF217" s="132"/>
      <c r="BG217" s="132"/>
      <c r="BH217" s="132"/>
      <c r="BI217" s="132"/>
      <c r="BJ217" s="132"/>
      <c r="BK217" s="132"/>
      <c r="BL217" s="132"/>
      <c r="BM217" s="132"/>
      <c r="BN217" s="132"/>
      <c r="BO217" s="132"/>
      <c r="BP217" s="132"/>
      <c r="BQ217" s="132"/>
      <c r="BR217" s="132"/>
      <c r="BS217" s="132"/>
      <c r="BT217" s="132"/>
      <c r="BU217" s="132"/>
      <c r="BV217" s="132"/>
      <c r="BW217" s="132"/>
      <c r="BX217" s="132"/>
      <c r="BY217" s="132"/>
      <c r="BZ217" s="132"/>
      <c r="CA217" s="132"/>
      <c r="CB217" s="132"/>
      <c r="CC217" s="132"/>
      <c r="CD217" s="132"/>
      <c r="CE217" s="132"/>
      <c r="CF217" s="132"/>
      <c r="CG217" s="132"/>
      <c r="CH217" s="132"/>
      <c r="CI217" s="132"/>
      <c r="CJ217" s="132"/>
      <c r="CK217" s="132"/>
      <c r="CL217" s="132"/>
      <c r="CM217" s="87"/>
      <c r="CN217" s="87"/>
      <c r="CO217" s="87"/>
      <c r="CP217" s="87"/>
      <c r="CQ217" s="87"/>
      <c r="CR217" s="132"/>
      <c r="CS217" s="132"/>
      <c r="CT217" s="132"/>
      <c r="CU217" s="132"/>
      <c r="CV217" s="132"/>
      <c r="CW217" s="132"/>
      <c r="CX217" s="132"/>
      <c r="CY217" s="132"/>
      <c r="CZ217" s="132"/>
      <c r="DA217" s="132"/>
      <c r="DB217" s="132"/>
      <c r="DC217" s="132"/>
    </row>
    <row r="218" spans="1:107">
      <c r="A218" s="15"/>
      <c r="B218" s="876" t="s">
        <v>1118</v>
      </c>
      <c r="C218" s="15"/>
      <c r="D218" s="15"/>
      <c r="E218" s="15"/>
      <c r="F218" s="15"/>
      <c r="G218" s="15"/>
      <c r="H218" s="15"/>
      <c r="I218" s="15"/>
      <c r="J218" s="15"/>
      <c r="K218" s="1004"/>
      <c r="L218" s="1004"/>
      <c r="M218" s="1004"/>
      <c r="N218" s="54">
        <f t="shared" ref="N218:Z218" si="456">M220</f>
        <v>137.53</v>
      </c>
      <c r="O218" s="54">
        <f t="shared" si="456"/>
        <v>161.02900000000002</v>
      </c>
      <c r="P218" s="54">
        <f t="shared" si="456"/>
        <v>261.93299999999999</v>
      </c>
      <c r="Q218" s="54">
        <f t="shared" si="456"/>
        <v>401.81099999999998</v>
      </c>
      <c r="R218" s="54">
        <f t="shared" si="456"/>
        <v>561.05899999999997</v>
      </c>
      <c r="S218" s="54">
        <f t="shared" si="456"/>
        <v>931.24599999999998</v>
      </c>
      <c r="T218" s="54">
        <f t="shared" si="456"/>
        <v>1189.404</v>
      </c>
      <c r="U218" s="54">
        <f t="shared" si="456"/>
        <v>1327.26</v>
      </c>
      <c r="V218" s="54">
        <f t="shared" si="456"/>
        <v>1257.6030000000001</v>
      </c>
      <c r="W218" s="54">
        <f t="shared" si="456"/>
        <v>1444.7759999999998</v>
      </c>
      <c r="X218" s="54">
        <f t="shared" si="456"/>
        <v>1444.7759999999998</v>
      </c>
      <c r="Y218" s="54">
        <f t="shared" si="456"/>
        <v>1441.992</v>
      </c>
      <c r="Z218" s="54">
        <f t="shared" si="456"/>
        <v>1439.2080000000001</v>
      </c>
      <c r="AA218" s="54">
        <f t="shared" ref="AA218" si="457">Z220</f>
        <v>1436.4240000000002</v>
      </c>
      <c r="AB218" s="54">
        <f t="shared" ref="AB218" si="458">AA220</f>
        <v>1433.6400000000003</v>
      </c>
      <c r="AC218" s="54">
        <f t="shared" ref="AC218" si="459">AB220</f>
        <v>1430.8560000000004</v>
      </c>
      <c r="AD218" s="54">
        <f t="shared" ref="AD218" si="460">AC220</f>
        <v>1428.0720000000006</v>
      </c>
      <c r="AE218" s="15"/>
      <c r="AF218" s="54"/>
      <c r="AG218" s="54"/>
      <c r="AH218" s="54"/>
      <c r="AI218" s="54"/>
      <c r="AJ218" s="54"/>
      <c r="AK218" s="54"/>
      <c r="AL218" s="54"/>
      <c r="AM218" s="54"/>
      <c r="AN218" s="54"/>
      <c r="AO218" s="54"/>
      <c r="AP218" s="54"/>
      <c r="AQ218" s="54"/>
      <c r="AR218" s="54"/>
      <c r="AS218" s="54"/>
      <c r="AT218" s="54"/>
      <c r="AU218" s="54"/>
      <c r="AV218" s="54"/>
      <c r="AW218" s="54"/>
      <c r="AX218" s="54"/>
      <c r="AY218" s="54"/>
      <c r="AZ218" s="54"/>
      <c r="BA218" s="54"/>
      <c r="BB218" s="54"/>
      <c r="BC218" s="54"/>
      <c r="BD218" s="54"/>
      <c r="BE218" s="54"/>
      <c r="BF218" s="54"/>
      <c r="BG218" s="54"/>
      <c r="BH218" s="54"/>
      <c r="BI218" s="54"/>
      <c r="BJ218" s="54"/>
      <c r="BK218" s="54"/>
      <c r="BL218" s="54"/>
      <c r="BM218" s="54"/>
      <c r="BN218" s="54"/>
      <c r="BO218" s="54"/>
      <c r="BP218" s="54">
        <f t="shared" ref="BP218:CV218" si="461">BO220</f>
        <v>137.53</v>
      </c>
      <c r="BQ218" s="54">
        <f t="shared" si="461"/>
        <v>137.53899999999999</v>
      </c>
      <c r="BR218" s="54">
        <f t="shared" si="461"/>
        <v>144.56800000000001</v>
      </c>
      <c r="BS218" s="54">
        <f t="shared" si="461"/>
        <v>160.52600000000001</v>
      </c>
      <c r="BT218" s="54">
        <f t="shared" si="461"/>
        <v>161.02900000000002</v>
      </c>
      <c r="BU218" s="54">
        <f t="shared" si="461"/>
        <v>158.66300000000001</v>
      </c>
      <c r="BV218" s="54">
        <f t="shared" si="461"/>
        <v>215.3</v>
      </c>
      <c r="BW218" s="54">
        <f t="shared" si="461"/>
        <v>269.553</v>
      </c>
      <c r="BX218" s="54">
        <f t="shared" si="461"/>
        <v>261.93299999999999</v>
      </c>
      <c r="BY218" s="54">
        <f t="shared" si="461"/>
        <v>305.29399999999998</v>
      </c>
      <c r="BZ218" s="54">
        <f t="shared" si="461"/>
        <v>346.73500000000001</v>
      </c>
      <c r="CA218" s="54">
        <f t="shared" si="461"/>
        <v>388.21500000000003</v>
      </c>
      <c r="CB218" s="54">
        <f t="shared" si="461"/>
        <v>401.81099999999998</v>
      </c>
      <c r="CC218" s="54">
        <f t="shared" si="461"/>
        <v>414.87200000000001</v>
      </c>
      <c r="CD218" s="54">
        <f t="shared" si="461"/>
        <v>477.6</v>
      </c>
      <c r="CE218" s="54">
        <f t="shared" si="461"/>
        <v>502.721</v>
      </c>
      <c r="CF218" s="54">
        <f t="shared" si="461"/>
        <v>561.05899999999997</v>
      </c>
      <c r="CG218" s="54">
        <f t="shared" si="461"/>
        <v>584.37099999999998</v>
      </c>
      <c r="CH218" s="54">
        <f t="shared" si="461"/>
        <v>770.13499999999999</v>
      </c>
      <c r="CI218" s="54">
        <f t="shared" si="461"/>
        <v>879.38900000000001</v>
      </c>
      <c r="CJ218" s="54">
        <f t="shared" si="461"/>
        <v>931.24599999999998</v>
      </c>
      <c r="CK218" s="54">
        <f t="shared" si="461"/>
        <v>1055.127</v>
      </c>
      <c r="CL218" s="54">
        <f t="shared" si="461"/>
        <v>1134.607</v>
      </c>
      <c r="CM218" s="54">
        <f t="shared" si="461"/>
        <v>1192.4880000000001</v>
      </c>
      <c r="CN218" s="54">
        <f t="shared" si="461"/>
        <v>1189.404</v>
      </c>
      <c r="CO218" s="54">
        <f t="shared" si="461"/>
        <v>1201.4570000000001</v>
      </c>
      <c r="CP218" s="54">
        <f t="shared" si="461"/>
        <v>1244.578</v>
      </c>
      <c r="CQ218" s="54">
        <f t="shared" si="461"/>
        <v>1225.356</v>
      </c>
      <c r="CR218" s="54">
        <f t="shared" si="461"/>
        <v>1327.26</v>
      </c>
      <c r="CS218" s="54">
        <f t="shared" si="461"/>
        <v>1346.2850000000001</v>
      </c>
      <c r="CT218" s="54">
        <f t="shared" si="461"/>
        <v>1353.23</v>
      </c>
      <c r="CU218" s="54">
        <f t="shared" si="461"/>
        <v>1284.3900000000001</v>
      </c>
      <c r="CV218" s="54">
        <f t="shared" si="461"/>
        <v>1257.6030000000001</v>
      </c>
      <c r="CW218" s="54">
        <f>CV220</f>
        <v>1368.326</v>
      </c>
      <c r="CX218" s="54">
        <f>CW220</f>
        <v>1393.039</v>
      </c>
      <c r="CY218" s="54">
        <f>CX220</f>
        <v>1418.204</v>
      </c>
      <c r="CZ218" s="54">
        <f t="shared" ref="CZ218:DC218" si="462">CY220</f>
        <v>1444.7760000000001</v>
      </c>
      <c r="DA218" s="54">
        <f t="shared" si="462"/>
        <v>1444.7760000000001</v>
      </c>
      <c r="DB218" s="54">
        <f t="shared" si="462"/>
        <v>1444.7760000000001</v>
      </c>
      <c r="DC218" s="54">
        <f t="shared" si="462"/>
        <v>1444.7760000000001</v>
      </c>
    </row>
    <row r="219" spans="1:107">
      <c r="A219" s="15"/>
      <c r="B219" s="876" t="s">
        <v>1121</v>
      </c>
      <c r="C219" s="15"/>
      <c r="D219" s="15"/>
      <c r="E219" s="15"/>
      <c r="F219" s="15"/>
      <c r="G219" s="15"/>
      <c r="H219" s="15"/>
      <c r="I219" s="15"/>
      <c r="J219" s="15"/>
      <c r="K219" s="1004"/>
      <c r="L219" s="1004"/>
      <c r="M219" s="1004"/>
      <c r="N219" s="54">
        <f t="shared" ref="N219:T219" si="463">N220-N218</f>
        <v>23.499000000000024</v>
      </c>
      <c r="O219" s="54">
        <f t="shared" si="463"/>
        <v>100.90399999999997</v>
      </c>
      <c r="P219" s="54">
        <f t="shared" si="463"/>
        <v>139.87799999999999</v>
      </c>
      <c r="Q219" s="54">
        <f t="shared" si="463"/>
        <v>159.24799999999999</v>
      </c>
      <c r="R219" s="54">
        <f t="shared" si="463"/>
        <v>370.18700000000001</v>
      </c>
      <c r="S219" s="54">
        <f t="shared" si="463"/>
        <v>258.15800000000002</v>
      </c>
      <c r="T219" s="54">
        <f t="shared" si="463"/>
        <v>137.85599999999999</v>
      </c>
      <c r="U219" s="54">
        <f>+SUM(CR219:CU219)</f>
        <v>-69.657000000000039</v>
      </c>
      <c r="V219" s="54">
        <f>+SUM(CV219:CY219)</f>
        <v>187.17299999999989</v>
      </c>
      <c r="W219" s="54">
        <f>+SUM(CZ219:DC219)</f>
        <v>0</v>
      </c>
      <c r="X219" s="54">
        <f>X214+X184+X199+X129+X209+X169+X159+X139+X204+X194+X174+X149</f>
        <v>-2.7839999999999447</v>
      </c>
      <c r="Y219" s="54">
        <f>Y214+Y184+Y199+Y129+Y209+Y169+Y159+Y139+Y204+Y194+Y174+Y149</f>
        <v>-2.7839999999999447</v>
      </c>
      <c r="Z219" s="54">
        <f>Z214+Z184+Z199+Z129+Z209+Z169+Z159+Z139+Z204+Z194+Z174+Z149</f>
        <v>-2.7839999999999447</v>
      </c>
      <c r="AA219" s="54">
        <f t="shared" ref="AA219:AD219" si="464">AA214+AA184+AA199+AA129+AA209+AA169+AA159+AA139+AA204+AA194+AA174+AA149</f>
        <v>-2.7839999999999447</v>
      </c>
      <c r="AB219" s="54">
        <f t="shared" si="464"/>
        <v>-2.7839999999999447</v>
      </c>
      <c r="AC219" s="54">
        <f t="shared" si="464"/>
        <v>-2.7839999999999447</v>
      </c>
      <c r="AD219" s="54">
        <f t="shared" si="464"/>
        <v>-2.7839999999999447</v>
      </c>
      <c r="AE219" s="15"/>
      <c r="AF219" s="1004"/>
      <c r="AG219" s="1004"/>
      <c r="AH219" s="1004"/>
      <c r="AI219" s="1004"/>
      <c r="AJ219" s="1004"/>
      <c r="AK219" s="1004"/>
      <c r="AL219" s="1004"/>
      <c r="AM219" s="1004"/>
      <c r="AN219" s="1004"/>
      <c r="AO219" s="1004"/>
      <c r="AP219" s="1004"/>
      <c r="AQ219" s="1004"/>
      <c r="AR219" s="1004"/>
      <c r="AS219" s="1004"/>
      <c r="AT219" s="1004"/>
      <c r="AU219" s="1004"/>
      <c r="AV219" s="1004"/>
      <c r="AW219" s="1004"/>
      <c r="AX219" s="1004"/>
      <c r="AY219" s="1004"/>
      <c r="AZ219" s="1004"/>
      <c r="BA219" s="1004"/>
      <c r="BB219" s="1004"/>
      <c r="BC219" s="1004"/>
      <c r="BD219" s="1004"/>
      <c r="BE219" s="1004"/>
      <c r="BF219" s="1004"/>
      <c r="BG219" s="1004"/>
      <c r="BH219" s="1004"/>
      <c r="BI219" s="1004"/>
      <c r="BJ219" s="1004"/>
      <c r="BK219" s="1004"/>
      <c r="BL219" s="1004"/>
      <c r="BM219" s="1004"/>
      <c r="BN219" s="1004"/>
      <c r="BO219" s="1004"/>
      <c r="BP219" s="54">
        <f t="shared" ref="BP219:BW219" si="465">BP220-BP218</f>
        <v>8.9999999999861302E-3</v>
      </c>
      <c r="BQ219" s="54">
        <f t="shared" si="465"/>
        <v>7.0290000000000248</v>
      </c>
      <c r="BR219" s="54">
        <f t="shared" si="465"/>
        <v>15.957999999999998</v>
      </c>
      <c r="BS219" s="54">
        <f t="shared" si="465"/>
        <v>0.50300000000001432</v>
      </c>
      <c r="BT219" s="54">
        <f t="shared" si="465"/>
        <v>-2.3660000000000139</v>
      </c>
      <c r="BU219" s="54">
        <f t="shared" si="465"/>
        <v>56.637</v>
      </c>
      <c r="BV219" s="54">
        <f t="shared" si="465"/>
        <v>54.252999999999986</v>
      </c>
      <c r="BW219" s="54">
        <f t="shared" si="465"/>
        <v>-7.6200000000000045</v>
      </c>
      <c r="BX219" s="54">
        <f>BX214+BX184+BX199+BX129+BX209+BX169+BX159+BX139</f>
        <v>0.12399999999999811</v>
      </c>
      <c r="BY219" s="54">
        <f>BY214+BY184+BY199+BY129+BY209+BY169+BY159+BY139</f>
        <v>0.12399999999999811</v>
      </c>
      <c r="BZ219" s="54">
        <f>BZ214+BZ184+BZ199+BZ129+BZ209+BZ169+BZ159+BZ139</f>
        <v>0.12399999999999811</v>
      </c>
      <c r="CA219" s="1002">
        <f>401.811-BZ220</f>
        <v>13.595999999999947</v>
      </c>
      <c r="CB219" s="398">
        <f>414.872-CA220</f>
        <v>13.061000000000035</v>
      </c>
      <c r="CC219" s="398">
        <f>477.6-CB220</f>
        <v>62.728000000000009</v>
      </c>
      <c r="CD219" s="398">
        <f>502.721-CC220</f>
        <v>25.120999999999981</v>
      </c>
      <c r="CE219" s="398">
        <f>561.059-CD220</f>
        <v>58.337999999999965</v>
      </c>
      <c r="CF219" s="398">
        <f>584.371-CE220</f>
        <v>23.312000000000012</v>
      </c>
      <c r="CG219" s="398">
        <f>770.135-CF220</f>
        <v>185.76400000000001</v>
      </c>
      <c r="CH219" s="398">
        <f>879.389-CG220</f>
        <v>109.25400000000002</v>
      </c>
      <c r="CI219" s="398">
        <f>931.246-CH220</f>
        <v>51.856999999999971</v>
      </c>
      <c r="CJ219" s="398">
        <f>1055.127-CI220</f>
        <v>123.88099999999997</v>
      </c>
      <c r="CK219" s="398">
        <f>1134.607-CJ220</f>
        <v>79.480000000000018</v>
      </c>
      <c r="CL219" s="398">
        <f>1192.488-CK220</f>
        <v>57.881000000000085</v>
      </c>
      <c r="CM219" s="398">
        <f>1189.404-CL220</f>
        <v>-3.08400000000006</v>
      </c>
      <c r="CN219" s="398">
        <f>1201.457-CM220</f>
        <v>12.053000000000111</v>
      </c>
      <c r="CO219" s="398">
        <f>1244.578-CN220</f>
        <v>43.120999999999867</v>
      </c>
      <c r="CP219" s="398">
        <f>1225.356-CO220</f>
        <v>-19.22199999999998</v>
      </c>
      <c r="CQ219" s="398">
        <f>1327.26-CP220</f>
        <v>101.904</v>
      </c>
      <c r="CR219" s="398">
        <f>1600.47-CQ220-CR225</f>
        <v>19.025000000000063</v>
      </c>
      <c r="CS219" s="398">
        <f>1607.415-CR220-CS225</f>
        <v>6.9449999999999079</v>
      </c>
      <c r="CT219" s="398">
        <f>1538.575-CS220-CT225</f>
        <v>-68.839999999999947</v>
      </c>
      <c r="CU219" s="398">
        <f>1511.788-CT220-CU225</f>
        <v>-26.787000000000063</v>
      </c>
      <c r="CV219" s="398">
        <f>1523.309+99.202-CU220-CV225</f>
        <v>110.72299999999993</v>
      </c>
      <c r="CW219" s="398">
        <f>1584.287+62.937-CV220-CW225</f>
        <v>24.712999999999937</v>
      </c>
      <c r="CX219" s="398">
        <f>1672.389-CW220-CX225</f>
        <v>25.164999999999935</v>
      </c>
      <c r="CY219" s="398">
        <f>1698.961-CX220-CY225</f>
        <v>26.572000000000088</v>
      </c>
      <c r="CZ219" s="2105"/>
      <c r="DA219" s="2105"/>
      <c r="DB219" s="2105"/>
      <c r="DC219" s="2105"/>
    </row>
    <row r="220" spans="1:107">
      <c r="A220" s="15"/>
      <c r="B220" s="876" t="s">
        <v>1044</v>
      </c>
      <c r="C220" s="15"/>
      <c r="D220" s="15"/>
      <c r="E220" s="15"/>
      <c r="F220" s="15"/>
      <c r="G220" s="15"/>
      <c r="H220" s="15"/>
      <c r="I220" s="15"/>
      <c r="J220" s="15"/>
      <c r="K220" s="1004"/>
      <c r="L220" s="1004"/>
      <c r="M220" s="54">
        <f>BO220</f>
        <v>137.53</v>
      </c>
      <c r="N220" s="54">
        <f>BS220</f>
        <v>161.02900000000002</v>
      </c>
      <c r="O220" s="54">
        <f>BW220</f>
        <v>261.93299999999999</v>
      </c>
      <c r="P220" s="54">
        <f>CA220</f>
        <v>401.81099999999998</v>
      </c>
      <c r="Q220" s="54">
        <f>CE220</f>
        <v>561.05899999999997</v>
      </c>
      <c r="R220" s="54">
        <f>CI220</f>
        <v>931.24599999999998</v>
      </c>
      <c r="S220" s="54">
        <f>CM220</f>
        <v>1189.404</v>
      </c>
      <c r="T220" s="54">
        <f>CQ220</f>
        <v>1327.26</v>
      </c>
      <c r="U220" s="54">
        <f t="shared" ref="U220:Z220" si="466">SUM(U218:U219)</f>
        <v>1257.6030000000001</v>
      </c>
      <c r="V220" s="54">
        <f>SUM(V218:V219)</f>
        <v>1444.7759999999998</v>
      </c>
      <c r="W220" s="54">
        <f>SUM(W218:W219)</f>
        <v>1444.7759999999998</v>
      </c>
      <c r="X220" s="54">
        <f t="shared" si="466"/>
        <v>1441.992</v>
      </c>
      <c r="Y220" s="54">
        <f t="shared" si="466"/>
        <v>1439.2080000000001</v>
      </c>
      <c r="Z220" s="54">
        <f t="shared" si="466"/>
        <v>1436.4240000000002</v>
      </c>
      <c r="AA220" s="54">
        <f t="shared" ref="AA220:AD220" si="467">SUM(AA218:AA219)</f>
        <v>1433.6400000000003</v>
      </c>
      <c r="AB220" s="54">
        <f t="shared" si="467"/>
        <v>1430.8560000000004</v>
      </c>
      <c r="AC220" s="54">
        <f t="shared" si="467"/>
        <v>1428.0720000000006</v>
      </c>
      <c r="AD220" s="54">
        <f t="shared" si="467"/>
        <v>1425.2880000000007</v>
      </c>
      <c r="AE220" s="15"/>
      <c r="AF220" s="54"/>
      <c r="AG220" s="54"/>
      <c r="AH220" s="54"/>
      <c r="AI220" s="54"/>
      <c r="AJ220" s="54"/>
      <c r="AK220" s="54"/>
      <c r="AL220" s="54"/>
      <c r="AM220" s="54"/>
      <c r="AN220" s="54"/>
      <c r="AO220" s="54"/>
      <c r="AP220" s="54"/>
      <c r="AQ220" s="54"/>
      <c r="AR220" s="54"/>
      <c r="AS220" s="54"/>
      <c r="AT220" s="54"/>
      <c r="AU220" s="54"/>
      <c r="AV220" s="54"/>
      <c r="AW220" s="54"/>
      <c r="AX220" s="54"/>
      <c r="AY220" s="54"/>
      <c r="AZ220" s="54"/>
      <c r="BA220" s="54"/>
      <c r="BB220" s="54"/>
      <c r="BC220" s="54"/>
      <c r="BD220" s="54"/>
      <c r="BE220" s="54"/>
      <c r="BF220" s="54"/>
      <c r="BG220" s="54"/>
      <c r="BH220" s="54"/>
      <c r="BI220" s="54"/>
      <c r="BJ220" s="54"/>
      <c r="BK220" s="54"/>
      <c r="BL220" s="54"/>
      <c r="BM220" s="54"/>
      <c r="BN220" s="54"/>
      <c r="BO220" s="398">
        <v>137.53</v>
      </c>
      <c r="BP220" s="398">
        <v>137.53899999999999</v>
      </c>
      <c r="BQ220" s="398">
        <v>144.56800000000001</v>
      </c>
      <c r="BR220" s="398">
        <v>160.52600000000001</v>
      </c>
      <c r="BS220" s="54">
        <f>BS215+BS185+BS200+BS130+BS210+BS170+BS160+BS140</f>
        <v>161.02900000000002</v>
      </c>
      <c r="BT220" s="398">
        <v>158.66300000000001</v>
      </c>
      <c r="BU220" s="398">
        <v>215.3</v>
      </c>
      <c r="BV220" s="398">
        <v>269.553</v>
      </c>
      <c r="BW220" s="54">
        <f>BW215+BW185+BW200+BW130+BW210+BW170+BW160+BW140+BW205+BW195+BW175+BW150</f>
        <v>261.93299999999999</v>
      </c>
      <c r="BX220" s="398">
        <v>305.29399999999998</v>
      </c>
      <c r="BY220" s="398">
        <v>346.73500000000001</v>
      </c>
      <c r="BZ220" s="398">
        <f>376.848+11.367</f>
        <v>388.21500000000003</v>
      </c>
      <c r="CA220" s="398">
        <v>401.81099999999998</v>
      </c>
      <c r="CB220" s="54">
        <f t="shared" ref="CB220:CT220" si="468">SUM(CB218:CB219)</f>
        <v>414.87200000000001</v>
      </c>
      <c r="CC220" s="54">
        <f t="shared" si="468"/>
        <v>477.6</v>
      </c>
      <c r="CD220" s="54">
        <f t="shared" si="468"/>
        <v>502.721</v>
      </c>
      <c r="CE220" s="54">
        <f t="shared" si="468"/>
        <v>561.05899999999997</v>
      </c>
      <c r="CF220" s="54">
        <f t="shared" si="468"/>
        <v>584.37099999999998</v>
      </c>
      <c r="CG220" s="54">
        <f t="shared" si="468"/>
        <v>770.13499999999999</v>
      </c>
      <c r="CH220" s="54">
        <f t="shared" si="468"/>
        <v>879.38900000000001</v>
      </c>
      <c r="CI220" s="54">
        <f t="shared" si="468"/>
        <v>931.24599999999998</v>
      </c>
      <c r="CJ220" s="54">
        <f t="shared" si="468"/>
        <v>1055.127</v>
      </c>
      <c r="CK220" s="54">
        <f t="shared" si="468"/>
        <v>1134.607</v>
      </c>
      <c r="CL220" s="54">
        <f t="shared" si="468"/>
        <v>1192.4880000000001</v>
      </c>
      <c r="CM220" s="54">
        <f t="shared" si="468"/>
        <v>1189.404</v>
      </c>
      <c r="CN220" s="54">
        <f t="shared" si="468"/>
        <v>1201.4570000000001</v>
      </c>
      <c r="CO220" s="54">
        <f t="shared" si="468"/>
        <v>1244.578</v>
      </c>
      <c r="CP220" s="54">
        <f t="shared" si="468"/>
        <v>1225.356</v>
      </c>
      <c r="CQ220" s="54">
        <f>SUM(CQ218:CQ219)</f>
        <v>1327.26</v>
      </c>
      <c r="CR220" s="54">
        <f>SUM(CR218:CR219)</f>
        <v>1346.2850000000001</v>
      </c>
      <c r="CS220" s="54">
        <f t="shared" si="468"/>
        <v>1353.23</v>
      </c>
      <c r="CT220" s="54">
        <f t="shared" si="468"/>
        <v>1284.3900000000001</v>
      </c>
      <c r="CU220" s="54">
        <f>SUM(CU218:CU219)</f>
        <v>1257.6030000000001</v>
      </c>
      <c r="CV220" s="54">
        <f>SUM(CV218:CV219)</f>
        <v>1368.326</v>
      </c>
      <c r="CW220" s="54">
        <f>SUM(CW218:CW219)</f>
        <v>1393.039</v>
      </c>
      <c r="CX220" s="54">
        <f>SUM(CX218:CX219)</f>
        <v>1418.204</v>
      </c>
      <c r="CY220" s="54">
        <f>SUM(CY218:CY219)</f>
        <v>1444.7760000000001</v>
      </c>
      <c r="CZ220" s="54">
        <f t="shared" ref="CZ220:DC220" si="469">SUM(CZ218:CZ219)</f>
        <v>1444.7760000000001</v>
      </c>
      <c r="DA220" s="54">
        <f t="shared" si="469"/>
        <v>1444.7760000000001</v>
      </c>
      <c r="DB220" s="54">
        <f t="shared" si="469"/>
        <v>1444.7760000000001</v>
      </c>
      <c r="DC220" s="54">
        <f t="shared" si="469"/>
        <v>1444.7760000000001</v>
      </c>
    </row>
    <row r="221" spans="1:107">
      <c r="A221" s="15"/>
      <c r="B221" s="876"/>
      <c r="C221" s="15"/>
      <c r="D221" s="15"/>
      <c r="E221" s="15"/>
      <c r="F221" s="15"/>
      <c r="G221" s="15"/>
      <c r="H221" s="15"/>
      <c r="I221" s="15"/>
      <c r="J221" s="15"/>
      <c r="K221" s="1004"/>
      <c r="L221" s="1004"/>
      <c r="M221" s="1004"/>
      <c r="N221" s="1004"/>
      <c r="O221" s="1004"/>
      <c r="P221" s="1004"/>
      <c r="Q221" s="1004"/>
      <c r="R221" s="1004"/>
      <c r="S221" s="1004"/>
      <c r="T221" s="1004"/>
      <c r="U221" s="1004"/>
      <c r="V221" s="1004"/>
      <c r="W221" s="1004"/>
      <c r="X221" s="1004"/>
      <c r="Y221" s="1004"/>
      <c r="Z221" s="1004"/>
      <c r="AA221" s="1004"/>
      <c r="AB221" s="1004"/>
      <c r="AC221" s="1004"/>
      <c r="AD221" s="1004"/>
      <c r="AE221" s="15"/>
      <c r="AF221" s="1004"/>
      <c r="AG221" s="1004"/>
      <c r="AH221" s="1004"/>
      <c r="AI221" s="1004"/>
      <c r="AJ221" s="1004"/>
      <c r="AK221" s="1004"/>
      <c r="AL221" s="1004"/>
      <c r="AM221" s="1004"/>
      <c r="AN221" s="1004"/>
      <c r="AO221" s="1004"/>
      <c r="AP221" s="1004"/>
      <c r="AQ221" s="1004"/>
      <c r="AR221" s="1004"/>
      <c r="AS221" s="1004"/>
      <c r="AT221" s="1004"/>
      <c r="AU221" s="1004"/>
      <c r="AV221" s="1004"/>
      <c r="AW221" s="1004"/>
      <c r="AX221" s="1004"/>
      <c r="AY221" s="1004"/>
      <c r="AZ221" s="1004"/>
      <c r="BA221" s="1004"/>
      <c r="BB221" s="1004"/>
      <c r="BC221" s="1004"/>
      <c r="BD221" s="1004"/>
      <c r="BE221" s="1004"/>
      <c r="BF221" s="1004"/>
      <c r="BG221" s="1004"/>
      <c r="BH221" s="1004"/>
      <c r="BI221" s="1004"/>
      <c r="BJ221" s="1004"/>
      <c r="BK221" s="1004"/>
      <c r="BL221" s="1004"/>
      <c r="BM221" s="1004"/>
      <c r="BN221" s="1004"/>
      <c r="BO221" s="1004"/>
      <c r="BP221" s="1004"/>
      <c r="BQ221" s="1004"/>
      <c r="BR221" s="1004"/>
      <c r="BS221" s="1004"/>
      <c r="BT221" s="1004"/>
      <c r="BU221" s="1004"/>
      <c r="BV221" s="1004"/>
      <c r="BW221" s="1004"/>
      <c r="BX221" s="1004"/>
      <c r="BY221" s="1004"/>
      <c r="BZ221" s="1004"/>
      <c r="CA221" s="1004"/>
      <c r="CB221" s="1004"/>
      <c r="CC221" s="1004"/>
      <c r="CD221" s="1004"/>
      <c r="CE221" s="1004"/>
      <c r="CF221" s="1004"/>
      <c r="CG221" s="1004"/>
      <c r="CH221" s="1004"/>
      <c r="CI221" s="1004"/>
      <c r="CJ221" s="1004"/>
      <c r="CK221" s="1004"/>
      <c r="CL221" s="1004"/>
      <c r="CM221" s="1004"/>
      <c r="CN221" s="1004"/>
      <c r="CO221" s="1004"/>
      <c r="CP221" s="1004"/>
      <c r="CQ221" s="1004"/>
      <c r="CR221" s="1004"/>
      <c r="CS221" s="1004"/>
      <c r="CT221" s="1004"/>
      <c r="CU221" s="1004"/>
      <c r="CV221" s="1004"/>
      <c r="CW221" s="1004"/>
      <c r="CX221" s="1004"/>
      <c r="CY221" s="1004"/>
      <c r="CZ221" s="1004"/>
      <c r="DA221" s="1004"/>
      <c r="DB221" s="1004"/>
      <c r="DC221" s="1004"/>
    </row>
    <row r="222" spans="1:107">
      <c r="A222" s="1163"/>
      <c r="B222" s="89" t="s">
        <v>2473</v>
      </c>
      <c r="C222" s="132"/>
      <c r="D222" s="132"/>
      <c r="E222" s="132"/>
      <c r="F222" s="132"/>
      <c r="G222" s="132"/>
      <c r="H222" s="132"/>
      <c r="I222" s="132"/>
      <c r="J222" s="132"/>
      <c r="K222" s="132"/>
      <c r="L222" s="132"/>
      <c r="M222" s="132"/>
      <c r="N222" s="132"/>
      <c r="O222" s="132"/>
      <c r="P222" s="132"/>
      <c r="Q222" s="132"/>
      <c r="R222" s="132"/>
      <c r="S222" s="132"/>
      <c r="T222" s="132"/>
      <c r="U222" s="132"/>
      <c r="V222" s="132"/>
      <c r="W222" s="132"/>
      <c r="X222" s="132"/>
      <c r="Y222" s="132"/>
      <c r="Z222" s="132"/>
      <c r="AA222" s="132"/>
      <c r="AB222" s="132"/>
      <c r="AC222" s="132"/>
      <c r="AD222" s="132"/>
      <c r="AE222" s="15"/>
      <c r="AF222" s="132"/>
      <c r="AG222" s="132"/>
      <c r="AH222" s="132"/>
      <c r="AI222" s="132"/>
      <c r="AJ222" s="132"/>
      <c r="AK222" s="132"/>
      <c r="AL222" s="132"/>
      <c r="AM222" s="132"/>
      <c r="AN222" s="132"/>
      <c r="AO222" s="132"/>
      <c r="AP222" s="132"/>
      <c r="AQ222" s="132"/>
      <c r="AR222" s="132"/>
      <c r="AS222" s="132"/>
      <c r="AT222" s="132"/>
      <c r="AU222" s="132"/>
      <c r="AV222" s="132"/>
      <c r="AW222" s="132"/>
      <c r="AX222" s="132"/>
      <c r="AY222" s="132"/>
      <c r="AZ222" s="132"/>
      <c r="BA222" s="132"/>
      <c r="BB222" s="132"/>
      <c r="BC222" s="132"/>
      <c r="BD222" s="132"/>
      <c r="BE222" s="132"/>
      <c r="BF222" s="132"/>
      <c r="BG222" s="132"/>
      <c r="BH222" s="132"/>
      <c r="BI222" s="132"/>
      <c r="BJ222" s="132"/>
      <c r="BK222" s="132"/>
      <c r="BL222" s="132"/>
      <c r="BM222" s="132"/>
      <c r="BN222" s="132"/>
      <c r="BO222" s="132"/>
      <c r="BP222" s="132"/>
      <c r="BQ222" s="132"/>
      <c r="BR222" s="132"/>
      <c r="BS222" s="132"/>
      <c r="BT222" s="132"/>
      <c r="BU222" s="132"/>
      <c r="BV222" s="132"/>
      <c r="BW222" s="132"/>
      <c r="BX222" s="132"/>
      <c r="BY222" s="132"/>
      <c r="BZ222" s="132"/>
      <c r="CA222" s="132"/>
      <c r="CB222" s="132"/>
      <c r="CC222" s="132"/>
      <c r="CD222" s="132"/>
      <c r="CE222" s="132"/>
      <c r="CF222" s="132"/>
      <c r="CG222" s="132"/>
      <c r="CH222" s="132"/>
      <c r="CI222" s="132"/>
      <c r="CJ222" s="132"/>
      <c r="CK222" s="132"/>
      <c r="CL222" s="132"/>
      <c r="CM222" s="132"/>
      <c r="CN222" s="132"/>
      <c r="CO222" s="132"/>
      <c r="CP222" s="132"/>
      <c r="CQ222" s="132"/>
      <c r="CR222" s="132"/>
      <c r="CS222" s="132"/>
      <c r="CT222" s="132"/>
      <c r="CU222" s="132"/>
      <c r="CV222" s="132"/>
      <c r="CW222" s="132"/>
      <c r="CX222" s="132"/>
      <c r="CY222" s="132"/>
      <c r="CZ222" s="132"/>
      <c r="DA222" s="132"/>
      <c r="DB222" s="132"/>
      <c r="DC222" s="132"/>
    </row>
    <row r="223" spans="1:107">
      <c r="A223" s="1163"/>
      <c r="B223" s="876" t="s">
        <v>1118</v>
      </c>
      <c r="C223" s="15"/>
      <c r="D223" s="15"/>
      <c r="E223" s="15"/>
      <c r="F223" s="15"/>
      <c r="G223" s="15"/>
      <c r="H223" s="15"/>
      <c r="I223" s="15"/>
      <c r="J223" s="26"/>
      <c r="K223" s="54"/>
      <c r="L223" s="26"/>
      <c r="M223" s="26"/>
      <c r="N223" s="26"/>
      <c r="O223" s="26"/>
      <c r="P223" s="26"/>
      <c r="Q223" s="26"/>
      <c r="R223" s="26"/>
      <c r="S223" s="26"/>
      <c r="T223" s="26">
        <f t="shared" ref="T223:Z223" si="470">S225</f>
        <v>0</v>
      </c>
      <c r="U223" s="26">
        <f t="shared" si="470"/>
        <v>0</v>
      </c>
      <c r="V223" s="26">
        <f t="shared" si="470"/>
        <v>254.18499999999997</v>
      </c>
      <c r="W223" s="26">
        <f t="shared" si="470"/>
        <v>254.18499999999997</v>
      </c>
      <c r="X223" s="26">
        <f t="shared" si="470"/>
        <v>254.18499999999997</v>
      </c>
      <c r="Y223" s="26">
        <f t="shared" si="470"/>
        <v>254.18499999999997</v>
      </c>
      <c r="Z223" s="26">
        <f t="shared" si="470"/>
        <v>254.18499999999997</v>
      </c>
      <c r="AA223" s="26">
        <f t="shared" ref="AA223" si="471">Z225</f>
        <v>254.18499999999997</v>
      </c>
      <c r="AB223" s="26">
        <f t="shared" ref="AB223" si="472">AA225</f>
        <v>254.18499999999997</v>
      </c>
      <c r="AC223" s="26">
        <f t="shared" ref="AC223" si="473">AB225</f>
        <v>254.18499999999997</v>
      </c>
      <c r="AD223" s="26">
        <f t="shared" ref="AD223" si="474">AC225</f>
        <v>254.18499999999997</v>
      </c>
      <c r="AE223" s="15"/>
      <c r="AF223" s="26"/>
      <c r="AG223" s="26"/>
      <c r="AH223" s="26"/>
      <c r="AI223" s="26"/>
      <c r="AJ223" s="26"/>
      <c r="AK223" s="26"/>
      <c r="AL223" s="26"/>
      <c r="AM223" s="26"/>
      <c r="AN223" s="26"/>
      <c r="AO223" s="26"/>
      <c r="AP223" s="26"/>
      <c r="AQ223" s="26"/>
      <c r="AR223" s="26"/>
      <c r="AS223" s="26"/>
      <c r="AT223" s="26"/>
      <c r="AU223" s="26"/>
      <c r="AV223" s="26"/>
      <c r="AW223" s="26"/>
      <c r="AX223" s="26"/>
      <c r="AY223" s="26"/>
      <c r="AZ223" s="26"/>
      <c r="BA223" s="26"/>
      <c r="BB223" s="26"/>
      <c r="BC223" s="26"/>
      <c r="BD223" s="26"/>
      <c r="BE223" s="26"/>
      <c r="BF223" s="26"/>
      <c r="BG223" s="26"/>
      <c r="BH223" s="26"/>
      <c r="BI223" s="26"/>
      <c r="BJ223" s="26"/>
      <c r="BK223" s="26"/>
      <c r="BL223" s="26"/>
      <c r="BM223" s="26"/>
      <c r="BN223" s="26"/>
      <c r="BO223" s="26"/>
      <c r="BP223" s="26"/>
      <c r="BQ223" s="26"/>
      <c r="BR223" s="783"/>
      <c r="BS223" s="783"/>
      <c r="BT223" s="26"/>
      <c r="BU223" s="26"/>
      <c r="BV223" s="26"/>
      <c r="BW223" s="26"/>
      <c r="BX223" s="26"/>
      <c r="BY223" s="26"/>
      <c r="BZ223" s="26"/>
      <c r="CA223" s="26"/>
      <c r="CB223" s="26"/>
      <c r="CC223" s="26"/>
      <c r="CD223" s="26"/>
      <c r="CE223" s="26"/>
      <c r="CF223" s="26"/>
      <c r="CG223" s="26"/>
      <c r="CH223" s="26"/>
      <c r="CI223" s="26"/>
      <c r="CJ223" s="26"/>
      <c r="CK223" s="26"/>
      <c r="CL223" s="26"/>
      <c r="CM223" s="26"/>
      <c r="CN223" s="26"/>
      <c r="CO223" s="26"/>
      <c r="CP223" s="26"/>
      <c r="CQ223" s="26"/>
      <c r="CR223" s="26"/>
      <c r="CS223" s="26">
        <f t="shared" ref="CS223:CY223" si="475">CR225</f>
        <v>254.18499999999997</v>
      </c>
      <c r="CT223" s="26">
        <f t="shared" si="475"/>
        <v>254.18499999999997</v>
      </c>
      <c r="CU223" s="26">
        <f t="shared" si="475"/>
        <v>254.18499999999997</v>
      </c>
      <c r="CV223" s="26">
        <f t="shared" si="475"/>
        <v>254.18499999999997</v>
      </c>
      <c r="CW223" s="26">
        <f t="shared" si="475"/>
        <v>254.18499999999997</v>
      </c>
      <c r="CX223" s="26">
        <f t="shared" si="475"/>
        <v>254.18499999999997</v>
      </c>
      <c r="CY223" s="26">
        <f t="shared" si="475"/>
        <v>254.18499999999997</v>
      </c>
      <c r="CZ223" s="26">
        <f t="shared" ref="CZ223" si="476">CY225</f>
        <v>254.18499999999997</v>
      </c>
      <c r="DA223" s="26">
        <f t="shared" ref="DA223" si="477">CZ225</f>
        <v>254.18499999999997</v>
      </c>
      <c r="DB223" s="26">
        <f t="shared" ref="DB223" si="478">DA225</f>
        <v>254.18499999999997</v>
      </c>
      <c r="DC223" s="26">
        <f t="shared" ref="DC223" si="479">DB225</f>
        <v>254.18499999999997</v>
      </c>
    </row>
    <row r="224" spans="1:107">
      <c r="A224" s="1163"/>
      <c r="B224" s="876" t="s">
        <v>1121</v>
      </c>
      <c r="C224" s="15"/>
      <c r="D224" s="15"/>
      <c r="E224" s="15"/>
      <c r="F224" s="15"/>
      <c r="G224" s="15"/>
      <c r="H224" s="15"/>
      <c r="I224" s="15"/>
      <c r="J224" s="26"/>
      <c r="K224" s="54"/>
      <c r="L224" s="26"/>
      <c r="M224" s="26"/>
      <c r="N224" s="26"/>
      <c r="O224" s="26"/>
      <c r="P224" s="26"/>
      <c r="Q224" s="26"/>
      <c r="R224" s="26"/>
      <c r="S224" s="26"/>
      <c r="T224" s="26">
        <f>T225-T223</f>
        <v>0</v>
      </c>
      <c r="U224" s="26">
        <f>+SUM(CR224:CU224)</f>
        <v>254.18499999999997</v>
      </c>
      <c r="V224" s="26">
        <f>+SUM(CV224:CY224)</f>
        <v>0</v>
      </c>
      <c r="W224" s="26">
        <f>+SUM(CZ224:DC224)</f>
        <v>0</v>
      </c>
      <c r="X224" s="26">
        <v>0</v>
      </c>
      <c r="Y224" s="26">
        <v>0</v>
      </c>
      <c r="Z224" s="26">
        <v>0</v>
      </c>
      <c r="AA224" s="26">
        <v>0</v>
      </c>
      <c r="AB224" s="26">
        <v>0</v>
      </c>
      <c r="AC224" s="26">
        <v>0</v>
      </c>
      <c r="AD224" s="26">
        <v>0</v>
      </c>
      <c r="AE224" s="15"/>
      <c r="AF224" s="15"/>
      <c r="AG224" s="15"/>
      <c r="AH224" s="15"/>
      <c r="AI224" s="15"/>
      <c r="AJ224" s="15"/>
      <c r="AK224" s="15"/>
      <c r="AL224" s="15"/>
      <c r="AM224" s="15"/>
      <c r="AN224" s="15"/>
      <c r="AO224" s="15"/>
      <c r="AP224" s="15"/>
      <c r="AQ224" s="15"/>
      <c r="AR224" s="15"/>
      <c r="AS224" s="15"/>
      <c r="AT224" s="15"/>
      <c r="AU224" s="15"/>
      <c r="AV224" s="15"/>
      <c r="AW224" s="15"/>
      <c r="AX224" s="15"/>
      <c r="AY224" s="15"/>
      <c r="AZ224" s="15"/>
      <c r="BA224" s="15"/>
      <c r="BB224" s="15"/>
      <c r="BC224" s="15"/>
      <c r="BD224" s="15"/>
      <c r="BE224" s="15"/>
      <c r="BF224" s="15"/>
      <c r="BG224" s="15"/>
      <c r="BH224" s="15"/>
      <c r="BI224" s="15"/>
      <c r="BJ224" s="15"/>
      <c r="BK224" s="15"/>
      <c r="BL224" s="26"/>
      <c r="BM224" s="26"/>
      <c r="BN224" s="26"/>
      <c r="BO224" s="26"/>
      <c r="BP224" s="26"/>
      <c r="BQ224" s="26"/>
      <c r="BR224" s="783"/>
      <c r="BS224" s="783"/>
      <c r="BT224" s="26"/>
      <c r="BU224" s="398"/>
      <c r="BV224" s="398"/>
      <c r="BW224" s="398"/>
      <c r="BX224" s="398"/>
      <c r="BY224" s="26"/>
      <c r="BZ224" s="26"/>
      <c r="CA224" s="26"/>
      <c r="CB224" s="26"/>
      <c r="CC224" s="26"/>
      <c r="CD224" s="26"/>
      <c r="CE224" s="26"/>
      <c r="CF224" s="398"/>
      <c r="CG224" s="26"/>
      <c r="CH224" s="26"/>
      <c r="CI224" s="26"/>
      <c r="CJ224" s="26"/>
      <c r="CK224" s="26"/>
      <c r="CL224" s="26"/>
      <c r="CM224" s="398"/>
      <c r="CN224" s="26"/>
      <c r="CO224" s="26"/>
      <c r="CP224" s="398"/>
      <c r="CQ224" s="398"/>
      <c r="CR224" s="2305">
        <f>+BS!CR145-BS!CR151</f>
        <v>254.18499999999997</v>
      </c>
      <c r="CS224" s="26">
        <v>0</v>
      </c>
      <c r="CT224" s="2305">
        <f>+BS!CT145-BS!CT151</f>
        <v>0</v>
      </c>
      <c r="CU224" s="2305">
        <f>+BS!CU145-BS!CU151</f>
        <v>0</v>
      </c>
      <c r="CV224" s="26">
        <v>0</v>
      </c>
      <c r="CW224" s="26">
        <v>0</v>
      </c>
      <c r="CX224" s="26">
        <v>0</v>
      </c>
      <c r="CY224" s="26">
        <v>0</v>
      </c>
      <c r="CZ224" s="26">
        <v>0</v>
      </c>
      <c r="DA224" s="26">
        <v>0</v>
      </c>
      <c r="DB224" s="26">
        <v>0</v>
      </c>
      <c r="DC224" s="26">
        <v>0</v>
      </c>
    </row>
    <row r="225" spans="1:107">
      <c r="A225" s="1163"/>
      <c r="B225" s="876" t="s">
        <v>261</v>
      </c>
      <c r="C225" s="15"/>
      <c r="D225" s="15"/>
      <c r="E225" s="15"/>
      <c r="F225" s="15"/>
      <c r="G225" s="15"/>
      <c r="H225" s="15"/>
      <c r="I225" s="15"/>
      <c r="J225" s="26"/>
      <c r="K225" s="54"/>
      <c r="L225" s="26"/>
      <c r="M225" s="26"/>
      <c r="N225" s="26"/>
      <c r="O225" s="26"/>
      <c r="P225" s="26"/>
      <c r="Q225" s="26"/>
      <c r="R225" s="26"/>
      <c r="S225" s="26"/>
      <c r="T225" s="26">
        <f>CQ225</f>
        <v>0</v>
      </c>
      <c r="U225" s="26">
        <f t="shared" ref="U225:Z225" si="480">SUM(U223:U224)</f>
        <v>254.18499999999997</v>
      </c>
      <c r="V225" s="26">
        <f>SUM(V223:V224)</f>
        <v>254.18499999999997</v>
      </c>
      <c r="W225" s="26">
        <f>SUM(W223:W224)</f>
        <v>254.18499999999997</v>
      </c>
      <c r="X225" s="26">
        <f t="shared" si="480"/>
        <v>254.18499999999997</v>
      </c>
      <c r="Y225" s="26">
        <f t="shared" si="480"/>
        <v>254.18499999999997</v>
      </c>
      <c r="Z225" s="26">
        <f t="shared" si="480"/>
        <v>254.18499999999997</v>
      </c>
      <c r="AA225" s="26">
        <f t="shared" ref="AA225:AD225" si="481">SUM(AA223:AA224)</f>
        <v>254.18499999999997</v>
      </c>
      <c r="AB225" s="26">
        <f t="shared" si="481"/>
        <v>254.18499999999997</v>
      </c>
      <c r="AC225" s="26">
        <f t="shared" si="481"/>
        <v>254.18499999999997</v>
      </c>
      <c r="AD225" s="26">
        <f t="shared" si="481"/>
        <v>254.18499999999997</v>
      </c>
      <c r="AE225" s="15"/>
      <c r="AF225" s="15"/>
      <c r="AG225" s="15"/>
      <c r="AH225" s="15"/>
      <c r="AI225" s="15"/>
      <c r="AJ225" s="15"/>
      <c r="AK225" s="15"/>
      <c r="AL225" s="15"/>
      <c r="AM225" s="15"/>
      <c r="AN225" s="15"/>
      <c r="AO225" s="15"/>
      <c r="AP225" s="15"/>
      <c r="AQ225" s="15"/>
      <c r="AR225" s="15"/>
      <c r="AS225" s="15"/>
      <c r="AT225" s="15"/>
      <c r="AU225" s="15"/>
      <c r="AV225" s="15"/>
      <c r="AW225" s="15"/>
      <c r="AX225" s="15"/>
      <c r="AY225" s="15"/>
      <c r="AZ225" s="15"/>
      <c r="BA225" s="15"/>
      <c r="BB225" s="15"/>
      <c r="BC225" s="15"/>
      <c r="BD225" s="15"/>
      <c r="BE225" s="15"/>
      <c r="BF225" s="15"/>
      <c r="BG225" s="15"/>
      <c r="BH225" s="15"/>
      <c r="BI225" s="15"/>
      <c r="BJ225" s="15"/>
      <c r="BK225" s="15"/>
      <c r="BL225" s="26"/>
      <c r="BM225" s="26"/>
      <c r="BN225" s="26"/>
      <c r="BO225" s="26"/>
      <c r="BP225" s="26"/>
      <c r="BQ225" s="26"/>
      <c r="BR225" s="783"/>
      <c r="BS225" s="783"/>
      <c r="BT225" s="814"/>
      <c r="BU225" s="26"/>
      <c r="BV225" s="26"/>
      <c r="BW225" s="26"/>
      <c r="BX225" s="26"/>
      <c r="BY225" s="26"/>
      <c r="BZ225" s="814"/>
      <c r="CA225" s="814"/>
      <c r="CB225" s="814"/>
      <c r="CC225" s="26"/>
      <c r="CD225" s="26"/>
      <c r="CE225" s="26"/>
      <c r="CF225" s="26"/>
      <c r="CG225" s="26"/>
      <c r="CH225" s="26"/>
      <c r="CI225" s="26"/>
      <c r="CJ225" s="26"/>
      <c r="CK225" s="26"/>
      <c r="CL225" s="26"/>
      <c r="CM225" s="26"/>
      <c r="CN225" s="26"/>
      <c r="CO225" s="26"/>
      <c r="CP225" s="2122"/>
      <c r="CQ225" s="2122"/>
      <c r="CR225" s="26">
        <f t="shared" ref="CR225:CY225" si="482">SUM(CR223:CR224)</f>
        <v>254.18499999999997</v>
      </c>
      <c r="CS225" s="26">
        <f t="shared" si="482"/>
        <v>254.18499999999997</v>
      </c>
      <c r="CT225" s="26">
        <f t="shared" si="482"/>
        <v>254.18499999999997</v>
      </c>
      <c r="CU225" s="26">
        <f>SUM(CU223:CU224)</f>
        <v>254.18499999999997</v>
      </c>
      <c r="CV225" s="26">
        <f t="shared" si="482"/>
        <v>254.18499999999997</v>
      </c>
      <c r="CW225" s="26">
        <f t="shared" si="482"/>
        <v>254.18499999999997</v>
      </c>
      <c r="CX225" s="26">
        <f t="shared" si="482"/>
        <v>254.18499999999997</v>
      </c>
      <c r="CY225" s="26">
        <f t="shared" si="482"/>
        <v>254.18499999999997</v>
      </c>
      <c r="CZ225" s="26">
        <f t="shared" ref="CZ225:DC225" si="483">SUM(CZ223:CZ224)</f>
        <v>254.18499999999997</v>
      </c>
      <c r="DA225" s="26">
        <f t="shared" si="483"/>
        <v>254.18499999999997</v>
      </c>
      <c r="DB225" s="26">
        <f t="shared" si="483"/>
        <v>254.18499999999997</v>
      </c>
      <c r="DC225" s="26">
        <f t="shared" si="483"/>
        <v>254.18499999999997</v>
      </c>
    </row>
    <row r="226" spans="1:107">
      <c r="A226" s="15"/>
      <c r="B226" s="876"/>
      <c r="C226" s="15"/>
      <c r="D226" s="15"/>
      <c r="E226" s="15"/>
      <c r="F226" s="15"/>
      <c r="G226" s="15"/>
      <c r="H226" s="15"/>
      <c r="I226" s="15"/>
      <c r="J226" s="15"/>
      <c r="K226" s="783"/>
      <c r="L226" s="1004"/>
      <c r="M226" s="1004"/>
      <c r="N226" s="1004"/>
      <c r="O226" s="1004"/>
      <c r="P226" s="1004"/>
      <c r="Q226" s="1004"/>
      <c r="R226" s="1004"/>
      <c r="S226" s="1004"/>
      <c r="T226" s="1004"/>
      <c r="U226" s="1004"/>
      <c r="V226" s="1004"/>
      <c r="W226" s="1004"/>
      <c r="X226" s="1004"/>
      <c r="Y226" s="1004"/>
      <c r="Z226" s="1004"/>
      <c r="AA226" s="1004"/>
      <c r="AB226" s="1004"/>
      <c r="AC226" s="1004"/>
      <c r="AD226" s="1004"/>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980"/>
      <c r="BD226" s="1004"/>
      <c r="BE226" s="1004"/>
      <c r="BF226" s="1004"/>
      <c r="BG226" s="1004"/>
      <c r="BH226" s="1004"/>
      <c r="BI226" s="1004"/>
      <c r="BJ226" s="1004"/>
      <c r="BK226" s="1004"/>
      <c r="BL226" s="1004"/>
      <c r="BM226" s="1004"/>
      <c r="BN226" s="1004"/>
      <c r="BO226" s="1004"/>
      <c r="BP226" s="1004"/>
      <c r="BQ226" s="1004"/>
      <c r="BR226" s="1004"/>
      <c r="BS226" s="1010"/>
      <c r="BT226" s="398"/>
      <c r="BU226" s="398"/>
      <c r="BV226" s="398"/>
      <c r="BW226" s="398"/>
      <c r="BX226" s="1004"/>
      <c r="BY226" s="1004"/>
      <c r="BZ226" s="1004"/>
      <c r="CA226" s="1004"/>
      <c r="CB226" s="1004"/>
      <c r="CC226" s="1004"/>
      <c r="CD226" s="1004"/>
      <c r="CE226" s="1004"/>
      <c r="CF226" s="1004"/>
      <c r="CG226" s="1004"/>
      <c r="CH226" s="1004"/>
      <c r="CI226" s="1004"/>
      <c r="CJ226" s="1004"/>
      <c r="CK226" s="1004"/>
      <c r="CL226" s="1004"/>
      <c r="CM226" s="1004"/>
      <c r="CN226" s="1004"/>
      <c r="CO226" s="1004"/>
      <c r="CP226" s="1004"/>
      <c r="CQ226" s="1004"/>
      <c r="CR226" s="1004"/>
      <c r="CS226" s="1004"/>
      <c r="CT226" s="1004"/>
      <c r="CU226" s="1004"/>
      <c r="CV226" s="1004"/>
      <c r="CW226" s="1004"/>
      <c r="CX226" s="1004"/>
      <c r="CY226" s="1004"/>
      <c r="CZ226" s="1004"/>
      <c r="DA226" s="1004"/>
      <c r="DB226" s="1004"/>
      <c r="DC226" s="1004"/>
    </row>
    <row r="227" spans="1:107" hidden="1" outlineLevel="1">
      <c r="A227" s="2195"/>
      <c r="B227" s="132" t="s">
        <v>247</v>
      </c>
      <c r="C227" s="132"/>
      <c r="D227" s="132"/>
      <c r="E227" s="132"/>
      <c r="F227" s="132"/>
      <c r="G227" s="132"/>
      <c r="H227" s="132"/>
      <c r="I227" s="132"/>
      <c r="J227" s="132"/>
      <c r="K227" s="132"/>
      <c r="L227" s="132"/>
      <c r="M227" s="132"/>
      <c r="N227" s="87"/>
      <c r="O227" s="87"/>
      <c r="P227" s="87"/>
      <c r="Q227" s="87">
        <f>CE227</f>
        <v>373.73</v>
      </c>
      <c r="R227" s="87">
        <f>CI227</f>
        <v>373.72400000000005</v>
      </c>
      <c r="S227" s="87">
        <f>CM227</f>
        <v>157.88499999999999</v>
      </c>
      <c r="T227" s="87">
        <f>CQ227</f>
        <v>150.08199999999999</v>
      </c>
      <c r="U227" s="87">
        <f>CU227</f>
        <v>0</v>
      </c>
      <c r="V227" s="87">
        <f>CY227</f>
        <v>0</v>
      </c>
      <c r="W227" s="87">
        <f>CZ227</f>
        <v>0</v>
      </c>
      <c r="X227" s="87">
        <f>+W227</f>
        <v>0</v>
      </c>
      <c r="Y227" s="87">
        <f>+X227</f>
        <v>0</v>
      </c>
      <c r="Z227" s="87">
        <f>+Y227</f>
        <v>0</v>
      </c>
      <c r="AA227" s="87">
        <f t="shared" ref="AA227:AD227" si="484">+Z227</f>
        <v>0</v>
      </c>
      <c r="AB227" s="87">
        <f t="shared" si="484"/>
        <v>0</v>
      </c>
      <c r="AC227" s="87">
        <f t="shared" si="484"/>
        <v>0</v>
      </c>
      <c r="AD227" s="87">
        <f t="shared" si="484"/>
        <v>0</v>
      </c>
      <c r="AE227" s="15"/>
      <c r="AF227" s="132"/>
      <c r="AG227" s="132"/>
      <c r="AH227" s="132"/>
      <c r="AI227" s="132"/>
      <c r="AJ227" s="132"/>
      <c r="AK227" s="132"/>
      <c r="AL227" s="132"/>
      <c r="AM227" s="132"/>
      <c r="AN227" s="132"/>
      <c r="AO227" s="132"/>
      <c r="AP227" s="132"/>
      <c r="AQ227" s="132"/>
      <c r="AR227" s="132"/>
      <c r="AS227" s="132"/>
      <c r="AT227" s="132"/>
      <c r="AU227" s="132"/>
      <c r="AV227" s="132"/>
      <c r="AW227" s="132"/>
      <c r="AX227" s="132"/>
      <c r="AY227" s="132"/>
      <c r="AZ227" s="132"/>
      <c r="BA227" s="132"/>
      <c r="BB227" s="132"/>
      <c r="BC227" s="132"/>
      <c r="BD227" s="132"/>
      <c r="BE227" s="132"/>
      <c r="BF227" s="132"/>
      <c r="BG227" s="132"/>
      <c r="BH227" s="132"/>
      <c r="BI227" s="132"/>
      <c r="BJ227" s="132"/>
      <c r="BK227" s="132"/>
      <c r="BL227" s="132"/>
      <c r="BM227" s="132"/>
      <c r="BN227" s="132"/>
      <c r="BO227" s="132"/>
      <c r="BP227" s="132"/>
      <c r="BQ227" s="397">
        <v>373.75</v>
      </c>
      <c r="BR227" s="397">
        <v>373.75</v>
      </c>
      <c r="BS227" s="397">
        <v>373.75</v>
      </c>
      <c r="BT227" s="397">
        <v>373.75</v>
      </c>
      <c r="BU227" s="397">
        <v>373.75</v>
      </c>
      <c r="BV227" s="397">
        <v>373.75</v>
      </c>
      <c r="BW227" s="397">
        <v>373.75</v>
      </c>
      <c r="BX227" s="397">
        <v>373.75</v>
      </c>
      <c r="BY227" s="397">
        <v>373.75</v>
      </c>
      <c r="BZ227" s="397">
        <v>373.75</v>
      </c>
      <c r="CA227" s="397">
        <v>373.75</v>
      </c>
      <c r="CB227" s="397">
        <v>373.75</v>
      </c>
      <c r="CC227" s="397">
        <v>373.75</v>
      </c>
      <c r="CD227" s="397">
        <v>373.73</v>
      </c>
      <c r="CE227" s="397">
        <v>373.73</v>
      </c>
      <c r="CF227" s="1650">
        <v>373.72699999999998</v>
      </c>
      <c r="CG227" s="1650">
        <f>769.712-CG32</f>
        <v>373.726</v>
      </c>
      <c r="CH227" s="1650">
        <f>769.71-CH32</f>
        <v>373.72400000000005</v>
      </c>
      <c r="CI227" s="1650">
        <f>769.71-CI32</f>
        <v>373.72400000000005</v>
      </c>
      <c r="CJ227" s="1650">
        <f>769.709-CJ32</f>
        <v>373.72299999999996</v>
      </c>
      <c r="CK227" s="1650">
        <f>336.676-CK32</f>
        <v>157.88900000000001</v>
      </c>
      <c r="CL227" s="1650">
        <f>336.662-CL32</f>
        <v>157.875</v>
      </c>
      <c r="CM227" s="1650">
        <f>157.885-CM32</f>
        <v>157.88499999999999</v>
      </c>
      <c r="CN227" s="1650">
        <v>157.88499999999999</v>
      </c>
      <c r="CO227" s="1650">
        <v>157.88499999999999</v>
      </c>
      <c r="CP227" s="1650">
        <v>157.88499999999999</v>
      </c>
      <c r="CQ227" s="1650">
        <v>150.08199999999999</v>
      </c>
      <c r="CR227" s="1650">
        <v>150.08199999999999</v>
      </c>
      <c r="CS227" s="1650">
        <v>0</v>
      </c>
      <c r="CT227" s="395">
        <f t="shared" ref="CT227:CY227" si="485">+CS227+CT229</f>
        <v>0</v>
      </c>
      <c r="CU227" s="395">
        <f t="shared" si="485"/>
        <v>0</v>
      </c>
      <c r="CV227" s="395">
        <f t="shared" si="485"/>
        <v>0</v>
      </c>
      <c r="CW227" s="395">
        <f t="shared" si="485"/>
        <v>0</v>
      </c>
      <c r="CX227" s="395">
        <f t="shared" si="485"/>
        <v>0</v>
      </c>
      <c r="CY227" s="395">
        <f t="shared" si="485"/>
        <v>0</v>
      </c>
      <c r="CZ227" s="395">
        <f t="shared" ref="CZ227" si="486">+CY227+CZ229</f>
        <v>0</v>
      </c>
      <c r="DA227" s="395">
        <f t="shared" ref="DA227" si="487">+CZ227+DA229</f>
        <v>0</v>
      </c>
      <c r="DB227" s="395">
        <f t="shared" ref="DB227" si="488">+DA227+DB229</f>
        <v>0</v>
      </c>
      <c r="DC227" s="395">
        <f t="shared" ref="DC227" si="489">+DB227+DC229</f>
        <v>0</v>
      </c>
    </row>
    <row r="228" spans="1:107" hidden="1" outlineLevel="1">
      <c r="A228" s="2195"/>
      <c r="B228" s="876" t="s">
        <v>1118</v>
      </c>
      <c r="C228" s="15"/>
      <c r="D228" s="15"/>
      <c r="E228" s="15"/>
      <c r="F228" s="15"/>
      <c r="G228" s="15"/>
      <c r="H228" s="15"/>
      <c r="I228" s="15"/>
      <c r="J228" s="15"/>
      <c r="K228" s="26"/>
      <c r="L228" s="26"/>
      <c r="M228" s="26"/>
      <c r="N228" s="26"/>
      <c r="O228" s="26"/>
      <c r="P228" s="26"/>
      <c r="Q228" s="26">
        <f ca="1">+CA230</f>
        <v>300.30375712402287</v>
      </c>
      <c r="R228" s="26">
        <f t="shared" ref="R228:Z228" si="490">Q230</f>
        <v>312.74</v>
      </c>
      <c r="S228" s="26">
        <f t="shared" si="490"/>
        <v>328.21600000000007</v>
      </c>
      <c r="T228" s="26">
        <f t="shared" si="490"/>
        <v>145.85299999999998</v>
      </c>
      <c r="U228" s="26">
        <f t="shared" si="490"/>
        <v>146.12099999999998</v>
      </c>
      <c r="V228" s="26">
        <f t="shared" si="490"/>
        <v>0</v>
      </c>
      <c r="W228" s="26">
        <f t="shared" si="490"/>
        <v>0</v>
      </c>
      <c r="X228" s="26">
        <f t="shared" si="490"/>
        <v>0</v>
      </c>
      <c r="Y228" s="26">
        <f t="shared" si="490"/>
        <v>0</v>
      </c>
      <c r="Z228" s="26">
        <f t="shared" si="490"/>
        <v>0</v>
      </c>
      <c r="AA228" s="26">
        <f t="shared" ref="AA228" si="491">Z230</f>
        <v>0</v>
      </c>
      <c r="AB228" s="26">
        <f t="shared" ref="AB228" si="492">AA230</f>
        <v>0</v>
      </c>
      <c r="AC228" s="26">
        <f t="shared" ref="AC228" si="493">AB230</f>
        <v>0</v>
      </c>
      <c r="AD228" s="26">
        <f t="shared" ref="AD228" si="494">AC230</f>
        <v>0</v>
      </c>
      <c r="AE228" s="15"/>
      <c r="AF228" s="26"/>
      <c r="AG228" s="26"/>
      <c r="AH228" s="26"/>
      <c r="AI228" s="26"/>
      <c r="AJ228" s="26"/>
      <c r="AK228" s="26"/>
      <c r="AL228" s="26"/>
      <c r="AM228" s="26"/>
      <c r="AN228" s="26"/>
      <c r="AO228" s="26"/>
      <c r="AP228" s="26"/>
      <c r="AQ228" s="26"/>
      <c r="AR228" s="26"/>
      <c r="AS228" s="26"/>
      <c r="AT228" s="26"/>
      <c r="AU228" s="26"/>
      <c r="AV228" s="26"/>
      <c r="AW228" s="26"/>
      <c r="AX228" s="26"/>
      <c r="AY228" s="26"/>
      <c r="AZ228" s="26"/>
      <c r="BA228" s="26"/>
      <c r="BB228" s="26"/>
      <c r="BC228" s="26"/>
      <c r="BD228" s="26"/>
      <c r="BE228" s="26"/>
      <c r="BF228" s="26"/>
      <c r="BG228" s="26"/>
      <c r="BH228" s="26"/>
      <c r="BI228" s="26"/>
      <c r="BJ228" s="26"/>
      <c r="BK228" s="26"/>
      <c r="BL228" s="26"/>
      <c r="BM228" s="26"/>
      <c r="BN228" s="26"/>
      <c r="BO228" s="26"/>
      <c r="BP228" s="26"/>
      <c r="BQ228" s="1009">
        <v>373.75</v>
      </c>
      <c r="BR228" s="26">
        <f t="shared" ref="BR228:CU228" si="495">BQ230</f>
        <v>269.51</v>
      </c>
      <c r="BS228" s="26">
        <f t="shared" si="495"/>
        <v>272.13099999999997</v>
      </c>
      <c r="BT228" s="26">
        <f t="shared" si="495"/>
        <v>274.77699999999999</v>
      </c>
      <c r="BU228" s="26">
        <f t="shared" si="495"/>
        <v>277.54000000000002</v>
      </c>
      <c r="BV228" s="26">
        <f t="shared" si="495"/>
        <v>280.32600000000002</v>
      </c>
      <c r="BW228" s="26">
        <f t="shared" si="495"/>
        <v>283.233</v>
      </c>
      <c r="BX228" s="26">
        <f t="shared" si="495"/>
        <v>286.166</v>
      </c>
      <c r="BY228" s="26">
        <f t="shared" ca="1" si="495"/>
        <v>289.55755915450118</v>
      </c>
      <c r="BZ228" s="26">
        <f t="shared" ca="1" si="495"/>
        <v>293.04264062145421</v>
      </c>
      <c r="CA228" s="26">
        <f t="shared" ca="1" si="495"/>
        <v>296.62382328052104</v>
      </c>
      <c r="CB228" s="26">
        <f t="shared" ca="1" si="495"/>
        <v>300.30375712402287</v>
      </c>
      <c r="CC228" s="26">
        <f t="shared" ca="1" si="495"/>
        <v>304.0851652178726</v>
      </c>
      <c r="CD228" s="26">
        <f t="shared" si="495"/>
        <v>305.59199999999998</v>
      </c>
      <c r="CE228" s="26">
        <f t="shared" si="495"/>
        <v>309.14100000000002</v>
      </c>
      <c r="CF228" s="26">
        <f t="shared" si="495"/>
        <v>312.74</v>
      </c>
      <c r="CG228" s="26">
        <f t="shared" si="495"/>
        <v>255.505</v>
      </c>
      <c r="CH228" s="26">
        <f t="shared" si="495"/>
        <v>320.279</v>
      </c>
      <c r="CI228" s="26">
        <f t="shared" si="495"/>
        <v>324.22900000000004</v>
      </c>
      <c r="CJ228" s="26">
        <f t="shared" si="495"/>
        <v>328.21600000000007</v>
      </c>
      <c r="CK228" s="26">
        <f t="shared" si="495"/>
        <v>332.37499999999994</v>
      </c>
      <c r="CL228" s="26">
        <f t="shared" si="495"/>
        <v>142.12700000000001</v>
      </c>
      <c r="CM228" s="26">
        <f t="shared" si="495"/>
        <v>143.97</v>
      </c>
      <c r="CN228" s="26">
        <f t="shared" si="495"/>
        <v>145.85299999999998</v>
      </c>
      <c r="CO228" s="26">
        <f t="shared" si="495"/>
        <v>147.80799999999999</v>
      </c>
      <c r="CP228" s="26">
        <f t="shared" si="495"/>
        <v>149.78</v>
      </c>
      <c r="CQ228" s="26">
        <f t="shared" si="495"/>
        <v>151.535</v>
      </c>
      <c r="CR228" s="26">
        <f t="shared" si="495"/>
        <v>146.12099999999998</v>
      </c>
      <c r="CS228" s="26">
        <f t="shared" si="495"/>
        <v>148.28199999999998</v>
      </c>
      <c r="CT228" s="26">
        <f t="shared" si="495"/>
        <v>0</v>
      </c>
      <c r="CU228" s="26">
        <f t="shared" si="495"/>
        <v>0</v>
      </c>
      <c r="CV228" s="26">
        <f>CU230</f>
        <v>0</v>
      </c>
      <c r="CW228" s="26">
        <f>CV230</f>
        <v>0</v>
      </c>
      <c r="CX228" s="26">
        <f>CW230</f>
        <v>0</v>
      </c>
      <c r="CY228" s="26">
        <f>CX230</f>
        <v>0</v>
      </c>
      <c r="CZ228" s="26">
        <f t="shared" ref="CZ228:DC228" si="496">CY230</f>
        <v>0</v>
      </c>
      <c r="DA228" s="26">
        <f t="shared" si="496"/>
        <v>0</v>
      </c>
      <c r="DB228" s="26">
        <f t="shared" si="496"/>
        <v>0</v>
      </c>
      <c r="DC228" s="26">
        <f t="shared" si="496"/>
        <v>0</v>
      </c>
    </row>
    <row r="229" spans="1:107" hidden="1" outlineLevel="1">
      <c r="A229" s="2195"/>
      <c r="B229" s="876" t="s">
        <v>1121</v>
      </c>
      <c r="C229" s="15"/>
      <c r="D229" s="15"/>
      <c r="E229" s="15"/>
      <c r="F229" s="15"/>
      <c r="G229" s="15"/>
      <c r="H229" s="15"/>
      <c r="I229" s="15"/>
      <c r="J229" s="15"/>
      <c r="K229" s="1006"/>
      <c r="L229" s="1006"/>
      <c r="M229" s="1006"/>
      <c r="N229" s="26"/>
      <c r="O229" s="26"/>
      <c r="P229" s="26"/>
      <c r="Q229" s="26">
        <f>+Q230-Q227</f>
        <v>-60.990000000000009</v>
      </c>
      <c r="R229" s="26">
        <f>+R230-R227</f>
        <v>-45.507999999999981</v>
      </c>
      <c r="S229" s="26">
        <f>+S230-S227</f>
        <v>-12.032000000000011</v>
      </c>
      <c r="T229" s="26">
        <f>+T230-T227</f>
        <v>-3.9610000000000127</v>
      </c>
      <c r="U229" s="26">
        <f>+SUM(CR229:CU229)</f>
        <v>-150.08200000000002</v>
      </c>
      <c r="V229" s="26">
        <f>+SUM(CV229:CY229)</f>
        <v>0</v>
      </c>
      <c r="W229" s="26">
        <f>+SUM(CW229:CZ229)</f>
        <v>0</v>
      </c>
      <c r="X229" s="26"/>
      <c r="Y229" s="26"/>
      <c r="Z229" s="26"/>
      <c r="AA229" s="26"/>
      <c r="AB229" s="26"/>
      <c r="AC229" s="26"/>
      <c r="AD229" s="26"/>
      <c r="AE229" s="15"/>
      <c r="AF229" s="26"/>
      <c r="AG229" s="26"/>
      <c r="AH229" s="26"/>
      <c r="AI229" s="26"/>
      <c r="AJ229" s="26"/>
      <c r="AK229" s="26"/>
      <c r="AL229" s="26"/>
      <c r="AM229" s="26"/>
      <c r="AN229" s="26"/>
      <c r="AO229" s="26"/>
      <c r="AP229" s="26"/>
      <c r="AQ229" s="26"/>
      <c r="AR229" s="26"/>
      <c r="AS229" s="26"/>
      <c r="AT229" s="26"/>
      <c r="AU229" s="26"/>
      <c r="AV229" s="26"/>
      <c r="AW229" s="26"/>
      <c r="AX229" s="26"/>
      <c r="AY229" s="26"/>
      <c r="AZ229" s="26"/>
      <c r="BA229" s="26"/>
      <c r="BB229" s="26"/>
      <c r="BC229" s="26"/>
      <c r="BD229" s="26"/>
      <c r="BE229" s="26"/>
      <c r="BF229" s="26"/>
      <c r="BG229" s="26"/>
      <c r="BH229" s="26"/>
      <c r="BI229" s="26"/>
      <c r="BJ229" s="26"/>
      <c r="BK229" s="26"/>
      <c r="BL229" s="26"/>
      <c r="BM229" s="26"/>
      <c r="BN229" s="26"/>
      <c r="BO229" s="26"/>
      <c r="BP229" s="398"/>
      <c r="BQ229" s="398">
        <v>-104.24</v>
      </c>
      <c r="BR229" s="398">
        <v>-101.619</v>
      </c>
      <c r="BS229" s="398">
        <v>-98.972999999999999</v>
      </c>
      <c r="BT229" s="398">
        <v>-96.21</v>
      </c>
      <c r="BU229" s="398">
        <v>-93.423999999999992</v>
      </c>
      <c r="BV229" s="398">
        <v>-90.516999999999996</v>
      </c>
      <c r="BW229" s="398">
        <v>-87.584000000000003</v>
      </c>
      <c r="BX229" s="26">
        <f ca="1">BW229+$D347/4*(AVERAGE(BW230:BX230))-$C347*$BQ$228/4</f>
        <v>-84.192440845498794</v>
      </c>
      <c r="BY229" s="26">
        <f ca="1">BX229+$D347/4*(AVERAGE(BX230:BY230))-$C347*$BQ$228/4</f>
        <v>-80.707359378545803</v>
      </c>
      <c r="BZ229" s="26">
        <f ca="1">BY229+$D347/4*(AVERAGE(BY230:BZ230))-$C347*$BQ$228/4</f>
        <v>-77.126176719478948</v>
      </c>
      <c r="CA229" s="26">
        <f ca="1">BZ229+$D347/4*(AVERAGE(BZ230:CA230))-$C347*$BQ$228/4</f>
        <v>-73.446242875977148</v>
      </c>
      <c r="CB229" s="26">
        <f ca="1">CA229+$D347/4*(AVERAGE(CA230:CB230))-$C347*$BQ$228/4</f>
        <v>-69.664834782127372</v>
      </c>
      <c r="CC229" s="398">
        <v>-68.158000000000001</v>
      </c>
      <c r="CD229" s="1002">
        <v>-64.588999999999999</v>
      </c>
      <c r="CE229" s="398">
        <v>-60.99</v>
      </c>
      <c r="CF229" s="398">
        <v>-57.234999999999999</v>
      </c>
      <c r="CG229" s="398">
        <v>-53.447000000000003</v>
      </c>
      <c r="CH229" s="398">
        <v>-49.494999999999997</v>
      </c>
      <c r="CI229" s="398">
        <v>-45.508000000000003</v>
      </c>
      <c r="CJ229" s="398">
        <v>-41.347999999999999</v>
      </c>
      <c r="CK229" s="398">
        <v>-15.762</v>
      </c>
      <c r="CL229" s="398">
        <v>-13.904999999999999</v>
      </c>
      <c r="CM229" s="398">
        <v>-12.032</v>
      </c>
      <c r="CN229" s="398">
        <v>-10.077</v>
      </c>
      <c r="CO229" s="398">
        <v>-8.1050000000000004</v>
      </c>
      <c r="CP229" s="398">
        <v>-6.35</v>
      </c>
      <c r="CQ229" s="398">
        <v>-3.9609999999999999</v>
      </c>
      <c r="CR229" s="398">
        <v>-1.8</v>
      </c>
      <c r="CS229" s="398">
        <v>-148.28200000000001</v>
      </c>
      <c r="CT229" s="26">
        <f t="shared" ref="CT229:CY229" si="497">CT348</f>
        <v>0</v>
      </c>
      <c r="CU229" s="26">
        <f>CU348</f>
        <v>0</v>
      </c>
      <c r="CV229" s="26">
        <f t="shared" si="497"/>
        <v>0</v>
      </c>
      <c r="CW229" s="26">
        <f t="shared" si="497"/>
        <v>0</v>
      </c>
      <c r="CX229" s="26">
        <f t="shared" si="497"/>
        <v>0</v>
      </c>
      <c r="CY229" s="26">
        <f t="shared" si="497"/>
        <v>0</v>
      </c>
      <c r="CZ229" s="26">
        <f t="shared" ref="CZ229:DC229" si="498">CZ348</f>
        <v>0</v>
      </c>
      <c r="DA229" s="26">
        <f t="shared" si="498"/>
        <v>0</v>
      </c>
      <c r="DB229" s="26">
        <f t="shared" si="498"/>
        <v>0</v>
      </c>
      <c r="DC229" s="26">
        <f t="shared" si="498"/>
        <v>0</v>
      </c>
    </row>
    <row r="230" spans="1:107" hidden="1" outlineLevel="1">
      <c r="A230" s="2195"/>
      <c r="B230" s="876" t="s">
        <v>261</v>
      </c>
      <c r="C230" s="15"/>
      <c r="D230" s="15"/>
      <c r="E230" s="15"/>
      <c r="F230" s="15"/>
      <c r="G230" s="15"/>
      <c r="H230" s="15"/>
      <c r="I230" s="15"/>
      <c r="J230" s="26"/>
      <c r="K230" s="54"/>
      <c r="L230" s="26"/>
      <c r="M230" s="26"/>
      <c r="N230" s="26"/>
      <c r="O230" s="26"/>
      <c r="P230" s="26"/>
      <c r="Q230" s="26">
        <f>+CE230</f>
        <v>312.74</v>
      </c>
      <c r="R230" s="26">
        <f>+CI230</f>
        <v>328.21600000000007</v>
      </c>
      <c r="S230" s="26">
        <f>CM230</f>
        <v>145.85299999999998</v>
      </c>
      <c r="T230" s="26">
        <f>CQ230</f>
        <v>146.12099999999998</v>
      </c>
      <c r="U230" s="26">
        <f>+CU230</f>
        <v>0</v>
      </c>
      <c r="V230" s="26">
        <f>+CY230</f>
        <v>0</v>
      </c>
      <c r="W230" s="26">
        <f>+CZ230</f>
        <v>0</v>
      </c>
      <c r="X230" s="26">
        <f>+X228+X229</f>
        <v>0</v>
      </c>
      <c r="Y230" s="26">
        <f>+Y228+Y229</f>
        <v>0</v>
      </c>
      <c r="Z230" s="26">
        <f>+Z228+Z229</f>
        <v>0</v>
      </c>
      <c r="AA230" s="26">
        <f t="shared" ref="AA230:AD230" si="499">+AA228+AA229</f>
        <v>0</v>
      </c>
      <c r="AB230" s="26">
        <f t="shared" si="499"/>
        <v>0</v>
      </c>
      <c r="AC230" s="26">
        <f t="shared" si="499"/>
        <v>0</v>
      </c>
      <c r="AD230" s="26">
        <f t="shared" si="499"/>
        <v>0</v>
      </c>
      <c r="AE230" s="15"/>
      <c r="AF230" s="26"/>
      <c r="AG230" s="26"/>
      <c r="AH230" s="26"/>
      <c r="AI230" s="26"/>
      <c r="AJ230" s="26"/>
      <c r="AK230" s="26"/>
      <c r="AL230" s="26"/>
      <c r="AM230" s="26"/>
      <c r="AN230" s="26"/>
      <c r="AO230" s="26"/>
      <c r="AP230" s="26"/>
      <c r="AQ230" s="26"/>
      <c r="AR230" s="26"/>
      <c r="AS230" s="26"/>
      <c r="AT230" s="26"/>
      <c r="AU230" s="26"/>
      <c r="AV230" s="26"/>
      <c r="AW230" s="26"/>
      <c r="AX230" s="26"/>
      <c r="AY230" s="26"/>
      <c r="AZ230" s="26"/>
      <c r="BA230" s="26"/>
      <c r="BB230" s="26"/>
      <c r="BC230" s="26"/>
      <c r="BD230" s="26"/>
      <c r="BE230" s="26"/>
      <c r="BF230" s="26"/>
      <c r="BG230" s="26"/>
      <c r="BH230" s="26"/>
      <c r="BI230" s="26"/>
      <c r="BJ230" s="26"/>
      <c r="BK230" s="26"/>
      <c r="BL230" s="26"/>
      <c r="BM230" s="26"/>
      <c r="BN230" s="26"/>
      <c r="BO230" s="26"/>
      <c r="BP230" s="26"/>
      <c r="BQ230" s="26">
        <f t="shared" ref="BQ230:BW230" si="500">BQ229+BQ$227</f>
        <v>269.51</v>
      </c>
      <c r="BR230" s="26">
        <f t="shared" si="500"/>
        <v>272.13099999999997</v>
      </c>
      <c r="BS230" s="26">
        <f t="shared" si="500"/>
        <v>274.77699999999999</v>
      </c>
      <c r="BT230" s="26">
        <f t="shared" si="500"/>
        <v>277.54000000000002</v>
      </c>
      <c r="BU230" s="26">
        <f t="shared" si="500"/>
        <v>280.32600000000002</v>
      </c>
      <c r="BV230" s="26">
        <f t="shared" si="500"/>
        <v>283.233</v>
      </c>
      <c r="BW230" s="26">
        <f t="shared" si="500"/>
        <v>286.166</v>
      </c>
      <c r="BX230" s="26">
        <f t="shared" ref="BX230:CC230" ca="1" si="501">BX229+$BQ$228</f>
        <v>289.55755915450118</v>
      </c>
      <c r="BY230" s="26">
        <f t="shared" ca="1" si="501"/>
        <v>293.04264062145421</v>
      </c>
      <c r="BZ230" s="26">
        <f t="shared" ca="1" si="501"/>
        <v>296.62382328052104</v>
      </c>
      <c r="CA230" s="26">
        <f t="shared" ca="1" si="501"/>
        <v>300.30375712402287</v>
      </c>
      <c r="CB230" s="26">
        <f t="shared" ca="1" si="501"/>
        <v>304.0851652178726</v>
      </c>
      <c r="CC230" s="26">
        <f t="shared" si="501"/>
        <v>305.59199999999998</v>
      </c>
      <c r="CD230" s="26">
        <f>CD229+CD227</f>
        <v>309.14100000000002</v>
      </c>
      <c r="CE230" s="26">
        <f>CE229+CE227</f>
        <v>312.74</v>
      </c>
      <c r="CF230" s="26">
        <f>CF229+CF228</f>
        <v>255.505</v>
      </c>
      <c r="CG230" s="26">
        <f t="shared" ref="CG230:CP230" si="502">CG229+CG227</f>
        <v>320.279</v>
      </c>
      <c r="CH230" s="26">
        <f t="shared" si="502"/>
        <v>324.22900000000004</v>
      </c>
      <c r="CI230" s="26">
        <f t="shared" si="502"/>
        <v>328.21600000000007</v>
      </c>
      <c r="CJ230" s="26">
        <f t="shared" si="502"/>
        <v>332.37499999999994</v>
      </c>
      <c r="CK230" s="26">
        <f t="shared" si="502"/>
        <v>142.12700000000001</v>
      </c>
      <c r="CL230" s="26">
        <f t="shared" si="502"/>
        <v>143.97</v>
      </c>
      <c r="CM230" s="26">
        <f t="shared" si="502"/>
        <v>145.85299999999998</v>
      </c>
      <c r="CN230" s="26">
        <f t="shared" si="502"/>
        <v>147.80799999999999</v>
      </c>
      <c r="CO230" s="26">
        <f t="shared" si="502"/>
        <v>149.78</v>
      </c>
      <c r="CP230" s="26">
        <f t="shared" si="502"/>
        <v>151.535</v>
      </c>
      <c r="CQ230" s="26">
        <f>CQ229+CQ227</f>
        <v>146.12099999999998</v>
      </c>
      <c r="CR230" s="26">
        <f>CR229+CR227</f>
        <v>148.28199999999998</v>
      </c>
      <c r="CS230" s="26">
        <f t="shared" ref="CS230:CY230" si="503">CS229+CS228</f>
        <v>0</v>
      </c>
      <c r="CT230" s="26">
        <f t="shared" si="503"/>
        <v>0</v>
      </c>
      <c r="CU230" s="26">
        <f>CU229+CU228</f>
        <v>0</v>
      </c>
      <c r="CV230" s="26">
        <f t="shared" si="503"/>
        <v>0</v>
      </c>
      <c r="CW230" s="26">
        <f t="shared" si="503"/>
        <v>0</v>
      </c>
      <c r="CX230" s="26">
        <f t="shared" si="503"/>
        <v>0</v>
      </c>
      <c r="CY230" s="26">
        <f t="shared" si="503"/>
        <v>0</v>
      </c>
      <c r="CZ230" s="26">
        <f t="shared" ref="CZ230:DC230" si="504">CZ229+CZ228</f>
        <v>0</v>
      </c>
      <c r="DA230" s="26">
        <f t="shared" si="504"/>
        <v>0</v>
      </c>
      <c r="DB230" s="26">
        <f t="shared" si="504"/>
        <v>0</v>
      </c>
      <c r="DC230" s="26">
        <f t="shared" si="504"/>
        <v>0</v>
      </c>
    </row>
    <row r="231" spans="1:107" hidden="1" outlineLevel="1">
      <c r="A231" s="2195"/>
      <c r="B231" s="876" t="s">
        <v>262</v>
      </c>
      <c r="C231" s="15"/>
      <c r="D231" s="15"/>
      <c r="E231" s="15"/>
      <c r="F231" s="15"/>
      <c r="G231" s="15"/>
      <c r="H231" s="15"/>
      <c r="I231" s="15"/>
      <c r="J231" s="26"/>
      <c r="K231" s="54"/>
      <c r="L231" s="26"/>
      <c r="M231" s="26"/>
      <c r="N231" s="26"/>
      <c r="O231" s="26"/>
      <c r="P231" s="26"/>
      <c r="Q231" s="26"/>
      <c r="R231" s="26"/>
      <c r="S231" s="26"/>
      <c r="T231" s="26"/>
      <c r="U231" s="26"/>
      <c r="V231" s="26"/>
      <c r="W231" s="26"/>
      <c r="X231" s="26"/>
      <c r="Y231" s="26"/>
      <c r="Z231" s="26"/>
      <c r="AA231" s="26"/>
      <c r="AB231" s="26"/>
      <c r="AC231" s="26"/>
      <c r="AD231" s="26"/>
      <c r="AE231" s="15"/>
      <c r="AF231" s="26"/>
      <c r="AG231" s="26"/>
      <c r="AH231" s="26"/>
      <c r="AI231" s="26"/>
      <c r="AJ231" s="26"/>
      <c r="AK231" s="26"/>
      <c r="AL231" s="26"/>
      <c r="AM231" s="26"/>
      <c r="AN231" s="26"/>
      <c r="AO231" s="26"/>
      <c r="AP231" s="26"/>
      <c r="AQ231" s="26"/>
      <c r="AR231" s="26"/>
      <c r="AS231" s="26"/>
      <c r="AT231" s="26"/>
      <c r="AU231" s="26"/>
      <c r="AV231" s="26"/>
      <c r="AW231" s="26"/>
      <c r="AX231" s="26"/>
      <c r="AY231" s="26"/>
      <c r="AZ231" s="26"/>
      <c r="BA231" s="26"/>
      <c r="BB231" s="26"/>
      <c r="BC231" s="26"/>
      <c r="BD231" s="26"/>
      <c r="BE231" s="26"/>
      <c r="BF231" s="26"/>
      <c r="BG231" s="26"/>
      <c r="BH231" s="26"/>
      <c r="BI231" s="26"/>
      <c r="BJ231" s="26"/>
      <c r="BK231" s="26"/>
      <c r="BL231" s="26"/>
      <c r="BM231" s="26"/>
      <c r="BN231" s="26"/>
      <c r="BO231" s="26"/>
      <c r="BP231" s="26"/>
      <c r="BQ231" s="398">
        <v>274.61200000000002</v>
      </c>
      <c r="BR231" s="398">
        <v>299.36</v>
      </c>
      <c r="BS231" s="398">
        <v>307.24799999999999</v>
      </c>
      <c r="BT231" s="398">
        <v>319.34500000000003</v>
      </c>
      <c r="BU231" s="398">
        <v>335.13299999999998</v>
      </c>
      <c r="BV231" s="398">
        <v>353.815</v>
      </c>
      <c r="BW231" s="398">
        <v>348.786</v>
      </c>
      <c r="BX231" s="398"/>
      <c r="BY231" s="26"/>
      <c r="BZ231" s="26"/>
      <c r="CA231" s="26"/>
      <c r="CB231" s="26"/>
      <c r="CC231" s="26"/>
      <c r="CD231" s="26"/>
      <c r="CE231" s="26"/>
      <c r="CF231" s="26"/>
      <c r="CG231" s="26"/>
      <c r="CH231" s="26"/>
      <c r="CI231" s="26"/>
      <c r="CJ231" s="26"/>
      <c r="CK231" s="26"/>
      <c r="CL231" s="26"/>
      <c r="CM231" s="26"/>
      <c r="CN231" s="26"/>
      <c r="CO231" s="26"/>
      <c r="CP231" s="26"/>
      <c r="CQ231" s="26"/>
      <c r="CR231" s="26"/>
      <c r="CS231" s="26"/>
      <c r="CT231" s="26"/>
      <c r="CU231" s="26"/>
      <c r="CV231" s="26"/>
      <c r="CW231" s="26"/>
      <c r="CX231" s="26"/>
      <c r="CY231" s="26"/>
      <c r="CZ231" s="26"/>
      <c r="DA231" s="26"/>
      <c r="DB231" s="26"/>
      <c r="DC231" s="26"/>
    </row>
    <row r="232" spans="1:107" hidden="1" outlineLevel="1">
      <c r="A232" s="15"/>
      <c r="B232" s="876"/>
      <c r="C232" s="15"/>
      <c r="D232" s="15"/>
      <c r="E232" s="15"/>
      <c r="F232" s="15"/>
      <c r="G232" s="15"/>
      <c r="H232" s="15"/>
      <c r="I232" s="15"/>
      <c r="J232" s="26"/>
      <c r="K232" s="54"/>
      <c r="L232" s="26"/>
      <c r="M232" s="26"/>
      <c r="N232" s="26"/>
      <c r="O232" s="26"/>
      <c r="P232" s="26"/>
      <c r="Q232" s="26"/>
      <c r="R232" s="26"/>
      <c r="S232" s="26"/>
      <c r="T232" s="26"/>
      <c r="U232" s="26"/>
      <c r="V232" s="26"/>
      <c r="W232" s="26"/>
      <c r="X232" s="26"/>
      <c r="Y232" s="26"/>
      <c r="Z232" s="26"/>
      <c r="AA232" s="26"/>
      <c r="AB232" s="26"/>
      <c r="AC232" s="26"/>
      <c r="AD232" s="26"/>
      <c r="AE232" s="15"/>
      <c r="AF232" s="26"/>
      <c r="AG232" s="26"/>
      <c r="AH232" s="26"/>
      <c r="AI232" s="26"/>
      <c r="AJ232" s="26"/>
      <c r="AK232" s="26"/>
      <c r="AL232" s="26"/>
      <c r="AM232" s="26"/>
      <c r="AN232" s="26"/>
      <c r="AO232" s="26"/>
      <c r="AP232" s="26"/>
      <c r="AQ232" s="26"/>
      <c r="AR232" s="26"/>
      <c r="AS232" s="26"/>
      <c r="AT232" s="26"/>
      <c r="AU232" s="26"/>
      <c r="AV232" s="26"/>
      <c r="AW232" s="26"/>
      <c r="AX232" s="26"/>
      <c r="AY232" s="26"/>
      <c r="AZ232" s="26"/>
      <c r="BA232" s="26"/>
      <c r="BB232" s="26"/>
      <c r="BC232" s="26"/>
      <c r="BD232" s="26"/>
      <c r="BE232" s="26"/>
      <c r="BF232" s="26"/>
      <c r="BG232" s="26"/>
      <c r="BH232" s="26"/>
      <c r="BI232" s="26"/>
      <c r="BJ232" s="26"/>
      <c r="BK232" s="26"/>
      <c r="BL232" s="26"/>
      <c r="BM232" s="26"/>
      <c r="BN232" s="26"/>
      <c r="BO232" s="26"/>
      <c r="BP232" s="26"/>
      <c r="BQ232" s="26"/>
      <c r="BR232" s="783"/>
      <c r="BS232" s="783"/>
      <c r="BT232" s="26"/>
      <c r="BU232" s="26"/>
      <c r="BV232" s="885"/>
      <c r="BW232" s="26"/>
      <c r="BX232" s="26"/>
      <c r="BY232" s="26"/>
      <c r="BZ232" s="26"/>
      <c r="CA232" s="26"/>
      <c r="CB232" s="26"/>
      <c r="CC232" s="26"/>
      <c r="CD232" s="26"/>
      <c r="CE232" s="26"/>
      <c r="CF232" s="26"/>
      <c r="CG232" s="26"/>
      <c r="CH232" s="26"/>
      <c r="CI232" s="26"/>
      <c r="CJ232" s="26"/>
      <c r="CK232" s="26"/>
      <c r="CL232" s="26"/>
      <c r="CM232" s="26"/>
      <c r="CN232" s="26"/>
      <c r="CO232" s="26"/>
      <c r="CP232" s="26"/>
      <c r="CQ232" s="26"/>
      <c r="CR232" s="26"/>
      <c r="CS232" s="26"/>
      <c r="CT232" s="26"/>
      <c r="CU232" s="26"/>
      <c r="CV232" s="26"/>
      <c r="CW232" s="26"/>
      <c r="CX232" s="26"/>
      <c r="CY232" s="26"/>
      <c r="CZ232" s="26"/>
      <c r="DA232" s="26"/>
      <c r="DB232" s="26"/>
      <c r="DC232" s="26"/>
    </row>
    <row r="233" spans="1:107" hidden="1" outlineLevel="1">
      <c r="A233" s="2197"/>
      <c r="B233" s="2044" t="s">
        <v>456</v>
      </c>
      <c r="C233" s="132"/>
      <c r="D233" s="132"/>
      <c r="E233" s="132"/>
      <c r="F233" s="132"/>
      <c r="G233" s="132"/>
      <c r="H233" s="132"/>
      <c r="I233" s="132"/>
      <c r="J233" s="132"/>
      <c r="K233" s="132"/>
      <c r="L233" s="132"/>
      <c r="M233" s="132"/>
      <c r="N233" s="132"/>
      <c r="O233" s="132"/>
      <c r="P233" s="132"/>
      <c r="Q233" s="132"/>
      <c r="R233" s="132"/>
      <c r="S233" s="132"/>
      <c r="T233" s="132"/>
      <c r="U233" s="132"/>
      <c r="V233" s="132"/>
      <c r="W233" s="132"/>
      <c r="X233" s="132"/>
      <c r="Y233" s="132"/>
      <c r="Z233" s="132"/>
      <c r="AA233" s="132"/>
      <c r="AB233" s="132"/>
      <c r="AC233" s="132"/>
      <c r="AD233" s="132"/>
      <c r="AE233" s="15"/>
      <c r="AF233" s="132"/>
      <c r="AG233" s="132"/>
      <c r="AH233" s="132"/>
      <c r="AI233" s="132"/>
      <c r="AJ233" s="132"/>
      <c r="AK233" s="132"/>
      <c r="AL233" s="132"/>
      <c r="AM233" s="132"/>
      <c r="AN233" s="132"/>
      <c r="AO233" s="132"/>
      <c r="AP233" s="132"/>
      <c r="AQ233" s="132"/>
      <c r="AR233" s="132"/>
      <c r="AS233" s="132"/>
      <c r="AT233" s="132"/>
      <c r="AU233" s="132"/>
      <c r="AV233" s="132"/>
      <c r="AW233" s="132"/>
      <c r="AX233" s="132"/>
      <c r="AY233" s="132"/>
      <c r="AZ233" s="132"/>
      <c r="BA233" s="132"/>
      <c r="BB233" s="132"/>
      <c r="BC233" s="132"/>
      <c r="BD233" s="132"/>
      <c r="BE233" s="132"/>
      <c r="BF233" s="132"/>
      <c r="BG233" s="132"/>
      <c r="BH233" s="132"/>
      <c r="BI233" s="132"/>
      <c r="BJ233" s="132"/>
      <c r="BK233" s="132"/>
      <c r="BL233" s="132"/>
      <c r="BM233" s="132"/>
      <c r="BN233" s="132"/>
      <c r="BO233" s="132"/>
      <c r="BP233" s="132"/>
      <c r="BQ233" s="132"/>
      <c r="BR233" s="132"/>
      <c r="BS233" s="132"/>
      <c r="BT233" s="132"/>
      <c r="BU233" s="132"/>
      <c r="BV233" s="132"/>
      <c r="BW233" s="132"/>
      <c r="BX233" s="132"/>
      <c r="BY233" s="132"/>
      <c r="BZ233" s="132"/>
      <c r="CA233" s="132"/>
      <c r="CB233" s="132"/>
      <c r="CC233" s="132"/>
      <c r="CD233" s="87"/>
      <c r="CE233" s="87"/>
      <c r="CF233" s="87"/>
      <c r="CG233" s="87"/>
      <c r="CH233" s="87"/>
      <c r="CI233" s="87"/>
      <c r="CJ233" s="87"/>
      <c r="CK233" s="87"/>
      <c r="CL233" s="87"/>
      <c r="CM233" s="87"/>
      <c r="CN233" s="87"/>
      <c r="CO233" s="87"/>
      <c r="CP233" s="87"/>
      <c r="CQ233" s="87"/>
      <c r="CR233" s="132"/>
      <c r="CS233" s="132"/>
      <c r="CT233" s="132"/>
      <c r="CU233" s="132"/>
      <c r="CV233" s="132"/>
      <c r="CW233" s="132"/>
      <c r="CX233" s="132"/>
      <c r="CY233" s="132"/>
      <c r="CZ233" s="132"/>
      <c r="DA233" s="132"/>
      <c r="DB233" s="132"/>
      <c r="DC233" s="132"/>
    </row>
    <row r="234" spans="1:107" hidden="1" outlineLevel="1">
      <c r="A234" s="2197"/>
      <c r="B234" s="2045" t="s">
        <v>1118</v>
      </c>
      <c r="C234" s="15"/>
      <c r="D234" s="15"/>
      <c r="E234" s="15"/>
      <c r="F234" s="15"/>
      <c r="G234" s="15"/>
      <c r="H234" s="15"/>
      <c r="I234" s="15"/>
      <c r="J234" s="26"/>
      <c r="K234" s="54"/>
      <c r="L234" s="26"/>
      <c r="M234" s="26"/>
      <c r="N234" s="26"/>
      <c r="O234" s="26"/>
      <c r="P234" s="26">
        <f t="shared" ref="P234:Z234" si="505">O236</f>
        <v>750</v>
      </c>
      <c r="Q234" s="26">
        <f t="shared" si="505"/>
        <v>750</v>
      </c>
      <c r="R234" s="26">
        <f t="shared" si="505"/>
        <v>750</v>
      </c>
      <c r="S234" s="26">
        <f t="shared" si="505"/>
        <v>0</v>
      </c>
      <c r="T234" s="26">
        <f t="shared" si="505"/>
        <v>0</v>
      </c>
      <c r="U234" s="26">
        <f t="shared" si="505"/>
        <v>0</v>
      </c>
      <c r="V234" s="26">
        <f t="shared" si="505"/>
        <v>0</v>
      </c>
      <c r="W234" s="26">
        <f t="shared" si="505"/>
        <v>0</v>
      </c>
      <c r="X234" s="26">
        <f t="shared" si="505"/>
        <v>0</v>
      </c>
      <c r="Y234" s="26">
        <f t="shared" si="505"/>
        <v>0</v>
      </c>
      <c r="Z234" s="26">
        <f t="shared" si="505"/>
        <v>0</v>
      </c>
      <c r="AA234" s="26">
        <f t="shared" ref="AA234" si="506">Z236</f>
        <v>0</v>
      </c>
      <c r="AB234" s="26">
        <f t="shared" ref="AB234" si="507">AA236</f>
        <v>0</v>
      </c>
      <c r="AC234" s="26">
        <f t="shared" ref="AC234" si="508">AB236</f>
        <v>0</v>
      </c>
      <c r="AD234" s="26">
        <f t="shared" ref="AD234" si="509">AC236</f>
        <v>0</v>
      </c>
      <c r="AE234" s="15"/>
      <c r="AF234" s="26"/>
      <c r="AG234" s="26"/>
      <c r="AH234" s="26"/>
      <c r="AI234" s="26"/>
      <c r="AJ234" s="26"/>
      <c r="AK234" s="26"/>
      <c r="AL234" s="26"/>
      <c r="AM234" s="26"/>
      <c r="AN234" s="26"/>
      <c r="AO234" s="26"/>
      <c r="AP234" s="26"/>
      <c r="AQ234" s="26"/>
      <c r="AR234" s="26"/>
      <c r="AS234" s="26"/>
      <c r="AT234" s="26"/>
      <c r="AU234" s="26"/>
      <c r="AV234" s="26"/>
      <c r="AW234" s="26"/>
      <c r="AX234" s="26"/>
      <c r="AY234" s="26"/>
      <c r="AZ234" s="26"/>
      <c r="BA234" s="26"/>
      <c r="BB234" s="26"/>
      <c r="BC234" s="26"/>
      <c r="BD234" s="26"/>
      <c r="BE234" s="26"/>
      <c r="BF234" s="26"/>
      <c r="BG234" s="26"/>
      <c r="BH234" s="26"/>
      <c r="BI234" s="26"/>
      <c r="BJ234" s="26"/>
      <c r="BK234" s="26"/>
      <c r="BL234" s="26"/>
      <c r="BM234" s="26"/>
      <c r="BN234" s="26"/>
      <c r="BO234" s="26"/>
      <c r="BP234" s="26"/>
      <c r="BQ234" s="26"/>
      <c r="BR234" s="783"/>
      <c r="BS234" s="783"/>
      <c r="BT234" s="26"/>
      <c r="BU234" s="26">
        <f t="shared" ref="BU234:CU234" si="510">BT236</f>
        <v>750</v>
      </c>
      <c r="BV234" s="26">
        <f t="shared" si="510"/>
        <v>750</v>
      </c>
      <c r="BW234" s="26">
        <f t="shared" si="510"/>
        <v>750</v>
      </c>
      <c r="BX234" s="26">
        <f t="shared" si="510"/>
        <v>750</v>
      </c>
      <c r="BY234" s="26">
        <f t="shared" si="510"/>
        <v>750</v>
      </c>
      <c r="BZ234" s="26">
        <f t="shared" si="510"/>
        <v>750</v>
      </c>
      <c r="CA234" s="26">
        <f t="shared" si="510"/>
        <v>750</v>
      </c>
      <c r="CB234" s="26">
        <f t="shared" si="510"/>
        <v>750</v>
      </c>
      <c r="CC234" s="26">
        <f t="shared" si="510"/>
        <v>750</v>
      </c>
      <c r="CD234" s="26">
        <f t="shared" si="510"/>
        <v>750</v>
      </c>
      <c r="CE234" s="26">
        <f t="shared" si="510"/>
        <v>750</v>
      </c>
      <c r="CF234" s="26">
        <f t="shared" si="510"/>
        <v>750</v>
      </c>
      <c r="CG234" s="26">
        <f t="shared" si="510"/>
        <v>750</v>
      </c>
      <c r="CH234" s="26">
        <f t="shared" si="510"/>
        <v>0</v>
      </c>
      <c r="CI234" s="26">
        <f t="shared" si="510"/>
        <v>0</v>
      </c>
      <c r="CJ234" s="26">
        <f t="shared" si="510"/>
        <v>0</v>
      </c>
      <c r="CK234" s="26">
        <f t="shared" si="510"/>
        <v>0</v>
      </c>
      <c r="CL234" s="26">
        <f t="shared" si="510"/>
        <v>0</v>
      </c>
      <c r="CM234" s="26">
        <f t="shared" si="510"/>
        <v>0</v>
      </c>
      <c r="CN234" s="26">
        <f t="shared" si="510"/>
        <v>0</v>
      </c>
      <c r="CO234" s="26">
        <f t="shared" si="510"/>
        <v>0</v>
      </c>
      <c r="CP234" s="26">
        <f t="shared" si="510"/>
        <v>0</v>
      </c>
      <c r="CQ234" s="26">
        <f t="shared" si="510"/>
        <v>0</v>
      </c>
      <c r="CR234" s="26">
        <f t="shared" si="510"/>
        <v>0</v>
      </c>
      <c r="CS234" s="26">
        <f t="shared" si="510"/>
        <v>0</v>
      </c>
      <c r="CT234" s="26">
        <f t="shared" si="510"/>
        <v>0</v>
      </c>
      <c r="CU234" s="26">
        <f t="shared" si="510"/>
        <v>0</v>
      </c>
      <c r="CV234" s="26">
        <f>CU236</f>
        <v>0</v>
      </c>
      <c r="CW234" s="26">
        <f>CV236</f>
        <v>0</v>
      </c>
      <c r="CX234" s="26">
        <f>CW236</f>
        <v>0</v>
      </c>
      <c r="CY234" s="26">
        <f>CX236</f>
        <v>0</v>
      </c>
      <c r="CZ234" s="26">
        <f t="shared" ref="CZ234:DC234" si="511">CY236</f>
        <v>0</v>
      </c>
      <c r="DA234" s="26">
        <f t="shared" si="511"/>
        <v>0</v>
      </c>
      <c r="DB234" s="26">
        <f t="shared" si="511"/>
        <v>0</v>
      </c>
      <c r="DC234" s="26">
        <f t="shared" si="511"/>
        <v>0</v>
      </c>
    </row>
    <row r="235" spans="1:107" hidden="1" outlineLevel="1">
      <c r="A235" s="2197"/>
      <c r="B235" s="2045" t="s">
        <v>1121</v>
      </c>
      <c r="C235" s="15"/>
      <c r="D235" s="15"/>
      <c r="E235" s="15"/>
      <c r="F235" s="15"/>
      <c r="G235" s="15"/>
      <c r="H235" s="15"/>
      <c r="I235" s="15"/>
      <c r="J235" s="26"/>
      <c r="K235" s="54"/>
      <c r="L235" s="26"/>
      <c r="M235" s="26"/>
      <c r="N235" s="26"/>
      <c r="O235" s="26"/>
      <c r="P235" s="26">
        <f t="shared" ref="P235:U235" si="512">P236-P234</f>
        <v>0</v>
      </c>
      <c r="Q235" s="26">
        <f t="shared" si="512"/>
        <v>0</v>
      </c>
      <c r="R235" s="26">
        <f t="shared" si="512"/>
        <v>-750</v>
      </c>
      <c r="S235" s="26">
        <f t="shared" si="512"/>
        <v>0</v>
      </c>
      <c r="T235" s="26">
        <f t="shared" si="512"/>
        <v>0</v>
      </c>
      <c r="U235" s="26">
        <f t="shared" si="512"/>
        <v>0</v>
      </c>
      <c r="V235" s="26">
        <f>V236-V234</f>
        <v>0</v>
      </c>
      <c r="W235" s="26">
        <f>W236-W234</f>
        <v>0</v>
      </c>
      <c r="X235" s="26">
        <v>0</v>
      </c>
      <c r="Y235" s="26">
        <v>0</v>
      </c>
      <c r="Z235" s="26">
        <v>0</v>
      </c>
      <c r="AA235" s="26">
        <v>0</v>
      </c>
      <c r="AB235" s="26">
        <v>0</v>
      </c>
      <c r="AC235" s="26">
        <v>0</v>
      </c>
      <c r="AD235" s="26">
        <v>0</v>
      </c>
      <c r="AE235" s="15"/>
      <c r="AF235" s="15"/>
      <c r="AG235" s="15"/>
      <c r="AH235" s="15"/>
      <c r="AI235" s="15"/>
      <c r="AJ235" s="15"/>
      <c r="AK235" s="15"/>
      <c r="AL235" s="15"/>
      <c r="AM235" s="15"/>
      <c r="AN235" s="15"/>
      <c r="AO235" s="15"/>
      <c r="AP235" s="15"/>
      <c r="AQ235" s="15"/>
      <c r="AR235" s="15"/>
      <c r="AS235" s="15"/>
      <c r="AT235" s="15"/>
      <c r="AU235" s="15"/>
      <c r="AV235" s="15"/>
      <c r="AW235" s="15"/>
      <c r="AX235" s="15"/>
      <c r="AY235" s="15"/>
      <c r="AZ235" s="15"/>
      <c r="BA235" s="15"/>
      <c r="BB235" s="15"/>
      <c r="BC235" s="15"/>
      <c r="BD235" s="15"/>
      <c r="BE235" s="15"/>
      <c r="BF235" s="15"/>
      <c r="BG235" s="15"/>
      <c r="BH235" s="15"/>
      <c r="BI235" s="15"/>
      <c r="BJ235" s="15"/>
      <c r="BK235" s="15"/>
      <c r="BL235" s="26"/>
      <c r="BM235" s="26"/>
      <c r="BN235" s="26"/>
      <c r="BO235" s="26"/>
      <c r="BP235" s="26"/>
      <c r="BQ235" s="26"/>
      <c r="BR235" s="783"/>
      <c r="BS235" s="783"/>
      <c r="BT235" s="26"/>
      <c r="BU235" s="398">
        <v>0</v>
      </c>
      <c r="BV235" s="398">
        <v>0</v>
      </c>
      <c r="BW235" s="398">
        <v>0</v>
      </c>
      <c r="BX235" s="398">
        <v>0</v>
      </c>
      <c r="BY235" s="26">
        <v>0</v>
      </c>
      <c r="BZ235" s="26">
        <v>0</v>
      </c>
      <c r="CA235" s="26">
        <v>0</v>
      </c>
      <c r="CB235" s="26">
        <v>0</v>
      </c>
      <c r="CC235" s="26">
        <v>0</v>
      </c>
      <c r="CD235" s="26">
        <v>0</v>
      </c>
      <c r="CE235" s="26">
        <v>0</v>
      </c>
      <c r="CF235" s="26">
        <v>0</v>
      </c>
      <c r="CG235" s="398">
        <v>-750</v>
      </c>
      <c r="CH235" s="398">
        <v>0</v>
      </c>
      <c r="CI235" s="398">
        <v>0</v>
      </c>
      <c r="CJ235" s="398">
        <v>0</v>
      </c>
      <c r="CK235" s="398">
        <v>0</v>
      </c>
      <c r="CL235" s="398">
        <v>0</v>
      </c>
      <c r="CM235" s="398">
        <v>0</v>
      </c>
      <c r="CN235" s="398">
        <v>0</v>
      </c>
      <c r="CO235" s="398">
        <v>0</v>
      </c>
      <c r="CP235" s="398">
        <v>0</v>
      </c>
      <c r="CQ235" s="398">
        <v>0</v>
      </c>
      <c r="CR235" s="26">
        <v>0</v>
      </c>
      <c r="CS235" s="26">
        <v>0</v>
      </c>
      <c r="CT235" s="26">
        <v>0</v>
      </c>
      <c r="CU235" s="26">
        <v>0</v>
      </c>
      <c r="CV235" s="26">
        <v>0</v>
      </c>
      <c r="CW235" s="26">
        <v>0</v>
      </c>
      <c r="CX235" s="26">
        <v>0</v>
      </c>
      <c r="CY235" s="26">
        <v>0</v>
      </c>
      <c r="CZ235" s="26">
        <v>0</v>
      </c>
      <c r="DA235" s="26">
        <v>0</v>
      </c>
      <c r="DB235" s="26">
        <v>0</v>
      </c>
      <c r="DC235" s="26">
        <v>0</v>
      </c>
    </row>
    <row r="236" spans="1:107" hidden="1" outlineLevel="1">
      <c r="A236" s="2197"/>
      <c r="B236" s="2045" t="s">
        <v>261</v>
      </c>
      <c r="C236" s="15"/>
      <c r="D236" s="15"/>
      <c r="E236" s="15"/>
      <c r="F236" s="15"/>
      <c r="G236" s="15"/>
      <c r="H236" s="15"/>
      <c r="I236" s="15"/>
      <c r="J236" s="26"/>
      <c r="K236" s="54"/>
      <c r="L236" s="26"/>
      <c r="M236" s="26"/>
      <c r="N236" s="26"/>
      <c r="O236" s="26">
        <f>BW236</f>
        <v>750</v>
      </c>
      <c r="P236" s="26">
        <f>CA236</f>
        <v>750</v>
      </c>
      <c r="Q236" s="26">
        <f>CE236</f>
        <v>750</v>
      </c>
      <c r="R236" s="26">
        <f>CI236</f>
        <v>0</v>
      </c>
      <c r="S236" s="26">
        <f>CM236</f>
        <v>0</v>
      </c>
      <c r="T236" s="26">
        <f>CN236</f>
        <v>0</v>
      </c>
      <c r="U236" s="26">
        <f>CO236</f>
        <v>0</v>
      </c>
      <c r="V236" s="26">
        <f>CP236</f>
        <v>0</v>
      </c>
      <c r="W236" s="26">
        <f>CQ236</f>
        <v>0</v>
      </c>
      <c r="X236" s="26">
        <f>SUM(X234:X235)</f>
        <v>0</v>
      </c>
      <c r="Y236" s="26">
        <f>SUM(Y234:Y235)</f>
        <v>0</v>
      </c>
      <c r="Z236" s="26">
        <f>SUM(Z234:Z235)</f>
        <v>0</v>
      </c>
      <c r="AA236" s="26">
        <f t="shared" ref="AA236:AD236" si="513">SUM(AA234:AA235)</f>
        <v>0</v>
      </c>
      <c r="AB236" s="26">
        <f t="shared" si="513"/>
        <v>0</v>
      </c>
      <c r="AC236" s="26">
        <f t="shared" si="513"/>
        <v>0</v>
      </c>
      <c r="AD236" s="26">
        <f t="shared" si="513"/>
        <v>0</v>
      </c>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26"/>
      <c r="BM236" s="26"/>
      <c r="BN236" s="26"/>
      <c r="BO236" s="26"/>
      <c r="BP236" s="26"/>
      <c r="BQ236" s="26"/>
      <c r="BR236" s="783"/>
      <c r="BS236" s="783"/>
      <c r="BT236" s="814">
        <v>750</v>
      </c>
      <c r="BU236" s="26">
        <f>BU235+BU234</f>
        <v>750</v>
      </c>
      <c r="BV236" s="26">
        <f>BV235+BV234</f>
        <v>750</v>
      </c>
      <c r="BW236" s="26">
        <f t="shared" ref="BW236:CT236" si="514">SUM(BW234:BW235)</f>
        <v>750</v>
      </c>
      <c r="BX236" s="26">
        <f t="shared" si="514"/>
        <v>750</v>
      </c>
      <c r="BY236" s="26">
        <f t="shared" si="514"/>
        <v>750</v>
      </c>
      <c r="BZ236" s="26">
        <f t="shared" si="514"/>
        <v>750</v>
      </c>
      <c r="CA236" s="26">
        <f t="shared" si="514"/>
        <v>750</v>
      </c>
      <c r="CB236" s="26">
        <f t="shared" si="514"/>
        <v>750</v>
      </c>
      <c r="CC236" s="26">
        <f t="shared" si="514"/>
        <v>750</v>
      </c>
      <c r="CD236" s="26">
        <f t="shared" si="514"/>
        <v>750</v>
      </c>
      <c r="CE236" s="26">
        <f t="shared" si="514"/>
        <v>750</v>
      </c>
      <c r="CF236" s="26">
        <f t="shared" si="514"/>
        <v>750</v>
      </c>
      <c r="CG236" s="26">
        <f t="shared" si="514"/>
        <v>0</v>
      </c>
      <c r="CH236" s="26">
        <f t="shared" si="514"/>
        <v>0</v>
      </c>
      <c r="CI236" s="26">
        <f t="shared" si="514"/>
        <v>0</v>
      </c>
      <c r="CJ236" s="26">
        <f t="shared" si="514"/>
        <v>0</v>
      </c>
      <c r="CK236" s="26">
        <f t="shared" si="514"/>
        <v>0</v>
      </c>
      <c r="CL236" s="26">
        <f t="shared" si="514"/>
        <v>0</v>
      </c>
      <c r="CM236" s="26">
        <f t="shared" si="514"/>
        <v>0</v>
      </c>
      <c r="CN236" s="26">
        <f t="shared" si="514"/>
        <v>0</v>
      </c>
      <c r="CO236" s="26">
        <f t="shared" si="514"/>
        <v>0</v>
      </c>
      <c r="CP236" s="26">
        <f t="shared" si="514"/>
        <v>0</v>
      </c>
      <c r="CQ236" s="26">
        <f>SUM(CQ234:CQ235)</f>
        <v>0</v>
      </c>
      <c r="CR236" s="26">
        <f t="shared" si="514"/>
        <v>0</v>
      </c>
      <c r="CS236" s="26">
        <f t="shared" si="514"/>
        <v>0</v>
      </c>
      <c r="CT236" s="26">
        <f t="shared" si="514"/>
        <v>0</v>
      </c>
      <c r="CU236" s="26">
        <f>SUM(CU234:CU235)</f>
        <v>0</v>
      </c>
      <c r="CV236" s="26">
        <f>SUM(CV234:CV235)</f>
        <v>0</v>
      </c>
      <c r="CW236" s="26">
        <f>SUM(CW234:CW235)</f>
        <v>0</v>
      </c>
      <c r="CX236" s="26">
        <f>SUM(CX234:CX235)</f>
        <v>0</v>
      </c>
      <c r="CY236" s="26">
        <f>SUM(CY234:CY235)</f>
        <v>0</v>
      </c>
      <c r="CZ236" s="26">
        <f t="shared" ref="CZ236:DC236" si="515">SUM(CZ234:CZ235)</f>
        <v>0</v>
      </c>
      <c r="DA236" s="26">
        <f t="shared" si="515"/>
        <v>0</v>
      </c>
      <c r="DB236" s="26">
        <f t="shared" si="515"/>
        <v>0</v>
      </c>
      <c r="DC236" s="26">
        <f t="shared" si="515"/>
        <v>0</v>
      </c>
    </row>
    <row r="237" spans="1:107" hidden="1" outlineLevel="1">
      <c r="A237" s="2197"/>
      <c r="B237" s="2045" t="s">
        <v>262</v>
      </c>
      <c r="C237" s="15"/>
      <c r="D237" s="15"/>
      <c r="E237" s="15"/>
      <c r="F237" s="15"/>
      <c r="G237" s="15"/>
      <c r="H237" s="15"/>
      <c r="I237" s="15"/>
      <c r="J237" s="15"/>
      <c r="K237" s="783"/>
      <c r="L237" s="1004"/>
      <c r="M237" s="1004"/>
      <c r="N237" s="1004"/>
      <c r="O237" s="1004"/>
      <c r="P237" s="1004"/>
      <c r="Q237" s="1004"/>
      <c r="R237" s="1004"/>
      <c r="S237" s="1004"/>
      <c r="T237" s="1004"/>
      <c r="U237" s="1004"/>
      <c r="V237" s="1004"/>
      <c r="W237" s="1004"/>
      <c r="X237" s="1004"/>
      <c r="Y237" s="1004"/>
      <c r="Z237" s="1004"/>
      <c r="AA237" s="1004"/>
      <c r="AB237" s="1004"/>
      <c r="AC237" s="1004"/>
      <c r="AD237" s="1004"/>
      <c r="AE237" s="15"/>
      <c r="AF237" s="15"/>
      <c r="AG237" s="15"/>
      <c r="AH237" s="15"/>
      <c r="AI237" s="15"/>
      <c r="AJ237" s="15"/>
      <c r="AK237" s="15"/>
      <c r="AL237" s="15"/>
      <c r="AM237" s="15"/>
      <c r="AN237" s="15"/>
      <c r="AO237" s="15"/>
      <c r="AP237" s="15"/>
      <c r="AQ237" s="15"/>
      <c r="AR237" s="15"/>
      <c r="AS237" s="15"/>
      <c r="AT237" s="15"/>
      <c r="AU237" s="15"/>
      <c r="AV237" s="15"/>
      <c r="AW237" s="15"/>
      <c r="AX237" s="15"/>
      <c r="AY237" s="15"/>
      <c r="AZ237" s="15"/>
      <c r="BA237" s="15"/>
      <c r="BB237" s="15"/>
      <c r="BC237" s="980"/>
      <c r="BD237" s="1004"/>
      <c r="BE237" s="1004"/>
      <c r="BF237" s="1004"/>
      <c r="BG237" s="1004"/>
      <c r="BH237" s="1004"/>
      <c r="BI237" s="1004"/>
      <c r="BJ237" s="1004"/>
      <c r="BK237" s="1004"/>
      <c r="BL237" s="1004"/>
      <c r="BM237" s="1004"/>
      <c r="BN237" s="1004"/>
      <c r="BO237" s="1004"/>
      <c r="BP237" s="1004"/>
      <c r="BQ237" s="1004"/>
      <c r="BR237" s="1004"/>
      <c r="BS237" s="1010"/>
      <c r="BT237" s="398">
        <v>746.66200000000003</v>
      </c>
      <c r="BU237" s="398">
        <v>752.68100000000004</v>
      </c>
      <c r="BV237" s="398">
        <v>801.22799999999995</v>
      </c>
      <c r="BW237" s="398">
        <v>816.27</v>
      </c>
      <c r="BX237" s="1004"/>
      <c r="BY237" s="1004"/>
      <c r="BZ237" s="1004"/>
      <c r="CA237" s="1004"/>
      <c r="CB237" s="1004"/>
      <c r="CC237" s="1004"/>
      <c r="CD237" s="1004"/>
      <c r="CE237" s="1004"/>
      <c r="CF237" s="1004"/>
      <c r="CG237" s="1004"/>
      <c r="CH237" s="1004"/>
      <c r="CI237" s="1004"/>
      <c r="CJ237" s="1004"/>
      <c r="CK237" s="1004"/>
      <c r="CL237" s="1004"/>
      <c r="CM237" s="1004"/>
      <c r="CN237" s="1004"/>
      <c r="CO237" s="1004"/>
      <c r="CP237" s="1004"/>
      <c r="CQ237" s="1004"/>
      <c r="CR237" s="1004"/>
      <c r="CS237" s="1004"/>
      <c r="CT237" s="1004"/>
      <c r="CU237" s="1004"/>
      <c r="CV237" s="1004"/>
      <c r="CW237" s="1004"/>
      <c r="CX237" s="1004"/>
      <c r="CY237" s="1004"/>
      <c r="CZ237" s="1004"/>
      <c r="DA237" s="1004"/>
      <c r="DB237" s="1004"/>
      <c r="DC237" s="1004"/>
    </row>
    <row r="238" spans="1:107" hidden="1" outlineLevel="1">
      <c r="A238" s="15"/>
      <c r="B238" s="876"/>
      <c r="C238" s="15"/>
      <c r="D238" s="15"/>
      <c r="E238" s="15"/>
      <c r="F238" s="15"/>
      <c r="G238" s="15"/>
      <c r="H238" s="15"/>
      <c r="I238" s="15"/>
      <c r="J238" s="15"/>
      <c r="K238" s="783"/>
      <c r="L238" s="1004"/>
      <c r="M238" s="1004"/>
      <c r="N238" s="1004"/>
      <c r="O238" s="1004"/>
      <c r="P238" s="1004"/>
      <c r="Q238" s="1004"/>
      <c r="R238" s="1004"/>
      <c r="S238" s="1004"/>
      <c r="T238" s="1004"/>
      <c r="U238" s="1004"/>
      <c r="V238" s="1004"/>
      <c r="W238" s="1004"/>
      <c r="X238" s="1004"/>
      <c r="Y238" s="1004"/>
      <c r="Z238" s="1004"/>
      <c r="AA238" s="1004"/>
      <c r="AB238" s="1004"/>
      <c r="AC238" s="1004"/>
      <c r="AD238" s="1004"/>
      <c r="AE238" s="15"/>
      <c r="AF238" s="15"/>
      <c r="AG238" s="15"/>
      <c r="AH238" s="15"/>
      <c r="AI238" s="15"/>
      <c r="AJ238" s="15"/>
      <c r="AK238" s="15"/>
      <c r="AL238" s="15"/>
      <c r="AM238" s="15"/>
      <c r="AN238" s="15"/>
      <c r="AO238" s="15"/>
      <c r="AP238" s="15"/>
      <c r="AQ238" s="15"/>
      <c r="AR238" s="15"/>
      <c r="AS238" s="15"/>
      <c r="AT238" s="15"/>
      <c r="AU238" s="15"/>
      <c r="AV238" s="15"/>
      <c r="AW238" s="15"/>
      <c r="AX238" s="15"/>
      <c r="AY238" s="15"/>
      <c r="AZ238" s="15"/>
      <c r="BA238" s="15"/>
      <c r="BB238" s="15"/>
      <c r="BC238" s="980"/>
      <c r="BD238" s="1004"/>
      <c r="BE238" s="1004"/>
      <c r="BF238" s="1004"/>
      <c r="BG238" s="1004"/>
      <c r="BH238" s="1004"/>
      <c r="BI238" s="1004"/>
      <c r="BJ238" s="1004"/>
      <c r="BK238" s="1004"/>
      <c r="BL238" s="1004"/>
      <c r="BM238" s="1004"/>
      <c r="BN238" s="1004"/>
      <c r="BO238" s="1004"/>
      <c r="BP238" s="1004"/>
      <c r="BQ238" s="1004"/>
      <c r="BR238" s="1004"/>
      <c r="BS238" s="1010"/>
      <c r="BT238" s="398"/>
      <c r="BU238" s="398"/>
      <c r="BV238" s="398"/>
      <c r="BW238" s="398"/>
      <c r="BX238" s="1004"/>
      <c r="BY238" s="1004"/>
      <c r="BZ238" s="1004"/>
      <c r="CA238" s="1004"/>
      <c r="CB238" s="1004"/>
      <c r="CC238" s="1004"/>
      <c r="CD238" s="1004"/>
      <c r="CE238" s="1004"/>
      <c r="CF238" s="1004"/>
      <c r="CG238" s="1004"/>
      <c r="CH238" s="1004"/>
      <c r="CI238" s="1004"/>
      <c r="CJ238" s="1004"/>
      <c r="CK238" s="1004"/>
      <c r="CL238" s="1004"/>
      <c r="CM238" s="1004"/>
      <c r="CN238" s="1004"/>
      <c r="CO238" s="1004"/>
      <c r="CP238" s="1004"/>
      <c r="CQ238" s="1004"/>
      <c r="CR238" s="1004"/>
      <c r="CS238" s="1004"/>
      <c r="CT238" s="1004"/>
      <c r="CU238" s="1004"/>
      <c r="CV238" s="1004"/>
      <c r="CW238" s="1004"/>
      <c r="CX238" s="1004"/>
      <c r="CY238" s="1004"/>
      <c r="CZ238" s="1004"/>
      <c r="DA238" s="1004"/>
      <c r="DB238" s="1004"/>
      <c r="DC238" s="1004"/>
    </row>
    <row r="239" spans="1:107" hidden="1" outlineLevel="1">
      <c r="A239" s="2197"/>
      <c r="B239" s="132" t="s">
        <v>237</v>
      </c>
      <c r="C239" s="132"/>
      <c r="D239" s="132"/>
      <c r="E239" s="132"/>
      <c r="F239" s="132"/>
      <c r="G239" s="132"/>
      <c r="H239" s="132"/>
      <c r="I239" s="132"/>
      <c r="J239" s="132"/>
      <c r="K239" s="132"/>
      <c r="L239" s="132"/>
      <c r="M239" s="132"/>
      <c r="N239" s="132"/>
      <c r="O239" s="132"/>
      <c r="P239" s="132"/>
      <c r="Q239" s="132"/>
      <c r="R239" s="132"/>
      <c r="S239" s="132"/>
      <c r="T239" s="132"/>
      <c r="U239" s="132"/>
      <c r="V239" s="132"/>
      <c r="W239" s="132"/>
      <c r="X239" s="132"/>
      <c r="Y239" s="132"/>
      <c r="Z239" s="132"/>
      <c r="AA239" s="132"/>
      <c r="AB239" s="132"/>
      <c r="AC239" s="132"/>
      <c r="AD239" s="132"/>
      <c r="AE239" s="15"/>
      <c r="AF239" s="132"/>
      <c r="AG239" s="132"/>
      <c r="AH239" s="132"/>
      <c r="AI239" s="132"/>
      <c r="AJ239" s="132"/>
      <c r="AK239" s="132"/>
      <c r="AL239" s="132"/>
      <c r="AM239" s="132"/>
      <c r="AN239" s="132"/>
      <c r="AO239" s="132"/>
      <c r="AP239" s="132"/>
      <c r="AQ239" s="132"/>
      <c r="AR239" s="132"/>
      <c r="AS239" s="132"/>
      <c r="AT239" s="132"/>
      <c r="AU239" s="132"/>
      <c r="AV239" s="132"/>
      <c r="AW239" s="132"/>
      <c r="AX239" s="132"/>
      <c r="AY239" s="132"/>
      <c r="AZ239" s="132"/>
      <c r="BA239" s="132"/>
      <c r="BB239" s="132"/>
      <c r="BC239" s="132"/>
      <c r="BD239" s="132"/>
      <c r="BE239" s="132"/>
      <c r="BF239" s="132"/>
      <c r="BG239" s="132"/>
      <c r="BH239" s="132"/>
      <c r="BI239" s="132"/>
      <c r="BJ239" s="132"/>
      <c r="BK239" s="132"/>
      <c r="BL239" s="132"/>
      <c r="BM239" s="132"/>
      <c r="BN239" s="132"/>
      <c r="BO239" s="132"/>
      <c r="BP239" s="132"/>
      <c r="BQ239" s="132"/>
      <c r="BR239" s="132"/>
      <c r="BS239" s="132"/>
      <c r="BT239" s="132"/>
      <c r="BU239" s="132"/>
      <c r="BV239" s="132"/>
      <c r="BW239" s="132"/>
      <c r="BX239" s="132"/>
      <c r="BY239" s="132"/>
      <c r="BZ239" s="132"/>
      <c r="CA239" s="132"/>
      <c r="CB239" s="132"/>
      <c r="CC239" s="132"/>
      <c r="CD239" s="132"/>
      <c r="CE239" s="132"/>
      <c r="CF239" s="132"/>
      <c r="CG239" s="132"/>
      <c r="CH239" s="132"/>
      <c r="CI239" s="132"/>
      <c r="CJ239" s="87"/>
      <c r="CK239" s="87"/>
      <c r="CL239" s="87"/>
      <c r="CM239" s="87"/>
      <c r="CN239" s="87"/>
      <c r="CO239" s="87"/>
      <c r="CP239" s="87"/>
      <c r="CQ239" s="87"/>
      <c r="CR239" s="132"/>
      <c r="CS239" s="132"/>
      <c r="CT239" s="132"/>
      <c r="CU239" s="132"/>
      <c r="CV239" s="132"/>
      <c r="CW239" s="132"/>
      <c r="CX239" s="132"/>
      <c r="CY239" s="132"/>
      <c r="CZ239" s="132"/>
      <c r="DA239" s="132"/>
      <c r="DB239" s="132"/>
      <c r="DC239" s="132"/>
    </row>
    <row r="240" spans="1:107" hidden="1" outlineLevel="1">
      <c r="A240" s="2197"/>
      <c r="B240" s="876" t="s">
        <v>1118</v>
      </c>
      <c r="C240" s="15"/>
      <c r="D240" s="15"/>
      <c r="E240" s="15"/>
      <c r="F240" s="15"/>
      <c r="G240" s="15"/>
      <c r="H240" s="15"/>
      <c r="I240" s="15"/>
      <c r="J240" s="26"/>
      <c r="K240" s="54"/>
      <c r="L240" s="26"/>
      <c r="M240" s="26"/>
      <c r="N240" s="26"/>
      <c r="O240" s="26"/>
      <c r="P240" s="26">
        <f t="shared" ref="P240:Z240" si="516">O242</f>
        <v>0</v>
      </c>
      <c r="Q240" s="26">
        <f t="shared" si="516"/>
        <v>0</v>
      </c>
      <c r="R240" s="26">
        <f t="shared" si="516"/>
        <v>750</v>
      </c>
      <c r="S240" s="26">
        <f t="shared" si="516"/>
        <v>750</v>
      </c>
      <c r="T240" s="26">
        <f t="shared" si="516"/>
        <v>0</v>
      </c>
      <c r="U240" s="26">
        <f t="shared" si="516"/>
        <v>0</v>
      </c>
      <c r="V240" s="26">
        <f t="shared" si="516"/>
        <v>0</v>
      </c>
      <c r="W240" s="26">
        <f t="shared" si="516"/>
        <v>0</v>
      </c>
      <c r="X240" s="26">
        <f t="shared" si="516"/>
        <v>0</v>
      </c>
      <c r="Y240" s="26">
        <f t="shared" si="516"/>
        <v>0</v>
      </c>
      <c r="Z240" s="26">
        <f t="shared" si="516"/>
        <v>0</v>
      </c>
      <c r="AA240" s="26">
        <f t="shared" ref="AA240" si="517">Z242</f>
        <v>0</v>
      </c>
      <c r="AB240" s="26">
        <f t="shared" ref="AB240" si="518">AA242</f>
        <v>0</v>
      </c>
      <c r="AC240" s="26">
        <f t="shared" ref="AC240" si="519">AB242</f>
        <v>0</v>
      </c>
      <c r="AD240" s="26">
        <f t="shared" ref="AD240" si="520">AC242</f>
        <v>0</v>
      </c>
      <c r="AE240" s="15"/>
      <c r="AF240" s="26"/>
      <c r="AG240" s="26"/>
      <c r="AH240" s="26"/>
      <c r="AI240" s="26"/>
      <c r="AJ240" s="26"/>
      <c r="AK240" s="26"/>
      <c r="AL240" s="26"/>
      <c r="AM240" s="26"/>
      <c r="AN240" s="26"/>
      <c r="AO240" s="26"/>
      <c r="AP240" s="26"/>
      <c r="AQ240" s="26"/>
      <c r="AR240" s="26"/>
      <c r="AS240" s="26"/>
      <c r="AT240" s="26"/>
      <c r="AU240" s="26"/>
      <c r="AV240" s="26"/>
      <c r="AW240" s="26"/>
      <c r="AX240" s="26"/>
      <c r="AY240" s="26"/>
      <c r="AZ240" s="26"/>
      <c r="BA240" s="26"/>
      <c r="BB240" s="26"/>
      <c r="BC240" s="26"/>
      <c r="BD240" s="26"/>
      <c r="BE240" s="26"/>
      <c r="BF240" s="26"/>
      <c r="BG240" s="26"/>
      <c r="BH240" s="26"/>
      <c r="BI240" s="26"/>
      <c r="BJ240" s="26"/>
      <c r="BK240" s="26"/>
      <c r="BL240" s="26"/>
      <c r="BM240" s="26"/>
      <c r="BN240" s="26"/>
      <c r="BO240" s="26"/>
      <c r="BP240" s="26"/>
      <c r="BQ240" s="26"/>
      <c r="BR240" s="783"/>
      <c r="BS240" s="783"/>
      <c r="BT240" s="26"/>
      <c r="BU240" s="26"/>
      <c r="BV240" s="26"/>
      <c r="BW240" s="26"/>
      <c r="BX240" s="26"/>
      <c r="BY240" s="26"/>
      <c r="BZ240" s="26"/>
      <c r="CA240" s="26"/>
      <c r="CB240" s="26"/>
      <c r="CC240" s="26">
        <f t="shared" ref="CC240:CU240" si="521">CB242</f>
        <v>750</v>
      </c>
      <c r="CD240" s="26">
        <f t="shared" si="521"/>
        <v>750</v>
      </c>
      <c r="CE240" s="26">
        <f t="shared" si="521"/>
        <v>750</v>
      </c>
      <c r="CF240" s="26">
        <f t="shared" si="521"/>
        <v>750</v>
      </c>
      <c r="CG240" s="26">
        <f t="shared" si="521"/>
        <v>750</v>
      </c>
      <c r="CH240" s="26">
        <f t="shared" si="521"/>
        <v>750</v>
      </c>
      <c r="CI240" s="26">
        <f t="shared" si="521"/>
        <v>750</v>
      </c>
      <c r="CJ240" s="26">
        <f t="shared" si="521"/>
        <v>750</v>
      </c>
      <c r="CK240" s="26">
        <f t="shared" si="521"/>
        <v>750</v>
      </c>
      <c r="CL240" s="26">
        <f t="shared" si="521"/>
        <v>750</v>
      </c>
      <c r="CM240" s="26">
        <f t="shared" si="521"/>
        <v>750</v>
      </c>
      <c r="CN240" s="26">
        <f t="shared" si="521"/>
        <v>0</v>
      </c>
      <c r="CO240" s="26">
        <f t="shared" si="521"/>
        <v>0</v>
      </c>
      <c r="CP240" s="26">
        <f t="shared" si="521"/>
        <v>0</v>
      </c>
      <c r="CQ240" s="26">
        <f t="shared" si="521"/>
        <v>0</v>
      </c>
      <c r="CR240" s="26">
        <f t="shared" si="521"/>
        <v>0</v>
      </c>
      <c r="CS240" s="26">
        <f t="shared" si="521"/>
        <v>0</v>
      </c>
      <c r="CT240" s="26">
        <f t="shared" si="521"/>
        <v>0</v>
      </c>
      <c r="CU240" s="26">
        <f t="shared" si="521"/>
        <v>0</v>
      </c>
      <c r="CV240" s="26">
        <f>CU242</f>
        <v>0</v>
      </c>
      <c r="CW240" s="26">
        <f>CV242</f>
        <v>0</v>
      </c>
      <c r="CX240" s="26">
        <f>CW242</f>
        <v>0</v>
      </c>
      <c r="CY240" s="26">
        <f>CX242</f>
        <v>0</v>
      </c>
      <c r="CZ240" s="26">
        <f t="shared" ref="CZ240:DC240" si="522">CY242</f>
        <v>0</v>
      </c>
      <c r="DA240" s="26">
        <f t="shared" si="522"/>
        <v>0</v>
      </c>
      <c r="DB240" s="26">
        <f t="shared" si="522"/>
        <v>0</v>
      </c>
      <c r="DC240" s="26">
        <f t="shared" si="522"/>
        <v>0</v>
      </c>
    </row>
    <row r="241" spans="1:107" hidden="1" outlineLevel="1">
      <c r="A241" s="2197"/>
      <c r="B241" s="876" t="s">
        <v>1121</v>
      </c>
      <c r="C241" s="15"/>
      <c r="D241" s="15"/>
      <c r="E241" s="15"/>
      <c r="F241" s="15"/>
      <c r="G241" s="15"/>
      <c r="H241" s="15"/>
      <c r="I241" s="15"/>
      <c r="J241" s="26"/>
      <c r="K241" s="54"/>
      <c r="L241" s="26"/>
      <c r="M241" s="26"/>
      <c r="N241" s="26"/>
      <c r="O241" s="26"/>
      <c r="P241" s="26">
        <f t="shared" ref="P241:U241" si="523">P242-P240</f>
        <v>0</v>
      </c>
      <c r="Q241" s="26">
        <f t="shared" si="523"/>
        <v>750</v>
      </c>
      <c r="R241" s="26">
        <f t="shared" si="523"/>
        <v>0</v>
      </c>
      <c r="S241" s="26">
        <f t="shared" si="523"/>
        <v>-750</v>
      </c>
      <c r="T241" s="26">
        <f t="shared" si="523"/>
        <v>0</v>
      </c>
      <c r="U241" s="26">
        <f t="shared" si="523"/>
        <v>0</v>
      </c>
      <c r="V241" s="26">
        <f>V242-V240</f>
        <v>0</v>
      </c>
      <c r="W241" s="26">
        <f>W242-W240</f>
        <v>0</v>
      </c>
      <c r="X241" s="26">
        <v>0</v>
      </c>
      <c r="Y241" s="26">
        <v>0</v>
      </c>
      <c r="Z241" s="26">
        <v>0</v>
      </c>
      <c r="AA241" s="26">
        <v>0</v>
      </c>
      <c r="AB241" s="26">
        <v>0</v>
      </c>
      <c r="AC241" s="26">
        <v>0</v>
      </c>
      <c r="AD241" s="26">
        <v>0</v>
      </c>
      <c r="AE241" s="15"/>
      <c r="AF241" s="15"/>
      <c r="AG241" s="15"/>
      <c r="AH241" s="15"/>
      <c r="AI241" s="15"/>
      <c r="AJ241" s="15"/>
      <c r="AK241" s="15"/>
      <c r="AL241" s="15"/>
      <c r="AM241" s="15"/>
      <c r="AN241" s="15"/>
      <c r="AO241" s="15"/>
      <c r="AP241" s="15"/>
      <c r="AQ241" s="15"/>
      <c r="AR241" s="15"/>
      <c r="AS241" s="15"/>
      <c r="AT241" s="15"/>
      <c r="AU241" s="15"/>
      <c r="AV241" s="15"/>
      <c r="AW241" s="15"/>
      <c r="AX241" s="15"/>
      <c r="AY241" s="15"/>
      <c r="AZ241" s="15"/>
      <c r="BA241" s="15"/>
      <c r="BB241" s="15"/>
      <c r="BC241" s="15"/>
      <c r="BD241" s="15"/>
      <c r="BE241" s="15"/>
      <c r="BF241" s="15"/>
      <c r="BG241" s="15"/>
      <c r="BH241" s="15"/>
      <c r="BI241" s="15"/>
      <c r="BJ241" s="15"/>
      <c r="BK241" s="15"/>
      <c r="BL241" s="26"/>
      <c r="BM241" s="26"/>
      <c r="BN241" s="26"/>
      <c r="BO241" s="26"/>
      <c r="BP241" s="26"/>
      <c r="BQ241" s="26"/>
      <c r="BR241" s="783"/>
      <c r="BS241" s="783"/>
      <c r="BT241" s="26"/>
      <c r="BU241" s="398"/>
      <c r="BV241" s="398"/>
      <c r="BW241" s="398"/>
      <c r="BX241" s="398"/>
      <c r="BY241" s="26"/>
      <c r="BZ241" s="26"/>
      <c r="CA241" s="26"/>
      <c r="CB241" s="26"/>
      <c r="CC241" s="26">
        <v>0</v>
      </c>
      <c r="CD241" s="26">
        <v>0</v>
      </c>
      <c r="CE241" s="26">
        <v>0</v>
      </c>
      <c r="CF241" s="26">
        <v>0</v>
      </c>
      <c r="CG241" s="26">
        <v>0</v>
      </c>
      <c r="CH241" s="26">
        <v>0</v>
      </c>
      <c r="CI241" s="26">
        <v>0</v>
      </c>
      <c r="CJ241" s="26">
        <v>0</v>
      </c>
      <c r="CK241" s="26">
        <v>0</v>
      </c>
      <c r="CL241" s="26">
        <v>0</v>
      </c>
      <c r="CM241" s="2122">
        <f>-CM240</f>
        <v>-750</v>
      </c>
      <c r="CN241" s="26">
        <v>0</v>
      </c>
      <c r="CO241" s="26">
        <v>0</v>
      </c>
      <c r="CP241" s="26">
        <v>0</v>
      </c>
      <c r="CQ241" s="26">
        <v>0</v>
      </c>
      <c r="CR241" s="26">
        <v>0</v>
      </c>
      <c r="CS241" s="26">
        <v>0</v>
      </c>
      <c r="CT241" s="26">
        <v>0</v>
      </c>
      <c r="CU241" s="26">
        <v>0</v>
      </c>
      <c r="CV241" s="26">
        <v>0</v>
      </c>
      <c r="CW241" s="26">
        <v>0</v>
      </c>
      <c r="CX241" s="26">
        <v>0</v>
      </c>
      <c r="CY241" s="26">
        <v>0</v>
      </c>
      <c r="CZ241" s="26">
        <v>0</v>
      </c>
      <c r="DA241" s="26">
        <v>0</v>
      </c>
      <c r="DB241" s="26">
        <v>0</v>
      </c>
      <c r="DC241" s="26">
        <v>0</v>
      </c>
    </row>
    <row r="242" spans="1:107" hidden="1" outlineLevel="1">
      <c r="A242" s="2197"/>
      <c r="B242" s="876" t="s">
        <v>261</v>
      </c>
      <c r="C242" s="15"/>
      <c r="D242" s="15"/>
      <c r="E242" s="15"/>
      <c r="F242" s="15"/>
      <c r="G242" s="15"/>
      <c r="H242" s="15"/>
      <c r="I242" s="15"/>
      <c r="J242" s="26"/>
      <c r="K242" s="54"/>
      <c r="L242" s="26"/>
      <c r="M242" s="26"/>
      <c r="N242" s="26"/>
      <c r="O242" s="26">
        <f>BW242</f>
        <v>0</v>
      </c>
      <c r="P242" s="26">
        <f>CA242</f>
        <v>0</v>
      </c>
      <c r="Q242" s="26">
        <f>CE242</f>
        <v>750</v>
      </c>
      <c r="R242" s="26">
        <f>CI242</f>
        <v>750</v>
      </c>
      <c r="S242" s="26">
        <f>CM242</f>
        <v>0</v>
      </c>
      <c r="T242" s="26">
        <f>CQ242</f>
        <v>0</v>
      </c>
      <c r="U242" s="26">
        <f>CR242</f>
        <v>0</v>
      </c>
      <c r="V242" s="26">
        <f>CS242</f>
        <v>0</v>
      </c>
      <c r="W242" s="26">
        <f>CT242</f>
        <v>0</v>
      </c>
      <c r="X242" s="26">
        <f>SUM(X240:X241)</f>
        <v>0</v>
      </c>
      <c r="Y242" s="26">
        <f>SUM(Y240:Y241)</f>
        <v>0</v>
      </c>
      <c r="Z242" s="26">
        <f>SUM(Z240:Z241)</f>
        <v>0</v>
      </c>
      <c r="AA242" s="26">
        <f t="shared" ref="AA242:AD242" si="524">SUM(AA240:AA241)</f>
        <v>0</v>
      </c>
      <c r="AB242" s="26">
        <f t="shared" si="524"/>
        <v>0</v>
      </c>
      <c r="AC242" s="26">
        <f t="shared" si="524"/>
        <v>0</v>
      </c>
      <c r="AD242" s="26">
        <f t="shared" si="524"/>
        <v>0</v>
      </c>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c r="BK242" s="15"/>
      <c r="BL242" s="26"/>
      <c r="BM242" s="26"/>
      <c r="BN242" s="26"/>
      <c r="BO242" s="26"/>
      <c r="BP242" s="26"/>
      <c r="BQ242" s="26"/>
      <c r="BR242" s="783"/>
      <c r="BS242" s="783"/>
      <c r="BT242" s="814"/>
      <c r="BU242" s="26"/>
      <c r="BV242" s="26"/>
      <c r="BW242" s="26"/>
      <c r="BX242" s="26"/>
      <c r="BY242" s="26"/>
      <c r="BZ242" s="814"/>
      <c r="CA242" s="814"/>
      <c r="CB242" s="814">
        <v>750</v>
      </c>
      <c r="CC242" s="26">
        <f t="shared" ref="CC242:CT242" si="525">SUM(CC240:CC241)</f>
        <v>750</v>
      </c>
      <c r="CD242" s="26">
        <f t="shared" si="525"/>
        <v>750</v>
      </c>
      <c r="CE242" s="26">
        <f t="shared" si="525"/>
        <v>750</v>
      </c>
      <c r="CF242" s="26">
        <f t="shared" si="525"/>
        <v>750</v>
      </c>
      <c r="CG242" s="26">
        <f t="shared" si="525"/>
        <v>750</v>
      </c>
      <c r="CH242" s="26">
        <f t="shared" si="525"/>
        <v>750</v>
      </c>
      <c r="CI242" s="26">
        <f t="shared" si="525"/>
        <v>750</v>
      </c>
      <c r="CJ242" s="26">
        <f t="shared" si="525"/>
        <v>750</v>
      </c>
      <c r="CK242" s="26">
        <f t="shared" si="525"/>
        <v>750</v>
      </c>
      <c r="CL242" s="26">
        <f t="shared" si="525"/>
        <v>750</v>
      </c>
      <c r="CM242" s="26">
        <f t="shared" si="525"/>
        <v>0</v>
      </c>
      <c r="CN242" s="26">
        <f t="shared" si="525"/>
        <v>0</v>
      </c>
      <c r="CO242" s="26">
        <f t="shared" si="525"/>
        <v>0</v>
      </c>
      <c r="CP242" s="26">
        <f t="shared" si="525"/>
        <v>0</v>
      </c>
      <c r="CQ242" s="26">
        <f>SUM(CQ240:CQ241)</f>
        <v>0</v>
      </c>
      <c r="CR242" s="26">
        <f t="shared" si="525"/>
        <v>0</v>
      </c>
      <c r="CS242" s="26">
        <f t="shared" si="525"/>
        <v>0</v>
      </c>
      <c r="CT242" s="26">
        <f t="shared" si="525"/>
        <v>0</v>
      </c>
      <c r="CU242" s="26">
        <f>SUM(CU240:CU241)</f>
        <v>0</v>
      </c>
      <c r="CV242" s="26">
        <f>SUM(CV240:CV241)</f>
        <v>0</v>
      </c>
      <c r="CW242" s="26">
        <f>SUM(CW240:CW241)</f>
        <v>0</v>
      </c>
      <c r="CX242" s="26">
        <f>SUM(CX240:CX241)</f>
        <v>0</v>
      </c>
      <c r="CY242" s="26">
        <f>SUM(CY240:CY241)</f>
        <v>0</v>
      </c>
      <c r="CZ242" s="26">
        <f t="shared" ref="CZ242:DC242" si="526">SUM(CZ240:CZ241)</f>
        <v>0</v>
      </c>
      <c r="DA242" s="26">
        <f t="shared" si="526"/>
        <v>0</v>
      </c>
      <c r="DB242" s="26">
        <f t="shared" si="526"/>
        <v>0</v>
      </c>
      <c r="DC242" s="26">
        <f t="shared" si="526"/>
        <v>0</v>
      </c>
    </row>
    <row r="243" spans="1:107" hidden="1" outlineLevel="1">
      <c r="A243" s="2197"/>
      <c r="B243" s="876" t="s">
        <v>262</v>
      </c>
      <c r="C243" s="15"/>
      <c r="D243" s="15"/>
      <c r="E243" s="15"/>
      <c r="F243" s="15"/>
      <c r="G243" s="15"/>
      <c r="H243" s="15"/>
      <c r="I243" s="15"/>
      <c r="J243" s="15"/>
      <c r="K243" s="783"/>
      <c r="L243" s="1004"/>
      <c r="M243" s="1004"/>
      <c r="N243" s="1004"/>
      <c r="O243" s="1004"/>
      <c r="P243" s="1004"/>
      <c r="Q243" s="1004"/>
      <c r="R243" s="1004"/>
      <c r="S243" s="1004"/>
      <c r="T243" s="1004"/>
      <c r="U243" s="1004"/>
      <c r="V243" s="1004"/>
      <c r="W243" s="1004"/>
      <c r="X243" s="1004"/>
      <c r="Y243" s="1004"/>
      <c r="Z243" s="1004"/>
      <c r="AA243" s="1004"/>
      <c r="AB243" s="1004"/>
      <c r="AC243" s="1004"/>
      <c r="AD243" s="1004"/>
      <c r="AE243" s="15"/>
      <c r="AF243" s="15"/>
      <c r="AG243" s="15"/>
      <c r="AH243" s="15"/>
      <c r="AI243" s="15"/>
      <c r="AJ243" s="15"/>
      <c r="AK243" s="15"/>
      <c r="AL243" s="15"/>
      <c r="AM243" s="15"/>
      <c r="AN243" s="15"/>
      <c r="AO243" s="15"/>
      <c r="AP243" s="15"/>
      <c r="AQ243" s="15"/>
      <c r="AR243" s="15"/>
      <c r="AS243" s="15"/>
      <c r="AT243" s="15"/>
      <c r="AU243" s="15"/>
      <c r="AV243" s="15"/>
      <c r="AW243" s="15"/>
      <c r="AX243" s="15"/>
      <c r="AY243" s="15"/>
      <c r="AZ243" s="15"/>
      <c r="BA243" s="15"/>
      <c r="BB243" s="15"/>
      <c r="BC243" s="980"/>
      <c r="BD243" s="1004"/>
      <c r="BE243" s="1004"/>
      <c r="BF243" s="1004"/>
      <c r="BG243" s="1004"/>
      <c r="BH243" s="1004"/>
      <c r="BI243" s="1004"/>
      <c r="BJ243" s="1004"/>
      <c r="BK243" s="1004"/>
      <c r="BL243" s="1004"/>
      <c r="BM243" s="1004"/>
      <c r="BN243" s="1004"/>
      <c r="BO243" s="1004"/>
      <c r="BP243" s="1004"/>
      <c r="BQ243" s="1004"/>
      <c r="BR243" s="1004"/>
      <c r="BS243" s="1010"/>
      <c r="BT243" s="398"/>
      <c r="BU243" s="398"/>
      <c r="BV243" s="398"/>
      <c r="BW243" s="398"/>
      <c r="BX243" s="1004"/>
      <c r="BY243" s="1004"/>
      <c r="BZ243" s="1004"/>
      <c r="CA243" s="1004"/>
      <c r="CB243" s="1004"/>
      <c r="CC243" s="1004"/>
      <c r="CD243" s="1004"/>
      <c r="CE243" s="1004"/>
      <c r="CF243" s="1004"/>
      <c r="CG243" s="1004"/>
      <c r="CH243" s="1004"/>
      <c r="CI243" s="1004"/>
      <c r="CJ243" s="1004"/>
      <c r="CK243" s="1004"/>
      <c r="CL243" s="1004"/>
      <c r="CM243" s="1004"/>
      <c r="CN243" s="1004"/>
      <c r="CO243" s="1004"/>
      <c r="CP243" s="1004"/>
      <c r="CQ243" s="1004"/>
      <c r="CR243" s="1004"/>
      <c r="CS243" s="1004"/>
      <c r="CT243" s="1004"/>
      <c r="CU243" s="1004"/>
      <c r="CV243" s="1004"/>
      <c r="CW243" s="1004"/>
      <c r="CX243" s="1004"/>
      <c r="CY243" s="1004"/>
      <c r="CZ243" s="1004"/>
      <c r="DA243" s="1004"/>
      <c r="DB243" s="1004"/>
      <c r="DC243" s="1004"/>
    </row>
    <row r="244" spans="1:107" hidden="1" outlineLevel="1">
      <c r="A244" s="15"/>
      <c r="B244" s="876"/>
      <c r="C244" s="15"/>
      <c r="D244" s="15"/>
      <c r="E244" s="15"/>
      <c r="F244" s="15"/>
      <c r="G244" s="15"/>
      <c r="H244" s="15"/>
      <c r="I244" s="15"/>
      <c r="J244" s="15"/>
      <c r="K244" s="783"/>
      <c r="L244" s="1004"/>
      <c r="M244" s="1004"/>
      <c r="N244" s="1004"/>
      <c r="O244" s="1004"/>
      <c r="P244" s="1004"/>
      <c r="Q244" s="1004"/>
      <c r="R244" s="1004"/>
      <c r="S244" s="1004"/>
      <c r="T244" s="1004"/>
      <c r="U244" s="1004"/>
      <c r="V244" s="1004"/>
      <c r="W244" s="1004"/>
      <c r="X244" s="1004"/>
      <c r="Y244" s="1004"/>
      <c r="Z244" s="1004"/>
      <c r="AA244" s="1004"/>
      <c r="AB244" s="1004"/>
      <c r="AC244" s="1004"/>
      <c r="AD244" s="1004"/>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980"/>
      <c r="BD244" s="1004"/>
      <c r="BE244" s="1004"/>
      <c r="BF244" s="1004"/>
      <c r="BG244" s="1004"/>
      <c r="BH244" s="1004"/>
      <c r="BI244" s="1004"/>
      <c r="BJ244" s="1004"/>
      <c r="BK244" s="1004"/>
      <c r="BL244" s="1004"/>
      <c r="BM244" s="1004"/>
      <c r="BN244" s="1004"/>
      <c r="BO244" s="1004"/>
      <c r="BP244" s="1004"/>
      <c r="BQ244" s="1004"/>
      <c r="BR244" s="1004"/>
      <c r="BS244" s="1010"/>
      <c r="BT244" s="398"/>
      <c r="BU244" s="398"/>
      <c r="BV244" s="398"/>
      <c r="BW244" s="398"/>
      <c r="BX244" s="1004"/>
      <c r="BY244" s="1004"/>
      <c r="BZ244" s="1004"/>
      <c r="CA244" s="1004"/>
      <c r="CB244" s="1004"/>
      <c r="CC244" s="1004"/>
      <c r="CD244" s="1004"/>
      <c r="CE244" s="1004"/>
      <c r="CF244" s="1004"/>
      <c r="CG244" s="1004"/>
      <c r="CH244" s="1004"/>
      <c r="CI244" s="1004"/>
      <c r="CJ244" s="1004"/>
      <c r="CK244" s="1004"/>
      <c r="CL244" s="1004"/>
      <c r="CM244" s="1004"/>
      <c r="CN244" s="1004"/>
      <c r="CO244" s="1004"/>
      <c r="CP244" s="1004"/>
      <c r="CQ244" s="1004"/>
      <c r="CR244" s="1004"/>
      <c r="CS244" s="1004"/>
      <c r="CT244" s="1004"/>
      <c r="CU244" s="1004"/>
      <c r="CV244" s="1004"/>
      <c r="CW244" s="1004"/>
      <c r="CX244" s="1004"/>
      <c r="CY244" s="1004"/>
      <c r="CZ244" s="1004"/>
      <c r="DA244" s="1004"/>
      <c r="DB244" s="1004"/>
      <c r="DC244" s="1004"/>
    </row>
    <row r="245" spans="1:107" hidden="1" outlineLevel="1" collapsed="1">
      <c r="A245" s="2196"/>
      <c r="B245" s="132" t="s">
        <v>454</v>
      </c>
      <c r="C245" s="132"/>
      <c r="D245" s="132"/>
      <c r="E245" s="132"/>
      <c r="F245" s="132"/>
      <c r="G245" s="132"/>
      <c r="H245" s="132"/>
      <c r="I245" s="132"/>
      <c r="J245" s="132"/>
      <c r="K245" s="132"/>
      <c r="L245" s="132"/>
      <c r="M245" s="132"/>
      <c r="N245" s="132"/>
      <c r="O245" s="132"/>
      <c r="P245" s="132"/>
      <c r="Q245" s="132"/>
      <c r="R245" s="132"/>
      <c r="S245" s="132"/>
      <c r="T245" s="132"/>
      <c r="U245" s="132"/>
      <c r="V245" s="132"/>
      <c r="W245" s="132"/>
      <c r="X245" s="132"/>
      <c r="Y245" s="132"/>
      <c r="Z245" s="132"/>
      <c r="AA245" s="132"/>
      <c r="AB245" s="132"/>
      <c r="AC245" s="132"/>
      <c r="AD245" s="132"/>
      <c r="AE245" s="15"/>
      <c r="AF245" s="132"/>
      <c r="AG245" s="132"/>
      <c r="AH245" s="132"/>
      <c r="AI245" s="132"/>
      <c r="AJ245" s="132"/>
      <c r="AK245" s="132"/>
      <c r="AL245" s="132"/>
      <c r="AM245" s="132"/>
      <c r="AN245" s="132"/>
      <c r="AO245" s="132"/>
      <c r="AP245" s="132"/>
      <c r="AQ245" s="132"/>
      <c r="AR245" s="132"/>
      <c r="AS245" s="132"/>
      <c r="AT245" s="132"/>
      <c r="AU245" s="132"/>
      <c r="AV245" s="132"/>
      <c r="AW245" s="132"/>
      <c r="AX245" s="132"/>
      <c r="AY245" s="132"/>
      <c r="AZ245" s="132"/>
      <c r="BA245" s="132"/>
      <c r="BB245" s="132"/>
      <c r="BC245" s="132"/>
      <c r="BD245" s="132"/>
      <c r="BE245" s="132"/>
      <c r="BF245" s="132"/>
      <c r="BG245" s="132"/>
      <c r="BH245" s="132"/>
      <c r="BI245" s="132"/>
      <c r="BJ245" s="132"/>
      <c r="BK245" s="132"/>
      <c r="BL245" s="132"/>
      <c r="BM245" s="132"/>
      <c r="BN245" s="132"/>
      <c r="BO245" s="132"/>
      <c r="BP245" s="132"/>
      <c r="BQ245" s="132"/>
      <c r="BR245" s="132"/>
      <c r="BS245" s="132"/>
      <c r="BT245" s="132"/>
      <c r="BU245" s="132"/>
      <c r="BV245" s="132"/>
      <c r="BW245" s="132"/>
      <c r="BX245" s="132"/>
      <c r="BY245" s="132"/>
      <c r="BZ245" s="132"/>
      <c r="CA245" s="132"/>
      <c r="CB245" s="132"/>
      <c r="CC245" s="132"/>
      <c r="CD245" s="132"/>
      <c r="CE245" s="132"/>
      <c r="CF245" s="132"/>
      <c r="CG245" s="132"/>
      <c r="CH245" s="132"/>
      <c r="CI245" s="132"/>
      <c r="CJ245" s="132"/>
      <c r="CK245" s="132"/>
      <c r="CL245" s="132"/>
      <c r="CM245" s="132"/>
      <c r="CN245" s="132"/>
      <c r="CO245" s="132"/>
      <c r="CP245" s="132"/>
      <c r="CQ245" s="132"/>
      <c r="CR245" s="132"/>
      <c r="CS245" s="132"/>
      <c r="CT245" s="132"/>
      <c r="CU245" s="132"/>
      <c r="CV245" s="132"/>
      <c r="CW245" s="132"/>
      <c r="CX245" s="132"/>
      <c r="CY245" s="132"/>
      <c r="CZ245" s="132"/>
      <c r="DA245" s="132"/>
      <c r="DB245" s="132"/>
      <c r="DC245" s="132"/>
    </row>
    <row r="246" spans="1:107" hidden="1" outlineLevel="1">
      <c r="A246" s="2196"/>
      <c r="B246" s="876" t="s">
        <v>1118</v>
      </c>
      <c r="C246" s="15"/>
      <c r="D246" s="15"/>
      <c r="E246" s="15"/>
      <c r="F246" s="15"/>
      <c r="G246" s="15"/>
      <c r="H246" s="15"/>
      <c r="I246" s="15"/>
      <c r="J246" s="26"/>
      <c r="K246" s="54"/>
      <c r="L246" s="26"/>
      <c r="M246" s="26"/>
      <c r="N246" s="26"/>
      <c r="O246" s="26"/>
      <c r="P246" s="26">
        <f t="shared" ref="P246:Z246" si="527">O248</f>
        <v>0</v>
      </c>
      <c r="Q246" s="26">
        <f t="shared" si="527"/>
        <v>0</v>
      </c>
      <c r="R246" s="26">
        <f t="shared" si="527"/>
        <v>0</v>
      </c>
      <c r="S246" s="26">
        <f t="shared" si="527"/>
        <v>500</v>
      </c>
      <c r="T246" s="26">
        <f t="shared" si="527"/>
        <v>500</v>
      </c>
      <c r="U246" s="26">
        <f t="shared" si="527"/>
        <v>500</v>
      </c>
      <c r="V246" s="26">
        <f t="shared" si="527"/>
        <v>500</v>
      </c>
      <c r="W246" s="26">
        <f t="shared" si="527"/>
        <v>0</v>
      </c>
      <c r="X246" s="26">
        <f t="shared" si="527"/>
        <v>0</v>
      </c>
      <c r="Y246" s="26">
        <f t="shared" si="527"/>
        <v>0</v>
      </c>
      <c r="Z246" s="26">
        <f t="shared" si="527"/>
        <v>0</v>
      </c>
      <c r="AA246" s="26">
        <f t="shared" ref="AA246" si="528">Z248</f>
        <v>0</v>
      </c>
      <c r="AB246" s="26">
        <f t="shared" ref="AB246" si="529">AA248</f>
        <v>0</v>
      </c>
      <c r="AC246" s="26">
        <f t="shared" ref="AC246" si="530">AB248</f>
        <v>0</v>
      </c>
      <c r="AD246" s="26">
        <f t="shared" ref="AD246" si="531">AC248</f>
        <v>0</v>
      </c>
      <c r="AE246" s="15"/>
      <c r="AF246" s="26"/>
      <c r="AG246" s="26"/>
      <c r="AH246" s="26"/>
      <c r="AI246" s="26"/>
      <c r="AJ246" s="26"/>
      <c r="AK246" s="26"/>
      <c r="AL246" s="26"/>
      <c r="AM246" s="26"/>
      <c r="AN246" s="26"/>
      <c r="AO246" s="26"/>
      <c r="AP246" s="26"/>
      <c r="AQ246" s="26"/>
      <c r="AR246" s="26"/>
      <c r="AS246" s="26"/>
      <c r="AT246" s="26"/>
      <c r="AU246" s="26"/>
      <c r="AV246" s="26"/>
      <c r="AW246" s="26"/>
      <c r="AX246" s="26"/>
      <c r="AY246" s="26"/>
      <c r="AZ246" s="26"/>
      <c r="BA246" s="26"/>
      <c r="BB246" s="26"/>
      <c r="BC246" s="26"/>
      <c r="BD246" s="26"/>
      <c r="BE246" s="26"/>
      <c r="BF246" s="26"/>
      <c r="BG246" s="26"/>
      <c r="BH246" s="26"/>
      <c r="BI246" s="26"/>
      <c r="BJ246" s="26"/>
      <c r="BK246" s="26"/>
      <c r="BL246" s="26"/>
      <c r="BM246" s="26"/>
      <c r="BN246" s="26"/>
      <c r="BO246" s="26"/>
      <c r="BP246" s="26"/>
      <c r="BQ246" s="26"/>
      <c r="BR246" s="783"/>
      <c r="BS246" s="783"/>
      <c r="BT246" s="26"/>
      <c r="BU246" s="26"/>
      <c r="BV246" s="26"/>
      <c r="BW246" s="26"/>
      <c r="BX246" s="26"/>
      <c r="BY246" s="26"/>
      <c r="BZ246" s="26"/>
      <c r="CA246" s="26"/>
      <c r="CB246" s="26"/>
      <c r="CC246" s="26"/>
      <c r="CD246" s="26"/>
      <c r="CE246" s="26"/>
      <c r="CF246" s="26"/>
      <c r="CG246" s="26">
        <f t="shared" ref="CG246:CU246" si="532">CF248</f>
        <v>500</v>
      </c>
      <c r="CH246" s="26">
        <f t="shared" si="532"/>
        <v>500</v>
      </c>
      <c r="CI246" s="26">
        <f t="shared" si="532"/>
        <v>500</v>
      </c>
      <c r="CJ246" s="26">
        <f t="shared" si="532"/>
        <v>500</v>
      </c>
      <c r="CK246" s="26">
        <f t="shared" si="532"/>
        <v>500</v>
      </c>
      <c r="CL246" s="26">
        <f t="shared" si="532"/>
        <v>500</v>
      </c>
      <c r="CM246" s="26">
        <f t="shared" si="532"/>
        <v>500</v>
      </c>
      <c r="CN246" s="26">
        <f t="shared" si="532"/>
        <v>500</v>
      </c>
      <c r="CO246" s="26">
        <f t="shared" si="532"/>
        <v>500</v>
      </c>
      <c r="CP246" s="26">
        <f t="shared" si="532"/>
        <v>500</v>
      </c>
      <c r="CQ246" s="26">
        <f t="shared" si="532"/>
        <v>500</v>
      </c>
      <c r="CR246" s="26">
        <f t="shared" si="532"/>
        <v>500</v>
      </c>
      <c r="CS246" s="26">
        <f t="shared" si="532"/>
        <v>500</v>
      </c>
      <c r="CT246" s="26">
        <f t="shared" si="532"/>
        <v>500</v>
      </c>
      <c r="CU246" s="26">
        <f t="shared" si="532"/>
        <v>500</v>
      </c>
      <c r="CV246" s="26">
        <f>CU248</f>
        <v>500</v>
      </c>
      <c r="CW246" s="26">
        <f>CV248</f>
        <v>500</v>
      </c>
      <c r="CX246" s="26">
        <f>CW248</f>
        <v>500</v>
      </c>
      <c r="CY246" s="26">
        <f>CX248</f>
        <v>0</v>
      </c>
      <c r="CZ246" s="26">
        <f t="shared" ref="CZ246:DC246" si="533">CY248</f>
        <v>0</v>
      </c>
      <c r="DA246" s="26">
        <f t="shared" si="533"/>
        <v>0</v>
      </c>
      <c r="DB246" s="26">
        <f t="shared" si="533"/>
        <v>0</v>
      </c>
      <c r="DC246" s="26">
        <f t="shared" si="533"/>
        <v>0</v>
      </c>
    </row>
    <row r="247" spans="1:107" hidden="1" outlineLevel="1">
      <c r="A247" s="2196"/>
      <c r="B247" s="876" t="s">
        <v>1121</v>
      </c>
      <c r="C247" s="15"/>
      <c r="D247" s="15"/>
      <c r="E247" s="15"/>
      <c r="F247" s="15"/>
      <c r="G247" s="15"/>
      <c r="H247" s="15"/>
      <c r="I247" s="15"/>
      <c r="J247" s="26"/>
      <c r="K247" s="54"/>
      <c r="L247" s="26"/>
      <c r="M247" s="26"/>
      <c r="N247" s="26"/>
      <c r="O247" s="26"/>
      <c r="P247" s="26">
        <f>P248-P246</f>
        <v>0</v>
      </c>
      <c r="Q247" s="26">
        <f>Q248-Q246</f>
        <v>0</v>
      </c>
      <c r="R247" s="26">
        <f>R248-R246</f>
        <v>500</v>
      </c>
      <c r="S247" s="26">
        <f>S248-S246</f>
        <v>0</v>
      </c>
      <c r="T247" s="26">
        <f>T248-T246</f>
        <v>0</v>
      </c>
      <c r="U247" s="26">
        <f>+SUM(CR247:CU247)</f>
        <v>0</v>
      </c>
      <c r="V247" s="26">
        <f>+SUM(CV247:CY247)</f>
        <v>-500</v>
      </c>
      <c r="W247" s="26">
        <f>+SUM(CZ247:DC247)</f>
        <v>0</v>
      </c>
      <c r="X247" s="26">
        <v>0</v>
      </c>
      <c r="Y247" s="26">
        <v>0</v>
      </c>
      <c r="Z247" s="26">
        <v>0</v>
      </c>
      <c r="AA247" s="26">
        <v>0</v>
      </c>
      <c r="AB247" s="26">
        <v>0</v>
      </c>
      <c r="AC247" s="26">
        <v>0</v>
      </c>
      <c r="AD247" s="26">
        <v>0</v>
      </c>
      <c r="AE247" s="15"/>
      <c r="AF247" s="15"/>
      <c r="AG247" s="15"/>
      <c r="AH247" s="15"/>
      <c r="AI247" s="15"/>
      <c r="AJ247" s="15"/>
      <c r="AK247" s="15"/>
      <c r="AL247" s="15"/>
      <c r="AM247" s="15"/>
      <c r="AN247" s="15"/>
      <c r="AO247" s="15"/>
      <c r="AP247" s="15"/>
      <c r="AQ247" s="15"/>
      <c r="AR247" s="15"/>
      <c r="AS247" s="15"/>
      <c r="AT247" s="15"/>
      <c r="AU247" s="15"/>
      <c r="AV247" s="15"/>
      <c r="AW247" s="15"/>
      <c r="AX247" s="15"/>
      <c r="AY247" s="15"/>
      <c r="AZ247" s="15"/>
      <c r="BA247" s="15"/>
      <c r="BB247" s="15"/>
      <c r="BC247" s="15"/>
      <c r="BD247" s="15"/>
      <c r="BE247" s="15"/>
      <c r="BF247" s="15"/>
      <c r="BG247" s="15"/>
      <c r="BH247" s="15"/>
      <c r="BI247" s="15"/>
      <c r="BJ247" s="15"/>
      <c r="BK247" s="15"/>
      <c r="BL247" s="26"/>
      <c r="BM247" s="26"/>
      <c r="BN247" s="26"/>
      <c r="BO247" s="26"/>
      <c r="BP247" s="26"/>
      <c r="BQ247" s="26"/>
      <c r="BR247" s="783"/>
      <c r="BS247" s="783"/>
      <c r="BT247" s="26"/>
      <c r="BU247" s="398"/>
      <c r="BV247" s="398"/>
      <c r="BW247" s="398"/>
      <c r="BX247" s="398"/>
      <c r="BY247" s="26"/>
      <c r="BZ247" s="26"/>
      <c r="CA247" s="26"/>
      <c r="CB247" s="26"/>
      <c r="CC247" s="26"/>
      <c r="CD247" s="26"/>
      <c r="CE247" s="26"/>
      <c r="CF247" s="398">
        <v>500</v>
      </c>
      <c r="CG247" s="26">
        <v>0</v>
      </c>
      <c r="CH247" s="26">
        <v>0</v>
      </c>
      <c r="CI247" s="26">
        <v>0</v>
      </c>
      <c r="CJ247" s="26">
        <v>0</v>
      </c>
      <c r="CK247" s="26">
        <v>0</v>
      </c>
      <c r="CL247" s="26">
        <v>0</v>
      </c>
      <c r="CM247" s="26">
        <v>0</v>
      </c>
      <c r="CN247" s="26">
        <v>0</v>
      </c>
      <c r="CO247" s="26">
        <v>0</v>
      </c>
      <c r="CP247" s="26">
        <v>0</v>
      </c>
      <c r="CQ247" s="26">
        <v>0</v>
      </c>
      <c r="CR247" s="26">
        <v>0</v>
      </c>
      <c r="CS247" s="26">
        <v>0</v>
      </c>
      <c r="CT247" s="26">
        <v>0</v>
      </c>
      <c r="CU247" s="26">
        <v>0</v>
      </c>
      <c r="CV247" s="26">
        <v>0</v>
      </c>
      <c r="CW247" s="26">
        <v>0</v>
      </c>
      <c r="CX247" s="2347">
        <f>-CX246</f>
        <v>-500</v>
      </c>
      <c r="CY247" s="26">
        <v>0</v>
      </c>
      <c r="CZ247" s="26">
        <v>0</v>
      </c>
      <c r="DA247" s="26">
        <v>0</v>
      </c>
      <c r="DB247" s="26">
        <v>0</v>
      </c>
      <c r="DC247" s="26">
        <v>0</v>
      </c>
    </row>
    <row r="248" spans="1:107" hidden="1" outlineLevel="1">
      <c r="A248" s="2196"/>
      <c r="B248" s="876" t="s">
        <v>261</v>
      </c>
      <c r="C248" s="15"/>
      <c r="D248" s="15"/>
      <c r="E248" s="15"/>
      <c r="F248" s="15"/>
      <c r="G248" s="15"/>
      <c r="H248" s="15"/>
      <c r="I248" s="15"/>
      <c r="J248" s="26"/>
      <c r="K248" s="54"/>
      <c r="L248" s="26"/>
      <c r="M248" s="26"/>
      <c r="N248" s="26"/>
      <c r="O248" s="26">
        <f>BW248</f>
        <v>0</v>
      </c>
      <c r="P248" s="26">
        <f>CA248</f>
        <v>0</v>
      </c>
      <c r="Q248" s="26">
        <f>CE248</f>
        <v>0</v>
      </c>
      <c r="R248" s="26">
        <f>CI248</f>
        <v>500</v>
      </c>
      <c r="S248" s="26">
        <f>CM248</f>
        <v>500</v>
      </c>
      <c r="T248" s="26">
        <f>CQ248</f>
        <v>500</v>
      </c>
      <c r="U248" s="26">
        <f t="shared" ref="U248:Z248" si="534">SUM(U246:U247)</f>
        <v>500</v>
      </c>
      <c r="V248" s="26">
        <f>SUM(V246:V247)</f>
        <v>0</v>
      </c>
      <c r="W248" s="26">
        <f>SUM(W246:W247)</f>
        <v>0</v>
      </c>
      <c r="X248" s="26">
        <f t="shared" si="534"/>
        <v>0</v>
      </c>
      <c r="Y248" s="26">
        <f t="shared" si="534"/>
        <v>0</v>
      </c>
      <c r="Z248" s="26">
        <f t="shared" si="534"/>
        <v>0</v>
      </c>
      <c r="AA248" s="26">
        <f t="shared" ref="AA248:AD248" si="535">SUM(AA246:AA247)</f>
        <v>0</v>
      </c>
      <c r="AB248" s="26">
        <f t="shared" si="535"/>
        <v>0</v>
      </c>
      <c r="AC248" s="26">
        <f t="shared" si="535"/>
        <v>0</v>
      </c>
      <c r="AD248" s="26">
        <f t="shared" si="535"/>
        <v>0</v>
      </c>
      <c r="AE248" s="15"/>
      <c r="AF248" s="15"/>
      <c r="AG248" s="15"/>
      <c r="AH248" s="15"/>
      <c r="AI248" s="15"/>
      <c r="AJ248" s="15"/>
      <c r="AK248" s="15"/>
      <c r="AL248" s="15"/>
      <c r="AM248" s="15"/>
      <c r="AN248" s="15"/>
      <c r="AO248" s="15"/>
      <c r="AP248" s="15"/>
      <c r="AQ248" s="15"/>
      <c r="AR248" s="15"/>
      <c r="AS248" s="15"/>
      <c r="AT248" s="15"/>
      <c r="AU248" s="15"/>
      <c r="AV248" s="15"/>
      <c r="AW248" s="15"/>
      <c r="AX248" s="15"/>
      <c r="AY248" s="15"/>
      <c r="AZ248" s="15"/>
      <c r="BA248" s="15"/>
      <c r="BB248" s="15"/>
      <c r="BC248" s="15"/>
      <c r="BD248" s="15"/>
      <c r="BE248" s="15"/>
      <c r="BF248" s="15"/>
      <c r="BG248" s="15"/>
      <c r="BH248" s="15"/>
      <c r="BI248" s="15"/>
      <c r="BJ248" s="15"/>
      <c r="BK248" s="15"/>
      <c r="BL248" s="26"/>
      <c r="BM248" s="26"/>
      <c r="BN248" s="26"/>
      <c r="BO248" s="26"/>
      <c r="BP248" s="26"/>
      <c r="BQ248" s="26"/>
      <c r="BR248" s="783"/>
      <c r="BS248" s="783"/>
      <c r="BT248" s="814"/>
      <c r="BU248" s="26"/>
      <c r="BV248" s="26"/>
      <c r="BW248" s="26"/>
      <c r="BX248" s="26"/>
      <c r="BY248" s="26"/>
      <c r="BZ248" s="814"/>
      <c r="CA248" s="814"/>
      <c r="CB248" s="814"/>
      <c r="CC248" s="26"/>
      <c r="CD248" s="26"/>
      <c r="CE248" s="26"/>
      <c r="CF248" s="26">
        <f t="shared" ref="CF248:CT248" si="536">SUM(CF246:CF247)</f>
        <v>500</v>
      </c>
      <c r="CG248" s="26">
        <f t="shared" si="536"/>
        <v>500</v>
      </c>
      <c r="CH248" s="26">
        <f t="shared" si="536"/>
        <v>500</v>
      </c>
      <c r="CI248" s="26">
        <f t="shared" si="536"/>
        <v>500</v>
      </c>
      <c r="CJ248" s="26">
        <f t="shared" si="536"/>
        <v>500</v>
      </c>
      <c r="CK248" s="26">
        <f t="shared" si="536"/>
        <v>500</v>
      </c>
      <c r="CL248" s="26">
        <f t="shared" si="536"/>
        <v>500</v>
      </c>
      <c r="CM248" s="26">
        <f t="shared" si="536"/>
        <v>500</v>
      </c>
      <c r="CN248" s="26">
        <f t="shared" si="536"/>
        <v>500</v>
      </c>
      <c r="CO248" s="26">
        <f t="shared" si="536"/>
        <v>500</v>
      </c>
      <c r="CP248" s="26">
        <f t="shared" si="536"/>
        <v>500</v>
      </c>
      <c r="CQ248" s="26">
        <f>SUM(CQ246:CQ247)</f>
        <v>500</v>
      </c>
      <c r="CR248" s="26">
        <f t="shared" si="536"/>
        <v>500</v>
      </c>
      <c r="CS248" s="26">
        <f t="shared" si="536"/>
        <v>500</v>
      </c>
      <c r="CT248" s="26">
        <f t="shared" si="536"/>
        <v>500</v>
      </c>
      <c r="CU248" s="26">
        <f>SUM(CU246:CU247)</f>
        <v>500</v>
      </c>
      <c r="CV248" s="26">
        <f>SUM(CV246:CV247)</f>
        <v>500</v>
      </c>
      <c r="CW248" s="26">
        <f>SUM(CW246:CW247)</f>
        <v>500</v>
      </c>
      <c r="CX248" s="26">
        <f>SUM(CX246:CX247)</f>
        <v>0</v>
      </c>
      <c r="CY248" s="26">
        <f>SUM(CY246:CY247)</f>
        <v>0</v>
      </c>
      <c r="CZ248" s="26">
        <f t="shared" ref="CZ248:DC248" si="537">SUM(CZ246:CZ247)</f>
        <v>0</v>
      </c>
      <c r="DA248" s="26">
        <f t="shared" si="537"/>
        <v>0</v>
      </c>
      <c r="DB248" s="26">
        <f t="shared" si="537"/>
        <v>0</v>
      </c>
      <c r="DC248" s="26">
        <f t="shared" si="537"/>
        <v>0</v>
      </c>
    </row>
    <row r="249" spans="1:107" hidden="1" outlineLevel="1">
      <c r="A249" s="2196"/>
      <c r="B249" s="876" t="s">
        <v>262</v>
      </c>
      <c r="C249" s="15"/>
      <c r="D249" s="15"/>
      <c r="E249" s="15"/>
      <c r="F249" s="15"/>
      <c r="G249" s="15"/>
      <c r="H249" s="15"/>
      <c r="I249" s="15"/>
      <c r="J249" s="15"/>
      <c r="K249" s="783"/>
      <c r="L249" s="1004"/>
      <c r="M249" s="1004"/>
      <c r="N249" s="1004"/>
      <c r="O249" s="1004"/>
      <c r="P249" s="1004"/>
      <c r="Q249" s="1004"/>
      <c r="R249" s="1004"/>
      <c r="S249" s="1004"/>
      <c r="T249" s="1004"/>
      <c r="U249" s="1004"/>
      <c r="V249" s="1004"/>
      <c r="W249" s="1004"/>
      <c r="X249" s="1004"/>
      <c r="Y249" s="1004"/>
      <c r="Z249" s="1004"/>
      <c r="AA249" s="1004"/>
      <c r="AB249" s="1004"/>
      <c r="AC249" s="1004"/>
      <c r="AD249" s="1004"/>
      <c r="AE249" s="15"/>
      <c r="AF249" s="15"/>
      <c r="AG249" s="15"/>
      <c r="AH249" s="15"/>
      <c r="AI249" s="15"/>
      <c r="AJ249" s="15"/>
      <c r="AK249" s="15"/>
      <c r="AL249" s="15"/>
      <c r="AM249" s="15"/>
      <c r="AN249" s="15"/>
      <c r="AO249" s="15"/>
      <c r="AP249" s="15"/>
      <c r="AQ249" s="15"/>
      <c r="AR249" s="15"/>
      <c r="AS249" s="15"/>
      <c r="AT249" s="15"/>
      <c r="AU249" s="15"/>
      <c r="AV249" s="15"/>
      <c r="AW249" s="15"/>
      <c r="AX249" s="15"/>
      <c r="AY249" s="15"/>
      <c r="AZ249" s="15"/>
      <c r="BA249" s="15"/>
      <c r="BB249" s="15"/>
      <c r="BC249" s="980"/>
      <c r="BD249" s="1004"/>
      <c r="BE249" s="1004"/>
      <c r="BF249" s="1004"/>
      <c r="BG249" s="1004"/>
      <c r="BH249" s="1004"/>
      <c r="BI249" s="1004"/>
      <c r="BJ249" s="1004"/>
      <c r="BK249" s="1004"/>
      <c r="BL249" s="1004"/>
      <c r="BM249" s="1004"/>
      <c r="BN249" s="1004"/>
      <c r="BO249" s="1004"/>
      <c r="BP249" s="1004"/>
      <c r="BQ249" s="1004"/>
      <c r="BR249" s="1004"/>
      <c r="BS249" s="1010"/>
      <c r="BT249" s="398"/>
      <c r="BU249" s="398"/>
      <c r="BV249" s="398"/>
      <c r="BW249" s="398"/>
      <c r="BX249" s="1004"/>
      <c r="BY249" s="1004"/>
      <c r="BZ249" s="1004"/>
      <c r="CA249" s="1004"/>
      <c r="CB249" s="1004"/>
      <c r="CC249" s="1004"/>
      <c r="CD249" s="1004"/>
      <c r="CE249" s="1004"/>
      <c r="CF249" s="1004"/>
      <c r="CG249" s="1004"/>
      <c r="CH249" s="1004"/>
      <c r="CI249" s="1004"/>
      <c r="CJ249" s="1004"/>
      <c r="CK249" s="1004"/>
      <c r="CL249" s="1004"/>
      <c r="CM249" s="1004"/>
      <c r="CN249" s="1004"/>
      <c r="CO249" s="1004"/>
      <c r="CP249" s="1004"/>
      <c r="CQ249" s="1004"/>
      <c r="CR249" s="1004"/>
      <c r="CS249" s="1004"/>
      <c r="CT249" s="1004"/>
      <c r="CU249" s="1004"/>
      <c r="CV249" s="1004"/>
      <c r="CW249" s="1004"/>
      <c r="CX249" s="1004"/>
      <c r="CY249" s="1004"/>
      <c r="CZ249" s="1004"/>
      <c r="DA249" s="1004"/>
      <c r="DB249" s="1004"/>
      <c r="DC249" s="1004"/>
    </row>
    <row r="250" spans="1:107" hidden="1" outlineLevel="1">
      <c r="A250" s="1163"/>
      <c r="B250" s="876"/>
      <c r="C250" s="15"/>
      <c r="D250" s="15"/>
      <c r="E250" s="15"/>
      <c r="F250" s="15"/>
      <c r="G250" s="15"/>
      <c r="H250" s="15"/>
      <c r="I250" s="15"/>
      <c r="J250" s="15"/>
      <c r="K250" s="783"/>
      <c r="L250" s="1004"/>
      <c r="M250" s="1004"/>
      <c r="N250" s="1004"/>
      <c r="O250" s="1004"/>
      <c r="P250" s="1004"/>
      <c r="Q250" s="1004"/>
      <c r="R250" s="1004"/>
      <c r="S250" s="1004"/>
      <c r="T250" s="1004"/>
      <c r="U250" s="1004"/>
      <c r="V250" s="1004"/>
      <c r="W250" s="1004"/>
      <c r="X250" s="1004"/>
      <c r="Y250" s="1004"/>
      <c r="Z250" s="1004"/>
      <c r="AA250" s="1004"/>
      <c r="AB250" s="1004"/>
      <c r="AC250" s="1004"/>
      <c r="AD250" s="1004"/>
      <c r="AE250" s="15"/>
      <c r="AF250" s="15"/>
      <c r="AG250" s="15"/>
      <c r="AH250" s="15"/>
      <c r="AI250" s="15"/>
      <c r="AJ250" s="15"/>
      <c r="AK250" s="15"/>
      <c r="AL250" s="15"/>
      <c r="AM250" s="15"/>
      <c r="AN250" s="15"/>
      <c r="AO250" s="15"/>
      <c r="AP250" s="15"/>
      <c r="AQ250" s="15"/>
      <c r="AR250" s="15"/>
      <c r="AS250" s="15"/>
      <c r="AT250" s="15"/>
      <c r="AU250" s="15"/>
      <c r="AV250" s="15"/>
      <c r="AW250" s="15"/>
      <c r="AX250" s="15"/>
      <c r="AY250" s="15"/>
      <c r="AZ250" s="15"/>
      <c r="BA250" s="15"/>
      <c r="BB250" s="15"/>
      <c r="BC250" s="980"/>
      <c r="BD250" s="1004"/>
      <c r="BE250" s="1004"/>
      <c r="BF250" s="1004"/>
      <c r="BG250" s="1004"/>
      <c r="BH250" s="1004"/>
      <c r="BI250" s="1004"/>
      <c r="BJ250" s="1004"/>
      <c r="BK250" s="1004"/>
      <c r="BL250" s="1004"/>
      <c r="BM250" s="1004"/>
      <c r="BN250" s="1004"/>
      <c r="BO250" s="1004"/>
      <c r="BP250" s="1004"/>
      <c r="BQ250" s="1004"/>
      <c r="BR250" s="1004"/>
      <c r="BS250" s="1010"/>
      <c r="BT250" s="398"/>
      <c r="BU250" s="398"/>
      <c r="BV250" s="398"/>
      <c r="BW250" s="398"/>
      <c r="BX250" s="1004"/>
      <c r="BY250" s="1004"/>
      <c r="BZ250" s="1004"/>
      <c r="CA250" s="1004"/>
      <c r="CB250" s="1004"/>
      <c r="CC250" s="1004"/>
      <c r="CD250" s="1004"/>
      <c r="CE250" s="1004"/>
      <c r="CF250" s="1004"/>
      <c r="CG250" s="1004"/>
      <c r="CH250" s="1004"/>
      <c r="CI250" s="1004"/>
      <c r="CJ250" s="1004"/>
      <c r="CK250" s="1004"/>
      <c r="CL250" s="1004"/>
      <c r="CM250" s="1004"/>
      <c r="CN250" s="1004"/>
      <c r="CO250" s="1004"/>
      <c r="CP250" s="1004"/>
      <c r="CQ250" s="1004"/>
      <c r="CR250" s="1004"/>
      <c r="CS250" s="1004"/>
      <c r="CT250" s="1004"/>
      <c r="CU250" s="1004"/>
      <c r="CV250" s="1004"/>
      <c r="CW250" s="1004"/>
      <c r="CX250" s="1004"/>
      <c r="CY250" s="1004"/>
      <c r="CZ250" s="1004"/>
      <c r="DA250" s="1004"/>
      <c r="DB250" s="1004"/>
      <c r="DC250" s="1004"/>
    </row>
    <row r="251" spans="1:107" collapsed="1">
      <c r="A251" s="1163"/>
      <c r="B251" s="132" t="s">
        <v>455</v>
      </c>
      <c r="C251" s="132"/>
      <c r="D251" s="132"/>
      <c r="E251" s="132"/>
      <c r="F251" s="132"/>
      <c r="G251" s="132"/>
      <c r="H251" s="132"/>
      <c r="I251" s="132"/>
      <c r="J251" s="132"/>
      <c r="K251" s="132"/>
      <c r="L251" s="132"/>
      <c r="M251" s="132"/>
      <c r="N251" s="132"/>
      <c r="O251" s="132"/>
      <c r="P251" s="132"/>
      <c r="Q251" s="132"/>
      <c r="R251" s="132"/>
      <c r="S251" s="132"/>
      <c r="T251" s="132"/>
      <c r="U251" s="132"/>
      <c r="V251" s="132"/>
      <c r="W251" s="132"/>
      <c r="X251" s="132"/>
      <c r="Y251" s="132"/>
      <c r="Z251" s="132"/>
      <c r="AA251" s="132"/>
      <c r="AB251" s="132"/>
      <c r="AC251" s="132"/>
      <c r="AD251" s="132"/>
      <c r="AE251" s="15"/>
      <c r="AF251" s="132"/>
      <c r="AG251" s="132"/>
      <c r="AH251" s="132"/>
      <c r="AI251" s="132"/>
      <c r="AJ251" s="132"/>
      <c r="AK251" s="132"/>
      <c r="AL251" s="132"/>
      <c r="AM251" s="132"/>
      <c r="AN251" s="132"/>
      <c r="AO251" s="132"/>
      <c r="AP251" s="132"/>
      <c r="AQ251" s="132"/>
      <c r="AR251" s="132"/>
      <c r="AS251" s="132"/>
      <c r="AT251" s="132"/>
      <c r="AU251" s="132"/>
      <c r="AV251" s="132"/>
      <c r="AW251" s="132"/>
      <c r="AX251" s="132"/>
      <c r="AY251" s="132"/>
      <c r="AZ251" s="132"/>
      <c r="BA251" s="132"/>
      <c r="BB251" s="132"/>
      <c r="BC251" s="132"/>
      <c r="BD251" s="132"/>
      <c r="BE251" s="132"/>
      <c r="BF251" s="132"/>
      <c r="BG251" s="132"/>
      <c r="BH251" s="132"/>
      <c r="BI251" s="132"/>
      <c r="BJ251" s="132"/>
      <c r="BK251" s="132"/>
      <c r="BL251" s="132"/>
      <c r="BM251" s="132"/>
      <c r="BN251" s="132"/>
      <c r="BO251" s="132"/>
      <c r="BP251" s="132"/>
      <c r="BQ251" s="132"/>
      <c r="BR251" s="132"/>
      <c r="BS251" s="132"/>
      <c r="BT251" s="132"/>
      <c r="BU251" s="132"/>
      <c r="BV251" s="132"/>
      <c r="BW251" s="132"/>
      <c r="BX251" s="132"/>
      <c r="BY251" s="132"/>
      <c r="BZ251" s="132"/>
      <c r="CA251" s="132"/>
      <c r="CB251" s="132"/>
      <c r="CC251" s="132"/>
      <c r="CD251" s="132"/>
      <c r="CE251" s="132"/>
      <c r="CF251" s="132"/>
      <c r="CG251" s="132"/>
      <c r="CH251" s="132"/>
      <c r="CI251" s="132"/>
      <c r="CJ251" s="132"/>
      <c r="CK251" s="132"/>
      <c r="CL251" s="132"/>
      <c r="CM251" s="132"/>
      <c r="CN251" s="132"/>
      <c r="CO251" s="132"/>
      <c r="CP251" s="132"/>
      <c r="CQ251" s="132"/>
      <c r="CR251" s="132"/>
      <c r="CS251" s="132"/>
      <c r="CT251" s="132"/>
      <c r="CU251" s="132"/>
      <c r="CV251" s="132"/>
      <c r="CW251" s="132"/>
      <c r="CX251" s="132"/>
      <c r="CY251" s="132"/>
      <c r="CZ251" s="132"/>
      <c r="DA251" s="132"/>
      <c r="DB251" s="132"/>
      <c r="DC251" s="132"/>
    </row>
    <row r="252" spans="1:107">
      <c r="A252" s="1163"/>
      <c r="B252" s="876" t="s">
        <v>1118</v>
      </c>
      <c r="C252" s="15"/>
      <c r="D252" s="15"/>
      <c r="E252" s="15"/>
      <c r="F252" s="15"/>
      <c r="G252" s="15"/>
      <c r="H252" s="15"/>
      <c r="I252" s="15"/>
      <c r="J252" s="26"/>
      <c r="K252" s="54"/>
      <c r="L252" s="26"/>
      <c r="M252" s="26"/>
      <c r="N252" s="26"/>
      <c r="O252" s="26"/>
      <c r="P252" s="26">
        <f t="shared" ref="P252:Z252" si="538">O254</f>
        <v>0</v>
      </c>
      <c r="Q252" s="26">
        <f t="shared" si="538"/>
        <v>0</v>
      </c>
      <c r="R252" s="26">
        <f t="shared" si="538"/>
        <v>0</v>
      </c>
      <c r="S252" s="26">
        <f t="shared" si="538"/>
        <v>1000</v>
      </c>
      <c r="T252" s="26">
        <f t="shared" si="538"/>
        <v>1000</v>
      </c>
      <c r="U252" s="26">
        <f t="shared" si="538"/>
        <v>1000</v>
      </c>
      <c r="V252" s="26">
        <f t="shared" si="538"/>
        <v>1000</v>
      </c>
      <c r="W252" s="26">
        <f t="shared" si="538"/>
        <v>1000</v>
      </c>
      <c r="X252" s="26">
        <f t="shared" si="538"/>
        <v>1000</v>
      </c>
      <c r="Y252" s="26">
        <f t="shared" si="538"/>
        <v>1000</v>
      </c>
      <c r="Z252" s="26">
        <f t="shared" si="538"/>
        <v>1000</v>
      </c>
      <c r="AA252" s="26">
        <f t="shared" ref="AA252" si="539">Z254</f>
        <v>1000</v>
      </c>
      <c r="AB252" s="26">
        <f t="shared" ref="AB252" si="540">AA254</f>
        <v>1000</v>
      </c>
      <c r="AC252" s="26">
        <f t="shared" ref="AC252" si="541">AB254</f>
        <v>1000</v>
      </c>
      <c r="AD252" s="26">
        <f t="shared" ref="AD252" si="542">AC254</f>
        <v>1000</v>
      </c>
      <c r="AE252" s="15"/>
      <c r="AF252" s="26"/>
      <c r="AG252" s="26"/>
      <c r="AH252" s="26"/>
      <c r="AI252" s="26"/>
      <c r="AJ252" s="26"/>
      <c r="AK252" s="26"/>
      <c r="AL252" s="26"/>
      <c r="AM252" s="26"/>
      <c r="AN252" s="26"/>
      <c r="AO252" s="26"/>
      <c r="AP252" s="26"/>
      <c r="AQ252" s="26"/>
      <c r="AR252" s="26"/>
      <c r="AS252" s="26"/>
      <c r="AT252" s="26"/>
      <c r="AU252" s="26"/>
      <c r="AV252" s="26"/>
      <c r="AW252" s="26"/>
      <c r="AX252" s="26"/>
      <c r="AY252" s="26"/>
      <c r="AZ252" s="26"/>
      <c r="BA252" s="26"/>
      <c r="BB252" s="26"/>
      <c r="BC252" s="26"/>
      <c r="BD252" s="26"/>
      <c r="BE252" s="26"/>
      <c r="BF252" s="26"/>
      <c r="BG252" s="26"/>
      <c r="BH252" s="26"/>
      <c r="BI252" s="26"/>
      <c r="BJ252" s="26"/>
      <c r="BK252" s="26"/>
      <c r="BL252" s="26"/>
      <c r="BM252" s="26"/>
      <c r="BN252" s="26"/>
      <c r="BO252" s="26"/>
      <c r="BP252" s="26"/>
      <c r="BQ252" s="26"/>
      <c r="BR252" s="783"/>
      <c r="BS252" s="783"/>
      <c r="BT252" s="26"/>
      <c r="BU252" s="26"/>
      <c r="BV252" s="26"/>
      <c r="BW252" s="26"/>
      <c r="BX252" s="26"/>
      <c r="BY252" s="26"/>
      <c r="BZ252" s="26"/>
      <c r="CA252" s="26"/>
      <c r="CB252" s="26"/>
      <c r="CC252" s="26"/>
      <c r="CD252" s="26"/>
      <c r="CE252" s="26"/>
      <c r="CF252" s="26"/>
      <c r="CG252" s="26">
        <f t="shared" ref="CG252:CU252" si="543">CF254</f>
        <v>1000</v>
      </c>
      <c r="CH252" s="26">
        <f t="shared" si="543"/>
        <v>1000</v>
      </c>
      <c r="CI252" s="26">
        <f t="shared" si="543"/>
        <v>1000</v>
      </c>
      <c r="CJ252" s="26">
        <f t="shared" si="543"/>
        <v>1000</v>
      </c>
      <c r="CK252" s="26">
        <f t="shared" si="543"/>
        <v>1000</v>
      </c>
      <c r="CL252" s="26">
        <f t="shared" si="543"/>
        <v>1000</v>
      </c>
      <c r="CM252" s="26">
        <f t="shared" si="543"/>
        <v>1000</v>
      </c>
      <c r="CN252" s="26">
        <f t="shared" si="543"/>
        <v>1000</v>
      </c>
      <c r="CO252" s="26">
        <f t="shared" si="543"/>
        <v>1000</v>
      </c>
      <c r="CP252" s="26">
        <f t="shared" si="543"/>
        <v>1000</v>
      </c>
      <c r="CQ252" s="26">
        <f t="shared" si="543"/>
        <v>1000</v>
      </c>
      <c r="CR252" s="26">
        <f t="shared" si="543"/>
        <v>1000</v>
      </c>
      <c r="CS252" s="26">
        <f t="shared" si="543"/>
        <v>1000</v>
      </c>
      <c r="CT252" s="26">
        <f t="shared" si="543"/>
        <v>1000</v>
      </c>
      <c r="CU252" s="26">
        <f t="shared" si="543"/>
        <v>1000</v>
      </c>
      <c r="CV252" s="26">
        <f>CU254</f>
        <v>1000</v>
      </c>
      <c r="CW252" s="26">
        <f>CV254</f>
        <v>1000</v>
      </c>
      <c r="CX252" s="26">
        <f>CW254</f>
        <v>1000</v>
      </c>
      <c r="CY252" s="26">
        <f>CX254</f>
        <v>1000</v>
      </c>
      <c r="CZ252" s="26">
        <f t="shared" ref="CZ252:DC252" si="544">CY254</f>
        <v>1000</v>
      </c>
      <c r="DA252" s="26">
        <f t="shared" si="544"/>
        <v>1000</v>
      </c>
      <c r="DB252" s="26">
        <f t="shared" si="544"/>
        <v>1000</v>
      </c>
      <c r="DC252" s="26">
        <f t="shared" si="544"/>
        <v>1000</v>
      </c>
    </row>
    <row r="253" spans="1:107">
      <c r="A253" s="1163"/>
      <c r="B253" s="876" t="s">
        <v>1121</v>
      </c>
      <c r="C253" s="15"/>
      <c r="D253" s="15"/>
      <c r="E253" s="15"/>
      <c r="F253" s="15"/>
      <c r="G253" s="15"/>
      <c r="H253" s="15"/>
      <c r="I253" s="15"/>
      <c r="J253" s="26"/>
      <c r="K253" s="54"/>
      <c r="L253" s="26"/>
      <c r="M253" s="26"/>
      <c r="N253" s="26"/>
      <c r="O253" s="26"/>
      <c r="P253" s="26">
        <f>P254-P252</f>
        <v>0</v>
      </c>
      <c r="Q253" s="26">
        <f>Q254-Q252</f>
        <v>0</v>
      </c>
      <c r="R253" s="26">
        <f>R254-R252</f>
        <v>1000</v>
      </c>
      <c r="S253" s="26">
        <f>S254-S252</f>
        <v>0</v>
      </c>
      <c r="T253" s="26">
        <f>T254-T252</f>
        <v>0</v>
      </c>
      <c r="U253" s="26">
        <f>+SUM(CR253:CU253)</f>
        <v>0</v>
      </c>
      <c r="V253" s="26">
        <f>+SUM(CV253:CY253)</f>
        <v>0</v>
      </c>
      <c r="W253" s="26">
        <f>+SUM(CZ253:DC253)</f>
        <v>0</v>
      </c>
      <c r="X253" s="26">
        <v>0</v>
      </c>
      <c r="Y253" s="26">
        <v>0</v>
      </c>
      <c r="Z253" s="26">
        <v>0</v>
      </c>
      <c r="AA253" s="26">
        <v>0</v>
      </c>
      <c r="AB253" s="26">
        <v>0</v>
      </c>
      <c r="AC253" s="26">
        <v>0</v>
      </c>
      <c r="AD253" s="26">
        <v>0</v>
      </c>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c r="BK253" s="15"/>
      <c r="BL253" s="26"/>
      <c r="BM253" s="26"/>
      <c r="BN253" s="26"/>
      <c r="BO253" s="26"/>
      <c r="BP253" s="26"/>
      <c r="BQ253" s="26"/>
      <c r="BR253" s="783"/>
      <c r="BS253" s="783"/>
      <c r="BT253" s="26"/>
      <c r="BU253" s="398"/>
      <c r="BV253" s="398"/>
      <c r="BW253" s="398"/>
      <c r="BX253" s="398"/>
      <c r="BY253" s="26"/>
      <c r="BZ253" s="26"/>
      <c r="CA253" s="26"/>
      <c r="CB253" s="26"/>
      <c r="CC253" s="26"/>
      <c r="CD253" s="26"/>
      <c r="CE253" s="26"/>
      <c r="CF253" s="398">
        <v>1000</v>
      </c>
      <c r="CG253" s="26">
        <v>0</v>
      </c>
      <c r="CH253" s="26">
        <v>0</v>
      </c>
      <c r="CI253" s="26">
        <v>0</v>
      </c>
      <c r="CJ253" s="26">
        <v>0</v>
      </c>
      <c r="CK253" s="26">
        <v>0</v>
      </c>
      <c r="CL253" s="26">
        <v>0</v>
      </c>
      <c r="CM253" s="26">
        <v>0</v>
      </c>
      <c r="CN253" s="26">
        <v>0</v>
      </c>
      <c r="CO253" s="26">
        <v>0</v>
      </c>
      <c r="CP253" s="26">
        <v>0</v>
      </c>
      <c r="CQ253" s="26">
        <v>0</v>
      </c>
      <c r="CR253" s="26">
        <v>0</v>
      </c>
      <c r="CS253" s="26">
        <v>0</v>
      </c>
      <c r="CT253" s="26">
        <v>0</v>
      </c>
      <c r="CU253" s="26">
        <v>0</v>
      </c>
      <c r="CV253" s="26">
        <v>0</v>
      </c>
      <c r="CW253" s="26">
        <v>0</v>
      </c>
      <c r="CX253" s="26">
        <v>0</v>
      </c>
      <c r="CY253" s="26">
        <v>0</v>
      </c>
      <c r="CZ253" s="26">
        <v>0</v>
      </c>
      <c r="DA253" s="26">
        <v>0</v>
      </c>
      <c r="DB253" s="26">
        <v>0</v>
      </c>
      <c r="DC253" s="26">
        <v>0</v>
      </c>
    </row>
    <row r="254" spans="1:107">
      <c r="A254" s="1163"/>
      <c r="B254" s="876" t="s">
        <v>261</v>
      </c>
      <c r="C254" s="15"/>
      <c r="D254" s="15"/>
      <c r="E254" s="15"/>
      <c r="F254" s="15"/>
      <c r="G254" s="15"/>
      <c r="H254" s="15"/>
      <c r="I254" s="15"/>
      <c r="J254" s="26"/>
      <c r="K254" s="54"/>
      <c r="L254" s="26"/>
      <c r="M254" s="26"/>
      <c r="N254" s="26"/>
      <c r="O254" s="26">
        <f>BW254</f>
        <v>0</v>
      </c>
      <c r="P254" s="26">
        <f>CA254</f>
        <v>0</v>
      </c>
      <c r="Q254" s="26">
        <f>CE254</f>
        <v>0</v>
      </c>
      <c r="R254" s="26">
        <f>CI254</f>
        <v>1000</v>
      </c>
      <c r="S254" s="26">
        <f>CM254</f>
        <v>1000</v>
      </c>
      <c r="T254" s="26">
        <f>CQ254</f>
        <v>1000</v>
      </c>
      <c r="U254" s="26">
        <f t="shared" ref="U254:Z254" si="545">SUM(U252:U253)</f>
        <v>1000</v>
      </c>
      <c r="V254" s="26">
        <f>SUM(V252:V253)</f>
        <v>1000</v>
      </c>
      <c r="W254" s="26">
        <f>SUM(W252:W253)</f>
        <v>1000</v>
      </c>
      <c r="X254" s="26">
        <f t="shared" si="545"/>
        <v>1000</v>
      </c>
      <c r="Y254" s="26">
        <f t="shared" si="545"/>
        <v>1000</v>
      </c>
      <c r="Z254" s="26">
        <f t="shared" si="545"/>
        <v>1000</v>
      </c>
      <c r="AA254" s="26">
        <f t="shared" ref="AA254:AD254" si="546">SUM(AA252:AA253)</f>
        <v>1000</v>
      </c>
      <c r="AB254" s="26">
        <f t="shared" si="546"/>
        <v>1000</v>
      </c>
      <c r="AC254" s="26">
        <f t="shared" si="546"/>
        <v>1000</v>
      </c>
      <c r="AD254" s="26">
        <f t="shared" si="546"/>
        <v>1000</v>
      </c>
      <c r="AE254" s="15"/>
      <c r="AF254" s="15"/>
      <c r="AG254" s="15"/>
      <c r="AH254" s="15"/>
      <c r="AI254" s="15"/>
      <c r="AJ254" s="15"/>
      <c r="AK254" s="15"/>
      <c r="AL254" s="15"/>
      <c r="AM254" s="15"/>
      <c r="AN254" s="15"/>
      <c r="AO254" s="15"/>
      <c r="AP254" s="15"/>
      <c r="AQ254" s="15"/>
      <c r="AR254" s="15"/>
      <c r="AS254" s="15"/>
      <c r="AT254" s="15"/>
      <c r="AU254" s="15"/>
      <c r="AV254" s="15"/>
      <c r="AW254" s="15"/>
      <c r="AX254" s="15"/>
      <c r="AY254" s="15"/>
      <c r="AZ254" s="15"/>
      <c r="BA254" s="15"/>
      <c r="BB254" s="15"/>
      <c r="BC254" s="15"/>
      <c r="BD254" s="15"/>
      <c r="BE254" s="15"/>
      <c r="BF254" s="15"/>
      <c r="BG254" s="15"/>
      <c r="BH254" s="15"/>
      <c r="BI254" s="15"/>
      <c r="BJ254" s="15"/>
      <c r="BK254" s="15"/>
      <c r="BL254" s="26"/>
      <c r="BM254" s="26"/>
      <c r="BN254" s="26"/>
      <c r="BO254" s="26"/>
      <c r="BP254" s="26"/>
      <c r="BQ254" s="26"/>
      <c r="BR254" s="783"/>
      <c r="BS254" s="783"/>
      <c r="BT254" s="814"/>
      <c r="BU254" s="26"/>
      <c r="BV254" s="26"/>
      <c r="BW254" s="26"/>
      <c r="BX254" s="26"/>
      <c r="BY254" s="26"/>
      <c r="BZ254" s="814"/>
      <c r="CA254" s="814"/>
      <c r="CB254" s="814"/>
      <c r="CC254" s="26"/>
      <c r="CD254" s="26"/>
      <c r="CE254" s="26"/>
      <c r="CF254" s="26">
        <f t="shared" ref="CF254:CT254" si="547">SUM(CF252:CF253)</f>
        <v>1000</v>
      </c>
      <c r="CG254" s="26">
        <f t="shared" si="547"/>
        <v>1000</v>
      </c>
      <c r="CH254" s="26">
        <f t="shared" si="547"/>
        <v>1000</v>
      </c>
      <c r="CI254" s="26">
        <f t="shared" si="547"/>
        <v>1000</v>
      </c>
      <c r="CJ254" s="26">
        <f t="shared" si="547"/>
        <v>1000</v>
      </c>
      <c r="CK254" s="26">
        <f t="shared" si="547"/>
        <v>1000</v>
      </c>
      <c r="CL254" s="26">
        <f t="shared" si="547"/>
        <v>1000</v>
      </c>
      <c r="CM254" s="26">
        <f t="shared" si="547"/>
        <v>1000</v>
      </c>
      <c r="CN254" s="26">
        <f t="shared" si="547"/>
        <v>1000</v>
      </c>
      <c r="CO254" s="26">
        <f t="shared" si="547"/>
        <v>1000</v>
      </c>
      <c r="CP254" s="26">
        <f t="shared" si="547"/>
        <v>1000</v>
      </c>
      <c r="CQ254" s="26">
        <f>SUM(CQ252:CQ253)</f>
        <v>1000</v>
      </c>
      <c r="CR254" s="26">
        <f t="shared" si="547"/>
        <v>1000</v>
      </c>
      <c r="CS254" s="26">
        <f t="shared" si="547"/>
        <v>1000</v>
      </c>
      <c r="CT254" s="26">
        <f t="shared" si="547"/>
        <v>1000</v>
      </c>
      <c r="CU254" s="26">
        <f>SUM(CU252:CU253)</f>
        <v>1000</v>
      </c>
      <c r="CV254" s="26">
        <f>SUM(CV252:CV253)</f>
        <v>1000</v>
      </c>
      <c r="CW254" s="26">
        <f>SUM(CW252:CW253)</f>
        <v>1000</v>
      </c>
      <c r="CX254" s="26">
        <f>SUM(CX252:CX253)</f>
        <v>1000</v>
      </c>
      <c r="CY254" s="26">
        <f>SUM(CY252:CY253)</f>
        <v>1000</v>
      </c>
      <c r="CZ254" s="26">
        <f t="shared" ref="CZ254:DC254" si="548">SUM(CZ252:CZ253)</f>
        <v>1000</v>
      </c>
      <c r="DA254" s="26">
        <f t="shared" si="548"/>
        <v>1000</v>
      </c>
      <c r="DB254" s="26">
        <f t="shared" si="548"/>
        <v>1000</v>
      </c>
      <c r="DC254" s="26">
        <f t="shared" si="548"/>
        <v>1000</v>
      </c>
    </row>
    <row r="255" spans="1:107">
      <c r="A255" s="1163"/>
      <c r="B255" s="876" t="s">
        <v>262</v>
      </c>
      <c r="C255" s="15"/>
      <c r="D255" s="15"/>
      <c r="E255" s="15"/>
      <c r="F255" s="15"/>
      <c r="G255" s="15"/>
      <c r="H255" s="15"/>
      <c r="I255" s="15"/>
      <c r="J255" s="15"/>
      <c r="K255" s="783"/>
      <c r="L255" s="1004"/>
      <c r="M255" s="1004"/>
      <c r="N255" s="1004"/>
      <c r="O255" s="1004"/>
      <c r="P255" s="1004"/>
      <c r="Q255" s="1004"/>
      <c r="R255" s="1004"/>
      <c r="S255" s="1004"/>
      <c r="T255" s="1004"/>
      <c r="U255" s="1004"/>
      <c r="V255" s="1004"/>
      <c r="W255" s="1004"/>
      <c r="X255" s="1004"/>
      <c r="Y255" s="1004"/>
      <c r="Z255" s="1004"/>
      <c r="AA255" s="1004"/>
      <c r="AB255" s="1004"/>
      <c r="AC255" s="1004"/>
      <c r="AD255" s="1004"/>
      <c r="AE255" s="15"/>
      <c r="AF255" s="15"/>
      <c r="AG255" s="15"/>
      <c r="AH255" s="15"/>
      <c r="AI255" s="15"/>
      <c r="AJ255" s="15"/>
      <c r="AK255" s="15"/>
      <c r="AL255" s="15"/>
      <c r="AM255" s="15"/>
      <c r="AN255" s="15"/>
      <c r="AO255" s="15"/>
      <c r="AP255" s="15"/>
      <c r="AQ255" s="15"/>
      <c r="AR255" s="15"/>
      <c r="AS255" s="15"/>
      <c r="AT255" s="15"/>
      <c r="AU255" s="15"/>
      <c r="AV255" s="15"/>
      <c r="AW255" s="15"/>
      <c r="AX255" s="15"/>
      <c r="AY255" s="15"/>
      <c r="AZ255" s="15"/>
      <c r="BA255" s="15"/>
      <c r="BB255" s="15"/>
      <c r="BC255" s="980"/>
      <c r="BD255" s="1004"/>
      <c r="BE255" s="1004"/>
      <c r="BF255" s="1004"/>
      <c r="BG255" s="1004"/>
      <c r="BH255" s="1004"/>
      <c r="BI255" s="1004"/>
      <c r="BJ255" s="1004"/>
      <c r="BK255" s="1004"/>
      <c r="BL255" s="1004"/>
      <c r="BM255" s="1004"/>
      <c r="BN255" s="1004"/>
      <c r="BO255" s="1004"/>
      <c r="BP255" s="1004"/>
      <c r="BQ255" s="1004"/>
      <c r="BR255" s="1004"/>
      <c r="BS255" s="1010"/>
      <c r="BT255" s="398"/>
      <c r="BU255" s="398"/>
      <c r="BV255" s="398"/>
      <c r="BW255" s="398"/>
      <c r="BX255" s="1004"/>
      <c r="BY255" s="1004"/>
      <c r="BZ255" s="1004"/>
      <c r="CA255" s="1004"/>
      <c r="CB255" s="1004"/>
      <c r="CC255" s="1004"/>
      <c r="CD255" s="1004"/>
      <c r="CE255" s="1004"/>
      <c r="CF255" s="1004"/>
      <c r="CG255" s="1004"/>
      <c r="CH255" s="1004"/>
      <c r="CI255" s="1004"/>
      <c r="CJ255" s="1004"/>
      <c r="CK255" s="1004"/>
      <c r="CL255" s="1004"/>
      <c r="CM255" s="1004"/>
      <c r="CN255" s="1004"/>
      <c r="CO255" s="1004"/>
      <c r="CP255" s="1004"/>
      <c r="CQ255" s="1004"/>
      <c r="CR255" s="1004"/>
      <c r="CS255" s="1004"/>
      <c r="CT255" s="1004"/>
      <c r="CU255" s="1004"/>
      <c r="CV255" s="1004"/>
      <c r="CW255" s="1004"/>
      <c r="CX255" s="1004"/>
      <c r="CY255" s="1004"/>
      <c r="CZ255" s="1004"/>
      <c r="DA255" s="1004"/>
      <c r="DB255" s="1004"/>
      <c r="DC255" s="1004"/>
    </row>
    <row r="256" spans="1:107">
      <c r="A256" s="15"/>
      <c r="B256" s="876"/>
      <c r="C256" s="15"/>
      <c r="D256" s="15"/>
      <c r="E256" s="15"/>
      <c r="F256" s="15"/>
      <c r="G256" s="15"/>
      <c r="H256" s="15"/>
      <c r="I256" s="15"/>
      <c r="J256" s="15"/>
      <c r="K256" s="783"/>
      <c r="L256" s="1004"/>
      <c r="M256" s="1004"/>
      <c r="N256" s="1004"/>
      <c r="O256" s="1004"/>
      <c r="P256" s="1004"/>
      <c r="Q256" s="1004"/>
      <c r="R256" s="1004"/>
      <c r="S256" s="1004"/>
      <c r="T256" s="1004"/>
      <c r="U256" s="1004"/>
      <c r="V256" s="1004"/>
      <c r="W256" s="1004"/>
      <c r="X256" s="1004"/>
      <c r="Y256" s="1004"/>
      <c r="Z256" s="1004"/>
      <c r="AA256" s="1004"/>
      <c r="AB256" s="1004"/>
      <c r="AC256" s="1004"/>
      <c r="AD256" s="1004"/>
      <c r="AE256" s="15"/>
      <c r="AF256" s="15"/>
      <c r="AG256" s="15"/>
      <c r="AH256" s="15"/>
      <c r="AI256" s="15"/>
      <c r="AJ256" s="15"/>
      <c r="AK256" s="15"/>
      <c r="AL256" s="15"/>
      <c r="AM256" s="15"/>
      <c r="AN256" s="15"/>
      <c r="AO256" s="15"/>
      <c r="AP256" s="15"/>
      <c r="AQ256" s="15"/>
      <c r="AR256" s="15"/>
      <c r="AS256" s="15"/>
      <c r="AT256" s="15"/>
      <c r="AU256" s="15"/>
      <c r="AV256" s="15"/>
      <c r="AW256" s="15"/>
      <c r="AX256" s="15"/>
      <c r="AY256" s="15"/>
      <c r="AZ256" s="15"/>
      <c r="BA256" s="15"/>
      <c r="BB256" s="15"/>
      <c r="BC256" s="980"/>
      <c r="BD256" s="1004"/>
      <c r="BE256" s="1004"/>
      <c r="BF256" s="1004"/>
      <c r="BG256" s="1004"/>
      <c r="BH256" s="1004"/>
      <c r="BI256" s="1004"/>
      <c r="BJ256" s="1004"/>
      <c r="BK256" s="1004"/>
      <c r="BL256" s="1004"/>
      <c r="BM256" s="1004"/>
      <c r="BN256" s="1004"/>
      <c r="BO256" s="1004"/>
      <c r="BP256" s="1004"/>
      <c r="BQ256" s="1004"/>
      <c r="BR256" s="1004"/>
      <c r="BS256" s="1010"/>
      <c r="BT256" s="398"/>
      <c r="BU256" s="398"/>
      <c r="BV256" s="398"/>
      <c r="BW256" s="398"/>
      <c r="BX256" s="1004"/>
      <c r="BY256" s="1004"/>
      <c r="BZ256" s="1004"/>
      <c r="CA256" s="1004"/>
      <c r="CB256" s="1004"/>
      <c r="CC256" s="1004"/>
      <c r="CD256" s="1004"/>
      <c r="CE256" s="1004"/>
      <c r="CF256" s="1004"/>
      <c r="CG256" s="1004"/>
      <c r="CH256" s="1004"/>
      <c r="CI256" s="1004"/>
      <c r="CJ256" s="1004"/>
      <c r="CK256" s="1004"/>
      <c r="CL256" s="1004"/>
      <c r="CM256" s="1004"/>
      <c r="CN256" s="1004"/>
      <c r="CO256" s="1004"/>
      <c r="CP256" s="1004"/>
      <c r="CQ256" s="1004"/>
      <c r="CR256" s="1004"/>
      <c r="CS256" s="1004"/>
      <c r="CT256" s="1004"/>
      <c r="CU256" s="1004"/>
      <c r="CV256" s="1004"/>
      <c r="CW256" s="1004"/>
      <c r="CX256" s="1004"/>
      <c r="CY256" s="1004"/>
      <c r="CZ256" s="1004"/>
      <c r="DA256" s="1004"/>
      <c r="DB256" s="1004"/>
      <c r="DC256" s="1004"/>
    </row>
    <row r="257" spans="1:107">
      <c r="A257" s="1163"/>
      <c r="B257" s="89" t="s">
        <v>1905</v>
      </c>
      <c r="C257" s="132"/>
      <c r="D257" s="132"/>
      <c r="E257" s="132"/>
      <c r="F257" s="132"/>
      <c r="G257" s="132"/>
      <c r="H257" s="132"/>
      <c r="I257" s="132"/>
      <c r="J257" s="132"/>
      <c r="K257" s="132"/>
      <c r="L257" s="132"/>
      <c r="M257" s="132"/>
      <c r="N257" s="132"/>
      <c r="O257" s="132"/>
      <c r="P257" s="132"/>
      <c r="Q257" s="132"/>
      <c r="R257" s="132"/>
      <c r="S257" s="132"/>
      <c r="T257" s="132"/>
      <c r="U257" s="132"/>
      <c r="V257" s="132"/>
      <c r="W257" s="132"/>
      <c r="X257" s="132"/>
      <c r="Y257" s="132"/>
      <c r="Z257" s="132"/>
      <c r="AA257" s="132"/>
      <c r="AB257" s="132"/>
      <c r="AC257" s="132"/>
      <c r="AD257" s="132"/>
      <c r="AE257" s="15"/>
      <c r="AF257" s="132"/>
      <c r="AG257" s="132"/>
      <c r="AH257" s="132"/>
      <c r="AI257" s="132"/>
      <c r="AJ257" s="132"/>
      <c r="AK257" s="132"/>
      <c r="AL257" s="132"/>
      <c r="AM257" s="132"/>
      <c r="AN257" s="132"/>
      <c r="AO257" s="132"/>
      <c r="AP257" s="132"/>
      <c r="AQ257" s="132"/>
      <c r="AR257" s="132"/>
      <c r="AS257" s="132"/>
      <c r="AT257" s="132"/>
      <c r="AU257" s="132"/>
      <c r="AV257" s="132"/>
      <c r="AW257" s="132"/>
      <c r="AX257" s="132"/>
      <c r="AY257" s="132"/>
      <c r="AZ257" s="132"/>
      <c r="BA257" s="132"/>
      <c r="BB257" s="132"/>
      <c r="BC257" s="132"/>
      <c r="BD257" s="132"/>
      <c r="BE257" s="132"/>
      <c r="BF257" s="132"/>
      <c r="BG257" s="132"/>
      <c r="BH257" s="132"/>
      <c r="BI257" s="132"/>
      <c r="BJ257" s="132"/>
      <c r="BK257" s="132"/>
      <c r="BL257" s="132"/>
      <c r="BM257" s="132"/>
      <c r="BN257" s="132"/>
      <c r="BO257" s="132"/>
      <c r="BP257" s="132"/>
      <c r="BQ257" s="132"/>
      <c r="BR257" s="132"/>
      <c r="BS257" s="132"/>
      <c r="BT257" s="132"/>
      <c r="BU257" s="132"/>
      <c r="BV257" s="132"/>
      <c r="BW257" s="132"/>
      <c r="BX257" s="132"/>
      <c r="BY257" s="132"/>
      <c r="BZ257" s="132"/>
      <c r="CA257" s="132"/>
      <c r="CB257" s="132"/>
      <c r="CC257" s="132"/>
      <c r="CD257" s="132"/>
      <c r="CE257" s="132"/>
      <c r="CF257" s="132"/>
      <c r="CG257" s="132"/>
      <c r="CH257" s="132"/>
      <c r="CI257" s="132"/>
      <c r="CJ257" s="132"/>
      <c r="CK257" s="132"/>
      <c r="CL257" s="132"/>
      <c r="CM257" s="132"/>
      <c r="CN257" s="132"/>
      <c r="CO257" s="132"/>
      <c r="CP257" s="132"/>
      <c r="CQ257" s="132"/>
      <c r="CR257" s="132"/>
      <c r="CS257" s="132"/>
      <c r="CT257" s="132"/>
      <c r="CU257" s="132"/>
      <c r="CV257" s="132"/>
      <c r="CW257" s="132"/>
      <c r="CX257" s="132"/>
      <c r="CY257" s="132"/>
      <c r="CZ257" s="132"/>
      <c r="DA257" s="132"/>
      <c r="DB257" s="132"/>
      <c r="DC257" s="132"/>
    </row>
    <row r="258" spans="1:107">
      <c r="A258" s="1163"/>
      <c r="B258" s="876" t="s">
        <v>1118</v>
      </c>
      <c r="C258" s="15"/>
      <c r="D258" s="15"/>
      <c r="E258" s="15"/>
      <c r="F258" s="15"/>
      <c r="G258" s="15"/>
      <c r="H258" s="15"/>
      <c r="I258" s="15"/>
      <c r="J258" s="26"/>
      <c r="K258" s="54"/>
      <c r="L258" s="26"/>
      <c r="M258" s="26"/>
      <c r="N258" s="26"/>
      <c r="O258" s="26"/>
      <c r="P258" s="26">
        <f t="shared" ref="P258:Z258" si="549">O260</f>
        <v>0</v>
      </c>
      <c r="Q258" s="26">
        <f t="shared" si="549"/>
        <v>0</v>
      </c>
      <c r="R258" s="26">
        <f t="shared" si="549"/>
        <v>0</v>
      </c>
      <c r="S258" s="26">
        <f t="shared" si="549"/>
        <v>0</v>
      </c>
      <c r="T258" s="26">
        <f t="shared" si="549"/>
        <v>750</v>
      </c>
      <c r="U258" s="26">
        <f t="shared" si="549"/>
        <v>750</v>
      </c>
      <c r="V258" s="26">
        <f t="shared" si="549"/>
        <v>750</v>
      </c>
      <c r="W258" s="26">
        <f t="shared" si="549"/>
        <v>750</v>
      </c>
      <c r="X258" s="26">
        <f t="shared" si="549"/>
        <v>750</v>
      </c>
      <c r="Y258" s="26">
        <f t="shared" si="549"/>
        <v>750</v>
      </c>
      <c r="Z258" s="26">
        <f t="shared" si="549"/>
        <v>750</v>
      </c>
      <c r="AA258" s="26">
        <f t="shared" ref="AA258" si="550">Z260</f>
        <v>750</v>
      </c>
      <c r="AB258" s="26">
        <f t="shared" ref="AB258" si="551">AA260</f>
        <v>750</v>
      </c>
      <c r="AC258" s="26">
        <f t="shared" ref="AC258" si="552">AB260</f>
        <v>750</v>
      </c>
      <c r="AD258" s="26">
        <f t="shared" ref="AD258" si="553">AC260</f>
        <v>750</v>
      </c>
      <c r="AE258" s="15"/>
      <c r="AF258" s="26"/>
      <c r="AG258" s="26"/>
      <c r="AH258" s="26"/>
      <c r="AI258" s="26"/>
      <c r="AJ258" s="26"/>
      <c r="AK258" s="26"/>
      <c r="AL258" s="26"/>
      <c r="AM258" s="26"/>
      <c r="AN258" s="26"/>
      <c r="AO258" s="26"/>
      <c r="AP258" s="26"/>
      <c r="AQ258" s="26"/>
      <c r="AR258" s="26"/>
      <c r="AS258" s="26"/>
      <c r="AT258" s="26"/>
      <c r="AU258" s="26"/>
      <c r="AV258" s="26"/>
      <c r="AW258" s="26"/>
      <c r="AX258" s="26"/>
      <c r="AY258" s="26"/>
      <c r="AZ258" s="26"/>
      <c r="BA258" s="26"/>
      <c r="BB258" s="26"/>
      <c r="BC258" s="26"/>
      <c r="BD258" s="26"/>
      <c r="BE258" s="26"/>
      <c r="BF258" s="26"/>
      <c r="BG258" s="26"/>
      <c r="BH258" s="26"/>
      <c r="BI258" s="26"/>
      <c r="BJ258" s="26"/>
      <c r="BK258" s="26"/>
      <c r="BL258" s="26"/>
      <c r="BM258" s="26"/>
      <c r="BN258" s="26"/>
      <c r="BO258" s="26"/>
      <c r="BP258" s="26"/>
      <c r="BQ258" s="26"/>
      <c r="BR258" s="783"/>
      <c r="BS258" s="783"/>
      <c r="BT258" s="26"/>
      <c r="BU258" s="26"/>
      <c r="BV258" s="26"/>
      <c r="BW258" s="26"/>
      <c r="BX258" s="26"/>
      <c r="BY258" s="26"/>
      <c r="BZ258" s="26"/>
      <c r="CA258" s="26"/>
      <c r="CB258" s="26"/>
      <c r="CC258" s="26"/>
      <c r="CD258" s="26"/>
      <c r="CE258" s="26"/>
      <c r="CF258" s="26"/>
      <c r="CG258" s="26"/>
      <c r="CH258" s="26"/>
      <c r="CI258" s="26"/>
      <c r="CJ258" s="26"/>
      <c r="CK258" s="26"/>
      <c r="CL258" s="26"/>
      <c r="CM258" s="26">
        <f t="shared" ref="CM258:CU258" si="554">CL260</f>
        <v>0</v>
      </c>
      <c r="CN258" s="26">
        <f t="shared" si="554"/>
        <v>750</v>
      </c>
      <c r="CO258" s="26">
        <f t="shared" si="554"/>
        <v>750</v>
      </c>
      <c r="CP258" s="26">
        <f t="shared" si="554"/>
        <v>750</v>
      </c>
      <c r="CQ258" s="26">
        <f t="shared" si="554"/>
        <v>750</v>
      </c>
      <c r="CR258" s="26">
        <f t="shared" si="554"/>
        <v>750</v>
      </c>
      <c r="CS258" s="26">
        <f t="shared" si="554"/>
        <v>750</v>
      </c>
      <c r="CT258" s="26">
        <f t="shared" si="554"/>
        <v>750</v>
      </c>
      <c r="CU258" s="26">
        <f t="shared" si="554"/>
        <v>750</v>
      </c>
      <c r="CV258" s="26">
        <f>CU260</f>
        <v>750</v>
      </c>
      <c r="CW258" s="26">
        <f>CV260</f>
        <v>750</v>
      </c>
      <c r="CX258" s="26">
        <f>CW260</f>
        <v>750</v>
      </c>
      <c r="CY258" s="26">
        <f>CX260</f>
        <v>750</v>
      </c>
      <c r="CZ258" s="26">
        <f t="shared" ref="CZ258:DC258" si="555">CY260</f>
        <v>750</v>
      </c>
      <c r="DA258" s="26">
        <f t="shared" si="555"/>
        <v>750</v>
      </c>
      <c r="DB258" s="26">
        <f t="shared" si="555"/>
        <v>750</v>
      </c>
      <c r="DC258" s="26">
        <f t="shared" si="555"/>
        <v>750</v>
      </c>
    </row>
    <row r="259" spans="1:107">
      <c r="A259" s="1163"/>
      <c r="B259" s="876" t="s">
        <v>1121</v>
      </c>
      <c r="C259" s="15"/>
      <c r="D259" s="15"/>
      <c r="E259" s="15"/>
      <c r="F259" s="15"/>
      <c r="G259" s="15"/>
      <c r="H259" s="15"/>
      <c r="I259" s="15"/>
      <c r="J259" s="26"/>
      <c r="K259" s="54"/>
      <c r="L259" s="26"/>
      <c r="M259" s="26"/>
      <c r="N259" s="26"/>
      <c r="O259" s="26"/>
      <c r="P259" s="26">
        <f>P260-P258</f>
        <v>0</v>
      </c>
      <c r="Q259" s="26">
        <f>Q260-Q258</f>
        <v>0</v>
      </c>
      <c r="R259" s="26">
        <f>R260-R258</f>
        <v>0</v>
      </c>
      <c r="S259" s="26">
        <f>S260-S258</f>
        <v>750</v>
      </c>
      <c r="T259" s="26">
        <f>T260-T258</f>
        <v>0</v>
      </c>
      <c r="U259" s="26">
        <f>+SUM(CR259:CU259)</f>
        <v>0</v>
      </c>
      <c r="V259" s="26">
        <f>+SUM(CV259:CY259)</f>
        <v>0</v>
      </c>
      <c r="W259" s="26">
        <f>+SUM(CZ259:DC259)</f>
        <v>0</v>
      </c>
      <c r="X259" s="26">
        <v>0</v>
      </c>
      <c r="Y259" s="26">
        <v>0</v>
      </c>
      <c r="Z259" s="26">
        <v>0</v>
      </c>
      <c r="AA259" s="26">
        <v>0</v>
      </c>
      <c r="AB259" s="26">
        <v>0</v>
      </c>
      <c r="AC259" s="26">
        <v>0</v>
      </c>
      <c r="AD259" s="26">
        <v>0</v>
      </c>
      <c r="AE259" s="15"/>
      <c r="AF259" s="15"/>
      <c r="AG259" s="15"/>
      <c r="AH259" s="15"/>
      <c r="AI259" s="15"/>
      <c r="AJ259" s="15"/>
      <c r="AK259" s="15"/>
      <c r="AL259" s="15"/>
      <c r="AM259" s="15"/>
      <c r="AN259" s="15"/>
      <c r="AO259" s="15"/>
      <c r="AP259" s="15"/>
      <c r="AQ259" s="15"/>
      <c r="AR259" s="15"/>
      <c r="AS259" s="15"/>
      <c r="AT259" s="15"/>
      <c r="AU259" s="15"/>
      <c r="AV259" s="15"/>
      <c r="AW259" s="15"/>
      <c r="AX259" s="15"/>
      <c r="AY259" s="15"/>
      <c r="AZ259" s="15"/>
      <c r="BA259" s="15"/>
      <c r="BB259" s="15"/>
      <c r="BC259" s="15"/>
      <c r="BD259" s="15"/>
      <c r="BE259" s="15"/>
      <c r="BF259" s="15"/>
      <c r="BG259" s="15"/>
      <c r="BH259" s="15"/>
      <c r="BI259" s="15"/>
      <c r="BJ259" s="15"/>
      <c r="BK259" s="15"/>
      <c r="BL259" s="26"/>
      <c r="BM259" s="26"/>
      <c r="BN259" s="26"/>
      <c r="BO259" s="26"/>
      <c r="BP259" s="26"/>
      <c r="BQ259" s="26"/>
      <c r="BR259" s="783"/>
      <c r="BS259" s="783"/>
      <c r="BT259" s="26"/>
      <c r="BU259" s="398"/>
      <c r="BV259" s="398"/>
      <c r="BW259" s="398"/>
      <c r="BX259" s="398"/>
      <c r="BY259" s="26"/>
      <c r="BZ259" s="26"/>
      <c r="CA259" s="26"/>
      <c r="CB259" s="26"/>
      <c r="CC259" s="26"/>
      <c r="CD259" s="26"/>
      <c r="CE259" s="26"/>
      <c r="CF259" s="398"/>
      <c r="CG259" s="26"/>
      <c r="CH259" s="26"/>
      <c r="CI259" s="26"/>
      <c r="CJ259" s="26"/>
      <c r="CK259" s="26"/>
      <c r="CL259" s="26"/>
      <c r="CM259" s="398">
        <v>750</v>
      </c>
      <c r="CN259" s="26">
        <v>0</v>
      </c>
      <c r="CO259" s="26">
        <v>0</v>
      </c>
      <c r="CP259" s="26">
        <v>0</v>
      </c>
      <c r="CQ259" s="26">
        <v>0</v>
      </c>
      <c r="CR259" s="26">
        <v>0</v>
      </c>
      <c r="CS259" s="26">
        <v>0</v>
      </c>
      <c r="CT259" s="26">
        <v>0</v>
      </c>
      <c r="CU259" s="26">
        <v>0</v>
      </c>
      <c r="CV259" s="26">
        <v>0</v>
      </c>
      <c r="CW259" s="26">
        <v>0</v>
      </c>
      <c r="CX259" s="26">
        <v>0</v>
      </c>
      <c r="CY259" s="26">
        <v>0</v>
      </c>
      <c r="CZ259" s="26">
        <v>0</v>
      </c>
      <c r="DA259" s="26">
        <v>0</v>
      </c>
      <c r="DB259" s="26">
        <v>0</v>
      </c>
      <c r="DC259" s="26">
        <v>0</v>
      </c>
    </row>
    <row r="260" spans="1:107">
      <c r="A260" s="1163"/>
      <c r="B260" s="876" t="s">
        <v>261</v>
      </c>
      <c r="C260" s="15"/>
      <c r="D260" s="15"/>
      <c r="E260" s="15"/>
      <c r="F260" s="15"/>
      <c r="G260" s="15"/>
      <c r="H260" s="15"/>
      <c r="I260" s="15"/>
      <c r="J260" s="26"/>
      <c r="K260" s="54"/>
      <c r="L260" s="26"/>
      <c r="M260" s="26"/>
      <c r="N260" s="26"/>
      <c r="O260" s="26">
        <f>BW260</f>
        <v>0</v>
      </c>
      <c r="P260" s="26">
        <f>CA260</f>
        <v>0</v>
      </c>
      <c r="Q260" s="26">
        <f>CE260</f>
        <v>0</v>
      </c>
      <c r="R260" s="26">
        <f>CI260</f>
        <v>0</v>
      </c>
      <c r="S260" s="26">
        <f>CM260</f>
        <v>750</v>
      </c>
      <c r="T260" s="26">
        <f>CQ260</f>
        <v>750</v>
      </c>
      <c r="U260" s="26">
        <f t="shared" ref="U260:Z260" si="556">SUM(U258:U259)</f>
        <v>750</v>
      </c>
      <c r="V260" s="26">
        <f>SUM(V258:V259)</f>
        <v>750</v>
      </c>
      <c r="W260" s="26">
        <f>SUM(W258:W259)</f>
        <v>750</v>
      </c>
      <c r="X260" s="26">
        <f t="shared" si="556"/>
        <v>750</v>
      </c>
      <c r="Y260" s="26">
        <f t="shared" si="556"/>
        <v>750</v>
      </c>
      <c r="Z260" s="26">
        <f t="shared" si="556"/>
        <v>750</v>
      </c>
      <c r="AA260" s="26">
        <f t="shared" ref="AA260:AD260" si="557">SUM(AA258:AA259)</f>
        <v>750</v>
      </c>
      <c r="AB260" s="26">
        <f t="shared" si="557"/>
        <v>750</v>
      </c>
      <c r="AC260" s="26">
        <f t="shared" si="557"/>
        <v>750</v>
      </c>
      <c r="AD260" s="26">
        <f t="shared" si="557"/>
        <v>750</v>
      </c>
      <c r="AE260" s="15"/>
      <c r="AF260" s="15"/>
      <c r="AG260" s="15"/>
      <c r="AH260" s="15"/>
      <c r="AI260" s="15"/>
      <c r="AJ260" s="15"/>
      <c r="AK260" s="15"/>
      <c r="AL260" s="15"/>
      <c r="AM260" s="15"/>
      <c r="AN260" s="15"/>
      <c r="AO260" s="15"/>
      <c r="AP260" s="15"/>
      <c r="AQ260" s="15"/>
      <c r="AR260" s="15"/>
      <c r="AS260" s="15"/>
      <c r="AT260" s="15"/>
      <c r="AU260" s="15"/>
      <c r="AV260" s="15"/>
      <c r="AW260" s="15"/>
      <c r="AX260" s="15"/>
      <c r="AY260" s="15"/>
      <c r="AZ260" s="15"/>
      <c r="BA260" s="15"/>
      <c r="BB260" s="15"/>
      <c r="BC260" s="15"/>
      <c r="BD260" s="15"/>
      <c r="BE260" s="15"/>
      <c r="BF260" s="15"/>
      <c r="BG260" s="15"/>
      <c r="BH260" s="15"/>
      <c r="BI260" s="15"/>
      <c r="BJ260" s="15"/>
      <c r="BK260" s="15"/>
      <c r="BL260" s="26"/>
      <c r="BM260" s="26"/>
      <c r="BN260" s="26"/>
      <c r="BO260" s="26"/>
      <c r="BP260" s="26"/>
      <c r="BQ260" s="26"/>
      <c r="BR260" s="783"/>
      <c r="BS260" s="783"/>
      <c r="BT260" s="814"/>
      <c r="BU260" s="26"/>
      <c r="BV260" s="26"/>
      <c r="BW260" s="26"/>
      <c r="BX260" s="26"/>
      <c r="BY260" s="26"/>
      <c r="BZ260" s="814"/>
      <c r="CA260" s="814"/>
      <c r="CB260" s="814"/>
      <c r="CC260" s="26"/>
      <c r="CD260" s="26"/>
      <c r="CE260" s="26"/>
      <c r="CF260" s="26"/>
      <c r="CG260" s="26"/>
      <c r="CH260" s="26"/>
      <c r="CI260" s="26"/>
      <c r="CJ260" s="26"/>
      <c r="CK260" s="26"/>
      <c r="CL260" s="26"/>
      <c r="CM260" s="26">
        <f t="shared" ref="CM260:CT260" si="558">SUM(CM258:CM259)</f>
        <v>750</v>
      </c>
      <c r="CN260" s="26">
        <f t="shared" si="558"/>
        <v>750</v>
      </c>
      <c r="CO260" s="26">
        <f t="shared" si="558"/>
        <v>750</v>
      </c>
      <c r="CP260" s="26">
        <f t="shared" si="558"/>
        <v>750</v>
      </c>
      <c r="CQ260" s="26">
        <f>SUM(CQ258:CQ259)</f>
        <v>750</v>
      </c>
      <c r="CR260" s="26">
        <f t="shared" si="558"/>
        <v>750</v>
      </c>
      <c r="CS260" s="26">
        <f t="shared" si="558"/>
        <v>750</v>
      </c>
      <c r="CT260" s="26">
        <f t="shared" si="558"/>
        <v>750</v>
      </c>
      <c r="CU260" s="26">
        <f>SUM(CU258:CU259)</f>
        <v>750</v>
      </c>
      <c r="CV260" s="26">
        <f>SUM(CV258:CV259)</f>
        <v>750</v>
      </c>
      <c r="CW260" s="26">
        <f>SUM(CW258:CW259)</f>
        <v>750</v>
      </c>
      <c r="CX260" s="26">
        <f>SUM(CX258:CX259)</f>
        <v>750</v>
      </c>
      <c r="CY260" s="26">
        <f>SUM(CY258:CY259)</f>
        <v>750</v>
      </c>
      <c r="CZ260" s="26">
        <f t="shared" ref="CZ260:DC260" si="559">SUM(CZ258:CZ259)</f>
        <v>750</v>
      </c>
      <c r="DA260" s="26">
        <f t="shared" si="559"/>
        <v>750</v>
      </c>
      <c r="DB260" s="26">
        <f t="shared" si="559"/>
        <v>750</v>
      </c>
      <c r="DC260" s="26">
        <f t="shared" si="559"/>
        <v>750</v>
      </c>
    </row>
    <row r="261" spans="1:107">
      <c r="A261" s="1163"/>
      <c r="B261" s="876" t="s">
        <v>262</v>
      </c>
      <c r="C261" s="15"/>
      <c r="D261" s="15"/>
      <c r="E261" s="15"/>
      <c r="F261" s="15"/>
      <c r="G261" s="15"/>
      <c r="H261" s="15"/>
      <c r="I261" s="15"/>
      <c r="J261" s="15"/>
      <c r="K261" s="783"/>
      <c r="L261" s="1004"/>
      <c r="M261" s="1004"/>
      <c r="N261" s="1004"/>
      <c r="O261" s="1004"/>
      <c r="P261" s="1004"/>
      <c r="Q261" s="1004"/>
      <c r="R261" s="1004"/>
      <c r="S261" s="1004"/>
      <c r="T261" s="1004"/>
      <c r="U261" s="1004"/>
      <c r="V261" s="1004"/>
      <c r="W261" s="1004"/>
      <c r="X261" s="1004"/>
      <c r="Y261" s="1004"/>
      <c r="Z261" s="1004"/>
      <c r="AA261" s="1004"/>
      <c r="AB261" s="1004"/>
      <c r="AC261" s="1004"/>
      <c r="AD261" s="1004"/>
      <c r="AE261" s="15"/>
      <c r="AF261" s="15"/>
      <c r="AG261" s="15"/>
      <c r="AH261" s="15"/>
      <c r="AI261" s="15"/>
      <c r="AJ261" s="15"/>
      <c r="AK261" s="15"/>
      <c r="AL261" s="15"/>
      <c r="AM261" s="15"/>
      <c r="AN261" s="15"/>
      <c r="AO261" s="15"/>
      <c r="AP261" s="15"/>
      <c r="AQ261" s="15"/>
      <c r="AR261" s="15"/>
      <c r="AS261" s="15"/>
      <c r="AT261" s="15"/>
      <c r="AU261" s="15"/>
      <c r="AV261" s="15"/>
      <c r="AW261" s="15"/>
      <c r="AX261" s="15"/>
      <c r="AY261" s="15"/>
      <c r="AZ261" s="15"/>
      <c r="BA261" s="15"/>
      <c r="BB261" s="15"/>
      <c r="BC261" s="980"/>
      <c r="BD261" s="1004"/>
      <c r="BE261" s="1004"/>
      <c r="BF261" s="1004"/>
      <c r="BG261" s="1004"/>
      <c r="BH261" s="1004"/>
      <c r="BI261" s="1004"/>
      <c r="BJ261" s="1004"/>
      <c r="BK261" s="1004"/>
      <c r="BL261" s="1004"/>
      <c r="BM261" s="1004"/>
      <c r="BN261" s="1004"/>
      <c r="BO261" s="1004"/>
      <c r="BP261" s="1004"/>
      <c r="BQ261" s="1004"/>
      <c r="BR261" s="1004"/>
      <c r="BS261" s="1010"/>
      <c r="BT261" s="398"/>
      <c r="BU261" s="398"/>
      <c r="BV261" s="398"/>
      <c r="BW261" s="398"/>
      <c r="BX261" s="1004"/>
      <c r="BY261" s="1004"/>
      <c r="BZ261" s="1004"/>
      <c r="CA261" s="1004"/>
      <c r="CB261" s="1004"/>
      <c r="CC261" s="1004"/>
      <c r="CD261" s="1004"/>
      <c r="CE261" s="1004"/>
      <c r="CF261" s="1004"/>
      <c r="CG261" s="1004"/>
      <c r="CH261" s="1004"/>
      <c r="CI261" s="1004"/>
      <c r="CJ261" s="1004"/>
      <c r="CK261" s="1004"/>
      <c r="CL261" s="1004"/>
      <c r="CM261" s="1004"/>
      <c r="CN261" s="1004"/>
      <c r="CO261" s="1004"/>
      <c r="CP261" s="1004"/>
      <c r="CQ261" s="1004"/>
      <c r="CR261" s="1004"/>
      <c r="CS261" s="1004"/>
      <c r="CT261" s="1004"/>
      <c r="CU261" s="1004"/>
      <c r="CV261" s="1004"/>
      <c r="CW261" s="1004"/>
      <c r="CX261" s="1004"/>
      <c r="CY261" s="1004"/>
      <c r="CZ261" s="1004"/>
      <c r="DA261" s="1004"/>
      <c r="DB261" s="1004"/>
      <c r="DC261" s="1004"/>
    </row>
    <row r="262" spans="1:107">
      <c r="A262" s="15"/>
      <c r="B262" s="876"/>
      <c r="C262" s="15"/>
      <c r="D262" s="15"/>
      <c r="E262" s="15"/>
      <c r="F262" s="15"/>
      <c r="G262" s="15"/>
      <c r="H262" s="15"/>
      <c r="I262" s="15"/>
      <c r="J262" s="15"/>
      <c r="K262" s="783"/>
      <c r="L262" s="1004"/>
      <c r="M262" s="1004"/>
      <c r="N262" s="1004"/>
      <c r="O262" s="1004"/>
      <c r="P262" s="1004"/>
      <c r="Q262" s="1004"/>
      <c r="R262" s="1004"/>
      <c r="S262" s="1004"/>
      <c r="T262" s="1004"/>
      <c r="U262" s="1004"/>
      <c r="V262" s="1004"/>
      <c r="W262" s="1004"/>
      <c r="X262" s="1004"/>
      <c r="Y262" s="1004"/>
      <c r="Z262" s="1004"/>
      <c r="AA262" s="1004"/>
      <c r="AB262" s="1004"/>
      <c r="AC262" s="1004"/>
      <c r="AD262" s="1004"/>
      <c r="AE262" s="15"/>
      <c r="AF262" s="15"/>
      <c r="AG262" s="15"/>
      <c r="AH262" s="15"/>
      <c r="AI262" s="15"/>
      <c r="AJ262" s="15"/>
      <c r="AK262" s="15"/>
      <c r="AL262" s="15"/>
      <c r="AM262" s="15"/>
      <c r="AN262" s="15"/>
      <c r="AO262" s="15"/>
      <c r="AP262" s="15"/>
      <c r="AQ262" s="15"/>
      <c r="AR262" s="15"/>
      <c r="AS262" s="15"/>
      <c r="AT262" s="15"/>
      <c r="AU262" s="15"/>
      <c r="AV262" s="15"/>
      <c r="AW262" s="15"/>
      <c r="AX262" s="15"/>
      <c r="AY262" s="15"/>
      <c r="AZ262" s="15"/>
      <c r="BA262" s="15"/>
      <c r="BB262" s="15"/>
      <c r="BC262" s="980"/>
      <c r="BD262" s="1004"/>
      <c r="BE262" s="1004"/>
      <c r="BF262" s="1004"/>
      <c r="BG262" s="1004"/>
      <c r="BH262" s="1004"/>
      <c r="BI262" s="1004"/>
      <c r="BJ262" s="1004"/>
      <c r="BK262" s="1004"/>
      <c r="BL262" s="1004"/>
      <c r="BM262" s="1004"/>
      <c r="BN262" s="1004"/>
      <c r="BO262" s="1004"/>
      <c r="BP262" s="1004"/>
      <c r="BQ262" s="1004"/>
      <c r="BR262" s="1004"/>
      <c r="BS262" s="1010"/>
      <c r="BT262" s="398"/>
      <c r="BU262" s="398"/>
      <c r="BV262" s="398"/>
      <c r="BW262" s="398"/>
      <c r="BX262" s="1004"/>
      <c r="BY262" s="1004"/>
      <c r="BZ262" s="1004"/>
      <c r="CA262" s="1004"/>
      <c r="CB262" s="1004"/>
      <c r="CC262" s="1004"/>
      <c r="CD262" s="1004"/>
      <c r="CE262" s="1004"/>
      <c r="CF262" s="1004"/>
      <c r="CG262" s="1004"/>
      <c r="CH262" s="1004"/>
      <c r="CI262" s="1004"/>
      <c r="CJ262" s="1004"/>
      <c r="CK262" s="1004"/>
      <c r="CL262" s="1004"/>
      <c r="CM262" s="1004"/>
      <c r="CN262" s="1004"/>
      <c r="CO262" s="1004"/>
      <c r="CP262" s="1004"/>
      <c r="CQ262" s="1004"/>
      <c r="CR262" s="1004"/>
      <c r="CS262" s="1004"/>
      <c r="CT262" s="1004"/>
      <c r="CU262" s="1004"/>
      <c r="CV262" s="1004"/>
      <c r="CW262" s="1004"/>
      <c r="CX262" s="1004"/>
      <c r="CY262" s="1004"/>
      <c r="CZ262" s="1004"/>
      <c r="DA262" s="1004"/>
      <c r="DB262" s="1004"/>
      <c r="DC262" s="1004"/>
    </row>
    <row r="263" spans="1:107">
      <c r="A263" s="1163"/>
      <c r="B263" s="89" t="s">
        <v>1906</v>
      </c>
      <c r="C263" s="132"/>
      <c r="D263" s="132"/>
      <c r="E263" s="132"/>
      <c r="F263" s="132"/>
      <c r="G263" s="132"/>
      <c r="H263" s="132"/>
      <c r="I263" s="132"/>
      <c r="J263" s="132"/>
      <c r="K263" s="132"/>
      <c r="L263" s="132"/>
      <c r="M263" s="132"/>
      <c r="N263" s="132"/>
      <c r="O263" s="132"/>
      <c r="P263" s="132"/>
      <c r="Q263" s="132"/>
      <c r="R263" s="132"/>
      <c r="S263" s="132"/>
      <c r="T263" s="132"/>
      <c r="U263" s="132"/>
      <c r="V263" s="132"/>
      <c r="W263" s="132"/>
      <c r="X263" s="132"/>
      <c r="Y263" s="132"/>
      <c r="Z263" s="132"/>
      <c r="AA263" s="132"/>
      <c r="AB263" s="132"/>
      <c r="AC263" s="132"/>
      <c r="AD263" s="132"/>
      <c r="AE263" s="15"/>
      <c r="AF263" s="132"/>
      <c r="AG263" s="132"/>
      <c r="AH263" s="132"/>
      <c r="AI263" s="132"/>
      <c r="AJ263" s="132"/>
      <c r="AK263" s="132"/>
      <c r="AL263" s="132"/>
      <c r="AM263" s="132"/>
      <c r="AN263" s="132"/>
      <c r="AO263" s="132"/>
      <c r="AP263" s="132"/>
      <c r="AQ263" s="132"/>
      <c r="AR263" s="132"/>
      <c r="AS263" s="132"/>
      <c r="AT263" s="132"/>
      <c r="AU263" s="132"/>
      <c r="AV263" s="132"/>
      <c r="AW263" s="132"/>
      <c r="AX263" s="132"/>
      <c r="AY263" s="132"/>
      <c r="AZ263" s="132"/>
      <c r="BA263" s="132"/>
      <c r="BB263" s="132"/>
      <c r="BC263" s="132"/>
      <c r="BD263" s="132"/>
      <c r="BE263" s="132"/>
      <c r="BF263" s="132"/>
      <c r="BG263" s="132"/>
      <c r="BH263" s="132"/>
      <c r="BI263" s="132"/>
      <c r="BJ263" s="132"/>
      <c r="BK263" s="132"/>
      <c r="BL263" s="132"/>
      <c r="BM263" s="132"/>
      <c r="BN263" s="132"/>
      <c r="BO263" s="132"/>
      <c r="BP263" s="132"/>
      <c r="BQ263" s="132"/>
      <c r="BR263" s="132"/>
      <c r="BS263" s="132"/>
      <c r="BT263" s="132"/>
      <c r="BU263" s="132"/>
      <c r="BV263" s="132"/>
      <c r="BW263" s="132"/>
      <c r="BX263" s="132"/>
      <c r="BY263" s="132"/>
      <c r="BZ263" s="132"/>
      <c r="CA263" s="132"/>
      <c r="CB263" s="132"/>
      <c r="CC263" s="132"/>
      <c r="CD263" s="132"/>
      <c r="CE263" s="132"/>
      <c r="CF263" s="132"/>
      <c r="CG263" s="132"/>
      <c r="CH263" s="132"/>
      <c r="CI263" s="132"/>
      <c r="CJ263" s="132"/>
      <c r="CK263" s="132"/>
      <c r="CL263" s="132"/>
      <c r="CM263" s="132"/>
      <c r="CN263" s="132"/>
      <c r="CO263" s="132"/>
      <c r="CP263" s="132"/>
      <c r="CQ263" s="132"/>
      <c r="CR263" s="132"/>
      <c r="CS263" s="132"/>
      <c r="CT263" s="132"/>
      <c r="CU263" s="132"/>
      <c r="CV263" s="132"/>
      <c r="CW263" s="132"/>
      <c r="CX263" s="132"/>
      <c r="CY263" s="132"/>
      <c r="CZ263" s="132"/>
      <c r="DA263" s="132"/>
      <c r="DB263" s="132"/>
      <c r="DC263" s="132"/>
    </row>
    <row r="264" spans="1:107">
      <c r="A264" s="1163"/>
      <c r="B264" s="876" t="s">
        <v>1118</v>
      </c>
      <c r="C264" s="15"/>
      <c r="D264" s="15"/>
      <c r="E264" s="15"/>
      <c r="F264" s="15"/>
      <c r="G264" s="15"/>
      <c r="H264" s="15"/>
      <c r="I264" s="15"/>
      <c r="J264" s="26"/>
      <c r="K264" s="54"/>
      <c r="L264" s="26"/>
      <c r="M264" s="26"/>
      <c r="N264" s="26"/>
      <c r="O264" s="26"/>
      <c r="P264" s="26">
        <f t="shared" ref="P264:Z264" si="560">O266</f>
        <v>0</v>
      </c>
      <c r="Q264" s="26">
        <f t="shared" si="560"/>
        <v>0</v>
      </c>
      <c r="R264" s="26">
        <f t="shared" si="560"/>
        <v>0</v>
      </c>
      <c r="S264" s="26">
        <f t="shared" si="560"/>
        <v>0</v>
      </c>
      <c r="T264" s="26">
        <f t="shared" si="560"/>
        <v>500</v>
      </c>
      <c r="U264" s="26">
        <f t="shared" si="560"/>
        <v>454.63400000000001</v>
      </c>
      <c r="V264" s="26">
        <f t="shared" si="560"/>
        <v>460.77</v>
      </c>
      <c r="W264" s="26">
        <f t="shared" si="560"/>
        <v>421.84900000000016</v>
      </c>
      <c r="X264" s="26">
        <f t="shared" si="560"/>
        <v>421.84900000000016</v>
      </c>
      <c r="Y264" s="26">
        <f t="shared" si="560"/>
        <v>421.84900000000016</v>
      </c>
      <c r="Z264" s="26">
        <f t="shared" si="560"/>
        <v>421.84900000000016</v>
      </c>
      <c r="AA264" s="26">
        <f t="shared" ref="AA264" si="561">Z266</f>
        <v>421.84900000000016</v>
      </c>
      <c r="AB264" s="26">
        <f t="shared" ref="AB264" si="562">AA266</f>
        <v>421.84900000000016</v>
      </c>
      <c r="AC264" s="26">
        <f t="shared" ref="AC264" si="563">AB266</f>
        <v>421.84900000000016</v>
      </c>
      <c r="AD264" s="26">
        <f t="shared" ref="AD264" si="564">AC266</f>
        <v>421.84900000000016</v>
      </c>
      <c r="AE264" s="15"/>
      <c r="AF264" s="26"/>
      <c r="AG264" s="26"/>
      <c r="AH264" s="26"/>
      <c r="AI264" s="26"/>
      <c r="AJ264" s="26"/>
      <c r="AK264" s="26"/>
      <c r="AL264" s="26"/>
      <c r="AM264" s="26"/>
      <c r="AN264" s="26"/>
      <c r="AO264" s="26"/>
      <c r="AP264" s="26"/>
      <c r="AQ264" s="26"/>
      <c r="AR264" s="26"/>
      <c r="AS264" s="26"/>
      <c r="AT264" s="26"/>
      <c r="AU264" s="26"/>
      <c r="AV264" s="26"/>
      <c r="AW264" s="26"/>
      <c r="AX264" s="26"/>
      <c r="AY264" s="26"/>
      <c r="AZ264" s="26"/>
      <c r="BA264" s="26"/>
      <c r="BB264" s="26"/>
      <c r="BC264" s="26"/>
      <c r="BD264" s="26"/>
      <c r="BE264" s="26"/>
      <c r="BF264" s="26"/>
      <c r="BG264" s="26"/>
      <c r="BH264" s="26"/>
      <c r="BI264" s="26"/>
      <c r="BJ264" s="26"/>
      <c r="BK264" s="26"/>
      <c r="BL264" s="26"/>
      <c r="BM264" s="26"/>
      <c r="BN264" s="26"/>
      <c r="BO264" s="26"/>
      <c r="BP264" s="26"/>
      <c r="BQ264" s="26"/>
      <c r="BR264" s="783"/>
      <c r="BS264" s="783"/>
      <c r="BT264" s="26"/>
      <c r="BU264" s="26"/>
      <c r="BV264" s="26"/>
      <c r="BW264" s="26"/>
      <c r="BX264" s="26"/>
      <c r="BY264" s="26"/>
      <c r="BZ264" s="26"/>
      <c r="CA264" s="26"/>
      <c r="CB264" s="26"/>
      <c r="CC264" s="26"/>
      <c r="CD264" s="26"/>
      <c r="CE264" s="26"/>
      <c r="CF264" s="26"/>
      <c r="CG264" s="26"/>
      <c r="CH264" s="26"/>
      <c r="CI264" s="26"/>
      <c r="CJ264" s="26"/>
      <c r="CK264" s="26"/>
      <c r="CL264" s="26"/>
      <c r="CM264" s="26"/>
      <c r="CN264" s="26">
        <f t="shared" ref="CN264:CV264" si="565">CM266</f>
        <v>500</v>
      </c>
      <c r="CO264" s="26">
        <f t="shared" si="565"/>
        <v>500</v>
      </c>
      <c r="CP264" s="26">
        <f t="shared" si="565"/>
        <v>500</v>
      </c>
      <c r="CQ264" s="26">
        <f t="shared" si="565"/>
        <v>470.44799999999998</v>
      </c>
      <c r="CR264" s="26">
        <f t="shared" si="565"/>
        <v>454.63400000000001</v>
      </c>
      <c r="CS264" s="26">
        <f t="shared" si="565"/>
        <v>456.16699999999992</v>
      </c>
      <c r="CT264" s="26">
        <f t="shared" si="565"/>
        <v>457.8159999999998</v>
      </c>
      <c r="CU264" s="26">
        <f t="shared" si="565"/>
        <v>459.33199999999988</v>
      </c>
      <c r="CV264" s="26">
        <f t="shared" si="565"/>
        <v>460.77</v>
      </c>
      <c r="CW264" s="26">
        <f>CV266</f>
        <v>445.44899999999961</v>
      </c>
      <c r="CX264" s="26">
        <f>CW266</f>
        <v>447.42599999999999</v>
      </c>
      <c r="CY264" s="26">
        <f>CX266</f>
        <v>427.55627926742864</v>
      </c>
      <c r="CZ264" s="26">
        <f t="shared" ref="CZ264:DC264" si="566">CY266</f>
        <v>421.84900000000016</v>
      </c>
      <c r="DA264" s="26">
        <f t="shared" si="566"/>
        <v>421.84900000000016</v>
      </c>
      <c r="DB264" s="26">
        <f t="shared" si="566"/>
        <v>421.84900000000016</v>
      </c>
      <c r="DC264" s="26">
        <f t="shared" si="566"/>
        <v>421.84900000000016</v>
      </c>
    </row>
    <row r="265" spans="1:107">
      <c r="A265" s="1163"/>
      <c r="B265" s="876" t="s">
        <v>1121</v>
      </c>
      <c r="C265" s="15"/>
      <c r="D265" s="15"/>
      <c r="E265" s="15"/>
      <c r="F265" s="15"/>
      <c r="G265" s="15"/>
      <c r="H265" s="15"/>
      <c r="I265" s="15"/>
      <c r="J265" s="26"/>
      <c r="K265" s="54"/>
      <c r="L265" s="26"/>
      <c r="M265" s="26"/>
      <c r="N265" s="26"/>
      <c r="O265" s="26"/>
      <c r="P265" s="26">
        <f>P266-P264</f>
        <v>0</v>
      </c>
      <c r="Q265" s="26">
        <f>Q266-Q264</f>
        <v>0</v>
      </c>
      <c r="R265" s="26">
        <f>R266-R264</f>
        <v>0</v>
      </c>
      <c r="S265" s="26">
        <f>S266-S264</f>
        <v>500</v>
      </c>
      <c r="T265" s="26">
        <f>T266-T264</f>
        <v>-45.365999999999985</v>
      </c>
      <c r="U265" s="26">
        <f>+SUM(CR265:CU265)</f>
        <v>6.1359999999999673</v>
      </c>
      <c r="V265" s="26">
        <f>+SUM(CV265:CY265)</f>
        <v>-38.920999999999822</v>
      </c>
      <c r="W265" s="26">
        <f>+SUM(CZ265:DC265)</f>
        <v>0</v>
      </c>
      <c r="X265" s="26">
        <v>0</v>
      </c>
      <c r="Y265" s="26">
        <v>0</v>
      </c>
      <c r="Z265" s="26">
        <v>0</v>
      </c>
      <c r="AA265" s="26">
        <v>0</v>
      </c>
      <c r="AB265" s="26">
        <v>0</v>
      </c>
      <c r="AC265" s="26">
        <v>0</v>
      </c>
      <c r="AD265" s="26">
        <v>0</v>
      </c>
      <c r="AE265" s="15"/>
      <c r="AF265" s="15"/>
      <c r="AG265" s="15"/>
      <c r="AH265" s="15"/>
      <c r="AI265" s="15"/>
      <c r="AJ265" s="15"/>
      <c r="AK265" s="15"/>
      <c r="AL265" s="15"/>
      <c r="AM265" s="15"/>
      <c r="AN265" s="15"/>
      <c r="AO265" s="15"/>
      <c r="AP265" s="15"/>
      <c r="AQ265" s="15"/>
      <c r="AR265" s="15"/>
      <c r="AS265" s="15"/>
      <c r="AT265" s="15"/>
      <c r="AU265" s="15"/>
      <c r="AV265" s="15"/>
      <c r="AW265" s="15"/>
      <c r="AX265" s="15"/>
      <c r="AY265" s="15"/>
      <c r="AZ265" s="15"/>
      <c r="BA265" s="15"/>
      <c r="BB265" s="15"/>
      <c r="BC265" s="15"/>
      <c r="BD265" s="15"/>
      <c r="BE265" s="15"/>
      <c r="BF265" s="15"/>
      <c r="BG265" s="15"/>
      <c r="BH265" s="15"/>
      <c r="BI265" s="15"/>
      <c r="BJ265" s="15"/>
      <c r="BK265" s="15"/>
      <c r="BL265" s="26"/>
      <c r="BM265" s="26"/>
      <c r="BN265" s="26"/>
      <c r="BO265" s="26"/>
      <c r="BP265" s="26"/>
      <c r="BQ265" s="26"/>
      <c r="BR265" s="783"/>
      <c r="BS265" s="783"/>
      <c r="BT265" s="26"/>
      <c r="BU265" s="398"/>
      <c r="BV265" s="398"/>
      <c r="BW265" s="398"/>
      <c r="BX265" s="398"/>
      <c r="BY265" s="26"/>
      <c r="BZ265" s="26"/>
      <c r="CA265" s="26"/>
      <c r="CB265" s="26"/>
      <c r="CC265" s="26"/>
      <c r="CD265" s="26"/>
      <c r="CE265" s="26"/>
      <c r="CF265" s="398"/>
      <c r="CG265" s="26"/>
      <c r="CH265" s="26"/>
      <c r="CI265" s="26"/>
      <c r="CJ265" s="26"/>
      <c r="CK265" s="26"/>
      <c r="CL265" s="26"/>
      <c r="CM265" s="398">
        <v>500</v>
      </c>
      <c r="CN265" s="26">
        <v>0</v>
      </c>
      <c r="CO265" s="26">
        <v>0</v>
      </c>
      <c r="CP265" s="398">
        <v>-29.552</v>
      </c>
      <c r="CQ265" s="398">
        <f>+(3804.634-3350)-CQ264</f>
        <v>-15.813999999999965</v>
      </c>
      <c r="CR265" s="398">
        <f>+(3806.167-3350)-CR264</f>
        <v>1.5329999999999018</v>
      </c>
      <c r="CS265" s="398">
        <f>+(3807.816-3350)-CS264</f>
        <v>1.6489999999998872</v>
      </c>
      <c r="CT265" s="398">
        <f>+(3809.332-3350)-CT264</f>
        <v>1.5160000000000764</v>
      </c>
      <c r="CU265" s="398">
        <f>+(3810.77-3350)-CU264</f>
        <v>1.4380000000001019</v>
      </c>
      <c r="CV265" s="398">
        <f>+(5045.449-4600)-CV264</f>
        <v>-15.321000000000367</v>
      </c>
      <c r="CW265" s="398">
        <f>+(5100-4600-52.574)-CW264</f>
        <v>1.9770000000003733</v>
      </c>
      <c r="CX265" s="398">
        <f>+(5717.276-CX278-CX254-CX260-CX272-CX284)-CX264</f>
        <v>-19.869720732571352</v>
      </c>
      <c r="CY265" s="398">
        <f>+(6923.849-CY278-CY254-CY260-CY272-CY284)-CY264-CY290</f>
        <v>-5.7072792674284756</v>
      </c>
      <c r="CZ265" s="26">
        <v>0</v>
      </c>
      <c r="DA265" s="26">
        <v>0</v>
      </c>
      <c r="DB265" s="26">
        <v>0</v>
      </c>
      <c r="DC265" s="26">
        <v>0</v>
      </c>
    </row>
    <row r="266" spans="1:107">
      <c r="A266" s="1163"/>
      <c r="B266" s="876" t="s">
        <v>261</v>
      </c>
      <c r="C266" s="15"/>
      <c r="D266" s="15"/>
      <c r="E266" s="15"/>
      <c r="F266" s="15"/>
      <c r="G266" s="15"/>
      <c r="H266" s="15"/>
      <c r="I266" s="15"/>
      <c r="J266" s="26"/>
      <c r="K266" s="54"/>
      <c r="L266" s="26"/>
      <c r="M266" s="26"/>
      <c r="N266" s="26"/>
      <c r="O266" s="26">
        <f>BW266</f>
        <v>0</v>
      </c>
      <c r="P266" s="26">
        <f>CA266</f>
        <v>0</v>
      </c>
      <c r="Q266" s="26">
        <f>CE266</f>
        <v>0</v>
      </c>
      <c r="R266" s="26">
        <f>CI266</f>
        <v>0</v>
      </c>
      <c r="S266" s="26">
        <f>CM266</f>
        <v>500</v>
      </c>
      <c r="T266" s="26">
        <f>CQ266</f>
        <v>454.63400000000001</v>
      </c>
      <c r="U266" s="26">
        <f t="shared" ref="U266:Z266" si="567">SUM(U264:U265)</f>
        <v>460.77</v>
      </c>
      <c r="V266" s="26">
        <f>SUM(V264:V265)</f>
        <v>421.84900000000016</v>
      </c>
      <c r="W266" s="26">
        <f>SUM(W264:W265)</f>
        <v>421.84900000000016</v>
      </c>
      <c r="X266" s="26">
        <f t="shared" si="567"/>
        <v>421.84900000000016</v>
      </c>
      <c r="Y266" s="26">
        <f t="shared" si="567"/>
        <v>421.84900000000016</v>
      </c>
      <c r="Z266" s="26">
        <f t="shared" si="567"/>
        <v>421.84900000000016</v>
      </c>
      <c r="AA266" s="26">
        <f t="shared" ref="AA266:AD266" si="568">SUM(AA264:AA265)</f>
        <v>421.84900000000016</v>
      </c>
      <c r="AB266" s="26">
        <f t="shared" si="568"/>
        <v>421.84900000000016</v>
      </c>
      <c r="AC266" s="26">
        <f t="shared" si="568"/>
        <v>421.84900000000016</v>
      </c>
      <c r="AD266" s="26">
        <f t="shared" si="568"/>
        <v>421.84900000000016</v>
      </c>
      <c r="AE266" s="15"/>
      <c r="AF266" s="15"/>
      <c r="AG266" s="15"/>
      <c r="AH266" s="15"/>
      <c r="AI266" s="15"/>
      <c r="AJ266" s="15"/>
      <c r="AK266" s="15"/>
      <c r="AL266" s="15"/>
      <c r="AM266" s="15"/>
      <c r="AN266" s="15"/>
      <c r="AO266" s="15"/>
      <c r="AP266" s="15"/>
      <c r="AQ266" s="15"/>
      <c r="AR266" s="15"/>
      <c r="AS266" s="15"/>
      <c r="AT266" s="15"/>
      <c r="AU266" s="15"/>
      <c r="AV266" s="15"/>
      <c r="AW266" s="15"/>
      <c r="AX266" s="15"/>
      <c r="AY266" s="15"/>
      <c r="AZ266" s="15"/>
      <c r="BA266" s="15"/>
      <c r="BB266" s="15"/>
      <c r="BC266" s="15"/>
      <c r="BD266" s="15"/>
      <c r="BE266" s="15"/>
      <c r="BF266" s="15"/>
      <c r="BG266" s="15"/>
      <c r="BH266" s="15"/>
      <c r="BI266" s="15"/>
      <c r="BJ266" s="15"/>
      <c r="BK266" s="15"/>
      <c r="BL266" s="26"/>
      <c r="BM266" s="26"/>
      <c r="BN266" s="26"/>
      <c r="BO266" s="26"/>
      <c r="BP266" s="26"/>
      <c r="BQ266" s="26"/>
      <c r="BR266" s="783"/>
      <c r="BS266" s="783"/>
      <c r="BT266" s="814"/>
      <c r="BU266" s="26"/>
      <c r="BV266" s="26"/>
      <c r="BW266" s="26"/>
      <c r="BX266" s="26"/>
      <c r="BY266" s="26"/>
      <c r="BZ266" s="814"/>
      <c r="CA266" s="814"/>
      <c r="CB266" s="814"/>
      <c r="CC266" s="26"/>
      <c r="CD266" s="26"/>
      <c r="CE266" s="26"/>
      <c r="CF266" s="26"/>
      <c r="CG266" s="26"/>
      <c r="CH266" s="26"/>
      <c r="CI266" s="26"/>
      <c r="CJ266" s="26"/>
      <c r="CK266" s="26"/>
      <c r="CL266" s="26"/>
      <c r="CM266" s="26">
        <f t="shared" ref="CM266:CT266" si="569">SUM(CM264:CM265)</f>
        <v>500</v>
      </c>
      <c r="CN266" s="26">
        <f t="shared" si="569"/>
        <v>500</v>
      </c>
      <c r="CO266" s="26">
        <f t="shared" si="569"/>
        <v>500</v>
      </c>
      <c r="CP266" s="26">
        <f t="shared" si="569"/>
        <v>470.44799999999998</v>
      </c>
      <c r="CQ266" s="26">
        <f>SUM(CQ264:CQ265)</f>
        <v>454.63400000000001</v>
      </c>
      <c r="CR266" s="26">
        <f>SUM(CR264:CR265)</f>
        <v>456.16699999999992</v>
      </c>
      <c r="CS266" s="26">
        <f t="shared" si="569"/>
        <v>457.8159999999998</v>
      </c>
      <c r="CT266" s="26">
        <f t="shared" si="569"/>
        <v>459.33199999999988</v>
      </c>
      <c r="CU266" s="26">
        <f>SUM(CU264:CU265)</f>
        <v>460.77</v>
      </c>
      <c r="CV266" s="26">
        <f>SUM(CV264:CV265)</f>
        <v>445.44899999999961</v>
      </c>
      <c r="CW266" s="26">
        <f>SUM(CW264:CW265)</f>
        <v>447.42599999999999</v>
      </c>
      <c r="CX266" s="26">
        <f>SUM(CX264:CX265)</f>
        <v>427.55627926742864</v>
      </c>
      <c r="CY266" s="26">
        <f>SUM(CY264:CY265)</f>
        <v>421.84900000000016</v>
      </c>
      <c r="CZ266" s="26">
        <f t="shared" ref="CZ266:DC266" si="570">SUM(CZ264:CZ265)</f>
        <v>421.84900000000016</v>
      </c>
      <c r="DA266" s="26">
        <f t="shared" si="570"/>
        <v>421.84900000000016</v>
      </c>
      <c r="DB266" s="26">
        <f t="shared" si="570"/>
        <v>421.84900000000016</v>
      </c>
      <c r="DC266" s="26">
        <f t="shared" si="570"/>
        <v>421.84900000000016</v>
      </c>
    </row>
    <row r="267" spans="1:107">
      <c r="A267" s="1163"/>
      <c r="B267" s="876" t="s">
        <v>262</v>
      </c>
      <c r="C267" s="15"/>
      <c r="D267" s="15"/>
      <c r="E267" s="15"/>
      <c r="F267" s="15"/>
      <c r="G267" s="15"/>
      <c r="H267" s="15"/>
      <c r="I267" s="15"/>
      <c r="J267" s="15"/>
      <c r="K267" s="783"/>
      <c r="L267" s="1004"/>
      <c r="M267" s="1004"/>
      <c r="N267" s="1004"/>
      <c r="O267" s="1004"/>
      <c r="P267" s="1004"/>
      <c r="Q267" s="1004"/>
      <c r="R267" s="1004"/>
      <c r="S267" s="1004"/>
      <c r="T267" s="1004"/>
      <c r="U267" s="1004"/>
      <c r="V267" s="1004"/>
      <c r="W267" s="1004"/>
      <c r="X267" s="1004"/>
      <c r="Y267" s="1004"/>
      <c r="Z267" s="1004"/>
      <c r="AA267" s="1004"/>
      <c r="AB267" s="1004"/>
      <c r="AC267" s="1004"/>
      <c r="AD267" s="1004"/>
      <c r="AE267" s="15"/>
      <c r="AF267" s="15"/>
      <c r="AG267" s="15"/>
      <c r="AH267" s="15"/>
      <c r="AI267" s="15"/>
      <c r="AJ267" s="15"/>
      <c r="AK267" s="15"/>
      <c r="AL267" s="15"/>
      <c r="AM267" s="15"/>
      <c r="AN267" s="15"/>
      <c r="AO267" s="15"/>
      <c r="AP267" s="15"/>
      <c r="AQ267" s="15"/>
      <c r="AR267" s="15"/>
      <c r="AS267" s="15"/>
      <c r="AT267" s="15"/>
      <c r="AU267" s="15"/>
      <c r="AV267" s="15"/>
      <c r="AW267" s="15"/>
      <c r="AX267" s="15"/>
      <c r="AY267" s="15"/>
      <c r="AZ267" s="15"/>
      <c r="BA267" s="15"/>
      <c r="BB267" s="15"/>
      <c r="BC267" s="980"/>
      <c r="BD267" s="1004"/>
      <c r="BE267" s="1004"/>
      <c r="BF267" s="1004"/>
      <c r="BG267" s="1004"/>
      <c r="BH267" s="1004"/>
      <c r="BI267" s="1004"/>
      <c r="BJ267" s="1004"/>
      <c r="BK267" s="1004"/>
      <c r="BL267" s="1004"/>
      <c r="BM267" s="1004"/>
      <c r="BN267" s="1004"/>
      <c r="BO267" s="1004"/>
      <c r="BP267" s="1004"/>
      <c r="BQ267" s="1004"/>
      <c r="BR267" s="1004"/>
      <c r="BS267" s="1010"/>
      <c r="BT267" s="398"/>
      <c r="BU267" s="398"/>
      <c r="BV267" s="398"/>
      <c r="BW267" s="398"/>
      <c r="BX267" s="1004"/>
      <c r="BY267" s="1004"/>
      <c r="BZ267" s="1004"/>
      <c r="CA267" s="1004"/>
      <c r="CB267" s="1004"/>
      <c r="CC267" s="1004"/>
      <c r="CD267" s="1004"/>
      <c r="CE267" s="1004"/>
      <c r="CF267" s="1004"/>
      <c r="CG267" s="1004"/>
      <c r="CH267" s="1004"/>
      <c r="CI267" s="1004"/>
      <c r="CJ267" s="1004"/>
      <c r="CK267" s="1004"/>
      <c r="CL267" s="1004"/>
      <c r="CM267" s="1004"/>
      <c r="CN267" s="1004"/>
      <c r="CO267" s="1004"/>
      <c r="CP267" s="1004"/>
      <c r="CQ267" s="1004"/>
      <c r="CR267" s="1004"/>
      <c r="CS267" s="1004"/>
      <c r="CT267" s="1004"/>
      <c r="CU267" s="1004"/>
      <c r="CV267" s="1004"/>
      <c r="CW267" s="1004"/>
      <c r="CX267" s="1004"/>
      <c r="CY267" s="1004"/>
      <c r="CZ267" s="1004"/>
      <c r="DA267" s="1004"/>
      <c r="DB267" s="1004"/>
      <c r="DC267" s="1004"/>
    </row>
    <row r="268" spans="1:107">
      <c r="A268" s="15"/>
      <c r="B268" s="876"/>
      <c r="C268" s="15"/>
      <c r="D268" s="15"/>
      <c r="E268" s="15"/>
      <c r="F268" s="15"/>
      <c r="G268" s="15"/>
      <c r="H268" s="15"/>
      <c r="I268" s="15"/>
      <c r="J268" s="15"/>
      <c r="K268" s="783"/>
      <c r="L268" s="1004"/>
      <c r="M268" s="1004"/>
      <c r="N268" s="1004"/>
      <c r="O268" s="1004"/>
      <c r="P268" s="1004"/>
      <c r="Q268" s="1004"/>
      <c r="R268" s="1004"/>
      <c r="S268" s="1004"/>
      <c r="T268" s="1004"/>
      <c r="U268" s="1004"/>
      <c r="V268" s="1004"/>
      <c r="W268" s="1004"/>
      <c r="X268" s="1004"/>
      <c r="Y268" s="1004"/>
      <c r="Z268" s="1004"/>
      <c r="AA268" s="1004"/>
      <c r="AB268" s="1004"/>
      <c r="AC268" s="1004"/>
      <c r="AD268" s="1004"/>
      <c r="AE268" s="15"/>
      <c r="AF268" s="15"/>
      <c r="AG268" s="15"/>
      <c r="AH268" s="15"/>
      <c r="AI268" s="15"/>
      <c r="AJ268" s="15"/>
      <c r="AK268" s="15"/>
      <c r="AL268" s="15"/>
      <c r="AM268" s="15"/>
      <c r="AN268" s="15"/>
      <c r="AO268" s="15"/>
      <c r="AP268" s="15"/>
      <c r="AQ268" s="15"/>
      <c r="AR268" s="15"/>
      <c r="AS268" s="15"/>
      <c r="AT268" s="15"/>
      <c r="AU268" s="15"/>
      <c r="AV268" s="15"/>
      <c r="AW268" s="15"/>
      <c r="AX268" s="15"/>
      <c r="AY268" s="15"/>
      <c r="AZ268" s="15"/>
      <c r="BA268" s="15"/>
      <c r="BB268" s="15"/>
      <c r="BC268" s="980"/>
      <c r="BD268" s="1004"/>
      <c r="BE268" s="1004"/>
      <c r="BF268" s="1004"/>
      <c r="BG268" s="1004"/>
      <c r="BH268" s="1004"/>
      <c r="BI268" s="1004"/>
      <c r="BJ268" s="1004"/>
      <c r="BK268" s="1004"/>
      <c r="BL268" s="1004"/>
      <c r="BM268" s="1004"/>
      <c r="BN268" s="1004"/>
      <c r="BO268" s="1004"/>
      <c r="BP268" s="1004"/>
      <c r="BQ268" s="1004"/>
      <c r="BR268" s="1004"/>
      <c r="BS268" s="1010"/>
      <c r="BT268" s="398"/>
      <c r="BU268" s="398"/>
      <c r="BV268" s="398"/>
      <c r="BW268" s="398"/>
      <c r="BX268" s="1004"/>
      <c r="BY268" s="1004"/>
      <c r="BZ268" s="1004"/>
      <c r="CA268" s="1004"/>
      <c r="CB268" s="1004"/>
      <c r="CC268" s="1004"/>
      <c r="CD268" s="1004"/>
      <c r="CE268" s="1004"/>
      <c r="CF268" s="1004"/>
      <c r="CG268" s="1004"/>
      <c r="CH268" s="1004"/>
      <c r="CI268" s="1004"/>
      <c r="CJ268" s="1004"/>
      <c r="CK268" s="1004"/>
      <c r="CL268" s="1004"/>
      <c r="CM268" s="1004"/>
      <c r="CN268" s="1004"/>
      <c r="CO268" s="1004"/>
      <c r="CP268" s="1004"/>
      <c r="CQ268" s="1004"/>
      <c r="CR268" s="1004"/>
      <c r="CS268" s="1004"/>
      <c r="CT268" s="1004"/>
      <c r="CU268" s="1004"/>
      <c r="CV268" s="1004"/>
      <c r="CW268" s="1004"/>
      <c r="CX268" s="1004"/>
      <c r="CY268" s="1004"/>
      <c r="CZ268" s="1004"/>
      <c r="DA268" s="1004"/>
      <c r="DB268" s="1004"/>
      <c r="DC268" s="1004"/>
    </row>
    <row r="269" spans="1:107">
      <c r="A269" s="1163"/>
      <c r="B269" s="89" t="s">
        <v>2045</v>
      </c>
      <c r="C269" s="132"/>
      <c r="D269" s="132"/>
      <c r="E269" s="132"/>
      <c r="F269" s="132"/>
      <c r="G269" s="132"/>
      <c r="H269" s="132"/>
      <c r="I269" s="132"/>
      <c r="J269" s="132"/>
      <c r="K269" s="132"/>
      <c r="L269" s="132"/>
      <c r="M269" s="132"/>
      <c r="N269" s="132"/>
      <c r="O269" s="132"/>
      <c r="P269" s="132"/>
      <c r="Q269" s="132"/>
      <c r="R269" s="132"/>
      <c r="S269" s="132"/>
      <c r="T269" s="132"/>
      <c r="U269" s="132"/>
      <c r="V269" s="132"/>
      <c r="W269" s="132"/>
      <c r="X269" s="132"/>
      <c r="Y269" s="132"/>
      <c r="Z269" s="132"/>
      <c r="AA269" s="132"/>
      <c r="AB269" s="132"/>
      <c r="AC269" s="132"/>
      <c r="AD269" s="132"/>
      <c r="AE269" s="15"/>
      <c r="AF269" s="132"/>
      <c r="AG269" s="132"/>
      <c r="AH269" s="132"/>
      <c r="AI269" s="132"/>
      <c r="AJ269" s="132"/>
      <c r="AK269" s="132"/>
      <c r="AL269" s="132"/>
      <c r="AM269" s="132"/>
      <c r="AN269" s="132"/>
      <c r="AO269" s="132"/>
      <c r="AP269" s="132"/>
      <c r="AQ269" s="132"/>
      <c r="AR269" s="132"/>
      <c r="AS269" s="132"/>
      <c r="AT269" s="132"/>
      <c r="AU269" s="132"/>
      <c r="AV269" s="132"/>
      <c r="AW269" s="132"/>
      <c r="AX269" s="132"/>
      <c r="AY269" s="132"/>
      <c r="AZ269" s="132"/>
      <c r="BA269" s="132"/>
      <c r="BB269" s="132"/>
      <c r="BC269" s="132"/>
      <c r="BD269" s="132"/>
      <c r="BE269" s="132"/>
      <c r="BF269" s="132"/>
      <c r="BG269" s="132"/>
      <c r="BH269" s="132"/>
      <c r="BI269" s="132"/>
      <c r="BJ269" s="132"/>
      <c r="BK269" s="132"/>
      <c r="BL269" s="132"/>
      <c r="BM269" s="132"/>
      <c r="BN269" s="132"/>
      <c r="BO269" s="132"/>
      <c r="BP269" s="132"/>
      <c r="BQ269" s="132"/>
      <c r="BR269" s="132"/>
      <c r="BS269" s="132"/>
      <c r="BT269" s="132"/>
      <c r="BU269" s="132"/>
      <c r="BV269" s="132"/>
      <c r="BW269" s="132"/>
      <c r="BX269" s="132"/>
      <c r="BY269" s="132"/>
      <c r="BZ269" s="132"/>
      <c r="CA269" s="132"/>
      <c r="CB269" s="132"/>
      <c r="CC269" s="132"/>
      <c r="CD269" s="132"/>
      <c r="CE269" s="132"/>
      <c r="CF269" s="132"/>
      <c r="CG269" s="132"/>
      <c r="CH269" s="132"/>
      <c r="CI269" s="132"/>
      <c r="CJ269" s="132"/>
      <c r="CK269" s="132"/>
      <c r="CL269" s="132"/>
      <c r="CM269" s="132"/>
      <c r="CN269" s="132"/>
      <c r="CO269" s="132"/>
      <c r="CP269" s="132"/>
      <c r="CQ269" s="132"/>
      <c r="CR269" s="132"/>
      <c r="CS269" s="132"/>
      <c r="CT269" s="132"/>
      <c r="CU269" s="132"/>
      <c r="CV269" s="132"/>
      <c r="CW269" s="132"/>
      <c r="CX269" s="132"/>
      <c r="CY269" s="132"/>
      <c r="CZ269" s="132"/>
      <c r="DA269" s="132"/>
      <c r="DB269" s="132"/>
      <c r="DC269" s="132"/>
    </row>
    <row r="270" spans="1:107">
      <c r="A270" s="1163"/>
      <c r="B270" s="876" t="s">
        <v>1118</v>
      </c>
      <c r="C270" s="15"/>
      <c r="D270" s="15"/>
      <c r="E270" s="15"/>
      <c r="F270" s="15"/>
      <c r="G270" s="15"/>
      <c r="H270" s="15"/>
      <c r="I270" s="15"/>
      <c r="J270" s="26"/>
      <c r="K270" s="54"/>
      <c r="L270" s="26"/>
      <c r="M270" s="26"/>
      <c r="N270" s="26"/>
      <c r="O270" s="26"/>
      <c r="P270" s="26">
        <f t="shared" ref="P270:Z270" si="571">O272</f>
        <v>0</v>
      </c>
      <c r="Q270" s="26">
        <f t="shared" si="571"/>
        <v>0</v>
      </c>
      <c r="R270" s="26">
        <f t="shared" si="571"/>
        <v>0</v>
      </c>
      <c r="S270" s="26">
        <f t="shared" si="571"/>
        <v>0</v>
      </c>
      <c r="T270" s="26">
        <f t="shared" si="571"/>
        <v>0</v>
      </c>
      <c r="U270" s="26">
        <f t="shared" si="571"/>
        <v>1100</v>
      </c>
      <c r="V270" s="26">
        <f t="shared" si="571"/>
        <v>1100</v>
      </c>
      <c r="W270" s="26">
        <f t="shared" si="571"/>
        <v>1100</v>
      </c>
      <c r="X270" s="26">
        <f t="shared" si="571"/>
        <v>1100</v>
      </c>
      <c r="Y270" s="26">
        <f t="shared" si="571"/>
        <v>1100</v>
      </c>
      <c r="Z270" s="26">
        <f t="shared" si="571"/>
        <v>1100</v>
      </c>
      <c r="AA270" s="26">
        <f t="shared" ref="AA270" si="572">Z272</f>
        <v>1100</v>
      </c>
      <c r="AB270" s="26">
        <f t="shared" ref="AB270" si="573">AA272</f>
        <v>1100</v>
      </c>
      <c r="AC270" s="26">
        <f t="shared" ref="AC270" si="574">AB272</f>
        <v>1100</v>
      </c>
      <c r="AD270" s="26">
        <f t="shared" ref="AD270" si="575">AC272</f>
        <v>1100</v>
      </c>
      <c r="AE270" s="15"/>
      <c r="AF270" s="26"/>
      <c r="AG270" s="26"/>
      <c r="AH270" s="26"/>
      <c r="AI270" s="26"/>
      <c r="AJ270" s="26"/>
      <c r="AK270" s="26"/>
      <c r="AL270" s="26"/>
      <c r="AM270" s="26"/>
      <c r="AN270" s="26"/>
      <c r="AO270" s="26"/>
      <c r="AP270" s="26"/>
      <c r="AQ270" s="26"/>
      <c r="AR270" s="26"/>
      <c r="AS270" s="26"/>
      <c r="AT270" s="26"/>
      <c r="AU270" s="26"/>
      <c r="AV270" s="26"/>
      <c r="AW270" s="26"/>
      <c r="AX270" s="26"/>
      <c r="AY270" s="26"/>
      <c r="AZ270" s="26"/>
      <c r="BA270" s="26"/>
      <c r="BB270" s="26"/>
      <c r="BC270" s="26"/>
      <c r="BD270" s="26"/>
      <c r="BE270" s="26"/>
      <c r="BF270" s="26"/>
      <c r="BG270" s="26"/>
      <c r="BH270" s="26"/>
      <c r="BI270" s="26"/>
      <c r="BJ270" s="26"/>
      <c r="BK270" s="26"/>
      <c r="BL270" s="26"/>
      <c r="BM270" s="26"/>
      <c r="BN270" s="26"/>
      <c r="BO270" s="26"/>
      <c r="BP270" s="26"/>
      <c r="BQ270" s="26"/>
      <c r="BR270" s="783"/>
      <c r="BS270" s="783"/>
      <c r="BT270" s="26"/>
      <c r="BU270" s="26"/>
      <c r="BV270" s="26"/>
      <c r="BW270" s="26"/>
      <c r="BX270" s="26"/>
      <c r="BY270" s="26"/>
      <c r="BZ270" s="26"/>
      <c r="CA270" s="26"/>
      <c r="CB270" s="26"/>
      <c r="CC270" s="26"/>
      <c r="CD270" s="26"/>
      <c r="CE270" s="26"/>
      <c r="CF270" s="26"/>
      <c r="CG270" s="26"/>
      <c r="CH270" s="26"/>
      <c r="CI270" s="26"/>
      <c r="CJ270" s="26"/>
      <c r="CK270" s="26"/>
      <c r="CL270" s="26"/>
      <c r="CM270" s="26"/>
      <c r="CN270" s="26"/>
      <c r="CO270" s="26"/>
      <c r="CP270" s="26"/>
      <c r="CQ270" s="26">
        <f t="shared" ref="CQ270:CY270" si="576">CP272</f>
        <v>0</v>
      </c>
      <c r="CR270" s="26">
        <f t="shared" si="576"/>
        <v>1100</v>
      </c>
      <c r="CS270" s="26">
        <f t="shared" si="576"/>
        <v>1100</v>
      </c>
      <c r="CT270" s="26">
        <f t="shared" si="576"/>
        <v>1100</v>
      </c>
      <c r="CU270" s="26">
        <f t="shared" si="576"/>
        <v>1100</v>
      </c>
      <c r="CV270" s="26">
        <f t="shared" si="576"/>
        <v>1100</v>
      </c>
      <c r="CW270" s="26">
        <f t="shared" si="576"/>
        <v>1100</v>
      </c>
      <c r="CX270" s="26">
        <f t="shared" si="576"/>
        <v>1100</v>
      </c>
      <c r="CY270" s="26">
        <f t="shared" si="576"/>
        <v>1100</v>
      </c>
      <c r="CZ270" s="26">
        <f t="shared" ref="CZ270" si="577">CY272</f>
        <v>1100</v>
      </c>
      <c r="DA270" s="26">
        <f t="shared" ref="DA270" si="578">CZ272</f>
        <v>1100</v>
      </c>
      <c r="DB270" s="26">
        <f t="shared" ref="DB270" si="579">DA272</f>
        <v>1100</v>
      </c>
      <c r="DC270" s="26">
        <f t="shared" ref="DC270" si="580">DB272</f>
        <v>1100</v>
      </c>
    </row>
    <row r="271" spans="1:107">
      <c r="A271" s="1163"/>
      <c r="B271" s="876" t="s">
        <v>1121</v>
      </c>
      <c r="C271" s="15"/>
      <c r="D271" s="15"/>
      <c r="E271" s="15"/>
      <c r="F271" s="15"/>
      <c r="G271" s="15"/>
      <c r="H271" s="15"/>
      <c r="I271" s="15"/>
      <c r="J271" s="26"/>
      <c r="K271" s="54"/>
      <c r="L271" s="26"/>
      <c r="M271" s="26"/>
      <c r="N271" s="26"/>
      <c r="O271" s="26"/>
      <c r="P271" s="26">
        <f>P272-P270</f>
        <v>0</v>
      </c>
      <c r="Q271" s="26">
        <f>Q272-Q270</f>
        <v>0</v>
      </c>
      <c r="R271" s="26">
        <f>R272-R270</f>
        <v>0</v>
      </c>
      <c r="S271" s="26">
        <f>S272-S270</f>
        <v>0</v>
      </c>
      <c r="T271" s="26">
        <f>T272-T270</f>
        <v>1100</v>
      </c>
      <c r="U271" s="26">
        <f>+SUM(CR271:CU271)</f>
        <v>0</v>
      </c>
      <c r="V271" s="26">
        <f>+SUM(CV271:CY271)</f>
        <v>0</v>
      </c>
      <c r="W271" s="26">
        <f>+SUM(CZ271:DC271)</f>
        <v>0</v>
      </c>
      <c r="X271" s="26">
        <v>0</v>
      </c>
      <c r="Y271" s="26">
        <v>0</v>
      </c>
      <c r="Z271" s="26">
        <v>0</v>
      </c>
      <c r="AA271" s="26">
        <v>0</v>
      </c>
      <c r="AB271" s="26">
        <v>0</v>
      </c>
      <c r="AC271" s="26">
        <v>0</v>
      </c>
      <c r="AD271" s="26">
        <v>0</v>
      </c>
      <c r="AE271" s="15"/>
      <c r="AF271" s="15"/>
      <c r="AG271" s="15"/>
      <c r="AH271" s="15"/>
      <c r="AI271" s="15"/>
      <c r="AJ271" s="15"/>
      <c r="AK271" s="15"/>
      <c r="AL271" s="15"/>
      <c r="AM271" s="15"/>
      <c r="AN271" s="15"/>
      <c r="AO271" s="15"/>
      <c r="AP271" s="15"/>
      <c r="AQ271" s="15"/>
      <c r="AR271" s="15"/>
      <c r="AS271" s="15"/>
      <c r="AT271" s="15"/>
      <c r="AU271" s="15"/>
      <c r="AV271" s="15"/>
      <c r="AW271" s="15"/>
      <c r="AX271" s="15"/>
      <c r="AY271" s="15"/>
      <c r="AZ271" s="15"/>
      <c r="BA271" s="15"/>
      <c r="BB271" s="15"/>
      <c r="BC271" s="15"/>
      <c r="BD271" s="15"/>
      <c r="BE271" s="15"/>
      <c r="BF271" s="15"/>
      <c r="BG271" s="15"/>
      <c r="BH271" s="15"/>
      <c r="BI271" s="15"/>
      <c r="BJ271" s="15"/>
      <c r="BK271" s="15"/>
      <c r="BL271" s="26"/>
      <c r="BM271" s="26"/>
      <c r="BN271" s="26"/>
      <c r="BO271" s="26"/>
      <c r="BP271" s="26"/>
      <c r="BQ271" s="26"/>
      <c r="BR271" s="783"/>
      <c r="BS271" s="783"/>
      <c r="BT271" s="26"/>
      <c r="BU271" s="398"/>
      <c r="BV271" s="398"/>
      <c r="BW271" s="398"/>
      <c r="BX271" s="398"/>
      <c r="BY271" s="26"/>
      <c r="BZ271" s="26"/>
      <c r="CA271" s="26"/>
      <c r="CB271" s="26"/>
      <c r="CC271" s="26"/>
      <c r="CD271" s="26"/>
      <c r="CE271" s="26"/>
      <c r="CF271" s="398"/>
      <c r="CG271" s="26"/>
      <c r="CH271" s="26"/>
      <c r="CI271" s="26"/>
      <c r="CJ271" s="26"/>
      <c r="CK271" s="26"/>
      <c r="CL271" s="26"/>
      <c r="CM271" s="398"/>
      <c r="CN271" s="26"/>
      <c r="CO271" s="26"/>
      <c r="CP271" s="398"/>
      <c r="CQ271" s="398">
        <v>1100</v>
      </c>
      <c r="CR271" s="26">
        <v>0</v>
      </c>
      <c r="CS271" s="26">
        <v>0</v>
      </c>
      <c r="CT271" s="26">
        <v>0</v>
      </c>
      <c r="CU271" s="26">
        <v>0</v>
      </c>
      <c r="CV271" s="26">
        <v>0</v>
      </c>
      <c r="CW271" s="26">
        <v>0</v>
      </c>
      <c r="CX271" s="26">
        <v>0</v>
      </c>
      <c r="CY271" s="26">
        <v>0</v>
      </c>
      <c r="CZ271" s="26">
        <v>0</v>
      </c>
      <c r="DA271" s="26">
        <v>0</v>
      </c>
      <c r="DB271" s="26">
        <v>0</v>
      </c>
      <c r="DC271" s="26">
        <v>0</v>
      </c>
    </row>
    <row r="272" spans="1:107">
      <c r="A272" s="1163"/>
      <c r="B272" s="876" t="s">
        <v>261</v>
      </c>
      <c r="C272" s="15"/>
      <c r="D272" s="15"/>
      <c r="E272" s="15"/>
      <c r="F272" s="15"/>
      <c r="G272" s="15"/>
      <c r="H272" s="15"/>
      <c r="I272" s="15"/>
      <c r="J272" s="26"/>
      <c r="K272" s="54"/>
      <c r="L272" s="26"/>
      <c r="M272" s="26"/>
      <c r="N272" s="26"/>
      <c r="O272" s="26">
        <f>BW272</f>
        <v>0</v>
      </c>
      <c r="P272" s="26">
        <f>CA272</f>
        <v>0</v>
      </c>
      <c r="Q272" s="26">
        <f>CE272</f>
        <v>0</v>
      </c>
      <c r="R272" s="26">
        <f>CI272</f>
        <v>0</v>
      </c>
      <c r="S272" s="26">
        <f>CM272</f>
        <v>0</v>
      </c>
      <c r="T272" s="26">
        <f>CQ272</f>
        <v>1100</v>
      </c>
      <c r="U272" s="26">
        <f t="shared" ref="U272:Z272" si="581">SUM(U270:U271)</f>
        <v>1100</v>
      </c>
      <c r="V272" s="26">
        <f>SUM(V270:V271)</f>
        <v>1100</v>
      </c>
      <c r="W272" s="26">
        <f>SUM(W270:W271)</f>
        <v>1100</v>
      </c>
      <c r="X272" s="26">
        <f t="shared" si="581"/>
        <v>1100</v>
      </c>
      <c r="Y272" s="26">
        <f t="shared" si="581"/>
        <v>1100</v>
      </c>
      <c r="Z272" s="26">
        <f t="shared" si="581"/>
        <v>1100</v>
      </c>
      <c r="AA272" s="26">
        <f t="shared" ref="AA272:AD272" si="582">SUM(AA270:AA271)</f>
        <v>1100</v>
      </c>
      <c r="AB272" s="26">
        <f t="shared" si="582"/>
        <v>1100</v>
      </c>
      <c r="AC272" s="26">
        <f t="shared" si="582"/>
        <v>1100</v>
      </c>
      <c r="AD272" s="26">
        <f t="shared" si="582"/>
        <v>1100</v>
      </c>
      <c r="AE272" s="15"/>
      <c r="AF272" s="15"/>
      <c r="AG272" s="15"/>
      <c r="AH272" s="15"/>
      <c r="AI272" s="15"/>
      <c r="AJ272" s="15"/>
      <c r="AK272" s="15"/>
      <c r="AL272" s="15"/>
      <c r="AM272" s="15"/>
      <c r="AN272" s="15"/>
      <c r="AO272" s="15"/>
      <c r="AP272" s="15"/>
      <c r="AQ272" s="15"/>
      <c r="AR272" s="15"/>
      <c r="AS272" s="15"/>
      <c r="AT272" s="15"/>
      <c r="AU272" s="15"/>
      <c r="AV272" s="15"/>
      <c r="AW272" s="15"/>
      <c r="AX272" s="15"/>
      <c r="AY272" s="15"/>
      <c r="AZ272" s="15"/>
      <c r="BA272" s="15"/>
      <c r="BB272" s="15"/>
      <c r="BC272" s="15"/>
      <c r="BD272" s="15"/>
      <c r="BE272" s="15"/>
      <c r="BF272" s="15"/>
      <c r="BG272" s="15"/>
      <c r="BH272" s="15"/>
      <c r="BI272" s="15"/>
      <c r="BJ272" s="15"/>
      <c r="BK272" s="15"/>
      <c r="BL272" s="26"/>
      <c r="BM272" s="26"/>
      <c r="BN272" s="26"/>
      <c r="BO272" s="26"/>
      <c r="BP272" s="26"/>
      <c r="BQ272" s="26"/>
      <c r="BR272" s="783"/>
      <c r="BS272" s="783"/>
      <c r="BT272" s="814"/>
      <c r="BU272" s="26"/>
      <c r="BV272" s="26"/>
      <c r="BW272" s="26"/>
      <c r="BX272" s="26"/>
      <c r="BY272" s="26"/>
      <c r="BZ272" s="814"/>
      <c r="CA272" s="814"/>
      <c r="CB272" s="814"/>
      <c r="CC272" s="26"/>
      <c r="CD272" s="26"/>
      <c r="CE272" s="26"/>
      <c r="CF272" s="26"/>
      <c r="CG272" s="26"/>
      <c r="CH272" s="26"/>
      <c r="CI272" s="26"/>
      <c r="CJ272" s="26"/>
      <c r="CK272" s="26"/>
      <c r="CL272" s="26"/>
      <c r="CM272" s="26"/>
      <c r="CN272" s="26"/>
      <c r="CO272" s="26"/>
      <c r="CP272" s="2122"/>
      <c r="CQ272" s="26">
        <f t="shared" ref="CQ272:CY272" si="583">SUM(CQ270:CQ271)</f>
        <v>1100</v>
      </c>
      <c r="CR272" s="26">
        <f t="shared" si="583"/>
        <v>1100</v>
      </c>
      <c r="CS272" s="26">
        <f t="shared" si="583"/>
        <v>1100</v>
      </c>
      <c r="CT272" s="26">
        <f t="shared" si="583"/>
        <v>1100</v>
      </c>
      <c r="CU272" s="26">
        <f>SUM(CU270:CU271)</f>
        <v>1100</v>
      </c>
      <c r="CV272" s="26">
        <f t="shared" si="583"/>
        <v>1100</v>
      </c>
      <c r="CW272" s="26">
        <f t="shared" si="583"/>
        <v>1100</v>
      </c>
      <c r="CX272" s="26">
        <f t="shared" si="583"/>
        <v>1100</v>
      </c>
      <c r="CY272" s="26">
        <f t="shared" si="583"/>
        <v>1100</v>
      </c>
      <c r="CZ272" s="26">
        <f t="shared" ref="CZ272:DC272" si="584">SUM(CZ270:CZ271)</f>
        <v>1100</v>
      </c>
      <c r="DA272" s="26">
        <f t="shared" si="584"/>
        <v>1100</v>
      </c>
      <c r="DB272" s="26">
        <f t="shared" si="584"/>
        <v>1100</v>
      </c>
      <c r="DC272" s="26">
        <f t="shared" si="584"/>
        <v>1100</v>
      </c>
    </row>
    <row r="273" spans="1:107">
      <c r="A273" s="1163"/>
      <c r="B273" s="876" t="s">
        <v>262</v>
      </c>
      <c r="C273" s="15"/>
      <c r="D273" s="15"/>
      <c r="E273" s="15"/>
      <c r="F273" s="15"/>
      <c r="G273" s="15"/>
      <c r="H273" s="15"/>
      <c r="I273" s="15"/>
      <c r="J273" s="15"/>
      <c r="K273" s="783"/>
      <c r="L273" s="1004"/>
      <c r="M273" s="1004"/>
      <c r="N273" s="1004"/>
      <c r="O273" s="1004"/>
      <c r="P273" s="1004"/>
      <c r="Q273" s="1004"/>
      <c r="R273" s="1004"/>
      <c r="S273" s="1004"/>
      <c r="T273" s="1004"/>
      <c r="U273" s="1004"/>
      <c r="V273" s="1004"/>
      <c r="W273" s="1004"/>
      <c r="X273" s="1004"/>
      <c r="Y273" s="1004"/>
      <c r="Z273" s="1004"/>
      <c r="AA273" s="1004"/>
      <c r="AB273" s="1004"/>
      <c r="AC273" s="1004"/>
      <c r="AD273" s="1004"/>
      <c r="AE273" s="15"/>
      <c r="AF273" s="15"/>
      <c r="AG273" s="15"/>
      <c r="AH273" s="15"/>
      <c r="AI273" s="15"/>
      <c r="AJ273" s="15"/>
      <c r="AK273" s="15"/>
      <c r="AL273" s="15"/>
      <c r="AM273" s="15"/>
      <c r="AN273" s="15"/>
      <c r="AO273" s="15"/>
      <c r="AP273" s="15"/>
      <c r="AQ273" s="15"/>
      <c r="AR273" s="15"/>
      <c r="AS273" s="15"/>
      <c r="AT273" s="15"/>
      <c r="AU273" s="15"/>
      <c r="AV273" s="15"/>
      <c r="AW273" s="15"/>
      <c r="AX273" s="15"/>
      <c r="AY273" s="15"/>
      <c r="AZ273" s="15"/>
      <c r="BA273" s="15"/>
      <c r="BB273" s="15"/>
      <c r="BC273" s="980"/>
      <c r="BD273" s="1004"/>
      <c r="BE273" s="1004"/>
      <c r="BF273" s="1004"/>
      <c r="BG273" s="1004"/>
      <c r="BH273" s="1004"/>
      <c r="BI273" s="1004"/>
      <c r="BJ273" s="1004"/>
      <c r="BK273" s="1004"/>
      <c r="BL273" s="1004"/>
      <c r="BM273" s="1004"/>
      <c r="BN273" s="1004"/>
      <c r="BO273" s="1004"/>
      <c r="BP273" s="1004"/>
      <c r="BQ273" s="1004"/>
      <c r="BR273" s="1004"/>
      <c r="BS273" s="1010"/>
      <c r="BT273" s="398"/>
      <c r="BU273" s="398"/>
      <c r="BV273" s="398"/>
      <c r="BW273" s="398"/>
      <c r="BX273" s="1004"/>
      <c r="BY273" s="1004"/>
      <c r="BZ273" s="1004"/>
      <c r="CA273" s="1004"/>
      <c r="CB273" s="1004"/>
      <c r="CC273" s="1004"/>
      <c r="CD273" s="1004"/>
      <c r="CE273" s="1004"/>
      <c r="CF273" s="1004"/>
      <c r="CG273" s="1004"/>
      <c r="CH273" s="1004"/>
      <c r="CI273" s="1004"/>
      <c r="CJ273" s="1004"/>
      <c r="CK273" s="1004"/>
      <c r="CL273" s="1004"/>
      <c r="CM273" s="1004"/>
      <c r="CN273" s="1004"/>
      <c r="CO273" s="1004"/>
      <c r="CP273" s="1004"/>
      <c r="CQ273" s="1004"/>
      <c r="CR273" s="1004"/>
      <c r="CS273" s="1004"/>
      <c r="CT273" s="1004"/>
      <c r="CU273" s="1004"/>
      <c r="CV273" s="1004"/>
      <c r="CW273" s="1004"/>
      <c r="CX273" s="1004"/>
      <c r="CY273" s="1004"/>
      <c r="CZ273" s="1004"/>
      <c r="DA273" s="1004"/>
      <c r="DB273" s="1004"/>
      <c r="DC273" s="1004"/>
    </row>
    <row r="274" spans="1:107">
      <c r="CQ274" s="81"/>
    </row>
    <row r="275" spans="1:107">
      <c r="B275" s="89" t="s">
        <v>2632</v>
      </c>
      <c r="C275" s="132"/>
      <c r="D275" s="132"/>
      <c r="E275" s="132"/>
      <c r="F275" s="132"/>
      <c r="G275" s="132"/>
      <c r="H275" s="132"/>
      <c r="I275" s="132"/>
      <c r="J275" s="132"/>
      <c r="K275" s="132"/>
      <c r="L275" s="132"/>
      <c r="M275" s="132"/>
      <c r="N275" s="132"/>
      <c r="O275" s="132"/>
      <c r="P275" s="132"/>
      <c r="Q275" s="132"/>
      <c r="R275" s="132"/>
      <c r="S275" s="132"/>
      <c r="T275" s="132"/>
      <c r="U275" s="132"/>
      <c r="V275" s="132"/>
      <c r="W275" s="132"/>
      <c r="X275" s="132"/>
      <c r="Y275" s="132"/>
      <c r="Z275" s="132"/>
      <c r="AA275" s="132"/>
      <c r="AB275" s="132"/>
      <c r="AC275" s="132"/>
      <c r="AD275" s="132"/>
      <c r="AE275" s="15"/>
      <c r="AF275" s="132"/>
      <c r="AG275" s="132"/>
      <c r="AH275" s="132"/>
      <c r="AI275" s="132"/>
      <c r="AJ275" s="132"/>
      <c r="AK275" s="132"/>
      <c r="AL275" s="132"/>
      <c r="AM275" s="132"/>
      <c r="AN275" s="132"/>
      <c r="AO275" s="132"/>
      <c r="AP275" s="132"/>
      <c r="AQ275" s="132"/>
      <c r="AR275" s="132"/>
      <c r="AS275" s="132"/>
      <c r="AT275" s="132"/>
      <c r="AU275" s="132"/>
      <c r="AV275" s="132"/>
      <c r="AW275" s="132"/>
      <c r="AX275" s="132"/>
      <c r="AY275" s="132"/>
      <c r="AZ275" s="132"/>
      <c r="BA275" s="132"/>
      <c r="BB275" s="132"/>
      <c r="BC275" s="132"/>
      <c r="BD275" s="132"/>
      <c r="BE275" s="132"/>
      <c r="BF275" s="132"/>
      <c r="BG275" s="132"/>
      <c r="BH275" s="132"/>
      <c r="BI275" s="132"/>
      <c r="BJ275" s="132"/>
      <c r="BK275" s="132"/>
      <c r="BL275" s="132"/>
      <c r="BM275" s="132"/>
      <c r="BN275" s="132"/>
      <c r="BO275" s="132"/>
      <c r="BP275" s="132"/>
      <c r="BQ275" s="132"/>
      <c r="BR275" s="132"/>
      <c r="BS275" s="132"/>
      <c r="BT275" s="132"/>
      <c r="BU275" s="132"/>
      <c r="BV275" s="132"/>
      <c r="BW275" s="132"/>
      <c r="BX275" s="132"/>
      <c r="BY275" s="132"/>
      <c r="BZ275" s="132"/>
      <c r="CA275" s="132"/>
      <c r="CB275" s="132"/>
      <c r="CC275" s="132"/>
      <c r="CD275" s="132"/>
      <c r="CE275" s="132"/>
      <c r="CF275" s="132"/>
      <c r="CG275" s="132"/>
      <c r="CH275" s="132"/>
      <c r="CI275" s="132"/>
      <c r="CJ275" s="132"/>
      <c r="CK275" s="132"/>
      <c r="CL275" s="132"/>
      <c r="CM275" s="132"/>
      <c r="CN275" s="132"/>
      <c r="CO275" s="132"/>
      <c r="CP275" s="132"/>
      <c r="CQ275" s="132"/>
      <c r="CR275" s="132"/>
      <c r="CS275" s="132"/>
      <c r="CT275" s="132"/>
      <c r="CU275" s="132"/>
      <c r="CV275" s="132"/>
      <c r="CW275" s="132"/>
      <c r="CX275" s="132"/>
      <c r="CY275" s="132"/>
      <c r="CZ275" s="132"/>
      <c r="DA275" s="132"/>
      <c r="DB275" s="132"/>
      <c r="DC275" s="132"/>
    </row>
    <row r="276" spans="1:107">
      <c r="B276" s="876" t="s">
        <v>1118</v>
      </c>
      <c r="C276" s="15"/>
      <c r="D276" s="15"/>
      <c r="E276" s="15"/>
      <c r="F276" s="15"/>
      <c r="G276" s="15"/>
      <c r="H276" s="15"/>
      <c r="I276" s="15"/>
      <c r="J276" s="26"/>
      <c r="K276" s="54"/>
      <c r="L276" s="26"/>
      <c r="M276" s="26"/>
      <c r="N276" s="26"/>
      <c r="O276" s="26"/>
      <c r="P276" s="26">
        <f>O278</f>
        <v>0</v>
      </c>
      <c r="Q276" s="26">
        <f>P278</f>
        <v>0</v>
      </c>
      <c r="R276" s="26">
        <f>Q278</f>
        <v>0</v>
      </c>
      <c r="S276" s="26">
        <f>R278</f>
        <v>0</v>
      </c>
      <c r="T276" s="26"/>
      <c r="U276" s="26"/>
      <c r="V276" s="26">
        <f>U278</f>
        <v>0</v>
      </c>
      <c r="W276" s="26">
        <f>V278</f>
        <v>1250</v>
      </c>
      <c r="X276" s="26">
        <f>W278</f>
        <v>1250</v>
      </c>
      <c r="Y276" s="26">
        <f>X278</f>
        <v>1250</v>
      </c>
      <c r="Z276" s="26">
        <f>Y278</f>
        <v>1250</v>
      </c>
      <c r="AA276" s="26">
        <f t="shared" ref="AA276:AD276" si="585">Z278</f>
        <v>1250</v>
      </c>
      <c r="AB276" s="26">
        <f t="shared" si="585"/>
        <v>1250</v>
      </c>
      <c r="AC276" s="26">
        <f t="shared" si="585"/>
        <v>1250</v>
      </c>
      <c r="AD276" s="26">
        <f t="shared" si="585"/>
        <v>1250</v>
      </c>
      <c r="AE276" s="15"/>
      <c r="AF276" s="26"/>
      <c r="AG276" s="26"/>
      <c r="AH276" s="26"/>
      <c r="AI276" s="26"/>
      <c r="AJ276" s="26"/>
      <c r="AK276" s="26"/>
      <c r="AL276" s="26"/>
      <c r="AM276" s="26"/>
      <c r="AN276" s="26"/>
      <c r="AO276" s="26"/>
      <c r="AP276" s="26"/>
      <c r="AQ276" s="26"/>
      <c r="AR276" s="26"/>
      <c r="AS276" s="26"/>
      <c r="AT276" s="26"/>
      <c r="AU276" s="26"/>
      <c r="AV276" s="26"/>
      <c r="AW276" s="26"/>
      <c r="AX276" s="26"/>
      <c r="AY276" s="26"/>
      <c r="AZ276" s="26"/>
      <c r="BA276" s="26"/>
      <c r="BB276" s="26"/>
      <c r="BC276" s="26"/>
      <c r="BD276" s="26"/>
      <c r="BE276" s="26"/>
      <c r="BF276" s="26"/>
      <c r="BG276" s="26"/>
      <c r="BH276" s="26"/>
      <c r="BI276" s="26"/>
      <c r="BJ276" s="26"/>
      <c r="BK276" s="26"/>
      <c r="BL276" s="26"/>
      <c r="BM276" s="26"/>
      <c r="BN276" s="26"/>
      <c r="BO276" s="26"/>
      <c r="BP276" s="26"/>
      <c r="BQ276" s="26"/>
      <c r="BR276" s="783"/>
      <c r="BS276" s="783"/>
      <c r="BT276" s="26"/>
      <c r="BU276" s="26"/>
      <c r="BV276" s="26"/>
      <c r="BW276" s="26"/>
      <c r="BX276" s="26"/>
      <c r="BY276" s="26"/>
      <c r="BZ276" s="26"/>
      <c r="CA276" s="26"/>
      <c r="CB276" s="26"/>
      <c r="CC276" s="26"/>
      <c r="CD276" s="26"/>
      <c r="CE276" s="26"/>
      <c r="CF276" s="26"/>
      <c r="CG276" s="26"/>
      <c r="CH276" s="26"/>
      <c r="CI276" s="26"/>
      <c r="CJ276" s="26"/>
      <c r="CK276" s="26"/>
      <c r="CL276" s="26"/>
      <c r="CM276" s="26"/>
      <c r="CN276" s="26"/>
      <c r="CO276" s="26"/>
      <c r="CP276" s="26"/>
      <c r="CQ276" s="26"/>
      <c r="CR276" s="26"/>
      <c r="CS276" s="26"/>
      <c r="CT276" s="26"/>
      <c r="CU276" s="26"/>
      <c r="CV276" s="26">
        <f>CU278</f>
        <v>0</v>
      </c>
      <c r="CW276" s="26">
        <f>CV278</f>
        <v>1250</v>
      </c>
      <c r="CX276" s="26">
        <f>CW278</f>
        <v>1250</v>
      </c>
      <c r="CY276" s="26">
        <f>CX278</f>
        <v>1250</v>
      </c>
      <c r="CZ276" s="26">
        <f t="shared" ref="CZ276:DC276" si="586">CY278</f>
        <v>1250</v>
      </c>
      <c r="DA276" s="26">
        <f t="shared" si="586"/>
        <v>1250</v>
      </c>
      <c r="DB276" s="26">
        <f t="shared" si="586"/>
        <v>1250</v>
      </c>
      <c r="DC276" s="26">
        <f t="shared" si="586"/>
        <v>1250</v>
      </c>
    </row>
    <row r="277" spans="1:107">
      <c r="B277" s="876" t="s">
        <v>1121</v>
      </c>
      <c r="C277" s="15"/>
      <c r="D277" s="15"/>
      <c r="E277" s="15"/>
      <c r="F277" s="15"/>
      <c r="G277" s="15"/>
      <c r="H277" s="15"/>
      <c r="I277" s="15"/>
      <c r="J277" s="26"/>
      <c r="K277" s="54"/>
      <c r="L277" s="26"/>
      <c r="M277" s="26"/>
      <c r="N277" s="26"/>
      <c r="O277" s="26"/>
      <c r="P277" s="26">
        <f>P278-P276</f>
        <v>0</v>
      </c>
      <c r="Q277" s="26">
        <f>Q278-Q276</f>
        <v>0</v>
      </c>
      <c r="R277" s="26">
        <f>R278-R276</f>
        <v>0</v>
      </c>
      <c r="S277" s="26">
        <f>S278-S276</f>
        <v>0</v>
      </c>
      <c r="T277" s="26"/>
      <c r="U277" s="26"/>
      <c r="V277" s="26">
        <f>+SUM(CV277:CY277)</f>
        <v>1250</v>
      </c>
      <c r="W277" s="26">
        <f>+SUM(CZ277:DC277)</f>
        <v>0</v>
      </c>
      <c r="X277" s="26">
        <v>0</v>
      </c>
      <c r="Y277" s="26">
        <v>0</v>
      </c>
      <c r="Z277" s="26">
        <v>0</v>
      </c>
      <c r="AA277" s="26">
        <v>0</v>
      </c>
      <c r="AB277" s="26">
        <v>0</v>
      </c>
      <c r="AC277" s="26">
        <v>0</v>
      </c>
      <c r="AD277" s="26">
        <v>0</v>
      </c>
      <c r="AE277" s="15"/>
      <c r="AF277" s="15"/>
      <c r="AG277" s="15"/>
      <c r="AH277" s="15"/>
      <c r="AI277" s="15"/>
      <c r="AJ277" s="15"/>
      <c r="AK277" s="15"/>
      <c r="AL277" s="15"/>
      <c r="AM277" s="15"/>
      <c r="AN277" s="15"/>
      <c r="AO277" s="15"/>
      <c r="AP277" s="15"/>
      <c r="AQ277" s="15"/>
      <c r="AR277" s="15"/>
      <c r="AS277" s="15"/>
      <c r="AT277" s="15"/>
      <c r="AU277" s="15"/>
      <c r="AV277" s="15"/>
      <c r="AW277" s="15"/>
      <c r="AX277" s="15"/>
      <c r="AY277" s="15"/>
      <c r="AZ277" s="15"/>
      <c r="BA277" s="15"/>
      <c r="BB277" s="15"/>
      <c r="BC277" s="15"/>
      <c r="BD277" s="15"/>
      <c r="BE277" s="15"/>
      <c r="BF277" s="15"/>
      <c r="BG277" s="15"/>
      <c r="BH277" s="15"/>
      <c r="BI277" s="15"/>
      <c r="BJ277" s="15"/>
      <c r="BK277" s="15"/>
      <c r="BL277" s="26"/>
      <c r="BM277" s="26"/>
      <c r="BN277" s="26"/>
      <c r="BO277" s="26"/>
      <c r="BP277" s="26"/>
      <c r="BQ277" s="26"/>
      <c r="BR277" s="783"/>
      <c r="BS277" s="783"/>
      <c r="BT277" s="26"/>
      <c r="BU277" s="398"/>
      <c r="BV277" s="398"/>
      <c r="BW277" s="398"/>
      <c r="BX277" s="398"/>
      <c r="BY277" s="26"/>
      <c r="BZ277" s="26"/>
      <c r="CA277" s="26"/>
      <c r="CB277" s="26"/>
      <c r="CC277" s="26"/>
      <c r="CD277" s="26"/>
      <c r="CE277" s="26"/>
      <c r="CF277" s="398"/>
      <c r="CG277" s="26"/>
      <c r="CH277" s="26"/>
      <c r="CI277" s="26"/>
      <c r="CJ277" s="26"/>
      <c r="CK277" s="26"/>
      <c r="CL277" s="26"/>
      <c r="CM277" s="398"/>
      <c r="CN277" s="26"/>
      <c r="CO277" s="26"/>
      <c r="CP277" s="398"/>
      <c r="CQ277" s="398"/>
      <c r="CR277" s="26"/>
      <c r="CS277" s="26"/>
      <c r="CT277" s="26"/>
      <c r="CU277" s="26"/>
      <c r="CV277" s="398">
        <v>1250</v>
      </c>
      <c r="CW277" s="26">
        <v>0</v>
      </c>
      <c r="CX277" s="26">
        <v>0</v>
      </c>
      <c r="CY277" s="26">
        <v>0</v>
      </c>
      <c r="CZ277" s="26">
        <v>0</v>
      </c>
      <c r="DA277" s="26">
        <v>0</v>
      </c>
      <c r="DB277" s="26">
        <v>0</v>
      </c>
      <c r="DC277" s="26">
        <v>0</v>
      </c>
    </row>
    <row r="278" spans="1:107">
      <c r="B278" s="876" t="s">
        <v>261</v>
      </c>
      <c r="C278" s="15"/>
      <c r="D278" s="15"/>
      <c r="E278" s="15"/>
      <c r="F278" s="15"/>
      <c r="G278" s="15"/>
      <c r="H278" s="15"/>
      <c r="I278" s="15"/>
      <c r="J278" s="26"/>
      <c r="K278" s="54"/>
      <c r="L278" s="26"/>
      <c r="M278" s="26"/>
      <c r="N278" s="26"/>
      <c r="O278" s="26">
        <f>BW278</f>
        <v>0</v>
      </c>
      <c r="P278" s="26">
        <f>CA278</f>
        <v>0</v>
      </c>
      <c r="Q278" s="26">
        <f>CE278</f>
        <v>0</v>
      </c>
      <c r="R278" s="26">
        <f>CI278</f>
        <v>0</v>
      </c>
      <c r="S278" s="26">
        <f>CM278</f>
        <v>0</v>
      </c>
      <c r="T278" s="26"/>
      <c r="U278" s="26"/>
      <c r="V278" s="26">
        <f>SUM(V276:V277)</f>
        <v>1250</v>
      </c>
      <c r="W278" s="26">
        <f>SUM(W276:W277)</f>
        <v>1250</v>
      </c>
      <c r="X278" s="26">
        <f>SUM(X276:X277)</f>
        <v>1250</v>
      </c>
      <c r="Y278" s="26">
        <f>SUM(Y276:Y277)</f>
        <v>1250</v>
      </c>
      <c r="Z278" s="26">
        <f>SUM(Z276:Z277)</f>
        <v>1250</v>
      </c>
      <c r="AA278" s="26">
        <f t="shared" ref="AA278:AD278" si="587">SUM(AA276:AA277)</f>
        <v>1250</v>
      </c>
      <c r="AB278" s="26">
        <f t="shared" si="587"/>
        <v>1250</v>
      </c>
      <c r="AC278" s="26">
        <f t="shared" si="587"/>
        <v>1250</v>
      </c>
      <c r="AD278" s="26">
        <f t="shared" si="587"/>
        <v>1250</v>
      </c>
      <c r="AE278" s="15"/>
      <c r="AF278" s="15"/>
      <c r="AG278" s="15"/>
      <c r="AH278" s="15"/>
      <c r="AI278" s="15"/>
      <c r="AJ278" s="15"/>
      <c r="AK278" s="15"/>
      <c r="AL278" s="15"/>
      <c r="AM278" s="15"/>
      <c r="AN278" s="15"/>
      <c r="AO278" s="15"/>
      <c r="AP278" s="15"/>
      <c r="AQ278" s="15"/>
      <c r="AR278" s="15"/>
      <c r="AS278" s="15"/>
      <c r="AT278" s="15"/>
      <c r="AU278" s="15"/>
      <c r="AV278" s="15"/>
      <c r="AW278" s="15"/>
      <c r="AX278" s="15"/>
      <c r="AY278" s="15"/>
      <c r="AZ278" s="15"/>
      <c r="BA278" s="15"/>
      <c r="BB278" s="15"/>
      <c r="BC278" s="15"/>
      <c r="BD278" s="15"/>
      <c r="BE278" s="15"/>
      <c r="BF278" s="15"/>
      <c r="BG278" s="15"/>
      <c r="BH278" s="15"/>
      <c r="BI278" s="15"/>
      <c r="BJ278" s="15"/>
      <c r="BK278" s="15"/>
      <c r="BL278" s="26"/>
      <c r="BM278" s="26"/>
      <c r="BN278" s="26"/>
      <c r="BO278" s="26"/>
      <c r="BP278" s="26"/>
      <c r="BQ278" s="26"/>
      <c r="BR278" s="783"/>
      <c r="BS278" s="783"/>
      <c r="BT278" s="814"/>
      <c r="BU278" s="26"/>
      <c r="BV278" s="26"/>
      <c r="BW278" s="26"/>
      <c r="BX278" s="26"/>
      <c r="BY278" s="26"/>
      <c r="BZ278" s="814"/>
      <c r="CA278" s="814"/>
      <c r="CB278" s="814"/>
      <c r="CC278" s="26"/>
      <c r="CD278" s="26"/>
      <c r="CE278" s="26"/>
      <c r="CF278" s="26"/>
      <c r="CG278" s="26"/>
      <c r="CH278" s="26"/>
      <c r="CI278" s="26"/>
      <c r="CJ278" s="26"/>
      <c r="CK278" s="26"/>
      <c r="CL278" s="26"/>
      <c r="CM278" s="26"/>
      <c r="CN278" s="26"/>
      <c r="CO278" s="26"/>
      <c r="CP278" s="2122"/>
      <c r="CQ278" s="26"/>
      <c r="CR278" s="26"/>
      <c r="CS278" s="26"/>
      <c r="CT278" s="26"/>
      <c r="CU278" s="398">
        <v>0</v>
      </c>
      <c r="CV278" s="26">
        <f>SUM(CV276:CV277)</f>
        <v>1250</v>
      </c>
      <c r="CW278" s="26">
        <f>SUM(CW276:CW277)</f>
        <v>1250</v>
      </c>
      <c r="CX278" s="26">
        <f>SUM(CX276:CX277)</f>
        <v>1250</v>
      </c>
      <c r="CY278" s="26">
        <f>SUM(CY276:CY277)</f>
        <v>1250</v>
      </c>
      <c r="CZ278" s="26">
        <f t="shared" ref="CZ278:DC278" si="588">SUM(CZ276:CZ277)</f>
        <v>1250</v>
      </c>
      <c r="DA278" s="26">
        <f t="shared" si="588"/>
        <v>1250</v>
      </c>
      <c r="DB278" s="26">
        <f t="shared" si="588"/>
        <v>1250</v>
      </c>
      <c r="DC278" s="26">
        <f t="shared" si="588"/>
        <v>1250</v>
      </c>
    </row>
    <row r="279" spans="1:107">
      <c r="B279" s="876" t="s">
        <v>262</v>
      </c>
      <c r="C279" s="15"/>
      <c r="D279" s="15"/>
      <c r="E279" s="15"/>
      <c r="F279" s="15"/>
      <c r="G279" s="15"/>
      <c r="H279" s="15"/>
      <c r="I279" s="15"/>
      <c r="J279" s="15"/>
      <c r="K279" s="783"/>
      <c r="L279" s="1004"/>
      <c r="M279" s="1004"/>
      <c r="N279" s="1004"/>
      <c r="O279" s="1004"/>
      <c r="P279" s="1004"/>
      <c r="Q279" s="1004"/>
      <c r="R279" s="1004"/>
      <c r="S279" s="1004"/>
      <c r="T279" s="1004"/>
      <c r="U279" s="1004"/>
      <c r="V279" s="1004"/>
      <c r="W279" s="1004"/>
      <c r="X279" s="1004"/>
      <c r="Y279" s="1004"/>
      <c r="Z279" s="1004"/>
      <c r="AA279" s="1004"/>
      <c r="AB279" s="1004"/>
      <c r="AC279" s="1004"/>
      <c r="AD279" s="1004"/>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980"/>
      <c r="BD279" s="1004"/>
      <c r="BE279" s="1004"/>
      <c r="BF279" s="1004"/>
      <c r="BG279" s="1004"/>
      <c r="BH279" s="1004"/>
      <c r="BI279" s="1004"/>
      <c r="BJ279" s="1004"/>
      <c r="BK279" s="1004"/>
      <c r="BL279" s="1004"/>
      <c r="BM279" s="1004"/>
      <c r="BN279" s="1004"/>
      <c r="BO279" s="1004"/>
      <c r="BP279" s="1004"/>
      <c r="BQ279" s="1004"/>
      <c r="BR279" s="1004"/>
      <c r="BS279" s="1010"/>
      <c r="BT279" s="398"/>
      <c r="BU279" s="398"/>
      <c r="BV279" s="398"/>
      <c r="BW279" s="398"/>
      <c r="BX279" s="1004"/>
      <c r="BY279" s="1004"/>
      <c r="BZ279" s="1004"/>
      <c r="CA279" s="1004"/>
      <c r="CB279" s="1004"/>
      <c r="CC279" s="1004"/>
      <c r="CD279" s="1004"/>
      <c r="CE279" s="1004"/>
      <c r="CF279" s="1004"/>
      <c r="CG279" s="1004"/>
      <c r="CH279" s="1004"/>
      <c r="CI279" s="1004"/>
      <c r="CJ279" s="1004"/>
      <c r="CK279" s="1004"/>
      <c r="CL279" s="1004"/>
      <c r="CM279" s="1004"/>
      <c r="CN279" s="1004"/>
      <c r="CO279" s="1004"/>
      <c r="CP279" s="1004"/>
      <c r="CQ279" s="1004"/>
      <c r="CR279" s="1004"/>
      <c r="CS279" s="1004"/>
      <c r="CT279" s="1004"/>
      <c r="CU279" s="1004"/>
      <c r="CV279" s="1004"/>
      <c r="CW279" s="1004"/>
      <c r="CX279" s="1004"/>
      <c r="CY279" s="1004"/>
      <c r="CZ279" s="1004"/>
      <c r="DA279" s="1004"/>
      <c r="DB279" s="1004"/>
      <c r="DC279" s="1004"/>
    </row>
    <row r="280" spans="1:107">
      <c r="B280" s="876"/>
      <c r="C280" s="15"/>
      <c r="D280" s="15"/>
      <c r="E280" s="15"/>
      <c r="F280" s="15"/>
      <c r="G280" s="15"/>
      <c r="H280" s="15"/>
      <c r="I280" s="15"/>
      <c r="J280" s="15"/>
      <c r="K280" s="783"/>
      <c r="L280" s="1004"/>
      <c r="M280" s="1004"/>
      <c r="N280" s="1004"/>
      <c r="O280" s="1004"/>
      <c r="P280" s="1004"/>
      <c r="Q280" s="1004"/>
      <c r="R280" s="1004"/>
      <c r="S280" s="1004"/>
      <c r="T280" s="1004"/>
      <c r="U280" s="1004"/>
      <c r="V280" s="1004"/>
      <c r="W280" s="1004"/>
      <c r="X280" s="1004"/>
      <c r="Y280" s="1004"/>
      <c r="Z280" s="1004"/>
      <c r="AA280" s="1004"/>
      <c r="AB280" s="1004"/>
      <c r="AC280" s="1004"/>
      <c r="AD280" s="1004"/>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980"/>
      <c r="BD280" s="1004"/>
      <c r="BE280" s="1004"/>
      <c r="BF280" s="1004"/>
      <c r="BG280" s="1004"/>
      <c r="BH280" s="1004"/>
      <c r="BI280" s="1004"/>
      <c r="BJ280" s="1004"/>
      <c r="BK280" s="1004"/>
      <c r="BL280" s="1004"/>
      <c r="BM280" s="1004"/>
      <c r="BN280" s="1004"/>
      <c r="BO280" s="1004"/>
      <c r="BP280" s="1004"/>
      <c r="BQ280" s="1004"/>
      <c r="BR280" s="1004"/>
      <c r="BS280" s="1010"/>
      <c r="BT280" s="398"/>
      <c r="BU280" s="398"/>
      <c r="BV280" s="398"/>
      <c r="BW280" s="398"/>
      <c r="BX280" s="1004"/>
      <c r="BY280" s="1004"/>
      <c r="BZ280" s="1004"/>
      <c r="CA280" s="1004"/>
      <c r="CB280" s="1004"/>
      <c r="CC280" s="1004"/>
      <c r="CD280" s="1004"/>
      <c r="CE280" s="1004"/>
      <c r="CF280" s="1004"/>
      <c r="CG280" s="1004"/>
      <c r="CH280" s="1004"/>
      <c r="CI280" s="1004"/>
      <c r="CJ280" s="1004"/>
      <c r="CK280" s="1004"/>
      <c r="CL280" s="1004"/>
      <c r="CM280" s="1004"/>
      <c r="CN280" s="1004"/>
      <c r="CO280" s="1004"/>
      <c r="CP280" s="1004"/>
      <c r="CQ280" s="1004"/>
      <c r="CR280" s="1004"/>
      <c r="CS280" s="1004"/>
      <c r="CT280" s="1004"/>
      <c r="CU280" s="1004"/>
      <c r="CV280" s="1004"/>
      <c r="CW280" s="1004"/>
      <c r="CX280" s="1004"/>
      <c r="CY280" s="1004"/>
      <c r="CZ280" s="1004"/>
      <c r="DA280" s="1004"/>
      <c r="DB280" s="1004"/>
      <c r="DC280" s="1004"/>
    </row>
    <row r="281" spans="1:107">
      <c r="B281" s="89" t="s">
        <v>2722</v>
      </c>
      <c r="C281" s="132"/>
      <c r="D281" s="132"/>
      <c r="E281" s="132"/>
      <c r="F281" s="132"/>
      <c r="G281" s="132"/>
      <c r="H281" s="132"/>
      <c r="I281" s="132"/>
      <c r="J281" s="132"/>
      <c r="K281" s="132"/>
      <c r="L281" s="132"/>
      <c r="M281" s="132"/>
      <c r="N281" s="132"/>
      <c r="O281" s="132"/>
      <c r="P281" s="132"/>
      <c r="Q281" s="132"/>
      <c r="R281" s="132"/>
      <c r="S281" s="132"/>
      <c r="T281" s="132"/>
      <c r="U281" s="132"/>
      <c r="V281" s="132"/>
      <c r="W281" s="132"/>
      <c r="X281" s="132"/>
      <c r="Y281" s="132"/>
      <c r="Z281" s="132"/>
      <c r="AA281" s="132"/>
      <c r="AB281" s="132"/>
      <c r="AC281" s="132"/>
      <c r="AD281" s="132"/>
      <c r="AE281" s="15"/>
      <c r="AF281" s="132"/>
      <c r="AG281" s="132"/>
      <c r="AH281" s="132"/>
      <c r="AI281" s="132"/>
      <c r="AJ281" s="132"/>
      <c r="AK281" s="132"/>
      <c r="AL281" s="132"/>
      <c r="AM281" s="132"/>
      <c r="AN281" s="132"/>
      <c r="AO281" s="132"/>
      <c r="AP281" s="132"/>
      <c r="AQ281" s="132"/>
      <c r="AR281" s="132"/>
      <c r="AS281" s="132"/>
      <c r="AT281" s="132"/>
      <c r="AU281" s="132"/>
      <c r="AV281" s="132"/>
      <c r="AW281" s="132"/>
      <c r="AX281" s="132"/>
      <c r="AY281" s="132"/>
      <c r="AZ281" s="132"/>
      <c r="BA281" s="132"/>
      <c r="BB281" s="132"/>
      <c r="BC281" s="132"/>
      <c r="BD281" s="132"/>
      <c r="BE281" s="132"/>
      <c r="BF281" s="132"/>
      <c r="BG281" s="132"/>
      <c r="BH281" s="132"/>
      <c r="BI281" s="132"/>
      <c r="BJ281" s="132"/>
      <c r="BK281" s="132"/>
      <c r="BL281" s="132"/>
      <c r="BM281" s="132"/>
      <c r="BN281" s="132"/>
      <c r="BO281" s="132"/>
      <c r="BP281" s="132"/>
      <c r="BQ281" s="132"/>
      <c r="BR281" s="132"/>
      <c r="BS281" s="132"/>
      <c r="BT281" s="132"/>
      <c r="BU281" s="132"/>
      <c r="BV281" s="132"/>
      <c r="BW281" s="132"/>
      <c r="BX281" s="132"/>
      <c r="BY281" s="132"/>
      <c r="BZ281" s="132"/>
      <c r="CA281" s="132"/>
      <c r="CB281" s="132"/>
      <c r="CC281" s="132"/>
      <c r="CD281" s="132"/>
      <c r="CE281" s="132"/>
      <c r="CF281" s="132"/>
      <c r="CG281" s="132"/>
      <c r="CH281" s="132"/>
      <c r="CI281" s="132"/>
      <c r="CJ281" s="132"/>
      <c r="CK281" s="132"/>
      <c r="CL281" s="132"/>
      <c r="CM281" s="132"/>
      <c r="CN281" s="132"/>
      <c r="CO281" s="132"/>
      <c r="CP281" s="132"/>
      <c r="CQ281" s="132"/>
      <c r="CR281" s="132"/>
      <c r="CS281" s="132"/>
      <c r="CT281" s="132"/>
      <c r="CU281" s="132"/>
      <c r="CV281" s="132"/>
      <c r="CW281" s="132"/>
      <c r="CX281" s="132"/>
      <c r="CY281" s="132"/>
      <c r="CZ281" s="132"/>
      <c r="DA281" s="132"/>
      <c r="DB281" s="132"/>
      <c r="DC281" s="132"/>
    </row>
    <row r="282" spans="1:107">
      <c r="B282" s="876" t="s">
        <v>1118</v>
      </c>
      <c r="C282" s="15"/>
      <c r="D282" s="15"/>
      <c r="E282" s="15"/>
      <c r="F282" s="15"/>
      <c r="G282" s="15"/>
      <c r="H282" s="15"/>
      <c r="I282" s="15"/>
      <c r="J282" s="26"/>
      <c r="K282" s="54"/>
      <c r="L282" s="26"/>
      <c r="M282" s="26"/>
      <c r="N282" s="26"/>
      <c r="O282" s="26"/>
      <c r="P282" s="26">
        <f>O284</f>
        <v>0</v>
      </c>
      <c r="Q282" s="26">
        <f>P284</f>
        <v>0</v>
      </c>
      <c r="R282" s="26">
        <f>Q284</f>
        <v>0</v>
      </c>
      <c r="S282" s="26">
        <f>R284</f>
        <v>0</v>
      </c>
      <c r="T282" s="26"/>
      <c r="U282" s="26"/>
      <c r="V282" s="26">
        <f>U284</f>
        <v>0</v>
      </c>
      <c r="W282" s="26">
        <f>V284</f>
        <v>1201</v>
      </c>
      <c r="X282" s="26">
        <f>W284</f>
        <v>1201</v>
      </c>
      <c r="Y282" s="26">
        <f>X284</f>
        <v>1201</v>
      </c>
      <c r="Z282" s="26">
        <f>Y284</f>
        <v>1201</v>
      </c>
      <c r="AA282" s="26">
        <f t="shared" ref="AA282:AD282" si="589">Z284</f>
        <v>1201</v>
      </c>
      <c r="AB282" s="26">
        <f t="shared" si="589"/>
        <v>1201</v>
      </c>
      <c r="AC282" s="26">
        <f t="shared" si="589"/>
        <v>1201</v>
      </c>
      <c r="AD282" s="26">
        <f t="shared" si="589"/>
        <v>1201</v>
      </c>
      <c r="AE282" s="15"/>
      <c r="AF282" s="26"/>
      <c r="AG282" s="26"/>
      <c r="AH282" s="26"/>
      <c r="AI282" s="26"/>
      <c r="AJ282" s="26"/>
      <c r="AK282" s="26"/>
      <c r="AL282" s="26"/>
      <c r="AM282" s="26"/>
      <c r="AN282" s="26"/>
      <c r="AO282" s="26"/>
      <c r="AP282" s="26"/>
      <c r="AQ282" s="26"/>
      <c r="AR282" s="26"/>
      <c r="AS282" s="26"/>
      <c r="AT282" s="26"/>
      <c r="AU282" s="26"/>
      <c r="AV282" s="26"/>
      <c r="AW282" s="26"/>
      <c r="AX282" s="26"/>
      <c r="AY282" s="26"/>
      <c r="AZ282" s="26"/>
      <c r="BA282" s="26"/>
      <c r="BB282" s="26"/>
      <c r="BC282" s="26"/>
      <c r="BD282" s="26"/>
      <c r="BE282" s="26"/>
      <c r="BF282" s="26"/>
      <c r="BG282" s="26"/>
      <c r="BH282" s="26"/>
      <c r="BI282" s="26"/>
      <c r="BJ282" s="26"/>
      <c r="BK282" s="26"/>
      <c r="BL282" s="26"/>
      <c r="BM282" s="26"/>
      <c r="BN282" s="26"/>
      <c r="BO282" s="26"/>
      <c r="BP282" s="26"/>
      <c r="BQ282" s="26"/>
      <c r="BR282" s="783"/>
      <c r="BS282" s="783"/>
      <c r="BT282" s="26"/>
      <c r="BU282" s="26"/>
      <c r="BV282" s="26"/>
      <c r="BW282" s="26"/>
      <c r="BX282" s="26"/>
      <c r="BY282" s="26"/>
      <c r="BZ282" s="26"/>
      <c r="CA282" s="26"/>
      <c r="CB282" s="26"/>
      <c r="CC282" s="26"/>
      <c r="CD282" s="26"/>
      <c r="CE282" s="26"/>
      <c r="CF282" s="26"/>
      <c r="CG282" s="26"/>
      <c r="CH282" s="26"/>
      <c r="CI282" s="26"/>
      <c r="CJ282" s="26"/>
      <c r="CK282" s="26"/>
      <c r="CL282" s="26"/>
      <c r="CM282" s="26"/>
      <c r="CN282" s="26"/>
      <c r="CO282" s="26"/>
      <c r="CP282" s="26"/>
      <c r="CQ282" s="26"/>
      <c r="CR282" s="26"/>
      <c r="CS282" s="26"/>
      <c r="CT282" s="26"/>
      <c r="CU282" s="26"/>
      <c r="CV282" s="26"/>
      <c r="CW282" s="26"/>
      <c r="CX282" s="26">
        <f>CW284</f>
        <v>0</v>
      </c>
      <c r="CY282" s="26">
        <f>CX284</f>
        <v>1189.7197207325712</v>
      </c>
      <c r="CZ282" s="26">
        <f t="shared" ref="CZ282:DC282" si="590">CY284</f>
        <v>1201</v>
      </c>
      <c r="DA282" s="26">
        <f t="shared" si="590"/>
        <v>1201</v>
      </c>
      <c r="DB282" s="26">
        <f t="shared" si="590"/>
        <v>1201</v>
      </c>
      <c r="DC282" s="26">
        <f t="shared" si="590"/>
        <v>1201</v>
      </c>
    </row>
    <row r="283" spans="1:107">
      <c r="B283" s="876" t="s">
        <v>1121</v>
      </c>
      <c r="C283" s="15"/>
      <c r="D283" s="15"/>
      <c r="E283" s="15"/>
      <c r="F283" s="15"/>
      <c r="G283" s="15"/>
      <c r="H283" s="15"/>
      <c r="I283" s="15"/>
      <c r="J283" s="26"/>
      <c r="K283" s="54"/>
      <c r="L283" s="26"/>
      <c r="M283" s="26"/>
      <c r="N283" s="26"/>
      <c r="O283" s="26"/>
      <c r="P283" s="26">
        <f>P284-P282</f>
        <v>0</v>
      </c>
      <c r="Q283" s="26">
        <f>Q284-Q282</f>
        <v>0</v>
      </c>
      <c r="R283" s="26">
        <f>R284-R282</f>
        <v>0</v>
      </c>
      <c r="S283" s="26">
        <f>S284-S282</f>
        <v>0</v>
      </c>
      <c r="T283" s="26"/>
      <c r="U283" s="26"/>
      <c r="V283" s="26">
        <f>+SUM(CV283:CY283)</f>
        <v>1201</v>
      </c>
      <c r="W283" s="26">
        <f>+SUM(CZ283:DC283)</f>
        <v>0</v>
      </c>
      <c r="X283" s="26">
        <v>0</v>
      </c>
      <c r="Y283" s="26">
        <v>0</v>
      </c>
      <c r="Z283" s="26">
        <v>0</v>
      </c>
      <c r="AA283" s="26">
        <v>0</v>
      </c>
      <c r="AB283" s="26">
        <v>0</v>
      </c>
      <c r="AC283" s="26">
        <v>0</v>
      </c>
      <c r="AD283" s="26">
        <v>0</v>
      </c>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c r="BK283" s="15"/>
      <c r="BL283" s="26"/>
      <c r="BM283" s="26"/>
      <c r="BN283" s="26"/>
      <c r="BO283" s="26"/>
      <c r="BP283" s="26"/>
      <c r="BQ283" s="26"/>
      <c r="BR283" s="783"/>
      <c r="BS283" s="783"/>
      <c r="BT283" s="26"/>
      <c r="BU283" s="398"/>
      <c r="BV283" s="398"/>
      <c r="BW283" s="398"/>
      <c r="BX283" s="398"/>
      <c r="BY283" s="26"/>
      <c r="BZ283" s="26"/>
      <c r="CA283" s="26"/>
      <c r="CB283" s="26"/>
      <c r="CC283" s="26"/>
      <c r="CD283" s="26"/>
      <c r="CE283" s="26"/>
      <c r="CF283" s="398"/>
      <c r="CG283" s="26"/>
      <c r="CH283" s="26"/>
      <c r="CI283" s="26"/>
      <c r="CJ283" s="26"/>
      <c r="CK283" s="26"/>
      <c r="CL283" s="26"/>
      <c r="CM283" s="398"/>
      <c r="CN283" s="26"/>
      <c r="CO283" s="26"/>
      <c r="CP283" s="398"/>
      <c r="CQ283" s="398"/>
      <c r="CR283" s="26"/>
      <c r="CS283" s="26"/>
      <c r="CT283" s="26"/>
      <c r="CU283" s="26"/>
      <c r="CV283" s="398"/>
      <c r="CW283" s="26"/>
      <c r="CX283" s="398">
        <f>1175.8/988.3*1000</f>
        <v>1189.7197207325712</v>
      </c>
      <c r="CY283" s="398">
        <f>1201-CX284</f>
        <v>11.280279267428796</v>
      </c>
      <c r="CZ283" s="26">
        <v>0</v>
      </c>
      <c r="DA283" s="26">
        <v>0</v>
      </c>
      <c r="DB283" s="26">
        <v>0</v>
      </c>
      <c r="DC283" s="26">
        <v>0</v>
      </c>
    </row>
    <row r="284" spans="1:107">
      <c r="B284" s="876" t="s">
        <v>261</v>
      </c>
      <c r="C284" s="15"/>
      <c r="D284" s="15"/>
      <c r="E284" s="15"/>
      <c r="F284" s="15"/>
      <c r="G284" s="15"/>
      <c r="H284" s="15"/>
      <c r="I284" s="15"/>
      <c r="J284" s="26"/>
      <c r="K284" s="54"/>
      <c r="L284" s="26"/>
      <c r="M284" s="26"/>
      <c r="N284" s="26"/>
      <c r="O284" s="26">
        <f>BW284</f>
        <v>0</v>
      </c>
      <c r="P284" s="26">
        <f>CA284</f>
        <v>0</v>
      </c>
      <c r="Q284" s="26">
        <f>CE284</f>
        <v>0</v>
      </c>
      <c r="R284" s="26">
        <f>CI284</f>
        <v>0</v>
      </c>
      <c r="S284" s="26">
        <f>CM284</f>
        <v>0</v>
      </c>
      <c r="T284" s="26"/>
      <c r="U284" s="26"/>
      <c r="V284" s="26">
        <f>SUM(V282:V283)</f>
        <v>1201</v>
      </c>
      <c r="W284" s="26">
        <f>SUM(W282:W283)</f>
        <v>1201</v>
      </c>
      <c r="X284" s="26">
        <f>SUM(X282:X283)</f>
        <v>1201</v>
      </c>
      <c r="Y284" s="26">
        <f>SUM(Y282:Y283)</f>
        <v>1201</v>
      </c>
      <c r="Z284" s="26">
        <f>SUM(Z282:Z283)</f>
        <v>1201</v>
      </c>
      <c r="AA284" s="26">
        <f t="shared" ref="AA284:AD284" si="591">SUM(AA282:AA283)</f>
        <v>1201</v>
      </c>
      <c r="AB284" s="26">
        <f t="shared" si="591"/>
        <v>1201</v>
      </c>
      <c r="AC284" s="26">
        <f t="shared" si="591"/>
        <v>1201</v>
      </c>
      <c r="AD284" s="26">
        <f t="shared" si="591"/>
        <v>1201</v>
      </c>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c r="BK284" s="15"/>
      <c r="BL284" s="26"/>
      <c r="BM284" s="26"/>
      <c r="BN284" s="26"/>
      <c r="BO284" s="26"/>
      <c r="BP284" s="26"/>
      <c r="BQ284" s="26"/>
      <c r="BR284" s="783"/>
      <c r="BS284" s="783"/>
      <c r="BT284" s="814"/>
      <c r="BU284" s="26"/>
      <c r="BV284" s="26"/>
      <c r="BW284" s="26"/>
      <c r="BX284" s="26"/>
      <c r="BY284" s="26"/>
      <c r="BZ284" s="814"/>
      <c r="CA284" s="814"/>
      <c r="CB284" s="814"/>
      <c r="CC284" s="26"/>
      <c r="CD284" s="26"/>
      <c r="CE284" s="26"/>
      <c r="CF284" s="26"/>
      <c r="CG284" s="26"/>
      <c r="CH284" s="26"/>
      <c r="CI284" s="26"/>
      <c r="CJ284" s="26"/>
      <c r="CK284" s="26"/>
      <c r="CL284" s="26"/>
      <c r="CM284" s="26"/>
      <c r="CN284" s="26"/>
      <c r="CO284" s="26"/>
      <c r="CP284" s="2122"/>
      <c r="CQ284" s="26"/>
      <c r="CR284" s="26"/>
      <c r="CS284" s="26"/>
      <c r="CT284" s="26"/>
      <c r="CU284" s="398"/>
      <c r="CV284" s="26"/>
      <c r="CW284" s="398">
        <v>0</v>
      </c>
      <c r="CX284" s="26">
        <f>SUM(CX282:CX283)</f>
        <v>1189.7197207325712</v>
      </c>
      <c r="CY284" s="26">
        <f>SUM(CY282:CY283)</f>
        <v>1201</v>
      </c>
      <c r="CZ284" s="26">
        <f t="shared" ref="CZ284:DC284" si="592">SUM(CZ282:CZ283)</f>
        <v>1201</v>
      </c>
      <c r="DA284" s="26">
        <f t="shared" si="592"/>
        <v>1201</v>
      </c>
      <c r="DB284" s="26">
        <f t="shared" si="592"/>
        <v>1201</v>
      </c>
      <c r="DC284" s="26">
        <f t="shared" si="592"/>
        <v>1201</v>
      </c>
    </row>
    <row r="285" spans="1:107">
      <c r="B285" s="876" t="s">
        <v>262</v>
      </c>
      <c r="C285" s="15"/>
      <c r="D285" s="15"/>
      <c r="E285" s="15"/>
      <c r="F285" s="15"/>
      <c r="G285" s="15"/>
      <c r="H285" s="15"/>
      <c r="I285" s="15"/>
      <c r="J285" s="15"/>
      <c r="K285" s="783"/>
      <c r="L285" s="1004"/>
      <c r="M285" s="1004"/>
      <c r="N285" s="1004"/>
      <c r="O285" s="1004"/>
      <c r="P285" s="1004"/>
      <c r="Q285" s="1004"/>
      <c r="R285" s="1004"/>
      <c r="S285" s="1004"/>
      <c r="T285" s="1004"/>
      <c r="U285" s="1004"/>
      <c r="V285" s="1004"/>
      <c r="W285" s="1004"/>
      <c r="X285" s="1004"/>
      <c r="Y285" s="1004"/>
      <c r="Z285" s="1004"/>
      <c r="AA285" s="1004"/>
      <c r="AB285" s="1004"/>
      <c r="AC285" s="1004"/>
      <c r="AD285" s="1004"/>
      <c r="AE285" s="15"/>
      <c r="AF285" s="15"/>
      <c r="AG285" s="15"/>
      <c r="AH285" s="15"/>
      <c r="AI285" s="15"/>
      <c r="AJ285" s="15"/>
      <c r="AK285" s="15"/>
      <c r="AL285" s="15"/>
      <c r="AM285" s="15"/>
      <c r="AN285" s="15"/>
      <c r="AO285" s="15"/>
      <c r="AP285" s="15"/>
      <c r="AQ285" s="15"/>
      <c r="AR285" s="15"/>
      <c r="AS285" s="15"/>
      <c r="AT285" s="15"/>
      <c r="AU285" s="15"/>
      <c r="AV285" s="15"/>
      <c r="AW285" s="15"/>
      <c r="AX285" s="15"/>
      <c r="AY285" s="15"/>
      <c r="AZ285" s="15"/>
      <c r="BA285" s="15"/>
      <c r="BB285" s="15"/>
      <c r="BC285" s="980"/>
      <c r="BD285" s="1004"/>
      <c r="BE285" s="1004"/>
      <c r="BF285" s="1004"/>
      <c r="BG285" s="1004"/>
      <c r="BH285" s="1004"/>
      <c r="BI285" s="1004"/>
      <c r="BJ285" s="1004"/>
      <c r="BK285" s="1004"/>
      <c r="BL285" s="1004"/>
      <c r="BM285" s="1004"/>
      <c r="BN285" s="1004"/>
      <c r="BO285" s="1004"/>
      <c r="BP285" s="1004"/>
      <c r="BQ285" s="1004"/>
      <c r="BR285" s="1004"/>
      <c r="BS285" s="1010"/>
      <c r="BT285" s="398"/>
      <c r="BU285" s="398"/>
      <c r="BV285" s="398"/>
      <c r="BW285" s="398"/>
      <c r="BX285" s="1004"/>
      <c r="BY285" s="1004"/>
      <c r="BZ285" s="1004"/>
      <c r="CA285" s="1004"/>
      <c r="CB285" s="1004"/>
      <c r="CC285" s="1004"/>
      <c r="CD285" s="1004"/>
      <c r="CE285" s="1004"/>
      <c r="CF285" s="1004"/>
      <c r="CG285" s="1004"/>
      <c r="CH285" s="1004"/>
      <c r="CI285" s="1004"/>
      <c r="CJ285" s="1004"/>
      <c r="CK285" s="1004"/>
      <c r="CL285" s="1004"/>
      <c r="CM285" s="1004"/>
      <c r="CN285" s="1004"/>
      <c r="CO285" s="1004"/>
      <c r="CP285" s="1004"/>
      <c r="CQ285" s="1004"/>
      <c r="CR285" s="1004"/>
      <c r="CS285" s="1004"/>
      <c r="CT285" s="1004"/>
      <c r="CU285" s="1004"/>
      <c r="CV285" s="1004"/>
      <c r="CW285" s="1004"/>
      <c r="CX285" s="1004"/>
      <c r="CY285" s="1004"/>
      <c r="CZ285" s="1004"/>
      <c r="DA285" s="1004"/>
      <c r="DB285" s="1004"/>
      <c r="DC285" s="1004"/>
    </row>
    <row r="286" spans="1:107">
      <c r="B286" s="876"/>
      <c r="C286" s="15"/>
      <c r="D286" s="15"/>
      <c r="E286" s="15"/>
      <c r="F286" s="15"/>
      <c r="G286" s="15"/>
      <c r="H286" s="15"/>
      <c r="I286" s="15"/>
      <c r="J286" s="15"/>
      <c r="K286" s="783"/>
      <c r="L286" s="1004"/>
      <c r="M286" s="1004"/>
      <c r="N286" s="1004"/>
      <c r="O286" s="1004"/>
      <c r="P286" s="1004"/>
      <c r="Q286" s="1004"/>
      <c r="R286" s="1004"/>
      <c r="S286" s="1004"/>
      <c r="T286" s="1004"/>
      <c r="U286" s="1004"/>
      <c r="V286" s="1004"/>
      <c r="W286" s="1004"/>
      <c r="X286" s="1004"/>
      <c r="Y286" s="1004"/>
      <c r="Z286" s="1004"/>
      <c r="AA286" s="1004"/>
      <c r="AB286" s="1004"/>
      <c r="AC286" s="1004"/>
      <c r="AD286" s="1004"/>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980"/>
      <c r="BD286" s="1004"/>
      <c r="BE286" s="1004"/>
      <c r="BF286" s="1004"/>
      <c r="BG286" s="1004"/>
      <c r="BH286" s="1004"/>
      <c r="BI286" s="1004"/>
      <c r="BJ286" s="1004"/>
      <c r="BK286" s="1004"/>
      <c r="BL286" s="1004"/>
      <c r="BM286" s="1004"/>
      <c r="BN286" s="1004"/>
      <c r="BO286" s="1004"/>
      <c r="BP286" s="1004"/>
      <c r="BQ286" s="1004"/>
      <c r="BR286" s="1004"/>
      <c r="BS286" s="1010"/>
      <c r="BT286" s="398"/>
      <c r="BU286" s="398"/>
      <c r="BV286" s="398"/>
      <c r="BW286" s="398"/>
      <c r="BX286" s="1004"/>
      <c r="BY286" s="1004"/>
      <c r="BZ286" s="1004"/>
      <c r="CA286" s="1004"/>
      <c r="CB286" s="1004"/>
      <c r="CC286" s="1004"/>
      <c r="CD286" s="1004"/>
      <c r="CE286" s="1004"/>
      <c r="CF286" s="1004"/>
      <c r="CG286" s="1004"/>
      <c r="CH286" s="1004"/>
      <c r="CI286" s="1004"/>
      <c r="CJ286" s="1004"/>
      <c r="CK286" s="1004"/>
      <c r="CL286" s="1004"/>
      <c r="CM286" s="1004"/>
      <c r="CN286" s="1004"/>
      <c r="CO286" s="1004"/>
      <c r="CP286" s="1004"/>
      <c r="CQ286" s="1004"/>
      <c r="CR286" s="1004"/>
      <c r="CS286" s="1004"/>
      <c r="CT286" s="1004"/>
      <c r="CU286" s="1004"/>
      <c r="CV286" s="1004"/>
      <c r="CW286" s="1004"/>
      <c r="CX286" s="1004"/>
      <c r="CY286" s="1004"/>
      <c r="CZ286" s="1004"/>
      <c r="DA286" s="1004"/>
      <c r="DB286" s="1004"/>
      <c r="DC286" s="1004"/>
    </row>
    <row r="287" spans="1:107">
      <c r="B287" s="89" t="s">
        <v>2762</v>
      </c>
      <c r="C287" s="132"/>
      <c r="D287" s="132"/>
      <c r="E287" s="132"/>
      <c r="F287" s="132"/>
      <c r="G287" s="132"/>
      <c r="H287" s="132"/>
      <c r="I287" s="132"/>
      <c r="J287" s="132"/>
      <c r="K287" s="132"/>
      <c r="L287" s="132"/>
      <c r="M287" s="132"/>
      <c r="N287" s="132"/>
      <c r="O287" s="132"/>
      <c r="P287" s="132"/>
      <c r="Q287" s="132"/>
      <c r="R287" s="132"/>
      <c r="S287" s="132"/>
      <c r="T287" s="132"/>
      <c r="U287" s="132"/>
      <c r="V287" s="132"/>
      <c r="W287" s="132"/>
      <c r="X287" s="132"/>
      <c r="Y287" s="132"/>
      <c r="Z287" s="132"/>
      <c r="AA287" s="132"/>
      <c r="AB287" s="132"/>
      <c r="AC287" s="132"/>
      <c r="AD287" s="132"/>
      <c r="AE287" s="15"/>
      <c r="AF287" s="132"/>
      <c r="AG287" s="132"/>
      <c r="AH287" s="132"/>
      <c r="AI287" s="132"/>
      <c r="AJ287" s="132"/>
      <c r="AK287" s="132"/>
      <c r="AL287" s="132"/>
      <c r="AM287" s="132"/>
      <c r="AN287" s="132"/>
      <c r="AO287" s="132"/>
      <c r="AP287" s="132"/>
      <c r="AQ287" s="132"/>
      <c r="AR287" s="132"/>
      <c r="AS287" s="132"/>
      <c r="AT287" s="132"/>
      <c r="AU287" s="132"/>
      <c r="AV287" s="132"/>
      <c r="AW287" s="132"/>
      <c r="AX287" s="132"/>
      <c r="AY287" s="132"/>
      <c r="AZ287" s="132"/>
      <c r="BA287" s="132"/>
      <c r="BB287" s="132"/>
      <c r="BC287" s="132"/>
      <c r="BD287" s="132"/>
      <c r="BE287" s="132"/>
      <c r="BF287" s="132"/>
      <c r="BG287" s="132"/>
      <c r="BH287" s="132"/>
      <c r="BI287" s="132"/>
      <c r="BJ287" s="132"/>
      <c r="BK287" s="132"/>
      <c r="BL287" s="132"/>
      <c r="BM287" s="132"/>
      <c r="BN287" s="132"/>
      <c r="BO287" s="132"/>
      <c r="BP287" s="132"/>
      <c r="BQ287" s="132"/>
      <c r="BR287" s="132"/>
      <c r="BS287" s="132"/>
      <c r="BT287" s="132"/>
      <c r="BU287" s="132"/>
      <c r="BV287" s="132"/>
      <c r="BW287" s="132"/>
      <c r="BX287" s="132"/>
      <c r="BY287" s="132"/>
      <c r="BZ287" s="132"/>
      <c r="CA287" s="132"/>
      <c r="CB287" s="132"/>
      <c r="CC287" s="132"/>
      <c r="CD287" s="132"/>
      <c r="CE287" s="132"/>
      <c r="CF287" s="132"/>
      <c r="CG287" s="132"/>
      <c r="CH287" s="132"/>
      <c r="CI287" s="132"/>
      <c r="CJ287" s="132"/>
      <c r="CK287" s="132"/>
      <c r="CL287" s="132"/>
      <c r="CM287" s="132"/>
      <c r="CN287" s="132"/>
      <c r="CO287" s="132"/>
      <c r="CP287" s="132"/>
      <c r="CQ287" s="132"/>
      <c r="CR287" s="132"/>
      <c r="CS287" s="132"/>
      <c r="CT287" s="132"/>
      <c r="CU287" s="132"/>
      <c r="CV287" s="132"/>
      <c r="CW287" s="132"/>
      <c r="CX287" s="132"/>
      <c r="CY287" s="132"/>
      <c r="CZ287" s="132"/>
      <c r="DA287" s="132"/>
      <c r="DB287" s="132"/>
      <c r="DC287" s="132"/>
    </row>
    <row r="288" spans="1:107">
      <c r="B288" s="876" t="s">
        <v>1118</v>
      </c>
      <c r="C288" s="15"/>
      <c r="D288" s="15"/>
      <c r="E288" s="15"/>
      <c r="F288" s="15"/>
      <c r="G288" s="15"/>
      <c r="H288" s="15"/>
      <c r="I288" s="15"/>
      <c r="J288" s="26"/>
      <c r="K288" s="54"/>
      <c r="L288" s="26"/>
      <c r="M288" s="26"/>
      <c r="N288" s="26"/>
      <c r="O288" s="26"/>
      <c r="P288" s="26">
        <f>O290</f>
        <v>0</v>
      </c>
      <c r="Q288" s="26">
        <f>P290</f>
        <v>0</v>
      </c>
      <c r="R288" s="26">
        <f>Q290</f>
        <v>0</v>
      </c>
      <c r="S288" s="26">
        <f>R290</f>
        <v>0</v>
      </c>
      <c r="T288" s="26"/>
      <c r="U288" s="26"/>
      <c r="V288" s="26">
        <f>U290</f>
        <v>0</v>
      </c>
      <c r="W288" s="26">
        <f>V290</f>
        <v>1201</v>
      </c>
      <c r="X288" s="26">
        <f>W290</f>
        <v>1201</v>
      </c>
      <c r="Y288" s="26">
        <f>X290</f>
        <v>1201</v>
      </c>
      <c r="Z288" s="26">
        <f>Y290</f>
        <v>1201</v>
      </c>
      <c r="AA288" s="26">
        <f t="shared" ref="AA288:AD288" si="593">Z290</f>
        <v>1201</v>
      </c>
      <c r="AB288" s="26">
        <f t="shared" si="593"/>
        <v>1201</v>
      </c>
      <c r="AC288" s="26">
        <f t="shared" si="593"/>
        <v>1201</v>
      </c>
      <c r="AD288" s="26">
        <f t="shared" si="593"/>
        <v>1201</v>
      </c>
      <c r="AE288" s="15"/>
      <c r="AF288" s="26"/>
      <c r="AG288" s="26"/>
      <c r="AH288" s="26"/>
      <c r="AI288" s="26"/>
      <c r="AJ288" s="26"/>
      <c r="AK288" s="26"/>
      <c r="AL288" s="26"/>
      <c r="AM288" s="26"/>
      <c r="AN288" s="26"/>
      <c r="AO288" s="26"/>
      <c r="AP288" s="26"/>
      <c r="AQ288" s="26"/>
      <c r="AR288" s="26"/>
      <c r="AS288" s="26"/>
      <c r="AT288" s="26"/>
      <c r="AU288" s="26"/>
      <c r="AV288" s="26"/>
      <c r="AW288" s="26"/>
      <c r="AX288" s="26"/>
      <c r="AY288" s="26"/>
      <c r="AZ288" s="26"/>
      <c r="BA288" s="26"/>
      <c r="BB288" s="26"/>
      <c r="BC288" s="26"/>
      <c r="BD288" s="26"/>
      <c r="BE288" s="26"/>
      <c r="BF288" s="26"/>
      <c r="BG288" s="26"/>
      <c r="BH288" s="26"/>
      <c r="BI288" s="26"/>
      <c r="BJ288" s="26"/>
      <c r="BK288" s="26"/>
      <c r="BL288" s="26"/>
      <c r="BM288" s="26"/>
      <c r="BN288" s="26"/>
      <c r="BO288" s="26"/>
      <c r="BP288" s="26"/>
      <c r="BQ288" s="26"/>
      <c r="BR288" s="783"/>
      <c r="BS288" s="783"/>
      <c r="BT288" s="26"/>
      <c r="BU288" s="26"/>
      <c r="BV288" s="26"/>
      <c r="BW288" s="26"/>
      <c r="BX288" s="26"/>
      <c r="BY288" s="26"/>
      <c r="BZ288" s="26"/>
      <c r="CA288" s="26"/>
      <c r="CB288" s="26"/>
      <c r="CC288" s="26"/>
      <c r="CD288" s="26"/>
      <c r="CE288" s="26"/>
      <c r="CF288" s="26"/>
      <c r="CG288" s="26"/>
      <c r="CH288" s="26"/>
      <c r="CI288" s="26"/>
      <c r="CJ288" s="26"/>
      <c r="CK288" s="26"/>
      <c r="CL288" s="26"/>
      <c r="CM288" s="26"/>
      <c r="CN288" s="26"/>
      <c r="CO288" s="26"/>
      <c r="CP288" s="26"/>
      <c r="CQ288" s="26"/>
      <c r="CR288" s="26"/>
      <c r="CS288" s="26"/>
      <c r="CT288" s="26"/>
      <c r="CU288" s="26"/>
      <c r="CV288" s="26"/>
      <c r="CW288" s="26"/>
      <c r="CX288" s="26"/>
      <c r="CY288" s="26">
        <f>CX290</f>
        <v>0</v>
      </c>
      <c r="CZ288" s="26">
        <f t="shared" ref="CZ288" si="594">CY290</f>
        <v>1201</v>
      </c>
      <c r="DA288" s="26">
        <f t="shared" ref="DA288" si="595">CZ290</f>
        <v>1201</v>
      </c>
      <c r="DB288" s="26">
        <f t="shared" ref="DB288" si="596">DA290</f>
        <v>1201</v>
      </c>
      <c r="DC288" s="26">
        <f t="shared" ref="DC288" si="597">DB290</f>
        <v>1201</v>
      </c>
    </row>
    <row r="289" spans="1:107">
      <c r="B289" s="876" t="s">
        <v>1121</v>
      </c>
      <c r="C289" s="15"/>
      <c r="D289" s="15"/>
      <c r="E289" s="15"/>
      <c r="F289" s="15"/>
      <c r="G289" s="15"/>
      <c r="H289" s="15"/>
      <c r="I289" s="15"/>
      <c r="J289" s="26"/>
      <c r="K289" s="54"/>
      <c r="L289" s="26"/>
      <c r="M289" s="26"/>
      <c r="N289" s="26"/>
      <c r="O289" s="26"/>
      <c r="P289" s="26">
        <f>P290-P288</f>
        <v>0</v>
      </c>
      <c r="Q289" s="26">
        <f>Q290-Q288</f>
        <v>0</v>
      </c>
      <c r="R289" s="26">
        <f>R290-R288</f>
        <v>0</v>
      </c>
      <c r="S289" s="26">
        <f>S290-S288</f>
        <v>0</v>
      </c>
      <c r="T289" s="26"/>
      <c r="U289" s="26"/>
      <c r="V289" s="26">
        <f>+SUM(CV289:CY289)</f>
        <v>1201</v>
      </c>
      <c r="W289" s="26">
        <f>+SUM(CZ289:DC289)</f>
        <v>0</v>
      </c>
      <c r="X289" s="26">
        <v>0</v>
      </c>
      <c r="Y289" s="26">
        <v>0</v>
      </c>
      <c r="Z289" s="26">
        <v>0</v>
      </c>
      <c r="AA289" s="26">
        <v>0</v>
      </c>
      <c r="AB289" s="26">
        <v>0</v>
      </c>
      <c r="AC289" s="26">
        <v>0</v>
      </c>
      <c r="AD289" s="26">
        <v>0</v>
      </c>
      <c r="AE289" s="15"/>
      <c r="AF289" s="15"/>
      <c r="AG289" s="15"/>
      <c r="AH289" s="15"/>
      <c r="AI289" s="15"/>
      <c r="AJ289" s="15"/>
      <c r="AK289" s="15"/>
      <c r="AL289" s="15"/>
      <c r="AM289" s="15"/>
      <c r="AN289" s="15"/>
      <c r="AO289" s="15"/>
      <c r="AP289" s="15"/>
      <c r="AQ289" s="15"/>
      <c r="AR289" s="15"/>
      <c r="AS289" s="15"/>
      <c r="AT289" s="15"/>
      <c r="AU289" s="15"/>
      <c r="AV289" s="15"/>
      <c r="AW289" s="15"/>
      <c r="AX289" s="15"/>
      <c r="AY289" s="15"/>
      <c r="AZ289" s="15"/>
      <c r="BA289" s="15"/>
      <c r="BB289" s="15"/>
      <c r="BC289" s="15"/>
      <c r="BD289" s="15"/>
      <c r="BE289" s="15"/>
      <c r="BF289" s="15"/>
      <c r="BG289" s="15"/>
      <c r="BH289" s="15"/>
      <c r="BI289" s="15"/>
      <c r="BJ289" s="15"/>
      <c r="BK289" s="15"/>
      <c r="BL289" s="26"/>
      <c r="BM289" s="26"/>
      <c r="BN289" s="26"/>
      <c r="BO289" s="26"/>
      <c r="BP289" s="26"/>
      <c r="BQ289" s="26"/>
      <c r="BR289" s="783"/>
      <c r="BS289" s="783"/>
      <c r="BT289" s="26"/>
      <c r="BU289" s="398"/>
      <c r="BV289" s="398"/>
      <c r="BW289" s="398"/>
      <c r="BX289" s="398"/>
      <c r="BY289" s="26"/>
      <c r="BZ289" s="26"/>
      <c r="CA289" s="26"/>
      <c r="CB289" s="26"/>
      <c r="CC289" s="26"/>
      <c r="CD289" s="26"/>
      <c r="CE289" s="26"/>
      <c r="CF289" s="398"/>
      <c r="CG289" s="26"/>
      <c r="CH289" s="26"/>
      <c r="CI289" s="26"/>
      <c r="CJ289" s="26"/>
      <c r="CK289" s="26"/>
      <c r="CL289" s="26"/>
      <c r="CM289" s="398"/>
      <c r="CN289" s="26"/>
      <c r="CO289" s="26"/>
      <c r="CP289" s="398"/>
      <c r="CQ289" s="398"/>
      <c r="CR289" s="26"/>
      <c r="CS289" s="26"/>
      <c r="CT289" s="26"/>
      <c r="CU289" s="26"/>
      <c r="CV289" s="398"/>
      <c r="CW289" s="26"/>
      <c r="CX289" s="26"/>
      <c r="CY289" s="398">
        <v>1201</v>
      </c>
      <c r="CZ289" s="26">
        <v>0</v>
      </c>
      <c r="DA289" s="26">
        <v>0</v>
      </c>
      <c r="DB289" s="26">
        <v>0</v>
      </c>
      <c r="DC289" s="26">
        <v>0</v>
      </c>
    </row>
    <row r="290" spans="1:107">
      <c r="B290" s="876" t="s">
        <v>261</v>
      </c>
      <c r="C290" s="15"/>
      <c r="D290" s="15"/>
      <c r="E290" s="15"/>
      <c r="F290" s="15"/>
      <c r="G290" s="15"/>
      <c r="H290" s="15"/>
      <c r="I290" s="15"/>
      <c r="J290" s="26"/>
      <c r="K290" s="54"/>
      <c r="L290" s="26"/>
      <c r="M290" s="26"/>
      <c r="N290" s="26"/>
      <c r="O290" s="26">
        <f>BW290</f>
        <v>0</v>
      </c>
      <c r="P290" s="26">
        <f>CA290</f>
        <v>0</v>
      </c>
      <c r="Q290" s="26">
        <f>CE290</f>
        <v>0</v>
      </c>
      <c r="R290" s="26">
        <f>CI290</f>
        <v>0</v>
      </c>
      <c r="S290" s="26">
        <f>CM290</f>
        <v>0</v>
      </c>
      <c r="T290" s="26"/>
      <c r="U290" s="26"/>
      <c r="V290" s="26">
        <f>SUM(V288:V289)</f>
        <v>1201</v>
      </c>
      <c r="W290" s="26">
        <f>SUM(W288:W289)</f>
        <v>1201</v>
      </c>
      <c r="X290" s="26">
        <f>SUM(X288:X289)</f>
        <v>1201</v>
      </c>
      <c r="Y290" s="26">
        <f>SUM(Y288:Y289)</f>
        <v>1201</v>
      </c>
      <c r="Z290" s="26">
        <f>SUM(Z288:Z289)</f>
        <v>1201</v>
      </c>
      <c r="AA290" s="26">
        <f t="shared" ref="AA290:AD290" si="598">SUM(AA288:AA289)</f>
        <v>1201</v>
      </c>
      <c r="AB290" s="26">
        <f t="shared" si="598"/>
        <v>1201</v>
      </c>
      <c r="AC290" s="26">
        <f t="shared" si="598"/>
        <v>1201</v>
      </c>
      <c r="AD290" s="26">
        <f t="shared" si="598"/>
        <v>1201</v>
      </c>
      <c r="AE290" s="15"/>
      <c r="AF290" s="15"/>
      <c r="AG290" s="15"/>
      <c r="AH290" s="15"/>
      <c r="AI290" s="15"/>
      <c r="AJ290" s="15"/>
      <c r="AK290" s="15"/>
      <c r="AL290" s="15"/>
      <c r="AM290" s="15"/>
      <c r="AN290" s="15"/>
      <c r="AO290" s="15"/>
      <c r="AP290" s="15"/>
      <c r="AQ290" s="15"/>
      <c r="AR290" s="15"/>
      <c r="AS290" s="15"/>
      <c r="AT290" s="15"/>
      <c r="AU290" s="15"/>
      <c r="AV290" s="15"/>
      <c r="AW290" s="15"/>
      <c r="AX290" s="15"/>
      <c r="AY290" s="15"/>
      <c r="AZ290" s="15"/>
      <c r="BA290" s="15"/>
      <c r="BB290" s="15"/>
      <c r="BC290" s="15"/>
      <c r="BD290" s="15"/>
      <c r="BE290" s="15"/>
      <c r="BF290" s="15"/>
      <c r="BG290" s="15"/>
      <c r="BH290" s="15"/>
      <c r="BI290" s="15"/>
      <c r="BJ290" s="15"/>
      <c r="BK290" s="15"/>
      <c r="BL290" s="26"/>
      <c r="BM290" s="26"/>
      <c r="BN290" s="26"/>
      <c r="BO290" s="26"/>
      <c r="BP290" s="26"/>
      <c r="BQ290" s="26"/>
      <c r="BR290" s="783"/>
      <c r="BS290" s="783"/>
      <c r="BT290" s="814"/>
      <c r="BU290" s="26"/>
      <c r="BV290" s="26"/>
      <c r="BW290" s="26"/>
      <c r="BX290" s="26"/>
      <c r="BY290" s="26"/>
      <c r="BZ290" s="814"/>
      <c r="CA290" s="814"/>
      <c r="CB290" s="814"/>
      <c r="CC290" s="26"/>
      <c r="CD290" s="26"/>
      <c r="CE290" s="26"/>
      <c r="CF290" s="26"/>
      <c r="CG290" s="26"/>
      <c r="CH290" s="26"/>
      <c r="CI290" s="26"/>
      <c r="CJ290" s="26"/>
      <c r="CK290" s="26"/>
      <c r="CL290" s="26"/>
      <c r="CM290" s="26"/>
      <c r="CN290" s="26"/>
      <c r="CO290" s="26"/>
      <c r="CP290" s="2122"/>
      <c r="CQ290" s="26"/>
      <c r="CR290" s="26"/>
      <c r="CS290" s="26"/>
      <c r="CT290" s="26"/>
      <c r="CU290" s="398"/>
      <c r="CV290" s="26"/>
      <c r="CW290" s="398"/>
      <c r="CX290" s="398">
        <v>0</v>
      </c>
      <c r="CY290" s="26">
        <f>SUM(CY288:CY289)</f>
        <v>1201</v>
      </c>
      <c r="CZ290" s="26">
        <f t="shared" ref="CZ290:DC290" si="599">SUM(CZ288:CZ289)</f>
        <v>1201</v>
      </c>
      <c r="DA290" s="26">
        <f t="shared" si="599"/>
        <v>1201</v>
      </c>
      <c r="DB290" s="26">
        <f t="shared" si="599"/>
        <v>1201</v>
      </c>
      <c r="DC290" s="26">
        <f t="shared" si="599"/>
        <v>1201</v>
      </c>
    </row>
    <row r="291" spans="1:107">
      <c r="B291" s="876" t="s">
        <v>262</v>
      </c>
      <c r="C291" s="15"/>
      <c r="D291" s="15"/>
      <c r="E291" s="15"/>
      <c r="F291" s="15"/>
      <c r="G291" s="15"/>
      <c r="H291" s="15"/>
      <c r="I291" s="15"/>
      <c r="J291" s="15"/>
      <c r="K291" s="783"/>
      <c r="L291" s="1004"/>
      <c r="M291" s="1004"/>
      <c r="N291" s="1004"/>
      <c r="O291" s="1004"/>
      <c r="P291" s="1004"/>
      <c r="Q291" s="1004"/>
      <c r="R291" s="1004"/>
      <c r="S291" s="1004"/>
      <c r="T291" s="1004"/>
      <c r="U291" s="1004"/>
      <c r="V291" s="1004"/>
      <c r="W291" s="1004"/>
      <c r="X291" s="1004"/>
      <c r="Y291" s="1004"/>
      <c r="Z291" s="1004"/>
      <c r="AA291" s="1004"/>
      <c r="AB291" s="1004"/>
      <c r="AC291" s="1004"/>
      <c r="AD291" s="1004"/>
      <c r="AE291" s="15"/>
      <c r="AF291" s="15"/>
      <c r="AG291" s="15"/>
      <c r="AH291" s="15"/>
      <c r="AI291" s="15"/>
      <c r="AJ291" s="15"/>
      <c r="AK291" s="15"/>
      <c r="AL291" s="15"/>
      <c r="AM291" s="15"/>
      <c r="AN291" s="15"/>
      <c r="AO291" s="15"/>
      <c r="AP291" s="15"/>
      <c r="AQ291" s="15"/>
      <c r="AR291" s="15"/>
      <c r="AS291" s="15"/>
      <c r="AT291" s="15"/>
      <c r="AU291" s="15"/>
      <c r="AV291" s="15"/>
      <c r="AW291" s="15"/>
      <c r="AX291" s="15"/>
      <c r="AY291" s="15"/>
      <c r="AZ291" s="15"/>
      <c r="BA291" s="15"/>
      <c r="BB291" s="15"/>
      <c r="BC291" s="980"/>
      <c r="BD291" s="1004"/>
      <c r="BE291" s="1004"/>
      <c r="BF291" s="1004"/>
      <c r="BG291" s="1004"/>
      <c r="BH291" s="1004"/>
      <c r="BI291" s="1004"/>
      <c r="BJ291" s="1004"/>
      <c r="BK291" s="1004"/>
      <c r="BL291" s="1004"/>
      <c r="BM291" s="1004"/>
      <c r="BN291" s="1004"/>
      <c r="BO291" s="1004"/>
      <c r="BP291" s="1004"/>
      <c r="BQ291" s="1004"/>
      <c r="BR291" s="1004"/>
      <c r="BS291" s="1010"/>
      <c r="BT291" s="398"/>
      <c r="BU291" s="398"/>
      <c r="BV291" s="398"/>
      <c r="BW291" s="398"/>
      <c r="BX291" s="1004"/>
      <c r="BY291" s="1004"/>
      <c r="BZ291" s="1004"/>
      <c r="CA291" s="1004"/>
      <c r="CB291" s="1004"/>
      <c r="CC291" s="1004"/>
      <c r="CD291" s="1004"/>
      <c r="CE291" s="1004"/>
      <c r="CF291" s="1004"/>
      <c r="CG291" s="1004"/>
      <c r="CH291" s="1004"/>
      <c r="CI291" s="1004"/>
      <c r="CJ291" s="1004"/>
      <c r="CK291" s="1004"/>
      <c r="CL291" s="1004"/>
      <c r="CM291" s="1004"/>
      <c r="CN291" s="1004"/>
      <c r="CO291" s="1004"/>
      <c r="CP291" s="1004"/>
      <c r="CQ291" s="1004"/>
      <c r="CR291" s="1004"/>
      <c r="CS291" s="1004"/>
      <c r="CT291" s="1004"/>
      <c r="CU291" s="1004"/>
      <c r="CV291" s="1004"/>
      <c r="CW291" s="1004"/>
      <c r="CX291" s="1004"/>
      <c r="CY291" s="1004"/>
      <c r="CZ291" s="1004"/>
      <c r="DA291" s="1004"/>
      <c r="DB291" s="1004"/>
      <c r="DC291" s="1004"/>
    </row>
    <row r="292" spans="1:107">
      <c r="CQ292" s="81"/>
    </row>
    <row r="293" spans="1:107">
      <c r="B293" s="89" t="s">
        <v>2493</v>
      </c>
      <c r="C293" s="132"/>
      <c r="D293" s="132"/>
      <c r="E293" s="132"/>
      <c r="F293" s="132"/>
      <c r="G293" s="132"/>
      <c r="H293" s="132"/>
      <c r="I293" s="132"/>
      <c r="J293" s="132"/>
      <c r="K293" s="132"/>
      <c r="L293" s="132"/>
      <c r="M293" s="132"/>
      <c r="N293" s="132"/>
      <c r="O293" s="132"/>
      <c r="P293" s="132"/>
      <c r="Q293" s="132"/>
      <c r="R293" s="132"/>
      <c r="S293" s="132"/>
      <c r="T293" s="132"/>
      <c r="U293" s="132"/>
      <c r="V293" s="132"/>
      <c r="W293" s="132"/>
      <c r="X293" s="132"/>
      <c r="Y293" s="132"/>
      <c r="Z293" s="132"/>
      <c r="AA293" s="132"/>
      <c r="AB293" s="132"/>
      <c r="AC293" s="132"/>
      <c r="AD293" s="132"/>
      <c r="AE293" s="15"/>
      <c r="AF293" s="132"/>
      <c r="AG293" s="132"/>
      <c r="AH293" s="132"/>
      <c r="AI293" s="132"/>
      <c r="AJ293" s="132"/>
      <c r="AK293" s="132"/>
      <c r="AL293" s="132"/>
      <c r="AM293" s="132"/>
      <c r="AN293" s="132"/>
      <c r="AO293" s="132"/>
      <c r="AP293" s="132"/>
      <c r="AQ293" s="132"/>
      <c r="AR293" s="132"/>
      <c r="AS293" s="132"/>
      <c r="AT293" s="132"/>
      <c r="AU293" s="132"/>
      <c r="AV293" s="132"/>
      <c r="AW293" s="132"/>
      <c r="AX293" s="132"/>
      <c r="AY293" s="132"/>
      <c r="AZ293" s="132"/>
      <c r="BA293" s="132"/>
      <c r="BB293" s="132"/>
      <c r="BC293" s="132"/>
      <c r="BD293" s="132"/>
      <c r="BE293" s="132"/>
      <c r="BF293" s="132"/>
      <c r="BG293" s="132"/>
      <c r="BH293" s="132"/>
      <c r="BI293" s="132"/>
      <c r="BJ293" s="132"/>
      <c r="BK293" s="132"/>
      <c r="BL293" s="132"/>
      <c r="BM293" s="132"/>
      <c r="BN293" s="132"/>
      <c r="BO293" s="132"/>
      <c r="BP293" s="132"/>
      <c r="BQ293" s="132"/>
      <c r="BR293" s="132"/>
      <c r="BS293" s="132"/>
      <c r="BT293" s="132"/>
      <c r="BU293" s="132"/>
      <c r="BV293" s="132"/>
      <c r="BW293" s="132"/>
      <c r="BX293" s="132"/>
      <c r="BY293" s="132"/>
      <c r="BZ293" s="132"/>
      <c r="CA293" s="132"/>
      <c r="CB293" s="132"/>
      <c r="CC293" s="132"/>
      <c r="CD293" s="132"/>
      <c r="CE293" s="132"/>
      <c r="CF293" s="132"/>
      <c r="CG293" s="132"/>
      <c r="CH293" s="132"/>
      <c r="CI293" s="132"/>
      <c r="CJ293" s="132"/>
      <c r="CK293" s="132"/>
      <c r="CL293" s="132"/>
      <c r="CM293" s="132"/>
      <c r="CN293" s="132"/>
      <c r="CO293" s="132"/>
      <c r="CP293" s="132"/>
      <c r="CQ293" s="132"/>
      <c r="CR293" s="132"/>
      <c r="CS293" s="132"/>
      <c r="CT293" s="132"/>
      <c r="CU293" s="132"/>
      <c r="CV293" s="132"/>
      <c r="CW293" s="132"/>
      <c r="CX293" s="132"/>
      <c r="CY293" s="132"/>
      <c r="CZ293" s="132"/>
      <c r="DA293" s="132"/>
      <c r="DB293" s="132"/>
      <c r="DC293" s="132"/>
    </row>
    <row r="294" spans="1:107">
      <c r="A294" s="1163"/>
      <c r="B294" s="876" t="s">
        <v>1118</v>
      </c>
      <c r="C294" s="15"/>
      <c r="D294" s="15"/>
      <c r="E294" s="15"/>
      <c r="F294" s="15"/>
      <c r="G294" s="15"/>
      <c r="H294" s="15"/>
      <c r="I294" s="15"/>
      <c r="J294" s="26"/>
      <c r="K294" s="54"/>
      <c r="L294" s="26"/>
      <c r="M294" s="26"/>
      <c r="N294" s="26"/>
      <c r="O294" s="26"/>
      <c r="P294" s="26">
        <f t="shared" ref="P294:Z294" si="600">O296</f>
        <v>0</v>
      </c>
      <c r="Q294" s="26">
        <f t="shared" si="600"/>
        <v>0</v>
      </c>
      <c r="R294" s="26">
        <f t="shared" si="600"/>
        <v>0</v>
      </c>
      <c r="S294" s="26">
        <f t="shared" si="600"/>
        <v>0</v>
      </c>
      <c r="T294" s="26">
        <f t="shared" si="600"/>
        <v>0</v>
      </c>
      <c r="U294" s="26">
        <f t="shared" si="600"/>
        <v>326.31600000000003</v>
      </c>
      <c r="V294" s="26">
        <f t="shared" si="600"/>
        <v>0.69400000000001683</v>
      </c>
      <c r="W294" s="26">
        <f t="shared" si="600"/>
        <v>0.69400000000001683</v>
      </c>
      <c r="X294" s="26">
        <f t="shared" si="600"/>
        <v>0.69400000000001683</v>
      </c>
      <c r="Y294" s="26">
        <f t="shared" si="600"/>
        <v>0.69400000000001683</v>
      </c>
      <c r="Z294" s="26">
        <f t="shared" si="600"/>
        <v>0.69400000000001683</v>
      </c>
      <c r="AA294" s="26">
        <f t="shared" ref="AA294" si="601">Z296</f>
        <v>0.69400000000001683</v>
      </c>
      <c r="AB294" s="26">
        <f t="shared" ref="AB294" si="602">AA296</f>
        <v>0.69400000000001683</v>
      </c>
      <c r="AC294" s="26">
        <f t="shared" ref="AC294" si="603">AB296</f>
        <v>0.69400000000001683</v>
      </c>
      <c r="AD294" s="26">
        <f t="shared" ref="AD294" si="604">AC296</f>
        <v>0.69400000000001683</v>
      </c>
      <c r="AE294" s="15"/>
      <c r="AF294" s="26"/>
      <c r="AG294" s="26"/>
      <c r="AH294" s="26"/>
      <c r="AI294" s="26"/>
      <c r="AJ294" s="26"/>
      <c r="AK294" s="26"/>
      <c r="AL294" s="26"/>
      <c r="AM294" s="26"/>
      <c r="AN294" s="26"/>
      <c r="AO294" s="26"/>
      <c r="AP294" s="26"/>
      <c r="AQ294" s="26"/>
      <c r="AR294" s="26"/>
      <c r="AS294" s="26"/>
      <c r="AT294" s="26"/>
      <c r="AU294" s="26"/>
      <c r="AV294" s="26"/>
      <c r="AW294" s="26"/>
      <c r="AX294" s="26"/>
      <c r="AY294" s="26"/>
      <c r="AZ294" s="26"/>
      <c r="BA294" s="26"/>
      <c r="BB294" s="26"/>
      <c r="BC294" s="26"/>
      <c r="BD294" s="26"/>
      <c r="BE294" s="26"/>
      <c r="BF294" s="26"/>
      <c r="BG294" s="26"/>
      <c r="BH294" s="26"/>
      <c r="BI294" s="26"/>
      <c r="BJ294" s="26"/>
      <c r="BK294" s="26"/>
      <c r="BL294" s="26"/>
      <c r="BM294" s="26"/>
      <c r="BN294" s="26"/>
      <c r="BO294" s="26"/>
      <c r="BP294" s="26"/>
      <c r="BQ294" s="26"/>
      <c r="BR294" s="783"/>
      <c r="BS294" s="783"/>
      <c r="BT294" s="26"/>
      <c r="BU294" s="26"/>
      <c r="BV294" s="26"/>
      <c r="BW294" s="26"/>
      <c r="BX294" s="26"/>
      <c r="BY294" s="26"/>
      <c r="BZ294" s="26"/>
      <c r="CA294" s="26"/>
      <c r="CB294" s="26"/>
      <c r="CC294" s="26"/>
      <c r="CD294" s="26"/>
      <c r="CE294" s="26"/>
      <c r="CF294" s="26"/>
      <c r="CG294" s="26"/>
      <c r="CH294" s="26"/>
      <c r="CI294" s="26"/>
      <c r="CJ294" s="26"/>
      <c r="CK294" s="26"/>
      <c r="CL294" s="26"/>
      <c r="CM294" s="26"/>
      <c r="CN294" s="26"/>
      <c r="CO294" s="26"/>
      <c r="CP294" s="26"/>
      <c r="CQ294" s="26">
        <f t="shared" ref="CQ294:CY294" si="605">CP296</f>
        <v>0</v>
      </c>
      <c r="CR294" s="26">
        <f t="shared" si="605"/>
        <v>326.31600000000003</v>
      </c>
      <c r="CS294" s="26">
        <f t="shared" si="605"/>
        <v>0</v>
      </c>
      <c r="CT294" s="26">
        <f t="shared" si="605"/>
        <v>0</v>
      </c>
      <c r="CU294" s="26">
        <f t="shared" si="605"/>
        <v>0</v>
      </c>
      <c r="CV294" s="26">
        <f t="shared" si="605"/>
        <v>0</v>
      </c>
      <c r="CW294" s="26">
        <f t="shared" si="605"/>
        <v>0</v>
      </c>
      <c r="CX294" s="26">
        <f t="shared" si="605"/>
        <v>0</v>
      </c>
      <c r="CY294" s="26">
        <f t="shared" si="605"/>
        <v>0</v>
      </c>
      <c r="CZ294" s="26">
        <f t="shared" ref="CZ294" si="606">CY296</f>
        <v>0</v>
      </c>
      <c r="DA294" s="26">
        <f t="shared" ref="DA294" si="607">CZ296</f>
        <v>0</v>
      </c>
      <c r="DB294" s="26">
        <f t="shared" ref="DB294" si="608">DA296</f>
        <v>0</v>
      </c>
      <c r="DC294" s="26">
        <f t="shared" ref="DC294" si="609">DB296</f>
        <v>0</v>
      </c>
    </row>
    <row r="295" spans="1:107">
      <c r="A295" s="1163"/>
      <c r="B295" s="876" t="s">
        <v>1121</v>
      </c>
      <c r="C295" s="15"/>
      <c r="D295" s="15"/>
      <c r="E295" s="15"/>
      <c r="F295" s="15"/>
      <c r="G295" s="15"/>
      <c r="H295" s="15"/>
      <c r="I295" s="15"/>
      <c r="J295" s="26"/>
      <c r="K295" s="54"/>
      <c r="L295" s="26"/>
      <c r="M295" s="26"/>
      <c r="N295" s="26"/>
      <c r="O295" s="26"/>
      <c r="P295" s="26">
        <f>P296-P294</f>
        <v>0</v>
      </c>
      <c r="Q295" s="26">
        <f>Q296-Q294</f>
        <v>0</v>
      </c>
      <c r="R295" s="26">
        <f>R296-R294</f>
        <v>0</v>
      </c>
      <c r="S295" s="26">
        <f>S296-S294</f>
        <v>0</v>
      </c>
      <c r="T295" s="26">
        <f>T296-T294</f>
        <v>326.31600000000003</v>
      </c>
      <c r="U295" s="26">
        <f>+SUM(CR295:CU295)</f>
        <v>-325.62200000000001</v>
      </c>
      <c r="V295" s="26">
        <f>+SUM(CV295:CY295)</f>
        <v>0</v>
      </c>
      <c r="W295" s="26">
        <f>+SUM(CZ295:DC295)</f>
        <v>0</v>
      </c>
      <c r="X295" s="26">
        <v>0</v>
      </c>
      <c r="Y295" s="26">
        <v>0</v>
      </c>
      <c r="Z295" s="26">
        <v>0</v>
      </c>
      <c r="AA295" s="26">
        <v>0</v>
      </c>
      <c r="AB295" s="26">
        <v>0</v>
      </c>
      <c r="AC295" s="26">
        <v>0</v>
      </c>
      <c r="AD295" s="26">
        <v>0</v>
      </c>
      <c r="AE295" s="15"/>
      <c r="AF295" s="15"/>
      <c r="AG295" s="15"/>
      <c r="AH295" s="15"/>
      <c r="AI295" s="15"/>
      <c r="AJ295" s="15"/>
      <c r="AK295" s="15"/>
      <c r="AL295" s="15"/>
      <c r="AM295" s="15"/>
      <c r="AN295" s="15"/>
      <c r="AO295" s="15"/>
      <c r="AP295" s="15"/>
      <c r="AQ295" s="15"/>
      <c r="AR295" s="15"/>
      <c r="AS295" s="15"/>
      <c r="AT295" s="15"/>
      <c r="AU295" s="15"/>
      <c r="AV295" s="15"/>
      <c r="AW295" s="15"/>
      <c r="AX295" s="15"/>
      <c r="AY295" s="15"/>
      <c r="AZ295" s="15"/>
      <c r="BA295" s="15"/>
      <c r="BB295" s="15"/>
      <c r="BC295" s="15"/>
      <c r="BD295" s="15"/>
      <c r="BE295" s="15"/>
      <c r="BF295" s="15"/>
      <c r="BG295" s="15"/>
      <c r="BH295" s="15"/>
      <c r="BI295" s="15"/>
      <c r="BJ295" s="15"/>
      <c r="BK295" s="15"/>
      <c r="BL295" s="26"/>
      <c r="BM295" s="26"/>
      <c r="BN295" s="26"/>
      <c r="BO295" s="26"/>
      <c r="BP295" s="26"/>
      <c r="BQ295" s="26"/>
      <c r="BR295" s="783"/>
      <c r="BS295" s="783"/>
      <c r="BT295" s="26"/>
      <c r="BU295" s="398"/>
      <c r="BV295" s="398"/>
      <c r="BW295" s="398"/>
      <c r="BX295" s="398"/>
      <c r="BY295" s="26"/>
      <c r="BZ295" s="26"/>
      <c r="CA295" s="26"/>
      <c r="CB295" s="26"/>
      <c r="CC295" s="26"/>
      <c r="CD295" s="26"/>
      <c r="CE295" s="26"/>
      <c r="CF295" s="398"/>
      <c r="CG295" s="26"/>
      <c r="CH295" s="26"/>
      <c r="CI295" s="26"/>
      <c r="CJ295" s="26"/>
      <c r="CK295" s="26"/>
      <c r="CL295" s="26"/>
      <c r="CM295" s="398"/>
      <c r="CN295" s="26"/>
      <c r="CO295" s="26"/>
      <c r="CP295" s="398"/>
      <c r="CQ295" s="398">
        <f>325.622+0.694</f>
        <v>326.31600000000003</v>
      </c>
      <c r="CR295" s="398">
        <f>-CQ297</f>
        <v>-325.62200000000001</v>
      </c>
      <c r="CS295" s="398">
        <v>0</v>
      </c>
      <c r="CT295" s="26">
        <v>0</v>
      </c>
      <c r="CU295" s="26">
        <v>0</v>
      </c>
      <c r="CV295" s="26">
        <v>0</v>
      </c>
      <c r="CW295" s="26">
        <v>0</v>
      </c>
      <c r="CX295" s="26">
        <v>0</v>
      </c>
      <c r="CY295" s="26">
        <v>0</v>
      </c>
      <c r="CZ295" s="26">
        <v>0</v>
      </c>
      <c r="DA295" s="26">
        <v>0</v>
      </c>
      <c r="DB295" s="26">
        <v>0</v>
      </c>
      <c r="DC295" s="26">
        <v>0</v>
      </c>
    </row>
    <row r="296" spans="1:107">
      <c r="A296" s="1163"/>
      <c r="B296" s="876" t="s">
        <v>261</v>
      </c>
      <c r="C296" s="15"/>
      <c r="D296" s="15"/>
      <c r="E296" s="15"/>
      <c r="F296" s="15"/>
      <c r="G296" s="15"/>
      <c r="H296" s="15"/>
      <c r="I296" s="15"/>
      <c r="J296" s="26"/>
      <c r="K296" s="54"/>
      <c r="L296" s="26"/>
      <c r="M296" s="26"/>
      <c r="N296" s="26"/>
      <c r="O296" s="26">
        <f>BW296</f>
        <v>0</v>
      </c>
      <c r="P296" s="26">
        <f>CA296</f>
        <v>0</v>
      </c>
      <c r="Q296" s="26">
        <f>CE296</f>
        <v>0</v>
      </c>
      <c r="R296" s="26">
        <f>CI296</f>
        <v>0</v>
      </c>
      <c r="S296" s="26">
        <f>CM296</f>
        <v>0</v>
      </c>
      <c r="T296" s="26">
        <f>CQ296</f>
        <v>326.31600000000003</v>
      </c>
      <c r="U296" s="26">
        <f t="shared" ref="U296:Z296" si="610">SUM(U294:U295)</f>
        <v>0.69400000000001683</v>
      </c>
      <c r="V296" s="26">
        <f>SUM(V294:V295)</f>
        <v>0.69400000000001683</v>
      </c>
      <c r="W296" s="26">
        <f>SUM(W294:W295)</f>
        <v>0.69400000000001683</v>
      </c>
      <c r="X296" s="26">
        <f t="shared" si="610"/>
        <v>0.69400000000001683</v>
      </c>
      <c r="Y296" s="26">
        <f t="shared" si="610"/>
        <v>0.69400000000001683</v>
      </c>
      <c r="Z296" s="26">
        <f t="shared" si="610"/>
        <v>0.69400000000001683</v>
      </c>
      <c r="AA296" s="26">
        <f t="shared" ref="AA296:AD296" si="611">SUM(AA294:AA295)</f>
        <v>0.69400000000001683</v>
      </c>
      <c r="AB296" s="26">
        <f t="shared" si="611"/>
        <v>0.69400000000001683</v>
      </c>
      <c r="AC296" s="26">
        <f t="shared" si="611"/>
        <v>0.69400000000001683</v>
      </c>
      <c r="AD296" s="26">
        <f t="shared" si="611"/>
        <v>0.69400000000001683</v>
      </c>
      <c r="AE296" s="15"/>
      <c r="AF296" s="15"/>
      <c r="AG296" s="15"/>
      <c r="AH296" s="15"/>
      <c r="AI296" s="15"/>
      <c r="AJ296" s="15"/>
      <c r="AK296" s="15"/>
      <c r="AL296" s="15"/>
      <c r="AM296" s="15"/>
      <c r="AN296" s="15"/>
      <c r="AO296" s="15"/>
      <c r="AP296" s="15"/>
      <c r="AQ296" s="15"/>
      <c r="AR296" s="15"/>
      <c r="AS296" s="15"/>
      <c r="AT296" s="15"/>
      <c r="AU296" s="15"/>
      <c r="AV296" s="15"/>
      <c r="AW296" s="15"/>
      <c r="AX296" s="15"/>
      <c r="AY296" s="15"/>
      <c r="AZ296" s="15"/>
      <c r="BA296" s="15"/>
      <c r="BB296" s="15"/>
      <c r="BC296" s="15"/>
      <c r="BD296" s="15"/>
      <c r="BE296" s="15"/>
      <c r="BF296" s="15"/>
      <c r="BG296" s="15"/>
      <c r="BH296" s="15"/>
      <c r="BI296" s="15"/>
      <c r="BJ296" s="15"/>
      <c r="BK296" s="15"/>
      <c r="BL296" s="26"/>
      <c r="BM296" s="26"/>
      <c r="BN296" s="26"/>
      <c r="BO296" s="26"/>
      <c r="BP296" s="26"/>
      <c r="BQ296" s="26"/>
      <c r="BR296" s="783"/>
      <c r="BS296" s="783"/>
      <c r="BT296" s="814"/>
      <c r="BU296" s="26"/>
      <c r="BV296" s="26"/>
      <c r="BW296" s="26"/>
      <c r="BX296" s="26"/>
      <c r="BY296" s="26"/>
      <c r="BZ296" s="814"/>
      <c r="CA296" s="814"/>
      <c r="CB296" s="814"/>
      <c r="CC296" s="26"/>
      <c r="CD296" s="26"/>
      <c r="CE296" s="26"/>
      <c r="CF296" s="26"/>
      <c r="CG296" s="26"/>
      <c r="CH296" s="26"/>
      <c r="CI296" s="26"/>
      <c r="CJ296" s="26"/>
      <c r="CK296" s="26"/>
      <c r="CL296" s="26"/>
      <c r="CM296" s="26"/>
      <c r="CN296" s="26"/>
      <c r="CO296" s="26"/>
      <c r="CP296" s="2122"/>
      <c r="CQ296" s="26">
        <f>SUM(CQ294:CQ295)</f>
        <v>326.31600000000003</v>
      </c>
      <c r="CR296" s="398">
        <v>0</v>
      </c>
      <c r="CS296" s="26">
        <f t="shared" ref="CS296:CY296" si="612">SUM(CS294:CS295)</f>
        <v>0</v>
      </c>
      <c r="CT296" s="26">
        <f t="shared" si="612"/>
        <v>0</v>
      </c>
      <c r="CU296" s="26">
        <f>SUM(CU294:CU295)</f>
        <v>0</v>
      </c>
      <c r="CV296" s="26">
        <f t="shared" si="612"/>
        <v>0</v>
      </c>
      <c r="CW296" s="26">
        <f t="shared" si="612"/>
        <v>0</v>
      </c>
      <c r="CX296" s="26">
        <f t="shared" si="612"/>
        <v>0</v>
      </c>
      <c r="CY296" s="26">
        <f t="shared" si="612"/>
        <v>0</v>
      </c>
      <c r="CZ296" s="26">
        <f t="shared" ref="CZ296:DC296" si="613">SUM(CZ294:CZ295)</f>
        <v>0</v>
      </c>
      <c r="DA296" s="26">
        <f t="shared" si="613"/>
        <v>0</v>
      </c>
      <c r="DB296" s="26">
        <f t="shared" si="613"/>
        <v>0</v>
      </c>
      <c r="DC296" s="26">
        <f t="shared" si="613"/>
        <v>0</v>
      </c>
    </row>
    <row r="297" spans="1:107">
      <c r="A297" s="1163"/>
      <c r="B297" s="876" t="s">
        <v>262</v>
      </c>
      <c r="C297" s="15"/>
      <c r="D297" s="15"/>
      <c r="E297" s="15"/>
      <c r="F297" s="15"/>
      <c r="G297" s="15"/>
      <c r="H297" s="15"/>
      <c r="I297" s="15"/>
      <c r="J297" s="15"/>
      <c r="K297" s="783"/>
      <c r="L297" s="1004"/>
      <c r="M297" s="1004"/>
      <c r="N297" s="1004"/>
      <c r="O297" s="1004"/>
      <c r="P297" s="1004"/>
      <c r="Q297" s="1004"/>
      <c r="R297" s="1004"/>
      <c r="S297" s="1004"/>
      <c r="T297" s="26">
        <f>+CQ297</f>
        <v>325.62200000000001</v>
      </c>
      <c r="U297" s="26">
        <f>+CU297</f>
        <v>0</v>
      </c>
      <c r="V297" s="26">
        <f>+CY297</f>
        <v>0</v>
      </c>
      <c r="W297" s="26">
        <f>+DC297</f>
        <v>0</v>
      </c>
      <c r="X297" s="26">
        <f>+W297</f>
        <v>0</v>
      </c>
      <c r="Y297" s="26">
        <f>+X297</f>
        <v>0</v>
      </c>
      <c r="Z297" s="26">
        <f>+Y297</f>
        <v>0</v>
      </c>
      <c r="AA297" s="26">
        <f t="shared" ref="AA297:AD297" si="614">+Z297</f>
        <v>0</v>
      </c>
      <c r="AB297" s="26">
        <f t="shared" si="614"/>
        <v>0</v>
      </c>
      <c r="AC297" s="26">
        <f t="shared" si="614"/>
        <v>0</v>
      </c>
      <c r="AD297" s="26">
        <f t="shared" si="614"/>
        <v>0</v>
      </c>
      <c r="AE297" s="15"/>
      <c r="AF297" s="15"/>
      <c r="AG297" s="15"/>
      <c r="AH297" s="15"/>
      <c r="AI297" s="15"/>
      <c r="AJ297" s="15"/>
      <c r="AK297" s="15"/>
      <c r="AL297" s="15"/>
      <c r="AM297" s="15"/>
      <c r="AN297" s="15"/>
      <c r="AO297" s="15"/>
      <c r="AP297" s="15"/>
      <c r="AQ297" s="15"/>
      <c r="AR297" s="15"/>
      <c r="AS297" s="15"/>
      <c r="AT297" s="15"/>
      <c r="AU297" s="15"/>
      <c r="AV297" s="15"/>
      <c r="AW297" s="15"/>
      <c r="AX297" s="15"/>
      <c r="AY297" s="15"/>
      <c r="AZ297" s="15"/>
      <c r="BA297" s="15"/>
      <c r="BB297" s="15"/>
      <c r="BC297" s="980"/>
      <c r="BD297" s="1004"/>
      <c r="BE297" s="1004"/>
      <c r="BF297" s="1004"/>
      <c r="BG297" s="1004"/>
      <c r="BH297" s="1004"/>
      <c r="BI297" s="1004"/>
      <c r="BJ297" s="1004"/>
      <c r="BK297" s="1004"/>
      <c r="BL297" s="1004"/>
      <c r="BM297" s="1004"/>
      <c r="BN297" s="1004"/>
      <c r="BO297" s="1004"/>
      <c r="BP297" s="1004"/>
      <c r="BQ297" s="1004"/>
      <c r="BR297" s="1004"/>
      <c r="BS297" s="1010"/>
      <c r="BT297" s="398"/>
      <c r="BU297" s="398"/>
      <c r="BV297" s="398"/>
      <c r="BW297" s="398"/>
      <c r="BX297" s="1004"/>
      <c r="BY297" s="1004"/>
      <c r="BZ297" s="1004"/>
      <c r="CA297" s="1004"/>
      <c r="CB297" s="1004"/>
      <c r="CC297" s="1004"/>
      <c r="CD297" s="1004"/>
      <c r="CE297" s="1004"/>
      <c r="CF297" s="1004"/>
      <c r="CG297" s="1004"/>
      <c r="CH297" s="1004"/>
      <c r="CI297" s="1004"/>
      <c r="CJ297" s="1004"/>
      <c r="CK297" s="1004"/>
      <c r="CL297" s="1004"/>
      <c r="CM297" s="1004"/>
      <c r="CN297" s="1004"/>
      <c r="CO297" s="1004"/>
      <c r="CP297" s="1004"/>
      <c r="CQ297" s="398">
        <v>325.62200000000001</v>
      </c>
      <c r="CR297" s="26">
        <f>+CQ297+CR295</f>
        <v>0</v>
      </c>
      <c r="CS297" s="26">
        <f t="shared" ref="CS297:CY297" si="615">+CR297</f>
        <v>0</v>
      </c>
      <c r="CT297" s="26">
        <f t="shared" si="615"/>
        <v>0</v>
      </c>
      <c r="CU297" s="26">
        <f t="shared" si="615"/>
        <v>0</v>
      </c>
      <c r="CV297" s="26">
        <f t="shared" si="615"/>
        <v>0</v>
      </c>
      <c r="CW297" s="26">
        <f t="shared" si="615"/>
        <v>0</v>
      </c>
      <c r="CX297" s="26">
        <f t="shared" si="615"/>
        <v>0</v>
      </c>
      <c r="CY297" s="26">
        <f t="shared" si="615"/>
        <v>0</v>
      </c>
      <c r="CZ297" s="26">
        <f t="shared" ref="CZ297" si="616">+CY297</f>
        <v>0</v>
      </c>
      <c r="DA297" s="26">
        <f t="shared" ref="DA297" si="617">+CZ297</f>
        <v>0</v>
      </c>
      <c r="DB297" s="26">
        <f t="shared" ref="DB297" si="618">+DA297</f>
        <v>0</v>
      </c>
      <c r="DC297" s="26">
        <f t="shared" ref="DC297" si="619">+DB297</f>
        <v>0</v>
      </c>
    </row>
    <row r="299" spans="1:107">
      <c r="A299" s="15"/>
      <c r="B299" s="1586" t="s">
        <v>100</v>
      </c>
      <c r="C299" s="132"/>
      <c r="D299" s="132"/>
      <c r="E299" s="132"/>
      <c r="F299" s="132"/>
      <c r="G299" s="132"/>
      <c r="H299" s="132"/>
      <c r="I299" s="132"/>
      <c r="J299" s="132"/>
      <c r="K299" s="132"/>
      <c r="L299" s="132"/>
      <c r="M299" s="132"/>
      <c r="N299" s="132"/>
      <c r="O299" s="132"/>
      <c r="P299" s="132"/>
      <c r="Q299" s="132"/>
      <c r="R299" s="132"/>
      <c r="S299" s="132"/>
      <c r="T299" s="132"/>
      <c r="U299" s="132"/>
      <c r="V299" s="132"/>
      <c r="W299" s="132"/>
      <c r="X299" s="132"/>
      <c r="Y299" s="132"/>
      <c r="Z299" s="132"/>
      <c r="AA299" s="132"/>
      <c r="AB299" s="132"/>
      <c r="AC299" s="132"/>
      <c r="AD299" s="132"/>
      <c r="AE299" s="15"/>
      <c r="AF299" s="132"/>
      <c r="AG299" s="132"/>
      <c r="AH299" s="132"/>
      <c r="AI299" s="132"/>
      <c r="AJ299" s="132"/>
      <c r="AK299" s="132"/>
      <c r="AL299" s="132"/>
      <c r="AM299" s="132"/>
      <c r="AN299" s="132"/>
      <c r="AO299" s="132"/>
      <c r="AP299" s="132"/>
      <c r="AQ299" s="132"/>
      <c r="AR299" s="132"/>
      <c r="AS299" s="132"/>
      <c r="AT299" s="132"/>
      <c r="AU299" s="132"/>
      <c r="AV299" s="132"/>
      <c r="AW299" s="132"/>
      <c r="AX299" s="132"/>
      <c r="AY299" s="132"/>
      <c r="AZ299" s="132"/>
      <c r="BA299" s="132"/>
      <c r="BB299" s="132"/>
      <c r="BC299" s="132"/>
      <c r="BD299" s="132"/>
      <c r="BE299" s="132"/>
      <c r="BF299" s="132"/>
      <c r="BG299" s="132"/>
      <c r="BH299" s="132"/>
      <c r="BI299" s="132"/>
      <c r="BJ299" s="132"/>
      <c r="BK299" s="132"/>
      <c r="BL299" s="132"/>
      <c r="BM299" s="132"/>
      <c r="BN299" s="132"/>
      <c r="BO299" s="132"/>
      <c r="BP299" s="132"/>
      <c r="BQ299" s="132"/>
      <c r="BR299" s="132"/>
      <c r="BS299" s="132"/>
      <c r="BT299" s="132"/>
      <c r="BU299" s="132"/>
      <c r="BV299" s="132"/>
      <c r="BW299" s="132"/>
      <c r="BX299" s="132"/>
      <c r="BY299" s="132"/>
      <c r="BZ299" s="132"/>
      <c r="CA299" s="132"/>
      <c r="CB299" s="132"/>
      <c r="CC299" s="132"/>
      <c r="CD299" s="132"/>
      <c r="CE299" s="132"/>
      <c r="CF299" s="132"/>
      <c r="CG299" s="132"/>
      <c r="CH299" s="132"/>
      <c r="CI299" s="132"/>
      <c r="CJ299" s="132"/>
      <c r="CK299" s="132"/>
      <c r="CL299" s="132"/>
      <c r="CM299" s="132"/>
      <c r="CN299" s="132"/>
      <c r="CO299" s="132"/>
      <c r="CP299" s="132"/>
      <c r="CQ299" s="132"/>
      <c r="CR299" s="132"/>
      <c r="CS299" s="132"/>
      <c r="CT299" s="132"/>
      <c r="CU299" s="132"/>
      <c r="CV299" s="132"/>
      <c r="CW299" s="132"/>
      <c r="CX299" s="132"/>
      <c r="CY299" s="132"/>
      <c r="CZ299" s="132"/>
      <c r="DA299" s="132"/>
      <c r="DB299" s="132"/>
      <c r="DC299" s="132"/>
    </row>
    <row r="300" spans="1:107">
      <c r="A300" s="15"/>
      <c r="B300" s="876" t="s">
        <v>1118</v>
      </c>
      <c r="C300" s="15"/>
      <c r="D300" s="15"/>
      <c r="E300" s="15"/>
      <c r="F300" s="15"/>
      <c r="G300" s="15"/>
      <c r="H300" s="15"/>
      <c r="I300" s="15"/>
      <c r="J300" s="26"/>
      <c r="K300" s="54"/>
      <c r="L300" s="26"/>
      <c r="M300" s="26"/>
      <c r="N300" s="26"/>
      <c r="O300" s="26"/>
      <c r="P300" s="26">
        <f t="shared" ref="P300:Z300" si="620">O302</f>
        <v>0</v>
      </c>
      <c r="Q300" s="26">
        <f t="shared" si="620"/>
        <v>0</v>
      </c>
      <c r="R300" s="26">
        <f t="shared" ca="1" si="620"/>
        <v>0</v>
      </c>
      <c r="S300" s="26">
        <f t="shared" ca="1" si="620"/>
        <v>0</v>
      </c>
      <c r="T300" s="26">
        <f t="shared" ca="1" si="620"/>
        <v>0</v>
      </c>
      <c r="U300" s="26">
        <f t="shared" ca="1" si="620"/>
        <v>0</v>
      </c>
      <c r="V300" s="26">
        <f t="shared" ca="1" si="620"/>
        <v>0</v>
      </c>
      <c r="W300" s="26">
        <f t="shared" ca="1" si="620"/>
        <v>0</v>
      </c>
      <c r="X300" s="26">
        <f t="shared" ca="1" si="620"/>
        <v>0</v>
      </c>
      <c r="Y300" s="26">
        <f t="shared" ca="1" si="620"/>
        <v>500</v>
      </c>
      <c r="Z300" s="26">
        <f t="shared" ca="1" si="620"/>
        <v>1000</v>
      </c>
      <c r="AA300" s="26">
        <f t="shared" ref="AA300" ca="1" si="621">Z302</f>
        <v>1500</v>
      </c>
      <c r="AB300" s="26">
        <f t="shared" ref="AB300" ca="1" si="622">AA302</f>
        <v>1500</v>
      </c>
      <c r="AC300" s="26">
        <f t="shared" ref="AC300" ca="1" si="623">AB302</f>
        <v>1500</v>
      </c>
      <c r="AD300" s="26">
        <f t="shared" ref="AD300" ca="1" si="624">AC302</f>
        <v>1500</v>
      </c>
      <c r="AE300" s="15"/>
      <c r="AF300" s="26"/>
      <c r="AG300" s="26"/>
      <c r="AH300" s="26"/>
      <c r="AI300" s="26"/>
      <c r="AJ300" s="26"/>
      <c r="AK300" s="26"/>
      <c r="AL300" s="26"/>
      <c r="AM300" s="26"/>
      <c r="AN300" s="26"/>
      <c r="AO300" s="26"/>
      <c r="AP300" s="26"/>
      <c r="AQ300" s="26"/>
      <c r="AR300" s="26"/>
      <c r="AS300" s="26"/>
      <c r="AT300" s="26"/>
      <c r="AU300" s="26"/>
      <c r="AV300" s="26"/>
      <c r="AW300" s="26"/>
      <c r="AX300" s="26"/>
      <c r="AY300" s="26"/>
      <c r="AZ300" s="26"/>
      <c r="BA300" s="26"/>
      <c r="BB300" s="26"/>
      <c r="BC300" s="26"/>
      <c r="BD300" s="26"/>
      <c r="BE300" s="26"/>
      <c r="BF300" s="26"/>
      <c r="BG300" s="26"/>
      <c r="BH300" s="26"/>
      <c r="BI300" s="26"/>
      <c r="BJ300" s="26"/>
      <c r="BK300" s="26"/>
      <c r="BL300" s="26"/>
      <c r="BM300" s="26"/>
      <c r="BN300" s="26"/>
      <c r="BO300" s="26"/>
      <c r="BP300" s="26"/>
      <c r="BQ300" s="26"/>
      <c r="BR300" s="783"/>
      <c r="BS300" s="783"/>
      <c r="BT300" s="26"/>
      <c r="BU300" s="26"/>
      <c r="BV300" s="26"/>
      <c r="BW300" s="26"/>
      <c r="BX300" s="26"/>
      <c r="BY300" s="26"/>
      <c r="BZ300" s="26"/>
      <c r="CA300" s="26"/>
      <c r="CB300" s="26"/>
      <c r="CC300" s="26">
        <f t="shared" ref="CC300:CU300" si="625">CB302</f>
        <v>0</v>
      </c>
      <c r="CD300" s="26">
        <f t="shared" ca="1" si="625"/>
        <v>0</v>
      </c>
      <c r="CE300" s="26">
        <f t="shared" ca="1" si="625"/>
        <v>0</v>
      </c>
      <c r="CF300" s="26">
        <f t="shared" ca="1" si="625"/>
        <v>0</v>
      </c>
      <c r="CG300" s="26">
        <f t="shared" ca="1" si="625"/>
        <v>0</v>
      </c>
      <c r="CH300" s="26">
        <f t="shared" ca="1" si="625"/>
        <v>0</v>
      </c>
      <c r="CI300" s="26">
        <f t="shared" ca="1" si="625"/>
        <v>0</v>
      </c>
      <c r="CJ300" s="26">
        <f t="shared" ca="1" si="625"/>
        <v>0</v>
      </c>
      <c r="CK300" s="26">
        <f t="shared" ca="1" si="625"/>
        <v>0</v>
      </c>
      <c r="CL300" s="26">
        <f t="shared" ca="1" si="625"/>
        <v>0</v>
      </c>
      <c r="CM300" s="26">
        <f t="shared" ca="1" si="625"/>
        <v>0</v>
      </c>
      <c r="CN300" s="26">
        <f t="shared" ca="1" si="625"/>
        <v>0</v>
      </c>
      <c r="CO300" s="26">
        <f t="shared" ca="1" si="625"/>
        <v>0</v>
      </c>
      <c r="CP300" s="26">
        <f t="shared" ca="1" si="625"/>
        <v>0</v>
      </c>
      <c r="CQ300" s="26">
        <f t="shared" ca="1" si="625"/>
        <v>0</v>
      </c>
      <c r="CR300" s="26">
        <f t="shared" ca="1" si="625"/>
        <v>0</v>
      </c>
      <c r="CS300" s="26">
        <f t="shared" ca="1" si="625"/>
        <v>0</v>
      </c>
      <c r="CT300" s="26">
        <f t="shared" ca="1" si="625"/>
        <v>0</v>
      </c>
      <c r="CU300" s="26">
        <f t="shared" ca="1" si="625"/>
        <v>0</v>
      </c>
      <c r="CV300" s="26">
        <f ca="1">CU302</f>
        <v>0</v>
      </c>
      <c r="CW300" s="26">
        <f ca="1">CV302</f>
        <v>0</v>
      </c>
      <c r="CX300" s="26">
        <f ca="1">CW302</f>
        <v>0</v>
      </c>
      <c r="CY300" s="26">
        <f ca="1">CX302</f>
        <v>0</v>
      </c>
      <c r="CZ300" s="26">
        <f t="shared" ref="CZ300:DC300" ca="1" si="626">CY302</f>
        <v>0</v>
      </c>
      <c r="DA300" s="26">
        <f t="shared" ca="1" si="626"/>
        <v>0</v>
      </c>
      <c r="DB300" s="26">
        <f t="shared" ca="1" si="626"/>
        <v>0</v>
      </c>
      <c r="DC300" s="26">
        <f t="shared" ca="1" si="626"/>
        <v>0</v>
      </c>
    </row>
    <row r="301" spans="1:107">
      <c r="A301" s="15"/>
      <c r="B301" s="876" t="s">
        <v>1121</v>
      </c>
      <c r="C301" s="15"/>
      <c r="D301" s="15"/>
      <c r="E301" s="15"/>
      <c r="F301" s="15"/>
      <c r="G301" s="15"/>
      <c r="H301" s="15"/>
      <c r="I301" s="15"/>
      <c r="J301" s="26"/>
      <c r="K301" s="54"/>
      <c r="L301" s="26"/>
      <c r="M301" s="26"/>
      <c r="N301" s="26"/>
      <c r="O301" s="26"/>
      <c r="P301" s="26">
        <f>P302-P300</f>
        <v>0</v>
      </c>
      <c r="Q301" s="26">
        <f ca="1">Q302-Q300</f>
        <v>0</v>
      </c>
      <c r="R301" s="26">
        <f ca="1">R302-R300</f>
        <v>0</v>
      </c>
      <c r="S301" s="26">
        <f ca="1">S302-S300</f>
        <v>0</v>
      </c>
      <c r="T301" s="26">
        <f ca="1">T302-T300</f>
        <v>0</v>
      </c>
      <c r="U301" s="26">
        <f ca="1">+SUM(CR301:CU301)</f>
        <v>0</v>
      </c>
      <c r="V301" s="26">
        <f ca="1">+SUM(CV301:CY301)</f>
        <v>0</v>
      </c>
      <c r="W301" s="26">
        <f ca="1">+SUM(CZ301:DC301)</f>
        <v>0</v>
      </c>
      <c r="X301" s="54">
        <f ca="1">+X304</f>
        <v>500</v>
      </c>
      <c r="Y301" s="54">
        <f ca="1">+Y304</f>
        <v>500</v>
      </c>
      <c r="Z301" s="54">
        <f ca="1">+Z304</f>
        <v>500</v>
      </c>
      <c r="AA301" s="54">
        <f t="shared" ref="AA301:AD301" ca="1" si="627">+AA304</f>
        <v>0</v>
      </c>
      <c r="AB301" s="54">
        <f t="shared" ca="1" si="627"/>
        <v>0</v>
      </c>
      <c r="AC301" s="54">
        <f t="shared" ca="1" si="627"/>
        <v>0</v>
      </c>
      <c r="AD301" s="54">
        <f t="shared" ca="1" si="627"/>
        <v>0</v>
      </c>
      <c r="AE301" s="15"/>
      <c r="AF301" s="15"/>
      <c r="AG301" s="15"/>
      <c r="AH301" s="15"/>
      <c r="AI301" s="15"/>
      <c r="AJ301" s="15"/>
      <c r="AK301" s="15"/>
      <c r="AL301" s="15"/>
      <c r="AM301" s="15"/>
      <c r="AN301" s="15"/>
      <c r="AO301" s="15"/>
      <c r="AP301" s="15"/>
      <c r="AQ301" s="15"/>
      <c r="AR301" s="15"/>
      <c r="AS301" s="15"/>
      <c r="AT301" s="15"/>
      <c r="AU301" s="15"/>
      <c r="AV301" s="15"/>
      <c r="AW301" s="15"/>
      <c r="AX301" s="15"/>
      <c r="AY301" s="15"/>
      <c r="AZ301" s="15"/>
      <c r="BA301" s="15"/>
      <c r="BB301" s="15"/>
      <c r="BC301" s="15"/>
      <c r="BD301" s="15"/>
      <c r="BE301" s="15"/>
      <c r="BF301" s="15"/>
      <c r="BG301" s="15"/>
      <c r="BH301" s="15"/>
      <c r="BI301" s="15"/>
      <c r="BJ301" s="15"/>
      <c r="BK301" s="15"/>
      <c r="BL301" s="26"/>
      <c r="BM301" s="26"/>
      <c r="BN301" s="26"/>
      <c r="BO301" s="26"/>
      <c r="BP301" s="26"/>
      <c r="BQ301" s="26"/>
      <c r="BR301" s="783"/>
      <c r="BS301" s="783"/>
      <c r="BT301" s="26"/>
      <c r="BU301" s="398"/>
      <c r="BV301" s="398"/>
      <c r="BW301" s="398"/>
      <c r="BX301" s="398"/>
      <c r="BY301" s="26"/>
      <c r="BZ301" s="26"/>
      <c r="CA301" s="26"/>
      <c r="CB301" s="26"/>
      <c r="CC301" s="54">
        <f t="shared" ref="CC301:CT301" ca="1" si="628">+CC304</f>
        <v>0</v>
      </c>
      <c r="CD301" s="54">
        <f t="shared" ca="1" si="628"/>
        <v>0</v>
      </c>
      <c r="CE301" s="54">
        <f t="shared" ca="1" si="628"/>
        <v>0</v>
      </c>
      <c r="CF301" s="54">
        <f t="shared" ca="1" si="628"/>
        <v>0</v>
      </c>
      <c r="CG301" s="54">
        <f t="shared" ca="1" si="628"/>
        <v>0</v>
      </c>
      <c r="CH301" s="54">
        <f t="shared" ca="1" si="628"/>
        <v>0</v>
      </c>
      <c r="CI301" s="54">
        <f t="shared" ca="1" si="628"/>
        <v>0</v>
      </c>
      <c r="CJ301" s="54">
        <f t="shared" ca="1" si="628"/>
        <v>0</v>
      </c>
      <c r="CK301" s="54">
        <f t="shared" ca="1" si="628"/>
        <v>0</v>
      </c>
      <c r="CL301" s="54">
        <f t="shared" ca="1" si="628"/>
        <v>0</v>
      </c>
      <c r="CM301" s="54">
        <f t="shared" ca="1" si="628"/>
        <v>0</v>
      </c>
      <c r="CN301" s="54">
        <f t="shared" ca="1" si="628"/>
        <v>0</v>
      </c>
      <c r="CO301" s="54">
        <f t="shared" ca="1" si="628"/>
        <v>0</v>
      </c>
      <c r="CP301" s="54">
        <f t="shared" ca="1" si="628"/>
        <v>0</v>
      </c>
      <c r="CQ301" s="54">
        <f ca="1">+CQ304</f>
        <v>0</v>
      </c>
      <c r="CR301" s="54">
        <f t="shared" ca="1" si="628"/>
        <v>0</v>
      </c>
      <c r="CS301" s="54">
        <f ca="1">+CS304</f>
        <v>0</v>
      </c>
      <c r="CT301" s="54">
        <f t="shared" ca="1" si="628"/>
        <v>0</v>
      </c>
      <c r="CU301" s="54">
        <f ca="1">+CU304</f>
        <v>0</v>
      </c>
      <c r="CV301" s="54">
        <f ca="1">+CV304</f>
        <v>0</v>
      </c>
      <c r="CW301" s="54">
        <f ca="1">+CW304</f>
        <v>0</v>
      </c>
      <c r="CX301" s="54">
        <f ca="1">+CX304</f>
        <v>0</v>
      </c>
      <c r="CY301" s="54">
        <f ca="1">+CY304</f>
        <v>0</v>
      </c>
      <c r="CZ301" s="54">
        <f t="shared" ref="CZ301:DC301" ca="1" si="629">+CZ304</f>
        <v>0</v>
      </c>
      <c r="DA301" s="54">
        <f t="shared" ca="1" si="629"/>
        <v>0</v>
      </c>
      <c r="DB301" s="54">
        <f t="shared" ca="1" si="629"/>
        <v>0</v>
      </c>
      <c r="DC301" s="54">
        <f t="shared" ca="1" si="629"/>
        <v>0</v>
      </c>
    </row>
    <row r="302" spans="1:107">
      <c r="A302" s="15"/>
      <c r="B302" s="876" t="s">
        <v>261</v>
      </c>
      <c r="C302" s="15"/>
      <c r="D302" s="15"/>
      <c r="E302" s="15"/>
      <c r="F302" s="15"/>
      <c r="G302" s="15"/>
      <c r="H302" s="15"/>
      <c r="I302" s="15"/>
      <c r="J302" s="26"/>
      <c r="K302" s="54"/>
      <c r="L302" s="26"/>
      <c r="M302" s="26"/>
      <c r="N302" s="26"/>
      <c r="O302" s="26">
        <f>BW302</f>
        <v>0</v>
      </c>
      <c r="P302" s="26">
        <f>CA302</f>
        <v>0</v>
      </c>
      <c r="Q302" s="26">
        <f ca="1">CE302</f>
        <v>0</v>
      </c>
      <c r="R302" s="26">
        <f ca="1">CI302</f>
        <v>0</v>
      </c>
      <c r="S302" s="26">
        <f ca="1">CM302</f>
        <v>0</v>
      </c>
      <c r="T302" s="26">
        <f ca="1">CQ302</f>
        <v>0</v>
      </c>
      <c r="U302" s="26">
        <f t="shared" ref="U302:Z302" ca="1" si="630">SUM(U300:U301)</f>
        <v>0</v>
      </c>
      <c r="V302" s="26">
        <f ca="1">SUM(V300:V301)</f>
        <v>0</v>
      </c>
      <c r="W302" s="26">
        <f ca="1">SUM(W300:W301)</f>
        <v>0</v>
      </c>
      <c r="X302" s="26">
        <f t="shared" ca="1" si="630"/>
        <v>500</v>
      </c>
      <c r="Y302" s="26">
        <f t="shared" ca="1" si="630"/>
        <v>1000</v>
      </c>
      <c r="Z302" s="26">
        <f t="shared" ca="1" si="630"/>
        <v>1500</v>
      </c>
      <c r="AA302" s="26">
        <f t="shared" ref="AA302:AD302" ca="1" si="631">SUM(AA300:AA301)</f>
        <v>1500</v>
      </c>
      <c r="AB302" s="26">
        <f t="shared" ca="1" si="631"/>
        <v>1500</v>
      </c>
      <c r="AC302" s="26">
        <f t="shared" ca="1" si="631"/>
        <v>1500</v>
      </c>
      <c r="AD302" s="26">
        <f t="shared" ca="1" si="631"/>
        <v>1500</v>
      </c>
      <c r="AE302" s="15"/>
      <c r="AF302" s="15"/>
      <c r="AG302" s="15"/>
      <c r="AH302" s="15"/>
      <c r="AI302" s="15"/>
      <c r="AJ302" s="15"/>
      <c r="AK302" s="15"/>
      <c r="AL302" s="15"/>
      <c r="AM302" s="15"/>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c r="BJ302" s="15"/>
      <c r="BK302" s="15"/>
      <c r="BL302" s="26"/>
      <c r="BM302" s="26"/>
      <c r="BN302" s="26"/>
      <c r="BO302" s="26"/>
      <c r="BP302" s="26"/>
      <c r="BQ302" s="26"/>
      <c r="BR302" s="783"/>
      <c r="BS302" s="783"/>
      <c r="BT302" s="814"/>
      <c r="BU302" s="26"/>
      <c r="BV302" s="26"/>
      <c r="BW302" s="26"/>
      <c r="BX302" s="26"/>
      <c r="BY302" s="26"/>
      <c r="BZ302" s="814"/>
      <c r="CA302" s="814"/>
      <c r="CB302" s="814"/>
      <c r="CC302" s="26">
        <f t="shared" ref="CC302:CT302" ca="1" si="632">SUM(CC300:CC301)</f>
        <v>0</v>
      </c>
      <c r="CD302" s="26">
        <f t="shared" ca="1" si="632"/>
        <v>0</v>
      </c>
      <c r="CE302" s="26">
        <f t="shared" ca="1" si="632"/>
        <v>0</v>
      </c>
      <c r="CF302" s="26">
        <f t="shared" ca="1" si="632"/>
        <v>0</v>
      </c>
      <c r="CG302" s="26">
        <f t="shared" ca="1" si="632"/>
        <v>0</v>
      </c>
      <c r="CH302" s="26">
        <f t="shared" ca="1" si="632"/>
        <v>0</v>
      </c>
      <c r="CI302" s="26">
        <f t="shared" ca="1" si="632"/>
        <v>0</v>
      </c>
      <c r="CJ302" s="26">
        <f t="shared" ca="1" si="632"/>
        <v>0</v>
      </c>
      <c r="CK302" s="26">
        <f t="shared" ca="1" si="632"/>
        <v>0</v>
      </c>
      <c r="CL302" s="26">
        <f t="shared" ca="1" si="632"/>
        <v>0</v>
      </c>
      <c r="CM302" s="26">
        <f t="shared" ca="1" si="632"/>
        <v>0</v>
      </c>
      <c r="CN302" s="26">
        <f t="shared" ca="1" si="632"/>
        <v>0</v>
      </c>
      <c r="CO302" s="26">
        <f t="shared" ca="1" si="632"/>
        <v>0</v>
      </c>
      <c r="CP302" s="26">
        <f t="shared" ca="1" si="632"/>
        <v>0</v>
      </c>
      <c r="CQ302" s="26">
        <f ca="1">SUM(CQ300:CQ301)</f>
        <v>0</v>
      </c>
      <c r="CR302" s="26">
        <f t="shared" ca="1" si="632"/>
        <v>0</v>
      </c>
      <c r="CS302" s="26">
        <f ca="1">SUM(CS300:CS301)</f>
        <v>0</v>
      </c>
      <c r="CT302" s="26">
        <f t="shared" ca="1" si="632"/>
        <v>0</v>
      </c>
      <c r="CU302" s="26">
        <f ca="1">SUM(CU300:CU301)</f>
        <v>0</v>
      </c>
      <c r="CV302" s="26">
        <f ca="1">SUM(CV300:CV301)</f>
        <v>0</v>
      </c>
      <c r="CW302" s="26">
        <f ca="1">SUM(CW300:CW301)</f>
        <v>0</v>
      </c>
      <c r="CX302" s="26">
        <f ca="1">SUM(CX300:CX301)</f>
        <v>0</v>
      </c>
      <c r="CY302" s="26">
        <f ca="1">SUM(CY300:CY301)</f>
        <v>0</v>
      </c>
      <c r="CZ302" s="26">
        <f t="shared" ref="CZ302:DC302" ca="1" si="633">SUM(CZ300:CZ301)</f>
        <v>0</v>
      </c>
      <c r="DA302" s="26">
        <f t="shared" ca="1" si="633"/>
        <v>0</v>
      </c>
      <c r="DB302" s="26">
        <f t="shared" ca="1" si="633"/>
        <v>0</v>
      </c>
      <c r="DC302" s="26">
        <f t="shared" ca="1" si="633"/>
        <v>0</v>
      </c>
    </row>
    <row r="303" spans="1:107">
      <c r="A303" s="15"/>
      <c r="B303" s="876" t="s">
        <v>262</v>
      </c>
      <c r="C303" s="15"/>
      <c r="D303" s="15"/>
      <c r="E303" s="15"/>
      <c r="F303" s="15"/>
      <c r="G303" s="15"/>
      <c r="H303" s="15"/>
      <c r="I303" s="15"/>
      <c r="J303" s="15"/>
      <c r="K303" s="783"/>
      <c r="L303" s="1004"/>
      <c r="M303" s="1004"/>
      <c r="N303" s="1004"/>
      <c r="O303" s="1004"/>
      <c r="P303" s="1004"/>
      <c r="Q303" s="1004"/>
      <c r="R303" s="1004"/>
      <c r="S303" s="1004"/>
      <c r="T303" s="1004"/>
      <c r="U303" s="1004"/>
      <c r="V303" s="1004"/>
      <c r="W303" s="1004"/>
      <c r="X303" s="1004"/>
      <c r="Y303" s="1004"/>
      <c r="Z303" s="1004"/>
      <c r="AA303" s="1004"/>
      <c r="AB303" s="1004"/>
      <c r="AC303" s="1004"/>
      <c r="AD303" s="1004"/>
      <c r="AE303" s="15"/>
      <c r="AF303" s="15"/>
      <c r="AG303" s="15"/>
      <c r="AH303" s="15"/>
      <c r="AI303" s="15"/>
      <c r="AJ303" s="15"/>
      <c r="AK303" s="15"/>
      <c r="AL303" s="15"/>
      <c r="AM303" s="15"/>
      <c r="AN303" s="15"/>
      <c r="AO303" s="15"/>
      <c r="AP303" s="15"/>
      <c r="AQ303" s="15"/>
      <c r="AR303" s="15"/>
      <c r="AS303" s="15"/>
      <c r="AT303" s="15"/>
      <c r="AU303" s="15"/>
      <c r="AV303" s="15"/>
      <c r="AW303" s="15"/>
      <c r="AX303" s="15"/>
      <c r="AY303" s="15"/>
      <c r="AZ303" s="15"/>
      <c r="BA303" s="15"/>
      <c r="BB303" s="15"/>
      <c r="BC303" s="980"/>
      <c r="BD303" s="1004"/>
      <c r="BE303" s="1004"/>
      <c r="BF303" s="1004"/>
      <c r="BG303" s="1004"/>
      <c r="BH303" s="1004"/>
      <c r="BI303" s="1004"/>
      <c r="BJ303" s="1004"/>
      <c r="BK303" s="1004"/>
      <c r="BL303" s="1004"/>
      <c r="BM303" s="1004"/>
      <c r="BN303" s="1004"/>
      <c r="BO303" s="1004"/>
      <c r="BP303" s="1004"/>
      <c r="BQ303" s="1004"/>
      <c r="BR303" s="1004"/>
      <c r="BS303" s="1010"/>
      <c r="BT303" s="398"/>
      <c r="BU303" s="398"/>
      <c r="BV303" s="398"/>
      <c r="BW303" s="398"/>
      <c r="BX303" s="1004"/>
      <c r="BY303" s="1004"/>
      <c r="BZ303" s="1004"/>
      <c r="CA303" s="1004"/>
      <c r="CB303" s="1004"/>
      <c r="CC303" s="1004"/>
      <c r="CD303" s="1004"/>
      <c r="CE303" s="1004"/>
      <c r="CF303" s="1004"/>
      <c r="CG303" s="1004"/>
      <c r="CH303" s="1004"/>
      <c r="CI303" s="1004"/>
      <c r="CJ303" s="1004"/>
      <c r="CK303" s="1004"/>
      <c r="CL303" s="1004"/>
      <c r="CM303" s="1004"/>
      <c r="CN303" s="1004"/>
      <c r="CO303" s="1004"/>
      <c r="CP303" s="1004"/>
      <c r="CQ303" s="1004"/>
      <c r="CR303" s="1004"/>
      <c r="CS303" s="1004"/>
      <c r="CT303" s="1004"/>
      <c r="CU303" s="1004"/>
      <c r="CV303" s="1004"/>
      <c r="CW303" s="1004"/>
      <c r="CX303" s="1004"/>
      <c r="CY303" s="1004"/>
      <c r="CZ303" s="1004"/>
      <c r="DA303" s="1004"/>
      <c r="DB303" s="1004"/>
      <c r="DC303" s="1004"/>
    </row>
    <row r="304" spans="1:107">
      <c r="A304" s="15"/>
      <c r="B304" s="876"/>
      <c r="C304" s="15"/>
      <c r="D304" s="15"/>
      <c r="E304" s="15"/>
      <c r="F304" s="15"/>
      <c r="G304" s="15"/>
      <c r="H304" s="15"/>
      <c r="I304" s="15"/>
      <c r="J304" s="15"/>
      <c r="K304" s="783"/>
      <c r="L304" s="1004"/>
      <c r="M304" s="1004"/>
      <c r="N304" s="1004"/>
      <c r="O304" s="1004"/>
      <c r="P304" s="1004"/>
      <c r="Q304" s="27">
        <f t="shared" ref="Q304:AD304" ca="1" si="634">+OFFSET(Q304,mode,0)</f>
        <v>0</v>
      </c>
      <c r="R304" s="27">
        <f t="shared" ca="1" si="634"/>
        <v>0</v>
      </c>
      <c r="S304" s="27">
        <f t="shared" ca="1" si="634"/>
        <v>0</v>
      </c>
      <c r="T304" s="27">
        <f t="shared" ca="1" si="634"/>
        <v>0</v>
      </c>
      <c r="U304" s="27">
        <f t="shared" ca="1" si="634"/>
        <v>0</v>
      </c>
      <c r="V304" s="27">
        <f t="shared" ca="1" si="634"/>
        <v>0</v>
      </c>
      <c r="W304" s="27">
        <f t="shared" ca="1" si="634"/>
        <v>0</v>
      </c>
      <c r="X304" s="27">
        <f t="shared" ca="1" si="634"/>
        <v>500</v>
      </c>
      <c r="Y304" s="27">
        <f t="shared" ca="1" si="634"/>
        <v>500</v>
      </c>
      <c r="Z304" s="27">
        <f t="shared" ca="1" si="634"/>
        <v>500</v>
      </c>
      <c r="AA304" s="27">
        <f t="shared" ca="1" si="634"/>
        <v>0</v>
      </c>
      <c r="AB304" s="27">
        <f t="shared" ca="1" si="634"/>
        <v>0</v>
      </c>
      <c r="AC304" s="27">
        <f t="shared" ca="1" si="634"/>
        <v>0</v>
      </c>
      <c r="AD304" s="27">
        <f t="shared" ca="1" si="634"/>
        <v>0</v>
      </c>
      <c r="AE304" s="15"/>
      <c r="AF304" s="15"/>
      <c r="AG304" s="15"/>
      <c r="AH304" s="15"/>
      <c r="AI304" s="15"/>
      <c r="AJ304" s="15"/>
      <c r="AK304" s="15"/>
      <c r="AL304" s="15"/>
      <c r="AM304" s="15"/>
      <c r="AN304" s="15"/>
      <c r="AO304" s="15"/>
      <c r="AP304" s="15"/>
      <c r="AQ304" s="15"/>
      <c r="AR304" s="15"/>
      <c r="AS304" s="15"/>
      <c r="AT304" s="15"/>
      <c r="AU304" s="15"/>
      <c r="AV304" s="15"/>
      <c r="AW304" s="15"/>
      <c r="AX304" s="15"/>
      <c r="AY304" s="15"/>
      <c r="AZ304" s="15"/>
      <c r="BA304" s="15"/>
      <c r="BB304" s="15"/>
      <c r="BC304" s="980"/>
      <c r="BD304" s="1004"/>
      <c r="BE304" s="1004"/>
      <c r="BF304" s="1004"/>
      <c r="BG304" s="1004"/>
      <c r="BH304" s="1004"/>
      <c r="BI304" s="1004"/>
      <c r="BJ304" s="1004"/>
      <c r="BK304" s="1004"/>
      <c r="BL304" s="1004"/>
      <c r="BM304" s="1004"/>
      <c r="BN304" s="1004"/>
      <c r="BO304" s="1004"/>
      <c r="BP304" s="1004"/>
      <c r="BQ304" s="1004"/>
      <c r="BR304" s="1004"/>
      <c r="BS304" s="1010"/>
      <c r="BT304" s="398"/>
      <c r="BU304" s="398"/>
      <c r="BV304" s="398"/>
      <c r="BW304" s="398"/>
      <c r="BX304" s="1004"/>
      <c r="BY304" s="1004"/>
      <c r="BZ304" s="1004"/>
      <c r="CA304" s="1004"/>
      <c r="CB304" s="1004"/>
      <c r="CC304" s="27">
        <f t="shared" ref="CC304:DC304" ca="1" si="635">+OFFSET(CC304,mode,0)</f>
        <v>0</v>
      </c>
      <c r="CD304" s="27">
        <f t="shared" ca="1" si="635"/>
        <v>0</v>
      </c>
      <c r="CE304" s="27">
        <f t="shared" ca="1" si="635"/>
        <v>0</v>
      </c>
      <c r="CF304" s="27">
        <f t="shared" ca="1" si="635"/>
        <v>0</v>
      </c>
      <c r="CG304" s="27">
        <f t="shared" ca="1" si="635"/>
        <v>0</v>
      </c>
      <c r="CH304" s="27">
        <f t="shared" ca="1" si="635"/>
        <v>0</v>
      </c>
      <c r="CI304" s="27">
        <f t="shared" ca="1" si="635"/>
        <v>0</v>
      </c>
      <c r="CJ304" s="27">
        <f t="shared" ca="1" si="635"/>
        <v>0</v>
      </c>
      <c r="CK304" s="27">
        <f t="shared" ca="1" si="635"/>
        <v>0</v>
      </c>
      <c r="CL304" s="27">
        <f t="shared" ca="1" si="635"/>
        <v>0</v>
      </c>
      <c r="CM304" s="27">
        <f t="shared" ca="1" si="635"/>
        <v>0</v>
      </c>
      <c r="CN304" s="27">
        <f t="shared" ca="1" si="635"/>
        <v>0</v>
      </c>
      <c r="CO304" s="27">
        <f t="shared" ca="1" si="635"/>
        <v>0</v>
      </c>
      <c r="CP304" s="27">
        <f t="shared" ca="1" si="635"/>
        <v>0</v>
      </c>
      <c r="CQ304" s="27">
        <f t="shared" ca="1" si="635"/>
        <v>0</v>
      </c>
      <c r="CR304" s="27">
        <f t="shared" ca="1" si="635"/>
        <v>0</v>
      </c>
      <c r="CS304" s="27">
        <f t="shared" ca="1" si="635"/>
        <v>0</v>
      </c>
      <c r="CT304" s="27">
        <f t="shared" ca="1" si="635"/>
        <v>0</v>
      </c>
      <c r="CU304" s="27">
        <f t="shared" ca="1" si="635"/>
        <v>0</v>
      </c>
      <c r="CV304" s="27">
        <f t="shared" ca="1" si="635"/>
        <v>0</v>
      </c>
      <c r="CW304" s="27">
        <f t="shared" ca="1" si="635"/>
        <v>0</v>
      </c>
      <c r="CX304" s="27">
        <f t="shared" ca="1" si="635"/>
        <v>0</v>
      </c>
      <c r="CY304" s="27">
        <f t="shared" ca="1" si="635"/>
        <v>0</v>
      </c>
      <c r="CZ304" s="27">
        <f t="shared" ca="1" si="635"/>
        <v>0</v>
      </c>
      <c r="DA304" s="27">
        <f t="shared" ca="1" si="635"/>
        <v>0</v>
      </c>
      <c r="DB304" s="27">
        <f t="shared" ca="1" si="635"/>
        <v>0</v>
      </c>
      <c r="DC304" s="27">
        <f t="shared" ca="1" si="635"/>
        <v>0</v>
      </c>
    </row>
    <row r="305" spans="1:107">
      <c r="A305" s="15"/>
      <c r="B305" s="1587" t="s">
        <v>1046</v>
      </c>
      <c r="C305" s="132"/>
      <c r="D305" s="132"/>
      <c r="E305" s="132"/>
      <c r="F305" s="132"/>
      <c r="G305" s="132"/>
      <c r="H305" s="132"/>
      <c r="I305" s="132"/>
      <c r="J305" s="132"/>
      <c r="K305" s="397"/>
      <c r="L305" s="1588"/>
      <c r="M305" s="1588"/>
      <c r="N305" s="1588"/>
      <c r="O305" s="1588"/>
      <c r="P305" s="1588"/>
      <c r="Q305" s="1592">
        <v>0</v>
      </c>
      <c r="R305" s="174">
        <f>+SUM(CF305:CI305)</f>
        <v>0</v>
      </c>
      <c r="S305" s="174">
        <f>+SUM(CJ305:CM305)</f>
        <v>0</v>
      </c>
      <c r="T305" s="174">
        <f>+SUM(CN305:CQ305)</f>
        <v>0</v>
      </c>
      <c r="U305" s="174">
        <f>+SUM(CR305:CU305)</f>
        <v>0</v>
      </c>
      <c r="V305" s="174">
        <f>+SUM(CV305:CY305)</f>
        <v>0</v>
      </c>
      <c r="W305" s="174">
        <f>+SUM(CZ305:DC305)</f>
        <v>0</v>
      </c>
      <c r="X305" s="1592">
        <v>250</v>
      </c>
      <c r="Y305" s="1592">
        <f>+X305</f>
        <v>250</v>
      </c>
      <c r="Z305" s="1592">
        <f>+Y305</f>
        <v>250</v>
      </c>
      <c r="AA305" s="1592">
        <v>0</v>
      </c>
      <c r="AB305" s="1592">
        <v>0</v>
      </c>
      <c r="AC305" s="1592">
        <v>0</v>
      </c>
      <c r="AD305" s="1592">
        <v>0</v>
      </c>
      <c r="AE305" s="132"/>
      <c r="AF305" s="132"/>
      <c r="AG305" s="132"/>
      <c r="AH305" s="132"/>
      <c r="AI305" s="132"/>
      <c r="AJ305" s="132"/>
      <c r="AK305" s="132"/>
      <c r="AL305" s="132"/>
      <c r="AM305" s="132"/>
      <c r="AN305" s="132"/>
      <c r="AO305" s="132"/>
      <c r="AP305" s="132"/>
      <c r="AQ305" s="132"/>
      <c r="AR305" s="132"/>
      <c r="AS305" s="132"/>
      <c r="AT305" s="132"/>
      <c r="AU305" s="132"/>
      <c r="AV305" s="132"/>
      <c r="AW305" s="132"/>
      <c r="AX305" s="132"/>
      <c r="AY305" s="132"/>
      <c r="AZ305" s="132"/>
      <c r="BA305" s="132"/>
      <c r="BB305" s="132"/>
      <c r="BC305" s="1589"/>
      <c r="BD305" s="1588"/>
      <c r="BE305" s="1588"/>
      <c r="BF305" s="1588"/>
      <c r="BG305" s="1588"/>
      <c r="BH305" s="1588"/>
      <c r="BI305" s="1588"/>
      <c r="BJ305" s="1588"/>
      <c r="BK305" s="1588"/>
      <c r="BL305" s="1588"/>
      <c r="BM305" s="1588"/>
      <c r="BN305" s="1588"/>
      <c r="BO305" s="1588"/>
      <c r="BP305" s="1588"/>
      <c r="BQ305" s="1588"/>
      <c r="BR305" s="1588"/>
      <c r="BS305" s="1590"/>
      <c r="BT305" s="1591"/>
      <c r="BU305" s="1591"/>
      <c r="BV305" s="1591"/>
      <c r="BW305" s="1591"/>
      <c r="BX305" s="1588"/>
      <c r="BY305" s="1588"/>
      <c r="BZ305" s="1588"/>
      <c r="CA305" s="1588"/>
      <c r="CB305" s="1588"/>
      <c r="CC305" s="1592">
        <v>0</v>
      </c>
      <c r="CD305" s="1592">
        <v>0</v>
      </c>
      <c r="CE305" s="1592">
        <v>0</v>
      </c>
      <c r="CF305" s="1592">
        <v>0</v>
      </c>
      <c r="CG305" s="1592">
        <v>0</v>
      </c>
      <c r="CH305" s="1592">
        <v>0</v>
      </c>
      <c r="CI305" s="1592">
        <v>0</v>
      </c>
      <c r="CJ305" s="1592">
        <v>0</v>
      </c>
      <c r="CK305" s="1592">
        <v>0</v>
      </c>
      <c r="CL305" s="1592">
        <v>0</v>
      </c>
      <c r="CM305" s="1592">
        <v>0</v>
      </c>
      <c r="CN305" s="1592">
        <v>0</v>
      </c>
      <c r="CO305" s="1592">
        <v>0</v>
      </c>
      <c r="CP305" s="1592">
        <v>0</v>
      </c>
      <c r="CQ305" s="1592">
        <v>0</v>
      </c>
      <c r="CR305" s="1592">
        <v>0</v>
      </c>
      <c r="CS305" s="1592">
        <v>0</v>
      </c>
      <c r="CT305" s="1592">
        <v>0</v>
      </c>
      <c r="CU305" s="1592">
        <v>0</v>
      </c>
      <c r="CV305" s="1592">
        <v>0</v>
      </c>
      <c r="CW305" s="1592">
        <v>0</v>
      </c>
      <c r="CX305" s="1592">
        <v>0</v>
      </c>
      <c r="CY305" s="1592">
        <v>0</v>
      </c>
      <c r="CZ305" s="1592">
        <v>0</v>
      </c>
      <c r="DA305" s="1592">
        <v>0</v>
      </c>
      <c r="DB305" s="1592">
        <v>0</v>
      </c>
      <c r="DC305" s="1592">
        <v>0</v>
      </c>
    </row>
    <row r="306" spans="1:107">
      <c r="A306" s="15"/>
      <c r="B306" s="2374" t="s">
        <v>1047</v>
      </c>
      <c r="C306" s="132"/>
      <c r="D306" s="132"/>
      <c r="E306" s="132"/>
      <c r="F306" s="132"/>
      <c r="G306" s="132"/>
      <c r="H306" s="132"/>
      <c r="I306" s="132"/>
      <c r="J306" s="132"/>
      <c r="K306" s="397"/>
      <c r="L306" s="1588"/>
      <c r="M306" s="1588"/>
      <c r="N306" s="1588"/>
      <c r="O306" s="1588"/>
      <c r="P306" s="1588"/>
      <c r="Q306" s="1592">
        <v>0</v>
      </c>
      <c r="R306" s="174">
        <f>+SUM(CF306:CI306)</f>
        <v>0</v>
      </c>
      <c r="S306" s="174">
        <f>+SUM(CJ306:CM306)</f>
        <v>0</v>
      </c>
      <c r="T306" s="174">
        <f>+SUM(CN306:CQ306)</f>
        <v>0</v>
      </c>
      <c r="U306" s="174">
        <f>+SUM(CR306:CU306)</f>
        <v>0</v>
      </c>
      <c r="V306" s="174">
        <f>+SUM(CV306:CY306)</f>
        <v>0</v>
      </c>
      <c r="W306" s="174">
        <f>+SUM(CZ306:DC306)</f>
        <v>0</v>
      </c>
      <c r="X306" s="1592">
        <v>500</v>
      </c>
      <c r="Y306" s="1592">
        <v>500</v>
      </c>
      <c r="Z306" s="1592">
        <v>500</v>
      </c>
      <c r="AA306" s="1592">
        <v>0</v>
      </c>
      <c r="AB306" s="1592">
        <v>0</v>
      </c>
      <c r="AC306" s="1592">
        <v>0</v>
      </c>
      <c r="AD306" s="1592">
        <v>0</v>
      </c>
      <c r="AE306" s="132"/>
      <c r="AF306" s="132"/>
      <c r="AG306" s="132"/>
      <c r="AH306" s="132"/>
      <c r="AI306" s="132"/>
      <c r="AJ306" s="132"/>
      <c r="AK306" s="132"/>
      <c r="AL306" s="132"/>
      <c r="AM306" s="132"/>
      <c r="AN306" s="132"/>
      <c r="AO306" s="132"/>
      <c r="AP306" s="132"/>
      <c r="AQ306" s="132"/>
      <c r="AR306" s="132"/>
      <c r="AS306" s="132"/>
      <c r="AT306" s="132"/>
      <c r="AU306" s="132"/>
      <c r="AV306" s="132"/>
      <c r="AW306" s="132"/>
      <c r="AX306" s="132"/>
      <c r="AY306" s="132"/>
      <c r="AZ306" s="132"/>
      <c r="BA306" s="132"/>
      <c r="BB306" s="132"/>
      <c r="BC306" s="1589"/>
      <c r="BD306" s="1588"/>
      <c r="BE306" s="1588"/>
      <c r="BF306" s="1588"/>
      <c r="BG306" s="1588"/>
      <c r="BH306" s="1588"/>
      <c r="BI306" s="1588"/>
      <c r="BJ306" s="1588"/>
      <c r="BK306" s="1588"/>
      <c r="BL306" s="1588"/>
      <c r="BM306" s="1588"/>
      <c r="BN306" s="1588"/>
      <c r="BO306" s="1588"/>
      <c r="BP306" s="1588"/>
      <c r="BQ306" s="1588"/>
      <c r="BR306" s="1588"/>
      <c r="BS306" s="1590"/>
      <c r="BT306" s="1591"/>
      <c r="BU306" s="1591"/>
      <c r="BV306" s="1591"/>
      <c r="BW306" s="1591"/>
      <c r="BX306" s="1588"/>
      <c r="BY306" s="1588"/>
      <c r="BZ306" s="1588"/>
      <c r="CA306" s="1588"/>
      <c r="CB306" s="1588"/>
      <c r="CC306" s="1592">
        <v>0</v>
      </c>
      <c r="CD306" s="1592">
        <v>0</v>
      </c>
      <c r="CE306" s="1592">
        <v>0</v>
      </c>
      <c r="CF306" s="1592">
        <v>0</v>
      </c>
      <c r="CG306" s="1592">
        <v>0</v>
      </c>
      <c r="CH306" s="1592">
        <v>0</v>
      </c>
      <c r="CI306" s="1592">
        <v>0</v>
      </c>
      <c r="CJ306" s="1592">
        <v>0</v>
      </c>
      <c r="CK306" s="1592">
        <v>0</v>
      </c>
      <c r="CL306" s="1592">
        <v>0</v>
      </c>
      <c r="CM306" s="1592">
        <v>0</v>
      </c>
      <c r="CN306" s="1592">
        <v>0</v>
      </c>
      <c r="CO306" s="1592">
        <v>0</v>
      </c>
      <c r="CP306" s="1592">
        <v>0</v>
      </c>
      <c r="CQ306" s="1592">
        <v>0</v>
      </c>
      <c r="CR306" s="1592">
        <v>0</v>
      </c>
      <c r="CS306" s="1592">
        <v>0</v>
      </c>
      <c r="CT306" s="1592">
        <v>0</v>
      </c>
      <c r="CU306" s="1592">
        <v>0</v>
      </c>
      <c r="CV306" s="1592">
        <v>0</v>
      </c>
      <c r="CW306" s="1592">
        <v>0</v>
      </c>
      <c r="CX306" s="1592">
        <v>0</v>
      </c>
      <c r="CY306" s="1592">
        <v>0</v>
      </c>
      <c r="CZ306" s="1592">
        <v>0</v>
      </c>
      <c r="DA306" s="1592">
        <v>0</v>
      </c>
      <c r="DB306" s="1592">
        <v>0</v>
      </c>
      <c r="DC306" s="1592">
        <v>0</v>
      </c>
    </row>
    <row r="307" spans="1:107">
      <c r="A307" s="15"/>
      <c r="B307" s="2374" t="s">
        <v>1048</v>
      </c>
      <c r="C307" s="132"/>
      <c r="D307" s="132"/>
      <c r="E307" s="132"/>
      <c r="F307" s="132"/>
      <c r="G307" s="132"/>
      <c r="H307" s="132"/>
      <c r="I307" s="132"/>
      <c r="J307" s="132"/>
      <c r="K307" s="397"/>
      <c r="L307" s="1588"/>
      <c r="M307" s="1588"/>
      <c r="N307" s="1588"/>
      <c r="O307" s="1588"/>
      <c r="P307" s="1588"/>
      <c r="Q307" s="1592">
        <v>0</v>
      </c>
      <c r="R307" s="174">
        <f>+SUM(CF307:CI307)</f>
        <v>0</v>
      </c>
      <c r="S307" s="174">
        <f>+SUM(CJ307:CM307)</f>
        <v>0</v>
      </c>
      <c r="T307" s="174">
        <f>+SUM(CN307:CQ307)</f>
        <v>0</v>
      </c>
      <c r="U307" s="174">
        <f>+SUM(CR307:CU307)</f>
        <v>0</v>
      </c>
      <c r="V307" s="174">
        <f>+SUM(CV307:CY307)</f>
        <v>0</v>
      </c>
      <c r="W307" s="174">
        <f>+SUM(CZ307:DC307)</f>
        <v>0</v>
      </c>
      <c r="X307" s="1592">
        <v>1000</v>
      </c>
      <c r="Y307" s="1592">
        <v>1000</v>
      </c>
      <c r="Z307" s="1592">
        <v>1000</v>
      </c>
      <c r="AA307" s="1592">
        <v>0</v>
      </c>
      <c r="AB307" s="1592">
        <v>0</v>
      </c>
      <c r="AC307" s="1592">
        <v>0</v>
      </c>
      <c r="AD307" s="1592">
        <v>0</v>
      </c>
      <c r="AE307" s="132"/>
      <c r="AF307" s="132"/>
      <c r="AG307" s="132"/>
      <c r="AH307" s="132"/>
      <c r="AI307" s="132"/>
      <c r="AJ307" s="132"/>
      <c r="AK307" s="132"/>
      <c r="AL307" s="132"/>
      <c r="AM307" s="132"/>
      <c r="AN307" s="132"/>
      <c r="AO307" s="132"/>
      <c r="AP307" s="132"/>
      <c r="AQ307" s="132"/>
      <c r="AR307" s="132"/>
      <c r="AS307" s="132"/>
      <c r="AT307" s="132"/>
      <c r="AU307" s="132"/>
      <c r="AV307" s="132"/>
      <c r="AW307" s="132"/>
      <c r="AX307" s="132"/>
      <c r="AY307" s="132"/>
      <c r="AZ307" s="132"/>
      <c r="BA307" s="132"/>
      <c r="BB307" s="132"/>
      <c r="BC307" s="1589"/>
      <c r="BD307" s="1588"/>
      <c r="BE307" s="1588"/>
      <c r="BF307" s="1588"/>
      <c r="BG307" s="1588"/>
      <c r="BH307" s="1588"/>
      <c r="BI307" s="1588"/>
      <c r="BJ307" s="1588"/>
      <c r="BK307" s="1588"/>
      <c r="BL307" s="1588"/>
      <c r="BM307" s="1588"/>
      <c r="BN307" s="1588"/>
      <c r="BO307" s="1588"/>
      <c r="BP307" s="1588"/>
      <c r="BQ307" s="1588"/>
      <c r="BR307" s="1588"/>
      <c r="BS307" s="1590"/>
      <c r="BT307" s="1591"/>
      <c r="BU307" s="1591"/>
      <c r="BV307" s="1591"/>
      <c r="BW307" s="1591"/>
      <c r="BX307" s="1588"/>
      <c r="BY307" s="1588"/>
      <c r="BZ307" s="1588"/>
      <c r="CA307" s="1588"/>
      <c r="CB307" s="1588"/>
      <c r="CC307" s="1592">
        <v>0</v>
      </c>
      <c r="CD307" s="1592">
        <v>0</v>
      </c>
      <c r="CE307" s="1592">
        <v>0</v>
      </c>
      <c r="CF307" s="1592">
        <v>0</v>
      </c>
      <c r="CG307" s="1592">
        <v>0</v>
      </c>
      <c r="CH307" s="1592">
        <v>0</v>
      </c>
      <c r="CI307" s="1592">
        <v>0</v>
      </c>
      <c r="CJ307" s="1592">
        <v>0</v>
      </c>
      <c r="CK307" s="1592">
        <v>0</v>
      </c>
      <c r="CL307" s="1592">
        <v>0</v>
      </c>
      <c r="CM307" s="1592">
        <v>0</v>
      </c>
      <c r="CN307" s="1592">
        <v>0</v>
      </c>
      <c r="CO307" s="1592">
        <v>0</v>
      </c>
      <c r="CP307" s="1592">
        <v>0</v>
      </c>
      <c r="CQ307" s="1592">
        <v>0</v>
      </c>
      <c r="CR307" s="1592">
        <v>0</v>
      </c>
      <c r="CS307" s="1592">
        <v>0</v>
      </c>
      <c r="CT307" s="1592">
        <v>0</v>
      </c>
      <c r="CU307" s="1592">
        <v>0</v>
      </c>
      <c r="CV307" s="1592">
        <v>0</v>
      </c>
      <c r="CW307" s="1592">
        <v>0</v>
      </c>
      <c r="CX307" s="1592">
        <v>0</v>
      </c>
      <c r="CY307" s="1592">
        <v>0</v>
      </c>
      <c r="CZ307" s="1592">
        <v>0</v>
      </c>
      <c r="DA307" s="1592">
        <v>0</v>
      </c>
      <c r="DB307" s="1592">
        <v>0</v>
      </c>
      <c r="DC307" s="1592">
        <v>0</v>
      </c>
    </row>
    <row r="308" spans="1:107">
      <c r="A308" s="15"/>
      <c r="B308" s="876"/>
      <c r="C308" s="15"/>
      <c r="D308" s="15"/>
      <c r="E308" s="15"/>
      <c r="F308" s="15"/>
      <c r="G308" s="15"/>
      <c r="H308" s="15"/>
      <c r="I308" s="15"/>
      <c r="J308" s="15"/>
      <c r="K308" s="783"/>
      <c r="L308" s="1004"/>
      <c r="M308" s="1004"/>
      <c r="N308" s="1004"/>
      <c r="O308" s="1004"/>
      <c r="P308" s="1004"/>
      <c r="Q308" s="1004"/>
      <c r="R308" s="1004"/>
      <c r="S308" s="1004"/>
      <c r="T308" s="1004"/>
      <c r="U308" s="1004"/>
      <c r="V308" s="1004"/>
      <c r="W308" s="1004"/>
      <c r="X308" s="1004"/>
      <c r="Y308" s="1004"/>
      <c r="Z308" s="1004"/>
      <c r="AA308" s="1004"/>
      <c r="AB308" s="1004"/>
      <c r="AC308" s="1004"/>
      <c r="AD308" s="1004"/>
      <c r="AE308" s="15"/>
      <c r="AF308" s="15"/>
      <c r="AG308" s="15"/>
      <c r="AH308" s="15"/>
      <c r="AI308" s="15"/>
      <c r="AJ308" s="15"/>
      <c r="AK308" s="15"/>
      <c r="AL308" s="15"/>
      <c r="AM308" s="15"/>
      <c r="AN308" s="15"/>
      <c r="AO308" s="15"/>
      <c r="AP308" s="15"/>
      <c r="AQ308" s="15"/>
      <c r="AR308" s="15"/>
      <c r="AS308" s="15"/>
      <c r="AT308" s="15"/>
      <c r="AU308" s="15"/>
      <c r="AV308" s="15"/>
      <c r="AW308" s="15"/>
      <c r="AX308" s="15"/>
      <c r="AY308" s="15"/>
      <c r="AZ308" s="15"/>
      <c r="BA308" s="15"/>
      <c r="BB308" s="15"/>
      <c r="BC308" s="980"/>
      <c r="BD308" s="1004"/>
      <c r="BE308" s="1004"/>
      <c r="BF308" s="1004"/>
      <c r="BG308" s="1004"/>
      <c r="BH308" s="1004"/>
      <c r="BI308" s="1004"/>
      <c r="BJ308" s="1004"/>
      <c r="BK308" s="1004"/>
      <c r="BL308" s="1004"/>
      <c r="BM308" s="1004"/>
      <c r="BN308" s="1004"/>
      <c r="BO308" s="1004"/>
      <c r="BP308" s="1004"/>
      <c r="BQ308" s="1004"/>
      <c r="BR308" s="1004"/>
      <c r="BS308" s="1010"/>
      <c r="BT308" s="1004"/>
      <c r="BU308" s="1004"/>
      <c r="BV308" s="1004"/>
      <c r="BW308" s="1004"/>
      <c r="BX308" s="1004"/>
      <c r="BY308" s="1004"/>
      <c r="BZ308" s="1004"/>
      <c r="CA308" s="1004"/>
      <c r="CB308" s="1004"/>
      <c r="CC308" s="1004"/>
      <c r="CD308" s="1004"/>
      <c r="CE308" s="1004"/>
      <c r="CF308" s="1004"/>
      <c r="CG308" s="1004"/>
      <c r="CH308" s="1004"/>
      <c r="CI308" s="1004"/>
      <c r="CJ308" s="849"/>
      <c r="CK308" s="849"/>
      <c r="CL308" s="849"/>
      <c r="CM308" s="849"/>
      <c r="CN308" s="849"/>
      <c r="CO308" s="849"/>
      <c r="CP308" s="849"/>
      <c r="CQ308" s="849"/>
      <c r="CR308" s="1004"/>
      <c r="CS308" s="1004"/>
      <c r="CT308" s="1004"/>
      <c r="CU308" s="1004"/>
      <c r="CV308" s="1004"/>
      <c r="CW308" s="1004"/>
      <c r="CX308" s="1004"/>
      <c r="CY308" s="1004"/>
      <c r="CZ308" s="1004"/>
      <c r="DA308" s="1004"/>
      <c r="DB308" s="1004"/>
      <c r="DC308" s="1004"/>
    </row>
    <row r="309" spans="1:107">
      <c r="A309" s="15"/>
      <c r="B309" s="14" t="s">
        <v>874</v>
      </c>
      <c r="C309" s="15"/>
      <c r="D309" s="15"/>
      <c r="E309" s="15"/>
      <c r="F309" s="15"/>
      <c r="G309" s="15"/>
      <c r="H309" s="15"/>
      <c r="I309" s="15"/>
      <c r="J309" s="15"/>
      <c r="K309" s="26"/>
      <c r="L309" s="26"/>
      <c r="M309" s="195">
        <f>M220+M83+M77+M35+M29+M119+M113+M22+M65+M71+M125+M230+M236+M41+M242+M47</f>
        <v>1203.69</v>
      </c>
      <c r="N309" s="195">
        <f>N220+N83+N77+N35+N29+N119+N113+N22+N65+N71+N125+N230+N236+N41+N242+N47+N302</f>
        <v>1210.1920166176369</v>
      </c>
      <c r="O309" s="195">
        <f>O220+O83+O77+O35+O29+O119+O113+O22+O65+O71+O125+O230+O236+O41+O242+O47+O302+O95+O59+O254+O248</f>
        <v>1762.4189999999999</v>
      </c>
      <c r="P309" s="195">
        <f ca="1">P220+P83+P77+P35+P29+P119+P113+P22+P65+P71+P125+P230+P236+P41+P242+P47+P302+P95+P59+P254+P248</f>
        <v>2048.8262428759772</v>
      </c>
      <c r="Q309" s="195">
        <f ca="1">Q220+Q83+Q77+Q35+Q29+Q119+Q113+Q22+Q65+Q71+Q125+Q230+Q236+Q41+Q242+Q47+Q302+Q95+Q59+Q254+Q248</f>
        <v>3010.7469999999994</v>
      </c>
      <c r="R309" s="195">
        <f ca="1">R220+R83+R77+R35+R29+R119+R113+R22+R65+R71+R125+R230+R236+R41+R242+R47+R302+R95+R59+R254+R248</f>
        <v>4115.1589999999997</v>
      </c>
      <c r="S309" s="195">
        <f ca="1">S220+S83+S77+S35+S29+S119+S113+S22+S65+S71+S125+S230+S236+S41+S242+S47+S302+S95+S59+S254+S248+S53+S260+S266</f>
        <v>4679.4089999999997</v>
      </c>
      <c r="T309" s="195">
        <f ca="1">+T47+T53+T95+T220+T230+T248+T254+T260+T266+T302+T272+T297</f>
        <v>6503.6990000000005</v>
      </c>
      <c r="U309" s="195">
        <f ca="1">+U53+U95+U220+U248+U254+U260+U266+U302+U272+U297+U225+U101</f>
        <v>6759.5730000000003</v>
      </c>
      <c r="V309" s="195">
        <f ca="1">+V53+V95+V220+V248+V254+V260+V266+V302+V272+V297+V225+V101+V278+V107+V284+V290</f>
        <v>10080.419</v>
      </c>
      <c r="W309" s="195">
        <f t="shared" ref="W309:Z309" ca="1" si="636">+W53+W95+W220+W248+W254+W260+W266+W302+W272+W297+W225+W101+W278+W107+W284+W290</f>
        <v>10080.419</v>
      </c>
      <c r="X309" s="195">
        <f t="shared" ca="1" si="636"/>
        <v>10577.635</v>
      </c>
      <c r="Y309" s="195">
        <f t="shared" ca="1" si="636"/>
        <v>11074.851000000001</v>
      </c>
      <c r="Z309" s="195">
        <f t="shared" ca="1" si="636"/>
        <v>11572.066999999999</v>
      </c>
      <c r="AA309" s="195">
        <f t="shared" ref="AA309:AD309" ca="1" si="637">+AA53+AA95+AA220+AA248+AA254+AA260+AA266+AA302+AA272+AA297+AA225+AA101+AA278+AA107+AA284+AA290</f>
        <v>11569.282999999999</v>
      </c>
      <c r="AB309" s="195">
        <f t="shared" ca="1" si="637"/>
        <v>11566.499</v>
      </c>
      <c r="AC309" s="195">
        <f t="shared" ca="1" si="637"/>
        <v>11563.715</v>
      </c>
      <c r="AD309" s="195">
        <f t="shared" ca="1" si="637"/>
        <v>11560.931</v>
      </c>
      <c r="AE309" s="15"/>
      <c r="AF309" s="15"/>
      <c r="AG309" s="15"/>
      <c r="AH309" s="15"/>
      <c r="AI309" s="15"/>
      <c r="AJ309" s="15"/>
      <c r="AK309" s="15"/>
      <c r="AL309" s="15"/>
      <c r="AM309" s="15"/>
      <c r="AN309" s="15"/>
      <c r="AO309" s="15"/>
      <c r="AP309" s="15"/>
      <c r="AQ309" s="15"/>
      <c r="AR309" s="15"/>
      <c r="AS309" s="15"/>
      <c r="AT309" s="15"/>
      <c r="AU309" s="15"/>
      <c r="AV309" s="15"/>
      <c r="AW309" s="15"/>
      <c r="AX309" s="15"/>
      <c r="AY309" s="15"/>
      <c r="AZ309" s="15"/>
      <c r="BA309" s="15"/>
      <c r="BB309" s="15"/>
      <c r="BC309" s="15"/>
      <c r="BD309" s="15"/>
      <c r="BE309" s="15"/>
      <c r="BF309" s="15"/>
      <c r="BG309" s="15"/>
      <c r="BH309" s="26"/>
      <c r="BI309" s="26"/>
      <c r="BJ309" s="26"/>
      <c r="BK309" s="26"/>
      <c r="BL309" s="26"/>
      <c r="BM309" s="26"/>
      <c r="BN309" s="26"/>
      <c r="BO309" s="195">
        <f t="shared" ref="BO309:BW309" si="638">BO220+BO83+BO77+BO35+BO29+BO119+BO113+BO22+BO65+BO71+BO125+BO230+BO236</f>
        <v>1203.69</v>
      </c>
      <c r="BP309" s="195">
        <f t="shared" si="638"/>
        <v>1191.049</v>
      </c>
      <c r="BQ309" s="195">
        <f t="shared" si="638"/>
        <v>1452.3030166176368</v>
      </c>
      <c r="BR309" s="195">
        <f t="shared" si="638"/>
        <v>1496.254316617637</v>
      </c>
      <c r="BS309" s="195">
        <f t="shared" si="638"/>
        <v>1484.969016617637</v>
      </c>
      <c r="BT309" s="195">
        <f t="shared" si="638"/>
        <v>2111.7880166176369</v>
      </c>
      <c r="BU309" s="195">
        <f t="shared" si="638"/>
        <v>2059.3879999999999</v>
      </c>
      <c r="BV309" s="195">
        <f t="shared" ca="1" si="638"/>
        <v>2131.5550000000003</v>
      </c>
      <c r="BW309" s="195">
        <f t="shared" ca="1" si="638"/>
        <v>2048.585</v>
      </c>
      <c r="BX309" s="195">
        <f ca="1">BX220+BX83+BX77+BX35+BX29+BX119+BX113+BX22+BX65+BX71+BX125+BX230+BX236+BX41</f>
        <v>2124.4395591545012</v>
      </c>
      <c r="BY309" s="195">
        <f ca="1">BY220+BY83+BY77+BY35+BY29+BY119+BY113+BY22+BY65+BY71+BY125+BY230+BY236+BY41+BY242+BY47</f>
        <v>2257.8609999999999</v>
      </c>
      <c r="BZ309" s="195">
        <f ca="1">BZ220+BZ83+BZ77+BZ35+BZ29+BZ119+BZ113+BZ22+BZ65+BZ71+BZ125+BZ230+BZ236+BZ41+BZ242+BZ47</f>
        <v>2309.547</v>
      </c>
      <c r="CA309" s="195">
        <f ca="1">CA220+CA83+CA77+CA35+CA29+CA119+CA113+CA22+CA65+CA71+CA125+CA230+CA236+CA41+CA242+CA47</f>
        <v>2349.13</v>
      </c>
      <c r="CB309" s="195">
        <f ca="1">CB220+CB83+CB77+CB35+CB29+CB119+CB113+CB22+CB65+CB71+CB125+CB230+CB236+CB41+CB242+CB47</f>
        <v>3082.4479999999999</v>
      </c>
      <c r="CC309" s="195">
        <f ca="1">CC220+CC83+CC77+CC35+CC29+CC119+CC113+CC22+CC65+CC71+CC125+CC230+CC236+CC41+CC242+CC47+CC302</f>
        <v>2893.473</v>
      </c>
      <c r="CD309" s="195">
        <f ca="1">CD220+CD83+CD77+CD35+CD29+CD119+CD113+CD22+CD65+CD71+CD125+CD230+CD236+CD41+CD242+CD47+CD302+CD95+CD59</f>
        <v>2956.529</v>
      </c>
      <c r="CE309" s="195">
        <f ca="1">CE220+CE83+CE77+CE35+CE29+CE119+CE113+CE22+CE65+CE71+CE125+CE230+CE236+CE41+CE242+CE47+CE302+CE95+CE59</f>
        <v>3010.7469999999994</v>
      </c>
      <c r="CF309" s="195">
        <f ca="1">CF220+CF83+CF77+CF35+CF29+CF119+CF113+CF22+CF65+CF71+CF125+CF230+CF236+CF41+CF242+CF47+CF302+CF95+CF59+CF254+CF248</f>
        <v>4462.7719999999999</v>
      </c>
      <c r="CG309" s="195">
        <f ca="1">CG220+CG83+CG77+CG35+CG29+CG119+CG113+CG22+CG65+CG71+CG125+CG230+CG236+CG41+CG242+CG47+CG302+CG95+CG59+CG254+CG248</f>
        <v>3941.6790000000001</v>
      </c>
      <c r="CH309" s="195">
        <f ca="1">CH220+CH83+CH77+CH35+CH29+CH119+CH113+CH22+CH65+CH71+CH125+CH230+CH236+CH41+CH242+CH47+CH302+CH95+CH59+CH254+CH248</f>
        <v>4046.576</v>
      </c>
      <c r="CI309" s="195">
        <f ca="1">CI220+CI83+CI77+CI35+CI29+CI119+CI113+CI22+CI65+CI71+CI125+CI230+CI236+CI41+CI242+CI47+CI302+CI95+CI59+CI254+CI248+CI53</f>
        <v>4158.6559999999999</v>
      </c>
      <c r="CJ309" s="195">
        <f ca="1">CJ220+CJ83+CJ77+CJ35+CJ29+CJ119+CJ113+CJ22+CJ65+CJ71+CJ125+CJ230+CJ236+CJ41+CJ242+CJ47+CJ302+CJ95+CJ59+CJ254+CJ248+CJ53</f>
        <v>4279.3710000000001</v>
      </c>
      <c r="CK309" s="195">
        <f ca="1">CK220+CK83+CK77+CK35+CK29+CK119+CK113+CK22+CK65+CK71+CK125+CK230+CK236+CK41+CK242+CK47+CK302+CK95+CK59+CK254+CK248+CK53</f>
        <v>3936.1750000000002</v>
      </c>
      <c r="CL309" s="195">
        <f ca="1">CL220+CL83+CL77+CL35+CL29+CL119+CL113+CL22+CL65+CL71+CL125+CL230+CL236+CL41+CL242+CL47+CL302+CL95+CL59+CL254+CL248+CL53</f>
        <v>3983.6550000000002</v>
      </c>
      <c r="CM309" s="195">
        <f ca="1">CM220+CM83+CM77+CM35+CM29+CM119+CM113+CM22+CM65+CM71+CM125+CM230+CM236+CM41+CM242+CM47+CM302+CM95+CM59+CM254+CM248+CM53+CM260+CM266</f>
        <v>4679.4089999999997</v>
      </c>
      <c r="CN309" s="195">
        <f ca="1">CN220+CN83+CN77+CN35+CN29+CN119+CN113+CN22+CN65+CN71+CN125+CN230+CN236+CN41+CN242+CN47+CN302+CN95+CN59+CN254+CN248+CN53+CN260+CN266</f>
        <v>4666.6509999999998</v>
      </c>
      <c r="CO309" s="195">
        <f ca="1">CO220+CO83+CO77+CO35+CO29+CO119+CO113+CO22+CO65+CO71+CO125+CO230+CO236+CO41+CO242+CO47+CO302+CO95+CO59+CO254+CO248+CO53+CO260+CO266</f>
        <v>4710.03</v>
      </c>
      <c r="CP309" s="195">
        <f ca="1">+CP47+CP53+CP95+CP220+CP230+CP248+CP254+CP260+CP266+CP302</f>
        <v>4636.4120000000003</v>
      </c>
      <c r="CQ309" s="195">
        <f ca="1">+CQ47+CQ53+CQ95+CQ220+CQ230+CQ248+CQ254+CQ260+CQ266+CQ302+CQ272+CQ297</f>
        <v>6503.6990000000005</v>
      </c>
      <c r="CR309" s="195">
        <f ca="1">+CR47+CR53+CR95+CR220+CR230+CR248+CR254+CR260+CR266+CR302+CR272+CR297+CR225</f>
        <v>7181.7910000000002</v>
      </c>
      <c r="CS309" s="195">
        <f ca="1">+CS47+CS53+CS95+CS220+CS230+CS248+CS254+CS260+CS266+CS302+CS272+CS297+CS225</f>
        <v>7013.8760000000002</v>
      </c>
      <c r="CT309" s="195">
        <f ca="1">+CT47+CT53+CT95+CT220+CT230+CT248+CT254+CT260+CT266+CT302+CT272+CT297+CT225</f>
        <v>6925.31</v>
      </c>
      <c r="CU309" s="195">
        <f ca="1">+CU53+CU95+CU220+CU248+CU254+CU260+CU266+CU302+CU272+CU297+CU225+CU101</f>
        <v>6759.5730000000003</v>
      </c>
      <c r="CV309" s="195">
        <f ca="1">+CV53+CV95+CV220+CV248+CV254+CV260+CV266+CV302+CV272+CV297+CV225+CV101+CV278+CV107</f>
        <v>9181.3689999999988</v>
      </c>
      <c r="CW309" s="195">
        <f ca="1">+CW53+CW95+CW220+CW248+CW254+CW260+CW266+CW302+CW272+CW297+CW225+CW101+CW278+CW107</f>
        <v>9289.1190000000006</v>
      </c>
      <c r="CX309" s="195">
        <f ca="1">+CX53+CX95+CX220+CX248+CX254+CX260+CX266+CX302+CX272+CX297+CX225+CX101+CX278+CX107+CX284</f>
        <v>10025.630000000001</v>
      </c>
      <c r="CY309" s="195">
        <f ca="1">+CY53+CY95+CY220+CY248+CY254+CY260+CY266+CY302+CY272+CY297+CY225+CY101+CY278+CY107+CY284+CY290</f>
        <v>10080.419</v>
      </c>
      <c r="CZ309" s="195">
        <f t="shared" ref="CZ309:DC309" ca="1" si="639">+CZ53+CZ95+CZ220+CZ248+CZ254+CZ260+CZ266+CZ302+CZ272+CZ297+CZ225+CZ101+CZ278+CZ107+CZ284+CZ290</f>
        <v>10080.419</v>
      </c>
      <c r="DA309" s="195">
        <f t="shared" ca="1" si="639"/>
        <v>10080.419</v>
      </c>
      <c r="DB309" s="195">
        <f t="shared" ca="1" si="639"/>
        <v>10080.419</v>
      </c>
      <c r="DC309" s="195">
        <f t="shared" ca="1" si="639"/>
        <v>10080.419</v>
      </c>
    </row>
    <row r="310" spans="1:107" outlineLevel="1">
      <c r="A310" s="15"/>
      <c r="B310" s="1011" t="s">
        <v>1586</v>
      </c>
      <c r="C310" s="15"/>
      <c r="D310" s="15"/>
      <c r="E310" s="15"/>
      <c r="F310" s="15"/>
      <c r="G310" s="15"/>
      <c r="H310" s="15"/>
      <c r="I310" s="15"/>
      <c r="J310" s="15"/>
      <c r="K310" s="26"/>
      <c r="L310" s="26"/>
      <c r="M310" s="989">
        <f>M309-BS!M113</f>
        <v>0</v>
      </c>
      <c r="N310" s="989">
        <f>N309-BS!N113</f>
        <v>-274.77698338236314</v>
      </c>
      <c r="O310" s="989">
        <f>O309-BS!O113</f>
        <v>-286.16600000000017</v>
      </c>
      <c r="P310" s="989">
        <f ca="1">P309-BS!P113</f>
        <v>-1050.3037571240229</v>
      </c>
      <c r="Q310" s="989">
        <f ca="1">Q309-BS!Q113</f>
        <v>0</v>
      </c>
      <c r="R310" s="989">
        <f ca="1">R309-BS!R113</f>
        <v>-43.497000000000298</v>
      </c>
      <c r="S310" s="989">
        <f ca="1">S309-BS!S113</f>
        <v>0</v>
      </c>
      <c r="T310" s="989">
        <f ca="1">T309-BS!T113</f>
        <v>0</v>
      </c>
      <c r="U310" s="989">
        <f ca="1">U309-BS!U113</f>
        <v>0</v>
      </c>
      <c r="V310" s="989">
        <f ca="1">V309-BS!V113</f>
        <v>0</v>
      </c>
      <c r="W310" s="989">
        <f ca="1">W309-BS!W113</f>
        <v>0</v>
      </c>
      <c r="X310" s="989">
        <f ca="1">X309-BS!X113</f>
        <v>0</v>
      </c>
      <c r="Y310" s="989">
        <f ca="1">Y309-BS!Y113</f>
        <v>0</v>
      </c>
      <c r="Z310" s="989">
        <f ca="1">Z309-BS!Z113</f>
        <v>0</v>
      </c>
      <c r="AA310" s="989">
        <f ca="1">AA309-BS!AA113</f>
        <v>0</v>
      </c>
      <c r="AB310" s="989">
        <f ca="1">AB309-BS!AB113</f>
        <v>0</v>
      </c>
      <c r="AC310" s="989">
        <f ca="1">AC309-BS!AC113</f>
        <v>0</v>
      </c>
      <c r="AD310" s="989">
        <f ca="1">AD309-BS!AD113</f>
        <v>0</v>
      </c>
      <c r="AE310" s="15"/>
      <c r="AF310" s="15"/>
      <c r="AG310" s="15"/>
      <c r="AH310" s="15"/>
      <c r="AI310" s="15"/>
      <c r="AJ310" s="15"/>
      <c r="AK310" s="15"/>
      <c r="AL310" s="15"/>
      <c r="AM310" s="15"/>
      <c r="AN310" s="15"/>
      <c r="AO310" s="15"/>
      <c r="AP310" s="15"/>
      <c r="AQ310" s="15"/>
      <c r="AR310" s="15"/>
      <c r="AS310" s="15"/>
      <c r="AT310" s="15"/>
      <c r="AU310" s="15"/>
      <c r="AV310" s="15"/>
      <c r="AW310" s="15"/>
      <c r="AX310" s="15"/>
      <c r="AY310" s="15"/>
      <c r="AZ310" s="15"/>
      <c r="BA310" s="15"/>
      <c r="BB310" s="15"/>
      <c r="BC310" s="15"/>
      <c r="BD310" s="15"/>
      <c r="BE310" s="15"/>
      <c r="BF310" s="15"/>
      <c r="BG310" s="15"/>
      <c r="BH310" s="26"/>
      <c r="BI310" s="26"/>
      <c r="BJ310" s="26"/>
      <c r="BK310" s="26"/>
      <c r="BL310" s="26"/>
      <c r="BM310" s="26"/>
      <c r="BN310" s="26"/>
      <c r="BO310" s="989">
        <f>BO309-BS!BO113</f>
        <v>0</v>
      </c>
      <c r="BP310" s="989">
        <f>BP309-BS!BP113</f>
        <v>0</v>
      </c>
      <c r="BQ310" s="989">
        <f>BQ309-BS!BQ113</f>
        <v>1.6617636902083177E-5</v>
      </c>
      <c r="BR310" s="989">
        <f>BR309-BS!BR113</f>
        <v>3.1661763705415069E-4</v>
      </c>
      <c r="BS310" s="989">
        <f>BS309-BS!BS113</f>
        <v>1.6617636902083177E-5</v>
      </c>
      <c r="BT310" s="989">
        <f>BT309-BS!BT113</f>
        <v>1.6617636902083177E-5</v>
      </c>
      <c r="BU310" s="989">
        <f>BU309-BS!BU113</f>
        <v>0</v>
      </c>
      <c r="BV310" s="989">
        <f ca="1">BV309-BS!BV113</f>
        <v>0</v>
      </c>
      <c r="BW310" s="989">
        <f ca="1">BW309-BS!BW113</f>
        <v>0</v>
      </c>
      <c r="BX310" s="989">
        <f ca="1">BX309-BS!BX113</f>
        <v>-4.4084549881517887E-4</v>
      </c>
      <c r="BY310" s="989">
        <f ca="1">BY309-BS!BY113</f>
        <v>0</v>
      </c>
      <c r="BZ310" s="989">
        <f ca="1">BZ309-BS!BZ113</f>
        <v>-750</v>
      </c>
      <c r="CA310" s="989">
        <f ca="1">CA309-BS!CA113</f>
        <v>-750</v>
      </c>
      <c r="CB310" s="989">
        <f ca="1">CB309-BS!CB113</f>
        <v>0</v>
      </c>
      <c r="CC310" s="989">
        <f ca="1">CC309-BS!CC113</f>
        <v>0</v>
      </c>
      <c r="CD310" s="989">
        <f ca="1">CD309-BS!CD113</f>
        <v>0</v>
      </c>
      <c r="CE310" s="989">
        <f ca="1">CE309-BS!CE113</f>
        <v>0</v>
      </c>
      <c r="CF310" s="989">
        <f ca="1">CF309-BS!CF113</f>
        <v>-60.98700000000008</v>
      </c>
      <c r="CG310" s="989">
        <f ca="1">CG309-BS!CG113</f>
        <v>0</v>
      </c>
      <c r="CH310" s="989">
        <f ca="1">CH309-BS!CH113</f>
        <v>0</v>
      </c>
      <c r="CI310" s="989">
        <f ca="1">CI309-BS!CI113</f>
        <v>0</v>
      </c>
      <c r="CJ310" s="989">
        <f ca="1">CJ309-BS!CJ113</f>
        <v>0</v>
      </c>
      <c r="CK310" s="989">
        <f ca="1">CK309-BS!CK113</f>
        <v>0</v>
      </c>
      <c r="CL310" s="989">
        <f ca="1">CL309-BS!CL113</f>
        <v>0</v>
      </c>
      <c r="CM310" s="989">
        <f ca="1">CM309-BS!CM113</f>
        <v>0</v>
      </c>
      <c r="CN310" s="989">
        <f ca="1">CN309-BS!CN113</f>
        <v>1.0000000002037268E-3</v>
      </c>
      <c r="CO310" s="989">
        <f ca="1">CO309-BS!CO113</f>
        <v>0</v>
      </c>
      <c r="CP310" s="989">
        <f ca="1">CP309-BS!CP113</f>
        <v>0</v>
      </c>
      <c r="CQ310" s="989">
        <f ca="1">CQ309-BS!CQ113</f>
        <v>0</v>
      </c>
      <c r="CR310" s="989">
        <f ca="1">CR309-BS!CR113</f>
        <v>0</v>
      </c>
      <c r="CS310" s="989">
        <f ca="1">CS309-BS!CS113</f>
        <v>12.65099999999984</v>
      </c>
      <c r="CT310" s="989">
        <f ca="1">CT309-BS!CT113</f>
        <v>0</v>
      </c>
      <c r="CU310" s="989">
        <f ca="1">CU309-BS!CU113</f>
        <v>0</v>
      </c>
      <c r="CV310" s="989">
        <f ca="1">CV309-BS!CV113</f>
        <v>0</v>
      </c>
      <c r="CW310" s="989">
        <f ca="1">CW309-BS!CW113</f>
        <v>0</v>
      </c>
      <c r="CX310" s="989">
        <f ca="1">CX309-BS!CX113</f>
        <v>0</v>
      </c>
      <c r="CY310" s="989">
        <f ca="1">CY309-BS!CY113</f>
        <v>0</v>
      </c>
      <c r="CZ310" s="989">
        <f ca="1">CZ309-BS!CZ113</f>
        <v>0</v>
      </c>
      <c r="DA310" s="989">
        <f ca="1">DA309-BS!DA113</f>
        <v>0</v>
      </c>
      <c r="DB310" s="989">
        <f ca="1">DB309-BS!DB113</f>
        <v>0</v>
      </c>
      <c r="DC310" s="989">
        <f ca="1">DC309-BS!DC113</f>
        <v>0</v>
      </c>
    </row>
    <row r="311" spans="1:107">
      <c r="A311" s="15"/>
      <c r="B311" s="15"/>
      <c r="C311" s="15"/>
      <c r="D311" s="15"/>
      <c r="E311" s="15"/>
      <c r="F311" s="15"/>
      <c r="G311" s="15"/>
      <c r="H311" s="15"/>
      <c r="I311" s="15"/>
      <c r="J311" s="15"/>
      <c r="K311" s="15"/>
      <c r="L311" s="15"/>
      <c r="M311" s="15"/>
      <c r="N311" s="15"/>
      <c r="O311" s="15"/>
      <c r="P311" s="885"/>
      <c r="Q311" s="885"/>
      <c r="R311" s="885"/>
      <c r="S311" s="885"/>
      <c r="T311" s="885"/>
      <c r="U311" s="885"/>
      <c r="V311" s="885"/>
      <c r="W311" s="885"/>
      <c r="X311" s="885"/>
      <c r="Y311" s="885"/>
      <c r="Z311" s="885"/>
      <c r="AA311" s="885"/>
      <c r="AB311" s="885"/>
      <c r="AC311" s="885"/>
      <c r="AD311" s="885"/>
      <c r="AE311" s="15"/>
      <c r="AF311" s="15"/>
      <c r="AG311" s="15"/>
      <c r="AH311" s="15"/>
      <c r="AI311" s="15"/>
      <c r="AJ311" s="15"/>
      <c r="AK311" s="15"/>
      <c r="AL311" s="15"/>
      <c r="AM311" s="15"/>
      <c r="AN311" s="15"/>
      <c r="AO311" s="15"/>
      <c r="AP311" s="15"/>
      <c r="AQ311" s="15"/>
      <c r="AR311" s="15"/>
      <c r="AS311" s="15"/>
      <c r="AT311" s="15"/>
      <c r="AU311" s="15"/>
      <c r="AV311" s="15"/>
      <c r="AW311" s="15"/>
      <c r="AX311" s="15"/>
      <c r="AY311" s="15"/>
      <c r="AZ311" s="15"/>
      <c r="BA311" s="15"/>
      <c r="BB311" s="15"/>
      <c r="BC311" s="15"/>
      <c r="BD311" s="15"/>
      <c r="BE311" s="15"/>
      <c r="BF311" s="15"/>
      <c r="BG311" s="15"/>
      <c r="BH311" s="15"/>
      <c r="BI311" s="15"/>
      <c r="BJ311" s="15"/>
      <c r="BK311" s="15"/>
      <c r="BL311" s="15"/>
      <c r="BM311" s="15"/>
      <c r="BN311" s="15"/>
      <c r="BO311" s="15"/>
      <c r="BP311" s="15"/>
      <c r="BQ311" s="15"/>
      <c r="BR311" s="15"/>
      <c r="BS311" s="15"/>
      <c r="BT311" s="15"/>
      <c r="BU311" s="15"/>
      <c r="BV311" s="15"/>
      <c r="BW311" s="15"/>
      <c r="BX311" s="15"/>
      <c r="BY311" s="15"/>
      <c r="BZ311" s="15"/>
      <c r="CA311" s="15"/>
      <c r="CB311" s="15"/>
      <c r="CC311" s="15"/>
      <c r="CD311" s="15"/>
      <c r="CE311" s="15"/>
      <c r="CF311" s="15"/>
      <c r="CG311" s="15"/>
      <c r="CH311" s="15"/>
      <c r="CI311" s="15"/>
      <c r="CJ311" s="15"/>
      <c r="CK311" s="15"/>
      <c r="CL311" s="15"/>
      <c r="CM311" s="15"/>
      <c r="CN311" s="15"/>
      <c r="CO311" s="15"/>
      <c r="CP311" s="15"/>
      <c r="CQ311" s="15"/>
      <c r="CR311" s="15"/>
      <c r="CS311" s="15"/>
      <c r="CT311" s="15"/>
      <c r="CU311" s="15"/>
      <c r="CV311" s="15"/>
      <c r="CW311" s="15"/>
      <c r="CX311" s="15"/>
      <c r="CY311" s="15"/>
      <c r="CZ311" s="15"/>
      <c r="DA311" s="15"/>
      <c r="DB311" s="15"/>
      <c r="DC311" s="15"/>
    </row>
    <row r="312" spans="1:107">
      <c r="A312" s="15"/>
      <c r="B312" s="15" t="s">
        <v>1538</v>
      </c>
      <c r="C312" s="15"/>
      <c r="D312" s="15"/>
      <c r="E312" s="15"/>
      <c r="F312" s="829">
        <f>SUM(AJ312:AM312)</f>
        <v>42.096000000000004</v>
      </c>
      <c r="G312" s="829">
        <f>SUM(AN312:AQ312)</f>
        <v>19.948</v>
      </c>
      <c r="H312" s="829">
        <f>SUM(AR312:AU312)</f>
        <v>13.548</v>
      </c>
      <c r="I312" s="829">
        <f>SUM(AV312:AY312)</f>
        <v>3.181</v>
      </c>
      <c r="J312" s="829">
        <f>SUM(AZ312:BC312)</f>
        <v>7.1329999999999991</v>
      </c>
      <c r="K312" s="829">
        <f>SUM(BD312:BG312)</f>
        <v>13.343999999999999</v>
      </c>
      <c r="L312" s="829">
        <f>SUM(BH312:BK312)</f>
        <v>26.9</v>
      </c>
      <c r="M312" s="829">
        <f>SUM(BL312:BO312)</f>
        <v>53.372999999999998</v>
      </c>
      <c r="N312" s="829">
        <f>SUM(BP312:BS312)</f>
        <v>63.280999999999999</v>
      </c>
      <c r="O312" s="829">
        <f>SUM(BT312:BW312)</f>
        <v>97.943000000000012</v>
      </c>
      <c r="P312" s="829">
        <f ca="1">SUM(BX312:CA312)</f>
        <v>51.007193311946608</v>
      </c>
      <c r="Q312" s="829">
        <f ca="1">SUM(CB312:CE312)</f>
        <v>82.587476258685456</v>
      </c>
      <c r="R312" s="829">
        <f>SUM(CF312:CI312)</f>
        <v>95.757484224999985</v>
      </c>
      <c r="S312" s="829">
        <f>SUM(CJ312:CM312)</f>
        <v>88.64545154999999</v>
      </c>
      <c r="T312" s="829"/>
      <c r="U312" s="829"/>
      <c r="V312" s="829"/>
      <c r="W312" s="829"/>
      <c r="X312" s="829"/>
      <c r="Y312" s="829"/>
      <c r="Z312" s="829"/>
      <c r="AA312" s="829"/>
      <c r="AB312" s="829"/>
      <c r="AC312" s="829"/>
      <c r="AD312" s="829"/>
      <c r="AE312" s="15"/>
      <c r="AF312" s="15"/>
      <c r="AG312" s="15"/>
      <c r="AH312" s="15"/>
      <c r="AI312" s="15"/>
      <c r="AJ312" s="783">
        <v>8.5919999999999987</v>
      </c>
      <c r="AK312" s="783">
        <v>11.803999999999998</v>
      </c>
      <c r="AL312" s="783">
        <v>3.0839999999999996</v>
      </c>
      <c r="AM312" s="783">
        <v>18.616000000000007</v>
      </c>
      <c r="AN312" s="783">
        <v>2.2650000000000001</v>
      </c>
      <c r="AO312" s="783">
        <v>13.116</v>
      </c>
      <c r="AP312" s="783">
        <v>3.1819999999999991</v>
      </c>
      <c r="AQ312" s="783">
        <v>1.385</v>
      </c>
      <c r="AR312" s="783">
        <v>3.7930000000000001</v>
      </c>
      <c r="AS312" s="783">
        <v>4.6990000000000007</v>
      </c>
      <c r="AT312" s="783">
        <v>1.718</v>
      </c>
      <c r="AU312" s="783">
        <v>3.3379999999999992</v>
      </c>
      <c r="AV312" s="783">
        <v>1.579</v>
      </c>
      <c r="AW312" s="783">
        <v>0</v>
      </c>
      <c r="AX312" s="783">
        <v>1.0780000000000001</v>
      </c>
      <c r="AY312" s="783">
        <v>0.5239999999999998</v>
      </c>
      <c r="AZ312" s="783">
        <v>2.069</v>
      </c>
      <c r="BA312" s="783">
        <v>1.0710000000000002</v>
      </c>
      <c r="BB312" s="783">
        <v>2.1369999999999996</v>
      </c>
      <c r="BC312" s="783">
        <v>1.8560000000000003</v>
      </c>
      <c r="BD312" s="783">
        <v>3.9430000000000001</v>
      </c>
      <c r="BE312" s="783">
        <v>3.1729999999999996</v>
      </c>
      <c r="BF312" s="783">
        <v>4.2360000000000007</v>
      </c>
      <c r="BG312" s="783">
        <v>1.9919999999999987</v>
      </c>
      <c r="BH312" s="783">
        <v>5.048</v>
      </c>
      <c r="BI312" s="783">
        <v>4.8109999999999999</v>
      </c>
      <c r="BJ312" s="783">
        <v>6.270999999999999</v>
      </c>
      <c r="BK312" s="783">
        <v>10.77</v>
      </c>
      <c r="BL312" s="783">
        <v>8.3989999999999991</v>
      </c>
      <c r="BM312" s="783">
        <v>18.096000000000004</v>
      </c>
      <c r="BN312" s="783">
        <v>8.9909999999999943</v>
      </c>
      <c r="BO312" s="783">
        <v>17.887</v>
      </c>
      <c r="BP312" s="783">
        <v>8.766</v>
      </c>
      <c r="BQ312" s="783">
        <f>27.034-BP312</f>
        <v>18.268000000000001</v>
      </c>
      <c r="BR312" s="902">
        <f>36.016-BQ312-BP312</f>
        <v>8.9819999999999975</v>
      </c>
      <c r="BS312" s="902">
        <f>63.281-BR312-BQ312-BP312</f>
        <v>27.265000000000001</v>
      </c>
      <c r="BT312" s="902">
        <v>8.2880000000000003</v>
      </c>
      <c r="BU312" s="902">
        <f>33.067-BT312</f>
        <v>24.779</v>
      </c>
      <c r="BV312" s="902">
        <f>70.772-BU312-BT312</f>
        <v>37.705000000000013</v>
      </c>
      <c r="BW312" s="902">
        <f>97.943-BV312-BU312-BT312</f>
        <v>27.170999999999989</v>
      </c>
      <c r="BX312" s="829">
        <f t="shared" ref="BX312:CM312" si="640">SUM(BX318,BX319:BX346)+BX349</f>
        <v>0</v>
      </c>
      <c r="BY312" s="829">
        <f t="shared" si="640"/>
        <v>0</v>
      </c>
      <c r="BZ312" s="829">
        <f t="shared" ca="1" si="640"/>
        <v>25.407339741296958</v>
      </c>
      <c r="CA312" s="829">
        <f t="shared" ca="1" si="640"/>
        <v>25.59985357064965</v>
      </c>
      <c r="CB312" s="829">
        <f t="shared" ca="1" si="640"/>
        <v>21.4449693085974</v>
      </c>
      <c r="CC312" s="829">
        <f t="shared" ca="1" si="640"/>
        <v>19.057679912588068</v>
      </c>
      <c r="CD312" s="829">
        <f t="shared" si="640"/>
        <v>18.266759259374997</v>
      </c>
      <c r="CE312" s="829">
        <f t="shared" si="640"/>
        <v>23.818067778124998</v>
      </c>
      <c r="CF312" s="829">
        <f t="shared" si="640"/>
        <v>23.547291134374998</v>
      </c>
      <c r="CG312" s="829">
        <f t="shared" si="640"/>
        <v>23.486904303124998</v>
      </c>
      <c r="CH312" s="829">
        <f t="shared" si="640"/>
        <v>24.288894096874998</v>
      </c>
      <c r="CI312" s="829">
        <f t="shared" si="640"/>
        <v>24.434394690624998</v>
      </c>
      <c r="CJ312" s="829">
        <f t="shared" si="640"/>
        <v>24.590141234374997</v>
      </c>
      <c r="CK312" s="829">
        <f t="shared" si="640"/>
        <v>21.119364178125</v>
      </c>
      <c r="CL312" s="829">
        <f t="shared" si="640"/>
        <v>17.602022571875001</v>
      </c>
      <c r="CM312" s="829">
        <f t="shared" si="640"/>
        <v>25.333923565624996</v>
      </c>
      <c r="CN312" s="829"/>
      <c r="CO312" s="829"/>
      <c r="CP312" s="829"/>
      <c r="CQ312" s="829"/>
      <c r="CR312" s="829"/>
      <c r="CS312" s="829"/>
      <c r="CT312" s="829"/>
      <c r="CU312" s="829"/>
      <c r="CV312" s="829"/>
      <c r="CW312" s="829"/>
      <c r="CX312" s="829"/>
      <c r="CY312" s="829"/>
      <c r="CZ312" s="829"/>
      <c r="DA312" s="829"/>
      <c r="DB312" s="829"/>
      <c r="DC312" s="829"/>
    </row>
    <row r="313" spans="1:107">
      <c r="A313" s="15"/>
      <c r="B313" s="14" t="s">
        <v>418</v>
      </c>
      <c r="C313" s="15"/>
      <c r="D313" s="15"/>
      <c r="E313" s="195">
        <f>SUM(AF313:AI313)</f>
        <v>29.111000000000004</v>
      </c>
      <c r="F313" s="195">
        <f>SUM(AJ313:AM313)</f>
        <v>43.81</v>
      </c>
      <c r="G313" s="195">
        <f>SUM(AN313:AQ313)</f>
        <v>35.097999999999999</v>
      </c>
      <c r="H313" s="195">
        <f>SUM(AR313:AU313)</f>
        <v>20.512</v>
      </c>
      <c r="I313" s="195">
        <f>SUM(AV313:AY313)</f>
        <v>11.496</v>
      </c>
      <c r="J313" s="195">
        <f>SUM(AZ313:BC313)</f>
        <v>8.879999999999999</v>
      </c>
      <c r="K313" s="195">
        <f>SUM(BD313:BG313)</f>
        <v>14.875</v>
      </c>
      <c r="L313" s="195">
        <f>SUM(BH313:BK313)</f>
        <v>27.332999999999998</v>
      </c>
      <c r="M313" s="195">
        <f>SUM(BL313:BO313)</f>
        <v>61.677000000000007</v>
      </c>
      <c r="N313" s="195">
        <f>SUM(BP313:BS313)</f>
        <v>74.231999999999999</v>
      </c>
      <c r="O313" s="195">
        <f>SUM(BT313:BW313)</f>
        <v>140.47500000000002</v>
      </c>
      <c r="P313" s="195">
        <f>SUM(BX313:CA313)</f>
        <v>181.303</v>
      </c>
      <c r="Q313" s="195">
        <f>SUM(CB313:CE313)</f>
        <v>200.32799999999997</v>
      </c>
      <c r="R313" s="195">
        <f>SUM(CF313:CI313)</f>
        <v>248.79199999999997</v>
      </c>
      <c r="S313" s="195">
        <f>SUM(CJ313:CM313)</f>
        <v>270.553</v>
      </c>
      <c r="T313" s="195">
        <f>SUM(CN313:CQ313)</f>
        <v>299.05499999999995</v>
      </c>
      <c r="U313" s="195">
        <f>SUM(CR313:CU313)</f>
        <v>392.15599999999995</v>
      </c>
      <c r="V313" s="195">
        <f ca="1">SUM(CV313:CY313)</f>
        <v>470.2236602483872</v>
      </c>
      <c r="W313" s="195">
        <f ca="1">SUM(CZ313:DC313)</f>
        <v>472.52948585730513</v>
      </c>
      <c r="X313" s="842">
        <f ca="1">+X352+X355+X356+X357+X358+X359+X360+X361+X362+X366+X353+X363+X354+X364+X365</f>
        <v>492.41454210730512</v>
      </c>
      <c r="Y313" s="842">
        <f t="shared" ref="Y313:Z313" ca="1" si="641">+Y352+Y355+Y356+Y357+Y358+Y359+Y360+Y361+Y362+Y366+Y353+Y363+Y354+Y364+Y365</f>
        <v>527.21966210730511</v>
      </c>
      <c r="Z313" s="842">
        <f t="shared" ca="1" si="641"/>
        <v>562.0247821073051</v>
      </c>
      <c r="AA313" s="842">
        <f t="shared" ref="AA313:AD313" ca="1" si="642">+AA352+AA355+AA356+AA357+AA358+AA359+AA360+AA361+AA362+AA366+AA353+AA363+AA354+AA364+AA365</f>
        <v>579.32990210730509</v>
      </c>
      <c r="AB313" s="842">
        <f t="shared" ca="1" si="642"/>
        <v>579.13502210730508</v>
      </c>
      <c r="AC313" s="842">
        <f t="shared" ca="1" si="642"/>
        <v>578.94014210730506</v>
      </c>
      <c r="AD313" s="842">
        <f t="shared" ca="1" si="642"/>
        <v>578.74526210730505</v>
      </c>
      <c r="AE313" s="14"/>
      <c r="AF313" s="195">
        <f>IS!AL50</f>
        <v>7.7160000000000011</v>
      </c>
      <c r="AG313" s="195">
        <f>IS!AM50</f>
        <v>6.1639999999999997</v>
      </c>
      <c r="AH313" s="195">
        <f>IS!AN50</f>
        <v>6.4820000000000002</v>
      </c>
      <c r="AI313" s="195">
        <f>IS!AO50</f>
        <v>8.7490000000000023</v>
      </c>
      <c r="AJ313" s="195">
        <f>IS!AQ50</f>
        <v>10.518000000000001</v>
      </c>
      <c r="AK313" s="195">
        <f>IS!AR50</f>
        <v>11.125</v>
      </c>
      <c r="AL313" s="195">
        <f>IS!AS50</f>
        <v>11.305</v>
      </c>
      <c r="AM313" s="195">
        <f>IS!AT50</f>
        <v>10.862</v>
      </c>
      <c r="AN313" s="195">
        <f>IS!AV50</f>
        <v>9.67</v>
      </c>
      <c r="AO313" s="195">
        <f>IS!AW50</f>
        <v>8.5609999999999999</v>
      </c>
      <c r="AP313" s="195">
        <f>IS!AX50</f>
        <v>8.18</v>
      </c>
      <c r="AQ313" s="195">
        <f>IS!AY50</f>
        <v>8.6869999999999994</v>
      </c>
      <c r="AR313" s="195">
        <f>IS!BA50</f>
        <v>4.8120000000000003</v>
      </c>
      <c r="AS313" s="195">
        <f>IS!BB50</f>
        <v>5.0270000000000001</v>
      </c>
      <c r="AT313" s="195">
        <f>IS!BC50</f>
        <v>5.4779999999999998</v>
      </c>
      <c r="AU313" s="195">
        <f>IS!BD50</f>
        <v>5.1950000000000003</v>
      </c>
      <c r="AV313" s="195">
        <f>IS!BF50</f>
        <v>4.13</v>
      </c>
      <c r="AW313" s="195">
        <f>IS!BG50</f>
        <v>2.2829999999999999</v>
      </c>
      <c r="AX313" s="195">
        <f>IS!BH50</f>
        <v>2.3519999999999999</v>
      </c>
      <c r="AY313" s="195">
        <f>IS!BI50</f>
        <v>2.7309999999999999</v>
      </c>
      <c r="AZ313" s="195">
        <f>IS!BK50</f>
        <v>2.4590000000000001</v>
      </c>
      <c r="BA313" s="195">
        <f>IS!BL50</f>
        <v>1.9450000000000001</v>
      </c>
      <c r="BB313" s="195">
        <f>IS!BM50</f>
        <v>1.9279999999999999</v>
      </c>
      <c r="BC313" s="195">
        <f>IS!BN50</f>
        <v>2.548</v>
      </c>
      <c r="BD313" s="195">
        <f>IS!BP50</f>
        <v>3.8679999999999999</v>
      </c>
      <c r="BE313" s="195">
        <f>IS!BQ50</f>
        <v>3.5649999999999999</v>
      </c>
      <c r="BF313" s="195">
        <f>IS!BR50</f>
        <v>3.5510000000000002</v>
      </c>
      <c r="BG313" s="195">
        <f>IS!BS50</f>
        <v>3.891</v>
      </c>
      <c r="BH313" s="195">
        <f>IS!BU50</f>
        <v>3.4620000000000002</v>
      </c>
      <c r="BI313" s="195">
        <f>IS!BV50</f>
        <v>6.1150000000000002</v>
      </c>
      <c r="BJ313" s="195">
        <f>IS!BW50</f>
        <v>5.6619999999999999</v>
      </c>
      <c r="BK313" s="195">
        <f>IS!BX50</f>
        <v>12.093999999999999</v>
      </c>
      <c r="BL313" s="195">
        <f>IS!BZ50</f>
        <v>15.195</v>
      </c>
      <c r="BM313" s="195">
        <f>IS!CA50</f>
        <v>14.313000000000001</v>
      </c>
      <c r="BN313" s="195">
        <f>IS!CB50</f>
        <v>15.670999999999999</v>
      </c>
      <c r="BO313" s="195">
        <f>IS!CC50</f>
        <v>16.498000000000001</v>
      </c>
      <c r="BP313" s="842">
        <f>IS!CE50</f>
        <v>13.451000000000001</v>
      </c>
      <c r="BQ313" s="842">
        <f>IS!CF50</f>
        <v>15.912000000000001</v>
      </c>
      <c r="BR313" s="842">
        <f>IS!CG50</f>
        <v>22.256</v>
      </c>
      <c r="BS313" s="842">
        <f>IS!CH50</f>
        <v>22.613</v>
      </c>
      <c r="BT313" s="842">
        <f>IS!CJ50</f>
        <v>25.675000000000001</v>
      </c>
      <c r="BU313" s="842">
        <f>IS!CK50</f>
        <v>37.615000000000002</v>
      </c>
      <c r="BV313" s="842">
        <f>IS!CL50</f>
        <v>38.363</v>
      </c>
      <c r="BW313" s="842">
        <f>IS!CM50</f>
        <v>38.822000000000003</v>
      </c>
      <c r="BX313" s="842">
        <f>IS!CO50</f>
        <v>37.360999999999997</v>
      </c>
      <c r="BY313" s="842">
        <f>IS!CP50</f>
        <v>37.677</v>
      </c>
      <c r="BZ313" s="1620">
        <f>IS!CQ50</f>
        <v>51.113999999999997</v>
      </c>
      <c r="CA313" s="1620">
        <f>IS!CR50</f>
        <v>55.151000000000003</v>
      </c>
      <c r="CB313" s="1620">
        <f>IS!CT50</f>
        <v>52.817999999999998</v>
      </c>
      <c r="CC313" s="1620">
        <f>IS!CU50</f>
        <v>46.786999999999999</v>
      </c>
      <c r="CD313" s="1620">
        <f>IS!CV50</f>
        <v>50.207000000000001</v>
      </c>
      <c r="CE313" s="1620">
        <f>IS!CW50</f>
        <v>50.515999999999998</v>
      </c>
      <c r="CF313" s="1620">
        <f>IS!CX50</f>
        <v>60.331000000000003</v>
      </c>
      <c r="CG313" s="1620">
        <f>IS!CY50</f>
        <v>61.000999999999998</v>
      </c>
      <c r="CH313" s="1620">
        <f>IS!CZ50</f>
        <v>61.957000000000001</v>
      </c>
      <c r="CI313" s="1620">
        <f>IS!DA50</f>
        <v>65.503</v>
      </c>
      <c r="CJ313" s="1620">
        <f>IS!DB50</f>
        <v>68.819999999999993</v>
      </c>
      <c r="CK313" s="1620">
        <f>IS!DC50</f>
        <v>66.873999999999995</v>
      </c>
      <c r="CL313" s="1620">
        <f>IS!DD50</f>
        <v>63.756</v>
      </c>
      <c r="CM313" s="1620">
        <f>IS!DE50</f>
        <v>71.102999999999994</v>
      </c>
      <c r="CN313" s="1620">
        <f>IS!DF50</f>
        <v>68.790999999999997</v>
      </c>
      <c r="CO313" s="1620">
        <f>IS!DG50</f>
        <v>74.495999999999995</v>
      </c>
      <c r="CP313" s="1620">
        <f>IS!DH50</f>
        <v>76.269000000000005</v>
      </c>
      <c r="CQ313" s="1620">
        <f>IS!DI50</f>
        <v>79.498999999999995</v>
      </c>
      <c r="CR313" s="1620">
        <f>IS!DJ50</f>
        <v>100.863</v>
      </c>
      <c r="CS313" s="1620">
        <f>IS!DK50</f>
        <v>100.33199999999999</v>
      </c>
      <c r="CT313" s="1620">
        <f>IS!DL50</f>
        <v>92.2</v>
      </c>
      <c r="CU313" s="1620">
        <f>IS!DM50</f>
        <v>98.760999999999996</v>
      </c>
      <c r="CV313" s="1620">
        <f>IS!DN50</f>
        <v>111.684</v>
      </c>
      <c r="CW313" s="1620">
        <f>IS!DO50</f>
        <v>119.042</v>
      </c>
      <c r="CX313" s="842">
        <f ca="1">+CX352+CX355+CX356+CX357+CX358+CX359+CX360+CX361+CX362+CX366+CX353+CX363+CX354+CX364</f>
        <v>120.8164649679436</v>
      </c>
      <c r="CY313" s="842">
        <f ca="1">+CY352+CY355+CY356+CY357+CY358+CY359+CY360+CY361+CY362+CY366+CY353+CY363+CY354+CY364+CY365</f>
        <v>118.68119528044357</v>
      </c>
      <c r="CZ313" s="842">
        <f t="shared" ref="CZ313:DC313" ca="1" si="643">+CZ352+CZ355+CZ356+CZ357+CZ358+CZ359+CZ360+CZ361+CZ362+CZ366+CZ353+CZ363+CZ354+CZ364+CZ365</f>
        <v>118.13237146432628</v>
      </c>
      <c r="DA313" s="842">
        <f t="shared" ca="1" si="643"/>
        <v>118.13237146432628</v>
      </c>
      <c r="DB313" s="842">
        <f t="shared" ca="1" si="643"/>
        <v>118.13237146432628</v>
      </c>
      <c r="DC313" s="842">
        <f t="shared" ca="1" si="643"/>
        <v>118.13237146432628</v>
      </c>
    </row>
    <row r="314" spans="1:107">
      <c r="A314" s="15"/>
      <c r="B314" s="14"/>
      <c r="C314" s="15"/>
      <c r="D314" s="15"/>
      <c r="E314" s="15"/>
      <c r="F314" s="26"/>
      <c r="G314" s="26"/>
      <c r="H314" s="26"/>
      <c r="I314" s="26"/>
      <c r="J314" s="26"/>
      <c r="K314" s="15"/>
      <c r="L314" s="15"/>
      <c r="M314" s="15"/>
      <c r="N314" s="15"/>
      <c r="O314" s="15"/>
      <c r="P314" s="15"/>
      <c r="Q314" s="15"/>
      <c r="R314" s="15"/>
      <c r="S314" s="15"/>
      <c r="T314" s="15"/>
      <c r="U314" s="15"/>
      <c r="V314" s="15"/>
      <c r="W314" s="15"/>
      <c r="X314" s="15"/>
      <c r="Y314" s="15"/>
      <c r="Z314" s="15"/>
      <c r="AA314" s="15"/>
      <c r="AB314" s="15"/>
      <c r="AC314" s="15"/>
      <c r="AD314" s="15"/>
      <c r="AE314" s="15"/>
      <c r="AF314" s="195"/>
      <c r="AG314" s="195"/>
      <c r="AH314" s="195"/>
      <c r="AI314" s="195"/>
      <c r="AJ314" s="195"/>
      <c r="AK314" s="195"/>
      <c r="AL314" s="195"/>
      <c r="AM314" s="195"/>
      <c r="AN314" s="195"/>
      <c r="AO314" s="195"/>
      <c r="AP314" s="195"/>
      <c r="AQ314" s="195"/>
      <c r="AR314" s="195"/>
      <c r="AS314" s="195"/>
      <c r="AT314" s="195"/>
      <c r="AU314" s="195"/>
      <c r="AV314" s="195"/>
      <c r="AW314" s="195"/>
      <c r="AX314" s="195"/>
      <c r="AY314" s="195"/>
      <c r="AZ314" s="195"/>
      <c r="BA314" s="195"/>
      <c r="BB314" s="195"/>
      <c r="BC314" s="195"/>
      <c r="BD314" s="195"/>
      <c r="BE314" s="195"/>
      <c r="BF314" s="195"/>
      <c r="BG314" s="195"/>
      <c r="BH314" s="195"/>
      <c r="BI314" s="195"/>
      <c r="BJ314" s="195"/>
      <c r="BK314" s="195"/>
      <c r="BL314" s="195"/>
      <c r="BM314" s="195"/>
      <c r="BN314" s="195"/>
      <c r="BO314" s="195"/>
      <c r="BP314" s="842"/>
      <c r="BQ314" s="842"/>
      <c r="BR314" s="842"/>
      <c r="BS314" s="842"/>
      <c r="BT314" s="842"/>
      <c r="BU314" s="842"/>
      <c r="BV314" s="842"/>
      <c r="BW314" s="842"/>
      <c r="BX314" s="842"/>
      <c r="BY314" s="842"/>
      <c r="BZ314" s="842"/>
      <c r="CA314" s="842"/>
      <c r="CB314" s="842"/>
      <c r="CC314" s="842"/>
      <c r="CD314" s="842"/>
      <c r="CE314" s="842"/>
      <c r="CF314" s="1987"/>
      <c r="CG314" s="1987"/>
      <c r="CH314" s="1987"/>
      <c r="CI314" s="1987"/>
      <c r="CJ314" s="1987"/>
      <c r="CK314" s="1987"/>
      <c r="CL314" s="1987"/>
      <c r="CM314" s="1987"/>
      <c r="CN314" s="1987"/>
      <c r="CO314" s="1987"/>
      <c r="CP314" s="1987"/>
      <c r="CQ314" s="1987"/>
      <c r="CR314" s="1987"/>
      <c r="CS314" s="1987"/>
      <c r="CT314" s="1987"/>
      <c r="CU314" s="1987"/>
      <c r="CV314" s="1987"/>
      <c r="CW314" s="1987"/>
      <c r="CX314" s="1987"/>
      <c r="CY314" s="1987"/>
      <c r="CZ314" s="1987"/>
      <c r="DA314" s="1987"/>
      <c r="DB314" s="1987"/>
      <c r="DC314" s="1987"/>
    </row>
    <row r="315" spans="1:107" hidden="1" outlineLevel="1">
      <c r="A315" s="15"/>
      <c r="B315" s="393" t="s">
        <v>1445</v>
      </c>
      <c r="C315" s="392">
        <v>2.5000000000000001E-2</v>
      </c>
      <c r="D315" s="30"/>
      <c r="E315" s="30"/>
      <c r="F315" s="34"/>
      <c r="G315" s="34"/>
      <c r="H315" s="34"/>
      <c r="I315" s="34"/>
      <c r="J315" s="34"/>
      <c r="K315" s="87"/>
      <c r="L315" s="87"/>
      <c r="M315" s="87"/>
      <c r="N315" s="87">
        <f>SUM(BP315:BS315)</f>
        <v>0</v>
      </c>
      <c r="O315" s="87">
        <f ca="1">SUM(BT315:BW315)</f>
        <v>0</v>
      </c>
      <c r="P315" s="87">
        <f t="shared" ref="P315:Z315" si="644">$C$315*AVERAGE(O22:P22)</f>
        <v>0</v>
      </c>
      <c r="Q315" s="87">
        <f t="shared" si="644"/>
        <v>0</v>
      </c>
      <c r="R315" s="87">
        <f t="shared" si="644"/>
        <v>0</v>
      </c>
      <c r="S315" s="87">
        <f t="shared" si="644"/>
        <v>0</v>
      </c>
      <c r="T315" s="87">
        <f t="shared" si="644"/>
        <v>0</v>
      </c>
      <c r="U315" s="87">
        <f t="shared" si="644"/>
        <v>0</v>
      </c>
      <c r="V315" s="87">
        <f t="shared" si="644"/>
        <v>0</v>
      </c>
      <c r="W315" s="87">
        <f t="shared" si="644"/>
        <v>0</v>
      </c>
      <c r="X315" s="87">
        <f t="shared" si="644"/>
        <v>0</v>
      </c>
      <c r="Y315" s="87">
        <f t="shared" si="644"/>
        <v>0</v>
      </c>
      <c r="Z315" s="87">
        <f t="shared" si="644"/>
        <v>0</v>
      </c>
      <c r="AA315" s="87">
        <f t="shared" ref="AA315" si="645">$C$315*AVERAGE(Z22:AA22)</f>
        <v>0</v>
      </c>
      <c r="AB315" s="87">
        <f t="shared" ref="AB315" si="646">$C$315*AVERAGE(AA22:AB22)</f>
        <v>0</v>
      </c>
      <c r="AC315" s="87">
        <f t="shared" ref="AC315" si="647">$C$315*AVERAGE(AB22:AC22)</f>
        <v>0</v>
      </c>
      <c r="AD315" s="87">
        <f t="shared" ref="AD315" si="648">$C$315*AVERAGE(AC22:AD22)</f>
        <v>0</v>
      </c>
      <c r="AE315" s="15"/>
      <c r="AF315" s="8"/>
      <c r="AG315" s="8"/>
      <c r="AH315" s="8"/>
      <c r="AI315" s="8"/>
      <c r="AJ315" s="8"/>
      <c r="AK315" s="8"/>
      <c r="AL315" s="8"/>
      <c r="AM315" s="8"/>
      <c r="AN315" s="8"/>
      <c r="AO315" s="8"/>
      <c r="AP315" s="8"/>
      <c r="AQ315" s="8"/>
      <c r="AR315" s="8"/>
      <c r="AS315" s="8"/>
      <c r="AT315" s="8"/>
      <c r="AU315" s="8"/>
      <c r="AV315" s="8"/>
      <c r="AW315" s="8"/>
      <c r="AX315" s="8"/>
      <c r="AY315" s="8"/>
      <c r="AZ315" s="8"/>
      <c r="BA315" s="8"/>
      <c r="BB315" s="8"/>
      <c r="BC315" s="8"/>
      <c r="BD315" s="8"/>
      <c r="BE315" s="8"/>
      <c r="BF315" s="8"/>
      <c r="BG315" s="8"/>
      <c r="BH315" s="8"/>
      <c r="BI315" s="8"/>
      <c r="BJ315" s="8"/>
      <c r="BK315" s="8"/>
      <c r="BL315" s="10"/>
      <c r="BM315" s="10"/>
      <c r="BN315" s="10"/>
      <c r="BO315" s="10"/>
      <c r="BP315" s="10"/>
      <c r="BQ315" s="10"/>
      <c r="BR315" s="9"/>
      <c r="BS315" s="9"/>
      <c r="BT315" s="9"/>
      <c r="BU315" s="9"/>
      <c r="BV315" s="9"/>
      <c r="BW315" s="394">
        <f ca="1">$C315*AVERAGE(BV22:BW22)/4</f>
        <v>0</v>
      </c>
      <c r="BX315" s="394">
        <f ca="1">$C315*AVERAGE(BW22:BX22)/4</f>
        <v>0</v>
      </c>
      <c r="BY315" s="394">
        <f ca="1">$C315*AVERAGE(BX22:BY22)/4</f>
        <v>0</v>
      </c>
      <c r="BZ315" s="394">
        <f ca="1">$C315*AVERAGE(BY22:BZ22)/4</f>
        <v>0</v>
      </c>
      <c r="CA315" s="394">
        <f ca="1">$C315*AVERAGE(BZ22:CA22)/4</f>
        <v>0</v>
      </c>
      <c r="CB315" s="394">
        <v>0</v>
      </c>
      <c r="CC315" s="394">
        <v>0</v>
      </c>
      <c r="CD315" s="394">
        <v>0</v>
      </c>
      <c r="CE315" s="394">
        <v>0</v>
      </c>
      <c r="CF315" s="394">
        <v>0</v>
      </c>
      <c r="CG315" s="394">
        <v>0</v>
      </c>
      <c r="CH315" s="394">
        <v>0</v>
      </c>
      <c r="CI315" s="394">
        <v>0</v>
      </c>
      <c r="CJ315" s="394">
        <v>0</v>
      </c>
      <c r="CK315" s="394">
        <v>0</v>
      </c>
      <c r="CL315" s="394">
        <v>0</v>
      </c>
      <c r="CM315" s="394">
        <v>0</v>
      </c>
      <c r="CN315" s="394"/>
      <c r="CO315" s="394"/>
      <c r="CP315" s="394"/>
      <c r="CQ315" s="394"/>
      <c r="CR315" s="394"/>
      <c r="CS315" s="394"/>
      <c r="CT315" s="394"/>
      <c r="CU315" s="394"/>
      <c r="CV315" s="394"/>
      <c r="CW315" s="394"/>
      <c r="CX315" s="394"/>
      <c r="CY315" s="394"/>
      <c r="CZ315" s="394"/>
      <c r="DA315" s="394"/>
      <c r="DB315" s="394"/>
      <c r="DC315" s="394"/>
    </row>
    <row r="316" spans="1:107" hidden="1" outlineLevel="1">
      <c r="A316" s="1163" t="s">
        <v>604</v>
      </c>
      <c r="B316" s="132" t="s">
        <v>1446</v>
      </c>
      <c r="C316" s="2046">
        <v>2.5000000000000001E-2</v>
      </c>
      <c r="D316" s="132"/>
      <c r="E316" s="132"/>
      <c r="F316" s="87"/>
      <c r="G316" s="87"/>
      <c r="H316" s="87"/>
      <c r="I316" s="87"/>
      <c r="J316" s="87"/>
      <c r="K316" s="87"/>
      <c r="L316" s="87"/>
      <c r="M316" s="87"/>
      <c r="N316" s="87"/>
      <c r="O316" s="87"/>
      <c r="P316" s="87"/>
      <c r="Q316" s="87"/>
      <c r="R316" s="87"/>
      <c r="S316" s="87"/>
      <c r="T316" s="87"/>
      <c r="U316" s="87"/>
      <c r="V316" s="87"/>
      <c r="W316" s="87"/>
      <c r="X316" s="87">
        <f>$C$316*$Q$25</f>
        <v>0</v>
      </c>
      <c r="Y316" s="87">
        <f>$C$316*$Q$25</f>
        <v>0</v>
      </c>
      <c r="Z316" s="87">
        <f>$C$316*$Q$25</f>
        <v>0</v>
      </c>
      <c r="AA316" s="87">
        <f t="shared" ref="AA316:AD316" si="649">$C$316*$Q$25</f>
        <v>0</v>
      </c>
      <c r="AB316" s="87">
        <f t="shared" si="649"/>
        <v>0</v>
      </c>
      <c r="AC316" s="87">
        <f t="shared" si="649"/>
        <v>0</v>
      </c>
      <c r="AD316" s="87">
        <f t="shared" si="649"/>
        <v>0</v>
      </c>
      <c r="AE316" s="15"/>
      <c r="AF316" s="15"/>
      <c r="AG316" s="15"/>
      <c r="AH316" s="15"/>
      <c r="AI316" s="15"/>
      <c r="AJ316" s="15"/>
      <c r="AK316" s="15"/>
      <c r="AL316" s="15"/>
      <c r="AM316" s="15"/>
      <c r="AN316" s="15"/>
      <c r="AO316" s="15"/>
      <c r="AP316" s="15"/>
      <c r="AQ316" s="15"/>
      <c r="AR316" s="15"/>
      <c r="AS316" s="15"/>
      <c r="AT316" s="15"/>
      <c r="AU316" s="15"/>
      <c r="AV316" s="15"/>
      <c r="AW316" s="15"/>
      <c r="AX316" s="15"/>
      <c r="AY316" s="15"/>
      <c r="AZ316" s="15"/>
      <c r="BA316" s="15"/>
      <c r="BB316" s="15"/>
      <c r="BC316" s="15"/>
      <c r="BD316" s="15"/>
      <c r="BE316" s="15"/>
      <c r="BF316" s="15"/>
      <c r="BG316" s="15"/>
      <c r="BH316" s="15"/>
      <c r="BI316" s="15"/>
      <c r="BJ316" s="15"/>
      <c r="BK316" s="15"/>
      <c r="BL316" s="15"/>
      <c r="BM316" s="15"/>
      <c r="BN316" s="15"/>
      <c r="BO316" s="15"/>
      <c r="BP316" s="15"/>
      <c r="BQ316" s="15"/>
      <c r="BR316" s="15"/>
      <c r="BS316" s="15"/>
      <c r="BT316" s="15"/>
      <c r="BU316" s="15"/>
      <c r="BV316" s="15"/>
      <c r="BW316" s="15"/>
      <c r="BX316" s="15"/>
      <c r="BY316" s="26"/>
      <c r="BZ316" s="87">
        <f>$C316*$BH$26/4</f>
        <v>1.5625</v>
      </c>
      <c r="CA316" s="87">
        <f>$C316*$BH$26/4</f>
        <v>1.5625</v>
      </c>
      <c r="CB316" s="87">
        <f>$C316*$BH$26/4</f>
        <v>1.5625</v>
      </c>
      <c r="CC316" s="87"/>
      <c r="CD316" s="87"/>
      <c r="CE316" s="87"/>
      <c r="CF316" s="87"/>
      <c r="CG316" s="87"/>
      <c r="CH316" s="87"/>
      <c r="CI316" s="87"/>
      <c r="CJ316" s="87"/>
      <c r="CK316" s="87"/>
      <c r="CL316" s="87"/>
      <c r="CM316" s="87"/>
      <c r="CN316" s="87"/>
      <c r="CO316" s="87"/>
      <c r="CP316" s="87"/>
      <c r="CQ316" s="87"/>
      <c r="CR316" s="87"/>
      <c r="CS316" s="87"/>
      <c r="CT316" s="87"/>
      <c r="CU316" s="87"/>
      <c r="CV316" s="87"/>
      <c r="CW316" s="87"/>
      <c r="CX316" s="87"/>
      <c r="CY316" s="87"/>
      <c r="CZ316" s="87"/>
      <c r="DA316" s="87"/>
      <c r="DB316" s="87"/>
      <c r="DC316" s="87"/>
    </row>
    <row r="317" spans="1:107" hidden="1" outlineLevel="1">
      <c r="A317" s="15"/>
      <c r="B317" s="390" t="s">
        <v>145</v>
      </c>
      <c r="C317" s="2046">
        <v>8.3699999999999997E-2</v>
      </c>
      <c r="D317" s="132"/>
      <c r="E317" s="132"/>
      <c r="F317" s="87"/>
      <c r="G317" s="87"/>
      <c r="H317" s="87"/>
      <c r="I317" s="87"/>
      <c r="J317" s="87"/>
      <c r="K317" s="87"/>
      <c r="L317" s="87"/>
      <c r="M317" s="87"/>
      <c r="N317" s="87"/>
      <c r="O317" s="87"/>
      <c r="P317" s="87"/>
      <c r="Q317" s="87"/>
      <c r="R317" s="87"/>
      <c r="S317" s="87"/>
      <c r="T317" s="87"/>
      <c r="U317" s="87"/>
      <c r="V317" s="87"/>
      <c r="W317" s="87"/>
      <c r="X317" s="87"/>
      <c r="Y317" s="87"/>
      <c r="Z317" s="87"/>
      <c r="AA317" s="87"/>
      <c r="AB317" s="87"/>
      <c r="AC317" s="87"/>
      <c r="AD317" s="87"/>
      <c r="AE317" s="15"/>
      <c r="AF317" s="15"/>
      <c r="AG317" s="15"/>
      <c r="AH317" s="15"/>
      <c r="AI317" s="15"/>
      <c r="AJ317" s="15"/>
      <c r="AK317" s="15"/>
      <c r="AL317" s="15"/>
      <c r="AM317" s="15"/>
      <c r="AN317" s="15"/>
      <c r="AO317" s="15"/>
      <c r="AP317" s="15"/>
      <c r="AQ317" s="15"/>
      <c r="AR317" s="15"/>
      <c r="AS317" s="15"/>
      <c r="AT317" s="15"/>
      <c r="AU317" s="15"/>
      <c r="AV317" s="15"/>
      <c r="AW317" s="15"/>
      <c r="AX317" s="15"/>
      <c r="AY317" s="15"/>
      <c r="AZ317" s="15"/>
      <c r="BA317" s="15"/>
      <c r="BB317" s="15"/>
      <c r="BC317" s="15"/>
      <c r="BD317" s="15"/>
      <c r="BE317" s="15"/>
      <c r="BF317" s="15"/>
      <c r="BG317" s="15"/>
      <c r="BH317" s="15"/>
      <c r="BI317" s="15"/>
      <c r="BJ317" s="15"/>
      <c r="BK317" s="15"/>
      <c r="BL317" s="15"/>
      <c r="BM317" s="15"/>
      <c r="BN317" s="15"/>
      <c r="BO317" s="15"/>
      <c r="BP317" s="15"/>
      <c r="BQ317" s="124"/>
      <c r="BR317" s="124"/>
      <c r="BS317" s="124"/>
      <c r="BT317" s="124"/>
      <c r="BU317" s="124"/>
      <c r="BV317" s="124"/>
      <c r="BW317" s="124"/>
      <c r="BX317" s="124"/>
      <c r="BY317" s="1564"/>
      <c r="BZ317" s="388">
        <f t="shared" ref="BZ317:CM317" si="650">BZ318-BZ316</f>
        <v>3.5031532478551028</v>
      </c>
      <c r="CA317" s="388">
        <f t="shared" ca="1" si="650"/>
        <v>3.6432571240228526</v>
      </c>
      <c r="CB317" s="388">
        <f t="shared" ca="1" si="650"/>
        <v>0.87566521787262275</v>
      </c>
      <c r="CC317" s="388">
        <f t="shared" si="650"/>
        <v>0</v>
      </c>
      <c r="CD317" s="388">
        <f t="shared" si="650"/>
        <v>0</v>
      </c>
      <c r="CE317" s="388">
        <f t="shared" si="650"/>
        <v>0</v>
      </c>
      <c r="CF317" s="388">
        <f t="shared" si="650"/>
        <v>0</v>
      </c>
      <c r="CG317" s="388">
        <f t="shared" si="650"/>
        <v>0</v>
      </c>
      <c r="CH317" s="388">
        <f t="shared" si="650"/>
        <v>0</v>
      </c>
      <c r="CI317" s="388">
        <f t="shared" si="650"/>
        <v>0</v>
      </c>
      <c r="CJ317" s="388">
        <f t="shared" si="650"/>
        <v>0</v>
      </c>
      <c r="CK317" s="388">
        <f t="shared" si="650"/>
        <v>0</v>
      </c>
      <c r="CL317" s="388">
        <f t="shared" si="650"/>
        <v>0</v>
      </c>
      <c r="CM317" s="388">
        <f t="shared" si="650"/>
        <v>0</v>
      </c>
      <c r="CN317" s="388"/>
      <c r="CO317" s="388"/>
      <c r="CP317" s="388"/>
      <c r="CQ317" s="388"/>
      <c r="CR317" s="388"/>
      <c r="CS317" s="388"/>
      <c r="CT317" s="388"/>
      <c r="CU317" s="388"/>
      <c r="CV317" s="388"/>
      <c r="CW317" s="388"/>
      <c r="CX317" s="388"/>
      <c r="CY317" s="388"/>
      <c r="CZ317" s="388"/>
      <c r="DA317" s="388"/>
      <c r="DB317" s="388"/>
      <c r="DC317" s="388"/>
    </row>
    <row r="318" spans="1:107" hidden="1" outlineLevel="1">
      <c r="A318" s="15"/>
      <c r="B318" s="73" t="s">
        <v>146</v>
      </c>
      <c r="C318" s="2046"/>
      <c r="D318" s="132"/>
      <c r="E318" s="132"/>
      <c r="F318" s="87"/>
      <c r="G318" s="87"/>
      <c r="H318" s="87"/>
      <c r="I318" s="87"/>
      <c r="J318" s="87"/>
      <c r="K318" s="87"/>
      <c r="L318" s="87"/>
      <c r="M318" s="87"/>
      <c r="N318" s="87"/>
      <c r="O318" s="87"/>
      <c r="P318" s="87"/>
      <c r="Q318" s="87"/>
      <c r="R318" s="87"/>
      <c r="S318" s="87"/>
      <c r="T318" s="87"/>
      <c r="U318" s="87"/>
      <c r="V318" s="87"/>
      <c r="W318" s="87"/>
      <c r="X318" s="87"/>
      <c r="Y318" s="87"/>
      <c r="Z318" s="87"/>
      <c r="AA318" s="87"/>
      <c r="AB318" s="87"/>
      <c r="AC318" s="87"/>
      <c r="AD318" s="87"/>
      <c r="AE318" s="15"/>
      <c r="AF318" s="15"/>
      <c r="AG318" s="15"/>
      <c r="AH318" s="15"/>
      <c r="AI318" s="15"/>
      <c r="AJ318" s="15"/>
      <c r="AK318" s="15"/>
      <c r="AL318" s="15"/>
      <c r="AM318" s="15"/>
      <c r="AN318" s="15"/>
      <c r="AO318" s="15"/>
      <c r="AP318" s="15"/>
      <c r="AQ318" s="15"/>
      <c r="AR318" s="15"/>
      <c r="AS318" s="15"/>
      <c r="AT318" s="15"/>
      <c r="AU318" s="15"/>
      <c r="AV318" s="15"/>
      <c r="AW318" s="15"/>
      <c r="AX318" s="15"/>
      <c r="AY318" s="15"/>
      <c r="AZ318" s="15"/>
      <c r="BA318" s="15"/>
      <c r="BB318" s="15"/>
      <c r="BC318" s="15"/>
      <c r="BD318" s="15"/>
      <c r="BE318" s="15"/>
      <c r="BF318" s="15"/>
      <c r="BG318" s="15"/>
      <c r="BH318" s="15"/>
      <c r="BI318" s="15"/>
      <c r="BJ318" s="15"/>
      <c r="BK318" s="15"/>
      <c r="BL318" s="15"/>
      <c r="BM318" s="15"/>
      <c r="BN318" s="15"/>
      <c r="BO318" s="15"/>
      <c r="BP318" s="15"/>
      <c r="BQ318" s="15"/>
      <c r="BR318" s="15"/>
      <c r="BS318" s="15"/>
      <c r="BT318" s="15"/>
      <c r="BU318" s="15"/>
      <c r="BV318" s="15"/>
      <c r="BW318" s="15"/>
      <c r="BX318" s="15"/>
      <c r="BY318" s="820"/>
      <c r="BZ318" s="277">
        <f>$C$317*BZ29/4</f>
        <v>5.0656532478551028</v>
      </c>
      <c r="CA318" s="277">
        <f ca="1">-CA28</f>
        <v>5.2057571240228526</v>
      </c>
      <c r="CB318" s="277">
        <f ca="1">-CB28</f>
        <v>2.4381652178726227</v>
      </c>
      <c r="CC318" s="277">
        <f t="shared" ref="CC318:CM318" si="651">$C$317*CC29/4</f>
        <v>0</v>
      </c>
      <c r="CD318" s="277">
        <f t="shared" si="651"/>
        <v>0</v>
      </c>
      <c r="CE318" s="277">
        <f t="shared" si="651"/>
        <v>0</v>
      </c>
      <c r="CF318" s="277">
        <f t="shared" si="651"/>
        <v>0</v>
      </c>
      <c r="CG318" s="277">
        <f t="shared" si="651"/>
        <v>0</v>
      </c>
      <c r="CH318" s="277">
        <f t="shared" si="651"/>
        <v>0</v>
      </c>
      <c r="CI318" s="277">
        <f t="shared" si="651"/>
        <v>0</v>
      </c>
      <c r="CJ318" s="277">
        <f t="shared" si="651"/>
        <v>0</v>
      </c>
      <c r="CK318" s="277">
        <f t="shared" si="651"/>
        <v>0</v>
      </c>
      <c r="CL318" s="277">
        <f t="shared" si="651"/>
        <v>0</v>
      </c>
      <c r="CM318" s="277">
        <f t="shared" si="651"/>
        <v>0</v>
      </c>
      <c r="CN318" s="277"/>
      <c r="CO318" s="277"/>
      <c r="CP318" s="277"/>
      <c r="CQ318" s="277"/>
      <c r="CR318" s="277"/>
      <c r="CS318" s="277"/>
      <c r="CT318" s="277"/>
      <c r="CU318" s="277"/>
      <c r="CV318" s="277"/>
      <c r="CW318" s="277"/>
      <c r="CX318" s="277"/>
      <c r="CY318" s="277"/>
      <c r="CZ318" s="277"/>
      <c r="DA318" s="277"/>
      <c r="DB318" s="277"/>
      <c r="DC318" s="277"/>
    </row>
    <row r="319" spans="1:107" hidden="1" outlineLevel="1">
      <c r="A319" s="15"/>
      <c r="B319" s="132" t="s">
        <v>1447</v>
      </c>
      <c r="C319" s="2046">
        <v>0.03</v>
      </c>
      <c r="D319" s="132"/>
      <c r="E319" s="132"/>
      <c r="F319" s="87"/>
      <c r="G319" s="87"/>
      <c r="H319" s="87"/>
      <c r="I319" s="87"/>
      <c r="J319" s="87"/>
      <c r="K319" s="87"/>
      <c r="L319" s="87"/>
      <c r="M319" s="87"/>
      <c r="N319" s="87"/>
      <c r="O319" s="87"/>
      <c r="P319" s="87"/>
      <c r="Q319" s="87"/>
      <c r="R319" s="87"/>
      <c r="S319" s="87"/>
      <c r="T319" s="87"/>
      <c r="U319" s="87"/>
      <c r="V319" s="87"/>
      <c r="W319" s="87"/>
      <c r="X319" s="87">
        <f ca="1">$C319*AVERAGE(W35:X35)</f>
        <v>0</v>
      </c>
      <c r="Y319" s="87">
        <f ca="1">$C319*AVERAGE(X35:Y35)</f>
        <v>0</v>
      </c>
      <c r="Z319" s="87">
        <f ca="1">$C319*AVERAGE(Y35:Z35)</f>
        <v>0</v>
      </c>
      <c r="AA319" s="87">
        <f t="shared" ref="AA319:AD319" ca="1" si="652">$C319*AVERAGE(Z35:AA35)</f>
        <v>0</v>
      </c>
      <c r="AB319" s="87">
        <f t="shared" ca="1" si="652"/>
        <v>0</v>
      </c>
      <c r="AC319" s="87">
        <f t="shared" ca="1" si="652"/>
        <v>0</v>
      </c>
      <c r="AD319" s="87">
        <f t="shared" ca="1" si="652"/>
        <v>0</v>
      </c>
      <c r="AE319" s="15"/>
      <c r="AF319" s="15"/>
      <c r="AG319" s="15"/>
      <c r="AH319" s="15"/>
      <c r="AI319" s="15"/>
      <c r="AJ319" s="15"/>
      <c r="AK319" s="15"/>
      <c r="AL319" s="15"/>
      <c r="AM319" s="15"/>
      <c r="AN319" s="15"/>
      <c r="AO319" s="15"/>
      <c r="AP319" s="15"/>
      <c r="AQ319" s="15"/>
      <c r="AR319" s="15"/>
      <c r="AS319" s="15"/>
      <c r="AT319" s="15"/>
      <c r="AU319" s="15"/>
      <c r="AV319" s="15"/>
      <c r="AW319" s="15"/>
      <c r="AX319" s="15"/>
      <c r="AY319" s="15"/>
      <c r="AZ319" s="15"/>
      <c r="BA319" s="15"/>
      <c r="BB319" s="15"/>
      <c r="BC319" s="15"/>
      <c r="BD319" s="15"/>
      <c r="BE319" s="15"/>
      <c r="BF319" s="15"/>
      <c r="BG319" s="15"/>
      <c r="BH319" s="15"/>
      <c r="BI319" s="15"/>
      <c r="BJ319" s="15"/>
      <c r="BK319" s="15"/>
      <c r="BL319" s="883"/>
      <c r="BM319" s="883"/>
      <c r="BN319" s="883"/>
      <c r="BO319" s="883"/>
      <c r="BP319" s="883"/>
      <c r="BQ319" s="883"/>
      <c r="BR319" s="883"/>
      <c r="BS319" s="883"/>
      <c r="BT319" s="883"/>
      <c r="BU319" s="883"/>
      <c r="BV319" s="883"/>
      <c r="BW319" s="883"/>
      <c r="BX319" s="883"/>
      <c r="BY319" s="26"/>
      <c r="BZ319" s="87">
        <f t="shared" ref="BZ319:CM319" si="653">$C319*AVERAGE(BY35:BZ35)/4</f>
        <v>2.9698949999999997</v>
      </c>
      <c r="CA319" s="87">
        <f t="shared" si="653"/>
        <v>2.9698949999999997</v>
      </c>
      <c r="CB319" s="87">
        <f t="shared" si="653"/>
        <v>2.9698949999999997</v>
      </c>
      <c r="CC319" s="87">
        <f t="shared" si="653"/>
        <v>2.9698949999999997</v>
      </c>
      <c r="CD319" s="87">
        <f t="shared" si="653"/>
        <v>2.9698949999999997</v>
      </c>
      <c r="CE319" s="87">
        <f t="shared" si="653"/>
        <v>2.9698949999999997</v>
      </c>
      <c r="CF319" s="87">
        <f t="shared" si="653"/>
        <v>2.9698949999999997</v>
      </c>
      <c r="CG319" s="87">
        <f t="shared" si="653"/>
        <v>2.9698949999999997</v>
      </c>
      <c r="CH319" s="87">
        <f t="shared" si="653"/>
        <v>2.9698949999999997</v>
      </c>
      <c r="CI319" s="87">
        <f t="shared" si="653"/>
        <v>2.9698949999999997</v>
      </c>
      <c r="CJ319" s="87">
        <f t="shared" si="653"/>
        <v>2.9698949999999997</v>
      </c>
      <c r="CK319" s="87">
        <f t="shared" si="653"/>
        <v>2.1553987499999998</v>
      </c>
      <c r="CL319" s="87">
        <f t="shared" si="653"/>
        <v>1.3409024999999999</v>
      </c>
      <c r="CM319" s="87">
        <f t="shared" si="653"/>
        <v>0.67045124999999994</v>
      </c>
      <c r="CN319" s="87"/>
      <c r="CO319" s="87"/>
      <c r="CP319" s="87"/>
      <c r="CQ319" s="87"/>
      <c r="CR319" s="87"/>
      <c r="CS319" s="87"/>
      <c r="CT319" s="87"/>
      <c r="CU319" s="87"/>
      <c r="CV319" s="87"/>
      <c r="CW319" s="87"/>
      <c r="CX319" s="87"/>
      <c r="CY319" s="87"/>
      <c r="CZ319" s="87"/>
      <c r="DA319" s="87"/>
      <c r="DB319" s="87"/>
      <c r="DC319" s="87"/>
    </row>
    <row r="320" spans="1:107" hidden="1" outlineLevel="1">
      <c r="A320" s="15"/>
      <c r="B320" s="132" t="s">
        <v>1478</v>
      </c>
      <c r="C320" s="2046">
        <v>0.05</v>
      </c>
      <c r="D320" s="132"/>
      <c r="E320" s="132"/>
      <c r="F320" s="87"/>
      <c r="G320" s="87"/>
      <c r="H320" s="87"/>
      <c r="I320" s="87"/>
      <c r="J320" s="87"/>
      <c r="K320" s="87"/>
      <c r="L320" s="87"/>
      <c r="M320" s="87"/>
      <c r="N320" s="87"/>
      <c r="O320" s="87"/>
      <c r="P320" s="87"/>
      <c r="Q320" s="87"/>
      <c r="R320" s="87"/>
      <c r="S320" s="87"/>
      <c r="T320" s="87"/>
      <c r="U320" s="87"/>
      <c r="V320" s="87"/>
      <c r="W320" s="87"/>
      <c r="X320" s="87">
        <f>$C320*AVERAGE(W65:X65)</f>
        <v>0</v>
      </c>
      <c r="Y320" s="87">
        <f>$C320*AVERAGE(X65:Y65)</f>
        <v>0</v>
      </c>
      <c r="Z320" s="87">
        <f>$C320*AVERAGE(Y65:Z65)</f>
        <v>0</v>
      </c>
      <c r="AA320" s="87">
        <f t="shared" ref="AA320:AD320" si="654">$C320*AVERAGE(Z65:AA65)</f>
        <v>0</v>
      </c>
      <c r="AB320" s="87">
        <f t="shared" si="654"/>
        <v>0</v>
      </c>
      <c r="AC320" s="87">
        <f t="shared" si="654"/>
        <v>0</v>
      </c>
      <c r="AD320" s="87">
        <f t="shared" si="654"/>
        <v>0</v>
      </c>
      <c r="AE320" s="15"/>
      <c r="AF320" s="15"/>
      <c r="AG320" s="15"/>
      <c r="AH320" s="15"/>
      <c r="AI320" s="15"/>
      <c r="AJ320" s="15"/>
      <c r="AK320" s="15"/>
      <c r="AL320" s="15"/>
      <c r="AM320" s="15"/>
      <c r="AN320" s="15"/>
      <c r="AO320" s="15"/>
      <c r="AP320" s="15"/>
      <c r="AQ320" s="15"/>
      <c r="AR320" s="15"/>
      <c r="AS320" s="15"/>
      <c r="AT320" s="15"/>
      <c r="AU320" s="15"/>
      <c r="AV320" s="15"/>
      <c r="AW320" s="15"/>
      <c r="AX320" s="15"/>
      <c r="AY320" s="15"/>
      <c r="AZ320" s="15"/>
      <c r="BA320" s="15"/>
      <c r="BB320" s="15"/>
      <c r="BC320" s="15"/>
      <c r="BD320" s="15"/>
      <c r="BE320" s="15"/>
      <c r="BF320" s="15"/>
      <c r="BG320" s="15"/>
      <c r="BH320" s="15"/>
      <c r="BI320" s="15"/>
      <c r="BJ320" s="15"/>
      <c r="BK320" s="15"/>
      <c r="BL320" s="883"/>
      <c r="BM320" s="883"/>
      <c r="BN320" s="883"/>
      <c r="BO320" s="883"/>
      <c r="BP320" s="883"/>
      <c r="BQ320" s="883"/>
      <c r="BR320" s="883"/>
      <c r="BS320" s="883"/>
      <c r="BT320" s="883"/>
      <c r="BU320" s="883"/>
      <c r="BV320" s="883"/>
      <c r="BW320" s="883"/>
      <c r="BX320" s="883"/>
      <c r="BY320" s="26"/>
      <c r="BZ320" s="87">
        <f t="shared" ref="BZ320:CM320" si="655">$C320*AVERAGE(BY65:BZ65)/4</f>
        <v>0</v>
      </c>
      <c r="CA320" s="87">
        <f t="shared" si="655"/>
        <v>0</v>
      </c>
      <c r="CB320" s="87">
        <f t="shared" si="655"/>
        <v>0</v>
      </c>
      <c r="CC320" s="87">
        <f t="shared" si="655"/>
        <v>0</v>
      </c>
      <c r="CD320" s="87">
        <f t="shared" si="655"/>
        <v>0</v>
      </c>
      <c r="CE320" s="87">
        <f t="shared" si="655"/>
        <v>0</v>
      </c>
      <c r="CF320" s="87">
        <f t="shared" si="655"/>
        <v>0</v>
      </c>
      <c r="CG320" s="87">
        <f t="shared" si="655"/>
        <v>0</v>
      </c>
      <c r="CH320" s="87">
        <f t="shared" si="655"/>
        <v>0</v>
      </c>
      <c r="CI320" s="87">
        <f t="shared" si="655"/>
        <v>0</v>
      </c>
      <c r="CJ320" s="87">
        <f t="shared" si="655"/>
        <v>0</v>
      </c>
      <c r="CK320" s="87">
        <f t="shared" si="655"/>
        <v>0</v>
      </c>
      <c r="CL320" s="87">
        <f t="shared" si="655"/>
        <v>0</v>
      </c>
      <c r="CM320" s="87">
        <f t="shared" si="655"/>
        <v>0</v>
      </c>
      <c r="CN320" s="87"/>
      <c r="CO320" s="87"/>
      <c r="CP320" s="87"/>
      <c r="CQ320" s="87"/>
      <c r="CR320" s="87"/>
      <c r="CS320" s="87"/>
      <c r="CT320" s="87"/>
      <c r="CU320" s="87"/>
      <c r="CV320" s="87"/>
      <c r="CW320" s="87"/>
      <c r="CX320" s="87"/>
      <c r="CY320" s="87"/>
      <c r="CZ320" s="87"/>
      <c r="DA320" s="87"/>
      <c r="DB320" s="87"/>
      <c r="DC320" s="87"/>
    </row>
    <row r="321" spans="1:107" hidden="1" outlineLevel="1">
      <c r="A321" s="15"/>
      <c r="B321" s="132" t="s">
        <v>1448</v>
      </c>
      <c r="C321" s="2046">
        <v>0.08</v>
      </c>
      <c r="D321" s="132"/>
      <c r="E321" s="132"/>
      <c r="F321" s="87"/>
      <c r="G321" s="87"/>
      <c r="H321" s="87"/>
      <c r="I321" s="87"/>
      <c r="J321" s="87"/>
      <c r="K321" s="87"/>
      <c r="L321" s="87"/>
      <c r="M321" s="87"/>
      <c r="N321" s="87"/>
      <c r="O321" s="87"/>
      <c r="P321" s="87"/>
      <c r="Q321" s="87"/>
      <c r="R321" s="87"/>
      <c r="S321" s="87"/>
      <c r="T321" s="87"/>
      <c r="U321" s="87"/>
      <c r="V321" s="87"/>
      <c r="W321" s="87"/>
      <c r="X321" s="87">
        <f>$C321*AVERAGE(W71:X71)</f>
        <v>0</v>
      </c>
      <c r="Y321" s="87">
        <f>$C321*AVERAGE(X71:Y71)</f>
        <v>0</v>
      </c>
      <c r="Z321" s="87">
        <f>$C321*AVERAGE(Y71:Z71)</f>
        <v>0</v>
      </c>
      <c r="AA321" s="87">
        <f t="shared" ref="AA321:AD321" si="656">$C321*AVERAGE(Z71:AA71)</f>
        <v>0</v>
      </c>
      <c r="AB321" s="87">
        <f t="shared" si="656"/>
        <v>0</v>
      </c>
      <c r="AC321" s="87">
        <f t="shared" si="656"/>
        <v>0</v>
      </c>
      <c r="AD321" s="87">
        <f t="shared" si="656"/>
        <v>0</v>
      </c>
      <c r="AE321" s="15"/>
      <c r="AF321" s="15"/>
      <c r="AG321" s="15"/>
      <c r="AH321" s="15"/>
      <c r="AI321" s="15"/>
      <c r="AJ321" s="15"/>
      <c r="AK321" s="15"/>
      <c r="AL321" s="15"/>
      <c r="AM321" s="15"/>
      <c r="AN321" s="15"/>
      <c r="AO321" s="15"/>
      <c r="AP321" s="15"/>
      <c r="AQ321" s="15"/>
      <c r="AR321" s="15"/>
      <c r="AS321" s="15"/>
      <c r="AT321" s="15"/>
      <c r="AU321" s="15"/>
      <c r="AV321" s="15"/>
      <c r="AW321" s="15"/>
      <c r="AX321" s="15"/>
      <c r="AY321" s="15"/>
      <c r="AZ321" s="15"/>
      <c r="BA321" s="15"/>
      <c r="BB321" s="15"/>
      <c r="BC321" s="15"/>
      <c r="BD321" s="15"/>
      <c r="BE321" s="15"/>
      <c r="BF321" s="15"/>
      <c r="BG321" s="15"/>
      <c r="BH321" s="15"/>
      <c r="BI321" s="15"/>
      <c r="BJ321" s="15"/>
      <c r="BK321" s="15"/>
      <c r="BL321" s="883"/>
      <c r="BM321" s="883"/>
      <c r="BN321" s="883"/>
      <c r="BO321" s="883"/>
      <c r="BP321" s="883"/>
      <c r="BQ321" s="883"/>
      <c r="BR321" s="883"/>
      <c r="BS321" s="883"/>
      <c r="BT321" s="883"/>
      <c r="BU321" s="883"/>
      <c r="BV321" s="883"/>
      <c r="BW321" s="883"/>
      <c r="BX321" s="883"/>
      <c r="BY321" s="26"/>
      <c r="BZ321" s="87">
        <f t="shared" ref="BZ321:CM321" si="657">$C321*AVERAGE(BY71:BZ71)/4</f>
        <v>0</v>
      </c>
      <c r="CA321" s="87">
        <f t="shared" si="657"/>
        <v>0</v>
      </c>
      <c r="CB321" s="87">
        <f t="shared" si="657"/>
        <v>0</v>
      </c>
      <c r="CC321" s="87">
        <f t="shared" si="657"/>
        <v>0</v>
      </c>
      <c r="CD321" s="87">
        <f t="shared" si="657"/>
        <v>0</v>
      </c>
      <c r="CE321" s="87">
        <f t="shared" si="657"/>
        <v>0</v>
      </c>
      <c r="CF321" s="87">
        <f t="shared" si="657"/>
        <v>0</v>
      </c>
      <c r="CG321" s="87">
        <f t="shared" si="657"/>
        <v>0</v>
      </c>
      <c r="CH321" s="87">
        <f t="shared" si="657"/>
        <v>0</v>
      </c>
      <c r="CI321" s="87">
        <f t="shared" si="657"/>
        <v>0</v>
      </c>
      <c r="CJ321" s="87">
        <f t="shared" si="657"/>
        <v>0</v>
      </c>
      <c r="CK321" s="87">
        <f t="shared" si="657"/>
        <v>0</v>
      </c>
      <c r="CL321" s="87">
        <f t="shared" si="657"/>
        <v>0</v>
      </c>
      <c r="CM321" s="87">
        <f t="shared" si="657"/>
        <v>0</v>
      </c>
      <c r="CN321" s="87"/>
      <c r="CO321" s="87"/>
      <c r="CP321" s="87"/>
      <c r="CQ321" s="87"/>
      <c r="CR321" s="87"/>
      <c r="CS321" s="87"/>
      <c r="CT321" s="87"/>
      <c r="CU321" s="87"/>
      <c r="CV321" s="87"/>
      <c r="CW321" s="87"/>
      <c r="CX321" s="87"/>
      <c r="CY321" s="87"/>
      <c r="CZ321" s="87"/>
      <c r="DA321" s="87"/>
      <c r="DB321" s="87"/>
      <c r="DC321" s="87"/>
    </row>
    <row r="322" spans="1:107" hidden="1" outlineLevel="1">
      <c r="A322" s="15"/>
      <c r="B322" s="132" t="s">
        <v>1449</v>
      </c>
      <c r="C322" s="2046">
        <v>8.1000000000000003E-2</v>
      </c>
      <c r="D322" s="132"/>
      <c r="E322" s="132"/>
      <c r="F322" s="87"/>
      <c r="G322" s="87"/>
      <c r="H322" s="87"/>
      <c r="I322" s="87"/>
      <c r="J322" s="87"/>
      <c r="K322" s="87"/>
      <c r="L322" s="87"/>
      <c r="M322" s="87"/>
      <c r="N322" s="87"/>
      <c r="O322" s="87"/>
      <c r="P322" s="87"/>
      <c r="Q322" s="87"/>
      <c r="R322" s="87"/>
      <c r="S322" s="87"/>
      <c r="T322" s="87"/>
      <c r="U322" s="87"/>
      <c r="V322" s="87"/>
      <c r="W322" s="87"/>
      <c r="X322" s="87">
        <f>$C322*AVERAGE(W77:X77)</f>
        <v>0</v>
      </c>
      <c r="Y322" s="87">
        <f>$C322*AVERAGE(X77:Y77)</f>
        <v>0</v>
      </c>
      <c r="Z322" s="87">
        <f>$C322*AVERAGE(Y77:Z77)</f>
        <v>0</v>
      </c>
      <c r="AA322" s="87">
        <f t="shared" ref="AA322:AD322" si="658">$C322*AVERAGE(Z77:AA77)</f>
        <v>0</v>
      </c>
      <c r="AB322" s="87">
        <f t="shared" si="658"/>
        <v>0</v>
      </c>
      <c r="AC322" s="87">
        <f t="shared" si="658"/>
        <v>0</v>
      </c>
      <c r="AD322" s="87">
        <f t="shared" si="658"/>
        <v>0</v>
      </c>
      <c r="AE322" s="15"/>
      <c r="AF322" s="15"/>
      <c r="AG322" s="15"/>
      <c r="AH322" s="15"/>
      <c r="AI322" s="15"/>
      <c r="AJ322" s="15"/>
      <c r="AK322" s="15"/>
      <c r="AL322" s="15"/>
      <c r="AM322" s="15"/>
      <c r="AN322" s="15"/>
      <c r="AO322" s="15"/>
      <c r="AP322" s="15"/>
      <c r="AQ322" s="15"/>
      <c r="AR322" s="15"/>
      <c r="AS322" s="15"/>
      <c r="AT322" s="15"/>
      <c r="AU322" s="15"/>
      <c r="AV322" s="15"/>
      <c r="AW322" s="15"/>
      <c r="AX322" s="15"/>
      <c r="AY322" s="15"/>
      <c r="AZ322" s="15"/>
      <c r="BA322" s="15"/>
      <c r="BB322" s="15"/>
      <c r="BC322" s="15"/>
      <c r="BD322" s="15"/>
      <c r="BE322" s="15"/>
      <c r="BF322" s="15"/>
      <c r="BG322" s="15"/>
      <c r="BH322" s="15"/>
      <c r="BI322" s="15"/>
      <c r="BJ322" s="15"/>
      <c r="BK322" s="15"/>
      <c r="BL322" s="883"/>
      <c r="BM322" s="883"/>
      <c r="BN322" s="883"/>
      <c r="BO322" s="883"/>
      <c r="BP322" s="883"/>
      <c r="BQ322" s="883"/>
      <c r="BR322" s="883"/>
      <c r="BS322" s="883"/>
      <c r="BT322" s="883"/>
      <c r="BU322" s="883"/>
      <c r="BV322" s="883"/>
      <c r="BW322" s="883"/>
      <c r="BX322" s="883"/>
      <c r="BY322" s="26"/>
      <c r="BZ322" s="87">
        <f t="shared" ref="BZ322:CM322" si="659">$C322*AVERAGE(BY77:BZ77)/4</f>
        <v>0</v>
      </c>
      <c r="CA322" s="87">
        <f t="shared" si="659"/>
        <v>0</v>
      </c>
      <c r="CB322" s="87">
        <f t="shared" si="659"/>
        <v>0</v>
      </c>
      <c r="CC322" s="87">
        <f t="shared" si="659"/>
        <v>0</v>
      </c>
      <c r="CD322" s="87">
        <f t="shared" si="659"/>
        <v>0</v>
      </c>
      <c r="CE322" s="87">
        <f t="shared" si="659"/>
        <v>0</v>
      </c>
      <c r="CF322" s="87">
        <f t="shared" si="659"/>
        <v>0</v>
      </c>
      <c r="CG322" s="87">
        <f t="shared" si="659"/>
        <v>0</v>
      </c>
      <c r="CH322" s="87">
        <f t="shared" si="659"/>
        <v>0</v>
      </c>
      <c r="CI322" s="87">
        <f t="shared" si="659"/>
        <v>0</v>
      </c>
      <c r="CJ322" s="87">
        <f t="shared" si="659"/>
        <v>0</v>
      </c>
      <c r="CK322" s="87">
        <f t="shared" si="659"/>
        <v>0</v>
      </c>
      <c r="CL322" s="87">
        <f t="shared" si="659"/>
        <v>0</v>
      </c>
      <c r="CM322" s="87">
        <f t="shared" si="659"/>
        <v>0</v>
      </c>
      <c r="CN322" s="87"/>
      <c r="CO322" s="87"/>
      <c r="CP322" s="87"/>
      <c r="CQ322" s="87"/>
      <c r="CR322" s="87"/>
      <c r="CS322" s="87"/>
      <c r="CT322" s="87"/>
      <c r="CU322" s="87"/>
      <c r="CV322" s="87"/>
      <c r="CW322" s="87"/>
      <c r="CX322" s="87"/>
      <c r="CY322" s="87"/>
      <c r="CZ322" s="87"/>
      <c r="DA322" s="87"/>
      <c r="DB322" s="87"/>
      <c r="DC322" s="87"/>
    </row>
    <row r="323" spans="1:107" hidden="1" outlineLevel="1">
      <c r="A323" s="15"/>
      <c r="B323" s="132" t="s">
        <v>1450</v>
      </c>
      <c r="C323" s="2046">
        <v>4.58E-2</v>
      </c>
      <c r="D323" s="132"/>
      <c r="E323" s="132"/>
      <c r="F323" s="87"/>
      <c r="G323" s="87"/>
      <c r="H323" s="87"/>
      <c r="I323" s="87"/>
      <c r="J323" s="87"/>
      <c r="K323" s="87"/>
      <c r="L323" s="87"/>
      <c r="M323" s="87"/>
      <c r="N323" s="87"/>
      <c r="O323" s="87"/>
      <c r="P323" s="87"/>
      <c r="Q323" s="87"/>
      <c r="R323" s="87"/>
      <c r="S323" s="87"/>
      <c r="T323" s="87"/>
      <c r="U323" s="87"/>
      <c r="V323" s="87"/>
      <c r="W323" s="87"/>
      <c r="X323" s="87">
        <f>$C323*AVERAGE(W83:X83)</f>
        <v>0</v>
      </c>
      <c r="Y323" s="87">
        <f>$C323*AVERAGE(X83:Y83)</f>
        <v>0</v>
      </c>
      <c r="Z323" s="87">
        <f>$C323*AVERAGE(Y83:Z83)</f>
        <v>0</v>
      </c>
      <c r="AA323" s="87">
        <f t="shared" ref="AA323:AD323" si="660">$C323*AVERAGE(Z83:AA83)</f>
        <v>0</v>
      </c>
      <c r="AB323" s="87">
        <f t="shared" si="660"/>
        <v>0</v>
      </c>
      <c r="AC323" s="87">
        <f t="shared" si="660"/>
        <v>0</v>
      </c>
      <c r="AD323" s="87">
        <f t="shared" si="660"/>
        <v>0</v>
      </c>
      <c r="AE323" s="15"/>
      <c r="AF323" s="15"/>
      <c r="AG323" s="15"/>
      <c r="AH323" s="15"/>
      <c r="AI323" s="15"/>
      <c r="AJ323" s="15"/>
      <c r="AK323" s="15"/>
      <c r="AL323" s="15"/>
      <c r="AM323" s="15"/>
      <c r="AN323" s="15"/>
      <c r="AO323" s="15"/>
      <c r="AP323" s="15"/>
      <c r="AQ323" s="15"/>
      <c r="AR323" s="15"/>
      <c r="AS323" s="15"/>
      <c r="AT323" s="15"/>
      <c r="AU323" s="15"/>
      <c r="AV323" s="15"/>
      <c r="AW323" s="15"/>
      <c r="AX323" s="15"/>
      <c r="AY323" s="15"/>
      <c r="AZ323" s="15"/>
      <c r="BA323" s="15"/>
      <c r="BB323" s="15"/>
      <c r="BC323" s="15"/>
      <c r="BD323" s="15"/>
      <c r="BE323" s="15"/>
      <c r="BF323" s="15"/>
      <c r="BG323" s="15"/>
      <c r="BH323" s="15"/>
      <c r="BI323" s="15"/>
      <c r="BJ323" s="15"/>
      <c r="BK323" s="15"/>
      <c r="BL323" s="883"/>
      <c r="BM323" s="883"/>
      <c r="BN323" s="883"/>
      <c r="BO323" s="883"/>
      <c r="BP323" s="883"/>
      <c r="BQ323" s="883"/>
      <c r="BR323" s="883"/>
      <c r="BS323" s="883"/>
      <c r="BT323" s="883"/>
      <c r="BU323" s="883"/>
      <c r="BV323" s="883"/>
      <c r="BW323" s="883"/>
      <c r="BX323" s="883"/>
      <c r="BY323" s="26"/>
      <c r="BZ323" s="87">
        <f t="shared" ref="BZ323:CM323" si="661">$C323*AVERAGE(BY83:BZ83)/4</f>
        <v>2.1622637999999998</v>
      </c>
      <c r="CA323" s="87">
        <f t="shared" si="661"/>
        <v>2.167983075</v>
      </c>
      <c r="CB323" s="87">
        <f t="shared" si="661"/>
        <v>2.1735706750000001</v>
      </c>
      <c r="CC323" s="87">
        <f t="shared" si="661"/>
        <v>2.1219369000000001</v>
      </c>
      <c r="CD323" s="87">
        <f t="shared" si="661"/>
        <v>1.0581174</v>
      </c>
      <c r="CE323" s="87">
        <f t="shared" si="661"/>
        <v>2.33809E-2</v>
      </c>
      <c r="CF323" s="87">
        <f t="shared" si="661"/>
        <v>2.3586999999999997E-2</v>
      </c>
      <c r="CG323" s="87">
        <f t="shared" si="661"/>
        <v>4.2364999999999769E-4</v>
      </c>
      <c r="CH323" s="87">
        <f t="shared" si="661"/>
        <v>5.8967500000000001E-4</v>
      </c>
      <c r="CI323" s="87">
        <f t="shared" si="661"/>
        <v>1.01447E-2</v>
      </c>
      <c r="CJ323" s="87">
        <f t="shared" si="661"/>
        <v>2.0547025E-2</v>
      </c>
      <c r="CK323" s="87">
        <f t="shared" si="661"/>
        <v>2.2499249999999998E-2</v>
      </c>
      <c r="CL323" s="87">
        <f t="shared" si="661"/>
        <v>6.9209525000000008E-2</v>
      </c>
      <c r="CM323" s="87">
        <f t="shared" si="661"/>
        <v>5.7484725E-2</v>
      </c>
      <c r="CN323" s="87"/>
      <c r="CO323" s="87"/>
      <c r="CP323" s="87"/>
      <c r="CQ323" s="87"/>
      <c r="CR323" s="87"/>
      <c r="CS323" s="87"/>
      <c r="CT323" s="87"/>
      <c r="CU323" s="87"/>
      <c r="CV323" s="87"/>
      <c r="CW323" s="87"/>
      <c r="CX323" s="87"/>
      <c r="CY323" s="87"/>
      <c r="CZ323" s="87"/>
      <c r="DA323" s="87"/>
      <c r="DB323" s="87"/>
      <c r="DC323" s="87"/>
    </row>
    <row r="324" spans="1:107" hidden="1" outlineLevel="1">
      <c r="A324" s="15"/>
      <c r="B324" s="132" t="s">
        <v>1205</v>
      </c>
      <c r="C324" s="2046">
        <v>0.05</v>
      </c>
      <c r="D324" s="132"/>
      <c r="E324" s="132"/>
      <c r="F324" s="87"/>
      <c r="G324" s="87"/>
      <c r="H324" s="87"/>
      <c r="I324" s="87"/>
      <c r="J324" s="87"/>
      <c r="K324" s="87"/>
      <c r="L324" s="87"/>
      <c r="M324" s="87"/>
      <c r="N324" s="87"/>
      <c r="O324" s="87"/>
      <c r="P324" s="87"/>
      <c r="Q324" s="87"/>
      <c r="R324" s="87"/>
      <c r="S324" s="87"/>
      <c r="T324" s="87"/>
      <c r="U324" s="87"/>
      <c r="V324" s="87"/>
      <c r="W324" s="87"/>
      <c r="X324" s="87">
        <f>$C324*AVERAGE(W47:X47)</f>
        <v>0</v>
      </c>
      <c r="Y324" s="87">
        <f>$C324*AVERAGE(X47:Y47)</f>
        <v>0</v>
      </c>
      <c r="Z324" s="87">
        <f>$C324*AVERAGE(Y47:Z47)</f>
        <v>0</v>
      </c>
      <c r="AA324" s="87">
        <f t="shared" ref="AA324:AD324" si="662">$C324*AVERAGE(Z47:AA47)</f>
        <v>0</v>
      </c>
      <c r="AB324" s="87">
        <f t="shared" si="662"/>
        <v>0</v>
      </c>
      <c r="AC324" s="87">
        <f t="shared" si="662"/>
        <v>0</v>
      </c>
      <c r="AD324" s="87">
        <f t="shared" si="662"/>
        <v>0</v>
      </c>
      <c r="AE324" s="15"/>
      <c r="AF324" s="15"/>
      <c r="AG324" s="15"/>
      <c r="AH324" s="15"/>
      <c r="AI324" s="15"/>
      <c r="AJ324" s="15"/>
      <c r="AK324" s="15"/>
      <c r="AL324" s="15"/>
      <c r="AM324" s="15"/>
      <c r="AN324" s="15"/>
      <c r="AO324" s="15"/>
      <c r="AP324" s="15"/>
      <c r="AQ324" s="15"/>
      <c r="AR324" s="15"/>
      <c r="AS324" s="15"/>
      <c r="AT324" s="15"/>
      <c r="AU324" s="15"/>
      <c r="AV324" s="15"/>
      <c r="AW324" s="15"/>
      <c r="AX324" s="15"/>
      <c r="AY324" s="15"/>
      <c r="AZ324" s="15"/>
      <c r="BA324" s="15"/>
      <c r="BB324" s="15"/>
      <c r="BC324" s="15"/>
      <c r="BD324" s="15"/>
      <c r="BE324" s="15"/>
      <c r="BF324" s="15"/>
      <c r="BG324" s="15"/>
      <c r="BH324" s="15"/>
      <c r="BI324" s="15"/>
      <c r="BJ324" s="15"/>
      <c r="BK324" s="15"/>
      <c r="BL324" s="883"/>
      <c r="BM324" s="883"/>
      <c r="BN324" s="883"/>
      <c r="BO324" s="883"/>
      <c r="BP324" s="883"/>
      <c r="BQ324" s="883"/>
      <c r="BR324" s="883"/>
      <c r="BS324" s="883"/>
      <c r="BT324" s="883"/>
      <c r="BU324" s="883"/>
      <c r="BV324" s="883"/>
      <c r="BW324" s="883"/>
      <c r="BX324" s="883"/>
      <c r="BY324" s="26"/>
      <c r="BZ324" s="87">
        <f t="shared" ref="BZ324:CM324" si="663">$C324*AVERAGE(BY47:BZ47)/4</f>
        <v>0.19370000000000001</v>
      </c>
      <c r="CA324" s="87">
        <f t="shared" si="663"/>
        <v>0.13766249999999999</v>
      </c>
      <c r="CB324" s="87">
        <f t="shared" si="663"/>
        <v>0.17256875000000002</v>
      </c>
      <c r="CC324" s="87">
        <f t="shared" si="663"/>
        <v>0.19918125</v>
      </c>
      <c r="CD324" s="87">
        <f t="shared" si="663"/>
        <v>0.39934375</v>
      </c>
      <c r="CE324" s="87">
        <f t="shared" si="663"/>
        <v>0.6134750000000001</v>
      </c>
      <c r="CF324" s="87">
        <f t="shared" si="663"/>
        <v>0.61483125000000005</v>
      </c>
      <c r="CG324" s="87">
        <f t="shared" si="663"/>
        <v>0.5905625000000001</v>
      </c>
      <c r="CH324" s="87">
        <f t="shared" si="663"/>
        <v>0.5732250000000001</v>
      </c>
      <c r="CI324" s="87">
        <f t="shared" si="663"/>
        <v>0.71671250000000009</v>
      </c>
      <c r="CJ324" s="87">
        <f t="shared" si="663"/>
        <v>0.86675625000000012</v>
      </c>
      <c r="CK324" s="87">
        <f t="shared" si="663"/>
        <v>0.85481875000000018</v>
      </c>
      <c r="CL324" s="87">
        <f t="shared" si="663"/>
        <v>0.78305625000000001</v>
      </c>
      <c r="CM324" s="87">
        <f t="shared" si="663"/>
        <v>0.72612500000000013</v>
      </c>
      <c r="CN324" s="87"/>
      <c r="CO324" s="87"/>
      <c r="CP324" s="87"/>
      <c r="CQ324" s="87"/>
      <c r="CR324" s="87"/>
      <c r="CS324" s="87"/>
      <c r="CT324" s="87"/>
      <c r="CU324" s="87"/>
      <c r="CV324" s="87"/>
      <c r="CW324" s="87"/>
      <c r="CX324" s="87"/>
      <c r="CY324" s="87"/>
      <c r="CZ324" s="87"/>
      <c r="DA324" s="87"/>
      <c r="DB324" s="87"/>
      <c r="DC324" s="87"/>
    </row>
    <row r="325" spans="1:107" hidden="1" outlineLevel="1">
      <c r="A325" s="15"/>
      <c r="B325" s="132" t="s">
        <v>1451</v>
      </c>
      <c r="C325" s="2046">
        <v>3.2500000000000001E-2</v>
      </c>
      <c r="D325" s="132"/>
      <c r="E325" s="132"/>
      <c r="F325" s="87"/>
      <c r="G325" s="87"/>
      <c r="H325" s="87"/>
      <c r="I325" s="87"/>
      <c r="J325" s="87"/>
      <c r="K325" s="87"/>
      <c r="L325" s="87"/>
      <c r="M325" s="87"/>
      <c r="N325" s="87"/>
      <c r="O325" s="87"/>
      <c r="P325" s="87"/>
      <c r="Q325" s="87"/>
      <c r="R325" s="87"/>
      <c r="S325" s="87"/>
      <c r="T325" s="87"/>
      <c r="U325" s="87"/>
      <c r="V325" s="87"/>
      <c r="W325" s="87"/>
      <c r="X325" s="87">
        <f>$C325*AVERAGE(W113:X113)</f>
        <v>0</v>
      </c>
      <c r="Y325" s="87">
        <f>$C325*AVERAGE(X113:Y113)</f>
        <v>0</v>
      </c>
      <c r="Z325" s="87">
        <f>$C325*AVERAGE(Y113:Z113)</f>
        <v>0</v>
      </c>
      <c r="AA325" s="87">
        <f t="shared" ref="AA325:AD325" si="664">$C325*AVERAGE(Z113:AA113)</f>
        <v>0</v>
      </c>
      <c r="AB325" s="87">
        <f t="shared" si="664"/>
        <v>0</v>
      </c>
      <c r="AC325" s="87">
        <f t="shared" si="664"/>
        <v>0</v>
      </c>
      <c r="AD325" s="87">
        <f t="shared" si="664"/>
        <v>0</v>
      </c>
      <c r="AE325" s="15"/>
      <c r="AF325" s="15"/>
      <c r="AG325" s="15"/>
      <c r="AH325" s="15"/>
      <c r="AI325" s="15"/>
      <c r="AJ325" s="15"/>
      <c r="AK325" s="15"/>
      <c r="AL325" s="15"/>
      <c r="AM325" s="15"/>
      <c r="AN325" s="15"/>
      <c r="AO325" s="15"/>
      <c r="AP325" s="15"/>
      <c r="AQ325" s="15"/>
      <c r="AR325" s="15"/>
      <c r="AS325" s="15"/>
      <c r="AT325" s="15"/>
      <c r="AU325" s="15"/>
      <c r="AV325" s="15"/>
      <c r="AW325" s="15"/>
      <c r="AX325" s="15"/>
      <c r="AY325" s="15"/>
      <c r="AZ325" s="15"/>
      <c r="BA325" s="15"/>
      <c r="BB325" s="15"/>
      <c r="BC325" s="15"/>
      <c r="BD325" s="15"/>
      <c r="BE325" s="15"/>
      <c r="BF325" s="15"/>
      <c r="BG325" s="15"/>
      <c r="BH325" s="15"/>
      <c r="BI325" s="15"/>
      <c r="BJ325" s="15"/>
      <c r="BK325" s="15"/>
      <c r="BL325" s="883"/>
      <c r="BM325" s="883"/>
      <c r="BN325" s="883"/>
      <c r="BO325" s="883"/>
      <c r="BP325" s="883"/>
      <c r="BQ325" s="883"/>
      <c r="BR325" s="883"/>
      <c r="BS325" s="883"/>
      <c r="BT325" s="883"/>
      <c r="BU325" s="883"/>
      <c r="BV325" s="883"/>
      <c r="BW325" s="883"/>
      <c r="BX325" s="883"/>
      <c r="BY325" s="26"/>
      <c r="BZ325" s="87">
        <f t="shared" ref="BZ325:CM325" si="665">$C325*AVERAGE(BY113:BZ113)/4</f>
        <v>0</v>
      </c>
      <c r="CA325" s="87">
        <f t="shared" si="665"/>
        <v>0</v>
      </c>
      <c r="CB325" s="87">
        <f t="shared" si="665"/>
        <v>0</v>
      </c>
      <c r="CC325" s="87">
        <f t="shared" si="665"/>
        <v>0</v>
      </c>
      <c r="CD325" s="87">
        <f t="shared" si="665"/>
        <v>0</v>
      </c>
      <c r="CE325" s="87">
        <f t="shared" si="665"/>
        <v>0</v>
      </c>
      <c r="CF325" s="87">
        <f t="shared" si="665"/>
        <v>0</v>
      </c>
      <c r="CG325" s="87">
        <f t="shared" si="665"/>
        <v>0</v>
      </c>
      <c r="CH325" s="87">
        <f t="shared" si="665"/>
        <v>0</v>
      </c>
      <c r="CI325" s="87">
        <f t="shared" si="665"/>
        <v>0</v>
      </c>
      <c r="CJ325" s="87">
        <f t="shared" si="665"/>
        <v>0</v>
      </c>
      <c r="CK325" s="87">
        <f t="shared" si="665"/>
        <v>0</v>
      </c>
      <c r="CL325" s="87">
        <f t="shared" si="665"/>
        <v>0</v>
      </c>
      <c r="CM325" s="87">
        <f t="shared" si="665"/>
        <v>0</v>
      </c>
      <c r="CN325" s="87"/>
      <c r="CO325" s="87"/>
      <c r="CP325" s="87"/>
      <c r="CQ325" s="87"/>
      <c r="CR325" s="87"/>
      <c r="CS325" s="87"/>
      <c r="CT325" s="87"/>
      <c r="CU325" s="87"/>
      <c r="CV325" s="87"/>
      <c r="CW325" s="87"/>
      <c r="CX325" s="87"/>
      <c r="CY325" s="87"/>
      <c r="CZ325" s="87"/>
      <c r="DA325" s="87"/>
      <c r="DB325" s="87"/>
      <c r="DC325" s="87"/>
    </row>
    <row r="326" spans="1:107" hidden="1" outlineLevel="1">
      <c r="A326" s="15"/>
      <c r="B326" s="132" t="s">
        <v>1452</v>
      </c>
      <c r="C326" s="2046">
        <v>6.1400000000000003E-2</v>
      </c>
      <c r="D326" s="132"/>
      <c r="E326" s="132"/>
      <c r="F326" s="87"/>
      <c r="G326" s="87"/>
      <c r="H326" s="87"/>
      <c r="I326" s="87"/>
      <c r="J326" s="87"/>
      <c r="K326" s="87"/>
      <c r="L326" s="87"/>
      <c r="M326" s="87"/>
      <c r="N326" s="87"/>
      <c r="O326" s="87"/>
      <c r="P326" s="87"/>
      <c r="Q326" s="87"/>
      <c r="R326" s="87"/>
      <c r="S326" s="87"/>
      <c r="T326" s="87"/>
      <c r="U326" s="87"/>
      <c r="V326" s="87"/>
      <c r="W326" s="87"/>
      <c r="X326" s="87">
        <f>$C326*AVERAGE(W119:X119)</f>
        <v>0</v>
      </c>
      <c r="Y326" s="87">
        <f>$C326*AVERAGE(X119:Y119)</f>
        <v>0</v>
      </c>
      <c r="Z326" s="87">
        <f>$C326*AVERAGE(Y119:Z119)</f>
        <v>0</v>
      </c>
      <c r="AA326" s="87">
        <f t="shared" ref="AA326:AD326" si="666">$C326*AVERAGE(Z119:AA119)</f>
        <v>0</v>
      </c>
      <c r="AB326" s="87">
        <f t="shared" si="666"/>
        <v>0</v>
      </c>
      <c r="AC326" s="87">
        <f t="shared" si="666"/>
        <v>0</v>
      </c>
      <c r="AD326" s="87">
        <f t="shared" si="666"/>
        <v>0</v>
      </c>
      <c r="AE326" s="15"/>
      <c r="AF326" s="15"/>
      <c r="AG326" s="15"/>
      <c r="AH326" s="15"/>
      <c r="AI326" s="15"/>
      <c r="AJ326" s="15"/>
      <c r="AK326" s="15"/>
      <c r="AL326" s="15"/>
      <c r="AM326" s="15"/>
      <c r="AN326" s="15"/>
      <c r="AO326" s="15"/>
      <c r="AP326" s="15"/>
      <c r="AQ326" s="15"/>
      <c r="AR326" s="15"/>
      <c r="AS326" s="15"/>
      <c r="AT326" s="15"/>
      <c r="AU326" s="15"/>
      <c r="AV326" s="15"/>
      <c r="AW326" s="15"/>
      <c r="AX326" s="15"/>
      <c r="AY326" s="15"/>
      <c r="AZ326" s="15"/>
      <c r="BA326" s="15"/>
      <c r="BB326" s="15"/>
      <c r="BC326" s="15"/>
      <c r="BD326" s="15"/>
      <c r="BE326" s="15"/>
      <c r="BF326" s="15"/>
      <c r="BG326" s="15"/>
      <c r="BH326" s="15"/>
      <c r="BI326" s="15"/>
      <c r="BJ326" s="15"/>
      <c r="BK326" s="15"/>
      <c r="BL326" s="883"/>
      <c r="BM326" s="883"/>
      <c r="BN326" s="883"/>
      <c r="BO326" s="883"/>
      <c r="BP326" s="883"/>
      <c r="BQ326" s="883"/>
      <c r="BR326" s="883"/>
      <c r="BS326" s="883"/>
      <c r="BT326" s="883"/>
      <c r="BU326" s="883"/>
      <c r="BV326" s="883"/>
      <c r="BW326" s="883"/>
      <c r="BX326" s="883"/>
      <c r="BY326" s="26"/>
      <c r="BZ326" s="87">
        <f t="shared" ref="BZ326:CM326" si="667">$C326*AVERAGE(BY119:BZ119)/4</f>
        <v>0</v>
      </c>
      <c r="CA326" s="87">
        <f t="shared" si="667"/>
        <v>0</v>
      </c>
      <c r="CB326" s="87">
        <f t="shared" si="667"/>
        <v>0</v>
      </c>
      <c r="CC326" s="87">
        <f t="shared" si="667"/>
        <v>0</v>
      </c>
      <c r="CD326" s="87">
        <f t="shared" si="667"/>
        <v>0</v>
      </c>
      <c r="CE326" s="87">
        <f t="shared" si="667"/>
        <v>0</v>
      </c>
      <c r="CF326" s="87">
        <f t="shared" si="667"/>
        <v>0</v>
      </c>
      <c r="CG326" s="87">
        <f t="shared" si="667"/>
        <v>0</v>
      </c>
      <c r="CH326" s="87">
        <f t="shared" si="667"/>
        <v>0</v>
      </c>
      <c r="CI326" s="87">
        <f t="shared" si="667"/>
        <v>0</v>
      </c>
      <c r="CJ326" s="87">
        <f t="shared" si="667"/>
        <v>0</v>
      </c>
      <c r="CK326" s="87">
        <f t="shared" si="667"/>
        <v>0</v>
      </c>
      <c r="CL326" s="87">
        <f t="shared" si="667"/>
        <v>0</v>
      </c>
      <c r="CM326" s="87">
        <f t="shared" si="667"/>
        <v>0</v>
      </c>
      <c r="CN326" s="87"/>
      <c r="CO326" s="87"/>
      <c r="CP326" s="87"/>
      <c r="CQ326" s="87"/>
      <c r="CR326" s="87"/>
      <c r="CS326" s="87"/>
      <c r="CT326" s="87"/>
      <c r="CU326" s="87"/>
      <c r="CV326" s="87"/>
      <c r="CW326" s="87"/>
      <c r="CX326" s="87"/>
      <c r="CY326" s="87"/>
      <c r="CZ326" s="87"/>
      <c r="DA326" s="87"/>
      <c r="DB326" s="87"/>
      <c r="DC326" s="87"/>
    </row>
    <row r="327" spans="1:107" hidden="1" outlineLevel="1">
      <c r="A327" s="15"/>
      <c r="B327" s="132" t="s">
        <v>467</v>
      </c>
      <c r="C327" s="2046">
        <v>4.2000000000000003E-2</v>
      </c>
      <c r="D327" s="132"/>
      <c r="E327" s="132"/>
      <c r="F327" s="87"/>
      <c r="G327" s="87"/>
      <c r="H327" s="87"/>
      <c r="I327" s="87"/>
      <c r="J327" s="87"/>
      <c r="K327" s="87"/>
      <c r="L327" s="87"/>
      <c r="M327" s="87"/>
      <c r="N327" s="87"/>
      <c r="O327" s="87"/>
      <c r="P327" s="87"/>
      <c r="Q327" s="87"/>
      <c r="R327" s="87"/>
      <c r="S327" s="87"/>
      <c r="T327" s="87"/>
      <c r="U327" s="87"/>
      <c r="V327" s="87"/>
      <c r="W327" s="87"/>
      <c r="X327" s="87">
        <f>$C327*AVERAGE(W125:X125)</f>
        <v>0</v>
      </c>
      <c r="Y327" s="87">
        <f>$C327*AVERAGE(X125:Y125)</f>
        <v>0</v>
      </c>
      <c r="Z327" s="87">
        <f>$C327*AVERAGE(Y125:Z125)</f>
        <v>0</v>
      </c>
      <c r="AA327" s="87">
        <f t="shared" ref="AA327:AD327" si="668">$C327*AVERAGE(Z125:AA125)</f>
        <v>0</v>
      </c>
      <c r="AB327" s="87">
        <f t="shared" si="668"/>
        <v>0</v>
      </c>
      <c r="AC327" s="87">
        <f t="shared" si="668"/>
        <v>0</v>
      </c>
      <c r="AD327" s="87">
        <f t="shared" si="668"/>
        <v>0</v>
      </c>
      <c r="AE327" s="15"/>
      <c r="AF327" s="15"/>
      <c r="AG327" s="15"/>
      <c r="AH327" s="15"/>
      <c r="AI327" s="15"/>
      <c r="AJ327" s="15"/>
      <c r="AK327" s="15"/>
      <c r="AL327" s="15"/>
      <c r="AM327" s="15"/>
      <c r="AN327" s="15"/>
      <c r="AO327" s="15"/>
      <c r="AP327" s="15"/>
      <c r="AQ327" s="15"/>
      <c r="AR327" s="15"/>
      <c r="AS327" s="15"/>
      <c r="AT327" s="15"/>
      <c r="AU327" s="15"/>
      <c r="AV327" s="15"/>
      <c r="AW327" s="15"/>
      <c r="AX327" s="15"/>
      <c r="AY327" s="15"/>
      <c r="AZ327" s="15"/>
      <c r="BA327" s="15"/>
      <c r="BB327" s="15"/>
      <c r="BC327" s="15"/>
      <c r="BD327" s="15"/>
      <c r="BE327" s="15"/>
      <c r="BF327" s="15"/>
      <c r="BG327" s="15"/>
      <c r="BH327" s="15"/>
      <c r="BI327" s="15"/>
      <c r="BJ327" s="15"/>
      <c r="BK327" s="15"/>
      <c r="BL327" s="883"/>
      <c r="BM327" s="883"/>
      <c r="BN327" s="883"/>
      <c r="BO327" s="883"/>
      <c r="BP327" s="883"/>
      <c r="BQ327" s="883"/>
      <c r="BR327" s="883"/>
      <c r="BS327" s="883"/>
      <c r="BT327" s="883"/>
      <c r="BU327" s="883"/>
      <c r="BV327" s="883"/>
      <c r="BW327" s="883"/>
      <c r="BX327" s="883"/>
      <c r="BY327" s="26"/>
      <c r="BZ327" s="87">
        <f t="shared" ref="BZ327:CM327" si="669">$C327*AVERAGE(BY125:BZ125)/4</f>
        <v>0</v>
      </c>
      <c r="CA327" s="87">
        <f t="shared" si="669"/>
        <v>0</v>
      </c>
      <c r="CB327" s="87">
        <f t="shared" si="669"/>
        <v>0</v>
      </c>
      <c r="CC327" s="87">
        <f t="shared" si="669"/>
        <v>0</v>
      </c>
      <c r="CD327" s="87">
        <f t="shared" si="669"/>
        <v>0</v>
      </c>
      <c r="CE327" s="87">
        <f t="shared" si="669"/>
        <v>0</v>
      </c>
      <c r="CF327" s="87">
        <f t="shared" si="669"/>
        <v>0</v>
      </c>
      <c r="CG327" s="87">
        <f t="shared" si="669"/>
        <v>0</v>
      </c>
      <c r="CH327" s="87">
        <f t="shared" si="669"/>
        <v>0</v>
      </c>
      <c r="CI327" s="87">
        <f t="shared" si="669"/>
        <v>0</v>
      </c>
      <c r="CJ327" s="87">
        <f t="shared" si="669"/>
        <v>0</v>
      </c>
      <c r="CK327" s="87">
        <f t="shared" si="669"/>
        <v>0</v>
      </c>
      <c r="CL327" s="87">
        <f t="shared" si="669"/>
        <v>0</v>
      </c>
      <c r="CM327" s="87">
        <f t="shared" si="669"/>
        <v>0</v>
      </c>
      <c r="CN327" s="87"/>
      <c r="CO327" s="87"/>
      <c r="CP327" s="87"/>
      <c r="CQ327" s="87"/>
      <c r="CR327" s="87"/>
      <c r="CS327" s="87"/>
      <c r="CT327" s="87"/>
      <c r="CU327" s="87"/>
      <c r="CV327" s="87"/>
      <c r="CW327" s="87"/>
      <c r="CX327" s="87"/>
      <c r="CY327" s="87"/>
      <c r="CZ327" s="87"/>
      <c r="DA327" s="87"/>
      <c r="DB327" s="87"/>
      <c r="DC327" s="87"/>
    </row>
    <row r="328" spans="1:107" hidden="1" outlineLevel="1" collapsed="1">
      <c r="A328" s="15"/>
      <c r="B328" s="132" t="s">
        <v>1206</v>
      </c>
      <c r="C328" s="2046">
        <v>7.9100000000000004E-2</v>
      </c>
      <c r="D328" s="132"/>
      <c r="E328" s="132"/>
      <c r="F328" s="87"/>
      <c r="G328" s="87"/>
      <c r="H328" s="87"/>
      <c r="I328" s="87"/>
      <c r="J328" s="87"/>
      <c r="K328" s="87"/>
      <c r="L328" s="87"/>
      <c r="M328" s="87"/>
      <c r="N328" s="87"/>
      <c r="O328" s="87"/>
      <c r="P328" s="87"/>
      <c r="Q328" s="87"/>
      <c r="R328" s="87"/>
      <c r="S328" s="87"/>
      <c r="T328" s="87"/>
      <c r="U328" s="87"/>
      <c r="V328" s="87"/>
      <c r="W328" s="87"/>
      <c r="X328" s="87">
        <f>$C328*AVERAGE(W135:X135)</f>
        <v>8.3061328000000003</v>
      </c>
      <c r="Y328" s="87">
        <f>$C328*AVERAGE(X135:Y135)</f>
        <v>8.3061328000000003</v>
      </c>
      <c r="Z328" s="87">
        <f>$C328*AVERAGE(Y135:Z135)</f>
        <v>8.3061328000000003</v>
      </c>
      <c r="AA328" s="87">
        <f t="shared" ref="AA328:AD328" si="670">$C328*AVERAGE(Z135:AA135)</f>
        <v>8.3061328000000003</v>
      </c>
      <c r="AB328" s="87">
        <f t="shared" si="670"/>
        <v>8.3061328000000003</v>
      </c>
      <c r="AC328" s="87">
        <f t="shared" si="670"/>
        <v>8.3061328000000003</v>
      </c>
      <c r="AD328" s="87">
        <f t="shared" si="670"/>
        <v>8.3061328000000003</v>
      </c>
      <c r="AE328" s="15"/>
      <c r="AF328" s="15"/>
      <c r="AG328" s="15"/>
      <c r="AH328" s="15"/>
      <c r="AI328" s="15"/>
      <c r="AJ328" s="15"/>
      <c r="AK328" s="15"/>
      <c r="AL328" s="15"/>
      <c r="AM328" s="15"/>
      <c r="AN328" s="15"/>
      <c r="AO328" s="15"/>
      <c r="AP328" s="15"/>
      <c r="AQ328" s="15"/>
      <c r="AR328" s="15"/>
      <c r="AS328" s="15"/>
      <c r="AT328" s="15"/>
      <c r="AU328" s="15"/>
      <c r="AV328" s="15"/>
      <c r="AW328" s="15"/>
      <c r="AX328" s="15"/>
      <c r="AY328" s="15"/>
      <c r="AZ328" s="15"/>
      <c r="BA328" s="15"/>
      <c r="BB328" s="15"/>
      <c r="BC328" s="15"/>
      <c r="BD328" s="15"/>
      <c r="BE328" s="15"/>
      <c r="BF328" s="15"/>
      <c r="BG328" s="15"/>
      <c r="BH328" s="15"/>
      <c r="BI328" s="15"/>
      <c r="BJ328" s="15"/>
      <c r="BK328" s="15"/>
      <c r="BL328" s="883"/>
      <c r="BM328" s="883"/>
      <c r="BN328" s="883"/>
      <c r="BO328" s="883"/>
      <c r="BP328" s="883"/>
      <c r="BQ328" s="883"/>
      <c r="BR328" s="883"/>
      <c r="BS328" s="883"/>
      <c r="BT328" s="883"/>
      <c r="BU328" s="883"/>
      <c r="BV328" s="883"/>
      <c r="BW328" s="883"/>
      <c r="BX328" s="883"/>
      <c r="BY328" s="26"/>
      <c r="BZ328" s="87">
        <f>$C328*AVERAGE(BY139:BZ139)/4</f>
        <v>0</v>
      </c>
      <c r="CA328" s="87">
        <f>$C328*AVERAGE(BZ139:CA139)/4</f>
        <v>0</v>
      </c>
      <c r="CB328" s="87"/>
      <c r="CC328" s="87"/>
      <c r="CD328" s="87"/>
      <c r="CE328" s="87">
        <f t="shared" ref="CE328:CM328" si="671">$C328*AVERAGE(CD135:CE135)/4</f>
        <v>2.0765332000000001</v>
      </c>
      <c r="CF328" s="87">
        <f t="shared" si="671"/>
        <v>2.0765332000000001</v>
      </c>
      <c r="CG328" s="87">
        <f t="shared" si="671"/>
        <v>2.0765332000000001</v>
      </c>
      <c r="CH328" s="87">
        <f t="shared" si="671"/>
        <v>2.0765332000000001</v>
      </c>
      <c r="CI328" s="87">
        <f t="shared" si="671"/>
        <v>2.0765332000000001</v>
      </c>
      <c r="CJ328" s="87">
        <f t="shared" si="671"/>
        <v>2.0765332000000001</v>
      </c>
      <c r="CK328" s="87">
        <f t="shared" si="671"/>
        <v>2.0765332000000001</v>
      </c>
      <c r="CL328" s="87">
        <f t="shared" si="671"/>
        <v>2.0765332000000001</v>
      </c>
      <c r="CM328" s="87">
        <f t="shared" si="671"/>
        <v>2.0765332000000001</v>
      </c>
      <c r="CN328" s="87"/>
      <c r="CO328" s="87"/>
      <c r="CP328" s="87"/>
      <c r="CQ328" s="87"/>
      <c r="CR328" s="87"/>
      <c r="CS328" s="87"/>
      <c r="CT328" s="87"/>
      <c r="CU328" s="87"/>
      <c r="CV328" s="87"/>
      <c r="CW328" s="87"/>
      <c r="CX328" s="87"/>
      <c r="CY328" s="87"/>
      <c r="CZ328" s="87"/>
      <c r="DA328" s="87"/>
      <c r="DB328" s="87"/>
      <c r="DC328" s="87"/>
    </row>
    <row r="329" spans="1:107" hidden="1" outlineLevel="1">
      <c r="A329" s="15"/>
      <c r="B329" s="132" t="s">
        <v>1208</v>
      </c>
      <c r="C329" s="2046">
        <v>8.4599999999999995E-2</v>
      </c>
      <c r="D329" s="132"/>
      <c r="E329" s="132"/>
      <c r="F329" s="132"/>
      <c r="G329" s="132"/>
      <c r="H329" s="132"/>
      <c r="I329" s="132"/>
      <c r="J329" s="132"/>
      <c r="K329" s="132"/>
      <c r="L329" s="132"/>
      <c r="M329" s="132"/>
      <c r="N329" s="132"/>
      <c r="O329" s="132"/>
      <c r="P329" s="132"/>
      <c r="Q329" s="132"/>
      <c r="R329" s="132"/>
      <c r="S329" s="132"/>
      <c r="T329" s="132"/>
      <c r="U329" s="132"/>
      <c r="V329" s="132"/>
      <c r="W329" s="132"/>
      <c r="X329" s="87">
        <f>$C329*AVERAGE(W140:X140)</f>
        <v>0.74228040000001683</v>
      </c>
      <c r="Y329" s="87">
        <f>$C329*AVERAGE(X140:Y140)</f>
        <v>0.74228040000001683</v>
      </c>
      <c r="Z329" s="87">
        <f>$C329*AVERAGE(Y140:Z140)</f>
        <v>0.74228040000001683</v>
      </c>
      <c r="AA329" s="87">
        <f t="shared" ref="AA329:AD329" si="672">$C329*AVERAGE(Z140:AA140)</f>
        <v>0.74228040000001683</v>
      </c>
      <c r="AB329" s="87">
        <f t="shared" si="672"/>
        <v>0.74228040000001683</v>
      </c>
      <c r="AC329" s="87">
        <f t="shared" si="672"/>
        <v>0.74228040000001683</v>
      </c>
      <c r="AD329" s="87">
        <f t="shared" si="672"/>
        <v>0.74228040000001683</v>
      </c>
      <c r="AE329" s="15"/>
      <c r="AF329" s="15"/>
      <c r="AG329" s="15"/>
      <c r="AH329" s="15"/>
      <c r="AI329" s="15"/>
      <c r="AJ329" s="15"/>
      <c r="AK329" s="15"/>
      <c r="AL329" s="15"/>
      <c r="AM329" s="15"/>
      <c r="AN329" s="15"/>
      <c r="AO329" s="15"/>
      <c r="AP329" s="15"/>
      <c r="AQ329" s="15"/>
      <c r="AR329" s="15"/>
      <c r="AS329" s="15"/>
      <c r="AT329" s="15"/>
      <c r="AU329" s="15"/>
      <c r="AV329" s="15"/>
      <c r="AW329" s="15"/>
      <c r="AX329" s="15"/>
      <c r="AY329" s="15"/>
      <c r="AZ329" s="15"/>
      <c r="BA329" s="15"/>
      <c r="BB329" s="15"/>
      <c r="BC329" s="15"/>
      <c r="BD329" s="15"/>
      <c r="BE329" s="15"/>
      <c r="BF329" s="15"/>
      <c r="BG329" s="15"/>
      <c r="BH329" s="15"/>
      <c r="BI329" s="15"/>
      <c r="BJ329" s="15"/>
      <c r="BK329" s="15"/>
      <c r="BL329" s="15"/>
      <c r="BM329" s="15"/>
      <c r="BN329" s="15"/>
      <c r="BO329" s="883"/>
      <c r="BP329" s="15"/>
      <c r="BQ329" s="883"/>
      <c r="BR329" s="883"/>
      <c r="BS329" s="883"/>
      <c r="BT329" s="883"/>
      <c r="BU329" s="883"/>
      <c r="BV329" s="883"/>
      <c r="BW329" s="883"/>
      <c r="BX329" s="883"/>
      <c r="BY329" s="26"/>
      <c r="BZ329" s="87">
        <f>$C329*AVERAGE(BY140:BZ140)/4</f>
        <v>1.2329603999999998</v>
      </c>
      <c r="CA329" s="87">
        <f>$C329*AVERAGE(BZ140:CA140)/4</f>
        <v>1.2329603999999998</v>
      </c>
      <c r="CB329" s="87">
        <f t="shared" ref="CB329:CM329" si="673">$C329*AVERAGE(CA140:CB140)/4</f>
        <v>1.2329603999999998</v>
      </c>
      <c r="CC329" s="87">
        <f t="shared" si="673"/>
        <v>1.2329603999999998</v>
      </c>
      <c r="CD329" s="87">
        <f t="shared" si="673"/>
        <v>1.2329603999999998</v>
      </c>
      <c r="CE329" s="87">
        <f t="shared" si="673"/>
        <v>1.2091560749999999</v>
      </c>
      <c r="CF329" s="87">
        <f t="shared" si="673"/>
        <v>1.161547425</v>
      </c>
      <c r="CG329" s="87">
        <f t="shared" si="673"/>
        <v>1.1139387750000003</v>
      </c>
      <c r="CH329" s="87">
        <f t="shared" si="673"/>
        <v>1.0663301250000006</v>
      </c>
      <c r="CI329" s="87">
        <f t="shared" si="673"/>
        <v>1.0187214750000007</v>
      </c>
      <c r="CJ329" s="87">
        <f t="shared" si="673"/>
        <v>0.97111282500000085</v>
      </c>
      <c r="CK329" s="87">
        <f t="shared" si="673"/>
        <v>0.92350417500000104</v>
      </c>
      <c r="CL329" s="87">
        <f t="shared" si="673"/>
        <v>0.87589552500000123</v>
      </c>
      <c r="CM329" s="87">
        <f t="shared" si="673"/>
        <v>0.82828687500000153</v>
      </c>
      <c r="CN329" s="87"/>
      <c r="CO329" s="87"/>
      <c r="CP329" s="87"/>
      <c r="CQ329" s="87"/>
      <c r="CR329" s="87"/>
      <c r="CS329" s="87"/>
      <c r="CT329" s="87"/>
      <c r="CU329" s="87"/>
      <c r="CV329" s="87"/>
      <c r="CW329" s="87"/>
      <c r="CX329" s="87"/>
      <c r="CY329" s="87"/>
      <c r="CZ329" s="87"/>
      <c r="DA329" s="87"/>
      <c r="DB329" s="87"/>
      <c r="DC329" s="87"/>
    </row>
    <row r="330" spans="1:107" hidden="1" outlineLevel="1">
      <c r="A330" s="15"/>
      <c r="B330" s="132" t="s">
        <v>284</v>
      </c>
      <c r="C330" s="2046">
        <v>3.9800000000000002E-2</v>
      </c>
      <c r="D330" s="132"/>
      <c r="E330" s="132"/>
      <c r="F330" s="87"/>
      <c r="G330" s="87"/>
      <c r="H330" s="87"/>
      <c r="I330" s="87"/>
      <c r="J330" s="87"/>
      <c r="K330" s="87"/>
      <c r="L330" s="87"/>
      <c r="M330" s="87"/>
      <c r="N330" s="87"/>
      <c r="O330" s="87"/>
      <c r="P330" s="87"/>
      <c r="Q330" s="87"/>
      <c r="R330" s="87"/>
      <c r="S330" s="87"/>
      <c r="T330" s="87"/>
      <c r="U330" s="87"/>
      <c r="V330" s="87"/>
      <c r="W330" s="87"/>
      <c r="X330" s="87">
        <f>$C330*AVERAGE(W145:X145)</f>
        <v>1.7670006</v>
      </c>
      <c r="Y330" s="87">
        <f>$C330*AVERAGE(X145:Y145)</f>
        <v>1.7670006</v>
      </c>
      <c r="Z330" s="87">
        <f>$C330*AVERAGE(Y145:Z145)</f>
        <v>1.7670006</v>
      </c>
      <c r="AA330" s="87">
        <f t="shared" ref="AA330:AD330" si="674">$C330*AVERAGE(Z145:AA145)</f>
        <v>1.7670006</v>
      </c>
      <c r="AB330" s="87">
        <f t="shared" si="674"/>
        <v>1.7670006</v>
      </c>
      <c r="AC330" s="87">
        <f t="shared" si="674"/>
        <v>1.7670006</v>
      </c>
      <c r="AD330" s="87">
        <f t="shared" si="674"/>
        <v>1.7670006</v>
      </c>
      <c r="AE330" s="15"/>
      <c r="AF330" s="15"/>
      <c r="AG330" s="15"/>
      <c r="AH330" s="15"/>
      <c r="AI330" s="15"/>
      <c r="AJ330" s="15"/>
      <c r="AK330" s="15"/>
      <c r="AL330" s="15"/>
      <c r="AM330" s="15"/>
      <c r="AN330" s="15"/>
      <c r="AO330" s="15"/>
      <c r="AP330" s="15"/>
      <c r="AQ330" s="15"/>
      <c r="AR330" s="15"/>
      <c r="AS330" s="15"/>
      <c r="AT330" s="15"/>
      <c r="AU330" s="15"/>
      <c r="AV330" s="15"/>
      <c r="AW330" s="15"/>
      <c r="AX330" s="15"/>
      <c r="AY330" s="15"/>
      <c r="AZ330" s="15"/>
      <c r="BA330" s="15"/>
      <c r="BB330" s="15"/>
      <c r="BC330" s="15"/>
      <c r="BD330" s="15"/>
      <c r="BE330" s="15"/>
      <c r="BF330" s="15"/>
      <c r="BG330" s="15"/>
      <c r="BH330" s="15"/>
      <c r="BI330" s="15"/>
      <c r="BJ330" s="15"/>
      <c r="BK330" s="15"/>
      <c r="BL330" s="883"/>
      <c r="BM330" s="883"/>
      <c r="BN330" s="883"/>
      <c r="BO330" s="883"/>
      <c r="BP330" s="883"/>
      <c r="BQ330" s="883"/>
      <c r="BR330" s="883"/>
      <c r="BS330" s="883"/>
      <c r="BT330" s="883"/>
      <c r="BU330" s="883"/>
      <c r="BV330" s="883"/>
      <c r="BW330" s="883"/>
      <c r="BX330" s="883"/>
      <c r="BY330" s="26"/>
      <c r="BZ330" s="87"/>
      <c r="CA330" s="87"/>
      <c r="CB330" s="87"/>
      <c r="CC330" s="87"/>
      <c r="CD330" s="87"/>
      <c r="CE330" s="87">
        <f t="shared" ref="CE330:CM330" si="675">$C330*AVERAGE(CD145:CE145)/4</f>
        <v>0.44175015000000001</v>
      </c>
      <c r="CF330" s="87">
        <f t="shared" si="675"/>
        <v>0.44175015000000001</v>
      </c>
      <c r="CG330" s="87">
        <f t="shared" si="675"/>
        <v>0.44175015000000001</v>
      </c>
      <c r="CH330" s="87">
        <f t="shared" si="675"/>
        <v>0.44175015000000001</v>
      </c>
      <c r="CI330" s="87">
        <f t="shared" si="675"/>
        <v>0.44175015000000001</v>
      </c>
      <c r="CJ330" s="87">
        <f t="shared" si="675"/>
        <v>0.44175015000000001</v>
      </c>
      <c r="CK330" s="87">
        <f t="shared" si="675"/>
        <v>0.44175015000000001</v>
      </c>
      <c r="CL330" s="87">
        <f t="shared" si="675"/>
        <v>0.44175015000000001</v>
      </c>
      <c r="CM330" s="87">
        <f t="shared" si="675"/>
        <v>0.44175015000000001</v>
      </c>
      <c r="CN330" s="87"/>
      <c r="CO330" s="87"/>
      <c r="CP330" s="87"/>
      <c r="CQ330" s="87"/>
      <c r="CR330" s="87"/>
      <c r="CS330" s="87"/>
      <c r="CT330" s="87"/>
      <c r="CU330" s="87"/>
      <c r="CV330" s="87"/>
      <c r="CW330" s="87"/>
      <c r="CX330" s="87"/>
      <c r="CY330" s="87"/>
      <c r="CZ330" s="87"/>
      <c r="DA330" s="87"/>
      <c r="DB330" s="87"/>
      <c r="DC330" s="87"/>
    </row>
    <row r="331" spans="1:107" hidden="1" outlineLevel="1">
      <c r="A331" s="15"/>
      <c r="B331" s="132" t="s">
        <v>285</v>
      </c>
      <c r="C331" s="2046">
        <v>8.5999999999999993E-2</v>
      </c>
      <c r="D331" s="132"/>
      <c r="E331" s="132"/>
      <c r="F331" s="132"/>
      <c r="G331" s="132"/>
      <c r="H331" s="132"/>
      <c r="I331" s="132"/>
      <c r="J331" s="132"/>
      <c r="K331" s="132"/>
      <c r="L331" s="132"/>
      <c r="M331" s="132"/>
      <c r="N331" s="132"/>
      <c r="O331" s="132"/>
      <c r="P331" s="132"/>
      <c r="Q331" s="132"/>
      <c r="R331" s="132"/>
      <c r="S331" s="132"/>
      <c r="T331" s="132"/>
      <c r="U331" s="132"/>
      <c r="V331" s="132"/>
      <c r="W331" s="132"/>
      <c r="X331" s="87">
        <f>$C331*(AVERAGE(W150:X150))</f>
        <v>3.3621699999999994</v>
      </c>
      <c r="Y331" s="87">
        <f>$C331*(AVERAGE(X150:Y150))</f>
        <v>3.3621699999999994</v>
      </c>
      <c r="Z331" s="87">
        <f>$C331*(AVERAGE(Y150:Z150))</f>
        <v>3.3621699999999994</v>
      </c>
      <c r="AA331" s="87">
        <f t="shared" ref="AA331:AD331" si="676">$C331*(AVERAGE(Z150:AA150))</f>
        <v>3.3621699999999994</v>
      </c>
      <c r="AB331" s="87">
        <f t="shared" si="676"/>
        <v>3.3621699999999994</v>
      </c>
      <c r="AC331" s="87">
        <f t="shared" si="676"/>
        <v>3.3621699999999994</v>
      </c>
      <c r="AD331" s="87">
        <f t="shared" si="676"/>
        <v>3.3621699999999994</v>
      </c>
      <c r="AE331" s="15"/>
      <c r="AF331" s="15"/>
      <c r="AG331" s="15"/>
      <c r="AH331" s="15"/>
      <c r="AI331" s="15"/>
      <c r="AJ331" s="15"/>
      <c r="AK331" s="15"/>
      <c r="AL331" s="15"/>
      <c r="AM331" s="15"/>
      <c r="AN331" s="15"/>
      <c r="AO331" s="15"/>
      <c r="AP331" s="15"/>
      <c r="AQ331" s="15"/>
      <c r="AR331" s="15"/>
      <c r="AS331" s="15"/>
      <c r="AT331" s="15"/>
      <c r="AU331" s="15"/>
      <c r="AV331" s="15"/>
      <c r="AW331" s="15"/>
      <c r="AX331" s="15"/>
      <c r="AY331" s="15"/>
      <c r="AZ331" s="15"/>
      <c r="BA331" s="15"/>
      <c r="BB331" s="15"/>
      <c r="BC331" s="15"/>
      <c r="BD331" s="15"/>
      <c r="BE331" s="15"/>
      <c r="BF331" s="15"/>
      <c r="BG331" s="15"/>
      <c r="BH331" s="15"/>
      <c r="BI331" s="15"/>
      <c r="BJ331" s="15"/>
      <c r="BK331" s="15"/>
      <c r="BL331" s="15"/>
      <c r="BM331" s="15"/>
      <c r="BN331" s="15"/>
      <c r="BO331" s="883"/>
      <c r="BP331" s="26"/>
      <c r="BQ331" s="26"/>
      <c r="BR331" s="26"/>
      <c r="BS331" s="26"/>
      <c r="BT331" s="26"/>
      <c r="BU331" s="26"/>
      <c r="BV331" s="26"/>
      <c r="BW331" s="26"/>
      <c r="BX331" s="26"/>
      <c r="BY331" s="26"/>
      <c r="BZ331" s="87">
        <f t="shared" ref="BZ331:CM331" si="677">$C331*(AVERAGE(BY150:BZ150))/4</f>
        <v>0.54173549999999993</v>
      </c>
      <c r="CA331" s="87">
        <f t="shared" si="677"/>
        <v>0.54173549999999993</v>
      </c>
      <c r="CB331" s="87">
        <f t="shared" si="677"/>
        <v>0.54173549999999993</v>
      </c>
      <c r="CC331" s="87">
        <f t="shared" si="677"/>
        <v>0.54173549999999993</v>
      </c>
      <c r="CD331" s="87">
        <f t="shared" si="677"/>
        <v>0.54173549999999993</v>
      </c>
      <c r="CE331" s="87">
        <f t="shared" si="677"/>
        <v>0.69113899999999995</v>
      </c>
      <c r="CF331" s="87">
        <f t="shared" si="677"/>
        <v>0.84054249999999986</v>
      </c>
      <c r="CG331" s="87">
        <f t="shared" si="677"/>
        <v>0.84054249999999986</v>
      </c>
      <c r="CH331" s="87">
        <f t="shared" si="677"/>
        <v>0.84054249999999986</v>
      </c>
      <c r="CI331" s="87">
        <f t="shared" si="677"/>
        <v>0.84054249999999986</v>
      </c>
      <c r="CJ331" s="87">
        <f t="shared" si="677"/>
        <v>0.84054249999999986</v>
      </c>
      <c r="CK331" s="87">
        <f t="shared" si="677"/>
        <v>0.84054249999999986</v>
      </c>
      <c r="CL331" s="87">
        <f t="shared" si="677"/>
        <v>0.84054249999999986</v>
      </c>
      <c r="CM331" s="87">
        <f t="shared" si="677"/>
        <v>0.84054249999999986</v>
      </c>
      <c r="CN331" s="87"/>
      <c r="CO331" s="87"/>
      <c r="CP331" s="87"/>
      <c r="CQ331" s="87"/>
      <c r="CR331" s="87"/>
      <c r="CS331" s="87"/>
      <c r="CT331" s="87"/>
      <c r="CU331" s="87"/>
      <c r="CV331" s="87"/>
      <c r="CW331" s="87"/>
      <c r="CX331" s="87"/>
      <c r="CY331" s="87"/>
      <c r="CZ331" s="87"/>
      <c r="DA331" s="87"/>
      <c r="DB331" s="87"/>
      <c r="DC331" s="87"/>
    </row>
    <row r="332" spans="1:107" hidden="1" outlineLevel="1">
      <c r="A332" s="15"/>
      <c r="B332" s="132" t="s">
        <v>1209</v>
      </c>
      <c r="C332" s="2046">
        <v>6.9199999999999998E-2</v>
      </c>
      <c r="D332" s="132"/>
      <c r="E332" s="132"/>
      <c r="F332" s="87"/>
      <c r="G332" s="87"/>
      <c r="H332" s="87"/>
      <c r="I332" s="87"/>
      <c r="J332" s="87"/>
      <c r="K332" s="87"/>
      <c r="L332" s="87"/>
      <c r="M332" s="87"/>
      <c r="N332" s="87"/>
      <c r="O332" s="87"/>
      <c r="P332" s="87"/>
      <c r="Q332" s="87"/>
      <c r="R332" s="87"/>
      <c r="S332" s="87"/>
      <c r="T332" s="87"/>
      <c r="U332" s="87"/>
      <c r="V332" s="87"/>
      <c r="W332" s="87"/>
      <c r="X332" s="87">
        <f>$C332*AVERAGE(W155:X155)</f>
        <v>2.7078652000000001</v>
      </c>
      <c r="Y332" s="87">
        <f>$C332*AVERAGE(X155:Y155)</f>
        <v>2.7078652000000001</v>
      </c>
      <c r="Z332" s="87">
        <f>$C332*AVERAGE(Y155:Z155)</f>
        <v>2.7078652000000001</v>
      </c>
      <c r="AA332" s="87">
        <f t="shared" ref="AA332:AD332" si="678">$C332*AVERAGE(Z155:AA155)</f>
        <v>2.7078652000000001</v>
      </c>
      <c r="AB332" s="87">
        <f t="shared" si="678"/>
        <v>2.7078652000000001</v>
      </c>
      <c r="AC332" s="87">
        <f t="shared" si="678"/>
        <v>2.7078652000000001</v>
      </c>
      <c r="AD332" s="87">
        <f t="shared" si="678"/>
        <v>2.7078652000000001</v>
      </c>
      <c r="AE332" s="15"/>
      <c r="AF332" s="15"/>
      <c r="AG332" s="15"/>
      <c r="AH332" s="15"/>
      <c r="AI332" s="15"/>
      <c r="AJ332" s="15"/>
      <c r="AK332" s="15"/>
      <c r="AL332" s="15"/>
      <c r="AM332" s="15"/>
      <c r="AN332" s="15"/>
      <c r="AO332" s="15"/>
      <c r="AP332" s="15"/>
      <c r="AQ332" s="15"/>
      <c r="AR332" s="15"/>
      <c r="AS332" s="15"/>
      <c r="AT332" s="15"/>
      <c r="AU332" s="15"/>
      <c r="AV332" s="15"/>
      <c r="AW332" s="15"/>
      <c r="AX332" s="15"/>
      <c r="AY332" s="15"/>
      <c r="AZ332" s="15"/>
      <c r="BA332" s="15"/>
      <c r="BB332" s="15"/>
      <c r="BC332" s="15"/>
      <c r="BD332" s="15"/>
      <c r="BE332" s="15"/>
      <c r="BF332" s="15"/>
      <c r="BG332" s="15"/>
      <c r="BH332" s="15"/>
      <c r="BI332" s="15"/>
      <c r="BJ332" s="15"/>
      <c r="BK332" s="15"/>
      <c r="BL332" s="883"/>
      <c r="BM332" s="883"/>
      <c r="BN332" s="883"/>
      <c r="BO332" s="883"/>
      <c r="BP332" s="883"/>
      <c r="BQ332" s="883"/>
      <c r="BR332" s="883"/>
      <c r="BS332" s="883"/>
      <c r="BT332" s="883"/>
      <c r="BU332" s="883"/>
      <c r="BV332" s="883"/>
      <c r="BW332" s="883"/>
      <c r="BX332" s="883"/>
      <c r="BY332" s="26"/>
      <c r="BZ332" s="87"/>
      <c r="CA332" s="87"/>
      <c r="CB332" s="87"/>
      <c r="CC332" s="87"/>
      <c r="CD332" s="87"/>
      <c r="CE332" s="87">
        <f t="shared" ref="CE332:CM332" si="679">$C332*AVERAGE(CD155:CE155)/4</f>
        <v>0.67696630000000002</v>
      </c>
      <c r="CF332" s="87">
        <f t="shared" si="679"/>
        <v>0.67696630000000002</v>
      </c>
      <c r="CG332" s="87">
        <f t="shared" si="679"/>
        <v>0.67696630000000002</v>
      </c>
      <c r="CH332" s="87">
        <f t="shared" si="679"/>
        <v>0.67696630000000002</v>
      </c>
      <c r="CI332" s="87">
        <f t="shared" si="679"/>
        <v>0.67696630000000002</v>
      </c>
      <c r="CJ332" s="87">
        <f t="shared" si="679"/>
        <v>0.67696630000000002</v>
      </c>
      <c r="CK332" s="87">
        <f t="shared" si="679"/>
        <v>0.67696630000000002</v>
      </c>
      <c r="CL332" s="87">
        <f t="shared" si="679"/>
        <v>0.67696630000000002</v>
      </c>
      <c r="CM332" s="87">
        <f t="shared" si="679"/>
        <v>0.67696630000000002</v>
      </c>
      <c r="CN332" s="87"/>
      <c r="CO332" s="87"/>
      <c r="CP332" s="87"/>
      <c r="CQ332" s="87"/>
      <c r="CR332" s="87"/>
      <c r="CS332" s="87"/>
      <c r="CT332" s="87"/>
      <c r="CU332" s="87"/>
      <c r="CV332" s="87"/>
      <c r="CW332" s="87"/>
      <c r="CX332" s="87"/>
      <c r="CY332" s="87"/>
      <c r="CZ332" s="87"/>
      <c r="DA332" s="87"/>
      <c r="DB332" s="87"/>
      <c r="DC332" s="87"/>
    </row>
    <row r="333" spans="1:107" hidden="1" outlineLevel="1">
      <c r="A333" s="15"/>
      <c r="B333" s="132" t="s">
        <v>1497</v>
      </c>
      <c r="C333" s="2046">
        <v>7.7499999999999999E-2</v>
      </c>
      <c r="D333" s="132"/>
      <c r="E333" s="132"/>
      <c r="F333" s="132"/>
      <c r="G333" s="132"/>
      <c r="H333" s="132"/>
      <c r="I333" s="132"/>
      <c r="J333" s="132"/>
      <c r="K333" s="132"/>
      <c r="L333" s="132"/>
      <c r="M333" s="132"/>
      <c r="N333" s="132"/>
      <c r="O333" s="132"/>
      <c r="P333" s="132"/>
      <c r="Q333" s="132"/>
      <c r="R333" s="132"/>
      <c r="S333" s="132"/>
      <c r="T333" s="132"/>
      <c r="U333" s="132"/>
      <c r="V333" s="132"/>
      <c r="W333" s="132"/>
      <c r="X333" s="87">
        <f>$C333*(AVERAGE(W160:X160))</f>
        <v>1.8917943750000368</v>
      </c>
      <c r="Y333" s="87">
        <f>$C333*(AVERAGE(X160:Y160))</f>
        <v>1.7404368750000432</v>
      </c>
      <c r="Z333" s="87">
        <f>$C333*(AVERAGE(Y160:Z160))</f>
        <v>1.5890793750000494</v>
      </c>
      <c r="AA333" s="87">
        <f t="shared" ref="AA333:AD333" si="680">$C333*(AVERAGE(Z160:AA160))</f>
        <v>1.4377218750000558</v>
      </c>
      <c r="AB333" s="87">
        <f t="shared" si="680"/>
        <v>1.2863643750000622</v>
      </c>
      <c r="AC333" s="87">
        <f t="shared" si="680"/>
        <v>1.1350068750000686</v>
      </c>
      <c r="AD333" s="87">
        <f t="shared" si="680"/>
        <v>0.98364937500007499</v>
      </c>
      <c r="AE333" s="15"/>
      <c r="AF333" s="15"/>
      <c r="AG333" s="15"/>
      <c r="AH333" s="15"/>
      <c r="AI333" s="15"/>
      <c r="AJ333" s="15"/>
      <c r="AK333" s="15"/>
      <c r="AL333" s="15"/>
      <c r="AM333" s="15"/>
      <c r="AN333" s="15"/>
      <c r="AO333" s="15"/>
      <c r="AP333" s="15"/>
      <c r="AQ333" s="15"/>
      <c r="AR333" s="15"/>
      <c r="AS333" s="15"/>
      <c r="AT333" s="15"/>
      <c r="AU333" s="15"/>
      <c r="AV333" s="15"/>
      <c r="AW333" s="15"/>
      <c r="AX333" s="15"/>
      <c r="AY333" s="15"/>
      <c r="AZ333" s="15"/>
      <c r="BA333" s="15"/>
      <c r="BB333" s="15"/>
      <c r="BC333" s="15"/>
      <c r="BD333" s="15"/>
      <c r="BE333" s="15"/>
      <c r="BF333" s="15"/>
      <c r="BG333" s="15"/>
      <c r="BH333" s="15"/>
      <c r="BI333" s="15"/>
      <c r="BJ333" s="15"/>
      <c r="BK333" s="15"/>
      <c r="BL333" s="15"/>
      <c r="BM333" s="15"/>
      <c r="BN333" s="15"/>
      <c r="BO333" s="883"/>
      <c r="BP333" s="26"/>
      <c r="BQ333" s="26"/>
      <c r="BR333" s="26"/>
      <c r="BS333" s="26"/>
      <c r="BT333" s="26"/>
      <c r="BU333" s="26"/>
      <c r="BV333" s="26"/>
      <c r="BW333" s="26"/>
      <c r="BX333" s="26"/>
      <c r="BY333" s="26"/>
      <c r="BZ333" s="87">
        <f t="shared" ref="BZ333:CM333" si="681">$C333*(AVERAGE(BY160:BZ160))/4</f>
        <v>0.70977164062499987</v>
      </c>
      <c r="CA333" s="87">
        <f t="shared" si="681"/>
        <v>0.70759679687499977</v>
      </c>
      <c r="CB333" s="87">
        <f t="shared" si="681"/>
        <v>0.70542195312499978</v>
      </c>
      <c r="CC333" s="87">
        <f t="shared" si="681"/>
        <v>0.70324710937499968</v>
      </c>
      <c r="CD333" s="87">
        <f t="shared" si="681"/>
        <v>0.70107226562499969</v>
      </c>
      <c r="CE333" s="87">
        <f t="shared" si="681"/>
        <v>0.69525492187499982</v>
      </c>
      <c r="CF333" s="87">
        <f t="shared" si="681"/>
        <v>0.68579507812500018</v>
      </c>
      <c r="CG333" s="87">
        <f t="shared" si="681"/>
        <v>0.67633523437500065</v>
      </c>
      <c r="CH333" s="87">
        <f t="shared" si="681"/>
        <v>0.66687539062500101</v>
      </c>
      <c r="CI333" s="87">
        <f t="shared" si="681"/>
        <v>0.65741554687500137</v>
      </c>
      <c r="CJ333" s="87">
        <f t="shared" si="681"/>
        <v>0.64795570312500184</v>
      </c>
      <c r="CK333" s="87">
        <f t="shared" si="681"/>
        <v>0.63849585937500219</v>
      </c>
      <c r="CL333" s="87">
        <f t="shared" si="681"/>
        <v>0.62903601562500255</v>
      </c>
      <c r="CM333" s="87">
        <f t="shared" si="681"/>
        <v>0.61957617187500302</v>
      </c>
      <c r="CN333" s="87"/>
      <c r="CO333" s="87"/>
      <c r="CP333" s="87"/>
      <c r="CQ333" s="87"/>
      <c r="CR333" s="87"/>
      <c r="CS333" s="87"/>
      <c r="CT333" s="87"/>
      <c r="CU333" s="87"/>
      <c r="CV333" s="87"/>
      <c r="CW333" s="87"/>
      <c r="CX333" s="87"/>
      <c r="CY333" s="87"/>
      <c r="CZ333" s="87"/>
      <c r="DA333" s="87"/>
      <c r="DB333" s="87"/>
      <c r="DC333" s="87"/>
    </row>
    <row r="334" spans="1:107" hidden="1" outlineLevel="1">
      <c r="A334" s="15"/>
      <c r="B334" s="132" t="s">
        <v>1210</v>
      </c>
      <c r="C334" s="2046">
        <v>0.1794</v>
      </c>
      <c r="D334" s="132"/>
      <c r="E334" s="132"/>
      <c r="F334" s="87"/>
      <c r="G334" s="87"/>
      <c r="H334" s="87"/>
      <c r="I334" s="87"/>
      <c r="J334" s="87"/>
      <c r="K334" s="87"/>
      <c r="L334" s="87"/>
      <c r="M334" s="87"/>
      <c r="N334" s="87"/>
      <c r="O334" s="87"/>
      <c r="P334" s="87"/>
      <c r="Q334" s="87"/>
      <c r="R334" s="87"/>
      <c r="S334" s="87"/>
      <c r="T334" s="87"/>
      <c r="U334" s="87"/>
      <c r="V334" s="87"/>
      <c r="W334" s="87"/>
      <c r="X334" s="87">
        <f>$C334*AVERAGE(W165:X165)</f>
        <v>5.5484832000000006</v>
      </c>
      <c r="Y334" s="87">
        <f>$C334*AVERAGE(X165:Y165)</f>
        <v>5.5484832000000006</v>
      </c>
      <c r="Z334" s="87">
        <f>$C334*AVERAGE(Y165:Z165)</f>
        <v>5.5484832000000006</v>
      </c>
      <c r="AA334" s="87">
        <f t="shared" ref="AA334:AD334" si="682">$C334*AVERAGE(Z165:AA165)</f>
        <v>5.5484832000000006</v>
      </c>
      <c r="AB334" s="87">
        <f t="shared" si="682"/>
        <v>5.5484832000000006</v>
      </c>
      <c r="AC334" s="87">
        <f t="shared" si="682"/>
        <v>5.5484832000000006</v>
      </c>
      <c r="AD334" s="87">
        <f t="shared" si="682"/>
        <v>5.5484832000000006</v>
      </c>
      <c r="AE334" s="15"/>
      <c r="AF334" s="15"/>
      <c r="AG334" s="15"/>
      <c r="AH334" s="15"/>
      <c r="AI334" s="15"/>
      <c r="AJ334" s="15"/>
      <c r="AK334" s="15"/>
      <c r="AL334" s="15"/>
      <c r="AM334" s="15"/>
      <c r="AN334" s="15"/>
      <c r="AO334" s="15"/>
      <c r="AP334" s="15"/>
      <c r="AQ334" s="15"/>
      <c r="AR334" s="15"/>
      <c r="AS334" s="15"/>
      <c r="AT334" s="15"/>
      <c r="AU334" s="15"/>
      <c r="AV334" s="15"/>
      <c r="AW334" s="15"/>
      <c r="AX334" s="15"/>
      <c r="AY334" s="15"/>
      <c r="AZ334" s="15"/>
      <c r="BA334" s="15"/>
      <c r="BB334" s="15"/>
      <c r="BC334" s="15"/>
      <c r="BD334" s="15"/>
      <c r="BE334" s="15"/>
      <c r="BF334" s="15"/>
      <c r="BG334" s="15"/>
      <c r="BH334" s="15"/>
      <c r="BI334" s="15"/>
      <c r="BJ334" s="15"/>
      <c r="BK334" s="15"/>
      <c r="BL334" s="883"/>
      <c r="BM334" s="883"/>
      <c r="BN334" s="883"/>
      <c r="BO334" s="883"/>
      <c r="BP334" s="883"/>
      <c r="BQ334" s="883"/>
      <c r="BR334" s="883"/>
      <c r="BS334" s="883"/>
      <c r="BT334" s="883"/>
      <c r="BU334" s="883"/>
      <c r="BV334" s="883"/>
      <c r="BW334" s="883"/>
      <c r="BX334" s="883"/>
      <c r="BY334" s="26"/>
      <c r="BZ334" s="87"/>
      <c r="CA334" s="87"/>
      <c r="CB334" s="87"/>
      <c r="CC334" s="87"/>
      <c r="CD334" s="87"/>
      <c r="CE334" s="87">
        <f t="shared" ref="CE334:CM334" si="683">$C334*AVERAGE(CD165:CE165)/4</f>
        <v>1.3871208000000002</v>
      </c>
      <c r="CF334" s="87">
        <f t="shared" si="683"/>
        <v>1.3871208000000002</v>
      </c>
      <c r="CG334" s="87">
        <f t="shared" si="683"/>
        <v>1.3871208000000002</v>
      </c>
      <c r="CH334" s="87">
        <f t="shared" si="683"/>
        <v>1.3871208000000002</v>
      </c>
      <c r="CI334" s="87">
        <f t="shared" si="683"/>
        <v>1.3871208000000002</v>
      </c>
      <c r="CJ334" s="87">
        <f t="shared" si="683"/>
        <v>1.3871208000000002</v>
      </c>
      <c r="CK334" s="87">
        <f t="shared" si="683"/>
        <v>1.3871208000000002</v>
      </c>
      <c r="CL334" s="87">
        <f t="shared" si="683"/>
        <v>1.3871208000000002</v>
      </c>
      <c r="CM334" s="87">
        <f t="shared" si="683"/>
        <v>1.3871208000000002</v>
      </c>
      <c r="CN334" s="87"/>
      <c r="CO334" s="87"/>
      <c r="CP334" s="87"/>
      <c r="CQ334" s="87"/>
      <c r="CR334" s="87"/>
      <c r="CS334" s="87"/>
      <c r="CT334" s="87"/>
      <c r="CU334" s="87"/>
      <c r="CV334" s="87"/>
      <c r="CW334" s="87"/>
      <c r="CX334" s="87"/>
      <c r="CY334" s="87"/>
      <c r="CZ334" s="87"/>
      <c r="DA334" s="87"/>
      <c r="DB334" s="87"/>
      <c r="DC334" s="87"/>
    </row>
    <row r="335" spans="1:107" hidden="1" outlineLevel="1">
      <c r="A335" s="15"/>
      <c r="B335" s="132" t="s">
        <v>1498</v>
      </c>
      <c r="C335" s="2046">
        <v>8.5000000000000006E-2</v>
      </c>
      <c r="D335" s="132"/>
      <c r="E335" s="132"/>
      <c r="F335" s="132"/>
      <c r="G335" s="132"/>
      <c r="H335" s="132"/>
      <c r="I335" s="132"/>
      <c r="J335" s="132"/>
      <c r="K335" s="132"/>
      <c r="L335" s="132"/>
      <c r="M335" s="132"/>
      <c r="N335" s="132"/>
      <c r="O335" s="132"/>
      <c r="P335" s="132"/>
      <c r="Q335" s="132"/>
      <c r="R335" s="132"/>
      <c r="S335" s="132"/>
      <c r="T335" s="132"/>
      <c r="U335" s="132"/>
      <c r="V335" s="132"/>
      <c r="W335" s="132"/>
      <c r="X335" s="87">
        <f>$C335*(AVERAGE(W170:X170))</f>
        <v>2.0805450000000003</v>
      </c>
      <c r="Y335" s="87">
        <f>$C335*(AVERAGE(X170:Y170))</f>
        <v>2.0805450000000003</v>
      </c>
      <c r="Z335" s="87">
        <f>$C335*(AVERAGE(Y170:Z170))</f>
        <v>2.0805450000000003</v>
      </c>
      <c r="AA335" s="87">
        <f t="shared" ref="AA335:AD335" si="684">$C335*(AVERAGE(Z170:AA170))</f>
        <v>2.0805450000000003</v>
      </c>
      <c r="AB335" s="87">
        <f t="shared" si="684"/>
        <v>2.0805450000000003</v>
      </c>
      <c r="AC335" s="87">
        <f t="shared" si="684"/>
        <v>2.0805450000000003</v>
      </c>
      <c r="AD335" s="87">
        <f t="shared" si="684"/>
        <v>2.0805450000000003</v>
      </c>
      <c r="AE335" s="15"/>
      <c r="AF335" s="15"/>
      <c r="AG335" s="15"/>
      <c r="AH335" s="15"/>
      <c r="AI335" s="15"/>
      <c r="AJ335" s="15"/>
      <c r="AK335" s="15"/>
      <c r="AL335" s="15"/>
      <c r="AM335" s="15"/>
      <c r="AN335" s="15"/>
      <c r="AO335" s="15"/>
      <c r="AP335" s="15"/>
      <c r="AQ335" s="15"/>
      <c r="AR335" s="15"/>
      <c r="AS335" s="15"/>
      <c r="AT335" s="15"/>
      <c r="AU335" s="15"/>
      <c r="AV335" s="15"/>
      <c r="AW335" s="15"/>
      <c r="AX335" s="15"/>
      <c r="AY335" s="15"/>
      <c r="AZ335" s="15"/>
      <c r="BA335" s="15"/>
      <c r="BB335" s="15"/>
      <c r="BC335" s="15"/>
      <c r="BD335" s="15"/>
      <c r="BE335" s="15"/>
      <c r="BF335" s="15"/>
      <c r="BG335" s="15"/>
      <c r="BH335" s="15"/>
      <c r="BI335" s="15"/>
      <c r="BJ335" s="15"/>
      <c r="BK335" s="15"/>
      <c r="BL335" s="15"/>
      <c r="BM335" s="15"/>
      <c r="BN335" s="15"/>
      <c r="BO335" s="883"/>
      <c r="BP335" s="26"/>
      <c r="BQ335" s="26"/>
      <c r="BR335" s="26"/>
      <c r="BS335" s="26"/>
      <c r="BT335" s="26"/>
      <c r="BU335" s="26"/>
      <c r="BV335" s="26"/>
      <c r="BW335" s="26"/>
      <c r="BX335" s="26"/>
      <c r="BY335" s="26"/>
      <c r="BZ335" s="87">
        <f t="shared" ref="BZ335:CM335" si="685">$C335*(AVERAGE(BY170:BZ170))/4</f>
        <v>0.58401906250000002</v>
      </c>
      <c r="CA335" s="87">
        <f t="shared" si="685"/>
        <v>0.57540218749999994</v>
      </c>
      <c r="CB335" s="87">
        <f t="shared" si="685"/>
        <v>0.56678531249999997</v>
      </c>
      <c r="CC335" s="87">
        <f t="shared" si="685"/>
        <v>0.55816843749999989</v>
      </c>
      <c r="CD335" s="87">
        <f t="shared" si="685"/>
        <v>0.54955156250000003</v>
      </c>
      <c r="CE335" s="87">
        <f t="shared" si="685"/>
        <v>0.53268968750000001</v>
      </c>
      <c r="CF335" s="87">
        <f t="shared" si="685"/>
        <v>0.52013625000000008</v>
      </c>
      <c r="CG335" s="87">
        <f t="shared" si="685"/>
        <v>0.52013625000000008</v>
      </c>
      <c r="CH335" s="87">
        <f t="shared" si="685"/>
        <v>0.52013625000000008</v>
      </c>
      <c r="CI335" s="87">
        <f t="shared" si="685"/>
        <v>0.52013625000000008</v>
      </c>
      <c r="CJ335" s="87">
        <f t="shared" si="685"/>
        <v>0.52013625000000008</v>
      </c>
      <c r="CK335" s="87">
        <f t="shared" si="685"/>
        <v>0.52013625000000008</v>
      </c>
      <c r="CL335" s="87">
        <f t="shared" si="685"/>
        <v>0.52013625000000008</v>
      </c>
      <c r="CM335" s="87">
        <f t="shared" si="685"/>
        <v>0.52013625000000008</v>
      </c>
      <c r="CN335" s="87"/>
      <c r="CO335" s="87"/>
      <c r="CP335" s="87"/>
      <c r="CQ335" s="87"/>
      <c r="CR335" s="87"/>
      <c r="CS335" s="87"/>
      <c r="CT335" s="87"/>
      <c r="CU335" s="87"/>
      <c r="CV335" s="87"/>
      <c r="CW335" s="87"/>
      <c r="CX335" s="87"/>
      <c r="CY335" s="87"/>
      <c r="CZ335" s="87"/>
      <c r="DA335" s="87"/>
      <c r="DB335" s="87"/>
      <c r="DC335" s="87"/>
    </row>
    <row r="336" spans="1:107" hidden="1" outlineLevel="1">
      <c r="A336" s="15"/>
      <c r="B336" s="132" t="s">
        <v>40</v>
      </c>
      <c r="C336" s="2046">
        <v>8.5999999999999993E-2</v>
      </c>
      <c r="D336" s="132"/>
      <c r="E336" s="132"/>
      <c r="F336" s="132"/>
      <c r="G336" s="132"/>
      <c r="H336" s="132"/>
      <c r="I336" s="132"/>
      <c r="J336" s="132"/>
      <c r="K336" s="132"/>
      <c r="L336" s="132"/>
      <c r="M336" s="132"/>
      <c r="N336" s="132"/>
      <c r="O336" s="132"/>
      <c r="P336" s="132"/>
      <c r="Q336" s="132"/>
      <c r="R336" s="132"/>
      <c r="S336" s="132"/>
      <c r="T336" s="132"/>
      <c r="U336" s="132"/>
      <c r="V336" s="132"/>
      <c r="W336" s="132"/>
      <c r="X336" s="87">
        <f>$C336*(AVERAGE(W175:X175))</f>
        <v>1.9337099999999998</v>
      </c>
      <c r="Y336" s="87">
        <f>$C336*(AVERAGE(X175:Y175))</f>
        <v>1.9337099999999998</v>
      </c>
      <c r="Z336" s="87">
        <f>$C336*(AVERAGE(Y175:Z175))</f>
        <v>1.9337099999999998</v>
      </c>
      <c r="AA336" s="87">
        <f t="shared" ref="AA336:AD336" si="686">$C336*(AVERAGE(Z175:AA175))</f>
        <v>1.9337099999999998</v>
      </c>
      <c r="AB336" s="87">
        <f t="shared" si="686"/>
        <v>1.9337099999999998</v>
      </c>
      <c r="AC336" s="87">
        <f t="shared" si="686"/>
        <v>1.9337099999999998</v>
      </c>
      <c r="AD336" s="87">
        <f t="shared" si="686"/>
        <v>1.9337099999999998</v>
      </c>
      <c r="AE336" s="15"/>
      <c r="AF336" s="15"/>
      <c r="AG336" s="15"/>
      <c r="AH336" s="15"/>
      <c r="AI336" s="15"/>
      <c r="AJ336" s="15"/>
      <c r="AK336" s="15"/>
      <c r="AL336" s="15"/>
      <c r="AM336" s="15"/>
      <c r="AN336" s="15"/>
      <c r="AO336" s="15"/>
      <c r="AP336" s="15"/>
      <c r="AQ336" s="15"/>
      <c r="AR336" s="15"/>
      <c r="AS336" s="15"/>
      <c r="AT336" s="15"/>
      <c r="AU336" s="15"/>
      <c r="AV336" s="15"/>
      <c r="AW336" s="15"/>
      <c r="AX336" s="15"/>
      <c r="AY336" s="15"/>
      <c r="AZ336" s="15"/>
      <c r="BA336" s="15"/>
      <c r="BB336" s="15"/>
      <c r="BC336" s="15"/>
      <c r="BD336" s="15"/>
      <c r="BE336" s="15"/>
      <c r="BF336" s="15"/>
      <c r="BG336" s="15"/>
      <c r="BH336" s="15"/>
      <c r="BI336" s="15"/>
      <c r="BJ336" s="15"/>
      <c r="BK336" s="15"/>
      <c r="BL336" s="15"/>
      <c r="BM336" s="15"/>
      <c r="BN336" s="15"/>
      <c r="BO336" s="883"/>
      <c r="BP336" s="26"/>
      <c r="BQ336" s="26"/>
      <c r="BR336" s="26"/>
      <c r="BS336" s="26"/>
      <c r="BT336" s="26"/>
      <c r="BU336" s="26"/>
      <c r="BV336" s="26"/>
      <c r="BW336" s="26"/>
      <c r="BX336" s="26"/>
      <c r="BY336" s="26"/>
      <c r="BZ336" s="87">
        <f t="shared" ref="BZ336:CM336" si="687">$C336*(AVERAGE(BY175:BZ175))/4</f>
        <v>0.51946150000000002</v>
      </c>
      <c r="CA336" s="87">
        <f t="shared" si="687"/>
        <v>0.51946150000000002</v>
      </c>
      <c r="CB336" s="87">
        <f t="shared" si="687"/>
        <v>0.51946150000000002</v>
      </c>
      <c r="CC336" s="87">
        <f t="shared" si="687"/>
        <v>0.51946150000000002</v>
      </c>
      <c r="CD336" s="87">
        <f t="shared" si="687"/>
        <v>0.51946150000000002</v>
      </c>
      <c r="CE336" s="87">
        <f t="shared" si="687"/>
        <v>0.50144449999999996</v>
      </c>
      <c r="CF336" s="87">
        <f t="shared" si="687"/>
        <v>0.48342749999999995</v>
      </c>
      <c r="CG336" s="87">
        <f t="shared" si="687"/>
        <v>0.48342749999999995</v>
      </c>
      <c r="CH336" s="87">
        <f t="shared" si="687"/>
        <v>0.48342749999999995</v>
      </c>
      <c r="CI336" s="87">
        <f t="shared" si="687"/>
        <v>0.48342749999999995</v>
      </c>
      <c r="CJ336" s="87">
        <f t="shared" si="687"/>
        <v>0.48342749999999995</v>
      </c>
      <c r="CK336" s="87">
        <f t="shared" si="687"/>
        <v>0.48342749999999995</v>
      </c>
      <c r="CL336" s="87">
        <f t="shared" si="687"/>
        <v>0.48342749999999995</v>
      </c>
      <c r="CM336" s="87">
        <f t="shared" si="687"/>
        <v>0.48342749999999995</v>
      </c>
      <c r="CN336" s="87"/>
      <c r="CO336" s="87"/>
      <c r="CP336" s="87"/>
      <c r="CQ336" s="87"/>
      <c r="CR336" s="87"/>
      <c r="CS336" s="87"/>
      <c r="CT336" s="87"/>
      <c r="CU336" s="87"/>
      <c r="CV336" s="87"/>
      <c r="CW336" s="87"/>
      <c r="CX336" s="87"/>
      <c r="CY336" s="87"/>
      <c r="CZ336" s="87"/>
      <c r="DA336" s="87"/>
      <c r="DB336" s="87"/>
      <c r="DC336" s="87"/>
    </row>
    <row r="337" spans="1:107" hidden="1" outlineLevel="1">
      <c r="A337" s="15"/>
      <c r="B337" s="132" t="s">
        <v>1212</v>
      </c>
      <c r="C337" s="2046">
        <v>0.1338</v>
      </c>
      <c r="D337" s="132"/>
      <c r="E337" s="132"/>
      <c r="F337" s="87"/>
      <c r="G337" s="87"/>
      <c r="H337" s="87"/>
      <c r="I337" s="87"/>
      <c r="J337" s="87"/>
      <c r="K337" s="87"/>
      <c r="L337" s="87"/>
      <c r="M337" s="87"/>
      <c r="N337" s="87"/>
      <c r="O337" s="87"/>
      <c r="P337" s="87"/>
      <c r="Q337" s="87"/>
      <c r="R337" s="87"/>
      <c r="S337" s="87"/>
      <c r="T337" s="87"/>
      <c r="U337" s="87"/>
      <c r="V337" s="87"/>
      <c r="W337" s="87"/>
      <c r="X337" s="87">
        <f>$C337*AVERAGE(W148:X148)</f>
        <v>5.2309109999999999</v>
      </c>
      <c r="Y337" s="87">
        <f>$C337*AVERAGE(X148:Y148)</f>
        <v>5.2309109999999999</v>
      </c>
      <c r="Z337" s="87">
        <f>$C337*AVERAGE(Y148:Z148)</f>
        <v>5.2309109999999999</v>
      </c>
      <c r="AA337" s="87">
        <f t="shared" ref="AA337:AD337" si="688">$C337*AVERAGE(Z148:AA148)</f>
        <v>5.2309109999999999</v>
      </c>
      <c r="AB337" s="87">
        <f t="shared" si="688"/>
        <v>5.2309109999999999</v>
      </c>
      <c r="AC337" s="87">
        <f t="shared" si="688"/>
        <v>5.2309109999999999</v>
      </c>
      <c r="AD337" s="87">
        <f t="shared" si="688"/>
        <v>5.2309109999999999</v>
      </c>
      <c r="AE337" s="15"/>
      <c r="AF337" s="15"/>
      <c r="AG337" s="15"/>
      <c r="AH337" s="15"/>
      <c r="AI337" s="15"/>
      <c r="AJ337" s="15"/>
      <c r="AK337" s="15"/>
      <c r="AL337" s="15"/>
      <c r="AM337" s="15"/>
      <c r="AN337" s="15"/>
      <c r="AO337" s="15"/>
      <c r="AP337" s="15"/>
      <c r="AQ337" s="15"/>
      <c r="AR337" s="15"/>
      <c r="AS337" s="15"/>
      <c r="AT337" s="15"/>
      <c r="AU337" s="15"/>
      <c r="AV337" s="15"/>
      <c r="AW337" s="15"/>
      <c r="AX337" s="15"/>
      <c r="AY337" s="15"/>
      <c r="AZ337" s="15"/>
      <c r="BA337" s="15"/>
      <c r="BB337" s="15"/>
      <c r="BC337" s="15"/>
      <c r="BD337" s="15"/>
      <c r="BE337" s="15"/>
      <c r="BF337" s="15"/>
      <c r="BG337" s="15"/>
      <c r="BH337" s="15"/>
      <c r="BI337" s="15"/>
      <c r="BJ337" s="15"/>
      <c r="BK337" s="15"/>
      <c r="BL337" s="883"/>
      <c r="BM337" s="883"/>
      <c r="BN337" s="883"/>
      <c r="BO337" s="883"/>
      <c r="BP337" s="883"/>
      <c r="BQ337" s="883"/>
      <c r="BR337" s="883"/>
      <c r="BS337" s="883"/>
      <c r="BT337" s="883"/>
      <c r="BU337" s="883"/>
      <c r="BV337" s="883"/>
      <c r="BW337" s="883"/>
      <c r="BX337" s="883"/>
      <c r="BY337" s="26"/>
      <c r="BZ337" s="87">
        <f>$C337*AVERAGE(BY148:BZ148)/4</f>
        <v>0.84283964999999994</v>
      </c>
      <c r="CA337" s="87">
        <f>$C337*AVERAGE(BZ148:CA148)/4</f>
        <v>0.84283964999999994</v>
      </c>
      <c r="CB337" s="87"/>
      <c r="CC337" s="87"/>
      <c r="CD337" s="87"/>
      <c r="CE337" s="87">
        <f t="shared" ref="CE337:CM337" si="689">$C337*AVERAGE(CD180:CE180)/4</f>
        <v>0.69793424999999998</v>
      </c>
      <c r="CF337" s="87">
        <f t="shared" si="689"/>
        <v>0.69793424999999998</v>
      </c>
      <c r="CG337" s="87">
        <f t="shared" si="689"/>
        <v>0.69793424999999998</v>
      </c>
      <c r="CH337" s="87">
        <f t="shared" si="689"/>
        <v>0.69793424999999998</v>
      </c>
      <c r="CI337" s="87">
        <f t="shared" si="689"/>
        <v>0.69793424999999998</v>
      </c>
      <c r="CJ337" s="87">
        <f t="shared" si="689"/>
        <v>0.69793424999999998</v>
      </c>
      <c r="CK337" s="87">
        <f t="shared" si="689"/>
        <v>0.69793424999999998</v>
      </c>
      <c r="CL337" s="87">
        <f t="shared" si="689"/>
        <v>0.69793424999999998</v>
      </c>
      <c r="CM337" s="87">
        <f t="shared" si="689"/>
        <v>0.69793424999999998</v>
      </c>
      <c r="CN337" s="87"/>
      <c r="CO337" s="87"/>
      <c r="CP337" s="87"/>
      <c r="CQ337" s="87"/>
      <c r="CR337" s="87"/>
      <c r="CS337" s="87"/>
      <c r="CT337" s="87"/>
      <c r="CU337" s="87"/>
      <c r="CV337" s="87"/>
      <c r="CW337" s="87"/>
      <c r="CX337" s="87"/>
      <c r="CY337" s="87"/>
      <c r="CZ337" s="87"/>
      <c r="DA337" s="87"/>
      <c r="DB337" s="87"/>
      <c r="DC337" s="87"/>
    </row>
    <row r="338" spans="1:107" hidden="1" outlineLevel="1">
      <c r="A338" s="15"/>
      <c r="B338" s="132" t="s">
        <v>41</v>
      </c>
      <c r="C338" s="2046">
        <v>0.1196</v>
      </c>
      <c r="D338" s="399"/>
      <c r="E338" s="132"/>
      <c r="F338" s="132"/>
      <c r="G338" s="132"/>
      <c r="H338" s="132"/>
      <c r="I338" s="132"/>
      <c r="J338" s="132"/>
      <c r="K338" s="132"/>
      <c r="L338" s="132"/>
      <c r="M338" s="132"/>
      <c r="N338" s="132"/>
      <c r="O338" s="132"/>
      <c r="P338" s="132"/>
      <c r="Q338" s="132"/>
      <c r="R338" s="132"/>
      <c r="S338" s="132"/>
      <c r="T338" s="132"/>
      <c r="U338" s="132"/>
      <c r="V338" s="132"/>
      <c r="W338" s="132"/>
      <c r="X338" s="87">
        <f>$C338*(AVERAGE(W185:X185))</f>
        <v>0.26449539999999544</v>
      </c>
      <c r="Y338" s="87">
        <f>$C338*(AVERAGE(X185:Y185))</f>
        <v>0.26449539999999544</v>
      </c>
      <c r="Z338" s="87">
        <f>$C338*(AVERAGE(Y185:Z185))</f>
        <v>0.26449539999999544</v>
      </c>
      <c r="AA338" s="87">
        <f t="shared" ref="AA338:AD338" si="690">$C338*(AVERAGE(Z185:AA185))</f>
        <v>0.26449539999999544</v>
      </c>
      <c r="AB338" s="87">
        <f t="shared" si="690"/>
        <v>0.26449539999999544</v>
      </c>
      <c r="AC338" s="87">
        <f t="shared" si="690"/>
        <v>0.26449539999999544</v>
      </c>
      <c r="AD338" s="87">
        <f t="shared" si="690"/>
        <v>0.26449539999999544</v>
      </c>
      <c r="AE338" s="15"/>
      <c r="AF338" s="15"/>
      <c r="AG338" s="15"/>
      <c r="AH338" s="15"/>
      <c r="AI338" s="15"/>
      <c r="AJ338" s="15"/>
      <c r="AK338" s="15"/>
      <c r="AL338" s="15"/>
      <c r="AM338" s="15"/>
      <c r="AN338" s="15"/>
      <c r="AO338" s="15"/>
      <c r="AP338" s="15"/>
      <c r="AQ338" s="15"/>
      <c r="AR338" s="15"/>
      <c r="AS338" s="15"/>
      <c r="AT338" s="15"/>
      <c r="AU338" s="15"/>
      <c r="AV338" s="15"/>
      <c r="AW338" s="15"/>
      <c r="AX338" s="15"/>
      <c r="AY338" s="15"/>
      <c r="AZ338" s="15"/>
      <c r="BA338" s="15"/>
      <c r="BB338" s="15"/>
      <c r="BC338" s="15"/>
      <c r="BD338" s="15"/>
      <c r="BE338" s="15"/>
      <c r="BF338" s="15"/>
      <c r="BG338" s="15"/>
      <c r="BH338" s="15"/>
      <c r="BI338" s="15"/>
      <c r="BJ338" s="15"/>
      <c r="BK338" s="15"/>
      <c r="BL338" s="15"/>
      <c r="BM338" s="15"/>
      <c r="BN338" s="15"/>
      <c r="BO338" s="883"/>
      <c r="BP338" s="26"/>
      <c r="BQ338" s="26"/>
      <c r="BR338" s="26"/>
      <c r="BS338" s="26"/>
      <c r="BT338" s="26"/>
      <c r="BU338" s="26"/>
      <c r="BV338" s="26"/>
      <c r="BW338" s="26"/>
      <c r="BX338" s="26"/>
      <c r="BY338" s="26"/>
      <c r="BZ338" s="87">
        <f t="shared" ref="BZ338:CM338" si="691">$C338*(AVERAGE(BY185:BZ185))/4</f>
        <v>0.51168617500000002</v>
      </c>
      <c r="CA338" s="87">
        <f t="shared" si="691"/>
        <v>0.52599332500000018</v>
      </c>
      <c r="CB338" s="87">
        <f t="shared" si="691"/>
        <v>0.540300475</v>
      </c>
      <c r="CC338" s="87">
        <f t="shared" si="691"/>
        <v>0.55460762500000016</v>
      </c>
      <c r="CD338" s="87">
        <f t="shared" si="691"/>
        <v>0.56891477500000009</v>
      </c>
      <c r="CE338" s="87">
        <f t="shared" si="691"/>
        <v>0.55057112500000005</v>
      </c>
      <c r="CF338" s="87">
        <f t="shared" si="691"/>
        <v>0.49957667499999997</v>
      </c>
      <c r="CG338" s="87">
        <f t="shared" si="691"/>
        <v>0.44858222499999978</v>
      </c>
      <c r="CH338" s="87">
        <f t="shared" si="691"/>
        <v>0.3975877749999997</v>
      </c>
      <c r="CI338" s="87">
        <f t="shared" si="691"/>
        <v>0.34659332499999956</v>
      </c>
      <c r="CJ338" s="87">
        <f t="shared" si="691"/>
        <v>0.29559887499999943</v>
      </c>
      <c r="CK338" s="87">
        <f t="shared" si="691"/>
        <v>0.24460442499999929</v>
      </c>
      <c r="CL338" s="87">
        <f t="shared" si="691"/>
        <v>0.19360997499999918</v>
      </c>
      <c r="CM338" s="87">
        <f t="shared" si="691"/>
        <v>0.14261552499999905</v>
      </c>
      <c r="CN338" s="87"/>
      <c r="CO338" s="87"/>
      <c r="CP338" s="87"/>
      <c r="CQ338" s="87"/>
      <c r="CR338" s="87"/>
      <c r="CS338" s="87"/>
      <c r="CT338" s="87"/>
      <c r="CU338" s="87"/>
      <c r="CV338" s="87"/>
      <c r="CW338" s="87"/>
      <c r="CX338" s="87"/>
      <c r="CY338" s="87"/>
      <c r="CZ338" s="87"/>
      <c r="DA338" s="87"/>
      <c r="DB338" s="87"/>
      <c r="DC338" s="87"/>
    </row>
    <row r="339" spans="1:107" hidden="1" outlineLevel="1">
      <c r="A339" s="15"/>
      <c r="B339" s="132" t="s">
        <v>1213</v>
      </c>
      <c r="C339" s="2046">
        <v>0.1096</v>
      </c>
      <c r="D339" s="132"/>
      <c r="E339" s="132"/>
      <c r="F339" s="87"/>
      <c r="G339" s="87"/>
      <c r="H339" s="87"/>
      <c r="I339" s="87"/>
      <c r="J339" s="87"/>
      <c r="K339" s="87"/>
      <c r="L339" s="87"/>
      <c r="M339" s="87"/>
      <c r="N339" s="87"/>
      <c r="O339" s="87"/>
      <c r="P339" s="87"/>
      <c r="Q339" s="87"/>
      <c r="R339" s="87"/>
      <c r="S339" s="87"/>
      <c r="T339" s="87"/>
      <c r="U339" s="87"/>
      <c r="V339" s="87"/>
      <c r="W339" s="87"/>
      <c r="X339" s="87">
        <f>$C339*AVERAGE(W190:X190)</f>
        <v>1.9102184</v>
      </c>
      <c r="Y339" s="87">
        <f>$C339*AVERAGE(X190:Y190)</f>
        <v>1.9102184</v>
      </c>
      <c r="Z339" s="87">
        <f>$C339*AVERAGE(Y190:Z190)</f>
        <v>1.9102184</v>
      </c>
      <c r="AA339" s="87">
        <f t="shared" ref="AA339:AD339" si="692">$C339*AVERAGE(Z190:AA190)</f>
        <v>1.9102184</v>
      </c>
      <c r="AB339" s="87">
        <f t="shared" si="692"/>
        <v>1.9102184</v>
      </c>
      <c r="AC339" s="87">
        <f t="shared" si="692"/>
        <v>1.9102184</v>
      </c>
      <c r="AD339" s="87">
        <f t="shared" si="692"/>
        <v>1.9102184</v>
      </c>
      <c r="AE339" s="15"/>
      <c r="AF339" s="15"/>
      <c r="AG339" s="15"/>
      <c r="AH339" s="15"/>
      <c r="AI339" s="15"/>
      <c r="AJ339" s="15"/>
      <c r="AK339" s="15"/>
      <c r="AL339" s="15"/>
      <c r="AM339" s="15"/>
      <c r="AN339" s="15"/>
      <c r="AO339" s="15"/>
      <c r="AP339" s="15"/>
      <c r="AQ339" s="15"/>
      <c r="AR339" s="15"/>
      <c r="AS339" s="15"/>
      <c r="AT339" s="15"/>
      <c r="AU339" s="15"/>
      <c r="AV339" s="15"/>
      <c r="AW339" s="15"/>
      <c r="AX339" s="15"/>
      <c r="AY339" s="15"/>
      <c r="AZ339" s="15"/>
      <c r="BA339" s="15"/>
      <c r="BB339" s="15"/>
      <c r="BC339" s="15"/>
      <c r="BD339" s="15"/>
      <c r="BE339" s="15"/>
      <c r="BF339" s="15"/>
      <c r="BG339" s="15"/>
      <c r="BH339" s="15"/>
      <c r="BI339" s="15"/>
      <c r="BJ339" s="15"/>
      <c r="BK339" s="15"/>
      <c r="BL339" s="883"/>
      <c r="BM339" s="883"/>
      <c r="BN339" s="883"/>
      <c r="BO339" s="883"/>
      <c r="BP339" s="883"/>
      <c r="BQ339" s="883"/>
      <c r="BR339" s="883"/>
      <c r="BS339" s="883"/>
      <c r="BT339" s="883"/>
      <c r="BU339" s="883"/>
      <c r="BV339" s="883"/>
      <c r="BW339" s="883"/>
      <c r="BX339" s="883"/>
      <c r="BY339" s="26"/>
      <c r="BZ339" s="87">
        <f>$C339*AVERAGE(BY150:BZ150)/4</f>
        <v>0.69039779999999995</v>
      </c>
      <c r="CA339" s="87">
        <f>$C339*AVERAGE(BZ150:CA150)/4</f>
        <v>0.69039779999999995</v>
      </c>
      <c r="CB339" s="87"/>
      <c r="CC339" s="87"/>
      <c r="CD339" s="87"/>
      <c r="CE339" s="87">
        <f t="shared" ref="CE339:CM339" si="693">$C339*AVERAGE(CD190:CE190)/4</f>
        <v>0.4775546</v>
      </c>
      <c r="CF339" s="87">
        <f t="shared" si="693"/>
        <v>0.4775546</v>
      </c>
      <c r="CG339" s="87">
        <f t="shared" si="693"/>
        <v>0.4775546</v>
      </c>
      <c r="CH339" s="87">
        <f t="shared" si="693"/>
        <v>0.4775546</v>
      </c>
      <c r="CI339" s="87">
        <f t="shared" si="693"/>
        <v>0.4775546</v>
      </c>
      <c r="CJ339" s="87">
        <f t="shared" si="693"/>
        <v>0.4775546</v>
      </c>
      <c r="CK339" s="87">
        <f t="shared" si="693"/>
        <v>0.4775546</v>
      </c>
      <c r="CL339" s="87">
        <f t="shared" si="693"/>
        <v>0.4775546</v>
      </c>
      <c r="CM339" s="87">
        <f t="shared" si="693"/>
        <v>0.4775546</v>
      </c>
      <c r="CN339" s="87"/>
      <c r="CO339" s="87"/>
      <c r="CP339" s="87"/>
      <c r="CQ339" s="87"/>
      <c r="CR339" s="87"/>
      <c r="CS339" s="87"/>
      <c r="CT339" s="87"/>
      <c r="CU339" s="87"/>
      <c r="CV339" s="87"/>
      <c r="CW339" s="87"/>
      <c r="CX339" s="87"/>
      <c r="CY339" s="87"/>
      <c r="CZ339" s="87"/>
      <c r="DA339" s="87"/>
      <c r="DB339" s="87"/>
      <c r="DC339" s="87"/>
    </row>
    <row r="340" spans="1:107" hidden="1" outlineLevel="1">
      <c r="A340" s="15"/>
      <c r="B340" s="132" t="s">
        <v>42</v>
      </c>
      <c r="C340" s="2046">
        <v>8.5999999999999993E-2</v>
      </c>
      <c r="D340" s="399"/>
      <c r="E340" s="132"/>
      <c r="F340" s="132"/>
      <c r="G340" s="132"/>
      <c r="H340" s="132"/>
      <c r="I340" s="132"/>
      <c r="J340" s="132"/>
      <c r="K340" s="132"/>
      <c r="L340" s="132"/>
      <c r="M340" s="132"/>
      <c r="N340" s="132"/>
      <c r="O340" s="132"/>
      <c r="P340" s="132"/>
      <c r="Q340" s="132"/>
      <c r="R340" s="132"/>
      <c r="S340" s="132"/>
      <c r="T340" s="132"/>
      <c r="U340" s="132"/>
      <c r="V340" s="132"/>
      <c r="W340" s="132"/>
      <c r="X340" s="87">
        <f>$C340*(AVERAGE(W195:X195))</f>
        <v>1.2094179999999999</v>
      </c>
      <c r="Y340" s="87">
        <f>$C340*(AVERAGE(X195:Y195))</f>
        <v>1.2094179999999999</v>
      </c>
      <c r="Z340" s="87">
        <f>$C340*(AVERAGE(Y195:Z195))</f>
        <v>1.2094179999999999</v>
      </c>
      <c r="AA340" s="87">
        <f t="shared" ref="AA340:AD340" si="694">$C340*(AVERAGE(Z195:AA195))</f>
        <v>1.2094179999999999</v>
      </c>
      <c r="AB340" s="87">
        <f t="shared" si="694"/>
        <v>1.2094179999999999</v>
      </c>
      <c r="AC340" s="87">
        <f t="shared" si="694"/>
        <v>1.2094179999999999</v>
      </c>
      <c r="AD340" s="87">
        <f t="shared" si="694"/>
        <v>1.2094179999999999</v>
      </c>
      <c r="AE340" s="15"/>
      <c r="AF340" s="15"/>
      <c r="AG340" s="15"/>
      <c r="AH340" s="15"/>
      <c r="AI340" s="15"/>
      <c r="AJ340" s="15"/>
      <c r="AK340" s="15"/>
      <c r="AL340" s="15"/>
      <c r="AM340" s="15"/>
      <c r="AN340" s="15"/>
      <c r="AO340" s="15"/>
      <c r="AP340" s="15"/>
      <c r="AQ340" s="15"/>
      <c r="AR340" s="15"/>
      <c r="AS340" s="15"/>
      <c r="AT340" s="15"/>
      <c r="AU340" s="15"/>
      <c r="AV340" s="15"/>
      <c r="AW340" s="15"/>
      <c r="AX340" s="15"/>
      <c r="AY340" s="15"/>
      <c r="AZ340" s="15"/>
      <c r="BA340" s="15"/>
      <c r="BB340" s="15"/>
      <c r="BC340" s="15"/>
      <c r="BD340" s="15"/>
      <c r="BE340" s="15"/>
      <c r="BF340" s="15"/>
      <c r="BG340" s="15"/>
      <c r="BH340" s="15"/>
      <c r="BI340" s="15"/>
      <c r="BJ340" s="15"/>
      <c r="BK340" s="15"/>
      <c r="BL340" s="15"/>
      <c r="BM340" s="15"/>
      <c r="BN340" s="15"/>
      <c r="BO340" s="883"/>
      <c r="BP340" s="26"/>
      <c r="BQ340" s="26"/>
      <c r="BR340" s="26"/>
      <c r="BS340" s="26"/>
      <c r="BT340" s="26"/>
      <c r="BU340" s="26"/>
      <c r="BV340" s="26"/>
      <c r="BW340" s="26"/>
      <c r="BX340" s="26"/>
      <c r="BY340" s="26"/>
      <c r="BZ340" s="87">
        <f t="shared" ref="BZ340:CM340" si="695">$C340*(AVERAGE(BY195:BZ195))/4</f>
        <v>0.328262</v>
      </c>
      <c r="CA340" s="87">
        <f t="shared" si="695"/>
        <v>0.328262</v>
      </c>
      <c r="CB340" s="87">
        <f t="shared" si="695"/>
        <v>0.328262</v>
      </c>
      <c r="CC340" s="87">
        <f t="shared" si="695"/>
        <v>0.328262</v>
      </c>
      <c r="CD340" s="87">
        <f t="shared" si="695"/>
        <v>0.328262</v>
      </c>
      <c r="CE340" s="87">
        <f t="shared" si="695"/>
        <v>0.31530825000000001</v>
      </c>
      <c r="CF340" s="87">
        <f t="shared" si="695"/>
        <v>0.30235449999999997</v>
      </c>
      <c r="CG340" s="87">
        <f t="shared" si="695"/>
        <v>0.30235449999999997</v>
      </c>
      <c r="CH340" s="87">
        <f t="shared" si="695"/>
        <v>0.30235449999999997</v>
      </c>
      <c r="CI340" s="87">
        <f t="shared" si="695"/>
        <v>0.30235449999999997</v>
      </c>
      <c r="CJ340" s="87">
        <f t="shared" si="695"/>
        <v>0.30235449999999997</v>
      </c>
      <c r="CK340" s="87">
        <f t="shared" si="695"/>
        <v>0.30235449999999997</v>
      </c>
      <c r="CL340" s="87">
        <f t="shared" si="695"/>
        <v>0.30235449999999997</v>
      </c>
      <c r="CM340" s="87">
        <f t="shared" si="695"/>
        <v>0.30235449999999997</v>
      </c>
      <c r="CN340" s="87"/>
      <c r="CO340" s="87"/>
      <c r="CP340" s="87"/>
      <c r="CQ340" s="87"/>
      <c r="CR340" s="87"/>
      <c r="CS340" s="87"/>
      <c r="CT340" s="87"/>
      <c r="CU340" s="87"/>
      <c r="CV340" s="87"/>
      <c r="CW340" s="87"/>
      <c r="CX340" s="87"/>
      <c r="CY340" s="87"/>
      <c r="CZ340" s="87"/>
      <c r="DA340" s="87"/>
      <c r="DB340" s="87"/>
      <c r="DC340" s="87"/>
    </row>
    <row r="341" spans="1:107" hidden="1" outlineLevel="1" collapsed="1">
      <c r="A341" s="15"/>
      <c r="B341" s="132" t="s">
        <v>1214</v>
      </c>
      <c r="C341" s="2046">
        <v>4.4900000000000002E-2</v>
      </c>
      <c r="D341" s="399"/>
      <c r="E341" s="132"/>
      <c r="F341" s="132"/>
      <c r="G341" s="132"/>
      <c r="H341" s="132"/>
      <c r="I341" s="132"/>
      <c r="J341" s="132"/>
      <c r="K341" s="132"/>
      <c r="L341" s="132"/>
      <c r="M341" s="132"/>
      <c r="N341" s="132"/>
      <c r="O341" s="132"/>
      <c r="P341" s="132"/>
      <c r="Q341" s="132"/>
      <c r="R341" s="132"/>
      <c r="S341" s="132"/>
      <c r="T341" s="132"/>
      <c r="U341" s="132"/>
      <c r="V341" s="132"/>
      <c r="W341" s="132"/>
      <c r="X341" s="87">
        <f>$C341*(AVERAGE(W200:X200))</f>
        <v>0.85714100000000015</v>
      </c>
      <c r="Y341" s="87">
        <f>$C341*(AVERAGE(X200:Y200))</f>
        <v>0.9110210000000003</v>
      </c>
      <c r="Z341" s="87">
        <f>$C341*(AVERAGE(Y200:Z200))</f>
        <v>0.96490100000000012</v>
      </c>
      <c r="AA341" s="87">
        <f t="shared" ref="AA341:AD341" si="696">$C341*(AVERAGE(Z200:AA200))</f>
        <v>1.0187810000000004</v>
      </c>
      <c r="AB341" s="87">
        <f t="shared" si="696"/>
        <v>1.0726610000000001</v>
      </c>
      <c r="AC341" s="87">
        <f t="shared" si="696"/>
        <v>1.1265410000000002</v>
      </c>
      <c r="AD341" s="87">
        <f t="shared" si="696"/>
        <v>1.1804209999999999</v>
      </c>
      <c r="AE341" s="15"/>
      <c r="AF341" s="15"/>
      <c r="AG341" s="15"/>
      <c r="AH341" s="15"/>
      <c r="AI341" s="15"/>
      <c r="AJ341" s="15"/>
      <c r="AK341" s="15"/>
      <c r="AL341" s="15"/>
      <c r="AM341" s="15"/>
      <c r="AN341" s="15"/>
      <c r="AO341" s="15"/>
      <c r="AP341" s="15"/>
      <c r="AQ341" s="15"/>
      <c r="AR341" s="15"/>
      <c r="AS341" s="15"/>
      <c r="AT341" s="15"/>
      <c r="AU341" s="15"/>
      <c r="AV341" s="15"/>
      <c r="AW341" s="15"/>
      <c r="AX341" s="15"/>
      <c r="AY341" s="15"/>
      <c r="AZ341" s="15"/>
      <c r="BA341" s="15"/>
      <c r="BB341" s="15"/>
      <c r="BC341" s="15"/>
      <c r="BD341" s="15"/>
      <c r="BE341" s="15"/>
      <c r="BF341" s="15"/>
      <c r="BG341" s="15"/>
      <c r="BH341" s="15"/>
      <c r="BI341" s="15"/>
      <c r="BJ341" s="15"/>
      <c r="BK341" s="15"/>
      <c r="BL341" s="15"/>
      <c r="BM341" s="15"/>
      <c r="BN341" s="15"/>
      <c r="BO341" s="883"/>
      <c r="BP341" s="26"/>
      <c r="BQ341" s="26"/>
      <c r="BR341" s="26"/>
      <c r="BS341" s="26"/>
      <c r="BT341" s="26"/>
      <c r="BU341" s="26"/>
      <c r="BV341" s="26"/>
      <c r="BW341" s="26"/>
      <c r="BX341" s="26"/>
      <c r="BY341" s="26"/>
      <c r="BZ341" s="87">
        <f t="shared" ref="BZ341:CM341" si="697">$C341*(AVERAGE(BY200:BZ200))/4</f>
        <v>0.14956190000000003</v>
      </c>
      <c r="CA341" s="87">
        <f t="shared" si="697"/>
        <v>0.15292940000000002</v>
      </c>
      <c r="CB341" s="87">
        <f t="shared" si="697"/>
        <v>0.15629690000000004</v>
      </c>
      <c r="CC341" s="87">
        <f t="shared" si="697"/>
        <v>0.15966440000000004</v>
      </c>
      <c r="CD341" s="87">
        <f t="shared" si="697"/>
        <v>0.16303190000000006</v>
      </c>
      <c r="CE341" s="87">
        <f t="shared" si="697"/>
        <v>0.15077420000000002</v>
      </c>
      <c r="CF341" s="87">
        <f t="shared" si="697"/>
        <v>0.13851650000000001</v>
      </c>
      <c r="CG341" s="87">
        <f t="shared" si="697"/>
        <v>0.14188400000000001</v>
      </c>
      <c r="CH341" s="87">
        <f t="shared" si="697"/>
        <v>0.14525150000000003</v>
      </c>
      <c r="CI341" s="87">
        <f t="shared" si="697"/>
        <v>0.14861900000000003</v>
      </c>
      <c r="CJ341" s="87">
        <f t="shared" si="697"/>
        <v>0.15198650000000005</v>
      </c>
      <c r="CK341" s="87">
        <f t="shared" si="697"/>
        <v>0.15535400000000005</v>
      </c>
      <c r="CL341" s="87">
        <f t="shared" si="697"/>
        <v>0.15872150000000004</v>
      </c>
      <c r="CM341" s="87">
        <f t="shared" si="697"/>
        <v>0.16208900000000007</v>
      </c>
      <c r="CN341" s="87"/>
      <c r="CO341" s="87"/>
      <c r="CP341" s="87"/>
      <c r="CQ341" s="87"/>
      <c r="CR341" s="87"/>
      <c r="CS341" s="87"/>
      <c r="CT341" s="87"/>
      <c r="CU341" s="87"/>
      <c r="CV341" s="87"/>
      <c r="CW341" s="87"/>
      <c r="CX341" s="87"/>
      <c r="CY341" s="87"/>
      <c r="CZ341" s="87"/>
      <c r="DA341" s="87"/>
      <c r="DB341" s="87"/>
      <c r="DC341" s="87"/>
    </row>
    <row r="342" spans="1:107" hidden="1" outlineLevel="1">
      <c r="A342" s="15"/>
      <c r="B342" s="132" t="s">
        <v>286</v>
      </c>
      <c r="C342" s="2046">
        <v>2.8000000000000001E-2</v>
      </c>
      <c r="D342" s="399"/>
      <c r="E342" s="132"/>
      <c r="F342" s="132"/>
      <c r="G342" s="132"/>
      <c r="H342" s="132"/>
      <c r="I342" s="132"/>
      <c r="J342" s="132"/>
      <c r="K342" s="132"/>
      <c r="L342" s="132"/>
      <c r="M342" s="132"/>
      <c r="N342" s="132"/>
      <c r="O342" s="132"/>
      <c r="P342" s="132"/>
      <c r="Q342" s="132"/>
      <c r="R342" s="132"/>
      <c r="S342" s="132"/>
      <c r="T342" s="132"/>
      <c r="U342" s="132"/>
      <c r="V342" s="132"/>
      <c r="W342" s="132"/>
      <c r="X342" s="87">
        <f>$C342*(AVERAGE(W205:X205))</f>
        <v>0.32841199999999998</v>
      </c>
      <c r="Y342" s="87">
        <f>$C342*(AVERAGE(X205:Y205))</f>
        <v>0.32841199999999998</v>
      </c>
      <c r="Z342" s="87">
        <f>$C342*(AVERAGE(Y205:Z205))</f>
        <v>0.32841199999999998</v>
      </c>
      <c r="AA342" s="87">
        <f t="shared" ref="AA342:AD342" si="698">$C342*(AVERAGE(Z205:AA205))</f>
        <v>0.32841199999999998</v>
      </c>
      <c r="AB342" s="87">
        <f t="shared" si="698"/>
        <v>0.32841199999999998</v>
      </c>
      <c r="AC342" s="87">
        <f t="shared" si="698"/>
        <v>0.32841199999999998</v>
      </c>
      <c r="AD342" s="87">
        <f t="shared" si="698"/>
        <v>0.32841199999999998</v>
      </c>
      <c r="AE342" s="15"/>
      <c r="AF342" s="15"/>
      <c r="AG342" s="15"/>
      <c r="AH342" s="15"/>
      <c r="AI342" s="15"/>
      <c r="AJ342" s="15"/>
      <c r="AK342" s="15"/>
      <c r="AL342" s="15"/>
      <c r="AM342" s="15"/>
      <c r="AN342" s="15"/>
      <c r="AO342" s="15"/>
      <c r="AP342" s="15"/>
      <c r="AQ342" s="15"/>
      <c r="AR342" s="15"/>
      <c r="AS342" s="15"/>
      <c r="AT342" s="15"/>
      <c r="AU342" s="15"/>
      <c r="AV342" s="15"/>
      <c r="AW342" s="15"/>
      <c r="AX342" s="15"/>
      <c r="AY342" s="15"/>
      <c r="AZ342" s="15"/>
      <c r="BA342" s="15"/>
      <c r="BB342" s="15"/>
      <c r="BC342" s="15"/>
      <c r="BD342" s="15"/>
      <c r="BE342" s="15"/>
      <c r="BF342" s="15"/>
      <c r="BG342" s="15"/>
      <c r="BH342" s="15"/>
      <c r="BI342" s="15"/>
      <c r="BJ342" s="15"/>
      <c r="BK342" s="15"/>
      <c r="BL342" s="15"/>
      <c r="BM342" s="15"/>
      <c r="BN342" s="15"/>
      <c r="BO342" s="883"/>
      <c r="BP342" s="26"/>
      <c r="BQ342" s="26"/>
      <c r="BR342" s="26"/>
      <c r="BS342" s="26"/>
      <c r="BT342" s="26"/>
      <c r="BU342" s="26"/>
      <c r="BV342" s="26"/>
      <c r="BW342" s="26"/>
      <c r="BX342" s="26"/>
      <c r="BY342" s="26"/>
      <c r="BZ342" s="87">
        <f t="shared" ref="BZ342:CM342" si="699">$C342*(AVERAGE(BY205:BZ205))/4</f>
        <v>7.7371000000000009E-2</v>
      </c>
      <c r="CA342" s="87">
        <f t="shared" si="699"/>
        <v>7.7371000000000009E-2</v>
      </c>
      <c r="CB342" s="87">
        <f t="shared" si="699"/>
        <v>7.7371000000000009E-2</v>
      </c>
      <c r="CC342" s="87">
        <f t="shared" si="699"/>
        <v>7.7371000000000009E-2</v>
      </c>
      <c r="CD342" s="87">
        <f t="shared" si="699"/>
        <v>7.7371000000000009E-2</v>
      </c>
      <c r="CE342" s="87">
        <f t="shared" si="699"/>
        <v>7.9737000000000002E-2</v>
      </c>
      <c r="CF342" s="87">
        <f t="shared" si="699"/>
        <v>8.2102999999999995E-2</v>
      </c>
      <c r="CG342" s="87">
        <f t="shared" si="699"/>
        <v>8.2102999999999995E-2</v>
      </c>
      <c r="CH342" s="87">
        <f t="shared" si="699"/>
        <v>8.2102999999999995E-2</v>
      </c>
      <c r="CI342" s="87">
        <f t="shared" si="699"/>
        <v>8.2102999999999995E-2</v>
      </c>
      <c r="CJ342" s="87">
        <f t="shared" si="699"/>
        <v>8.2102999999999995E-2</v>
      </c>
      <c r="CK342" s="87">
        <f t="shared" si="699"/>
        <v>8.2102999999999995E-2</v>
      </c>
      <c r="CL342" s="87">
        <f t="shared" si="699"/>
        <v>8.2102999999999995E-2</v>
      </c>
      <c r="CM342" s="87">
        <f t="shared" si="699"/>
        <v>8.2102999999999995E-2</v>
      </c>
      <c r="CN342" s="87"/>
      <c r="CO342" s="87"/>
      <c r="CP342" s="87"/>
      <c r="CQ342" s="87"/>
      <c r="CR342" s="87"/>
      <c r="CS342" s="87"/>
      <c r="CT342" s="87"/>
      <c r="CU342" s="87"/>
      <c r="CV342" s="87"/>
      <c r="CW342" s="87"/>
      <c r="CX342" s="87"/>
      <c r="CY342" s="87"/>
      <c r="CZ342" s="87"/>
      <c r="DA342" s="87"/>
      <c r="DB342" s="87"/>
      <c r="DC342" s="87"/>
    </row>
    <row r="343" spans="1:107" hidden="1" outlineLevel="1">
      <c r="A343" s="15"/>
      <c r="B343" s="132" t="s">
        <v>1510</v>
      </c>
      <c r="C343" s="2046">
        <v>8.5000000000000006E-2</v>
      </c>
      <c r="D343" s="132"/>
      <c r="E343" s="132"/>
      <c r="F343" s="132"/>
      <c r="G343" s="132"/>
      <c r="H343" s="132"/>
      <c r="I343" s="132"/>
      <c r="J343" s="132"/>
      <c r="K343" s="132"/>
      <c r="L343" s="132"/>
      <c r="M343" s="132"/>
      <c r="N343" s="132"/>
      <c r="O343" s="132"/>
      <c r="P343" s="132"/>
      <c r="Q343" s="132"/>
      <c r="R343" s="132"/>
      <c r="S343" s="132"/>
      <c r="T343" s="132"/>
      <c r="U343" s="132"/>
      <c r="V343" s="132"/>
      <c r="W343" s="132"/>
      <c r="X343" s="87">
        <f>$C343*(AVERAGE(W210:X210))</f>
        <v>2.7837499999867179E-3</v>
      </c>
      <c r="Y343" s="87">
        <f>$C343*(AVERAGE(X210:Y210))</f>
        <v>-0.16985125000001561</v>
      </c>
      <c r="Z343" s="87">
        <f>$C343*(AVERAGE(Y210:Z210))</f>
        <v>-0.34248625000001792</v>
      </c>
      <c r="AA343" s="87">
        <f t="shared" ref="AA343:AD343" si="700">$C343*(AVERAGE(Z210:AA210))</f>
        <v>-0.51512125000002029</v>
      </c>
      <c r="AB343" s="87">
        <f t="shared" si="700"/>
        <v>-0.68775625000002261</v>
      </c>
      <c r="AC343" s="87">
        <f t="shared" si="700"/>
        <v>-0.86039125000002492</v>
      </c>
      <c r="AD343" s="87">
        <f t="shared" si="700"/>
        <v>-1.0330262500000273</v>
      </c>
      <c r="AE343" s="15"/>
      <c r="AF343" s="15"/>
      <c r="AG343" s="15"/>
      <c r="AH343" s="15"/>
      <c r="AI343" s="15"/>
      <c r="AJ343" s="15"/>
      <c r="AK343" s="15"/>
      <c r="AL343" s="15"/>
      <c r="AM343" s="15"/>
      <c r="AN343" s="15"/>
      <c r="AO343" s="15"/>
      <c r="AP343" s="15"/>
      <c r="AQ343" s="15"/>
      <c r="AR343" s="15"/>
      <c r="AS343" s="15"/>
      <c r="AT343" s="15"/>
      <c r="AU343" s="15"/>
      <c r="AV343" s="15"/>
      <c r="AW343" s="15"/>
      <c r="AX343" s="15"/>
      <c r="AY343" s="15"/>
      <c r="AZ343" s="15"/>
      <c r="BA343" s="15"/>
      <c r="BB343" s="15"/>
      <c r="BC343" s="15"/>
      <c r="BD343" s="15"/>
      <c r="BE343" s="15"/>
      <c r="BF343" s="15"/>
      <c r="BG343" s="15"/>
      <c r="BH343" s="15"/>
      <c r="BI343" s="15"/>
      <c r="BJ343" s="15"/>
      <c r="BK343" s="15"/>
      <c r="BL343" s="15"/>
      <c r="BM343" s="15"/>
      <c r="BN343" s="15"/>
      <c r="BO343" s="883"/>
      <c r="BP343" s="26"/>
      <c r="BQ343" s="26"/>
      <c r="BR343" s="26"/>
      <c r="BS343" s="26"/>
      <c r="BT343" s="26"/>
      <c r="BU343" s="26"/>
      <c r="BV343" s="26"/>
      <c r="BW343" s="26"/>
      <c r="BX343" s="26"/>
      <c r="BY343" s="26"/>
      <c r="BZ343" s="87">
        <f t="shared" ref="BZ343:CM343" si="701">$C343*(AVERAGE(BY210:BZ210))/4</f>
        <v>0.2727251562500001</v>
      </c>
      <c r="CA343" s="87">
        <f t="shared" si="701"/>
        <v>0.26981921875000009</v>
      </c>
      <c r="CB343" s="87">
        <f t="shared" si="701"/>
        <v>0.26691328125000013</v>
      </c>
      <c r="CC343" s="87">
        <f t="shared" si="701"/>
        <v>0.26400734375000012</v>
      </c>
      <c r="CD343" s="87">
        <f t="shared" si="701"/>
        <v>0.26110140625000017</v>
      </c>
      <c r="CE343" s="87">
        <f t="shared" si="701"/>
        <v>0.25425359375000006</v>
      </c>
      <c r="CF343" s="87">
        <f t="shared" si="701"/>
        <v>0.24346390624999997</v>
      </c>
      <c r="CG343" s="87">
        <f t="shared" si="701"/>
        <v>0.2326742187499998</v>
      </c>
      <c r="CH343" s="87">
        <f t="shared" si="701"/>
        <v>0.22188453124999968</v>
      </c>
      <c r="CI343" s="87">
        <f t="shared" si="701"/>
        <v>0.21109484374999948</v>
      </c>
      <c r="CJ343" s="87">
        <f t="shared" si="701"/>
        <v>0.20030515624999939</v>
      </c>
      <c r="CK343" s="87">
        <f t="shared" si="701"/>
        <v>0.18951546874999919</v>
      </c>
      <c r="CL343" s="87">
        <f t="shared" si="701"/>
        <v>0.1787257812499991</v>
      </c>
      <c r="CM343" s="87">
        <f t="shared" si="701"/>
        <v>0.16793609374999893</v>
      </c>
      <c r="CN343" s="87"/>
      <c r="CO343" s="87"/>
      <c r="CP343" s="87"/>
      <c r="CQ343" s="87"/>
      <c r="CR343" s="87"/>
      <c r="CS343" s="87"/>
      <c r="CT343" s="87"/>
      <c r="CU343" s="87"/>
      <c r="CV343" s="87"/>
      <c r="CW343" s="87"/>
      <c r="CX343" s="87"/>
      <c r="CY343" s="87"/>
      <c r="CZ343" s="87"/>
      <c r="DA343" s="87"/>
      <c r="DB343" s="87"/>
      <c r="DC343" s="87"/>
    </row>
    <row r="344" spans="1:107" hidden="1" outlineLevel="1">
      <c r="A344" s="15"/>
      <c r="B344" s="132" t="s">
        <v>283</v>
      </c>
      <c r="C344" s="2046">
        <v>0.1026</v>
      </c>
      <c r="D344" s="399"/>
      <c r="E344" s="132"/>
      <c r="F344" s="132"/>
      <c r="G344" s="132"/>
      <c r="H344" s="132"/>
      <c r="I344" s="132"/>
      <c r="J344" s="132"/>
      <c r="K344" s="132"/>
      <c r="L344" s="132"/>
      <c r="M344" s="132"/>
      <c r="N344" s="132"/>
      <c r="O344" s="132"/>
      <c r="P344" s="132"/>
      <c r="Q344" s="132"/>
      <c r="R344" s="132"/>
      <c r="S344" s="132"/>
      <c r="T344" s="132"/>
      <c r="U344" s="132"/>
      <c r="V344" s="132"/>
      <c r="W344" s="132"/>
      <c r="X344" s="87">
        <f>$C344*(AVERAGE(W215:X215))</f>
        <v>0</v>
      </c>
      <c r="Y344" s="87">
        <f>$C344*(AVERAGE(X215:Y215))</f>
        <v>0</v>
      </c>
      <c r="Z344" s="87">
        <f>$C344*(AVERAGE(Y215:Z215))</f>
        <v>0</v>
      </c>
      <c r="AA344" s="87">
        <f t="shared" ref="AA344:AD344" si="702">$C344*(AVERAGE(Z215:AA215))</f>
        <v>0</v>
      </c>
      <c r="AB344" s="87">
        <f t="shared" si="702"/>
        <v>0</v>
      </c>
      <c r="AC344" s="87">
        <f t="shared" si="702"/>
        <v>0</v>
      </c>
      <c r="AD344" s="87">
        <f t="shared" si="702"/>
        <v>0</v>
      </c>
      <c r="AE344" s="15"/>
      <c r="AF344" s="15"/>
      <c r="AG344" s="15"/>
      <c r="AH344" s="15"/>
      <c r="AI344" s="15"/>
      <c r="AJ344" s="15"/>
      <c r="AK344" s="15"/>
      <c r="AL344" s="15"/>
      <c r="AM344" s="15"/>
      <c r="AN344" s="15"/>
      <c r="AO344" s="15"/>
      <c r="AP344" s="15"/>
      <c r="AQ344" s="15"/>
      <c r="AR344" s="15"/>
      <c r="AS344" s="15"/>
      <c r="AT344" s="15"/>
      <c r="AU344" s="15"/>
      <c r="AV344" s="15"/>
      <c r="AW344" s="15"/>
      <c r="AX344" s="15"/>
      <c r="AY344" s="15"/>
      <c r="AZ344" s="15"/>
      <c r="BA344" s="15"/>
      <c r="BB344" s="15"/>
      <c r="BC344" s="15"/>
      <c r="BD344" s="15"/>
      <c r="BE344" s="15"/>
      <c r="BF344" s="15"/>
      <c r="BG344" s="15"/>
      <c r="BH344" s="15"/>
      <c r="BI344" s="15"/>
      <c r="BJ344" s="15"/>
      <c r="BK344" s="15"/>
      <c r="BL344" s="15"/>
      <c r="BM344" s="15"/>
      <c r="BN344" s="15"/>
      <c r="BO344" s="883"/>
      <c r="BP344" s="26"/>
      <c r="BQ344" s="26"/>
      <c r="BR344" s="26"/>
      <c r="BS344" s="26"/>
      <c r="BT344" s="26"/>
      <c r="BU344" s="26"/>
      <c r="BV344" s="26"/>
      <c r="BW344" s="26"/>
      <c r="BX344" s="26"/>
      <c r="BY344" s="26"/>
      <c r="BZ344" s="87">
        <f t="shared" ref="BZ344:CM344" si="703">$C344*(AVERAGE(BY215:BZ215))/4</f>
        <v>0.53557199999999994</v>
      </c>
      <c r="CA344" s="87">
        <f t="shared" si="703"/>
        <v>0.53557199999999994</v>
      </c>
      <c r="CB344" s="87">
        <f t="shared" si="703"/>
        <v>0.53557199999999994</v>
      </c>
      <c r="CC344" s="87">
        <f t="shared" si="703"/>
        <v>0.53557199999999994</v>
      </c>
      <c r="CD344" s="87">
        <f t="shared" si="703"/>
        <v>0.53557199999999994</v>
      </c>
      <c r="CE344" s="87">
        <f t="shared" si="703"/>
        <v>1.0155476249999997</v>
      </c>
      <c r="CF344" s="87">
        <f t="shared" si="703"/>
        <v>1.4955232499999997</v>
      </c>
      <c r="CG344" s="87">
        <f t="shared" si="703"/>
        <v>1.4955232499999997</v>
      </c>
      <c r="CH344" s="87">
        <f t="shared" si="703"/>
        <v>1.4955232499999997</v>
      </c>
      <c r="CI344" s="87">
        <f t="shared" si="703"/>
        <v>1.4955232499999997</v>
      </c>
      <c r="CJ344" s="87">
        <f t="shared" si="703"/>
        <v>1.4955232499999997</v>
      </c>
      <c r="CK344" s="87">
        <f t="shared" si="703"/>
        <v>1.4955232499999997</v>
      </c>
      <c r="CL344" s="87">
        <f t="shared" si="703"/>
        <v>1.4955232499999997</v>
      </c>
      <c r="CM344" s="87">
        <f t="shared" si="703"/>
        <v>10.031343074999999</v>
      </c>
      <c r="CN344" s="87"/>
      <c r="CO344" s="87"/>
      <c r="CP344" s="87"/>
      <c r="CQ344" s="87"/>
      <c r="CR344" s="87"/>
      <c r="CS344" s="87"/>
      <c r="CT344" s="87"/>
      <c r="CU344" s="87"/>
      <c r="CV344" s="87"/>
      <c r="CW344" s="87"/>
      <c r="CX344" s="87"/>
      <c r="CY344" s="87"/>
      <c r="CZ344" s="87"/>
      <c r="DA344" s="87"/>
      <c r="DB344" s="87"/>
      <c r="DC344" s="87"/>
    </row>
    <row r="345" spans="1:107" hidden="1" outlineLevel="1">
      <c r="A345" s="15"/>
      <c r="B345" s="132" t="s">
        <v>1204</v>
      </c>
      <c r="C345" s="396">
        <v>0.05</v>
      </c>
      <c r="D345" s="132"/>
      <c r="E345" s="132"/>
      <c r="F345" s="132"/>
      <c r="G345" s="132"/>
      <c r="H345" s="132"/>
      <c r="I345" s="132"/>
      <c r="J345" s="132"/>
      <c r="K345" s="132"/>
      <c r="L345" s="132"/>
      <c r="M345" s="132"/>
      <c r="N345" s="132"/>
      <c r="O345" s="132"/>
      <c r="P345" s="132"/>
      <c r="Q345" s="132"/>
      <c r="R345" s="132"/>
      <c r="S345" s="132"/>
      <c r="T345" s="132"/>
      <c r="U345" s="132"/>
      <c r="V345" s="132"/>
      <c r="W345" s="132"/>
      <c r="X345" s="87">
        <f>$C345*AVERAGE(W53:X53)</f>
        <v>2.5461500000000004</v>
      </c>
      <c r="Y345" s="87">
        <f>$C345*AVERAGE(X53:Y53)</f>
        <v>2.5461500000000004</v>
      </c>
      <c r="Z345" s="87">
        <f>$C345*AVERAGE(Y53:Z53)</f>
        <v>2.5461500000000004</v>
      </c>
      <c r="AA345" s="87">
        <f t="shared" ref="AA345:AD345" si="704">$C345*AVERAGE(Z53:AA53)</f>
        <v>2.5461500000000004</v>
      </c>
      <c r="AB345" s="87">
        <f t="shared" si="704"/>
        <v>2.5461500000000004</v>
      </c>
      <c r="AC345" s="87">
        <f t="shared" si="704"/>
        <v>2.5461500000000004</v>
      </c>
      <c r="AD345" s="87">
        <f t="shared" si="704"/>
        <v>2.5461500000000004</v>
      </c>
      <c r="AE345" s="15"/>
      <c r="AF345" s="15"/>
      <c r="AG345" s="15"/>
      <c r="AH345" s="15"/>
      <c r="AI345" s="15"/>
      <c r="AJ345" s="15"/>
      <c r="AK345" s="15"/>
      <c r="AL345" s="15"/>
      <c r="AM345" s="15"/>
      <c r="AN345" s="15"/>
      <c r="AO345" s="15"/>
      <c r="AP345" s="15"/>
      <c r="AQ345" s="15"/>
      <c r="AR345" s="15"/>
      <c r="AS345" s="15"/>
      <c r="AT345" s="15"/>
      <c r="AU345" s="15"/>
      <c r="AV345" s="15"/>
      <c r="AW345" s="15"/>
      <c r="AX345" s="15"/>
      <c r="AY345" s="15"/>
      <c r="AZ345" s="15"/>
      <c r="BA345" s="15"/>
      <c r="BB345" s="15"/>
      <c r="BC345" s="15"/>
      <c r="BD345" s="15"/>
      <c r="BE345" s="15"/>
      <c r="BF345" s="15"/>
      <c r="BG345" s="15"/>
      <c r="BH345" s="15"/>
      <c r="BI345" s="15"/>
      <c r="BJ345" s="15"/>
      <c r="BK345" s="15"/>
      <c r="BL345" s="15"/>
      <c r="BM345" s="15"/>
      <c r="BN345" s="15"/>
      <c r="BO345" s="883"/>
      <c r="BP345" s="15"/>
      <c r="BQ345" s="883"/>
      <c r="BR345" s="883"/>
      <c r="BS345" s="883"/>
      <c r="BT345" s="883"/>
      <c r="BU345" s="883"/>
      <c r="BV345" s="883"/>
      <c r="BW345" s="883"/>
      <c r="BX345" s="883"/>
      <c r="BY345" s="26"/>
      <c r="BZ345" s="87"/>
      <c r="CA345" s="87"/>
      <c r="CB345" s="87"/>
      <c r="CC345" s="87"/>
      <c r="CD345" s="87"/>
      <c r="CE345" s="87"/>
      <c r="CF345" s="87"/>
      <c r="CG345" s="87"/>
      <c r="CH345" s="87"/>
      <c r="CI345" s="87"/>
      <c r="CJ345" s="87"/>
      <c r="CK345" s="87"/>
      <c r="CL345" s="87"/>
      <c r="CM345" s="87"/>
      <c r="CN345" s="87"/>
      <c r="CO345" s="87"/>
      <c r="CP345" s="87"/>
      <c r="CQ345" s="87"/>
      <c r="CR345" s="87"/>
      <c r="CS345" s="87"/>
      <c r="CT345" s="87"/>
      <c r="CU345" s="87"/>
      <c r="CV345" s="87"/>
      <c r="CW345" s="87"/>
      <c r="CX345" s="87"/>
      <c r="CY345" s="87"/>
      <c r="CZ345" s="87"/>
      <c r="DA345" s="87"/>
      <c r="DB345" s="87"/>
      <c r="DC345" s="87"/>
    </row>
    <row r="346" spans="1:107" hidden="1" outlineLevel="1">
      <c r="A346" s="15"/>
      <c r="B346" s="132" t="s">
        <v>1537</v>
      </c>
      <c r="C346" s="396">
        <v>7.4999999999999997E-2</v>
      </c>
      <c r="D346" s="132"/>
      <c r="E346" s="132"/>
      <c r="F346" s="132"/>
      <c r="G346" s="132"/>
      <c r="H346" s="132"/>
      <c r="I346" s="132"/>
      <c r="J346" s="132"/>
      <c r="K346" s="132"/>
      <c r="L346" s="132"/>
      <c r="M346" s="132"/>
      <c r="N346" s="132"/>
      <c r="O346" s="132"/>
      <c r="P346" s="132"/>
      <c r="Q346" s="132"/>
      <c r="R346" s="132"/>
      <c r="S346" s="132"/>
      <c r="T346" s="132"/>
      <c r="U346" s="132"/>
      <c r="V346" s="132"/>
      <c r="W346" s="132"/>
      <c r="X346" s="87">
        <f>$C$346*(AVERAGE(W130:X130))/4</f>
        <v>0</v>
      </c>
      <c r="Y346" s="87">
        <f>$C$346*(AVERAGE(X130:Y130))/4</f>
        <v>0</v>
      </c>
      <c r="Z346" s="87">
        <f>$C$346*(AVERAGE(Y130:Z130))/4</f>
        <v>0</v>
      </c>
      <c r="AA346" s="87">
        <f t="shared" ref="AA346:AD346" si="705">$C$346*(AVERAGE(Z130:AA130))/4</f>
        <v>0</v>
      </c>
      <c r="AB346" s="87">
        <f t="shared" si="705"/>
        <v>0</v>
      </c>
      <c r="AC346" s="87">
        <f t="shared" si="705"/>
        <v>0</v>
      </c>
      <c r="AD346" s="87">
        <f t="shared" si="705"/>
        <v>0</v>
      </c>
      <c r="AE346" s="15"/>
      <c r="AF346" s="15"/>
      <c r="AG346" s="15"/>
      <c r="AH346" s="15"/>
      <c r="AI346" s="15"/>
      <c r="AJ346" s="15"/>
      <c r="AK346" s="15"/>
      <c r="AL346" s="15"/>
      <c r="AM346" s="15"/>
      <c r="AN346" s="15"/>
      <c r="AO346" s="15"/>
      <c r="AP346" s="15"/>
      <c r="AQ346" s="15"/>
      <c r="AR346" s="15"/>
      <c r="AS346" s="15"/>
      <c r="AT346" s="15"/>
      <c r="AU346" s="15"/>
      <c r="AV346" s="15"/>
      <c r="AW346" s="15"/>
      <c r="AX346" s="15"/>
      <c r="AY346" s="15"/>
      <c r="AZ346" s="15"/>
      <c r="BA346" s="15"/>
      <c r="BB346" s="15"/>
      <c r="BC346" s="15"/>
      <c r="BD346" s="15"/>
      <c r="BE346" s="15"/>
      <c r="BF346" s="15"/>
      <c r="BG346" s="15"/>
      <c r="BH346" s="15"/>
      <c r="BI346" s="15"/>
      <c r="BJ346" s="15"/>
      <c r="BK346" s="15"/>
      <c r="BL346" s="15"/>
      <c r="BM346" s="15"/>
      <c r="BN346" s="15"/>
      <c r="BO346" s="883"/>
      <c r="BP346" s="26"/>
      <c r="BQ346" s="26"/>
      <c r="BR346" s="26"/>
      <c r="BS346" s="26"/>
      <c r="BT346" s="26"/>
      <c r="BU346" s="26"/>
      <c r="BV346" s="26"/>
      <c r="BW346" s="26"/>
      <c r="BX346" s="26"/>
      <c r="BY346" s="26"/>
      <c r="BZ346" s="87">
        <f t="shared" ref="BZ346:CM346" si="706">$C$346*(AVERAGE(BY130:BZ130))/4</f>
        <v>0</v>
      </c>
      <c r="CA346" s="87">
        <f t="shared" si="706"/>
        <v>0</v>
      </c>
      <c r="CB346" s="87">
        <f t="shared" si="706"/>
        <v>0</v>
      </c>
      <c r="CC346" s="87">
        <f t="shared" si="706"/>
        <v>0</v>
      </c>
      <c r="CD346" s="87">
        <f t="shared" si="706"/>
        <v>0</v>
      </c>
      <c r="CE346" s="87">
        <f t="shared" si="706"/>
        <v>0</v>
      </c>
      <c r="CF346" s="87">
        <f t="shared" si="706"/>
        <v>0</v>
      </c>
      <c r="CG346" s="87">
        <f t="shared" si="706"/>
        <v>0</v>
      </c>
      <c r="CH346" s="87">
        <f t="shared" si="706"/>
        <v>0</v>
      </c>
      <c r="CI346" s="87">
        <f t="shared" si="706"/>
        <v>0</v>
      </c>
      <c r="CJ346" s="87">
        <f t="shared" si="706"/>
        <v>0</v>
      </c>
      <c r="CK346" s="87">
        <f t="shared" si="706"/>
        <v>0</v>
      </c>
      <c r="CL346" s="87">
        <f t="shared" si="706"/>
        <v>0</v>
      </c>
      <c r="CM346" s="87">
        <f t="shared" si="706"/>
        <v>0</v>
      </c>
      <c r="CN346" s="87"/>
      <c r="CO346" s="87"/>
      <c r="CP346" s="87"/>
      <c r="CQ346" s="87"/>
      <c r="CR346" s="87"/>
      <c r="CS346" s="87"/>
      <c r="CT346" s="87"/>
      <c r="CU346" s="87"/>
      <c r="CV346" s="87"/>
      <c r="CW346" s="87"/>
      <c r="CX346" s="87"/>
      <c r="CY346" s="87"/>
      <c r="CZ346" s="87"/>
      <c r="DA346" s="87"/>
      <c r="DB346" s="87"/>
      <c r="DC346" s="87"/>
    </row>
    <row r="347" spans="1:107" hidden="1" outlineLevel="1">
      <c r="A347" s="15"/>
      <c r="B347" s="132" t="s">
        <v>247</v>
      </c>
      <c r="C347" s="396">
        <v>4.7500000000000001E-2</v>
      </c>
      <c r="D347" s="400">
        <v>0.10879999999999999</v>
      </c>
      <c r="E347" s="132"/>
      <c r="F347" s="132"/>
      <c r="G347" s="132"/>
      <c r="H347" s="132"/>
      <c r="I347" s="132"/>
      <c r="J347" s="132"/>
      <c r="K347" s="132"/>
      <c r="L347" s="132"/>
      <c r="M347" s="132"/>
      <c r="N347" s="132"/>
      <c r="O347" s="132"/>
      <c r="P347" s="132"/>
      <c r="Q347" s="132"/>
      <c r="R347" s="132"/>
      <c r="S347" s="132"/>
      <c r="T347" s="132"/>
      <c r="U347" s="132"/>
      <c r="V347" s="132"/>
      <c r="W347" s="132"/>
      <c r="X347" s="87">
        <f>$C347*AVERAGE(W228:X228)</f>
        <v>0</v>
      </c>
      <c r="Y347" s="87">
        <f>$C347*AVERAGE(X228:Y228)</f>
        <v>0</v>
      </c>
      <c r="Z347" s="87">
        <f>$C347*AVERAGE(Y228:Z228)</f>
        <v>0</v>
      </c>
      <c r="AA347" s="87">
        <f t="shared" ref="AA347:AD347" si="707">$C347*AVERAGE(Z228:AA228)</f>
        <v>0</v>
      </c>
      <c r="AB347" s="87">
        <f t="shared" si="707"/>
        <v>0</v>
      </c>
      <c r="AC347" s="87">
        <f t="shared" si="707"/>
        <v>0</v>
      </c>
      <c r="AD347" s="87">
        <f t="shared" si="707"/>
        <v>0</v>
      </c>
      <c r="AE347" s="15"/>
      <c r="AF347" s="15"/>
      <c r="AG347" s="15"/>
      <c r="AH347" s="15"/>
      <c r="AI347" s="15"/>
      <c r="AJ347" s="15"/>
      <c r="AK347" s="15"/>
      <c r="AL347" s="15"/>
      <c r="AM347" s="15"/>
      <c r="AN347" s="15"/>
      <c r="AO347" s="15"/>
      <c r="AP347" s="15"/>
      <c r="AQ347" s="15"/>
      <c r="AR347" s="15"/>
      <c r="AS347" s="15"/>
      <c r="AT347" s="15"/>
      <c r="AU347" s="15"/>
      <c r="AV347" s="15"/>
      <c r="AW347" s="15"/>
      <c r="AX347" s="15"/>
      <c r="AY347" s="15"/>
      <c r="AZ347" s="15"/>
      <c r="BA347" s="15"/>
      <c r="BB347" s="15"/>
      <c r="BC347" s="15"/>
      <c r="BD347" s="15"/>
      <c r="BE347" s="15"/>
      <c r="BF347" s="15"/>
      <c r="BG347" s="15"/>
      <c r="BH347" s="15"/>
      <c r="BI347" s="15"/>
      <c r="BJ347" s="15"/>
      <c r="BK347" s="15"/>
      <c r="BL347" s="15"/>
      <c r="BM347" s="15"/>
      <c r="BN347" s="15"/>
      <c r="BO347" s="883"/>
      <c r="BP347" s="26"/>
      <c r="BQ347" s="883"/>
      <c r="BR347" s="883"/>
      <c r="BS347" s="883"/>
      <c r="BT347" s="883"/>
      <c r="BU347" s="883"/>
      <c r="BV347" s="883"/>
      <c r="BW347" s="883"/>
      <c r="BX347" s="883"/>
      <c r="BY347" s="26"/>
      <c r="BZ347" s="87">
        <f t="shared" ref="BZ347:CM347" ca="1" si="708">$C347*AVERAGE(BY228:BZ228)/4</f>
        <v>3.459188686169735</v>
      </c>
      <c r="CA347" s="87">
        <f t="shared" ca="1" si="708"/>
        <v>3.5011446294179782</v>
      </c>
      <c r="CB347" s="87">
        <f t="shared" ca="1" si="708"/>
        <v>3.5442575086519796</v>
      </c>
      <c r="CC347" s="87">
        <f t="shared" ca="1" si="708"/>
        <v>3.5885592264050046</v>
      </c>
      <c r="CD347" s="87">
        <f t="shared" ca="1" si="708"/>
        <v>3.6199581684811184</v>
      </c>
      <c r="CE347" s="87">
        <f t="shared" si="708"/>
        <v>3.6499771874999998</v>
      </c>
      <c r="CF347" s="87">
        <f t="shared" si="708"/>
        <v>3.6924184375000006</v>
      </c>
      <c r="CG347" s="87">
        <f t="shared" si="708"/>
        <v>3.3739546874999999</v>
      </c>
      <c r="CH347" s="87">
        <f t="shared" si="708"/>
        <v>3.4187175000000001</v>
      </c>
      <c r="CI347" s="87">
        <f t="shared" si="708"/>
        <v>3.8267662500000004</v>
      </c>
      <c r="CJ347" s="87">
        <f t="shared" si="708"/>
        <v>3.873892187500001</v>
      </c>
      <c r="CK347" s="87">
        <f t="shared" si="708"/>
        <v>3.9222590625000002</v>
      </c>
      <c r="CL347" s="87">
        <f t="shared" si="708"/>
        <v>2.8173556249999998</v>
      </c>
      <c r="CM347" s="87">
        <f t="shared" si="708"/>
        <v>1.6987009375</v>
      </c>
      <c r="CN347" s="87"/>
      <c r="CO347" s="87"/>
      <c r="CP347" s="87"/>
      <c r="CQ347" s="87"/>
      <c r="CR347" s="87"/>
      <c r="CS347" s="87"/>
      <c r="CT347" s="87"/>
      <c r="CU347" s="87"/>
      <c r="CV347" s="87"/>
      <c r="CW347" s="87"/>
      <c r="CX347" s="87"/>
      <c r="CY347" s="87"/>
      <c r="CZ347" s="87"/>
      <c r="DA347" s="87"/>
      <c r="DB347" s="87"/>
      <c r="DC347" s="87"/>
    </row>
    <row r="348" spans="1:107" hidden="1" outlineLevel="1">
      <c r="A348" s="15"/>
      <c r="B348" s="390" t="s">
        <v>145</v>
      </c>
      <c r="C348" s="396"/>
      <c r="D348" s="399"/>
      <c r="E348" s="132"/>
      <c r="F348" s="132"/>
      <c r="G348" s="132"/>
      <c r="H348" s="132"/>
      <c r="I348" s="132"/>
      <c r="J348" s="132"/>
      <c r="K348" s="132"/>
      <c r="L348" s="132"/>
      <c r="M348" s="132"/>
      <c r="N348" s="132"/>
      <c r="O348" s="132"/>
      <c r="P348" s="132"/>
      <c r="Q348" s="132"/>
      <c r="R348" s="132"/>
      <c r="S348" s="132"/>
      <c r="T348" s="132"/>
      <c r="U348" s="132"/>
      <c r="V348" s="132"/>
      <c r="W348" s="132"/>
      <c r="X348" s="388"/>
      <c r="Y348" s="388"/>
      <c r="Z348" s="388"/>
      <c r="AA348" s="388"/>
      <c r="AB348" s="388"/>
      <c r="AC348" s="388"/>
      <c r="AD348" s="388"/>
      <c r="AE348" s="15"/>
      <c r="AF348" s="15"/>
      <c r="AG348" s="15"/>
      <c r="AH348" s="15"/>
      <c r="AI348" s="15"/>
      <c r="AJ348" s="15"/>
      <c r="AK348" s="15"/>
      <c r="AL348" s="15"/>
      <c r="AM348" s="15"/>
      <c r="AN348" s="15"/>
      <c r="AO348" s="15"/>
      <c r="AP348" s="15"/>
      <c r="AQ348" s="15"/>
      <c r="AR348" s="15"/>
      <c r="AS348" s="15"/>
      <c r="AT348" s="15"/>
      <c r="AU348" s="15"/>
      <c r="AV348" s="15"/>
      <c r="AW348" s="15"/>
      <c r="AX348" s="15"/>
      <c r="AY348" s="15"/>
      <c r="AZ348" s="15"/>
      <c r="BA348" s="15"/>
      <c r="BB348" s="15"/>
      <c r="BC348" s="15"/>
      <c r="BD348" s="15"/>
      <c r="BE348" s="15"/>
      <c r="BF348" s="15"/>
      <c r="BG348" s="15"/>
      <c r="BH348" s="15"/>
      <c r="BI348" s="15"/>
      <c r="BJ348" s="15"/>
      <c r="BK348" s="15"/>
      <c r="BL348" s="15"/>
      <c r="BM348" s="15"/>
      <c r="BN348" s="15"/>
      <c r="BO348" s="883"/>
      <c r="BP348" s="26"/>
      <c r="BQ348" s="1012"/>
      <c r="BR348" s="1012"/>
      <c r="BS348" s="1012"/>
      <c r="BT348" s="1012"/>
      <c r="BU348" s="1012"/>
      <c r="BV348" s="1012"/>
      <c r="BW348" s="1012"/>
      <c r="BX348" s="1012"/>
      <c r="BY348" s="1564"/>
      <c r="BZ348" s="388">
        <f t="shared" ref="BZ348:CM348" ca="1" si="709">BZ349-BZ347</f>
        <v>4.5602752228971273</v>
      </c>
      <c r="CA348" s="388">
        <f t="shared" ca="1" si="709"/>
        <v>4.6170704640838194</v>
      </c>
      <c r="CB348" s="388">
        <f t="shared" ca="1" si="709"/>
        <v>4.6754318351977986</v>
      </c>
      <c r="CC348" s="388">
        <f t="shared" ca="1" si="709"/>
        <v>4.7030502205580618</v>
      </c>
      <c r="CD348" s="388">
        <f t="shared" ca="1" si="709"/>
        <v>4.7404106315188796</v>
      </c>
      <c r="CE348" s="388">
        <f t="shared" si="709"/>
        <v>4.8076044125000017</v>
      </c>
      <c r="CF348" s="2086">
        <f t="shared" si="709"/>
        <v>4.0357135624999989</v>
      </c>
      <c r="CG348" s="2086">
        <f t="shared" si="709"/>
        <v>4.4567077125000001</v>
      </c>
      <c r="CH348" s="2086">
        <f t="shared" si="709"/>
        <v>5.3465913</v>
      </c>
      <c r="CI348" s="2086">
        <f t="shared" si="709"/>
        <v>5.0464857500000022</v>
      </c>
      <c r="CJ348" s="2086">
        <f t="shared" si="709"/>
        <v>5.1101454124999979</v>
      </c>
      <c r="CK348" s="2086">
        <f t="shared" si="709"/>
        <v>2.5309681374999986</v>
      </c>
      <c r="CL348" s="2086">
        <f t="shared" si="709"/>
        <v>1.0735635749999997</v>
      </c>
      <c r="CM348" s="2086">
        <f t="shared" si="709"/>
        <v>2.2428918624999996</v>
      </c>
      <c r="CN348" s="2086"/>
      <c r="CO348" s="2086"/>
      <c r="CP348" s="2086"/>
      <c r="CQ348" s="2086"/>
      <c r="CR348" s="2086"/>
      <c r="CS348" s="2086"/>
      <c r="CT348" s="2086"/>
      <c r="CU348" s="2086"/>
      <c r="CV348" s="2086"/>
      <c r="CW348" s="2086"/>
      <c r="CX348" s="2086"/>
      <c r="CY348" s="2086"/>
      <c r="CZ348" s="2086"/>
      <c r="DA348" s="2086"/>
      <c r="DB348" s="2086"/>
      <c r="DC348" s="2086"/>
    </row>
    <row r="349" spans="1:107" hidden="1" outlineLevel="1">
      <c r="A349" s="15"/>
      <c r="B349" s="73" t="s">
        <v>146</v>
      </c>
      <c r="C349" s="396"/>
      <c r="D349" s="399"/>
      <c r="E349" s="132"/>
      <c r="F349" s="132"/>
      <c r="G349" s="132"/>
      <c r="H349" s="132"/>
      <c r="I349" s="132"/>
      <c r="J349" s="132"/>
      <c r="K349" s="132"/>
      <c r="L349" s="132"/>
      <c r="M349" s="132"/>
      <c r="N349" s="132"/>
      <c r="O349" s="132"/>
      <c r="P349" s="132"/>
      <c r="Q349" s="132"/>
      <c r="R349" s="132"/>
      <c r="S349" s="132"/>
      <c r="T349" s="132"/>
      <c r="U349" s="132"/>
      <c r="V349" s="132"/>
      <c r="W349" s="132"/>
      <c r="X349" s="1650">
        <f>+X347</f>
        <v>0</v>
      </c>
      <c r="Y349" s="1650">
        <f>+Y347</f>
        <v>0</v>
      </c>
      <c r="Z349" s="1650">
        <f>+Z347</f>
        <v>0</v>
      </c>
      <c r="AA349" s="1650">
        <f t="shared" ref="AA349:AD349" si="710">+AA347</f>
        <v>0</v>
      </c>
      <c r="AB349" s="1650">
        <f t="shared" si="710"/>
        <v>0</v>
      </c>
      <c r="AC349" s="1650">
        <f t="shared" si="710"/>
        <v>0</v>
      </c>
      <c r="AD349" s="1650">
        <f t="shared" si="710"/>
        <v>0</v>
      </c>
      <c r="AE349" s="15"/>
      <c r="AF349" s="15"/>
      <c r="AG349" s="15"/>
      <c r="AH349" s="15"/>
      <c r="AI349" s="15"/>
      <c r="AJ349" s="15"/>
      <c r="AK349" s="15"/>
      <c r="AL349" s="15"/>
      <c r="AM349" s="15"/>
      <c r="AN349" s="15"/>
      <c r="AO349" s="15"/>
      <c r="AP349" s="15"/>
      <c r="AQ349" s="15"/>
      <c r="AR349" s="15"/>
      <c r="AS349" s="15"/>
      <c r="AT349" s="15"/>
      <c r="AU349" s="15"/>
      <c r="AV349" s="15"/>
      <c r="AW349" s="15"/>
      <c r="AX349" s="15"/>
      <c r="AY349" s="15"/>
      <c r="AZ349" s="15"/>
      <c r="BA349" s="15"/>
      <c r="BB349" s="15"/>
      <c r="BC349" s="15"/>
      <c r="BD349" s="15"/>
      <c r="BE349" s="15"/>
      <c r="BF349" s="15"/>
      <c r="BG349" s="15"/>
      <c r="BH349" s="15"/>
      <c r="BI349" s="15"/>
      <c r="BJ349" s="15"/>
      <c r="BK349" s="15"/>
      <c r="BL349" s="15"/>
      <c r="BM349" s="15"/>
      <c r="BN349" s="15"/>
      <c r="BO349" s="883"/>
      <c r="BP349" s="26"/>
      <c r="BQ349" s="883"/>
      <c r="BR349" s="26"/>
      <c r="BS349" s="26"/>
      <c r="BT349" s="26"/>
      <c r="BU349" s="26"/>
      <c r="BV349" s="26"/>
      <c r="BW349" s="26"/>
      <c r="BX349" s="26"/>
      <c r="BY349" s="820"/>
      <c r="BZ349" s="277">
        <f t="shared" ref="BZ349:CM349" ca="1" si="711">$D347/4*(AVERAGE(BY230:BZ230))</f>
        <v>8.0194639090668627</v>
      </c>
      <c r="CA349" s="277">
        <f t="shared" ca="1" si="711"/>
        <v>8.1182150935017976</v>
      </c>
      <c r="CB349" s="277">
        <f t="shared" ca="1" si="711"/>
        <v>8.2196893438497778</v>
      </c>
      <c r="CC349" s="277">
        <f t="shared" ca="1" si="711"/>
        <v>8.2916094469630668</v>
      </c>
      <c r="CD349" s="277">
        <f t="shared" si="711"/>
        <v>8.360368799999998</v>
      </c>
      <c r="CE349" s="277">
        <f t="shared" si="711"/>
        <v>8.457581600000001</v>
      </c>
      <c r="CF349" s="395">
        <f t="shared" si="711"/>
        <v>7.7281319999999996</v>
      </c>
      <c r="CG349" s="395">
        <f t="shared" si="711"/>
        <v>7.8306623999999996</v>
      </c>
      <c r="CH349" s="395">
        <f t="shared" si="711"/>
        <v>8.7653087999999997</v>
      </c>
      <c r="CI349" s="395">
        <f t="shared" si="711"/>
        <v>8.8732520000000026</v>
      </c>
      <c r="CJ349" s="395">
        <f t="shared" si="711"/>
        <v>8.9840375999999988</v>
      </c>
      <c r="CK349" s="395">
        <f t="shared" si="711"/>
        <v>6.4532271999999988</v>
      </c>
      <c r="CL349" s="395">
        <f t="shared" si="711"/>
        <v>3.8909191999999995</v>
      </c>
      <c r="CM349" s="395">
        <f t="shared" si="711"/>
        <v>3.9415927999999996</v>
      </c>
      <c r="CN349" s="395"/>
      <c r="CO349" s="395"/>
      <c r="CP349" s="395"/>
      <c r="CQ349" s="395"/>
      <c r="CR349" s="395"/>
      <c r="CS349" s="395"/>
      <c r="CT349" s="395"/>
      <c r="CU349" s="395"/>
      <c r="CV349" s="395"/>
      <c r="CW349" s="395"/>
      <c r="CX349" s="395"/>
      <c r="CY349" s="395"/>
      <c r="CZ349" s="395"/>
      <c r="DA349" s="395"/>
      <c r="DB349" s="395"/>
      <c r="DC349" s="395"/>
    </row>
    <row r="350" spans="1:107" collapsed="1">
      <c r="A350" s="15"/>
      <c r="B350" s="73"/>
      <c r="C350" s="396"/>
      <c r="D350" s="399"/>
      <c r="E350" s="132"/>
      <c r="F350" s="132"/>
      <c r="G350" s="132"/>
      <c r="H350" s="132"/>
      <c r="I350" s="132"/>
      <c r="J350" s="132"/>
      <c r="K350" s="132"/>
      <c r="L350" s="132"/>
      <c r="M350" s="132"/>
      <c r="N350" s="132"/>
      <c r="O350" s="132"/>
      <c r="P350" s="132"/>
      <c r="Q350" s="132"/>
      <c r="R350" s="132"/>
      <c r="S350" s="132"/>
      <c r="T350" s="132"/>
      <c r="U350" s="132"/>
      <c r="V350" s="132"/>
      <c r="W350" s="132"/>
      <c r="X350" s="1650"/>
      <c r="Y350" s="1650"/>
      <c r="Z350" s="1650"/>
      <c r="AA350" s="1650"/>
      <c r="AB350" s="1650"/>
      <c r="AC350" s="1650"/>
      <c r="AD350" s="1650"/>
      <c r="AE350" s="15"/>
      <c r="AF350" s="15"/>
      <c r="AG350" s="15"/>
      <c r="AH350" s="15"/>
      <c r="AI350" s="15"/>
      <c r="AJ350" s="15"/>
      <c r="AK350" s="15"/>
      <c r="AL350" s="15"/>
      <c r="AM350" s="15"/>
      <c r="AN350" s="15"/>
      <c r="AO350" s="15"/>
      <c r="AP350" s="15"/>
      <c r="AQ350" s="15"/>
      <c r="AR350" s="15"/>
      <c r="AS350" s="15"/>
      <c r="AT350" s="15"/>
      <c r="AU350" s="15"/>
      <c r="AV350" s="15"/>
      <c r="AW350" s="15"/>
      <c r="AX350" s="15"/>
      <c r="AY350" s="15"/>
      <c r="AZ350" s="15"/>
      <c r="BA350" s="15"/>
      <c r="BB350" s="15"/>
      <c r="BC350" s="15"/>
      <c r="BD350" s="15"/>
      <c r="BE350" s="15"/>
      <c r="BF350" s="15"/>
      <c r="BG350" s="15"/>
      <c r="BH350" s="15"/>
      <c r="BI350" s="15"/>
      <c r="BJ350" s="15"/>
      <c r="BK350" s="15"/>
      <c r="BL350" s="15"/>
      <c r="BM350" s="15"/>
      <c r="BN350" s="15"/>
      <c r="BO350" s="883"/>
      <c r="BP350" s="26"/>
      <c r="BQ350" s="883"/>
      <c r="BR350" s="26"/>
      <c r="BS350" s="26"/>
      <c r="BT350" s="26"/>
      <c r="BU350" s="26"/>
      <c r="BV350" s="26"/>
      <c r="BW350" s="26"/>
      <c r="BX350" s="26"/>
      <c r="BY350" s="820"/>
      <c r="BZ350" s="277"/>
      <c r="CA350" s="277"/>
      <c r="CB350" s="277"/>
      <c r="CC350" s="277"/>
      <c r="CD350" s="277"/>
      <c r="CE350" s="277"/>
      <c r="CF350" s="395"/>
      <c r="CG350" s="395"/>
      <c r="CH350" s="395"/>
      <c r="CI350" s="395"/>
      <c r="CJ350" s="395"/>
      <c r="CK350" s="395"/>
      <c r="CL350" s="395"/>
      <c r="CM350" s="395"/>
      <c r="CN350" s="395"/>
      <c r="CO350" s="395"/>
      <c r="CP350" s="395"/>
      <c r="CQ350" s="395"/>
      <c r="CR350" s="395"/>
      <c r="CS350" s="395"/>
      <c r="CT350" s="395"/>
      <c r="CU350" s="395"/>
      <c r="CV350" s="395"/>
      <c r="CW350" s="395"/>
      <c r="CX350" s="395"/>
      <c r="CY350" s="395"/>
      <c r="CZ350" s="395"/>
      <c r="DA350" s="395"/>
      <c r="DB350" s="395"/>
      <c r="DC350" s="395"/>
    </row>
    <row r="351" spans="1:107">
      <c r="A351" s="15"/>
      <c r="B351" s="73"/>
      <c r="C351" s="396"/>
      <c r="D351" s="399"/>
      <c r="E351" s="132"/>
      <c r="F351" s="132"/>
      <c r="G351" s="132"/>
      <c r="H351" s="132"/>
      <c r="I351" s="132"/>
      <c r="J351" s="132"/>
      <c r="K351" s="132"/>
      <c r="L351" s="132"/>
      <c r="M351" s="132"/>
      <c r="N351" s="132"/>
      <c r="O351" s="132"/>
      <c r="P351" s="132"/>
      <c r="Q351" s="132"/>
      <c r="R351" s="132"/>
      <c r="S351" s="132"/>
      <c r="T351" s="132"/>
      <c r="U351" s="132"/>
      <c r="V351" s="132"/>
      <c r="W351" s="132"/>
      <c r="X351" s="1650"/>
      <c r="Y351" s="1650"/>
      <c r="Z351" s="1650"/>
      <c r="AA351" s="1650"/>
      <c r="AB351" s="1650"/>
      <c r="AC351" s="1650"/>
      <c r="AD351" s="1650"/>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c r="BK351" s="15"/>
      <c r="BL351" s="15"/>
      <c r="BM351" s="15"/>
      <c r="BN351" s="15"/>
      <c r="BO351" s="883"/>
      <c r="BP351" s="26"/>
      <c r="BQ351" s="883"/>
      <c r="BR351" s="26"/>
      <c r="BS351" s="26"/>
      <c r="BT351" s="26"/>
      <c r="BU351" s="26"/>
      <c r="BV351" s="26"/>
      <c r="BW351" s="26"/>
      <c r="BX351" s="26"/>
      <c r="BY351" s="820"/>
      <c r="BZ351" s="277"/>
      <c r="CA351" s="277"/>
      <c r="CB351" s="277"/>
      <c r="CC351" s="277"/>
      <c r="CD351" s="277"/>
      <c r="CE351" s="277"/>
      <c r="CF351" s="395"/>
      <c r="CG351" s="395"/>
      <c r="CH351" s="395"/>
      <c r="CI351" s="395"/>
      <c r="CJ351" s="395"/>
      <c r="CK351" s="395"/>
      <c r="CL351" s="395"/>
      <c r="CM351" s="395"/>
      <c r="CN351" s="395"/>
      <c r="CO351" s="395"/>
      <c r="CP351" s="395"/>
      <c r="CQ351" s="395"/>
      <c r="CR351" s="395"/>
      <c r="CS351" s="395"/>
      <c r="CT351" s="395"/>
      <c r="CU351" s="395"/>
      <c r="CV351" s="395"/>
      <c r="CW351" s="395"/>
      <c r="CX351" s="395"/>
      <c r="CY351" s="395"/>
      <c r="CZ351" s="395"/>
      <c r="DA351" s="395"/>
      <c r="DB351" s="395"/>
      <c r="DC351" s="395"/>
    </row>
    <row r="352" spans="1:107">
      <c r="A352" s="15"/>
      <c r="B352" s="132" t="s">
        <v>1621</v>
      </c>
      <c r="C352" s="2126">
        <v>0.03</v>
      </c>
      <c r="D352" s="399"/>
      <c r="E352" s="132"/>
      <c r="F352" s="132"/>
      <c r="G352" s="132"/>
      <c r="H352" s="132"/>
      <c r="I352" s="132"/>
      <c r="J352" s="132"/>
      <c r="K352" s="132"/>
      <c r="L352" s="132"/>
      <c r="M352" s="132"/>
      <c r="N352" s="132"/>
      <c r="O352" s="132"/>
      <c r="P352" s="132"/>
      <c r="Q352" s="132"/>
      <c r="R352" s="132"/>
      <c r="S352" s="132"/>
      <c r="T352" s="132"/>
      <c r="U352" s="132"/>
      <c r="V352" s="132"/>
      <c r="W352" s="132"/>
      <c r="X352" s="87">
        <f>$C352*(AVERAGE(W95:X95))</f>
        <v>30.284609999999994</v>
      </c>
      <c r="Y352" s="87">
        <f>$C352*(AVERAGE(X95:Y95))</f>
        <v>30.284609999999994</v>
      </c>
      <c r="Z352" s="87">
        <f>$C352*(AVERAGE(Y95:Z95))</f>
        <v>30.284609999999994</v>
      </c>
      <c r="AA352" s="87">
        <f t="shared" ref="AA352:AD352" si="712">$C352*(AVERAGE(Z95:AA95))</f>
        <v>30.284609999999994</v>
      </c>
      <c r="AB352" s="87">
        <f t="shared" si="712"/>
        <v>30.284609999999994</v>
      </c>
      <c r="AC352" s="87">
        <f t="shared" si="712"/>
        <v>30.284609999999994</v>
      </c>
      <c r="AD352" s="87">
        <f t="shared" si="712"/>
        <v>30.284609999999994</v>
      </c>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c r="BK352" s="15"/>
      <c r="BL352" s="15"/>
      <c r="BM352" s="15"/>
      <c r="BN352" s="15"/>
      <c r="BO352" s="883"/>
      <c r="BP352" s="26"/>
      <c r="BQ352" s="883"/>
      <c r="BR352" s="26"/>
      <c r="BS352" s="26"/>
      <c r="BT352" s="26"/>
      <c r="BU352" s="26"/>
      <c r="BV352" s="26"/>
      <c r="BW352" s="26"/>
      <c r="BX352" s="26"/>
      <c r="BY352" s="820"/>
      <c r="BZ352" s="395">
        <f t="shared" ref="BZ352:CU352" si="713">$C352/4*(AVERAGE(BY95:BZ95))</f>
        <v>0</v>
      </c>
      <c r="CA352" s="395">
        <f t="shared" si="713"/>
        <v>0</v>
      </c>
      <c r="CB352" s="395">
        <f t="shared" si="713"/>
        <v>0</v>
      </c>
      <c r="CC352" s="395">
        <f t="shared" si="713"/>
        <v>0</v>
      </c>
      <c r="CD352" s="395">
        <f t="shared" si="713"/>
        <v>0.71250000000000002</v>
      </c>
      <c r="CE352" s="395">
        <f t="shared" si="713"/>
        <v>1.3875</v>
      </c>
      <c r="CF352" s="395">
        <f t="shared" si="713"/>
        <v>1.3125</v>
      </c>
      <c r="CG352" s="395">
        <f t="shared" si="713"/>
        <v>1.2375</v>
      </c>
      <c r="CH352" s="395">
        <f t="shared" si="713"/>
        <v>1.1624999999999999</v>
      </c>
      <c r="CI352" s="395">
        <f t="shared" si="713"/>
        <v>1.0874999999999999</v>
      </c>
      <c r="CJ352" s="395">
        <f t="shared" si="713"/>
        <v>1.0125</v>
      </c>
      <c r="CK352" s="395">
        <f t="shared" si="713"/>
        <v>0.9375</v>
      </c>
      <c r="CL352" s="395">
        <f t="shared" si="713"/>
        <v>0.86249999999999993</v>
      </c>
      <c r="CM352" s="395">
        <f t="shared" si="713"/>
        <v>2.2814999999999999</v>
      </c>
      <c r="CN352" s="395">
        <f t="shared" si="713"/>
        <v>3.7009237499999998</v>
      </c>
      <c r="CO352" s="395">
        <f t="shared" si="713"/>
        <v>3.6649949999999993</v>
      </c>
      <c r="CP352" s="395">
        <f t="shared" si="713"/>
        <v>3.6058462499999999</v>
      </c>
      <c r="CQ352" s="395">
        <f t="shared" si="713"/>
        <v>3.4771612499999995</v>
      </c>
      <c r="CR352" s="395">
        <f t="shared" si="713"/>
        <v>5.9212237499999993</v>
      </c>
      <c r="CS352" s="395">
        <f t="shared" si="713"/>
        <v>8.2362862499999991</v>
      </c>
      <c r="CT352" s="395">
        <f t="shared" si="713"/>
        <v>7.9792612499999995</v>
      </c>
      <c r="CU352" s="395">
        <f t="shared" si="713"/>
        <v>7.6857074999999995</v>
      </c>
      <c r="CV352" s="395">
        <f>$C352/4*(AVERAGE(CU95:CV95))</f>
        <v>7.4791387500000006</v>
      </c>
      <c r="CW352" s="395">
        <f>$C352/4*(AVERAGE(CV95:CW95))</f>
        <v>7.8062662500000011</v>
      </c>
      <c r="CX352" s="395">
        <f>$C352/4*(AVERAGE(CW95:CX95))</f>
        <v>8.2604137499999997</v>
      </c>
      <c r="CY352" s="395">
        <f>$C352/4*(AVERAGE(CX95:CY95))</f>
        <v>7.992967499999998</v>
      </c>
      <c r="CZ352" s="395">
        <f t="shared" ref="CZ352:DC352" si="714">$C352/4*(AVERAGE(CY95:CZ95))</f>
        <v>7.5711524999999984</v>
      </c>
      <c r="DA352" s="395">
        <f t="shared" si="714"/>
        <v>7.5711524999999984</v>
      </c>
      <c r="DB352" s="395">
        <f t="shared" si="714"/>
        <v>7.5711524999999984</v>
      </c>
      <c r="DC352" s="395">
        <f t="shared" si="714"/>
        <v>7.5711524999999984</v>
      </c>
    </row>
    <row r="353" spans="1:107">
      <c r="A353" s="15"/>
      <c r="B353" s="132" t="s">
        <v>2619</v>
      </c>
      <c r="C353" s="2126">
        <v>0.03</v>
      </c>
      <c r="D353" s="399"/>
      <c r="E353" s="132"/>
      <c r="F353" s="132"/>
      <c r="G353" s="132"/>
      <c r="H353" s="132"/>
      <c r="I353" s="132"/>
      <c r="J353" s="132"/>
      <c r="K353" s="132"/>
      <c r="L353" s="132"/>
      <c r="M353" s="132"/>
      <c r="N353" s="132"/>
      <c r="O353" s="132"/>
      <c r="P353" s="132"/>
      <c r="Q353" s="132"/>
      <c r="R353" s="132"/>
      <c r="S353" s="132"/>
      <c r="T353" s="132"/>
      <c r="U353" s="132"/>
      <c r="V353" s="132"/>
      <c r="W353" s="132"/>
      <c r="X353" s="87">
        <f>$C353*(AVERAGE(W101:X101))</f>
        <v>11.91597</v>
      </c>
      <c r="Y353" s="87">
        <f>$C353*(AVERAGE(X101:Y101))</f>
        <v>11.91597</v>
      </c>
      <c r="Z353" s="87">
        <f>$C353*(AVERAGE(Y101:Z101))</f>
        <v>11.91597</v>
      </c>
      <c r="AA353" s="87">
        <f t="shared" ref="AA353:AD353" si="715">$C353*(AVERAGE(Z101:AA101))</f>
        <v>11.91597</v>
      </c>
      <c r="AB353" s="87">
        <f t="shared" si="715"/>
        <v>11.91597</v>
      </c>
      <c r="AC353" s="87">
        <f t="shared" si="715"/>
        <v>11.91597</v>
      </c>
      <c r="AD353" s="87">
        <f t="shared" si="715"/>
        <v>11.91597</v>
      </c>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c r="BK353" s="15"/>
      <c r="BL353" s="15"/>
      <c r="BM353" s="15"/>
      <c r="BN353" s="15"/>
      <c r="BO353" s="883"/>
      <c r="BP353" s="26"/>
      <c r="BQ353" s="883"/>
      <c r="BR353" s="26"/>
      <c r="BS353" s="26"/>
      <c r="BT353" s="26"/>
      <c r="BU353" s="26"/>
      <c r="BV353" s="26"/>
      <c r="BW353" s="26"/>
      <c r="BX353" s="26"/>
      <c r="BY353" s="820"/>
      <c r="BZ353" s="395"/>
      <c r="CA353" s="395"/>
      <c r="CB353" s="395"/>
      <c r="CC353" s="395"/>
      <c r="CD353" s="395"/>
      <c r="CE353" s="395"/>
      <c r="CF353" s="395"/>
      <c r="CG353" s="395"/>
      <c r="CH353" s="395"/>
      <c r="CI353" s="395"/>
      <c r="CJ353" s="395"/>
      <c r="CK353" s="395"/>
      <c r="CL353" s="395"/>
      <c r="CM353" s="395"/>
      <c r="CN353" s="395"/>
      <c r="CO353" s="395"/>
      <c r="CP353" s="395"/>
      <c r="CQ353" s="395"/>
      <c r="CR353" s="395"/>
      <c r="CS353" s="395"/>
      <c r="CT353" s="395"/>
      <c r="CU353" s="395">
        <f>$C353/4*(AVERAGE(CT101:CU101))</f>
        <v>2.9789924999999999</v>
      </c>
      <c r="CV353" s="395">
        <f>$C353/4*(AVERAGE(CU101:CV101))</f>
        <v>2.9789924999999999</v>
      </c>
      <c r="CW353" s="395">
        <f>$C353/4*(AVERAGE(CV101:CW101))</f>
        <v>2.9789924999999999</v>
      </c>
      <c r="CX353" s="395">
        <f>$C353/4*(AVERAGE(CW101:CX101))</f>
        <v>2.9789924999999999</v>
      </c>
      <c r="CY353" s="395">
        <f>$C353/4*(AVERAGE(CX101:CY101))</f>
        <v>2.9789924999999999</v>
      </c>
      <c r="CZ353" s="395">
        <f t="shared" ref="CZ353:DC353" si="716">$C353/4*(AVERAGE(CY101:CZ101))</f>
        <v>2.9789924999999999</v>
      </c>
      <c r="DA353" s="395">
        <f t="shared" si="716"/>
        <v>2.9789924999999999</v>
      </c>
      <c r="DB353" s="395">
        <f t="shared" si="716"/>
        <v>2.9789924999999999</v>
      </c>
      <c r="DC353" s="395">
        <f t="shared" si="716"/>
        <v>2.9789924999999999</v>
      </c>
    </row>
    <row r="354" spans="1:107">
      <c r="A354" s="15"/>
      <c r="B354" s="132" t="s">
        <v>2660</v>
      </c>
      <c r="C354" s="2126">
        <v>3.5000000000000003E-2</v>
      </c>
      <c r="D354" s="399"/>
      <c r="E354" s="132"/>
      <c r="F354" s="132"/>
      <c r="G354" s="132"/>
      <c r="H354" s="132"/>
      <c r="I354" s="132"/>
      <c r="J354" s="132"/>
      <c r="K354" s="132"/>
      <c r="L354" s="132"/>
      <c r="M354" s="132"/>
      <c r="N354" s="132"/>
      <c r="O354" s="132"/>
      <c r="P354" s="132"/>
      <c r="Q354" s="132"/>
      <c r="R354" s="132"/>
      <c r="S354" s="132"/>
      <c r="T354" s="132"/>
      <c r="U354" s="132"/>
      <c r="V354" s="132"/>
      <c r="W354" s="132"/>
      <c r="X354" s="87">
        <f>$C354*(AVERAGE(W107:X107))</f>
        <v>0</v>
      </c>
      <c r="Y354" s="87">
        <f>$C354*(AVERAGE(X107:Y107))</f>
        <v>0</v>
      </c>
      <c r="Z354" s="87">
        <f>$C354*(AVERAGE(Y107:Z107))</f>
        <v>0</v>
      </c>
      <c r="AA354" s="87">
        <f t="shared" ref="AA354:AD354" si="717">$C354*(AVERAGE(Z107:AA107))</f>
        <v>0</v>
      </c>
      <c r="AB354" s="87">
        <f t="shared" si="717"/>
        <v>0</v>
      </c>
      <c r="AC354" s="87">
        <f t="shared" si="717"/>
        <v>0</v>
      </c>
      <c r="AD354" s="87">
        <f t="shared" si="717"/>
        <v>0</v>
      </c>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c r="BK354" s="15"/>
      <c r="BL354" s="15"/>
      <c r="BM354" s="15"/>
      <c r="BN354" s="15"/>
      <c r="BO354" s="883"/>
      <c r="BP354" s="26"/>
      <c r="BQ354" s="883"/>
      <c r="BR354" s="26"/>
      <c r="BS354" s="26"/>
      <c r="BT354" s="26"/>
      <c r="BU354" s="26"/>
      <c r="BV354" s="26"/>
      <c r="BW354" s="26"/>
      <c r="BX354" s="26"/>
      <c r="BY354" s="820"/>
      <c r="BZ354" s="395"/>
      <c r="CA354" s="395"/>
      <c r="CB354" s="395"/>
      <c r="CC354" s="395"/>
      <c r="CD354" s="395"/>
      <c r="CE354" s="395"/>
      <c r="CF354" s="395"/>
      <c r="CG354" s="395"/>
      <c r="CH354" s="395"/>
      <c r="CI354" s="395"/>
      <c r="CJ354" s="395"/>
      <c r="CK354" s="395"/>
      <c r="CL354" s="395"/>
      <c r="CM354" s="395"/>
      <c r="CN354" s="395"/>
      <c r="CO354" s="395"/>
      <c r="CP354" s="395"/>
      <c r="CQ354" s="395"/>
      <c r="CR354" s="395"/>
      <c r="CS354" s="395"/>
      <c r="CT354" s="395"/>
      <c r="CU354" s="395"/>
      <c r="CV354" s="395">
        <f>$C354/4*(AVERAGE(CU107:CV107))</f>
        <v>9.3502500000000008</v>
      </c>
      <c r="CW354" s="395">
        <f>$C354/4*(AVERAGE(CV107:CW107))</f>
        <v>9.3502500000000008</v>
      </c>
      <c r="CX354" s="395">
        <f>$C354/4*(AVERAGE(CW107:CX107))</f>
        <v>9.3502500000000008</v>
      </c>
      <c r="CY354" s="395">
        <f>$C354/4*(AVERAGE(CX107:CY107))</f>
        <v>4.6751250000000004</v>
      </c>
      <c r="CZ354" s="395">
        <f t="shared" ref="CZ354:DC354" si="718">$C354/4*(AVERAGE(CY107:CZ107))</f>
        <v>0</v>
      </c>
      <c r="DA354" s="395">
        <f t="shared" si="718"/>
        <v>0</v>
      </c>
      <c r="DB354" s="395">
        <f t="shared" si="718"/>
        <v>0</v>
      </c>
      <c r="DC354" s="395">
        <f t="shared" si="718"/>
        <v>0</v>
      </c>
    </row>
    <row r="355" spans="1:107">
      <c r="A355" s="15"/>
      <c r="B355" s="89" t="s">
        <v>1986</v>
      </c>
      <c r="C355" s="2126">
        <v>4.8750000000000002E-2</v>
      </c>
      <c r="D355" s="399"/>
      <c r="E355" s="132"/>
      <c r="F355" s="132"/>
      <c r="G355" s="132"/>
      <c r="H355" s="132"/>
      <c r="I355" s="132"/>
      <c r="J355" s="132"/>
      <c r="K355" s="132"/>
      <c r="L355" s="132"/>
      <c r="M355" s="132"/>
      <c r="N355" s="132"/>
      <c r="O355" s="132"/>
      <c r="P355" s="132"/>
      <c r="Q355" s="132"/>
      <c r="R355" s="132"/>
      <c r="S355" s="132"/>
      <c r="T355" s="132"/>
      <c r="U355" s="132"/>
      <c r="V355" s="132"/>
      <c r="W355" s="132"/>
      <c r="X355" s="87">
        <f>+$C355*AVERAGE(W53:X53)</f>
        <v>2.4824962500000001</v>
      </c>
      <c r="Y355" s="87">
        <f>+$C355*AVERAGE(X53:Y53)</f>
        <v>2.4824962500000001</v>
      </c>
      <c r="Z355" s="87">
        <f>+$C355*AVERAGE(Y53:Z53)</f>
        <v>2.4824962500000001</v>
      </c>
      <c r="AA355" s="87">
        <f t="shared" ref="AA355:AD355" si="719">+$C355*AVERAGE(Z53:AA53)</f>
        <v>2.4824962500000001</v>
      </c>
      <c r="AB355" s="87">
        <f t="shared" si="719"/>
        <v>2.4824962500000001</v>
      </c>
      <c r="AC355" s="87">
        <f t="shared" si="719"/>
        <v>2.4824962500000001</v>
      </c>
      <c r="AD355" s="87">
        <f t="shared" si="719"/>
        <v>2.4824962500000001</v>
      </c>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c r="BK355" s="15"/>
      <c r="BL355" s="15"/>
      <c r="BM355" s="15"/>
      <c r="BN355" s="15"/>
      <c r="BO355" s="883"/>
      <c r="BP355" s="26"/>
      <c r="BQ355" s="883"/>
      <c r="BR355" s="26"/>
      <c r="BS355" s="26"/>
      <c r="BT355" s="26"/>
      <c r="BU355" s="26"/>
      <c r="BV355" s="26"/>
      <c r="BW355" s="26"/>
      <c r="BX355" s="26"/>
      <c r="BY355" s="26"/>
      <c r="BZ355" s="87"/>
      <c r="CA355" s="87"/>
      <c r="CB355" s="87"/>
      <c r="CC355" s="87"/>
      <c r="CD355" s="87"/>
      <c r="CE355" s="87"/>
      <c r="CF355" s="87">
        <f t="shared" ref="CF355:CY355" si="720">+AVERAGE(CE248:CF248)*$C355/4</f>
        <v>6.09375</v>
      </c>
      <c r="CG355" s="87">
        <f t="shared" si="720"/>
        <v>6.09375</v>
      </c>
      <c r="CH355" s="87">
        <f t="shared" si="720"/>
        <v>6.09375</v>
      </c>
      <c r="CI355" s="87">
        <f t="shared" si="720"/>
        <v>6.09375</v>
      </c>
      <c r="CJ355" s="87">
        <f t="shared" si="720"/>
        <v>6.09375</v>
      </c>
      <c r="CK355" s="87">
        <f t="shared" si="720"/>
        <v>6.09375</v>
      </c>
      <c r="CL355" s="87">
        <f t="shared" si="720"/>
        <v>6.09375</v>
      </c>
      <c r="CM355" s="87">
        <f t="shared" si="720"/>
        <v>6.09375</v>
      </c>
      <c r="CN355" s="87">
        <f t="shared" si="720"/>
        <v>6.09375</v>
      </c>
      <c r="CO355" s="87">
        <f t="shared" si="720"/>
        <v>6.09375</v>
      </c>
      <c r="CP355" s="87">
        <f t="shared" si="720"/>
        <v>6.09375</v>
      </c>
      <c r="CQ355" s="87">
        <f t="shared" si="720"/>
        <v>6.09375</v>
      </c>
      <c r="CR355" s="87">
        <f t="shared" si="720"/>
        <v>6.09375</v>
      </c>
      <c r="CS355" s="87">
        <f t="shared" si="720"/>
        <v>6.09375</v>
      </c>
      <c r="CT355" s="87">
        <f t="shared" si="720"/>
        <v>6.09375</v>
      </c>
      <c r="CU355" s="87">
        <f t="shared" si="720"/>
        <v>6.09375</v>
      </c>
      <c r="CV355" s="87">
        <f t="shared" si="720"/>
        <v>6.09375</v>
      </c>
      <c r="CW355" s="87">
        <f t="shared" si="720"/>
        <v>6.09375</v>
      </c>
      <c r="CX355" s="87">
        <f t="shared" si="720"/>
        <v>3.046875</v>
      </c>
      <c r="CY355" s="87">
        <f t="shared" si="720"/>
        <v>0</v>
      </c>
      <c r="CZ355" s="87">
        <f t="shared" ref="CZ355" si="721">+AVERAGE(CY248:CZ248)*$C355/4</f>
        <v>0</v>
      </c>
      <c r="DA355" s="87">
        <f t="shared" ref="DA355" si="722">+AVERAGE(CZ248:DA248)*$C355/4</f>
        <v>0</v>
      </c>
      <c r="DB355" s="87">
        <f t="shared" ref="DB355" si="723">+AVERAGE(DA248:DB248)*$C355/4</f>
        <v>0</v>
      </c>
      <c r="DC355" s="87">
        <f t="shared" ref="DC355" si="724">+AVERAGE(DB248:DC248)*$C355/4</f>
        <v>0</v>
      </c>
    </row>
    <row r="356" spans="1:107">
      <c r="A356" s="15"/>
      <c r="B356" s="89" t="s">
        <v>1987</v>
      </c>
      <c r="C356" s="2126">
        <v>7.0000000000000007E-2</v>
      </c>
      <c r="D356" s="399"/>
      <c r="E356" s="132"/>
      <c r="F356" s="132"/>
      <c r="G356" s="132"/>
      <c r="H356" s="132"/>
      <c r="I356" s="132"/>
      <c r="J356" s="132"/>
      <c r="K356" s="132"/>
      <c r="L356" s="132"/>
      <c r="M356" s="132"/>
      <c r="N356" s="132"/>
      <c r="O356" s="132"/>
      <c r="P356" s="132"/>
      <c r="Q356" s="132"/>
      <c r="R356" s="132"/>
      <c r="S356" s="132"/>
      <c r="T356" s="132"/>
      <c r="U356" s="132"/>
      <c r="V356" s="132"/>
      <c r="W356" s="132"/>
      <c r="X356" s="87">
        <f>+$C356*AVERAGE(W220:X220)</f>
        <v>101.03688000000001</v>
      </c>
      <c r="Y356" s="87">
        <f>+$C356*AVERAGE(X220:Y220)</f>
        <v>100.842</v>
      </c>
      <c r="Z356" s="87">
        <f>+$C356*AVERAGE(Y220:Z220)</f>
        <v>100.64712000000003</v>
      </c>
      <c r="AA356" s="87">
        <f t="shared" ref="AA356:AD356" si="725">+$C356*AVERAGE(Z220:AA220)</f>
        <v>100.45224000000002</v>
      </c>
      <c r="AB356" s="87">
        <f t="shared" si="725"/>
        <v>100.25736000000005</v>
      </c>
      <c r="AC356" s="87">
        <f t="shared" si="725"/>
        <v>100.06248000000004</v>
      </c>
      <c r="AD356" s="87">
        <f t="shared" si="725"/>
        <v>99.867600000000067</v>
      </c>
      <c r="AE356" s="15"/>
      <c r="AF356" s="15"/>
      <c r="AG356" s="15"/>
      <c r="AH356" s="15"/>
      <c r="AI356" s="15"/>
      <c r="AJ356" s="15"/>
      <c r="AK356" s="15"/>
      <c r="AL356" s="15"/>
      <c r="AM356" s="15"/>
      <c r="AN356" s="15"/>
      <c r="AO356" s="15"/>
      <c r="AP356" s="15"/>
      <c r="AQ356" s="15"/>
      <c r="AR356" s="15"/>
      <c r="AS356" s="15"/>
      <c r="AT356" s="15"/>
      <c r="AU356" s="15"/>
      <c r="AV356" s="15"/>
      <c r="AW356" s="15"/>
      <c r="AX356" s="15"/>
      <c r="AY356" s="15"/>
      <c r="AZ356" s="15"/>
      <c r="BA356" s="15"/>
      <c r="BB356" s="15"/>
      <c r="BC356" s="15"/>
      <c r="BD356" s="15"/>
      <c r="BE356" s="15"/>
      <c r="BF356" s="15"/>
      <c r="BG356" s="15"/>
      <c r="BH356" s="15"/>
      <c r="BI356" s="15"/>
      <c r="BJ356" s="15"/>
      <c r="BK356" s="15"/>
      <c r="BL356" s="15"/>
      <c r="BM356" s="15"/>
      <c r="BN356" s="15"/>
      <c r="BO356" s="883"/>
      <c r="BP356" s="26"/>
      <c r="BQ356" s="883"/>
      <c r="BR356" s="26"/>
      <c r="BS356" s="26"/>
      <c r="BT356" s="26"/>
      <c r="BU356" s="26"/>
      <c r="BV356" s="26"/>
      <c r="BW356" s="26"/>
      <c r="BX356" s="26"/>
      <c r="BY356" s="26"/>
      <c r="BZ356" s="87"/>
      <c r="CA356" s="87"/>
      <c r="CB356" s="87"/>
      <c r="CC356" s="87"/>
      <c r="CD356" s="87"/>
      <c r="CE356" s="87"/>
      <c r="CF356" s="87"/>
      <c r="CG356" s="87"/>
      <c r="CH356" s="87"/>
      <c r="CI356" s="87"/>
      <c r="CJ356" s="87">
        <f t="shared" ref="CJ356:CY356" si="726">+AVERAGE(CI220:CJ220)*$C356/4</f>
        <v>17.380763750000003</v>
      </c>
      <c r="CK356" s="87">
        <f t="shared" si="726"/>
        <v>19.160172500000002</v>
      </c>
      <c r="CL356" s="87">
        <f t="shared" si="726"/>
        <v>20.362081250000003</v>
      </c>
      <c r="CM356" s="87">
        <f t="shared" si="726"/>
        <v>20.841555</v>
      </c>
      <c r="CN356" s="87">
        <f t="shared" si="726"/>
        <v>20.920033750000002</v>
      </c>
      <c r="CO356" s="87">
        <f t="shared" si="726"/>
        <v>21.402806250000001</v>
      </c>
      <c r="CP356" s="87">
        <f t="shared" si="726"/>
        <v>21.611922500000002</v>
      </c>
      <c r="CQ356" s="87">
        <f t="shared" si="726"/>
        <v>22.33539</v>
      </c>
      <c r="CR356" s="87">
        <f t="shared" si="726"/>
        <v>23.393518750000002</v>
      </c>
      <c r="CS356" s="87">
        <f t="shared" si="726"/>
        <v>23.620756250000007</v>
      </c>
      <c r="CT356" s="87">
        <f t="shared" si="726"/>
        <v>23.079175000000003</v>
      </c>
      <c r="CU356" s="87">
        <f t="shared" si="726"/>
        <v>22.242438750000005</v>
      </c>
      <c r="CV356" s="87">
        <f t="shared" si="726"/>
        <v>22.976878750000004</v>
      </c>
      <c r="CW356" s="87">
        <f t="shared" si="726"/>
        <v>24.161943749999999</v>
      </c>
      <c r="CX356" s="87">
        <f t="shared" si="726"/>
        <v>24.598376250000001</v>
      </c>
      <c r="CY356" s="87">
        <f t="shared" si="726"/>
        <v>25.051075000000001</v>
      </c>
      <c r="CZ356" s="87">
        <f t="shared" ref="CZ356" si="727">+AVERAGE(CY220:CZ220)*$C356/4</f>
        <v>25.283580000000004</v>
      </c>
      <c r="DA356" s="87">
        <f t="shared" ref="DA356" si="728">+AVERAGE(CZ220:DA220)*$C356/4</f>
        <v>25.283580000000004</v>
      </c>
      <c r="DB356" s="87">
        <f t="shared" ref="DB356" si="729">+AVERAGE(DA220:DB220)*$C356/4</f>
        <v>25.283580000000004</v>
      </c>
      <c r="DC356" s="87">
        <f t="shared" ref="DC356" si="730">+AVERAGE(DB220:DC220)*$C356/4</f>
        <v>25.283580000000004</v>
      </c>
    </row>
    <row r="357" spans="1:107">
      <c r="A357" s="15"/>
      <c r="B357" s="89" t="s">
        <v>2474</v>
      </c>
      <c r="C357" s="2126">
        <f>312/(5088+10764)*2</f>
        <v>3.936411809235428E-2</v>
      </c>
      <c r="D357" s="399"/>
      <c r="E357" s="132"/>
      <c r="F357" s="132"/>
      <c r="G357" s="132"/>
      <c r="H357" s="132"/>
      <c r="I357" s="132"/>
      <c r="J357" s="132"/>
      <c r="K357" s="132"/>
      <c r="L357" s="132"/>
      <c r="M357" s="132"/>
      <c r="N357" s="132"/>
      <c r="O357" s="132"/>
      <c r="P357" s="132"/>
      <c r="Q357" s="132"/>
      <c r="R357" s="132"/>
      <c r="S357" s="132"/>
      <c r="T357" s="132"/>
      <c r="U357" s="132"/>
      <c r="V357" s="132"/>
      <c r="W357" s="132"/>
      <c r="X357" s="87">
        <f>+$C357*AVERAGE(W225:X225)</f>
        <v>10.005768357305072</v>
      </c>
      <c r="Y357" s="87">
        <f>+$C357*AVERAGE(X225:Y225)</f>
        <v>10.005768357305072</v>
      </c>
      <c r="Z357" s="87">
        <f>+$C357*AVERAGE(Y225:Z225)</f>
        <v>10.005768357305072</v>
      </c>
      <c r="AA357" s="87">
        <f t="shared" ref="AA357:AD357" si="731">+$C357*AVERAGE(Z225:AA225)</f>
        <v>10.005768357305072</v>
      </c>
      <c r="AB357" s="87">
        <f t="shared" si="731"/>
        <v>10.005768357305072</v>
      </c>
      <c r="AC357" s="87">
        <f t="shared" si="731"/>
        <v>10.005768357305072</v>
      </c>
      <c r="AD357" s="87">
        <f t="shared" si="731"/>
        <v>10.005768357305072</v>
      </c>
      <c r="AE357" s="15"/>
      <c r="AF357" s="15"/>
      <c r="AG357" s="15"/>
      <c r="AH357" s="15"/>
      <c r="AI357" s="15"/>
      <c r="AJ357" s="15"/>
      <c r="AK357" s="15"/>
      <c r="AL357" s="15"/>
      <c r="AM357" s="15"/>
      <c r="AN357" s="15"/>
      <c r="AO357" s="15"/>
      <c r="AP357" s="15"/>
      <c r="AQ357" s="15"/>
      <c r="AR357" s="15"/>
      <c r="AS357" s="15"/>
      <c r="AT357" s="15"/>
      <c r="AU357" s="15"/>
      <c r="AV357" s="15"/>
      <c r="AW357" s="15"/>
      <c r="AX357" s="15"/>
      <c r="AY357" s="15"/>
      <c r="AZ357" s="15"/>
      <c r="BA357" s="15"/>
      <c r="BB357" s="15"/>
      <c r="BC357" s="15"/>
      <c r="BD357" s="15"/>
      <c r="BE357" s="15"/>
      <c r="BF357" s="15"/>
      <c r="BG357" s="15"/>
      <c r="BH357" s="15"/>
      <c r="BI357" s="15"/>
      <c r="BJ357" s="15"/>
      <c r="BK357" s="15"/>
      <c r="BL357" s="15"/>
      <c r="BM357" s="15"/>
      <c r="BN357" s="15"/>
      <c r="BO357" s="883"/>
      <c r="BP357" s="26"/>
      <c r="BQ357" s="883"/>
      <c r="BR357" s="26"/>
      <c r="BS357" s="26"/>
      <c r="BT357" s="26"/>
      <c r="BU357" s="26"/>
      <c r="BV357" s="26"/>
      <c r="BW357" s="26"/>
      <c r="BX357" s="26"/>
      <c r="BY357" s="26"/>
      <c r="BZ357" s="87"/>
      <c r="CA357" s="87"/>
      <c r="CB357" s="87"/>
      <c r="CC357" s="87"/>
      <c r="CD357" s="87"/>
      <c r="CE357" s="87"/>
      <c r="CF357" s="87"/>
      <c r="CG357" s="87"/>
      <c r="CH357" s="87"/>
      <c r="CI357" s="87"/>
      <c r="CJ357" s="87"/>
      <c r="CK357" s="87"/>
      <c r="CL357" s="87"/>
      <c r="CM357" s="87"/>
      <c r="CN357" s="87"/>
      <c r="CO357" s="87"/>
      <c r="CP357" s="87"/>
      <c r="CQ357" s="87"/>
      <c r="CR357" s="87">
        <f t="shared" ref="CR357:CY357" si="732">+AVERAGE(CQ225:CR225)*$C357/4</f>
        <v>2.5014420893262681</v>
      </c>
      <c r="CS357" s="87">
        <f t="shared" si="732"/>
        <v>2.5014420893262681</v>
      </c>
      <c r="CT357" s="87">
        <f t="shared" si="732"/>
        <v>2.5014420893262681</v>
      </c>
      <c r="CU357" s="87">
        <f t="shared" si="732"/>
        <v>2.5014420893262681</v>
      </c>
      <c r="CV357" s="87">
        <f t="shared" si="732"/>
        <v>2.5014420893262681</v>
      </c>
      <c r="CW357" s="87">
        <f t="shared" si="732"/>
        <v>2.5014420893262681</v>
      </c>
      <c r="CX357" s="87">
        <f t="shared" si="732"/>
        <v>2.5014420893262681</v>
      </c>
      <c r="CY357" s="87">
        <f t="shared" si="732"/>
        <v>2.5014420893262681</v>
      </c>
      <c r="CZ357" s="87">
        <f t="shared" ref="CZ357" si="733">+AVERAGE(CY225:CZ225)*$C357/4</f>
        <v>2.5014420893262681</v>
      </c>
      <c r="DA357" s="87">
        <f t="shared" ref="DA357" si="734">+AVERAGE(CZ225:DA225)*$C357/4</f>
        <v>2.5014420893262681</v>
      </c>
      <c r="DB357" s="87">
        <f t="shared" ref="DB357" si="735">+AVERAGE(DA225:DB225)*$C357/4</f>
        <v>2.5014420893262681</v>
      </c>
      <c r="DC357" s="87">
        <f t="shared" ref="DC357" si="736">+AVERAGE(DB225:DC225)*$C357/4</f>
        <v>2.5014420893262681</v>
      </c>
    </row>
    <row r="358" spans="1:107">
      <c r="A358" s="15"/>
      <c r="B358" s="132" t="str">
        <f>+B245</f>
        <v>Senior Notes (4.875%) - 2020</v>
      </c>
      <c r="C358" s="2126">
        <v>4.8750000000000002E-2</v>
      </c>
      <c r="D358" s="399"/>
      <c r="E358" s="132"/>
      <c r="F358" s="132"/>
      <c r="G358" s="132"/>
      <c r="H358" s="132"/>
      <c r="I358" s="132"/>
      <c r="J358" s="132"/>
      <c r="K358" s="132"/>
      <c r="L358" s="132"/>
      <c r="M358" s="132"/>
      <c r="N358" s="132"/>
      <c r="O358" s="132"/>
      <c r="P358" s="132"/>
      <c r="Q358" s="132"/>
      <c r="R358" s="132"/>
      <c r="S358" s="132"/>
      <c r="T358" s="132"/>
      <c r="U358" s="132"/>
      <c r="V358" s="132"/>
      <c r="W358" s="132"/>
      <c r="X358" s="87">
        <f>+$C358*AVERAGE(W248:X248)</f>
        <v>0</v>
      </c>
      <c r="Y358" s="87">
        <f>+$C358*AVERAGE(X248:Y248)</f>
        <v>0</v>
      </c>
      <c r="Z358" s="87">
        <f>+$C358*AVERAGE(Y248:Z248)</f>
        <v>0</v>
      </c>
      <c r="AA358" s="87">
        <f t="shared" ref="AA358:AD358" si="737">+$C358*AVERAGE(Z248:AA248)</f>
        <v>0</v>
      </c>
      <c r="AB358" s="87">
        <f t="shared" si="737"/>
        <v>0</v>
      </c>
      <c r="AC358" s="87">
        <f t="shared" si="737"/>
        <v>0</v>
      </c>
      <c r="AD358" s="87">
        <f t="shared" si="737"/>
        <v>0</v>
      </c>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c r="BK358" s="15"/>
      <c r="BL358" s="15"/>
      <c r="BM358" s="15"/>
      <c r="BN358" s="15"/>
      <c r="BO358" s="883"/>
      <c r="BP358" s="26"/>
      <c r="BQ358" s="883"/>
      <c r="BR358" s="26"/>
      <c r="BS358" s="26"/>
      <c r="BT358" s="26"/>
      <c r="BU358" s="26"/>
      <c r="BV358" s="26"/>
      <c r="BW358" s="26"/>
      <c r="BX358" s="26"/>
      <c r="BY358" s="26"/>
      <c r="BZ358" s="87"/>
      <c r="CA358" s="87"/>
      <c r="CB358" s="87"/>
      <c r="CC358" s="87"/>
      <c r="CD358" s="87"/>
      <c r="CE358" s="87"/>
      <c r="CF358" s="87">
        <f t="shared" ref="CF358:CY358" si="738">+AVERAGE(CE248:CF248)*$C358/4</f>
        <v>6.09375</v>
      </c>
      <c r="CG358" s="87">
        <f t="shared" si="738"/>
        <v>6.09375</v>
      </c>
      <c r="CH358" s="87">
        <f t="shared" si="738"/>
        <v>6.09375</v>
      </c>
      <c r="CI358" s="87">
        <f t="shared" si="738"/>
        <v>6.09375</v>
      </c>
      <c r="CJ358" s="87">
        <f t="shared" si="738"/>
        <v>6.09375</v>
      </c>
      <c r="CK358" s="87">
        <f t="shared" si="738"/>
        <v>6.09375</v>
      </c>
      <c r="CL358" s="87">
        <f t="shared" si="738"/>
        <v>6.09375</v>
      </c>
      <c r="CM358" s="87">
        <f t="shared" si="738"/>
        <v>6.09375</v>
      </c>
      <c r="CN358" s="87">
        <f t="shared" si="738"/>
        <v>6.09375</v>
      </c>
      <c r="CO358" s="87">
        <f t="shared" si="738"/>
        <v>6.09375</v>
      </c>
      <c r="CP358" s="87">
        <f t="shared" si="738"/>
        <v>6.09375</v>
      </c>
      <c r="CQ358" s="87">
        <f t="shared" si="738"/>
        <v>6.09375</v>
      </c>
      <c r="CR358" s="87">
        <f t="shared" si="738"/>
        <v>6.09375</v>
      </c>
      <c r="CS358" s="87">
        <f t="shared" si="738"/>
        <v>6.09375</v>
      </c>
      <c r="CT358" s="87">
        <f t="shared" si="738"/>
        <v>6.09375</v>
      </c>
      <c r="CU358" s="87">
        <f t="shared" si="738"/>
        <v>6.09375</v>
      </c>
      <c r="CV358" s="87">
        <f t="shared" si="738"/>
        <v>6.09375</v>
      </c>
      <c r="CW358" s="87">
        <f t="shared" si="738"/>
        <v>6.09375</v>
      </c>
      <c r="CX358" s="87">
        <f t="shared" si="738"/>
        <v>3.046875</v>
      </c>
      <c r="CY358" s="87">
        <f t="shared" si="738"/>
        <v>0</v>
      </c>
      <c r="CZ358" s="87">
        <f t="shared" ref="CZ358" si="739">+AVERAGE(CY248:CZ248)*$C358/4</f>
        <v>0</v>
      </c>
      <c r="DA358" s="87">
        <f t="shared" ref="DA358" si="740">+AVERAGE(CZ248:DA248)*$C358/4</f>
        <v>0</v>
      </c>
      <c r="DB358" s="87">
        <f t="shared" ref="DB358" si="741">+AVERAGE(DA248:DB248)*$C358/4</f>
        <v>0</v>
      </c>
      <c r="DC358" s="87">
        <f t="shared" ref="DC358" si="742">+AVERAGE(DB248:DC248)*$C358/4</f>
        <v>0</v>
      </c>
    </row>
    <row r="359" spans="1:107">
      <c r="A359" s="15"/>
      <c r="B359" s="132" t="str">
        <f>+B251</f>
        <v>Senior Notes (5.375%) - 2023</v>
      </c>
      <c r="C359" s="2126">
        <v>5.3749999999999999E-2</v>
      </c>
      <c r="D359" s="399"/>
      <c r="E359" s="132"/>
      <c r="F359" s="132"/>
      <c r="G359" s="132"/>
      <c r="H359" s="132"/>
      <c r="I359" s="132"/>
      <c r="J359" s="132"/>
      <c r="K359" s="132"/>
      <c r="L359" s="132"/>
      <c r="M359" s="132"/>
      <c r="N359" s="132"/>
      <c r="O359" s="132"/>
      <c r="P359" s="132"/>
      <c r="Q359" s="132"/>
      <c r="R359" s="132"/>
      <c r="S359" s="132"/>
      <c r="T359" s="132"/>
      <c r="U359" s="132"/>
      <c r="V359" s="132"/>
      <c r="W359" s="132"/>
      <c r="X359" s="87">
        <f>+$C359*AVERAGE(W254:X254)</f>
        <v>53.75</v>
      </c>
      <c r="Y359" s="87">
        <f>+$C359*AVERAGE(X254:Y254)</f>
        <v>53.75</v>
      </c>
      <c r="Z359" s="87">
        <f>+$C359*AVERAGE(Y254:Z254)</f>
        <v>53.75</v>
      </c>
      <c r="AA359" s="87">
        <f t="shared" ref="AA359:AD359" si="743">+$C359*AVERAGE(Z254:AA254)</f>
        <v>53.75</v>
      </c>
      <c r="AB359" s="87">
        <f t="shared" si="743"/>
        <v>53.75</v>
      </c>
      <c r="AC359" s="87">
        <f t="shared" si="743"/>
        <v>53.75</v>
      </c>
      <c r="AD359" s="87">
        <f t="shared" si="743"/>
        <v>53.75</v>
      </c>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c r="BK359" s="15"/>
      <c r="BL359" s="15"/>
      <c r="BM359" s="15"/>
      <c r="BN359" s="15"/>
      <c r="BO359" s="883"/>
      <c r="BP359" s="26"/>
      <c r="BQ359" s="883"/>
      <c r="BR359" s="26"/>
      <c r="BS359" s="26"/>
      <c r="BT359" s="26"/>
      <c r="BU359" s="26"/>
      <c r="BV359" s="26"/>
      <c r="BW359" s="26"/>
      <c r="BX359" s="26"/>
      <c r="BY359" s="26"/>
      <c r="BZ359" s="87"/>
      <c r="CA359" s="87"/>
      <c r="CB359" s="87"/>
      <c r="CC359" s="87"/>
      <c r="CD359" s="87"/>
      <c r="CE359" s="87"/>
      <c r="CF359" s="87">
        <f t="shared" ref="CF359:CY359" si="744">+AVERAGE(CE254:CF254)*$C359/4</f>
        <v>13.4375</v>
      </c>
      <c r="CG359" s="87">
        <f t="shared" si="744"/>
        <v>13.4375</v>
      </c>
      <c r="CH359" s="87">
        <f t="shared" si="744"/>
        <v>13.4375</v>
      </c>
      <c r="CI359" s="87">
        <f t="shared" si="744"/>
        <v>13.4375</v>
      </c>
      <c r="CJ359" s="87">
        <f t="shared" si="744"/>
        <v>13.4375</v>
      </c>
      <c r="CK359" s="87">
        <f t="shared" si="744"/>
        <v>13.4375</v>
      </c>
      <c r="CL359" s="87">
        <f t="shared" si="744"/>
        <v>13.4375</v>
      </c>
      <c r="CM359" s="87">
        <f t="shared" si="744"/>
        <v>13.4375</v>
      </c>
      <c r="CN359" s="87">
        <f t="shared" si="744"/>
        <v>13.4375</v>
      </c>
      <c r="CO359" s="87">
        <f t="shared" si="744"/>
        <v>13.4375</v>
      </c>
      <c r="CP359" s="87">
        <f t="shared" si="744"/>
        <v>13.4375</v>
      </c>
      <c r="CQ359" s="87">
        <f t="shared" si="744"/>
        <v>13.4375</v>
      </c>
      <c r="CR359" s="87">
        <f t="shared" si="744"/>
        <v>13.4375</v>
      </c>
      <c r="CS359" s="87">
        <f t="shared" si="744"/>
        <v>13.4375</v>
      </c>
      <c r="CT359" s="87">
        <f t="shared" si="744"/>
        <v>13.4375</v>
      </c>
      <c r="CU359" s="87">
        <f t="shared" si="744"/>
        <v>13.4375</v>
      </c>
      <c r="CV359" s="87">
        <f t="shared" si="744"/>
        <v>13.4375</v>
      </c>
      <c r="CW359" s="87">
        <f t="shared" si="744"/>
        <v>13.4375</v>
      </c>
      <c r="CX359" s="87">
        <f t="shared" si="744"/>
        <v>13.4375</v>
      </c>
      <c r="CY359" s="87">
        <f t="shared" si="744"/>
        <v>13.4375</v>
      </c>
      <c r="CZ359" s="87">
        <f t="shared" ref="CZ359" si="745">+AVERAGE(CY254:CZ254)*$C359/4</f>
        <v>13.4375</v>
      </c>
      <c r="DA359" s="87">
        <f t="shared" ref="DA359" si="746">+AVERAGE(CZ254:DA254)*$C359/4</f>
        <v>13.4375</v>
      </c>
      <c r="DB359" s="87">
        <f t="shared" ref="DB359" si="747">+AVERAGE(DA254:DB254)*$C359/4</f>
        <v>13.4375</v>
      </c>
      <c r="DC359" s="87">
        <f t="shared" ref="DC359" si="748">+AVERAGE(DB254:DC254)*$C359/4</f>
        <v>13.4375</v>
      </c>
    </row>
    <row r="360" spans="1:107">
      <c r="A360" s="15"/>
      <c r="B360" s="89" t="s">
        <v>1905</v>
      </c>
      <c r="C360" s="2126">
        <v>5.3749999999999999E-2</v>
      </c>
      <c r="D360" s="399"/>
      <c r="E360" s="132"/>
      <c r="F360" s="132"/>
      <c r="G360" s="132"/>
      <c r="H360" s="132"/>
      <c r="I360" s="132"/>
      <c r="J360" s="132"/>
      <c r="K360" s="132"/>
      <c r="L360" s="132"/>
      <c r="M360" s="132"/>
      <c r="N360" s="132"/>
      <c r="O360" s="132"/>
      <c r="P360" s="132"/>
      <c r="Q360" s="132"/>
      <c r="R360" s="132"/>
      <c r="S360" s="132"/>
      <c r="T360" s="132"/>
      <c r="U360" s="132"/>
      <c r="V360" s="132"/>
      <c r="W360" s="132"/>
      <c r="X360" s="87">
        <f>+$C360*AVERAGE(W260:X260)</f>
        <v>40.3125</v>
      </c>
      <c r="Y360" s="87">
        <f>+$C360*AVERAGE(X260:Y260)</f>
        <v>40.3125</v>
      </c>
      <c r="Z360" s="87">
        <f>+$C360*AVERAGE(Y260:Z260)</f>
        <v>40.3125</v>
      </c>
      <c r="AA360" s="87">
        <f t="shared" ref="AA360:AD360" si="749">+$C360*AVERAGE(Z260:AA260)</f>
        <v>40.3125</v>
      </c>
      <c r="AB360" s="87">
        <f t="shared" si="749"/>
        <v>40.3125</v>
      </c>
      <c r="AC360" s="87">
        <f t="shared" si="749"/>
        <v>40.3125</v>
      </c>
      <c r="AD360" s="87">
        <f t="shared" si="749"/>
        <v>40.3125</v>
      </c>
      <c r="AE360" s="15"/>
      <c r="AF360" s="15"/>
      <c r="AG360" s="15"/>
      <c r="AH360" s="15"/>
      <c r="AI360" s="15"/>
      <c r="AJ360" s="15"/>
      <c r="AK360" s="15"/>
      <c r="AL360" s="15"/>
      <c r="AM360" s="15"/>
      <c r="AN360" s="15"/>
      <c r="AO360" s="15"/>
      <c r="AP360" s="15"/>
      <c r="AQ360" s="15"/>
      <c r="AR360" s="15"/>
      <c r="AS360" s="15"/>
      <c r="AT360" s="15"/>
      <c r="AU360" s="15"/>
      <c r="AV360" s="15"/>
      <c r="AW360" s="15"/>
      <c r="AX360" s="15"/>
      <c r="AY360" s="15"/>
      <c r="AZ360" s="15"/>
      <c r="BA360" s="15"/>
      <c r="BB360" s="15"/>
      <c r="BC360" s="15"/>
      <c r="BD360" s="15"/>
      <c r="BE360" s="15"/>
      <c r="BF360" s="15"/>
      <c r="BG360" s="15"/>
      <c r="BH360" s="15"/>
      <c r="BI360" s="15"/>
      <c r="BJ360" s="15"/>
      <c r="BK360" s="15"/>
      <c r="BL360" s="15"/>
      <c r="BM360" s="15"/>
      <c r="BN360" s="15"/>
      <c r="BO360" s="883"/>
      <c r="BP360" s="26"/>
      <c r="BQ360" s="883"/>
      <c r="BR360" s="26"/>
      <c r="BS360" s="26"/>
      <c r="BT360" s="26"/>
      <c r="BU360" s="26"/>
      <c r="BV360" s="26"/>
      <c r="BW360" s="26"/>
      <c r="BX360" s="26"/>
      <c r="BY360" s="26"/>
      <c r="BZ360" s="87"/>
      <c r="CA360" s="87"/>
      <c r="CB360" s="87"/>
      <c r="CC360" s="87"/>
      <c r="CD360" s="87"/>
      <c r="CE360" s="87"/>
      <c r="CF360" s="87"/>
      <c r="CG360" s="87"/>
      <c r="CH360" s="87"/>
      <c r="CI360" s="87"/>
      <c r="CJ360" s="87"/>
      <c r="CK360" s="87"/>
      <c r="CL360" s="87"/>
      <c r="CM360" s="87">
        <f t="shared" ref="CM360:CY360" si="750">+AVERAGE(CL260:CM260)*$C360/4</f>
        <v>10.078125</v>
      </c>
      <c r="CN360" s="87">
        <f t="shared" si="750"/>
        <v>10.078125</v>
      </c>
      <c r="CO360" s="87">
        <f t="shared" si="750"/>
        <v>10.078125</v>
      </c>
      <c r="CP360" s="87">
        <f t="shared" si="750"/>
        <v>10.078125</v>
      </c>
      <c r="CQ360" s="87">
        <f t="shared" si="750"/>
        <v>10.078125</v>
      </c>
      <c r="CR360" s="87">
        <f t="shared" si="750"/>
        <v>10.078125</v>
      </c>
      <c r="CS360" s="87">
        <f t="shared" si="750"/>
        <v>10.078125</v>
      </c>
      <c r="CT360" s="87">
        <f t="shared" si="750"/>
        <v>10.078125</v>
      </c>
      <c r="CU360" s="87">
        <f t="shared" si="750"/>
        <v>10.078125</v>
      </c>
      <c r="CV360" s="87">
        <f t="shared" si="750"/>
        <v>10.078125</v>
      </c>
      <c r="CW360" s="87">
        <f t="shared" si="750"/>
        <v>10.078125</v>
      </c>
      <c r="CX360" s="87">
        <f t="shared" si="750"/>
        <v>10.078125</v>
      </c>
      <c r="CY360" s="87">
        <f t="shared" si="750"/>
        <v>10.078125</v>
      </c>
      <c r="CZ360" s="87">
        <f t="shared" ref="CZ360" si="751">+AVERAGE(CY260:CZ260)*$C360/4</f>
        <v>10.078125</v>
      </c>
      <c r="DA360" s="87">
        <f t="shared" ref="DA360" si="752">+AVERAGE(CZ260:DA260)*$C360/4</f>
        <v>10.078125</v>
      </c>
      <c r="DB360" s="87">
        <f t="shared" ref="DB360" si="753">+AVERAGE(DA260:DB260)*$C360/4</f>
        <v>10.078125</v>
      </c>
      <c r="DC360" s="87">
        <f t="shared" ref="DC360" si="754">+AVERAGE(DB260:DC260)*$C360/4</f>
        <v>10.078125</v>
      </c>
    </row>
    <row r="361" spans="1:107">
      <c r="A361" s="15"/>
      <c r="B361" s="89" t="s">
        <v>1906</v>
      </c>
      <c r="C361" s="2126">
        <v>5.7500000000000002E-2</v>
      </c>
      <c r="D361" s="399"/>
      <c r="E361" s="132"/>
      <c r="F361" s="132"/>
      <c r="G361" s="132"/>
      <c r="H361" s="132"/>
      <c r="I361" s="132"/>
      <c r="J361" s="132"/>
      <c r="K361" s="132"/>
      <c r="L361" s="132"/>
      <c r="M361" s="132"/>
      <c r="N361" s="132"/>
      <c r="O361" s="132"/>
      <c r="P361" s="132"/>
      <c r="Q361" s="132"/>
      <c r="R361" s="132"/>
      <c r="S361" s="132"/>
      <c r="T361" s="132"/>
      <c r="U361" s="132"/>
      <c r="V361" s="132"/>
      <c r="W361" s="132"/>
      <c r="X361" s="87">
        <f>+$C361*AVERAGE(W266:X266)</f>
        <v>24.256317500000009</v>
      </c>
      <c r="Y361" s="87">
        <f>+$C361*AVERAGE(X266:Y266)</f>
        <v>24.256317500000009</v>
      </c>
      <c r="Z361" s="87">
        <f>+$C361*AVERAGE(Y266:Z266)</f>
        <v>24.256317500000009</v>
      </c>
      <c r="AA361" s="87">
        <f t="shared" ref="AA361:AD361" si="755">+$C361*AVERAGE(Z266:AA266)</f>
        <v>24.256317500000009</v>
      </c>
      <c r="AB361" s="87">
        <f t="shared" si="755"/>
        <v>24.256317500000009</v>
      </c>
      <c r="AC361" s="87">
        <f t="shared" si="755"/>
        <v>24.256317500000009</v>
      </c>
      <c r="AD361" s="87">
        <f t="shared" si="755"/>
        <v>24.256317500000009</v>
      </c>
      <c r="AE361" s="15"/>
      <c r="AF361" s="15"/>
      <c r="AG361" s="15"/>
      <c r="AH361" s="15"/>
      <c r="AI361" s="15"/>
      <c r="AJ361" s="15"/>
      <c r="AK361" s="15"/>
      <c r="AL361" s="15"/>
      <c r="AM361" s="15"/>
      <c r="AN361" s="15"/>
      <c r="AO361" s="15"/>
      <c r="AP361" s="15"/>
      <c r="AQ361" s="15"/>
      <c r="AR361" s="15"/>
      <c r="AS361" s="15"/>
      <c r="AT361" s="15"/>
      <c r="AU361" s="15"/>
      <c r="AV361" s="15"/>
      <c r="AW361" s="15"/>
      <c r="AX361" s="15"/>
      <c r="AY361" s="15"/>
      <c r="AZ361" s="15"/>
      <c r="BA361" s="15"/>
      <c r="BB361" s="15"/>
      <c r="BC361" s="15"/>
      <c r="BD361" s="15"/>
      <c r="BE361" s="15"/>
      <c r="BF361" s="15"/>
      <c r="BG361" s="15"/>
      <c r="BH361" s="15"/>
      <c r="BI361" s="15"/>
      <c r="BJ361" s="15"/>
      <c r="BK361" s="15"/>
      <c r="BL361" s="15"/>
      <c r="BM361" s="15"/>
      <c r="BN361" s="15"/>
      <c r="BO361" s="883"/>
      <c r="BP361" s="26"/>
      <c r="BQ361" s="883"/>
      <c r="BR361" s="26"/>
      <c r="BS361" s="26"/>
      <c r="BT361" s="26"/>
      <c r="BU361" s="26"/>
      <c r="BV361" s="26"/>
      <c r="BW361" s="26"/>
      <c r="BX361" s="26"/>
      <c r="BY361" s="26"/>
      <c r="BZ361" s="87"/>
      <c r="CA361" s="87"/>
      <c r="CB361" s="87"/>
      <c r="CC361" s="87"/>
      <c r="CD361" s="87"/>
      <c r="CE361" s="87"/>
      <c r="CF361" s="87"/>
      <c r="CG361" s="87"/>
      <c r="CH361" s="87"/>
      <c r="CI361" s="87"/>
      <c r="CJ361" s="87"/>
      <c r="CK361" s="87"/>
      <c r="CL361" s="87"/>
      <c r="CM361" s="87">
        <f t="shared" ref="CM361:CY361" si="756">+AVERAGE(CL266:CM266)*$C361/4</f>
        <v>7.1875</v>
      </c>
      <c r="CN361" s="87">
        <f t="shared" si="756"/>
        <v>7.1875</v>
      </c>
      <c r="CO361" s="87">
        <f t="shared" si="756"/>
        <v>7.1875</v>
      </c>
      <c r="CP361" s="87">
        <f t="shared" si="756"/>
        <v>6.9750950000000005</v>
      </c>
      <c r="CQ361" s="87">
        <f t="shared" si="756"/>
        <v>6.6490268750000006</v>
      </c>
      <c r="CR361" s="87">
        <f t="shared" si="756"/>
        <v>6.5463821874999999</v>
      </c>
      <c r="CS361" s="87">
        <f t="shared" si="756"/>
        <v>6.5692528124999985</v>
      </c>
      <c r="CT361" s="87">
        <f t="shared" si="756"/>
        <v>6.5920012499999983</v>
      </c>
      <c r="CU361" s="87">
        <f t="shared" si="756"/>
        <v>6.6132331249999989</v>
      </c>
      <c r="CV361" s="87">
        <f t="shared" si="756"/>
        <v>6.5134490624999977</v>
      </c>
      <c r="CW361" s="87">
        <f t="shared" si="756"/>
        <v>6.4175390624999968</v>
      </c>
      <c r="CX361" s="87">
        <f t="shared" si="756"/>
        <v>6.2889351322346432</v>
      </c>
      <c r="CY361" s="87">
        <f t="shared" si="756"/>
        <v>6.1051004447346449</v>
      </c>
      <c r="CZ361" s="87">
        <f t="shared" ref="CZ361" si="757">+AVERAGE(CY266:CZ266)*$C361/4</f>
        <v>6.0640793750000022</v>
      </c>
      <c r="DA361" s="87">
        <f t="shared" ref="DA361" si="758">+AVERAGE(CZ266:DA266)*$C361/4</f>
        <v>6.0640793750000022</v>
      </c>
      <c r="DB361" s="87">
        <f t="shared" ref="DB361" si="759">+AVERAGE(DA266:DB266)*$C361/4</f>
        <v>6.0640793750000022</v>
      </c>
      <c r="DC361" s="87">
        <f t="shared" ref="DC361" si="760">+AVERAGE(DB266:DC266)*$C361/4</f>
        <v>6.0640793750000022</v>
      </c>
    </row>
    <row r="362" spans="1:107">
      <c r="A362" s="15"/>
      <c r="B362" s="89" t="s">
        <v>2045</v>
      </c>
      <c r="C362" s="2126">
        <v>5.8749999999999997E-2</v>
      </c>
      <c r="D362" s="399"/>
      <c r="E362" s="132"/>
      <c r="F362" s="132"/>
      <c r="G362" s="132"/>
      <c r="H362" s="132"/>
      <c r="I362" s="132"/>
      <c r="J362" s="132"/>
      <c r="K362" s="132"/>
      <c r="L362" s="132"/>
      <c r="M362" s="132"/>
      <c r="N362" s="132"/>
      <c r="O362" s="132"/>
      <c r="P362" s="132"/>
      <c r="Q362" s="132"/>
      <c r="R362" s="132"/>
      <c r="S362" s="132"/>
      <c r="T362" s="132"/>
      <c r="U362" s="132"/>
      <c r="V362" s="132"/>
      <c r="W362" s="132"/>
      <c r="X362" s="87">
        <f>+$C362*AVERAGE(W272:X272)</f>
        <v>64.625</v>
      </c>
      <c r="Y362" s="87">
        <f>+$C362*AVERAGE(X272:Y272)</f>
        <v>64.625</v>
      </c>
      <c r="Z362" s="87">
        <f>+$C362*AVERAGE(Y272:Z272)</f>
        <v>64.625</v>
      </c>
      <c r="AA362" s="87">
        <f t="shared" ref="AA362:AD362" si="761">+$C362*AVERAGE(Z272:AA272)</f>
        <v>64.625</v>
      </c>
      <c r="AB362" s="87">
        <f t="shared" si="761"/>
        <v>64.625</v>
      </c>
      <c r="AC362" s="87">
        <f t="shared" si="761"/>
        <v>64.625</v>
      </c>
      <c r="AD362" s="87">
        <f t="shared" si="761"/>
        <v>64.625</v>
      </c>
      <c r="AE362" s="15"/>
      <c r="AF362" s="15"/>
      <c r="AG362" s="15"/>
      <c r="AH362" s="15"/>
      <c r="AI362" s="15"/>
      <c r="AJ362" s="15"/>
      <c r="AK362" s="15"/>
      <c r="AL362" s="15"/>
      <c r="AM362" s="15"/>
      <c r="AN362" s="15"/>
      <c r="AO362" s="15"/>
      <c r="AP362" s="15"/>
      <c r="AQ362" s="15"/>
      <c r="AR362" s="15"/>
      <c r="AS362" s="15"/>
      <c r="AT362" s="15"/>
      <c r="AU362" s="15"/>
      <c r="AV362" s="15"/>
      <c r="AW362" s="15"/>
      <c r="AX362" s="15"/>
      <c r="AY362" s="15"/>
      <c r="AZ362" s="15"/>
      <c r="BA362" s="15"/>
      <c r="BB362" s="15"/>
      <c r="BC362" s="15"/>
      <c r="BD362" s="15"/>
      <c r="BE362" s="15"/>
      <c r="BF362" s="15"/>
      <c r="BG362" s="15"/>
      <c r="BH362" s="15"/>
      <c r="BI362" s="15"/>
      <c r="BJ362" s="15"/>
      <c r="BK362" s="15"/>
      <c r="BL362" s="15"/>
      <c r="BM362" s="15"/>
      <c r="BN362" s="15"/>
      <c r="BO362" s="883"/>
      <c r="BP362" s="26"/>
      <c r="BQ362" s="883"/>
      <c r="BR362" s="26"/>
      <c r="BS362" s="26"/>
      <c r="BT362" s="26"/>
      <c r="BU362" s="26"/>
      <c r="BV362" s="26"/>
      <c r="BW362" s="26"/>
      <c r="BX362" s="26"/>
      <c r="BY362" s="26"/>
      <c r="BZ362" s="87"/>
      <c r="CA362" s="87"/>
      <c r="CB362" s="87"/>
      <c r="CC362" s="87"/>
      <c r="CD362" s="87"/>
      <c r="CE362" s="87"/>
      <c r="CF362" s="87"/>
      <c r="CG362" s="87"/>
      <c r="CH362" s="87"/>
      <c r="CI362" s="87"/>
      <c r="CJ362" s="87"/>
      <c r="CK362" s="87"/>
      <c r="CL362" s="87"/>
      <c r="CM362" s="87"/>
      <c r="CN362" s="87"/>
      <c r="CO362" s="87"/>
      <c r="CP362" s="87"/>
      <c r="CQ362" s="87">
        <f t="shared" ref="CQ362:CY362" si="762">+AVERAGE(CP272:CQ272)*$C362/4</f>
        <v>16.15625</v>
      </c>
      <c r="CR362" s="87">
        <f t="shared" si="762"/>
        <v>16.15625</v>
      </c>
      <c r="CS362" s="87">
        <f t="shared" si="762"/>
        <v>16.15625</v>
      </c>
      <c r="CT362" s="87">
        <f t="shared" si="762"/>
        <v>16.15625</v>
      </c>
      <c r="CU362" s="87">
        <f t="shared" si="762"/>
        <v>16.15625</v>
      </c>
      <c r="CV362" s="87">
        <f t="shared" si="762"/>
        <v>16.15625</v>
      </c>
      <c r="CW362" s="87">
        <f t="shared" si="762"/>
        <v>16.15625</v>
      </c>
      <c r="CX362" s="87">
        <f t="shared" si="762"/>
        <v>16.15625</v>
      </c>
      <c r="CY362" s="87">
        <f t="shared" si="762"/>
        <v>16.15625</v>
      </c>
      <c r="CZ362" s="87">
        <f t="shared" ref="CZ362" si="763">+AVERAGE(CY272:CZ272)*$C362/4</f>
        <v>16.15625</v>
      </c>
      <c r="DA362" s="87">
        <f t="shared" ref="DA362" si="764">+AVERAGE(CZ272:DA272)*$C362/4</f>
        <v>16.15625</v>
      </c>
      <c r="DB362" s="87">
        <f t="shared" ref="DB362" si="765">+AVERAGE(DA272:DB272)*$C362/4</f>
        <v>16.15625</v>
      </c>
      <c r="DC362" s="87">
        <f t="shared" ref="DC362" si="766">+AVERAGE(DB272:DC272)*$C362/4</f>
        <v>16.15625</v>
      </c>
    </row>
    <row r="363" spans="1:107">
      <c r="A363" s="15"/>
      <c r="B363" s="89" t="s">
        <v>2632</v>
      </c>
      <c r="C363" s="2126">
        <v>5.3749999999999999E-2</v>
      </c>
      <c r="D363" s="399"/>
      <c r="E363" s="132"/>
      <c r="F363" s="132"/>
      <c r="G363" s="132"/>
      <c r="H363" s="132"/>
      <c r="I363" s="132"/>
      <c r="J363" s="132"/>
      <c r="K363" s="132"/>
      <c r="L363" s="132"/>
      <c r="M363" s="132"/>
      <c r="N363" s="132"/>
      <c r="O363" s="132"/>
      <c r="P363" s="132"/>
      <c r="Q363" s="132"/>
      <c r="R363" s="132"/>
      <c r="S363" s="132"/>
      <c r="T363" s="132"/>
      <c r="U363" s="132"/>
      <c r="V363" s="132"/>
      <c r="W363" s="132"/>
      <c r="X363" s="87">
        <f>+$C363*AVERAGE(W278:X278)</f>
        <v>67.1875</v>
      </c>
      <c r="Y363" s="87">
        <f>+$C363*AVERAGE(X278:Y278)</f>
        <v>67.1875</v>
      </c>
      <c r="Z363" s="87">
        <f>+$C363*AVERAGE(Y278:Z278)</f>
        <v>67.1875</v>
      </c>
      <c r="AA363" s="87">
        <f t="shared" ref="AA363:AD363" si="767">+$C363*AVERAGE(Z278:AA278)</f>
        <v>67.1875</v>
      </c>
      <c r="AB363" s="87">
        <f t="shared" si="767"/>
        <v>67.1875</v>
      </c>
      <c r="AC363" s="87">
        <f t="shared" si="767"/>
        <v>67.1875</v>
      </c>
      <c r="AD363" s="87">
        <f t="shared" si="767"/>
        <v>67.1875</v>
      </c>
      <c r="AE363" s="15"/>
      <c r="AF363" s="15"/>
      <c r="AG363" s="15"/>
      <c r="AH363" s="15"/>
      <c r="AI363" s="15"/>
      <c r="AJ363" s="15"/>
      <c r="AK363" s="15"/>
      <c r="AL363" s="15"/>
      <c r="AM363" s="15"/>
      <c r="AN363" s="15"/>
      <c r="AO363" s="15"/>
      <c r="AP363" s="15"/>
      <c r="AQ363" s="15"/>
      <c r="AR363" s="15"/>
      <c r="AS363" s="15"/>
      <c r="AT363" s="15"/>
      <c r="AU363" s="15"/>
      <c r="AV363" s="15"/>
      <c r="AW363" s="15"/>
      <c r="AX363" s="15"/>
      <c r="AY363" s="15"/>
      <c r="AZ363" s="15"/>
      <c r="BA363" s="15"/>
      <c r="BB363" s="15"/>
      <c r="BC363" s="15"/>
      <c r="BD363" s="15"/>
      <c r="BE363" s="15"/>
      <c r="BF363" s="15"/>
      <c r="BG363" s="15"/>
      <c r="BH363" s="15"/>
      <c r="BI363" s="15"/>
      <c r="BJ363" s="15"/>
      <c r="BK363" s="15"/>
      <c r="BL363" s="15"/>
      <c r="BM363" s="15"/>
      <c r="BN363" s="15"/>
      <c r="BO363" s="883"/>
      <c r="BP363" s="26"/>
      <c r="BQ363" s="883"/>
      <c r="BR363" s="26"/>
      <c r="BS363" s="26"/>
      <c r="BT363" s="26"/>
      <c r="BU363" s="26"/>
      <c r="BV363" s="26"/>
      <c r="BW363" s="26"/>
      <c r="BX363" s="26"/>
      <c r="BY363" s="26"/>
      <c r="BZ363" s="87"/>
      <c r="CA363" s="87"/>
      <c r="CB363" s="87"/>
      <c r="CC363" s="87"/>
      <c r="CD363" s="87"/>
      <c r="CE363" s="87"/>
      <c r="CF363" s="87"/>
      <c r="CG363" s="87"/>
      <c r="CH363" s="87"/>
      <c r="CI363" s="87"/>
      <c r="CJ363" s="87"/>
      <c r="CK363" s="87"/>
      <c r="CL363" s="87"/>
      <c r="CM363" s="87"/>
      <c r="CN363" s="87"/>
      <c r="CO363" s="87"/>
      <c r="CP363" s="87"/>
      <c r="CQ363" s="87"/>
      <c r="CR363" s="87"/>
      <c r="CS363" s="87"/>
      <c r="CT363" s="87"/>
      <c r="CU363" s="87"/>
      <c r="CV363" s="87">
        <f>+AVERAGE(CU278:CV278)*$C363/4</f>
        <v>8.3984375</v>
      </c>
      <c r="CW363" s="87">
        <f>+AVERAGE(CV278:CW278)*$C363/4</f>
        <v>16.796875</v>
      </c>
      <c r="CX363" s="87">
        <f>+AVERAGE(CW278:CX278)*$C363/4</f>
        <v>16.796875</v>
      </c>
      <c r="CY363" s="87">
        <f>+AVERAGE(CX278:CY278)*$C363/4</f>
        <v>16.796875</v>
      </c>
      <c r="CZ363" s="87">
        <f t="shared" ref="CZ363:DC363" si="768">+AVERAGE(CY278:CZ278)*$C363/4</f>
        <v>16.796875</v>
      </c>
      <c r="DA363" s="87">
        <f t="shared" si="768"/>
        <v>16.796875</v>
      </c>
      <c r="DB363" s="87">
        <f t="shared" si="768"/>
        <v>16.796875</v>
      </c>
      <c r="DC363" s="87">
        <f t="shared" si="768"/>
        <v>16.796875</v>
      </c>
    </row>
    <row r="364" spans="1:107">
      <c r="A364" s="15"/>
      <c r="B364" s="89" t="s">
        <v>2723</v>
      </c>
      <c r="C364" s="2126">
        <v>2.8750000000000001E-2</v>
      </c>
      <c r="D364" s="399"/>
      <c r="E364" s="132"/>
      <c r="F364" s="132"/>
      <c r="G364" s="132"/>
      <c r="H364" s="132"/>
      <c r="I364" s="132"/>
      <c r="J364" s="132"/>
      <c r="K364" s="132"/>
      <c r="L364" s="132"/>
      <c r="M364" s="132"/>
      <c r="N364" s="132"/>
      <c r="O364" s="132"/>
      <c r="P364" s="132"/>
      <c r="Q364" s="132"/>
      <c r="R364" s="132"/>
      <c r="S364" s="132"/>
      <c r="T364" s="132"/>
      <c r="U364" s="132"/>
      <c r="V364" s="132"/>
      <c r="W364" s="132"/>
      <c r="X364" s="87">
        <f t="shared" ref="X364:Z364" si="769">+$C364*AVERAGE(W284:X284)</f>
        <v>34.528750000000002</v>
      </c>
      <c r="Y364" s="87">
        <f t="shared" si="769"/>
        <v>34.528750000000002</v>
      </c>
      <c r="Z364" s="87">
        <f t="shared" si="769"/>
        <v>34.528750000000002</v>
      </c>
      <c r="AA364" s="87">
        <f t="shared" ref="AA364" si="770">+$C364*AVERAGE(Z284:AA284)</f>
        <v>34.528750000000002</v>
      </c>
      <c r="AB364" s="87">
        <f t="shared" ref="AB364" si="771">+$C364*AVERAGE(AA284:AB284)</f>
        <v>34.528750000000002</v>
      </c>
      <c r="AC364" s="87">
        <f t="shared" ref="AC364" si="772">+$C364*AVERAGE(AB284:AC284)</f>
        <v>34.528750000000002</v>
      </c>
      <c r="AD364" s="87">
        <f t="shared" ref="AD364" si="773">+$C364*AVERAGE(AC284:AD284)</f>
        <v>34.528750000000002</v>
      </c>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883"/>
      <c r="BP364" s="26"/>
      <c r="BQ364" s="883"/>
      <c r="BR364" s="26"/>
      <c r="BS364" s="26"/>
      <c r="BT364" s="26"/>
      <c r="BU364" s="26"/>
      <c r="BV364" s="26"/>
      <c r="BW364" s="26"/>
      <c r="BX364" s="26"/>
      <c r="BY364" s="26"/>
      <c r="BZ364" s="87"/>
      <c r="CA364" s="87"/>
      <c r="CB364" s="87"/>
      <c r="CC364" s="87"/>
      <c r="CD364" s="87"/>
      <c r="CE364" s="87"/>
      <c r="CF364" s="87"/>
      <c r="CG364" s="87"/>
      <c r="CH364" s="87"/>
      <c r="CI364" s="87"/>
      <c r="CJ364" s="87"/>
      <c r="CK364" s="87"/>
      <c r="CL364" s="87"/>
      <c r="CM364" s="87"/>
      <c r="CN364" s="87"/>
      <c r="CO364" s="87"/>
      <c r="CP364" s="87"/>
      <c r="CQ364" s="87"/>
      <c r="CR364" s="87"/>
      <c r="CS364" s="87"/>
      <c r="CT364" s="87"/>
      <c r="CU364" s="87"/>
      <c r="CV364" s="87"/>
      <c r="CW364" s="87">
        <f t="shared" ref="CW364:CY364" si="774">+AVERAGE(CV284:CW284)*$C364/4</f>
        <v>0</v>
      </c>
      <c r="CX364" s="87">
        <f t="shared" si="774"/>
        <v>4.2755552463826776</v>
      </c>
      <c r="CY364" s="87">
        <f t="shared" si="774"/>
        <v>8.5916489963826788</v>
      </c>
      <c r="CZ364" s="87">
        <f t="shared" ref="CZ364" si="775">+AVERAGE(CY284:CZ284)*$C364/4</f>
        <v>8.6321875000000006</v>
      </c>
      <c r="DA364" s="87">
        <f t="shared" ref="DA364" si="776">+AVERAGE(CZ284:DA284)*$C364/4</f>
        <v>8.6321875000000006</v>
      </c>
      <c r="DB364" s="87">
        <f t="shared" ref="DB364" si="777">+AVERAGE(DA284:DB284)*$C364/4</f>
        <v>8.6321875000000006</v>
      </c>
      <c r="DC364" s="87">
        <f t="shared" ref="DC364" si="778">+AVERAGE(DB284:DC284)*$C364/4</f>
        <v>8.6321875000000006</v>
      </c>
    </row>
    <row r="365" spans="1:107">
      <c r="A365" s="15"/>
      <c r="B365" s="89" t="s">
        <v>2763</v>
      </c>
      <c r="C365" s="2126">
        <v>2.8750000000000001E-2</v>
      </c>
      <c r="D365" s="399"/>
      <c r="E365" s="132"/>
      <c r="F365" s="132"/>
      <c r="G365" s="132"/>
      <c r="H365" s="132"/>
      <c r="I365" s="132"/>
      <c r="J365" s="132"/>
      <c r="K365" s="132"/>
      <c r="L365" s="132"/>
      <c r="M365" s="132"/>
      <c r="N365" s="132"/>
      <c r="O365" s="132"/>
      <c r="P365" s="132"/>
      <c r="Q365" s="132"/>
      <c r="R365" s="132"/>
      <c r="S365" s="132"/>
      <c r="T365" s="132"/>
      <c r="U365" s="132"/>
      <c r="V365" s="132"/>
      <c r="W365" s="132"/>
      <c r="X365" s="87">
        <f>+$C365*AVERAGE(W290:X290)</f>
        <v>34.528750000000002</v>
      </c>
      <c r="Y365" s="87">
        <f t="shared" ref="Y365:Z365" si="779">+$C365*AVERAGE(X290:Y290)</f>
        <v>34.528750000000002</v>
      </c>
      <c r="Z365" s="87">
        <f t="shared" si="779"/>
        <v>34.528750000000002</v>
      </c>
      <c r="AA365" s="87">
        <f t="shared" ref="AA365:AD365" si="780">+$C365*AVERAGE(Z290:AA290)</f>
        <v>34.528750000000002</v>
      </c>
      <c r="AB365" s="87">
        <f t="shared" si="780"/>
        <v>34.528750000000002</v>
      </c>
      <c r="AC365" s="87">
        <f t="shared" si="780"/>
        <v>34.528750000000002</v>
      </c>
      <c r="AD365" s="87">
        <f t="shared" si="780"/>
        <v>34.528750000000002</v>
      </c>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c r="BK365" s="15"/>
      <c r="BL365" s="15"/>
      <c r="BM365" s="15"/>
      <c r="BN365" s="15"/>
      <c r="BO365" s="883"/>
      <c r="BP365" s="26"/>
      <c r="BQ365" s="883"/>
      <c r="BR365" s="26"/>
      <c r="BS365" s="26"/>
      <c r="BT365" s="26"/>
      <c r="BU365" s="26"/>
      <c r="BV365" s="26"/>
      <c r="BW365" s="26"/>
      <c r="BX365" s="26"/>
      <c r="BY365" s="26"/>
      <c r="BZ365" s="87"/>
      <c r="CA365" s="87"/>
      <c r="CB365" s="87"/>
      <c r="CC365" s="87"/>
      <c r="CD365" s="87"/>
      <c r="CE365" s="87"/>
      <c r="CF365" s="87"/>
      <c r="CG365" s="87"/>
      <c r="CH365" s="87"/>
      <c r="CI365" s="87"/>
      <c r="CJ365" s="87"/>
      <c r="CK365" s="87"/>
      <c r="CL365" s="87"/>
      <c r="CM365" s="87"/>
      <c r="CN365" s="87"/>
      <c r="CO365" s="87"/>
      <c r="CP365" s="87"/>
      <c r="CQ365" s="87"/>
      <c r="CR365" s="87"/>
      <c r="CS365" s="87"/>
      <c r="CT365" s="87"/>
      <c r="CU365" s="87"/>
      <c r="CV365" s="87"/>
      <c r="CW365" s="87"/>
      <c r="CX365" s="87">
        <f t="shared" ref="CX365:DC365" si="781">+AVERAGE(CW290:CX290)*$C365/4</f>
        <v>0</v>
      </c>
      <c r="CY365" s="87">
        <f t="shared" si="781"/>
        <v>4.3160937500000003</v>
      </c>
      <c r="CZ365" s="87">
        <f t="shared" si="781"/>
        <v>8.6321875000000006</v>
      </c>
      <c r="DA365" s="87">
        <f t="shared" si="781"/>
        <v>8.6321875000000006</v>
      </c>
      <c r="DB365" s="87">
        <f t="shared" si="781"/>
        <v>8.6321875000000006</v>
      </c>
      <c r="DC365" s="87">
        <f t="shared" si="781"/>
        <v>8.6321875000000006</v>
      </c>
    </row>
    <row r="366" spans="1:107">
      <c r="A366" s="15"/>
      <c r="B366" s="132" t="s">
        <v>101</v>
      </c>
      <c r="C366" s="2126">
        <v>7.0000000000000007E-2</v>
      </c>
      <c r="D366" s="399"/>
      <c r="E366" s="132"/>
      <c r="F366" s="132"/>
      <c r="G366" s="132"/>
      <c r="H366" s="132"/>
      <c r="I366" s="132"/>
      <c r="J366" s="132"/>
      <c r="K366" s="132"/>
      <c r="L366" s="132"/>
      <c r="M366" s="132"/>
      <c r="N366" s="132"/>
      <c r="O366" s="132"/>
      <c r="P366" s="132"/>
      <c r="Q366" s="132"/>
      <c r="R366" s="132"/>
      <c r="S366" s="132"/>
      <c r="T366" s="132"/>
      <c r="U366" s="132"/>
      <c r="V366" s="132"/>
      <c r="W366" s="132"/>
      <c r="X366" s="87">
        <f ca="1">+$C366*AVERAGE(W302:X302)</f>
        <v>17.5</v>
      </c>
      <c r="Y366" s="87">
        <f ca="1">+$C366*AVERAGE(X302:Y302)</f>
        <v>52.500000000000007</v>
      </c>
      <c r="Z366" s="87">
        <f ca="1">+$C366*AVERAGE(Y302:Z302)</f>
        <v>87.500000000000014</v>
      </c>
      <c r="AA366" s="87">
        <f t="shared" ref="AA366:AD366" ca="1" si="782">+$C366*AVERAGE(Z302:AA302)</f>
        <v>105.00000000000001</v>
      </c>
      <c r="AB366" s="87">
        <f t="shared" ca="1" si="782"/>
        <v>105.00000000000001</v>
      </c>
      <c r="AC366" s="87">
        <f t="shared" ca="1" si="782"/>
        <v>105.00000000000001</v>
      </c>
      <c r="AD366" s="87">
        <f t="shared" ca="1" si="782"/>
        <v>105.00000000000001</v>
      </c>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c r="BK366" s="15"/>
      <c r="BL366" s="15"/>
      <c r="BM366" s="15"/>
      <c r="BN366" s="15"/>
      <c r="BO366" s="883"/>
      <c r="BP366" s="26"/>
      <c r="BQ366" s="883"/>
      <c r="BR366" s="26"/>
      <c r="BS366" s="26"/>
      <c r="BT366" s="26"/>
      <c r="BU366" s="26"/>
      <c r="BV366" s="26"/>
      <c r="BW366" s="26"/>
      <c r="BX366" s="26"/>
      <c r="BY366" s="26"/>
      <c r="BZ366" s="87"/>
      <c r="CA366" s="87"/>
      <c r="CB366" s="87"/>
      <c r="CC366" s="87">
        <f t="shared" ref="CC366:CY366" ca="1" si="783">+AVERAGE(CB302:CC302)*$C366/4</f>
        <v>0</v>
      </c>
      <c r="CD366" s="87">
        <f t="shared" ca="1" si="783"/>
        <v>0</v>
      </c>
      <c r="CE366" s="87">
        <f t="shared" ca="1" si="783"/>
        <v>0</v>
      </c>
      <c r="CF366" s="87">
        <f t="shared" ca="1" si="783"/>
        <v>0</v>
      </c>
      <c r="CG366" s="87">
        <f t="shared" ca="1" si="783"/>
        <v>0</v>
      </c>
      <c r="CH366" s="87">
        <f t="shared" ca="1" si="783"/>
        <v>0</v>
      </c>
      <c r="CI366" s="87">
        <f t="shared" ca="1" si="783"/>
        <v>0</v>
      </c>
      <c r="CJ366" s="87">
        <f t="shared" ca="1" si="783"/>
        <v>0</v>
      </c>
      <c r="CK366" s="87">
        <f t="shared" ca="1" si="783"/>
        <v>0</v>
      </c>
      <c r="CL366" s="87">
        <f t="shared" ca="1" si="783"/>
        <v>0</v>
      </c>
      <c r="CM366" s="87">
        <f t="shared" ca="1" si="783"/>
        <v>0</v>
      </c>
      <c r="CN366" s="87">
        <f t="shared" ca="1" si="783"/>
        <v>0</v>
      </c>
      <c r="CO366" s="87">
        <f t="shared" ca="1" si="783"/>
        <v>0</v>
      </c>
      <c r="CP366" s="87">
        <f t="shared" ca="1" si="783"/>
        <v>0</v>
      </c>
      <c r="CQ366" s="87">
        <f t="shared" ca="1" si="783"/>
        <v>0</v>
      </c>
      <c r="CR366" s="87">
        <f t="shared" ca="1" si="783"/>
        <v>0</v>
      </c>
      <c r="CS366" s="87">
        <f t="shared" ca="1" si="783"/>
        <v>0</v>
      </c>
      <c r="CT366" s="87">
        <f t="shared" ca="1" si="783"/>
        <v>0</v>
      </c>
      <c r="CU366" s="87">
        <f t="shared" ca="1" si="783"/>
        <v>0</v>
      </c>
      <c r="CV366" s="87">
        <f t="shared" ca="1" si="783"/>
        <v>0</v>
      </c>
      <c r="CW366" s="87">
        <f t="shared" ca="1" si="783"/>
        <v>0</v>
      </c>
      <c r="CX366" s="87">
        <f t="shared" ca="1" si="783"/>
        <v>0</v>
      </c>
      <c r="CY366" s="87">
        <f t="shared" ca="1" si="783"/>
        <v>0</v>
      </c>
      <c r="CZ366" s="87">
        <f t="shared" ref="CZ366" ca="1" si="784">+AVERAGE(CY302:CZ302)*$C366/4</f>
        <v>0</v>
      </c>
      <c r="DA366" s="87">
        <f t="shared" ref="DA366" ca="1" si="785">+AVERAGE(CZ302:DA302)*$C366/4</f>
        <v>0</v>
      </c>
      <c r="DB366" s="87">
        <f t="shared" ref="DB366" ca="1" si="786">+AVERAGE(DA302:DB302)*$C366/4</f>
        <v>0</v>
      </c>
      <c r="DC366" s="87">
        <f t="shared" ref="DC366" ca="1" si="787">+AVERAGE(DB302:DC302)*$C366/4</f>
        <v>0</v>
      </c>
    </row>
    <row r="367" spans="1:107">
      <c r="A367" s="15"/>
      <c r="B367" s="1013"/>
      <c r="C367" s="771"/>
      <c r="D367" s="15"/>
      <c r="E367" s="15"/>
      <c r="F367" s="15"/>
      <c r="G367" s="15"/>
      <c r="H367" s="15"/>
      <c r="I367" s="15"/>
      <c r="J367" s="15"/>
      <c r="K367" s="15"/>
      <c r="L367" s="15"/>
      <c r="M367" s="15"/>
      <c r="N367" s="15"/>
      <c r="O367" s="15"/>
      <c r="P367" s="15"/>
      <c r="Q367" s="15"/>
      <c r="R367" s="15"/>
      <c r="S367" s="15"/>
      <c r="T367" s="15"/>
      <c r="U367" s="15"/>
      <c r="V367" s="15"/>
      <c r="W367" s="15"/>
      <c r="X367" s="15"/>
      <c r="Y367" s="15"/>
      <c r="Z367" s="15"/>
      <c r="AA367" s="15"/>
      <c r="AB367" s="15"/>
      <c r="AC367" s="15"/>
      <c r="AD367" s="15"/>
      <c r="AE367" s="15"/>
      <c r="AF367" s="15"/>
      <c r="AG367" s="15"/>
      <c r="AH367" s="15"/>
      <c r="AI367" s="15"/>
      <c r="AJ367" s="15"/>
      <c r="AK367" s="15"/>
      <c r="AL367" s="15"/>
      <c r="AM367" s="15"/>
      <c r="AN367" s="15"/>
      <c r="AO367" s="15"/>
      <c r="AP367" s="15"/>
      <c r="AQ367" s="15"/>
      <c r="AR367" s="15"/>
      <c r="AS367" s="15"/>
      <c r="AT367" s="15"/>
      <c r="AU367" s="15"/>
      <c r="AV367" s="15"/>
      <c r="AW367" s="15"/>
      <c r="AX367" s="15"/>
      <c r="AY367" s="15"/>
      <c r="AZ367" s="15"/>
      <c r="BA367" s="15"/>
      <c r="BB367" s="15"/>
      <c r="BC367" s="15"/>
      <c r="BD367" s="15"/>
      <c r="BE367" s="15"/>
      <c r="BF367" s="15"/>
      <c r="BG367" s="15"/>
      <c r="BH367" s="15"/>
      <c r="BI367" s="15"/>
      <c r="BJ367" s="15"/>
      <c r="BK367" s="15"/>
      <c r="BL367" s="15"/>
      <c r="BM367" s="15"/>
      <c r="BN367" s="15"/>
      <c r="BO367" s="15"/>
      <c r="BP367" s="15"/>
      <c r="BQ367" s="15"/>
      <c r="BR367" s="15"/>
      <c r="BS367" s="15"/>
      <c r="BT367" s="15"/>
      <c r="BU367" s="15"/>
      <c r="BV367" s="15"/>
      <c r="BW367" s="26"/>
      <c r="BX367" s="15"/>
      <c r="BY367" s="15"/>
      <c r="BZ367" s="15"/>
      <c r="CA367" s="15"/>
      <c r="CB367" s="15"/>
      <c r="CC367" s="15"/>
      <c r="CD367" s="15"/>
      <c r="CE367" s="15"/>
      <c r="CF367" s="15"/>
      <c r="CG367" s="15"/>
      <c r="CH367" s="15"/>
      <c r="CI367" s="15"/>
      <c r="CJ367" s="15"/>
      <c r="CK367" s="15"/>
      <c r="CL367" s="15"/>
      <c r="CM367" s="15"/>
      <c r="CN367" s="15"/>
      <c r="CO367" s="15"/>
      <c r="CP367" s="15"/>
      <c r="CQ367" s="15"/>
      <c r="CR367" s="15"/>
      <c r="CS367" s="15"/>
      <c r="CT367" s="15"/>
      <c r="CU367" s="15"/>
      <c r="CV367" s="15"/>
      <c r="CW367" s="15"/>
      <c r="CX367" s="15"/>
      <c r="CY367" s="15"/>
      <c r="CZ367" s="15"/>
      <c r="DA367" s="15"/>
      <c r="DB367" s="15"/>
      <c r="DC367" s="15"/>
    </row>
    <row r="368" spans="1:107">
      <c r="A368" s="15"/>
      <c r="B368" s="1017" t="s">
        <v>1042</v>
      </c>
      <c r="C368" s="1018">
        <v>2.5000000000000001E-3</v>
      </c>
      <c r="D368" s="15"/>
      <c r="E368" s="809">
        <f>SUM(AF368:AI368)</f>
        <v>16.43</v>
      </c>
      <c r="F368" s="809">
        <f>SUM(AJ368:AM368)</f>
        <v>10.656000000000001</v>
      </c>
      <c r="G368" s="809">
        <f>SUM(AN368:AQ368)</f>
        <v>0.99800000000000011</v>
      </c>
      <c r="H368" s="809">
        <f>SUM(AR368:AU368)</f>
        <v>0.29599999999999999</v>
      </c>
      <c r="I368" s="809">
        <f>SUM(AV368:AY368)</f>
        <v>1.2909999999999999</v>
      </c>
      <c r="J368" s="809">
        <f>SUM(AZ368:BC368)</f>
        <v>3.5840000000000001</v>
      </c>
      <c r="K368" s="809">
        <f>SUM(BD368:BG368)</f>
        <v>6.6270000000000007</v>
      </c>
      <c r="L368" s="809">
        <f>SUM(BH368:BK368)</f>
        <v>15.405999999999999</v>
      </c>
      <c r="M368" s="809">
        <f>SUM(BL368:BO368)</f>
        <v>7.4130000000000003</v>
      </c>
      <c r="N368" s="87">
        <f>SUM(BP368:BS368)</f>
        <v>2.3839999999999999</v>
      </c>
      <c r="O368" s="87">
        <f>SUM(BT368:BW368)</f>
        <v>1.5149999999999999</v>
      </c>
      <c r="P368" s="87">
        <f>SUM(BX368:CA368)</f>
        <v>2.2800000000000002</v>
      </c>
      <c r="Q368" s="87">
        <f>SUM(CB368:CE368)</f>
        <v>3.4660000000000002</v>
      </c>
      <c r="R368" s="87">
        <f>SUM(CF368:CI368)</f>
        <v>3.387</v>
      </c>
      <c r="S368" s="87">
        <f>SUM(CJ368:CM368)</f>
        <v>2.891</v>
      </c>
      <c r="T368" s="87">
        <f>SUM(CN368:CQ368)</f>
        <v>3.581</v>
      </c>
      <c r="U368" s="87">
        <f>SUM(CR368:CU368)</f>
        <v>2.7381737499999996</v>
      </c>
      <c r="V368" s="87">
        <f>SUM(CV368:CY368)</f>
        <v>5.2632762499999997</v>
      </c>
      <c r="W368" s="87">
        <f ca="1">SUM(CZ368:DC368)</f>
        <v>3.1479812284464197</v>
      </c>
      <c r="X368" s="87">
        <f ca="1">(BS!W112)*$C$368</f>
        <v>1.489289780354359</v>
      </c>
      <c r="Y368" s="87">
        <f ca="1">(BS!X112)*$C$368</f>
        <v>0.96180134804502171</v>
      </c>
      <c r="Z368" s="87">
        <f ca="1">(BS!Y112)*$C$368</f>
        <v>1.1755846425500882</v>
      </c>
      <c r="AA368" s="87">
        <f ca="1">(BS!Z112)*$C$368</f>
        <v>1.7278097839721935</v>
      </c>
      <c r="AB368" s="87">
        <f ca="1">(BS!AA112)*$C$368</f>
        <v>1.2400925069034734</v>
      </c>
      <c r="AC368" s="87">
        <f ca="1">(BS!AB112)*$C$368</f>
        <v>0.89885509242505035</v>
      </c>
      <c r="AD368" s="87">
        <f ca="1">(BS!AC112)*$C$368</f>
        <v>0.74023462287895625</v>
      </c>
      <c r="AE368" s="26"/>
      <c r="AF368" s="54">
        <f>IS!AL52</f>
        <v>3.6619999999999999</v>
      </c>
      <c r="AG368" s="54">
        <f>IS!AM52</f>
        <v>3.87</v>
      </c>
      <c r="AH368" s="54">
        <f>IS!AN52</f>
        <v>4.3470000000000004</v>
      </c>
      <c r="AI368" s="54">
        <f>IS!AO52</f>
        <v>4.5509999999999975</v>
      </c>
      <c r="AJ368" s="54">
        <f>IS!AQ52</f>
        <v>3.9470000000000001</v>
      </c>
      <c r="AK368" s="54">
        <f>IS!AR52</f>
        <v>3.2120000000000002</v>
      </c>
      <c r="AL368" s="54">
        <f>IS!AS52</f>
        <v>2.3180000000000001</v>
      </c>
      <c r="AM368" s="54">
        <f>IS!AT52</f>
        <v>1.179</v>
      </c>
      <c r="AN368" s="54">
        <f>IS!AV52</f>
        <v>0.49299999999999999</v>
      </c>
      <c r="AO368" s="54">
        <f>IS!AW52</f>
        <v>0.28899999999999998</v>
      </c>
      <c r="AP368" s="54">
        <f>IS!AX52</f>
        <v>0.17899999999999999</v>
      </c>
      <c r="AQ368" s="54">
        <f>IS!AY52</f>
        <v>3.6999999999999998E-2</v>
      </c>
      <c r="AR368" s="54">
        <f>IS!BA52</f>
        <v>7.0000000000000007E-2</v>
      </c>
      <c r="AS368" s="54">
        <f>IS!BB52</f>
        <v>6.6000000000000003E-2</v>
      </c>
      <c r="AT368" s="54">
        <f>IS!BC52</f>
        <v>4.5999999999999999E-2</v>
      </c>
      <c r="AU368" s="54">
        <f>IS!BD52</f>
        <v>0.114</v>
      </c>
      <c r="AV368" s="54">
        <f>IS!BF52</f>
        <v>0.24199999999999999</v>
      </c>
      <c r="AW368" s="54">
        <f>IS!BG52</f>
        <v>0.24199999999999999</v>
      </c>
      <c r="AX368" s="54">
        <f>IS!BH52</f>
        <v>0.33500000000000002</v>
      </c>
      <c r="AY368" s="54">
        <f>IS!BI52</f>
        <v>0.47199999999999998</v>
      </c>
      <c r="AZ368" s="54">
        <f>IS!BK52</f>
        <v>0.66700000000000004</v>
      </c>
      <c r="BA368" s="54">
        <f>IS!BL52</f>
        <v>0.90200000000000002</v>
      </c>
      <c r="BB368" s="54">
        <f>IS!BM52</f>
        <v>1.075</v>
      </c>
      <c r="BC368" s="54">
        <f>IS!BN52</f>
        <v>0.94</v>
      </c>
      <c r="BD368" s="54">
        <f>IS!BP52</f>
        <v>1.611</v>
      </c>
      <c r="BE368" s="54">
        <f>IS!BQ52</f>
        <v>1.73</v>
      </c>
      <c r="BF368" s="54">
        <f>IS!BR52</f>
        <v>1.724</v>
      </c>
      <c r="BG368" s="54">
        <f>IS!BS52</f>
        <v>1.5620000000000001</v>
      </c>
      <c r="BH368" s="54">
        <f>IS!BU52</f>
        <v>1.9490000000000001</v>
      </c>
      <c r="BI368" s="54">
        <f>IS!BV52</f>
        <v>5.0819999999999999</v>
      </c>
      <c r="BJ368" s="54">
        <f>IS!BW52</f>
        <v>3.3090000000000002</v>
      </c>
      <c r="BK368" s="54">
        <f>IS!BX52</f>
        <v>5.0659999999999998</v>
      </c>
      <c r="BL368" s="54">
        <f>IS!BZ52</f>
        <v>3.4409999999999998</v>
      </c>
      <c r="BM368" s="54">
        <f>IS!CA52</f>
        <v>2.411</v>
      </c>
      <c r="BN368" s="54">
        <f>IS!CB52</f>
        <v>0.441</v>
      </c>
      <c r="BO368" s="54">
        <f>IS!CC52</f>
        <v>1.1200000000000001</v>
      </c>
      <c r="BP368" s="26">
        <f>IS!CE52</f>
        <v>0.91600000000000004</v>
      </c>
      <c r="BQ368" s="26">
        <f>IS!CF52</f>
        <v>0.68</v>
      </c>
      <c r="BR368" s="26">
        <f>IS!CG52</f>
        <v>0.35299999999999998</v>
      </c>
      <c r="BS368" s="26">
        <f>IS!CH52</f>
        <v>0.435</v>
      </c>
      <c r="BT368" s="26">
        <f>IS!CJ52</f>
        <v>0.50600000000000001</v>
      </c>
      <c r="BU368" s="26">
        <f>IS!CK52</f>
        <v>0.49099999999999999</v>
      </c>
      <c r="BV368" s="26">
        <f>IS!CL52</f>
        <v>0.31</v>
      </c>
      <c r="BW368" s="26">
        <f>IS!CM52</f>
        <v>0.20799999999999999</v>
      </c>
      <c r="BX368" s="26">
        <f>IS!CO52</f>
        <v>0.215</v>
      </c>
      <c r="BY368" s="26">
        <f>IS!CP52</f>
        <v>0.63200000000000001</v>
      </c>
      <c r="BZ368" s="26">
        <f>IS!CQ52</f>
        <v>0.67900000000000005</v>
      </c>
      <c r="CA368" s="26">
        <f>IS!CR52</f>
        <v>0.754</v>
      </c>
      <c r="CB368" s="26">
        <f>IS!CT52</f>
        <v>0.69099999999999995</v>
      </c>
      <c r="CC368" s="26">
        <f>IS!CU52</f>
        <v>0.96299999999999997</v>
      </c>
      <c r="CD368" s="26">
        <f>IS!CV52</f>
        <v>1.054</v>
      </c>
      <c r="CE368" s="26">
        <f>IS!CW52</f>
        <v>0.75800000000000001</v>
      </c>
      <c r="CF368" s="26">
        <f>IS!CX52</f>
        <v>0.747</v>
      </c>
      <c r="CG368" s="26">
        <f>IS!CY52</f>
        <v>0.91700000000000004</v>
      </c>
      <c r="CH368" s="26">
        <f>IS!CZ52</f>
        <v>0.92900000000000005</v>
      </c>
      <c r="CI368" s="26">
        <f>IS!DA52</f>
        <v>0.79400000000000004</v>
      </c>
      <c r="CJ368" s="26">
        <f>IS!DB52</f>
        <v>1.4339999999999999</v>
      </c>
      <c r="CK368" s="26">
        <f>IS!DC52</f>
        <v>0.74399999999999999</v>
      </c>
      <c r="CL368" s="26">
        <f>IS!DD52</f>
        <v>0.35599999999999998</v>
      </c>
      <c r="CM368" s="26">
        <f>IS!DE52</f>
        <v>0.35699999999999998</v>
      </c>
      <c r="CN368" s="26">
        <f>IS!DF52</f>
        <v>0.52</v>
      </c>
      <c r="CO368" s="26">
        <f>IS!DG52</f>
        <v>0.92100000000000004</v>
      </c>
      <c r="CP368" s="26">
        <f>IS!DH52</f>
        <v>0.93400000000000005</v>
      </c>
      <c r="CQ368" s="26">
        <f>IS!DI52</f>
        <v>1.206</v>
      </c>
      <c r="CR368" s="87">
        <f>(BS!CQ112)*$C$368/4</f>
        <v>1.3958887499999997</v>
      </c>
      <c r="CS368" s="87">
        <f>(BS!CR112)*$C$368/4</f>
        <v>0.40629999999999988</v>
      </c>
      <c r="CT368" s="87">
        <f>(BS!CS112)*$C$368/4</f>
        <v>0.30886374999999983</v>
      </c>
      <c r="CU368" s="87">
        <f>(BS!CT112)*$C$368/4</f>
        <v>0.62712124999999985</v>
      </c>
      <c r="CV368" s="87">
        <f>(BS!CU112)*$C$368/4</f>
        <v>0.47620437499999979</v>
      </c>
      <c r="CW368" s="87">
        <f>(BS!CV112)*$C$368/4</f>
        <v>3.0902887500000005</v>
      </c>
      <c r="CX368" s="87">
        <f>(BS!CW112)*$C$368/4</f>
        <v>0.67150499999999991</v>
      </c>
      <c r="CY368" s="87">
        <f>(BS!CX112)*$C$368/4</f>
        <v>1.025278125</v>
      </c>
      <c r="CZ368" s="87">
        <f>(BS!CY112)*$C$368/4</f>
        <v>0.90626937499999993</v>
      </c>
      <c r="DA368" s="87">
        <f ca="1">(BS!CZ112)*$C$368/4</f>
        <v>0.81768139775469817</v>
      </c>
      <c r="DB368" s="87">
        <f ca="1">(BS!DA112)*$C$368/4</f>
        <v>0.83161641886625959</v>
      </c>
      <c r="DC368" s="87">
        <f ca="1">(BS!DB112)*$C$368/4</f>
        <v>0.59241403682546179</v>
      </c>
    </row>
    <row r="369" spans="1:107">
      <c r="A369" s="15"/>
      <c r="B369" s="1014"/>
      <c r="C369" s="15"/>
      <c r="D369" s="15"/>
      <c r="E369" s="15"/>
      <c r="F369" s="15"/>
      <c r="G369" s="15"/>
      <c r="H369" s="15"/>
      <c r="I369" s="15"/>
      <c r="J369" s="15"/>
      <c r="K369" s="15"/>
      <c r="L369" s="15"/>
      <c r="M369" s="15"/>
      <c r="N369" s="15"/>
      <c r="O369" s="15"/>
      <c r="P369" s="15"/>
      <c r="Q369" s="15"/>
      <c r="R369" s="15"/>
      <c r="S369" s="15"/>
      <c r="T369" s="15"/>
      <c r="U369" s="15"/>
      <c r="V369" s="15"/>
      <c r="W369" s="15"/>
      <c r="X369" s="15"/>
      <c r="Y369" s="15"/>
      <c r="Z369" s="15"/>
      <c r="AA369" s="15"/>
      <c r="AB369" s="15"/>
      <c r="AC369" s="15"/>
      <c r="AD369" s="15"/>
      <c r="AE369" s="15"/>
      <c r="AF369" s="15"/>
      <c r="AG369" s="15"/>
      <c r="AH369" s="15"/>
      <c r="AI369" s="15"/>
      <c r="AJ369" s="15"/>
      <c r="AK369" s="15"/>
      <c r="AL369" s="15"/>
      <c r="AM369" s="15"/>
      <c r="AN369" s="15"/>
      <c r="AO369" s="15"/>
      <c r="AP369" s="15"/>
      <c r="AQ369" s="15"/>
      <c r="AR369" s="15"/>
      <c r="AS369" s="15"/>
      <c r="AT369" s="15"/>
      <c r="AU369" s="15"/>
      <c r="AV369" s="15"/>
      <c r="AW369" s="15"/>
      <c r="AX369" s="15"/>
      <c r="AY369" s="15"/>
      <c r="AZ369" s="15"/>
      <c r="BA369" s="15"/>
      <c r="BB369" s="15"/>
      <c r="BC369" s="15"/>
      <c r="BD369" s="15"/>
      <c r="BE369" s="15"/>
      <c r="BF369" s="15"/>
      <c r="BG369" s="15"/>
      <c r="BH369" s="15"/>
      <c r="BI369" s="15"/>
      <c r="BJ369" s="15"/>
      <c r="BK369" s="15"/>
      <c r="BL369" s="15"/>
      <c r="BM369" s="15"/>
      <c r="BN369" s="15"/>
      <c r="BO369" s="15"/>
      <c r="BP369" s="15"/>
      <c r="BQ369" s="15"/>
      <c r="BR369" s="15"/>
      <c r="BS369" s="15"/>
      <c r="BT369" s="15"/>
      <c r="BU369" s="15"/>
      <c r="BV369" s="15"/>
      <c r="BW369" s="15"/>
      <c r="BX369" s="15"/>
      <c r="BY369" s="15"/>
      <c r="BZ369" s="15"/>
      <c r="CA369" s="15"/>
      <c r="CB369" s="15"/>
      <c r="CC369" s="15"/>
      <c r="CD369" s="15"/>
      <c r="CE369" s="15"/>
      <c r="CF369" s="15"/>
      <c r="CG369" s="15"/>
      <c r="CH369" s="15"/>
      <c r="CI369" s="15"/>
      <c r="CJ369" s="15"/>
      <c r="CK369" s="15"/>
      <c r="CL369" s="15"/>
      <c r="CM369" s="15"/>
      <c r="CN369" s="15"/>
      <c r="CO369" s="15"/>
      <c r="CP369" s="15"/>
      <c r="CQ369" s="15"/>
      <c r="CR369" s="15"/>
      <c r="CS369" s="15"/>
      <c r="CT369" s="15"/>
      <c r="CU369" s="15"/>
      <c r="CV369" s="15"/>
      <c r="CW369" s="15"/>
      <c r="CX369" s="15"/>
      <c r="CY369" s="15"/>
      <c r="CZ369" s="15"/>
      <c r="DA369" s="15"/>
      <c r="DB369" s="15"/>
      <c r="DC369" s="15"/>
    </row>
    <row r="370" spans="1:107">
      <c r="A370" s="15"/>
      <c r="B370" s="2179" t="s">
        <v>2011</v>
      </c>
      <c r="C370" s="1018"/>
      <c r="D370" s="15"/>
      <c r="E370" s="809"/>
      <c r="F370" s="809"/>
      <c r="G370" s="809"/>
      <c r="H370" s="809"/>
      <c r="I370" s="809"/>
      <c r="J370" s="809"/>
      <c r="K370" s="809"/>
      <c r="L370" s="809"/>
      <c r="M370" s="809"/>
      <c r="N370" s="87"/>
      <c r="O370" s="87"/>
      <c r="P370" s="87"/>
      <c r="Q370" s="87"/>
      <c r="R370" s="87"/>
      <c r="S370" s="87"/>
      <c r="T370" s="87"/>
      <c r="U370" s="87"/>
      <c r="V370" s="87"/>
      <c r="W370" s="87"/>
      <c r="X370" s="87">
        <f ca="1">(BS!W114)*$C$368</f>
        <v>28.669203672402318</v>
      </c>
      <c r="Y370" s="87">
        <f ca="1">(BS!X114)*$C$368</f>
        <v>30.148386830750983</v>
      </c>
      <c r="Z370" s="87">
        <f ca="1">(BS!Y114)*$C$368</f>
        <v>31.641904526974759</v>
      </c>
      <c r="AA370" s="87">
        <f ca="1">(BS!Z114)*$C$368</f>
        <v>33.150756280113725</v>
      </c>
      <c r="AB370" s="87">
        <f ca="1">(BS!AA114)*$C$368</f>
        <v>28.9232075</v>
      </c>
      <c r="AC370" s="87">
        <f ca="1">(BS!AB114)*$C$368</f>
        <v>28.916247500000001</v>
      </c>
      <c r="AD370" s="87">
        <f ca="1">(BS!AC114)*$C$368</f>
        <v>28.909287500000001</v>
      </c>
      <c r="AE370" s="26"/>
      <c r="AF370" s="54">
        <f>IS!AL54</f>
        <v>0</v>
      </c>
      <c r="AG370" s="54">
        <f>IS!AM54</f>
        <v>0</v>
      </c>
      <c r="AH370" s="54">
        <f>IS!AN54</f>
        <v>0</v>
      </c>
      <c r="AI370" s="54">
        <f>IS!AO54</f>
        <v>0</v>
      </c>
      <c r="AJ370" s="54">
        <f>IS!AQ54</f>
        <v>0</v>
      </c>
      <c r="AK370" s="54">
        <f>IS!AR54</f>
        <v>0</v>
      </c>
      <c r="AL370" s="54">
        <f>IS!AS54</f>
        <v>0</v>
      </c>
      <c r="AM370" s="54">
        <f>IS!AT54</f>
        <v>0</v>
      </c>
      <c r="AN370" s="54">
        <f>IS!AV54</f>
        <v>0</v>
      </c>
      <c r="AO370" s="54">
        <f>IS!AW54</f>
        <v>0</v>
      </c>
      <c r="AP370" s="54">
        <f>IS!AX54</f>
        <v>0</v>
      </c>
      <c r="AQ370" s="54">
        <f>IS!AY54</f>
        <v>0</v>
      </c>
      <c r="AR370" s="54">
        <f>IS!BA54</f>
        <v>0</v>
      </c>
      <c r="AS370" s="54">
        <f>IS!BB54</f>
        <v>0</v>
      </c>
      <c r="AT370" s="54">
        <f>IS!BC54</f>
        <v>0</v>
      </c>
      <c r="AU370" s="54">
        <f>IS!BD54</f>
        <v>0</v>
      </c>
      <c r="AV370" s="54">
        <f>IS!BF54</f>
        <v>0</v>
      </c>
      <c r="AW370" s="54">
        <f>IS!BG54</f>
        <v>0</v>
      </c>
      <c r="AX370" s="54">
        <f>IS!BH54</f>
        <v>0</v>
      </c>
      <c r="AY370" s="54">
        <f>IS!BI54</f>
        <v>0</v>
      </c>
      <c r="AZ370" s="54">
        <f>IS!BK54</f>
        <v>0</v>
      </c>
      <c r="BA370" s="54">
        <f>IS!BL54</f>
        <v>0</v>
      </c>
      <c r="BB370" s="54">
        <f>IS!BM54</f>
        <v>0</v>
      </c>
      <c r="BC370" s="54">
        <f>IS!BN54</f>
        <v>0</v>
      </c>
      <c r="BD370" s="54">
        <f>IS!BP54</f>
        <v>0</v>
      </c>
      <c r="BE370" s="54">
        <f>IS!BQ54</f>
        <v>0</v>
      </c>
      <c r="BF370" s="54">
        <f>IS!BR54</f>
        <v>0</v>
      </c>
      <c r="BG370" s="54">
        <f>IS!BS54</f>
        <v>0</v>
      </c>
      <c r="BH370" s="54">
        <f>IS!BU54</f>
        <v>0</v>
      </c>
      <c r="BI370" s="54">
        <f>IS!BV54</f>
        <v>0</v>
      </c>
      <c r="BJ370" s="54">
        <f>IS!BW54</f>
        <v>0</v>
      </c>
      <c r="BK370" s="54">
        <f>IS!BX54</f>
        <v>0</v>
      </c>
      <c r="BL370" s="54">
        <f>IS!BZ54</f>
        <v>0</v>
      </c>
      <c r="BM370" s="54">
        <f>IS!CA54</f>
        <v>0</v>
      </c>
      <c r="BN370" s="54">
        <f>IS!CB54</f>
        <v>0</v>
      </c>
      <c r="BO370" s="54">
        <f>IS!CC54</f>
        <v>0</v>
      </c>
      <c r="BP370" s="26">
        <f>IS!CE54</f>
        <v>0</v>
      </c>
      <c r="BQ370" s="26">
        <f>IS!CF54</f>
        <v>0</v>
      </c>
      <c r="BR370" s="26">
        <f>IS!CG54</f>
        <v>0</v>
      </c>
      <c r="BS370" s="26">
        <f>IS!CH54</f>
        <v>0</v>
      </c>
      <c r="BT370" s="26">
        <f>IS!CJ54</f>
        <v>0</v>
      </c>
      <c r="BU370" s="26">
        <f>IS!CK54</f>
        <v>0</v>
      </c>
      <c r="BV370" s="26">
        <f>IS!CL54</f>
        <v>0</v>
      </c>
      <c r="BW370" s="26">
        <f>IS!CM54</f>
        <v>0</v>
      </c>
      <c r="BX370" s="26">
        <f>IS!CO54</f>
        <v>0</v>
      </c>
      <c r="BY370" s="26">
        <f>IS!CP54</f>
        <v>0</v>
      </c>
      <c r="BZ370" s="26">
        <f>IS!CQ54</f>
        <v>0</v>
      </c>
      <c r="CA370" s="26">
        <f>IS!CR54</f>
        <v>0</v>
      </c>
      <c r="CB370" s="26">
        <f>IS!CT54</f>
        <v>0</v>
      </c>
      <c r="CC370" s="26">
        <f>IS!CU54</f>
        <v>0</v>
      </c>
      <c r="CD370" s="26">
        <f>IS!CV54</f>
        <v>0</v>
      </c>
      <c r="CE370" s="26">
        <f>IS!CW54</f>
        <v>0</v>
      </c>
      <c r="CF370" s="26">
        <f>IS!CX54</f>
        <v>0</v>
      </c>
      <c r="CG370" s="26">
        <f>IS!CY54</f>
        <v>0</v>
      </c>
      <c r="CH370" s="26">
        <f>IS!CZ54</f>
        <v>0</v>
      </c>
      <c r="CI370" s="26">
        <f>IS!DA54</f>
        <v>0</v>
      </c>
      <c r="CJ370" s="26"/>
      <c r="CK370" s="26"/>
      <c r="CL370" s="26"/>
      <c r="CM370" s="26"/>
      <c r="CN370" s="26"/>
      <c r="CO370" s="26"/>
      <c r="CP370" s="26"/>
      <c r="CQ370" s="26"/>
      <c r="CR370" s="2180">
        <f>6.8/4</f>
        <v>1.7</v>
      </c>
      <c r="CS370" s="2180"/>
      <c r="CT370" s="2180"/>
      <c r="CU370" s="2180"/>
      <c r="CV370" s="2180"/>
      <c r="CW370" s="2180"/>
      <c r="CX370" s="2180"/>
      <c r="CY370" s="2180"/>
      <c r="CZ370" s="2180"/>
      <c r="DA370" s="2180"/>
      <c r="DB370" s="2180"/>
      <c r="DC370" s="2180"/>
    </row>
    <row r="371" spans="1:107">
      <c r="A371" s="15"/>
      <c r="B371" s="1014"/>
      <c r="C371" s="15"/>
      <c r="D371" s="15"/>
      <c r="E371" s="15"/>
      <c r="F371" s="15"/>
      <c r="G371" s="15"/>
      <c r="H371" s="15"/>
      <c r="I371" s="15"/>
      <c r="J371" s="15"/>
      <c r="K371" s="15"/>
      <c r="L371" s="15"/>
      <c r="M371" s="15"/>
      <c r="N371" s="15"/>
      <c r="O371" s="15"/>
      <c r="P371" s="15"/>
      <c r="Q371" s="15"/>
      <c r="R371" s="15"/>
      <c r="S371" s="15"/>
      <c r="T371" s="15"/>
      <c r="U371" s="15"/>
      <c r="V371" s="15"/>
      <c r="W371" s="15"/>
      <c r="X371" s="15"/>
      <c r="Y371" s="15"/>
      <c r="Z371" s="15"/>
      <c r="AA371" s="15"/>
      <c r="AB371" s="15"/>
      <c r="AC371" s="15"/>
      <c r="AD371" s="15"/>
      <c r="AE371" s="15"/>
      <c r="AF371" s="15"/>
      <c r="AG371" s="15"/>
      <c r="AH371" s="15"/>
      <c r="AI371" s="15"/>
      <c r="AJ371" s="15"/>
      <c r="AK371" s="15"/>
      <c r="AL371" s="15"/>
      <c r="AM371" s="15"/>
      <c r="AN371" s="15"/>
      <c r="AO371" s="15"/>
      <c r="AP371" s="15"/>
      <c r="AQ371" s="15"/>
      <c r="AR371" s="15"/>
      <c r="AS371" s="15"/>
      <c r="AT371" s="15"/>
      <c r="AU371" s="15"/>
      <c r="AV371" s="15"/>
      <c r="AW371" s="15"/>
      <c r="AX371" s="15"/>
      <c r="AY371" s="15"/>
      <c r="AZ371" s="15"/>
      <c r="BA371" s="15"/>
      <c r="BB371" s="15"/>
      <c r="BC371" s="15"/>
      <c r="BD371" s="15"/>
      <c r="BE371" s="15"/>
      <c r="BF371" s="15"/>
      <c r="BG371" s="15"/>
      <c r="BH371" s="15"/>
      <c r="BI371" s="15"/>
      <c r="BJ371" s="15"/>
      <c r="BK371" s="15"/>
      <c r="BL371" s="15"/>
      <c r="BM371" s="15"/>
      <c r="BN371" s="15"/>
      <c r="BO371" s="15"/>
      <c r="BP371" s="15"/>
      <c r="BQ371" s="15"/>
      <c r="BR371" s="15"/>
      <c r="BS371" s="15"/>
      <c r="BT371" s="15"/>
      <c r="BU371" s="15"/>
      <c r="BV371" s="15"/>
      <c r="BW371" s="15"/>
      <c r="BX371" s="15"/>
      <c r="BY371" s="15"/>
      <c r="BZ371" s="15"/>
      <c r="CA371" s="15"/>
      <c r="CB371" s="15"/>
      <c r="CC371" s="15"/>
      <c r="CD371" s="15"/>
      <c r="CE371" s="15"/>
      <c r="CF371" s="15"/>
      <c r="CG371" s="15"/>
      <c r="CH371" s="15"/>
      <c r="CI371" s="15"/>
      <c r="CJ371" s="15"/>
      <c r="CK371" s="15"/>
      <c r="CL371" s="15"/>
      <c r="CM371" s="15"/>
      <c r="CN371" s="15"/>
      <c r="CO371" s="15"/>
      <c r="CP371" s="15"/>
      <c r="CQ371" s="15"/>
      <c r="CR371" s="15"/>
      <c r="CS371" s="15"/>
      <c r="CT371" s="15"/>
      <c r="CU371" s="15"/>
      <c r="CV371" s="15"/>
      <c r="CW371" s="15"/>
      <c r="CX371" s="15"/>
      <c r="CY371" s="15"/>
      <c r="CZ371" s="15"/>
      <c r="DA371" s="15"/>
      <c r="DB371" s="15"/>
      <c r="DC371" s="15"/>
    </row>
    <row r="372" spans="1:107">
      <c r="A372" s="15"/>
      <c r="B372" s="1015" t="s">
        <v>873</v>
      </c>
      <c r="C372" s="15"/>
      <c r="D372" s="15"/>
      <c r="E372" s="195">
        <f t="shared" ref="E372:Z372" si="788">E313-E368</f>
        <v>12.681000000000004</v>
      </c>
      <c r="F372" s="195">
        <f t="shared" si="788"/>
        <v>33.154000000000003</v>
      </c>
      <c r="G372" s="195">
        <f t="shared" si="788"/>
        <v>34.1</v>
      </c>
      <c r="H372" s="195">
        <f t="shared" si="788"/>
        <v>20.216000000000001</v>
      </c>
      <c r="I372" s="195">
        <f t="shared" si="788"/>
        <v>10.205</v>
      </c>
      <c r="J372" s="195">
        <f t="shared" si="788"/>
        <v>5.2959999999999994</v>
      </c>
      <c r="K372" s="195">
        <f t="shared" si="788"/>
        <v>8.2479999999999993</v>
      </c>
      <c r="L372" s="195">
        <f t="shared" si="788"/>
        <v>11.927</v>
      </c>
      <c r="M372" s="195">
        <f t="shared" si="788"/>
        <v>54.26400000000001</v>
      </c>
      <c r="N372" s="195">
        <f t="shared" si="788"/>
        <v>71.847999999999999</v>
      </c>
      <c r="O372" s="195">
        <f t="shared" si="788"/>
        <v>138.96000000000004</v>
      </c>
      <c r="P372" s="195">
        <f t="shared" si="788"/>
        <v>179.023</v>
      </c>
      <c r="Q372" s="195">
        <f t="shared" si="788"/>
        <v>196.86199999999997</v>
      </c>
      <c r="R372" s="195">
        <f t="shared" si="788"/>
        <v>245.40499999999997</v>
      </c>
      <c r="S372" s="195">
        <f t="shared" si="788"/>
        <v>267.66199999999998</v>
      </c>
      <c r="T372" s="195">
        <f t="shared" si="788"/>
        <v>295.47399999999993</v>
      </c>
      <c r="U372" s="195">
        <f t="shared" si="788"/>
        <v>389.41782624999996</v>
      </c>
      <c r="V372" s="195">
        <f t="shared" ca="1" si="788"/>
        <v>464.96038399838721</v>
      </c>
      <c r="W372" s="195">
        <f t="shared" ref="W372" ca="1" si="789">W313-W368</f>
        <v>469.38150462885869</v>
      </c>
      <c r="X372" s="195">
        <f t="shared" ca="1" si="788"/>
        <v>490.92525232695078</v>
      </c>
      <c r="Y372" s="195">
        <f t="shared" ca="1" si="788"/>
        <v>526.2578607592601</v>
      </c>
      <c r="Z372" s="195">
        <f t="shared" ca="1" si="788"/>
        <v>560.84919746475498</v>
      </c>
      <c r="AA372" s="195">
        <f t="shared" ref="AA372:AD372" ca="1" si="790">AA313-AA368</f>
        <v>577.60209232333284</v>
      </c>
      <c r="AB372" s="195">
        <f t="shared" ca="1" si="790"/>
        <v>577.89492960040161</v>
      </c>
      <c r="AC372" s="195">
        <f t="shared" ca="1" si="790"/>
        <v>578.04128701488003</v>
      </c>
      <c r="AD372" s="195">
        <f t="shared" ca="1" si="790"/>
        <v>578.00502748442614</v>
      </c>
      <c r="AE372" s="14"/>
      <c r="AF372" s="195">
        <f t="shared" ref="AF372:BK372" si="791">AF313-AF368</f>
        <v>4.0540000000000012</v>
      </c>
      <c r="AG372" s="195">
        <f t="shared" si="791"/>
        <v>2.2939999999999996</v>
      </c>
      <c r="AH372" s="195">
        <f t="shared" si="791"/>
        <v>2.1349999999999998</v>
      </c>
      <c r="AI372" s="195">
        <f t="shared" si="791"/>
        <v>4.1980000000000048</v>
      </c>
      <c r="AJ372" s="195">
        <f t="shared" si="791"/>
        <v>6.5710000000000006</v>
      </c>
      <c r="AK372" s="195">
        <f t="shared" si="791"/>
        <v>7.9130000000000003</v>
      </c>
      <c r="AL372" s="195">
        <f t="shared" si="791"/>
        <v>8.9870000000000001</v>
      </c>
      <c r="AM372" s="195">
        <f t="shared" si="791"/>
        <v>9.6829999999999998</v>
      </c>
      <c r="AN372" s="195">
        <f t="shared" si="791"/>
        <v>9.1769999999999996</v>
      </c>
      <c r="AO372" s="195">
        <f t="shared" si="791"/>
        <v>8.2720000000000002</v>
      </c>
      <c r="AP372" s="195">
        <f t="shared" si="791"/>
        <v>8.0009999999999994</v>
      </c>
      <c r="AQ372" s="195">
        <f t="shared" si="791"/>
        <v>8.6499999999999986</v>
      </c>
      <c r="AR372" s="195">
        <f t="shared" si="791"/>
        <v>4.742</v>
      </c>
      <c r="AS372" s="195">
        <f t="shared" si="791"/>
        <v>4.9610000000000003</v>
      </c>
      <c r="AT372" s="195">
        <f t="shared" si="791"/>
        <v>5.4319999999999995</v>
      </c>
      <c r="AU372" s="195">
        <f t="shared" si="791"/>
        <v>5.0810000000000004</v>
      </c>
      <c r="AV372" s="195">
        <f t="shared" si="791"/>
        <v>3.8879999999999999</v>
      </c>
      <c r="AW372" s="195">
        <f t="shared" si="791"/>
        <v>2.0409999999999999</v>
      </c>
      <c r="AX372" s="195">
        <f t="shared" si="791"/>
        <v>2.0169999999999999</v>
      </c>
      <c r="AY372" s="195">
        <f t="shared" si="791"/>
        <v>2.2589999999999999</v>
      </c>
      <c r="AZ372" s="195">
        <f t="shared" si="791"/>
        <v>1.792</v>
      </c>
      <c r="BA372" s="195">
        <f t="shared" si="791"/>
        <v>1.0430000000000001</v>
      </c>
      <c r="BB372" s="195">
        <f t="shared" si="791"/>
        <v>0.85299999999999998</v>
      </c>
      <c r="BC372" s="195">
        <f t="shared" si="791"/>
        <v>1.6080000000000001</v>
      </c>
      <c r="BD372" s="195">
        <f t="shared" si="791"/>
        <v>2.2569999999999997</v>
      </c>
      <c r="BE372" s="195">
        <f t="shared" si="791"/>
        <v>1.835</v>
      </c>
      <c r="BF372" s="195">
        <f t="shared" si="791"/>
        <v>1.8270000000000002</v>
      </c>
      <c r="BG372" s="195">
        <f t="shared" si="791"/>
        <v>2.3289999999999997</v>
      </c>
      <c r="BH372" s="195">
        <f t="shared" si="791"/>
        <v>1.5130000000000001</v>
      </c>
      <c r="BI372" s="195">
        <f t="shared" si="791"/>
        <v>1.0330000000000004</v>
      </c>
      <c r="BJ372" s="195">
        <f t="shared" si="791"/>
        <v>2.3529999999999998</v>
      </c>
      <c r="BK372" s="195">
        <f t="shared" si="791"/>
        <v>7.0279999999999996</v>
      </c>
      <c r="BL372" s="195">
        <f t="shared" ref="BL372:CQ372" si="792">BL313-BL368</f>
        <v>11.754000000000001</v>
      </c>
      <c r="BM372" s="195">
        <f t="shared" si="792"/>
        <v>11.902000000000001</v>
      </c>
      <c r="BN372" s="195">
        <f t="shared" si="792"/>
        <v>15.229999999999999</v>
      </c>
      <c r="BO372" s="195">
        <f t="shared" si="792"/>
        <v>15.378</v>
      </c>
      <c r="BP372" s="195">
        <f t="shared" si="792"/>
        <v>12.535</v>
      </c>
      <c r="BQ372" s="195">
        <f t="shared" si="792"/>
        <v>15.232000000000001</v>
      </c>
      <c r="BR372" s="195">
        <f t="shared" si="792"/>
        <v>21.902999999999999</v>
      </c>
      <c r="BS372" s="195">
        <f t="shared" si="792"/>
        <v>22.178000000000001</v>
      </c>
      <c r="BT372" s="195">
        <f t="shared" si="792"/>
        <v>25.169</v>
      </c>
      <c r="BU372" s="195">
        <f t="shared" si="792"/>
        <v>37.124000000000002</v>
      </c>
      <c r="BV372" s="195">
        <f t="shared" si="792"/>
        <v>38.052999999999997</v>
      </c>
      <c r="BW372" s="195">
        <f t="shared" si="792"/>
        <v>38.614000000000004</v>
      </c>
      <c r="BX372" s="195">
        <f t="shared" si="792"/>
        <v>37.145999999999994</v>
      </c>
      <c r="BY372" s="195">
        <f t="shared" si="792"/>
        <v>37.045000000000002</v>
      </c>
      <c r="BZ372" s="195">
        <f t="shared" si="792"/>
        <v>50.434999999999995</v>
      </c>
      <c r="CA372" s="195">
        <f t="shared" si="792"/>
        <v>54.397000000000006</v>
      </c>
      <c r="CB372" s="195">
        <f t="shared" si="792"/>
        <v>52.126999999999995</v>
      </c>
      <c r="CC372" s="195">
        <f t="shared" si="792"/>
        <v>45.823999999999998</v>
      </c>
      <c r="CD372" s="195">
        <f t="shared" si="792"/>
        <v>49.152999999999999</v>
      </c>
      <c r="CE372" s="195">
        <f t="shared" si="792"/>
        <v>49.757999999999996</v>
      </c>
      <c r="CF372" s="195">
        <f t="shared" si="792"/>
        <v>59.584000000000003</v>
      </c>
      <c r="CG372" s="195">
        <f t="shared" si="792"/>
        <v>60.083999999999996</v>
      </c>
      <c r="CH372" s="195">
        <f t="shared" si="792"/>
        <v>61.027999999999999</v>
      </c>
      <c r="CI372" s="195">
        <f t="shared" si="792"/>
        <v>64.709000000000003</v>
      </c>
      <c r="CJ372" s="195">
        <f t="shared" si="792"/>
        <v>67.385999999999996</v>
      </c>
      <c r="CK372" s="195">
        <f t="shared" si="792"/>
        <v>66.13</v>
      </c>
      <c r="CL372" s="195">
        <f t="shared" si="792"/>
        <v>63.4</v>
      </c>
      <c r="CM372" s="195">
        <f t="shared" si="792"/>
        <v>70.745999999999995</v>
      </c>
      <c r="CN372" s="195">
        <f t="shared" si="792"/>
        <v>68.271000000000001</v>
      </c>
      <c r="CO372" s="195">
        <f t="shared" si="792"/>
        <v>73.574999999999989</v>
      </c>
      <c r="CP372" s="195">
        <f t="shared" si="792"/>
        <v>75.335000000000008</v>
      </c>
      <c r="CQ372" s="195">
        <f t="shared" si="792"/>
        <v>78.292999999999992</v>
      </c>
      <c r="CR372" s="195">
        <f t="shared" ref="CR372:CY372" si="793">CR313-CR368</f>
        <v>99.467111250000002</v>
      </c>
      <c r="CS372" s="195">
        <f t="shared" si="793"/>
        <v>99.925699999999992</v>
      </c>
      <c r="CT372" s="195">
        <f t="shared" si="793"/>
        <v>91.891136250000002</v>
      </c>
      <c r="CU372" s="195">
        <f t="shared" si="793"/>
        <v>98.133878749999994</v>
      </c>
      <c r="CV372" s="195">
        <f t="shared" si="793"/>
        <v>111.207795625</v>
      </c>
      <c r="CW372" s="195">
        <f t="shared" si="793"/>
        <v>115.95171125</v>
      </c>
      <c r="CX372" s="195">
        <f t="shared" ca="1" si="793"/>
        <v>120.14495996794361</v>
      </c>
      <c r="CY372" s="195">
        <f t="shared" ca="1" si="793"/>
        <v>117.65591715544357</v>
      </c>
      <c r="CZ372" s="195">
        <f t="shared" ref="CZ372:DC372" ca="1" si="794">CZ313-CZ368</f>
        <v>117.22610208932629</v>
      </c>
      <c r="DA372" s="195">
        <f t="shared" ca="1" si="794"/>
        <v>117.31469006657159</v>
      </c>
      <c r="DB372" s="195">
        <f t="shared" ca="1" si="794"/>
        <v>117.30075504546002</v>
      </c>
      <c r="DC372" s="195">
        <f t="shared" ca="1" si="794"/>
        <v>117.53995742750082</v>
      </c>
    </row>
    <row r="373" spans="1:107">
      <c r="A373" s="15"/>
      <c r="B373" s="15"/>
      <c r="C373" s="15"/>
      <c r="D373" s="15"/>
      <c r="E373" s="15"/>
      <c r="F373" s="15"/>
      <c r="G373" s="15"/>
      <c r="H373" s="15"/>
      <c r="I373" s="15"/>
      <c r="J373" s="15"/>
      <c r="K373" s="15"/>
      <c r="L373" s="15"/>
      <c r="M373" s="15"/>
      <c r="N373" s="1016"/>
      <c r="O373" s="15"/>
      <c r="P373" s="771"/>
      <c r="Q373" s="771"/>
      <c r="R373" s="771"/>
      <c r="S373" s="771"/>
      <c r="T373" s="771"/>
      <c r="U373" s="771"/>
      <c r="V373" s="771"/>
      <c r="W373" s="771"/>
      <c r="X373" s="15"/>
      <c r="Y373" s="15"/>
      <c r="Z373" s="15"/>
      <c r="AA373" s="15"/>
      <c r="AB373" s="15"/>
      <c r="AC373" s="15"/>
      <c r="AD373" s="15"/>
      <c r="AE373" s="15"/>
      <c r="AF373" s="15"/>
      <c r="AG373" s="15"/>
      <c r="AH373" s="15"/>
      <c r="AI373" s="15"/>
      <c r="AJ373" s="15"/>
      <c r="AK373" s="15"/>
      <c r="AL373" s="15"/>
      <c r="AM373" s="15"/>
      <c r="AN373" s="15"/>
      <c r="AO373" s="15"/>
      <c r="AP373" s="15"/>
      <c r="AQ373" s="15"/>
      <c r="AR373" s="15"/>
      <c r="AS373" s="15"/>
      <c r="AT373" s="15"/>
      <c r="AU373" s="15"/>
      <c r="AV373" s="15"/>
      <c r="AW373" s="15"/>
      <c r="AX373" s="15"/>
      <c r="AY373" s="15"/>
      <c r="AZ373" s="15"/>
      <c r="BA373" s="15"/>
      <c r="BB373" s="15"/>
      <c r="BC373" s="15"/>
      <c r="BD373" s="15"/>
      <c r="BE373" s="15"/>
      <c r="BF373" s="15"/>
      <c r="BG373" s="15"/>
      <c r="BH373" s="15"/>
      <c r="BI373" s="15"/>
      <c r="BJ373" s="15"/>
      <c r="BK373" s="15"/>
      <c r="BL373" s="15"/>
      <c r="BM373" s="15"/>
      <c r="BN373" s="15"/>
      <c r="BO373" s="15"/>
      <c r="BP373" s="15"/>
      <c r="BQ373" s="15"/>
      <c r="BR373" s="15"/>
      <c r="BS373" s="15"/>
      <c r="BT373" s="15"/>
      <c r="BU373" s="15"/>
      <c r="BV373" s="15"/>
      <c r="BW373" s="15"/>
      <c r="BX373" s="15"/>
      <c r="BY373" s="15"/>
      <c r="BZ373" s="15"/>
      <c r="CA373" s="15"/>
      <c r="CB373" s="15"/>
      <c r="CC373" s="15"/>
      <c r="CD373" s="15"/>
      <c r="CE373" s="15"/>
      <c r="CF373" s="15"/>
      <c r="CG373" s="15"/>
      <c r="CH373" s="15"/>
      <c r="CI373" s="15"/>
      <c r="CJ373" s="15"/>
      <c r="CK373" s="15"/>
      <c r="CL373" s="15"/>
      <c r="CM373" s="15"/>
      <c r="CN373" s="15"/>
      <c r="CO373" s="15"/>
      <c r="CP373" s="15"/>
      <c r="CQ373" s="15"/>
      <c r="CR373" s="15"/>
      <c r="CS373" s="15"/>
      <c r="CT373" s="15"/>
      <c r="CU373" s="15"/>
      <c r="CV373" s="15"/>
      <c r="CW373" s="15"/>
      <c r="CX373" s="15"/>
      <c r="CY373" s="15"/>
      <c r="CZ373" s="15"/>
      <c r="DA373" s="15"/>
      <c r="DB373" s="15"/>
      <c r="DC373" s="15"/>
    </row>
  </sheetData>
  <pageMargins left="0.7" right="0.7" top="0.75" bottom="0.75" header="0.3" footer="0.3"/>
  <pageSetup orientation="portrait" r:id="rId1"/>
  <drawing r:id="rId2"/>
  <legacyDrawing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C2:J35"/>
  <sheetViews>
    <sheetView showGridLines="0" view="pageBreakPreview" zoomScaleNormal="100" zoomScaleSheetLayoutView="100" workbookViewId="0"/>
  </sheetViews>
  <sheetFormatPr defaultRowHeight="11.25"/>
  <cols>
    <col min="1" max="2" width="9.140625" style="2150"/>
    <col min="3" max="3" width="31" style="2150" bestFit="1" customWidth="1"/>
    <col min="4" max="16384" width="9.140625" style="2150"/>
  </cols>
  <sheetData>
    <row r="2" spans="3:6">
      <c r="C2" s="518" t="s">
        <v>1544</v>
      </c>
      <c r="D2" s="519">
        <v>2</v>
      </c>
      <c r="E2" s="520"/>
    </row>
    <row r="3" spans="3:6">
      <c r="C3" s="521" t="s">
        <v>1545</v>
      </c>
      <c r="D3" s="522" t="s">
        <v>1546</v>
      </c>
      <c r="E3" s="523" t="s">
        <v>1547</v>
      </c>
    </row>
    <row r="6" spans="3:6">
      <c r="C6" s="2150" t="s">
        <v>1079</v>
      </c>
      <c r="D6" s="2169">
        <f ca="1">Capital!$CY$309</f>
        <v>10080.419</v>
      </c>
    </row>
    <row r="7" spans="3:6">
      <c r="C7" s="2150" t="s">
        <v>1086</v>
      </c>
      <c r="D7" s="2169">
        <f>BS!$CY$8</f>
        <v>1412.5170000000001</v>
      </c>
    </row>
    <row r="9" spans="3:6">
      <c r="C9" s="2150" t="s">
        <v>1923</v>
      </c>
      <c r="D9" s="2170">
        <f>+IS!DQ82</f>
        <v>79.128</v>
      </c>
      <c r="E9" s="2151"/>
      <c r="F9" s="2151"/>
    </row>
    <row r="10" spans="3:6">
      <c r="C10" s="2150" t="s">
        <v>1917</v>
      </c>
      <c r="D10" s="2154"/>
      <c r="E10" s="2153"/>
      <c r="F10" s="2153"/>
    </row>
    <row r="11" spans="3:6">
      <c r="D11" s="2152"/>
      <c r="E11" s="2153"/>
      <c r="F11" s="2153"/>
    </row>
    <row r="12" spans="3:6">
      <c r="C12" s="2150" t="s">
        <v>1496</v>
      </c>
      <c r="D12" s="2155">
        <f ca="1">+D6-D7</f>
        <v>8667.902</v>
      </c>
    </row>
    <row r="14" spans="3:6">
      <c r="D14" s="2171">
        <v>1</v>
      </c>
      <c r="E14" s="2171">
        <v>2</v>
      </c>
      <c r="F14" s="2171">
        <v>3</v>
      </c>
    </row>
    <row r="15" spans="3:6">
      <c r="C15" s="2156" t="s">
        <v>1918</v>
      </c>
      <c r="D15" s="2157" t="s">
        <v>703</v>
      </c>
      <c r="E15" s="2157" t="s">
        <v>702</v>
      </c>
      <c r="F15" s="2158" t="s">
        <v>1919</v>
      </c>
    </row>
    <row r="16" spans="3:6">
      <c r="D16" s="2159"/>
      <c r="E16" s="2159"/>
      <c r="F16" s="2159"/>
    </row>
    <row r="17" spans="3:10">
      <c r="C17" s="2156" t="s">
        <v>2629</v>
      </c>
      <c r="D17" s="2157"/>
      <c r="E17" s="2157"/>
      <c r="F17" s="2158"/>
    </row>
    <row r="19" spans="3:10">
      <c r="C19" s="2160" t="s">
        <v>2628</v>
      </c>
      <c r="D19" s="2159"/>
      <c r="E19" s="2159"/>
      <c r="F19" s="2159"/>
    </row>
    <row r="20" spans="3:10">
      <c r="C20" s="2168" t="s">
        <v>2627</v>
      </c>
      <c r="D20" s="2169">
        <f ca="1">+IF(mode=D14,IS!$W$36,'Valuation - REIT'!D20)</f>
        <v>2416.2639206870863</v>
      </c>
      <c r="E20" s="2169">
        <f ca="1">+IF(mode=E14,IS!$W$36,'Valuation - REIT'!E20)</f>
        <v>2203.4973838455603</v>
      </c>
      <c r="F20" s="2169">
        <f ca="1">+IF(mode=F14,IS!$W$36,'Valuation - REIT'!F20)</f>
        <v>1974.2004083357344</v>
      </c>
    </row>
    <row r="21" spans="3:10">
      <c r="C21" s="2150" t="s">
        <v>1920</v>
      </c>
      <c r="D21" s="2172">
        <v>21</v>
      </c>
      <c r="E21" s="2172">
        <v>19.45</v>
      </c>
      <c r="F21" s="2172">
        <v>18</v>
      </c>
      <c r="H21" s="2161"/>
      <c r="I21" s="2161"/>
      <c r="J21" s="2161"/>
    </row>
    <row r="22" spans="3:10">
      <c r="C22" s="2150" t="s">
        <v>1921</v>
      </c>
      <c r="D22" s="2155">
        <f ca="1">+D20*D21</f>
        <v>50741.542334428814</v>
      </c>
      <c r="E22" s="2155">
        <f ca="1">+E20*E21</f>
        <v>42858.02411579615</v>
      </c>
      <c r="F22" s="2155">
        <f ca="1">+F20*F21</f>
        <v>35535.607350043218</v>
      </c>
    </row>
    <row r="23" spans="3:10">
      <c r="C23" s="2150" t="s">
        <v>1496</v>
      </c>
      <c r="D23" s="2155">
        <f ca="1">+$D$12</f>
        <v>8667.902</v>
      </c>
      <c r="E23" s="2155">
        <f ca="1">+$D$12</f>
        <v>8667.902</v>
      </c>
      <c r="F23" s="2155">
        <f ca="1">+$D$12</f>
        <v>8667.902</v>
      </c>
    </row>
    <row r="24" spans="3:10">
      <c r="C24" s="2150" t="s">
        <v>1922</v>
      </c>
      <c r="D24" s="2155">
        <f ca="1">+D22-D23</f>
        <v>42073.640334428812</v>
      </c>
      <c r="E24" s="2155">
        <f ca="1">+E22-E23</f>
        <v>34190.122115796148</v>
      </c>
      <c r="F24" s="2155">
        <f ca="1">+F22-F23</f>
        <v>26867.705350043216</v>
      </c>
    </row>
    <row r="25" spans="3:10">
      <c r="C25" s="2150" t="s">
        <v>1923</v>
      </c>
      <c r="D25" s="2151">
        <f>+$D$9</f>
        <v>79.128</v>
      </c>
      <c r="E25" s="2151">
        <f>+$D$9</f>
        <v>79.128</v>
      </c>
      <c r="F25" s="2151">
        <f>+$D$9</f>
        <v>79.128</v>
      </c>
    </row>
    <row r="26" spans="3:10">
      <c r="C26" s="2162" t="s">
        <v>1924</v>
      </c>
      <c r="D26" s="2163">
        <f ca="1">+D24/(D25)</f>
        <v>531.71621087894061</v>
      </c>
      <c r="E26" s="2163">
        <f ca="1">+E24/(E25)</f>
        <v>432.08626675508225</v>
      </c>
      <c r="F26" s="2163">
        <f ca="1">+F24/(F25)</f>
        <v>339.54738335409991</v>
      </c>
    </row>
    <row r="27" spans="3:10">
      <c r="D27" s="2164"/>
      <c r="E27" s="2164"/>
      <c r="F27" s="2164"/>
    </row>
    <row r="28" spans="3:10">
      <c r="C28" s="2160" t="s">
        <v>2626</v>
      </c>
      <c r="D28" s="2155"/>
      <c r="E28" s="2155"/>
      <c r="F28" s="2155"/>
    </row>
    <row r="29" spans="3:10">
      <c r="C29" s="2168" t="s">
        <v>2625</v>
      </c>
      <c r="D29" s="2306">
        <f ca="1">+IF(mode=D14,CF!$W$230,'Valuation - REIT'!D29)</f>
        <v>23.123121262534589</v>
      </c>
      <c r="E29" s="2306">
        <f ca="1">+IF(mode=E14,CF!$W$230,'Valuation - REIT'!E29)</f>
        <v>20.853352087123966</v>
      </c>
      <c r="F29" s="2306">
        <f ca="1">+IF(mode=F14,CF!$W$230,'Valuation - REIT'!F29)</f>
        <v>18.407722712435081</v>
      </c>
    </row>
    <row r="30" spans="3:10">
      <c r="C30" s="2150" t="s">
        <v>1920</v>
      </c>
      <c r="D30" s="2172">
        <v>23</v>
      </c>
      <c r="E30" s="2172">
        <v>21</v>
      </c>
      <c r="F30" s="2172">
        <v>19</v>
      </c>
      <c r="H30" s="2161"/>
      <c r="I30" s="2161"/>
      <c r="J30" s="2161"/>
    </row>
    <row r="31" spans="3:10">
      <c r="C31" s="2162" t="s">
        <v>1924</v>
      </c>
      <c r="D31" s="2163">
        <f ca="1">+D29*D30</f>
        <v>531.8317890382956</v>
      </c>
      <c r="E31" s="2163">
        <f ca="1">+E29*E30</f>
        <v>437.92039382960331</v>
      </c>
      <c r="F31" s="2163">
        <f ca="1">+F29*F30</f>
        <v>349.74673153626657</v>
      </c>
    </row>
    <row r="32" spans="3:10">
      <c r="D32" s="2164">
        <f ca="1">+AVERAGE(D31,D26)</f>
        <v>531.77399995861811</v>
      </c>
      <c r="E32" s="2164">
        <f ca="1">+AVERAGE(E31,E26)</f>
        <v>435.00333029234275</v>
      </c>
      <c r="F32" s="2164">
        <f ca="1">+AVERAGE(F31,F26)</f>
        <v>344.64705744518324</v>
      </c>
    </row>
    <row r="33" spans="3:6">
      <c r="C33" s="2165" t="s">
        <v>1925</v>
      </c>
      <c r="D33" s="2166">
        <f ca="1">+ROUND(AVERAGE(D31,D26),0)</f>
        <v>532</v>
      </c>
      <c r="E33" s="2166">
        <f ca="1">+ROUND(AVERAGE(E31,E26),0)</f>
        <v>435</v>
      </c>
      <c r="F33" s="2166">
        <f ca="1">+ROUND(AVERAGE(F31,F26),0)</f>
        <v>345</v>
      </c>
    </row>
    <row r="34" spans="3:6">
      <c r="C34" s="2168" t="s">
        <v>2630</v>
      </c>
      <c r="D34" s="2167">
        <f ca="1">+(D33*(D25)+D23)/D20</f>
        <v>21.009293548349138</v>
      </c>
      <c r="E34" s="2167">
        <f ca="1">+(E33*(E25)+E23)/E20</f>
        <v>19.554632701583461</v>
      </c>
      <c r="F34" s="2167">
        <f ca="1">+(F33*(F25)+F23)/F20</f>
        <v>18.218546530602989</v>
      </c>
    </row>
    <row r="35" spans="3:6">
      <c r="C35" s="2168" t="s">
        <v>2631</v>
      </c>
      <c r="D35" s="2167">
        <f ca="1">+D33/D29</f>
        <v>23.007274578539576</v>
      </c>
      <c r="E35" s="2167">
        <f ca="1">+E33/E29</f>
        <v>20.859955664806211</v>
      </c>
      <c r="F35" s="2167">
        <f ca="1">+F33/F29</f>
        <v>18.742133689733389</v>
      </c>
    </row>
  </sheetData>
  <dataValidations count="1">
    <dataValidation type="list" allowBlank="1" showInputMessage="1" showErrorMessage="1" sqref="D2">
      <formula1>"1,2,3"</formula1>
    </dataValidation>
  </dataValidations>
  <pageMargins left="0.7" right="0.7" top="0.75" bottom="0.75" header="0.3" footer="0.3"/>
  <pageSetup orientation="landscape"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43"/>
  <sheetViews>
    <sheetView workbookViewId="0">
      <selection activeCell="B42" sqref="B42"/>
    </sheetView>
  </sheetViews>
  <sheetFormatPr defaultRowHeight="12.75"/>
  <cols>
    <col min="1" max="1" width="29.5703125" style="2173" bestFit="1" customWidth="1"/>
    <col min="2" max="2" width="19.85546875" style="2388" customWidth="1"/>
    <col min="3" max="3" width="12" style="2173" bestFit="1" customWidth="1"/>
    <col min="4" max="256" width="9.140625" style="2173"/>
    <col min="257" max="257" width="29.5703125" style="2173" bestFit="1" customWidth="1"/>
    <col min="258" max="258" width="19.85546875" style="2173" customWidth="1"/>
    <col min="259" max="259" width="12" style="2173" bestFit="1" customWidth="1"/>
    <col min="260" max="512" width="9.140625" style="2173"/>
    <col min="513" max="513" width="29.5703125" style="2173" bestFit="1" customWidth="1"/>
    <col min="514" max="514" width="19.85546875" style="2173" customWidth="1"/>
    <col min="515" max="515" width="12" style="2173" bestFit="1" customWidth="1"/>
    <col min="516" max="768" width="9.140625" style="2173"/>
    <col min="769" max="769" width="29.5703125" style="2173" bestFit="1" customWidth="1"/>
    <col min="770" max="770" width="19.85546875" style="2173" customWidth="1"/>
    <col min="771" max="771" width="12" style="2173" bestFit="1" customWidth="1"/>
    <col min="772" max="1024" width="9.140625" style="2173"/>
    <col min="1025" max="1025" width="29.5703125" style="2173" bestFit="1" customWidth="1"/>
    <col min="1026" max="1026" width="19.85546875" style="2173" customWidth="1"/>
    <col min="1027" max="1027" width="12" style="2173" bestFit="1" customWidth="1"/>
    <col min="1028" max="1280" width="9.140625" style="2173"/>
    <col min="1281" max="1281" width="29.5703125" style="2173" bestFit="1" customWidth="1"/>
    <col min="1282" max="1282" width="19.85546875" style="2173" customWidth="1"/>
    <col min="1283" max="1283" width="12" style="2173" bestFit="1" customWidth="1"/>
    <col min="1284" max="1536" width="9.140625" style="2173"/>
    <col min="1537" max="1537" width="29.5703125" style="2173" bestFit="1" customWidth="1"/>
    <col min="1538" max="1538" width="19.85546875" style="2173" customWidth="1"/>
    <col min="1539" max="1539" width="12" style="2173" bestFit="1" customWidth="1"/>
    <col min="1540" max="1792" width="9.140625" style="2173"/>
    <col min="1793" max="1793" width="29.5703125" style="2173" bestFit="1" customWidth="1"/>
    <col min="1794" max="1794" width="19.85546875" style="2173" customWidth="1"/>
    <col min="1795" max="1795" width="12" style="2173" bestFit="1" customWidth="1"/>
    <col min="1796" max="2048" width="9.140625" style="2173"/>
    <col min="2049" max="2049" width="29.5703125" style="2173" bestFit="1" customWidth="1"/>
    <col min="2050" max="2050" width="19.85546875" style="2173" customWidth="1"/>
    <col min="2051" max="2051" width="12" style="2173" bestFit="1" customWidth="1"/>
    <col min="2052" max="2304" width="9.140625" style="2173"/>
    <col min="2305" max="2305" width="29.5703125" style="2173" bestFit="1" customWidth="1"/>
    <col min="2306" max="2306" width="19.85546875" style="2173" customWidth="1"/>
    <col min="2307" max="2307" width="12" style="2173" bestFit="1" customWidth="1"/>
    <col min="2308" max="2560" width="9.140625" style="2173"/>
    <col min="2561" max="2561" width="29.5703125" style="2173" bestFit="1" customWidth="1"/>
    <col min="2562" max="2562" width="19.85546875" style="2173" customWidth="1"/>
    <col min="2563" max="2563" width="12" style="2173" bestFit="1" customWidth="1"/>
    <col min="2564" max="2816" width="9.140625" style="2173"/>
    <col min="2817" max="2817" width="29.5703125" style="2173" bestFit="1" customWidth="1"/>
    <col min="2818" max="2818" width="19.85546875" style="2173" customWidth="1"/>
    <col min="2819" max="2819" width="12" style="2173" bestFit="1" customWidth="1"/>
    <col min="2820" max="3072" width="9.140625" style="2173"/>
    <col min="3073" max="3073" width="29.5703125" style="2173" bestFit="1" customWidth="1"/>
    <col min="3074" max="3074" width="19.85546875" style="2173" customWidth="1"/>
    <col min="3075" max="3075" width="12" style="2173" bestFit="1" customWidth="1"/>
    <col min="3076" max="3328" width="9.140625" style="2173"/>
    <col min="3329" max="3329" width="29.5703125" style="2173" bestFit="1" customWidth="1"/>
    <col min="3330" max="3330" width="19.85546875" style="2173" customWidth="1"/>
    <col min="3331" max="3331" width="12" style="2173" bestFit="1" customWidth="1"/>
    <col min="3332" max="3584" width="9.140625" style="2173"/>
    <col min="3585" max="3585" width="29.5703125" style="2173" bestFit="1" customWidth="1"/>
    <col min="3586" max="3586" width="19.85546875" style="2173" customWidth="1"/>
    <col min="3587" max="3587" width="12" style="2173" bestFit="1" customWidth="1"/>
    <col min="3588" max="3840" width="9.140625" style="2173"/>
    <col min="3841" max="3841" width="29.5703125" style="2173" bestFit="1" customWidth="1"/>
    <col min="3842" max="3842" width="19.85546875" style="2173" customWidth="1"/>
    <col min="3843" max="3843" width="12" style="2173" bestFit="1" customWidth="1"/>
    <col min="3844" max="4096" width="9.140625" style="2173"/>
    <col min="4097" max="4097" width="29.5703125" style="2173" bestFit="1" customWidth="1"/>
    <col min="4098" max="4098" width="19.85546875" style="2173" customWidth="1"/>
    <col min="4099" max="4099" width="12" style="2173" bestFit="1" customWidth="1"/>
    <col min="4100" max="4352" width="9.140625" style="2173"/>
    <col min="4353" max="4353" width="29.5703125" style="2173" bestFit="1" customWidth="1"/>
    <col min="4354" max="4354" width="19.85546875" style="2173" customWidth="1"/>
    <col min="4355" max="4355" width="12" style="2173" bestFit="1" customWidth="1"/>
    <col min="4356" max="4608" width="9.140625" style="2173"/>
    <col min="4609" max="4609" width="29.5703125" style="2173" bestFit="1" customWidth="1"/>
    <col min="4610" max="4610" width="19.85546875" style="2173" customWidth="1"/>
    <col min="4611" max="4611" width="12" style="2173" bestFit="1" customWidth="1"/>
    <col min="4612" max="4864" width="9.140625" style="2173"/>
    <col min="4865" max="4865" width="29.5703125" style="2173" bestFit="1" customWidth="1"/>
    <col min="4866" max="4866" width="19.85546875" style="2173" customWidth="1"/>
    <col min="4867" max="4867" width="12" style="2173" bestFit="1" customWidth="1"/>
    <col min="4868" max="5120" width="9.140625" style="2173"/>
    <col min="5121" max="5121" width="29.5703125" style="2173" bestFit="1" customWidth="1"/>
    <col min="5122" max="5122" width="19.85546875" style="2173" customWidth="1"/>
    <col min="5123" max="5123" width="12" style="2173" bestFit="1" customWidth="1"/>
    <col min="5124" max="5376" width="9.140625" style="2173"/>
    <col min="5377" max="5377" width="29.5703125" style="2173" bestFit="1" customWidth="1"/>
    <col min="5378" max="5378" width="19.85546875" style="2173" customWidth="1"/>
    <col min="5379" max="5379" width="12" style="2173" bestFit="1" customWidth="1"/>
    <col min="5380" max="5632" width="9.140625" style="2173"/>
    <col min="5633" max="5633" width="29.5703125" style="2173" bestFit="1" customWidth="1"/>
    <col min="5634" max="5634" width="19.85546875" style="2173" customWidth="1"/>
    <col min="5635" max="5635" width="12" style="2173" bestFit="1" customWidth="1"/>
    <col min="5636" max="5888" width="9.140625" style="2173"/>
    <col min="5889" max="5889" width="29.5703125" style="2173" bestFit="1" customWidth="1"/>
    <col min="5890" max="5890" width="19.85546875" style="2173" customWidth="1"/>
    <col min="5891" max="5891" width="12" style="2173" bestFit="1" customWidth="1"/>
    <col min="5892" max="6144" width="9.140625" style="2173"/>
    <col min="6145" max="6145" width="29.5703125" style="2173" bestFit="1" customWidth="1"/>
    <col min="6146" max="6146" width="19.85546875" style="2173" customWidth="1"/>
    <col min="6147" max="6147" width="12" style="2173" bestFit="1" customWidth="1"/>
    <col min="6148" max="6400" width="9.140625" style="2173"/>
    <col min="6401" max="6401" width="29.5703125" style="2173" bestFit="1" customWidth="1"/>
    <col min="6402" max="6402" width="19.85546875" style="2173" customWidth="1"/>
    <col min="6403" max="6403" width="12" style="2173" bestFit="1" customWidth="1"/>
    <col min="6404" max="6656" width="9.140625" style="2173"/>
    <col min="6657" max="6657" width="29.5703125" style="2173" bestFit="1" customWidth="1"/>
    <col min="6658" max="6658" width="19.85546875" style="2173" customWidth="1"/>
    <col min="6659" max="6659" width="12" style="2173" bestFit="1" customWidth="1"/>
    <col min="6660" max="6912" width="9.140625" style="2173"/>
    <col min="6913" max="6913" width="29.5703125" style="2173" bestFit="1" customWidth="1"/>
    <col min="6914" max="6914" width="19.85546875" style="2173" customWidth="1"/>
    <col min="6915" max="6915" width="12" style="2173" bestFit="1" customWidth="1"/>
    <col min="6916" max="7168" width="9.140625" style="2173"/>
    <col min="7169" max="7169" width="29.5703125" style="2173" bestFit="1" customWidth="1"/>
    <col min="7170" max="7170" width="19.85546875" style="2173" customWidth="1"/>
    <col min="7171" max="7171" width="12" style="2173" bestFit="1" customWidth="1"/>
    <col min="7172" max="7424" width="9.140625" style="2173"/>
    <col min="7425" max="7425" width="29.5703125" style="2173" bestFit="1" customWidth="1"/>
    <col min="7426" max="7426" width="19.85546875" style="2173" customWidth="1"/>
    <col min="7427" max="7427" width="12" style="2173" bestFit="1" customWidth="1"/>
    <col min="7428" max="7680" width="9.140625" style="2173"/>
    <col min="7681" max="7681" width="29.5703125" style="2173" bestFit="1" customWidth="1"/>
    <col min="7682" max="7682" width="19.85546875" style="2173" customWidth="1"/>
    <col min="7683" max="7683" width="12" style="2173" bestFit="1" customWidth="1"/>
    <col min="7684" max="7936" width="9.140625" style="2173"/>
    <col min="7937" max="7937" width="29.5703125" style="2173" bestFit="1" customWidth="1"/>
    <col min="7938" max="7938" width="19.85546875" style="2173" customWidth="1"/>
    <col min="7939" max="7939" width="12" style="2173" bestFit="1" customWidth="1"/>
    <col min="7940" max="8192" width="9.140625" style="2173"/>
    <col min="8193" max="8193" width="29.5703125" style="2173" bestFit="1" customWidth="1"/>
    <col min="8194" max="8194" width="19.85546875" style="2173" customWidth="1"/>
    <col min="8195" max="8195" width="12" style="2173" bestFit="1" customWidth="1"/>
    <col min="8196" max="8448" width="9.140625" style="2173"/>
    <col min="8449" max="8449" width="29.5703125" style="2173" bestFit="1" customWidth="1"/>
    <col min="8450" max="8450" width="19.85546875" style="2173" customWidth="1"/>
    <col min="8451" max="8451" width="12" style="2173" bestFit="1" customWidth="1"/>
    <col min="8452" max="8704" width="9.140625" style="2173"/>
    <col min="8705" max="8705" width="29.5703125" style="2173" bestFit="1" customWidth="1"/>
    <col min="8706" max="8706" width="19.85546875" style="2173" customWidth="1"/>
    <col min="8707" max="8707" width="12" style="2173" bestFit="1" customWidth="1"/>
    <col min="8708" max="8960" width="9.140625" style="2173"/>
    <col min="8961" max="8961" width="29.5703125" style="2173" bestFit="1" customWidth="1"/>
    <col min="8962" max="8962" width="19.85546875" style="2173" customWidth="1"/>
    <col min="8963" max="8963" width="12" style="2173" bestFit="1" customWidth="1"/>
    <col min="8964" max="9216" width="9.140625" style="2173"/>
    <col min="9217" max="9217" width="29.5703125" style="2173" bestFit="1" customWidth="1"/>
    <col min="9218" max="9218" width="19.85546875" style="2173" customWidth="1"/>
    <col min="9219" max="9219" width="12" style="2173" bestFit="1" customWidth="1"/>
    <col min="9220" max="9472" width="9.140625" style="2173"/>
    <col min="9473" max="9473" width="29.5703125" style="2173" bestFit="1" customWidth="1"/>
    <col min="9474" max="9474" width="19.85546875" style="2173" customWidth="1"/>
    <col min="9475" max="9475" width="12" style="2173" bestFit="1" customWidth="1"/>
    <col min="9476" max="9728" width="9.140625" style="2173"/>
    <col min="9729" max="9729" width="29.5703125" style="2173" bestFit="1" customWidth="1"/>
    <col min="9730" max="9730" width="19.85546875" style="2173" customWidth="1"/>
    <col min="9731" max="9731" width="12" style="2173" bestFit="1" customWidth="1"/>
    <col min="9732" max="9984" width="9.140625" style="2173"/>
    <col min="9985" max="9985" width="29.5703125" style="2173" bestFit="1" customWidth="1"/>
    <col min="9986" max="9986" width="19.85546875" style="2173" customWidth="1"/>
    <col min="9987" max="9987" width="12" style="2173" bestFit="1" customWidth="1"/>
    <col min="9988" max="10240" width="9.140625" style="2173"/>
    <col min="10241" max="10241" width="29.5703125" style="2173" bestFit="1" customWidth="1"/>
    <col min="10242" max="10242" width="19.85546875" style="2173" customWidth="1"/>
    <col min="10243" max="10243" width="12" style="2173" bestFit="1" customWidth="1"/>
    <col min="10244" max="10496" width="9.140625" style="2173"/>
    <col min="10497" max="10497" width="29.5703125" style="2173" bestFit="1" customWidth="1"/>
    <col min="10498" max="10498" width="19.85546875" style="2173" customWidth="1"/>
    <col min="10499" max="10499" width="12" style="2173" bestFit="1" customWidth="1"/>
    <col min="10500" max="10752" width="9.140625" style="2173"/>
    <col min="10753" max="10753" width="29.5703125" style="2173" bestFit="1" customWidth="1"/>
    <col min="10754" max="10754" width="19.85546875" style="2173" customWidth="1"/>
    <col min="10755" max="10755" width="12" style="2173" bestFit="1" customWidth="1"/>
    <col min="10756" max="11008" width="9.140625" style="2173"/>
    <col min="11009" max="11009" width="29.5703125" style="2173" bestFit="1" customWidth="1"/>
    <col min="11010" max="11010" width="19.85546875" style="2173" customWidth="1"/>
    <col min="11011" max="11011" width="12" style="2173" bestFit="1" customWidth="1"/>
    <col min="11012" max="11264" width="9.140625" style="2173"/>
    <col min="11265" max="11265" width="29.5703125" style="2173" bestFit="1" customWidth="1"/>
    <col min="11266" max="11266" width="19.85546875" style="2173" customWidth="1"/>
    <col min="11267" max="11267" width="12" style="2173" bestFit="1" customWidth="1"/>
    <col min="11268" max="11520" width="9.140625" style="2173"/>
    <col min="11521" max="11521" width="29.5703125" style="2173" bestFit="1" customWidth="1"/>
    <col min="11522" max="11522" width="19.85546875" style="2173" customWidth="1"/>
    <col min="11523" max="11523" width="12" style="2173" bestFit="1" customWidth="1"/>
    <col min="11524" max="11776" width="9.140625" style="2173"/>
    <col min="11777" max="11777" width="29.5703125" style="2173" bestFit="1" customWidth="1"/>
    <col min="11778" max="11778" width="19.85546875" style="2173" customWidth="1"/>
    <col min="11779" max="11779" width="12" style="2173" bestFit="1" customWidth="1"/>
    <col min="11780" max="12032" width="9.140625" style="2173"/>
    <col min="12033" max="12033" width="29.5703125" style="2173" bestFit="1" customWidth="1"/>
    <col min="12034" max="12034" width="19.85546875" style="2173" customWidth="1"/>
    <col min="12035" max="12035" width="12" style="2173" bestFit="1" customWidth="1"/>
    <col min="12036" max="12288" width="9.140625" style="2173"/>
    <col min="12289" max="12289" width="29.5703125" style="2173" bestFit="1" customWidth="1"/>
    <col min="12290" max="12290" width="19.85546875" style="2173" customWidth="1"/>
    <col min="12291" max="12291" width="12" style="2173" bestFit="1" customWidth="1"/>
    <col min="12292" max="12544" width="9.140625" style="2173"/>
    <col min="12545" max="12545" width="29.5703125" style="2173" bestFit="1" customWidth="1"/>
    <col min="12546" max="12546" width="19.85546875" style="2173" customWidth="1"/>
    <col min="12547" max="12547" width="12" style="2173" bestFit="1" customWidth="1"/>
    <col min="12548" max="12800" width="9.140625" style="2173"/>
    <col min="12801" max="12801" width="29.5703125" style="2173" bestFit="1" customWidth="1"/>
    <col min="12802" max="12802" width="19.85546875" style="2173" customWidth="1"/>
    <col min="12803" max="12803" width="12" style="2173" bestFit="1" customWidth="1"/>
    <col min="12804" max="13056" width="9.140625" style="2173"/>
    <col min="13057" max="13057" width="29.5703125" style="2173" bestFit="1" customWidth="1"/>
    <col min="13058" max="13058" width="19.85546875" style="2173" customWidth="1"/>
    <col min="13059" max="13059" width="12" style="2173" bestFit="1" customWidth="1"/>
    <col min="13060" max="13312" width="9.140625" style="2173"/>
    <col min="13313" max="13313" width="29.5703125" style="2173" bestFit="1" customWidth="1"/>
    <col min="13314" max="13314" width="19.85546875" style="2173" customWidth="1"/>
    <col min="13315" max="13315" width="12" style="2173" bestFit="1" customWidth="1"/>
    <col min="13316" max="13568" width="9.140625" style="2173"/>
    <col min="13569" max="13569" width="29.5703125" style="2173" bestFit="1" customWidth="1"/>
    <col min="13570" max="13570" width="19.85546875" style="2173" customWidth="1"/>
    <col min="13571" max="13571" width="12" style="2173" bestFit="1" customWidth="1"/>
    <col min="13572" max="13824" width="9.140625" style="2173"/>
    <col min="13825" max="13825" width="29.5703125" style="2173" bestFit="1" customWidth="1"/>
    <col min="13826" max="13826" width="19.85546875" style="2173" customWidth="1"/>
    <col min="13827" max="13827" width="12" style="2173" bestFit="1" customWidth="1"/>
    <col min="13828" max="14080" width="9.140625" style="2173"/>
    <col min="14081" max="14081" width="29.5703125" style="2173" bestFit="1" customWidth="1"/>
    <col min="14082" max="14082" width="19.85546875" style="2173" customWidth="1"/>
    <col min="14083" max="14083" width="12" style="2173" bestFit="1" customWidth="1"/>
    <col min="14084" max="14336" width="9.140625" style="2173"/>
    <col min="14337" max="14337" width="29.5703125" style="2173" bestFit="1" customWidth="1"/>
    <col min="14338" max="14338" width="19.85546875" style="2173" customWidth="1"/>
    <col min="14339" max="14339" width="12" style="2173" bestFit="1" customWidth="1"/>
    <col min="14340" max="14592" width="9.140625" style="2173"/>
    <col min="14593" max="14593" width="29.5703125" style="2173" bestFit="1" customWidth="1"/>
    <col min="14594" max="14594" width="19.85546875" style="2173" customWidth="1"/>
    <col min="14595" max="14595" width="12" style="2173" bestFit="1" customWidth="1"/>
    <col min="14596" max="14848" width="9.140625" style="2173"/>
    <col min="14849" max="14849" width="29.5703125" style="2173" bestFit="1" customWidth="1"/>
    <col min="14850" max="14850" width="19.85546875" style="2173" customWidth="1"/>
    <col min="14851" max="14851" width="12" style="2173" bestFit="1" customWidth="1"/>
    <col min="14852" max="15104" width="9.140625" style="2173"/>
    <col min="15105" max="15105" width="29.5703125" style="2173" bestFit="1" customWidth="1"/>
    <col min="15106" max="15106" width="19.85546875" style="2173" customWidth="1"/>
    <col min="15107" max="15107" width="12" style="2173" bestFit="1" customWidth="1"/>
    <col min="15108" max="15360" width="9.140625" style="2173"/>
    <col min="15361" max="15361" width="29.5703125" style="2173" bestFit="1" customWidth="1"/>
    <col min="15362" max="15362" width="19.85546875" style="2173" customWidth="1"/>
    <col min="15363" max="15363" width="12" style="2173" bestFit="1" customWidth="1"/>
    <col min="15364" max="15616" width="9.140625" style="2173"/>
    <col min="15617" max="15617" width="29.5703125" style="2173" bestFit="1" customWidth="1"/>
    <col min="15618" max="15618" width="19.85546875" style="2173" customWidth="1"/>
    <col min="15619" max="15619" width="12" style="2173" bestFit="1" customWidth="1"/>
    <col min="15620" max="15872" width="9.140625" style="2173"/>
    <col min="15873" max="15873" width="29.5703125" style="2173" bestFit="1" customWidth="1"/>
    <col min="15874" max="15874" width="19.85546875" style="2173" customWidth="1"/>
    <col min="15875" max="15875" width="12" style="2173" bestFit="1" customWidth="1"/>
    <col min="15876" max="16128" width="9.140625" style="2173"/>
    <col min="16129" max="16129" width="29.5703125" style="2173" bestFit="1" customWidth="1"/>
    <col min="16130" max="16130" width="19.85546875" style="2173" customWidth="1"/>
    <col min="16131" max="16131" width="12" style="2173" bestFit="1" customWidth="1"/>
    <col min="16132" max="16384" width="9.140625" style="2173"/>
  </cols>
  <sheetData>
    <row r="1" spans="1:2">
      <c r="A1" s="2173" t="s">
        <v>3071</v>
      </c>
      <c r="B1" s="2387">
        <v>6.1</v>
      </c>
    </row>
    <row r="2" spans="1:2">
      <c r="A2" s="2173" t="s">
        <v>3072</v>
      </c>
      <c r="B2" s="2391">
        <v>43213.394699074073</v>
      </c>
    </row>
    <row r="3" spans="1:2">
      <c r="A3" s="2173" t="s">
        <v>3073</v>
      </c>
      <c r="B3" s="2388" t="s">
        <v>2768</v>
      </c>
    </row>
    <row r="4" spans="1:2">
      <c r="A4" s="2173" t="s">
        <v>3074</v>
      </c>
      <c r="B4" s="2388" t="s">
        <v>3075</v>
      </c>
    </row>
    <row r="5" spans="1:2">
      <c r="A5" s="2173" t="s">
        <v>3076</v>
      </c>
      <c r="B5" s="2388" t="s">
        <v>3077</v>
      </c>
    </row>
    <row r="6" spans="1:2">
      <c r="A6" s="2173" t="s">
        <v>3078</v>
      </c>
    </row>
    <row r="7" spans="1:2">
      <c r="A7" s="2173" t="s">
        <v>3079</v>
      </c>
      <c r="B7" s="2388" t="s">
        <v>1719</v>
      </c>
    </row>
    <row r="8" spans="1:2">
      <c r="A8" s="2173" t="s">
        <v>3080</v>
      </c>
      <c r="B8" s="2388" t="s">
        <v>3081</v>
      </c>
    </row>
    <row r="9" spans="1:2">
      <c r="A9" s="2173" t="s">
        <v>3082</v>
      </c>
      <c r="B9" s="2388" t="s">
        <v>3119</v>
      </c>
    </row>
    <row r="10" spans="1:2">
      <c r="A10" s="2173" t="s">
        <v>3083</v>
      </c>
    </row>
    <row r="11" spans="1:2">
      <c r="A11" s="2173" t="s">
        <v>3084</v>
      </c>
    </row>
    <row r="12" spans="1:2">
      <c r="A12" s="2173" t="s">
        <v>3085</v>
      </c>
    </row>
    <row r="13" spans="1:2">
      <c r="A13" s="2173" t="s">
        <v>3086</v>
      </c>
    </row>
    <row r="14" spans="1:2">
      <c r="A14" s="2173" t="s">
        <v>3087</v>
      </c>
    </row>
    <row r="15" spans="1:2">
      <c r="A15" s="2173" t="s">
        <v>3088</v>
      </c>
    </row>
    <row r="16" spans="1:2">
      <c r="A16" s="2173" t="s">
        <v>3089</v>
      </c>
    </row>
    <row r="17" spans="1:4">
      <c r="A17" s="2173" t="s">
        <v>3090</v>
      </c>
      <c r="B17" s="2388" t="s">
        <v>3120</v>
      </c>
    </row>
    <row r="18" spans="1:4">
      <c r="A18" s="2173" t="s">
        <v>3091</v>
      </c>
      <c r="B18" s="2388" t="s">
        <v>3123</v>
      </c>
    </row>
    <row r="19" spans="1:4">
      <c r="A19" s="2173" t="s">
        <v>3092</v>
      </c>
      <c r="B19" s="2388" t="s">
        <v>1718</v>
      </c>
    </row>
    <row r="20" spans="1:4">
      <c r="A20" s="2173" t="s">
        <v>3093</v>
      </c>
      <c r="B20" s="2389" t="s">
        <v>3124</v>
      </c>
    </row>
    <row r="21" spans="1:4">
      <c r="A21" s="2173" t="s">
        <v>3094</v>
      </c>
      <c r="B21" s="2388" t="s">
        <v>1718</v>
      </c>
    </row>
    <row r="22" spans="1:4">
      <c r="A22" s="2173" t="s">
        <v>3095</v>
      </c>
      <c r="B22" s="2389" t="s">
        <v>1883</v>
      </c>
    </row>
    <row r="23" spans="1:4">
      <c r="A23" s="2173" t="s">
        <v>217</v>
      </c>
      <c r="B23" s="2387">
        <v>406.06</v>
      </c>
    </row>
    <row r="24" spans="1:4">
      <c r="A24" s="2173" t="s">
        <v>216</v>
      </c>
      <c r="B24" s="2388" t="s">
        <v>1717</v>
      </c>
      <c r="D24" s="2173" t="s">
        <v>593</v>
      </c>
    </row>
    <row r="25" spans="1:4">
      <c r="A25" s="2173" t="s">
        <v>3096</v>
      </c>
      <c r="B25" s="2388" t="s">
        <v>3125</v>
      </c>
    </row>
    <row r="26" spans="1:4">
      <c r="A26" s="2173" t="s">
        <v>3097</v>
      </c>
      <c r="B26" s="2388">
        <v>0</v>
      </c>
    </row>
    <row r="27" spans="1:4">
      <c r="A27" s="2173" t="s">
        <v>3098</v>
      </c>
      <c r="B27" s="2388" t="s">
        <v>3099</v>
      </c>
    </row>
    <row r="28" spans="1:4">
      <c r="A28" s="2173" t="s">
        <v>3100</v>
      </c>
      <c r="B28" s="2388" t="s">
        <v>3101</v>
      </c>
    </row>
    <row r="29" spans="1:4">
      <c r="A29" s="2173" t="s">
        <v>3102</v>
      </c>
    </row>
    <row r="30" spans="1:4">
      <c r="A30" s="2173" t="s">
        <v>3103</v>
      </c>
    </row>
    <row r="31" spans="1:4">
      <c r="A31" s="2173" t="s">
        <v>3104</v>
      </c>
    </row>
    <row r="32" spans="1:4">
      <c r="A32" s="2173" t="s">
        <v>3105</v>
      </c>
      <c r="B32" s="2387"/>
    </row>
    <row r="33" spans="1:2">
      <c r="A33" s="2173" t="s">
        <v>3106</v>
      </c>
      <c r="B33" s="2387"/>
    </row>
    <row r="34" spans="1:2">
      <c r="A34" s="2173" t="s">
        <v>3107</v>
      </c>
      <c r="B34" s="2387"/>
    </row>
    <row r="35" spans="1:2">
      <c r="A35" s="2173" t="s">
        <v>3108</v>
      </c>
      <c r="B35" s="2388">
        <v>1000000</v>
      </c>
    </row>
    <row r="36" spans="1:2">
      <c r="A36" s="2173" t="s">
        <v>3109</v>
      </c>
      <c r="B36" s="2388" t="s">
        <v>3121</v>
      </c>
    </row>
    <row r="37" spans="1:2">
      <c r="A37" s="2173" t="s">
        <v>3110</v>
      </c>
      <c r="B37" s="2388" t="s">
        <v>3111</v>
      </c>
    </row>
    <row r="38" spans="1:2">
      <c r="A38" s="2173" t="s">
        <v>3112</v>
      </c>
      <c r="B38" s="2388" t="s">
        <v>3113</v>
      </c>
    </row>
    <row r="39" spans="1:2">
      <c r="A39" s="2173" t="s">
        <v>3114</v>
      </c>
      <c r="B39" s="2388" t="s">
        <v>3122</v>
      </c>
    </row>
    <row r="40" spans="1:2">
      <c r="A40" s="2173" t="s">
        <v>3115</v>
      </c>
      <c r="B40" s="2388">
        <v>1500004829</v>
      </c>
    </row>
    <row r="41" spans="1:2">
      <c r="A41" s="2173" t="s">
        <v>3116</v>
      </c>
      <c r="B41" s="2388">
        <v>1</v>
      </c>
    </row>
    <row r="42" spans="1:2">
      <c r="A42" s="2390" t="s">
        <v>3117</v>
      </c>
    </row>
    <row r="43" spans="1:2">
      <c r="A43" s="2173" t="s">
        <v>3118</v>
      </c>
    </row>
  </sheetData>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13"/>
  <sheetViews>
    <sheetView workbookViewId="0">
      <selection activeCell="E11" sqref="E11"/>
    </sheetView>
  </sheetViews>
  <sheetFormatPr defaultRowHeight="12.75"/>
  <cols>
    <col min="1" max="1" width="28.5703125" style="2173" bestFit="1" customWidth="1"/>
    <col min="2" max="256" width="9.140625" style="2173"/>
    <col min="257" max="257" width="28.5703125" style="2173" bestFit="1" customWidth="1"/>
    <col min="258" max="512" width="9.140625" style="2173"/>
    <col min="513" max="513" width="28.5703125" style="2173" bestFit="1" customWidth="1"/>
    <col min="514" max="768" width="9.140625" style="2173"/>
    <col min="769" max="769" width="28.5703125" style="2173" bestFit="1" customWidth="1"/>
    <col min="770" max="1024" width="9.140625" style="2173"/>
    <col min="1025" max="1025" width="28.5703125" style="2173" bestFit="1" customWidth="1"/>
    <col min="1026" max="1280" width="9.140625" style="2173"/>
    <col min="1281" max="1281" width="28.5703125" style="2173" bestFit="1" customWidth="1"/>
    <col min="1282" max="1536" width="9.140625" style="2173"/>
    <col min="1537" max="1537" width="28.5703125" style="2173" bestFit="1" customWidth="1"/>
    <col min="1538" max="1792" width="9.140625" style="2173"/>
    <col min="1793" max="1793" width="28.5703125" style="2173" bestFit="1" customWidth="1"/>
    <col min="1794" max="2048" width="9.140625" style="2173"/>
    <col min="2049" max="2049" width="28.5703125" style="2173" bestFit="1" customWidth="1"/>
    <col min="2050" max="2304" width="9.140625" style="2173"/>
    <col min="2305" max="2305" width="28.5703125" style="2173" bestFit="1" customWidth="1"/>
    <col min="2306" max="2560" width="9.140625" style="2173"/>
    <col min="2561" max="2561" width="28.5703125" style="2173" bestFit="1" customWidth="1"/>
    <col min="2562" max="2816" width="9.140625" style="2173"/>
    <col min="2817" max="2817" width="28.5703125" style="2173" bestFit="1" customWidth="1"/>
    <col min="2818" max="3072" width="9.140625" style="2173"/>
    <col min="3073" max="3073" width="28.5703125" style="2173" bestFit="1" customWidth="1"/>
    <col min="3074" max="3328" width="9.140625" style="2173"/>
    <col min="3329" max="3329" width="28.5703125" style="2173" bestFit="1" customWidth="1"/>
    <col min="3330" max="3584" width="9.140625" style="2173"/>
    <col min="3585" max="3585" width="28.5703125" style="2173" bestFit="1" customWidth="1"/>
    <col min="3586" max="3840" width="9.140625" style="2173"/>
    <col min="3841" max="3841" width="28.5703125" style="2173" bestFit="1" customWidth="1"/>
    <col min="3842" max="4096" width="9.140625" style="2173"/>
    <col min="4097" max="4097" width="28.5703125" style="2173" bestFit="1" customWidth="1"/>
    <col min="4098" max="4352" width="9.140625" style="2173"/>
    <col min="4353" max="4353" width="28.5703125" style="2173" bestFit="1" customWidth="1"/>
    <col min="4354" max="4608" width="9.140625" style="2173"/>
    <col min="4609" max="4609" width="28.5703125" style="2173" bestFit="1" customWidth="1"/>
    <col min="4610" max="4864" width="9.140625" style="2173"/>
    <col min="4865" max="4865" width="28.5703125" style="2173" bestFit="1" customWidth="1"/>
    <col min="4866" max="5120" width="9.140625" style="2173"/>
    <col min="5121" max="5121" width="28.5703125" style="2173" bestFit="1" customWidth="1"/>
    <col min="5122" max="5376" width="9.140625" style="2173"/>
    <col min="5377" max="5377" width="28.5703125" style="2173" bestFit="1" customWidth="1"/>
    <col min="5378" max="5632" width="9.140625" style="2173"/>
    <col min="5633" max="5633" width="28.5703125" style="2173" bestFit="1" customWidth="1"/>
    <col min="5634" max="5888" width="9.140625" style="2173"/>
    <col min="5889" max="5889" width="28.5703125" style="2173" bestFit="1" customWidth="1"/>
    <col min="5890" max="6144" width="9.140625" style="2173"/>
    <col min="6145" max="6145" width="28.5703125" style="2173" bestFit="1" customWidth="1"/>
    <col min="6146" max="6400" width="9.140625" style="2173"/>
    <col min="6401" max="6401" width="28.5703125" style="2173" bestFit="1" customWidth="1"/>
    <col min="6402" max="6656" width="9.140625" style="2173"/>
    <col min="6657" max="6657" width="28.5703125" style="2173" bestFit="1" customWidth="1"/>
    <col min="6658" max="6912" width="9.140625" style="2173"/>
    <col min="6913" max="6913" width="28.5703125" style="2173" bestFit="1" customWidth="1"/>
    <col min="6914" max="7168" width="9.140625" style="2173"/>
    <col min="7169" max="7169" width="28.5703125" style="2173" bestFit="1" customWidth="1"/>
    <col min="7170" max="7424" width="9.140625" style="2173"/>
    <col min="7425" max="7425" width="28.5703125" style="2173" bestFit="1" customWidth="1"/>
    <col min="7426" max="7680" width="9.140625" style="2173"/>
    <col min="7681" max="7681" width="28.5703125" style="2173" bestFit="1" customWidth="1"/>
    <col min="7682" max="7936" width="9.140625" style="2173"/>
    <col min="7937" max="7937" width="28.5703125" style="2173" bestFit="1" customWidth="1"/>
    <col min="7938" max="8192" width="9.140625" style="2173"/>
    <col min="8193" max="8193" width="28.5703125" style="2173" bestFit="1" customWidth="1"/>
    <col min="8194" max="8448" width="9.140625" style="2173"/>
    <col min="8449" max="8449" width="28.5703125" style="2173" bestFit="1" customWidth="1"/>
    <col min="8450" max="8704" width="9.140625" style="2173"/>
    <col min="8705" max="8705" width="28.5703125" style="2173" bestFit="1" customWidth="1"/>
    <col min="8706" max="8960" width="9.140625" style="2173"/>
    <col min="8961" max="8961" width="28.5703125" style="2173" bestFit="1" customWidth="1"/>
    <col min="8962" max="9216" width="9.140625" style="2173"/>
    <col min="9217" max="9217" width="28.5703125" style="2173" bestFit="1" customWidth="1"/>
    <col min="9218" max="9472" width="9.140625" style="2173"/>
    <col min="9473" max="9473" width="28.5703125" style="2173" bestFit="1" customWidth="1"/>
    <col min="9474" max="9728" width="9.140625" style="2173"/>
    <col min="9729" max="9729" width="28.5703125" style="2173" bestFit="1" customWidth="1"/>
    <col min="9730" max="9984" width="9.140625" style="2173"/>
    <col min="9985" max="9985" width="28.5703125" style="2173" bestFit="1" customWidth="1"/>
    <col min="9986" max="10240" width="9.140625" style="2173"/>
    <col min="10241" max="10241" width="28.5703125" style="2173" bestFit="1" customWidth="1"/>
    <col min="10242" max="10496" width="9.140625" style="2173"/>
    <col min="10497" max="10497" width="28.5703125" style="2173" bestFit="1" customWidth="1"/>
    <col min="10498" max="10752" width="9.140625" style="2173"/>
    <col min="10753" max="10753" width="28.5703125" style="2173" bestFit="1" customWidth="1"/>
    <col min="10754" max="11008" width="9.140625" style="2173"/>
    <col min="11009" max="11009" width="28.5703125" style="2173" bestFit="1" customWidth="1"/>
    <col min="11010" max="11264" width="9.140625" style="2173"/>
    <col min="11265" max="11265" width="28.5703125" style="2173" bestFit="1" customWidth="1"/>
    <col min="11266" max="11520" width="9.140625" style="2173"/>
    <col min="11521" max="11521" width="28.5703125" style="2173" bestFit="1" customWidth="1"/>
    <col min="11522" max="11776" width="9.140625" style="2173"/>
    <col min="11777" max="11777" width="28.5703125" style="2173" bestFit="1" customWidth="1"/>
    <col min="11778" max="12032" width="9.140625" style="2173"/>
    <col min="12033" max="12033" width="28.5703125" style="2173" bestFit="1" customWidth="1"/>
    <col min="12034" max="12288" width="9.140625" style="2173"/>
    <col min="12289" max="12289" width="28.5703125" style="2173" bestFit="1" customWidth="1"/>
    <col min="12290" max="12544" width="9.140625" style="2173"/>
    <col min="12545" max="12545" width="28.5703125" style="2173" bestFit="1" customWidth="1"/>
    <col min="12546" max="12800" width="9.140625" style="2173"/>
    <col min="12801" max="12801" width="28.5703125" style="2173" bestFit="1" customWidth="1"/>
    <col min="12802" max="13056" width="9.140625" style="2173"/>
    <col min="13057" max="13057" width="28.5703125" style="2173" bestFit="1" customWidth="1"/>
    <col min="13058" max="13312" width="9.140625" style="2173"/>
    <col min="13313" max="13313" width="28.5703125" style="2173" bestFit="1" customWidth="1"/>
    <col min="13314" max="13568" width="9.140625" style="2173"/>
    <col min="13569" max="13569" width="28.5703125" style="2173" bestFit="1" customWidth="1"/>
    <col min="13570" max="13824" width="9.140625" style="2173"/>
    <col min="13825" max="13825" width="28.5703125" style="2173" bestFit="1" customWidth="1"/>
    <col min="13826" max="14080" width="9.140625" style="2173"/>
    <col min="14081" max="14081" width="28.5703125" style="2173" bestFit="1" customWidth="1"/>
    <col min="14082" max="14336" width="9.140625" style="2173"/>
    <col min="14337" max="14337" width="28.5703125" style="2173" bestFit="1" customWidth="1"/>
    <col min="14338" max="14592" width="9.140625" style="2173"/>
    <col min="14593" max="14593" width="28.5703125" style="2173" bestFit="1" customWidth="1"/>
    <col min="14594" max="14848" width="9.140625" style="2173"/>
    <col min="14849" max="14849" width="28.5703125" style="2173" bestFit="1" customWidth="1"/>
    <col min="14850" max="15104" width="9.140625" style="2173"/>
    <col min="15105" max="15105" width="28.5703125" style="2173" bestFit="1" customWidth="1"/>
    <col min="15106" max="15360" width="9.140625" style="2173"/>
    <col min="15361" max="15361" width="28.5703125" style="2173" bestFit="1" customWidth="1"/>
    <col min="15362" max="15616" width="9.140625" style="2173"/>
    <col min="15617" max="15617" width="28.5703125" style="2173" bestFit="1" customWidth="1"/>
    <col min="15618" max="15872" width="9.140625" style="2173"/>
    <col min="15873" max="15873" width="28.5703125" style="2173" bestFit="1" customWidth="1"/>
    <col min="15874" max="16128" width="9.140625" style="2173"/>
    <col min="16129" max="16129" width="28.5703125" style="2173" bestFit="1" customWidth="1"/>
    <col min="16130" max="16384" width="9.140625" style="2173"/>
  </cols>
  <sheetData>
    <row r="1" spans="1:1">
      <c r="A1" s="2392" t="s">
        <v>3126</v>
      </c>
    </row>
    <row r="2" spans="1:1">
      <c r="A2" s="2392" t="s">
        <v>3131</v>
      </c>
    </row>
    <row r="3" spans="1:1">
      <c r="A3" s="2392" t="s">
        <v>3132</v>
      </c>
    </row>
    <row r="4" spans="1:1">
      <c r="A4" s="2392" t="s">
        <v>3133</v>
      </c>
    </row>
    <row r="5" spans="1:1">
      <c r="A5" s="2392" t="s">
        <v>3134</v>
      </c>
    </row>
    <row r="6" spans="1:1">
      <c r="A6" s="2392" t="s">
        <v>3127</v>
      </c>
    </row>
    <row r="7" spans="1:1">
      <c r="A7" s="2392" t="s">
        <v>3135</v>
      </c>
    </row>
    <row r="8" spans="1:1">
      <c r="A8" s="2392" t="s">
        <v>3136</v>
      </c>
    </row>
    <row r="9" spans="1:1">
      <c r="A9" s="2392" t="s">
        <v>3137</v>
      </c>
    </row>
    <row r="10" spans="1:1">
      <c r="A10" s="2392" t="s">
        <v>3128</v>
      </c>
    </row>
    <row r="11" spans="1:1">
      <c r="A11" s="2392" t="s">
        <v>3138</v>
      </c>
    </row>
    <row r="12" spans="1:1">
      <c r="A12" s="2392" t="s">
        <v>3129</v>
      </c>
    </row>
    <row r="13" spans="1:1">
      <c r="A13" s="2392" t="s">
        <v>3130</v>
      </c>
    </row>
  </sheetData>
  <pageMargins left="0.75" right="0.75" top="1" bottom="1" header="0.5" footer="0.5"/>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F106"/>
  <sheetViews>
    <sheetView showGridLines="0" zoomScale="85" zoomScaleNormal="85" workbookViewId="0">
      <pane xSplit="3" ySplit="8" topLeftCell="D9" activePane="bottomRight" state="frozen"/>
      <selection pane="topRight" activeCell="D1" sqref="D1"/>
      <selection pane="bottomLeft" activeCell="A9" sqref="A9"/>
      <selection pane="bottomRight" activeCell="D9" sqref="D9"/>
    </sheetView>
  </sheetViews>
  <sheetFormatPr defaultRowHeight="12"/>
  <cols>
    <col min="1" max="1" width="1.5703125" style="2224" customWidth="1"/>
    <col min="2" max="2" width="26.85546875" style="2206" bestFit="1" customWidth="1"/>
    <col min="3" max="3" width="0.85546875" style="2206" customWidth="1"/>
    <col min="4" max="4" width="14.5703125" style="2206" bestFit="1" customWidth="1"/>
    <col min="5" max="5" width="8" style="2206" customWidth="1"/>
    <col min="6" max="16" width="9.140625" style="2206"/>
    <col min="17" max="17" width="6.42578125" style="2206" customWidth="1"/>
    <col min="18" max="29" width="9.140625" style="2206"/>
    <col min="30" max="16384" width="9.140625" style="2199"/>
  </cols>
  <sheetData>
    <row r="1" spans="1:31">
      <c r="A1" s="2224" t="s">
        <v>593</v>
      </c>
      <c r="B1" s="2225" t="s">
        <v>2049</v>
      </c>
      <c r="C1" s="2224"/>
      <c r="D1" s="2224"/>
      <c r="E1" s="2224"/>
      <c r="F1" s="2224"/>
      <c r="G1" s="2224"/>
      <c r="H1" s="2224"/>
      <c r="I1" s="2224"/>
      <c r="J1" s="2224"/>
      <c r="K1" s="2224"/>
      <c r="L1" s="2224"/>
      <c r="M1" s="2224"/>
      <c r="N1" s="2224"/>
      <c r="O1" s="2224"/>
      <c r="P1" s="2224"/>
      <c r="Q1" s="2224"/>
      <c r="R1" s="2224"/>
      <c r="S1" s="2224"/>
      <c r="T1" s="2224"/>
      <c r="U1" s="2224"/>
      <c r="V1" s="2224"/>
      <c r="W1" s="2224"/>
      <c r="X1" s="2224"/>
      <c r="Y1" s="2224"/>
      <c r="Z1" s="2224"/>
      <c r="AA1" s="2224"/>
      <c r="AB1" s="2224"/>
      <c r="AC1" s="2224"/>
    </row>
    <row r="2" spans="1:31">
      <c r="B2" s="2224" t="s">
        <v>2050</v>
      </c>
      <c r="C2" s="2224"/>
      <c r="D2" s="2224"/>
      <c r="E2" s="2224"/>
      <c r="F2" s="2224"/>
      <c r="G2" s="2224"/>
      <c r="H2" s="2224"/>
      <c r="I2" s="2224"/>
      <c r="J2" s="2224"/>
      <c r="K2" s="2224"/>
      <c r="L2" s="2224"/>
      <c r="M2" s="2224"/>
      <c r="N2" s="2224"/>
      <c r="O2" s="2224"/>
      <c r="P2" s="2224"/>
      <c r="Q2" s="2226"/>
      <c r="R2" s="2224"/>
      <c r="S2" s="2224"/>
      <c r="T2" s="2224"/>
      <c r="U2" s="2224"/>
      <c r="V2" s="2224"/>
      <c r="W2" s="2224"/>
      <c r="X2" s="2224"/>
      <c r="Y2" s="2224"/>
      <c r="Z2" s="2224"/>
      <c r="AA2" s="2224"/>
      <c r="AB2" s="2224"/>
      <c r="AC2" s="2224"/>
      <c r="AE2" s="2200"/>
    </row>
    <row r="3" spans="1:31">
      <c r="B3" s="2224"/>
      <c r="C3" s="2224"/>
      <c r="D3" s="2224"/>
      <c r="E3" s="2224"/>
      <c r="F3" s="2224"/>
      <c r="G3" s="2224"/>
      <c r="H3" s="2224"/>
      <c r="I3" s="2224"/>
      <c r="J3" s="2224"/>
      <c r="K3" s="2251"/>
      <c r="L3" s="2224"/>
      <c r="M3" s="2224"/>
      <c r="N3" s="2224"/>
      <c r="O3" s="2224"/>
      <c r="P3" s="2224"/>
      <c r="Q3" s="2227"/>
      <c r="R3" s="2224"/>
      <c r="S3" s="2224"/>
      <c r="T3" s="2224"/>
      <c r="U3" s="2224"/>
      <c r="V3" s="2224"/>
      <c r="W3" s="2224"/>
      <c r="X3" s="2224"/>
      <c r="Y3" s="2224"/>
      <c r="Z3" s="2224"/>
      <c r="AA3" s="2224"/>
      <c r="AB3" s="2224"/>
      <c r="AC3" s="2224"/>
      <c r="AE3" s="2201"/>
    </row>
    <row r="4" spans="1:31">
      <c r="B4" s="2225" t="s">
        <v>2051</v>
      </c>
      <c r="C4" s="2224"/>
      <c r="D4" s="2224"/>
      <c r="E4" s="2224"/>
      <c r="F4" s="2224"/>
      <c r="G4" s="2224"/>
      <c r="H4" s="2224"/>
      <c r="I4" s="2224"/>
      <c r="J4" s="2224"/>
      <c r="K4" s="2251"/>
      <c r="L4" s="2224"/>
      <c r="M4" s="2224"/>
      <c r="N4" s="2224"/>
      <c r="O4" s="2224"/>
      <c r="P4" s="2224"/>
      <c r="Q4" s="2228"/>
      <c r="R4" s="2224"/>
      <c r="S4" s="2224"/>
      <c r="T4" s="2224"/>
      <c r="U4" s="2224"/>
      <c r="V4" s="2224"/>
      <c r="W4" s="2224"/>
      <c r="X4" s="2224"/>
      <c r="Y4" s="2224"/>
      <c r="Z4" s="2224"/>
      <c r="AA4" s="2224"/>
      <c r="AB4" s="2224"/>
      <c r="AC4" s="2224"/>
      <c r="AE4" s="2202"/>
    </row>
    <row r="5" spans="1:31">
      <c r="B5" s="2204" t="s">
        <v>1060</v>
      </c>
      <c r="C5" s="2203"/>
      <c r="D5" s="2203"/>
      <c r="E5" s="2203"/>
      <c r="F5" s="2203"/>
      <c r="G5" s="2203"/>
      <c r="H5" s="2203"/>
      <c r="I5" s="2203"/>
      <c r="J5" s="2203"/>
      <c r="K5" s="2203"/>
      <c r="L5" s="2203"/>
      <c r="M5" s="2203"/>
      <c r="N5" s="2203"/>
      <c r="O5" s="2203"/>
      <c r="P5" s="2203"/>
      <c r="Q5" s="2205"/>
      <c r="R5" s="2203"/>
      <c r="S5" s="2203"/>
      <c r="T5" s="2203"/>
      <c r="U5" s="2203"/>
      <c r="V5" s="2203"/>
      <c r="W5" s="2203"/>
      <c r="X5" s="2203"/>
      <c r="Y5" s="2203"/>
      <c r="Z5" s="2203"/>
      <c r="AA5" s="2203"/>
      <c r="AB5" s="2203"/>
      <c r="AC5" s="2203"/>
      <c r="AE5" s="2202"/>
    </row>
    <row r="6" spans="1:31">
      <c r="B6" s="2207"/>
      <c r="C6" s="2207"/>
      <c r="D6" s="2208">
        <v>2008</v>
      </c>
      <c r="E6" s="2208">
        <v>2009</v>
      </c>
      <c r="F6" s="2208">
        <v>2010</v>
      </c>
      <c r="G6" s="2208">
        <v>2011</v>
      </c>
      <c r="H6" s="2208">
        <v>2012</v>
      </c>
      <c r="I6" s="2208">
        <v>2013</v>
      </c>
      <c r="J6" s="2208">
        <v>2014</v>
      </c>
      <c r="K6" s="2209">
        <v>2015</v>
      </c>
      <c r="L6" s="2209">
        <v>2016</v>
      </c>
      <c r="M6" s="2209">
        <v>2017</v>
      </c>
      <c r="N6" s="2209">
        <v>2018</v>
      </c>
      <c r="O6" s="2209">
        <v>2019</v>
      </c>
      <c r="P6" s="2209">
        <v>2020</v>
      </c>
      <c r="Q6" s="2207"/>
      <c r="R6" s="2208">
        <v>2015</v>
      </c>
      <c r="S6" s="2208">
        <v>2015</v>
      </c>
      <c r="T6" s="2208">
        <v>2016</v>
      </c>
      <c r="U6" s="2208">
        <v>2016</v>
      </c>
      <c r="V6" s="2208">
        <v>2017</v>
      </c>
      <c r="W6" s="2208">
        <v>2017</v>
      </c>
      <c r="X6" s="2208">
        <v>2018</v>
      </c>
      <c r="Y6" s="2208">
        <v>2018</v>
      </c>
      <c r="Z6" s="2208">
        <v>2019</v>
      </c>
      <c r="AA6" s="2208">
        <v>2019</v>
      </c>
      <c r="AB6" s="2208">
        <v>2020</v>
      </c>
      <c r="AC6" s="2208">
        <v>2020</v>
      </c>
    </row>
    <row r="7" spans="1:31">
      <c r="B7" s="2207" t="s">
        <v>2052</v>
      </c>
      <c r="C7" s="2207"/>
      <c r="D7" s="2210">
        <v>39447</v>
      </c>
      <c r="E7" s="2210">
        <v>39447</v>
      </c>
      <c r="F7" s="2210">
        <v>39447</v>
      </c>
      <c r="G7" s="2210">
        <v>39447</v>
      </c>
      <c r="H7" s="2210">
        <v>39447</v>
      </c>
      <c r="I7" s="2210">
        <v>39447</v>
      </c>
      <c r="J7" s="2210">
        <v>39447</v>
      </c>
      <c r="K7" s="2210">
        <v>39447</v>
      </c>
      <c r="L7" s="2210">
        <v>39447</v>
      </c>
      <c r="M7" s="2210">
        <v>39447</v>
      </c>
      <c r="N7" s="2210">
        <v>39447</v>
      </c>
      <c r="O7" s="2210">
        <v>39447</v>
      </c>
      <c r="P7" s="2210">
        <v>39447</v>
      </c>
      <c r="Q7" s="2207"/>
      <c r="R7" s="2210">
        <v>39629</v>
      </c>
      <c r="S7" s="2210">
        <v>39447</v>
      </c>
      <c r="T7" s="2210">
        <v>39629</v>
      </c>
      <c r="U7" s="2210">
        <v>39447</v>
      </c>
      <c r="V7" s="2210">
        <v>39629</v>
      </c>
      <c r="W7" s="2210">
        <v>39447</v>
      </c>
      <c r="X7" s="2210">
        <v>39629</v>
      </c>
      <c r="Y7" s="2210">
        <v>39447</v>
      </c>
      <c r="Z7" s="2210">
        <v>39629</v>
      </c>
      <c r="AA7" s="2210">
        <v>39447</v>
      </c>
      <c r="AB7" s="2210">
        <v>39629</v>
      </c>
      <c r="AC7" s="2210">
        <v>39447</v>
      </c>
    </row>
    <row r="8" spans="1:31" ht="12.75" thickBot="1">
      <c r="A8" s="2199"/>
      <c r="B8" s="2211" t="s">
        <v>2053</v>
      </c>
      <c r="C8" s="2211"/>
      <c r="D8" s="2212" t="s">
        <v>2048</v>
      </c>
      <c r="E8" s="2212" t="s">
        <v>2048</v>
      </c>
      <c r="F8" s="2212" t="s">
        <v>2048</v>
      </c>
      <c r="G8" s="2212" t="s">
        <v>2048</v>
      </c>
      <c r="H8" s="2212" t="s">
        <v>2048</v>
      </c>
      <c r="I8" s="2212" t="s">
        <v>2048</v>
      </c>
      <c r="J8" s="2212" t="s">
        <v>2048</v>
      </c>
      <c r="K8" s="2212" t="s">
        <v>2048</v>
      </c>
      <c r="L8" s="2212" t="s">
        <v>2048</v>
      </c>
      <c r="M8" s="2212" t="s">
        <v>2048</v>
      </c>
      <c r="N8" s="2212" t="s">
        <v>2048</v>
      </c>
      <c r="O8" s="2212" t="s">
        <v>2048</v>
      </c>
      <c r="P8" s="2212" t="s">
        <v>2048</v>
      </c>
      <c r="Q8" s="2211"/>
      <c r="R8" s="2212" t="s">
        <v>2046</v>
      </c>
      <c r="S8" s="2212" t="s">
        <v>2047</v>
      </c>
      <c r="T8" s="2212" t="s">
        <v>2046</v>
      </c>
      <c r="U8" s="2212" t="s">
        <v>2047</v>
      </c>
      <c r="V8" s="2212" t="s">
        <v>2046</v>
      </c>
      <c r="W8" s="2212" t="s">
        <v>2047</v>
      </c>
      <c r="X8" s="2212" t="s">
        <v>2046</v>
      </c>
      <c r="Y8" s="2212" t="s">
        <v>2047</v>
      </c>
      <c r="Z8" s="2212" t="s">
        <v>2046</v>
      </c>
      <c r="AA8" s="2212" t="s">
        <v>2047</v>
      </c>
      <c r="AB8" s="2212" t="s">
        <v>2046</v>
      </c>
      <c r="AC8" s="2212" t="s">
        <v>2047</v>
      </c>
    </row>
    <row r="9" spans="1:31" ht="12.75" thickTop="1">
      <c r="A9" s="2199"/>
      <c r="B9" s="2213" t="s">
        <v>2054</v>
      </c>
      <c r="C9" s="2214"/>
      <c r="D9" s="2231">
        <v>133.04000000000002</v>
      </c>
      <c r="E9" s="2231">
        <v>169.38299999999998</v>
      </c>
      <c r="F9" s="2231">
        <v>196.39699999999999</v>
      </c>
      <c r="G9" s="2231">
        <v>239.81799999999998</v>
      </c>
      <c r="H9" s="2231">
        <v>282.95</v>
      </c>
      <c r="I9" s="2231">
        <v>325.55</v>
      </c>
      <c r="J9" s="2231">
        <v>348.69500000000005</v>
      </c>
      <c r="K9" s="2231">
        <v>353.88749634224365</v>
      </c>
      <c r="L9" s="2231">
        <v>385.4892004320011</v>
      </c>
      <c r="M9" s="2231">
        <v>433.12280314712683</v>
      </c>
      <c r="N9" s="2220">
        <f>+SUM(X9:Y9)</f>
        <v>480.09196145419548</v>
      </c>
      <c r="O9" s="2220">
        <f>+SUM(Z9:AA9)</f>
        <v>528.96367037364291</v>
      </c>
      <c r="P9" s="2220">
        <f>+SUM(AB9:AC9)</f>
        <v>579.7411948591465</v>
      </c>
      <c r="Q9" s="2231"/>
      <c r="R9" s="2231">
        <v>173.45600000000002</v>
      </c>
      <c r="S9" s="2231">
        <v>180.43149634224363</v>
      </c>
      <c r="T9" s="2231">
        <v>185.90367569228809</v>
      </c>
      <c r="U9" s="2231">
        <v>199.58552473971298</v>
      </c>
      <c r="V9" s="2231">
        <v>208.73512268906484</v>
      </c>
      <c r="W9" s="2231">
        <v>224.38768045806199</v>
      </c>
      <c r="X9" s="2231">
        <v>231.24558689545182</v>
      </c>
      <c r="Y9" s="2231">
        <v>248.84637455874366</v>
      </c>
      <c r="Z9" s="2231">
        <v>254.66310667915266</v>
      </c>
      <c r="AA9" s="2231">
        <v>274.30056369449028</v>
      </c>
      <c r="AB9" s="2231">
        <v>278.98953195092645</v>
      </c>
      <c r="AC9" s="2231">
        <v>300.75166290822006</v>
      </c>
    </row>
    <row r="10" spans="1:31">
      <c r="B10" s="2229" t="s">
        <v>1322</v>
      </c>
      <c r="C10" s="2214"/>
      <c r="D10" s="2232">
        <v>0.35871563380857086</v>
      </c>
      <c r="E10" s="2232">
        <v>0.27317348165965094</v>
      </c>
      <c r="F10" s="2232">
        <v>0.15948471806497699</v>
      </c>
      <c r="G10" s="2232">
        <v>0.22108789849132116</v>
      </c>
      <c r="H10" s="2232">
        <v>0.17985305523355222</v>
      </c>
      <c r="I10" s="2232">
        <v>0.15055663544795905</v>
      </c>
      <c r="J10" s="2232">
        <v>7.1095069881738748E-2</v>
      </c>
      <c r="K10" s="2232">
        <v>1.4891226837906002E-2</v>
      </c>
      <c r="L10" s="2232">
        <v>8.9298730292509454E-2</v>
      </c>
      <c r="M10" s="2232">
        <v>0.12356663341474894</v>
      </c>
      <c r="N10" s="2230">
        <f>+N9/M9-1</f>
        <v>0.10844305117575104</v>
      </c>
      <c r="O10" s="2230">
        <f>+O9/N9-1</f>
        <v>0.10179655741665683</v>
      </c>
      <c r="P10" s="2230">
        <f>+P9/O9-1</f>
        <v>9.5994351463940752E-2</v>
      </c>
      <c r="Q10" s="2232"/>
      <c r="R10" s="2232">
        <v>-3.6303478700425718E-3</v>
      </c>
      <c r="S10" s="2232">
        <v>3.3357748213093341E-2</v>
      </c>
      <c r="T10" s="2230">
        <f t="shared" ref="T10:AC10" si="0">+T9/R9-1</f>
        <v>7.1762727678996718E-2</v>
      </c>
      <c r="U10" s="2230">
        <f t="shared" si="0"/>
        <v>0.10615678961691843</v>
      </c>
      <c r="V10" s="2230">
        <f t="shared" si="0"/>
        <v>0.12281331669077855</v>
      </c>
      <c r="W10" s="2230">
        <f t="shared" si="0"/>
        <v>0.12426830929093891</v>
      </c>
      <c r="X10" s="2230">
        <f t="shared" si="0"/>
        <v>0.10784224483351057</v>
      </c>
      <c r="Y10" s="2230">
        <f t="shared" si="0"/>
        <v>0.10900194721364387</v>
      </c>
      <c r="Z10" s="2230">
        <f t="shared" si="0"/>
        <v>0.10126688296234643</v>
      </c>
      <c r="AA10" s="2230">
        <f t="shared" si="0"/>
        <v>0.10228876824459343</v>
      </c>
      <c r="AB10" s="2230">
        <f t="shared" si="0"/>
        <v>9.5523947653801233E-2</v>
      </c>
      <c r="AC10" s="2230">
        <f t="shared" si="0"/>
        <v>9.6431078585716756E-2</v>
      </c>
    </row>
    <row r="11" spans="1:31">
      <c r="B11" s="2229" t="s">
        <v>2113</v>
      </c>
      <c r="C11" s="2214"/>
      <c r="D11" s="2232">
        <v>0.27850296342610181</v>
      </c>
      <c r="E11" s="2232">
        <v>0.20768335901501889</v>
      </c>
      <c r="F11" s="2232">
        <v>0.17370986208206829</v>
      </c>
      <c r="G11" s="2232">
        <v>0.16717676380169078</v>
      </c>
      <c r="H11" s="2232">
        <v>0.16092586589709246</v>
      </c>
      <c r="I11" s="2232">
        <v>7.3582249025021085E-2</v>
      </c>
      <c r="J11" s="2232">
        <v>0.10998039303181129</v>
      </c>
      <c r="K11" s="2232">
        <v>9.7326535245404688E-2</v>
      </c>
      <c r="L11" s="2232">
        <v>9.7903917366493065E-2</v>
      </c>
      <c r="M11" s="2232">
        <v>0.1235666334147487</v>
      </c>
      <c r="N11" s="2232">
        <v>0.10844305117575126</v>
      </c>
      <c r="O11" s="2232">
        <v>0.10179655741665683</v>
      </c>
      <c r="P11" s="2232">
        <v>9.599435146394053E-2</v>
      </c>
      <c r="Q11" s="2232"/>
      <c r="R11" s="2232">
        <v>9.4486881776280285E-2</v>
      </c>
      <c r="S11" s="2232">
        <v>0.1001695647573191</v>
      </c>
      <c r="T11" s="2232">
        <v>8.9731149077994621E-2</v>
      </c>
      <c r="U11" s="2232">
        <v>0.10527155828843249</v>
      </c>
      <c r="V11" s="2232">
        <v>0.12281331669077855</v>
      </c>
      <c r="W11" s="2232">
        <v>0.12426830929093891</v>
      </c>
      <c r="X11" s="2232">
        <v>0.10784224483351057</v>
      </c>
      <c r="Y11" s="2232">
        <v>0.10900194721364387</v>
      </c>
      <c r="Z11" s="2232">
        <v>0.10126688296234643</v>
      </c>
      <c r="AA11" s="2232">
        <v>0.10228876824459321</v>
      </c>
      <c r="AB11" s="2232">
        <v>9.5523947653801011E-2</v>
      </c>
      <c r="AC11" s="2232">
        <v>9.6431078585716756E-2</v>
      </c>
    </row>
    <row r="12" spans="1:31">
      <c r="B12" s="2198" t="s">
        <v>1109</v>
      </c>
      <c r="C12" s="2214"/>
      <c r="D12" s="2233">
        <v>63.235000000000014</v>
      </c>
      <c r="E12" s="2233">
        <v>88.726999999999975</v>
      </c>
      <c r="F12" s="2233">
        <v>109.773</v>
      </c>
      <c r="G12" s="2233">
        <v>134.70099999999996</v>
      </c>
      <c r="H12" s="2233">
        <v>162.75099999999998</v>
      </c>
      <c r="I12" s="2233">
        <v>186.65100000000001</v>
      </c>
      <c r="J12" s="2233">
        <v>202.09100000000004</v>
      </c>
      <c r="K12" s="2233">
        <v>208.33432362375515</v>
      </c>
      <c r="L12" s="2233">
        <v>227.72139645660235</v>
      </c>
      <c r="M12" s="2233">
        <v>258.02633406378817</v>
      </c>
      <c r="N12" s="2220">
        <f>+SUM(X12:Y12)</f>
        <v>287.4482719360019</v>
      </c>
      <c r="O12" s="2220">
        <f>+SUM(Z12:AA12)</f>
        <v>316.71000385532619</v>
      </c>
      <c r="P12" s="2220">
        <f>+SUM(AB12:AC12)</f>
        <v>347.11285197265659</v>
      </c>
      <c r="Q12" s="2233"/>
      <c r="R12" s="2233">
        <v>101.76200000000001</v>
      </c>
      <c r="S12" s="2233">
        <v>106.57232362375514</v>
      </c>
      <c r="T12" s="2233">
        <v>109.43652604545467</v>
      </c>
      <c r="U12" s="2233">
        <v>118.28487041114769</v>
      </c>
      <c r="V12" s="2233">
        <v>123.92046438965905</v>
      </c>
      <c r="W12" s="2233">
        <v>134.10586967412914</v>
      </c>
      <c r="X12" s="2233">
        <v>137.97806221093731</v>
      </c>
      <c r="Y12" s="2233">
        <v>149.47020972506459</v>
      </c>
      <c r="Z12" s="2233">
        <v>151.95067048822369</v>
      </c>
      <c r="AA12" s="2233">
        <v>164.7593333671025</v>
      </c>
      <c r="AB12" s="2233">
        <v>166.46559838190075</v>
      </c>
      <c r="AC12" s="2233">
        <v>180.64725359075587</v>
      </c>
    </row>
    <row r="13" spans="1:31">
      <c r="B13" s="2229" t="s">
        <v>2114</v>
      </c>
      <c r="C13" s="2214"/>
      <c r="D13" s="2232">
        <v>0.47530817799158148</v>
      </c>
      <c r="E13" s="2232">
        <v>0.52382470495858491</v>
      </c>
      <c r="F13" s="2232">
        <v>0.55893419960590029</v>
      </c>
      <c r="G13" s="2232">
        <v>0.56168010741478946</v>
      </c>
      <c r="H13" s="2232">
        <v>0.57519349708429046</v>
      </c>
      <c r="I13" s="2232">
        <v>0.57334050069113807</v>
      </c>
      <c r="J13" s="2232">
        <v>0.57956380217668735</v>
      </c>
      <c r="K13" s="2232">
        <v>0.58870213211001832</v>
      </c>
      <c r="L13" s="2232">
        <v>0.59073353080035662</v>
      </c>
      <c r="M13" s="2232">
        <v>0.59573481744423318</v>
      </c>
      <c r="N13" s="2230">
        <f>+N12/N9</f>
        <v>0.59873585690817011</v>
      </c>
      <c r="O13" s="2230">
        <f>+O12/O9</f>
        <v>0.5987367783341575</v>
      </c>
      <c r="P13" s="2230">
        <f>+P12/P9</f>
        <v>0.59873760058915748</v>
      </c>
      <c r="Q13" s="2232"/>
      <c r="R13" s="2232">
        <v>0.58667327737293606</v>
      </c>
      <c r="S13" s="2232">
        <v>0.59065255115774284</v>
      </c>
      <c r="T13" s="2230">
        <f>+T12/T9</f>
        <v>0.58867327737293618</v>
      </c>
      <c r="U13" s="2230">
        <f t="shared" ref="U13:AC13" si="1">+U12/U9</f>
        <v>0.59265255115774285</v>
      </c>
      <c r="V13" s="2230">
        <f t="shared" si="1"/>
        <v>0.59367327737293618</v>
      </c>
      <c r="W13" s="2230">
        <f t="shared" si="1"/>
        <v>0.59765255115774274</v>
      </c>
      <c r="X13" s="2230">
        <f t="shared" si="1"/>
        <v>0.59667327737293607</v>
      </c>
      <c r="Y13" s="2230">
        <f t="shared" si="1"/>
        <v>0.60065255115774274</v>
      </c>
      <c r="Z13" s="2230">
        <f t="shared" si="1"/>
        <v>0.59667327737293618</v>
      </c>
      <c r="AA13" s="2230">
        <f t="shared" si="1"/>
        <v>0.60065255115774274</v>
      </c>
      <c r="AB13" s="2230">
        <f t="shared" si="1"/>
        <v>0.59667327737293607</v>
      </c>
      <c r="AC13" s="2230">
        <f t="shared" si="1"/>
        <v>0.60065255115774285</v>
      </c>
    </row>
    <row r="14" spans="1:31">
      <c r="B14" s="2198" t="s">
        <v>2055</v>
      </c>
      <c r="C14" s="2214"/>
      <c r="D14" s="2233">
        <v>-6.7469999999999999</v>
      </c>
      <c r="E14" s="2233">
        <v>-6.415</v>
      </c>
      <c r="F14" s="2233">
        <v>-7.5170000000000003</v>
      </c>
      <c r="G14" s="2233">
        <v>-9.0510000000000002</v>
      </c>
      <c r="H14" s="2233">
        <v>-10.894</v>
      </c>
      <c r="I14" s="2233">
        <v>-11.964</v>
      </c>
      <c r="J14" s="2233">
        <v>-13.47</v>
      </c>
      <c r="K14" s="2233">
        <v>-16.224432618495097</v>
      </c>
      <c r="L14" s="2233">
        <v>-17.697237379270931</v>
      </c>
      <c r="M14" s="2233">
        <v>-19.885129650904368</v>
      </c>
      <c r="N14" s="2220">
        <f>+SUM(X14:Y14)</f>
        <v>-20.602246732440847</v>
      </c>
      <c r="O14" s="2220">
        <f>+SUM(Z14:AA14)</f>
        <v>-22.700450299109718</v>
      </c>
      <c r="P14" s="2220">
        <f>+SUM(AB14:AC14)</f>
        <v>-24.880509864507069</v>
      </c>
      <c r="Q14" s="2233"/>
      <c r="R14" s="2233">
        <v>-7.2549999999999999</v>
      </c>
      <c r="S14" s="2233">
        <v>-8.9694326184950981</v>
      </c>
      <c r="T14" s="2233">
        <v>-7.7756385893111224</v>
      </c>
      <c r="U14" s="2233">
        <v>-9.9215987899598073</v>
      </c>
      <c r="V14" s="2233">
        <v>-8.7305905538532276</v>
      </c>
      <c r="W14" s="2233">
        <v>-11.154539097051138</v>
      </c>
      <c r="X14" s="2233">
        <v>-8.9783802772166439</v>
      </c>
      <c r="Y14" s="2233">
        <v>-11.623866455224203</v>
      </c>
      <c r="Z14" s="2233">
        <v>-9.8875928619409823</v>
      </c>
      <c r="AA14" s="2233">
        <v>-12.812857437168734</v>
      </c>
      <c r="AB14" s="2233">
        <v>-10.832094764907133</v>
      </c>
      <c r="AC14" s="2233">
        <v>-14.048415099599938</v>
      </c>
    </row>
    <row r="15" spans="1:31">
      <c r="B15" s="2198" t="s">
        <v>2056</v>
      </c>
      <c r="C15" s="2214"/>
      <c r="D15" s="2233">
        <v>-16.062000000000001</v>
      </c>
      <c r="E15" s="2233">
        <v>-18.396999999999998</v>
      </c>
      <c r="F15" s="2233">
        <v>-18.818999999999999</v>
      </c>
      <c r="G15" s="2233">
        <v>-19.492000000000001</v>
      </c>
      <c r="H15" s="2233">
        <v>-22.395</v>
      </c>
      <c r="I15" s="2233">
        <v>-21.448</v>
      </c>
      <c r="J15" s="2233">
        <v>-24.895</v>
      </c>
      <c r="K15" s="2233">
        <v>-26.531347577250727</v>
      </c>
      <c r="L15" s="2233">
        <v>-28.121784025897625</v>
      </c>
      <c r="M15" s="2233">
        <v>-31.596339046113542</v>
      </c>
      <c r="N15" s="2220">
        <f>+SUM(X15:Y15)</f>
        <v>-35.022420833574714</v>
      </c>
      <c r="O15" s="2220">
        <f>+SUM(Z15:AA15)</f>
        <v>-38.587268582328647</v>
      </c>
      <c r="P15" s="2220">
        <f>+SUM(AB15:AC15)</f>
        <v>-42.29112117990767</v>
      </c>
      <c r="Q15" s="2233"/>
      <c r="R15" s="2233">
        <v>-13.231</v>
      </c>
      <c r="S15" s="2233">
        <v>-13.300347577250726</v>
      </c>
      <c r="T15" s="2233">
        <v>-13.808685298536231</v>
      </c>
      <c r="U15" s="2233">
        <v>-14.313098727361396</v>
      </c>
      <c r="V15" s="2233">
        <v>-15.504575739188658</v>
      </c>
      <c r="W15" s="2233">
        <v>-16.091763306924886</v>
      </c>
      <c r="X15" s="2233">
        <v>-17.176623992093948</v>
      </c>
      <c r="Y15" s="2233">
        <v>-17.845796841480766</v>
      </c>
      <c r="Z15" s="2233">
        <v>-18.916047163589557</v>
      </c>
      <c r="AA15" s="2233">
        <v>-19.671221418739087</v>
      </c>
      <c r="AB15" s="2233">
        <v>-20.722982662661121</v>
      </c>
      <c r="AC15" s="2233">
        <v>-21.568138517246549</v>
      </c>
    </row>
    <row r="16" spans="1:31">
      <c r="B16" s="2198" t="s">
        <v>756</v>
      </c>
      <c r="C16" s="2214"/>
      <c r="D16" s="2233">
        <v>-22.809000000000001</v>
      </c>
      <c r="E16" s="2233">
        <v>-24.811999999999998</v>
      </c>
      <c r="F16" s="2233">
        <v>-26.335999999999999</v>
      </c>
      <c r="G16" s="2233">
        <v>-28.542999999999999</v>
      </c>
      <c r="H16" s="2233">
        <v>-33.289000000000001</v>
      </c>
      <c r="I16" s="2233">
        <v>-33.411999999999999</v>
      </c>
      <c r="J16" s="2233">
        <v>-38.365000000000002</v>
      </c>
      <c r="K16" s="2233">
        <v>-42.755780195745828</v>
      </c>
      <c r="L16" s="2233">
        <v>-45.819021405168556</v>
      </c>
      <c r="M16" s="2233">
        <v>-51.48146869701791</v>
      </c>
      <c r="N16" s="2221">
        <f>+N14+N15</f>
        <v>-55.62466756601556</v>
      </c>
      <c r="O16" s="2221">
        <f>+O14+O15</f>
        <v>-61.287718881438366</v>
      </c>
      <c r="P16" s="2221">
        <f>+P14+P15</f>
        <v>-67.171631044414738</v>
      </c>
      <c r="Q16" s="2233"/>
      <c r="R16" s="2233">
        <v>-20.486000000000001</v>
      </c>
      <c r="S16" s="2233">
        <v>-22.269780195745824</v>
      </c>
      <c r="T16" s="2221">
        <f>+T14+T15</f>
        <v>-21.584323887847354</v>
      </c>
      <c r="U16" s="2221">
        <f t="shared" ref="U16:AC16" si="2">+U14+U15</f>
        <v>-24.234697517321202</v>
      </c>
      <c r="V16" s="2221">
        <f t="shared" si="2"/>
        <v>-24.235166293041885</v>
      </c>
      <c r="W16" s="2221">
        <f t="shared" si="2"/>
        <v>-27.246302403976024</v>
      </c>
      <c r="X16" s="2221">
        <f t="shared" si="2"/>
        <v>-26.155004269310592</v>
      </c>
      <c r="Y16" s="2221">
        <f t="shared" si="2"/>
        <v>-29.469663296704969</v>
      </c>
      <c r="Z16" s="2221">
        <f t="shared" si="2"/>
        <v>-28.803640025530541</v>
      </c>
      <c r="AA16" s="2221">
        <f t="shared" si="2"/>
        <v>-32.484078855907825</v>
      </c>
      <c r="AB16" s="2221">
        <f t="shared" si="2"/>
        <v>-31.555077427568254</v>
      </c>
      <c r="AC16" s="2221">
        <f t="shared" si="2"/>
        <v>-35.616553616846488</v>
      </c>
    </row>
    <row r="17" spans="1:29" s="2216" customFormat="1">
      <c r="A17" s="2225"/>
      <c r="B17" s="2213" t="s">
        <v>994</v>
      </c>
      <c r="C17" s="2215"/>
      <c r="D17" s="2231">
        <v>40.426000000000016</v>
      </c>
      <c r="E17" s="2231">
        <v>63.914999999999978</v>
      </c>
      <c r="F17" s="2231">
        <v>83.436999999999998</v>
      </c>
      <c r="G17" s="2231">
        <v>106.15799999999996</v>
      </c>
      <c r="H17" s="2231">
        <v>129.46199999999999</v>
      </c>
      <c r="I17" s="2231">
        <v>153.239</v>
      </c>
      <c r="J17" s="2231">
        <v>163.72600000000003</v>
      </c>
      <c r="K17" s="2231">
        <v>165.57854342800931</v>
      </c>
      <c r="L17" s="2231">
        <v>181.90237505143381</v>
      </c>
      <c r="M17" s="2231">
        <v>206.54486536677027</v>
      </c>
      <c r="N17" s="2220">
        <f>+N12+N16</f>
        <v>231.82360436998636</v>
      </c>
      <c r="O17" s="2220">
        <f>+O12+O16</f>
        <v>255.42228497388783</v>
      </c>
      <c r="P17" s="2220">
        <f>+P12+P16</f>
        <v>279.94122092824182</v>
      </c>
      <c r="Q17" s="2240"/>
      <c r="R17" s="2231">
        <v>81.27600000000001</v>
      </c>
      <c r="S17" s="2231">
        <v>84.302543428009315</v>
      </c>
      <c r="T17" s="2220">
        <f>+T12+T16</f>
        <v>87.852202157607309</v>
      </c>
      <c r="U17" s="2220">
        <f t="shared" ref="U17:AC17" si="3">+U12+U16</f>
        <v>94.050172893826499</v>
      </c>
      <c r="V17" s="2220">
        <f t="shared" si="3"/>
        <v>99.68529809661716</v>
      </c>
      <c r="W17" s="2220">
        <f t="shared" si="3"/>
        <v>106.85956727015312</v>
      </c>
      <c r="X17" s="2220">
        <f t="shared" si="3"/>
        <v>111.82305794162671</v>
      </c>
      <c r="Y17" s="2220">
        <f t="shared" si="3"/>
        <v>120.00054642835963</v>
      </c>
      <c r="Z17" s="2220">
        <f t="shared" si="3"/>
        <v>123.14703046269315</v>
      </c>
      <c r="AA17" s="2220">
        <f t="shared" si="3"/>
        <v>132.27525451119467</v>
      </c>
      <c r="AB17" s="2220">
        <f t="shared" si="3"/>
        <v>134.9105209543325</v>
      </c>
      <c r="AC17" s="2220">
        <f t="shared" si="3"/>
        <v>145.03069997390938</v>
      </c>
    </row>
    <row r="18" spans="1:29">
      <c r="B18" s="2229" t="s">
        <v>1731</v>
      </c>
      <c r="C18" s="2214"/>
      <c r="D18" s="2230">
        <f>+D17/D9</f>
        <v>0.30386349969933862</v>
      </c>
      <c r="E18" s="2230">
        <f t="shared" ref="E18:N18" si="4">+E17/E9</f>
        <v>0.37734011087299191</v>
      </c>
      <c r="F18" s="2230">
        <f t="shared" si="4"/>
        <v>0.42483846494600225</v>
      </c>
      <c r="G18" s="2230">
        <f t="shared" si="4"/>
        <v>0.44266068435230033</v>
      </c>
      <c r="H18" s="2230">
        <f t="shared" si="4"/>
        <v>0.45754373564233963</v>
      </c>
      <c r="I18" s="2230">
        <f t="shared" si="4"/>
        <v>0.4707080325602826</v>
      </c>
      <c r="J18" s="2230">
        <f t="shared" si="4"/>
        <v>0.46953928218070234</v>
      </c>
      <c r="K18" s="2230">
        <f t="shared" si="4"/>
        <v>0.46788469538883831</v>
      </c>
      <c r="L18" s="2230">
        <f t="shared" si="4"/>
        <v>0.47187411436580756</v>
      </c>
      <c r="M18" s="2230">
        <f t="shared" si="4"/>
        <v>0.47687368078057379</v>
      </c>
      <c r="N18" s="2230">
        <f t="shared" si="4"/>
        <v>0.48287333049233766</v>
      </c>
      <c r="O18" s="2230">
        <f>+O17/O9</f>
        <v>0.4828730199816289</v>
      </c>
      <c r="P18" s="2230">
        <f>+P17/P9</f>
        <v>0.4828727428904826</v>
      </c>
      <c r="Q18" s="2232"/>
      <c r="R18" s="2230">
        <f t="shared" ref="R18:AC18" si="5">+R17/R9</f>
        <v>0.46856839774928516</v>
      </c>
      <c r="S18" s="2230">
        <f t="shared" si="5"/>
        <v>0.46722742501732462</v>
      </c>
      <c r="T18" s="2230">
        <f t="shared" si="5"/>
        <v>0.47256839774928516</v>
      </c>
      <c r="U18" s="2230">
        <f t="shared" si="5"/>
        <v>0.47122742501732467</v>
      </c>
      <c r="V18" s="2230">
        <f t="shared" si="5"/>
        <v>0.47756839774928517</v>
      </c>
      <c r="W18" s="2230">
        <f t="shared" si="5"/>
        <v>0.47622742501732462</v>
      </c>
      <c r="X18" s="2230">
        <f t="shared" si="5"/>
        <v>0.48356839774928512</v>
      </c>
      <c r="Y18" s="2230">
        <f t="shared" si="5"/>
        <v>0.48222742501732457</v>
      </c>
      <c r="Z18" s="2230">
        <f t="shared" si="5"/>
        <v>0.48356839774928523</v>
      </c>
      <c r="AA18" s="2230">
        <f t="shared" si="5"/>
        <v>0.48222742501732457</v>
      </c>
      <c r="AB18" s="2230">
        <f t="shared" si="5"/>
        <v>0.48356839774928517</v>
      </c>
      <c r="AC18" s="2230">
        <f t="shared" si="5"/>
        <v>0.48222742501732463</v>
      </c>
    </row>
    <row r="19" spans="1:29">
      <c r="B19" s="2198" t="s">
        <v>2057</v>
      </c>
      <c r="C19" s="2214"/>
      <c r="D19" s="2233">
        <v>18.323000000000015</v>
      </c>
      <c r="E19" s="2233">
        <v>39.101999999999983</v>
      </c>
      <c r="F19" s="2233">
        <v>55.172999999999995</v>
      </c>
      <c r="G19" s="2233">
        <v>65.358999999999966</v>
      </c>
      <c r="H19" s="2233">
        <v>84.227999999999994</v>
      </c>
      <c r="I19" s="2233">
        <v>97.353000000000009</v>
      </c>
      <c r="J19" s="2233">
        <v>90.014000000000038</v>
      </c>
      <c r="K19" s="2233">
        <v>76.586541782406883</v>
      </c>
      <c r="L19" s="2233">
        <v>120.76894454757907</v>
      </c>
      <c r="M19" s="2233">
        <v>140.99527684651522</v>
      </c>
      <c r="N19" s="2233"/>
      <c r="O19" s="2233"/>
      <c r="P19" s="2233"/>
      <c r="Q19" s="2233"/>
      <c r="R19" s="2233">
        <v>21.051000000000016</v>
      </c>
      <c r="S19" s="2233">
        <v>55.535541782406874</v>
      </c>
      <c r="T19" s="2221"/>
      <c r="U19" s="2221"/>
      <c r="V19" s="2221"/>
      <c r="W19" s="2221"/>
      <c r="X19" s="2221"/>
      <c r="Y19" s="2221"/>
      <c r="Z19" s="2221"/>
      <c r="AA19" s="2221"/>
      <c r="AB19" s="2221"/>
      <c r="AC19" s="2221"/>
    </row>
    <row r="20" spans="1:29">
      <c r="B20" s="2198" t="s">
        <v>2058</v>
      </c>
      <c r="C20" s="2214"/>
      <c r="D20" s="2233">
        <v>0</v>
      </c>
      <c r="E20" s="2233">
        <v>0</v>
      </c>
      <c r="F20" s="2233">
        <v>-1.206</v>
      </c>
      <c r="G20" s="2233">
        <v>-5.2750000000000004</v>
      </c>
      <c r="H20" s="2233">
        <v>-3.0720000000000001</v>
      </c>
      <c r="I20" s="2233">
        <v>-5.1749999999999998</v>
      </c>
      <c r="J20" s="2233">
        <v>-18.501999999999999</v>
      </c>
      <c r="K20" s="2233">
        <v>-30.710999999999999</v>
      </c>
      <c r="L20" s="2233">
        <v>0</v>
      </c>
      <c r="M20" s="2233">
        <v>0</v>
      </c>
      <c r="N20" s="2233"/>
      <c r="O20" s="2233"/>
      <c r="P20" s="2233"/>
      <c r="Q20" s="2233"/>
      <c r="R20" s="2233">
        <v>-30.710999999999999</v>
      </c>
      <c r="S20" s="2233">
        <v>0</v>
      </c>
      <c r="T20" s="2221"/>
      <c r="U20" s="2221"/>
      <c r="V20" s="2221"/>
      <c r="W20" s="2221"/>
      <c r="X20" s="2221"/>
      <c r="Y20" s="2221"/>
      <c r="Z20" s="2221"/>
      <c r="AA20" s="2221"/>
      <c r="AB20" s="2221"/>
      <c r="AC20" s="2221"/>
    </row>
    <row r="21" spans="1:29">
      <c r="B21" s="2213" t="s">
        <v>2059</v>
      </c>
      <c r="C21" s="2214"/>
      <c r="D21" s="2231">
        <v>19.474000000000014</v>
      </c>
      <c r="E21" s="2231">
        <v>40.275999999999982</v>
      </c>
      <c r="F21" s="2231">
        <v>58.042999999999999</v>
      </c>
      <c r="G21" s="2231">
        <v>73.183999999999969</v>
      </c>
      <c r="H21" s="2231">
        <v>91.045999999999992</v>
      </c>
      <c r="I21" s="2231">
        <v>107.47800000000001</v>
      </c>
      <c r="J21" s="2231">
        <v>113.75000000000003</v>
      </c>
      <c r="K21" s="2231">
        <v>112.33258273119829</v>
      </c>
      <c r="L21" s="2231">
        <v>125.78030415319508</v>
      </c>
      <c r="M21" s="2231">
        <v>146.19275048428074</v>
      </c>
      <c r="N21" s="2231"/>
      <c r="O21" s="2231"/>
      <c r="P21" s="2231"/>
      <c r="Q21" s="2231"/>
      <c r="R21" s="2231">
        <v>54.271000000000015</v>
      </c>
      <c r="S21" s="2231">
        <v>58.061582731198286</v>
      </c>
      <c r="T21" s="2220"/>
      <c r="U21" s="2220"/>
      <c r="V21" s="2220"/>
      <c r="W21" s="2220"/>
      <c r="X21" s="2220"/>
      <c r="Y21" s="2220"/>
      <c r="Z21" s="2220"/>
      <c r="AA21" s="2220"/>
      <c r="AB21" s="2220"/>
      <c r="AC21" s="2220"/>
    </row>
    <row r="22" spans="1:29">
      <c r="B22" s="2229" t="s">
        <v>1731</v>
      </c>
      <c r="C22" s="2214"/>
      <c r="D22" s="2232">
        <v>0.13772549609140117</v>
      </c>
      <c r="E22" s="2232">
        <v>0.23084961300720847</v>
      </c>
      <c r="F22" s="2232">
        <v>0.2870665030524906</v>
      </c>
      <c r="G22" s="2232">
        <v>0.29453168652895101</v>
      </c>
      <c r="H22" s="2232">
        <v>0.30853507686870474</v>
      </c>
      <c r="I22" s="2232">
        <v>0.31493779757333745</v>
      </c>
      <c r="J22" s="2232">
        <v>0.31120606834052689</v>
      </c>
      <c r="K22" s="2232">
        <v>0.3031967585501798</v>
      </c>
      <c r="L22" s="2232">
        <v>0.31328749135446216</v>
      </c>
      <c r="M22" s="2232">
        <v>0.32553187184333204</v>
      </c>
      <c r="N22" s="2232"/>
      <c r="O22" s="2232"/>
      <c r="P22" s="2232"/>
      <c r="Q22" s="2232"/>
      <c r="R22" s="2232">
        <v>0.29841573655566833</v>
      </c>
      <c r="S22" s="2232">
        <v>0.30779294584503525</v>
      </c>
      <c r="T22" s="2230"/>
      <c r="U22" s="2230"/>
      <c r="V22" s="2230"/>
      <c r="W22" s="2230"/>
      <c r="X22" s="2230"/>
      <c r="Y22" s="2230"/>
      <c r="Z22" s="2230"/>
      <c r="AA22" s="2230"/>
      <c r="AB22" s="2230"/>
      <c r="AC22" s="2230"/>
    </row>
    <row r="23" spans="1:29">
      <c r="B23" s="2198" t="s">
        <v>2060</v>
      </c>
      <c r="C23" s="2214"/>
      <c r="D23" s="2233">
        <v>10.364000000000001</v>
      </c>
      <c r="E23" s="2233">
        <v>-3.6709999999999998</v>
      </c>
      <c r="F23" s="2233">
        <v>-5.0060000000000002</v>
      </c>
      <c r="G23" s="2233">
        <v>-6.1970000000000001</v>
      </c>
      <c r="H23" s="2233">
        <v>-7.5670000000000002</v>
      </c>
      <c r="I23" s="2233">
        <v>-8.963000000000001</v>
      </c>
      <c r="J23" s="2233">
        <v>-8.8740000000000006</v>
      </c>
      <c r="K23" s="2233">
        <v>-8.702</v>
      </c>
      <c r="L23" s="2233">
        <v>-9</v>
      </c>
      <c r="M23" s="2233">
        <v>-9</v>
      </c>
      <c r="N23" s="2233"/>
      <c r="O23" s="2233"/>
      <c r="P23" s="2233"/>
      <c r="Q23" s="2233"/>
      <c r="R23" s="2233">
        <v>-4.202</v>
      </c>
      <c r="S23" s="2233">
        <v>-4.5</v>
      </c>
      <c r="T23" s="2221"/>
      <c r="U23" s="2221"/>
      <c r="V23" s="2221"/>
      <c r="W23" s="2221"/>
      <c r="X23" s="2221"/>
      <c r="Y23" s="2221"/>
      <c r="Z23" s="2221"/>
      <c r="AA23" s="2221"/>
      <c r="AB23" s="2221"/>
      <c r="AC23" s="2221"/>
    </row>
    <row r="24" spans="1:29">
      <c r="B24" s="2198" t="s">
        <v>2061</v>
      </c>
      <c r="C24" s="2214"/>
      <c r="D24" s="2233">
        <v>20.019000000000016</v>
      </c>
      <c r="E24" s="2233">
        <v>38.119999999999983</v>
      </c>
      <c r="F24" s="2233">
        <v>45.940999999999995</v>
      </c>
      <c r="G24" s="2233">
        <v>59.437999999999967</v>
      </c>
      <c r="H24" s="2233">
        <v>76.146000000000001</v>
      </c>
      <c r="I24" s="2233">
        <v>88.440000000000012</v>
      </c>
      <c r="J24" s="2233">
        <v>81.022000000000048</v>
      </c>
      <c r="K24" s="2233">
        <v>65.876541782406889</v>
      </c>
      <c r="L24" s="2233">
        <v>111.76894454757907</v>
      </c>
      <c r="M24" s="2233">
        <v>131.99527684651522</v>
      </c>
      <c r="N24" s="2233"/>
      <c r="O24" s="2233"/>
      <c r="P24" s="2233"/>
      <c r="Q24" s="2233"/>
      <c r="R24" s="2233">
        <v>14.841000000000019</v>
      </c>
      <c r="S24" s="2233">
        <v>51.035541782406874</v>
      </c>
      <c r="T24" s="2221"/>
      <c r="U24" s="2221"/>
      <c r="V24" s="2221"/>
      <c r="W24" s="2221"/>
      <c r="X24" s="2221"/>
      <c r="Y24" s="2221"/>
      <c r="Z24" s="2221"/>
      <c r="AA24" s="2221"/>
      <c r="AB24" s="2221"/>
      <c r="AC24" s="2221"/>
    </row>
    <row r="25" spans="1:29">
      <c r="B25" s="2198" t="s">
        <v>2062</v>
      </c>
      <c r="C25" s="2214"/>
      <c r="D25" s="2233">
        <v>15.398000000000017</v>
      </c>
      <c r="E25" s="2233">
        <v>35.430999999999983</v>
      </c>
      <c r="F25" s="2233">
        <v>51.372999999999998</v>
      </c>
      <c r="G25" s="2233">
        <v>66.986999999999966</v>
      </c>
      <c r="H25" s="2233">
        <v>83.478999999999985</v>
      </c>
      <c r="I25" s="2233">
        <v>98.515000000000015</v>
      </c>
      <c r="J25" s="2233">
        <v>104.87600000000003</v>
      </c>
      <c r="K25" s="2233">
        <v>103.63058273119829</v>
      </c>
      <c r="L25" s="2233">
        <v>116.78030415319508</v>
      </c>
      <c r="M25" s="2233">
        <v>137.19275048428074</v>
      </c>
      <c r="N25" s="2233"/>
      <c r="O25" s="2233"/>
      <c r="P25" s="2233"/>
      <c r="Q25" s="2233"/>
      <c r="R25" s="2233">
        <v>50.069000000000017</v>
      </c>
      <c r="S25" s="2233">
        <v>53.561582731198286</v>
      </c>
      <c r="T25" s="2221"/>
      <c r="U25" s="2221"/>
      <c r="V25" s="2221"/>
      <c r="W25" s="2221"/>
      <c r="X25" s="2221"/>
      <c r="Y25" s="2221"/>
      <c r="Z25" s="2221"/>
      <c r="AA25" s="2221"/>
      <c r="AB25" s="2221"/>
      <c r="AC25" s="2221"/>
    </row>
    <row r="26" spans="1:29">
      <c r="B26" s="2198" t="s">
        <v>2063</v>
      </c>
      <c r="C26" s="2214"/>
      <c r="D26" s="2233">
        <v>5.3129999999999997</v>
      </c>
      <c r="E26" s="2233">
        <v>-3.3980000000000001</v>
      </c>
      <c r="F26" s="2233">
        <v>-7.91</v>
      </c>
      <c r="G26" s="2233">
        <v>-16.797000000000001</v>
      </c>
      <c r="H26" s="2233">
        <v>-18.038</v>
      </c>
      <c r="I26" s="2233">
        <v>-23.222000000000001</v>
      </c>
      <c r="J26" s="2233">
        <v>-21.292000000000002</v>
      </c>
      <c r="K26" s="2233">
        <v>-26.334939841195421</v>
      </c>
      <c r="L26" s="2233">
        <v>-27.942236136894763</v>
      </c>
      <c r="M26" s="2233">
        <v>-32.998819211628813</v>
      </c>
      <c r="N26" s="2233"/>
      <c r="O26" s="2233"/>
      <c r="P26" s="2233"/>
      <c r="Q26" s="2233"/>
      <c r="R26" s="2233">
        <v>-10.888999999999999</v>
      </c>
      <c r="S26" s="2233">
        <v>-15.44593984119542</v>
      </c>
      <c r="T26" s="2221"/>
      <c r="U26" s="2221"/>
      <c r="V26" s="2221"/>
      <c r="W26" s="2221"/>
      <c r="X26" s="2221"/>
      <c r="Y26" s="2221"/>
      <c r="Z26" s="2221"/>
      <c r="AA26" s="2221"/>
      <c r="AB26" s="2221"/>
      <c r="AC26" s="2221"/>
    </row>
    <row r="27" spans="1:29">
      <c r="B27" s="2229" t="s">
        <v>2143</v>
      </c>
      <c r="C27" s="2214"/>
      <c r="D27" s="2297">
        <f>+D26/D25</f>
        <v>0.34504481101441703</v>
      </c>
      <c r="E27" s="2297">
        <f t="shared" ref="E27:M27" si="6">+E26/E25</f>
        <v>-9.5904716208969593E-2</v>
      </c>
      <c r="F27" s="2297">
        <f t="shared" si="6"/>
        <v>-0.15397193078076032</v>
      </c>
      <c r="G27" s="2297">
        <f t="shared" si="6"/>
        <v>-0.25075014555062936</v>
      </c>
      <c r="H27" s="2297">
        <f t="shared" si="6"/>
        <v>-0.21607829514009516</v>
      </c>
      <c r="I27" s="2297">
        <f t="shared" si="6"/>
        <v>-0.23572044866264019</v>
      </c>
      <c r="J27" s="2297">
        <f t="shared" si="6"/>
        <v>-0.20302071017201262</v>
      </c>
      <c r="K27" s="2297">
        <f t="shared" si="6"/>
        <v>-0.25412324380635959</v>
      </c>
      <c r="L27" s="2297">
        <f t="shared" si="6"/>
        <v>-0.23927182190105875</v>
      </c>
      <c r="M27" s="2297">
        <f t="shared" si="6"/>
        <v>-0.24052888432621483</v>
      </c>
      <c r="N27" s="2233"/>
      <c r="O27" s="2233"/>
      <c r="P27" s="2233"/>
      <c r="Q27" s="2233"/>
      <c r="R27" s="2233"/>
      <c r="S27" s="2233"/>
      <c r="T27" s="2221"/>
      <c r="U27" s="2221"/>
      <c r="V27" s="2221"/>
      <c r="W27" s="2221"/>
      <c r="X27" s="2221"/>
      <c r="Y27" s="2221"/>
      <c r="Z27" s="2221"/>
      <c r="AA27" s="2221"/>
      <c r="AB27" s="2221"/>
      <c r="AC27" s="2221"/>
    </row>
    <row r="28" spans="1:29">
      <c r="B28" s="2198" t="s">
        <v>2064</v>
      </c>
      <c r="C28" s="2214"/>
      <c r="D28" s="2233">
        <v>-6.0999999999999943E-2</v>
      </c>
      <c r="E28" s="2233">
        <v>-3.3980000000000001</v>
      </c>
      <c r="F28" s="2233">
        <v>-9.18</v>
      </c>
      <c r="G28" s="2233">
        <v>-18.396999999999998</v>
      </c>
      <c r="H28" s="2233">
        <v>-20.175000000000001</v>
      </c>
      <c r="I28" s="2233">
        <v>-24.338000000000001</v>
      </c>
      <c r="J28" s="2233">
        <v>-25.212</v>
      </c>
      <c r="K28" s="2233">
        <v>-25.410395682799571</v>
      </c>
      <c r="L28" s="2233">
        <v>-29.195076038298769</v>
      </c>
      <c r="M28" s="2233">
        <v>-34.298187621070184</v>
      </c>
      <c r="N28" s="2233"/>
      <c r="O28" s="2233"/>
      <c r="P28" s="2233"/>
      <c r="Q28" s="2233"/>
      <c r="R28" s="2233">
        <v>-12.02</v>
      </c>
      <c r="S28" s="2233">
        <v>-13.390395682799571</v>
      </c>
      <c r="T28" s="2221"/>
      <c r="U28" s="2221"/>
      <c r="V28" s="2221"/>
      <c r="W28" s="2221"/>
      <c r="X28" s="2221"/>
      <c r="Y28" s="2221"/>
      <c r="Z28" s="2221"/>
      <c r="AA28" s="2221"/>
      <c r="AB28" s="2221"/>
      <c r="AC28" s="2221"/>
    </row>
    <row r="29" spans="1:29">
      <c r="B29" s="2198" t="s">
        <v>2065</v>
      </c>
      <c r="C29" s="2214"/>
      <c r="D29" s="2233">
        <v>25.332000000000015</v>
      </c>
      <c r="E29" s="2233">
        <v>34.72199999999998</v>
      </c>
      <c r="F29" s="2233">
        <v>38.030999999999992</v>
      </c>
      <c r="G29" s="2233">
        <v>42.640999999999963</v>
      </c>
      <c r="H29" s="2233">
        <v>58.108000000000004</v>
      </c>
      <c r="I29" s="2233">
        <v>65.218000000000018</v>
      </c>
      <c r="J29" s="2233">
        <v>59.730000000000047</v>
      </c>
      <c r="K29" s="2233">
        <v>39.541601941211468</v>
      </c>
      <c r="L29" s="2233">
        <v>83.826708410684304</v>
      </c>
      <c r="M29" s="2233">
        <v>98.996457634886411</v>
      </c>
      <c r="N29" s="2233"/>
      <c r="O29" s="2233"/>
      <c r="P29" s="2233"/>
      <c r="Q29" s="2233"/>
      <c r="R29" s="2233">
        <v>3.9520000000000195</v>
      </c>
      <c r="S29" s="2233">
        <v>35.589601941211455</v>
      </c>
      <c r="T29" s="2221"/>
      <c r="U29" s="2221"/>
      <c r="V29" s="2221"/>
      <c r="W29" s="2221"/>
      <c r="X29" s="2221"/>
      <c r="Y29" s="2221"/>
      <c r="Z29" s="2221"/>
      <c r="AA29" s="2221"/>
      <c r="AB29" s="2221"/>
      <c r="AC29" s="2221"/>
    </row>
    <row r="30" spans="1:29">
      <c r="B30" s="2198" t="s">
        <v>2066</v>
      </c>
      <c r="C30" s="2214"/>
      <c r="D30" s="2233">
        <v>15.337000000000018</v>
      </c>
      <c r="E30" s="2233">
        <v>32.03299999999998</v>
      </c>
      <c r="F30" s="2233">
        <v>42.192999999999998</v>
      </c>
      <c r="G30" s="2233">
        <v>48.589999999999968</v>
      </c>
      <c r="H30" s="2233">
        <v>63.303999999999988</v>
      </c>
      <c r="I30" s="2233">
        <v>74.177000000000021</v>
      </c>
      <c r="J30" s="2233">
        <v>79.66400000000003</v>
      </c>
      <c r="K30" s="2233">
        <v>78.220187048398714</v>
      </c>
      <c r="L30" s="2233">
        <v>87.58522811489631</v>
      </c>
      <c r="M30" s="2233">
        <v>102.89456286321055</v>
      </c>
      <c r="N30" s="2233"/>
      <c r="O30" s="2233"/>
      <c r="P30" s="2233"/>
      <c r="Q30" s="2233"/>
      <c r="R30" s="2233">
        <v>38.049000000000021</v>
      </c>
      <c r="S30" s="2233">
        <v>40.171187048398714</v>
      </c>
      <c r="T30" s="2221"/>
      <c r="U30" s="2221"/>
      <c r="V30" s="2221"/>
      <c r="W30" s="2221"/>
      <c r="X30" s="2221"/>
      <c r="Y30" s="2221"/>
      <c r="Z30" s="2221"/>
      <c r="AA30" s="2221"/>
      <c r="AB30" s="2221"/>
      <c r="AC30" s="2221"/>
    </row>
    <row r="31" spans="1:29">
      <c r="B31" s="2198" t="s">
        <v>2067</v>
      </c>
      <c r="C31" s="2214"/>
      <c r="D31" s="2233">
        <v>12.96192064840305</v>
      </c>
      <c r="E31" s="2233">
        <v>17.75489228535049</v>
      </c>
      <c r="F31" s="2233">
        <v>19.416449686016229</v>
      </c>
      <c r="G31" s="2233">
        <v>21.668496046506881</v>
      </c>
      <c r="H31" s="2233">
        <v>29.056760392237262</v>
      </c>
      <c r="I31" s="2233">
        <v>32.246389351739694</v>
      </c>
      <c r="J31" s="2233">
        <v>29.4674836456206</v>
      </c>
      <c r="K31" s="2233">
        <v>19.487069242435872</v>
      </c>
      <c r="L31" s="2233">
        <v>41.311853616683237</v>
      </c>
      <c r="M31" s="2233">
        <v>48.787877323611426</v>
      </c>
      <c r="N31" s="2233"/>
      <c r="O31" s="2233"/>
      <c r="P31" s="2233"/>
      <c r="Q31" s="2233"/>
      <c r="R31" s="2233">
        <v>1.9476423277085728</v>
      </c>
      <c r="S31" s="2233">
        <v>17.539426914727301</v>
      </c>
      <c r="T31" s="2221"/>
      <c r="U31" s="2221"/>
      <c r="V31" s="2221"/>
      <c r="W31" s="2221"/>
      <c r="X31" s="2221"/>
      <c r="Y31" s="2221"/>
      <c r="Z31" s="2221"/>
      <c r="AA31" s="2221"/>
      <c r="AB31" s="2221"/>
      <c r="AC31" s="2221"/>
    </row>
    <row r="32" spans="1:29">
      <c r="B32" s="2213" t="s">
        <v>2068</v>
      </c>
      <c r="C32" s="2214"/>
      <c r="D32" s="2231">
        <v>12.917899031106586</v>
      </c>
      <c r="E32" s="2231">
        <v>17.552763946111256</v>
      </c>
      <c r="F32" s="2231">
        <v>18.998970895321065</v>
      </c>
      <c r="G32" s="2231">
        <v>21.120907424835288</v>
      </c>
      <c r="H32" s="2231">
        <v>28.472310692551179</v>
      </c>
      <c r="I32" s="2231">
        <v>32.118866103264196</v>
      </c>
      <c r="J32" s="2231">
        <v>29.360296503111538</v>
      </c>
      <c r="K32" s="2231">
        <v>19.372787060448815</v>
      </c>
      <c r="L32" s="2231">
        <v>41.069579690598793</v>
      </c>
      <c r="M32" s="2231">
        <v>48.501760155057553</v>
      </c>
      <c r="N32" s="2231"/>
      <c r="O32" s="2231"/>
      <c r="P32" s="2231"/>
      <c r="Q32" s="2231"/>
      <c r="R32" s="2231">
        <v>1.9362203528506921</v>
      </c>
      <c r="S32" s="2231">
        <v>17.436566707598121</v>
      </c>
      <c r="T32" s="2220"/>
      <c r="U32" s="2220"/>
      <c r="V32" s="2220"/>
      <c r="W32" s="2220"/>
      <c r="X32" s="2220"/>
      <c r="Y32" s="2220"/>
      <c r="Z32" s="2220"/>
      <c r="AA32" s="2220"/>
      <c r="AB32" s="2220"/>
      <c r="AC32" s="2220"/>
    </row>
    <row r="33" spans="2:29">
      <c r="B33" s="2229" t="s">
        <v>1322</v>
      </c>
      <c r="C33" s="2214"/>
      <c r="D33" s="2232">
        <v>3.7643049120424958</v>
      </c>
      <c r="E33" s="2232">
        <v>0.35879401935591937</v>
      </c>
      <c r="F33" s="2232">
        <v>8.2391978474148461E-2</v>
      </c>
      <c r="G33" s="2232">
        <v>0.11168691931818264</v>
      </c>
      <c r="H33" s="2232">
        <v>0.34806285164962425</v>
      </c>
      <c r="I33" s="2232">
        <v>0.12807374329709798</v>
      </c>
      <c r="J33" s="2232">
        <v>-8.5886269810512061E-2</v>
      </c>
      <c r="K33" s="2232">
        <v>-0.34017059199672145</v>
      </c>
      <c r="L33" s="2232">
        <v>1.1199623762161623</v>
      </c>
      <c r="M33" s="2232">
        <v>0.18096558378366012</v>
      </c>
      <c r="N33" s="2232"/>
      <c r="O33" s="2232"/>
      <c r="P33" s="2232"/>
      <c r="Q33" s="2232"/>
      <c r="R33" s="2232">
        <v>-0.89668491320117738</v>
      </c>
      <c r="S33" s="2232">
        <v>0.64195853329392083</v>
      </c>
      <c r="T33" s="2230"/>
      <c r="U33" s="2230"/>
      <c r="V33" s="2230"/>
      <c r="W33" s="2230"/>
      <c r="X33" s="2230"/>
      <c r="Y33" s="2230"/>
      <c r="Z33" s="2230"/>
      <c r="AA33" s="2230"/>
      <c r="AB33" s="2230"/>
      <c r="AC33" s="2230"/>
    </row>
    <row r="34" spans="2:29">
      <c r="B34" s="2198" t="s">
        <v>2069</v>
      </c>
      <c r="C34" s="2214"/>
      <c r="D34" s="2233">
        <v>7.8476621263444528</v>
      </c>
      <c r="E34" s="2233">
        <v>16.379887811088999</v>
      </c>
      <c r="F34" s="2233">
        <v>21.541328432123347</v>
      </c>
      <c r="G34" s="2233">
        <v>24.691546232493835</v>
      </c>
      <c r="H34" s="2233">
        <v>31.655007225686433</v>
      </c>
      <c r="I34" s="2233">
        <v>36.676077508417855</v>
      </c>
      <c r="J34" s="2233">
        <v>39.30181846885516</v>
      </c>
      <c r="K34" s="2233">
        <v>38.548822666179774</v>
      </c>
      <c r="L34" s="2233">
        <v>43.164144119074436</v>
      </c>
      <c r="M34" s="2233">
        <v>50.708958988729378</v>
      </c>
      <c r="N34" s="2233"/>
      <c r="O34" s="2233"/>
      <c r="P34" s="2233"/>
      <c r="Q34" s="2233"/>
      <c r="R34" s="2233">
        <v>18.751478473426914</v>
      </c>
      <c r="S34" s="2233">
        <v>19.797344192752874</v>
      </c>
      <c r="T34" s="2221"/>
      <c r="U34" s="2221"/>
      <c r="V34" s="2221"/>
      <c r="W34" s="2221"/>
      <c r="X34" s="2221"/>
      <c r="Y34" s="2221"/>
      <c r="Z34" s="2221"/>
      <c r="AA34" s="2221"/>
      <c r="AB34" s="2221"/>
      <c r="AC34" s="2221"/>
    </row>
    <row r="35" spans="2:29">
      <c r="B35" s="2213" t="s">
        <v>2070</v>
      </c>
      <c r="C35" s="2214"/>
      <c r="D35" s="2231">
        <v>7.8210096889342262</v>
      </c>
      <c r="E35" s="2231">
        <v>16.193413037433956</v>
      </c>
      <c r="F35" s="2231">
        <v>21.078161999060814</v>
      </c>
      <c r="G35" s="2231">
        <v>24.067561543414719</v>
      </c>
      <c r="H35" s="2231">
        <v>31.018296208461134</v>
      </c>
      <c r="I35" s="2231">
        <v>36.531036384768441</v>
      </c>
      <c r="J35" s="2231">
        <v>39.15885921017707</v>
      </c>
      <c r="K35" s="2231">
        <v>38.322752572595384</v>
      </c>
      <c r="L35" s="2231">
        <v>42.911007410205485</v>
      </c>
      <c r="M35" s="2231">
        <v>50.411575610683776</v>
      </c>
      <c r="N35" s="2231"/>
      <c r="O35" s="2231"/>
      <c r="P35" s="2231"/>
      <c r="Q35" s="2231"/>
      <c r="R35" s="2231">
        <v>18.641510173485745</v>
      </c>
      <c r="S35" s="2231">
        <v>19.681242399109649</v>
      </c>
      <c r="T35" s="2220"/>
      <c r="U35" s="2220"/>
      <c r="V35" s="2220"/>
      <c r="W35" s="2220"/>
      <c r="X35" s="2220"/>
      <c r="Y35" s="2220"/>
      <c r="Z35" s="2220"/>
      <c r="AA35" s="2220"/>
      <c r="AB35" s="2220"/>
      <c r="AC35" s="2220"/>
    </row>
    <row r="36" spans="2:29">
      <c r="B36" s="2229" t="s">
        <v>1322</v>
      </c>
      <c r="C36" s="2214"/>
      <c r="D36" s="2232">
        <v>14.348015985519773</v>
      </c>
      <c r="E36" s="2232">
        <v>1.0705015952538273</v>
      </c>
      <c r="F36" s="2232">
        <v>0.30165036551188384</v>
      </c>
      <c r="G36" s="2232">
        <v>0.14182448851503771</v>
      </c>
      <c r="H36" s="2232">
        <v>0.28880095112702642</v>
      </c>
      <c r="I36" s="2232">
        <v>0.17772543466792823</v>
      </c>
      <c r="J36" s="2232">
        <v>7.1933979581928709E-2</v>
      </c>
      <c r="K36" s="2232">
        <v>-2.1351659737942286E-2</v>
      </c>
      <c r="L36" s="2232">
        <v>0.11972665139119364</v>
      </c>
      <c r="M36" s="2232">
        <v>0.17479357053487488</v>
      </c>
      <c r="N36" s="2232"/>
      <c r="O36" s="2232"/>
      <c r="P36" s="2232"/>
      <c r="Q36" s="2232"/>
      <c r="R36" s="2232">
        <v>-5.0083846573117603E-2</v>
      </c>
      <c r="S36" s="2232">
        <v>7.5127404763852823E-3</v>
      </c>
      <c r="T36" s="2230"/>
      <c r="U36" s="2230"/>
      <c r="V36" s="2230"/>
      <c r="W36" s="2230"/>
      <c r="X36" s="2230"/>
      <c r="Y36" s="2230"/>
      <c r="Z36" s="2230"/>
      <c r="AA36" s="2230"/>
      <c r="AB36" s="2230"/>
      <c r="AC36" s="2230"/>
    </row>
    <row r="37" spans="2:29">
      <c r="B37" s="2213" t="s">
        <v>2071</v>
      </c>
      <c r="C37" s="2214"/>
      <c r="D37" s="2234">
        <v>12.82814890362061</v>
      </c>
      <c r="E37" s="2234">
        <v>16.786896848065101</v>
      </c>
      <c r="F37" s="2234">
        <v>21.909438788254217</v>
      </c>
      <c r="G37" s="2234">
        <v>24.067561543414712</v>
      </c>
      <c r="H37" s="2234">
        <v>31.018296208461138</v>
      </c>
      <c r="I37" s="2234">
        <v>36.531036384768441</v>
      </c>
      <c r="J37" s="2234">
        <v>39.15885921017707</v>
      </c>
      <c r="K37" s="2234">
        <v>38.322752572595391</v>
      </c>
      <c r="L37" s="2234">
        <v>42.911007410205485</v>
      </c>
      <c r="M37" s="2234">
        <v>50.411575610683776</v>
      </c>
      <c r="N37" s="2234"/>
      <c r="O37" s="2234"/>
      <c r="P37" s="2234"/>
      <c r="Q37" s="2234"/>
      <c r="R37" s="2234">
        <v>18.641510173485745</v>
      </c>
      <c r="S37" s="2234">
        <v>19.681242399109649</v>
      </c>
      <c r="T37" s="2222"/>
      <c r="U37" s="2222"/>
      <c r="V37" s="2222"/>
      <c r="W37" s="2222"/>
      <c r="X37" s="2222"/>
      <c r="Y37" s="2222"/>
      <c r="Z37" s="2222"/>
      <c r="AA37" s="2222"/>
      <c r="AB37" s="2222"/>
      <c r="AC37" s="2222"/>
    </row>
    <row r="38" spans="2:29">
      <c r="B38" s="2214"/>
      <c r="C38" s="2214"/>
      <c r="D38" s="2235"/>
      <c r="E38" s="2235"/>
      <c r="F38" s="2235"/>
      <c r="G38" s="2235"/>
      <c r="H38" s="2235"/>
      <c r="I38" s="2235"/>
      <c r="J38" s="2235"/>
      <c r="K38" s="2235"/>
      <c r="L38" s="2235"/>
      <c r="M38" s="2235"/>
      <c r="N38" s="2235"/>
      <c r="O38" s="2235"/>
      <c r="P38" s="2235"/>
      <c r="Q38" s="2235"/>
      <c r="R38" s="2235"/>
      <c r="S38" s="2235"/>
      <c r="T38" s="2214"/>
      <c r="U38" s="2214"/>
      <c r="V38" s="2214"/>
      <c r="W38" s="2214"/>
      <c r="X38" s="2214"/>
      <c r="Y38" s="2214"/>
      <c r="Z38" s="2214"/>
      <c r="AA38" s="2214"/>
      <c r="AB38" s="2214"/>
      <c r="AC38" s="2214"/>
    </row>
    <row r="39" spans="2:29">
      <c r="B39" s="2198" t="s">
        <v>2072</v>
      </c>
      <c r="C39" s="2214"/>
      <c r="D39" s="2236">
        <v>195.434</v>
      </c>
      <c r="E39" s="2236">
        <v>195.56299999999999</v>
      </c>
      <c r="F39" s="2236">
        <v>195.87</v>
      </c>
      <c r="G39" s="2236">
        <v>196.78800000000001</v>
      </c>
      <c r="H39" s="2236">
        <v>199.98099999999999</v>
      </c>
      <c r="I39" s="2236">
        <v>202.249</v>
      </c>
      <c r="J39" s="2236">
        <v>202.69800000000001</v>
      </c>
      <c r="K39" s="2236">
        <v>202.91200000000001</v>
      </c>
      <c r="L39" s="2236">
        <v>202.91200000000001</v>
      </c>
      <c r="M39" s="2236">
        <v>202.91200000000001</v>
      </c>
      <c r="N39" s="2236"/>
      <c r="O39" s="2236"/>
      <c r="P39" s="2236"/>
      <c r="Q39" s="2236"/>
      <c r="R39" s="2236">
        <v>202.91200000000001</v>
      </c>
      <c r="S39" s="2236">
        <v>202.91200000000001</v>
      </c>
      <c r="T39" s="2223"/>
      <c r="U39" s="2223"/>
      <c r="V39" s="2223"/>
      <c r="W39" s="2223"/>
      <c r="X39" s="2223"/>
      <c r="Y39" s="2223"/>
      <c r="Z39" s="2223"/>
      <c r="AA39" s="2223"/>
      <c r="AB39" s="2223"/>
      <c r="AC39" s="2223"/>
    </row>
    <row r="40" spans="2:29">
      <c r="B40" s="2198" t="s">
        <v>2073</v>
      </c>
      <c r="C40" s="2214"/>
      <c r="D40" s="2236">
        <v>196.1</v>
      </c>
      <c r="E40" s="2236">
        <v>197.815</v>
      </c>
      <c r="F40" s="2236">
        <v>200.17400000000001</v>
      </c>
      <c r="G40" s="2236">
        <v>201.89</v>
      </c>
      <c r="H40" s="2236">
        <v>204.08600000000001</v>
      </c>
      <c r="I40" s="2236">
        <v>203.05199999999999</v>
      </c>
      <c r="J40" s="2236">
        <v>203.43799999999999</v>
      </c>
      <c r="K40" s="2236">
        <v>204.10900000000001</v>
      </c>
      <c r="L40" s="2236">
        <v>204.10900000000001</v>
      </c>
      <c r="M40" s="2236">
        <v>204.10900000000001</v>
      </c>
      <c r="N40" s="2236"/>
      <c r="O40" s="2236"/>
      <c r="P40" s="2236"/>
      <c r="Q40" s="2236"/>
      <c r="R40" s="2236">
        <v>204.10900000000001</v>
      </c>
      <c r="S40" s="2236">
        <v>204.10900000000001</v>
      </c>
      <c r="T40" s="2223"/>
      <c r="U40" s="2223"/>
      <c r="V40" s="2223"/>
      <c r="W40" s="2223"/>
      <c r="X40" s="2223"/>
      <c r="Y40" s="2223"/>
      <c r="Z40" s="2223"/>
      <c r="AA40" s="2223"/>
      <c r="AB40" s="2223"/>
      <c r="AC40" s="2223"/>
    </row>
    <row r="42" spans="2:29">
      <c r="B42" s="2204" t="s">
        <v>2074</v>
      </c>
      <c r="C42" s="2203"/>
      <c r="D42" s="2203"/>
      <c r="E42" s="2203"/>
      <c r="F42" s="2203"/>
      <c r="G42" s="2203"/>
      <c r="H42" s="2203"/>
      <c r="I42" s="2203"/>
      <c r="J42" s="2203"/>
      <c r="K42" s="2203"/>
      <c r="L42" s="2203"/>
      <c r="M42" s="2203"/>
      <c r="N42" s="2203"/>
      <c r="O42" s="2203"/>
      <c r="P42" s="2203"/>
      <c r="Q42" s="2203"/>
      <c r="R42" s="2203"/>
      <c r="S42" s="2203"/>
      <c r="T42" s="2203"/>
      <c r="U42" s="2203"/>
      <c r="V42" s="2203"/>
      <c r="W42" s="2203"/>
      <c r="X42" s="2203"/>
      <c r="Y42" s="2203"/>
      <c r="Z42" s="2203"/>
      <c r="AA42" s="2203"/>
      <c r="AB42" s="2203"/>
      <c r="AC42" s="2203"/>
    </row>
    <row r="43" spans="2:29">
      <c r="B43" s="2207"/>
      <c r="C43" s="2207"/>
      <c r="D43" s="2208">
        <v>2008</v>
      </c>
      <c r="E43" s="2208">
        <v>2009</v>
      </c>
      <c r="F43" s="2208">
        <v>2010</v>
      </c>
      <c r="G43" s="2208">
        <v>2011</v>
      </c>
      <c r="H43" s="2208">
        <v>2012</v>
      </c>
      <c r="I43" s="2208">
        <v>2013</v>
      </c>
      <c r="J43" s="2208">
        <v>2014</v>
      </c>
      <c r="K43" s="2209">
        <v>2015</v>
      </c>
      <c r="L43" s="2209">
        <v>2016</v>
      </c>
      <c r="M43" s="2209">
        <v>2017</v>
      </c>
      <c r="N43" s="2209"/>
      <c r="O43" s="2209"/>
      <c r="P43" s="2209"/>
      <c r="Q43" s="2207"/>
      <c r="R43" s="2208">
        <v>2015</v>
      </c>
      <c r="S43" s="2208">
        <v>2015</v>
      </c>
      <c r="T43" s="2208"/>
      <c r="U43" s="2208"/>
      <c r="V43" s="2208"/>
      <c r="W43" s="2208"/>
      <c r="X43" s="2208"/>
      <c r="Y43" s="2208"/>
      <c r="Z43" s="2208"/>
      <c r="AA43" s="2208"/>
      <c r="AB43" s="2208"/>
      <c r="AC43" s="2208"/>
    </row>
    <row r="44" spans="2:29">
      <c r="B44" s="2207" t="s">
        <v>2052</v>
      </c>
      <c r="C44" s="2207"/>
      <c r="D44" s="2210">
        <v>39447</v>
      </c>
      <c r="E44" s="2210">
        <v>39447</v>
      </c>
      <c r="F44" s="2210">
        <v>39447</v>
      </c>
      <c r="G44" s="2210">
        <v>39447</v>
      </c>
      <c r="H44" s="2210">
        <v>39447</v>
      </c>
      <c r="I44" s="2210">
        <v>39447</v>
      </c>
      <c r="J44" s="2210">
        <v>39447</v>
      </c>
      <c r="K44" s="2210">
        <v>39447</v>
      </c>
      <c r="L44" s="2210">
        <v>39447</v>
      </c>
      <c r="M44" s="2210">
        <v>39447</v>
      </c>
      <c r="N44" s="2210"/>
      <c r="O44" s="2210"/>
      <c r="P44" s="2210"/>
      <c r="Q44" s="2207"/>
      <c r="R44" s="2210">
        <v>39629</v>
      </c>
      <c r="S44" s="2210">
        <v>39447</v>
      </c>
      <c r="T44" s="2210"/>
      <c r="U44" s="2210"/>
      <c r="V44" s="2210"/>
      <c r="W44" s="2210"/>
      <c r="X44" s="2210"/>
      <c r="Y44" s="2210"/>
      <c r="Z44" s="2210"/>
      <c r="AA44" s="2210"/>
      <c r="AB44" s="2210"/>
      <c r="AC44" s="2210"/>
    </row>
    <row r="45" spans="2:29" ht="12.75" thickBot="1">
      <c r="B45" s="2211" t="s">
        <v>2053</v>
      </c>
      <c r="C45" s="2211"/>
      <c r="D45" s="2212" t="s">
        <v>2048</v>
      </c>
      <c r="E45" s="2212" t="s">
        <v>2048</v>
      </c>
      <c r="F45" s="2212" t="s">
        <v>2048</v>
      </c>
      <c r="G45" s="2212" t="s">
        <v>2048</v>
      </c>
      <c r="H45" s="2212" t="s">
        <v>2048</v>
      </c>
      <c r="I45" s="2212" t="s">
        <v>2048</v>
      </c>
      <c r="J45" s="2212" t="s">
        <v>2048</v>
      </c>
      <c r="K45" s="2212" t="s">
        <v>2048</v>
      </c>
      <c r="L45" s="2212" t="s">
        <v>2048</v>
      </c>
      <c r="M45" s="2212" t="s">
        <v>2048</v>
      </c>
      <c r="N45" s="2212"/>
      <c r="O45" s="2212"/>
      <c r="P45" s="2212"/>
      <c r="Q45" s="2211"/>
      <c r="R45" s="2212" t="s">
        <v>2046</v>
      </c>
      <c r="S45" s="2212" t="s">
        <v>2047</v>
      </c>
      <c r="T45" s="2212"/>
      <c r="U45" s="2212"/>
      <c r="V45" s="2212"/>
      <c r="W45" s="2212"/>
      <c r="X45" s="2212"/>
      <c r="Y45" s="2212"/>
      <c r="Z45" s="2212"/>
      <c r="AA45" s="2212"/>
      <c r="AB45" s="2212"/>
      <c r="AC45" s="2212"/>
    </row>
    <row r="46" spans="2:29" ht="12.75" thickTop="1">
      <c r="B46" s="2198" t="s">
        <v>2061</v>
      </c>
      <c r="C46" s="2214"/>
      <c r="D46" s="2233">
        <v>20.019000000000016</v>
      </c>
      <c r="E46" s="2233">
        <v>38.119999999999983</v>
      </c>
      <c r="F46" s="2233">
        <v>45.940999999999995</v>
      </c>
      <c r="G46" s="2233">
        <v>59.437999999999967</v>
      </c>
      <c r="H46" s="2233">
        <v>76.146000000000001</v>
      </c>
      <c r="I46" s="2233">
        <v>88.440000000000012</v>
      </c>
      <c r="J46" s="2233">
        <v>81.022000000000048</v>
      </c>
      <c r="K46" s="2233">
        <v>65.876541782406889</v>
      </c>
      <c r="L46" s="2233">
        <v>111.76894454757907</v>
      </c>
      <c r="M46" s="2233">
        <v>131.99527684651522</v>
      </c>
      <c r="N46" s="2233"/>
      <c r="O46" s="2233"/>
      <c r="P46" s="2233"/>
      <c r="Q46" s="2233"/>
      <c r="R46" s="2233">
        <v>14.841000000000019</v>
      </c>
      <c r="S46" s="2233">
        <v>51.035541782406874</v>
      </c>
      <c r="T46" s="2221"/>
      <c r="U46" s="2221"/>
      <c r="V46" s="2221"/>
      <c r="W46" s="2221"/>
      <c r="X46" s="2221"/>
      <c r="Y46" s="2221"/>
      <c r="Z46" s="2221"/>
      <c r="AA46" s="2221"/>
      <c r="AB46" s="2221"/>
      <c r="AC46" s="2221"/>
    </row>
    <row r="47" spans="2:29">
      <c r="B47" s="2198" t="s">
        <v>2060</v>
      </c>
      <c r="C47" s="2214"/>
      <c r="D47" s="2233">
        <v>-10.364000000000001</v>
      </c>
      <c r="E47" s="2233">
        <v>3.6709999999999998</v>
      </c>
      <c r="F47" s="2233">
        <v>5.0060000000000002</v>
      </c>
      <c r="G47" s="2233">
        <v>6.1970000000000001</v>
      </c>
      <c r="H47" s="2233">
        <v>7.5670000000000002</v>
      </c>
      <c r="I47" s="2233">
        <v>8.963000000000001</v>
      </c>
      <c r="J47" s="2233">
        <v>8.8740000000000006</v>
      </c>
      <c r="K47" s="2233">
        <v>8.702</v>
      </c>
      <c r="L47" s="2233">
        <v>9</v>
      </c>
      <c r="M47" s="2233">
        <v>9</v>
      </c>
      <c r="N47" s="2233"/>
      <c r="O47" s="2233"/>
      <c r="P47" s="2233"/>
      <c r="Q47" s="2233"/>
      <c r="R47" s="2233">
        <v>4.202</v>
      </c>
      <c r="S47" s="2233">
        <v>4.5</v>
      </c>
      <c r="T47" s="2221"/>
      <c r="U47" s="2221"/>
      <c r="V47" s="2221"/>
      <c r="W47" s="2221"/>
      <c r="X47" s="2221"/>
      <c r="Y47" s="2221"/>
      <c r="Z47" s="2221"/>
      <c r="AA47" s="2221"/>
      <c r="AB47" s="2221"/>
      <c r="AC47" s="2221"/>
    </row>
    <row r="48" spans="2:29">
      <c r="B48" s="2198" t="s">
        <v>2075</v>
      </c>
      <c r="C48" s="2214"/>
      <c r="D48" s="2233">
        <v>22.103000000000002</v>
      </c>
      <c r="E48" s="2233">
        <v>24.812999999999999</v>
      </c>
      <c r="F48" s="2233">
        <v>27.058</v>
      </c>
      <c r="G48" s="2233">
        <v>35.523999999999994</v>
      </c>
      <c r="H48" s="2233">
        <v>42.161999999999999</v>
      </c>
      <c r="I48" s="2233">
        <v>50.711000000000006</v>
      </c>
      <c r="J48" s="2233">
        <v>55.21</v>
      </c>
      <c r="K48" s="2233">
        <v>58.281001645602437</v>
      </c>
      <c r="L48" s="2233">
        <v>61.133430503854747</v>
      </c>
      <c r="M48" s="2233">
        <v>65.549588520255057</v>
      </c>
      <c r="N48" s="2233"/>
      <c r="O48" s="2233"/>
      <c r="P48" s="2233"/>
      <c r="Q48" s="2233"/>
      <c r="R48" s="2233">
        <v>29.513999999999999</v>
      </c>
      <c r="S48" s="2233">
        <v>28.767001645602438</v>
      </c>
      <c r="T48" s="2221"/>
      <c r="U48" s="2221"/>
      <c r="V48" s="2221"/>
      <c r="W48" s="2221"/>
      <c r="X48" s="2221"/>
      <c r="Y48" s="2221"/>
      <c r="Z48" s="2221"/>
      <c r="AA48" s="2221"/>
      <c r="AB48" s="2221"/>
      <c r="AC48" s="2221"/>
    </row>
    <row r="49" spans="2:29">
      <c r="B49" s="2198" t="s">
        <v>2076</v>
      </c>
      <c r="C49" s="2214"/>
      <c r="D49" s="2233">
        <v>1.0999999999999999E-2</v>
      </c>
      <c r="E49" s="2233">
        <v>5.2999999999999999E-2</v>
      </c>
      <c r="F49" s="2233">
        <v>0.12</v>
      </c>
      <c r="G49" s="2233">
        <v>0.189</v>
      </c>
      <c r="H49" s="2233">
        <v>3.0000000000000001E-3</v>
      </c>
      <c r="I49" s="2233">
        <v>-2.8000000000000001E-2</v>
      </c>
      <c r="J49" s="2233">
        <v>0.2</v>
      </c>
      <c r="K49" s="2233">
        <v>0.126</v>
      </c>
      <c r="L49" s="2233">
        <v>0</v>
      </c>
      <c r="M49" s="2233">
        <v>0</v>
      </c>
      <c r="N49" s="2233"/>
      <c r="O49" s="2233"/>
      <c r="P49" s="2233"/>
      <c r="Q49" s="2233"/>
      <c r="R49" s="2233">
        <v>0.126</v>
      </c>
      <c r="S49" s="2233">
        <v>0</v>
      </c>
      <c r="T49" s="2221"/>
      <c r="U49" s="2221"/>
      <c r="V49" s="2221"/>
      <c r="W49" s="2221"/>
      <c r="X49" s="2221"/>
      <c r="Y49" s="2221"/>
      <c r="Z49" s="2221"/>
      <c r="AA49" s="2221"/>
      <c r="AB49" s="2221"/>
      <c r="AC49" s="2221"/>
    </row>
    <row r="50" spans="2:29">
      <c r="B50" s="2198" t="s">
        <v>2077</v>
      </c>
      <c r="C50" s="2214"/>
      <c r="D50" s="2233">
        <v>8.6679999999999993</v>
      </c>
      <c r="E50" s="2233">
        <v>-2.6890000000000001</v>
      </c>
      <c r="F50" s="2233">
        <v>4.226</v>
      </c>
      <c r="G50" s="2233">
        <v>-0.27600000000000002</v>
      </c>
      <c r="H50" s="2233">
        <v>0.51500000000000001</v>
      </c>
      <c r="I50" s="2233">
        <v>-0.05</v>
      </c>
      <c r="J50" s="2233">
        <v>0.11799999999999999</v>
      </c>
      <c r="K50" s="2233">
        <v>2.008</v>
      </c>
      <c r="L50" s="2233">
        <v>0</v>
      </c>
      <c r="M50" s="2233">
        <v>0</v>
      </c>
      <c r="N50" s="2233"/>
      <c r="O50" s="2233"/>
      <c r="P50" s="2233"/>
      <c r="Q50" s="2233"/>
      <c r="R50" s="2233">
        <v>2.008</v>
      </c>
      <c r="S50" s="2233">
        <v>0</v>
      </c>
      <c r="T50" s="2221"/>
      <c r="U50" s="2221"/>
      <c r="V50" s="2221"/>
      <c r="W50" s="2221"/>
      <c r="X50" s="2221"/>
      <c r="Y50" s="2221"/>
      <c r="Z50" s="2221"/>
      <c r="AA50" s="2221"/>
      <c r="AB50" s="2221"/>
      <c r="AC50" s="2221"/>
    </row>
    <row r="51" spans="2:29">
      <c r="B51" s="2198" t="s">
        <v>2078</v>
      </c>
      <c r="C51" s="2214"/>
      <c r="D51" s="2233">
        <v>0.90700000000000003</v>
      </c>
      <c r="E51" s="2233">
        <v>1.5589999999999999</v>
      </c>
      <c r="F51" s="2233">
        <v>2.42</v>
      </c>
      <c r="G51" s="2233">
        <v>3.0209999999999999</v>
      </c>
      <c r="H51" s="2233">
        <v>3.6669999999999998</v>
      </c>
      <c r="I51" s="2233">
        <v>3.0950000000000002</v>
      </c>
      <c r="J51" s="2233">
        <v>3.1030000000000002</v>
      </c>
      <c r="K51" s="2233">
        <v>1.1719999999999999</v>
      </c>
      <c r="L51" s="2233">
        <v>0</v>
      </c>
      <c r="M51" s="2233">
        <v>0</v>
      </c>
      <c r="N51" s="2233"/>
      <c r="O51" s="2233"/>
      <c r="P51" s="2233"/>
      <c r="Q51" s="2233"/>
      <c r="R51" s="2233">
        <v>1.1719999999999999</v>
      </c>
      <c r="S51" s="2233">
        <v>0</v>
      </c>
      <c r="T51" s="2221"/>
      <c r="U51" s="2221"/>
      <c r="V51" s="2221"/>
      <c r="W51" s="2221"/>
      <c r="X51" s="2221"/>
      <c r="Y51" s="2221"/>
      <c r="Z51" s="2221"/>
      <c r="AA51" s="2221"/>
      <c r="AB51" s="2221"/>
      <c r="AC51" s="2221"/>
    </row>
    <row r="52" spans="2:29">
      <c r="B52" s="2198" t="s">
        <v>2079</v>
      </c>
      <c r="C52" s="2214"/>
      <c r="D52" s="2233">
        <v>6.6420000000000003</v>
      </c>
      <c r="E52" s="2233">
        <v>8.0560000000000009</v>
      </c>
      <c r="F52" s="2233">
        <v>10.157999999999998</v>
      </c>
      <c r="G52" s="2233">
        <v>13.192</v>
      </c>
      <c r="H52" s="2233">
        <v>1.6750000000000003</v>
      </c>
      <c r="I52" s="2233">
        <v>-8.3409999999999993</v>
      </c>
      <c r="J52" s="2233">
        <v>-11.569000000000001</v>
      </c>
      <c r="K52" s="2233">
        <v>-36.922070804706394</v>
      </c>
      <c r="L52" s="2233">
        <v>4.2138862474432415</v>
      </c>
      <c r="M52" s="2233">
        <v>5.456474258036792</v>
      </c>
      <c r="N52" s="2233"/>
      <c r="O52" s="2233"/>
      <c r="P52" s="2233"/>
      <c r="Q52" s="2233"/>
      <c r="R52" s="2233">
        <v>5.1159999999999997</v>
      </c>
      <c r="S52" s="2233">
        <v>-42.038070804706393</v>
      </c>
      <c r="T52" s="2221"/>
      <c r="U52" s="2221"/>
      <c r="V52" s="2221"/>
      <c r="W52" s="2221"/>
      <c r="X52" s="2221"/>
      <c r="Y52" s="2221"/>
      <c r="Z52" s="2221"/>
      <c r="AA52" s="2221"/>
      <c r="AB52" s="2221"/>
      <c r="AC52" s="2221"/>
    </row>
    <row r="53" spans="2:29">
      <c r="B53" s="2198" t="s">
        <v>2080</v>
      </c>
      <c r="C53" s="2214"/>
      <c r="D53" s="2233">
        <v>-1.7999999999999998</v>
      </c>
      <c r="E53" s="2233">
        <v>-2.7120000000000002</v>
      </c>
      <c r="F53" s="2233">
        <v>-4.54</v>
      </c>
      <c r="G53" s="2233">
        <v>-4.82</v>
      </c>
      <c r="H53" s="2233">
        <v>-3.8990000000000005</v>
      </c>
      <c r="I53" s="2233">
        <v>-5.7430000000000003</v>
      </c>
      <c r="J53" s="2233">
        <v>-6.6870000000000003</v>
      </c>
      <c r="K53" s="2233">
        <v>-7.4980000000000002</v>
      </c>
      <c r="L53" s="2233">
        <v>-9</v>
      </c>
      <c r="M53" s="2233">
        <v>-9</v>
      </c>
      <c r="N53" s="2233"/>
      <c r="O53" s="2233"/>
      <c r="P53" s="2233"/>
      <c r="Q53" s="2233"/>
      <c r="R53" s="2233">
        <v>-2.9980000000000002</v>
      </c>
      <c r="S53" s="2233">
        <v>-4.5</v>
      </c>
      <c r="T53" s="2221"/>
      <c r="U53" s="2221"/>
      <c r="V53" s="2221"/>
      <c r="W53" s="2221"/>
      <c r="X53" s="2221"/>
      <c r="Y53" s="2221"/>
      <c r="Z53" s="2221"/>
      <c r="AA53" s="2221"/>
      <c r="AB53" s="2221"/>
      <c r="AC53" s="2221"/>
    </row>
    <row r="54" spans="2:29">
      <c r="B54" s="2198" t="s">
        <v>2081</v>
      </c>
      <c r="C54" s="2214"/>
      <c r="D54" s="2233">
        <v>-6.0999999999999999E-2</v>
      </c>
      <c r="E54" s="2233">
        <v>-0.434</v>
      </c>
      <c r="F54" s="2233">
        <v>-2.8639999999999999</v>
      </c>
      <c r="G54" s="2233">
        <v>-9.0280000000000005</v>
      </c>
      <c r="H54" s="2233">
        <v>-14.602</v>
      </c>
      <c r="I54" s="2233">
        <v>-10.907999999999999</v>
      </c>
      <c r="J54" s="2233">
        <v>-16.72</v>
      </c>
      <c r="K54" s="2233">
        <v>-23.503939841195418</v>
      </c>
      <c r="L54" s="2233">
        <v>-24.491982917080655</v>
      </c>
      <c r="M54" s="2233">
        <v>-28.929154577982537</v>
      </c>
      <c r="N54" s="2233"/>
      <c r="O54" s="2233"/>
      <c r="P54" s="2233"/>
      <c r="Q54" s="2233"/>
      <c r="R54" s="2233">
        <v>-8.0579999999999998</v>
      </c>
      <c r="S54" s="2233">
        <v>-15.44593984119542</v>
      </c>
      <c r="T54" s="2221"/>
      <c r="U54" s="2221"/>
      <c r="V54" s="2221"/>
      <c r="W54" s="2221"/>
      <c r="X54" s="2221"/>
      <c r="Y54" s="2221"/>
      <c r="Z54" s="2221"/>
      <c r="AA54" s="2221"/>
      <c r="AB54" s="2221"/>
      <c r="AC54" s="2221"/>
    </row>
    <row r="55" spans="2:29">
      <c r="B55" s="2198" t="s">
        <v>1802</v>
      </c>
      <c r="C55" s="2214"/>
      <c r="D55" s="2233">
        <v>-0.21300000000000002</v>
      </c>
      <c r="E55" s="2233">
        <v>0.434</v>
      </c>
      <c r="F55" s="2233">
        <v>1.4019999999999999</v>
      </c>
      <c r="G55" s="2233">
        <v>3.1370000000000005</v>
      </c>
      <c r="H55" s="2233">
        <v>3.2909999999999999</v>
      </c>
      <c r="I55" s="2233">
        <v>2.343</v>
      </c>
      <c r="J55" s="2233">
        <v>11.282999999999998</v>
      </c>
      <c r="K55" s="2233">
        <v>28.734999999999999</v>
      </c>
      <c r="L55" s="2233">
        <v>0</v>
      </c>
      <c r="M55" s="2233">
        <v>0</v>
      </c>
      <c r="N55" s="2233"/>
      <c r="O55" s="2233"/>
      <c r="P55" s="2233"/>
      <c r="Q55" s="2233"/>
      <c r="R55" s="2233">
        <v>28.734999999999999</v>
      </c>
      <c r="S55" s="2233">
        <v>0</v>
      </c>
      <c r="T55" s="2221"/>
      <c r="U55" s="2221"/>
      <c r="V55" s="2221"/>
      <c r="W55" s="2221"/>
      <c r="X55" s="2221"/>
      <c r="Y55" s="2221"/>
      <c r="Z55" s="2221"/>
      <c r="AA55" s="2221"/>
      <c r="AB55" s="2221"/>
      <c r="AC55" s="2221"/>
    </row>
    <row r="56" spans="2:29">
      <c r="B56" s="2213" t="s">
        <v>2082</v>
      </c>
      <c r="C56" s="2214"/>
      <c r="D56" s="2231">
        <v>45.912000000000013</v>
      </c>
      <c r="E56" s="2231">
        <v>70.870999999999981</v>
      </c>
      <c r="F56" s="2231">
        <v>88.926999999999992</v>
      </c>
      <c r="G56" s="2231">
        <v>106.57399999999997</v>
      </c>
      <c r="H56" s="2231">
        <v>116.52500000000001</v>
      </c>
      <c r="I56" s="2231">
        <v>128.48200000000003</v>
      </c>
      <c r="J56" s="2231">
        <v>124.83400000000005</v>
      </c>
      <c r="K56" s="2231">
        <v>96.976532782107512</v>
      </c>
      <c r="L56" s="2231">
        <v>152.62427838179639</v>
      </c>
      <c r="M56" s="2231">
        <v>174.07218504682456</v>
      </c>
      <c r="N56" s="2231"/>
      <c r="O56" s="2231"/>
      <c r="P56" s="2231"/>
      <c r="Q56" s="2231"/>
      <c r="R56" s="2231">
        <v>74.658000000000015</v>
      </c>
      <c r="S56" s="2231">
        <v>22.318532782107503</v>
      </c>
      <c r="T56" s="2220"/>
      <c r="U56" s="2220"/>
      <c r="V56" s="2220"/>
      <c r="W56" s="2220"/>
      <c r="X56" s="2220"/>
      <c r="Y56" s="2220"/>
      <c r="Z56" s="2220"/>
      <c r="AA56" s="2220"/>
      <c r="AB56" s="2220"/>
      <c r="AC56" s="2220"/>
    </row>
    <row r="57" spans="2:29">
      <c r="B57" s="2214"/>
      <c r="C57" s="2214"/>
      <c r="D57" s="2233"/>
      <c r="E57" s="2233"/>
      <c r="F57" s="2233"/>
      <c r="G57" s="2233"/>
      <c r="H57" s="2233"/>
      <c r="I57" s="2233"/>
      <c r="J57" s="2233"/>
      <c r="K57" s="2233"/>
      <c r="L57" s="2233"/>
      <c r="M57" s="2233"/>
      <c r="N57" s="2233"/>
      <c r="O57" s="2233"/>
      <c r="P57" s="2233"/>
      <c r="Q57" s="2233"/>
      <c r="R57" s="2233"/>
      <c r="S57" s="2233"/>
      <c r="T57" s="2221"/>
      <c r="U57" s="2221"/>
      <c r="V57" s="2221"/>
      <c r="W57" s="2221"/>
      <c r="X57" s="2221"/>
      <c r="Y57" s="2221"/>
      <c r="Z57" s="2221"/>
      <c r="AA57" s="2221"/>
      <c r="AB57" s="2221"/>
      <c r="AC57" s="2221"/>
    </row>
    <row r="58" spans="2:29">
      <c r="B58" s="2214" t="s">
        <v>2083</v>
      </c>
      <c r="C58" s="2214"/>
      <c r="D58" s="2233">
        <v>0</v>
      </c>
      <c r="E58" s="2233">
        <v>0</v>
      </c>
      <c r="F58" s="2233">
        <v>-13.332000000000001</v>
      </c>
      <c r="G58" s="2233">
        <v>-21.837</v>
      </c>
      <c r="H58" s="2233">
        <v>-22.791</v>
      </c>
      <c r="I58" s="2233">
        <v>-25.341000000000001</v>
      </c>
      <c r="J58" s="2233">
        <v>-32.222999999999999</v>
      </c>
      <c r="K58" s="2233">
        <v>-18.05433624388386</v>
      </c>
      <c r="L58" s="2233">
        <v>-19.042728251407585</v>
      </c>
      <c r="M58" s="2233">
        <v>-20.475524320244183</v>
      </c>
      <c r="N58" s="2220">
        <f>+SUM(X58:Y58)</f>
        <v>-21.71297916762277</v>
      </c>
      <c r="O58" s="2220">
        <f>+SUM(Z58:AA58)</f>
        <v>-22.806932885025741</v>
      </c>
      <c r="P58" s="2220">
        <f>+SUM(AB58:AC58)</f>
        <v>-23.772761196847547</v>
      </c>
      <c r="Q58" s="2233"/>
      <c r="R58" s="2233">
        <v>-8.8699999999999992</v>
      </c>
      <c r="S58" s="2233">
        <v>-9.1843362438838589</v>
      </c>
      <c r="T58" s="2233">
        <v>-9.1482071570207886</v>
      </c>
      <c r="U58" s="2233">
        <v>-9.8945210943867963</v>
      </c>
      <c r="V58" s="2233">
        <v>-9.8757884522953603</v>
      </c>
      <c r="W58" s="2233">
        <v>-10.599735867948825</v>
      </c>
      <c r="X58" s="2233">
        <v>-10.500579969050513</v>
      </c>
      <c r="Y58" s="2233">
        <v>-11.212399198572255</v>
      </c>
      <c r="Z58" s="2233">
        <v>-11.051739166351696</v>
      </c>
      <c r="AA58" s="2233">
        <v>-11.755193718674045</v>
      </c>
      <c r="AB58" s="2233">
        <v>-11.542901415740525</v>
      </c>
      <c r="AC58" s="2233">
        <v>-12.22985978110702</v>
      </c>
    </row>
    <row r="59" spans="2:29">
      <c r="B59" s="2214" t="s">
        <v>2084</v>
      </c>
      <c r="C59" s="2214"/>
      <c r="D59" s="2233">
        <v>-79.19</v>
      </c>
      <c r="E59" s="2233">
        <v>-99.929000000000002</v>
      </c>
      <c r="F59" s="2233">
        <v>-49.152000000000001</v>
      </c>
      <c r="G59" s="2233">
        <v>-109.908</v>
      </c>
      <c r="H59" s="2233">
        <v>-151.39500000000001</v>
      </c>
      <c r="I59" s="2233">
        <v>-91.968000000000004</v>
      </c>
      <c r="J59" s="2233">
        <v>-97.046000000000006</v>
      </c>
      <c r="K59" s="2233">
        <v>-82.235729254259851</v>
      </c>
      <c r="L59" s="2233">
        <v>-64.540381532974536</v>
      </c>
      <c r="M59" s="2233">
        <v>-51.299297650116088</v>
      </c>
      <c r="N59" s="2220">
        <f>+SUM(X59:Y59)</f>
        <v>-41.603106602987886</v>
      </c>
      <c r="O59" s="2220">
        <f>+SUM(Z59:AA59)</f>
        <v>-33.616821380287227</v>
      </c>
      <c r="P59" s="2220">
        <f>+SUM(AB59:AC59)</f>
        <v>-24.529816766025334</v>
      </c>
      <c r="Q59" s="2233"/>
      <c r="R59" s="2233">
        <v>-35.002000000000002</v>
      </c>
      <c r="S59" s="2233">
        <v>-47.233729254259849</v>
      </c>
      <c r="T59" s="2233">
        <v>-32.029812222846488</v>
      </c>
      <c r="U59" s="2233">
        <v>-32.510569310128048</v>
      </c>
      <c r="V59" s="2233">
        <v>-25.557081970811808</v>
      </c>
      <c r="W59" s="2233">
        <v>-25.742215679304284</v>
      </c>
      <c r="X59" s="2233">
        <v>-20.780079519925128</v>
      </c>
      <c r="Y59" s="2233">
        <v>-20.823027083062758</v>
      </c>
      <c r="Z59" s="2233">
        <v>-16.823687496467166</v>
      </c>
      <c r="AA59" s="2233">
        <v>-16.793133883820062</v>
      </c>
      <c r="AB59" s="2233">
        <v>-12.299956984918316</v>
      </c>
      <c r="AC59" s="2233">
        <v>-12.229859781107017</v>
      </c>
    </row>
    <row r="60" spans="2:29">
      <c r="B60" s="2214" t="s">
        <v>1858</v>
      </c>
      <c r="C60" s="2214"/>
      <c r="D60" s="2233">
        <v>0.4</v>
      </c>
      <c r="E60" s="2233">
        <v>0</v>
      </c>
      <c r="F60" s="2233">
        <v>-20.526</v>
      </c>
      <c r="G60" s="2233">
        <v>-99.311999999999998</v>
      </c>
      <c r="H60" s="2233">
        <v>-25.716000000000001</v>
      </c>
      <c r="I60" s="2233">
        <v>-39.447000000000003</v>
      </c>
      <c r="J60" s="2233">
        <v>0</v>
      </c>
      <c r="K60" s="2233">
        <v>-16.140999999999998</v>
      </c>
      <c r="L60" s="2233">
        <v>0</v>
      </c>
      <c r="M60" s="2233">
        <v>0</v>
      </c>
      <c r="N60" s="2233"/>
      <c r="O60" s="2233"/>
      <c r="P60" s="2233"/>
      <c r="Q60" s="2233"/>
      <c r="R60" s="2233">
        <v>-16.140999999999998</v>
      </c>
      <c r="S60" s="2233">
        <v>0</v>
      </c>
      <c r="T60" s="2221"/>
      <c r="U60" s="2221"/>
      <c r="V60" s="2221"/>
      <c r="W60" s="2221"/>
      <c r="X60" s="2221"/>
      <c r="Y60" s="2221"/>
      <c r="Z60" s="2221"/>
      <c r="AA60" s="2221"/>
      <c r="AB60" s="2221"/>
      <c r="AC60" s="2221"/>
    </row>
    <row r="61" spans="2:29">
      <c r="B61" s="2214" t="s">
        <v>2085</v>
      </c>
      <c r="C61" s="2214"/>
      <c r="D61" s="2233">
        <v>0</v>
      </c>
      <c r="E61" s="2233">
        <v>0</v>
      </c>
      <c r="F61" s="2233">
        <v>0</v>
      </c>
      <c r="G61" s="2233">
        <v>-3.7650000000000001</v>
      </c>
      <c r="H61" s="2233">
        <v>-2.641</v>
      </c>
      <c r="I61" s="2233">
        <v>-3.157</v>
      </c>
      <c r="J61" s="2233">
        <v>0</v>
      </c>
      <c r="K61" s="2233">
        <v>0</v>
      </c>
      <c r="L61" s="2233">
        <v>0</v>
      </c>
      <c r="M61" s="2233">
        <v>0</v>
      </c>
      <c r="N61" s="2233"/>
      <c r="O61" s="2233"/>
      <c r="P61" s="2233"/>
      <c r="Q61" s="2233"/>
      <c r="R61" s="2233">
        <v>0</v>
      </c>
      <c r="S61" s="2233">
        <v>0</v>
      </c>
      <c r="T61" s="2221"/>
      <c r="U61" s="2221"/>
      <c r="V61" s="2221"/>
      <c r="W61" s="2221"/>
      <c r="X61" s="2221"/>
      <c r="Y61" s="2221"/>
      <c r="Z61" s="2221"/>
      <c r="AA61" s="2221"/>
      <c r="AB61" s="2221"/>
      <c r="AC61" s="2221"/>
    </row>
    <row r="62" spans="2:29">
      <c r="B62" s="2214" t="s">
        <v>2086</v>
      </c>
      <c r="C62" s="2214"/>
      <c r="D62" s="2233">
        <v>0</v>
      </c>
      <c r="E62" s="2233">
        <v>0</v>
      </c>
      <c r="F62" s="2233">
        <v>6.4000000000000001E-2</v>
      </c>
      <c r="G62" s="2233">
        <v>0</v>
      </c>
      <c r="H62" s="2233">
        <v>0</v>
      </c>
      <c r="I62" s="2233">
        <v>4.5999999999999999E-2</v>
      </c>
      <c r="J62" s="2233">
        <v>8.9999999999999993E-3</v>
      </c>
      <c r="K62" s="2233">
        <v>0</v>
      </c>
      <c r="L62" s="2233">
        <v>0</v>
      </c>
      <c r="M62" s="2233">
        <v>0</v>
      </c>
      <c r="N62" s="2233"/>
      <c r="O62" s="2233"/>
      <c r="P62" s="2233"/>
      <c r="Q62" s="2233"/>
      <c r="R62" s="2233">
        <v>0</v>
      </c>
      <c r="S62" s="2233">
        <v>0</v>
      </c>
      <c r="T62" s="2221"/>
      <c r="U62" s="2221"/>
      <c r="V62" s="2221"/>
      <c r="W62" s="2221"/>
      <c r="X62" s="2221"/>
      <c r="Y62" s="2221"/>
      <c r="Z62" s="2221"/>
      <c r="AA62" s="2221"/>
      <c r="AB62" s="2221"/>
      <c r="AC62" s="2221"/>
    </row>
    <row r="63" spans="2:29">
      <c r="B63" s="2215" t="s">
        <v>2087</v>
      </c>
      <c r="C63" s="2214"/>
      <c r="D63" s="2231">
        <v>-78.789999999999992</v>
      </c>
      <c r="E63" s="2231">
        <v>-99.929000000000002</v>
      </c>
      <c r="F63" s="2231">
        <v>-82.946000000000012</v>
      </c>
      <c r="G63" s="2231">
        <v>-234.822</v>
      </c>
      <c r="H63" s="2231">
        <v>-202.54300000000001</v>
      </c>
      <c r="I63" s="2231">
        <v>-159.86700000000002</v>
      </c>
      <c r="J63" s="2231">
        <v>-129.26000000000002</v>
      </c>
      <c r="K63" s="2231">
        <v>-116.43106549814371</v>
      </c>
      <c r="L63" s="2231">
        <v>-83.583109784382117</v>
      </c>
      <c r="M63" s="2231">
        <v>-71.774821970360279</v>
      </c>
      <c r="N63" s="2231"/>
      <c r="O63" s="2231"/>
      <c r="P63" s="2231"/>
      <c r="Q63" s="2231"/>
      <c r="R63" s="2231">
        <v>-60.012999999999998</v>
      </c>
      <c r="S63" s="2231">
        <v>-56.418065498143704</v>
      </c>
      <c r="T63" s="2220"/>
      <c r="U63" s="2220"/>
      <c r="V63" s="2220"/>
      <c r="W63" s="2220"/>
      <c r="X63" s="2220"/>
      <c r="Y63" s="2220"/>
      <c r="Z63" s="2220"/>
      <c r="AA63" s="2220"/>
      <c r="AB63" s="2220"/>
      <c r="AC63" s="2220"/>
    </row>
    <row r="64" spans="2:29">
      <c r="B64" s="2214"/>
      <c r="C64" s="2214"/>
      <c r="D64" s="2233"/>
      <c r="E64" s="2233"/>
      <c r="F64" s="2233"/>
      <c r="G64" s="2233"/>
      <c r="H64" s="2233"/>
      <c r="I64" s="2233"/>
      <c r="J64" s="2233"/>
      <c r="K64" s="2233"/>
      <c r="L64" s="2233"/>
      <c r="M64" s="2233"/>
      <c r="N64" s="2233"/>
      <c r="O64" s="2233"/>
      <c r="P64" s="2233"/>
      <c r="Q64" s="2233"/>
      <c r="R64" s="2233"/>
      <c r="S64" s="2233"/>
      <c r="T64" s="2221"/>
      <c r="U64" s="2221"/>
      <c r="V64" s="2221"/>
      <c r="W64" s="2221"/>
      <c r="X64" s="2221"/>
      <c r="Y64" s="2221"/>
      <c r="Z64" s="2221"/>
      <c r="AA64" s="2221"/>
      <c r="AB64" s="2221"/>
      <c r="AC64" s="2221"/>
    </row>
    <row r="65" spans="2:29">
      <c r="B65" s="2214" t="s">
        <v>2088</v>
      </c>
      <c r="C65" s="2214"/>
      <c r="D65" s="2233">
        <v>0.127</v>
      </c>
      <c r="E65" s="2233">
        <v>9.0999999999999998E-2</v>
      </c>
      <c r="F65" s="2233">
        <v>1.0920000000000001</v>
      </c>
      <c r="G65" s="2233">
        <v>2.65</v>
      </c>
      <c r="H65" s="2233">
        <v>3.9039999999999999</v>
      </c>
      <c r="I65" s="2233">
        <v>0.154</v>
      </c>
      <c r="J65" s="2233">
        <v>0.47199999999999998</v>
      </c>
      <c r="K65" s="2233">
        <v>7.0000000000000007E-2</v>
      </c>
      <c r="L65" s="2233">
        <v>0</v>
      </c>
      <c r="M65" s="2233">
        <v>0</v>
      </c>
      <c r="N65" s="2233"/>
      <c r="O65" s="2233"/>
      <c r="P65" s="2233"/>
      <c r="Q65" s="2233"/>
      <c r="R65" s="2233">
        <v>7.0000000000000007E-2</v>
      </c>
      <c r="S65" s="2233">
        <v>0</v>
      </c>
      <c r="T65" s="2221"/>
      <c r="U65" s="2221"/>
      <c r="V65" s="2221"/>
      <c r="W65" s="2221"/>
      <c r="X65" s="2221"/>
      <c r="Y65" s="2221"/>
      <c r="Z65" s="2221"/>
      <c r="AA65" s="2221"/>
      <c r="AB65" s="2221"/>
      <c r="AC65" s="2221"/>
    </row>
    <row r="66" spans="2:29">
      <c r="B66" s="2214" t="s">
        <v>2089</v>
      </c>
      <c r="C66" s="2214"/>
      <c r="D66" s="2233">
        <v>0</v>
      </c>
      <c r="E66" s="2233">
        <v>0</v>
      </c>
      <c r="F66" s="2233">
        <v>-10.367000000000001</v>
      </c>
      <c r="G66" s="2233">
        <v>-2.5</v>
      </c>
      <c r="H66" s="2233">
        <v>-1.9350000000000001</v>
      </c>
      <c r="I66" s="2233">
        <v>-2.0379999999999998</v>
      </c>
      <c r="J66" s="2233">
        <v>0</v>
      </c>
      <c r="K66" s="2233">
        <v>-2.7770000000000001</v>
      </c>
      <c r="L66" s="2233">
        <v>0</v>
      </c>
      <c r="M66" s="2233">
        <v>0</v>
      </c>
      <c r="N66" s="2233"/>
      <c r="O66" s="2233"/>
      <c r="P66" s="2233"/>
      <c r="Q66" s="2233"/>
      <c r="R66" s="2233">
        <v>-2.7770000000000001</v>
      </c>
      <c r="S66" s="2233">
        <v>0</v>
      </c>
      <c r="T66" s="2221"/>
      <c r="U66" s="2221"/>
      <c r="V66" s="2221"/>
      <c r="W66" s="2221"/>
      <c r="X66" s="2221"/>
      <c r="Y66" s="2221"/>
      <c r="Z66" s="2221"/>
      <c r="AA66" s="2221"/>
      <c r="AB66" s="2221"/>
      <c r="AC66" s="2221"/>
    </row>
    <row r="67" spans="2:29">
      <c r="B67" s="2214" t="s">
        <v>2090</v>
      </c>
      <c r="C67" s="2214"/>
      <c r="D67" s="2233">
        <v>-0.105</v>
      </c>
      <c r="E67" s="2233">
        <v>-0.28499999999999998</v>
      </c>
      <c r="F67" s="2233">
        <v>-0.33300000000000002</v>
      </c>
      <c r="G67" s="2233">
        <v>15</v>
      </c>
      <c r="H67" s="2233">
        <v>0</v>
      </c>
      <c r="I67" s="2233">
        <v>0</v>
      </c>
      <c r="J67" s="2233">
        <v>0</v>
      </c>
      <c r="K67" s="2233">
        <v>0</v>
      </c>
      <c r="L67" s="2233">
        <v>0</v>
      </c>
      <c r="M67" s="2233">
        <v>0</v>
      </c>
      <c r="N67" s="2233"/>
      <c r="O67" s="2233"/>
      <c r="P67" s="2233"/>
      <c r="Q67" s="2233"/>
      <c r="R67" s="2233">
        <v>0</v>
      </c>
      <c r="S67" s="2233">
        <v>0</v>
      </c>
      <c r="T67" s="2221"/>
      <c r="U67" s="2221"/>
      <c r="V67" s="2221"/>
      <c r="W67" s="2221"/>
      <c r="X67" s="2221"/>
      <c r="Y67" s="2221"/>
      <c r="Z67" s="2221"/>
      <c r="AA67" s="2221"/>
      <c r="AB67" s="2221"/>
      <c r="AC67" s="2221"/>
    </row>
    <row r="68" spans="2:29">
      <c r="B68" s="2214" t="s">
        <v>1432</v>
      </c>
      <c r="C68" s="2214"/>
      <c r="D68" s="2233">
        <v>0</v>
      </c>
      <c r="E68" s="2233">
        <v>0</v>
      </c>
      <c r="F68" s="2233">
        <v>0</v>
      </c>
      <c r="G68" s="2233">
        <v>0</v>
      </c>
      <c r="H68" s="2233">
        <v>-5.0069999999999997</v>
      </c>
      <c r="I68" s="2233">
        <v>-17.167999999999999</v>
      </c>
      <c r="J68" s="2233">
        <v>-23.302</v>
      </c>
      <c r="K68" s="2233">
        <v>-28.429749477406705</v>
      </c>
      <c r="L68" s="2233">
        <v>-34.125911590683856</v>
      </c>
      <c r="M68" s="2233">
        <v>-43.618373146364434</v>
      </c>
      <c r="N68" s="2233"/>
      <c r="O68" s="2233"/>
      <c r="P68" s="2233"/>
      <c r="Q68" s="2233"/>
      <c r="R68" s="2233">
        <v>-18.263000000000002</v>
      </c>
      <c r="S68" s="2233">
        <v>-10.166749477406704</v>
      </c>
      <c r="T68" s="2221"/>
      <c r="U68" s="2221"/>
      <c r="V68" s="2221"/>
      <c r="W68" s="2221"/>
      <c r="X68" s="2221"/>
      <c r="Y68" s="2221"/>
      <c r="Z68" s="2221"/>
      <c r="AA68" s="2221"/>
      <c r="AB68" s="2221"/>
      <c r="AC68" s="2221"/>
    </row>
    <row r="69" spans="2:29">
      <c r="B69" s="2215" t="s">
        <v>2091</v>
      </c>
      <c r="C69" s="2214"/>
      <c r="D69" s="2231">
        <v>2.2000000000000006E-2</v>
      </c>
      <c r="E69" s="2231">
        <v>-0.19399999999999998</v>
      </c>
      <c r="F69" s="2231">
        <v>-9.6080000000000005</v>
      </c>
      <c r="G69" s="2231">
        <v>15.15</v>
      </c>
      <c r="H69" s="2231">
        <v>-3.0379999999999998</v>
      </c>
      <c r="I69" s="2231">
        <v>-19.052</v>
      </c>
      <c r="J69" s="2231">
        <v>-22.83</v>
      </c>
      <c r="K69" s="2231">
        <v>-31.136749477406706</v>
      </c>
      <c r="L69" s="2231">
        <v>-34.125911590683856</v>
      </c>
      <c r="M69" s="2231">
        <v>-43.618373146364434</v>
      </c>
      <c r="N69" s="2231"/>
      <c r="O69" s="2231"/>
      <c r="P69" s="2231"/>
      <c r="Q69" s="2231"/>
      <c r="R69" s="2231">
        <v>-20.970000000000002</v>
      </c>
      <c r="S69" s="2231">
        <v>-10.166749477406704</v>
      </c>
      <c r="T69" s="2220"/>
      <c r="U69" s="2220"/>
      <c r="V69" s="2220"/>
      <c r="W69" s="2220"/>
      <c r="X69" s="2220"/>
      <c r="Y69" s="2220"/>
      <c r="Z69" s="2220"/>
      <c r="AA69" s="2220"/>
      <c r="AB69" s="2220"/>
      <c r="AC69" s="2220"/>
    </row>
    <row r="70" spans="2:29">
      <c r="B70" s="2214"/>
      <c r="C70" s="2214"/>
      <c r="D70" s="2233"/>
      <c r="E70" s="2233"/>
      <c r="F70" s="2233"/>
      <c r="G70" s="2233"/>
      <c r="H70" s="2233"/>
      <c r="I70" s="2233"/>
      <c r="J70" s="2233"/>
      <c r="K70" s="2233"/>
      <c r="L70" s="2233"/>
      <c r="M70" s="2233"/>
      <c r="N70" s="2233"/>
      <c r="O70" s="2233"/>
      <c r="P70" s="2233"/>
      <c r="Q70" s="2233"/>
      <c r="R70" s="2233"/>
      <c r="S70" s="2233"/>
      <c r="T70" s="2221"/>
      <c r="U70" s="2221"/>
      <c r="V70" s="2221"/>
      <c r="W70" s="2221"/>
      <c r="X70" s="2221"/>
      <c r="Y70" s="2221"/>
      <c r="Z70" s="2221"/>
      <c r="AA70" s="2221"/>
      <c r="AB70" s="2221"/>
      <c r="AC70" s="2221"/>
    </row>
    <row r="71" spans="2:29">
      <c r="B71" s="2214" t="s">
        <v>2092</v>
      </c>
      <c r="C71" s="2214"/>
      <c r="D71" s="2233">
        <v>-0.28199999999999997</v>
      </c>
      <c r="E71" s="2233">
        <v>2.387</v>
      </c>
      <c r="F71" s="2233">
        <v>5.6000000000000001E-2</v>
      </c>
      <c r="G71" s="2233">
        <v>4.8689999999999998</v>
      </c>
      <c r="H71" s="2233">
        <v>0</v>
      </c>
      <c r="I71" s="2233">
        <v>0</v>
      </c>
      <c r="J71" s="2233">
        <v>0</v>
      </c>
      <c r="K71" s="2233">
        <v>0</v>
      </c>
      <c r="L71" s="2233">
        <v>0</v>
      </c>
      <c r="M71" s="2233">
        <v>0</v>
      </c>
      <c r="N71" s="2233"/>
      <c r="O71" s="2233"/>
      <c r="P71" s="2233"/>
      <c r="Q71" s="2233"/>
      <c r="R71" s="2233">
        <v>0</v>
      </c>
      <c r="S71" s="2233">
        <v>0</v>
      </c>
      <c r="T71" s="2221"/>
      <c r="U71" s="2221"/>
      <c r="V71" s="2221"/>
      <c r="W71" s="2221"/>
      <c r="X71" s="2221"/>
      <c r="Y71" s="2221"/>
      <c r="Z71" s="2221"/>
      <c r="AA71" s="2221"/>
      <c r="AB71" s="2221"/>
      <c r="AC71" s="2221"/>
    </row>
    <row r="72" spans="2:29">
      <c r="B72" s="2214" t="s">
        <v>1184</v>
      </c>
      <c r="C72" s="2214"/>
      <c r="D72" s="2233">
        <v>0.37499999999995737</v>
      </c>
      <c r="E72" s="2233">
        <v>-5.5999999999979622E-2</v>
      </c>
      <c r="F72" s="2233">
        <v>2.271000000000023</v>
      </c>
      <c r="G72" s="2233">
        <v>0.23000000000004661</v>
      </c>
      <c r="H72" s="2233">
        <v>-1.1739999999999999</v>
      </c>
      <c r="I72" s="2233">
        <v>0.30599999999999999</v>
      </c>
      <c r="J72" s="2233">
        <v>14.620999999999999</v>
      </c>
      <c r="K72" s="2233">
        <v>16.28</v>
      </c>
      <c r="L72" s="2233">
        <v>0</v>
      </c>
      <c r="M72" s="2233">
        <v>0</v>
      </c>
      <c r="N72" s="2233"/>
      <c r="O72" s="2233"/>
      <c r="P72" s="2233"/>
      <c r="Q72" s="2233"/>
      <c r="R72" s="2233">
        <v>16.28</v>
      </c>
      <c r="S72" s="2233">
        <v>0</v>
      </c>
      <c r="T72" s="2221"/>
      <c r="U72" s="2221"/>
      <c r="V72" s="2221"/>
      <c r="W72" s="2221"/>
      <c r="X72" s="2221"/>
      <c r="Y72" s="2221"/>
      <c r="Z72" s="2221"/>
      <c r="AA72" s="2221"/>
      <c r="AB72" s="2221"/>
      <c r="AC72" s="2221"/>
    </row>
    <row r="73" spans="2:29">
      <c r="B73" s="2215" t="s">
        <v>2093</v>
      </c>
      <c r="C73" s="2214"/>
      <c r="D73" s="2231">
        <v>-32.763000000000005</v>
      </c>
      <c r="E73" s="2231">
        <v>-26.920999999999999</v>
      </c>
      <c r="F73" s="2231">
        <v>-1.2999999999999972</v>
      </c>
      <c r="G73" s="2231">
        <v>-107.999</v>
      </c>
      <c r="H73" s="2231">
        <v>-90.230000000000047</v>
      </c>
      <c r="I73" s="2231">
        <v>-50.051999999999929</v>
      </c>
      <c r="J73" s="2231">
        <v>-12.575000000000015</v>
      </c>
      <c r="K73" s="2231">
        <v>-34.311282193442892</v>
      </c>
      <c r="L73" s="2231">
        <v>34.915257006730414</v>
      </c>
      <c r="M73" s="2231">
        <v>58.678989930099817</v>
      </c>
      <c r="N73" s="2231"/>
      <c r="O73" s="2231"/>
      <c r="P73" s="2231"/>
      <c r="Q73" s="2231"/>
      <c r="R73" s="2231">
        <v>9.9840000000000124</v>
      </c>
      <c r="S73" s="2231">
        <v>-44.266282193442905</v>
      </c>
      <c r="T73" s="2220"/>
      <c r="U73" s="2220"/>
      <c r="V73" s="2220"/>
      <c r="W73" s="2220"/>
      <c r="X73" s="2220"/>
      <c r="Y73" s="2220"/>
      <c r="Z73" s="2220"/>
      <c r="AA73" s="2220"/>
      <c r="AB73" s="2220"/>
      <c r="AC73" s="2220"/>
    </row>
    <row r="74" spans="2:29">
      <c r="B74" s="2214"/>
      <c r="C74" s="2214"/>
      <c r="D74" s="2233"/>
      <c r="E74" s="2233"/>
      <c r="F74" s="2233"/>
      <c r="G74" s="2233"/>
      <c r="H74" s="2233"/>
      <c r="I74" s="2233"/>
      <c r="J74" s="2233"/>
      <c r="K74" s="2233"/>
      <c r="L74" s="2233"/>
      <c r="M74" s="2233"/>
      <c r="N74" s="2233"/>
      <c r="O74" s="2233"/>
      <c r="P74" s="2233"/>
      <c r="Q74" s="2233"/>
      <c r="R74" s="2233"/>
      <c r="S74" s="2233"/>
      <c r="T74" s="2221"/>
      <c r="U74" s="2221"/>
      <c r="V74" s="2221"/>
      <c r="W74" s="2221"/>
      <c r="X74" s="2221"/>
      <c r="Y74" s="2221"/>
      <c r="Z74" s="2221"/>
      <c r="AA74" s="2221"/>
      <c r="AB74" s="2221"/>
      <c r="AC74" s="2221"/>
    </row>
    <row r="75" spans="2:29">
      <c r="B75" s="2215" t="s">
        <v>2094</v>
      </c>
      <c r="C75" s="2214"/>
      <c r="D75" s="2231">
        <v>-33.277999999999977</v>
      </c>
      <c r="E75" s="2231">
        <v>-29.058000000000021</v>
      </c>
      <c r="F75" s="2231">
        <v>26.442999999999977</v>
      </c>
      <c r="G75" s="2231">
        <v>-25.171000000000035</v>
      </c>
      <c r="H75" s="2231">
        <v>-57.66100000000003</v>
      </c>
      <c r="I75" s="2231">
        <v>11.252000000000066</v>
      </c>
      <c r="J75" s="2231">
        <v>-4.375</v>
      </c>
      <c r="K75" s="2231">
        <v>-3.3135327160361783</v>
      </c>
      <c r="L75" s="2231">
        <v>69.04116859741427</v>
      </c>
      <c r="M75" s="2231">
        <v>102.29736307646425</v>
      </c>
      <c r="N75" s="2231"/>
      <c r="O75" s="2231"/>
      <c r="P75" s="2231"/>
      <c r="Q75" s="2231"/>
      <c r="R75" s="2231">
        <v>30.815000000000012</v>
      </c>
      <c r="S75" s="2231">
        <v>-34.099532716036201</v>
      </c>
      <c r="T75" s="2220"/>
      <c r="U75" s="2220"/>
      <c r="V75" s="2220"/>
      <c r="W75" s="2220"/>
      <c r="X75" s="2220"/>
      <c r="Y75" s="2220"/>
      <c r="Z75" s="2220"/>
      <c r="AA75" s="2220"/>
      <c r="AB75" s="2220"/>
      <c r="AC75" s="2220"/>
    </row>
    <row r="76" spans="2:29">
      <c r="B76" s="2215" t="s">
        <v>2095</v>
      </c>
      <c r="C76" s="2214"/>
      <c r="D76" s="2237">
        <v>-8.2318309998515721E-3</v>
      </c>
      <c r="E76" s="2237">
        <v>-4.5463506219197416E-3</v>
      </c>
      <c r="F76" s="2237">
        <v>3.1692174934381599E-3</v>
      </c>
      <c r="G76" s="2237">
        <v>-2.3710883777011667E-3</v>
      </c>
      <c r="H76" s="2237">
        <v>-4.4538938066768655E-3</v>
      </c>
      <c r="I76" s="2237">
        <v>7.3427782744601999E-4</v>
      </c>
      <c r="J76" s="2237">
        <v>-2.6721473681638833E-4</v>
      </c>
      <c r="K76" s="2237">
        <v>-2.001184844023492E-4</v>
      </c>
      <c r="L76" s="2237">
        <v>3.7955067149558954E-3</v>
      </c>
      <c r="M76" s="2237">
        <v>4.9527913896484713E-3</v>
      </c>
      <c r="N76" s="2237"/>
      <c r="O76" s="2237"/>
      <c r="P76" s="2237"/>
      <c r="Q76" s="2237"/>
      <c r="R76" s="2237">
        <v>3.7914021359318874E-3</v>
      </c>
      <c r="S76" s="2237">
        <v>-4.044899635223427E-3</v>
      </c>
      <c r="T76" s="2219"/>
      <c r="U76" s="2219"/>
      <c r="V76" s="2219"/>
      <c r="W76" s="2219"/>
      <c r="X76" s="2219"/>
      <c r="Y76" s="2219"/>
      <c r="Z76" s="2219"/>
      <c r="AA76" s="2219"/>
      <c r="AB76" s="2219"/>
      <c r="AC76" s="2219"/>
    </row>
    <row r="77" spans="2:29">
      <c r="B77" s="2215"/>
      <c r="C77" s="2214"/>
      <c r="D77" s="2238"/>
      <c r="E77" s="2238"/>
      <c r="F77" s="2238"/>
      <c r="G77" s="2238"/>
      <c r="H77" s="2238"/>
      <c r="I77" s="2238"/>
      <c r="J77" s="2238"/>
      <c r="K77" s="2238"/>
      <c r="L77" s="2238"/>
      <c r="M77" s="2238"/>
      <c r="N77" s="2238"/>
      <c r="O77" s="2238"/>
      <c r="P77" s="2238"/>
      <c r="Q77" s="2238"/>
      <c r="R77" s="2238"/>
      <c r="S77" s="2238"/>
      <c r="T77" s="2217"/>
      <c r="U77" s="2217"/>
      <c r="V77" s="2217"/>
      <c r="W77" s="2217"/>
      <c r="X77" s="2217"/>
      <c r="Y77" s="2217"/>
      <c r="Z77" s="2217"/>
      <c r="AA77" s="2217"/>
      <c r="AB77" s="2217"/>
      <c r="AC77" s="2217"/>
    </row>
    <row r="78" spans="2:29">
      <c r="B78" s="2215" t="s">
        <v>2096</v>
      </c>
      <c r="C78" s="2214"/>
      <c r="D78" s="2231">
        <v>45.91200000000002</v>
      </c>
      <c r="E78" s="2231">
        <v>70.870999999999981</v>
      </c>
      <c r="F78" s="2231">
        <v>75.59499999999997</v>
      </c>
      <c r="G78" s="2231">
        <v>84.736999999999966</v>
      </c>
      <c r="H78" s="2231">
        <v>93.73399999999998</v>
      </c>
      <c r="I78" s="2231">
        <v>103.22000000000006</v>
      </c>
      <c r="J78" s="2231">
        <v>92.671000000000006</v>
      </c>
      <c r="K78" s="2231">
        <v>78.922196538223659</v>
      </c>
      <c r="L78" s="2231">
        <v>133.58155013038879</v>
      </c>
      <c r="M78" s="2231">
        <v>153.59666072658035</v>
      </c>
      <c r="N78" s="2231"/>
      <c r="O78" s="2231"/>
      <c r="P78" s="2231"/>
      <c r="Q78" s="2231"/>
      <c r="R78" s="2231">
        <v>65.817000000000007</v>
      </c>
      <c r="S78" s="2231">
        <v>13.134196538223645</v>
      </c>
      <c r="T78" s="2220"/>
      <c r="U78" s="2220"/>
      <c r="V78" s="2220"/>
      <c r="W78" s="2220"/>
      <c r="X78" s="2220"/>
      <c r="Y78" s="2220"/>
      <c r="Z78" s="2220"/>
      <c r="AA78" s="2220"/>
      <c r="AB78" s="2220"/>
      <c r="AC78" s="2220"/>
    </row>
    <row r="79" spans="2:29">
      <c r="B79" s="2215" t="s">
        <v>2095</v>
      </c>
      <c r="C79" s="2198"/>
      <c r="D79" s="2237">
        <v>1.1357047444713799E-2</v>
      </c>
      <c r="E79" s="2237">
        <v>1.1088320425565205E-2</v>
      </c>
      <c r="F79" s="2237">
        <v>9.0601291992760975E-3</v>
      </c>
      <c r="G79" s="2237">
        <v>7.9821586691535256E-3</v>
      </c>
      <c r="H79" s="2237">
        <v>7.2402712765135702E-3</v>
      </c>
      <c r="I79" s="2237">
        <v>6.7358831629023971E-3</v>
      </c>
      <c r="J79" s="2237">
        <v>5.660127285831206E-3</v>
      </c>
      <c r="K79" s="2237">
        <v>4.7664507069744618E-3</v>
      </c>
      <c r="L79" s="2237">
        <v>7.3435847163962507E-3</v>
      </c>
      <c r="M79" s="2237">
        <v>7.4364792585781504E-3</v>
      </c>
      <c r="N79" s="2237"/>
      <c r="O79" s="2237"/>
      <c r="P79" s="2237"/>
      <c r="Q79" s="2237"/>
      <c r="R79" s="2237">
        <v>8.0979624981544363E-3</v>
      </c>
      <c r="S79" s="2237">
        <v>1.5579834254276887E-3</v>
      </c>
      <c r="T79" s="2219"/>
      <c r="U79" s="2219"/>
      <c r="V79" s="2219"/>
      <c r="W79" s="2219"/>
      <c r="X79" s="2219"/>
      <c r="Y79" s="2219"/>
      <c r="Z79" s="2219"/>
      <c r="AA79" s="2219"/>
      <c r="AB79" s="2219"/>
      <c r="AC79" s="2219"/>
    </row>
    <row r="81" spans="2:29">
      <c r="B81" s="2204" t="s">
        <v>1061</v>
      </c>
      <c r="C81" s="2203"/>
      <c r="D81" s="2203"/>
      <c r="E81" s="2203"/>
      <c r="F81" s="2203"/>
      <c r="G81" s="2203"/>
      <c r="H81" s="2203"/>
      <c r="I81" s="2203"/>
      <c r="J81" s="2203"/>
      <c r="K81" s="2203"/>
      <c r="L81" s="2203"/>
      <c r="M81" s="2203"/>
      <c r="N81" s="2203"/>
      <c r="O81" s="2203"/>
      <c r="P81" s="2203"/>
      <c r="Q81" s="2203"/>
      <c r="R81" s="2203"/>
      <c r="S81" s="2203"/>
      <c r="T81" s="2203"/>
      <c r="U81" s="2203"/>
      <c r="V81" s="2203"/>
      <c r="W81" s="2203"/>
      <c r="X81" s="2203"/>
      <c r="Y81" s="2203"/>
      <c r="Z81" s="2203"/>
      <c r="AA81" s="2203"/>
      <c r="AB81" s="2203"/>
      <c r="AC81" s="2203"/>
    </row>
    <row r="82" spans="2:29">
      <c r="B82" s="2207"/>
      <c r="C82" s="2207"/>
      <c r="D82" s="2208">
        <v>2008</v>
      </c>
      <c r="E82" s="2208">
        <v>2009</v>
      </c>
      <c r="F82" s="2208">
        <v>2010</v>
      </c>
      <c r="G82" s="2208">
        <v>2011</v>
      </c>
      <c r="H82" s="2208">
        <v>2012</v>
      </c>
      <c r="I82" s="2208">
        <v>2013</v>
      </c>
      <c r="J82" s="2208">
        <v>2014</v>
      </c>
      <c r="K82" s="2209">
        <v>2015</v>
      </c>
      <c r="L82" s="2209">
        <v>2016</v>
      </c>
      <c r="M82" s="2209">
        <v>2017</v>
      </c>
      <c r="N82" s="2209"/>
      <c r="O82" s="2209"/>
      <c r="P82" s="2209"/>
      <c r="Q82" s="2207"/>
      <c r="R82" s="2208">
        <v>2015</v>
      </c>
      <c r="S82" s="2208">
        <v>2015</v>
      </c>
      <c r="T82" s="2208"/>
      <c r="U82" s="2208"/>
      <c r="V82" s="2208"/>
      <c r="W82" s="2208"/>
      <c r="X82" s="2208"/>
      <c r="Y82" s="2208"/>
      <c r="Z82" s="2208"/>
      <c r="AA82" s="2208"/>
      <c r="AB82" s="2208"/>
      <c r="AC82" s="2208"/>
    </row>
    <row r="83" spans="2:29">
      <c r="B83" s="2207" t="s">
        <v>2052</v>
      </c>
      <c r="C83" s="2207"/>
      <c r="D83" s="2210">
        <v>39447</v>
      </c>
      <c r="E83" s="2210">
        <v>39447</v>
      </c>
      <c r="F83" s="2210">
        <v>39447</v>
      </c>
      <c r="G83" s="2210">
        <v>39447</v>
      </c>
      <c r="H83" s="2210">
        <v>39447</v>
      </c>
      <c r="I83" s="2210">
        <v>39447</v>
      </c>
      <c r="J83" s="2210">
        <v>39447</v>
      </c>
      <c r="K83" s="2210">
        <v>39447</v>
      </c>
      <c r="L83" s="2210">
        <v>39447</v>
      </c>
      <c r="M83" s="2210">
        <v>39447</v>
      </c>
      <c r="N83" s="2210"/>
      <c r="O83" s="2210"/>
      <c r="P83" s="2210"/>
      <c r="Q83" s="2210"/>
      <c r="R83" s="2210">
        <v>39629</v>
      </c>
      <c r="S83" s="2210">
        <v>39447</v>
      </c>
      <c r="T83" s="2210"/>
      <c r="U83" s="2210"/>
      <c r="V83" s="2210"/>
      <c r="W83" s="2210"/>
      <c r="X83" s="2210"/>
      <c r="Y83" s="2210"/>
      <c r="Z83" s="2210"/>
      <c r="AA83" s="2210"/>
      <c r="AB83" s="2210"/>
      <c r="AC83" s="2210"/>
    </row>
    <row r="84" spans="2:29" ht="12.75" thickBot="1">
      <c r="B84" s="2211" t="s">
        <v>2053</v>
      </c>
      <c r="C84" s="2211"/>
      <c r="D84" s="2212" t="s">
        <v>2048</v>
      </c>
      <c r="E84" s="2212" t="s">
        <v>2048</v>
      </c>
      <c r="F84" s="2212" t="s">
        <v>2048</v>
      </c>
      <c r="G84" s="2212" t="s">
        <v>2048</v>
      </c>
      <c r="H84" s="2212" t="s">
        <v>2048</v>
      </c>
      <c r="I84" s="2212" t="s">
        <v>2048</v>
      </c>
      <c r="J84" s="2212" t="s">
        <v>2048</v>
      </c>
      <c r="K84" s="2212" t="s">
        <v>2048</v>
      </c>
      <c r="L84" s="2212" t="s">
        <v>2048</v>
      </c>
      <c r="M84" s="2212" t="s">
        <v>2048</v>
      </c>
      <c r="N84" s="2212"/>
      <c r="O84" s="2212"/>
      <c r="P84" s="2212"/>
      <c r="Q84" s="2212"/>
      <c r="R84" s="2212" t="s">
        <v>2046</v>
      </c>
      <c r="S84" s="2212" t="s">
        <v>2047</v>
      </c>
      <c r="T84" s="2212"/>
      <c r="U84" s="2212"/>
      <c r="V84" s="2212"/>
      <c r="W84" s="2212"/>
      <c r="X84" s="2212"/>
      <c r="Y84" s="2212"/>
      <c r="Z84" s="2212"/>
      <c r="AA84" s="2212"/>
      <c r="AB84" s="2212"/>
      <c r="AC84" s="2212"/>
    </row>
    <row r="85" spans="2:29" ht="12.75" thickTop="1">
      <c r="B85" s="2213" t="s">
        <v>2097</v>
      </c>
      <c r="C85" s="2214"/>
      <c r="D85" s="2231">
        <v>-27.765000000000004</v>
      </c>
      <c r="E85" s="2231">
        <v>-52.997999999999998</v>
      </c>
      <c r="F85" s="2231">
        <v>-58.280999999999999</v>
      </c>
      <c r="G85" s="2231">
        <v>-73.02600000000001</v>
      </c>
      <c r="H85" s="2231">
        <v>-84.113</v>
      </c>
      <c r="I85" s="2231">
        <v>-74.863</v>
      </c>
      <c r="J85" s="2231">
        <v>-60.082000000000008</v>
      </c>
      <c r="K85" s="2231">
        <v>-53.605929195293612</v>
      </c>
      <c r="L85" s="2231">
        <v>-57.819815442736854</v>
      </c>
      <c r="M85" s="2231">
        <v>-63.276289700773646</v>
      </c>
      <c r="N85" s="2231"/>
      <c r="O85" s="2231"/>
      <c r="P85" s="2231"/>
      <c r="Q85" s="2231"/>
      <c r="R85" s="2231">
        <v>-95.644000000000005</v>
      </c>
      <c r="S85" s="2231">
        <v>-53.605929195293612</v>
      </c>
      <c r="T85" s="2220"/>
      <c r="U85" s="2220"/>
      <c r="V85" s="2220"/>
      <c r="W85" s="2220"/>
      <c r="X85" s="2220"/>
      <c r="Y85" s="2220"/>
      <c r="Z85" s="2220"/>
      <c r="AA85" s="2220"/>
      <c r="AB85" s="2220"/>
      <c r="AC85" s="2220"/>
    </row>
    <row r="86" spans="2:29">
      <c r="B86" s="2198" t="s">
        <v>2098</v>
      </c>
      <c r="C86" s="2214"/>
      <c r="D86" s="2237">
        <v>-2.0869663259170173E-3</v>
      </c>
      <c r="E86" s="2237">
        <v>-3.128885425337844E-3</v>
      </c>
      <c r="F86" s="2237">
        <v>-2.9675096870115125E-3</v>
      </c>
      <c r="G86" s="2237">
        <v>-3.0450591698704859E-3</v>
      </c>
      <c r="H86" s="2237">
        <v>-2.9727160275667078E-3</v>
      </c>
      <c r="I86" s="2237">
        <v>-2.2995853171555829E-3</v>
      </c>
      <c r="J86" s="2237">
        <v>-1.7230530979796097E-3</v>
      </c>
      <c r="K86" s="2237">
        <v>-1.5147731906145522E-3</v>
      </c>
      <c r="L86" s="2237">
        <v>-1.4999075299111022E-3</v>
      </c>
      <c r="M86" s="2237">
        <v>-1.4609318475268416E-3</v>
      </c>
      <c r="N86" s="2237"/>
      <c r="O86" s="2237"/>
      <c r="P86" s="2237"/>
      <c r="Q86" s="2237"/>
      <c r="R86" s="2237">
        <v>-5.5140208467853516E-3</v>
      </c>
      <c r="S86" s="2237">
        <v>-2.9709851263225984E-3</v>
      </c>
      <c r="T86" s="2219"/>
      <c r="U86" s="2219"/>
      <c r="V86" s="2219"/>
      <c r="W86" s="2219"/>
      <c r="X86" s="2219"/>
      <c r="Y86" s="2219"/>
      <c r="Z86" s="2219"/>
      <c r="AA86" s="2219"/>
      <c r="AB86" s="2219"/>
      <c r="AC86" s="2219"/>
    </row>
    <row r="87" spans="2:29">
      <c r="B87" s="2214"/>
      <c r="C87" s="2214"/>
      <c r="D87" s="2235"/>
      <c r="E87" s="2235"/>
      <c r="F87" s="2235"/>
      <c r="G87" s="2235"/>
      <c r="H87" s="2235"/>
      <c r="I87" s="2235"/>
      <c r="J87" s="2235"/>
      <c r="K87" s="2235"/>
      <c r="L87" s="2235"/>
      <c r="M87" s="2235"/>
      <c r="N87" s="2235"/>
      <c r="O87" s="2235"/>
      <c r="P87" s="2235"/>
      <c r="Q87" s="2235"/>
      <c r="R87" s="2235"/>
      <c r="S87" s="2235"/>
      <c r="T87" s="2214"/>
      <c r="U87" s="2214"/>
      <c r="V87" s="2214"/>
      <c r="W87" s="2214"/>
      <c r="X87" s="2214"/>
      <c r="Y87" s="2214"/>
      <c r="Z87" s="2214"/>
      <c r="AA87" s="2214"/>
      <c r="AB87" s="2214"/>
      <c r="AC87" s="2214"/>
    </row>
    <row r="88" spans="2:29">
      <c r="B88" s="2214" t="s">
        <v>2099</v>
      </c>
      <c r="C88" s="2214"/>
      <c r="D88" s="2233">
        <v>206.11099999999999</v>
      </c>
      <c r="E88" s="2233">
        <v>286.28300000000002</v>
      </c>
      <c r="F88" s="2233">
        <v>317.83199999999999</v>
      </c>
      <c r="G88" s="2233">
        <v>438.875</v>
      </c>
      <c r="H88" s="2233">
        <v>589.08799999999997</v>
      </c>
      <c r="I88" s="2233">
        <v>661.91699999999992</v>
      </c>
      <c r="J88" s="2233">
        <v>703.95500000000004</v>
      </c>
      <c r="K88" s="2233">
        <v>721.33210480133266</v>
      </c>
      <c r="L88" s="2233">
        <v>748.793143687476</v>
      </c>
      <c r="M88" s="2233">
        <v>760.21585077534678</v>
      </c>
      <c r="N88" s="2233"/>
      <c r="O88" s="2233"/>
      <c r="P88" s="2233"/>
      <c r="Q88" s="2233"/>
      <c r="R88" s="2233">
        <v>691.15499999999997</v>
      </c>
      <c r="S88" s="2233">
        <v>721.33210480133266</v>
      </c>
      <c r="T88" s="2221"/>
      <c r="U88" s="2221"/>
      <c r="V88" s="2221"/>
      <c r="W88" s="2221"/>
      <c r="X88" s="2221"/>
      <c r="Y88" s="2221"/>
      <c r="Z88" s="2221"/>
      <c r="AA88" s="2221"/>
      <c r="AB88" s="2221"/>
      <c r="AC88" s="2221"/>
    </row>
    <row r="89" spans="2:29">
      <c r="B89" s="2214" t="s">
        <v>1129</v>
      </c>
      <c r="C89" s="2214"/>
      <c r="D89" s="2233">
        <v>49.164999999999999</v>
      </c>
      <c r="E89" s="2233">
        <v>46.118000000000002</v>
      </c>
      <c r="F89" s="2233">
        <v>62.564</v>
      </c>
      <c r="G89" s="2233">
        <v>135.76</v>
      </c>
      <c r="H89" s="2233">
        <v>151.029</v>
      </c>
      <c r="I89" s="2233">
        <v>179.09800000000001</v>
      </c>
      <c r="J89" s="2233">
        <v>157.81899999999999</v>
      </c>
      <c r="K89" s="2233">
        <v>143.35995905120859</v>
      </c>
      <c r="L89" s="2233">
        <v>138.34859944559258</v>
      </c>
      <c r="M89" s="2233">
        <v>133.15112580782704</v>
      </c>
      <c r="N89" s="2233"/>
      <c r="O89" s="2233"/>
      <c r="P89" s="2233"/>
      <c r="Q89" s="2233"/>
      <c r="R89" s="2233">
        <v>145.886</v>
      </c>
      <c r="S89" s="2233">
        <v>143.35995905120859</v>
      </c>
      <c r="T89" s="2221"/>
      <c r="U89" s="2221"/>
      <c r="V89" s="2221"/>
      <c r="W89" s="2221"/>
      <c r="X89" s="2221"/>
      <c r="Y89" s="2221"/>
      <c r="Z89" s="2221"/>
      <c r="AA89" s="2221"/>
      <c r="AB89" s="2221"/>
      <c r="AC89" s="2221"/>
    </row>
    <row r="90" spans="2:29">
      <c r="B90" s="2214" t="s">
        <v>2100</v>
      </c>
      <c r="C90" s="2214"/>
      <c r="D90" s="2233">
        <v>5.3739999999999997</v>
      </c>
      <c r="E90" s="2233">
        <v>5.3739999999999997</v>
      </c>
      <c r="F90" s="2233">
        <v>6.6589999999999998</v>
      </c>
      <c r="G90" s="2233">
        <v>5.9329999999999998</v>
      </c>
      <c r="H90" s="2233">
        <v>5.1269999999999998</v>
      </c>
      <c r="I90" s="2233">
        <v>2.8849999999999998</v>
      </c>
      <c r="J90" s="2233">
        <v>1.2769999999999999</v>
      </c>
      <c r="K90" s="2233">
        <v>0.71199999999999997</v>
      </c>
      <c r="L90" s="2233">
        <v>0.71199999999999997</v>
      </c>
      <c r="M90" s="2233">
        <v>0.71199999999999997</v>
      </c>
      <c r="N90" s="2233"/>
      <c r="O90" s="2233"/>
      <c r="P90" s="2233"/>
      <c r="Q90" s="2233"/>
      <c r="R90" s="2233">
        <v>0.71199999999999997</v>
      </c>
      <c r="S90" s="2233">
        <v>0.71199999999999997</v>
      </c>
      <c r="T90" s="2221"/>
      <c r="U90" s="2221"/>
      <c r="V90" s="2221"/>
      <c r="W90" s="2221"/>
      <c r="X90" s="2221"/>
      <c r="Y90" s="2221"/>
      <c r="Z90" s="2221"/>
      <c r="AA90" s="2221"/>
      <c r="AB90" s="2221"/>
      <c r="AC90" s="2221"/>
    </row>
    <row r="91" spans="2:29">
      <c r="B91" s="2214" t="s">
        <v>2101</v>
      </c>
      <c r="C91" s="2214"/>
      <c r="D91" s="2233">
        <v>2.8439999999999999</v>
      </c>
      <c r="E91" s="2233">
        <v>3.137</v>
      </c>
      <c r="F91" s="2233">
        <v>2.8879999999999999</v>
      </c>
      <c r="G91" s="2233">
        <v>1.1259999999999999</v>
      </c>
      <c r="H91" s="2233">
        <v>0.81699999999999995</v>
      </c>
      <c r="I91" s="2233">
        <v>1.163</v>
      </c>
      <c r="J91" s="2233">
        <v>0.77700000000000002</v>
      </c>
      <c r="K91" s="2233">
        <v>0.33400000000000002</v>
      </c>
      <c r="L91" s="2233">
        <v>0.33400000000000002</v>
      </c>
      <c r="M91" s="2233">
        <v>0.33400000000000002</v>
      </c>
      <c r="N91" s="2233"/>
      <c r="O91" s="2233"/>
      <c r="P91" s="2233"/>
      <c r="Q91" s="2233"/>
      <c r="R91" s="2233">
        <v>0.33400000000000002</v>
      </c>
      <c r="S91" s="2233">
        <v>0.33400000000000002</v>
      </c>
      <c r="T91" s="2221"/>
      <c r="U91" s="2221"/>
      <c r="V91" s="2221"/>
      <c r="W91" s="2221"/>
      <c r="X91" s="2221"/>
      <c r="Y91" s="2221"/>
      <c r="Z91" s="2221"/>
      <c r="AA91" s="2221"/>
      <c r="AB91" s="2221"/>
      <c r="AC91" s="2221"/>
    </row>
    <row r="92" spans="2:29">
      <c r="B92" s="2215" t="s">
        <v>2102</v>
      </c>
      <c r="C92" s="2214"/>
      <c r="D92" s="2231">
        <v>235.72899999999996</v>
      </c>
      <c r="E92" s="2231">
        <v>287.91400000000004</v>
      </c>
      <c r="F92" s="2231">
        <v>331.66199999999998</v>
      </c>
      <c r="G92" s="2231">
        <v>508.66799999999995</v>
      </c>
      <c r="H92" s="2231">
        <v>661.94799999999987</v>
      </c>
      <c r="I92" s="2231">
        <v>770.19999999999982</v>
      </c>
      <c r="J92" s="2231">
        <v>803.74600000000009</v>
      </c>
      <c r="K92" s="2231">
        <v>812.13213465724755</v>
      </c>
      <c r="L92" s="2231">
        <v>830.36792769033161</v>
      </c>
      <c r="M92" s="2231">
        <v>831.13668688240011</v>
      </c>
      <c r="N92" s="2231"/>
      <c r="O92" s="2231"/>
      <c r="P92" s="2231"/>
      <c r="Q92" s="2231"/>
      <c r="R92" s="2231">
        <v>742.44299999999987</v>
      </c>
      <c r="S92" s="2231">
        <v>812.13213465724755</v>
      </c>
      <c r="T92" s="2220"/>
      <c r="U92" s="2220"/>
      <c r="V92" s="2220"/>
      <c r="W92" s="2220"/>
      <c r="X92" s="2220"/>
      <c r="Y92" s="2220"/>
      <c r="Z92" s="2220"/>
      <c r="AA92" s="2220"/>
      <c r="AB92" s="2220"/>
      <c r="AC92" s="2220"/>
    </row>
    <row r="93" spans="2:29">
      <c r="B93" s="2214"/>
      <c r="C93" s="2214"/>
      <c r="D93" s="2233"/>
      <c r="E93" s="2233"/>
      <c r="F93" s="2233"/>
      <c r="G93" s="2233"/>
      <c r="H93" s="2233"/>
      <c r="I93" s="2233"/>
      <c r="J93" s="2233"/>
      <c r="K93" s="2233"/>
      <c r="L93" s="2233"/>
      <c r="M93" s="2233"/>
      <c r="N93" s="2233"/>
      <c r="O93" s="2233"/>
      <c r="P93" s="2233"/>
      <c r="Q93" s="2233"/>
      <c r="R93" s="2233"/>
      <c r="S93" s="2233"/>
      <c r="T93" s="2221"/>
      <c r="U93" s="2221"/>
      <c r="V93" s="2221"/>
      <c r="W93" s="2221"/>
      <c r="X93" s="2221"/>
      <c r="Y93" s="2221"/>
      <c r="Z93" s="2221"/>
      <c r="AA93" s="2221"/>
      <c r="AB93" s="2221"/>
      <c r="AC93" s="2221"/>
    </row>
    <row r="94" spans="2:29">
      <c r="B94" s="2214" t="s">
        <v>1086</v>
      </c>
      <c r="C94" s="2214"/>
      <c r="D94" s="2233">
        <v>51.506</v>
      </c>
      <c r="E94" s="2233">
        <v>32.14</v>
      </c>
      <c r="F94" s="2233">
        <v>24.361999999999998</v>
      </c>
      <c r="G94" s="2233">
        <v>22.033000000000001</v>
      </c>
      <c r="H94" s="2233">
        <v>20.971</v>
      </c>
      <c r="I94" s="2233">
        <v>23.244</v>
      </c>
      <c r="J94" s="2233">
        <v>27.228000000000002</v>
      </c>
      <c r="K94" s="2233">
        <v>8.1777178065570766</v>
      </c>
      <c r="L94" s="2233">
        <v>43.092974813287505</v>
      </c>
      <c r="M94" s="2233">
        <v>101.77196474338731</v>
      </c>
      <c r="N94" s="2233"/>
      <c r="O94" s="2233"/>
      <c r="P94" s="2233"/>
      <c r="Q94" s="2233"/>
      <c r="R94" s="2233">
        <v>22.443999999999999</v>
      </c>
      <c r="S94" s="2233">
        <v>8.1777178065570766</v>
      </c>
      <c r="T94" s="2221"/>
      <c r="U94" s="2221"/>
      <c r="V94" s="2221"/>
      <c r="W94" s="2221"/>
      <c r="X94" s="2221"/>
      <c r="Y94" s="2221"/>
      <c r="Z94" s="2221"/>
      <c r="AA94" s="2221"/>
      <c r="AB94" s="2221"/>
      <c r="AC94" s="2221"/>
    </row>
    <row r="95" spans="2:29">
      <c r="B95" s="2214" t="s">
        <v>2103</v>
      </c>
      <c r="C95" s="2214"/>
      <c r="D95" s="2233">
        <v>-6.6890000000000001</v>
      </c>
      <c r="E95" s="2233">
        <v>-6.343</v>
      </c>
      <c r="F95" s="2233">
        <v>-0.29699999999999999</v>
      </c>
      <c r="G95" s="2233">
        <v>-2.5510000000000002</v>
      </c>
      <c r="H95" s="2233">
        <v>-2.121</v>
      </c>
      <c r="I95" s="2233">
        <v>-4.6369999999999996</v>
      </c>
      <c r="J95" s="2233">
        <v>-5.0270000000000001</v>
      </c>
      <c r="K95" s="2233">
        <v>-5.0880000000000001</v>
      </c>
      <c r="L95" s="2233">
        <v>-5.0880000000000001</v>
      </c>
      <c r="M95" s="2233">
        <v>-5.0880000000000001</v>
      </c>
      <c r="N95" s="2233"/>
      <c r="O95" s="2233"/>
      <c r="P95" s="2233"/>
      <c r="Q95" s="2233"/>
      <c r="R95" s="2233">
        <v>-5.0880000000000001</v>
      </c>
      <c r="S95" s="2233">
        <v>-5.0880000000000001</v>
      </c>
      <c r="T95" s="2221"/>
      <c r="U95" s="2221"/>
      <c r="V95" s="2221"/>
      <c r="W95" s="2221"/>
      <c r="X95" s="2221"/>
      <c r="Y95" s="2221"/>
      <c r="Z95" s="2221"/>
      <c r="AA95" s="2221"/>
      <c r="AB95" s="2221"/>
      <c r="AC95" s="2221"/>
    </row>
    <row r="96" spans="2:29">
      <c r="B96" s="2214" t="s">
        <v>2104</v>
      </c>
      <c r="C96" s="2214"/>
      <c r="D96" s="2233">
        <v>-72.566000000000003</v>
      </c>
      <c r="E96" s="2233">
        <v>-80.466999999999999</v>
      </c>
      <c r="F96" s="2233">
        <v>-80.034999999999997</v>
      </c>
      <c r="G96" s="2233">
        <v>-183.45099999999999</v>
      </c>
      <c r="H96" s="2233">
        <v>-273.04899999999998</v>
      </c>
      <c r="I96" s="2233">
        <v>-322.858</v>
      </c>
      <c r="J96" s="2233">
        <v>-339.02699999999999</v>
      </c>
      <c r="K96" s="2233">
        <v>-354.19799999999998</v>
      </c>
      <c r="L96" s="2233">
        <v>-354.19799999999998</v>
      </c>
      <c r="M96" s="2233">
        <v>-354.19799999999998</v>
      </c>
      <c r="N96" s="2233"/>
      <c r="O96" s="2233"/>
      <c r="P96" s="2233"/>
      <c r="Q96" s="2233"/>
      <c r="R96" s="2233">
        <v>-324.19799999999998</v>
      </c>
      <c r="S96" s="2233">
        <v>-354.19799999999998</v>
      </c>
      <c r="T96" s="2221"/>
      <c r="U96" s="2221"/>
      <c r="V96" s="2221"/>
      <c r="W96" s="2221"/>
      <c r="X96" s="2221"/>
      <c r="Y96" s="2221"/>
      <c r="Z96" s="2221"/>
      <c r="AA96" s="2221"/>
      <c r="AB96" s="2221"/>
      <c r="AC96" s="2221"/>
    </row>
    <row r="97" spans="2:32">
      <c r="B97" s="2215" t="s">
        <v>2105</v>
      </c>
      <c r="C97" s="2214"/>
      <c r="D97" s="2231">
        <v>-27.749000000000002</v>
      </c>
      <c r="E97" s="2231">
        <v>-54.67</v>
      </c>
      <c r="F97" s="2231">
        <v>-55.97</v>
      </c>
      <c r="G97" s="2231">
        <v>-163.96899999999999</v>
      </c>
      <c r="H97" s="2231">
        <v>-254.19899999999998</v>
      </c>
      <c r="I97" s="2231">
        <v>-304.25099999999998</v>
      </c>
      <c r="J97" s="2231">
        <v>-316.82599999999996</v>
      </c>
      <c r="K97" s="2231">
        <v>-351.1082821934429</v>
      </c>
      <c r="L97" s="2231">
        <v>-316.19302518671248</v>
      </c>
      <c r="M97" s="2231">
        <v>-257.51403525661266</v>
      </c>
      <c r="N97" s="2231"/>
      <c r="O97" s="2231"/>
      <c r="P97" s="2231"/>
      <c r="Q97" s="2231"/>
      <c r="R97" s="2231">
        <v>-306.84199999999998</v>
      </c>
      <c r="S97" s="2231">
        <v>-351.1082821934429</v>
      </c>
      <c r="T97" s="2220"/>
      <c r="U97" s="2220"/>
      <c r="V97" s="2220"/>
      <c r="W97" s="2220"/>
      <c r="X97" s="2220"/>
      <c r="Y97" s="2220"/>
      <c r="Z97" s="2220"/>
      <c r="AA97" s="2220"/>
      <c r="AB97" s="2220"/>
      <c r="AC97" s="2220"/>
      <c r="AE97" s="2216"/>
      <c r="AF97" s="2216"/>
    </row>
    <row r="98" spans="2:32">
      <c r="B98" s="2215" t="s">
        <v>2106</v>
      </c>
      <c r="C98" s="2214"/>
      <c r="D98" s="2239">
        <v>0.68641468361945257</v>
      </c>
      <c r="E98" s="2239">
        <v>0.85535476805131849</v>
      </c>
      <c r="F98" s="2239">
        <v>0.67080551793568799</v>
      </c>
      <c r="G98" s="2239">
        <v>1.5445750673524374</v>
      </c>
      <c r="H98" s="2239">
        <v>1.9635028039115725</v>
      </c>
      <c r="I98" s="2239">
        <v>1.9854671460920521</v>
      </c>
      <c r="J98" s="2239">
        <v>1.935098884722035</v>
      </c>
      <c r="K98" s="2239">
        <v>2.1204938449413206</v>
      </c>
      <c r="L98" s="2239">
        <v>1.7382567165343901</v>
      </c>
      <c r="M98" s="2239">
        <v>1.24677045250839</v>
      </c>
      <c r="N98" s="2239"/>
      <c r="O98" s="2239"/>
      <c r="P98" s="2239"/>
      <c r="Q98" s="2239"/>
      <c r="R98" s="2239">
        <v>3.7753088242531616</v>
      </c>
      <c r="S98" s="2239">
        <v>4.1648598952803129</v>
      </c>
      <c r="T98" s="2218"/>
      <c r="U98" s="2218"/>
      <c r="V98" s="2218"/>
      <c r="W98" s="2218"/>
      <c r="X98" s="2218"/>
      <c r="Y98" s="2218"/>
      <c r="Z98" s="2218"/>
      <c r="AA98" s="2218"/>
      <c r="AB98" s="2218"/>
      <c r="AC98" s="2218"/>
      <c r="AE98" s="2216"/>
      <c r="AF98" s="2216"/>
    </row>
    <row r="99" spans="2:32">
      <c r="B99" s="2214"/>
      <c r="C99" s="2214"/>
      <c r="D99" s="2235"/>
      <c r="E99" s="2235"/>
      <c r="F99" s="2235"/>
      <c r="G99" s="2235"/>
      <c r="H99" s="2235"/>
      <c r="I99" s="2235"/>
      <c r="J99" s="2235"/>
      <c r="K99" s="2235"/>
      <c r="L99" s="2235"/>
      <c r="M99" s="2235"/>
      <c r="N99" s="2235"/>
      <c r="O99" s="2235"/>
      <c r="P99" s="2235"/>
      <c r="Q99" s="2235"/>
      <c r="R99" s="2235"/>
      <c r="S99" s="2235"/>
      <c r="T99" s="2214"/>
      <c r="U99" s="2214"/>
      <c r="V99" s="2214"/>
      <c r="W99" s="2214"/>
      <c r="X99" s="2214"/>
      <c r="Y99" s="2214"/>
      <c r="Z99" s="2214"/>
      <c r="AA99" s="2214"/>
      <c r="AB99" s="2214"/>
      <c r="AC99" s="2214"/>
    </row>
    <row r="100" spans="2:32">
      <c r="B100" s="2214" t="s">
        <v>2107</v>
      </c>
      <c r="C100" s="2214"/>
      <c r="D100" s="2233">
        <v>0</v>
      </c>
      <c r="E100" s="2233">
        <v>0</v>
      </c>
      <c r="F100" s="2233">
        <v>-5.0090000000000003</v>
      </c>
      <c r="G100" s="2233">
        <v>-18.026</v>
      </c>
      <c r="H100" s="2233">
        <v>-21.141999999999999</v>
      </c>
      <c r="I100" s="2233">
        <v>-29.393999999999998</v>
      </c>
      <c r="J100" s="2233">
        <v>-30.114999999999998</v>
      </c>
      <c r="K100" s="2233">
        <v>-26.375</v>
      </c>
      <c r="L100" s="2233">
        <v>-29.825253219814115</v>
      </c>
      <c r="M100" s="2233">
        <v>-33.894917853460385</v>
      </c>
      <c r="N100" s="2233"/>
      <c r="O100" s="2233"/>
      <c r="P100" s="2233"/>
      <c r="Q100" s="2233"/>
      <c r="R100" s="2233">
        <v>-26.375</v>
      </c>
      <c r="S100" s="2233">
        <v>-26.375</v>
      </c>
      <c r="T100" s="2221"/>
      <c r="U100" s="2221"/>
      <c r="V100" s="2221"/>
      <c r="W100" s="2221"/>
      <c r="X100" s="2221"/>
      <c r="Y100" s="2221"/>
      <c r="Z100" s="2221"/>
      <c r="AA100" s="2221"/>
      <c r="AB100" s="2221"/>
      <c r="AC100" s="2221"/>
    </row>
    <row r="101" spans="2:32">
      <c r="B101" s="2214" t="s">
        <v>2108</v>
      </c>
      <c r="C101" s="2214"/>
      <c r="D101" s="2233">
        <v>-8.468</v>
      </c>
      <c r="E101" s="2233">
        <v>-7.0660000000000007</v>
      </c>
      <c r="F101" s="2233">
        <v>-5.7039999999999997</v>
      </c>
      <c r="G101" s="2233">
        <v>-7.7590000000000003</v>
      </c>
      <c r="H101" s="2233">
        <v>-7.1360000000000001</v>
      </c>
      <c r="I101" s="2233">
        <v>-7.4580000000000002</v>
      </c>
      <c r="J101" s="2233">
        <v>-6.8260000000000005</v>
      </c>
      <c r="K101" s="2233">
        <v>-0.14499999999999999</v>
      </c>
      <c r="L101" s="2233">
        <v>-0.14499999999999999</v>
      </c>
      <c r="M101" s="2233">
        <v>-0.14499999999999999</v>
      </c>
      <c r="N101" s="2233"/>
      <c r="O101" s="2233"/>
      <c r="P101" s="2233"/>
      <c r="Q101" s="2233"/>
      <c r="R101" s="2233">
        <v>-0.14499999999999999</v>
      </c>
      <c r="S101" s="2233">
        <v>-0.14499999999999999</v>
      </c>
      <c r="T101" s="2221"/>
      <c r="U101" s="2221"/>
      <c r="V101" s="2221"/>
      <c r="W101" s="2221"/>
      <c r="X101" s="2221"/>
      <c r="Y101" s="2221"/>
      <c r="Z101" s="2221"/>
      <c r="AA101" s="2221"/>
      <c r="AB101" s="2221"/>
      <c r="AC101" s="2221"/>
    </row>
    <row r="102" spans="2:32">
      <c r="B102" s="2214" t="s">
        <v>2109</v>
      </c>
      <c r="C102" s="2214"/>
      <c r="D102" s="2233">
        <v>0</v>
      </c>
      <c r="E102" s="2233">
        <v>0</v>
      </c>
      <c r="F102" s="2233">
        <v>-5.2679999999999998</v>
      </c>
      <c r="G102" s="2233">
        <v>-19.579000000000001</v>
      </c>
      <c r="H102" s="2233">
        <v>-18.655000000000001</v>
      </c>
      <c r="I102" s="2233">
        <v>-18.712</v>
      </c>
      <c r="J102" s="2233">
        <v>-19.27</v>
      </c>
      <c r="K102" s="2233">
        <v>-18.542999999999999</v>
      </c>
      <c r="L102" s="2233">
        <v>-18.542999999999999</v>
      </c>
      <c r="M102" s="2233">
        <v>-18.542999999999999</v>
      </c>
      <c r="N102" s="2233"/>
      <c r="O102" s="2233"/>
      <c r="P102" s="2233"/>
      <c r="Q102" s="2233"/>
      <c r="R102" s="2233">
        <v>-18.542999999999999</v>
      </c>
      <c r="S102" s="2233">
        <v>-18.542999999999999</v>
      </c>
      <c r="T102" s="2221"/>
      <c r="U102" s="2221"/>
      <c r="V102" s="2221"/>
      <c r="W102" s="2221"/>
      <c r="X102" s="2221"/>
      <c r="Y102" s="2221"/>
      <c r="Z102" s="2221"/>
      <c r="AA102" s="2221"/>
      <c r="AB102" s="2221"/>
      <c r="AC102" s="2221"/>
    </row>
    <row r="103" spans="2:32">
      <c r="B103" s="2214" t="s">
        <v>2110</v>
      </c>
      <c r="C103" s="2214"/>
      <c r="D103" s="2233">
        <v>-9.4699999999999989</v>
      </c>
      <c r="E103" s="2233">
        <v>-3.9620000000000002</v>
      </c>
      <c r="F103" s="2233">
        <v>-1.355</v>
      </c>
      <c r="G103" s="2233">
        <v>-1.3080000000000001</v>
      </c>
      <c r="H103" s="2233">
        <v>-3.8579999999999997</v>
      </c>
      <c r="I103" s="2233">
        <v>-1.1220000000000001</v>
      </c>
      <c r="J103" s="2233">
        <v>-3.0659999999999998</v>
      </c>
      <c r="K103" s="2233">
        <v>-2.2250000000000001</v>
      </c>
      <c r="L103" s="2233">
        <v>-2.2250000000000001</v>
      </c>
      <c r="M103" s="2233">
        <v>-2.2250000000000001</v>
      </c>
      <c r="N103" s="2233"/>
      <c r="O103" s="2233"/>
      <c r="P103" s="2233"/>
      <c r="Q103" s="2233"/>
      <c r="R103" s="2233">
        <v>-2.2250000000000001</v>
      </c>
      <c r="S103" s="2233">
        <v>-2.2250000000000001</v>
      </c>
      <c r="T103" s="2221"/>
      <c r="U103" s="2221"/>
      <c r="V103" s="2221"/>
      <c r="W103" s="2221"/>
      <c r="X103" s="2221"/>
      <c r="Y103" s="2221"/>
      <c r="Z103" s="2221"/>
      <c r="AA103" s="2221"/>
      <c r="AB103" s="2221"/>
      <c r="AC103" s="2221"/>
    </row>
    <row r="104" spans="2:32">
      <c r="B104" s="2214" t="s">
        <v>2111</v>
      </c>
      <c r="C104" s="2214"/>
      <c r="D104" s="2233">
        <v>-1.538</v>
      </c>
      <c r="E104" s="2233">
        <v>-1.1970000000000001</v>
      </c>
      <c r="F104" s="2233">
        <v>-0.81099999999999994</v>
      </c>
      <c r="G104" s="2233">
        <v>0</v>
      </c>
      <c r="H104" s="2233">
        <v>0</v>
      </c>
      <c r="I104" s="2233">
        <v>0</v>
      </c>
      <c r="J104" s="2233">
        <v>0</v>
      </c>
      <c r="K104" s="2233">
        <v>0</v>
      </c>
      <c r="L104" s="2233">
        <v>0</v>
      </c>
      <c r="M104" s="2233">
        <v>0</v>
      </c>
      <c r="N104" s="2233"/>
      <c r="O104" s="2233"/>
      <c r="P104" s="2233"/>
      <c r="Q104" s="2233"/>
      <c r="R104" s="2233">
        <v>0</v>
      </c>
      <c r="S104" s="2233">
        <v>0</v>
      </c>
      <c r="T104" s="2221"/>
      <c r="U104" s="2221"/>
      <c r="V104" s="2221"/>
      <c r="W104" s="2221"/>
      <c r="X104" s="2221"/>
      <c r="Y104" s="2221"/>
      <c r="Z104" s="2221"/>
      <c r="AA104" s="2221"/>
      <c r="AB104" s="2221"/>
      <c r="AC104" s="2221"/>
    </row>
    <row r="105" spans="2:32">
      <c r="B105" s="2214"/>
      <c r="C105" s="2214"/>
      <c r="D105" s="2233"/>
      <c r="E105" s="2233"/>
      <c r="F105" s="2233"/>
      <c r="G105" s="2233"/>
      <c r="H105" s="2233"/>
      <c r="I105" s="2233"/>
      <c r="J105" s="2233"/>
      <c r="K105" s="2233"/>
      <c r="L105" s="2233"/>
      <c r="M105" s="2233"/>
      <c r="N105" s="2233"/>
      <c r="O105" s="2233"/>
      <c r="P105" s="2233"/>
      <c r="Q105" s="2233"/>
      <c r="R105" s="2233"/>
      <c r="S105" s="2233"/>
      <c r="T105" s="2221"/>
      <c r="U105" s="2221"/>
      <c r="V105" s="2221"/>
      <c r="W105" s="2221"/>
      <c r="X105" s="2221"/>
      <c r="Y105" s="2221"/>
      <c r="Z105" s="2221"/>
      <c r="AA105" s="2221"/>
      <c r="AB105" s="2221"/>
      <c r="AC105" s="2221"/>
    </row>
    <row r="106" spans="2:32">
      <c r="B106" s="2215" t="s">
        <v>2112</v>
      </c>
      <c r="C106" s="2214"/>
      <c r="D106" s="2231">
        <v>188.50399999999999</v>
      </c>
      <c r="E106" s="2231">
        <v>221.01899999999998</v>
      </c>
      <c r="F106" s="2231">
        <v>257.54500000000002</v>
      </c>
      <c r="G106" s="2231">
        <v>298.02700000000004</v>
      </c>
      <c r="H106" s="2231">
        <v>356.95800000000003</v>
      </c>
      <c r="I106" s="2231">
        <v>409.26299999999992</v>
      </c>
      <c r="J106" s="2231">
        <v>427.64299999999997</v>
      </c>
      <c r="K106" s="2231">
        <v>413.73585246380475</v>
      </c>
      <c r="L106" s="2231">
        <v>463.43664928380514</v>
      </c>
      <c r="M106" s="2231">
        <v>518.81473377232714</v>
      </c>
      <c r="N106" s="2231"/>
      <c r="O106" s="2231"/>
      <c r="P106" s="2231"/>
      <c r="Q106" s="2231"/>
      <c r="R106" s="2231">
        <v>388.31300000000005</v>
      </c>
      <c r="S106" s="2231">
        <v>413.73585246380475</v>
      </c>
      <c r="T106" s="2220"/>
      <c r="U106" s="2220"/>
      <c r="V106" s="2220"/>
      <c r="W106" s="2220"/>
      <c r="X106" s="2220"/>
      <c r="Y106" s="2220"/>
      <c r="Z106" s="2220"/>
      <c r="AA106" s="2220"/>
      <c r="AB106" s="2220"/>
      <c r="AC106" s="2220"/>
      <c r="AE106" s="2216"/>
      <c r="AF106" s="2216"/>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B2:K162"/>
  <sheetViews>
    <sheetView showGridLines="0" zoomScale="85" zoomScaleNormal="85" workbookViewId="0"/>
  </sheetViews>
  <sheetFormatPr defaultRowHeight="12.75"/>
  <cols>
    <col min="1" max="1" width="94.42578125" customWidth="1"/>
    <col min="3" max="3" width="28.5703125" style="69" bestFit="1" customWidth="1"/>
    <col min="5" max="5" width="12.85546875" bestFit="1" customWidth="1"/>
    <col min="6" max="6" width="9" bestFit="1" customWidth="1"/>
    <col min="7" max="7" width="9.28515625" bestFit="1" customWidth="1"/>
    <col min="8" max="8" width="20.42578125" bestFit="1" customWidth="1"/>
    <col min="9" max="9" width="11.5703125" bestFit="1" customWidth="1"/>
    <col min="10" max="10" width="11.85546875" bestFit="1" customWidth="1"/>
    <col min="11" max="12" width="8" bestFit="1" customWidth="1"/>
  </cols>
  <sheetData>
    <row r="2" spans="2:11">
      <c r="C2" s="2298"/>
      <c r="D2" s="1995" t="s">
        <v>2405</v>
      </c>
      <c r="E2" s="1995" t="s">
        <v>2398</v>
      </c>
      <c r="F2" s="1995" t="s">
        <v>2399</v>
      </c>
      <c r="G2" s="1995" t="s">
        <v>2400</v>
      </c>
      <c r="H2" s="1995" t="s">
        <v>2401</v>
      </c>
      <c r="I2" s="1995" t="s">
        <v>2402</v>
      </c>
      <c r="J2" s="1995" t="s">
        <v>2403</v>
      </c>
      <c r="K2" s="1995" t="s">
        <v>2404</v>
      </c>
    </row>
    <row r="3" spans="2:11">
      <c r="C3" s="2298"/>
      <c r="D3" s="33"/>
    </row>
    <row r="4" spans="2:11">
      <c r="B4" s="33" t="s">
        <v>1125</v>
      </c>
      <c r="C4" s="69" t="s">
        <v>2179</v>
      </c>
      <c r="D4">
        <v>11</v>
      </c>
      <c r="E4" t="s">
        <v>2180</v>
      </c>
      <c r="H4" t="s">
        <v>2181</v>
      </c>
      <c r="I4" t="s">
        <v>2182</v>
      </c>
      <c r="J4">
        <v>22270010</v>
      </c>
      <c r="K4" t="s">
        <v>2183</v>
      </c>
    </row>
    <row r="5" spans="2:11">
      <c r="B5" s="33" t="s">
        <v>1125</v>
      </c>
      <c r="C5" s="69" t="s">
        <v>2184</v>
      </c>
      <c r="D5">
        <v>5</v>
      </c>
      <c r="E5" t="s">
        <v>2180</v>
      </c>
      <c r="H5" t="s">
        <v>2181</v>
      </c>
      <c r="I5" t="s">
        <v>2182</v>
      </c>
      <c r="J5" t="s">
        <v>2185</v>
      </c>
      <c r="K5" t="s">
        <v>2183</v>
      </c>
    </row>
    <row r="6" spans="2:11">
      <c r="B6" s="33" t="s">
        <v>1125</v>
      </c>
      <c r="C6" s="69" t="s">
        <v>2186</v>
      </c>
      <c r="D6">
        <v>18</v>
      </c>
      <c r="E6" t="s">
        <v>2180</v>
      </c>
      <c r="H6" t="s">
        <v>2187</v>
      </c>
      <c r="I6" t="s">
        <v>2188</v>
      </c>
      <c r="J6">
        <v>1008010</v>
      </c>
      <c r="K6" t="s">
        <v>2183</v>
      </c>
    </row>
    <row r="7" spans="2:11">
      <c r="B7" s="33" t="s">
        <v>1125</v>
      </c>
      <c r="C7" s="69" t="s">
        <v>2189</v>
      </c>
      <c r="D7">
        <v>40</v>
      </c>
      <c r="E7" t="s">
        <v>2180</v>
      </c>
      <c r="H7" t="s">
        <v>2190</v>
      </c>
      <c r="I7" t="s">
        <v>2188</v>
      </c>
      <c r="J7">
        <v>6455000</v>
      </c>
      <c r="K7" t="s">
        <v>2183</v>
      </c>
    </row>
    <row r="8" spans="2:11">
      <c r="B8" s="33" t="s">
        <v>1125</v>
      </c>
      <c r="C8" s="69" t="s">
        <v>2191</v>
      </c>
      <c r="D8">
        <v>59</v>
      </c>
      <c r="E8" t="s">
        <v>1125</v>
      </c>
      <c r="H8" t="s">
        <v>2192</v>
      </c>
      <c r="J8" t="s">
        <v>2193</v>
      </c>
      <c r="K8" t="s">
        <v>2194</v>
      </c>
    </row>
    <row r="9" spans="2:11">
      <c r="B9" s="33" t="s">
        <v>1125</v>
      </c>
      <c r="C9" s="69" t="s">
        <v>2195</v>
      </c>
      <c r="D9">
        <v>31</v>
      </c>
      <c r="E9" t="s">
        <v>1125</v>
      </c>
      <c r="H9" t="s">
        <v>2192</v>
      </c>
      <c r="K9" t="s">
        <v>2194</v>
      </c>
    </row>
    <row r="10" spans="2:11">
      <c r="B10" s="33" t="s">
        <v>1125</v>
      </c>
      <c r="C10" s="69" t="s">
        <v>2196</v>
      </c>
      <c r="D10">
        <v>239</v>
      </c>
      <c r="E10" t="s">
        <v>1125</v>
      </c>
      <c r="F10" t="s">
        <v>2197</v>
      </c>
      <c r="G10" t="s">
        <v>2198</v>
      </c>
      <c r="H10" t="s">
        <v>2199</v>
      </c>
      <c r="I10" t="s">
        <v>2200</v>
      </c>
      <c r="J10" t="s">
        <v>2201</v>
      </c>
      <c r="K10" t="s">
        <v>1494</v>
      </c>
    </row>
    <row r="11" spans="2:11">
      <c r="B11" s="33" t="s">
        <v>1125</v>
      </c>
      <c r="C11" s="69" t="s">
        <v>2202</v>
      </c>
      <c r="D11">
        <v>3</v>
      </c>
      <c r="E11" t="s">
        <v>1125</v>
      </c>
      <c r="F11" t="s">
        <v>2203</v>
      </c>
      <c r="G11" t="s">
        <v>2204</v>
      </c>
      <c r="H11" t="s">
        <v>565</v>
      </c>
      <c r="I11" t="s">
        <v>2205</v>
      </c>
      <c r="J11">
        <v>30303</v>
      </c>
      <c r="K11" t="s">
        <v>1494</v>
      </c>
    </row>
    <row r="12" spans="2:11">
      <c r="B12" s="33" t="s">
        <v>1125</v>
      </c>
      <c r="C12" s="69" t="s">
        <v>2206</v>
      </c>
      <c r="D12">
        <v>25</v>
      </c>
      <c r="E12" t="s">
        <v>1125</v>
      </c>
      <c r="F12" t="s">
        <v>2203</v>
      </c>
      <c r="G12" t="s">
        <v>2204</v>
      </c>
      <c r="H12" t="s">
        <v>565</v>
      </c>
      <c r="I12" t="s">
        <v>2205</v>
      </c>
      <c r="J12" t="s">
        <v>2207</v>
      </c>
      <c r="K12" t="s">
        <v>1494</v>
      </c>
    </row>
    <row r="13" spans="2:11">
      <c r="B13" s="33" t="s">
        <v>1125</v>
      </c>
      <c r="C13" s="69" t="s">
        <v>2208</v>
      </c>
      <c r="D13">
        <v>0</v>
      </c>
      <c r="E13" t="s">
        <v>1125</v>
      </c>
      <c r="G13" t="s">
        <v>2209</v>
      </c>
      <c r="H13" t="s">
        <v>2210</v>
      </c>
      <c r="I13" t="s">
        <v>2211</v>
      </c>
      <c r="J13">
        <v>2451</v>
      </c>
      <c r="K13" t="s">
        <v>1494</v>
      </c>
    </row>
    <row r="14" spans="2:11">
      <c r="B14" s="33" t="s">
        <v>1125</v>
      </c>
      <c r="C14" s="69" t="s">
        <v>2212</v>
      </c>
      <c r="D14">
        <v>180</v>
      </c>
      <c r="E14" t="s">
        <v>1125</v>
      </c>
      <c r="F14" t="s">
        <v>2213</v>
      </c>
      <c r="G14" t="s">
        <v>2214</v>
      </c>
      <c r="H14" t="s">
        <v>152</v>
      </c>
      <c r="I14" t="s">
        <v>2215</v>
      </c>
      <c r="J14" t="s">
        <v>2216</v>
      </c>
      <c r="K14" t="s">
        <v>1494</v>
      </c>
    </row>
    <row r="15" spans="2:11">
      <c r="B15" s="33" t="s">
        <v>1125</v>
      </c>
      <c r="C15" s="69" t="s">
        <v>2217</v>
      </c>
      <c r="D15">
        <v>97</v>
      </c>
      <c r="E15" t="s">
        <v>1125</v>
      </c>
      <c r="F15" t="s">
        <v>2218</v>
      </c>
      <c r="G15" t="s">
        <v>2219</v>
      </c>
      <c r="H15" t="s">
        <v>151</v>
      </c>
      <c r="I15" t="s">
        <v>2220</v>
      </c>
      <c r="J15" t="s">
        <v>2221</v>
      </c>
      <c r="K15" t="s">
        <v>1494</v>
      </c>
    </row>
    <row r="16" spans="2:11">
      <c r="B16" s="33" t="s">
        <v>1125</v>
      </c>
      <c r="C16" s="69" t="s">
        <v>2222</v>
      </c>
      <c r="D16">
        <v>30</v>
      </c>
      <c r="E16" t="s">
        <v>1125</v>
      </c>
      <c r="F16" t="s">
        <v>2218</v>
      </c>
      <c r="G16" t="s">
        <v>2223</v>
      </c>
      <c r="H16" t="s">
        <v>151</v>
      </c>
      <c r="I16" t="s">
        <v>2220</v>
      </c>
      <c r="J16">
        <v>75207</v>
      </c>
      <c r="K16" t="s">
        <v>1494</v>
      </c>
    </row>
    <row r="17" spans="2:11">
      <c r="B17" s="33" t="s">
        <v>1125</v>
      </c>
      <c r="C17" s="69" t="s">
        <v>2224</v>
      </c>
      <c r="D17">
        <v>7</v>
      </c>
      <c r="E17" t="s">
        <v>1125</v>
      </c>
      <c r="F17" t="s">
        <v>2218</v>
      </c>
      <c r="H17" t="s">
        <v>151</v>
      </c>
      <c r="I17" t="s">
        <v>2220</v>
      </c>
      <c r="J17">
        <v>75201</v>
      </c>
      <c r="K17" t="s">
        <v>1494</v>
      </c>
    </row>
    <row r="18" spans="2:11">
      <c r="B18" s="33" t="s">
        <v>1125</v>
      </c>
      <c r="C18" s="69" t="s">
        <v>2225</v>
      </c>
      <c r="D18">
        <v>4</v>
      </c>
      <c r="E18" t="s">
        <v>1125</v>
      </c>
      <c r="F18" t="s">
        <v>2226</v>
      </c>
      <c r="G18" t="s">
        <v>2223</v>
      </c>
      <c r="H18" t="s">
        <v>151</v>
      </c>
      <c r="I18" t="s">
        <v>2220</v>
      </c>
      <c r="J18">
        <v>75207</v>
      </c>
      <c r="K18" t="s">
        <v>1494</v>
      </c>
    </row>
    <row r="19" spans="2:11">
      <c r="B19" s="33" t="s">
        <v>1125</v>
      </c>
      <c r="C19" s="69" t="s">
        <v>2227</v>
      </c>
      <c r="D19">
        <v>12</v>
      </c>
      <c r="E19" t="s">
        <v>1125</v>
      </c>
      <c r="H19" t="s">
        <v>2228</v>
      </c>
      <c r="K19" t="s">
        <v>2229</v>
      </c>
    </row>
    <row r="20" spans="2:11">
      <c r="B20" s="33" t="s">
        <v>1125</v>
      </c>
      <c r="C20" s="69" t="s">
        <v>2230</v>
      </c>
    </row>
    <row r="21" spans="2:11">
      <c r="B21" s="33" t="s">
        <v>1125</v>
      </c>
      <c r="C21" s="69" t="s">
        <v>2231</v>
      </c>
      <c r="D21">
        <v>12</v>
      </c>
      <c r="E21" t="s">
        <v>1125</v>
      </c>
      <c r="H21" t="s">
        <v>2232</v>
      </c>
      <c r="J21">
        <v>40233</v>
      </c>
      <c r="K21" t="s">
        <v>2233</v>
      </c>
    </row>
    <row r="22" spans="2:11">
      <c r="B22" s="33" t="s">
        <v>1125</v>
      </c>
      <c r="C22" s="69" t="s">
        <v>2234</v>
      </c>
      <c r="D22">
        <v>1</v>
      </c>
      <c r="E22" t="s">
        <v>1125</v>
      </c>
      <c r="H22" t="s">
        <v>2232</v>
      </c>
      <c r="K22" t="s">
        <v>2233</v>
      </c>
    </row>
    <row r="23" spans="2:11">
      <c r="B23" s="33" t="s">
        <v>1125</v>
      </c>
      <c r="C23" s="69" t="s">
        <v>2235</v>
      </c>
      <c r="D23">
        <v>9</v>
      </c>
      <c r="E23" t="s">
        <v>1125</v>
      </c>
      <c r="G23" t="s">
        <v>2236</v>
      </c>
      <c r="H23" t="s">
        <v>2237</v>
      </c>
      <c r="I23" t="s">
        <v>2238</v>
      </c>
      <c r="J23" t="s">
        <v>2239</v>
      </c>
      <c r="K23" t="s">
        <v>1494</v>
      </c>
    </row>
    <row r="24" spans="2:11">
      <c r="B24" s="33" t="s">
        <v>1125</v>
      </c>
      <c r="C24" s="69" t="s">
        <v>2240</v>
      </c>
      <c r="D24">
        <v>3</v>
      </c>
      <c r="E24" t="s">
        <v>1125</v>
      </c>
      <c r="G24" t="s">
        <v>2236</v>
      </c>
      <c r="H24" t="s">
        <v>2237</v>
      </c>
      <c r="I24" t="s">
        <v>2238</v>
      </c>
      <c r="J24">
        <v>90245</v>
      </c>
      <c r="K24" t="s">
        <v>1494</v>
      </c>
    </row>
    <row r="25" spans="2:11">
      <c r="B25" s="33" t="s">
        <v>1125</v>
      </c>
      <c r="C25" s="69" t="s">
        <v>2241</v>
      </c>
      <c r="D25">
        <v>2</v>
      </c>
      <c r="E25" t="s">
        <v>1125</v>
      </c>
      <c r="H25" t="s">
        <v>2242</v>
      </c>
      <c r="I25" t="s">
        <v>2215</v>
      </c>
      <c r="J25">
        <v>60007</v>
      </c>
      <c r="K25" t="s">
        <v>1494</v>
      </c>
    </row>
    <row r="26" spans="2:11">
      <c r="B26" s="33" t="s">
        <v>1125</v>
      </c>
      <c r="C26" s="69" t="s">
        <v>2243</v>
      </c>
      <c r="D26">
        <v>12</v>
      </c>
      <c r="E26" t="s">
        <v>1125</v>
      </c>
      <c r="H26" t="s">
        <v>2244</v>
      </c>
      <c r="I26" t="s">
        <v>2245</v>
      </c>
      <c r="J26" t="s">
        <v>2246</v>
      </c>
      <c r="K26" t="s">
        <v>2194</v>
      </c>
    </row>
    <row r="27" spans="2:11">
      <c r="B27" s="33" t="s">
        <v>1125</v>
      </c>
      <c r="C27" s="69" t="s">
        <v>2247</v>
      </c>
      <c r="D27">
        <v>14</v>
      </c>
      <c r="E27" t="s">
        <v>1125</v>
      </c>
      <c r="F27" t="s">
        <v>2248</v>
      </c>
      <c r="H27" t="s">
        <v>2249</v>
      </c>
      <c r="J27">
        <v>60313</v>
      </c>
      <c r="K27" t="s">
        <v>2233</v>
      </c>
    </row>
    <row r="28" spans="2:11">
      <c r="B28" s="33" t="s">
        <v>1125</v>
      </c>
      <c r="C28" s="69" t="s">
        <v>2250</v>
      </c>
      <c r="D28">
        <v>211</v>
      </c>
      <c r="E28" t="s">
        <v>1125</v>
      </c>
      <c r="F28" t="s">
        <v>2248</v>
      </c>
      <c r="H28" t="s">
        <v>2249</v>
      </c>
      <c r="J28">
        <v>60326</v>
      </c>
      <c r="K28" t="s">
        <v>2233</v>
      </c>
    </row>
    <row r="29" spans="2:11">
      <c r="B29" s="33" t="s">
        <v>1125</v>
      </c>
      <c r="C29" s="69" t="s">
        <v>2251</v>
      </c>
      <c r="D29">
        <v>23</v>
      </c>
      <c r="E29" t="s">
        <v>1125</v>
      </c>
      <c r="F29" t="s">
        <v>2248</v>
      </c>
      <c r="H29" t="s">
        <v>2249</v>
      </c>
      <c r="J29">
        <v>65933</v>
      </c>
      <c r="K29" t="s">
        <v>2233</v>
      </c>
    </row>
    <row r="30" spans="2:11">
      <c r="B30" s="33" t="s">
        <v>1125</v>
      </c>
      <c r="C30" s="69" t="s">
        <v>2252</v>
      </c>
      <c r="D30">
        <v>15</v>
      </c>
      <c r="E30" t="s">
        <v>1125</v>
      </c>
      <c r="F30" t="s">
        <v>2248</v>
      </c>
      <c r="H30" t="s">
        <v>2249</v>
      </c>
      <c r="J30">
        <v>60388</v>
      </c>
      <c r="K30" t="s">
        <v>2233</v>
      </c>
    </row>
    <row r="31" spans="2:11">
      <c r="B31" s="33" t="s">
        <v>1125</v>
      </c>
      <c r="C31" s="69" t="s">
        <v>2253</v>
      </c>
      <c r="D31">
        <v>2</v>
      </c>
      <c r="E31" t="s">
        <v>1125</v>
      </c>
      <c r="H31" t="s">
        <v>2254</v>
      </c>
      <c r="J31">
        <v>64546</v>
      </c>
      <c r="K31" t="s">
        <v>2233</v>
      </c>
    </row>
    <row r="32" spans="2:11">
      <c r="B32" s="33" t="s">
        <v>1125</v>
      </c>
      <c r="C32" s="69" t="s">
        <v>2255</v>
      </c>
      <c r="D32">
        <v>28</v>
      </c>
      <c r="E32" t="s">
        <v>1125</v>
      </c>
      <c r="H32" t="s">
        <v>2256</v>
      </c>
      <c r="J32">
        <v>1204</v>
      </c>
      <c r="K32" t="s">
        <v>2257</v>
      </c>
    </row>
    <row r="33" spans="2:11">
      <c r="B33" s="33" t="s">
        <v>1125</v>
      </c>
      <c r="C33" s="69" t="s">
        <v>2258</v>
      </c>
      <c r="D33">
        <v>8</v>
      </c>
      <c r="E33" t="s">
        <v>1125</v>
      </c>
      <c r="H33" t="s">
        <v>2259</v>
      </c>
      <c r="I33" t="s">
        <v>2260</v>
      </c>
      <c r="J33">
        <v>1219</v>
      </c>
      <c r="K33" t="s">
        <v>2257</v>
      </c>
    </row>
    <row r="34" spans="2:11">
      <c r="B34" s="33" t="s">
        <v>1125</v>
      </c>
      <c r="C34" s="69" t="s">
        <v>2261</v>
      </c>
      <c r="D34">
        <v>50</v>
      </c>
      <c r="E34" t="s">
        <v>1125</v>
      </c>
      <c r="H34" t="s">
        <v>184</v>
      </c>
      <c r="K34" t="s">
        <v>2262</v>
      </c>
    </row>
    <row r="35" spans="2:11">
      <c r="B35" s="33" t="s">
        <v>1125</v>
      </c>
      <c r="C35" s="69" t="s">
        <v>2263</v>
      </c>
      <c r="D35">
        <v>20</v>
      </c>
      <c r="E35" t="s">
        <v>1125</v>
      </c>
      <c r="H35" t="s">
        <v>184</v>
      </c>
      <c r="K35" t="s">
        <v>2262</v>
      </c>
    </row>
    <row r="36" spans="2:11">
      <c r="B36" s="33" t="s">
        <v>1125</v>
      </c>
      <c r="C36" s="69" t="s">
        <v>2264</v>
      </c>
      <c r="D36">
        <v>3</v>
      </c>
      <c r="E36" t="s">
        <v>1125</v>
      </c>
      <c r="H36" t="s">
        <v>184</v>
      </c>
      <c r="K36" t="s">
        <v>2262</v>
      </c>
    </row>
    <row r="37" spans="2:11">
      <c r="B37" s="33" t="s">
        <v>1125</v>
      </c>
      <c r="C37" s="69" t="s">
        <v>2265</v>
      </c>
      <c r="D37">
        <v>8</v>
      </c>
      <c r="E37" t="s">
        <v>1125</v>
      </c>
      <c r="F37" t="s">
        <v>2266</v>
      </c>
      <c r="H37" t="s">
        <v>154</v>
      </c>
      <c r="J37" t="s">
        <v>2267</v>
      </c>
      <c r="K37" t="s">
        <v>2268</v>
      </c>
    </row>
    <row r="38" spans="2:11">
      <c r="B38" s="33" t="s">
        <v>1125</v>
      </c>
      <c r="C38" s="69" t="s">
        <v>2269</v>
      </c>
      <c r="D38">
        <v>8</v>
      </c>
      <c r="E38" t="s">
        <v>1125</v>
      </c>
      <c r="F38" t="s">
        <v>2266</v>
      </c>
      <c r="H38" t="s">
        <v>154</v>
      </c>
      <c r="J38" t="s">
        <v>2270</v>
      </c>
      <c r="K38" t="s">
        <v>2268</v>
      </c>
    </row>
    <row r="39" spans="2:11">
      <c r="B39" s="33" t="s">
        <v>1125</v>
      </c>
      <c r="C39" s="69" t="s">
        <v>2271</v>
      </c>
      <c r="D39">
        <v>41</v>
      </c>
      <c r="E39" t="s">
        <v>1125</v>
      </c>
      <c r="F39" t="s">
        <v>2266</v>
      </c>
      <c r="H39" t="s">
        <v>2272</v>
      </c>
      <c r="J39" t="s">
        <v>2273</v>
      </c>
      <c r="K39" t="s">
        <v>2268</v>
      </c>
    </row>
    <row r="40" spans="2:11">
      <c r="B40" s="33" t="s">
        <v>1125</v>
      </c>
      <c r="C40" s="69" t="s">
        <v>2274</v>
      </c>
      <c r="D40">
        <v>45</v>
      </c>
      <c r="E40" t="s">
        <v>1125</v>
      </c>
      <c r="F40" t="s">
        <v>2266</v>
      </c>
      <c r="H40" t="s">
        <v>2272</v>
      </c>
      <c r="J40" t="s">
        <v>2275</v>
      </c>
      <c r="K40" t="s">
        <v>2268</v>
      </c>
    </row>
    <row r="41" spans="2:11">
      <c r="B41" s="33" t="s">
        <v>1125</v>
      </c>
      <c r="C41" s="69" t="s">
        <v>2276</v>
      </c>
      <c r="D41">
        <v>2</v>
      </c>
      <c r="E41" t="s">
        <v>1125</v>
      </c>
      <c r="H41" t="s">
        <v>2277</v>
      </c>
      <c r="J41" t="s">
        <v>2278</v>
      </c>
      <c r="K41" t="s">
        <v>2268</v>
      </c>
    </row>
    <row r="42" spans="2:11">
      <c r="B42" s="33" t="s">
        <v>1125</v>
      </c>
      <c r="C42" s="69" t="s">
        <v>2279</v>
      </c>
      <c r="D42">
        <v>9</v>
      </c>
      <c r="E42" t="s">
        <v>1125</v>
      </c>
      <c r="F42" t="s">
        <v>2266</v>
      </c>
      <c r="H42" t="s">
        <v>2280</v>
      </c>
      <c r="J42" t="s">
        <v>2281</v>
      </c>
      <c r="K42" t="s">
        <v>2268</v>
      </c>
    </row>
    <row r="43" spans="2:11">
      <c r="B43" s="33" t="s">
        <v>1125</v>
      </c>
      <c r="C43" s="69" t="s">
        <v>2282</v>
      </c>
      <c r="D43">
        <v>104</v>
      </c>
      <c r="E43" t="s">
        <v>1125</v>
      </c>
      <c r="F43" t="s">
        <v>2283</v>
      </c>
      <c r="G43" t="s">
        <v>2284</v>
      </c>
      <c r="H43" t="s">
        <v>150</v>
      </c>
      <c r="I43" t="s">
        <v>2238</v>
      </c>
      <c r="J43" t="s">
        <v>2285</v>
      </c>
      <c r="K43" t="s">
        <v>1494</v>
      </c>
    </row>
    <row r="44" spans="2:11">
      <c r="B44" s="33" t="s">
        <v>1125</v>
      </c>
      <c r="C44" s="69" t="s">
        <v>2286</v>
      </c>
      <c r="D44">
        <v>13</v>
      </c>
      <c r="E44" t="s">
        <v>1125</v>
      </c>
      <c r="F44" t="s">
        <v>2283</v>
      </c>
      <c r="G44" t="s">
        <v>2284</v>
      </c>
      <c r="H44" t="s">
        <v>150</v>
      </c>
      <c r="I44" t="s">
        <v>2238</v>
      </c>
      <c r="J44">
        <v>90017</v>
      </c>
      <c r="K44" t="s">
        <v>1494</v>
      </c>
    </row>
    <row r="45" spans="2:11">
      <c r="B45" s="33" t="s">
        <v>1125</v>
      </c>
      <c r="C45" s="69" t="s">
        <v>2287</v>
      </c>
      <c r="D45">
        <v>1</v>
      </c>
      <c r="E45" t="s">
        <v>1125</v>
      </c>
      <c r="F45" t="s">
        <v>2283</v>
      </c>
      <c r="G45" t="s">
        <v>2284</v>
      </c>
      <c r="H45" t="s">
        <v>150</v>
      </c>
      <c r="I45" t="s">
        <v>2238</v>
      </c>
      <c r="J45">
        <v>90017</v>
      </c>
      <c r="K45" t="s">
        <v>1494</v>
      </c>
    </row>
    <row r="46" spans="2:11">
      <c r="B46" s="33" t="s">
        <v>1125</v>
      </c>
      <c r="C46" s="69" t="s">
        <v>2288</v>
      </c>
      <c r="D46">
        <v>17</v>
      </c>
      <c r="E46" t="s">
        <v>1125</v>
      </c>
      <c r="H46" t="s">
        <v>2289</v>
      </c>
      <c r="J46" t="s">
        <v>2290</v>
      </c>
      <c r="K46" t="s">
        <v>2291</v>
      </c>
    </row>
    <row r="47" spans="2:11">
      <c r="B47" s="33" t="s">
        <v>1125</v>
      </c>
      <c r="C47" s="69" t="s">
        <v>2292</v>
      </c>
      <c r="D47">
        <v>6</v>
      </c>
      <c r="E47" t="s">
        <v>1125</v>
      </c>
      <c r="G47" t="s">
        <v>2293</v>
      </c>
      <c r="H47" t="s">
        <v>575</v>
      </c>
      <c r="I47" t="s">
        <v>2294</v>
      </c>
      <c r="J47">
        <v>33132</v>
      </c>
      <c r="K47" t="s">
        <v>1494</v>
      </c>
    </row>
    <row r="48" spans="2:11">
      <c r="B48" s="33" t="s">
        <v>1125</v>
      </c>
      <c r="C48" s="69" t="s">
        <v>2295</v>
      </c>
      <c r="D48">
        <v>0</v>
      </c>
      <c r="E48" t="s">
        <v>1125</v>
      </c>
      <c r="G48" t="s">
        <v>2293</v>
      </c>
      <c r="H48" t="s">
        <v>575</v>
      </c>
      <c r="I48" t="s">
        <v>2294</v>
      </c>
      <c r="J48">
        <v>33132</v>
      </c>
      <c r="K48" t="s">
        <v>1494</v>
      </c>
    </row>
    <row r="49" spans="2:11">
      <c r="B49" s="33" t="s">
        <v>1125</v>
      </c>
      <c r="C49" s="69" t="s">
        <v>2296</v>
      </c>
      <c r="D49">
        <v>4</v>
      </c>
      <c r="E49" t="s">
        <v>1125</v>
      </c>
      <c r="F49" t="s">
        <v>2297</v>
      </c>
      <c r="G49" t="s">
        <v>2298</v>
      </c>
      <c r="H49" t="s">
        <v>2299</v>
      </c>
      <c r="I49" t="s">
        <v>2294</v>
      </c>
      <c r="J49">
        <v>33431</v>
      </c>
      <c r="K49" t="s">
        <v>1494</v>
      </c>
    </row>
    <row r="50" spans="2:11">
      <c r="B50" s="33" t="s">
        <v>1125</v>
      </c>
      <c r="C50" s="69" t="s">
        <v>2300</v>
      </c>
      <c r="D50">
        <v>27</v>
      </c>
      <c r="E50" t="s">
        <v>1125</v>
      </c>
      <c r="H50" t="s">
        <v>2301</v>
      </c>
      <c r="J50">
        <v>80335</v>
      </c>
      <c r="K50" t="s">
        <v>2233</v>
      </c>
    </row>
    <row r="51" spans="2:11">
      <c r="B51" s="33" t="s">
        <v>1125</v>
      </c>
      <c r="C51" s="69" t="s">
        <v>2302</v>
      </c>
      <c r="D51">
        <v>62</v>
      </c>
      <c r="E51" t="s">
        <v>1125</v>
      </c>
      <c r="F51" t="s">
        <v>2303</v>
      </c>
      <c r="G51" t="s">
        <v>2304</v>
      </c>
      <c r="H51" t="s">
        <v>153</v>
      </c>
      <c r="I51" t="s">
        <v>2305</v>
      </c>
      <c r="J51">
        <v>10011</v>
      </c>
      <c r="K51" t="s">
        <v>1494</v>
      </c>
    </row>
    <row r="52" spans="2:11">
      <c r="B52" s="33" t="s">
        <v>1125</v>
      </c>
      <c r="C52" s="69" t="s">
        <v>2306</v>
      </c>
      <c r="D52">
        <v>21</v>
      </c>
      <c r="E52" t="s">
        <v>1125</v>
      </c>
      <c r="F52" t="s">
        <v>2303</v>
      </c>
      <c r="G52" t="s">
        <v>2304</v>
      </c>
      <c r="H52" t="s">
        <v>153</v>
      </c>
      <c r="I52" t="s">
        <v>2305</v>
      </c>
      <c r="J52">
        <v>10011</v>
      </c>
      <c r="K52" t="s">
        <v>1494</v>
      </c>
    </row>
    <row r="53" spans="2:11">
      <c r="B53" s="33" t="s">
        <v>1125</v>
      </c>
      <c r="C53" s="69" t="s">
        <v>2307</v>
      </c>
      <c r="D53">
        <v>15</v>
      </c>
      <c r="E53" t="s">
        <v>1125</v>
      </c>
      <c r="F53" t="s">
        <v>2303</v>
      </c>
      <c r="H53" t="s">
        <v>153</v>
      </c>
      <c r="I53" t="s">
        <v>2305</v>
      </c>
      <c r="J53">
        <v>10013</v>
      </c>
      <c r="K53" t="s">
        <v>1494</v>
      </c>
    </row>
    <row r="54" spans="2:11">
      <c r="B54" s="33" t="s">
        <v>1125</v>
      </c>
      <c r="C54" s="69" t="s">
        <v>2308</v>
      </c>
      <c r="D54">
        <v>26</v>
      </c>
      <c r="E54" t="s">
        <v>1125</v>
      </c>
      <c r="F54" t="s">
        <v>2309</v>
      </c>
      <c r="G54" t="s">
        <v>2310</v>
      </c>
      <c r="H54" t="s">
        <v>2311</v>
      </c>
      <c r="I54" t="s">
        <v>831</v>
      </c>
      <c r="J54" t="s">
        <v>2312</v>
      </c>
      <c r="K54" t="s">
        <v>1494</v>
      </c>
    </row>
    <row r="55" spans="2:11">
      <c r="B55" s="33" t="s">
        <v>1125</v>
      </c>
      <c r="C55" s="69" t="s">
        <v>2313</v>
      </c>
      <c r="D55">
        <v>15</v>
      </c>
      <c r="E55" t="s">
        <v>1125</v>
      </c>
      <c r="F55" t="s">
        <v>2314</v>
      </c>
      <c r="H55" t="s">
        <v>2315</v>
      </c>
      <c r="I55" t="s">
        <v>831</v>
      </c>
      <c r="J55">
        <v>7047</v>
      </c>
      <c r="K55" t="s">
        <v>1494</v>
      </c>
    </row>
    <row r="56" spans="2:11">
      <c r="B56" s="33" t="s">
        <v>1125</v>
      </c>
      <c r="C56" s="69" t="s">
        <v>2316</v>
      </c>
      <c r="D56">
        <v>108</v>
      </c>
      <c r="E56" t="s">
        <v>1125</v>
      </c>
      <c r="F56" t="s">
        <v>2317</v>
      </c>
      <c r="G56" t="s">
        <v>2318</v>
      </c>
      <c r="H56" t="s">
        <v>2319</v>
      </c>
      <c r="I56" t="s">
        <v>2238</v>
      </c>
      <c r="J56" t="s">
        <v>2320</v>
      </c>
      <c r="K56" t="s">
        <v>1494</v>
      </c>
    </row>
    <row r="57" spans="2:11">
      <c r="B57" s="33" t="s">
        <v>1125</v>
      </c>
      <c r="C57" s="69" t="s">
        <v>2321</v>
      </c>
      <c r="D57">
        <v>16</v>
      </c>
      <c r="E57" t="s">
        <v>1125</v>
      </c>
      <c r="F57" t="s">
        <v>2322</v>
      </c>
      <c r="H57" t="s">
        <v>170</v>
      </c>
      <c r="J57">
        <v>93500</v>
      </c>
      <c r="K57" t="s">
        <v>2323</v>
      </c>
    </row>
    <row r="58" spans="2:11">
      <c r="B58" s="33" t="s">
        <v>1125</v>
      </c>
      <c r="C58" s="69" t="s">
        <v>2324</v>
      </c>
      <c r="D58">
        <v>5</v>
      </c>
      <c r="E58" t="s">
        <v>1125</v>
      </c>
      <c r="F58" t="s">
        <v>2322</v>
      </c>
      <c r="H58" t="s">
        <v>170</v>
      </c>
      <c r="J58">
        <v>95081</v>
      </c>
      <c r="K58" t="s">
        <v>2323</v>
      </c>
    </row>
    <row r="59" spans="2:11">
      <c r="B59" s="33" t="s">
        <v>1125</v>
      </c>
      <c r="C59" s="69" t="s">
        <v>2325</v>
      </c>
      <c r="D59">
        <v>80</v>
      </c>
      <c r="E59" t="s">
        <v>1125</v>
      </c>
      <c r="F59" t="s">
        <v>2322</v>
      </c>
      <c r="H59" t="s">
        <v>170</v>
      </c>
      <c r="J59">
        <v>93200</v>
      </c>
      <c r="K59" t="s">
        <v>2323</v>
      </c>
    </row>
    <row r="60" spans="2:11">
      <c r="B60" s="33" t="s">
        <v>1125</v>
      </c>
      <c r="C60" s="69" t="s">
        <v>2326</v>
      </c>
      <c r="D60">
        <v>43</v>
      </c>
      <c r="E60" t="s">
        <v>1125</v>
      </c>
      <c r="F60" t="s">
        <v>2322</v>
      </c>
      <c r="H60" t="s">
        <v>170</v>
      </c>
      <c r="J60">
        <v>93200</v>
      </c>
      <c r="K60" t="s">
        <v>2323</v>
      </c>
    </row>
    <row r="61" spans="2:11">
      <c r="B61" s="33" t="s">
        <v>1125</v>
      </c>
      <c r="C61" s="69" t="s">
        <v>2327</v>
      </c>
      <c r="D61">
        <v>12</v>
      </c>
      <c r="E61" t="s">
        <v>1125</v>
      </c>
      <c r="G61" t="s">
        <v>2328</v>
      </c>
      <c r="H61" t="s">
        <v>577</v>
      </c>
      <c r="I61" t="s">
        <v>2329</v>
      </c>
      <c r="J61">
        <v>19108</v>
      </c>
      <c r="K61" t="s">
        <v>1494</v>
      </c>
    </row>
    <row r="62" spans="2:11">
      <c r="B62" s="33" t="s">
        <v>1125</v>
      </c>
      <c r="C62" s="69" t="s">
        <v>2330</v>
      </c>
      <c r="D62">
        <v>158</v>
      </c>
      <c r="E62" t="s">
        <v>1125</v>
      </c>
      <c r="F62" t="s">
        <v>2331</v>
      </c>
      <c r="G62" t="s">
        <v>2332</v>
      </c>
      <c r="H62" t="s">
        <v>2333</v>
      </c>
      <c r="I62" t="s">
        <v>2238</v>
      </c>
      <c r="J62" t="s">
        <v>2334</v>
      </c>
      <c r="K62" t="s">
        <v>1494</v>
      </c>
    </row>
    <row r="63" spans="2:11">
      <c r="B63" s="33" t="s">
        <v>1125</v>
      </c>
      <c r="C63" s="69" t="s">
        <v>2335</v>
      </c>
      <c r="D63">
        <v>12</v>
      </c>
      <c r="E63" t="s">
        <v>1125</v>
      </c>
      <c r="G63" t="s">
        <v>2336</v>
      </c>
      <c r="H63" t="s">
        <v>2337</v>
      </c>
      <c r="I63" t="s">
        <v>2238</v>
      </c>
      <c r="J63">
        <v>95054</v>
      </c>
      <c r="K63" t="s">
        <v>1494</v>
      </c>
    </row>
    <row r="64" spans="2:11">
      <c r="B64" s="33" t="s">
        <v>1125</v>
      </c>
      <c r="C64" s="69" t="s">
        <v>2338</v>
      </c>
      <c r="D64">
        <v>13</v>
      </c>
      <c r="E64" t="s">
        <v>1125</v>
      </c>
      <c r="H64" t="s">
        <v>2333</v>
      </c>
      <c r="I64" t="s">
        <v>2238</v>
      </c>
      <c r="K64" t="s">
        <v>1494</v>
      </c>
    </row>
    <row r="65" spans="2:11">
      <c r="B65" s="33" t="s">
        <v>1125</v>
      </c>
      <c r="C65" s="69" t="s">
        <v>2339</v>
      </c>
      <c r="D65">
        <v>41</v>
      </c>
      <c r="E65" t="s">
        <v>1125</v>
      </c>
      <c r="F65" t="s">
        <v>2340</v>
      </c>
      <c r="G65" t="s">
        <v>2341</v>
      </c>
      <c r="H65" t="s">
        <v>580</v>
      </c>
      <c r="I65" t="s">
        <v>2342</v>
      </c>
      <c r="J65">
        <v>98121</v>
      </c>
      <c r="K65" t="s">
        <v>1494</v>
      </c>
    </row>
    <row r="66" spans="2:11">
      <c r="B66" s="33" t="s">
        <v>1125</v>
      </c>
      <c r="C66" s="69" t="s">
        <v>2343</v>
      </c>
      <c r="D66">
        <v>28</v>
      </c>
      <c r="E66" t="s">
        <v>1125</v>
      </c>
      <c r="F66" t="s">
        <v>2344</v>
      </c>
      <c r="G66" t="s">
        <v>2345</v>
      </c>
      <c r="H66" t="s">
        <v>2346</v>
      </c>
      <c r="I66" t="s">
        <v>831</v>
      </c>
      <c r="J66">
        <v>7094</v>
      </c>
      <c r="K66" t="s">
        <v>1494</v>
      </c>
    </row>
    <row r="67" spans="2:11">
      <c r="B67" s="33" t="s">
        <v>1125</v>
      </c>
      <c r="C67" s="69" t="s">
        <v>2347</v>
      </c>
      <c r="D67">
        <v>0</v>
      </c>
      <c r="E67" t="s">
        <v>1125</v>
      </c>
      <c r="F67" t="s">
        <v>2348</v>
      </c>
      <c r="G67" t="s">
        <v>2349</v>
      </c>
      <c r="H67" t="s">
        <v>2346</v>
      </c>
      <c r="I67" t="s">
        <v>831</v>
      </c>
      <c r="J67">
        <v>7094</v>
      </c>
      <c r="K67" t="s">
        <v>1494</v>
      </c>
    </row>
    <row r="68" spans="2:11">
      <c r="B68" s="33" t="s">
        <v>1125</v>
      </c>
      <c r="C68" s="69" t="s">
        <v>2350</v>
      </c>
      <c r="D68">
        <v>162</v>
      </c>
      <c r="E68" t="s">
        <v>1125</v>
      </c>
      <c r="H68" t="s">
        <v>185</v>
      </c>
      <c r="J68">
        <v>139964</v>
      </c>
      <c r="K68" t="s">
        <v>2351</v>
      </c>
    </row>
    <row r="69" spans="2:11">
      <c r="B69" s="33" t="s">
        <v>1125</v>
      </c>
      <c r="C69" s="69" t="s">
        <v>2352</v>
      </c>
      <c r="D69">
        <v>19</v>
      </c>
      <c r="E69" t="s">
        <v>1125</v>
      </c>
      <c r="H69" t="s">
        <v>185</v>
      </c>
      <c r="J69">
        <v>627753</v>
      </c>
      <c r="K69" t="s">
        <v>2351</v>
      </c>
    </row>
    <row r="70" spans="2:11">
      <c r="B70" s="33" t="s">
        <v>1125</v>
      </c>
      <c r="C70" s="69" t="s">
        <v>2353</v>
      </c>
      <c r="D70">
        <v>8</v>
      </c>
      <c r="E70" t="s">
        <v>1125</v>
      </c>
      <c r="H70" t="s">
        <v>185</v>
      </c>
      <c r="J70">
        <v>139963</v>
      </c>
      <c r="K70" t="s">
        <v>2351</v>
      </c>
    </row>
    <row r="71" spans="2:11">
      <c r="B71" s="33" t="s">
        <v>1125</v>
      </c>
      <c r="C71" s="69" t="s">
        <v>2354</v>
      </c>
      <c r="D71">
        <v>10</v>
      </c>
      <c r="E71" t="s">
        <v>1125</v>
      </c>
      <c r="H71" t="s">
        <v>2355</v>
      </c>
      <c r="I71" t="s">
        <v>2238</v>
      </c>
      <c r="J71">
        <v>94089</v>
      </c>
      <c r="K71" t="s">
        <v>1494</v>
      </c>
    </row>
    <row r="72" spans="2:11">
      <c r="B72" s="33" t="s">
        <v>1125</v>
      </c>
      <c r="C72" s="69" t="s">
        <v>2356</v>
      </c>
      <c r="D72">
        <v>7</v>
      </c>
      <c r="E72" t="s">
        <v>1125</v>
      </c>
      <c r="F72" t="s">
        <v>2357</v>
      </c>
      <c r="G72" t="s">
        <v>2358</v>
      </c>
      <c r="H72" t="s">
        <v>2359</v>
      </c>
      <c r="I72" t="s">
        <v>2360</v>
      </c>
      <c r="J72">
        <v>94089</v>
      </c>
      <c r="K72" t="s">
        <v>1494</v>
      </c>
    </row>
    <row r="73" spans="2:11">
      <c r="B73" s="33" t="s">
        <v>1125</v>
      </c>
      <c r="C73" s="69" t="s">
        <v>2361</v>
      </c>
      <c r="D73">
        <v>106</v>
      </c>
      <c r="E73" t="s">
        <v>1125</v>
      </c>
      <c r="F73" t="s">
        <v>2362</v>
      </c>
      <c r="H73" t="s">
        <v>2363</v>
      </c>
      <c r="J73">
        <v>2020</v>
      </c>
      <c r="K73" t="s">
        <v>2291</v>
      </c>
    </row>
    <row r="74" spans="2:11">
      <c r="B74" s="33" t="s">
        <v>1125</v>
      </c>
      <c r="C74" s="69" t="s">
        <v>2364</v>
      </c>
      <c r="D74">
        <v>55</v>
      </c>
      <c r="E74" t="s">
        <v>1125</v>
      </c>
      <c r="F74" t="s">
        <v>2362</v>
      </c>
      <c r="H74" t="s">
        <v>2365</v>
      </c>
      <c r="J74">
        <v>2015</v>
      </c>
      <c r="K74" t="s">
        <v>2291</v>
      </c>
    </row>
    <row r="75" spans="2:11">
      <c r="B75" s="33" t="s">
        <v>1125</v>
      </c>
      <c r="C75" s="69" t="s">
        <v>2366</v>
      </c>
      <c r="D75">
        <v>16</v>
      </c>
      <c r="E75" t="s">
        <v>1125</v>
      </c>
      <c r="F75" t="s">
        <v>2367</v>
      </c>
      <c r="H75" t="s">
        <v>183</v>
      </c>
      <c r="J75" t="s">
        <v>2368</v>
      </c>
      <c r="K75" t="s">
        <v>2369</v>
      </c>
    </row>
    <row r="76" spans="2:11">
      <c r="B76" s="33" t="s">
        <v>1125</v>
      </c>
      <c r="C76" s="69" t="s">
        <v>2370</v>
      </c>
      <c r="D76">
        <v>44</v>
      </c>
      <c r="E76" t="s">
        <v>1125</v>
      </c>
      <c r="H76" t="s">
        <v>183</v>
      </c>
      <c r="J76" t="s">
        <v>2371</v>
      </c>
      <c r="K76" t="s">
        <v>2369</v>
      </c>
    </row>
    <row r="77" spans="2:11">
      <c r="B77" s="33" t="s">
        <v>1125</v>
      </c>
      <c r="C77" s="69" t="s">
        <v>2372</v>
      </c>
      <c r="D77">
        <v>7</v>
      </c>
      <c r="E77" t="s">
        <v>1125</v>
      </c>
      <c r="H77" t="s">
        <v>183</v>
      </c>
      <c r="K77" t="s">
        <v>2369</v>
      </c>
    </row>
    <row r="78" spans="2:11">
      <c r="B78" s="33" t="s">
        <v>1125</v>
      </c>
      <c r="C78" s="69" t="s">
        <v>2373</v>
      </c>
      <c r="D78">
        <v>11</v>
      </c>
      <c r="E78" t="s">
        <v>1125</v>
      </c>
      <c r="H78" t="s">
        <v>183</v>
      </c>
      <c r="J78" t="s">
        <v>2374</v>
      </c>
      <c r="K78" t="s">
        <v>2369</v>
      </c>
    </row>
    <row r="79" spans="2:11">
      <c r="B79" s="33" t="s">
        <v>1125</v>
      </c>
      <c r="C79" s="69" t="s">
        <v>2375</v>
      </c>
      <c r="D79">
        <v>32</v>
      </c>
      <c r="E79" t="s">
        <v>1125</v>
      </c>
      <c r="F79" t="s">
        <v>2376</v>
      </c>
      <c r="G79" t="s">
        <v>2377</v>
      </c>
      <c r="H79" t="s">
        <v>583</v>
      </c>
      <c r="I79" t="s">
        <v>2378</v>
      </c>
      <c r="J79" t="s">
        <v>2379</v>
      </c>
      <c r="K79" t="s">
        <v>2238</v>
      </c>
    </row>
    <row r="80" spans="2:11">
      <c r="B80" s="33" t="s">
        <v>1125</v>
      </c>
      <c r="C80" s="69" t="s">
        <v>2380</v>
      </c>
      <c r="D80">
        <v>4</v>
      </c>
      <c r="E80" t="s">
        <v>1125</v>
      </c>
      <c r="F80" t="s">
        <v>2376</v>
      </c>
      <c r="G80" t="s">
        <v>2381</v>
      </c>
      <c r="H80" t="s">
        <v>583</v>
      </c>
      <c r="I80" t="s">
        <v>2378</v>
      </c>
      <c r="J80" t="s">
        <v>2382</v>
      </c>
      <c r="K80" t="s">
        <v>2238</v>
      </c>
    </row>
    <row r="81" spans="2:11">
      <c r="B81" s="33" t="s">
        <v>1125</v>
      </c>
      <c r="C81" s="69" t="s">
        <v>2383</v>
      </c>
      <c r="D81">
        <v>5</v>
      </c>
      <c r="E81" t="s">
        <v>1125</v>
      </c>
      <c r="F81" t="s">
        <v>2384</v>
      </c>
      <c r="H81" t="s">
        <v>2385</v>
      </c>
      <c r="I81" t="s">
        <v>2200</v>
      </c>
      <c r="J81">
        <v>22180</v>
      </c>
      <c r="K81" t="s">
        <v>1494</v>
      </c>
    </row>
    <row r="82" spans="2:11">
      <c r="B82" s="33" t="s">
        <v>1125</v>
      </c>
      <c r="C82" s="69" t="s">
        <v>2386</v>
      </c>
      <c r="D82">
        <v>8</v>
      </c>
      <c r="E82" t="s">
        <v>1125</v>
      </c>
      <c r="F82" t="s">
        <v>2384</v>
      </c>
      <c r="G82" t="s">
        <v>2387</v>
      </c>
      <c r="H82" t="s">
        <v>2385</v>
      </c>
      <c r="I82" t="s">
        <v>2200</v>
      </c>
      <c r="J82">
        <v>22180</v>
      </c>
      <c r="K82" t="s">
        <v>1494</v>
      </c>
    </row>
    <row r="83" spans="2:11">
      <c r="B83" s="33" t="s">
        <v>1125</v>
      </c>
      <c r="C83" s="69" t="s">
        <v>2388</v>
      </c>
      <c r="D83">
        <v>51</v>
      </c>
      <c r="E83" t="s">
        <v>1125</v>
      </c>
      <c r="H83" t="s">
        <v>2389</v>
      </c>
      <c r="I83" t="s">
        <v>2390</v>
      </c>
      <c r="J83">
        <v>8005</v>
      </c>
      <c r="K83" t="s">
        <v>2257</v>
      </c>
    </row>
    <row r="84" spans="2:11">
      <c r="B84" s="33" t="s">
        <v>1125</v>
      </c>
      <c r="C84" s="69" t="s">
        <v>2391</v>
      </c>
      <c r="D84">
        <v>22</v>
      </c>
      <c r="E84" t="s">
        <v>1125</v>
      </c>
      <c r="H84" t="s">
        <v>2389</v>
      </c>
      <c r="I84" t="s">
        <v>2390</v>
      </c>
      <c r="J84">
        <v>8005</v>
      </c>
      <c r="K84" t="s">
        <v>2257</v>
      </c>
    </row>
    <row r="85" spans="2:11">
      <c r="B85" s="33" t="s">
        <v>1125</v>
      </c>
      <c r="C85" s="69" t="s">
        <v>2392</v>
      </c>
      <c r="D85">
        <v>8</v>
      </c>
      <c r="E85" t="s">
        <v>1125</v>
      </c>
      <c r="H85" t="s">
        <v>2389</v>
      </c>
      <c r="I85" t="s">
        <v>2390</v>
      </c>
      <c r="J85">
        <v>8003</v>
      </c>
      <c r="K85" t="s">
        <v>2257</v>
      </c>
    </row>
    <row r="86" spans="2:11">
      <c r="B86" s="33" t="s">
        <v>1125</v>
      </c>
      <c r="C86" s="69" t="s">
        <v>2393</v>
      </c>
      <c r="D86">
        <v>33</v>
      </c>
      <c r="E86" t="s">
        <v>1125</v>
      </c>
      <c r="H86" t="s">
        <v>2389</v>
      </c>
      <c r="I86" t="s">
        <v>2390</v>
      </c>
      <c r="J86">
        <v>8005</v>
      </c>
      <c r="K86" t="s">
        <v>2257</v>
      </c>
    </row>
    <row r="87" spans="2:11">
      <c r="B87" s="33" t="s">
        <v>1125</v>
      </c>
      <c r="C87" s="69" t="s">
        <v>2394</v>
      </c>
      <c r="D87">
        <v>15</v>
      </c>
      <c r="E87" t="s">
        <v>1125</v>
      </c>
      <c r="H87" t="s">
        <v>2389</v>
      </c>
      <c r="I87" t="s">
        <v>2390</v>
      </c>
      <c r="K87" t="s">
        <v>2257</v>
      </c>
    </row>
    <row r="88" spans="2:11">
      <c r="B88" s="33" t="s">
        <v>1125</v>
      </c>
      <c r="C88" s="69" t="s">
        <v>2395</v>
      </c>
      <c r="D88">
        <v>4</v>
      </c>
      <c r="E88" t="s">
        <v>1125</v>
      </c>
      <c r="H88" t="s">
        <v>2396</v>
      </c>
      <c r="J88" t="s">
        <v>2397</v>
      </c>
      <c r="K88" t="s">
        <v>2194</v>
      </c>
    </row>
    <row r="90" spans="2:11">
      <c r="B90" s="33" t="s">
        <v>2049</v>
      </c>
      <c r="C90" s="69" t="s">
        <v>2437</v>
      </c>
      <c r="D90">
        <v>72</v>
      </c>
      <c r="E90" t="s">
        <v>2406</v>
      </c>
      <c r="F90" t="s">
        <v>2407</v>
      </c>
      <c r="H90" t="s">
        <v>2192</v>
      </c>
      <c r="J90" t="s">
        <v>2408</v>
      </c>
      <c r="K90" t="s">
        <v>2194</v>
      </c>
    </row>
    <row r="91" spans="2:11">
      <c r="B91" s="33" t="s">
        <v>2049</v>
      </c>
      <c r="C91" s="69" t="s">
        <v>2438</v>
      </c>
      <c r="D91">
        <v>180</v>
      </c>
      <c r="E91" t="s">
        <v>2406</v>
      </c>
      <c r="F91" t="s">
        <v>2407</v>
      </c>
      <c r="H91" t="s">
        <v>2192</v>
      </c>
      <c r="J91" t="s">
        <v>2409</v>
      </c>
      <c r="K91" t="s">
        <v>2194</v>
      </c>
    </row>
    <row r="92" spans="2:11">
      <c r="B92" s="33" t="s">
        <v>2049</v>
      </c>
      <c r="C92" s="69" t="s">
        <v>2439</v>
      </c>
      <c r="D92">
        <v>27</v>
      </c>
      <c r="E92" t="s">
        <v>2406</v>
      </c>
      <c r="F92" t="s">
        <v>2407</v>
      </c>
      <c r="H92" t="s">
        <v>2192</v>
      </c>
      <c r="J92" t="s">
        <v>2410</v>
      </c>
      <c r="K92" t="s">
        <v>2194</v>
      </c>
    </row>
    <row r="93" spans="2:11">
      <c r="B93" s="33" t="s">
        <v>2049</v>
      </c>
      <c r="C93" s="69" t="s">
        <v>2440</v>
      </c>
      <c r="D93">
        <v>24</v>
      </c>
      <c r="E93" t="s">
        <v>2406</v>
      </c>
      <c r="F93" t="s">
        <v>2407</v>
      </c>
      <c r="H93" t="s">
        <v>2192</v>
      </c>
      <c r="J93" t="s">
        <v>2411</v>
      </c>
      <c r="K93" t="s">
        <v>2194</v>
      </c>
    </row>
    <row r="94" spans="2:11">
      <c r="B94" s="33" t="s">
        <v>2049</v>
      </c>
      <c r="C94" s="69" t="s">
        <v>2441</v>
      </c>
      <c r="D94">
        <v>64</v>
      </c>
      <c r="E94" t="s">
        <v>2406</v>
      </c>
      <c r="F94" t="s">
        <v>2407</v>
      </c>
      <c r="H94" t="s">
        <v>2192</v>
      </c>
      <c r="J94" t="s">
        <v>2412</v>
      </c>
      <c r="K94" t="s">
        <v>2194</v>
      </c>
    </row>
    <row r="95" spans="2:11">
      <c r="B95" s="33" t="s">
        <v>2049</v>
      </c>
      <c r="C95" s="69" t="s">
        <v>2442</v>
      </c>
      <c r="D95">
        <v>4</v>
      </c>
      <c r="E95" t="s">
        <v>2406</v>
      </c>
      <c r="H95" t="s">
        <v>2413</v>
      </c>
      <c r="K95" t="s">
        <v>2414</v>
      </c>
    </row>
    <row r="96" spans="2:11">
      <c r="B96" s="33" t="s">
        <v>2049</v>
      </c>
      <c r="C96" s="69" t="s">
        <v>2443</v>
      </c>
      <c r="D96">
        <v>27</v>
      </c>
      <c r="E96" t="s">
        <v>2406</v>
      </c>
      <c r="H96" t="s">
        <v>2415</v>
      </c>
      <c r="J96" t="s">
        <v>2416</v>
      </c>
      <c r="K96" t="s">
        <v>2414</v>
      </c>
    </row>
    <row r="97" spans="2:11">
      <c r="B97" s="33" t="s">
        <v>2049</v>
      </c>
      <c r="C97" s="69" t="s">
        <v>2444</v>
      </c>
      <c r="D97">
        <v>23</v>
      </c>
      <c r="E97" t="s">
        <v>2406</v>
      </c>
      <c r="H97" t="s">
        <v>2415</v>
      </c>
      <c r="J97" t="s">
        <v>2416</v>
      </c>
      <c r="K97" t="s">
        <v>2414</v>
      </c>
    </row>
    <row r="98" spans="2:11">
      <c r="B98" s="33" t="s">
        <v>2049</v>
      </c>
      <c r="C98" s="69" t="s">
        <v>2445</v>
      </c>
      <c r="D98">
        <v>43</v>
      </c>
      <c r="E98" t="s">
        <v>2406</v>
      </c>
      <c r="F98" t="s">
        <v>2248</v>
      </c>
      <c r="H98" t="s">
        <v>2249</v>
      </c>
      <c r="J98">
        <v>60327</v>
      </c>
      <c r="K98" t="s">
        <v>2233</v>
      </c>
    </row>
    <row r="99" spans="2:11">
      <c r="B99" s="33" t="s">
        <v>2049</v>
      </c>
      <c r="C99" s="69" t="s">
        <v>2446</v>
      </c>
      <c r="D99">
        <v>14</v>
      </c>
      <c r="E99" t="s">
        <v>2406</v>
      </c>
      <c r="F99" t="s">
        <v>2248</v>
      </c>
      <c r="H99" t="s">
        <v>2249</v>
      </c>
      <c r="J99">
        <v>60528</v>
      </c>
      <c r="K99" t="s">
        <v>2233</v>
      </c>
    </row>
    <row r="100" spans="2:11">
      <c r="B100" s="33" t="s">
        <v>2049</v>
      </c>
      <c r="C100" s="69" t="s">
        <v>2447</v>
      </c>
      <c r="D100">
        <v>4</v>
      </c>
      <c r="E100" t="s">
        <v>2406</v>
      </c>
      <c r="H100" t="s">
        <v>2417</v>
      </c>
      <c r="J100">
        <v>380</v>
      </c>
      <c r="K100" t="s">
        <v>2418</v>
      </c>
    </row>
    <row r="101" spans="2:11">
      <c r="B101" s="33" t="s">
        <v>2049</v>
      </c>
      <c r="C101" s="69" t="s">
        <v>2448</v>
      </c>
      <c r="D101">
        <v>2</v>
      </c>
      <c r="E101" t="s">
        <v>2406</v>
      </c>
      <c r="H101" t="s">
        <v>2417</v>
      </c>
      <c r="J101">
        <v>160</v>
      </c>
      <c r="K101" t="s">
        <v>2418</v>
      </c>
    </row>
    <row r="102" spans="2:11">
      <c r="B102" s="33" t="s">
        <v>2049</v>
      </c>
      <c r="C102" s="69" t="s">
        <v>2449</v>
      </c>
      <c r="D102">
        <v>2</v>
      </c>
      <c r="E102" t="s">
        <v>2406</v>
      </c>
      <c r="H102" t="s">
        <v>2417</v>
      </c>
      <c r="J102">
        <v>540</v>
      </c>
      <c r="K102" t="s">
        <v>2418</v>
      </c>
    </row>
    <row r="103" spans="2:11">
      <c r="B103" s="33" t="s">
        <v>2049</v>
      </c>
      <c r="C103" s="69" t="s">
        <v>2450</v>
      </c>
      <c r="D103">
        <v>1</v>
      </c>
      <c r="E103" t="s">
        <v>2406</v>
      </c>
      <c r="H103" t="s">
        <v>2419</v>
      </c>
      <c r="J103">
        <v>1620</v>
      </c>
      <c r="K103" t="s">
        <v>2418</v>
      </c>
    </row>
    <row r="104" spans="2:11">
      <c r="B104" s="33" t="s">
        <v>2049</v>
      </c>
      <c r="C104" s="69" t="s">
        <v>2451</v>
      </c>
      <c r="D104">
        <v>2</v>
      </c>
      <c r="E104" t="s">
        <v>2406</v>
      </c>
      <c r="H104" t="s">
        <v>2417</v>
      </c>
      <c r="J104">
        <v>560</v>
      </c>
      <c r="K104" t="s">
        <v>2418</v>
      </c>
    </row>
    <row r="105" spans="2:11">
      <c r="B105" s="23" t="s">
        <v>2049</v>
      </c>
      <c r="C105" s="124" t="s">
        <v>2452</v>
      </c>
      <c r="D105" s="15">
        <v>129</v>
      </c>
      <c r="E105" s="15" t="s">
        <v>2406</v>
      </c>
      <c r="F105" s="15" t="s">
        <v>2266</v>
      </c>
      <c r="G105" s="15"/>
      <c r="H105" s="15" t="s">
        <v>154</v>
      </c>
      <c r="I105" s="15"/>
      <c r="J105" t="s">
        <v>2420</v>
      </c>
      <c r="K105" t="s">
        <v>2268</v>
      </c>
    </row>
    <row r="106" spans="2:11">
      <c r="B106" s="23" t="s">
        <v>2049</v>
      </c>
      <c r="C106" s="124" t="s">
        <v>2453</v>
      </c>
      <c r="D106" s="15">
        <v>53</v>
      </c>
      <c r="E106" s="15" t="s">
        <v>2406</v>
      </c>
      <c r="F106" s="15" t="s">
        <v>2266</v>
      </c>
      <c r="G106" s="15"/>
      <c r="H106" s="15" t="s">
        <v>154</v>
      </c>
      <c r="I106" s="15"/>
      <c r="J106" t="s">
        <v>2421</v>
      </c>
      <c r="K106" t="s">
        <v>2268</v>
      </c>
    </row>
    <row r="107" spans="2:11">
      <c r="B107" s="23" t="s">
        <v>2049</v>
      </c>
      <c r="C107" s="124" t="s">
        <v>2454</v>
      </c>
      <c r="D107" s="15">
        <v>11</v>
      </c>
      <c r="E107" s="15" t="s">
        <v>2406</v>
      </c>
      <c r="F107" s="15" t="s">
        <v>2266</v>
      </c>
      <c r="G107" s="15"/>
      <c r="H107" s="15" t="s">
        <v>2422</v>
      </c>
      <c r="I107" s="15"/>
      <c r="J107" t="s">
        <v>2423</v>
      </c>
      <c r="K107" t="s">
        <v>2268</v>
      </c>
    </row>
    <row r="108" spans="2:11">
      <c r="B108" s="23" t="s">
        <v>2049</v>
      </c>
      <c r="C108" s="124" t="s">
        <v>2455</v>
      </c>
      <c r="D108" s="15">
        <v>104</v>
      </c>
      <c r="E108" s="15" t="s">
        <v>2406</v>
      </c>
      <c r="F108" s="15" t="s">
        <v>2266</v>
      </c>
      <c r="G108" s="15"/>
      <c r="H108" s="15" t="s">
        <v>154</v>
      </c>
      <c r="I108" s="15"/>
      <c r="J108" t="s">
        <v>2424</v>
      </c>
      <c r="K108" t="s">
        <v>2268</v>
      </c>
    </row>
    <row r="109" spans="2:11">
      <c r="B109" s="23" t="s">
        <v>2049</v>
      </c>
      <c r="C109" s="124" t="s">
        <v>2456</v>
      </c>
      <c r="D109" s="15">
        <v>18</v>
      </c>
      <c r="E109" s="15" t="s">
        <v>2406</v>
      </c>
      <c r="F109" s="15" t="s">
        <v>2266</v>
      </c>
      <c r="G109" s="15"/>
      <c r="H109" s="15" t="s">
        <v>154</v>
      </c>
      <c r="I109" s="15"/>
      <c r="J109" t="s">
        <v>2425</v>
      </c>
      <c r="K109" t="s">
        <v>2268</v>
      </c>
    </row>
    <row r="110" spans="2:11">
      <c r="B110" s="23" t="s">
        <v>2049</v>
      </c>
      <c r="C110" s="124" t="s">
        <v>2457</v>
      </c>
      <c r="D110" s="15">
        <v>93</v>
      </c>
      <c r="E110" s="15" t="s">
        <v>2406</v>
      </c>
      <c r="F110" s="15" t="s">
        <v>2266</v>
      </c>
      <c r="G110" s="15"/>
      <c r="H110" s="15" t="s">
        <v>154</v>
      </c>
      <c r="I110" s="15"/>
      <c r="J110" t="s">
        <v>2420</v>
      </c>
      <c r="K110" t="s">
        <v>2268</v>
      </c>
    </row>
    <row r="111" spans="2:11">
      <c r="B111" s="23" t="s">
        <v>2049</v>
      </c>
      <c r="C111" s="124" t="s">
        <v>2458</v>
      </c>
      <c r="D111" s="15">
        <v>1</v>
      </c>
      <c r="E111" s="15" t="s">
        <v>2406</v>
      </c>
      <c r="F111" s="15"/>
      <c r="G111" s="15"/>
      <c r="H111" s="15" t="s">
        <v>154</v>
      </c>
      <c r="I111" s="15"/>
      <c r="J111" t="s">
        <v>2426</v>
      </c>
      <c r="K111" t="s">
        <v>2268</v>
      </c>
    </row>
    <row r="112" spans="2:11">
      <c r="B112" s="33" t="s">
        <v>2049</v>
      </c>
      <c r="C112" s="69" t="s">
        <v>2459</v>
      </c>
      <c r="D112">
        <v>57</v>
      </c>
      <c r="E112" t="s">
        <v>2406</v>
      </c>
      <c r="H112" t="s">
        <v>2427</v>
      </c>
      <c r="J112" t="s">
        <v>2428</v>
      </c>
      <c r="K112" t="s">
        <v>2268</v>
      </c>
    </row>
    <row r="113" spans="2:11">
      <c r="B113" s="33" t="s">
        <v>2049</v>
      </c>
      <c r="C113" s="69" t="s">
        <v>2460</v>
      </c>
      <c r="D113">
        <v>31</v>
      </c>
      <c r="E113" t="s">
        <v>2406</v>
      </c>
      <c r="H113" t="s">
        <v>2427</v>
      </c>
      <c r="J113" t="s">
        <v>2428</v>
      </c>
      <c r="K113" t="s">
        <v>2268</v>
      </c>
    </row>
    <row r="114" spans="2:11">
      <c r="B114" s="33" t="s">
        <v>2049</v>
      </c>
      <c r="C114" s="69" t="s">
        <v>2461</v>
      </c>
      <c r="D114">
        <v>11</v>
      </c>
      <c r="E114" t="s">
        <v>2406</v>
      </c>
      <c r="H114" t="s">
        <v>2427</v>
      </c>
      <c r="J114" t="s">
        <v>2429</v>
      </c>
      <c r="K114" t="s">
        <v>2268</v>
      </c>
    </row>
    <row r="115" spans="2:11">
      <c r="B115" s="33" t="s">
        <v>2049</v>
      </c>
      <c r="C115" s="69" t="s">
        <v>2462</v>
      </c>
      <c r="D115">
        <v>2</v>
      </c>
      <c r="E115" t="s">
        <v>2406</v>
      </c>
      <c r="H115" t="s">
        <v>2430</v>
      </c>
      <c r="J115">
        <v>20144</v>
      </c>
      <c r="K115" t="s">
        <v>2431</v>
      </c>
    </row>
    <row r="116" spans="2:11">
      <c r="B116" s="33" t="s">
        <v>2049</v>
      </c>
      <c r="C116" s="69" t="s">
        <v>2463</v>
      </c>
      <c r="D116">
        <v>3</v>
      </c>
      <c r="E116" t="s">
        <v>2406</v>
      </c>
      <c r="H116" t="s">
        <v>2430</v>
      </c>
      <c r="K116" t="s">
        <v>2431</v>
      </c>
    </row>
    <row r="117" spans="2:11">
      <c r="B117" s="33" t="s">
        <v>2049</v>
      </c>
      <c r="C117" s="69" t="s">
        <v>2464</v>
      </c>
      <c r="D117">
        <v>0</v>
      </c>
      <c r="E117" t="s">
        <v>2406</v>
      </c>
      <c r="H117" t="s">
        <v>2415</v>
      </c>
      <c r="J117" t="s">
        <v>2413</v>
      </c>
      <c r="K117" t="s">
        <v>2414</v>
      </c>
    </row>
    <row r="118" spans="2:11">
      <c r="B118" s="33" t="s">
        <v>2049</v>
      </c>
      <c r="C118" s="69" t="s">
        <v>2465</v>
      </c>
      <c r="D118">
        <v>22</v>
      </c>
      <c r="E118" t="s">
        <v>2406</v>
      </c>
      <c r="H118" t="s">
        <v>170</v>
      </c>
      <c r="J118">
        <v>93534</v>
      </c>
      <c r="K118" t="s">
        <v>2323</v>
      </c>
    </row>
    <row r="119" spans="2:11">
      <c r="B119" s="33" t="s">
        <v>2049</v>
      </c>
      <c r="C119" s="69" t="s">
        <v>2466</v>
      </c>
      <c r="D119">
        <v>15</v>
      </c>
      <c r="E119" t="s">
        <v>2406</v>
      </c>
      <c r="H119" t="s">
        <v>170</v>
      </c>
      <c r="J119">
        <v>93300</v>
      </c>
      <c r="K119" t="s">
        <v>2323</v>
      </c>
    </row>
    <row r="120" spans="2:11">
      <c r="B120" s="33" t="s">
        <v>2049</v>
      </c>
      <c r="C120" s="69" t="s">
        <v>2467</v>
      </c>
      <c r="D120">
        <v>42</v>
      </c>
      <c r="E120" t="s">
        <v>2406</v>
      </c>
      <c r="H120" t="s">
        <v>170</v>
      </c>
      <c r="J120">
        <v>92413</v>
      </c>
      <c r="K120" t="s">
        <v>2323</v>
      </c>
    </row>
    <row r="121" spans="2:11">
      <c r="B121" s="33" t="s">
        <v>2049</v>
      </c>
      <c r="C121" s="210" t="s">
        <v>2470</v>
      </c>
      <c r="D121">
        <v>7</v>
      </c>
      <c r="E121" t="s">
        <v>2406</v>
      </c>
      <c r="H121" t="s">
        <v>2432</v>
      </c>
      <c r="K121" t="s">
        <v>2433</v>
      </c>
    </row>
    <row r="122" spans="2:11">
      <c r="B122" s="33" t="s">
        <v>2049</v>
      </c>
      <c r="C122" s="69" t="s">
        <v>2468</v>
      </c>
      <c r="D122">
        <v>82</v>
      </c>
      <c r="E122" t="s">
        <v>2406</v>
      </c>
      <c r="H122" t="s">
        <v>2434</v>
      </c>
      <c r="J122">
        <v>16865</v>
      </c>
      <c r="K122" t="s">
        <v>2435</v>
      </c>
    </row>
    <row r="123" spans="2:11">
      <c r="B123" s="33" t="s">
        <v>2049</v>
      </c>
      <c r="C123" s="69" t="s">
        <v>2469</v>
      </c>
      <c r="D123">
        <v>19</v>
      </c>
      <c r="E123" t="s">
        <v>2406</v>
      </c>
      <c r="H123" t="s">
        <v>2436</v>
      </c>
      <c r="J123">
        <v>12862</v>
      </c>
      <c r="K123" t="s">
        <v>2435</v>
      </c>
    </row>
    <row r="127" spans="2:11">
      <c r="D127" s="1995" t="s">
        <v>2178</v>
      </c>
      <c r="E127" s="1995" t="s">
        <v>801</v>
      </c>
    </row>
    <row r="128" spans="2:11">
      <c r="B128" t="s">
        <v>2049</v>
      </c>
      <c r="C128" s="69" t="s">
        <v>2144</v>
      </c>
      <c r="D128" s="2299">
        <v>180</v>
      </c>
      <c r="E128" s="2299">
        <v>164</v>
      </c>
    </row>
    <row r="129" spans="2:5">
      <c r="B129" t="s">
        <v>2049</v>
      </c>
      <c r="C129" s="69" t="s">
        <v>2145</v>
      </c>
      <c r="D129" s="2299">
        <v>129</v>
      </c>
      <c r="E129" s="2299">
        <v>107</v>
      </c>
    </row>
    <row r="130" spans="2:5">
      <c r="B130" t="s">
        <v>2049</v>
      </c>
      <c r="C130" s="69" t="s">
        <v>2146</v>
      </c>
      <c r="D130" s="2299">
        <v>104</v>
      </c>
      <c r="E130" s="2299">
        <v>100</v>
      </c>
    </row>
    <row r="131" spans="2:5">
      <c r="B131" t="s">
        <v>2049</v>
      </c>
      <c r="C131" s="69" t="s">
        <v>2148</v>
      </c>
      <c r="D131" s="2299">
        <v>93</v>
      </c>
      <c r="E131" s="2299">
        <v>73</v>
      </c>
    </row>
    <row r="132" spans="2:5">
      <c r="B132" t="s">
        <v>2049</v>
      </c>
      <c r="C132" s="69" t="s">
        <v>2147</v>
      </c>
      <c r="D132" s="2299">
        <v>82</v>
      </c>
      <c r="E132" s="2299">
        <v>75</v>
      </c>
    </row>
    <row r="133" spans="2:5">
      <c r="B133" t="s">
        <v>2049</v>
      </c>
      <c r="C133" s="69" t="s">
        <v>2149</v>
      </c>
      <c r="D133" s="2299">
        <v>72</v>
      </c>
      <c r="E133" s="2299">
        <v>60</v>
      </c>
    </row>
    <row r="134" spans="2:5">
      <c r="B134" t="s">
        <v>2049</v>
      </c>
      <c r="C134" s="69" t="s">
        <v>2154</v>
      </c>
      <c r="D134" s="2299">
        <v>64</v>
      </c>
      <c r="E134" s="2299">
        <v>28</v>
      </c>
    </row>
    <row r="135" spans="2:5">
      <c r="B135" t="s">
        <v>2049</v>
      </c>
      <c r="C135" s="69" t="s">
        <v>2150</v>
      </c>
      <c r="D135" s="2299">
        <v>57</v>
      </c>
      <c r="E135" s="2299">
        <v>48</v>
      </c>
    </row>
    <row r="136" spans="2:5">
      <c r="B136" t="s">
        <v>2049</v>
      </c>
      <c r="C136" s="69" t="s">
        <v>2151</v>
      </c>
      <c r="D136" s="2299">
        <v>53</v>
      </c>
      <c r="E136" s="2299">
        <v>43</v>
      </c>
    </row>
    <row r="137" spans="2:5">
      <c r="B137" t="s">
        <v>2049</v>
      </c>
      <c r="C137" s="69" t="s">
        <v>2153</v>
      </c>
      <c r="D137" s="2299">
        <v>43</v>
      </c>
      <c r="E137" s="2299">
        <v>36</v>
      </c>
    </row>
    <row r="138" spans="2:5">
      <c r="B138" t="s">
        <v>2049</v>
      </c>
      <c r="C138" s="69" t="s">
        <v>2152</v>
      </c>
      <c r="D138" s="2299">
        <v>42</v>
      </c>
      <c r="E138" s="2299">
        <v>38</v>
      </c>
    </row>
    <row r="139" spans="2:5">
      <c r="B139" t="s">
        <v>2049</v>
      </c>
      <c r="C139" s="69" t="s">
        <v>2157</v>
      </c>
      <c r="D139" s="2299">
        <v>31</v>
      </c>
      <c r="E139" s="2299">
        <v>23</v>
      </c>
    </row>
    <row r="140" spans="2:5">
      <c r="B140" t="s">
        <v>2049</v>
      </c>
      <c r="C140" s="69" t="s">
        <v>2155</v>
      </c>
      <c r="D140" s="2299">
        <v>27</v>
      </c>
      <c r="E140" s="2299">
        <v>24</v>
      </c>
    </row>
    <row r="141" spans="2:5">
      <c r="B141" t="s">
        <v>2049</v>
      </c>
      <c r="C141" s="69" t="s">
        <v>2158</v>
      </c>
      <c r="D141" s="2299">
        <v>27</v>
      </c>
      <c r="E141" s="2299">
        <v>21</v>
      </c>
    </row>
    <row r="142" spans="2:5">
      <c r="B142" t="s">
        <v>2049</v>
      </c>
      <c r="C142" s="69" t="s">
        <v>2159</v>
      </c>
      <c r="D142" s="2299">
        <v>24</v>
      </c>
      <c r="E142" s="2299">
        <v>20</v>
      </c>
    </row>
    <row r="143" spans="2:5">
      <c r="B143" t="s">
        <v>2049</v>
      </c>
      <c r="C143" s="69" t="s">
        <v>2156</v>
      </c>
      <c r="D143" s="2299">
        <v>23</v>
      </c>
      <c r="E143" s="2299">
        <v>24</v>
      </c>
    </row>
    <row r="144" spans="2:5">
      <c r="B144" t="s">
        <v>2049</v>
      </c>
      <c r="C144" s="69" t="s">
        <v>2161</v>
      </c>
      <c r="D144" s="2299">
        <v>22</v>
      </c>
      <c r="E144" s="2299">
        <v>16</v>
      </c>
    </row>
    <row r="145" spans="2:5">
      <c r="B145" t="s">
        <v>2049</v>
      </c>
      <c r="C145" s="69" t="s">
        <v>2163</v>
      </c>
      <c r="D145" s="2299">
        <v>19</v>
      </c>
      <c r="E145" s="2299">
        <v>14</v>
      </c>
    </row>
    <row r="146" spans="2:5">
      <c r="B146" t="s">
        <v>2049</v>
      </c>
      <c r="C146" s="69" t="s">
        <v>2160</v>
      </c>
      <c r="D146" s="2299">
        <v>18</v>
      </c>
      <c r="E146" s="2299">
        <v>17</v>
      </c>
    </row>
    <row r="147" spans="2:5">
      <c r="B147" t="s">
        <v>2049</v>
      </c>
      <c r="C147" s="69" t="s">
        <v>2165</v>
      </c>
      <c r="D147" s="2299">
        <v>15</v>
      </c>
      <c r="E147" s="2299">
        <v>9</v>
      </c>
    </row>
    <row r="148" spans="2:5">
      <c r="B148" t="s">
        <v>2049</v>
      </c>
      <c r="C148" s="69" t="s">
        <v>2162</v>
      </c>
      <c r="D148" s="2299">
        <v>14</v>
      </c>
      <c r="E148" s="2299">
        <v>15</v>
      </c>
    </row>
    <row r="149" spans="2:5">
      <c r="B149" t="s">
        <v>2049</v>
      </c>
      <c r="C149" s="69" t="s">
        <v>2164</v>
      </c>
      <c r="D149" s="2299">
        <v>11</v>
      </c>
      <c r="E149" s="2299">
        <v>10</v>
      </c>
    </row>
    <row r="150" spans="2:5">
      <c r="B150" t="s">
        <v>2049</v>
      </c>
      <c r="C150" s="69" t="s">
        <v>2166</v>
      </c>
      <c r="D150" s="2299">
        <v>11</v>
      </c>
      <c r="E150" s="2299">
        <v>5</v>
      </c>
    </row>
    <row r="151" spans="2:5">
      <c r="B151" s="2300" t="s">
        <v>1125</v>
      </c>
      <c r="C151" s="2301" t="s">
        <v>2471</v>
      </c>
      <c r="D151" s="2302">
        <v>9</v>
      </c>
      <c r="E151" s="2303"/>
    </row>
    <row r="152" spans="2:5">
      <c r="B152" t="s">
        <v>2049</v>
      </c>
      <c r="C152" s="210" t="s">
        <v>2177</v>
      </c>
      <c r="D152" s="2299">
        <v>7</v>
      </c>
      <c r="E152" s="2299"/>
    </row>
    <row r="153" spans="2:5">
      <c r="B153" t="s">
        <v>2049</v>
      </c>
      <c r="C153" s="69" t="s">
        <v>2167</v>
      </c>
      <c r="D153" s="2299">
        <v>4</v>
      </c>
      <c r="E153" s="2299">
        <v>2</v>
      </c>
    </row>
    <row r="154" spans="2:5">
      <c r="B154" t="s">
        <v>2049</v>
      </c>
      <c r="C154" s="69" t="s">
        <v>2170</v>
      </c>
      <c r="D154" s="2299">
        <v>4</v>
      </c>
      <c r="E154" s="2299">
        <v>1</v>
      </c>
    </row>
    <row r="155" spans="2:5">
      <c r="B155" t="s">
        <v>2049</v>
      </c>
      <c r="C155" s="69" t="s">
        <v>2169</v>
      </c>
      <c r="D155" s="2299">
        <v>3</v>
      </c>
      <c r="E155" s="2299">
        <v>2</v>
      </c>
    </row>
    <row r="156" spans="2:5">
      <c r="B156" t="s">
        <v>2049</v>
      </c>
      <c r="C156" s="69" t="s">
        <v>2168</v>
      </c>
      <c r="D156" s="2299">
        <v>2</v>
      </c>
      <c r="E156" s="2299">
        <v>2</v>
      </c>
    </row>
    <row r="157" spans="2:5">
      <c r="B157" t="s">
        <v>2049</v>
      </c>
      <c r="C157" s="69" t="s">
        <v>2171</v>
      </c>
      <c r="D157" s="2299">
        <v>2</v>
      </c>
      <c r="E157" s="2299">
        <v>1</v>
      </c>
    </row>
    <row r="158" spans="2:5">
      <c r="B158" t="s">
        <v>2049</v>
      </c>
      <c r="C158" s="69" t="s">
        <v>2173</v>
      </c>
      <c r="D158" s="2299">
        <v>2</v>
      </c>
      <c r="E158" s="2299">
        <v>0</v>
      </c>
    </row>
    <row r="159" spans="2:5">
      <c r="B159" t="s">
        <v>2049</v>
      </c>
      <c r="C159" s="69" t="s">
        <v>2175</v>
      </c>
      <c r="D159" s="2299">
        <v>2</v>
      </c>
      <c r="E159" s="2299">
        <v>0</v>
      </c>
    </row>
    <row r="160" spans="2:5">
      <c r="B160" t="s">
        <v>2049</v>
      </c>
      <c r="C160" s="69" t="s">
        <v>2172</v>
      </c>
      <c r="D160" s="2299">
        <v>1</v>
      </c>
      <c r="E160" s="2299">
        <v>1</v>
      </c>
    </row>
    <row r="161" spans="2:5">
      <c r="B161" t="s">
        <v>2049</v>
      </c>
      <c r="C161" s="69" t="s">
        <v>2174</v>
      </c>
      <c r="D161" s="2299">
        <v>1</v>
      </c>
      <c r="E161" s="2299">
        <v>0</v>
      </c>
    </row>
    <row r="162" spans="2:5">
      <c r="B162" t="s">
        <v>2049</v>
      </c>
      <c r="C162" s="210" t="s">
        <v>2176</v>
      </c>
      <c r="D162" s="2299">
        <v>0</v>
      </c>
      <c r="E162" s="2299"/>
    </row>
  </sheetData>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autoPageBreaks="0" fitToPage="1"/>
  </sheetPr>
  <dimension ref="A1:AO163"/>
  <sheetViews>
    <sheetView showGridLines="0" zoomScale="85" zoomScaleNormal="100" zoomScaleSheetLayoutView="100" workbookViewId="0">
      <pane xSplit="2" ySplit="27" topLeftCell="C28" activePane="bottomRight" state="frozen"/>
      <selection activeCell="P11" sqref="P11"/>
      <selection pane="topRight" activeCell="P11" sqref="P11"/>
      <selection pane="bottomLeft" activeCell="P11" sqref="P11"/>
      <selection pane="bottomRight" activeCell="E2" sqref="E2:G3"/>
    </sheetView>
  </sheetViews>
  <sheetFormatPr defaultRowHeight="11.25" outlineLevelRow="1"/>
  <cols>
    <col min="1" max="1" width="14.7109375" style="426" customWidth="1"/>
    <col min="2" max="2" width="16.28515625" style="426" customWidth="1"/>
    <col min="3" max="5" width="9.7109375" style="426" customWidth="1"/>
    <col min="6" max="6" width="10" style="426" customWidth="1"/>
    <col min="7" max="18" width="9.7109375" style="426" customWidth="1"/>
    <col min="19" max="19" width="14.140625" style="426" customWidth="1"/>
    <col min="20" max="20" width="14" style="426" customWidth="1"/>
    <col min="21" max="24" width="11.7109375" style="426" customWidth="1"/>
    <col min="25" max="40" width="8" style="426" customWidth="1"/>
    <col min="41" max="41" width="8" style="427" customWidth="1"/>
    <col min="42" max="69" width="8" style="426" customWidth="1"/>
    <col min="70" max="16384" width="9.140625" style="426"/>
  </cols>
  <sheetData>
    <row r="1" spans="1:41" s="407" customFormat="1" ht="11.25" customHeight="1">
      <c r="A1" s="405" t="s">
        <v>952</v>
      </c>
      <c r="B1" s="405"/>
      <c r="C1" s="405"/>
      <c r="D1" s="405"/>
      <c r="E1" s="406"/>
      <c r="F1" s="406"/>
      <c r="G1" s="406"/>
      <c r="H1" s="406"/>
      <c r="I1" s="406"/>
      <c r="J1" s="406"/>
      <c r="K1" s="406"/>
      <c r="L1" s="406"/>
      <c r="M1" s="406"/>
      <c r="N1" s="406"/>
      <c r="O1" s="406"/>
      <c r="P1" s="406"/>
      <c r="Q1" s="406"/>
      <c r="R1" s="406"/>
      <c r="AO1" s="408"/>
    </row>
    <row r="2" spans="1:41" s="411" customFormat="1">
      <c r="A2" s="409" t="s">
        <v>1719</v>
      </c>
      <c r="B2" s="410"/>
      <c r="C2" s="410"/>
      <c r="D2" s="410"/>
      <c r="H2" s="406"/>
      <c r="I2" s="406"/>
      <c r="J2" s="406"/>
      <c r="K2" s="406"/>
      <c r="L2" s="406"/>
      <c r="M2" s="406"/>
      <c r="N2" s="406"/>
      <c r="O2" s="406"/>
      <c r="P2" s="406"/>
      <c r="Q2" s="406"/>
      <c r="R2" s="406"/>
      <c r="AO2" s="412"/>
    </row>
    <row r="3" spans="1:41" s="411" customFormat="1">
      <c r="A3" s="409" t="s">
        <v>953</v>
      </c>
      <c r="B3" s="409"/>
      <c r="C3" s="409"/>
      <c r="D3" s="409"/>
      <c r="H3" s="413"/>
      <c r="I3" s="413"/>
      <c r="J3" s="413"/>
      <c r="K3" s="413"/>
      <c r="L3" s="413"/>
      <c r="M3" s="413"/>
      <c r="N3" s="413"/>
      <c r="O3" s="413"/>
      <c r="P3" s="413"/>
      <c r="Q3" s="413"/>
      <c r="R3" s="413"/>
      <c r="AO3" s="412"/>
    </row>
    <row r="4" spans="1:41" s="411" customFormat="1" ht="9.9499999999999993" customHeight="1" outlineLevel="1">
      <c r="A4" s="414" t="s">
        <v>914</v>
      </c>
      <c r="B4" s="414"/>
      <c r="C4" s="414"/>
      <c r="D4" s="414"/>
      <c r="E4" s="406"/>
      <c r="F4" s="406"/>
      <c r="G4" s="406"/>
      <c r="H4" s="406"/>
      <c r="I4" s="406"/>
      <c r="J4" s="406"/>
      <c r="K4" s="406"/>
      <c r="L4" s="406"/>
      <c r="M4" s="406"/>
      <c r="N4" s="406"/>
      <c r="O4" s="406"/>
      <c r="P4" s="406"/>
      <c r="Q4" s="406"/>
      <c r="R4" s="406"/>
      <c r="AO4" s="412"/>
    </row>
    <row r="5" spans="1:41" s="411" customFormat="1" ht="3" customHeight="1" outlineLevel="1">
      <c r="A5" s="415"/>
      <c r="B5" s="415"/>
      <c r="C5" s="415"/>
      <c r="D5" s="415"/>
      <c r="E5" s="415"/>
      <c r="F5" s="415"/>
      <c r="G5" s="415"/>
      <c r="H5" s="415"/>
      <c r="I5" s="415"/>
      <c r="J5" s="415"/>
      <c r="K5" s="415"/>
      <c r="L5" s="415"/>
      <c r="M5" s="415"/>
      <c r="N5" s="415"/>
      <c r="O5" s="415"/>
      <c r="P5" s="415"/>
      <c r="AO5" s="412"/>
    </row>
    <row r="6" spans="1:41" s="486" customFormat="1" ht="2.25" customHeight="1" outlineLevel="1">
      <c r="AO6" s="487"/>
    </row>
    <row r="7" spans="1:41" s="486" customFormat="1" ht="9" customHeight="1" outlineLevel="1">
      <c r="A7" s="1239" t="s">
        <v>915</v>
      </c>
      <c r="B7" s="1240"/>
      <c r="C7" s="1240"/>
      <c r="D7" s="1240"/>
      <c r="E7" s="411"/>
      <c r="F7" s="411"/>
      <c r="G7" s="411"/>
      <c r="H7" s="411"/>
      <c r="I7" s="411"/>
      <c r="J7" s="1241"/>
      <c r="K7" s="1241"/>
      <c r="L7" s="1241"/>
      <c r="M7" s="1241"/>
      <c r="AO7" s="487"/>
    </row>
    <row r="8" spans="1:41" s="486" customFormat="1" ht="9.9499999999999993" customHeight="1" outlineLevel="1">
      <c r="A8" s="416" t="s">
        <v>497</v>
      </c>
      <c r="B8" s="416"/>
      <c r="C8" s="416"/>
      <c r="D8" s="416"/>
      <c r="E8" s="416"/>
      <c r="F8" s="416"/>
      <c r="G8" s="411"/>
      <c r="H8" s="1242">
        <v>42004</v>
      </c>
      <c r="I8" s="411"/>
      <c r="J8" s="1243" t="s">
        <v>484</v>
      </c>
      <c r="K8" s="1241"/>
      <c r="L8" s="2331" t="s">
        <v>2566</v>
      </c>
      <c r="M8" s="1241"/>
      <c r="AO8" s="487"/>
    </row>
    <row r="9" spans="1:41" s="486" customFormat="1" ht="9.9499999999999993" customHeight="1" outlineLevel="1">
      <c r="A9" s="416" t="s">
        <v>498</v>
      </c>
      <c r="B9" s="416"/>
      <c r="C9" s="416"/>
      <c r="D9" s="416"/>
      <c r="E9" s="416"/>
      <c r="F9" s="416"/>
      <c r="G9" s="411"/>
      <c r="H9" s="1244">
        <v>42369</v>
      </c>
      <c r="I9" s="411"/>
      <c r="J9" s="411" t="s">
        <v>485</v>
      </c>
      <c r="K9" s="1241"/>
      <c r="L9" s="1977">
        <f>BS!CT112</f>
        <v>1003.3939999999997</v>
      </c>
      <c r="M9" s="1241"/>
      <c r="AO9" s="487"/>
    </row>
    <row r="10" spans="1:41" s="486" customFormat="1" ht="9.9499999999999993" customHeight="1" outlineLevel="1">
      <c r="A10" s="416" t="s">
        <v>916</v>
      </c>
      <c r="B10" s="416"/>
      <c r="C10" s="416"/>
      <c r="D10" s="416"/>
      <c r="E10" s="416"/>
      <c r="F10" s="416"/>
      <c r="G10" s="411"/>
      <c r="H10" s="1246">
        <f>H9-H8</f>
        <v>365</v>
      </c>
      <c r="I10" s="411"/>
      <c r="J10" s="411" t="s">
        <v>487</v>
      </c>
      <c r="K10" s="1241"/>
      <c r="L10" s="1977">
        <f>BS!CT113</f>
        <v>6925.3099999999995</v>
      </c>
      <c r="M10" s="1241"/>
      <c r="AO10" s="487"/>
    </row>
    <row r="11" spans="1:41" s="486" customFormat="1" ht="9.9499999999999993" customHeight="1" outlineLevel="1">
      <c r="A11" s="416" t="s">
        <v>917</v>
      </c>
      <c r="B11" s="416"/>
      <c r="C11" s="416"/>
      <c r="D11" s="416"/>
      <c r="E11" s="416"/>
      <c r="F11" s="416"/>
      <c r="G11" s="411"/>
      <c r="H11" s="1246">
        <f>(H8+365)-H9</f>
        <v>0</v>
      </c>
      <c r="I11" s="411"/>
      <c r="J11" s="411" t="s">
        <v>1496</v>
      </c>
      <c r="K11" s="1241"/>
      <c r="L11" s="1245">
        <f>L10-L9</f>
        <v>5921.9160000000002</v>
      </c>
      <c r="M11" s="1241"/>
      <c r="AO11" s="487"/>
    </row>
    <row r="12" spans="1:41" s="486" customFormat="1" ht="9.9499999999999993" customHeight="1" outlineLevel="1">
      <c r="A12" s="1247" t="s">
        <v>918</v>
      </c>
      <c r="B12" s="1247"/>
      <c r="C12" s="1247"/>
      <c r="D12" s="1247"/>
      <c r="E12" s="416"/>
      <c r="F12" s="416"/>
      <c r="G12" s="411"/>
      <c r="H12" s="1248">
        <v>10</v>
      </c>
      <c r="I12" s="411"/>
      <c r="J12" s="411" t="s">
        <v>190</v>
      </c>
      <c r="K12" s="1241"/>
      <c r="L12" s="1249">
        <v>192.43</v>
      </c>
      <c r="M12" s="1241"/>
      <c r="AO12" s="487"/>
    </row>
    <row r="13" spans="1:41" s="486" customFormat="1" ht="9.9499999999999993" customHeight="1" outlineLevel="1">
      <c r="A13" s="416" t="s">
        <v>919</v>
      </c>
      <c r="B13" s="416"/>
      <c r="C13" s="416"/>
      <c r="D13" s="416"/>
      <c r="E13" s="416"/>
      <c r="F13" s="416"/>
      <c r="G13" s="411"/>
      <c r="H13" s="1250">
        <v>0</v>
      </c>
      <c r="I13" s="411"/>
      <c r="J13" s="411" t="s">
        <v>488</v>
      </c>
      <c r="K13" s="1241"/>
      <c r="L13" s="2148">
        <f>+IS!DK82</f>
        <v>70.364000000000004</v>
      </c>
      <c r="M13" s="1241"/>
      <c r="AO13" s="487"/>
    </row>
    <row r="14" spans="1:41" s="486" customFormat="1" ht="9.9499999999999993" customHeight="1" outlineLevel="1">
      <c r="A14" s="416" t="s">
        <v>920</v>
      </c>
      <c r="B14" s="416"/>
      <c r="C14" s="416"/>
      <c r="D14" s="416"/>
      <c r="E14" s="416"/>
      <c r="F14" s="416"/>
      <c r="G14" s="411"/>
      <c r="H14" s="1250">
        <v>4</v>
      </c>
      <c r="I14" s="411"/>
      <c r="J14" s="411" t="s">
        <v>489</v>
      </c>
      <c r="K14" s="1241"/>
      <c r="L14" s="1251">
        <f>L13*L12</f>
        <v>13540.144520000002</v>
      </c>
      <c r="M14" s="1241"/>
      <c r="AO14" s="487"/>
    </row>
    <row r="15" spans="1:41" s="486" customFormat="1" ht="9.9499999999999993" customHeight="1" outlineLevel="1">
      <c r="A15" s="416" t="s">
        <v>483</v>
      </c>
      <c r="B15" s="416"/>
      <c r="C15" s="416"/>
      <c r="D15" s="416"/>
      <c r="E15" s="416"/>
      <c r="F15" s="416"/>
      <c r="G15" s="1252"/>
      <c r="H15" s="1252">
        <f>((1-L23)*(L19+L16*(L17-L19))+(L23)*(L18*(1-L20)))*100</f>
        <v>9.2100000000000009</v>
      </c>
      <c r="I15" s="411"/>
      <c r="J15" s="411" t="s">
        <v>1033</v>
      </c>
      <c r="K15" s="1241"/>
      <c r="L15" s="1251">
        <f>L14+L11</f>
        <v>19462.060520000003</v>
      </c>
      <c r="M15" s="1241"/>
      <c r="AO15" s="487"/>
    </row>
    <row r="16" spans="1:41" s="486" customFormat="1" ht="9.9499999999999993" customHeight="1" outlineLevel="1">
      <c r="A16" s="416"/>
      <c r="B16" s="416"/>
      <c r="C16" s="416"/>
      <c r="D16" s="416"/>
      <c r="E16" s="416"/>
      <c r="F16" s="416"/>
      <c r="G16" s="1252"/>
      <c r="H16" s="1253"/>
      <c r="I16" s="411"/>
      <c r="J16" s="411" t="s">
        <v>490</v>
      </c>
      <c r="K16" s="1241"/>
      <c r="L16" s="1254">
        <f>1*1/3+2/3*1.33</f>
        <v>1.22</v>
      </c>
      <c r="M16" s="1241"/>
      <c r="AO16" s="487"/>
    </row>
    <row r="17" spans="1:41" s="486" customFormat="1" ht="9.9499999999999993" customHeight="1" outlineLevel="1">
      <c r="A17" s="1243"/>
      <c r="B17" s="416"/>
      <c r="C17" s="416"/>
      <c r="D17" s="416"/>
      <c r="E17" s="416"/>
      <c r="F17" s="416"/>
      <c r="G17" s="1252"/>
      <c r="H17" s="411"/>
      <c r="I17" s="411"/>
      <c r="J17" s="411" t="s">
        <v>492</v>
      </c>
      <c r="K17" s="1241"/>
      <c r="L17" s="1255">
        <v>0.12</v>
      </c>
      <c r="M17" s="1241"/>
      <c r="AO17" s="487"/>
    </row>
    <row r="18" spans="1:41" s="486" customFormat="1" ht="9.9499999999999993" customHeight="1" outlineLevel="1">
      <c r="A18" s="411"/>
      <c r="B18" s="416"/>
      <c r="C18" s="416"/>
      <c r="D18" s="416"/>
      <c r="E18" s="416"/>
      <c r="F18" s="416"/>
      <c r="G18" s="1252"/>
      <c r="H18" s="411"/>
      <c r="I18" s="411"/>
      <c r="J18" s="411" t="s">
        <v>491</v>
      </c>
      <c r="K18" s="1241"/>
      <c r="L18" s="1256">
        <v>7.0000000000000007E-2</v>
      </c>
      <c r="M18" s="1241"/>
      <c r="AO18" s="487"/>
    </row>
    <row r="19" spans="1:41" s="486" customFormat="1" ht="9.9499999999999993" customHeight="1" outlineLevel="1">
      <c r="A19" s="411"/>
      <c r="B19" s="416"/>
      <c r="C19" s="416"/>
      <c r="D19" s="416"/>
      <c r="E19" s="416"/>
      <c r="F19" s="416"/>
      <c r="G19" s="1252"/>
      <c r="H19" s="411"/>
      <c r="I19" s="411"/>
      <c r="J19" s="411" t="s">
        <v>494</v>
      </c>
      <c r="K19" s="1241"/>
      <c r="L19" s="1255">
        <v>3.5000000000000003E-2</v>
      </c>
      <c r="M19" s="1241"/>
      <c r="AO19" s="487"/>
    </row>
    <row r="20" spans="1:41" s="486" customFormat="1" ht="9.9499999999999993" customHeight="1" outlineLevel="1">
      <c r="A20" s="411"/>
      <c r="B20" s="416"/>
      <c r="C20" s="416"/>
      <c r="D20" s="416"/>
      <c r="E20" s="416"/>
      <c r="F20" s="416"/>
      <c r="G20" s="1252"/>
      <c r="H20" s="411"/>
      <c r="I20" s="411"/>
      <c r="J20" s="411" t="s">
        <v>1036</v>
      </c>
      <c r="K20" s="1241"/>
      <c r="L20" s="1255">
        <v>0.35</v>
      </c>
      <c r="M20" s="1241"/>
      <c r="AO20" s="487"/>
    </row>
    <row r="21" spans="1:41" s="486" customFormat="1" ht="9.9499999999999993" customHeight="1" outlineLevel="1">
      <c r="A21" s="411"/>
      <c r="B21" s="416"/>
      <c r="C21" s="416"/>
      <c r="D21" s="416"/>
      <c r="E21" s="416"/>
      <c r="F21" s="416"/>
      <c r="G21" s="1252"/>
      <c r="H21" s="411"/>
      <c r="I21" s="411"/>
      <c r="J21" s="411" t="s">
        <v>1063</v>
      </c>
      <c r="K21" s="1241"/>
      <c r="L21" s="1977">
        <f>BS!CT71</f>
        <v>4623.71</v>
      </c>
      <c r="M21" s="1241"/>
      <c r="AO21" s="487"/>
    </row>
    <row r="22" spans="1:41" s="486" customFormat="1" ht="9.9499999999999993" customHeight="1" outlineLevel="1">
      <c r="A22" s="411"/>
      <c r="B22" s="416"/>
      <c r="C22" s="416"/>
      <c r="D22" s="416"/>
      <c r="E22" s="416"/>
      <c r="F22" s="416"/>
      <c r="G22" s="1252"/>
      <c r="H22" s="411"/>
      <c r="I22" s="411"/>
      <c r="J22" s="411" t="s">
        <v>493</v>
      </c>
      <c r="K22" s="1241"/>
      <c r="L22" s="1245">
        <f>L21+L10</f>
        <v>11549.02</v>
      </c>
      <c r="M22" s="1241"/>
      <c r="AO22" s="487"/>
    </row>
    <row r="23" spans="1:41" s="486" customFormat="1" ht="9.9499999999999993" customHeight="1" outlineLevel="1">
      <c r="A23" s="411"/>
      <c r="B23" s="416"/>
      <c r="C23" s="416"/>
      <c r="D23" s="416"/>
      <c r="E23" s="416"/>
      <c r="F23" s="416"/>
      <c r="G23" s="1252"/>
      <c r="H23" s="411"/>
      <c r="I23" s="411"/>
      <c r="J23" s="416" t="s">
        <v>1035</v>
      </c>
      <c r="K23" s="1241"/>
      <c r="L23" s="1255">
        <v>0.5</v>
      </c>
      <c r="M23" s="1241"/>
      <c r="AO23" s="487"/>
    </row>
    <row r="24" spans="1:41" s="486" customFormat="1" ht="8.25" customHeight="1">
      <c r="A24" s="415"/>
      <c r="B24" s="415"/>
      <c r="C24" s="415"/>
      <c r="D24" s="415"/>
      <c r="E24" s="415"/>
      <c r="F24" s="415"/>
      <c r="G24" s="415"/>
      <c r="H24" s="415"/>
      <c r="I24" s="415"/>
      <c r="J24" s="415"/>
      <c r="K24" s="415"/>
      <c r="L24" s="415"/>
      <c r="M24" s="415"/>
      <c r="N24" s="488"/>
      <c r="O24" s="488"/>
      <c r="P24" s="488"/>
      <c r="Q24" s="488"/>
      <c r="R24" s="488"/>
      <c r="AO24" s="487"/>
    </row>
    <row r="25" spans="1:41" s="411" customFormat="1">
      <c r="A25" s="410"/>
      <c r="B25" s="410"/>
      <c r="C25" s="419" t="s">
        <v>921</v>
      </c>
      <c r="D25" s="420"/>
      <c r="E25" s="420"/>
      <c r="F25" s="420"/>
      <c r="G25" s="419" t="s">
        <v>922</v>
      </c>
      <c r="H25" s="419"/>
      <c r="I25" s="419"/>
      <c r="J25" s="419"/>
      <c r="K25" s="419"/>
      <c r="L25" s="419"/>
      <c r="M25" s="419"/>
      <c r="N25" s="419"/>
      <c r="O25" s="419"/>
      <c r="P25" s="419"/>
      <c r="Q25" s="419"/>
      <c r="R25" s="419"/>
      <c r="AO25" s="412"/>
    </row>
    <row r="26" spans="1:41" s="424" customFormat="1">
      <c r="A26" s="421"/>
      <c r="B26" s="421"/>
      <c r="C26" s="422">
        <f>+D26-1</f>
        <v>2006</v>
      </c>
      <c r="D26" s="422">
        <f>+E26-1</f>
        <v>2007</v>
      </c>
      <c r="E26" s="422">
        <f>+F26-1</f>
        <v>2008</v>
      </c>
      <c r="F26" s="422">
        <v>2009</v>
      </c>
      <c r="G26" s="422">
        <v>2010</v>
      </c>
      <c r="H26" s="423">
        <f t="shared" ref="H26:P26" si="0">G26+1</f>
        <v>2011</v>
      </c>
      <c r="I26" s="423">
        <f t="shared" si="0"/>
        <v>2012</v>
      </c>
      <c r="J26" s="423">
        <f t="shared" si="0"/>
        <v>2013</v>
      </c>
      <c r="K26" s="423">
        <f t="shared" si="0"/>
        <v>2014</v>
      </c>
      <c r="L26" s="423">
        <f t="shared" si="0"/>
        <v>2015</v>
      </c>
      <c r="M26" s="423">
        <f t="shared" si="0"/>
        <v>2016</v>
      </c>
      <c r="N26" s="423">
        <f t="shared" si="0"/>
        <v>2017</v>
      </c>
      <c r="O26" s="423">
        <f t="shared" si="0"/>
        <v>2018</v>
      </c>
      <c r="P26" s="423">
        <f t="shared" si="0"/>
        <v>2019</v>
      </c>
      <c r="Q26" s="423">
        <f>P26+1</f>
        <v>2020</v>
      </c>
      <c r="R26" s="423">
        <f>Q26+1</f>
        <v>2021</v>
      </c>
      <c r="S26" s="484" t="s">
        <v>879</v>
      </c>
      <c r="T26" s="484" t="s">
        <v>926</v>
      </c>
      <c r="AO26" s="425"/>
    </row>
    <row r="27" spans="1:41" ht="3" customHeight="1">
      <c r="A27" s="416"/>
      <c r="B27" s="416"/>
      <c r="C27" s="416"/>
      <c r="D27" s="416"/>
      <c r="E27" s="416"/>
      <c r="F27" s="416"/>
      <c r="G27" s="416"/>
      <c r="H27" s="416"/>
      <c r="I27" s="416"/>
      <c r="J27" s="416"/>
      <c r="K27" s="416"/>
      <c r="L27" s="416"/>
      <c r="M27" s="416"/>
      <c r="N27" s="416"/>
      <c r="O27" s="416"/>
      <c r="P27" s="416"/>
      <c r="Q27" s="416"/>
      <c r="R27" s="416"/>
      <c r="S27" s="463"/>
      <c r="T27" s="463"/>
    </row>
    <row r="28" spans="1:41" ht="11.25" customHeight="1">
      <c r="A28" s="416" t="s">
        <v>927</v>
      </c>
      <c r="B28" s="416"/>
      <c r="C28" s="583">
        <f>IS!K15</f>
        <v>288.09400000000005</v>
      </c>
      <c r="D28" s="583">
        <f>IS!L15</f>
        <v>419.44200000000006</v>
      </c>
      <c r="E28" s="583">
        <f>IS!M15</f>
        <v>704.68</v>
      </c>
      <c r="F28" s="583">
        <f>IS!N15</f>
        <v>882.50900000000013</v>
      </c>
      <c r="G28" s="583">
        <f>IS!O15</f>
        <v>1196.2139999999999</v>
      </c>
      <c r="H28" s="583">
        <f>IS!P15</f>
        <v>1569.7840000000001</v>
      </c>
      <c r="I28" s="583">
        <f>IS!Q15</f>
        <v>1887.376</v>
      </c>
      <c r="J28" s="583">
        <f>IS!R15</f>
        <v>2152.7660000000001</v>
      </c>
      <c r="K28" s="583">
        <f>IS!S15</f>
        <v>2443.7749999999996</v>
      </c>
      <c r="L28" s="583">
        <f>IS!T15</f>
        <v>2725.8670000000002</v>
      </c>
      <c r="M28" s="583">
        <f>IS!U15</f>
        <v>3611.9889999999996</v>
      </c>
      <c r="N28" s="583">
        <f>IS!V15</f>
        <v>4368.4279999999999</v>
      </c>
      <c r="O28" s="583">
        <f ca="1">IS!W15</f>
        <v>5039.1585955911905</v>
      </c>
      <c r="P28" s="583">
        <f ca="1">IS!X15</f>
        <v>5500.5877719846403</v>
      </c>
      <c r="Q28" s="583">
        <f ca="1">IS!Y15</f>
        <v>5937.3329327160309</v>
      </c>
      <c r="R28" s="583">
        <f ca="1">IS!Z15</f>
        <v>6349.2579843878229</v>
      </c>
      <c r="S28" s="505">
        <f ca="1">+(Q28/G28)^(0.1)-1</f>
        <v>0.17375715363195599</v>
      </c>
      <c r="T28" s="505">
        <f>+(L28/G28)^(0.2)-1</f>
        <v>0.17906882391355139</v>
      </c>
      <c r="U28" s="1956"/>
    </row>
    <row r="29" spans="1:41" ht="11.25" customHeight="1">
      <c r="A29" s="430" t="s">
        <v>954</v>
      </c>
      <c r="B29" s="430"/>
      <c r="C29" s="482" t="e">
        <f>IS!#REF!</f>
        <v>#REF!</v>
      </c>
      <c r="D29" s="482" t="e">
        <f>IS!#REF!</f>
        <v>#REF!</v>
      </c>
      <c r="E29" s="482" t="e">
        <f>IS!#REF!</f>
        <v>#REF!</v>
      </c>
      <c r="F29" s="482" t="e">
        <f>IS!#REF!</f>
        <v>#REF!</v>
      </c>
      <c r="G29" s="482" t="e">
        <f>IS!#REF!</f>
        <v>#REF!</v>
      </c>
      <c r="H29" s="482" t="e">
        <f>IS!#REF!</f>
        <v>#REF!</v>
      </c>
      <c r="I29" s="482" t="e">
        <f>IS!#REF!</f>
        <v>#REF!</v>
      </c>
      <c r="J29" s="482" t="e">
        <f>IS!#REF!</f>
        <v>#REF!</v>
      </c>
      <c r="K29" s="482" t="e">
        <f>IS!#REF!</f>
        <v>#REF!</v>
      </c>
      <c r="L29" s="482" t="e">
        <f>IS!#REF!</f>
        <v>#REF!</v>
      </c>
      <c r="M29" s="482" t="e">
        <f>IS!#REF!</f>
        <v>#REF!</v>
      </c>
      <c r="N29" s="482" t="e">
        <f>IS!#REF!</f>
        <v>#REF!</v>
      </c>
      <c r="O29" s="482" t="e">
        <f>IS!#REF!</f>
        <v>#REF!</v>
      </c>
      <c r="P29" s="482" t="e">
        <f>IS!#REF!</f>
        <v>#REF!</v>
      </c>
      <c r="Q29" s="482" t="e">
        <f>IS!#REF!</f>
        <v>#REF!</v>
      </c>
      <c r="R29" s="482" t="e">
        <f>IS!#REF!</f>
        <v>#REF!</v>
      </c>
      <c r="S29" s="506"/>
      <c r="T29" s="506"/>
      <c r="U29" s="1957"/>
    </row>
    <row r="30" spans="1:41" ht="11.25" customHeight="1" outlineLevel="1">
      <c r="A30" s="416" t="s">
        <v>928</v>
      </c>
      <c r="B30" s="416"/>
      <c r="C30" s="428">
        <f>IS!K47</f>
        <v>1.9140000000000583</v>
      </c>
      <c r="D30" s="428">
        <f>IS!L47</f>
        <v>10.11500000000008</v>
      </c>
      <c r="E30" s="428">
        <f>IS!M47</f>
        <v>73.261999999999944</v>
      </c>
      <c r="F30" s="428">
        <f>IS!N47</f>
        <v>181.07900000000004</v>
      </c>
      <c r="G30" s="428">
        <f>IS!O47</f>
        <v>193.10199999999998</v>
      </c>
      <c r="H30" s="428">
        <f>IS!P47</f>
        <v>303.8950000000001</v>
      </c>
      <c r="I30" s="428">
        <f>IS!Q47</f>
        <v>392.89599999999984</v>
      </c>
      <c r="J30" s="428">
        <f>IS!R47</f>
        <v>460.93200000000002</v>
      </c>
      <c r="K30" s="428">
        <f>IS!S47</f>
        <v>509.26599999999962</v>
      </c>
      <c r="L30" s="428">
        <f>IS!T47</f>
        <v>567.34200000000044</v>
      </c>
      <c r="M30" s="428">
        <f>IS!U47</f>
        <v>618.73899999999992</v>
      </c>
      <c r="N30" s="428">
        <f>IS!V47</f>
        <v>809.01400000000035</v>
      </c>
      <c r="O30" s="428">
        <f ca="1">IS!W47</f>
        <v>1031.6759012605824</v>
      </c>
      <c r="P30" s="428">
        <f ca="1">IS!X47</f>
        <v>1321.9227667124449</v>
      </c>
      <c r="Q30" s="428">
        <f ca="1">IS!Y47</f>
        <v>1475.8563416253035</v>
      </c>
      <c r="R30" s="428">
        <f ca="1">IS!Z47</f>
        <v>1615.7474594173682</v>
      </c>
      <c r="S30" s="506"/>
      <c r="T30" s="506"/>
      <c r="U30" s="417"/>
    </row>
    <row r="31" spans="1:41" ht="11.25" customHeight="1" outlineLevel="1">
      <c r="A31" s="416" t="s">
        <v>929</v>
      </c>
      <c r="B31" s="416"/>
      <c r="C31" s="428">
        <f>IS!K26</f>
        <v>30.766999999999999</v>
      </c>
      <c r="D31" s="428">
        <f>IS!L26</f>
        <v>42.731000000000002</v>
      </c>
      <c r="E31" s="428">
        <f>IS!M26</f>
        <v>55.085000000000001</v>
      </c>
      <c r="F31" s="428">
        <f>IS!N26</f>
        <v>53.055999999999997</v>
      </c>
      <c r="G31" s="428">
        <f>IS!O26</f>
        <v>67.242999999999995</v>
      </c>
      <c r="H31" s="428">
        <f>IS!P26</f>
        <v>71.137</v>
      </c>
      <c r="I31" s="428">
        <f>IS!Q26</f>
        <v>82.734999999999999</v>
      </c>
      <c r="J31" s="428">
        <f>IS!R26</f>
        <v>102.94</v>
      </c>
      <c r="K31" s="428">
        <f>IS!S26</f>
        <v>117.99</v>
      </c>
      <c r="L31" s="428">
        <f>IS!T26</f>
        <v>133.63299999999998</v>
      </c>
      <c r="M31" s="428">
        <f>IS!U26</f>
        <v>156.148</v>
      </c>
      <c r="N31" s="428">
        <f>IS!V26</f>
        <v>175.5</v>
      </c>
      <c r="O31" s="428">
        <f ca="1">IS!W26</f>
        <v>183.66190824830562</v>
      </c>
      <c r="P31" s="428">
        <f ca="1">IS!X26</f>
        <v>200.47958950406345</v>
      </c>
      <c r="Q31" s="428">
        <f ca="1">IS!Y26</f>
        <v>216.39761393542778</v>
      </c>
      <c r="R31" s="428">
        <f ca="1">IS!Z26</f>
        <v>231.411021354578</v>
      </c>
      <c r="S31" s="506"/>
      <c r="T31" s="506"/>
      <c r="U31" s="417"/>
    </row>
    <row r="32" spans="1:41" ht="11.25" customHeight="1" outlineLevel="1">
      <c r="A32" s="416" t="s">
        <v>930</v>
      </c>
      <c r="B32" s="416"/>
      <c r="C32" s="428">
        <f>IS!K45</f>
        <v>76.332000000000008</v>
      </c>
      <c r="D32" s="428">
        <f>IS!L45</f>
        <v>103.47499999999999</v>
      </c>
      <c r="E32" s="428">
        <f>IS!M45</f>
        <v>160.98699999999999</v>
      </c>
      <c r="F32" s="428">
        <f>IS!N45</f>
        <v>175.37100000000001</v>
      </c>
      <c r="G32" s="428">
        <f>IS!O45</f>
        <v>253.60500000000002</v>
      </c>
      <c r="H32" s="428">
        <f>IS!P45</f>
        <v>337.75800000000004</v>
      </c>
      <c r="I32" s="428">
        <f>IS!Q45</f>
        <v>393.54300000000001</v>
      </c>
      <c r="J32" s="428">
        <f>IS!R45</f>
        <v>431.00800000000004</v>
      </c>
      <c r="K32" s="428">
        <f>IS!S45</f>
        <v>484.12900000000002</v>
      </c>
      <c r="L32" s="428">
        <f>IS!T45</f>
        <v>528.92899999999997</v>
      </c>
      <c r="M32" s="428">
        <f>IS!U45</f>
        <v>843.51</v>
      </c>
      <c r="N32" s="428">
        <f>IS!V45</f>
        <v>1028.8919999999998</v>
      </c>
      <c r="O32" s="428">
        <f ca="1">IS!W45</f>
        <v>1145.2535023802948</v>
      </c>
      <c r="P32" s="428">
        <f ca="1">IS!X45</f>
        <v>1068.6071582547081</v>
      </c>
      <c r="Q32" s="428">
        <f ca="1">IS!Y45</f>
        <v>1119.1830939566664</v>
      </c>
      <c r="R32" s="428">
        <f ca="1">IS!Z45</f>
        <v>1174.5018009925152</v>
      </c>
      <c r="S32" s="506"/>
      <c r="T32" s="506"/>
      <c r="U32" s="417"/>
    </row>
    <row r="33" spans="1:21" ht="11.25" customHeight="1" outlineLevel="1">
      <c r="A33" s="416" t="s">
        <v>1541</v>
      </c>
      <c r="B33" s="416"/>
      <c r="C33" s="428">
        <f>+IS!K31-IS!K26</f>
        <v>-6.9410000000000025</v>
      </c>
      <c r="D33" s="428">
        <f>+IS!L31-IS!L26</f>
        <v>-0.93100000000000449</v>
      </c>
      <c r="E33" s="428">
        <f>+IS!M31-IS!M26</f>
        <v>3.142000000000003</v>
      </c>
      <c r="F33" s="428">
        <f>+IS!N31-IS!N26</f>
        <v>-0.89799999999999613</v>
      </c>
      <c r="G33" s="428">
        <f>+IS!O31-IS!O26</f>
        <v>19.070999999999998</v>
      </c>
      <c r="H33" s="428">
        <f>+IS!P31-IS!P26</f>
        <v>7.0150000000000006</v>
      </c>
      <c r="I33" s="428">
        <f>+IS!Q31-IS!Q26</f>
        <v>8.8220000000000027</v>
      </c>
      <c r="J33" s="428">
        <f>+IS!R31-IS!R26</f>
        <v>6.0180000000000007</v>
      </c>
      <c r="K33" s="428">
        <f>+IS!S31-IS!S26</f>
        <v>2.5060000000000002</v>
      </c>
      <c r="L33" s="428">
        <f>+IS!T31-IS!T26</f>
        <v>41.723000000000013</v>
      </c>
      <c r="M33" s="428">
        <f>+IS!U31-IS!U26</f>
        <v>31.379000000000019</v>
      </c>
      <c r="N33" s="428">
        <f>+IS!V31-IS!V26</f>
        <v>38.634999999999991</v>
      </c>
      <c r="O33" s="428">
        <f ca="1">+IS!W31-IS!W26</f>
        <v>35.610000000000014</v>
      </c>
      <c r="P33" s="428">
        <f ca="1">+IS!X31-IS!X26</f>
        <v>35.609999999999985</v>
      </c>
      <c r="Q33" s="428">
        <f ca="1">+IS!Y31-IS!Y26</f>
        <v>35.610000000000014</v>
      </c>
      <c r="R33" s="428">
        <f ca="1">+IS!Z31-IS!Z26</f>
        <v>35.610000000000014</v>
      </c>
      <c r="S33" s="506"/>
      <c r="T33" s="506"/>
      <c r="U33" s="417"/>
    </row>
    <row r="34" spans="1:21">
      <c r="A34" s="416" t="s">
        <v>931</v>
      </c>
      <c r="B34" s="416"/>
      <c r="C34" s="428">
        <f>SUM(C30:C33)</f>
        <v>102.07200000000006</v>
      </c>
      <c r="D34" s="428">
        <f t="shared" ref="D34:M34" si="1">SUM(D30:D33)</f>
        <v>155.39000000000007</v>
      </c>
      <c r="E34" s="428">
        <f t="shared" si="1"/>
        <v>292.47599999999994</v>
      </c>
      <c r="F34" s="428">
        <f t="shared" si="1"/>
        <v>408.60800000000006</v>
      </c>
      <c r="G34" s="428">
        <f t="shared" si="1"/>
        <v>533.02100000000007</v>
      </c>
      <c r="H34" s="428">
        <f t="shared" si="1"/>
        <v>719.80500000000018</v>
      </c>
      <c r="I34" s="428">
        <f t="shared" si="1"/>
        <v>877.99599999999987</v>
      </c>
      <c r="J34" s="428">
        <f t="shared" si="1"/>
        <v>1000.8980000000001</v>
      </c>
      <c r="K34" s="428">
        <f t="shared" si="1"/>
        <v>1113.8909999999998</v>
      </c>
      <c r="L34" s="428">
        <f t="shared" si="1"/>
        <v>1271.6270000000004</v>
      </c>
      <c r="M34" s="428">
        <f t="shared" si="1"/>
        <v>1649.7759999999998</v>
      </c>
      <c r="N34" s="428">
        <f>SUM(N30:N33)</f>
        <v>2052.0410000000002</v>
      </c>
      <c r="O34" s="428">
        <f ca="1">SUM(O30:O33)</f>
        <v>2396.2013118891828</v>
      </c>
      <c r="P34" s="428">
        <f ca="1">SUM(P30:P33)</f>
        <v>2626.6195144712165</v>
      </c>
      <c r="Q34" s="428">
        <f ca="1">SUM(Q30:Q33)</f>
        <v>2847.0470495173981</v>
      </c>
      <c r="R34" s="428">
        <f ca="1">SUM(R30:R33)</f>
        <v>3057.2702817644617</v>
      </c>
      <c r="S34" s="505">
        <f ca="1">+(Q34/G34)^(0.1)-1</f>
        <v>0.18240166458476681</v>
      </c>
      <c r="T34" s="505">
        <f>+(L34/G34)^(0.2)-1</f>
        <v>0.18993457637716493</v>
      </c>
      <c r="U34" s="417"/>
    </row>
    <row r="35" spans="1:21">
      <c r="A35" s="430" t="s">
        <v>932</v>
      </c>
      <c r="B35" s="430"/>
      <c r="C35" s="482">
        <f>+C34/C28</f>
        <v>0.35430102674821429</v>
      </c>
      <c r="D35" s="482">
        <f t="shared" ref="D35:M35" si="2">+D34/D28</f>
        <v>0.37046838418660993</v>
      </c>
      <c r="E35" s="482">
        <f t="shared" si="2"/>
        <v>0.41504796503377417</v>
      </c>
      <c r="F35" s="482">
        <f t="shared" si="2"/>
        <v>0.46300717613078168</v>
      </c>
      <c r="G35" s="482">
        <f t="shared" si="2"/>
        <v>0.44559000312653096</v>
      </c>
      <c r="H35" s="482">
        <f t="shared" si="2"/>
        <v>0.45853760772182678</v>
      </c>
      <c r="I35" s="482">
        <f t="shared" si="2"/>
        <v>0.46519400479819595</v>
      </c>
      <c r="J35" s="482">
        <f t="shared" si="2"/>
        <v>0.46493580816493763</v>
      </c>
      <c r="K35" s="482">
        <f t="shared" si="2"/>
        <v>0.4558075109206044</v>
      </c>
      <c r="L35" s="482">
        <f t="shared" si="2"/>
        <v>0.46650368488264482</v>
      </c>
      <c r="M35" s="482">
        <f t="shared" si="2"/>
        <v>0.45675000671375243</v>
      </c>
      <c r="N35" s="482">
        <f>+N34/N28</f>
        <v>0.46974357823912866</v>
      </c>
      <c r="O35" s="482">
        <f ca="1">+O34/O28</f>
        <v>0.47551615342800341</v>
      </c>
      <c r="P35" s="482">
        <f ca="1">+P34/P28</f>
        <v>0.4775161534280033</v>
      </c>
      <c r="Q35" s="482">
        <f ca="1">+Q34/Q28</f>
        <v>0.47951615342800347</v>
      </c>
      <c r="R35" s="482">
        <f ca="1">+R34/R28</f>
        <v>0.48151615342800325</v>
      </c>
      <c r="U35" s="1957"/>
    </row>
    <row r="36" spans="1:21">
      <c r="A36" s="416" t="s">
        <v>933</v>
      </c>
      <c r="B36" s="416"/>
      <c r="C36" s="530">
        <v>0</v>
      </c>
      <c r="D36" s="530">
        <v>0</v>
      </c>
      <c r="E36" s="530">
        <v>0</v>
      </c>
      <c r="F36" s="530">
        <v>0</v>
      </c>
      <c r="G36" s="530">
        <v>0</v>
      </c>
      <c r="H36" s="530">
        <f>+IF(IS!P235=0,(IS!P233-IS!P55)*Valuation!$L$20,0)</f>
        <v>0</v>
      </c>
      <c r="I36" s="530">
        <v>-45</v>
      </c>
      <c r="J36" s="530">
        <f>-(165)</f>
        <v>-165</v>
      </c>
      <c r="K36" s="428">
        <f>+J36</f>
        <v>-165</v>
      </c>
      <c r="L36" s="530">
        <f>IF(mode=3,IS!T57,-90+IS!T57)</f>
        <v>-113.224</v>
      </c>
      <c r="M36" s="530">
        <f>IF(mode=3,IS!U57,-90+IS!U57)</f>
        <v>-135.45099999999999</v>
      </c>
      <c r="N36" s="1730">
        <f>IS!V57</f>
        <v>-53.849999999999994</v>
      </c>
      <c r="O36" s="1730">
        <f ca="1">IS!W57</f>
        <v>-88.329356525461023</v>
      </c>
      <c r="P36" s="1730">
        <f ca="1">IS!X57</f>
        <v>-124.64962715782411</v>
      </c>
      <c r="Q36" s="1730">
        <f ca="1">IS!Y57</f>
        <v>-142.43977212990649</v>
      </c>
      <c r="R36" s="1730">
        <f ca="1">IS!Z57</f>
        <v>-158.23473929289199</v>
      </c>
      <c r="S36" s="429"/>
      <c r="U36" s="1958"/>
    </row>
    <row r="37" spans="1:21">
      <c r="A37" s="430" t="s">
        <v>934</v>
      </c>
      <c r="B37" s="430"/>
      <c r="C37" s="482">
        <f>-C36/(C34)</f>
        <v>0</v>
      </c>
      <c r="D37" s="482">
        <f t="shared" ref="D37:M37" si="3">-D36/(D34)</f>
        <v>0</v>
      </c>
      <c r="E37" s="482">
        <f t="shared" si="3"/>
        <v>0</v>
      </c>
      <c r="F37" s="482">
        <f t="shared" si="3"/>
        <v>0</v>
      </c>
      <c r="G37" s="482">
        <f t="shared" si="3"/>
        <v>0</v>
      </c>
      <c r="H37" s="482">
        <f t="shared" si="3"/>
        <v>0</v>
      </c>
      <c r="I37" s="482">
        <f t="shared" si="3"/>
        <v>5.1253080879639548E-2</v>
      </c>
      <c r="J37" s="482">
        <f t="shared" si="3"/>
        <v>0.1648519629372823</v>
      </c>
      <c r="K37" s="482">
        <f t="shared" si="3"/>
        <v>0.14812939506648318</v>
      </c>
      <c r="L37" s="482">
        <f t="shared" si="3"/>
        <v>8.903868823169056E-2</v>
      </c>
      <c r="M37" s="482">
        <f t="shared" si="3"/>
        <v>8.2102661209764241E-2</v>
      </c>
      <c r="N37" s="482">
        <f>-N36/(N34)</f>
        <v>2.6242165726708185E-2</v>
      </c>
      <c r="O37" s="482">
        <f ca="1">-O36/(O34)</f>
        <v>3.6862243621685317E-2</v>
      </c>
      <c r="P37" s="482">
        <f ca="1">-P36/(P34)</f>
        <v>4.74562937155815E-2</v>
      </c>
      <c r="Q37" s="482">
        <f ca="1">-Q36/(Q34)</f>
        <v>5.0030705377366841E-2</v>
      </c>
      <c r="R37" s="482">
        <f ca="1">-R36/(R34)</f>
        <v>5.175686959596159E-2</v>
      </c>
      <c r="U37" s="1957"/>
    </row>
    <row r="38" spans="1:21">
      <c r="A38" s="416" t="s">
        <v>1012</v>
      </c>
      <c r="B38" s="416"/>
      <c r="C38" s="428">
        <f>-BS!K133</f>
        <v>-162.291</v>
      </c>
      <c r="D38" s="428">
        <f>-BS!L133</f>
        <v>-416.81100000000009</v>
      </c>
      <c r="E38" s="428">
        <f>-BS!M133</f>
        <v>-471.12800000000004</v>
      </c>
      <c r="F38" s="428">
        <f>-BS!N133</f>
        <v>-342.18</v>
      </c>
      <c r="G38" s="428">
        <f>-BS!O133</f>
        <v>-579.4</v>
      </c>
      <c r="H38" s="428">
        <f>-BS!P133</f>
        <v>-682.7</v>
      </c>
      <c r="I38" s="428">
        <f>-BS!Q133</f>
        <v>-764.49999999999989</v>
      </c>
      <c r="J38" s="428">
        <f>-BS!R133</f>
        <v>-572.40599999999995</v>
      </c>
      <c r="K38" s="428">
        <f>-BS!S133</f>
        <v>-660.20399999999995</v>
      </c>
      <c r="L38" s="428">
        <f>-BS!T133</f>
        <v>-873.80399999999997</v>
      </c>
      <c r="M38" s="428">
        <f>-BS!U133</f>
        <v>-1113.365</v>
      </c>
      <c r="N38" s="428">
        <f>-BS!V133</f>
        <v>-1378.7249999999999</v>
      </c>
      <c r="O38" s="428">
        <f ca="1">-BS!W133</f>
        <v>-1935.5663438236477</v>
      </c>
      <c r="P38" s="428">
        <f ca="1">-BS!X133</f>
        <v>-1853.1485108793856</v>
      </c>
      <c r="Q38" s="428">
        <f ca="1">-BS!Y133</f>
        <v>-1659.9433173086413</v>
      </c>
      <c r="R38" s="428">
        <f ca="1">-BS!Z133</f>
        <v>-1618.4103193755129</v>
      </c>
      <c r="S38" s="418"/>
      <c r="T38" s="432"/>
      <c r="U38" s="417"/>
    </row>
    <row r="39" spans="1:21">
      <c r="A39" s="430" t="s">
        <v>935</v>
      </c>
      <c r="B39" s="430"/>
      <c r="C39" s="482">
        <f>BS!K135</f>
        <v>2.5737470272174749</v>
      </c>
      <c r="D39" s="482">
        <f>BS!L135</f>
        <v>1.5682939904246083</v>
      </c>
      <c r="E39" s="482">
        <f>BS!M135</f>
        <v>0.13031565865584138</v>
      </c>
      <c r="F39" s="482">
        <f>BS!N135</f>
        <v>-0.27370056545142729</v>
      </c>
      <c r="G39" s="482">
        <f>BS!O135</f>
        <v>0.6932608568589631</v>
      </c>
      <c r="H39" s="482">
        <f>BS!P135</f>
        <v>0.17828788401794982</v>
      </c>
      <c r="I39" s="482">
        <f>BS!Q135</f>
        <v>0.11981836824373793</v>
      </c>
      <c r="J39" s="482">
        <f>BS!R135</f>
        <v>-0.25126749509483315</v>
      </c>
      <c r="K39" s="482">
        <f>BS!S135</f>
        <v>0.15338413643462867</v>
      </c>
      <c r="L39" s="482">
        <f>BS!T135</f>
        <v>0.32353636148826737</v>
      </c>
      <c r="M39" s="482">
        <f>BS!U135</f>
        <v>0.27415873582634087</v>
      </c>
      <c r="N39" s="482">
        <f>BS!V135</f>
        <v>0.23834052624251689</v>
      </c>
      <c r="O39" s="482">
        <f ca="1">BS!W135</f>
        <v>0.40388137142914493</v>
      </c>
      <c r="P39" s="482">
        <f ca="1">BS!X135</f>
        <v>-4.2580732614645678E-2</v>
      </c>
      <c r="Q39" s="482">
        <f ca="1">BS!Y135</f>
        <v>-0.10425780364416748</v>
      </c>
      <c r="R39" s="482">
        <f ca="1">BS!Z135</f>
        <v>-2.5020732635899989E-2</v>
      </c>
      <c r="U39" s="1957"/>
    </row>
    <row r="40" spans="1:21">
      <c r="A40" s="430" t="s">
        <v>936</v>
      </c>
      <c r="B40" s="430"/>
      <c r="C40" s="482">
        <f t="shared" ref="C40:M40" si="4">-C38/C28</f>
        <v>0.56332655313890589</v>
      </c>
      <c r="D40" s="482">
        <f t="shared" si="4"/>
        <v>0.9937273806628808</v>
      </c>
      <c r="E40" s="482">
        <f t="shared" si="4"/>
        <v>0.66857013112334684</v>
      </c>
      <c r="F40" s="482">
        <f t="shared" si="4"/>
        <v>0.38773542252826876</v>
      </c>
      <c r="G40" s="482">
        <f t="shared" si="4"/>
        <v>0.4843614938464188</v>
      </c>
      <c r="H40" s="482">
        <f t="shared" si="4"/>
        <v>0.43490059778925</v>
      </c>
      <c r="I40" s="482">
        <f t="shared" si="4"/>
        <v>0.40505972312883065</v>
      </c>
      <c r="J40" s="482">
        <f t="shared" si="4"/>
        <v>0.26589327404836377</v>
      </c>
      <c r="K40" s="482">
        <f t="shared" si="4"/>
        <v>0.27015744084459498</v>
      </c>
      <c r="L40" s="482">
        <f t="shared" si="4"/>
        <v>0.32056002732341671</v>
      </c>
      <c r="M40" s="482">
        <f t="shared" si="4"/>
        <v>0.3082415256524868</v>
      </c>
      <c r="N40" s="482">
        <f>-N38/N28</f>
        <v>0.31561124505199578</v>
      </c>
      <c r="O40" s="482">
        <f ca="1">-O38/O28</f>
        <v>0.38410506577766645</v>
      </c>
      <c r="P40" s="482">
        <f ca="1">-P38/P28</f>
        <v>0.33690008917188136</v>
      </c>
      <c r="Q40" s="482">
        <f ca="1">-Q38/Q28</f>
        <v>0.27957726745656841</v>
      </c>
      <c r="R40" s="482">
        <f ca="1">-R38/R28</f>
        <v>0.25489755233682715</v>
      </c>
      <c r="U40" s="1957"/>
    </row>
    <row r="41" spans="1:21">
      <c r="A41" s="426" t="s">
        <v>937</v>
      </c>
      <c r="C41" s="428">
        <f>SUM(CF!K23:K31)</f>
        <v>-17.247999999999998</v>
      </c>
      <c r="D41" s="428">
        <f>SUM(CF!L23:L31)</f>
        <v>-20.548000000000009</v>
      </c>
      <c r="E41" s="428">
        <f>SUM(CF!M23:M31)</f>
        <v>-73.39500000000001</v>
      </c>
      <c r="F41" s="428">
        <f>SUM(CF!N23:N31)</f>
        <v>43.023999999999994</v>
      </c>
      <c r="G41" s="428">
        <f>SUM(CF!O23:O31)</f>
        <v>-21.446999999999996</v>
      </c>
      <c r="H41" s="428">
        <f>SUM(CF!P23:P31)</f>
        <v>22.344999999999999</v>
      </c>
      <c r="I41" s="428">
        <f>SUM(CF!Q23:Q31)</f>
        <v>55.35199999999999</v>
      </c>
      <c r="J41" s="428">
        <f>SUM(CF!R23:R31)</f>
        <v>-144.26500000000001</v>
      </c>
      <c r="K41" s="428">
        <f>SUM(CF!S23:S31)</f>
        <v>167.38499999999999</v>
      </c>
      <c r="L41" s="428">
        <f>SUM(CF!T23:T31)</f>
        <v>11.160000000000025</v>
      </c>
      <c r="M41" s="428">
        <f>SUM(CF!U23:U31)</f>
        <v>-133.03400000000002</v>
      </c>
      <c r="N41" s="428">
        <f>SUM(CF!V23:V31)</f>
        <v>-96.334000000000003</v>
      </c>
      <c r="O41" s="428">
        <f ca="1">SUM(CF!W23:W31)</f>
        <v>-39.154548344361984</v>
      </c>
      <c r="P41" s="428">
        <f ca="1">SUM(CF!X23:X31)</f>
        <v>-24.714205483709861</v>
      </c>
      <c r="Q41" s="428">
        <f ca="1">SUM(CF!Y23:Y31)</f>
        <v>-19.201897858380022</v>
      </c>
      <c r="R41" s="428">
        <f ca="1">SUM(CF!Z23:Z31)</f>
        <v>-18.741681763144754</v>
      </c>
      <c r="T41" s="417"/>
      <c r="U41" s="417"/>
    </row>
    <row r="42" spans="1:21">
      <c r="A42" s="433" t="s">
        <v>938</v>
      </c>
      <c r="B42" s="433"/>
      <c r="C42" s="483">
        <f t="shared" ref="C42:M42" si="5">-C41/C28</f>
        <v>5.9869348198851743E-2</v>
      </c>
      <c r="D42" s="483">
        <f t="shared" si="5"/>
        <v>4.8988894769717878E-2</v>
      </c>
      <c r="E42" s="483">
        <f t="shared" si="5"/>
        <v>0.10415365839813819</v>
      </c>
      <c r="F42" s="483">
        <f t="shared" si="5"/>
        <v>-4.8751910745386151E-2</v>
      </c>
      <c r="G42" s="483">
        <f t="shared" si="5"/>
        <v>1.7929066203873217E-2</v>
      </c>
      <c r="H42" s="483">
        <f t="shared" si="5"/>
        <v>-1.4234442445584869E-2</v>
      </c>
      <c r="I42" s="483">
        <f t="shared" si="5"/>
        <v>-2.9327489594018357E-2</v>
      </c>
      <c r="J42" s="483">
        <f t="shared" si="5"/>
        <v>6.7013785985100105E-2</v>
      </c>
      <c r="K42" s="483">
        <f t="shared" si="5"/>
        <v>-6.8494439954578476E-2</v>
      </c>
      <c r="L42" s="483">
        <f t="shared" si="5"/>
        <v>-4.0941102408885042E-3</v>
      </c>
      <c r="M42" s="483">
        <f t="shared" si="5"/>
        <v>3.6831230659894049E-2</v>
      </c>
      <c r="N42" s="483">
        <f>-N41/N28</f>
        <v>2.2052326374613476E-2</v>
      </c>
      <c r="O42" s="483">
        <f ca="1">-O41/O28</f>
        <v>7.7700567667425046E-3</v>
      </c>
      <c r="P42" s="483">
        <f ca="1">-P41/P28</f>
        <v>4.4930117485958865E-3</v>
      </c>
      <c r="Q42" s="483">
        <f ca="1">-Q41/Q28</f>
        <v>3.2340948496543415E-3</v>
      </c>
      <c r="R42" s="483">
        <f ca="1">-R41/R28</f>
        <v>2.9517908721347652E-3</v>
      </c>
      <c r="U42" s="1957"/>
    </row>
    <row r="43" spans="1:21">
      <c r="A43" s="434" t="s">
        <v>939</v>
      </c>
      <c r="B43" s="434"/>
      <c r="C43" s="435">
        <f t="shared" ref="C43:M43" si="6">SUM(C34,C36,C38,C41)</f>
        <v>-77.466999999999928</v>
      </c>
      <c r="D43" s="435">
        <f t="shared" si="6"/>
        <v>-281.96900000000005</v>
      </c>
      <c r="E43" s="435">
        <f t="shared" si="6"/>
        <v>-252.04700000000011</v>
      </c>
      <c r="F43" s="435">
        <f t="shared" si="6"/>
        <v>109.45200000000006</v>
      </c>
      <c r="G43" s="435">
        <f t="shared" si="6"/>
        <v>-67.825999999999908</v>
      </c>
      <c r="H43" s="435">
        <f t="shared" si="6"/>
        <v>59.450000000000131</v>
      </c>
      <c r="I43" s="435">
        <f t="shared" si="6"/>
        <v>123.84799999999997</v>
      </c>
      <c r="J43" s="435">
        <f t="shared" si="6"/>
        <v>119.22700000000017</v>
      </c>
      <c r="K43" s="435">
        <f t="shared" si="6"/>
        <v>456.07199999999989</v>
      </c>
      <c r="L43" s="435">
        <f t="shared" si="6"/>
        <v>295.75900000000053</v>
      </c>
      <c r="M43" s="435">
        <f t="shared" si="6"/>
        <v>267.92599999999982</v>
      </c>
      <c r="N43" s="435">
        <f>SUM(N34,N36,N38,N41)</f>
        <v>523.13200000000029</v>
      </c>
      <c r="O43" s="435">
        <f ca="1">SUM(O34,O36,O38,O41)</f>
        <v>333.15106319571191</v>
      </c>
      <c r="P43" s="435">
        <f ca="1">SUM(P34,P36,P38,P41)</f>
        <v>624.10717095029702</v>
      </c>
      <c r="Q43" s="435">
        <f ca="1">SUM(Q34,Q36,Q38,Q41)</f>
        <v>1025.4620622204702</v>
      </c>
      <c r="R43" s="435">
        <f ca="1">SUM(R34,R36,R38,R41)</f>
        <v>1261.8835413329123</v>
      </c>
      <c r="U43" s="1959"/>
    </row>
    <row r="44" spans="1:21">
      <c r="A44" s="430" t="s">
        <v>936</v>
      </c>
      <c r="B44" s="434"/>
      <c r="C44" s="431">
        <f t="shared" ref="C44:M44" si="7">C43/C28*100</f>
        <v>-26.889487458954335</v>
      </c>
      <c r="D44" s="431">
        <f t="shared" si="7"/>
        <v>-67.224789124598871</v>
      </c>
      <c r="E44" s="431">
        <f t="shared" si="7"/>
        <v>-35.767582448771087</v>
      </c>
      <c r="F44" s="431">
        <f t="shared" si="7"/>
        <v>12.402366434789904</v>
      </c>
      <c r="G44" s="431">
        <f t="shared" si="7"/>
        <v>-5.6700556923761063</v>
      </c>
      <c r="H44" s="431">
        <f t="shared" si="7"/>
        <v>3.7871452378161661</v>
      </c>
      <c r="I44" s="431">
        <f t="shared" si="7"/>
        <v>6.5619145310738283</v>
      </c>
      <c r="J44" s="431">
        <f t="shared" si="7"/>
        <v>5.5383167515652039</v>
      </c>
      <c r="K44" s="431">
        <f t="shared" si="7"/>
        <v>18.662601917115936</v>
      </c>
      <c r="L44" s="431">
        <f t="shared" si="7"/>
        <v>10.8500891642916</v>
      </c>
      <c r="M44" s="431">
        <f t="shared" si="7"/>
        <v>7.4176859342594854</v>
      </c>
      <c r="N44" s="431">
        <f>N43/N28*100</f>
        <v>11.975291798331122</v>
      </c>
      <c r="O44" s="431">
        <f ca="1">O43/O28*100</f>
        <v>6.6112438589884635</v>
      </c>
      <c r="P44" s="431">
        <f ca="1">P43/P28*100</f>
        <v>11.346190567651208</v>
      </c>
      <c r="Q44" s="431">
        <f ca="1">Q43/Q28*100</f>
        <v>17.271425972593608</v>
      </c>
      <c r="R44" s="431">
        <f ca="1">R43/R28*100</f>
        <v>19.874504145771915</v>
      </c>
      <c r="U44" s="1960"/>
    </row>
    <row r="45" spans="1:21" outlineLevel="1">
      <c r="A45" s="582" t="s">
        <v>495</v>
      </c>
      <c r="B45" s="430"/>
      <c r="C45" s="493">
        <v>0</v>
      </c>
      <c r="D45" s="493">
        <v>0</v>
      </c>
      <c r="E45" s="493">
        <v>0</v>
      </c>
      <c r="F45" s="493">
        <v>0</v>
      </c>
      <c r="G45" s="493">
        <v>0</v>
      </c>
      <c r="H45" s="493">
        <v>0</v>
      </c>
      <c r="I45" s="493">
        <v>0</v>
      </c>
      <c r="J45" s="493">
        <v>0</v>
      </c>
      <c r="K45" s="493">
        <v>0</v>
      </c>
      <c r="L45" s="586">
        <v>0</v>
      </c>
      <c r="M45" s="494">
        <f t="shared" ref="M45:R45" si="8">L45+1</f>
        <v>1</v>
      </c>
      <c r="N45" s="494">
        <f t="shared" si="8"/>
        <v>2</v>
      </c>
      <c r="O45" s="494">
        <f t="shared" si="8"/>
        <v>3</v>
      </c>
      <c r="P45" s="494">
        <f t="shared" si="8"/>
        <v>4</v>
      </c>
      <c r="Q45" s="494">
        <f t="shared" si="8"/>
        <v>5</v>
      </c>
      <c r="R45" s="494">
        <f t="shared" si="8"/>
        <v>6</v>
      </c>
      <c r="U45" s="1961"/>
    </row>
    <row r="46" spans="1:21" ht="11.25" customHeight="1">
      <c r="A46" s="582" t="s">
        <v>189</v>
      </c>
      <c r="B46" s="430"/>
      <c r="C46" s="430"/>
      <c r="D46" s="436"/>
      <c r="E46" s="436"/>
      <c r="F46" s="436"/>
      <c r="G46" s="494"/>
      <c r="H46" s="584">
        <f>1/((1+$H$15/100)^H45)</f>
        <v>1</v>
      </c>
      <c r="I46" s="584">
        <f t="shared" ref="I46:R46" si="9">1/((1+$H$15/100)^I45)</f>
        <v>1</v>
      </c>
      <c r="J46" s="584">
        <f t="shared" si="9"/>
        <v>1</v>
      </c>
      <c r="K46" s="584">
        <f t="shared" si="9"/>
        <v>1</v>
      </c>
      <c r="L46" s="584">
        <f t="shared" si="9"/>
        <v>1</v>
      </c>
      <c r="M46" s="584">
        <f t="shared" si="9"/>
        <v>0.91566706345572746</v>
      </c>
      <c r="N46" s="584">
        <f t="shared" si="9"/>
        <v>0.8384461710976352</v>
      </c>
      <c r="O46" s="584">
        <f t="shared" si="9"/>
        <v>0.76773754335467004</v>
      </c>
      <c r="P46" s="584">
        <f t="shared" si="9"/>
        <v>0.70299198182828482</v>
      </c>
      <c r="Q46" s="584">
        <f t="shared" si="9"/>
        <v>0.64370660363362775</v>
      </c>
      <c r="R46" s="584">
        <f t="shared" si="9"/>
        <v>0.58942093547626373</v>
      </c>
      <c r="U46" s="1962"/>
    </row>
    <row r="47" spans="1:21">
      <c r="A47" s="491" t="s">
        <v>496</v>
      </c>
      <c r="B47" s="430"/>
      <c r="C47" s="430"/>
      <c r="D47" s="436"/>
      <c r="E47" s="436"/>
      <c r="F47" s="436"/>
      <c r="G47" s="494"/>
      <c r="H47" s="585"/>
      <c r="I47" s="585"/>
      <c r="J47" s="585"/>
      <c r="K47" s="585">
        <f t="shared" ref="K47:R47" si="10">+K46*K43</f>
        <v>456.07199999999989</v>
      </c>
      <c r="L47" s="585">
        <f t="shared" si="10"/>
        <v>295.75900000000053</v>
      </c>
      <c r="M47" s="585">
        <f t="shared" si="10"/>
        <v>245.33101364343906</v>
      </c>
      <c r="N47" s="585">
        <f t="shared" si="10"/>
        <v>438.61802237864833</v>
      </c>
      <c r="O47" s="585">
        <f t="shared" ca="1" si="10"/>
        <v>255.77257882387229</v>
      </c>
      <c r="P47" s="585">
        <f t="shared" ca="1" si="10"/>
        <v>438.74233697959346</v>
      </c>
      <c r="Q47" s="585">
        <f t="shared" ca="1" si="10"/>
        <v>660.09670122707473</v>
      </c>
      <c r="R47" s="585">
        <f t="shared" ca="1" si="10"/>
        <v>743.78057739454562</v>
      </c>
      <c r="U47" s="1963"/>
    </row>
    <row r="48" spans="1:21" ht="11.25" customHeight="1">
      <c r="A48" s="492"/>
      <c r="B48" s="430"/>
      <c r="C48" s="430"/>
      <c r="D48" s="436"/>
      <c r="E48" s="436"/>
      <c r="F48" s="436"/>
      <c r="H48" s="428"/>
      <c r="I48" s="529"/>
      <c r="J48" s="428"/>
      <c r="K48" s="428"/>
      <c r="L48" s="428"/>
      <c r="M48" s="428"/>
      <c r="N48" s="428"/>
      <c r="O48" s="428"/>
      <c r="P48" s="428"/>
      <c r="Q48" s="428"/>
      <c r="R48" s="428"/>
    </row>
    <row r="49" spans="1:18">
      <c r="A49" s="435" t="s">
        <v>58</v>
      </c>
      <c r="B49" s="430"/>
      <c r="C49" s="430"/>
      <c r="D49" s="436"/>
      <c r="E49" s="436"/>
      <c r="F49" s="436"/>
      <c r="G49" s="428"/>
      <c r="H49" s="428"/>
      <c r="I49" s="529"/>
      <c r="J49" s="428"/>
      <c r="K49" s="428"/>
      <c r="L49" s="428"/>
      <c r="M49" s="428"/>
      <c r="N49" s="428"/>
      <c r="O49" s="428"/>
      <c r="P49" s="428"/>
      <c r="Q49" s="428"/>
      <c r="R49" s="428"/>
    </row>
    <row r="50" spans="1:18">
      <c r="A50" s="492" t="s">
        <v>59</v>
      </c>
      <c r="B50" s="430"/>
      <c r="C50" s="430"/>
      <c r="D50" s="436"/>
      <c r="E50" s="436"/>
      <c r="F50" s="436"/>
      <c r="G50" s="428"/>
      <c r="H50" s="428">
        <f>G53</f>
        <v>517.98800000000006</v>
      </c>
      <c r="I50" s="428">
        <f t="shared" ref="I50:R50" si="11">H53</f>
        <v>390.29499999999996</v>
      </c>
      <c r="J50" s="428">
        <f t="shared" si="11"/>
        <v>201.67300000000009</v>
      </c>
      <c r="K50" s="428">
        <f t="shared" si="11"/>
        <v>0</v>
      </c>
      <c r="L50" s="428">
        <f t="shared" si="11"/>
        <v>0</v>
      </c>
      <c r="M50" s="428">
        <f t="shared" si="11"/>
        <v>0</v>
      </c>
      <c r="N50" s="428">
        <f t="shared" si="11"/>
        <v>0</v>
      </c>
      <c r="O50" s="428">
        <f t="shared" si="11"/>
        <v>0</v>
      </c>
      <c r="P50" s="428">
        <f t="shared" si="11"/>
        <v>0</v>
      </c>
      <c r="Q50" s="428">
        <f t="shared" si="11"/>
        <v>0</v>
      </c>
      <c r="R50" s="428">
        <f t="shared" si="11"/>
        <v>0</v>
      </c>
    </row>
    <row r="51" spans="1:18">
      <c r="A51" s="582" t="s">
        <v>60</v>
      </c>
      <c r="B51" s="430"/>
      <c r="C51" s="430"/>
      <c r="D51" s="436"/>
      <c r="E51" s="436"/>
      <c r="F51" s="436"/>
      <c r="G51" s="428"/>
      <c r="H51" s="530">
        <v>0</v>
      </c>
      <c r="I51" s="530">
        <v>0</v>
      </c>
      <c r="J51" s="530">
        <v>0</v>
      </c>
      <c r="K51" s="530">
        <v>0</v>
      </c>
      <c r="L51" s="530">
        <v>0</v>
      </c>
      <c r="M51" s="530">
        <v>0</v>
      </c>
      <c r="N51" s="530">
        <v>0</v>
      </c>
      <c r="O51" s="530">
        <v>0</v>
      </c>
      <c r="P51" s="530">
        <v>0</v>
      </c>
      <c r="Q51" s="530">
        <v>0</v>
      </c>
      <c r="R51" s="530">
        <v>0</v>
      </c>
    </row>
    <row r="52" spans="1:18">
      <c r="A52" s="582" t="s">
        <v>1566</v>
      </c>
      <c r="B52" s="430"/>
      <c r="C52" s="430"/>
      <c r="D52" s="436"/>
      <c r="E52" s="436"/>
      <c r="F52" s="436"/>
      <c r="G52" s="428"/>
      <c r="H52" s="428">
        <f>-IS!P55</f>
        <v>-127.6930000000001</v>
      </c>
      <c r="I52" s="428">
        <f>-IS!Q55</f>
        <v>-188.62199999999987</v>
      </c>
      <c r="J52" s="530">
        <f>-J50</f>
        <v>-201.67300000000009</v>
      </c>
      <c r="K52" s="428"/>
      <c r="L52" s="428"/>
      <c r="M52" s="428"/>
      <c r="N52" s="428"/>
      <c r="O52" s="428"/>
      <c r="P52" s="428"/>
      <c r="Q52" s="428"/>
      <c r="R52" s="428"/>
    </row>
    <row r="53" spans="1:18">
      <c r="A53" s="492" t="s">
        <v>1044</v>
      </c>
      <c r="B53" s="430"/>
      <c r="C53" s="430"/>
      <c r="D53" s="436"/>
      <c r="E53" s="436"/>
      <c r="F53" s="530">
        <v>162.18</v>
      </c>
      <c r="G53" s="530">
        <v>517.98800000000006</v>
      </c>
      <c r="H53" s="428">
        <f>SUM(H50:H52)</f>
        <v>390.29499999999996</v>
      </c>
      <c r="I53" s="428">
        <f t="shared" ref="I53:N53" si="12">SUM(I50:I52)</f>
        <v>201.67300000000009</v>
      </c>
      <c r="J53" s="428">
        <f t="shared" si="12"/>
        <v>0</v>
      </c>
      <c r="K53" s="428">
        <f t="shared" si="12"/>
        <v>0</v>
      </c>
      <c r="L53" s="428">
        <f t="shared" si="12"/>
        <v>0</v>
      </c>
      <c r="M53" s="428">
        <f t="shared" si="12"/>
        <v>0</v>
      </c>
      <c r="N53" s="428">
        <f t="shared" si="12"/>
        <v>0</v>
      </c>
      <c r="O53" s="428">
        <f>SUM(O50:O52)</f>
        <v>0</v>
      </c>
      <c r="P53" s="428">
        <f>SUM(P50:P52)</f>
        <v>0</v>
      </c>
      <c r="Q53" s="428">
        <f>SUM(Q50:Q52)</f>
        <v>0</v>
      </c>
      <c r="R53" s="428">
        <f>SUM(R50:R52)</f>
        <v>0</v>
      </c>
    </row>
    <row r="54" spans="1:18">
      <c r="A54" s="492" t="s">
        <v>62</v>
      </c>
      <c r="B54" s="430"/>
      <c r="C54" s="430"/>
      <c r="D54" s="436"/>
      <c r="E54" s="436"/>
      <c r="F54" s="587">
        <v>0.35</v>
      </c>
      <c r="G54" s="587">
        <v>0.35</v>
      </c>
      <c r="H54" s="587">
        <v>0.35</v>
      </c>
      <c r="I54" s="587">
        <v>0.35</v>
      </c>
      <c r="J54" s="587">
        <v>0.35</v>
      </c>
      <c r="K54" s="587">
        <v>0.35</v>
      </c>
      <c r="L54" s="587">
        <v>0.35</v>
      </c>
      <c r="M54" s="587">
        <v>0.35</v>
      </c>
      <c r="N54" s="587">
        <v>0.35</v>
      </c>
      <c r="O54" s="587">
        <v>0.35</v>
      </c>
      <c r="P54" s="587">
        <v>0.35</v>
      </c>
      <c r="Q54" s="587">
        <v>0.35</v>
      </c>
      <c r="R54" s="587">
        <v>0.35</v>
      </c>
    </row>
    <row r="55" spans="1:18">
      <c r="A55" s="492" t="s">
        <v>61</v>
      </c>
      <c r="B55" s="430"/>
      <c r="C55" s="430"/>
      <c r="D55" s="436"/>
      <c r="E55" s="436"/>
      <c r="F55" s="428">
        <f>F53*F54</f>
        <v>56.762999999999998</v>
      </c>
      <c r="G55" s="428">
        <f>G53*G54</f>
        <v>181.29580000000001</v>
      </c>
      <c r="H55" s="428">
        <f>H53*H54</f>
        <v>136.60324999999997</v>
      </c>
      <c r="I55" s="428">
        <f t="shared" ref="I55:Q55" si="13">I53*I54</f>
        <v>70.585550000000026</v>
      </c>
      <c r="J55" s="428">
        <f t="shared" si="13"/>
        <v>0</v>
      </c>
      <c r="K55" s="428">
        <f t="shared" si="13"/>
        <v>0</v>
      </c>
      <c r="L55" s="428">
        <f t="shared" si="13"/>
        <v>0</v>
      </c>
      <c r="M55" s="428">
        <f t="shared" si="13"/>
        <v>0</v>
      </c>
      <c r="N55" s="428">
        <f t="shared" si="13"/>
        <v>0</v>
      </c>
      <c r="O55" s="428">
        <f t="shared" si="13"/>
        <v>0</v>
      </c>
      <c r="P55" s="428">
        <f t="shared" si="13"/>
        <v>0</v>
      </c>
      <c r="Q55" s="428">
        <f t="shared" si="13"/>
        <v>0</v>
      </c>
      <c r="R55" s="428"/>
    </row>
    <row r="56" spans="1:18" hidden="1" outlineLevel="1">
      <c r="A56" s="582" t="s">
        <v>495</v>
      </c>
      <c r="B56" s="430"/>
      <c r="C56" s="430"/>
      <c r="D56" s="436"/>
      <c r="E56" s="436"/>
      <c r="F56" s="436"/>
      <c r="G56" s="495">
        <f>G45</f>
        <v>0</v>
      </c>
      <c r="H56" s="495">
        <f>H45</f>
        <v>0</v>
      </c>
      <c r="I56" s="495">
        <f t="shared" ref="I56:R56" si="14">I45</f>
        <v>0</v>
      </c>
      <c r="J56" s="495">
        <f t="shared" si="14"/>
        <v>0</v>
      </c>
      <c r="K56" s="495">
        <f t="shared" si="14"/>
        <v>0</v>
      </c>
      <c r="L56" s="495">
        <f t="shared" si="14"/>
        <v>0</v>
      </c>
      <c r="M56" s="495">
        <f t="shared" si="14"/>
        <v>1</v>
      </c>
      <c r="N56" s="495">
        <f t="shared" si="14"/>
        <v>2</v>
      </c>
      <c r="O56" s="495">
        <f t="shared" si="14"/>
        <v>3</v>
      </c>
      <c r="P56" s="495">
        <f t="shared" si="14"/>
        <v>4</v>
      </c>
      <c r="Q56" s="495">
        <f t="shared" si="14"/>
        <v>5</v>
      </c>
      <c r="R56" s="495">
        <f t="shared" si="14"/>
        <v>6</v>
      </c>
    </row>
    <row r="57" spans="1:18" collapsed="1">
      <c r="A57" s="492" t="s">
        <v>189</v>
      </c>
      <c r="B57" s="430"/>
      <c r="C57" s="430"/>
      <c r="D57" s="436"/>
      <c r="E57" s="436"/>
      <c r="F57" s="436"/>
      <c r="G57" s="428"/>
      <c r="H57" s="584">
        <f>1/((1+$H$15/100)^H56)</f>
        <v>1</v>
      </c>
      <c r="I57" s="584">
        <f>1/((1+$H$15/100)^I56)</f>
        <v>1</v>
      </c>
      <c r="J57" s="584">
        <f t="shared" ref="J57:R57" si="15">1/((1+$H$15/100)^J56)</f>
        <v>1</v>
      </c>
      <c r="K57" s="584">
        <f t="shared" si="15"/>
        <v>1</v>
      </c>
      <c r="L57" s="584">
        <f t="shared" si="15"/>
        <v>1</v>
      </c>
      <c r="M57" s="584">
        <f t="shared" si="15"/>
        <v>0.91566706345572746</v>
      </c>
      <c r="N57" s="584">
        <f t="shared" si="15"/>
        <v>0.8384461710976352</v>
      </c>
      <c r="O57" s="584">
        <f t="shared" si="15"/>
        <v>0.76773754335467004</v>
      </c>
      <c r="P57" s="584">
        <f t="shared" si="15"/>
        <v>0.70299198182828482</v>
      </c>
      <c r="Q57" s="584">
        <f t="shared" si="15"/>
        <v>0.64370660363362775</v>
      </c>
      <c r="R57" s="584">
        <f t="shared" si="15"/>
        <v>0.58942093547626373</v>
      </c>
    </row>
    <row r="58" spans="1:18">
      <c r="A58" s="491" t="s">
        <v>63</v>
      </c>
      <c r="B58" s="430"/>
      <c r="C58" s="430"/>
      <c r="D58" s="436"/>
      <c r="E58" s="436"/>
      <c r="F58" s="436"/>
      <c r="G58" s="428"/>
      <c r="H58" s="428"/>
      <c r="I58" s="585">
        <f>IF(I56&lt;1, I56*I55*I57, I57*I55)</f>
        <v>0</v>
      </c>
      <c r="J58" s="585">
        <f>IF(J56&lt;1, J56*J53*J57, J57*J53)</f>
        <v>0</v>
      </c>
      <c r="K58" s="585">
        <f t="shared" ref="K58:R58" si="16">IF(K56&lt;1, K56*K53*K57, K57*K53)</f>
        <v>0</v>
      </c>
      <c r="L58" s="585">
        <f t="shared" si="16"/>
        <v>0</v>
      </c>
      <c r="M58" s="585">
        <f t="shared" si="16"/>
        <v>0</v>
      </c>
      <c r="N58" s="585">
        <f t="shared" si="16"/>
        <v>0</v>
      </c>
      <c r="O58" s="585">
        <f t="shared" si="16"/>
        <v>0</v>
      </c>
      <c r="P58" s="585">
        <f t="shared" si="16"/>
        <v>0</v>
      </c>
      <c r="Q58" s="585">
        <f t="shared" si="16"/>
        <v>0</v>
      </c>
      <c r="R58" s="585">
        <f t="shared" si="16"/>
        <v>0</v>
      </c>
    </row>
    <row r="59" spans="1:18">
      <c r="A59" s="491"/>
      <c r="B59" s="430"/>
      <c r="C59" s="430"/>
      <c r="D59" s="436"/>
      <c r="E59" s="436"/>
      <c r="F59" s="436"/>
      <c r="G59" s="428"/>
      <c r="H59" s="428"/>
      <c r="I59" s="529"/>
      <c r="J59" s="529"/>
      <c r="K59" s="529"/>
      <c r="L59" s="529"/>
      <c r="M59" s="529"/>
      <c r="N59" s="529"/>
      <c r="O59" s="529"/>
      <c r="P59" s="529"/>
      <c r="Q59" s="529"/>
      <c r="R59" s="529"/>
    </row>
    <row r="60" spans="1:18">
      <c r="B60" s="416"/>
      <c r="C60" s="416"/>
      <c r="D60" s="437" t="str">
        <f>"Perpetuity Growth Rate / Terminal Value at "&amp;TEXT(H15/100,"0.0%")&amp;" WACC"</f>
        <v>Perpetuity Growth Rate / Terminal Value at 9.2% WACC</v>
      </c>
      <c r="E60" s="437"/>
      <c r="F60" s="437"/>
      <c r="G60" s="437"/>
      <c r="H60" s="437"/>
      <c r="I60" s="416"/>
      <c r="P60" s="416"/>
      <c r="Q60" s="416"/>
      <c r="R60" s="416"/>
    </row>
    <row r="61" spans="1:18">
      <c r="A61" s="416"/>
      <c r="B61" s="416"/>
      <c r="C61" s="416"/>
      <c r="D61" s="438">
        <f>H13</f>
        <v>0</v>
      </c>
      <c r="E61" s="438">
        <f>AVERAGE(D61,F61)</f>
        <v>1</v>
      </c>
      <c r="F61" s="438">
        <f>AVERAGE(D61,H61)</f>
        <v>2</v>
      </c>
      <c r="G61" s="438">
        <f>AVERAGE(F61,H61)</f>
        <v>3</v>
      </c>
      <c r="H61" s="438">
        <f>H14</f>
        <v>4</v>
      </c>
      <c r="I61" s="416"/>
      <c r="P61" s="416"/>
      <c r="Q61" s="416"/>
      <c r="R61" s="416"/>
    </row>
    <row r="62" spans="1:18">
      <c r="A62" s="416"/>
      <c r="B62" s="416"/>
      <c r="C62" s="416"/>
      <c r="D62" s="485">
        <f ca="1">$R$43*(1+D$61/100)/(($H$15/100-D$61/100))</f>
        <v>13701.232804917612</v>
      </c>
      <c r="E62" s="485">
        <f ca="1">$R$43*(1+E$61/100)/(($H$15/100-E$61/100))</f>
        <v>15523.780471939599</v>
      </c>
      <c r="F62" s="485">
        <f ca="1">$R$43*(1+F$61/100)/(($H$15/100-F$61/100))</f>
        <v>17851.889211644528</v>
      </c>
      <c r="G62" s="485">
        <f ca="1">$R$43*(1+G$61/100)/(($H$15/100-G$61/100))</f>
        <v>20929.791426294672</v>
      </c>
      <c r="H62" s="485">
        <f ca="1">$R$43*(1+H$61/100)/(($H$15/100-H$61/100))</f>
        <v>25189.229999735671</v>
      </c>
      <c r="I62" s="416"/>
      <c r="P62" s="416"/>
      <c r="Q62" s="416"/>
      <c r="R62" s="416"/>
    </row>
    <row r="63" spans="1:18">
      <c r="A63" s="416"/>
      <c r="B63" s="416"/>
      <c r="C63" s="416"/>
      <c r="D63" s="428"/>
      <c r="E63" s="416"/>
      <c r="F63" s="416"/>
      <c r="G63" s="416"/>
      <c r="H63" s="416"/>
      <c r="I63" s="416"/>
      <c r="P63" s="416"/>
      <c r="Q63" s="416"/>
      <c r="R63" s="416"/>
    </row>
    <row r="64" spans="1:18">
      <c r="A64" s="416"/>
      <c r="B64" s="416"/>
      <c r="C64" s="416"/>
      <c r="I64" s="416"/>
      <c r="K64" s="437" t="s">
        <v>951</v>
      </c>
      <c r="L64" s="437"/>
      <c r="M64" s="437"/>
      <c r="N64" s="437"/>
      <c r="O64" s="437"/>
      <c r="P64" s="416"/>
      <c r="Q64" s="416"/>
      <c r="R64" s="416"/>
    </row>
    <row r="65" spans="1:22" ht="12.75">
      <c r="A65" s="416"/>
      <c r="B65" s="416"/>
      <c r="C65" s="416"/>
      <c r="I65"/>
      <c r="K65" s="497">
        <f ca="1">D62/$R$34</f>
        <v>4.4815248709414508</v>
      </c>
      <c r="L65" s="497">
        <f ca="1">E62/$R$34</f>
        <v>5.0776604752721637</v>
      </c>
      <c r="M65" s="498">
        <f ca="1">F62/$R$34</f>
        <v>5.839159631428319</v>
      </c>
      <c r="N65" s="497">
        <f ca="1">G62/$R$34</f>
        <v>6.845908113238627</v>
      </c>
      <c r="O65" s="497">
        <f ca="1">H62/$R$34</f>
        <v>8.2391243423849492</v>
      </c>
      <c r="P65"/>
      <c r="Q65"/>
      <c r="R65"/>
    </row>
    <row r="66" spans="1:22" ht="12.75">
      <c r="A66" s="416"/>
      <c r="B66" s="416"/>
      <c r="C66" s="416"/>
      <c r="D66" s="452" t="str">
        <f>"DCF VALUATION FOR "&amp;TEXT(H9,"m/dd/yy")&amp;" - "&amp;H12&amp;" YEAR CASH FLOW"</f>
        <v>DCF VALUATION FOR 12/31/15 - 10 YEAR CASH FLOW</v>
      </c>
      <c r="E66" s="453"/>
      <c r="F66" s="453"/>
      <c r="G66" s="453"/>
      <c r="H66" s="454"/>
      <c r="I66"/>
      <c r="K66" s="481">
        <f ca="1">D62</f>
        <v>13701.232804917612</v>
      </c>
      <c r="L66" s="481">
        <f ca="1">E62</f>
        <v>15523.780471939599</v>
      </c>
      <c r="M66" s="499">
        <f ca="1">F62</f>
        <v>17851.889211644528</v>
      </c>
      <c r="N66" s="481">
        <f ca="1">G62</f>
        <v>20929.791426294672</v>
      </c>
      <c r="O66" s="481">
        <f ca="1">H62</f>
        <v>25189.229999735671</v>
      </c>
      <c r="P66"/>
      <c r="Q66"/>
      <c r="R66"/>
      <c r="T66" s="432"/>
    </row>
    <row r="67" spans="1:22" ht="12.75">
      <c r="A67" s="416"/>
      <c r="B67" s="416"/>
      <c r="C67" s="416"/>
      <c r="D67" s="455" t="s">
        <v>940</v>
      </c>
      <c r="G67" s="489"/>
      <c r="H67" s="456">
        <f ca="1">SUM(C47:R47)</f>
        <v>3534.1722304471737</v>
      </c>
      <c r="I67"/>
      <c r="P67"/>
      <c r="Q67"/>
      <c r="R67"/>
    </row>
    <row r="68" spans="1:22" ht="12.75">
      <c r="A68" s="416"/>
      <c r="B68" s="416"/>
      <c r="C68" s="416"/>
      <c r="D68" s="458" t="str">
        <f>"Plus: NPV of Terminal Value"&amp;" ("&amp;TEXT(F61,"0.0")&amp;"% Growth)"</f>
        <v>Plus: NPV of Terminal Value (2.0% Growth)</v>
      </c>
      <c r="H68" s="490">
        <f ca="1">(F62/((1+H15/100)^$R$45))</f>
        <v>10522.277239146139</v>
      </c>
      <c r="I68"/>
      <c r="J68" s="439" t="s">
        <v>1034</v>
      </c>
      <c r="K68" s="437" t="str">
        <f>"Equity Value as of "&amp;TEXT(Valuation!$H$9,"m/dd/yy")&amp;" Valuation Date"</f>
        <v>Equity Value as of 12/31/15 Valuation Date</v>
      </c>
      <c r="L68" s="437"/>
      <c r="M68" s="437"/>
      <c r="N68" s="437"/>
      <c r="O68" s="437"/>
      <c r="P68"/>
      <c r="Q68"/>
      <c r="R68"/>
      <c r="T68" s="461"/>
      <c r="U68" s="461"/>
      <c r="V68" s="461"/>
    </row>
    <row r="69" spans="1:22" ht="13.5" thickBot="1">
      <c r="A69" s="416"/>
      <c r="B69" s="416"/>
      <c r="C69" s="416"/>
      <c r="D69" s="459" t="s">
        <v>941</v>
      </c>
      <c r="H69" s="490">
        <f>L9</f>
        <v>1003.3939999999997</v>
      </c>
      <c r="I69"/>
      <c r="J69" s="511">
        <f>J70-0.005</f>
        <v>8.2100000000000006E-2</v>
      </c>
      <c r="K69" s="496">
        <f t="shared" ref="K69:O73" ca="1" si="17">($K$43*1/((1+$J69)^$K$45)+$L$43*1/((1+$J69)^$L$45)+$M$43*1/((1+$J69)^$M$45)+$N$43*1/((1+$J69)^$N$45)+$O$43*1/((1+$J69)^$O$45)+$P$43*1/((1+$J69)^$P$45)+$Q$43*1/((1+$J69)^$Q$45)+$R$43*1/((1+$J69)^$R$45)+(K$66/((1+$J69)^$R$45))+$H$69+$H$71+$H$70)/$H$73</f>
        <v>88.87493071801056</v>
      </c>
      <c r="L69" s="440">
        <f t="shared" ca="1" si="17"/>
        <v>105.00825983927679</v>
      </c>
      <c r="M69" s="440">
        <f t="shared" ca="1" si="17"/>
        <v>125.61685362663636</v>
      </c>
      <c r="N69" s="440">
        <f t="shared" ca="1" si="17"/>
        <v>152.86267568689749</v>
      </c>
      <c r="O69" s="440">
        <f t="shared" ca="1" si="17"/>
        <v>190.56754652269072</v>
      </c>
      <c r="P69"/>
      <c r="Q69"/>
      <c r="R69"/>
      <c r="T69" s="466"/>
      <c r="U69" s="466"/>
      <c r="V69" s="466"/>
    </row>
    <row r="70" spans="1:22" ht="12.75">
      <c r="A70" s="416"/>
      <c r="B70" s="416"/>
      <c r="C70" s="416"/>
      <c r="D70" s="459" t="s">
        <v>64</v>
      </c>
      <c r="H70" s="490">
        <f>SUM(I58:R58)</f>
        <v>0</v>
      </c>
      <c r="I70"/>
      <c r="J70" s="512">
        <f>J71-0.005</f>
        <v>8.7100000000000011E-2</v>
      </c>
      <c r="K70" s="440">
        <f t="shared" ca="1" si="17"/>
        <v>84.793639274132445</v>
      </c>
      <c r="L70" s="441">
        <f t="shared" ca="1" si="17"/>
        <v>100.48683536135745</v>
      </c>
      <c r="M70" s="442">
        <f t="shared" ca="1" si="17"/>
        <v>120.53320650745209</v>
      </c>
      <c r="N70" s="443">
        <f t="shared" ca="1" si="17"/>
        <v>147.03573583264316</v>
      </c>
      <c r="O70" s="440">
        <f t="shared" ca="1" si="17"/>
        <v>183.71198082969269</v>
      </c>
      <c r="P70"/>
      <c r="Q70"/>
      <c r="R70"/>
      <c r="T70" s="466"/>
      <c r="U70" s="466"/>
      <c r="V70" s="466"/>
    </row>
    <row r="71" spans="1:22" ht="12.75" customHeight="1">
      <c r="A71" s="416"/>
      <c r="B71" s="416"/>
      <c r="C71" s="416"/>
      <c r="D71" s="460" t="s">
        <v>942</v>
      </c>
      <c r="E71" s="457"/>
      <c r="F71" s="457"/>
      <c r="H71" s="490">
        <f>-L10</f>
        <v>-6925.3099999999995</v>
      </c>
      <c r="I71"/>
      <c r="J71" s="513">
        <f>H15/100</f>
        <v>9.2100000000000015E-2</v>
      </c>
      <c r="K71" s="440">
        <f t="shared" ca="1" si="17"/>
        <v>80.837497690577365</v>
      </c>
      <c r="L71" s="444">
        <f t="shared" ca="1" si="17"/>
        <v>96.104505689641968</v>
      </c>
      <c r="M71" s="465">
        <f t="shared" ca="1" si="17"/>
        <v>115.60646736389791</v>
      </c>
      <c r="N71" s="446">
        <f t="shared" ca="1" si="17"/>
        <v>141.38925405401716</v>
      </c>
      <c r="O71" s="440">
        <f t="shared" ca="1" si="17"/>
        <v>177.06946365780996</v>
      </c>
      <c r="P71"/>
      <c r="Q71"/>
      <c r="R71"/>
    </row>
    <row r="72" spans="1:22" ht="13.5" thickBot="1">
      <c r="A72" s="416"/>
      <c r="B72" s="416"/>
      <c r="C72" s="416"/>
      <c r="D72" s="462" t="s">
        <v>943</v>
      </c>
      <c r="E72" s="463"/>
      <c r="F72" s="463"/>
      <c r="G72" s="463"/>
      <c r="H72" s="464">
        <f ca="1">SUM(H67:H71)</f>
        <v>8134.5334695933125</v>
      </c>
      <c r="I72"/>
      <c r="J72" s="512">
        <f>J71+0.005</f>
        <v>9.710000000000002E-2</v>
      </c>
      <c r="K72" s="445">
        <f t="shared" ca="1" si="17"/>
        <v>77.002075760720359</v>
      </c>
      <c r="L72" s="447">
        <f t="shared" ca="1" si="17"/>
        <v>91.856337954757549</v>
      </c>
      <c r="M72" s="448">
        <f t="shared" ca="1" si="17"/>
        <v>110.83106122897148</v>
      </c>
      <c r="N72" s="449">
        <f t="shared" ca="1" si="17"/>
        <v>135.91680649166</v>
      </c>
      <c r="O72" s="445">
        <f t="shared" ca="1" si="17"/>
        <v>170.63239638493928</v>
      </c>
      <c r="P72"/>
      <c r="Q72"/>
      <c r="R72"/>
      <c r="T72" s="432"/>
      <c r="U72" s="432"/>
    </row>
    <row r="73" spans="1:22">
      <c r="A73" s="500"/>
      <c r="D73" s="460" t="s">
        <v>944</v>
      </c>
      <c r="H73" s="509">
        <f>L13</f>
        <v>70.364000000000004</v>
      </c>
      <c r="J73" s="514">
        <f>J72+0.005</f>
        <v>0.10210000000000002</v>
      </c>
      <c r="K73" s="450">
        <f t="shared" ca="1" si="17"/>
        <v>73.283120047599411</v>
      </c>
      <c r="L73" s="451">
        <f t="shared" ca="1" si="17"/>
        <v>87.737596349375238</v>
      </c>
      <c r="M73" s="451">
        <f t="shared" ca="1" si="17"/>
        <v>106.20163611905008</v>
      </c>
      <c r="N73" s="451">
        <f t="shared" ca="1" si="17"/>
        <v>130.61222653918375</v>
      </c>
      <c r="O73" s="451">
        <f t="shared" ca="1" si="17"/>
        <v>164.39348506685442</v>
      </c>
      <c r="T73" s="477"/>
      <c r="U73" s="477"/>
    </row>
    <row r="74" spans="1:22">
      <c r="A74" s="500"/>
      <c r="D74" s="467" t="s">
        <v>945</v>
      </c>
      <c r="E74" s="468"/>
      <c r="F74" s="468"/>
      <c r="G74" s="469"/>
      <c r="H74" s="470">
        <f ca="1">+H72/H73</f>
        <v>115.60646736389791</v>
      </c>
      <c r="J74" s="515"/>
      <c r="K74" s="516"/>
      <c r="L74" s="516"/>
      <c r="M74" s="516"/>
      <c r="N74" s="516"/>
      <c r="O74" s="516"/>
      <c r="T74" s="477"/>
      <c r="U74" s="477"/>
    </row>
    <row r="75" spans="1:22">
      <c r="A75" s="500"/>
      <c r="D75" s="507" t="s">
        <v>505</v>
      </c>
      <c r="E75" s="508"/>
      <c r="F75" s="508"/>
      <c r="G75" s="508"/>
      <c r="H75" s="510">
        <f ca="1">H74/L12-1</f>
        <v>-0.39922846040691207</v>
      </c>
      <c r="J75" s="501"/>
      <c r="K75" s="445"/>
      <c r="L75" s="445"/>
      <c r="M75" s="445"/>
      <c r="N75" s="445"/>
      <c r="O75" s="445"/>
      <c r="T75" s="477"/>
      <c r="U75" s="477"/>
    </row>
    <row r="76" spans="1:22">
      <c r="A76" s="473"/>
      <c r="B76" s="474"/>
      <c r="C76" s="474"/>
      <c r="D76" s="475"/>
      <c r="E76" s="468"/>
      <c r="F76" s="468"/>
      <c r="G76" s="468"/>
      <c r="H76" s="476"/>
      <c r="I76" s="474"/>
      <c r="J76" s="502"/>
      <c r="K76" s="451"/>
      <c r="L76" s="451"/>
      <c r="M76" s="451"/>
      <c r="N76" s="451"/>
      <c r="O76" s="451"/>
      <c r="P76" s="474"/>
      <c r="T76" s="477"/>
      <c r="U76" s="477"/>
    </row>
    <row r="77" spans="1:22">
      <c r="A77" s="500" t="s">
        <v>946</v>
      </c>
      <c r="D77" s="471"/>
      <c r="E77" s="463"/>
      <c r="F77" s="463"/>
      <c r="G77" s="463"/>
      <c r="H77" s="472"/>
      <c r="J77" s="501"/>
      <c r="K77" s="445"/>
      <c r="L77" s="445"/>
      <c r="M77" s="445"/>
      <c r="N77" s="445"/>
      <c r="O77" s="445"/>
      <c r="T77" s="477"/>
      <c r="U77" s="477"/>
    </row>
    <row r="78" spans="1:22" ht="3" customHeight="1">
      <c r="B78" s="416"/>
      <c r="C78" s="416"/>
      <c r="D78" s="471"/>
      <c r="E78" s="463"/>
      <c r="F78" s="463"/>
      <c r="G78" s="463"/>
      <c r="H78" s="472"/>
      <c r="I78" s="416"/>
      <c r="J78" s="416"/>
      <c r="K78" s="416"/>
      <c r="L78" s="416"/>
      <c r="M78" s="416"/>
      <c r="N78" s="416"/>
      <c r="O78" s="416"/>
      <c r="P78" s="416"/>
      <c r="Q78" s="416"/>
      <c r="R78" s="416"/>
    </row>
    <row r="79" spans="1:22" ht="11.25" customHeight="1">
      <c r="A79" s="426" t="s">
        <v>947</v>
      </c>
      <c r="B79" s="416"/>
      <c r="C79" s="416"/>
      <c r="D79" s="471"/>
      <c r="E79" s="463"/>
      <c r="F79" s="463"/>
      <c r="G79" s="463"/>
      <c r="H79" s="472"/>
      <c r="I79" s="416"/>
      <c r="J79" s="416"/>
      <c r="K79" s="416"/>
      <c r="L79" s="416"/>
      <c r="M79" s="416"/>
      <c r="N79" s="416"/>
      <c r="O79" s="416"/>
      <c r="P79" s="416"/>
      <c r="Q79" s="416"/>
      <c r="R79" s="416"/>
    </row>
    <row r="80" spans="1:22">
      <c r="B80" s="416"/>
      <c r="C80" s="416"/>
      <c r="D80" s="471"/>
      <c r="E80" s="463"/>
      <c r="F80" s="463"/>
      <c r="G80" s="463"/>
      <c r="H80" s="472"/>
      <c r="I80" s="416"/>
      <c r="J80" s="416"/>
      <c r="K80" s="416"/>
      <c r="L80" s="416"/>
      <c r="M80" s="416"/>
      <c r="N80" s="416"/>
      <c r="O80" s="416"/>
      <c r="P80" s="416"/>
      <c r="Q80" s="416"/>
      <c r="R80" s="416"/>
    </row>
    <row r="81" spans="1:18" ht="2.25" customHeight="1">
      <c r="A81" s="416"/>
      <c r="B81" s="416"/>
      <c r="C81" s="416"/>
      <c r="D81" s="416"/>
      <c r="E81" s="416"/>
      <c r="F81" s="416"/>
      <c r="G81" s="416"/>
      <c r="H81" s="416"/>
      <c r="I81" s="416"/>
      <c r="J81" s="416"/>
      <c r="K81" s="416"/>
      <c r="L81" s="416"/>
      <c r="M81" s="416"/>
      <c r="N81" s="416"/>
      <c r="O81" s="416"/>
      <c r="P81" s="416"/>
      <c r="Q81" s="416"/>
      <c r="R81" s="416"/>
    </row>
    <row r="82" spans="1:18">
      <c r="A82" s="478" t="s">
        <v>948</v>
      </c>
      <c r="B82" s="474"/>
      <c r="C82" s="474"/>
      <c r="D82" s="474"/>
      <c r="E82" s="474"/>
      <c r="F82" s="474"/>
      <c r="G82" s="474"/>
      <c r="H82" s="474"/>
      <c r="I82" s="474"/>
      <c r="J82" s="474"/>
      <c r="K82" s="474"/>
      <c r="L82" s="474"/>
      <c r="M82" s="474"/>
      <c r="N82" s="474"/>
      <c r="O82" s="474"/>
      <c r="P82" s="474"/>
    </row>
    <row r="83" spans="1:18" ht="3" customHeight="1">
      <c r="A83" s="479"/>
      <c r="B83" s="416"/>
      <c r="C83" s="416"/>
      <c r="D83" s="416"/>
      <c r="E83" s="416"/>
      <c r="F83" s="416"/>
      <c r="G83" s="416"/>
      <c r="H83" s="416"/>
      <c r="I83" s="416"/>
      <c r="J83" s="416"/>
      <c r="K83" s="416"/>
      <c r="L83" s="416"/>
      <c r="M83" s="416"/>
      <c r="N83" s="416"/>
      <c r="O83" s="416"/>
      <c r="P83" s="416"/>
      <c r="Q83" s="416"/>
      <c r="R83" s="416"/>
    </row>
    <row r="84" spans="1:18">
      <c r="A84" s="503" t="str">
        <f ca="1">"Revenue:  DCF assumes a "&amp;TEXT(S28,"#%")&amp;" C2010-C2020E revenue CAGR."</f>
        <v>Revenue:  DCF assumes a 17% C2010-C2020E revenue CAGR.</v>
      </c>
      <c r="B84" s="416"/>
      <c r="C84" s="416"/>
      <c r="D84" s="416"/>
      <c r="E84" s="416"/>
      <c r="F84" s="416"/>
      <c r="G84" s="416"/>
      <c r="H84" s="416"/>
      <c r="I84" s="416"/>
      <c r="J84" s="416"/>
      <c r="K84" s="416"/>
      <c r="L84" s="416"/>
      <c r="M84" s="416"/>
      <c r="N84" s="416"/>
      <c r="O84" s="416"/>
      <c r="P84" s="416"/>
      <c r="Q84" s="416"/>
      <c r="R84" s="416"/>
    </row>
    <row r="85" spans="1:18">
      <c r="A85" s="503" t="s">
        <v>499</v>
      </c>
      <c r="B85" s="416"/>
      <c r="C85" s="416"/>
      <c r="D85" s="416"/>
      <c r="E85" s="416"/>
      <c r="F85" s="416"/>
      <c r="G85" s="416"/>
      <c r="H85" s="416"/>
      <c r="I85" s="416"/>
      <c r="J85" s="416"/>
      <c r="K85" s="416"/>
      <c r="L85" s="416"/>
      <c r="M85" s="416"/>
      <c r="N85" s="416"/>
      <c r="O85" s="416"/>
      <c r="P85" s="416"/>
      <c r="Q85" s="416"/>
      <c r="R85" s="416"/>
    </row>
    <row r="86" spans="1:18">
      <c r="A86" s="503" t="s">
        <v>500</v>
      </c>
      <c r="B86" s="416"/>
      <c r="C86" s="416"/>
      <c r="D86" s="416"/>
      <c r="E86" s="416"/>
      <c r="F86" s="416"/>
      <c r="G86" s="416"/>
      <c r="H86" s="416"/>
      <c r="I86" s="416"/>
      <c r="J86" s="416"/>
      <c r="K86" s="416"/>
      <c r="L86" s="416"/>
      <c r="M86" s="416"/>
      <c r="N86" s="416"/>
      <c r="O86" s="416"/>
      <c r="P86" s="416"/>
      <c r="Q86" s="416"/>
      <c r="R86" s="416"/>
    </row>
    <row r="87" spans="1:18">
      <c r="A87" s="503" t="s">
        <v>502</v>
      </c>
      <c r="B87" s="416"/>
      <c r="C87" s="416"/>
      <c r="D87" s="416"/>
      <c r="E87" s="416"/>
      <c r="F87" s="416"/>
      <c r="G87" s="416"/>
      <c r="H87" s="416"/>
      <c r="I87" s="416"/>
      <c r="J87" s="416"/>
      <c r="K87" s="416"/>
      <c r="L87" s="416"/>
      <c r="M87" s="416"/>
      <c r="N87" s="416"/>
      <c r="O87" s="416"/>
      <c r="P87" s="416"/>
      <c r="Q87" s="416"/>
      <c r="R87" s="416"/>
    </row>
    <row r="88" spans="1:18">
      <c r="A88" s="504" t="s">
        <v>503</v>
      </c>
      <c r="B88" s="416"/>
      <c r="C88" s="416"/>
      <c r="D88" s="416"/>
      <c r="E88" s="416"/>
      <c r="F88" s="416"/>
      <c r="G88" s="416"/>
      <c r="H88" s="416"/>
      <c r="I88" s="416"/>
      <c r="J88" s="416"/>
      <c r="K88" s="416"/>
      <c r="L88" s="416"/>
      <c r="M88" s="416"/>
      <c r="N88" s="416"/>
      <c r="O88" s="416"/>
      <c r="P88" s="416"/>
      <c r="Q88" s="416"/>
      <c r="R88" s="416"/>
    </row>
    <row r="89" spans="1:18">
      <c r="A89" s="504" t="s">
        <v>504</v>
      </c>
      <c r="B89" s="416"/>
      <c r="C89" s="416"/>
      <c r="D89" s="416"/>
      <c r="E89" s="416"/>
      <c r="F89" s="416"/>
      <c r="G89" s="416"/>
      <c r="H89" s="416"/>
      <c r="I89" s="416"/>
      <c r="J89" s="416"/>
      <c r="K89" s="416"/>
      <c r="L89" s="416"/>
      <c r="M89" s="416"/>
      <c r="N89" s="416"/>
      <c r="O89" s="416"/>
      <c r="P89" s="416"/>
      <c r="Q89" s="416"/>
      <c r="R89" s="416"/>
    </row>
    <row r="90" spans="1:18">
      <c r="A90" s="504" t="s">
        <v>949</v>
      </c>
      <c r="B90" s="416"/>
      <c r="C90" s="416"/>
      <c r="D90" s="416"/>
      <c r="E90" s="416"/>
      <c r="F90" s="416"/>
      <c r="G90" s="416"/>
      <c r="H90" s="416"/>
      <c r="I90" s="416"/>
      <c r="J90" s="416"/>
      <c r="K90" s="416"/>
      <c r="L90" s="416"/>
      <c r="M90" s="416"/>
      <c r="N90" s="416"/>
      <c r="O90" s="416"/>
      <c r="P90" s="416"/>
      <c r="Q90" s="416"/>
      <c r="R90" s="416"/>
    </row>
    <row r="91" spans="1:18">
      <c r="A91" s="504" t="s">
        <v>950</v>
      </c>
      <c r="B91" s="416"/>
      <c r="C91" s="416"/>
      <c r="D91" s="416"/>
      <c r="E91" s="416"/>
      <c r="F91" s="416"/>
      <c r="G91" s="416"/>
      <c r="H91" s="416"/>
      <c r="I91" s="416"/>
      <c r="J91" s="416"/>
      <c r="K91" s="416"/>
      <c r="L91" s="416"/>
      <c r="M91" s="416"/>
      <c r="N91" s="416"/>
      <c r="O91" s="416"/>
      <c r="P91" s="416"/>
      <c r="Q91" s="416"/>
      <c r="R91" s="416"/>
    </row>
    <row r="92" spans="1:18" ht="3" customHeight="1">
      <c r="A92" s="480"/>
      <c r="B92" s="480"/>
      <c r="C92" s="480"/>
      <c r="D92" s="480"/>
      <c r="E92" s="480"/>
      <c r="F92" s="480"/>
      <c r="G92" s="480"/>
      <c r="H92" s="480"/>
      <c r="I92" s="480"/>
      <c r="J92" s="480"/>
      <c r="K92" s="480"/>
      <c r="L92" s="480"/>
      <c r="M92" s="480"/>
      <c r="N92" s="480"/>
      <c r="O92" s="480"/>
      <c r="P92" s="480"/>
    </row>
    <row r="93" spans="1:18" ht="11.25" customHeight="1"/>
    <row r="94" spans="1:18" customFormat="1" ht="9.9499999999999993" customHeight="1"/>
    <row r="95" spans="1:18" customFormat="1" ht="3" customHeight="1"/>
    <row r="96" spans="1:18" customFormat="1" ht="3" customHeight="1"/>
    <row r="97" spans="1:41" ht="12.75">
      <c r="A97"/>
      <c r="B97"/>
      <c r="C97"/>
      <c r="D97"/>
      <c r="E97"/>
      <c r="F97"/>
      <c r="G97"/>
      <c r="H97"/>
      <c r="I97" s="567"/>
      <c r="J97"/>
      <c r="K97"/>
      <c r="L97"/>
      <c r="M97"/>
      <c r="N97"/>
      <c r="O97"/>
      <c r="T97"/>
      <c r="U97"/>
      <c r="V97"/>
      <c r="W97"/>
      <c r="X97"/>
      <c r="Y97"/>
      <c r="Z97"/>
    </row>
    <row r="98" spans="1:41" s="532" customFormat="1" ht="9.9499999999999993" customHeight="1">
      <c r="G98" s="533"/>
      <c r="H98" s="533"/>
      <c r="I98" s="533"/>
      <c r="J98" s="533"/>
      <c r="K98" s="533"/>
      <c r="L98" s="533"/>
      <c r="M98" s="533"/>
      <c r="N98" s="533"/>
      <c r="O98" s="533"/>
      <c r="P98" s="533"/>
      <c r="Q98" s="533"/>
      <c r="R98" s="533"/>
      <c r="T98"/>
      <c r="U98"/>
      <c r="V98"/>
      <c r="W98"/>
      <c r="X98"/>
      <c r="Y98"/>
      <c r="Z98"/>
    </row>
    <row r="99" spans="1:41" s="532" customFormat="1" ht="3" customHeight="1">
      <c r="A99" s="553"/>
      <c r="B99" s="553"/>
      <c r="C99" s="553"/>
      <c r="D99" s="553"/>
      <c r="E99" s="553"/>
      <c r="F99" s="553"/>
      <c r="T99"/>
      <c r="U99"/>
      <c r="V99"/>
      <c r="W99"/>
      <c r="X99"/>
      <c r="Y99"/>
      <c r="Z99"/>
    </row>
    <row r="100" spans="1:41" s="532" customFormat="1" ht="12" customHeight="1">
      <c r="A100" s="555" t="s">
        <v>1069</v>
      </c>
      <c r="B100" s="533"/>
      <c r="C100" s="533"/>
      <c r="D100" s="533"/>
      <c r="E100" s="533"/>
      <c r="F100" s="533"/>
      <c r="G100" s="534">
        <f t="shared" ref="G100:L100" si="18">G26</f>
        <v>2010</v>
      </c>
      <c r="H100" s="534">
        <f t="shared" si="18"/>
        <v>2011</v>
      </c>
      <c r="I100" s="534">
        <f t="shared" si="18"/>
        <v>2012</v>
      </c>
      <c r="J100" s="534">
        <f t="shared" si="18"/>
        <v>2013</v>
      </c>
      <c r="K100" s="534">
        <f t="shared" si="18"/>
        <v>2014</v>
      </c>
      <c r="L100" s="534">
        <f t="shared" si="18"/>
        <v>2015</v>
      </c>
      <c r="M100" s="534">
        <f t="shared" ref="M100:R100" si="19">M26</f>
        <v>2016</v>
      </c>
      <c r="N100" s="534">
        <f t="shared" si="19"/>
        <v>2017</v>
      </c>
      <c r="O100" s="534">
        <f t="shared" si="19"/>
        <v>2018</v>
      </c>
      <c r="P100" s="534">
        <f t="shared" si="19"/>
        <v>2019</v>
      </c>
      <c r="Q100" s="534">
        <f t="shared" si="19"/>
        <v>2020</v>
      </c>
      <c r="R100" s="534">
        <f t="shared" si="19"/>
        <v>2021</v>
      </c>
      <c r="T100"/>
      <c r="U100"/>
      <c r="V100"/>
      <c r="W100"/>
      <c r="X100"/>
      <c r="Y100"/>
      <c r="Z100"/>
    </row>
    <row r="101" spans="1:41" ht="12.75">
      <c r="A101" s="409" t="s">
        <v>1070</v>
      </c>
      <c r="B101" s="532"/>
      <c r="C101" s="532"/>
      <c r="D101" s="532"/>
      <c r="E101" s="532"/>
      <c r="F101" s="532"/>
      <c r="G101" s="532"/>
      <c r="H101" s="532"/>
      <c r="I101" s="532"/>
      <c r="J101" s="532"/>
      <c r="K101" s="532"/>
      <c r="L101" s="532"/>
      <c r="M101" s="532"/>
      <c r="N101" s="532"/>
      <c r="O101" s="532"/>
      <c r="P101" s="532"/>
      <c r="Q101" s="532"/>
      <c r="R101" s="532"/>
      <c r="T101"/>
      <c r="U101"/>
      <c r="V101"/>
      <c r="W101"/>
      <c r="X101"/>
      <c r="Y101"/>
      <c r="Z101"/>
      <c r="AN101" s="427"/>
      <c r="AO101" s="426"/>
    </row>
    <row r="102" spans="1:41" ht="12.75">
      <c r="A102" s="535" t="s">
        <v>1071</v>
      </c>
      <c r="B102" s="532"/>
      <c r="C102" s="536"/>
      <c r="D102" s="536"/>
      <c r="E102" s="536"/>
      <c r="F102" s="536"/>
      <c r="G102" s="537">
        <f>IS!$CM$82</f>
        <v>46.871000000000002</v>
      </c>
      <c r="H102" s="537">
        <f>IS!$CR$82</f>
        <v>48.082999999999998</v>
      </c>
      <c r="I102" s="537">
        <f>+$L$13</f>
        <v>70.364000000000004</v>
      </c>
      <c r="J102" s="537">
        <f>+$L$13</f>
        <v>70.364000000000004</v>
      </c>
      <c r="K102" s="537">
        <f>+$L$13</f>
        <v>70.364000000000004</v>
      </c>
      <c r="L102" s="537">
        <f>+$L$13</f>
        <v>70.364000000000004</v>
      </c>
      <c r="M102" s="537">
        <f t="shared" ref="M102:R102" si="20">+$L$13</f>
        <v>70.364000000000004</v>
      </c>
      <c r="N102" s="537">
        <f t="shared" si="20"/>
        <v>70.364000000000004</v>
      </c>
      <c r="O102" s="537">
        <f t="shared" si="20"/>
        <v>70.364000000000004</v>
      </c>
      <c r="P102" s="537">
        <f t="shared" si="20"/>
        <v>70.364000000000004</v>
      </c>
      <c r="Q102" s="537">
        <f t="shared" si="20"/>
        <v>70.364000000000004</v>
      </c>
      <c r="R102" s="537">
        <f t="shared" si="20"/>
        <v>70.364000000000004</v>
      </c>
      <c r="T102"/>
      <c r="U102"/>
      <c r="V102"/>
      <c r="W102"/>
      <c r="X102"/>
      <c r="Y102"/>
      <c r="Z102"/>
      <c r="AN102" s="427"/>
      <c r="AO102" s="426"/>
    </row>
    <row r="103" spans="1:41" ht="12.75">
      <c r="A103" s="538" t="s">
        <v>1072</v>
      </c>
      <c r="B103" s="532"/>
      <c r="C103" s="536"/>
      <c r="D103" s="536"/>
      <c r="E103" s="536"/>
      <c r="F103" s="536"/>
      <c r="G103" s="537"/>
      <c r="H103" s="537"/>
      <c r="I103" s="537"/>
      <c r="J103" s="537"/>
      <c r="K103" s="537"/>
      <c r="L103" s="537"/>
      <c r="M103" s="537"/>
      <c r="N103" s="537"/>
      <c r="O103" s="537"/>
      <c r="P103" s="537"/>
      <c r="Q103" s="537"/>
      <c r="R103" s="537"/>
      <c r="T103"/>
      <c r="U103"/>
      <c r="V103"/>
      <c r="W103"/>
      <c r="X103"/>
      <c r="Y103"/>
      <c r="Z103"/>
      <c r="AN103" s="427"/>
      <c r="AO103" s="426"/>
    </row>
    <row r="104" spans="1:41" ht="12.75">
      <c r="A104" s="538" t="s">
        <v>1080</v>
      </c>
      <c r="B104" s="532"/>
      <c r="C104" s="532"/>
      <c r="D104" s="532"/>
      <c r="E104" s="532"/>
      <c r="F104" s="532"/>
      <c r="G104" s="537">
        <f t="shared" ref="G104:L104" si="21">G103+G102</f>
        <v>46.871000000000002</v>
      </c>
      <c r="H104" s="537">
        <f t="shared" si="21"/>
        <v>48.082999999999998</v>
      </c>
      <c r="I104" s="537">
        <f t="shared" si="21"/>
        <v>70.364000000000004</v>
      </c>
      <c r="J104" s="537">
        <f t="shared" si="21"/>
        <v>70.364000000000004</v>
      </c>
      <c r="K104" s="537">
        <f t="shared" si="21"/>
        <v>70.364000000000004</v>
      </c>
      <c r="L104" s="537">
        <f t="shared" si="21"/>
        <v>70.364000000000004</v>
      </c>
      <c r="M104" s="537">
        <f t="shared" ref="M104:R104" si="22">M103+M102</f>
        <v>70.364000000000004</v>
      </c>
      <c r="N104" s="537">
        <f t="shared" si="22"/>
        <v>70.364000000000004</v>
      </c>
      <c r="O104" s="537">
        <f t="shared" si="22"/>
        <v>70.364000000000004</v>
      </c>
      <c r="P104" s="537">
        <f t="shared" si="22"/>
        <v>70.364000000000004</v>
      </c>
      <c r="Q104" s="537">
        <f t="shared" si="22"/>
        <v>70.364000000000004</v>
      </c>
      <c r="R104" s="537">
        <f t="shared" si="22"/>
        <v>70.364000000000004</v>
      </c>
      <c r="T104"/>
      <c r="U104"/>
      <c r="V104"/>
      <c r="W104"/>
      <c r="X104"/>
      <c r="Y104"/>
      <c r="Z104"/>
      <c r="AN104" s="427"/>
      <c r="AO104" s="426"/>
    </row>
    <row r="105" spans="1:41" ht="12.75">
      <c r="A105" s="535" t="s">
        <v>1094</v>
      </c>
      <c r="B105" s="532"/>
      <c r="C105" s="532"/>
      <c r="D105" s="532"/>
      <c r="E105" s="532"/>
      <c r="F105" s="532"/>
      <c r="G105" s="557">
        <f t="shared" ref="G105:R105" si="23">$L$12</f>
        <v>192.43</v>
      </c>
      <c r="H105" s="557">
        <f t="shared" si="23"/>
        <v>192.43</v>
      </c>
      <c r="I105" s="557">
        <f t="shared" si="23"/>
        <v>192.43</v>
      </c>
      <c r="J105" s="557">
        <f t="shared" si="23"/>
        <v>192.43</v>
      </c>
      <c r="K105" s="557">
        <f t="shared" si="23"/>
        <v>192.43</v>
      </c>
      <c r="L105" s="557">
        <f t="shared" si="23"/>
        <v>192.43</v>
      </c>
      <c r="M105" s="557">
        <f t="shared" si="23"/>
        <v>192.43</v>
      </c>
      <c r="N105" s="557">
        <f t="shared" si="23"/>
        <v>192.43</v>
      </c>
      <c r="O105" s="557">
        <f t="shared" si="23"/>
        <v>192.43</v>
      </c>
      <c r="P105" s="557">
        <f t="shared" si="23"/>
        <v>192.43</v>
      </c>
      <c r="Q105" s="557">
        <f t="shared" si="23"/>
        <v>192.43</v>
      </c>
      <c r="R105" s="557">
        <f t="shared" si="23"/>
        <v>192.43</v>
      </c>
      <c r="T105"/>
      <c r="U105"/>
      <c r="V105"/>
      <c r="W105"/>
      <c r="X105"/>
      <c r="Y105"/>
      <c r="Z105"/>
      <c r="AN105" s="427"/>
      <c r="AO105" s="426"/>
    </row>
    <row r="106" spans="1:41" ht="12.75">
      <c r="A106" s="539" t="s">
        <v>1081</v>
      </c>
      <c r="B106" s="532"/>
      <c r="C106" s="532"/>
      <c r="D106" s="532"/>
      <c r="E106" s="532"/>
      <c r="F106" s="532"/>
      <c r="G106" s="540">
        <f t="shared" ref="G106:L106" si="24">G105*G104</f>
        <v>9019.3865300000016</v>
      </c>
      <c r="H106" s="540">
        <f t="shared" si="24"/>
        <v>9252.6116899999997</v>
      </c>
      <c r="I106" s="540">
        <f t="shared" si="24"/>
        <v>13540.144520000002</v>
      </c>
      <c r="J106" s="540">
        <f t="shared" si="24"/>
        <v>13540.144520000002</v>
      </c>
      <c r="K106" s="540">
        <f t="shared" si="24"/>
        <v>13540.144520000002</v>
      </c>
      <c r="L106" s="540">
        <f t="shared" si="24"/>
        <v>13540.144520000002</v>
      </c>
      <c r="M106" s="540">
        <f t="shared" ref="M106:R106" si="25">M105*M104</f>
        <v>13540.144520000002</v>
      </c>
      <c r="N106" s="540">
        <f t="shared" si="25"/>
        <v>13540.144520000002</v>
      </c>
      <c r="O106" s="540">
        <f t="shared" si="25"/>
        <v>13540.144520000002</v>
      </c>
      <c r="P106" s="540">
        <f t="shared" si="25"/>
        <v>13540.144520000002</v>
      </c>
      <c r="Q106" s="540">
        <f t="shared" si="25"/>
        <v>13540.144520000002</v>
      </c>
      <c r="R106" s="540">
        <f t="shared" si="25"/>
        <v>13540.144520000002</v>
      </c>
      <c r="T106"/>
      <c r="U106"/>
      <c r="V106"/>
      <c r="W106"/>
      <c r="X106"/>
      <c r="Y106"/>
      <c r="Z106"/>
      <c r="AN106" s="427"/>
      <c r="AO106" s="426"/>
    </row>
    <row r="107" spans="1:41" ht="3" customHeight="1">
      <c r="A107" s="541"/>
      <c r="B107" s="532"/>
      <c r="C107" s="532"/>
      <c r="D107" s="532"/>
      <c r="E107" s="532"/>
      <c r="F107" s="532"/>
      <c r="G107" s="532"/>
      <c r="H107" s="532"/>
      <c r="I107" s="532"/>
      <c r="J107" s="532"/>
      <c r="K107" s="532"/>
      <c r="L107" s="532"/>
      <c r="M107" s="532"/>
      <c r="N107" s="532"/>
      <c r="O107" s="532"/>
      <c r="P107" s="532"/>
      <c r="Q107" s="532"/>
      <c r="R107" s="532"/>
      <c r="T107"/>
      <c r="U107"/>
      <c r="V107"/>
      <c r="W107"/>
      <c r="X107"/>
      <c r="Y107"/>
      <c r="Z107"/>
      <c r="AN107" s="427"/>
      <c r="AO107" s="426"/>
    </row>
    <row r="108" spans="1:41" ht="15" customHeight="1">
      <c r="A108" s="542" t="s">
        <v>1082</v>
      </c>
      <c r="B108" s="556"/>
      <c r="C108" s="556"/>
      <c r="D108" s="556"/>
      <c r="E108" s="556"/>
      <c r="F108" s="556"/>
      <c r="G108" s="556"/>
      <c r="H108" s="556"/>
      <c r="I108" s="556"/>
      <c r="J108" s="556"/>
      <c r="K108" s="556"/>
      <c r="L108" s="556"/>
      <c r="M108" s="556"/>
      <c r="N108" s="556"/>
      <c r="O108" s="556"/>
      <c r="P108" s="556"/>
      <c r="Q108" s="556"/>
      <c r="R108" s="556"/>
      <c r="T108"/>
      <c r="U108"/>
      <c r="V108"/>
      <c r="W108"/>
      <c r="X108"/>
      <c r="Y108"/>
      <c r="Z108"/>
      <c r="AN108" s="427"/>
      <c r="AO108" s="426"/>
    </row>
    <row r="109" spans="1:41" ht="13.5" customHeight="1">
      <c r="A109" s="543" t="s">
        <v>1041</v>
      </c>
      <c r="B109" s="532"/>
      <c r="C109" s="532"/>
      <c r="D109" s="532"/>
      <c r="E109" s="532"/>
      <c r="F109" s="532"/>
      <c r="G109" s="536">
        <f>BS!$BW$113</f>
        <v>2048.585</v>
      </c>
      <c r="H109" s="536">
        <f>BS!$CA$113</f>
        <v>3099.13</v>
      </c>
      <c r="I109" s="536">
        <f>+$L$10</f>
        <v>6925.3099999999995</v>
      </c>
      <c r="J109" s="536">
        <f>+$L$10</f>
        <v>6925.3099999999995</v>
      </c>
      <c r="K109" s="536">
        <f>+$L$10</f>
        <v>6925.3099999999995</v>
      </c>
      <c r="L109" s="536">
        <f>+$L$10</f>
        <v>6925.3099999999995</v>
      </c>
      <c r="M109" s="536">
        <f t="shared" ref="M109:R109" si="26">+$L$10</f>
        <v>6925.3099999999995</v>
      </c>
      <c r="N109" s="536">
        <f t="shared" si="26"/>
        <v>6925.3099999999995</v>
      </c>
      <c r="O109" s="536">
        <f t="shared" si="26"/>
        <v>6925.3099999999995</v>
      </c>
      <c r="P109" s="536">
        <f t="shared" si="26"/>
        <v>6925.3099999999995</v>
      </c>
      <c r="Q109" s="536">
        <f t="shared" si="26"/>
        <v>6925.3099999999995</v>
      </c>
      <c r="R109" s="536">
        <f t="shared" si="26"/>
        <v>6925.3099999999995</v>
      </c>
      <c r="T109"/>
      <c r="U109"/>
      <c r="V109"/>
      <c r="W109"/>
      <c r="X109"/>
      <c r="Y109"/>
      <c r="Z109"/>
      <c r="AN109" s="427"/>
      <c r="AO109" s="426"/>
    </row>
    <row r="110" spans="1:41" ht="12.75">
      <c r="A110" s="538" t="s">
        <v>1083</v>
      </c>
      <c r="B110" s="532"/>
      <c r="C110" s="532"/>
      <c r="D110" s="532"/>
      <c r="E110" s="532"/>
      <c r="F110" s="532"/>
      <c r="G110" s="536"/>
      <c r="H110" s="536"/>
      <c r="I110" s="536"/>
      <c r="J110" s="536"/>
      <c r="K110" s="536"/>
      <c r="L110" s="536"/>
      <c r="M110" s="536"/>
      <c r="N110" s="536"/>
      <c r="O110" s="536"/>
      <c r="P110" s="536"/>
      <c r="Q110" s="536"/>
      <c r="R110" s="536"/>
      <c r="T110"/>
      <c r="U110"/>
      <c r="V110"/>
      <c r="W110"/>
      <c r="X110"/>
      <c r="Y110"/>
      <c r="Z110"/>
      <c r="AN110" s="427"/>
      <c r="AO110" s="426"/>
    </row>
    <row r="111" spans="1:41" ht="13.5" customHeight="1">
      <c r="A111" s="544" t="s">
        <v>1084</v>
      </c>
      <c r="B111" s="532"/>
      <c r="C111" s="532"/>
      <c r="D111" s="532"/>
      <c r="E111" s="532"/>
      <c r="F111" s="532"/>
      <c r="G111" s="545">
        <f t="shared" ref="G111:L111" si="27">SUM(G109:G110)</f>
        <v>2048.585</v>
      </c>
      <c r="H111" s="545">
        <f t="shared" si="27"/>
        <v>3099.13</v>
      </c>
      <c r="I111" s="545">
        <f t="shared" si="27"/>
        <v>6925.3099999999995</v>
      </c>
      <c r="J111" s="545">
        <f t="shared" si="27"/>
        <v>6925.3099999999995</v>
      </c>
      <c r="K111" s="545">
        <f t="shared" si="27"/>
        <v>6925.3099999999995</v>
      </c>
      <c r="L111" s="545">
        <f t="shared" si="27"/>
        <v>6925.3099999999995</v>
      </c>
      <c r="M111" s="545">
        <f t="shared" ref="M111:R111" si="28">SUM(M109:M110)</f>
        <v>6925.3099999999995</v>
      </c>
      <c r="N111" s="545">
        <f t="shared" si="28"/>
        <v>6925.3099999999995</v>
      </c>
      <c r="O111" s="545">
        <f t="shared" si="28"/>
        <v>6925.3099999999995</v>
      </c>
      <c r="P111" s="545">
        <f t="shared" si="28"/>
        <v>6925.3099999999995</v>
      </c>
      <c r="Q111" s="545">
        <f t="shared" si="28"/>
        <v>6925.3099999999995</v>
      </c>
      <c r="R111" s="545">
        <f t="shared" si="28"/>
        <v>6925.3099999999995</v>
      </c>
      <c r="T111"/>
      <c r="U111"/>
      <c r="V111"/>
      <c r="W111"/>
      <c r="X111"/>
      <c r="Y111"/>
      <c r="Z111"/>
      <c r="AN111" s="427"/>
      <c r="AO111" s="426"/>
    </row>
    <row r="112" spans="1:41" ht="3" customHeight="1">
      <c r="A112" s="538"/>
      <c r="B112" s="532"/>
      <c r="C112" s="532"/>
      <c r="D112" s="532"/>
      <c r="E112" s="532"/>
      <c r="F112" s="532"/>
      <c r="G112" s="532"/>
      <c r="H112" s="532"/>
      <c r="I112" s="532"/>
      <c r="J112" s="532"/>
      <c r="K112" s="532"/>
      <c r="L112" s="532"/>
      <c r="M112" s="532"/>
      <c r="N112" s="532"/>
      <c r="O112" s="532"/>
      <c r="P112" s="532"/>
      <c r="Q112" s="532"/>
      <c r="R112" s="532"/>
      <c r="T112"/>
      <c r="U112"/>
      <c r="V112"/>
      <c r="W112"/>
      <c r="X112"/>
      <c r="Y112"/>
      <c r="Z112"/>
      <c r="AN112" s="427"/>
      <c r="AO112" s="426"/>
    </row>
    <row r="113" spans="1:41" ht="12.75">
      <c r="A113" s="546" t="s">
        <v>1085</v>
      </c>
      <c r="B113" s="556"/>
      <c r="C113" s="556"/>
      <c r="D113" s="556"/>
      <c r="E113" s="556"/>
      <c r="F113" s="556"/>
      <c r="G113" s="556"/>
      <c r="H113" s="556"/>
      <c r="I113" s="556"/>
      <c r="J113" s="556"/>
      <c r="K113" s="556"/>
      <c r="L113" s="556"/>
      <c r="M113" s="556"/>
      <c r="N113" s="556"/>
      <c r="O113" s="556"/>
      <c r="P113" s="556"/>
      <c r="Q113" s="556"/>
      <c r="R113" s="556"/>
      <c r="T113"/>
      <c r="U113"/>
      <c r="V113"/>
      <c r="W113"/>
      <c r="X113"/>
      <c r="Y113"/>
      <c r="Z113"/>
      <c r="AN113" s="427"/>
      <c r="AO113" s="426"/>
    </row>
    <row r="114" spans="1:41" ht="12.75">
      <c r="A114" s="535" t="s">
        <v>1086</v>
      </c>
      <c r="B114" s="532"/>
      <c r="C114" s="532"/>
      <c r="D114" s="536"/>
      <c r="E114" s="536"/>
      <c r="F114" s="536"/>
      <c r="G114" s="536">
        <f>BS!$BW$112</f>
        <v>582.63400000000013</v>
      </c>
      <c r="H114" s="536">
        <f>BS!$CA$112</f>
        <v>1050.8500000000001</v>
      </c>
      <c r="I114" s="536">
        <f>+$L$9</f>
        <v>1003.3939999999997</v>
      </c>
      <c r="J114" s="536">
        <f>+$L$9</f>
        <v>1003.3939999999997</v>
      </c>
      <c r="K114" s="536">
        <f>+$L$9</f>
        <v>1003.3939999999997</v>
      </c>
      <c r="L114" s="536">
        <f>+$L$9</f>
        <v>1003.3939999999997</v>
      </c>
      <c r="M114" s="536">
        <f t="shared" ref="M114:R114" si="29">+$L$9</f>
        <v>1003.3939999999997</v>
      </c>
      <c r="N114" s="536">
        <f t="shared" si="29"/>
        <v>1003.3939999999997</v>
      </c>
      <c r="O114" s="536">
        <f t="shared" si="29"/>
        <v>1003.3939999999997</v>
      </c>
      <c r="P114" s="536">
        <f t="shared" si="29"/>
        <v>1003.3939999999997</v>
      </c>
      <c r="Q114" s="536">
        <f t="shared" si="29"/>
        <v>1003.3939999999997</v>
      </c>
      <c r="R114" s="536">
        <f t="shared" si="29"/>
        <v>1003.3939999999997</v>
      </c>
      <c r="T114"/>
      <c r="U114"/>
      <c r="V114"/>
      <c r="W114"/>
      <c r="X114"/>
      <c r="Y114"/>
      <c r="Z114"/>
      <c r="AN114" s="427"/>
      <c r="AO114" s="426"/>
    </row>
    <row r="115" spans="1:41" ht="3" customHeight="1">
      <c r="A115" s="538"/>
      <c r="B115" s="532"/>
      <c r="C115" s="532"/>
      <c r="D115" s="532"/>
      <c r="E115" s="532"/>
      <c r="F115" s="532"/>
      <c r="G115" s="532"/>
      <c r="H115" s="532"/>
      <c r="I115" s="532"/>
      <c r="J115" s="532"/>
      <c r="K115" s="532"/>
      <c r="L115" s="532"/>
      <c r="M115" s="532"/>
      <c r="N115" s="532"/>
      <c r="O115" s="532"/>
      <c r="P115" s="532"/>
      <c r="Q115" s="532"/>
      <c r="R115" s="532"/>
      <c r="T115"/>
      <c r="U115"/>
      <c r="V115"/>
      <c r="W115"/>
      <c r="X115"/>
      <c r="Y115"/>
      <c r="Z115"/>
      <c r="AN115" s="427"/>
      <c r="AO115" s="426"/>
    </row>
    <row r="116" spans="1:41" ht="12.75">
      <c r="A116" s="539" t="s">
        <v>1033</v>
      </c>
      <c r="B116" s="532"/>
      <c r="C116" s="532"/>
      <c r="D116" s="532"/>
      <c r="E116" s="532"/>
      <c r="F116" s="532"/>
      <c r="G116" s="545">
        <f t="shared" ref="G116:L116" si="30">G106+G111-G114</f>
        <v>10485.337530000003</v>
      </c>
      <c r="H116" s="545">
        <f t="shared" si="30"/>
        <v>11300.891689999999</v>
      </c>
      <c r="I116" s="545">
        <f t="shared" si="30"/>
        <v>19462.060519999999</v>
      </c>
      <c r="J116" s="545">
        <f t="shared" si="30"/>
        <v>19462.060519999999</v>
      </c>
      <c r="K116" s="545">
        <f t="shared" si="30"/>
        <v>19462.060519999999</v>
      </c>
      <c r="L116" s="545">
        <f t="shared" si="30"/>
        <v>19462.060519999999</v>
      </c>
      <c r="M116" s="545">
        <f t="shared" ref="M116:R116" si="31">M106+M111-M114</f>
        <v>19462.060519999999</v>
      </c>
      <c r="N116" s="545">
        <f t="shared" si="31"/>
        <v>19462.060519999999</v>
      </c>
      <c r="O116" s="545">
        <f t="shared" si="31"/>
        <v>19462.060519999999</v>
      </c>
      <c r="P116" s="545">
        <f t="shared" si="31"/>
        <v>19462.060519999999</v>
      </c>
      <c r="Q116" s="545">
        <f t="shared" si="31"/>
        <v>19462.060519999999</v>
      </c>
      <c r="R116" s="545">
        <f t="shared" si="31"/>
        <v>19462.060519999999</v>
      </c>
      <c r="T116"/>
      <c r="U116"/>
      <c r="V116"/>
      <c r="W116"/>
      <c r="X116"/>
      <c r="Y116"/>
      <c r="Z116"/>
      <c r="AN116" s="427"/>
      <c r="AO116" s="426"/>
    </row>
    <row r="117" spans="1:41" ht="3" customHeight="1">
      <c r="A117" s="547"/>
      <c r="B117" s="556"/>
      <c r="C117" s="556"/>
      <c r="D117" s="556"/>
      <c r="E117" s="556"/>
      <c r="F117" s="556"/>
      <c r="G117" s="556"/>
      <c r="H117" s="556"/>
      <c r="I117" s="556"/>
      <c r="J117" s="556"/>
      <c r="K117" s="556"/>
      <c r="L117" s="556"/>
      <c r="M117" s="556"/>
      <c r="N117" s="556"/>
      <c r="O117" s="556"/>
      <c r="P117" s="556"/>
      <c r="Q117" s="556"/>
      <c r="R117" s="556"/>
      <c r="T117"/>
      <c r="U117"/>
      <c r="V117"/>
      <c r="W117"/>
      <c r="X117"/>
      <c r="Y117"/>
      <c r="Z117"/>
      <c r="AN117" s="427"/>
      <c r="AO117" s="426"/>
    </row>
    <row r="118" spans="1:41" ht="12.75">
      <c r="A118" s="538" t="s">
        <v>994</v>
      </c>
      <c r="B118" s="532"/>
      <c r="C118" s="532"/>
      <c r="D118" s="532"/>
      <c r="E118" s="532"/>
      <c r="F118" s="532"/>
      <c r="G118" s="548">
        <f t="shared" ref="G118:L118" si="32">G34</f>
        <v>533.02100000000007</v>
      </c>
      <c r="H118" s="548">
        <f t="shared" si="32"/>
        <v>719.80500000000018</v>
      </c>
      <c r="I118" s="548">
        <f t="shared" si="32"/>
        <v>877.99599999999987</v>
      </c>
      <c r="J118" s="548">
        <f t="shared" si="32"/>
        <v>1000.8980000000001</v>
      </c>
      <c r="K118" s="548">
        <f t="shared" si="32"/>
        <v>1113.8909999999998</v>
      </c>
      <c r="L118" s="548">
        <f t="shared" si="32"/>
        <v>1271.6270000000004</v>
      </c>
      <c r="M118" s="548">
        <f t="shared" ref="M118:R118" si="33">M34</f>
        <v>1649.7759999999998</v>
      </c>
      <c r="N118" s="548">
        <f t="shared" si="33"/>
        <v>2052.0410000000002</v>
      </c>
      <c r="O118" s="548">
        <f t="shared" ca="1" si="33"/>
        <v>2396.2013118891828</v>
      </c>
      <c r="P118" s="548">
        <f t="shared" ca="1" si="33"/>
        <v>2626.6195144712165</v>
      </c>
      <c r="Q118" s="548">
        <f t="shared" ca="1" si="33"/>
        <v>2847.0470495173981</v>
      </c>
      <c r="R118" s="548">
        <f t="shared" ca="1" si="33"/>
        <v>3057.2702817644617</v>
      </c>
      <c r="T118"/>
      <c r="U118"/>
      <c r="V118"/>
      <c r="W118"/>
      <c r="X118"/>
      <c r="Y118"/>
      <c r="Z118"/>
      <c r="AN118" s="427"/>
      <c r="AO118" s="426"/>
    </row>
    <row r="119" spans="1:41" ht="12.75">
      <c r="A119" s="544" t="s">
        <v>1087</v>
      </c>
      <c r="B119" s="532"/>
      <c r="C119" s="532"/>
      <c r="D119" s="532"/>
      <c r="E119" s="532"/>
      <c r="F119" s="532"/>
      <c r="G119" s="549">
        <f t="shared" ref="G119:L119" si="34">G116/G118</f>
        <v>19.671528007339301</v>
      </c>
      <c r="H119" s="549">
        <f t="shared" si="34"/>
        <v>15.699934968498408</v>
      </c>
      <c r="I119" s="549">
        <f t="shared" si="34"/>
        <v>22.166456931466662</v>
      </c>
      <c r="J119" s="549">
        <f t="shared" si="34"/>
        <v>19.444599269855665</v>
      </c>
      <c r="K119" s="549">
        <f t="shared" si="34"/>
        <v>17.472140918635667</v>
      </c>
      <c r="L119" s="549">
        <f t="shared" si="34"/>
        <v>15.304850022844743</v>
      </c>
      <c r="M119" s="549">
        <f t="shared" ref="M119:R119" si="35">M116/M118</f>
        <v>11.79678969751045</v>
      </c>
      <c r="N119" s="549">
        <f t="shared" si="35"/>
        <v>9.4842454512361094</v>
      </c>
      <c r="O119" s="549">
        <f t="shared" ca="1" si="35"/>
        <v>8.1220473519630811</v>
      </c>
      <c r="P119" s="549">
        <f t="shared" ca="1" si="35"/>
        <v>7.4095469148747437</v>
      </c>
      <c r="Q119" s="549">
        <f t="shared" ca="1" si="35"/>
        <v>6.8358759730714693</v>
      </c>
      <c r="R119" s="549">
        <f t="shared" ca="1" si="35"/>
        <v>6.3658292288007123</v>
      </c>
      <c r="T119"/>
      <c r="U119"/>
      <c r="V119"/>
      <c r="W119"/>
      <c r="X119"/>
      <c r="Y119"/>
      <c r="Z119"/>
      <c r="AN119" s="427"/>
      <c r="AO119" s="426"/>
    </row>
    <row r="120" spans="1:41" ht="3" customHeight="1">
      <c r="A120" s="544"/>
      <c r="B120" s="532"/>
      <c r="C120" s="532"/>
      <c r="D120" s="532"/>
      <c r="E120" s="532"/>
      <c r="F120" s="532"/>
      <c r="G120" s="532"/>
      <c r="H120" s="532"/>
      <c r="I120" s="532"/>
      <c r="J120" s="532"/>
      <c r="K120" s="532"/>
      <c r="L120" s="532"/>
      <c r="M120" s="532"/>
      <c r="N120" s="532"/>
      <c r="O120" s="532"/>
      <c r="P120" s="532"/>
      <c r="Q120" s="532"/>
      <c r="R120" s="532"/>
      <c r="T120"/>
      <c r="U120"/>
      <c r="V120"/>
      <c r="W120"/>
      <c r="X120"/>
      <c r="Y120"/>
      <c r="Z120"/>
      <c r="AN120" s="427"/>
      <c r="AO120" s="426"/>
    </row>
    <row r="121" spans="1:41" ht="12.75">
      <c r="A121" s="538" t="s">
        <v>1088</v>
      </c>
      <c r="B121" s="532"/>
      <c r="C121" s="532"/>
      <c r="D121" s="532"/>
      <c r="E121" s="532"/>
      <c r="F121" s="532"/>
      <c r="G121" s="548">
        <f t="shared" ref="G121:L121" si="36">H34</f>
        <v>719.80500000000018</v>
      </c>
      <c r="H121" s="548">
        <f t="shared" si="36"/>
        <v>877.99599999999987</v>
      </c>
      <c r="I121" s="548">
        <f t="shared" si="36"/>
        <v>1000.8980000000001</v>
      </c>
      <c r="J121" s="548">
        <f t="shared" si="36"/>
        <v>1113.8909999999998</v>
      </c>
      <c r="K121" s="548">
        <f t="shared" si="36"/>
        <v>1271.6270000000004</v>
      </c>
      <c r="L121" s="548">
        <f t="shared" si="36"/>
        <v>1649.7759999999998</v>
      </c>
      <c r="M121" s="548">
        <f t="shared" ref="M121:R121" si="37">N34</f>
        <v>2052.0410000000002</v>
      </c>
      <c r="N121" s="548">
        <f t="shared" ca="1" si="37"/>
        <v>2396.2013118891828</v>
      </c>
      <c r="O121" s="548">
        <f t="shared" ca="1" si="37"/>
        <v>2626.6195144712165</v>
      </c>
      <c r="P121" s="548">
        <f t="shared" ca="1" si="37"/>
        <v>2847.0470495173981</v>
      </c>
      <c r="Q121" s="548">
        <f t="shared" ca="1" si="37"/>
        <v>3057.2702817644617</v>
      </c>
      <c r="R121" s="548">
        <f t="shared" ca="1" si="37"/>
        <v>0.18240166458476681</v>
      </c>
      <c r="T121"/>
      <c r="U121"/>
      <c r="V121"/>
      <c r="W121"/>
      <c r="X121"/>
      <c r="Y121"/>
      <c r="Z121"/>
      <c r="AN121" s="427"/>
      <c r="AO121" s="426"/>
    </row>
    <row r="122" spans="1:41" ht="12.75">
      <c r="A122" s="544" t="s">
        <v>1087</v>
      </c>
      <c r="B122" s="532"/>
      <c r="C122" s="532"/>
      <c r="D122" s="532"/>
      <c r="E122" s="532"/>
      <c r="F122" s="532"/>
      <c r="G122" s="549">
        <f t="shared" ref="G122:L122" si="38">G116/G121</f>
        <v>14.566913997541</v>
      </c>
      <c r="H122" s="549">
        <f t="shared" si="38"/>
        <v>12.87123368443592</v>
      </c>
      <c r="I122" s="549">
        <f t="shared" si="38"/>
        <v>19.444599269855665</v>
      </c>
      <c r="J122" s="549">
        <f t="shared" si="38"/>
        <v>17.472140918635667</v>
      </c>
      <c r="K122" s="549">
        <f t="shared" si="38"/>
        <v>15.304850022844743</v>
      </c>
      <c r="L122" s="549">
        <f t="shared" si="38"/>
        <v>11.79678969751045</v>
      </c>
      <c r="M122" s="549">
        <f t="shared" ref="M122:R122" si="39">M116/M121</f>
        <v>9.4842454512361094</v>
      </c>
      <c r="N122" s="549">
        <f t="shared" ca="1" si="39"/>
        <v>8.1220473519630811</v>
      </c>
      <c r="O122" s="549">
        <f t="shared" ca="1" si="39"/>
        <v>7.4095469148747437</v>
      </c>
      <c r="P122" s="549">
        <f t="shared" ca="1" si="39"/>
        <v>6.8358759730714693</v>
      </c>
      <c r="Q122" s="549">
        <f t="shared" ca="1" si="39"/>
        <v>6.3658292288007123</v>
      </c>
      <c r="R122" s="549">
        <f t="shared" ca="1" si="39"/>
        <v>106698.91946603081</v>
      </c>
      <c r="T122"/>
      <c r="U122"/>
      <c r="V122"/>
      <c r="W122"/>
      <c r="X122"/>
      <c r="Y122"/>
      <c r="Z122"/>
      <c r="AN122" s="427"/>
      <c r="AO122" s="426"/>
    </row>
    <row r="123" spans="1:41" ht="3" customHeight="1">
      <c r="A123" s="544"/>
      <c r="B123" s="532"/>
      <c r="C123" s="532"/>
      <c r="D123" s="532"/>
      <c r="E123" s="532"/>
      <c r="F123" s="532"/>
      <c r="G123" s="532"/>
      <c r="H123" s="532"/>
      <c r="I123" s="532"/>
      <c r="J123" s="532"/>
      <c r="K123" s="532"/>
      <c r="L123" s="532"/>
      <c r="M123" s="532"/>
      <c r="N123" s="532"/>
      <c r="O123" s="532"/>
      <c r="P123" s="532"/>
      <c r="Q123" s="532"/>
      <c r="R123" s="532"/>
      <c r="T123"/>
      <c r="U123"/>
      <c r="V123"/>
      <c r="W123"/>
      <c r="X123"/>
      <c r="Y123"/>
      <c r="Z123"/>
      <c r="AN123" s="427"/>
      <c r="AO123" s="426"/>
    </row>
    <row r="124" spans="1:41" ht="12.75">
      <c r="A124" s="550" t="s">
        <v>1091</v>
      </c>
      <c r="B124" s="532"/>
      <c r="C124" s="532"/>
      <c r="D124" s="532"/>
      <c r="E124" s="532"/>
      <c r="F124" s="532"/>
      <c r="G124" s="548">
        <f>CF!O81</f>
        <v>-106.40599999999993</v>
      </c>
      <c r="H124" s="548">
        <f>CF!P81</f>
        <v>3.0089500000000129</v>
      </c>
      <c r="I124" s="548">
        <f>CF!Q81</f>
        <v>4.7152999999997576</v>
      </c>
      <c r="J124" s="548">
        <f>CF!R81</f>
        <v>192.84325000000027</v>
      </c>
      <c r="K124" s="548">
        <f>CF!S81</f>
        <v>203.19730000000021</v>
      </c>
      <c r="L124" s="548">
        <f>CF!T81</f>
        <v>218.7320999999996</v>
      </c>
      <c r="M124" s="548">
        <f>CF!U81</f>
        <v>156.33658706250003</v>
      </c>
      <c r="N124" s="548">
        <f ca="1">CF!V81</f>
        <v>362.73224959895197</v>
      </c>
      <c r="O124" s="548">
        <f ca="1">CF!W81</f>
        <v>225.1933171310742</v>
      </c>
      <c r="P124" s="548">
        <f ca="1">CF!X81</f>
        <v>475.58436291509804</v>
      </c>
      <c r="Q124" s="548">
        <f ca="1">CF!Y81</f>
        <v>868.81275424584032</v>
      </c>
      <c r="R124" s="548">
        <f ca="1">CF!Z81</f>
        <v>1097.2782259160181</v>
      </c>
      <c r="T124"/>
      <c r="U124"/>
      <c r="V124"/>
      <c r="W124"/>
      <c r="X124"/>
      <c r="Y124"/>
      <c r="Z124"/>
      <c r="AN124" s="427"/>
      <c r="AO124" s="426"/>
    </row>
    <row r="125" spans="1:41" ht="12.75">
      <c r="A125" s="551" t="s">
        <v>1092</v>
      </c>
      <c r="B125" s="532"/>
      <c r="C125" s="532"/>
      <c r="D125" s="532"/>
      <c r="E125" s="532"/>
      <c r="F125" s="532"/>
      <c r="G125" s="549">
        <f t="shared" ref="G125:L125" si="40">G116/G124</f>
        <v>-98.540848542375514</v>
      </c>
      <c r="H125" s="549">
        <f t="shared" si="40"/>
        <v>3755.7592150085411</v>
      </c>
      <c r="I125" s="549">
        <f t="shared" si="40"/>
        <v>4127.4278455243566</v>
      </c>
      <c r="J125" s="549">
        <f t="shared" si="40"/>
        <v>100.92165797869498</v>
      </c>
      <c r="K125" s="549">
        <f t="shared" si="40"/>
        <v>95.779129545520433</v>
      </c>
      <c r="L125" s="549">
        <f t="shared" si="40"/>
        <v>88.976700356280745</v>
      </c>
      <c r="M125" s="549">
        <f t="shared" ref="M125:R125" si="41">M116/M124</f>
        <v>124.48820129493733</v>
      </c>
      <c r="N125" s="549">
        <f t="shared" ca="1" si="41"/>
        <v>53.654067267296625</v>
      </c>
      <c r="O125" s="549">
        <f t="shared" ca="1" si="41"/>
        <v>86.423792534980379</v>
      </c>
      <c r="P125" s="549">
        <f t="shared" ca="1" si="41"/>
        <v>40.922414691490587</v>
      </c>
      <c r="Q125" s="549">
        <f t="shared" ca="1" si="41"/>
        <v>22.400753700829064</v>
      </c>
      <c r="R125" s="549">
        <f t="shared" ca="1" si="41"/>
        <v>17.736668841444374</v>
      </c>
      <c r="T125"/>
      <c r="U125"/>
      <c r="V125"/>
      <c r="W125"/>
      <c r="X125"/>
      <c r="Y125"/>
      <c r="Z125"/>
      <c r="AN125" s="427"/>
      <c r="AO125" s="426"/>
    </row>
    <row r="126" spans="1:41" ht="3" customHeight="1">
      <c r="A126" s="551"/>
      <c r="T126"/>
      <c r="U126"/>
      <c r="V126"/>
      <c r="W126"/>
      <c r="X126"/>
      <c r="Y126"/>
      <c r="Z126"/>
      <c r="AN126" s="427"/>
      <c r="AO126" s="426"/>
    </row>
    <row r="127" spans="1:41" ht="12.75">
      <c r="A127" s="550" t="s">
        <v>1093</v>
      </c>
      <c r="G127" s="552">
        <f>CF!O76</f>
        <v>-196.72999999999996</v>
      </c>
      <c r="H127" s="552">
        <f>CF!P76</f>
        <v>-113.35599999999999</v>
      </c>
      <c r="I127" s="552">
        <f>CF!Q76</f>
        <v>-123.24500000000023</v>
      </c>
      <c r="J127" s="552">
        <f>CF!R76</f>
        <v>33.330000000000268</v>
      </c>
      <c r="K127" s="552">
        <f>CF!S76</f>
        <v>29.217000000000212</v>
      </c>
      <c r="L127" s="552">
        <f>CF!T76</f>
        <v>26.673999999999637</v>
      </c>
      <c r="M127" s="552">
        <f>CF!U76</f>
        <v>-96.784999999999968</v>
      </c>
      <c r="N127" s="552">
        <f>CF!V76</f>
        <v>60.508000000000266</v>
      </c>
      <c r="O127" s="552">
        <f ca="1">CF!W76</f>
        <v>-136.23044143314701</v>
      </c>
      <c r="P127" s="552">
        <f ca="1">CF!X76</f>
        <v>97.571918623345937</v>
      </c>
      <c r="Q127" s="552">
        <f ca="1">CF!Y76</f>
        <v>463.5942014612101</v>
      </c>
      <c r="R127" s="552">
        <f ca="1">CF!Z76</f>
        <v>665.42434386815671</v>
      </c>
      <c r="T127"/>
      <c r="U127"/>
      <c r="V127"/>
      <c r="W127"/>
      <c r="X127"/>
      <c r="Y127"/>
      <c r="Z127"/>
      <c r="AN127" s="427"/>
      <c r="AO127" s="426"/>
    </row>
    <row r="128" spans="1:41" ht="12.75">
      <c r="A128" s="551" t="s">
        <v>1089</v>
      </c>
      <c r="G128" s="549">
        <f t="shared" ref="G128:L128" si="42">G106/G127</f>
        <v>-45.846523306054003</v>
      </c>
      <c r="H128" s="549">
        <f t="shared" si="42"/>
        <v>-81.624366509051129</v>
      </c>
      <c r="I128" s="549">
        <f t="shared" si="42"/>
        <v>-109.86364168931783</v>
      </c>
      <c r="J128" s="549">
        <f t="shared" si="42"/>
        <v>406.24496009600637</v>
      </c>
      <c r="K128" s="549">
        <f t="shared" si="42"/>
        <v>463.43377211896853</v>
      </c>
      <c r="L128" s="549">
        <f t="shared" si="42"/>
        <v>507.61582514809123</v>
      </c>
      <c r="M128" s="549">
        <f t="shared" ref="M128:R128" si="43">M106/M127</f>
        <v>-139.89920462881651</v>
      </c>
      <c r="N128" s="549">
        <f t="shared" si="43"/>
        <v>223.77445164275701</v>
      </c>
      <c r="O128" s="549">
        <f t="shared" ca="1" si="43"/>
        <v>-99.391475044471761</v>
      </c>
      <c r="P128" s="549">
        <f t="shared" ca="1" si="43"/>
        <v>138.77091596680219</v>
      </c>
      <c r="Q128" s="549">
        <f t="shared" ca="1" si="43"/>
        <v>29.206889295255635</v>
      </c>
      <c r="R128" s="549">
        <f t="shared" ca="1" si="43"/>
        <v>20.348135208414867</v>
      </c>
      <c r="T128"/>
      <c r="U128"/>
      <c r="V128"/>
      <c r="W128"/>
      <c r="X128"/>
      <c r="Y128"/>
      <c r="Z128"/>
      <c r="AN128" s="427"/>
      <c r="AO128" s="426"/>
    </row>
    <row r="129" spans="1:41" ht="12.75">
      <c r="A129" s="551"/>
      <c r="T129"/>
      <c r="U129"/>
      <c r="V129"/>
      <c r="W129"/>
      <c r="X129"/>
      <c r="Y129"/>
      <c r="Z129"/>
      <c r="AN129" s="427"/>
      <c r="AO129" s="426"/>
    </row>
    <row r="130" spans="1:41" ht="3" customHeight="1">
      <c r="A130" s="553"/>
      <c r="B130" s="553"/>
      <c r="C130" s="553"/>
      <c r="D130" s="553"/>
      <c r="E130" s="553"/>
      <c r="F130" s="553"/>
      <c r="G130" s="553"/>
      <c r="H130" s="553"/>
      <c r="I130" s="553"/>
      <c r="J130" s="553"/>
      <c r="K130" s="553"/>
      <c r="L130" s="553"/>
      <c r="M130" s="553"/>
      <c r="N130" s="553"/>
      <c r="O130" s="553"/>
      <c r="P130" s="553"/>
      <c r="Q130" s="553"/>
      <c r="R130" s="553"/>
      <c r="AN130" s="427"/>
      <c r="AO130" s="426"/>
    </row>
    <row r="131" spans="1:41" ht="12.75">
      <c r="A131" s="554" t="s">
        <v>1090</v>
      </c>
      <c r="B131" s="533"/>
      <c r="C131" s="533"/>
      <c r="D131" s="533"/>
      <c r="E131" s="533"/>
      <c r="F131" s="533"/>
      <c r="G131" s="534">
        <v>2010</v>
      </c>
      <c r="H131" s="534">
        <v>2011</v>
      </c>
      <c r="I131" s="534">
        <v>2012</v>
      </c>
      <c r="J131" s="534">
        <v>2013</v>
      </c>
      <c r="K131" s="534">
        <v>2014</v>
      </c>
      <c r="L131" s="534">
        <v>2014</v>
      </c>
      <c r="M131" s="534">
        <v>2014</v>
      </c>
      <c r="N131" s="534">
        <v>2014</v>
      </c>
      <c r="O131" s="534">
        <v>2014</v>
      </c>
      <c r="P131" s="534">
        <v>2014</v>
      </c>
      <c r="Q131" s="534">
        <v>2014</v>
      </c>
      <c r="R131" s="534">
        <v>2014</v>
      </c>
      <c r="AN131" s="427"/>
      <c r="AO131" s="426"/>
    </row>
    <row r="132" spans="1:41" ht="12.75">
      <c r="A132" s="409" t="s">
        <v>1070</v>
      </c>
      <c r="B132" s="532"/>
      <c r="C132" s="532"/>
      <c r="D132" s="532"/>
      <c r="E132" s="532"/>
      <c r="F132" s="532"/>
      <c r="G132" s="532"/>
      <c r="H132" s="532"/>
      <c r="I132" s="532"/>
      <c r="J132" s="532"/>
      <c r="K132" s="532"/>
      <c r="L132" s="532"/>
      <c r="M132" s="532"/>
      <c r="N132" s="532"/>
      <c r="O132" s="532"/>
      <c r="P132" s="532"/>
      <c r="Q132" s="532"/>
      <c r="R132" s="532"/>
      <c r="AN132" s="427"/>
      <c r="AO132" s="426"/>
    </row>
    <row r="133" spans="1:41" ht="12.75">
      <c r="A133" s="535" t="s">
        <v>1071</v>
      </c>
      <c r="B133" s="532"/>
      <c r="C133" s="536"/>
      <c r="D133" s="536"/>
      <c r="E133" s="536"/>
      <c r="F133" s="536"/>
      <c r="G133" s="537">
        <f t="shared" ref="G133:L133" si="44">G102</f>
        <v>46.871000000000002</v>
      </c>
      <c r="H133" s="537">
        <f t="shared" si="44"/>
        <v>48.082999999999998</v>
      </c>
      <c r="I133" s="537">
        <f t="shared" si="44"/>
        <v>70.364000000000004</v>
      </c>
      <c r="J133" s="537">
        <f t="shared" si="44"/>
        <v>70.364000000000004</v>
      </c>
      <c r="K133" s="537">
        <f t="shared" si="44"/>
        <v>70.364000000000004</v>
      </c>
      <c r="L133" s="537">
        <f t="shared" si="44"/>
        <v>70.364000000000004</v>
      </c>
      <c r="M133" s="537">
        <f t="shared" ref="M133:R133" si="45">M102</f>
        <v>70.364000000000004</v>
      </c>
      <c r="N133" s="537">
        <f t="shared" si="45"/>
        <v>70.364000000000004</v>
      </c>
      <c r="O133" s="537">
        <f t="shared" si="45"/>
        <v>70.364000000000004</v>
      </c>
      <c r="P133" s="537">
        <f t="shared" si="45"/>
        <v>70.364000000000004</v>
      </c>
      <c r="Q133" s="537">
        <f t="shared" si="45"/>
        <v>70.364000000000004</v>
      </c>
      <c r="R133" s="537">
        <f t="shared" si="45"/>
        <v>70.364000000000004</v>
      </c>
      <c r="AN133" s="427"/>
      <c r="AO133" s="426"/>
    </row>
    <row r="134" spans="1:41" ht="12.75">
      <c r="A134" s="538" t="s">
        <v>1072</v>
      </c>
      <c r="B134" s="532"/>
      <c r="C134" s="536"/>
      <c r="D134" s="536"/>
      <c r="E134" s="536"/>
      <c r="F134" s="536"/>
      <c r="G134" s="537"/>
      <c r="H134" s="537"/>
      <c r="I134" s="537"/>
      <c r="J134" s="537"/>
      <c r="K134" s="537"/>
      <c r="L134" s="537"/>
      <c r="M134" s="537"/>
      <c r="N134" s="537"/>
      <c r="O134" s="537"/>
      <c r="P134" s="537"/>
      <c r="Q134" s="537"/>
      <c r="R134" s="537"/>
      <c r="AN134" s="427"/>
      <c r="AO134" s="426"/>
    </row>
    <row r="135" spans="1:41" ht="12.75">
      <c r="A135" s="538" t="s">
        <v>1080</v>
      </c>
      <c r="B135" s="532"/>
      <c r="C135" s="532"/>
      <c r="D135" s="532"/>
      <c r="E135" s="532"/>
      <c r="F135" s="532"/>
      <c r="G135" s="537">
        <f t="shared" ref="G135:L135" si="46">SUM(G133:G134)</f>
        <v>46.871000000000002</v>
      </c>
      <c r="H135" s="537">
        <f t="shared" si="46"/>
        <v>48.082999999999998</v>
      </c>
      <c r="I135" s="537">
        <f t="shared" si="46"/>
        <v>70.364000000000004</v>
      </c>
      <c r="J135" s="537">
        <f t="shared" si="46"/>
        <v>70.364000000000004</v>
      </c>
      <c r="K135" s="537">
        <f t="shared" si="46"/>
        <v>70.364000000000004</v>
      </c>
      <c r="L135" s="537">
        <f t="shared" si="46"/>
        <v>70.364000000000004</v>
      </c>
      <c r="M135" s="537">
        <f t="shared" ref="M135:R135" si="47">SUM(M133:M134)</f>
        <v>70.364000000000004</v>
      </c>
      <c r="N135" s="537">
        <f t="shared" si="47"/>
        <v>70.364000000000004</v>
      </c>
      <c r="O135" s="537">
        <f t="shared" si="47"/>
        <v>70.364000000000004</v>
      </c>
      <c r="P135" s="537">
        <f t="shared" si="47"/>
        <v>70.364000000000004</v>
      </c>
      <c r="Q135" s="537">
        <f t="shared" si="47"/>
        <v>70.364000000000004</v>
      </c>
      <c r="R135" s="537">
        <f t="shared" si="47"/>
        <v>70.364000000000004</v>
      </c>
      <c r="AN135" s="427"/>
      <c r="AO135" s="426"/>
    </row>
    <row r="136" spans="1:41" ht="12.75">
      <c r="A136" s="535" t="s">
        <v>1095</v>
      </c>
      <c r="B136" s="532"/>
      <c r="C136" s="532"/>
      <c r="D136" s="532"/>
      <c r="E136" s="532"/>
      <c r="F136" s="532"/>
      <c r="G136" s="548">
        <f t="shared" ref="G136:R136" ca="1" si="48">$H$74</f>
        <v>115.60646736389791</v>
      </c>
      <c r="H136" s="548">
        <f t="shared" ca="1" si="48"/>
        <v>115.60646736389791</v>
      </c>
      <c r="I136" s="548">
        <f t="shared" ca="1" si="48"/>
        <v>115.60646736389791</v>
      </c>
      <c r="J136" s="548">
        <f t="shared" ca="1" si="48"/>
        <v>115.60646736389791</v>
      </c>
      <c r="K136" s="548">
        <f t="shared" ca="1" si="48"/>
        <v>115.60646736389791</v>
      </c>
      <c r="L136" s="548">
        <f t="shared" ca="1" si="48"/>
        <v>115.60646736389791</v>
      </c>
      <c r="M136" s="548">
        <f t="shared" ca="1" si="48"/>
        <v>115.60646736389791</v>
      </c>
      <c r="N136" s="548">
        <f t="shared" ca="1" si="48"/>
        <v>115.60646736389791</v>
      </c>
      <c r="O136" s="548">
        <f t="shared" ca="1" si="48"/>
        <v>115.60646736389791</v>
      </c>
      <c r="P136" s="548">
        <f t="shared" ca="1" si="48"/>
        <v>115.60646736389791</v>
      </c>
      <c r="Q136" s="548">
        <f t="shared" ca="1" si="48"/>
        <v>115.60646736389791</v>
      </c>
      <c r="R136" s="548">
        <f t="shared" ca="1" si="48"/>
        <v>115.60646736389791</v>
      </c>
      <c r="Z136"/>
      <c r="AN136" s="427"/>
      <c r="AO136" s="426"/>
    </row>
    <row r="137" spans="1:41" ht="12.75">
      <c r="A137" s="539" t="s">
        <v>1081</v>
      </c>
      <c r="B137" s="532"/>
      <c r="C137" s="532"/>
      <c r="D137" s="532"/>
      <c r="E137" s="532"/>
      <c r="F137" s="532"/>
      <c r="G137" s="540">
        <f t="shared" ref="G137:R137" ca="1" si="49">G136*G135</f>
        <v>5418.5907318132586</v>
      </c>
      <c r="H137" s="540">
        <f t="shared" ca="1" si="49"/>
        <v>5558.7057702583024</v>
      </c>
      <c r="I137" s="540">
        <f t="shared" ca="1" si="49"/>
        <v>8134.5334695933125</v>
      </c>
      <c r="J137" s="540">
        <f t="shared" ca="1" si="49"/>
        <v>8134.5334695933125</v>
      </c>
      <c r="K137" s="540">
        <f t="shared" ca="1" si="49"/>
        <v>8134.5334695933125</v>
      </c>
      <c r="L137" s="540">
        <f t="shared" ca="1" si="49"/>
        <v>8134.5334695933125</v>
      </c>
      <c r="M137" s="540">
        <f t="shared" ca="1" si="49"/>
        <v>8134.5334695933125</v>
      </c>
      <c r="N137" s="540">
        <f t="shared" ca="1" si="49"/>
        <v>8134.5334695933125</v>
      </c>
      <c r="O137" s="540">
        <f t="shared" ca="1" si="49"/>
        <v>8134.5334695933125</v>
      </c>
      <c r="P137" s="540">
        <f t="shared" ca="1" si="49"/>
        <v>8134.5334695933125</v>
      </c>
      <c r="Q137" s="540">
        <f t="shared" ca="1" si="49"/>
        <v>8134.5334695933125</v>
      </c>
      <c r="R137" s="540">
        <f t="shared" ca="1" si="49"/>
        <v>8134.5334695933125</v>
      </c>
      <c r="AN137" s="427"/>
      <c r="AO137" s="426"/>
    </row>
    <row r="138" spans="1:41" ht="3" customHeight="1">
      <c r="A138" s="541"/>
      <c r="B138" s="532"/>
      <c r="C138" s="532"/>
      <c r="D138" s="532"/>
      <c r="E138" s="532"/>
      <c r="F138" s="532"/>
      <c r="G138" s="532"/>
      <c r="H138" s="532"/>
      <c r="I138" s="532"/>
      <c r="J138" s="532"/>
      <c r="K138" s="532"/>
      <c r="L138" s="532"/>
      <c r="M138" s="532"/>
      <c r="N138" s="532"/>
      <c r="O138" s="532"/>
      <c r="P138" s="532"/>
      <c r="Q138" s="532"/>
      <c r="R138" s="532"/>
      <c r="AN138" s="427"/>
      <c r="AO138" s="426"/>
    </row>
    <row r="139" spans="1:41" ht="12.75">
      <c r="A139" s="542" t="s">
        <v>1082</v>
      </c>
      <c r="B139" s="532"/>
      <c r="C139" s="532"/>
      <c r="D139" s="532"/>
      <c r="E139" s="532"/>
      <c r="F139" s="532"/>
      <c r="G139" s="532"/>
      <c r="H139" s="532"/>
      <c r="I139" s="532"/>
      <c r="J139" s="532"/>
      <c r="K139" s="532"/>
      <c r="L139" s="532"/>
      <c r="M139" s="532"/>
      <c r="N139" s="532"/>
      <c r="O139" s="532"/>
      <c r="P139" s="532"/>
      <c r="Q139" s="532"/>
      <c r="R139" s="532"/>
      <c r="AN139" s="427"/>
      <c r="AO139" s="426"/>
    </row>
    <row r="140" spans="1:41" ht="12.75">
      <c r="A140" s="543" t="s">
        <v>1041</v>
      </c>
      <c r="B140" s="532"/>
      <c r="C140" s="532"/>
      <c r="D140" s="532"/>
      <c r="E140" s="532"/>
      <c r="F140" s="532"/>
      <c r="G140" s="536">
        <f t="shared" ref="G140:I141" si="50">G109</f>
        <v>2048.585</v>
      </c>
      <c r="H140" s="536">
        <f t="shared" si="50"/>
        <v>3099.13</v>
      </c>
      <c r="I140" s="536">
        <f t="shared" si="50"/>
        <v>6925.3099999999995</v>
      </c>
      <c r="J140" s="536">
        <f t="shared" ref="J140:L141" si="51">J109</f>
        <v>6925.3099999999995</v>
      </c>
      <c r="K140" s="536">
        <f t="shared" si="51"/>
        <v>6925.3099999999995</v>
      </c>
      <c r="L140" s="536">
        <f t="shared" si="51"/>
        <v>6925.3099999999995</v>
      </c>
      <c r="M140" s="536">
        <f t="shared" ref="M140:R140" si="52">M109</f>
        <v>6925.3099999999995</v>
      </c>
      <c r="N140" s="536">
        <f t="shared" si="52"/>
        <v>6925.3099999999995</v>
      </c>
      <c r="O140" s="536">
        <f t="shared" si="52"/>
        <v>6925.3099999999995</v>
      </c>
      <c r="P140" s="536">
        <f t="shared" si="52"/>
        <v>6925.3099999999995</v>
      </c>
      <c r="Q140" s="536">
        <f t="shared" si="52"/>
        <v>6925.3099999999995</v>
      </c>
      <c r="R140" s="536">
        <f t="shared" si="52"/>
        <v>6925.3099999999995</v>
      </c>
      <c r="AN140" s="427"/>
      <c r="AO140" s="426"/>
    </row>
    <row r="141" spans="1:41" ht="12.75">
      <c r="A141" s="538" t="s">
        <v>1083</v>
      </c>
      <c r="B141" s="532"/>
      <c r="C141" s="532"/>
      <c r="D141" s="532"/>
      <c r="E141" s="532"/>
      <c r="F141" s="532"/>
      <c r="G141" s="536">
        <f t="shared" si="50"/>
        <v>0</v>
      </c>
      <c r="H141" s="536">
        <f t="shared" si="50"/>
        <v>0</v>
      </c>
      <c r="I141" s="536">
        <f t="shared" si="50"/>
        <v>0</v>
      </c>
      <c r="J141" s="536">
        <f t="shared" si="51"/>
        <v>0</v>
      </c>
      <c r="K141" s="536">
        <f t="shared" si="51"/>
        <v>0</v>
      </c>
      <c r="L141" s="536">
        <f t="shared" si="51"/>
        <v>0</v>
      </c>
      <c r="M141" s="536">
        <f t="shared" ref="M141:R141" si="53">M110</f>
        <v>0</v>
      </c>
      <c r="N141" s="536">
        <f t="shared" si="53"/>
        <v>0</v>
      </c>
      <c r="O141" s="536">
        <f t="shared" si="53"/>
        <v>0</v>
      </c>
      <c r="P141" s="536">
        <f t="shared" si="53"/>
        <v>0</v>
      </c>
      <c r="Q141" s="536">
        <f t="shared" si="53"/>
        <v>0</v>
      </c>
      <c r="R141" s="536">
        <f t="shared" si="53"/>
        <v>0</v>
      </c>
      <c r="AN141" s="427"/>
      <c r="AO141" s="426"/>
    </row>
    <row r="142" spans="1:41" ht="12.75">
      <c r="A142" s="544" t="s">
        <v>1084</v>
      </c>
      <c r="B142" s="532"/>
      <c r="C142" s="532"/>
      <c r="D142" s="532"/>
      <c r="E142" s="532"/>
      <c r="F142" s="532"/>
      <c r="G142" s="545">
        <f t="shared" ref="G142:L142" si="54">SUM(G140:G141)</f>
        <v>2048.585</v>
      </c>
      <c r="H142" s="545">
        <f t="shared" si="54"/>
        <v>3099.13</v>
      </c>
      <c r="I142" s="545">
        <f t="shared" si="54"/>
        <v>6925.3099999999995</v>
      </c>
      <c r="J142" s="545">
        <f t="shared" si="54"/>
        <v>6925.3099999999995</v>
      </c>
      <c r="K142" s="545">
        <f t="shared" si="54"/>
        <v>6925.3099999999995</v>
      </c>
      <c r="L142" s="545">
        <f t="shared" si="54"/>
        <v>6925.3099999999995</v>
      </c>
      <c r="M142" s="545">
        <f t="shared" ref="M142:R142" si="55">SUM(M140:M141)</f>
        <v>6925.3099999999995</v>
      </c>
      <c r="N142" s="545">
        <f t="shared" si="55"/>
        <v>6925.3099999999995</v>
      </c>
      <c r="O142" s="545">
        <f t="shared" si="55"/>
        <v>6925.3099999999995</v>
      </c>
      <c r="P142" s="545">
        <f t="shared" si="55"/>
        <v>6925.3099999999995</v>
      </c>
      <c r="Q142" s="545">
        <f t="shared" si="55"/>
        <v>6925.3099999999995</v>
      </c>
      <c r="R142" s="545">
        <f t="shared" si="55"/>
        <v>6925.3099999999995</v>
      </c>
      <c r="AN142" s="427"/>
      <c r="AO142" s="426"/>
    </row>
    <row r="143" spans="1:41" ht="3" customHeight="1">
      <c r="A143" s="538"/>
      <c r="B143" s="532"/>
      <c r="C143" s="532"/>
      <c r="D143" s="532"/>
      <c r="E143" s="532"/>
      <c r="F143" s="532"/>
      <c r="G143" s="532"/>
      <c r="H143" s="532"/>
      <c r="I143" s="532"/>
      <c r="J143" s="532"/>
      <c r="K143" s="532"/>
      <c r="L143" s="532"/>
      <c r="M143" s="532"/>
      <c r="N143" s="532"/>
      <c r="O143" s="532"/>
      <c r="P143" s="532"/>
      <c r="Q143" s="532"/>
      <c r="R143" s="532"/>
      <c r="AN143" s="427"/>
      <c r="AO143" s="426"/>
    </row>
    <row r="144" spans="1:41" ht="12.75">
      <c r="A144" s="546" t="s">
        <v>1085</v>
      </c>
      <c r="B144" s="532"/>
      <c r="C144" s="532"/>
      <c r="D144" s="532"/>
      <c r="E144" s="532"/>
      <c r="F144" s="532"/>
      <c r="G144" s="532"/>
      <c r="H144" s="532"/>
      <c r="I144" s="532"/>
      <c r="J144" s="532"/>
      <c r="K144" s="532"/>
      <c r="L144" s="532"/>
      <c r="M144" s="532"/>
      <c r="N144" s="532"/>
      <c r="O144" s="532"/>
      <c r="P144" s="532"/>
      <c r="Q144" s="532"/>
      <c r="R144" s="532"/>
      <c r="AN144" s="427"/>
      <c r="AO144" s="426"/>
    </row>
    <row r="145" spans="1:41" ht="12.75">
      <c r="A145" s="535" t="s">
        <v>1086</v>
      </c>
      <c r="B145" s="532"/>
      <c r="C145" s="532"/>
      <c r="D145" s="536"/>
      <c r="E145" s="536"/>
      <c r="F145" s="536"/>
      <c r="G145" s="536">
        <f t="shared" ref="G145:L145" si="56">G114</f>
        <v>582.63400000000013</v>
      </c>
      <c r="H145" s="536">
        <f t="shared" si="56"/>
        <v>1050.8500000000001</v>
      </c>
      <c r="I145" s="536">
        <f t="shared" si="56"/>
        <v>1003.3939999999997</v>
      </c>
      <c r="J145" s="536">
        <f t="shared" si="56"/>
        <v>1003.3939999999997</v>
      </c>
      <c r="K145" s="536">
        <f t="shared" si="56"/>
        <v>1003.3939999999997</v>
      </c>
      <c r="L145" s="536">
        <f t="shared" si="56"/>
        <v>1003.3939999999997</v>
      </c>
      <c r="M145" s="536">
        <f t="shared" ref="M145:R145" si="57">M114</f>
        <v>1003.3939999999997</v>
      </c>
      <c r="N145" s="536">
        <f t="shared" si="57"/>
        <v>1003.3939999999997</v>
      </c>
      <c r="O145" s="536">
        <f t="shared" si="57"/>
        <v>1003.3939999999997</v>
      </c>
      <c r="P145" s="536">
        <f t="shared" si="57"/>
        <v>1003.3939999999997</v>
      </c>
      <c r="Q145" s="536">
        <f t="shared" si="57"/>
        <v>1003.3939999999997</v>
      </c>
      <c r="R145" s="536">
        <f t="shared" si="57"/>
        <v>1003.3939999999997</v>
      </c>
      <c r="AN145" s="427"/>
      <c r="AO145" s="426"/>
    </row>
    <row r="146" spans="1:41" ht="3" customHeight="1">
      <c r="A146" s="538"/>
      <c r="B146" s="532"/>
      <c r="C146" s="532"/>
      <c r="D146" s="532"/>
      <c r="E146" s="532"/>
      <c r="F146" s="532"/>
      <c r="G146" s="532"/>
      <c r="H146" s="532"/>
      <c r="I146" s="532"/>
      <c r="J146" s="532"/>
      <c r="K146" s="532"/>
      <c r="L146" s="532"/>
      <c r="M146" s="532"/>
      <c r="N146" s="532"/>
      <c r="O146" s="532"/>
      <c r="P146" s="532"/>
      <c r="Q146" s="532"/>
      <c r="R146" s="532"/>
      <c r="AN146" s="427"/>
      <c r="AO146" s="426"/>
    </row>
    <row r="147" spans="1:41" ht="12.75">
      <c r="A147" s="539" t="s">
        <v>1033</v>
      </c>
      <c r="B147" s="532"/>
      <c r="C147" s="532"/>
      <c r="D147" s="532"/>
      <c r="E147" s="532"/>
      <c r="F147" s="532"/>
      <c r="G147" s="545">
        <f t="shared" ref="G147:R147" ca="1" si="58">G137+G142-G145</f>
        <v>6884.5417318132586</v>
      </c>
      <c r="H147" s="545">
        <f t="shared" ca="1" si="58"/>
        <v>7606.9857702583013</v>
      </c>
      <c r="I147" s="545">
        <f t="shared" ca="1" si="58"/>
        <v>14056.449469593312</v>
      </c>
      <c r="J147" s="545">
        <f t="shared" ca="1" si="58"/>
        <v>14056.449469593312</v>
      </c>
      <c r="K147" s="545">
        <f t="shared" ca="1" si="58"/>
        <v>14056.449469593312</v>
      </c>
      <c r="L147" s="545">
        <f t="shared" ca="1" si="58"/>
        <v>14056.449469593312</v>
      </c>
      <c r="M147" s="545">
        <f t="shared" ca="1" si="58"/>
        <v>14056.449469593312</v>
      </c>
      <c r="N147" s="545">
        <f t="shared" ca="1" si="58"/>
        <v>14056.449469593312</v>
      </c>
      <c r="O147" s="545">
        <f t="shared" ca="1" si="58"/>
        <v>14056.449469593312</v>
      </c>
      <c r="P147" s="545">
        <f t="shared" ca="1" si="58"/>
        <v>14056.449469593312</v>
      </c>
      <c r="Q147" s="545">
        <f t="shared" ca="1" si="58"/>
        <v>14056.449469593312</v>
      </c>
      <c r="R147" s="545">
        <f t="shared" ca="1" si="58"/>
        <v>14056.449469593312</v>
      </c>
      <c r="AN147" s="427"/>
      <c r="AO147" s="426"/>
    </row>
    <row r="148" spans="1:41" ht="12.75">
      <c r="A148" s="547"/>
      <c r="B148" s="532"/>
      <c r="C148" s="532"/>
      <c r="D148" s="532"/>
      <c r="E148" s="532"/>
      <c r="F148" s="532"/>
      <c r="G148" s="532"/>
      <c r="H148" s="532"/>
      <c r="I148" s="532"/>
      <c r="J148" s="532"/>
      <c r="K148" s="532"/>
      <c r="L148" s="532"/>
      <c r="M148" s="532"/>
      <c r="N148" s="532"/>
      <c r="O148" s="532"/>
      <c r="P148" s="532"/>
      <c r="Q148" s="532"/>
      <c r="R148" s="532"/>
      <c r="AN148" s="427"/>
      <c r="AO148" s="426"/>
    </row>
    <row r="149" spans="1:41" ht="12.75">
      <c r="A149" s="538" t="s">
        <v>994</v>
      </c>
      <c r="B149" s="532"/>
      <c r="C149" s="532"/>
      <c r="D149" s="532"/>
      <c r="E149" s="532"/>
      <c r="F149" s="532"/>
      <c r="G149" s="552">
        <f t="shared" ref="G149:L149" si="59">G118</f>
        <v>533.02100000000007</v>
      </c>
      <c r="H149" s="552">
        <f t="shared" si="59"/>
        <v>719.80500000000018</v>
      </c>
      <c r="I149" s="552">
        <f t="shared" si="59"/>
        <v>877.99599999999987</v>
      </c>
      <c r="J149" s="552">
        <f t="shared" si="59"/>
        <v>1000.8980000000001</v>
      </c>
      <c r="K149" s="552">
        <f t="shared" si="59"/>
        <v>1113.8909999999998</v>
      </c>
      <c r="L149" s="552">
        <f t="shared" si="59"/>
        <v>1271.6270000000004</v>
      </c>
      <c r="M149" s="552">
        <f t="shared" ref="M149:R149" si="60">M118</f>
        <v>1649.7759999999998</v>
      </c>
      <c r="N149" s="552">
        <f t="shared" si="60"/>
        <v>2052.0410000000002</v>
      </c>
      <c r="O149" s="552">
        <f t="shared" ca="1" si="60"/>
        <v>2396.2013118891828</v>
      </c>
      <c r="P149" s="552">
        <f t="shared" ca="1" si="60"/>
        <v>2626.6195144712165</v>
      </c>
      <c r="Q149" s="552">
        <f t="shared" ca="1" si="60"/>
        <v>2847.0470495173981</v>
      </c>
      <c r="R149" s="552">
        <f t="shared" ca="1" si="60"/>
        <v>3057.2702817644617</v>
      </c>
      <c r="AN149" s="427"/>
      <c r="AO149" s="426"/>
    </row>
    <row r="150" spans="1:41" ht="12.75">
      <c r="A150" s="544" t="s">
        <v>1087</v>
      </c>
      <c r="B150" s="532"/>
      <c r="C150" s="532"/>
      <c r="D150" s="532"/>
      <c r="E150" s="532"/>
      <c r="F150" s="532"/>
      <c r="G150" s="549">
        <f t="shared" ref="G150:R150" ca="1" si="61">G147/G149</f>
        <v>12.916079726339596</v>
      </c>
      <c r="H150" s="549">
        <f t="shared" ca="1" si="61"/>
        <v>10.56812021347212</v>
      </c>
      <c r="I150" s="549">
        <f t="shared" ca="1" si="61"/>
        <v>16.009696478791831</v>
      </c>
      <c r="J150" s="549">
        <f t="shared" ca="1" si="61"/>
        <v>14.043838102976837</v>
      </c>
      <c r="K150" s="549">
        <f t="shared" ca="1" si="61"/>
        <v>12.619232464929974</v>
      </c>
      <c r="L150" s="549">
        <f t="shared" ca="1" si="61"/>
        <v>11.053909259235065</v>
      </c>
      <c r="M150" s="549">
        <f t="shared" ca="1" si="61"/>
        <v>8.5202169686025933</v>
      </c>
      <c r="N150" s="549">
        <f t="shared" ca="1" si="61"/>
        <v>6.8499847077096954</v>
      </c>
      <c r="O150" s="549">
        <f t="shared" ca="1" si="61"/>
        <v>5.8661387921998518</v>
      </c>
      <c r="P150" s="549">
        <f t="shared" ca="1" si="61"/>
        <v>5.3515362206631272</v>
      </c>
      <c r="Q150" s="549">
        <f t="shared" ca="1" si="61"/>
        <v>4.9372030827435802</v>
      </c>
      <c r="R150" s="549">
        <f t="shared" ca="1" si="61"/>
        <v>4.5977123950849466</v>
      </c>
      <c r="AN150" s="427"/>
      <c r="AO150" s="426"/>
    </row>
    <row r="151" spans="1:41" ht="3" customHeight="1">
      <c r="A151" s="544"/>
      <c r="B151" s="532"/>
      <c r="C151" s="532"/>
      <c r="D151" s="532"/>
      <c r="E151" s="532"/>
      <c r="F151" s="532"/>
      <c r="G151" s="532"/>
      <c r="H151" s="532"/>
      <c r="I151" s="532"/>
      <c r="J151" s="532"/>
      <c r="K151" s="532"/>
      <c r="L151" s="532"/>
      <c r="M151" s="532"/>
      <c r="N151" s="532"/>
      <c r="O151" s="532"/>
      <c r="P151" s="532"/>
      <c r="Q151" s="532"/>
      <c r="R151" s="532"/>
      <c r="AN151" s="427"/>
      <c r="AO151" s="426"/>
    </row>
    <row r="152" spans="1:41" ht="12.75">
      <c r="A152" s="538" t="s">
        <v>1088</v>
      </c>
      <c r="B152" s="532"/>
      <c r="C152" s="532"/>
      <c r="D152" s="532"/>
      <c r="E152" s="532"/>
      <c r="F152" s="532"/>
      <c r="G152" s="552">
        <f t="shared" ref="G152:L152" si="62">G121</f>
        <v>719.80500000000018</v>
      </c>
      <c r="H152" s="552">
        <f t="shared" si="62"/>
        <v>877.99599999999987</v>
      </c>
      <c r="I152" s="552">
        <f t="shared" si="62"/>
        <v>1000.8980000000001</v>
      </c>
      <c r="J152" s="552">
        <f t="shared" si="62"/>
        <v>1113.8909999999998</v>
      </c>
      <c r="K152" s="552">
        <f t="shared" si="62"/>
        <v>1271.6270000000004</v>
      </c>
      <c r="L152" s="552">
        <f t="shared" si="62"/>
        <v>1649.7759999999998</v>
      </c>
      <c r="M152" s="552">
        <f t="shared" ref="M152:R152" si="63">M121</f>
        <v>2052.0410000000002</v>
      </c>
      <c r="N152" s="552">
        <f t="shared" ca="1" si="63"/>
        <v>2396.2013118891828</v>
      </c>
      <c r="O152" s="552">
        <f t="shared" ca="1" si="63"/>
        <v>2626.6195144712165</v>
      </c>
      <c r="P152" s="552">
        <f t="shared" ca="1" si="63"/>
        <v>2847.0470495173981</v>
      </c>
      <c r="Q152" s="552">
        <f t="shared" ca="1" si="63"/>
        <v>3057.2702817644617</v>
      </c>
      <c r="R152" s="552">
        <f t="shared" ca="1" si="63"/>
        <v>0.18240166458476681</v>
      </c>
      <c r="AN152" s="427"/>
      <c r="AO152" s="426"/>
    </row>
    <row r="153" spans="1:41" ht="12.75">
      <c r="A153" s="544" t="s">
        <v>1087</v>
      </c>
      <c r="B153" s="532"/>
      <c r="C153" s="532"/>
      <c r="D153" s="532"/>
      <c r="E153" s="532"/>
      <c r="F153" s="532"/>
      <c r="G153" s="549">
        <f t="shared" ref="G153:R153" ca="1" si="64">G147/G152</f>
        <v>9.5644538893356632</v>
      </c>
      <c r="H153" s="549">
        <f t="shared" ca="1" si="64"/>
        <v>8.6640323762959088</v>
      </c>
      <c r="I153" s="549">
        <f t="shared" ca="1" si="64"/>
        <v>14.043838102976837</v>
      </c>
      <c r="J153" s="549">
        <f t="shared" ca="1" si="64"/>
        <v>12.619232464929974</v>
      </c>
      <c r="K153" s="549">
        <f t="shared" ca="1" si="64"/>
        <v>11.053909259235065</v>
      </c>
      <c r="L153" s="549">
        <f t="shared" ca="1" si="64"/>
        <v>8.5202169686025933</v>
      </c>
      <c r="M153" s="549">
        <f t="shared" ca="1" si="64"/>
        <v>6.8499847077096954</v>
      </c>
      <c r="N153" s="549">
        <f t="shared" ca="1" si="64"/>
        <v>5.8661387921998518</v>
      </c>
      <c r="O153" s="549">
        <f t="shared" ca="1" si="64"/>
        <v>5.3515362206631272</v>
      </c>
      <c r="P153" s="549">
        <f t="shared" ca="1" si="64"/>
        <v>4.9372030827435802</v>
      </c>
      <c r="Q153" s="549">
        <f t="shared" ca="1" si="64"/>
        <v>4.5977123950849466</v>
      </c>
      <c r="R153" s="549">
        <f t="shared" ca="1" si="64"/>
        <v>77063.164426665156</v>
      </c>
      <c r="AN153" s="427"/>
      <c r="AO153" s="426"/>
    </row>
    <row r="154" spans="1:41" ht="3" customHeight="1">
      <c r="A154" s="544"/>
      <c r="B154" s="532"/>
      <c r="C154" s="532"/>
      <c r="D154" s="532"/>
      <c r="E154" s="532"/>
      <c r="F154" s="532"/>
      <c r="G154" s="532"/>
      <c r="H154" s="532"/>
      <c r="I154" s="532"/>
      <c r="J154" s="532"/>
      <c r="K154" s="532"/>
      <c r="L154" s="532"/>
      <c r="M154" s="532"/>
      <c r="N154" s="532"/>
      <c r="O154" s="532"/>
      <c r="P154" s="532"/>
      <c r="Q154" s="532"/>
      <c r="R154" s="532"/>
      <c r="AN154" s="427"/>
      <c r="AO154" s="426"/>
    </row>
    <row r="155" spans="1:41" ht="12.75">
      <c r="A155" s="550" t="s">
        <v>1091</v>
      </c>
      <c r="B155" s="532"/>
      <c r="C155" s="532"/>
      <c r="D155" s="532"/>
      <c r="E155" s="532"/>
      <c r="F155" s="532"/>
      <c r="G155" s="552">
        <f>G124</f>
        <v>-106.40599999999993</v>
      </c>
      <c r="H155" s="552">
        <f t="shared" ref="H155:I158" si="65">H124</f>
        <v>3.0089500000000129</v>
      </c>
      <c r="I155" s="552">
        <f t="shared" si="65"/>
        <v>4.7152999999997576</v>
      </c>
      <c r="J155" s="552">
        <f t="shared" ref="J155:R155" si="66">J124</f>
        <v>192.84325000000027</v>
      </c>
      <c r="K155" s="552">
        <f t="shared" si="66"/>
        <v>203.19730000000021</v>
      </c>
      <c r="L155" s="552">
        <f t="shared" si="66"/>
        <v>218.7320999999996</v>
      </c>
      <c r="M155" s="552">
        <f t="shared" si="66"/>
        <v>156.33658706250003</v>
      </c>
      <c r="N155" s="552">
        <f t="shared" ca="1" si="66"/>
        <v>362.73224959895197</v>
      </c>
      <c r="O155" s="552">
        <f t="shared" ca="1" si="66"/>
        <v>225.1933171310742</v>
      </c>
      <c r="P155" s="552">
        <f t="shared" ca="1" si="66"/>
        <v>475.58436291509804</v>
      </c>
      <c r="Q155" s="552">
        <f t="shared" ca="1" si="66"/>
        <v>868.81275424584032</v>
      </c>
      <c r="R155" s="552">
        <f t="shared" ca="1" si="66"/>
        <v>1097.2782259160181</v>
      </c>
      <c r="AN155" s="427"/>
      <c r="AO155" s="426"/>
    </row>
    <row r="156" spans="1:41" ht="12.75">
      <c r="A156" s="551" t="s">
        <v>1092</v>
      </c>
      <c r="B156" s="532"/>
      <c r="C156" s="532"/>
      <c r="D156" s="532"/>
      <c r="E156" s="532"/>
      <c r="F156" s="532"/>
      <c r="G156" s="549">
        <f t="shared" ref="G156:R156" ca="1" si="67">G137/G155</f>
        <v>-50.92373298322709</v>
      </c>
      <c r="H156" s="549">
        <f t="shared" ca="1" si="67"/>
        <v>1847.3905416368762</v>
      </c>
      <c r="I156" s="549">
        <f t="shared" ca="1" si="67"/>
        <v>1725.1359340007489</v>
      </c>
      <c r="J156" s="549">
        <f t="shared" ca="1" si="67"/>
        <v>42.182101108508085</v>
      </c>
      <c r="K156" s="549">
        <f t="shared" ca="1" si="67"/>
        <v>40.032684831901328</v>
      </c>
      <c r="L156" s="549">
        <f t="shared" ca="1" si="67"/>
        <v>37.189481880315363</v>
      </c>
      <c r="M156" s="549">
        <f t="shared" ca="1" si="67"/>
        <v>52.032180198108712</v>
      </c>
      <c r="N156" s="549">
        <f t="shared" ca="1" si="67"/>
        <v>22.425724425074158</v>
      </c>
      <c r="O156" s="549">
        <f t="shared" ca="1" si="67"/>
        <v>36.122446141945645</v>
      </c>
      <c r="P156" s="549">
        <f t="shared" ca="1" si="67"/>
        <v>17.104291275963377</v>
      </c>
      <c r="Q156" s="549">
        <f t="shared" ca="1" si="67"/>
        <v>9.3628154396218211</v>
      </c>
      <c r="R156" s="549">
        <f t="shared" ca="1" si="67"/>
        <v>7.4133736343875123</v>
      </c>
      <c r="AN156" s="427"/>
      <c r="AO156" s="426"/>
    </row>
    <row r="157" spans="1:41" ht="3" customHeight="1">
      <c r="A157" s="551"/>
      <c r="G157" s="552"/>
      <c r="H157" s="552"/>
      <c r="I157" s="552"/>
      <c r="J157" s="552"/>
      <c r="K157" s="552"/>
      <c r="L157" s="552"/>
      <c r="M157" s="552"/>
      <c r="N157" s="552"/>
      <c r="O157" s="552"/>
      <c r="P157" s="552"/>
      <c r="Q157" s="552"/>
      <c r="R157" s="552"/>
      <c r="AN157" s="427"/>
      <c r="AO157" s="426"/>
    </row>
    <row r="158" spans="1:41">
      <c r="A158" s="550" t="s">
        <v>1093</v>
      </c>
      <c r="G158" s="552">
        <f>G127</f>
        <v>-196.72999999999996</v>
      </c>
      <c r="H158" s="552">
        <f t="shared" si="65"/>
        <v>-113.35599999999999</v>
      </c>
      <c r="I158" s="552">
        <f t="shared" si="65"/>
        <v>-123.24500000000023</v>
      </c>
      <c r="J158" s="552">
        <f t="shared" ref="J158:R158" si="68">J127</f>
        <v>33.330000000000268</v>
      </c>
      <c r="K158" s="552">
        <f t="shared" si="68"/>
        <v>29.217000000000212</v>
      </c>
      <c r="L158" s="552">
        <f t="shared" si="68"/>
        <v>26.673999999999637</v>
      </c>
      <c r="M158" s="552">
        <f t="shared" si="68"/>
        <v>-96.784999999999968</v>
      </c>
      <c r="N158" s="552">
        <f t="shared" si="68"/>
        <v>60.508000000000266</v>
      </c>
      <c r="O158" s="552">
        <f t="shared" ca="1" si="68"/>
        <v>-136.23044143314701</v>
      </c>
      <c r="P158" s="552">
        <f t="shared" ca="1" si="68"/>
        <v>97.571918623345937</v>
      </c>
      <c r="Q158" s="552">
        <f t="shared" ca="1" si="68"/>
        <v>463.5942014612101</v>
      </c>
      <c r="R158" s="552">
        <f t="shared" ca="1" si="68"/>
        <v>665.42434386815671</v>
      </c>
      <c r="AN158" s="427"/>
      <c r="AO158" s="426"/>
    </row>
    <row r="159" spans="1:41">
      <c r="A159" s="551" t="s">
        <v>1089</v>
      </c>
      <c r="G159" s="549">
        <f t="shared" ref="G159:R159" ca="1" si="69">G137/G158</f>
        <v>-27.543286391568444</v>
      </c>
      <c r="H159" s="549">
        <f t="shared" ca="1" si="69"/>
        <v>-49.037596335953126</v>
      </c>
      <c r="I159" s="549">
        <f t="shared" ca="1" si="69"/>
        <v>-66.002949162994824</v>
      </c>
      <c r="J159" s="549">
        <f t="shared" ca="1" si="69"/>
        <v>244.0604101288103</v>
      </c>
      <c r="K159" s="549">
        <f t="shared" ca="1" si="69"/>
        <v>278.41782077534498</v>
      </c>
      <c r="L159" s="549">
        <f t="shared" ca="1" si="69"/>
        <v>304.96114079603444</v>
      </c>
      <c r="M159" s="549">
        <f t="shared" ca="1" si="69"/>
        <v>-84.047460552702532</v>
      </c>
      <c r="N159" s="549">
        <f t="shared" ca="1" si="69"/>
        <v>134.43732183501814</v>
      </c>
      <c r="O159" s="549">
        <f t="shared" ca="1" si="69"/>
        <v>-59.711569484895264</v>
      </c>
      <c r="P159" s="549">
        <f t="shared" ca="1" si="69"/>
        <v>83.36961683611878</v>
      </c>
      <c r="Q159" s="549">
        <f t="shared" ca="1" si="69"/>
        <v>17.546667848635604</v>
      </c>
      <c r="R159" s="549">
        <f t="shared" ca="1" si="69"/>
        <v>12.224580517007718</v>
      </c>
      <c r="AN159" s="427"/>
      <c r="AO159" s="426"/>
    </row>
    <row r="161" spans="1:41">
      <c r="A161" s="550" t="s">
        <v>978</v>
      </c>
      <c r="G161" s="552">
        <f>CF!O142</f>
        <v>7.1016940240501123</v>
      </c>
      <c r="H161" s="552">
        <f>CF!P142</f>
        <v>8.8707754668426961</v>
      </c>
      <c r="I161" s="552">
        <f>CF!Q142</f>
        <v>10.408111625770392</v>
      </c>
      <c r="J161" s="552">
        <f>CF!R142</f>
        <v>11.858844117147743</v>
      </c>
      <c r="K161" s="552">
        <f>CF!S142</f>
        <v>0</v>
      </c>
      <c r="L161" s="552">
        <f>CF!T142</f>
        <v>0</v>
      </c>
      <c r="M161" s="552">
        <f>CF!U142</f>
        <v>0</v>
      </c>
      <c r="N161" s="552">
        <f>CF!V142</f>
        <v>0</v>
      </c>
      <c r="O161" s="552">
        <f>CF!W142</f>
        <v>0</v>
      </c>
      <c r="P161" s="552">
        <f>CF!X142</f>
        <v>0</v>
      </c>
      <c r="Q161" s="552">
        <f>CF!Y142</f>
        <v>0</v>
      </c>
      <c r="R161" s="552">
        <f>CF!Z142</f>
        <v>0</v>
      </c>
      <c r="AN161" s="427"/>
      <c r="AO161" s="426"/>
    </row>
    <row r="162" spans="1:41">
      <c r="A162" s="550" t="s">
        <v>979</v>
      </c>
      <c r="G162" s="1693">
        <v>15</v>
      </c>
      <c r="H162" s="1693">
        <v>15</v>
      </c>
      <c r="I162" s="1693">
        <v>15</v>
      </c>
      <c r="J162" s="1693">
        <v>15</v>
      </c>
      <c r="K162" s="1693">
        <v>15</v>
      </c>
      <c r="L162" s="1693">
        <v>15</v>
      </c>
      <c r="M162" s="1693">
        <v>15</v>
      </c>
      <c r="N162" s="1693">
        <v>15</v>
      </c>
      <c r="O162" s="1693">
        <v>15</v>
      </c>
      <c r="P162" s="1693">
        <v>15</v>
      </c>
      <c r="Q162" s="1693">
        <v>15</v>
      </c>
      <c r="R162" s="1693">
        <v>15</v>
      </c>
      <c r="AN162" s="427"/>
      <c r="AO162" s="426"/>
    </row>
    <row r="163" spans="1:41">
      <c r="A163" s="551" t="s">
        <v>980</v>
      </c>
      <c r="G163" s="540">
        <f t="shared" ref="G163:L163" si="70">G161*G162</f>
        <v>106.52541036075168</v>
      </c>
      <c r="H163" s="540">
        <f t="shared" si="70"/>
        <v>133.06163200264044</v>
      </c>
      <c r="I163" s="540">
        <f t="shared" si="70"/>
        <v>156.12167438655587</v>
      </c>
      <c r="J163" s="540">
        <f t="shared" si="70"/>
        <v>177.88266175721614</v>
      </c>
      <c r="K163" s="540">
        <f t="shared" si="70"/>
        <v>0</v>
      </c>
      <c r="L163" s="540">
        <f t="shared" si="70"/>
        <v>0</v>
      </c>
      <c r="M163" s="540">
        <f t="shared" ref="M163:R163" si="71">M161*M162</f>
        <v>0</v>
      </c>
      <c r="N163" s="540">
        <f t="shared" si="71"/>
        <v>0</v>
      </c>
      <c r="O163" s="540">
        <f t="shared" si="71"/>
        <v>0</v>
      </c>
      <c r="P163" s="540">
        <f t="shared" si="71"/>
        <v>0</v>
      </c>
      <c r="Q163" s="540">
        <f t="shared" si="71"/>
        <v>0</v>
      </c>
      <c r="R163" s="540">
        <f t="shared" si="71"/>
        <v>0</v>
      </c>
      <c r="AN163" s="427"/>
      <c r="AO163" s="426"/>
    </row>
  </sheetData>
  <phoneticPr fontId="8" type="noConversion"/>
  <pageMargins left="0.25" right="0.25" top="0.25" bottom="0.25" header="0" footer="0"/>
  <pageSetup scale="77" orientation="landscape" r:id="rId1"/>
  <headerFooter alignWithMargins="0"/>
  <legacy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C3:H14"/>
  <sheetViews>
    <sheetView workbookViewId="0"/>
  </sheetViews>
  <sheetFormatPr defaultRowHeight="12.75"/>
  <cols>
    <col min="3" max="3" width="10.28515625" bestFit="1" customWidth="1"/>
  </cols>
  <sheetData>
    <row r="3" spans="3:8">
      <c r="C3" s="1749"/>
      <c r="D3" s="1750">
        <v>2011</v>
      </c>
      <c r="E3" s="1751">
        <v>2012</v>
      </c>
      <c r="F3" s="1751">
        <v>2013</v>
      </c>
      <c r="G3" s="1751">
        <f>+F3+1</f>
        <v>2014</v>
      </c>
      <c r="H3" s="1751">
        <f>+G3+1</f>
        <v>2015</v>
      </c>
    </row>
    <row r="4" spans="3:8">
      <c r="C4" s="1752" t="s">
        <v>240</v>
      </c>
    </row>
    <row r="5" spans="3:8">
      <c r="C5" t="s">
        <v>975</v>
      </c>
      <c r="D5" s="1226">
        <v>1606.84</v>
      </c>
      <c r="E5" s="1226">
        <f>IS!Q15</f>
        <v>1887.376</v>
      </c>
      <c r="F5" s="1226">
        <f>IS!R15</f>
        <v>2152.7660000000001</v>
      </c>
      <c r="G5" s="1226">
        <f>IS!S15</f>
        <v>2443.7749999999996</v>
      </c>
      <c r="H5" s="1226">
        <f>IS!T15</f>
        <v>2725.8670000000002</v>
      </c>
    </row>
    <row r="6" spans="3:8">
      <c r="C6" s="246" t="s">
        <v>1322</v>
      </c>
      <c r="D6" s="580"/>
      <c r="E6" s="1661">
        <f>+E5/D5-1</f>
        <v>0.17458863359139687</v>
      </c>
      <c r="F6" s="1661">
        <f>+F5/E5-1</f>
        <v>0.14061321114605674</v>
      </c>
      <c r="G6" s="1661">
        <f>+G5/F5-1</f>
        <v>0.13517911375411895</v>
      </c>
      <c r="H6" s="1661">
        <f>+H5/G5-1</f>
        <v>0.11543288559707854</v>
      </c>
    </row>
    <row r="7" spans="3:8">
      <c r="C7" t="s">
        <v>994</v>
      </c>
      <c r="D7" s="1226">
        <f>IS!P37</f>
        <v>719.80500000000018</v>
      </c>
      <c r="E7" s="1226">
        <f>IS!Q37</f>
        <v>887.85699999999986</v>
      </c>
      <c r="F7" s="1226">
        <f>IS!R37</f>
        <v>1000.898</v>
      </c>
      <c r="G7" s="1226">
        <f>IS!S37</f>
        <v>1113.8909999999996</v>
      </c>
      <c r="H7" s="1226">
        <f>IS!T37</f>
        <v>1271.6270000000004</v>
      </c>
    </row>
    <row r="8" spans="3:8">
      <c r="C8" s="246" t="s">
        <v>1322</v>
      </c>
      <c r="E8" s="1661">
        <f>+E7/D7-1</f>
        <v>0.23346878668528226</v>
      </c>
      <c r="F8" s="1661">
        <f>+F7/E7-1</f>
        <v>0.12731892635863673</v>
      </c>
      <c r="G8" s="1661">
        <f>+G7/F7-1</f>
        <v>0.11289162332225611</v>
      </c>
      <c r="H8" s="1661">
        <f>+H7/G7-1</f>
        <v>0.14160811066792078</v>
      </c>
    </row>
    <row r="10" spans="3:8">
      <c r="C10" s="1752" t="s">
        <v>637</v>
      </c>
    </row>
    <row r="11" spans="3:8">
      <c r="C11" t="s">
        <v>975</v>
      </c>
      <c r="D11" s="1226">
        <v>1606.84</v>
      </c>
      <c r="E11" s="1226">
        <v>1899.26</v>
      </c>
      <c r="F11" s="1226">
        <v>2219.6</v>
      </c>
      <c r="G11" s="1226">
        <v>2538.41</v>
      </c>
      <c r="H11" s="1226">
        <v>2828.89</v>
      </c>
    </row>
    <row r="12" spans="3:8">
      <c r="C12" s="246" t="s">
        <v>1322</v>
      </c>
      <c r="D12" s="580"/>
      <c r="E12" s="1661">
        <f>+E11/D11-1</f>
        <v>0.18198451619327383</v>
      </c>
      <c r="F12" s="1661">
        <f>+F11/E11-1</f>
        <v>0.16866569084801442</v>
      </c>
      <c r="G12" s="1661">
        <f>+G11/F11-1</f>
        <v>0.14363398810596495</v>
      </c>
      <c r="H12" s="1661">
        <f>+H11/G11-1</f>
        <v>0.11443383850520594</v>
      </c>
    </row>
    <row r="13" spans="3:8">
      <c r="C13" t="s">
        <v>994</v>
      </c>
      <c r="D13" s="1226">
        <v>719.80499999999995</v>
      </c>
      <c r="E13" s="1226">
        <v>886.86</v>
      </c>
      <c r="F13" s="1226">
        <v>1034.0999999999999</v>
      </c>
      <c r="G13" s="1226">
        <v>1195.08</v>
      </c>
      <c r="H13" s="1226">
        <v>1343.7</v>
      </c>
    </row>
    <row r="14" spans="3:8">
      <c r="C14" s="246" t="s">
        <v>1322</v>
      </c>
      <c r="E14" s="1661">
        <f>+E13/D13-1</f>
        <v>0.23208368933252777</v>
      </c>
      <c r="F14" s="1661">
        <f>+F13/E13-1</f>
        <v>0.16602394966511058</v>
      </c>
      <c r="G14" s="1661">
        <f>+G13/F13-1</f>
        <v>0.15567159849144185</v>
      </c>
      <c r="H14" s="1661">
        <f>+H13/G13-1</f>
        <v>0.124359875489507</v>
      </c>
    </row>
  </sheetData>
  <phoneticPr fontId="2" type="noConversion"/>
  <pageMargins left="0.75" right="0.75" top="1" bottom="1" header="0.5" footer="0.5"/>
  <pageSetup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4:IV432"/>
  <sheetViews>
    <sheetView zoomScale="70" workbookViewId="0">
      <pane xSplit="3" ySplit="5" topLeftCell="F6" activePane="bottomRight" state="frozen"/>
      <selection pane="topRight" activeCell="D1" sqref="D1"/>
      <selection pane="bottomLeft" activeCell="A6" sqref="A6"/>
      <selection pane="bottomRight" activeCell="U24" sqref="U24"/>
    </sheetView>
  </sheetViews>
  <sheetFormatPr defaultRowHeight="12.75" outlineLevelRow="2" outlineLevelCol="1"/>
  <cols>
    <col min="1" max="1" width="2.140625" customWidth="1"/>
    <col min="2" max="2" width="27.85546875" customWidth="1"/>
    <col min="3" max="3" width="3" customWidth="1"/>
    <col min="4" max="4" width="3" customWidth="1" outlineLevel="1"/>
    <col min="5" max="12" width="9.140625" outlineLevel="1"/>
    <col min="19" max="25" width="9.140625" outlineLevel="1"/>
    <col min="26" max="26" width="1.5703125" customWidth="1"/>
    <col min="27" max="54" width="9.140625" outlineLevel="1"/>
    <col min="83" max="83" width="0.7109375" customWidth="1"/>
    <col min="84" max="85" width="10.42578125" customWidth="1"/>
    <col min="86" max="86" width="12.7109375" customWidth="1"/>
    <col min="95" max="95" width="8.85546875" customWidth="1"/>
    <col min="122" max="122" width="17.140625" customWidth="1"/>
    <col min="123" max="123" width="0.7109375" customWidth="1"/>
    <col min="124" max="124" width="12" customWidth="1" outlineLevel="1"/>
    <col min="125" max="125" width="7.140625" customWidth="1"/>
    <col min="126" max="126" width="8" customWidth="1" outlineLevel="1"/>
    <col min="127" max="127" width="8.28515625" customWidth="1"/>
    <col min="128" max="128" width="7.7109375" customWidth="1"/>
    <col min="129" max="129" width="1.140625" customWidth="1"/>
    <col min="130" max="130" width="6.85546875" customWidth="1"/>
    <col min="131" max="131" width="6.7109375" customWidth="1"/>
    <col min="132" max="132" width="9.140625" hidden="1" customWidth="1" outlineLevel="1"/>
    <col min="133" max="133" width="9" hidden="1" customWidth="1" outlineLevel="1"/>
    <col min="134" max="134" width="0.85546875" customWidth="1" collapsed="1"/>
    <col min="135" max="135" width="10.5703125" bestFit="1" customWidth="1" outlineLevel="1"/>
    <col min="136" max="136" width="12.28515625" customWidth="1" outlineLevel="1"/>
    <col min="137" max="137" width="0.85546875" customWidth="1"/>
    <col min="141" max="141" width="14.5703125" customWidth="1"/>
    <col min="143" max="143" width="61.7109375" customWidth="1"/>
    <col min="144" max="144" width="12" customWidth="1"/>
    <col min="147" max="147" width="17.5703125" customWidth="1"/>
    <col min="148" max="148" width="19.7109375" customWidth="1"/>
    <col min="149" max="149" width="19.28515625" customWidth="1"/>
    <col min="150" max="150" width="13.7109375" customWidth="1"/>
    <col min="151" max="151" width="0.7109375" customWidth="1"/>
    <col min="152" max="152" width="9.42578125" bestFit="1" customWidth="1"/>
    <col min="154" max="154" width="9.85546875" bestFit="1" customWidth="1"/>
    <col min="156" max="156" width="9.85546875" bestFit="1" customWidth="1"/>
    <col min="158" max="159" width="9.85546875" bestFit="1" customWidth="1"/>
    <col min="161" max="161" width="16.140625" customWidth="1"/>
    <col min="162" max="162" width="14.28515625" customWidth="1"/>
    <col min="163" max="163" width="12.42578125" hidden="1" customWidth="1"/>
    <col min="164" max="164" width="10" hidden="1" customWidth="1"/>
    <col min="165" max="165" width="10.42578125" hidden="1" customWidth="1"/>
    <col min="166" max="166" width="12.85546875" hidden="1" customWidth="1"/>
    <col min="167" max="167" width="20.7109375" customWidth="1"/>
    <col min="168" max="168" width="21.140625" customWidth="1"/>
    <col min="169" max="169" width="20.7109375" customWidth="1"/>
    <col min="170" max="170" width="16.7109375" customWidth="1"/>
    <col min="171" max="171" width="17.42578125" customWidth="1"/>
  </cols>
  <sheetData>
    <row r="4" spans="2:82" s="15" customFormat="1">
      <c r="E4" s="774"/>
      <c r="F4" s="121"/>
      <c r="G4" s="121"/>
      <c r="H4" s="121"/>
      <c r="I4" s="775"/>
      <c r="J4" s="775"/>
      <c r="K4" s="775"/>
      <c r="L4" s="775"/>
      <c r="M4" s="776" t="s">
        <v>1052</v>
      </c>
      <c r="N4" s="775"/>
      <c r="O4" s="775"/>
      <c r="P4" s="775"/>
      <c r="Q4" s="775"/>
      <c r="R4" s="779"/>
      <c r="S4" s="775"/>
      <c r="T4" s="779"/>
      <c r="U4" s="779"/>
      <c r="V4" s="779"/>
      <c r="W4" s="779"/>
      <c r="X4" s="779"/>
      <c r="Y4" s="779"/>
      <c r="AA4" s="776" t="s">
        <v>1241</v>
      </c>
      <c r="AB4" s="775"/>
      <c r="AC4" s="775"/>
      <c r="AD4" s="779"/>
      <c r="AE4" s="776" t="s">
        <v>1240</v>
      </c>
      <c r="AF4" s="775"/>
      <c r="AG4" s="775"/>
      <c r="AH4" s="779"/>
      <c r="AI4" s="776" t="s">
        <v>1239</v>
      </c>
      <c r="AJ4" s="775"/>
      <c r="AK4" s="775"/>
      <c r="AL4" s="779"/>
      <c r="AM4" s="776" t="s">
        <v>1238</v>
      </c>
      <c r="AN4" s="775"/>
      <c r="AO4" s="775"/>
      <c r="AP4" s="779"/>
      <c r="AQ4" s="776" t="s">
        <v>1059</v>
      </c>
      <c r="AR4" s="775"/>
      <c r="AS4" s="775"/>
      <c r="AT4" s="779"/>
      <c r="AU4" s="776" t="s">
        <v>1058</v>
      </c>
      <c r="AV4" s="775"/>
      <c r="AW4" s="775"/>
      <c r="AX4" s="779"/>
      <c r="AY4" s="776" t="s">
        <v>1057</v>
      </c>
      <c r="AZ4" s="775"/>
      <c r="BA4" s="775"/>
      <c r="BB4" s="779"/>
      <c r="BC4" s="776" t="s">
        <v>1234</v>
      </c>
      <c r="BD4" s="775"/>
      <c r="BE4" s="775"/>
      <c r="BF4" s="779"/>
      <c r="BG4" s="776" t="s">
        <v>843</v>
      </c>
      <c r="BH4" s="775"/>
      <c r="BI4" s="775"/>
      <c r="BJ4" s="779"/>
      <c r="BK4" s="776" t="s">
        <v>634</v>
      </c>
      <c r="BL4" s="775"/>
      <c r="BM4" s="775"/>
      <c r="BN4" s="779"/>
      <c r="BO4" s="776" t="s">
        <v>1306</v>
      </c>
      <c r="BP4" s="775"/>
      <c r="BQ4" s="775"/>
      <c r="BR4" s="779"/>
      <c r="BS4" s="776" t="s">
        <v>1343</v>
      </c>
      <c r="BT4" s="775"/>
      <c r="BU4" s="775"/>
      <c r="BV4" s="779"/>
      <c r="BW4" s="776" t="s">
        <v>289</v>
      </c>
      <c r="BX4" s="775"/>
      <c r="BY4" s="775"/>
      <c r="BZ4" s="779"/>
      <c r="CA4" s="776" t="s">
        <v>1049</v>
      </c>
      <c r="CB4" s="775"/>
      <c r="CC4" s="775"/>
      <c r="CD4" s="779"/>
    </row>
    <row r="5" spans="2:82" s="15" customFormat="1">
      <c r="E5" s="780" t="str">
        <f>IS!E7</f>
        <v>2000A</v>
      </c>
      <c r="F5" s="781" t="str">
        <f>IS!F7</f>
        <v>2001A</v>
      </c>
      <c r="G5" s="781" t="str">
        <f>IS!G7</f>
        <v>2002A</v>
      </c>
      <c r="H5" s="781" t="str">
        <f>IS!H7</f>
        <v>2003A</v>
      </c>
      <c r="I5" s="781" t="str">
        <f>IS!I7</f>
        <v>2004A</v>
      </c>
      <c r="J5" s="781" t="str">
        <f>IS!J7</f>
        <v>2005A</v>
      </c>
      <c r="K5" s="781" t="str">
        <f>IS!K7</f>
        <v>2006A</v>
      </c>
      <c r="L5" s="781" t="str">
        <f>IS!L7</f>
        <v>2007A</v>
      </c>
      <c r="M5" s="780" t="str">
        <f>IS!M7</f>
        <v>2008A</v>
      </c>
      <c r="N5" s="781" t="str">
        <f>IS!N7</f>
        <v>2009A</v>
      </c>
      <c r="O5" s="781" t="str">
        <f>IS!O7</f>
        <v>2010A</v>
      </c>
      <c r="P5" s="781">
        <f>IS!P7</f>
        <v>2011</v>
      </c>
      <c r="Q5" s="781">
        <f>IS!Q7</f>
        <v>2012</v>
      </c>
      <c r="R5" s="782">
        <f>IS!R7</f>
        <v>2013</v>
      </c>
      <c r="S5" s="781">
        <f>IS!S7</f>
        <v>2014</v>
      </c>
      <c r="T5" s="781">
        <f>IS!T7</f>
        <v>2015</v>
      </c>
      <c r="U5" s="781">
        <f>IS!U7</f>
        <v>2016</v>
      </c>
      <c r="V5" s="781">
        <f>IS!V7</f>
        <v>2017</v>
      </c>
      <c r="W5" s="781" t="str">
        <f>IS!W7</f>
        <v>2018E</v>
      </c>
      <c r="X5" s="781" t="str">
        <f>IS!X7</f>
        <v>2019E</v>
      </c>
      <c r="Y5" s="782" t="str">
        <f>IS!Y7</f>
        <v>2020E</v>
      </c>
      <c r="AA5" s="780" t="s">
        <v>1053</v>
      </c>
      <c r="AB5" s="781" t="s">
        <v>1054</v>
      </c>
      <c r="AC5" s="781" t="s">
        <v>1055</v>
      </c>
      <c r="AD5" s="782" t="s">
        <v>1056</v>
      </c>
      <c r="AE5" s="780" t="s">
        <v>1053</v>
      </c>
      <c r="AF5" s="781" t="s">
        <v>1054</v>
      </c>
      <c r="AG5" s="781" t="s">
        <v>1055</v>
      </c>
      <c r="AH5" s="782" t="s">
        <v>1056</v>
      </c>
      <c r="AI5" s="780" t="s">
        <v>1053</v>
      </c>
      <c r="AJ5" s="781" t="s">
        <v>1054</v>
      </c>
      <c r="AK5" s="781" t="s">
        <v>1055</v>
      </c>
      <c r="AL5" s="782" t="s">
        <v>1056</v>
      </c>
      <c r="AM5" s="780" t="s">
        <v>1053</v>
      </c>
      <c r="AN5" s="781" t="s">
        <v>1054</v>
      </c>
      <c r="AO5" s="781" t="s">
        <v>1055</v>
      </c>
      <c r="AP5" s="782" t="s">
        <v>1056</v>
      </c>
      <c r="AQ5" s="780" t="s">
        <v>1053</v>
      </c>
      <c r="AR5" s="781" t="s">
        <v>1054</v>
      </c>
      <c r="AS5" s="781" t="s">
        <v>1055</v>
      </c>
      <c r="AT5" s="782" t="s">
        <v>1056</v>
      </c>
      <c r="AU5" s="780" t="s">
        <v>1053</v>
      </c>
      <c r="AV5" s="781" t="s">
        <v>1054</v>
      </c>
      <c r="AW5" s="781" t="s">
        <v>1055</v>
      </c>
      <c r="AX5" s="782" t="s">
        <v>1056</v>
      </c>
      <c r="AY5" s="780" t="s">
        <v>1053</v>
      </c>
      <c r="AZ5" s="781" t="s">
        <v>1054</v>
      </c>
      <c r="BA5" s="781" t="s">
        <v>1055</v>
      </c>
      <c r="BB5" s="782" t="s">
        <v>1056</v>
      </c>
      <c r="BC5" s="780" t="str">
        <f>IS!BZ7</f>
        <v>1Q08</v>
      </c>
      <c r="BD5" s="781" t="str">
        <f>IS!CA7</f>
        <v>2Q08</v>
      </c>
      <c r="BE5" s="781" t="str">
        <f>IS!CB7</f>
        <v>3Q08</v>
      </c>
      <c r="BF5" s="782" t="str">
        <f>IS!CC7</f>
        <v>4Q08</v>
      </c>
      <c r="BG5" s="780" t="str">
        <f>IS!CE7</f>
        <v>1Q09</v>
      </c>
      <c r="BH5" s="781" t="str">
        <f>IS!CF7</f>
        <v>2Q09</v>
      </c>
      <c r="BI5" s="781" t="str">
        <f>IS!CG7</f>
        <v>3Q09</v>
      </c>
      <c r="BJ5" s="781" t="str">
        <f>IS!CH7</f>
        <v>4Q09</v>
      </c>
      <c r="BK5" s="780" t="str">
        <f>IS!CJ7</f>
        <v>1Q10</v>
      </c>
      <c r="BL5" s="781" t="str">
        <f>IS!CK7</f>
        <v>2Q10</v>
      </c>
      <c r="BM5" s="781" t="str">
        <f>IS!CL7</f>
        <v>3Q10</v>
      </c>
      <c r="BN5" s="782" t="str">
        <f>IS!CM7</f>
        <v>4Q10</v>
      </c>
      <c r="BO5" s="780" t="str">
        <f>IS!CO7</f>
        <v>1Q11</v>
      </c>
      <c r="BP5" s="781" t="str">
        <f>IS!CP7</f>
        <v>2Q11</v>
      </c>
      <c r="BQ5" s="781" t="str">
        <f>IS!CQ7</f>
        <v>3Q11</v>
      </c>
      <c r="BR5" s="782" t="str">
        <f>IS!CR7</f>
        <v>4Q11</v>
      </c>
      <c r="BS5" s="780" t="str">
        <f>IS!CT7</f>
        <v>1Q12</v>
      </c>
      <c r="BT5" s="781" t="str">
        <f>IS!CU7</f>
        <v>2Q12</v>
      </c>
      <c r="BU5" s="781" t="str">
        <f>IS!CV7</f>
        <v>3Q12</v>
      </c>
      <c r="BV5" s="782" t="str">
        <f>IS!CW7</f>
        <v>4Q12</v>
      </c>
      <c r="BW5" s="780" t="str">
        <f>IS!CX7</f>
        <v>1Q13</v>
      </c>
      <c r="BX5" s="781" t="str">
        <f>IS!CY7</f>
        <v>2Q13</v>
      </c>
      <c r="BY5" s="781" t="str">
        <f>IS!CZ7</f>
        <v>3Q13</v>
      </c>
      <c r="BZ5" s="782" t="str">
        <f>IS!DA7</f>
        <v>4Q13</v>
      </c>
      <c r="CA5" s="780" t="str">
        <f>IS!DB7</f>
        <v>1Q14</v>
      </c>
      <c r="CB5" s="781" t="str">
        <f>IS!DC7</f>
        <v>2Q14</v>
      </c>
      <c r="CC5" s="781" t="str">
        <f>IS!DD7</f>
        <v>3Q14</v>
      </c>
      <c r="CD5" s="782" t="str">
        <f>IS!DE7</f>
        <v>4Q14</v>
      </c>
    </row>
    <row r="9" spans="2:82">
      <c r="B9" t="s">
        <v>419</v>
      </c>
      <c r="M9">
        <f>+IS!M82</f>
        <v>41.582000000000001</v>
      </c>
      <c r="N9">
        <f>+IS!N82</f>
        <v>39.676000000000002</v>
      </c>
      <c r="O9">
        <f>+IS!O82</f>
        <v>44.81</v>
      </c>
      <c r="P9">
        <f>+IS!P82</f>
        <v>48.477250000000005</v>
      </c>
      <c r="Q9">
        <f>+IS!Q82</f>
        <v>52.246000000000002</v>
      </c>
      <c r="R9">
        <f>+IS!R82</f>
        <v>52.484749999999998</v>
      </c>
      <c r="S9">
        <f>+IS!S82</f>
        <v>53.892750000000007</v>
      </c>
      <c r="T9">
        <f>+IS!T82</f>
        <v>58.344250000000002</v>
      </c>
      <c r="U9">
        <f>+IS!U82</f>
        <v>70.59075</v>
      </c>
      <c r="V9">
        <f>+IS!V82</f>
        <v>77.430499999999995</v>
      </c>
      <c r="W9">
        <f ca="1">+IS!W82</f>
        <v>80.044091489678038</v>
      </c>
      <c r="X9">
        <f ca="1">+IS!X82</f>
        <v>82.945554247374417</v>
      </c>
      <c r="Y9">
        <f ca="1">+IS!Y82</f>
        <v>85.943115858556155</v>
      </c>
      <c r="BC9" s="1905">
        <f>+IS!BZ82</f>
        <v>37.259</v>
      </c>
      <c r="BD9" s="1905">
        <f>+IS!CA82</f>
        <v>37.844000000000001</v>
      </c>
      <c r="BE9" s="1905">
        <f>+IS!CB82</f>
        <v>37.932000000000002</v>
      </c>
      <c r="BF9" s="1905">
        <f>+IS!CC82</f>
        <v>43.79</v>
      </c>
      <c r="BG9" s="1905">
        <f>IS!CE82</f>
        <v>38.738999999999997</v>
      </c>
      <c r="BH9" s="1905">
        <f>IS!CF82</f>
        <v>39.317999999999998</v>
      </c>
      <c r="BI9" s="1905">
        <f>IS!CG82</f>
        <v>39.887</v>
      </c>
      <c r="BJ9" s="1905">
        <f>IS!CH82</f>
        <v>40.497999999999998</v>
      </c>
      <c r="BK9" s="1905">
        <f>IS!CJ82</f>
        <v>40.784999999999997</v>
      </c>
      <c r="BL9" s="1905">
        <f>IS!CK82</f>
        <v>43.506999999999998</v>
      </c>
      <c r="BM9" s="1905">
        <f>IS!CL82</f>
        <v>46.734999999999999</v>
      </c>
      <c r="BN9" s="1905">
        <f>IS!CM82</f>
        <v>46.871000000000002</v>
      </c>
      <c r="BO9" s="1905">
        <f>IS!CO82</f>
        <v>47.219000000000001</v>
      </c>
      <c r="BP9" s="1905">
        <f>IS!CP82</f>
        <v>50.664000000000001</v>
      </c>
      <c r="BQ9" s="1905">
        <f>IS!CQ82</f>
        <v>47.942999999999998</v>
      </c>
      <c r="BR9" s="1905">
        <f>IS!CR82</f>
        <v>48.082999999999998</v>
      </c>
      <c r="BS9" s="1905">
        <f>IS!CT82</f>
        <v>51.061</v>
      </c>
      <c r="BT9" s="1905">
        <f>IS!CU82</f>
        <v>52.350999999999999</v>
      </c>
      <c r="BU9" s="1905">
        <f>IS!CV82</f>
        <v>52.655000000000001</v>
      </c>
      <c r="BV9" s="1905">
        <f>IS!CW82</f>
        <v>52.917000000000002</v>
      </c>
      <c r="BW9" s="1905">
        <f>IS!CX82</f>
        <v>53.48</v>
      </c>
      <c r="BX9" s="1905">
        <f>IS!CY82</f>
        <v>49.378999999999998</v>
      </c>
      <c r="BY9" s="1905">
        <f>IS!CZ82</f>
        <v>53.581000000000003</v>
      </c>
      <c r="BZ9" s="1905">
        <f>IS!DA82</f>
        <v>53.499000000000002</v>
      </c>
      <c r="CA9" s="1905">
        <f>IS!DB82</f>
        <v>53.386000000000003</v>
      </c>
      <c r="CB9" s="1905">
        <f>IS!DC82</f>
        <v>51.652000000000001</v>
      </c>
      <c r="CC9" s="1905">
        <f>IS!DD82</f>
        <v>55.238</v>
      </c>
      <c r="CD9" s="1905">
        <f>IS!DE82</f>
        <v>55.295000000000002</v>
      </c>
    </row>
    <row r="10" spans="2:82">
      <c r="B10" t="s">
        <v>1041</v>
      </c>
      <c r="M10">
        <f>+BS!M113</f>
        <v>1203.69</v>
      </c>
      <c r="N10">
        <f>+BS!N113</f>
        <v>1484.9690000000001</v>
      </c>
      <c r="O10">
        <f>+BS!O113</f>
        <v>2048.585</v>
      </c>
      <c r="P10">
        <f>+BS!P113</f>
        <v>3099.13</v>
      </c>
      <c r="Q10">
        <f>+BS!Q113</f>
        <v>3010.7469999999998</v>
      </c>
      <c r="R10">
        <f>+BS!R113</f>
        <v>4158.6559999999999</v>
      </c>
      <c r="S10">
        <f>+BS!S113</f>
        <v>4679.4089999999997</v>
      </c>
      <c r="T10">
        <f>+BS!T113</f>
        <v>6503.6990000000005</v>
      </c>
      <c r="U10">
        <f>+BS!U113</f>
        <v>6759.5730000000003</v>
      </c>
      <c r="V10">
        <f>+BS!V113</f>
        <v>10080.419</v>
      </c>
      <c r="W10">
        <f ca="1">+BS!W113</f>
        <v>10080.419</v>
      </c>
      <c r="X10">
        <f ca="1">+BS!X113</f>
        <v>10577.635</v>
      </c>
      <c r="Y10">
        <f ca="1">+BS!Y113</f>
        <v>11074.851000000001</v>
      </c>
      <c r="BC10" s="1226">
        <f>+BS!BL113</f>
        <v>1412.174</v>
      </c>
      <c r="BD10" s="1226">
        <f>+BS!BM113</f>
        <v>1442.0319999999999</v>
      </c>
      <c r="BE10" s="1226">
        <f>+BS!BN113</f>
        <v>1443.6750000000002</v>
      </c>
      <c r="BF10" s="1226">
        <f>+BS!BO113</f>
        <v>1203.69</v>
      </c>
      <c r="BG10" s="1226">
        <f>+BS!BP113</f>
        <v>1191.0490000000002</v>
      </c>
      <c r="BH10" s="1226">
        <f>+BS!BQ113</f>
        <v>1452.3029999999999</v>
      </c>
      <c r="BI10" s="1226">
        <f>+BS!BR113</f>
        <v>1496.2539999999999</v>
      </c>
      <c r="BJ10" s="1226">
        <f>+BS!BS113</f>
        <v>1484.9690000000001</v>
      </c>
      <c r="BK10" s="1226">
        <f>+BS!BT113</f>
        <v>2111.788</v>
      </c>
      <c r="BL10" s="1226">
        <f>+BS!BU113</f>
        <v>2059.3879999999999</v>
      </c>
      <c r="BM10" s="1226">
        <f>+BS!BV113</f>
        <v>2131.5549999999998</v>
      </c>
      <c r="BN10" s="1226">
        <f>+BS!BW113</f>
        <v>2048.585</v>
      </c>
      <c r="BO10" s="1226">
        <f>+BS!BX113</f>
        <v>2124.44</v>
      </c>
      <c r="BP10" s="1226">
        <f>+BS!BY113</f>
        <v>2257.8609999999999</v>
      </c>
      <c r="BQ10" s="1226">
        <f>+BS!BZ113</f>
        <v>3059.547</v>
      </c>
      <c r="BR10" s="1226">
        <f>+BS!CA113</f>
        <v>3099.13</v>
      </c>
      <c r="BS10" s="1226">
        <f>+BS!CB113</f>
        <v>3082.4480000000003</v>
      </c>
      <c r="BT10" s="1226">
        <f>+BS!CC113</f>
        <v>2893.473</v>
      </c>
      <c r="BU10" s="1226">
        <f>+BS!CD113</f>
        <v>2956.529</v>
      </c>
      <c r="BV10" s="1226">
        <f>+BS!CE113</f>
        <v>3010.7469999999998</v>
      </c>
      <c r="BW10" s="1226">
        <f>+BS!CF113</f>
        <v>4523.759</v>
      </c>
      <c r="BX10" s="1226">
        <f>+BS!CG113</f>
        <v>3941.6790000000001</v>
      </c>
      <c r="BY10" s="1226">
        <f>+BS!CH113</f>
        <v>4046.576</v>
      </c>
      <c r="BZ10" s="1226">
        <f>+BS!CI113</f>
        <v>4158.6559999999999</v>
      </c>
      <c r="CA10" s="1226">
        <f>+BS!CJ113</f>
        <v>4279.3710000000001</v>
      </c>
      <c r="CB10" s="1226">
        <f>+BS!CK113</f>
        <v>3936.1750000000002</v>
      </c>
      <c r="CC10" s="1226">
        <f>+BS!CL113</f>
        <v>3983.6550000000002</v>
      </c>
      <c r="CD10" s="1226">
        <f>+BS!CM113</f>
        <v>4679.4089999999997</v>
      </c>
    </row>
    <row r="11" spans="2:82">
      <c r="B11" t="s">
        <v>420</v>
      </c>
      <c r="M11">
        <f>+BS!M112</f>
        <v>307.94500000000039</v>
      </c>
      <c r="N11">
        <f>+BS!N112</f>
        <v>604.36700000000042</v>
      </c>
      <c r="O11">
        <f>+BS!O112</f>
        <v>582.63400000000047</v>
      </c>
      <c r="P11">
        <f>+BS!P112</f>
        <v>1050.8500000000001</v>
      </c>
      <c r="Q11">
        <f>+BS!Q112</f>
        <v>546.524</v>
      </c>
      <c r="R11">
        <f>+BS!R112</f>
        <v>1030.0919999999999</v>
      </c>
      <c r="S11">
        <f>+BS!S112</f>
        <v>1140.751</v>
      </c>
      <c r="T11">
        <f>+BS!T112</f>
        <v>2233.4219999999996</v>
      </c>
      <c r="U11">
        <f>+BS!U112</f>
        <v>761.92699999999968</v>
      </c>
      <c r="V11">
        <f>+BS!V112</f>
        <v>1450.0310000000018</v>
      </c>
      <c r="W11">
        <f ca="1">+BS!W112</f>
        <v>595.71591214174362</v>
      </c>
      <c r="X11">
        <f ca="1">+BS!X112</f>
        <v>384.7205392180087</v>
      </c>
      <c r="Y11">
        <f ca="1">+BS!Y112</f>
        <v>470.23385702003532</v>
      </c>
      <c r="BC11" s="1226">
        <f>+BS!BL112</f>
        <v>325.52600000000018</v>
      </c>
      <c r="BD11" s="1226">
        <f>+BS!BM112</f>
        <v>324.74900000000019</v>
      </c>
      <c r="BE11" s="1226">
        <f>+BS!BN112</f>
        <v>330.19900000000024</v>
      </c>
      <c r="BF11" s="1226">
        <f>+BS!BO112</f>
        <v>307.94500000000016</v>
      </c>
      <c r="BG11" s="1226">
        <f>+BS!BP112</f>
        <v>283.97500000000019</v>
      </c>
      <c r="BH11" s="1226">
        <f>+BS!BQ112</f>
        <v>603.37000000000012</v>
      </c>
      <c r="BI11" s="1226">
        <f>+BS!BR112</f>
        <v>627.44200000000012</v>
      </c>
      <c r="BJ11" s="1226">
        <f>+BS!BS112</f>
        <v>604.36700000000019</v>
      </c>
      <c r="BK11" s="1226">
        <f>+BS!BT112</f>
        <v>1185.1379999999999</v>
      </c>
      <c r="BL11" s="1226">
        <f>+BS!BU112</f>
        <v>719.61800000000005</v>
      </c>
      <c r="BM11" s="1226">
        <f>+BS!BV112</f>
        <v>709.26600000000008</v>
      </c>
      <c r="BN11" s="1226">
        <f>+BS!BW112</f>
        <v>582.63400000000013</v>
      </c>
      <c r="BO11" s="1226">
        <f>+BS!BX112</f>
        <v>442.61000000000013</v>
      </c>
      <c r="BP11" s="1226">
        <f>+BS!BY112</f>
        <v>405.17900000000009</v>
      </c>
      <c r="BQ11" s="1226">
        <f>+BS!BZ112</f>
        <v>1148.4530000000002</v>
      </c>
      <c r="BR11" s="1226">
        <f>+BS!CA112</f>
        <v>1050.8500000000001</v>
      </c>
      <c r="BS11" s="1226">
        <f>+BS!CB112</f>
        <v>1051.4690000000001</v>
      </c>
      <c r="BT11" s="1226">
        <f>+BS!CC112</f>
        <v>790.35900000000004</v>
      </c>
      <c r="BU11" s="1226">
        <f>+BS!CD112</f>
        <v>514.55199999999991</v>
      </c>
      <c r="BV11" s="1226">
        <f>+BS!CE112</f>
        <v>546.52399999999989</v>
      </c>
      <c r="BW11" s="1226">
        <f>+BS!CF112</f>
        <v>1210.2250000000001</v>
      </c>
      <c r="BX11" s="1226">
        <f>+BS!CG112</f>
        <v>1218.0070000000003</v>
      </c>
      <c r="BY11" s="1226">
        <f>+BS!CH112</f>
        <v>1189.1030000000003</v>
      </c>
      <c r="BZ11" s="1226">
        <f>+BS!CI112</f>
        <v>1030.0920000000001</v>
      </c>
      <c r="CA11" s="1226">
        <f>+BS!CJ112</f>
        <v>1041.7239999999999</v>
      </c>
      <c r="CB11" s="1226">
        <f>+BS!CK112</f>
        <v>704.34900000000005</v>
      </c>
      <c r="CC11" s="1226">
        <f>+BS!CL112</f>
        <v>501.11500000000007</v>
      </c>
      <c r="CD11" s="1226">
        <f>+BS!CM112</f>
        <v>1140.7510000000002</v>
      </c>
    </row>
    <row r="13" spans="2:82">
      <c r="B13" s="41" t="s">
        <v>1495</v>
      </c>
      <c r="C13" s="41"/>
      <c r="D13" s="41"/>
      <c r="E13" s="82">
        <f>IS!E15</f>
        <v>13.016</v>
      </c>
      <c r="F13" s="82">
        <f>IS!F15</f>
        <v>63.414000000000001</v>
      </c>
      <c r="G13" s="82">
        <f>IS!G15</f>
        <v>77.188000000000002</v>
      </c>
      <c r="H13" s="82">
        <f>IS!H15</f>
        <v>117.94200000000001</v>
      </c>
      <c r="I13" s="82">
        <f>IS!I15</f>
        <v>163.67099999999999</v>
      </c>
      <c r="J13" s="82">
        <f>IS!J15</f>
        <v>221.05700000000002</v>
      </c>
      <c r="K13" s="82">
        <f>IS!K15</f>
        <v>288.09400000000005</v>
      </c>
      <c r="L13" s="82">
        <f>IS!L15</f>
        <v>419.44200000000006</v>
      </c>
      <c r="M13" s="82">
        <f>IS!M15</f>
        <v>704.68</v>
      </c>
      <c r="N13" s="82">
        <f>IS!N15</f>
        <v>882.50900000000013</v>
      </c>
      <c r="O13" s="82">
        <f>IS!O15</f>
        <v>1196.2139999999999</v>
      </c>
      <c r="P13" s="82">
        <f>IS!P15</f>
        <v>1569.7840000000001</v>
      </c>
      <c r="Q13" s="82">
        <f>IS!Q15</f>
        <v>1887.376</v>
      </c>
      <c r="R13" s="82">
        <f>IS!R15</f>
        <v>2152.7660000000001</v>
      </c>
      <c r="S13" s="82">
        <f>IS!S15</f>
        <v>2443.7749999999996</v>
      </c>
      <c r="T13" s="82">
        <f>IS!T15</f>
        <v>2725.8670000000002</v>
      </c>
      <c r="U13" s="82">
        <f>IS!U15</f>
        <v>3611.9889999999996</v>
      </c>
      <c r="V13" s="82">
        <f>IS!V15</f>
        <v>4368.4279999999999</v>
      </c>
      <c r="W13" s="82">
        <f ca="1">IS!W15</f>
        <v>5039.1585955911905</v>
      </c>
      <c r="X13" s="82">
        <f ca="1">IS!X15</f>
        <v>5500.5877719846403</v>
      </c>
      <c r="Y13" s="82">
        <f ca="1">IS!Y15</f>
        <v>5937.3329327160309</v>
      </c>
      <c r="AA13" s="82">
        <f>IS!AQ15</f>
        <v>12.613</v>
      </c>
      <c r="AB13" s="82">
        <f>IS!AR15</f>
        <v>16.157</v>
      </c>
      <c r="AC13" s="82">
        <f>IS!AS15</f>
        <v>17.178000000000001</v>
      </c>
      <c r="AD13" s="82">
        <f>IS!AT15</f>
        <v>17.466000000000001</v>
      </c>
      <c r="AE13" s="82">
        <f>IS!AV15</f>
        <v>20.158000000000001</v>
      </c>
      <c r="AF13" s="82">
        <f>IS!AW15</f>
        <v>18.04</v>
      </c>
      <c r="AG13" s="82">
        <f>IS!AX15</f>
        <v>20.187000000000001</v>
      </c>
      <c r="AH13" s="82">
        <f>IS!AY15</f>
        <v>18.803000000000001</v>
      </c>
      <c r="AI13" s="82">
        <f>IS!BA15</f>
        <v>25.435000000000002</v>
      </c>
      <c r="AJ13" s="82">
        <f>IS!BB15</f>
        <v>28.433999999999997</v>
      </c>
      <c r="AK13" s="82">
        <f>IS!BC15</f>
        <v>30.919</v>
      </c>
      <c r="AL13" s="82">
        <f>IS!BD15</f>
        <v>33.153999999999996</v>
      </c>
      <c r="AM13" s="82">
        <f>IS!BF15</f>
        <v>36.82</v>
      </c>
      <c r="AN13" s="82">
        <f>IS!BG15</f>
        <v>39.423000000000002</v>
      </c>
      <c r="AO13" s="82">
        <f>IS!BH15</f>
        <v>42.439</v>
      </c>
      <c r="AP13" s="82">
        <f>IS!BI15</f>
        <v>44.989000000000004</v>
      </c>
      <c r="AQ13" s="82">
        <f>IS!BK15</f>
        <v>48.683999999999997</v>
      </c>
      <c r="AR13" s="82">
        <f>IS!BL15</f>
        <v>52.478999999999999</v>
      </c>
      <c r="AS13" s="82">
        <f>IS!BM15</f>
        <v>58.095999999999997</v>
      </c>
      <c r="AT13" s="82">
        <f>IS!BN15</f>
        <v>61.797999999999995</v>
      </c>
      <c r="AU13" s="82">
        <f>IS!BP15</f>
        <v>64.869</v>
      </c>
      <c r="AV13" s="82">
        <f>IS!BQ15</f>
        <v>68.548000000000002</v>
      </c>
      <c r="AW13" s="82">
        <f>IS!BR15</f>
        <v>73.725999999999999</v>
      </c>
      <c r="AX13" s="82">
        <f>IS!BS15</f>
        <v>80.950999999999993</v>
      </c>
      <c r="AY13" s="82">
        <f>IS!BU15</f>
        <v>85.109000000000009</v>
      </c>
      <c r="AZ13" s="82">
        <f>IS!BV15</f>
        <v>91.837000000000018</v>
      </c>
      <c r="BA13" s="82">
        <f>IS!BW15</f>
        <v>103.782</v>
      </c>
      <c r="BB13" s="82">
        <f>IS!BX15</f>
        <v>138.714</v>
      </c>
      <c r="BC13" s="1226">
        <f>IS!BZ15</f>
        <v>158.21800000000002</v>
      </c>
      <c r="BD13" s="1226">
        <f>IS!CA15</f>
        <v>172.04399999999998</v>
      </c>
      <c r="BE13" s="1226">
        <f>IS!CB15</f>
        <v>183.73499999999996</v>
      </c>
      <c r="BF13" s="1226">
        <f>IS!CC15</f>
        <v>190.68299999999999</v>
      </c>
      <c r="BG13" s="1226">
        <f>IS!CE15</f>
        <v>199.23100000000002</v>
      </c>
      <c r="BH13" s="1226">
        <f>IS!CF15</f>
        <v>213.16799999999998</v>
      </c>
      <c r="BI13" s="1226">
        <f>IS!CG15</f>
        <v>227.55799999999999</v>
      </c>
      <c r="BJ13" s="1226">
        <f>IS!CH15</f>
        <v>242.55199999999999</v>
      </c>
      <c r="BK13" s="1226">
        <f>IS!CJ15</f>
        <v>248.64900000000003</v>
      </c>
      <c r="BL13" s="1226">
        <f>IS!CK15</f>
        <v>290.01699999999994</v>
      </c>
      <c r="BM13" s="1226">
        <f>IS!CL15</f>
        <v>321.39400000000001</v>
      </c>
      <c r="BN13" s="1226">
        <f>IS!CM15</f>
        <v>336.154</v>
      </c>
      <c r="BO13" s="1226">
        <f>IS!CO15</f>
        <v>353.94900000000001</v>
      </c>
      <c r="BP13" s="1226">
        <f>IS!CP15</f>
        <v>385.51099999999997</v>
      </c>
      <c r="BQ13" s="1226">
        <f>IS!CQ15</f>
        <v>408.20799999999997</v>
      </c>
      <c r="BR13" s="1226">
        <f>IS!CR15</f>
        <v>422.11599999999999</v>
      </c>
      <c r="BS13" s="1226">
        <f>IS!CT15</f>
        <v>440.952</v>
      </c>
      <c r="BT13" s="1226">
        <f>IS!CU15</f>
        <v>455.53000000000003</v>
      </c>
      <c r="BU13" s="1226">
        <f>IS!CV15</f>
        <v>484.83499999999998</v>
      </c>
      <c r="BV13" s="1226">
        <f>IS!CW15</f>
        <v>506.05899999999997</v>
      </c>
      <c r="BW13" s="1226">
        <f>IS!CX15</f>
        <v>516.1339999999999</v>
      </c>
      <c r="BX13" s="1226">
        <f>IS!CY15</f>
        <v>528.87099999999998</v>
      </c>
      <c r="BY13" s="1226">
        <f>IS!CZ15</f>
        <v>543.08400000000006</v>
      </c>
      <c r="BZ13" s="1226">
        <f>IS!DA15</f>
        <v>564.67700000000002</v>
      </c>
      <c r="CA13" s="1226">
        <f>IS!DB15</f>
        <v>580.053</v>
      </c>
      <c r="CB13" s="1226">
        <f>IS!DC15</f>
        <v>605.16100000000006</v>
      </c>
      <c r="CC13" s="1226">
        <f>IS!DD15</f>
        <v>620.43999999999994</v>
      </c>
      <c r="CD13" s="1226">
        <f>IS!DE15</f>
        <v>638.12099999999998</v>
      </c>
    </row>
    <row r="14" spans="2:82">
      <c r="B14" s="83" t="s">
        <v>144</v>
      </c>
      <c r="C14" s="83"/>
      <c r="D14" s="83"/>
      <c r="E14" s="84" t="s">
        <v>1045</v>
      </c>
      <c r="F14" s="84" t="s">
        <v>1045</v>
      </c>
      <c r="G14" s="84" t="s">
        <v>1045</v>
      </c>
      <c r="H14" s="84" t="s">
        <v>1045</v>
      </c>
      <c r="I14" s="81">
        <f>IS!H13</f>
        <v>109.95700000000001</v>
      </c>
      <c r="J14" s="81">
        <f>IS!I13</f>
        <v>154.43199999999999</v>
      </c>
      <c r="K14" s="81">
        <f>IS!J13</f>
        <v>208.00300000000001</v>
      </c>
      <c r="L14" s="81">
        <f>IS!K13</f>
        <v>273.16000000000003</v>
      </c>
      <c r="M14" s="81">
        <f>IS!L13</f>
        <v>399.65600000000006</v>
      </c>
      <c r="N14" s="81">
        <f>IS!M13</f>
        <v>670.08699999999999</v>
      </c>
      <c r="O14" s="81">
        <f>IS!N13</f>
        <v>846.39900000000011</v>
      </c>
      <c r="P14" s="81">
        <f>IS!O13</f>
        <v>1136.7860000000001</v>
      </c>
      <c r="Q14" s="81">
        <f>IS!P13</f>
        <v>1492.414</v>
      </c>
      <c r="R14" s="81">
        <f>IS!Q13</f>
        <v>1797.068</v>
      </c>
      <c r="S14" s="81">
        <f>IS!R13</f>
        <v>2049.962</v>
      </c>
      <c r="T14" s="81">
        <f>IS!S13</f>
        <v>2317.7889999999998</v>
      </c>
      <c r="U14" s="81">
        <f>IS!T13</f>
        <v>2569.1410000000001</v>
      </c>
      <c r="V14" s="81">
        <f>IS!U13</f>
        <v>3418.3129999999996</v>
      </c>
      <c r="W14" s="81">
        <f>IS!V13</f>
        <v>4120.12</v>
      </c>
      <c r="X14" s="81">
        <f ca="1">IS!W13</f>
        <v>4724.6705955911902</v>
      </c>
      <c r="Y14" s="81">
        <f ca="1">IS!X13</f>
        <v>5182.4497719846404</v>
      </c>
      <c r="AA14" s="85">
        <f>IS!AQ13</f>
        <v>0</v>
      </c>
      <c r="AB14" s="85">
        <f>IS!AR13</f>
        <v>0</v>
      </c>
      <c r="AC14" s="85">
        <f>IS!AS13</f>
        <v>0</v>
      </c>
      <c r="AD14" s="85">
        <f>IS!AT13</f>
        <v>0</v>
      </c>
      <c r="AE14" s="85">
        <f>IS!AV13</f>
        <v>0</v>
      </c>
      <c r="AF14" s="85">
        <f>IS!AW13</f>
        <v>0</v>
      </c>
      <c r="AG14" s="85">
        <f>IS!AX13</f>
        <v>0</v>
      </c>
      <c r="AH14" s="85">
        <f>IS!AY13</f>
        <v>0</v>
      </c>
      <c r="AI14" s="85">
        <f>IS!BA13</f>
        <v>24.103000000000002</v>
      </c>
      <c r="AJ14" s="85">
        <f>IS!BB13</f>
        <v>25.998999999999999</v>
      </c>
      <c r="AK14" s="85">
        <f>IS!BC13</f>
        <v>28.359000000000002</v>
      </c>
      <c r="AL14" s="85">
        <f>IS!BD13</f>
        <v>31.495999999999999</v>
      </c>
      <c r="AM14" s="85">
        <f>IS!BF13</f>
        <v>34.482999999999997</v>
      </c>
      <c r="AN14" s="85">
        <f>IS!BG13</f>
        <v>37.271000000000001</v>
      </c>
      <c r="AO14" s="85">
        <f>IS!BH13</f>
        <v>40.057000000000002</v>
      </c>
      <c r="AP14" s="85">
        <f>IS!BI13</f>
        <v>42.621000000000002</v>
      </c>
      <c r="AQ14" s="85">
        <f>IS!BK13</f>
        <v>45.900999999999996</v>
      </c>
      <c r="AR14" s="85">
        <f>IS!BL13</f>
        <v>49.430999999999997</v>
      </c>
      <c r="AS14" s="85">
        <f>IS!BM13</f>
        <v>54.290999999999997</v>
      </c>
      <c r="AT14" s="85">
        <f>IS!BN13</f>
        <v>58.379999999999995</v>
      </c>
      <c r="AU14" s="85">
        <f>IS!BP13</f>
        <v>61.752000000000002</v>
      </c>
      <c r="AV14" s="85">
        <f>IS!BQ13</f>
        <v>65.088999999999999</v>
      </c>
      <c r="AW14" s="85">
        <f>IS!BR13</f>
        <v>69.917999999999992</v>
      </c>
      <c r="AX14" s="85">
        <f>IS!BS13</f>
        <v>76.400999999999996</v>
      </c>
      <c r="AY14" s="85">
        <f>IS!BU13</f>
        <v>80.88600000000001</v>
      </c>
      <c r="AZ14" s="85">
        <f>IS!BV13</f>
        <v>87.904000000000011</v>
      </c>
      <c r="BA14" s="85">
        <f>IS!BW13</f>
        <v>99.287999999999997</v>
      </c>
      <c r="BB14" s="85">
        <f>IS!BX13</f>
        <v>131.578</v>
      </c>
      <c r="BC14" s="1226">
        <f>IS!BZ13</f>
        <v>150.35900000000001</v>
      </c>
      <c r="BD14" s="1226">
        <f>IS!CA13</f>
        <v>163.39499999999998</v>
      </c>
      <c r="BE14" s="1226">
        <f>IS!CB13</f>
        <v>173.51699999999997</v>
      </c>
      <c r="BF14" s="1226">
        <f>IS!CC13</f>
        <v>182.816</v>
      </c>
      <c r="BG14" s="1226">
        <f>IS!CE13</f>
        <v>191.28700000000003</v>
      </c>
      <c r="BH14" s="1226">
        <f>IS!CF13</f>
        <v>205.31299999999999</v>
      </c>
      <c r="BI14" s="1226">
        <f>IS!CG13</f>
        <v>218.334</v>
      </c>
      <c r="BJ14" s="1226">
        <f>IS!CH13</f>
        <v>231.465</v>
      </c>
      <c r="BK14" s="1226">
        <f>IS!CJ13</f>
        <v>237.23600000000002</v>
      </c>
      <c r="BL14" s="1226">
        <f>IS!CK13</f>
        <v>276.14899999999994</v>
      </c>
      <c r="BM14" s="1226">
        <f>IS!CL13</f>
        <v>305.96800000000002</v>
      </c>
      <c r="BN14" s="1226">
        <f>IS!CM13</f>
        <v>317.43299999999999</v>
      </c>
      <c r="BO14" s="1226">
        <f>IS!CO13</f>
        <v>335.04700000000003</v>
      </c>
      <c r="BP14" s="1226">
        <f>IS!CP13</f>
        <v>367.38799999999998</v>
      </c>
      <c r="BQ14" s="1226">
        <f>IS!CQ13</f>
        <v>388.214</v>
      </c>
      <c r="BR14" s="1226">
        <f>IS!CR13</f>
        <v>401.76499999999999</v>
      </c>
      <c r="BS14" s="1226">
        <f>IS!CT13</f>
        <v>420.14499999999998</v>
      </c>
      <c r="BT14" s="1226">
        <f>IS!CU13</f>
        <v>433.61500000000001</v>
      </c>
      <c r="BU14" s="1226">
        <f>IS!CV13</f>
        <v>460.48199999999997</v>
      </c>
      <c r="BV14" s="1226">
        <f>IS!CW13</f>
        <v>482.82599999999996</v>
      </c>
      <c r="BW14" s="1226">
        <f>IS!CX13</f>
        <v>494.52199999999993</v>
      </c>
      <c r="BX14" s="1226">
        <f>IS!CY13</f>
        <v>501.81400000000002</v>
      </c>
      <c r="BY14" s="1226">
        <f>IS!CZ13</f>
        <v>515.56600000000003</v>
      </c>
      <c r="BZ14" s="1226">
        <f>IS!DA13</f>
        <v>538.06000000000006</v>
      </c>
      <c r="CA14" s="1226">
        <f>IS!DB13</f>
        <v>549.70299999999997</v>
      </c>
      <c r="CB14" s="1226">
        <f>IS!DC13</f>
        <v>574.15800000000002</v>
      </c>
      <c r="CC14" s="1226">
        <f>IS!DD13</f>
        <v>588.43599999999992</v>
      </c>
      <c r="CD14" s="1226">
        <f>IS!DE13</f>
        <v>605.49199999999996</v>
      </c>
    </row>
    <row r="15" spans="2:82">
      <c r="B15" s="83" t="s">
        <v>842</v>
      </c>
      <c r="C15" s="83"/>
      <c r="D15" s="83"/>
      <c r="E15" s="84" t="s">
        <v>1045</v>
      </c>
      <c r="F15" s="84" t="s">
        <v>1045</v>
      </c>
      <c r="G15" s="84" t="s">
        <v>1045</v>
      </c>
      <c r="H15" s="84" t="s">
        <v>1045</v>
      </c>
      <c r="I15" s="85">
        <f>IS!H14</f>
        <v>7.9849999999999994</v>
      </c>
      <c r="J15" s="85">
        <f>IS!I14</f>
        <v>9.2390000000000008</v>
      </c>
      <c r="K15" s="85">
        <f>IS!J14</f>
        <v>13.053999999999998</v>
      </c>
      <c r="L15" s="85">
        <f>IS!K14</f>
        <v>14.934000000000001</v>
      </c>
      <c r="M15" s="85">
        <f>IS!L14</f>
        <v>19.785999999999998</v>
      </c>
      <c r="N15" s="85">
        <f>IS!M14</f>
        <v>34.592999999999996</v>
      </c>
      <c r="O15" s="85">
        <f>IS!N14</f>
        <v>36.11</v>
      </c>
      <c r="P15" s="85">
        <f>IS!O14</f>
        <v>59.427999999999997</v>
      </c>
      <c r="Q15" s="85">
        <f>IS!P14</f>
        <v>77.37</v>
      </c>
      <c r="R15" s="85">
        <f>IS!Q14</f>
        <v>90.307999999999993</v>
      </c>
      <c r="S15" s="85">
        <f>IS!R14</f>
        <v>102.804</v>
      </c>
      <c r="T15" s="85">
        <f>IS!S14</f>
        <v>125.98599999999999</v>
      </c>
      <c r="U15" s="85">
        <f>IS!T14</f>
        <v>156.726</v>
      </c>
      <c r="V15" s="85">
        <f>IS!U14</f>
        <v>193.67600000000002</v>
      </c>
      <c r="W15" s="85">
        <f>IS!V14</f>
        <v>248.30800000000002</v>
      </c>
      <c r="X15" s="85">
        <f>IS!W14</f>
        <v>314.48800000000006</v>
      </c>
      <c r="Y15" s="85">
        <f>IS!X14</f>
        <v>318.13800000000009</v>
      </c>
      <c r="AA15" s="85">
        <f>IS!AQ14</f>
        <v>0</v>
      </c>
      <c r="AB15" s="85">
        <f>IS!AR14</f>
        <v>0</v>
      </c>
      <c r="AC15" s="85">
        <f>IS!AS14</f>
        <v>0</v>
      </c>
      <c r="AD15" s="85">
        <f>IS!AT14</f>
        <v>0</v>
      </c>
      <c r="AE15" s="85">
        <f>IS!AV14</f>
        <v>0</v>
      </c>
      <c r="AF15" s="85">
        <f>IS!AW14</f>
        <v>0</v>
      </c>
      <c r="AG15" s="85">
        <f>IS!AX14</f>
        <v>0</v>
      </c>
      <c r="AH15" s="85">
        <f>IS!AY14</f>
        <v>0</v>
      </c>
      <c r="AI15" s="85">
        <f>IS!BA14</f>
        <v>1.3320000000000001</v>
      </c>
      <c r="AJ15" s="85">
        <f>IS!BB14</f>
        <v>2.4350000000000001</v>
      </c>
      <c r="AK15" s="85">
        <f>IS!BC14</f>
        <v>2.56</v>
      </c>
      <c r="AL15" s="85">
        <f>IS!BD14</f>
        <v>1.6579999999999999</v>
      </c>
      <c r="AM15" s="85">
        <f>IS!BF14</f>
        <v>2.3370000000000002</v>
      </c>
      <c r="AN15" s="85">
        <f>IS!BG14</f>
        <v>2.1520000000000001</v>
      </c>
      <c r="AO15" s="85">
        <f>IS!BH14</f>
        <v>2.3820000000000001</v>
      </c>
      <c r="AP15" s="85">
        <f>IS!BI14</f>
        <v>2.3679999999999999</v>
      </c>
      <c r="AQ15" s="85">
        <f>IS!BK14</f>
        <v>2.7829999999999999</v>
      </c>
      <c r="AR15" s="85">
        <f>IS!BL14</f>
        <v>3.048</v>
      </c>
      <c r="AS15" s="85">
        <f>IS!BM14</f>
        <v>3.8050000000000002</v>
      </c>
      <c r="AT15" s="85">
        <f>IS!BN14</f>
        <v>3.4180000000000001</v>
      </c>
      <c r="AU15" s="85">
        <f>IS!BP14</f>
        <v>3.117</v>
      </c>
      <c r="AV15" s="85">
        <f>IS!BQ14</f>
        <v>3.4590000000000001</v>
      </c>
      <c r="AW15" s="85">
        <f>IS!BR14</f>
        <v>3.8079999999999998</v>
      </c>
      <c r="AX15" s="85">
        <f>IS!BS14</f>
        <v>4.55</v>
      </c>
      <c r="AY15" s="85">
        <f>IS!BU14</f>
        <v>4.2229999999999999</v>
      </c>
      <c r="AZ15" s="85">
        <f>IS!BV14</f>
        <v>3.9329999999999998</v>
      </c>
      <c r="BA15" s="85">
        <f>IS!BW14</f>
        <v>4.4939999999999998</v>
      </c>
      <c r="BB15" s="85">
        <f>IS!BX14</f>
        <v>7.1360000000000001</v>
      </c>
      <c r="BC15" s="1226">
        <f>Rev!BL13</f>
        <v>7.859</v>
      </c>
      <c r="BD15" s="1226">
        <f>Rev!BM13</f>
        <v>8.6489999999999991</v>
      </c>
      <c r="BE15" s="1226">
        <f>Rev!BN13</f>
        <v>10.218</v>
      </c>
      <c r="BF15" s="1226">
        <f>Rev!BO13</f>
        <v>7.867</v>
      </c>
      <c r="BG15" s="1226">
        <f>Rev!BP13</f>
        <v>7.944</v>
      </c>
      <c r="BH15" s="1226">
        <f>Rev!BQ13</f>
        <v>7.8550000000000004</v>
      </c>
      <c r="BI15" s="1226">
        <f>Rev!BR13</f>
        <v>9.2240000000000002</v>
      </c>
      <c r="BJ15" s="1226">
        <f>Rev!BS13</f>
        <v>11.087</v>
      </c>
      <c r="BK15" s="1226">
        <f>Rev!BT13</f>
        <v>11.413</v>
      </c>
      <c r="BL15" s="1226">
        <f>Rev!BU13</f>
        <v>13.868</v>
      </c>
      <c r="BM15" s="1226">
        <f>Rev!BV13</f>
        <v>15.425999999999998</v>
      </c>
      <c r="BN15" s="1226">
        <f>Rev!BW13</f>
        <v>18.721</v>
      </c>
      <c r="BO15" s="1226">
        <f>Rev!BX13</f>
        <v>18.902000000000001</v>
      </c>
      <c r="BP15" s="1226">
        <f>Rev!BY13</f>
        <v>18.123000000000001</v>
      </c>
      <c r="BQ15" s="1226">
        <f>Rev!BZ13</f>
        <v>19.994</v>
      </c>
      <c r="BR15" s="1226">
        <f>Rev!CA13</f>
        <v>20.350999999999999</v>
      </c>
      <c r="BS15" s="1226">
        <f>Rev!CB13</f>
        <v>20.806999999999999</v>
      </c>
      <c r="BT15" s="1226">
        <f>Rev!CC13</f>
        <v>21.914999999999999</v>
      </c>
      <c r="BU15" s="1226">
        <f>Rev!CD13</f>
        <v>24.353000000000002</v>
      </c>
      <c r="BV15" s="1226">
        <f>Rev!CE13</f>
        <v>23.233000000000001</v>
      </c>
      <c r="BW15" s="1226">
        <f>Rev!CF13</f>
        <v>21.612000000000002</v>
      </c>
      <c r="BX15" s="1226">
        <f>Rev!CG13</f>
        <v>27.056999999999999</v>
      </c>
      <c r="BY15" s="1226">
        <f>Rev!CH13</f>
        <v>27.518000000000001</v>
      </c>
      <c r="BZ15" s="1226">
        <f>Rev!CI13</f>
        <v>26.616999999999997</v>
      </c>
      <c r="CA15" s="1226">
        <f>Rev!CJ13</f>
        <v>30.35</v>
      </c>
      <c r="CB15" s="1226">
        <f>Rev!CK13</f>
        <v>31.003</v>
      </c>
      <c r="CC15" s="1226">
        <f>Rev!CL13</f>
        <v>32.003999999999998</v>
      </c>
      <c r="CD15" s="1226">
        <f>Rev!CM13</f>
        <v>32.628999999999998</v>
      </c>
    </row>
    <row r="16" spans="2:82">
      <c r="B16" s="79" t="s">
        <v>1225</v>
      </c>
      <c r="C16" s="79"/>
      <c r="D16" s="79"/>
      <c r="E16" s="81">
        <f>Rev!E667</f>
        <v>0</v>
      </c>
      <c r="F16" s="81">
        <f>Rev!F667</f>
        <v>0</v>
      </c>
      <c r="G16" s="81">
        <f>Rev!G667</f>
        <v>0</v>
      </c>
      <c r="H16" s="81">
        <f>Rev!H667</f>
        <v>0</v>
      </c>
      <c r="I16" s="81">
        <f>Rev!I667</f>
        <v>0</v>
      </c>
      <c r="J16" s="81">
        <f>Rev!J667</f>
        <v>0</v>
      </c>
      <c r="K16" s="81">
        <f>Rev!K667</f>
        <v>0</v>
      </c>
      <c r="L16" s="81">
        <f>Rev!L667</f>
        <v>37.635999999999996</v>
      </c>
      <c r="M16" s="81">
        <f>Rev!M667</f>
        <v>172.48999999999998</v>
      </c>
      <c r="N16" s="81">
        <f>Rev!N667</f>
        <v>228.13599999999997</v>
      </c>
      <c r="O16" s="81">
        <f>Rev!O667</f>
        <v>281.79300000000001</v>
      </c>
      <c r="P16" s="81">
        <f>Rev!P667</f>
        <v>355.1465</v>
      </c>
      <c r="Q16" s="81">
        <f>Rev!Q667</f>
        <v>448.91045000000003</v>
      </c>
      <c r="R16" s="81">
        <f>Rev!R667</f>
        <v>536.89997500000004</v>
      </c>
      <c r="S16" s="81">
        <f>Rev!S667</f>
        <v>644.39449999999999</v>
      </c>
      <c r="T16" s="81">
        <f>Rev!T667</f>
        <v>710.74300000000005</v>
      </c>
      <c r="U16" s="81">
        <f>Rev!U667</f>
        <v>1171.3389999999999</v>
      </c>
      <c r="V16" s="81">
        <f>Rev!V667</f>
        <v>1346.2560000000001</v>
      </c>
      <c r="W16" s="81">
        <f>Rev!W667</f>
        <v>1566.161675237511</v>
      </c>
      <c r="X16" s="81">
        <f>Rev!X667</f>
        <v>1688.961081152891</v>
      </c>
      <c r="Y16" s="81">
        <f>Rev!Y667</f>
        <v>1807.5144067732274</v>
      </c>
      <c r="AA16" s="81">
        <f>Rev!AJ667</f>
        <v>0</v>
      </c>
      <c r="AB16" s="81">
        <f>Rev!AK667</f>
        <v>0</v>
      </c>
      <c r="AC16" s="81">
        <f>Rev!AL667</f>
        <v>0</v>
      </c>
      <c r="AD16" s="81">
        <f>Rev!AM667</f>
        <v>0</v>
      </c>
      <c r="AE16" s="81">
        <f>Rev!AN667</f>
        <v>0</v>
      </c>
      <c r="AF16" s="81">
        <f>Rev!AO667</f>
        <v>0</v>
      </c>
      <c r="AG16" s="81">
        <f>Rev!AP667</f>
        <v>0</v>
      </c>
      <c r="AH16" s="81">
        <f>Rev!AQ667</f>
        <v>0</v>
      </c>
      <c r="AI16" s="81">
        <f>Rev!AR667</f>
        <v>0</v>
      </c>
      <c r="AJ16" s="81">
        <f>Rev!AS667</f>
        <v>0</v>
      </c>
      <c r="AK16" s="81">
        <f>Rev!AT667</f>
        <v>0</v>
      </c>
      <c r="AL16" s="81">
        <f>Rev!AU667</f>
        <v>0</v>
      </c>
      <c r="AM16" s="81">
        <f>Rev!AV667</f>
        <v>0</v>
      </c>
      <c r="AN16" s="81">
        <f>Rev!AW667</f>
        <v>0</v>
      </c>
      <c r="AO16" s="81">
        <f>Rev!AX667</f>
        <v>0</v>
      </c>
      <c r="AP16" s="81">
        <f>Rev!AY667</f>
        <v>0</v>
      </c>
      <c r="AQ16" s="81">
        <f>Rev!AZ667</f>
        <v>0</v>
      </c>
      <c r="AR16" s="81">
        <f>Rev!BA667</f>
        <v>0</v>
      </c>
      <c r="AS16" s="81">
        <f>Rev!BB667</f>
        <v>0</v>
      </c>
      <c r="AT16" s="81">
        <f>Rev!BC667</f>
        <v>0</v>
      </c>
      <c r="AU16" s="81">
        <f>Rev!BD667</f>
        <v>0</v>
      </c>
      <c r="AV16" s="81">
        <f>Rev!BE667</f>
        <v>0</v>
      </c>
      <c r="AW16" s="81">
        <f>Rev!BF667</f>
        <v>0</v>
      </c>
      <c r="AX16" s="81">
        <f>Rev!BG667</f>
        <v>0</v>
      </c>
      <c r="AY16" s="81">
        <f>Rev!BH667</f>
        <v>0</v>
      </c>
      <c r="AZ16" s="81">
        <f>Rev!BI667</f>
        <v>0</v>
      </c>
      <c r="BA16" s="81">
        <f>Rev!BJ667</f>
        <v>6.298</v>
      </c>
      <c r="BB16" s="81">
        <f>Rev!BK667</f>
        <v>31.337999999999997</v>
      </c>
      <c r="BC16" s="1226">
        <f>Rev!BL667</f>
        <v>39.652999999999999</v>
      </c>
      <c r="BD16" s="1226">
        <f>Rev!BM667</f>
        <v>43.028999999999996</v>
      </c>
      <c r="BE16" s="1226">
        <f>Rev!BN667</f>
        <v>45.255000000000003</v>
      </c>
      <c r="BF16" s="1226">
        <f>Rev!BO667</f>
        <v>44.553000000000004</v>
      </c>
      <c r="BG16" s="1226">
        <f>Rev!BP667</f>
        <v>47.8</v>
      </c>
      <c r="BH16" s="1226">
        <f>Rev!BQ667</f>
        <v>55.056000000000004</v>
      </c>
      <c r="BI16" s="1226">
        <f>Rev!BR667</f>
        <v>60.805999999999997</v>
      </c>
      <c r="BJ16" s="1226">
        <f>Rev!BS667</f>
        <v>64.474000000000004</v>
      </c>
      <c r="BK16" s="1226">
        <f>Rev!BT667</f>
        <v>64.163999999999987</v>
      </c>
      <c r="BL16" s="1226">
        <f>Rev!BU667</f>
        <v>66.084000000000003</v>
      </c>
      <c r="BM16" s="1226">
        <f>Rev!BV667</f>
        <v>72.793999999999997</v>
      </c>
      <c r="BN16" s="1226">
        <f>Rev!BW667</f>
        <v>78.750999999999991</v>
      </c>
      <c r="BO16" s="1226">
        <f>Rev!BX667</f>
        <v>82.038999999999987</v>
      </c>
      <c r="BP16" s="1226">
        <f>Rev!BY667</f>
        <v>88.611000000000004</v>
      </c>
      <c r="BQ16" s="1226">
        <f>Rev!BZ667</f>
        <v>92.323999999999998</v>
      </c>
      <c r="BR16" s="1226">
        <f>Rev!CA667</f>
        <v>95.24799999999999</v>
      </c>
      <c r="BS16" s="1226">
        <f>Rev!CB667</f>
        <v>101.20399999999998</v>
      </c>
      <c r="BT16" s="1226">
        <f>Rev!CC667</f>
        <v>102.565</v>
      </c>
      <c r="BU16" s="1226">
        <f>Rev!CD667</f>
        <v>111.82499999999999</v>
      </c>
      <c r="BV16" s="1226">
        <f>Rev!CE667</f>
        <v>117.32600000000001</v>
      </c>
      <c r="BW16" s="1226">
        <f>Rev!CF667</f>
        <v>119.96899999999999</v>
      </c>
      <c r="BX16" s="1226">
        <f>Rev!CG667</f>
        <v>127.009</v>
      </c>
      <c r="BY16" s="1226">
        <f>Rev!CH667</f>
        <v>133.25400000000002</v>
      </c>
      <c r="BZ16" s="1226">
        <f>Rev!CI667</f>
        <v>144.78599999999997</v>
      </c>
      <c r="CA16" s="1226">
        <f>Rev!CJ667</f>
        <v>151.43</v>
      </c>
      <c r="CB16" s="1226">
        <f>Rev!CK667</f>
        <v>157.16200000000001</v>
      </c>
      <c r="CC16" s="1226">
        <f>Rev!CL667</f>
        <v>161.57999999999998</v>
      </c>
      <c r="CD16" s="1226">
        <f>Rev!CM667</f>
        <v>167.09300000000002</v>
      </c>
    </row>
    <row r="17" spans="2:82">
      <c r="B17" s="79" t="s">
        <v>464</v>
      </c>
      <c r="C17" s="79"/>
      <c r="D17" s="79"/>
      <c r="E17" s="81">
        <f>Rev!I497</f>
        <v>0</v>
      </c>
      <c r="F17" s="81">
        <f>Rev!J497</f>
        <v>29.667000000000002</v>
      </c>
      <c r="G17" s="81">
        <f>Rev!K497</f>
        <v>40.848999999999997</v>
      </c>
      <c r="H17" s="81">
        <f>Rev!L497</f>
        <v>44.491000000000007</v>
      </c>
      <c r="I17" s="81">
        <f>Rev!M497</f>
        <v>84.375</v>
      </c>
      <c r="J17" s="81">
        <f>Rev!N497</f>
        <v>118.98399999999999</v>
      </c>
      <c r="K17" s="81">
        <f>Rev!O497</f>
        <v>162.36600000000001</v>
      </c>
      <c r="L17" s="81">
        <f>Rev!P497</f>
        <v>217.04499999999999</v>
      </c>
      <c r="M17" s="81">
        <f>Rev!Q497</f>
        <v>324.66395</v>
      </c>
      <c r="N17" s="81">
        <f>Rev!R497</f>
        <v>383.82474999999999</v>
      </c>
      <c r="O17" s="81">
        <f>Rev!S497</f>
        <v>447.55059999999997</v>
      </c>
      <c r="P17" s="81">
        <f>Rev!T497</f>
        <v>496.202</v>
      </c>
      <c r="Q17" s="81">
        <f>Rev!U497</f>
        <v>761.101</v>
      </c>
      <c r="R17" s="81">
        <f>Rev!V497</f>
        <v>849.41200000000003</v>
      </c>
      <c r="S17" s="81">
        <f>Rev!W497</f>
        <v>971.1772791314396</v>
      </c>
      <c r="T17" s="81">
        <f>Rev!X497</f>
        <v>1098.2860751408557</v>
      </c>
      <c r="U17" s="81">
        <f>Rev!Y497</f>
        <v>1219.833030887331</v>
      </c>
      <c r="V17" s="81">
        <f>Rev!AE497</f>
        <v>0</v>
      </c>
      <c r="W17" s="81">
        <f>Rev!AF497</f>
        <v>0</v>
      </c>
      <c r="X17" s="81">
        <f>Rev!AG497</f>
        <v>0</v>
      </c>
      <c r="Y17" s="81">
        <f>Rev!AH497</f>
        <v>0</v>
      </c>
      <c r="Z17" s="81">
        <f>Rev!AI497</f>
        <v>0</v>
      </c>
      <c r="AA17" s="81">
        <f>Rev!AJ497</f>
        <v>0</v>
      </c>
      <c r="AB17" s="81">
        <f>Rev!AK497</f>
        <v>0</v>
      </c>
      <c r="AC17" s="81">
        <f>Rev!AL497</f>
        <v>0</v>
      </c>
      <c r="AD17" s="81">
        <f>Rev!AM497</f>
        <v>0</v>
      </c>
      <c r="AE17" s="81">
        <f>Rev!AN497</f>
        <v>0</v>
      </c>
      <c r="AF17" s="81">
        <f>Rev!AO497</f>
        <v>0</v>
      </c>
      <c r="AG17" s="81">
        <f>Rev!AP497</f>
        <v>0</v>
      </c>
      <c r="AH17" s="81">
        <f>Rev!AQ497</f>
        <v>0</v>
      </c>
      <c r="AI17" s="81">
        <f>Rev!AR497</f>
        <v>0</v>
      </c>
      <c r="AJ17" s="81">
        <f>Rev!AS497</f>
        <v>0</v>
      </c>
      <c r="AK17" s="81">
        <f>Rev!AT497</f>
        <v>0</v>
      </c>
      <c r="AL17" s="81">
        <f>Rev!AU497</f>
        <v>0</v>
      </c>
      <c r="AM17" s="81">
        <f>Rev!AV497</f>
        <v>0</v>
      </c>
      <c r="AN17" s="81">
        <f>Rev!AW497</f>
        <v>0</v>
      </c>
      <c r="AO17" s="81">
        <f>Rev!AX497</f>
        <v>0</v>
      </c>
      <c r="AP17" s="81">
        <f>Rev!AY497</f>
        <v>0</v>
      </c>
      <c r="AQ17" s="81">
        <f>Rev!AZ497</f>
        <v>6.6680000000000001</v>
      </c>
      <c r="AR17" s="81">
        <f>Rev!BA497</f>
        <v>7.0949999999999998</v>
      </c>
      <c r="AS17" s="81">
        <f>Rev!BB497</f>
        <v>7.569</v>
      </c>
      <c r="AT17" s="81">
        <f>Rev!BC497</f>
        <v>8.3350000000000009</v>
      </c>
      <c r="AU17" s="81">
        <f>Rev!BD497</f>
        <v>9.0289999999999999</v>
      </c>
      <c r="AV17" s="81">
        <f>Rev!BE497</f>
        <v>9.6479999999999997</v>
      </c>
      <c r="AW17" s="81">
        <f>Rev!BF497</f>
        <v>10.071999999999999</v>
      </c>
      <c r="AX17" s="81">
        <f>Rev!BG497</f>
        <v>12.1</v>
      </c>
      <c r="AY17" s="81">
        <f>Rev!BH497</f>
        <v>12.583</v>
      </c>
      <c r="AZ17" s="81">
        <f>Rev!BI497</f>
        <v>13.587</v>
      </c>
      <c r="BA17" s="81">
        <f>Rev!BJ497</f>
        <v>14.642999999999999</v>
      </c>
      <c r="BB17" s="81">
        <f>Rev!BK497</f>
        <v>16.260999999999999</v>
      </c>
      <c r="BC17" s="1226">
        <f>Rev!BL497</f>
        <v>18.173000000000002</v>
      </c>
      <c r="BD17" s="1226">
        <f>Rev!BM497</f>
        <v>20.603999999999999</v>
      </c>
      <c r="BE17" s="1226">
        <f>Rev!BN497</f>
        <v>21.578999999999997</v>
      </c>
      <c r="BF17" s="1226">
        <f>Rev!BO497</f>
        <v>24.019000000000002</v>
      </c>
      <c r="BG17" s="1226">
        <f>Rev!BP497</f>
        <v>26.536999999999999</v>
      </c>
      <c r="BH17" s="1226">
        <f>Rev!BQ497</f>
        <v>28.366</v>
      </c>
      <c r="BI17" s="1226">
        <f>Rev!BR497</f>
        <v>30.417999999999999</v>
      </c>
      <c r="BJ17" s="1226">
        <f>Rev!BS497</f>
        <v>33.662999999999997</v>
      </c>
      <c r="BK17" s="1226">
        <f>Rev!BT497</f>
        <v>35.929000000000002</v>
      </c>
      <c r="BL17" s="1226">
        <f>Rev!BU497</f>
        <v>38.363999999999997</v>
      </c>
      <c r="BM17" s="1226">
        <f>Rev!BV497</f>
        <v>42.228000000000002</v>
      </c>
      <c r="BN17" s="1226">
        <f>Rev!BW497</f>
        <v>45.844999999999999</v>
      </c>
      <c r="BO17" s="1226">
        <f>Rev!BX497</f>
        <v>48.463000000000001</v>
      </c>
      <c r="BP17" s="1226">
        <f>Rev!BY497</f>
        <v>52.399999999999991</v>
      </c>
      <c r="BQ17" s="1226">
        <f>Rev!BZ497</f>
        <v>56.423000000000002</v>
      </c>
      <c r="BR17" s="1226">
        <f>Rev!CA497</f>
        <v>58.561</v>
      </c>
      <c r="BS17" s="1226">
        <f>Rev!CB497</f>
        <v>62.741</v>
      </c>
      <c r="BT17" s="1226">
        <f>Rev!CC497</f>
        <v>66.936999999999998</v>
      </c>
      <c r="BU17" s="1226">
        <f>Rev!CD497</f>
        <v>81.174000000000007</v>
      </c>
      <c r="BV17" s="1226">
        <f>Rev!CE497</f>
        <v>93.76100000000001</v>
      </c>
      <c r="BW17" s="1226">
        <f>Rev!CF497</f>
        <v>90.37299999999999</v>
      </c>
      <c r="BX17" s="1226">
        <f>Rev!CG497</f>
        <v>88.393999999999991</v>
      </c>
      <c r="BY17" s="1226">
        <f>Rev!CH497</f>
        <v>90.417000000000016</v>
      </c>
      <c r="BZ17" s="1226">
        <f>Rev!CI497</f>
        <v>93.789999999999992</v>
      </c>
      <c r="CA17" s="1226">
        <f>Rev!CJ497</f>
        <v>98.59</v>
      </c>
      <c r="CB17" s="1226">
        <f>Rev!CK497</f>
        <v>105.74299999999999</v>
      </c>
      <c r="CC17" s="1226">
        <f>Rev!CL497</f>
        <v>111.44800000000001</v>
      </c>
      <c r="CD17" s="1226">
        <f>Rev!CM497</f>
        <v>114.62599999999999</v>
      </c>
    </row>
    <row r="18" spans="2:82">
      <c r="B18" s="79" t="s">
        <v>1494</v>
      </c>
      <c r="C18" s="79"/>
      <c r="D18" s="79"/>
      <c r="E18" s="81">
        <f t="shared" ref="E18:T18" si="0">E13-E16-E17</f>
        <v>13.016</v>
      </c>
      <c r="F18" s="81">
        <f t="shared" si="0"/>
        <v>33.747</v>
      </c>
      <c r="G18" s="81">
        <f t="shared" si="0"/>
        <v>36.339000000000006</v>
      </c>
      <c r="H18" s="81">
        <f t="shared" si="0"/>
        <v>73.450999999999993</v>
      </c>
      <c r="I18" s="81">
        <f t="shared" si="0"/>
        <v>79.295999999999992</v>
      </c>
      <c r="J18" s="81">
        <f t="shared" si="0"/>
        <v>102.07300000000002</v>
      </c>
      <c r="K18" s="81">
        <f t="shared" si="0"/>
        <v>125.72800000000004</v>
      </c>
      <c r="L18" s="81">
        <f t="shared" si="0"/>
        <v>164.76100000000005</v>
      </c>
      <c r="M18" s="81">
        <f t="shared" si="0"/>
        <v>207.52604999999994</v>
      </c>
      <c r="N18" s="81">
        <f t="shared" si="0"/>
        <v>270.54825000000017</v>
      </c>
      <c r="O18" s="81">
        <f t="shared" si="0"/>
        <v>466.87039999999996</v>
      </c>
      <c r="P18" s="81">
        <f t="shared" si="0"/>
        <v>718.43550000000005</v>
      </c>
      <c r="Q18" s="81">
        <f t="shared" si="0"/>
        <v>677.36454999999989</v>
      </c>
      <c r="R18" s="81">
        <f t="shared" si="0"/>
        <v>766.454025</v>
      </c>
      <c r="S18" s="81">
        <f t="shared" si="0"/>
        <v>828.20322086856015</v>
      </c>
      <c r="T18" s="81">
        <f t="shared" si="0"/>
        <v>916.83792485914455</v>
      </c>
      <c r="U18" s="81">
        <f>U13-U16-U17</f>
        <v>1220.8169691126686</v>
      </c>
      <c r="V18" s="81">
        <f>V13-V16-V17</f>
        <v>3022.1719999999996</v>
      </c>
      <c r="W18" s="81">
        <f ca="1">W13-W16-W17</f>
        <v>3472.9969203536793</v>
      </c>
      <c r="X18" s="81">
        <f ca="1">X13-X16-X17</f>
        <v>3811.6266908317493</v>
      </c>
      <c r="Y18" s="81">
        <f ca="1">Y13-Y16-Y17</f>
        <v>4129.8185259428037</v>
      </c>
      <c r="AA18" s="81">
        <f t="shared" ref="AA18:BN18" si="1">AA13-AA16-AA17</f>
        <v>12.613</v>
      </c>
      <c r="AB18" s="81">
        <f t="shared" si="1"/>
        <v>16.157</v>
      </c>
      <c r="AC18" s="81">
        <f t="shared" si="1"/>
        <v>17.178000000000001</v>
      </c>
      <c r="AD18" s="81">
        <f t="shared" si="1"/>
        <v>17.466000000000001</v>
      </c>
      <c r="AE18" s="81">
        <f t="shared" si="1"/>
        <v>20.158000000000001</v>
      </c>
      <c r="AF18" s="81">
        <f t="shared" si="1"/>
        <v>18.04</v>
      </c>
      <c r="AG18" s="81">
        <f t="shared" si="1"/>
        <v>20.187000000000001</v>
      </c>
      <c r="AH18" s="81">
        <f t="shared" si="1"/>
        <v>18.803000000000001</v>
      </c>
      <c r="AI18" s="81">
        <f t="shared" si="1"/>
        <v>25.435000000000002</v>
      </c>
      <c r="AJ18" s="81">
        <f t="shared" si="1"/>
        <v>28.433999999999997</v>
      </c>
      <c r="AK18" s="81">
        <f t="shared" si="1"/>
        <v>30.919</v>
      </c>
      <c r="AL18" s="81">
        <f t="shared" si="1"/>
        <v>33.153999999999996</v>
      </c>
      <c r="AM18" s="81">
        <f t="shared" si="1"/>
        <v>36.82</v>
      </c>
      <c r="AN18" s="81">
        <f t="shared" si="1"/>
        <v>39.423000000000002</v>
      </c>
      <c r="AO18" s="81">
        <f t="shared" si="1"/>
        <v>42.439</v>
      </c>
      <c r="AP18" s="81">
        <f t="shared" si="1"/>
        <v>44.989000000000004</v>
      </c>
      <c r="AQ18" s="81">
        <f t="shared" si="1"/>
        <v>42.015999999999998</v>
      </c>
      <c r="AR18" s="81">
        <f t="shared" si="1"/>
        <v>45.384</v>
      </c>
      <c r="AS18" s="81">
        <f t="shared" si="1"/>
        <v>50.526999999999994</v>
      </c>
      <c r="AT18" s="81">
        <f t="shared" si="1"/>
        <v>53.462999999999994</v>
      </c>
      <c r="AU18" s="81">
        <f t="shared" si="1"/>
        <v>55.84</v>
      </c>
      <c r="AV18" s="81">
        <f t="shared" si="1"/>
        <v>58.900000000000006</v>
      </c>
      <c r="AW18" s="81">
        <f t="shared" si="1"/>
        <v>63.653999999999996</v>
      </c>
      <c r="AX18" s="81">
        <f t="shared" si="1"/>
        <v>68.850999999999999</v>
      </c>
      <c r="AY18" s="81">
        <f t="shared" si="1"/>
        <v>72.52600000000001</v>
      </c>
      <c r="AZ18" s="81">
        <f t="shared" si="1"/>
        <v>78.250000000000014</v>
      </c>
      <c r="BA18" s="81">
        <f t="shared" si="1"/>
        <v>82.840999999999994</v>
      </c>
      <c r="BB18" s="81">
        <f t="shared" si="1"/>
        <v>91.115000000000009</v>
      </c>
      <c r="BC18" s="1226">
        <f t="shared" si="1"/>
        <v>100.39200000000002</v>
      </c>
      <c r="BD18" s="1226">
        <f t="shared" si="1"/>
        <v>108.41099999999999</v>
      </c>
      <c r="BE18" s="1226">
        <f t="shared" si="1"/>
        <v>116.90099999999997</v>
      </c>
      <c r="BF18" s="1226">
        <f t="shared" si="1"/>
        <v>122.11099999999999</v>
      </c>
      <c r="BG18" s="1226">
        <f t="shared" si="1"/>
        <v>124.89400000000003</v>
      </c>
      <c r="BH18" s="1226">
        <f t="shared" si="1"/>
        <v>129.74599999999998</v>
      </c>
      <c r="BI18" s="1226">
        <f t="shared" si="1"/>
        <v>136.334</v>
      </c>
      <c r="BJ18" s="1226">
        <f t="shared" si="1"/>
        <v>144.41499999999996</v>
      </c>
      <c r="BK18" s="1226">
        <f t="shared" si="1"/>
        <v>148.55600000000004</v>
      </c>
      <c r="BL18" s="1226">
        <f t="shared" si="1"/>
        <v>185.56899999999993</v>
      </c>
      <c r="BM18" s="1226">
        <f t="shared" si="1"/>
        <v>206.37200000000001</v>
      </c>
      <c r="BN18" s="1226">
        <f t="shared" si="1"/>
        <v>211.55800000000002</v>
      </c>
      <c r="BO18" s="1226">
        <f t="shared" ref="BO18:BV18" si="2">BO13-BO16-BO17</f>
        <v>223.44700000000003</v>
      </c>
      <c r="BP18" s="1226">
        <f t="shared" si="2"/>
        <v>244.5</v>
      </c>
      <c r="BQ18" s="1226">
        <f t="shared" si="2"/>
        <v>259.46099999999996</v>
      </c>
      <c r="BR18" s="1226">
        <f t="shared" si="2"/>
        <v>268.30700000000002</v>
      </c>
      <c r="BS18" s="1226">
        <f t="shared" si="2"/>
        <v>277.00700000000006</v>
      </c>
      <c r="BT18" s="1226">
        <f t="shared" si="2"/>
        <v>286.02800000000002</v>
      </c>
      <c r="BU18" s="1226">
        <f t="shared" si="2"/>
        <v>291.83600000000001</v>
      </c>
      <c r="BV18" s="1226">
        <f t="shared" si="2"/>
        <v>294.97199999999992</v>
      </c>
      <c r="BW18" s="1226">
        <f t="shared" ref="BW18:CD18" si="3">BW13-BW16-BW17</f>
        <v>305.79199999999992</v>
      </c>
      <c r="BX18" s="1226">
        <f t="shared" si="3"/>
        <v>313.46799999999996</v>
      </c>
      <c r="BY18" s="1226">
        <f t="shared" si="3"/>
        <v>319.41300000000001</v>
      </c>
      <c r="BZ18" s="1226">
        <f t="shared" si="3"/>
        <v>326.10100000000011</v>
      </c>
      <c r="CA18" s="1226">
        <f t="shared" si="3"/>
        <v>330.03300000000002</v>
      </c>
      <c r="CB18" s="1226">
        <f t="shared" si="3"/>
        <v>342.25600000000003</v>
      </c>
      <c r="CC18" s="1226">
        <f t="shared" si="3"/>
        <v>347.41199999999992</v>
      </c>
      <c r="CD18" s="1226">
        <f t="shared" si="3"/>
        <v>356.40199999999999</v>
      </c>
    </row>
    <row r="19" spans="2:82" ht="12.75" customHeight="1"/>
    <row r="20" spans="2:82" ht="12" customHeight="1">
      <c r="B20" s="80" t="s">
        <v>1109</v>
      </c>
      <c r="C20" s="80"/>
      <c r="D20" s="80"/>
      <c r="E20" s="82">
        <f>IS!E19</f>
        <v>-18.149000000000001</v>
      </c>
      <c r="F20" s="82">
        <f>IS!F19</f>
        <v>8.9509999999999934</v>
      </c>
      <c r="G20" s="82">
        <f>IS!G19</f>
        <v>21.181000000000012</v>
      </c>
      <c r="H20" s="82">
        <f>IS!H19</f>
        <v>44.766000000000005</v>
      </c>
      <c r="I20" s="82">
        <f>IS!I19</f>
        <v>81.23299999999999</v>
      </c>
      <c r="J20" s="82">
        <f>IS!J19</f>
        <v>125.50000000000003</v>
      </c>
      <c r="K20" s="82">
        <f>IS!K19</f>
        <v>175.95200000000006</v>
      </c>
      <c r="L20" s="82">
        <f>IS!L19</f>
        <v>254.03100000000006</v>
      </c>
      <c r="M20" s="82">
        <f>IS!M19</f>
        <v>439.99999999999994</v>
      </c>
      <c r="N20" s="82">
        <f>IS!N19</f>
        <v>567.92900000000009</v>
      </c>
      <c r="O20" s="82">
        <f>IS!O19</f>
        <v>777.48599999999999</v>
      </c>
      <c r="P20" s="82">
        <f>IS!P19</f>
        <v>1040.0310000000002</v>
      </c>
      <c r="Q20" s="82">
        <f>IS!Q19</f>
        <v>1292.5839999999998</v>
      </c>
      <c r="R20" s="82">
        <f>IS!R19</f>
        <v>1473.94</v>
      </c>
      <c r="S20" s="82">
        <f>IS!S19</f>
        <v>1676.2229999999997</v>
      </c>
      <c r="T20" s="82">
        <f>IS!T19</f>
        <v>1889.4280000000003</v>
      </c>
      <c r="U20" s="82">
        <f>IS!U19</f>
        <v>2442.4949999999994</v>
      </c>
      <c r="V20" s="82">
        <f>IS!V19</f>
        <v>2935.2629999999999</v>
      </c>
      <c r="W20" s="82">
        <f ca="1">IS!W19</f>
        <v>3376.236259046098</v>
      </c>
      <c r="X20" s="82">
        <f ca="1">IS!X19</f>
        <v>3690.8943950016933</v>
      </c>
      <c r="Y20" s="82">
        <f ca="1">IS!Y19</f>
        <v>3989.8877307851726</v>
      </c>
      <c r="AA20" s="82">
        <f>IS!AQ19</f>
        <v>-1.724000000000002</v>
      </c>
      <c r="AB20" s="82">
        <f>IS!AR19</f>
        <v>1.2909999999999986</v>
      </c>
      <c r="AC20" s="82">
        <f>IS!AS19</f>
        <v>2.1999999999999993</v>
      </c>
      <c r="AD20" s="82">
        <f>IS!AT19</f>
        <v>7.1840000000000011</v>
      </c>
      <c r="AE20" s="82">
        <f>IS!AV19</f>
        <v>5.7230000000000043</v>
      </c>
      <c r="AF20" s="82">
        <f>IS!AW19</f>
        <v>3.0600000000000005</v>
      </c>
      <c r="AG20" s="82">
        <f>IS!AX19</f>
        <v>6.2190000000000012</v>
      </c>
      <c r="AH20" s="82">
        <f>IS!AY19</f>
        <v>6.179000000000002</v>
      </c>
      <c r="AI20" s="82">
        <f>IS!BA19</f>
        <v>8.4050000000000011</v>
      </c>
      <c r="AJ20" s="82">
        <f>IS!BB19</f>
        <v>10.978999999999996</v>
      </c>
      <c r="AK20" s="82">
        <f>IS!BC19</f>
        <v>11.229000000000003</v>
      </c>
      <c r="AL20" s="82">
        <f>IS!BD19</f>
        <v>14.152999999999995</v>
      </c>
      <c r="AM20" s="82">
        <f>IS!BF19</f>
        <v>16.600000000000005</v>
      </c>
      <c r="AN20" s="82">
        <f>IS!BG19</f>
        <v>18.792000000000002</v>
      </c>
      <c r="AO20" s="82">
        <f>IS!BH19</f>
        <v>21.78</v>
      </c>
      <c r="AP20" s="82">
        <f>IS!BI19</f>
        <v>24.061000000000003</v>
      </c>
      <c r="AQ20" s="82">
        <f>IS!BK19</f>
        <v>26.754999999999999</v>
      </c>
      <c r="AR20" s="82">
        <f>IS!BL19</f>
        <v>29.161999999999999</v>
      </c>
      <c r="AS20" s="82">
        <f>IS!BM19</f>
        <v>32.976999999999997</v>
      </c>
      <c r="AT20" s="82">
        <f>IS!BN19</f>
        <v>36.605999999999995</v>
      </c>
      <c r="AU20" s="82">
        <f>IS!BP19</f>
        <v>39.597000000000001</v>
      </c>
      <c r="AV20" s="82">
        <f>IS!BQ19</f>
        <v>41.703000000000003</v>
      </c>
      <c r="AW20" s="82">
        <f>IS!BR19</f>
        <v>43.988</v>
      </c>
      <c r="AX20" s="82">
        <f>IS!BS19</f>
        <v>50.663999999999987</v>
      </c>
      <c r="AY20" s="82">
        <f>IS!BU19</f>
        <v>53.178000000000011</v>
      </c>
      <c r="AZ20" s="82">
        <f>IS!BV19</f>
        <v>58.098000000000013</v>
      </c>
      <c r="BA20" s="82">
        <f>IS!BW19</f>
        <v>63.541999999999994</v>
      </c>
      <c r="BB20" s="82">
        <f>IS!BX19</f>
        <v>79.212999999999994</v>
      </c>
      <c r="BC20" s="1226">
        <f>IS!BZ19</f>
        <v>96.457000000000008</v>
      </c>
      <c r="BD20" s="1226">
        <f>IS!CA19</f>
        <v>105.95599999999999</v>
      </c>
      <c r="BE20" s="1226">
        <f>IS!CB19</f>
        <v>113.13399999999996</v>
      </c>
      <c r="BF20" s="1226">
        <f>IS!CC19</f>
        <v>124.45299999999999</v>
      </c>
      <c r="BG20" s="1226">
        <f>IS!CE19</f>
        <v>127.29200000000003</v>
      </c>
      <c r="BH20" s="1226">
        <f>IS!CF19</f>
        <v>137.99099999999999</v>
      </c>
      <c r="BI20" s="1226">
        <f>IS!CG19</f>
        <v>145.62700000000001</v>
      </c>
      <c r="BJ20" s="1226">
        <f>IS!CH19</f>
        <v>157.01900000000001</v>
      </c>
      <c r="BK20" s="1226">
        <f>IS!CJ19</f>
        <v>163.56500000000003</v>
      </c>
      <c r="BL20" s="1226">
        <f>IS!CK19</f>
        <v>189.33099999999996</v>
      </c>
      <c r="BM20" s="1226">
        <f>IS!CL19</f>
        <v>209.37</v>
      </c>
      <c r="BN20" s="1226">
        <f>IS!CM19</f>
        <v>215.22</v>
      </c>
      <c r="BO20" s="1226">
        <f>IS!CO19</f>
        <v>235.44900000000001</v>
      </c>
      <c r="BP20" s="1226">
        <f>IS!CP19</f>
        <v>253.42</v>
      </c>
      <c r="BQ20" s="1226">
        <f>IS!CQ19</f>
        <v>268.24099999999999</v>
      </c>
      <c r="BR20" s="1226">
        <f>IS!CR19</f>
        <v>282.92099999999999</v>
      </c>
      <c r="BS20" s="1226">
        <f>IS!CT19</f>
        <v>303.02300000000002</v>
      </c>
      <c r="BT20" s="1226">
        <f>IS!CU19</f>
        <v>314.178</v>
      </c>
      <c r="BU20" s="1226">
        <f>IS!CV19</f>
        <v>327.40999999999997</v>
      </c>
      <c r="BV20" s="1226">
        <f>IS!CW19</f>
        <v>347.97299999999996</v>
      </c>
      <c r="BW20" s="1226">
        <f>IS!CX19</f>
        <v>354.12399999999991</v>
      </c>
      <c r="BX20" s="1226">
        <f>IS!CY19</f>
        <v>360.45</v>
      </c>
      <c r="BY20" s="1226">
        <f>IS!CZ19</f>
        <v>368.97300000000007</v>
      </c>
      <c r="BZ20" s="1226">
        <f>IS!DA19</f>
        <v>390.39300000000003</v>
      </c>
      <c r="CA20" s="1226">
        <f>IS!DB19</f>
        <v>395.80500000000001</v>
      </c>
      <c r="CB20" s="1226">
        <f>IS!DC19</f>
        <v>414.26000000000005</v>
      </c>
      <c r="CC20" s="1226">
        <f>IS!DD19</f>
        <v>423.98199999999997</v>
      </c>
      <c r="CD20" s="1226">
        <f>IS!DE19</f>
        <v>442.17599999999999</v>
      </c>
    </row>
    <row r="21" spans="2:82" ht="12.75" customHeight="1"/>
    <row r="22" spans="2:82">
      <c r="B22" s="80" t="s">
        <v>188</v>
      </c>
      <c r="C22" s="80"/>
      <c r="D22" s="80"/>
      <c r="E22" s="82">
        <f>IS!E37</f>
        <v>-62.4</v>
      </c>
      <c r="F22" s="82">
        <f>IS!F37</f>
        <v>-38.007000000000005</v>
      </c>
      <c r="G22" s="82">
        <f>IS!G37</f>
        <v>-11.830999999999989</v>
      </c>
      <c r="H22" s="82">
        <f>IS!H37</f>
        <v>1.6980000000000075</v>
      </c>
      <c r="I22" s="82">
        <f>IS!I37</f>
        <v>35.61399999999999</v>
      </c>
      <c r="J22" s="82">
        <f>IS!J37</f>
        <v>70.139000000000024</v>
      </c>
      <c r="K22" s="82">
        <f>IS!K37</f>
        <v>102.07200000000006</v>
      </c>
      <c r="L22" s="82">
        <f>IS!L37</f>
        <v>155.39000000000007</v>
      </c>
      <c r="M22" s="82">
        <f>IS!M37</f>
        <v>292.47599999999994</v>
      </c>
      <c r="N22" s="82">
        <f>IS!N37</f>
        <v>408.60800000000006</v>
      </c>
      <c r="O22" s="82">
        <f>IS!O37</f>
        <v>533.02099999999996</v>
      </c>
      <c r="P22" s="82">
        <f>IS!P37</f>
        <v>719.80500000000018</v>
      </c>
      <c r="Q22" s="82">
        <f>IS!Q37</f>
        <v>887.85699999999986</v>
      </c>
      <c r="R22" s="82">
        <f>IS!R37</f>
        <v>1000.898</v>
      </c>
      <c r="S22" s="82">
        <f>IS!S37</f>
        <v>1113.8909999999996</v>
      </c>
      <c r="T22" s="82">
        <f>IS!T37</f>
        <v>1271.6270000000004</v>
      </c>
      <c r="U22" s="82">
        <f>IS!U37</f>
        <v>1657.4739999999999</v>
      </c>
      <c r="V22" s="82">
        <f>IS!V37</f>
        <v>2052.0410000000002</v>
      </c>
      <c r="W22" s="82">
        <f ca="1">IS!W37</f>
        <v>2396.2013118891828</v>
      </c>
      <c r="X22" s="82">
        <f ca="1">IS!X37</f>
        <v>2626.6195144712165</v>
      </c>
      <c r="Y22" s="82">
        <f ca="1">IS!Y37</f>
        <v>2847.0470495173977</v>
      </c>
      <c r="AA22" s="82">
        <f>IS!AQ37</f>
        <v>-16.292000000000002</v>
      </c>
      <c r="AB22" s="82">
        <f>IS!AR37</f>
        <v>-11.467000000000001</v>
      </c>
      <c r="AC22" s="82">
        <f>IS!AS37</f>
        <v>-8.6880000000000024</v>
      </c>
      <c r="AD22" s="82">
        <f>IS!AT37</f>
        <v>-1.5599999999999987</v>
      </c>
      <c r="AE22" s="82">
        <f>IS!AV37</f>
        <v>-1.5389999999999953</v>
      </c>
      <c r="AF22" s="82">
        <f>IS!AW37</f>
        <v>-6.9339999999999993</v>
      </c>
      <c r="AG22" s="82">
        <f>IS!AX37</f>
        <v>-1.504999999999999</v>
      </c>
      <c r="AH22" s="82">
        <f>IS!AY37</f>
        <v>-1.852999999999998</v>
      </c>
      <c r="AI22" s="82">
        <f>IS!BA37</f>
        <v>-3.0739999999999981</v>
      </c>
      <c r="AJ22" s="82">
        <f>IS!BB37</f>
        <v>0.28899999999999437</v>
      </c>
      <c r="AK22" s="82">
        <f>IS!BC37</f>
        <v>1.3800000000000026</v>
      </c>
      <c r="AL22" s="82">
        <f>IS!BD37</f>
        <v>3.1029999999999944</v>
      </c>
      <c r="AM22" s="82">
        <f>IS!BF37</f>
        <v>5.6570000000000054</v>
      </c>
      <c r="AN22" s="82">
        <f>IS!BG37</f>
        <v>7.5280000000000022</v>
      </c>
      <c r="AO22" s="82">
        <f>IS!BH37</f>
        <v>10.066000000000001</v>
      </c>
      <c r="AP22" s="82">
        <f>IS!BI37</f>
        <v>12.363000000000003</v>
      </c>
      <c r="AQ22" s="82">
        <f>IS!BK37</f>
        <v>14.337</v>
      </c>
      <c r="AR22" s="82">
        <f>IS!BL37</f>
        <v>16.055</v>
      </c>
      <c r="AS22" s="82">
        <f>IS!BM37</f>
        <v>17.918999999999997</v>
      </c>
      <c r="AT22" s="82">
        <f>IS!BN37</f>
        <v>21.827999999999996</v>
      </c>
      <c r="AU22" s="82">
        <f>IS!BP37</f>
        <v>22.835000000000001</v>
      </c>
      <c r="AV22" s="82">
        <f>IS!BQ37</f>
        <v>24.038000000000004</v>
      </c>
      <c r="AW22" s="82">
        <f>IS!BR37</f>
        <v>24.926999999999996</v>
      </c>
      <c r="AX22" s="82">
        <f>IS!BS37</f>
        <v>30.271999999999988</v>
      </c>
      <c r="AY22" s="82">
        <f>IS!BU37</f>
        <v>32.378000000000014</v>
      </c>
      <c r="AZ22" s="82">
        <f>IS!BV37</f>
        <v>35.311000000000014</v>
      </c>
      <c r="BA22" s="82">
        <f>IS!BW37</f>
        <v>40.638999999999996</v>
      </c>
      <c r="BB22" s="82">
        <f>IS!BX37</f>
        <v>47.061999999999998</v>
      </c>
      <c r="BC22" s="1226">
        <f>IS!BZ37</f>
        <v>62.269000000000005</v>
      </c>
      <c r="BD22" s="1226">
        <f>IS!CA37</f>
        <v>69.133999999999986</v>
      </c>
      <c r="BE22" s="1226">
        <f>IS!CB37</f>
        <v>76.972999999999956</v>
      </c>
      <c r="BF22" s="1226">
        <f>IS!CC37</f>
        <v>84.1</v>
      </c>
      <c r="BG22" s="1226">
        <f>IS!CE37</f>
        <v>91.378000000000029</v>
      </c>
      <c r="BH22" s="1226">
        <f>IS!CF37</f>
        <v>99.533999999999992</v>
      </c>
      <c r="BI22" s="1226">
        <f>IS!CG37</f>
        <v>106.036</v>
      </c>
      <c r="BJ22" s="1226">
        <f>IS!CH37</f>
        <v>111.66</v>
      </c>
      <c r="BK22" s="1226">
        <f>IS!CJ37</f>
        <v>117.27200000000002</v>
      </c>
      <c r="BL22" s="1226">
        <f>IS!CK37</f>
        <v>129.28399999999996</v>
      </c>
      <c r="BM22" s="1226">
        <f>IS!CL37</f>
        <v>142.08600000000001</v>
      </c>
      <c r="BN22" s="1226">
        <f>IS!CM37</f>
        <v>144.37900000000002</v>
      </c>
      <c r="BO22" s="1226">
        <f>IS!CO37</f>
        <v>162.327</v>
      </c>
      <c r="BP22" s="1226">
        <f>IS!CP37</f>
        <v>177.40600000000001</v>
      </c>
      <c r="BQ22" s="1226">
        <f>IS!CQ37</f>
        <v>186.82799999999997</v>
      </c>
      <c r="BR22" s="1226">
        <f>IS!CR37</f>
        <v>193.244</v>
      </c>
      <c r="BS22" s="1226">
        <f>IS!CT37</f>
        <v>206.73500000000001</v>
      </c>
      <c r="BT22" s="1226">
        <f>IS!CU37</f>
        <v>216.42</v>
      </c>
      <c r="BU22" s="1226">
        <f>IS!CV37</f>
        <v>225.01599999999996</v>
      </c>
      <c r="BV22" s="1226">
        <f>IS!CW37</f>
        <v>239.68599999999998</v>
      </c>
      <c r="BW22" s="1226">
        <f>IS!CX37</f>
        <v>240.88799999999992</v>
      </c>
      <c r="BX22" s="1226">
        <f>IS!CY37</f>
        <v>248.035</v>
      </c>
      <c r="BY22" s="1226">
        <f>IS!CZ37</f>
        <v>248.44500000000008</v>
      </c>
      <c r="BZ22" s="1226">
        <f>IS!DA37</f>
        <v>263.53000000000003</v>
      </c>
      <c r="CA22" s="1226">
        <f>IS!DB37</f>
        <v>260.38800000000003</v>
      </c>
      <c r="CB22" s="1226">
        <f>IS!DC37</f>
        <v>275.27700000000004</v>
      </c>
      <c r="CC22" s="1226">
        <f>IS!DD37</f>
        <v>283.86099999999999</v>
      </c>
      <c r="CD22" s="1226">
        <f>IS!DE37</f>
        <v>294.36500000000001</v>
      </c>
    </row>
    <row r="23" spans="2:82" ht="12.75" customHeight="1">
      <c r="B23" t="s">
        <v>994</v>
      </c>
      <c r="J23" s="69"/>
    </row>
    <row r="24" spans="2:82">
      <c r="B24" s="41" t="s">
        <v>465</v>
      </c>
      <c r="C24" s="41"/>
      <c r="D24" s="41"/>
      <c r="F24" s="82">
        <f>BS!F133</f>
        <v>0</v>
      </c>
      <c r="G24" s="82">
        <f>BS!G133</f>
        <v>0</v>
      </c>
      <c r="H24" s="82">
        <f>BS!H133</f>
        <v>0</v>
      </c>
      <c r="I24" s="82">
        <f>BS!I133</f>
        <v>22.934000000000001</v>
      </c>
      <c r="J24" s="82">
        <f>BS!J133</f>
        <v>45.412000000000006</v>
      </c>
      <c r="K24" s="82">
        <f>BS!K133</f>
        <v>162.291</v>
      </c>
      <c r="L24" s="82">
        <f>BS!L133</f>
        <v>416.81100000000009</v>
      </c>
      <c r="M24" s="82">
        <f>BS!M133</f>
        <v>471.12800000000004</v>
      </c>
      <c r="N24" s="82">
        <f>BS!N133</f>
        <v>342.18</v>
      </c>
      <c r="O24" s="82">
        <f>BS!O133</f>
        <v>579.4</v>
      </c>
      <c r="P24" s="82">
        <f>BS!P133</f>
        <v>682.7</v>
      </c>
      <c r="Q24" s="82">
        <f>BS!Q133</f>
        <v>764.49999999999989</v>
      </c>
      <c r="R24" s="82">
        <f>BS!R133</f>
        <v>572.40599999999995</v>
      </c>
      <c r="S24" s="82">
        <f>BS!S133</f>
        <v>660.20399999999995</v>
      </c>
      <c r="T24" s="82">
        <f>BS!T133</f>
        <v>873.80399999999997</v>
      </c>
      <c r="U24" s="82">
        <f>BS!U133</f>
        <v>1113.365</v>
      </c>
      <c r="V24" s="82">
        <f>BS!V133</f>
        <v>1378.7249999999999</v>
      </c>
      <c r="W24" s="82">
        <f ca="1">BS!W133</f>
        <v>1935.5663438236477</v>
      </c>
      <c r="X24" s="82">
        <f ca="1">BS!X133</f>
        <v>1853.1485108793856</v>
      </c>
      <c r="Y24" s="82">
        <f ca="1">BS!Y133</f>
        <v>1659.9433173086413</v>
      </c>
      <c r="AA24" s="82">
        <f>BS!AJ133</f>
        <v>34.692</v>
      </c>
      <c r="AB24" s="82">
        <f>BS!AK133</f>
        <v>7.4080000000000013</v>
      </c>
      <c r="AC24" s="82">
        <f>BS!AL133</f>
        <v>35.06</v>
      </c>
      <c r="AD24" s="82">
        <f>BS!AM133</f>
        <v>-19.369</v>
      </c>
      <c r="AE24" s="82">
        <f>BS!AN133</f>
        <v>2.8359999999999999</v>
      </c>
      <c r="AF24" s="82">
        <f>BS!AO133</f>
        <v>1.1880000000000002</v>
      </c>
      <c r="AG24" s="82">
        <f>BS!AP133</f>
        <v>1.0670000000000002</v>
      </c>
      <c r="AH24" s="82">
        <f>BS!AQ133</f>
        <v>1.4170000000000003</v>
      </c>
      <c r="AI24" s="82">
        <f>BS!AR133</f>
        <v>0.34599999999999997</v>
      </c>
      <c r="AJ24" s="82">
        <f>BS!AS133</f>
        <v>1.1139999999999999</v>
      </c>
      <c r="AK24" s="82">
        <f>BS!AT133</f>
        <v>1.4289999999999998</v>
      </c>
      <c r="AL24" s="82">
        <f>BS!AU133</f>
        <v>4.8609999999999998</v>
      </c>
      <c r="AM24" s="82">
        <f>BS!AV133</f>
        <v>4.9080000000000004</v>
      </c>
      <c r="AN24" s="82">
        <f>BS!AW133</f>
        <v>4.2540000000000004</v>
      </c>
      <c r="AO24" s="82">
        <f>BS!AX133</f>
        <v>7.6209999999999987</v>
      </c>
      <c r="AP24" s="82">
        <f>BS!AY133</f>
        <v>6.1510000000000007</v>
      </c>
      <c r="AQ24" s="82">
        <f>BS!AZ133</f>
        <v>5.5229999999999997</v>
      </c>
      <c r="AR24" s="82">
        <f>BS!BA133</f>
        <v>9.89</v>
      </c>
      <c r="AS24" s="82">
        <f>BS!BB133</f>
        <v>7.0790000000000006</v>
      </c>
      <c r="AT24" s="82">
        <f>BS!BC133</f>
        <v>22.92</v>
      </c>
      <c r="AU24" s="82">
        <f>BS!BD133</f>
        <v>26.613</v>
      </c>
      <c r="AV24" s="82">
        <f>BS!BE133</f>
        <v>29.670999999999999</v>
      </c>
      <c r="AW24" s="82">
        <f>BS!BF133</f>
        <v>46.620000000000005</v>
      </c>
      <c r="AX24" s="82">
        <f>BS!BG133</f>
        <v>59.387</v>
      </c>
      <c r="AY24" s="82">
        <f>BS!BH133</f>
        <v>67.055999999999997</v>
      </c>
      <c r="AZ24" s="82">
        <f>BS!BI133</f>
        <v>139.83199999999999</v>
      </c>
      <c r="BA24" s="82">
        <f>BS!BJ133</f>
        <v>88.921000000000035</v>
      </c>
      <c r="BB24" s="82">
        <f>BS!BK133</f>
        <v>121.002</v>
      </c>
      <c r="BC24" s="1226">
        <f>BS!BL133</f>
        <v>125.643</v>
      </c>
      <c r="BD24" s="1226">
        <f>BS!BM133</f>
        <v>84.457999999999998</v>
      </c>
      <c r="BE24" s="1226">
        <f>BS!BN133</f>
        <v>95.445000000000007</v>
      </c>
      <c r="BF24" s="1226">
        <f>BS!BO133</f>
        <v>165.58199999999999</v>
      </c>
      <c r="BG24" s="1226">
        <f>BS!BP133</f>
        <v>74.968999999999994</v>
      </c>
      <c r="BH24" s="1226">
        <f>BS!BQ133</f>
        <v>76.816000000000003</v>
      </c>
      <c r="BI24" s="1226">
        <f>BS!BR133</f>
        <v>88.655000000000001</v>
      </c>
      <c r="BJ24" s="1226">
        <f>BS!BS133</f>
        <v>101.74</v>
      </c>
      <c r="BK24" s="1226">
        <f>BS!BT133</f>
        <v>143.4</v>
      </c>
      <c r="BL24" s="1226">
        <f>BS!BU133</f>
        <v>148.69999999999999</v>
      </c>
      <c r="BM24" s="1226">
        <f>BS!BV133</f>
        <v>143.9</v>
      </c>
      <c r="BN24" s="1226">
        <f>BS!BW133</f>
        <v>143.4</v>
      </c>
      <c r="BO24" s="1226">
        <f>BS!BX133</f>
        <v>172.5</v>
      </c>
      <c r="BP24" s="1226">
        <f>BS!BY133</f>
        <v>188.9</v>
      </c>
      <c r="BQ24" s="1226">
        <f>BS!BZ133</f>
        <v>131.5</v>
      </c>
      <c r="BR24" s="1226">
        <f>BS!CA133</f>
        <v>189.8</v>
      </c>
      <c r="BS24" s="1226">
        <f>BS!CB133</f>
        <v>145.49</v>
      </c>
      <c r="BT24" s="1226">
        <f>BS!CC133</f>
        <v>196.48400000000001</v>
      </c>
      <c r="BU24" s="1226">
        <f>BS!CD133</f>
        <v>212.11799999999999</v>
      </c>
      <c r="BV24" s="1226">
        <f>BS!CE133</f>
        <v>210.40800000000002</v>
      </c>
      <c r="BW24" s="1226">
        <f>BS!CF133</f>
        <v>75.667000000000002</v>
      </c>
      <c r="BX24" s="1226">
        <f>BS!CG133</f>
        <v>122.863</v>
      </c>
      <c r="BY24" s="1226">
        <f>BS!CH133</f>
        <v>171.035</v>
      </c>
      <c r="BZ24" s="1226">
        <f>BS!CI133</f>
        <v>202.84100000000001</v>
      </c>
      <c r="CA24" s="1226">
        <f>BS!CJ133</f>
        <v>105.908</v>
      </c>
      <c r="CB24" s="1226">
        <f>BS!CK133</f>
        <v>159.816</v>
      </c>
      <c r="CC24" s="1226">
        <f>BS!CL133</f>
        <v>156.00400000000002</v>
      </c>
      <c r="CD24" s="1226">
        <f>BS!CM133</f>
        <v>238.476</v>
      </c>
    </row>
    <row r="25" spans="2:82" ht="12.75" customHeight="1"/>
    <row r="26" spans="2:82">
      <c r="B26" s="41" t="s">
        <v>466</v>
      </c>
      <c r="C26" s="41"/>
      <c r="D26" s="41"/>
      <c r="E26" s="82">
        <f>IS!E50</f>
        <v>29.111000000000004</v>
      </c>
      <c r="F26" s="82">
        <f>IS!F50</f>
        <v>43.81</v>
      </c>
      <c r="G26" s="82">
        <f>IS!G50</f>
        <v>35.097999999999999</v>
      </c>
      <c r="H26" s="82">
        <f>IS!H50</f>
        <v>20.512</v>
      </c>
      <c r="I26" s="82">
        <f>IS!I50</f>
        <v>11.496</v>
      </c>
      <c r="J26" s="82">
        <f>IS!J50</f>
        <v>8.879999999999999</v>
      </c>
      <c r="K26" s="82">
        <f>IS!K50</f>
        <v>14.875</v>
      </c>
      <c r="L26" s="82">
        <f>IS!L50</f>
        <v>27.332999999999998</v>
      </c>
      <c r="M26" s="82">
        <f>IS!M50</f>
        <v>61.677000000000007</v>
      </c>
      <c r="N26" s="82">
        <f>IS!N50</f>
        <v>74.231999999999999</v>
      </c>
      <c r="O26" s="82">
        <f>IS!O50</f>
        <v>140.47500000000002</v>
      </c>
      <c r="P26" s="82">
        <f>IS!P50</f>
        <v>181.303</v>
      </c>
      <c r="Q26" s="82">
        <f>IS!Q50</f>
        <v>200.32799999999997</v>
      </c>
      <c r="R26" s="82">
        <f>IS!R50</f>
        <v>248.79199999999997</v>
      </c>
      <c r="S26" s="82">
        <f>IS!S50</f>
        <v>270.553</v>
      </c>
      <c r="T26" s="82">
        <f>IS!T50</f>
        <v>299.05499999999995</v>
      </c>
      <c r="U26" s="82">
        <f>IS!U50</f>
        <v>392.15599999999995</v>
      </c>
      <c r="V26" s="82">
        <f>IS!V50</f>
        <v>478.69799999999998</v>
      </c>
      <c r="W26" s="82">
        <f ca="1">IS!W50</f>
        <v>472.52948585730513</v>
      </c>
      <c r="X26" s="82">
        <f ca="1">IS!X50</f>
        <v>492.41454210730512</v>
      </c>
      <c r="Y26" s="82">
        <f ca="1">IS!Y50</f>
        <v>527.21966210730511</v>
      </c>
      <c r="AA26" s="82">
        <f>IS!AQ50</f>
        <v>10.518000000000001</v>
      </c>
      <c r="AB26" s="82">
        <f>IS!AR50</f>
        <v>11.125</v>
      </c>
      <c r="AC26" s="82">
        <f>IS!AS50</f>
        <v>11.305</v>
      </c>
      <c r="AD26" s="82">
        <f>IS!AT50</f>
        <v>10.862</v>
      </c>
      <c r="AE26" s="82">
        <f>IS!AV50</f>
        <v>9.67</v>
      </c>
      <c r="AF26" s="82">
        <f>IS!AW50</f>
        <v>8.5609999999999999</v>
      </c>
      <c r="AG26" s="82">
        <f>IS!AX50</f>
        <v>8.18</v>
      </c>
      <c r="AH26" s="82">
        <f>IS!AY50</f>
        <v>8.6869999999999994</v>
      </c>
      <c r="AI26" s="82">
        <f>IS!BA50</f>
        <v>4.8120000000000003</v>
      </c>
      <c r="AJ26" s="82">
        <f>IS!BB50</f>
        <v>5.0270000000000001</v>
      </c>
      <c r="AK26" s="82">
        <f>IS!BC50</f>
        <v>5.4779999999999998</v>
      </c>
      <c r="AL26" s="82">
        <f>IS!BD50</f>
        <v>5.1950000000000003</v>
      </c>
      <c r="AM26" s="82">
        <f>IS!BF50</f>
        <v>4.13</v>
      </c>
      <c r="AN26" s="82">
        <f>IS!BG50</f>
        <v>2.2829999999999999</v>
      </c>
      <c r="AO26" s="82">
        <f>IS!BH50</f>
        <v>2.3519999999999999</v>
      </c>
      <c r="AP26" s="82">
        <f>IS!BI50</f>
        <v>2.7309999999999999</v>
      </c>
      <c r="AQ26" s="82">
        <f>IS!BK50</f>
        <v>2.4590000000000001</v>
      </c>
      <c r="AR26" s="82">
        <f>IS!BL50</f>
        <v>1.9450000000000001</v>
      </c>
      <c r="AS26" s="82">
        <f>IS!BM50</f>
        <v>1.9279999999999999</v>
      </c>
      <c r="AT26" s="82">
        <f>IS!BN50</f>
        <v>2.548</v>
      </c>
      <c r="AU26" s="82">
        <f>IS!BP50</f>
        <v>3.8679999999999999</v>
      </c>
      <c r="AV26" s="82">
        <f>IS!BQ50</f>
        <v>3.5649999999999999</v>
      </c>
      <c r="AW26" s="82">
        <f>IS!BR50</f>
        <v>3.5510000000000002</v>
      </c>
      <c r="AX26" s="82">
        <f>IS!BS50</f>
        <v>3.891</v>
      </c>
      <c r="AY26" s="82">
        <f>IS!BU50</f>
        <v>3.4620000000000002</v>
      </c>
      <c r="AZ26" s="82">
        <f>IS!BV50</f>
        <v>6.1150000000000002</v>
      </c>
      <c r="BA26" s="82">
        <f>IS!BW50</f>
        <v>5.6619999999999999</v>
      </c>
      <c r="BB26" s="82">
        <f>IS!BX50</f>
        <v>12.093999999999999</v>
      </c>
      <c r="BC26" s="1226">
        <f>Capital!BL313</f>
        <v>15.195</v>
      </c>
      <c r="BD26" s="1226">
        <f>Capital!BM313</f>
        <v>14.313000000000001</v>
      </c>
      <c r="BE26" s="1226">
        <f>Capital!BN313</f>
        <v>15.670999999999999</v>
      </c>
      <c r="BF26" s="1226">
        <f>Capital!BO313</f>
        <v>16.498000000000001</v>
      </c>
      <c r="BG26" s="1226">
        <f>Capital!BP313</f>
        <v>13.451000000000001</v>
      </c>
      <c r="BH26" s="1226">
        <f>Capital!BQ313</f>
        <v>15.912000000000001</v>
      </c>
      <c r="BI26" s="1226">
        <f>Capital!BR313</f>
        <v>22.256</v>
      </c>
      <c r="BJ26" s="1226">
        <f>Capital!BS313</f>
        <v>22.613</v>
      </c>
      <c r="BK26" s="1226">
        <f>Capital!BT313</f>
        <v>25.675000000000001</v>
      </c>
      <c r="BL26" s="1226">
        <f>Capital!BU313</f>
        <v>37.615000000000002</v>
      </c>
      <c r="BM26" s="1226">
        <f>Capital!BV313</f>
        <v>38.363</v>
      </c>
      <c r="BN26" s="1226">
        <f>Capital!BW313</f>
        <v>38.822000000000003</v>
      </c>
      <c r="BO26" s="1226">
        <f>Capital!BX313</f>
        <v>37.360999999999997</v>
      </c>
      <c r="BP26" s="1226">
        <f>Capital!BY313</f>
        <v>37.677</v>
      </c>
      <c r="BQ26" s="1226">
        <f>Capital!BZ313</f>
        <v>51.113999999999997</v>
      </c>
      <c r="BR26" s="1226">
        <f>Capital!CA313</f>
        <v>55.151000000000003</v>
      </c>
      <c r="BS26" s="1226">
        <f>Capital!CB313</f>
        <v>52.817999999999998</v>
      </c>
      <c r="BT26" s="1226">
        <f>Capital!CC313</f>
        <v>46.786999999999999</v>
      </c>
      <c r="BU26" s="1226">
        <f>Capital!CD313</f>
        <v>50.207000000000001</v>
      </c>
      <c r="BV26" s="1226">
        <f>Capital!CE313</f>
        <v>50.515999999999998</v>
      </c>
      <c r="BW26" s="1226">
        <f>Capital!CF313</f>
        <v>60.331000000000003</v>
      </c>
      <c r="BX26" s="1226">
        <f>Capital!CG313</f>
        <v>61.000999999999998</v>
      </c>
      <c r="BY26" s="1226">
        <f>Capital!CH313</f>
        <v>61.957000000000001</v>
      </c>
      <c r="BZ26" s="1226">
        <f>Capital!CI313</f>
        <v>65.503</v>
      </c>
      <c r="CA26" s="1226">
        <f>Capital!CJ313</f>
        <v>68.819999999999993</v>
      </c>
      <c r="CB26" s="1226">
        <f>Capital!CK313</f>
        <v>66.873999999999995</v>
      </c>
      <c r="CC26" s="1226">
        <f>Capital!CL313</f>
        <v>63.756</v>
      </c>
      <c r="CD26" s="1226">
        <f>Capital!CM313</f>
        <v>71.102999999999994</v>
      </c>
    </row>
    <row r="27" spans="2:82">
      <c r="B27" s="41" t="s">
        <v>840</v>
      </c>
      <c r="C27" s="41"/>
      <c r="D27" s="41"/>
      <c r="F27" s="82">
        <f>Capital!F312</f>
        <v>42.096000000000004</v>
      </c>
      <c r="G27" s="82">
        <f>Capital!G312</f>
        <v>19.948</v>
      </c>
      <c r="H27" s="82">
        <f>Capital!H312</f>
        <v>13.548</v>
      </c>
      <c r="I27" s="82">
        <f>Capital!I312</f>
        <v>3.181</v>
      </c>
      <c r="J27" s="82">
        <f>Capital!J312</f>
        <v>7.1329999999999991</v>
      </c>
      <c r="K27" s="82">
        <f>Capital!K312</f>
        <v>13.343999999999999</v>
      </c>
      <c r="L27" s="82">
        <f>Capital!L312</f>
        <v>26.9</v>
      </c>
      <c r="M27" s="82">
        <f>Capital!M312</f>
        <v>53.372999999999998</v>
      </c>
      <c r="N27" s="82">
        <f>Capital!N312</f>
        <v>63.280999999999999</v>
      </c>
      <c r="O27" s="82">
        <f>Capital!O312</f>
        <v>97.943000000000012</v>
      </c>
      <c r="P27" s="82">
        <f ca="1">Capital!P312</f>
        <v>51.007193311946608</v>
      </c>
      <c r="Q27" s="82">
        <f ca="1">Capital!Q312</f>
        <v>82.587476258685456</v>
      </c>
      <c r="R27" s="82">
        <f>Capital!R312</f>
        <v>95.757484224999985</v>
      </c>
      <c r="S27" s="82">
        <f>Capital!S312</f>
        <v>88.64545154999999</v>
      </c>
      <c r="T27" s="82">
        <f>Capital!T312</f>
        <v>0</v>
      </c>
      <c r="U27" s="82">
        <f>Capital!U312</f>
        <v>0</v>
      </c>
      <c r="V27" s="82">
        <f>Capital!V312</f>
        <v>0</v>
      </c>
      <c r="W27" s="82">
        <f>Capital!W312</f>
        <v>0</v>
      </c>
      <c r="X27" s="82">
        <f>Capital!X312</f>
        <v>0</v>
      </c>
      <c r="Y27" s="82">
        <f>Capital!Y312</f>
        <v>0</v>
      </c>
      <c r="AA27" s="82">
        <f>Capital!AJ312</f>
        <v>8.5919999999999987</v>
      </c>
      <c r="AB27" s="82">
        <f>Capital!AK312</f>
        <v>11.803999999999998</v>
      </c>
      <c r="AC27" s="82">
        <f>Capital!AL312</f>
        <v>3.0839999999999996</v>
      </c>
      <c r="AD27" s="82">
        <f>Capital!AM312</f>
        <v>18.616000000000007</v>
      </c>
      <c r="AE27" s="82">
        <f>Capital!AN312</f>
        <v>2.2650000000000001</v>
      </c>
      <c r="AF27" s="82">
        <f>Capital!AO312</f>
        <v>13.116</v>
      </c>
      <c r="AG27" s="82">
        <f>Capital!AP312</f>
        <v>3.1819999999999991</v>
      </c>
      <c r="AH27" s="82">
        <f>Capital!AQ312</f>
        <v>1.385</v>
      </c>
      <c r="AI27" s="82">
        <f>Capital!AR312</f>
        <v>3.7930000000000001</v>
      </c>
      <c r="AJ27" s="82">
        <f>Capital!AS312</f>
        <v>4.6990000000000007</v>
      </c>
      <c r="AK27" s="82">
        <f>Capital!AT312</f>
        <v>1.718</v>
      </c>
      <c r="AL27" s="82">
        <f>Capital!AU312</f>
        <v>3.3379999999999992</v>
      </c>
      <c r="AM27" s="82">
        <f>Capital!AV312</f>
        <v>1.579</v>
      </c>
      <c r="AN27" s="82">
        <f>Capital!AW312</f>
        <v>0</v>
      </c>
      <c r="AO27" s="82">
        <f>Capital!AX312</f>
        <v>1.0780000000000001</v>
      </c>
      <c r="AP27" s="82">
        <f>Capital!AY312</f>
        <v>0.5239999999999998</v>
      </c>
      <c r="AQ27" s="82">
        <f>Capital!AZ312</f>
        <v>2.069</v>
      </c>
      <c r="AR27" s="82">
        <f>Capital!BA312</f>
        <v>1.0710000000000002</v>
      </c>
      <c r="AS27" s="82">
        <f>Capital!BB312</f>
        <v>2.1369999999999996</v>
      </c>
      <c r="AT27" s="82">
        <f>Capital!BC312</f>
        <v>1.8560000000000003</v>
      </c>
      <c r="AU27" s="82">
        <f>Capital!BD312</f>
        <v>3.9430000000000001</v>
      </c>
      <c r="AV27" s="82">
        <f>Capital!BE312</f>
        <v>3.1729999999999996</v>
      </c>
      <c r="AW27" s="82">
        <f>Capital!BF312</f>
        <v>4.2360000000000007</v>
      </c>
      <c r="AX27" s="82">
        <f>Capital!BG312</f>
        <v>1.9919999999999987</v>
      </c>
      <c r="AY27" s="82">
        <f>Capital!BH312</f>
        <v>5.048</v>
      </c>
      <c r="AZ27" s="82">
        <f>Capital!BI312</f>
        <v>4.8109999999999999</v>
      </c>
      <c r="BA27" s="82">
        <f>Capital!BJ312</f>
        <v>6.270999999999999</v>
      </c>
      <c r="BB27" s="82">
        <f>Capital!BK312</f>
        <v>10.77</v>
      </c>
      <c r="BC27" s="1226">
        <f>Capital!BL312</f>
        <v>8.3989999999999991</v>
      </c>
      <c r="BD27" s="1226">
        <f>Capital!BM312</f>
        <v>18.096000000000004</v>
      </c>
      <c r="BE27" s="1226">
        <f>Capital!BN312</f>
        <v>8.9909999999999943</v>
      </c>
      <c r="BF27" s="1226">
        <f>Capital!BO312</f>
        <v>17.887</v>
      </c>
      <c r="BG27" s="1226">
        <f>Capital!BP312</f>
        <v>8.766</v>
      </c>
      <c r="BH27" s="1226">
        <f>Capital!BQ312</f>
        <v>18.268000000000001</v>
      </c>
      <c r="BI27" s="1226">
        <f>Capital!BR312</f>
        <v>8.9819999999999975</v>
      </c>
      <c r="BJ27" s="1226">
        <f>Capital!BS312</f>
        <v>27.265000000000001</v>
      </c>
      <c r="BK27" s="1226">
        <f>Capital!BT312</f>
        <v>8.2880000000000003</v>
      </c>
      <c r="BL27" s="1226">
        <f>Capital!BU312</f>
        <v>24.779</v>
      </c>
      <c r="BM27" s="1226">
        <f>Capital!BV312</f>
        <v>37.705000000000013</v>
      </c>
      <c r="BN27" s="1226">
        <f>Capital!BW312</f>
        <v>27.170999999999989</v>
      </c>
      <c r="BO27" s="1226">
        <f>Capital!BX312</f>
        <v>0</v>
      </c>
      <c r="BP27" s="1226">
        <f>Capital!BY312</f>
        <v>0</v>
      </c>
      <c r="BQ27" s="1226">
        <f ca="1">Capital!BZ312</f>
        <v>25.407339741296958</v>
      </c>
      <c r="BR27" s="1226">
        <f ca="1">Capital!CA312</f>
        <v>25.59985357064965</v>
      </c>
      <c r="BS27" s="1226">
        <f ca="1">Capital!CB312</f>
        <v>21.4449693085974</v>
      </c>
      <c r="BT27" s="1226">
        <f ca="1">Capital!CC312</f>
        <v>19.057679912588068</v>
      </c>
      <c r="BU27" s="1226">
        <f>Capital!CD312</f>
        <v>18.266759259374997</v>
      </c>
      <c r="BV27" s="1226">
        <f>Capital!CE312</f>
        <v>23.818067778124998</v>
      </c>
      <c r="BW27" s="1226">
        <f>Capital!CF312</f>
        <v>23.547291134374998</v>
      </c>
      <c r="BX27" s="1226">
        <f>Capital!CG312</f>
        <v>23.486904303124998</v>
      </c>
      <c r="BY27" s="1226">
        <f>Capital!CH312</f>
        <v>24.288894096874998</v>
      </c>
      <c r="BZ27" s="1226">
        <f>Capital!CI312</f>
        <v>24.434394690624998</v>
      </c>
      <c r="CA27" s="1226">
        <f>Capital!CJ312</f>
        <v>24.590141234374997</v>
      </c>
      <c r="CB27" s="1226">
        <f>Capital!CK312</f>
        <v>21.119364178125</v>
      </c>
      <c r="CC27" s="1226">
        <f>Capital!CL312</f>
        <v>17.602022571875001</v>
      </c>
      <c r="CD27" s="1226">
        <f>Capital!CM312</f>
        <v>25.333923565624996</v>
      </c>
    </row>
    <row r="28" spans="2:82">
      <c r="B28" s="41" t="s">
        <v>1042</v>
      </c>
      <c r="C28" s="41"/>
      <c r="D28" s="41"/>
      <c r="E28" s="82">
        <f>IS!E52</f>
        <v>16.43</v>
      </c>
      <c r="F28" s="82">
        <f>IS!F52</f>
        <v>10.656000000000001</v>
      </c>
      <c r="G28" s="82">
        <f>IS!G52</f>
        <v>0.99800000000000011</v>
      </c>
      <c r="H28" s="82">
        <f>IS!H52</f>
        <v>0.29599999999999999</v>
      </c>
      <c r="I28" s="82">
        <f>IS!I52</f>
        <v>1.2909999999999999</v>
      </c>
      <c r="J28" s="82">
        <f>IS!J52</f>
        <v>3.5840000000000001</v>
      </c>
      <c r="K28" s="82">
        <f>IS!K52</f>
        <v>6.6270000000000007</v>
      </c>
      <c r="L28" s="82">
        <f>IS!L52</f>
        <v>15.405999999999999</v>
      </c>
      <c r="M28" s="82">
        <f>IS!M52</f>
        <v>7.4130000000000003</v>
      </c>
      <c r="N28" s="82">
        <f>IS!N52</f>
        <v>2.3839999999999999</v>
      </c>
      <c r="O28" s="82">
        <f>IS!O52</f>
        <v>1.5149999999999999</v>
      </c>
      <c r="P28" s="82">
        <f>IS!P52</f>
        <v>2.2800000000000002</v>
      </c>
      <c r="Q28" s="82">
        <f>IS!Q52</f>
        <v>3.4660000000000002</v>
      </c>
      <c r="R28" s="82">
        <f>IS!R52</f>
        <v>3.387</v>
      </c>
      <c r="S28" s="82">
        <f>IS!S52</f>
        <v>2.891</v>
      </c>
      <c r="T28" s="82">
        <f>IS!T52</f>
        <v>3.581</v>
      </c>
      <c r="U28" s="82">
        <f>IS!U52</f>
        <v>3.476</v>
      </c>
      <c r="V28" s="82">
        <f>IS!V52</f>
        <v>13.074999999999999</v>
      </c>
      <c r="W28" s="82">
        <f ca="1">IS!W52</f>
        <v>3.1479812284464197</v>
      </c>
      <c r="X28" s="82">
        <f ca="1">IS!X52</f>
        <v>1.489289780354359</v>
      </c>
      <c r="Y28" s="82">
        <f ca="1">IS!Y52</f>
        <v>0.96180134804502171</v>
      </c>
      <c r="AA28" s="82">
        <f>IS!AQ52</f>
        <v>3.9470000000000001</v>
      </c>
      <c r="AB28" s="82">
        <f>IS!AR52</f>
        <v>3.2120000000000002</v>
      </c>
      <c r="AC28" s="82">
        <f>IS!AS52</f>
        <v>2.3180000000000001</v>
      </c>
      <c r="AD28" s="82">
        <f>IS!AT52</f>
        <v>1.179</v>
      </c>
      <c r="AE28" s="82">
        <f>IS!AV52</f>
        <v>0.49299999999999999</v>
      </c>
      <c r="AF28" s="82">
        <f>IS!AW52</f>
        <v>0.28899999999999998</v>
      </c>
      <c r="AG28" s="82">
        <f>IS!AX52</f>
        <v>0.17899999999999999</v>
      </c>
      <c r="AH28" s="82">
        <f>IS!AY52</f>
        <v>3.6999999999999998E-2</v>
      </c>
      <c r="AI28" s="82">
        <f>IS!BA52</f>
        <v>7.0000000000000007E-2</v>
      </c>
      <c r="AJ28" s="82">
        <f>IS!BB52</f>
        <v>6.6000000000000003E-2</v>
      </c>
      <c r="AK28" s="82">
        <f>IS!BC52</f>
        <v>4.5999999999999999E-2</v>
      </c>
      <c r="AL28" s="82">
        <f>IS!BD52</f>
        <v>0.114</v>
      </c>
      <c r="AM28" s="82">
        <f>IS!BF52</f>
        <v>0.24199999999999999</v>
      </c>
      <c r="AN28" s="82">
        <f>IS!BG52</f>
        <v>0.24199999999999999</v>
      </c>
      <c r="AO28" s="82">
        <f>IS!BH52</f>
        <v>0.33500000000000002</v>
      </c>
      <c r="AP28" s="82">
        <f>IS!BI52</f>
        <v>0.47199999999999998</v>
      </c>
      <c r="AQ28" s="82">
        <f>IS!BK52</f>
        <v>0.66700000000000004</v>
      </c>
      <c r="AR28" s="82">
        <f>IS!BL52</f>
        <v>0.90200000000000002</v>
      </c>
      <c r="AS28" s="82">
        <f>IS!BM52</f>
        <v>1.075</v>
      </c>
      <c r="AT28" s="82">
        <f>IS!BN52</f>
        <v>0.94</v>
      </c>
      <c r="AU28" s="82">
        <f>IS!BP52</f>
        <v>1.611</v>
      </c>
      <c r="AV28" s="82">
        <f>IS!BQ52</f>
        <v>1.73</v>
      </c>
      <c r="AW28" s="82">
        <f>IS!BR52</f>
        <v>1.724</v>
      </c>
      <c r="AX28" s="82">
        <f>IS!BS52</f>
        <v>1.5620000000000001</v>
      </c>
      <c r="AY28" s="82">
        <f>IS!BU52</f>
        <v>1.9490000000000001</v>
      </c>
      <c r="AZ28" s="82">
        <f>IS!BV52</f>
        <v>5.0819999999999999</v>
      </c>
      <c r="BA28" s="82">
        <f>IS!BW52</f>
        <v>3.3090000000000002</v>
      </c>
      <c r="BB28" s="82">
        <f>IS!BX52</f>
        <v>5.0659999999999998</v>
      </c>
      <c r="BC28" s="1226">
        <f>IS!BZ52</f>
        <v>3.4409999999999998</v>
      </c>
      <c r="BD28" s="1226">
        <f>IS!CA52</f>
        <v>2.411</v>
      </c>
      <c r="BE28" s="1226">
        <f>IS!CB52</f>
        <v>0.441</v>
      </c>
      <c r="BF28" s="1226">
        <f>IS!CC52</f>
        <v>1.1200000000000001</v>
      </c>
      <c r="BG28" s="1226">
        <f>IS!CE52</f>
        <v>0.91600000000000004</v>
      </c>
      <c r="BH28" s="1226">
        <f>IS!CF52</f>
        <v>0.68</v>
      </c>
      <c r="BI28" s="1226">
        <f>IS!CG52</f>
        <v>0.35299999999999998</v>
      </c>
      <c r="BJ28" s="1226">
        <f>IS!CH52</f>
        <v>0.435</v>
      </c>
      <c r="BK28" s="1226">
        <f>IS!CJ52</f>
        <v>0.50600000000000001</v>
      </c>
      <c r="BL28" s="1226">
        <f>IS!CK52</f>
        <v>0.49099999999999999</v>
      </c>
      <c r="BM28" s="1226">
        <f>IS!CL52</f>
        <v>0.31</v>
      </c>
      <c r="BN28" s="1226">
        <f>IS!CM52</f>
        <v>0.20799999999999999</v>
      </c>
      <c r="BO28" s="1226">
        <f>IS!CO52</f>
        <v>0.215</v>
      </c>
      <c r="BP28" s="1226">
        <f>IS!CP52</f>
        <v>0.63200000000000001</v>
      </c>
      <c r="BQ28" s="1226">
        <f>IS!CQ52</f>
        <v>0.67900000000000005</v>
      </c>
      <c r="BR28" s="1226">
        <f>IS!CR52</f>
        <v>0.754</v>
      </c>
      <c r="BS28" s="1226">
        <f>IS!CT52</f>
        <v>0.69099999999999995</v>
      </c>
      <c r="BT28" s="1226">
        <f>IS!CU52</f>
        <v>0.96299999999999997</v>
      </c>
      <c r="BU28" s="1226">
        <f>IS!CV52</f>
        <v>1.054</v>
      </c>
      <c r="BV28" s="1226">
        <f>IS!CW52</f>
        <v>0.75800000000000001</v>
      </c>
      <c r="BW28" s="1226">
        <f>IS!CX52</f>
        <v>0.747</v>
      </c>
      <c r="BX28" s="1226">
        <f>IS!CY52</f>
        <v>0.91700000000000004</v>
      </c>
      <c r="BY28" s="1226">
        <f>IS!CZ52</f>
        <v>0.92900000000000005</v>
      </c>
      <c r="BZ28" s="1226">
        <f>IS!DA52</f>
        <v>0.79400000000000004</v>
      </c>
      <c r="CA28" s="1226">
        <f>IS!DB52</f>
        <v>1.4339999999999999</v>
      </c>
      <c r="CB28" s="1226">
        <f>IS!DC52</f>
        <v>0.74399999999999999</v>
      </c>
      <c r="CC28" s="1226">
        <f>IS!DD52</f>
        <v>0.35599999999999998</v>
      </c>
      <c r="CD28" s="1226">
        <f>IS!DE52</f>
        <v>0.35699999999999998</v>
      </c>
    </row>
    <row r="29" spans="2:82" ht="3.75" customHeight="1">
      <c r="BC29" s="1226"/>
      <c r="BD29" s="1226"/>
      <c r="BE29" s="1226"/>
      <c r="BF29" s="1226"/>
      <c r="BG29" s="1226"/>
      <c r="BH29" s="1226"/>
      <c r="BI29" s="1226"/>
      <c r="BJ29" s="1226"/>
      <c r="BK29" s="1226"/>
      <c r="BL29" s="1226"/>
      <c r="BM29" s="1226"/>
      <c r="BN29" s="1226"/>
      <c r="BO29" s="1226"/>
      <c r="BP29" s="1226"/>
      <c r="BQ29" s="1226"/>
      <c r="BR29" s="1226"/>
      <c r="BS29" s="1226"/>
      <c r="BT29" s="1226"/>
      <c r="BU29" s="1226"/>
      <c r="BV29" s="1226"/>
      <c r="BW29" s="1226"/>
      <c r="BX29" s="1226"/>
      <c r="BY29" s="1226"/>
      <c r="BZ29" s="1226"/>
      <c r="CA29" s="1226"/>
      <c r="CB29" s="1226"/>
      <c r="CC29" s="1226"/>
      <c r="CD29" s="1226"/>
    </row>
    <row r="30" spans="2:82">
      <c r="B30" s="41" t="s">
        <v>841</v>
      </c>
      <c r="C30" s="41"/>
      <c r="D30" s="41"/>
      <c r="E30" s="82">
        <f>CF!E32</f>
        <v>-68.072999999999993</v>
      </c>
      <c r="F30" s="82">
        <f>CF!F32</f>
        <v>-68.853999999999971</v>
      </c>
      <c r="G30" s="82">
        <f>CF!G32</f>
        <v>-27.508999999999993</v>
      </c>
      <c r="H30" s="82">
        <f>CF!H32</f>
        <v>-17.265999999999991</v>
      </c>
      <c r="I30" s="82">
        <f>CF!I32</f>
        <v>36.911999999999992</v>
      </c>
      <c r="J30" s="82">
        <f>CF!J32</f>
        <v>67.594999999999999</v>
      </c>
      <c r="K30" s="82">
        <f>CF!K32</f>
        <v>75.411999999999964</v>
      </c>
      <c r="L30" s="82">
        <f>CF!L32</f>
        <v>120.02000000000002</v>
      </c>
      <c r="M30" s="82">
        <f>CF!M32</f>
        <v>267.55800000000011</v>
      </c>
      <c r="N30" s="82">
        <f>CF!N32</f>
        <v>355.49200000000002</v>
      </c>
      <c r="O30" s="82">
        <f>CF!O32</f>
        <v>382.66700000000009</v>
      </c>
      <c r="P30" s="82">
        <f>CF!P32</f>
        <v>569.37699999999995</v>
      </c>
      <c r="Q30" s="82">
        <f>CF!Q32</f>
        <v>641.25499999999988</v>
      </c>
      <c r="R30" s="82">
        <f>CF!R32</f>
        <v>605.73600000000022</v>
      </c>
      <c r="S30" s="82">
        <f>CF!S32</f>
        <v>689.42000000000019</v>
      </c>
      <c r="T30" s="82">
        <f>CF!T32</f>
        <v>894.79399999999976</v>
      </c>
      <c r="U30" s="82">
        <f>CF!U32</f>
        <v>1016.58</v>
      </c>
      <c r="V30" s="82">
        <f>CF!V32</f>
        <v>1439.2330000000002</v>
      </c>
      <c r="W30" s="82">
        <f ca="1">CF!W32</f>
        <v>1799.3359023905009</v>
      </c>
      <c r="X30" s="82">
        <f ca="1">CF!X32</f>
        <v>1950.7204295027316</v>
      </c>
      <c r="Y30" s="82">
        <f ca="1">CF!Y32</f>
        <v>2123.5375187698514</v>
      </c>
      <c r="AA30" s="82">
        <f>CF!AJ32</f>
        <v>-19.399000000000001</v>
      </c>
      <c r="AB30" s="82">
        <f>CF!AK32</f>
        <v>-18.434000000000001</v>
      </c>
      <c r="AC30" s="82">
        <f>CF!AL32</f>
        <v>-14.223999999999984</v>
      </c>
      <c r="AD30" s="82">
        <f>CF!AM32</f>
        <v>-16.797000000000008</v>
      </c>
      <c r="AE30" s="82">
        <f>CF!AN32</f>
        <v>-2.0450000000000026</v>
      </c>
      <c r="AF30" s="82">
        <f>CF!AO32</f>
        <v>-23.814999999999994</v>
      </c>
      <c r="AG30" s="82">
        <f>CF!AP32</f>
        <v>-3.8919999999999981</v>
      </c>
      <c r="AH30" s="82">
        <f>CF!AQ32</f>
        <v>2.2430000000000079</v>
      </c>
      <c r="AI30" s="82">
        <f>CF!AR32</f>
        <v>-19.557999999999996</v>
      </c>
      <c r="AJ30" s="82">
        <f>CF!AS32</f>
        <v>-2.6880000000000011</v>
      </c>
      <c r="AK30" s="82">
        <f>CF!AT32</f>
        <v>1.9020000000000012</v>
      </c>
      <c r="AL30" s="82">
        <f>CF!AU32</f>
        <v>3.0780000000000038</v>
      </c>
      <c r="AM30" s="82">
        <f>CF!AV32</f>
        <v>6.480999999999999</v>
      </c>
      <c r="AN30" s="82">
        <f>CF!AW32</f>
        <v>8.8919999999999977</v>
      </c>
      <c r="AO30" s="82">
        <f>CF!AX32</f>
        <v>10.912999999999986</v>
      </c>
      <c r="AP30" s="82">
        <f>CF!AY32</f>
        <v>10.626000000000007</v>
      </c>
      <c r="AQ30" s="82">
        <f>CF!AZ32</f>
        <v>15.393000000000002</v>
      </c>
      <c r="AR30" s="82">
        <f>CF!BA32</f>
        <v>18.149000000000004</v>
      </c>
      <c r="AS30" s="82">
        <f>CF!BB32</f>
        <v>15.494</v>
      </c>
      <c r="AT30" s="82">
        <f>CF!BC32</f>
        <v>18.55899999999999</v>
      </c>
      <c r="AU30" s="82">
        <f>CF!BD32</f>
        <v>12.790999999999995</v>
      </c>
      <c r="AV30" s="82">
        <f>CF!BE32</f>
        <v>16.107000000000003</v>
      </c>
      <c r="AW30" s="82">
        <f>CF!BF32</f>
        <v>20.655000000000005</v>
      </c>
      <c r="AX30" s="82">
        <f>CF!BG32</f>
        <v>25.858999999999991</v>
      </c>
      <c r="AY30" s="82">
        <f>CF!BH32</f>
        <v>19.850000000000005</v>
      </c>
      <c r="AZ30" s="82">
        <f>CF!BI32</f>
        <v>37.862000000000009</v>
      </c>
      <c r="BA30" s="82">
        <f>CF!BJ32</f>
        <v>48.427000000000007</v>
      </c>
      <c r="BB30" s="82">
        <f>CF!BK32</f>
        <v>13.880999999999981</v>
      </c>
      <c r="BC30" s="1226">
        <f>CF!BL32</f>
        <v>62.983999999999995</v>
      </c>
      <c r="BD30" s="1226">
        <f>CF!BM32</f>
        <v>64.957999999999998</v>
      </c>
      <c r="BE30" s="1226">
        <f>CF!BN32</f>
        <v>63.321000000000005</v>
      </c>
      <c r="BF30" s="1226">
        <f>CF!BO32</f>
        <v>76.294999999999959</v>
      </c>
      <c r="BG30" s="1226">
        <f>CF!BP32</f>
        <v>86.703999999999994</v>
      </c>
      <c r="BH30" s="1226">
        <f>CF!BQ32</f>
        <v>78.739000000000033</v>
      </c>
      <c r="BI30" s="1226">
        <f>CF!BR32</f>
        <v>107.53899999999997</v>
      </c>
      <c r="BJ30" s="1226">
        <f>CF!BS32</f>
        <v>82.509999999999977</v>
      </c>
      <c r="BK30" s="1226">
        <f>CF!BT32</f>
        <v>99.811999999999998</v>
      </c>
      <c r="BL30" s="1226">
        <f>CF!BU32</f>
        <v>54.573999999999977</v>
      </c>
      <c r="BM30" s="1226">
        <f>CF!BV32</f>
        <v>109.51000000000002</v>
      </c>
      <c r="BN30" s="1226">
        <f>CF!BW32</f>
        <v>118.771</v>
      </c>
      <c r="BO30" s="1226">
        <f>CF!BX32</f>
        <v>111.33500000000001</v>
      </c>
      <c r="BP30" s="1226">
        <f>CF!BY32</f>
        <v>136.49</v>
      </c>
      <c r="BQ30" s="1226">
        <f>CF!BZ32</f>
        <v>138.03399999999996</v>
      </c>
      <c r="BR30" s="1226">
        <f>CF!CA32</f>
        <v>183.518</v>
      </c>
      <c r="BS30" s="1226">
        <f>CF!CB32</f>
        <v>119.66600000000003</v>
      </c>
      <c r="BT30" s="1226">
        <f>CF!CC32</f>
        <v>193.94199999999998</v>
      </c>
      <c r="BU30" s="1226">
        <f>CF!CD32</f>
        <v>100.27899999999995</v>
      </c>
      <c r="BV30" s="1226">
        <f>CF!CE32</f>
        <v>227.36799999999999</v>
      </c>
      <c r="BW30" s="1226">
        <f>CF!CF32</f>
        <v>82.346999999999923</v>
      </c>
      <c r="BX30" s="1226">
        <f>CF!CG32</f>
        <v>150.07300000000004</v>
      </c>
      <c r="BY30" s="1226">
        <f>CF!CH32</f>
        <v>206.6100000000001</v>
      </c>
      <c r="BZ30" s="1226">
        <f>CF!CI32</f>
        <v>166.70600000000002</v>
      </c>
      <c r="CA30" s="1226">
        <f>CF!CJ32</f>
        <v>171.71800000000002</v>
      </c>
      <c r="CB30" s="1226">
        <f>CF!CK32</f>
        <v>98.964000000000055</v>
      </c>
      <c r="CC30" s="1226">
        <f>CF!CL32</f>
        <v>216.441</v>
      </c>
      <c r="CD30" s="1226">
        <f>CF!CM32</f>
        <v>202.29700000000005</v>
      </c>
    </row>
    <row r="31" spans="2:82" ht="4.5" customHeight="1"/>
    <row r="32" spans="2:82">
      <c r="B32" s="41"/>
      <c r="C32" s="41"/>
      <c r="D32" s="41"/>
    </row>
    <row r="33" spans="2:82" ht="4.5" customHeight="1"/>
    <row r="34" spans="2:82">
      <c r="B34" t="s">
        <v>1307</v>
      </c>
      <c r="AA34" s="82">
        <f>BS!AJ112</f>
        <v>246.30799999999999</v>
      </c>
      <c r="AB34" s="82">
        <f>BS!AK112</f>
        <v>230.67400000000001</v>
      </c>
      <c r="AC34" s="82">
        <f>BS!AL112</f>
        <v>165.84199999999998</v>
      </c>
      <c r="AD34" s="82">
        <f>BS!AM112</f>
        <v>87.721000000000004</v>
      </c>
      <c r="AE34" s="82">
        <f>BS!AN112</f>
        <v>55.120000000000005</v>
      </c>
      <c r="AF34" s="82">
        <f>BS!AO112</f>
        <v>23.263999999999999</v>
      </c>
      <c r="AG34" s="82">
        <f>BS!AP112</f>
        <v>11.622</v>
      </c>
      <c r="AH34" s="82">
        <f>BS!AQ112</f>
        <v>41.216000000000001</v>
      </c>
      <c r="AI34" s="82">
        <f>BS!AR112</f>
        <v>20.978000000000002</v>
      </c>
      <c r="AJ34" s="82">
        <f>BS!AS112</f>
        <v>24.257000000000001</v>
      </c>
      <c r="AK34" s="82">
        <f>BS!AT112</f>
        <v>25.222999999999999</v>
      </c>
      <c r="AL34" s="82">
        <f>BS!AU112</f>
        <v>72.971000000000004</v>
      </c>
      <c r="AM34" s="82">
        <f>BS!AV112</f>
        <v>88.638000000000005</v>
      </c>
      <c r="AN34" s="82">
        <f>BS!AW112</f>
        <v>92.399000000000001</v>
      </c>
      <c r="AO34" s="82">
        <f>BS!AX112</f>
        <v>98.813000000000002</v>
      </c>
      <c r="AP34" s="82">
        <f>BS!AY112</f>
        <v>108.092</v>
      </c>
      <c r="AQ34" s="82">
        <f>BS!AZ112</f>
        <v>118.13600000000011</v>
      </c>
      <c r="AR34" s="82">
        <f>BS!BA112</f>
        <v>132.02900000000011</v>
      </c>
      <c r="AS34" s="82">
        <f>BS!BB112</f>
        <v>108.29000000000013</v>
      </c>
      <c r="AT34" s="82">
        <f>BS!BC112</f>
        <v>188.85500000000008</v>
      </c>
      <c r="AU34" s="82">
        <f>BS!BD112</f>
        <v>162.2230000000001</v>
      </c>
      <c r="AV34" s="82">
        <f>BS!BE112</f>
        <v>147.93900000000011</v>
      </c>
      <c r="AW34" s="82">
        <f>BS!BF112</f>
        <v>166.34600000000009</v>
      </c>
      <c r="AX34" s="82">
        <f>BS!BG112</f>
        <v>156.48100000000005</v>
      </c>
      <c r="AY34" s="82">
        <f>BS!BH112</f>
        <v>392.39900000000006</v>
      </c>
      <c r="AZ34" s="82">
        <f>BS!BI112</f>
        <v>323.96600000000012</v>
      </c>
      <c r="BA34" s="82">
        <f>BS!BJ112</f>
        <v>436.36200000000008</v>
      </c>
      <c r="BB34" s="82">
        <f>BS!BK112</f>
        <v>383.90000000000015</v>
      </c>
      <c r="BC34" s="1226">
        <f>BS!BL112</f>
        <v>325.52600000000018</v>
      </c>
      <c r="BD34" s="1226">
        <f>BS!BM112</f>
        <v>324.74900000000019</v>
      </c>
      <c r="BE34" s="1226">
        <f>BS!BN112</f>
        <v>330.19900000000024</v>
      </c>
      <c r="BF34" s="1226">
        <f>BS!BO112</f>
        <v>307.94500000000016</v>
      </c>
      <c r="BG34" s="1226">
        <f>BS!BP112</f>
        <v>283.97500000000019</v>
      </c>
      <c r="BH34" s="1226">
        <f>BS!BQ112</f>
        <v>603.37000000000012</v>
      </c>
      <c r="BI34" s="1226">
        <f>BS!BR112</f>
        <v>627.44200000000012</v>
      </c>
      <c r="BJ34" s="1226">
        <f>BS!BS112</f>
        <v>604.36700000000019</v>
      </c>
      <c r="BK34" s="1226">
        <f>BS!BT112</f>
        <v>1185.1379999999999</v>
      </c>
      <c r="BL34" s="1226">
        <f>BS!BU112</f>
        <v>719.61800000000005</v>
      </c>
      <c r="BM34" s="1226">
        <f>BS!BV112</f>
        <v>709.26600000000008</v>
      </c>
      <c r="BN34" s="1226">
        <f>BS!BW112</f>
        <v>582.63400000000013</v>
      </c>
      <c r="BO34" s="1226">
        <f>BS!BX112</f>
        <v>442.61000000000013</v>
      </c>
      <c r="BP34" s="1226">
        <f>BS!BY112</f>
        <v>405.17900000000009</v>
      </c>
      <c r="BQ34" s="1226">
        <f>BS!BZ112</f>
        <v>1148.4530000000002</v>
      </c>
      <c r="BR34" s="1226">
        <f>BS!CA112</f>
        <v>1050.8500000000001</v>
      </c>
      <c r="BS34" s="1226">
        <f>BS!CB112</f>
        <v>1051.4690000000001</v>
      </c>
      <c r="BT34" s="1226">
        <f>BS!CC112</f>
        <v>790.35900000000004</v>
      </c>
      <c r="BU34" s="1226">
        <f>BS!CD112</f>
        <v>514.55199999999991</v>
      </c>
      <c r="BV34" s="1226">
        <f>BS!CE112</f>
        <v>546.52399999999989</v>
      </c>
      <c r="BW34" s="1226">
        <f>BS!CF112</f>
        <v>1210.2250000000001</v>
      </c>
      <c r="BX34" s="1226">
        <f>BS!CG112</f>
        <v>1218.0070000000003</v>
      </c>
      <c r="BY34" s="1226">
        <f>BS!CH112</f>
        <v>1189.1030000000003</v>
      </c>
      <c r="BZ34" s="1226">
        <f>BS!CI112</f>
        <v>1030.0920000000001</v>
      </c>
      <c r="CA34" s="1226">
        <f>BS!CJ112</f>
        <v>1041.7239999999999</v>
      </c>
      <c r="CB34" s="1226">
        <f>BS!CK112</f>
        <v>704.34900000000005</v>
      </c>
      <c r="CC34" s="1226">
        <f>BS!CL112</f>
        <v>501.11500000000007</v>
      </c>
      <c r="CD34" s="1226">
        <f>BS!CM112</f>
        <v>1140.7510000000002</v>
      </c>
    </row>
    <row r="35" spans="2:82">
      <c r="B35" t="s">
        <v>1041</v>
      </c>
      <c r="AA35" s="82">
        <f>BS!AJ113</f>
        <v>262.99599999999998</v>
      </c>
      <c r="AB35" s="82">
        <f>BS!AK113</f>
        <v>266.77600000000001</v>
      </c>
      <c r="AC35" s="82">
        <f>BS!AL113</f>
        <v>265.10700000000003</v>
      </c>
      <c r="AD35" s="82">
        <f>BS!AM113</f>
        <v>263.55</v>
      </c>
      <c r="AE35" s="82">
        <f>BS!AN113</f>
        <v>261.96600000000001</v>
      </c>
      <c r="AF35" s="82">
        <f>BS!AO113</f>
        <v>260.32100000000003</v>
      </c>
      <c r="AG35" s="82">
        <f>BS!AP113</f>
        <v>258.75400000000002</v>
      </c>
      <c r="AH35" s="82">
        <f>BS!AQ113</f>
        <v>259.22399999999999</v>
      </c>
      <c r="AI35" s="82">
        <f>BS!AR113</f>
        <v>256.80500000000001</v>
      </c>
      <c r="AJ35" s="82">
        <f>BS!AS113</f>
        <v>254.99</v>
      </c>
      <c r="AK35" s="82">
        <f>BS!AT113</f>
        <v>254.33699999999999</v>
      </c>
      <c r="AL35" s="82">
        <f>BS!AU113</f>
        <v>253.41200000000001</v>
      </c>
      <c r="AM35" s="82">
        <f>BS!AV113</f>
        <v>250</v>
      </c>
      <c r="AN35" s="82">
        <f>BS!AW113</f>
        <v>250</v>
      </c>
      <c r="AO35" s="82">
        <f>BS!AX113</f>
        <v>250</v>
      </c>
      <c r="AP35" s="82">
        <f>BS!AY113</f>
        <v>285.20400000000001</v>
      </c>
      <c r="AQ35" s="82">
        <f>BS!AZ113</f>
        <v>388.74799999999999</v>
      </c>
      <c r="AR35" s="82">
        <f>BS!BA113</f>
        <v>388.10399999999998</v>
      </c>
      <c r="AS35" s="82">
        <f>BS!BB113</f>
        <v>387.91499999999996</v>
      </c>
      <c r="AT35" s="82">
        <f>BS!BC113</f>
        <v>492.45499999999998</v>
      </c>
      <c r="AU35" s="82">
        <f>BS!BD113</f>
        <v>491.88599999999997</v>
      </c>
      <c r="AV35" s="82">
        <f>BS!BE113</f>
        <v>491.20000000000005</v>
      </c>
      <c r="AW35" s="82">
        <f>BS!BF113</f>
        <v>490.49</v>
      </c>
      <c r="AX35" s="82">
        <f>BS!BG113</f>
        <v>529.84500000000003</v>
      </c>
      <c r="AY35" s="82">
        <f>BS!BH113</f>
        <v>568.06335903253216</v>
      </c>
      <c r="AZ35" s="82">
        <f>BS!BI113</f>
        <v>793.13300000000004</v>
      </c>
      <c r="BA35" s="82">
        <f>BS!BJ113</f>
        <v>1308.6100000000001</v>
      </c>
      <c r="BB35" s="82">
        <f>BS!BK113</f>
        <v>1356.144</v>
      </c>
      <c r="BC35" s="1226">
        <f>BS!BL113</f>
        <v>1412.174</v>
      </c>
      <c r="BD35" s="1226">
        <f>BS!BM113</f>
        <v>1442.0319999999999</v>
      </c>
      <c r="BE35" s="1226">
        <f>BS!BN113</f>
        <v>1443.6750000000002</v>
      </c>
      <c r="BF35" s="1226">
        <f>BS!BO113</f>
        <v>1203.69</v>
      </c>
      <c r="BG35" s="1226">
        <f>BS!BP113</f>
        <v>1191.0490000000002</v>
      </c>
      <c r="BH35" s="1226">
        <f>BS!BQ113</f>
        <v>1452.3029999999999</v>
      </c>
      <c r="BI35" s="1226">
        <f>BS!BR113</f>
        <v>1496.2539999999999</v>
      </c>
      <c r="BJ35" s="1226">
        <f>BS!BS113</f>
        <v>1484.9690000000001</v>
      </c>
      <c r="BK35" s="1226">
        <f>BS!BT113</f>
        <v>2111.788</v>
      </c>
      <c r="BL35" s="1226">
        <f>BS!BU113</f>
        <v>2059.3879999999999</v>
      </c>
      <c r="BM35" s="1226">
        <f>BS!BV113</f>
        <v>2131.5549999999998</v>
      </c>
      <c r="BN35" s="1226">
        <f>BS!BW113</f>
        <v>2048.585</v>
      </c>
      <c r="BO35" s="1226">
        <f>BS!BX113</f>
        <v>2124.44</v>
      </c>
      <c r="BP35" s="1226">
        <f>BS!BY113</f>
        <v>2257.8609999999999</v>
      </c>
      <c r="BQ35" s="1226">
        <f>BS!BZ113</f>
        <v>3059.547</v>
      </c>
      <c r="BR35" s="1226">
        <f>BS!CA113</f>
        <v>3099.13</v>
      </c>
      <c r="BS35" s="1226">
        <f>BS!CB113</f>
        <v>3082.4480000000003</v>
      </c>
      <c r="BT35" s="1226">
        <f>BS!CC113</f>
        <v>2893.473</v>
      </c>
      <c r="BU35" s="1226">
        <f>BS!CD113</f>
        <v>2956.529</v>
      </c>
      <c r="BV35" s="1226">
        <f>BS!CE113</f>
        <v>3010.7469999999998</v>
      </c>
      <c r="BW35" s="1226">
        <f>BS!CF113</f>
        <v>4523.759</v>
      </c>
      <c r="BX35" s="1226">
        <f>BS!CG113</f>
        <v>3941.6790000000001</v>
      </c>
      <c r="BY35" s="1226">
        <f>BS!CH113</f>
        <v>4046.576</v>
      </c>
      <c r="BZ35" s="1226">
        <f>BS!CI113</f>
        <v>4158.6559999999999</v>
      </c>
      <c r="CA35" s="1226">
        <f>BS!CJ113</f>
        <v>4279.3710000000001</v>
      </c>
      <c r="CB35" s="1226">
        <f>BS!CK113</f>
        <v>3936.1750000000002</v>
      </c>
      <c r="CC35" s="1226">
        <f>BS!CL113</f>
        <v>3983.6550000000002</v>
      </c>
      <c r="CD35" s="1226">
        <f>BS!CM113</f>
        <v>4679.4089999999997</v>
      </c>
    </row>
    <row r="36" spans="2:82">
      <c r="B36" t="s">
        <v>1011</v>
      </c>
      <c r="AA36" s="1594">
        <f>+(AA35-AA34)/(AA22*4)</f>
        <v>-0.25607660201325783</v>
      </c>
      <c r="AB36" s="1594">
        <f t="shared" ref="AB36:BV36" si="4">+(AB35-AB34)/(AB22*4)</f>
        <v>-0.78708467777099511</v>
      </c>
      <c r="AC36" s="1594">
        <f t="shared" si="4"/>
        <v>-2.8563823664825052</v>
      </c>
      <c r="AD36" s="1594">
        <f t="shared" si="4"/>
        <v>-28.177724358974384</v>
      </c>
      <c r="AE36" s="1594">
        <f t="shared" si="4"/>
        <v>-33.600714749837664</v>
      </c>
      <c r="AF36" s="1594">
        <f t="shared" si="4"/>
        <v>-8.546906547447362</v>
      </c>
      <c r="AG36" s="1594">
        <f t="shared" si="4"/>
        <v>-41.051827242524944</v>
      </c>
      <c r="AH36" s="1594">
        <f t="shared" si="4"/>
        <v>-29.412844036697276</v>
      </c>
      <c r="AI36" s="1594">
        <f t="shared" si="4"/>
        <v>-19.179163955757982</v>
      </c>
      <c r="AJ36" s="1594">
        <f t="shared" si="4"/>
        <v>199.59602076124958</v>
      </c>
      <c r="AK36" s="1594">
        <f t="shared" si="4"/>
        <v>41.506159420289777</v>
      </c>
      <c r="AL36" s="1594">
        <f t="shared" si="4"/>
        <v>14.537624879149236</v>
      </c>
      <c r="AM36" s="1594">
        <f t="shared" si="4"/>
        <v>7.1310765423369205</v>
      </c>
      <c r="AN36" s="1594">
        <f t="shared" si="4"/>
        <v>5.2338270456960663</v>
      </c>
      <c r="AO36" s="1594">
        <f t="shared" si="4"/>
        <v>3.7548927081263659</v>
      </c>
      <c r="AP36" s="1594">
        <f t="shared" si="4"/>
        <v>3.5814931650893791</v>
      </c>
      <c r="AQ36" s="1594">
        <f t="shared" si="4"/>
        <v>4.7187696170746998</v>
      </c>
      <c r="AR36" s="1594">
        <f t="shared" si="4"/>
        <v>3.9874649641856101</v>
      </c>
      <c r="AS36" s="1594">
        <f t="shared" si="4"/>
        <v>3.901236118086945</v>
      </c>
      <c r="AT36" s="1594">
        <f t="shared" si="4"/>
        <v>3.4771852666300163</v>
      </c>
      <c r="AU36" s="1594">
        <f t="shared" si="4"/>
        <v>3.6091854609152603</v>
      </c>
      <c r="AV36" s="1594">
        <f t="shared" si="4"/>
        <v>3.5699829436725175</v>
      </c>
      <c r="AW36" s="1594">
        <f t="shared" si="4"/>
        <v>3.2509327235527734</v>
      </c>
      <c r="AX36" s="1594">
        <f t="shared" si="4"/>
        <v>3.0834104122621575</v>
      </c>
      <c r="AY36" s="1594">
        <f t="shared" si="4"/>
        <v>1.3563558514464453</v>
      </c>
      <c r="AZ36" s="1594">
        <f t="shared" si="4"/>
        <v>3.3216773809860931</v>
      </c>
      <c r="BA36" s="1594">
        <f t="shared" si="4"/>
        <v>5.3658308521371101</v>
      </c>
      <c r="BB36" s="1594">
        <f t="shared" si="4"/>
        <v>5.1646976329097782</v>
      </c>
      <c r="BC36" s="1594">
        <f t="shared" si="4"/>
        <v>4.3627166005556521</v>
      </c>
      <c r="BD36" s="1594">
        <f t="shared" si="4"/>
        <v>4.0402804698122488</v>
      </c>
      <c r="BE36" s="1594">
        <f t="shared" si="4"/>
        <v>3.6164499239993262</v>
      </c>
      <c r="BF36" s="1594">
        <f t="shared" si="4"/>
        <v>2.6627378121284182</v>
      </c>
      <c r="BG36" s="1594">
        <f t="shared" si="4"/>
        <v>2.4816531331392673</v>
      </c>
      <c r="BH36" s="1594">
        <f t="shared" si="4"/>
        <v>2.1322688729479369</v>
      </c>
      <c r="BI36" s="1594">
        <f t="shared" si="4"/>
        <v>2.0483892263005012</v>
      </c>
      <c r="BJ36" s="1594">
        <f t="shared" si="4"/>
        <v>1.9716147232670604</v>
      </c>
      <c r="BK36" s="1594">
        <f t="shared" si="4"/>
        <v>1.9754289173886348</v>
      </c>
      <c r="BL36" s="1594">
        <f t="shared" si="4"/>
        <v>2.5907498220970893</v>
      </c>
      <c r="BM36" s="1594">
        <f t="shared" si="4"/>
        <v>2.5025143223118387</v>
      </c>
      <c r="BN36" s="1594">
        <f t="shared" si="4"/>
        <v>2.5383729628270038</v>
      </c>
      <c r="BO36" s="1594">
        <f t="shared" si="4"/>
        <v>2.5901883235690919</v>
      </c>
      <c r="BP36" s="1594">
        <f t="shared" si="4"/>
        <v>2.6107938852124501</v>
      </c>
      <c r="BQ36" s="1594">
        <f t="shared" si="4"/>
        <v>2.5572906630697756</v>
      </c>
      <c r="BR36" s="1594">
        <f t="shared" si="4"/>
        <v>2.6498623501893976</v>
      </c>
      <c r="BS36" s="1594">
        <f t="shared" si="4"/>
        <v>2.456017365226014</v>
      </c>
      <c r="BT36" s="1594">
        <f t="shared" si="4"/>
        <v>2.429435819240366</v>
      </c>
      <c r="BU36" s="1594">
        <f t="shared" si="4"/>
        <v>2.7131148451665661</v>
      </c>
      <c r="BV36" s="1594">
        <f t="shared" si="4"/>
        <v>2.5702617174136164</v>
      </c>
      <c r="BW36" s="1594">
        <f t="shared" ref="BW36:CD36" si="5">+(BW35-BW34)/(BW22*4)</f>
        <v>3.438874082561191</v>
      </c>
      <c r="BX36" s="1594">
        <f t="shared" si="5"/>
        <v>2.7452496623460396</v>
      </c>
      <c r="BY36" s="1594">
        <f t="shared" si="5"/>
        <v>2.8753577250498088</v>
      </c>
      <c r="BZ36" s="1594">
        <f t="shared" si="5"/>
        <v>2.9679391340644323</v>
      </c>
      <c r="CA36" s="1594">
        <f t="shared" si="5"/>
        <v>3.1084833018418663</v>
      </c>
      <c r="CB36" s="1594">
        <f t="shared" si="5"/>
        <v>2.9350672231969974</v>
      </c>
      <c r="CC36" s="1594">
        <f t="shared" si="5"/>
        <v>3.0671173567344581</v>
      </c>
      <c r="CD36" s="1594">
        <f t="shared" si="5"/>
        <v>3.0053318159427915</v>
      </c>
    </row>
    <row r="38" spans="2:82">
      <c r="B38" t="s">
        <v>1757</v>
      </c>
      <c r="AA38" s="1058">
        <f>CF!AJ97</f>
        <v>-57.555</v>
      </c>
      <c r="AB38" s="1058">
        <f>CF!AK97</f>
        <v>-26.788</v>
      </c>
      <c r="AC38" s="1058">
        <f>CF!AL97</f>
        <v>-52.734999999999999</v>
      </c>
      <c r="AD38" s="1058">
        <f>CF!AM97</f>
        <v>8.1260000000000012</v>
      </c>
      <c r="AE38" s="1058">
        <f>CF!AN97</f>
        <v>-13.551999999999994</v>
      </c>
      <c r="AF38" s="1058">
        <f>CF!AO97</f>
        <v>-16.393999999999998</v>
      </c>
      <c r="AG38" s="1058">
        <f>CF!AP97</f>
        <v>-10.572999999999999</v>
      </c>
      <c r="AH38" s="1058">
        <f>CF!AQ97</f>
        <v>-11.919999999999996</v>
      </c>
      <c r="AI38" s="1058">
        <f>CF!AR97</f>
        <v>-8.161999999999999</v>
      </c>
      <c r="AJ38" s="1058">
        <f>CF!AS97</f>
        <v>-5.7860000000000058</v>
      </c>
      <c r="AK38" s="1058">
        <f>CF!AT97</f>
        <v>-5.4809999999999963</v>
      </c>
      <c r="AL38" s="1058">
        <f>CF!AU97</f>
        <v>-6.8390000000000057</v>
      </c>
      <c r="AM38" s="1058">
        <f>CF!AV97</f>
        <v>-3.1389999999999949</v>
      </c>
      <c r="AN38" s="1058">
        <f>CF!AW97</f>
        <v>1.2330000000000019</v>
      </c>
      <c r="AO38" s="1058">
        <f>CF!AX97</f>
        <v>0.42800000000000127</v>
      </c>
      <c r="AP38" s="1058">
        <f>CF!AY97</f>
        <v>3.9530000000000025</v>
      </c>
      <c r="AQ38" s="1058">
        <f>CF!AZ97</f>
        <v>7.0220000000000002</v>
      </c>
      <c r="AR38" s="1058">
        <f>CF!BA97</f>
        <v>5.121999999999999</v>
      </c>
      <c r="AS38" s="1058">
        <f>CF!BB97</f>
        <v>9.9869999999999965</v>
      </c>
      <c r="AT38" s="1058">
        <f>CF!BC97</f>
        <v>-2.7000000000000024</v>
      </c>
      <c r="AU38" s="1058">
        <f>CF!BD97</f>
        <v>-6.0349999999999984</v>
      </c>
      <c r="AV38" s="1058">
        <f>CF!BE97</f>
        <v>-7.4679999999999955</v>
      </c>
      <c r="AW38" s="1058">
        <f>CF!BF97</f>
        <v>-23.52000000000001</v>
      </c>
      <c r="AX38" s="1058">
        <f>CF!BG97</f>
        <v>-31.444000000000013</v>
      </c>
      <c r="AY38" s="1058">
        <f>CF!BH97</f>
        <v>-36.190999999999981</v>
      </c>
      <c r="AZ38" s="1058">
        <f>CF!BI97</f>
        <v>-105.55399999999999</v>
      </c>
      <c r="BA38" s="1058">
        <f>CF!BJ97</f>
        <v>-50.635000000000041</v>
      </c>
      <c r="BB38" s="1058">
        <f>CF!BK97</f>
        <v>-80.967999999999947</v>
      </c>
      <c r="BC38" s="1058">
        <f>CF!BL97</f>
        <v>-75.128</v>
      </c>
      <c r="BD38" s="1058">
        <f>CF!BM97</f>
        <v>-27.226000000000013</v>
      </c>
      <c r="BE38" s="1058">
        <f>CF!BN97</f>
        <v>-33.702000000000034</v>
      </c>
      <c r="BF38" s="1058">
        <f>CF!BO97</f>
        <v>-96.860000000000028</v>
      </c>
      <c r="BG38" s="1058">
        <f>CF!BP97</f>
        <v>3.8740000000000343</v>
      </c>
      <c r="BH38" s="1058">
        <f>CF!BQ97</f>
        <v>7.4859999999999882</v>
      </c>
      <c r="BI38" s="1058">
        <f>CF!BR97</f>
        <v>-4.5219999999999985</v>
      </c>
      <c r="BJ38" s="1058">
        <f>CF!BS97</f>
        <v>-12.257999999999999</v>
      </c>
      <c r="BK38" s="1058">
        <f>CF!BT97</f>
        <v>-51.296999999999983</v>
      </c>
      <c r="BL38" s="1058">
        <f>CF!BU97</f>
        <v>-56.545000000000051</v>
      </c>
      <c r="BM38" s="1058">
        <f>CF!BV97</f>
        <v>-39.907999999999987</v>
      </c>
      <c r="BN38" s="1058">
        <f>CF!BW97</f>
        <v>-37.585999999999984</v>
      </c>
      <c r="BO38" s="1058">
        <f>CF!BX97</f>
        <v>-47.334999999999987</v>
      </c>
      <c r="BP38" s="1058">
        <f>CF!BY97</f>
        <v>-48.513999999999996</v>
      </c>
      <c r="BQ38" s="1058">
        <f>CF!BZ97</f>
        <v>4.8679999999999737</v>
      </c>
      <c r="BR38" s="1058">
        <f>CF!CA97</f>
        <v>-50.970000000000013</v>
      </c>
      <c r="BS38" s="1058">
        <f>CF!CB97</f>
        <v>9.1180000000000092</v>
      </c>
      <c r="BT38" s="1058">
        <f>CF!CC97</f>
        <v>-25.888000000000019</v>
      </c>
      <c r="BU38" s="1058">
        <f>CF!CD97</f>
        <v>-36.255000000000031</v>
      </c>
      <c r="BV38" s="1058">
        <f>CF!CE97</f>
        <v>-20.480000000000004</v>
      </c>
      <c r="BW38" s="1058">
        <f>CF!CF97</f>
        <v>105.63699999999992</v>
      </c>
      <c r="BX38" s="1058">
        <f>CF!CG97</f>
        <v>65.087999999999994</v>
      </c>
      <c r="BY38" s="1058">
        <f>CF!CH97</f>
        <v>16.382000000000083</v>
      </c>
      <c r="BZ38" s="1058">
        <f>CF!CI97</f>
        <v>-4.0199999999999818</v>
      </c>
      <c r="CA38" s="1058">
        <f>CF!CJ97</f>
        <v>87.095000000000056</v>
      </c>
      <c r="CB38" s="1058">
        <f>CF!CK97</f>
        <v>49.331000000000046</v>
      </c>
      <c r="CC38" s="1058">
        <f>CF!CL97</f>
        <v>64.457999999999998</v>
      </c>
      <c r="CD38" s="1058">
        <f>CF!CM97</f>
        <v>-14.85799999999999</v>
      </c>
    </row>
    <row r="40" spans="2:82">
      <c r="B40" t="s">
        <v>662</v>
      </c>
      <c r="AM40" s="567"/>
      <c r="AN40" s="567"/>
      <c r="AO40" s="567"/>
      <c r="AP40" s="567"/>
      <c r="AQ40" s="567"/>
      <c r="AR40" s="567"/>
      <c r="AS40" s="567"/>
      <c r="AT40" s="567"/>
      <c r="AU40" s="567"/>
      <c r="AV40" s="567"/>
      <c r="AW40" s="567"/>
      <c r="AX40" s="567"/>
      <c r="AY40" s="567"/>
      <c r="AZ40" s="567"/>
      <c r="BA40" s="567"/>
      <c r="BB40" s="567"/>
      <c r="BC40" s="567">
        <f>Rev!BL813</f>
        <v>2.24277550909871E-2</v>
      </c>
      <c r="BD40" s="567">
        <f>Rev!BM813</f>
        <v>1.98505348828413E-2</v>
      </c>
      <c r="BE40" s="567">
        <f>Rev!BN813</f>
        <v>2.1076116799672799E-2</v>
      </c>
      <c r="BF40" s="567">
        <f>Rev!BO813</f>
        <v>1.7606781890342801E-2</v>
      </c>
      <c r="BG40" s="567">
        <f>Rev!BP813</f>
        <v>1.5641291275072501E-2</v>
      </c>
      <c r="BH40" s="567">
        <f>Rev!BQ813</f>
        <v>1.7834843098760284E-2</v>
      </c>
      <c r="BI40" s="567">
        <f>Rev!BR813</f>
        <v>2.2874242016269801E-2</v>
      </c>
      <c r="BJ40" s="567">
        <f>Rev!BS813</f>
        <v>1.4999999999999999E-2</v>
      </c>
      <c r="BK40" s="567">
        <f>Rev!BT813</f>
        <v>2.1999999999999999E-2</v>
      </c>
      <c r="BL40" s="567">
        <f>Rev!BU813</f>
        <v>2.4E-2</v>
      </c>
      <c r="BM40" s="567">
        <f>Rev!BV813</f>
        <v>2.7E-2</v>
      </c>
      <c r="BN40" s="567">
        <f>Rev!BW813</f>
        <v>2.5000000000000001E-2</v>
      </c>
      <c r="BO40" s="567">
        <f>Rev!BX813</f>
        <v>2.4E-2</v>
      </c>
      <c r="BP40" s="567">
        <f>Rev!BY813</f>
        <v>1.6E-2</v>
      </c>
      <c r="BQ40" s="567">
        <f>Rev!BZ813</f>
        <v>0.02</v>
      </c>
      <c r="BR40" s="567">
        <f>Rev!CA813</f>
        <v>2.1999999999999999E-2</v>
      </c>
      <c r="BS40" s="567">
        <f>Rev!CB813</f>
        <v>2.4E-2</v>
      </c>
      <c r="BT40" s="567">
        <f>Rev!CC813</f>
        <v>3.2000000000000001E-2</v>
      </c>
      <c r="BU40" s="567">
        <f>Rev!CD813</f>
        <v>2.9000000000000001E-2</v>
      </c>
      <c r="BV40" s="567">
        <f>Rev!CE813</f>
        <v>0.03</v>
      </c>
      <c r="BW40" s="567">
        <f>Rev!CF813</f>
        <v>3.6999999999999998E-2</v>
      </c>
      <c r="BX40" s="567">
        <f>Rev!CG813</f>
        <v>2.4E-2</v>
      </c>
      <c r="BY40" s="567">
        <f>Rev!CH813</f>
        <v>2.5000000000000001E-2</v>
      </c>
      <c r="BZ40" s="567">
        <f>Rev!CI813</f>
        <v>2.3E-2</v>
      </c>
      <c r="CA40" s="567">
        <f>Rev!CJ813</f>
        <v>2.3E-2</v>
      </c>
      <c r="CB40" s="567">
        <f>Rev!CK813</f>
        <v>2.8000000000000001E-2</v>
      </c>
      <c r="CC40" s="567">
        <f>Rev!CL813</f>
        <v>0.02</v>
      </c>
      <c r="CD40" s="567">
        <f>Rev!CM813</f>
        <v>0.02</v>
      </c>
    </row>
    <row r="42" spans="2:82">
      <c r="B42" t="s">
        <v>94</v>
      </c>
      <c r="AA42" s="82"/>
      <c r="AB42" s="82"/>
      <c r="AC42" s="82"/>
      <c r="AD42" s="82"/>
      <c r="AE42" s="82"/>
      <c r="AF42" s="82"/>
      <c r="AG42" s="82"/>
      <c r="AH42" s="82"/>
      <c r="AI42" s="82"/>
      <c r="AJ42" s="82"/>
      <c r="AK42" s="82"/>
      <c r="AL42" s="82"/>
      <c r="AM42" s="82"/>
      <c r="AN42" s="82"/>
      <c r="AO42" s="82"/>
      <c r="AP42" s="82"/>
      <c r="AQ42" s="82"/>
      <c r="AR42" s="82"/>
      <c r="AS42" s="82"/>
      <c r="AT42" s="82"/>
      <c r="AU42" s="82"/>
      <c r="AV42" s="82"/>
      <c r="AW42" s="82"/>
      <c r="AX42" s="581"/>
      <c r="AY42" s="581"/>
      <c r="AZ42" s="581"/>
      <c r="BA42" s="581">
        <f>Rev!BJ695</f>
        <v>25900</v>
      </c>
      <c r="BB42" s="581">
        <f>Rev!BK695</f>
        <v>30100</v>
      </c>
      <c r="BC42" s="581">
        <f>Rev!BL695</f>
        <v>30100</v>
      </c>
      <c r="BD42" s="581">
        <f>Rev!BM695</f>
        <v>33300</v>
      </c>
      <c r="BE42" s="581">
        <f>Rev!BN695</f>
        <v>33800</v>
      </c>
      <c r="BF42" s="581">
        <f>Rev!BO695</f>
        <v>34200</v>
      </c>
      <c r="BG42" s="581">
        <f>Rev!BP695</f>
        <v>67819.867549668881</v>
      </c>
      <c r="BH42" s="581">
        <f>Rev!BQ695</f>
        <v>69142.483660130718</v>
      </c>
      <c r="BI42" s="581">
        <f>Rev!BR695</f>
        <v>72255.459272097054</v>
      </c>
      <c r="BJ42" s="581">
        <f>Rev!BS695</f>
        <v>74809.787928221864</v>
      </c>
      <c r="BK42" s="581">
        <f>Rev!BT695</f>
        <v>77903.139717425423</v>
      </c>
      <c r="BL42" s="581">
        <f>Rev!BU695</f>
        <v>78700</v>
      </c>
      <c r="BM42" s="581">
        <f>Rev!BV695</f>
        <v>81400</v>
      </c>
      <c r="BN42" s="581">
        <f>Rev!BW695</f>
        <v>82900</v>
      </c>
      <c r="BO42" s="581">
        <f>Rev!BX695</f>
        <v>84600</v>
      </c>
      <c r="BP42" s="581">
        <f>Rev!BY695</f>
        <v>91300</v>
      </c>
      <c r="BQ42" s="581">
        <f>Rev!BZ695</f>
        <v>89000</v>
      </c>
      <c r="BR42" s="581">
        <f>Rev!CA695</f>
        <v>90400</v>
      </c>
      <c r="BS42" s="1081">
        <f>Rev!CB695</f>
        <v>91200</v>
      </c>
      <c r="BT42" s="1081">
        <f>Rev!CC695</f>
        <v>92890</v>
      </c>
      <c r="BU42" s="1081">
        <f>Rev!CD695</f>
        <v>106800</v>
      </c>
      <c r="BV42" s="1081">
        <f>Rev!CE695</f>
        <v>108100</v>
      </c>
      <c r="BW42" s="1081">
        <f>Rev!CF695</f>
        <v>110800</v>
      </c>
      <c r="BX42" s="1081">
        <f>Rev!CG695</f>
        <v>112400</v>
      </c>
      <c r="BY42" s="1081">
        <f>Rev!CH695</f>
        <v>113800</v>
      </c>
      <c r="BZ42" s="1081">
        <f>Rev!CI695</f>
        <v>117200</v>
      </c>
      <c r="CA42" s="1081">
        <f>Rev!CJ695</f>
        <v>119400</v>
      </c>
      <c r="CB42" s="1081">
        <f>Rev!CK695</f>
        <v>120500</v>
      </c>
      <c r="CC42" s="1081">
        <f>Rev!CL695</f>
        <v>121500</v>
      </c>
      <c r="CD42" s="1081">
        <f>Rev!CM695</f>
        <v>125000</v>
      </c>
    </row>
    <row r="43" spans="2:82">
      <c r="B43" s="247" t="s">
        <v>95</v>
      </c>
      <c r="BB43" s="1196">
        <f>+BB42/BA42-1</f>
        <v>0.16216216216216206</v>
      </c>
      <c r="BC43" s="1196">
        <f t="shared" ref="BC43:BV43" si="6">+BC42/BB42-1</f>
        <v>0</v>
      </c>
      <c r="BD43" s="1196">
        <f t="shared" si="6"/>
        <v>0.10631229235880402</v>
      </c>
      <c r="BE43" s="1196">
        <f t="shared" si="6"/>
        <v>1.501501501501501E-2</v>
      </c>
      <c r="BF43" s="1196">
        <f t="shared" si="6"/>
        <v>1.1834319526627279E-2</v>
      </c>
      <c r="BG43" s="1196">
        <f t="shared" si="6"/>
        <v>0.98303706285581516</v>
      </c>
      <c r="BH43" s="1196">
        <f t="shared" si="6"/>
        <v>1.9501897574382587E-2</v>
      </c>
      <c r="BI43" s="1196">
        <f t="shared" si="6"/>
        <v>4.5022617747839888E-2</v>
      </c>
      <c r="BJ43" s="1196">
        <f t="shared" si="6"/>
        <v>3.5351358663513688E-2</v>
      </c>
      <c r="BK43" s="1196">
        <f t="shared" si="6"/>
        <v>4.1349559661518542E-2</v>
      </c>
      <c r="BL43" s="1196">
        <f t="shared" si="6"/>
        <v>1.0228859651420841E-2</v>
      </c>
      <c r="BM43" s="1196">
        <f t="shared" si="6"/>
        <v>3.4307496823379857E-2</v>
      </c>
      <c r="BN43" s="1196">
        <f t="shared" si="6"/>
        <v>1.8427518427518441E-2</v>
      </c>
      <c r="BO43" s="1196">
        <f t="shared" si="6"/>
        <v>2.0506634499396936E-2</v>
      </c>
      <c r="BP43" s="1196">
        <f t="shared" si="6"/>
        <v>7.9196217494089893E-2</v>
      </c>
      <c r="BQ43" s="1196">
        <f t="shared" si="6"/>
        <v>-2.5191675794085433E-2</v>
      </c>
      <c r="BR43" s="1196">
        <f t="shared" si="6"/>
        <v>1.5730337078651679E-2</v>
      </c>
      <c r="BS43" s="1196">
        <f t="shared" si="6"/>
        <v>8.8495575221239076E-3</v>
      </c>
      <c r="BT43" s="1196">
        <f t="shared" si="6"/>
        <v>1.853070175438587E-2</v>
      </c>
      <c r="BU43" s="1196">
        <f t="shared" si="6"/>
        <v>0.14974701259554313</v>
      </c>
      <c r="BV43" s="1196">
        <f t="shared" si="6"/>
        <v>1.2172284644194731E-2</v>
      </c>
      <c r="BW43" s="1196">
        <f t="shared" ref="BW43:CD43" si="7">+BW42/BV42-1</f>
        <v>2.4976873265494914E-2</v>
      </c>
      <c r="BX43" s="1196">
        <f t="shared" si="7"/>
        <v>1.4440433212996373E-2</v>
      </c>
      <c r="BY43" s="1196">
        <f t="shared" si="7"/>
        <v>1.245551601423478E-2</v>
      </c>
      <c r="BZ43" s="1196">
        <f t="shared" si="7"/>
        <v>2.987697715289972E-2</v>
      </c>
      <c r="CA43" s="1196">
        <f t="shared" si="7"/>
        <v>1.8771331058020424E-2</v>
      </c>
      <c r="CB43" s="1196">
        <f t="shared" si="7"/>
        <v>9.2127303182578668E-3</v>
      </c>
      <c r="CC43" s="1196">
        <f t="shared" si="7"/>
        <v>8.2987551867219622E-3</v>
      </c>
      <c r="CD43" s="1196">
        <f t="shared" si="7"/>
        <v>2.8806584362139898E-2</v>
      </c>
    </row>
    <row r="44" spans="2:82">
      <c r="B44" s="247" t="s">
        <v>1322</v>
      </c>
      <c r="BP44" s="1236">
        <f t="shared" ref="BP44:BV44" si="8">+BP42/BL42-1</f>
        <v>0.16010165184243963</v>
      </c>
      <c r="BQ44" s="1236">
        <f t="shared" si="8"/>
        <v>9.3366093366093361E-2</v>
      </c>
      <c r="BR44" s="1236">
        <f t="shared" si="8"/>
        <v>9.0470446320868536E-2</v>
      </c>
      <c r="BS44" s="1236">
        <f t="shared" si="8"/>
        <v>7.8014184397163122E-2</v>
      </c>
      <c r="BT44" s="1236">
        <f t="shared" si="8"/>
        <v>1.7415115005476434E-2</v>
      </c>
      <c r="BU44" s="1236">
        <f t="shared" si="8"/>
        <v>0.19999999999999996</v>
      </c>
      <c r="BV44" s="1236">
        <f t="shared" si="8"/>
        <v>0.19579646017699126</v>
      </c>
      <c r="BW44" s="1236">
        <f t="shared" ref="BW44:CD44" si="9">+BW42/BS42-1</f>
        <v>0.21491228070175428</v>
      </c>
      <c r="BX44" s="1236">
        <f t="shared" si="9"/>
        <v>0.21003337280654533</v>
      </c>
      <c r="BY44" s="1236">
        <f t="shared" si="9"/>
        <v>6.5543071161048738E-2</v>
      </c>
      <c r="BZ44" s="1236">
        <f t="shared" si="9"/>
        <v>8.418131359851988E-2</v>
      </c>
      <c r="CA44" s="1236">
        <f t="shared" si="9"/>
        <v>7.7617328519855588E-2</v>
      </c>
      <c r="CB44" s="1236">
        <f t="shared" si="9"/>
        <v>7.2064056939501686E-2</v>
      </c>
      <c r="CC44" s="1236">
        <f t="shared" si="9"/>
        <v>6.7662565905096672E-2</v>
      </c>
      <c r="CD44" s="1236">
        <f t="shared" si="9"/>
        <v>6.6552901023890776E-2</v>
      </c>
    </row>
    <row r="45" spans="2:82">
      <c r="B45" t="s">
        <v>1323</v>
      </c>
      <c r="BL45" s="1196">
        <f>Rev!BU252</f>
        <v>0.81021897810218979</v>
      </c>
      <c r="BM45" s="1196">
        <f>Rev!BV252</f>
        <v>0.79205607476635509</v>
      </c>
      <c r="BN45" s="1196">
        <f>Rev!BW252</f>
        <v>0.78555304740406318</v>
      </c>
      <c r="BO45" s="1196">
        <f>Rev!BX252</f>
        <v>0.80174291938997821</v>
      </c>
      <c r="BP45" s="1196">
        <f>Rev!BY252</f>
        <v>0.81263616557734208</v>
      </c>
      <c r="BQ45" s="1196">
        <f>Rev!BZ252</f>
        <v>0.84668192219679639</v>
      </c>
      <c r="BR45" s="1196">
        <f>Rev!CA252</f>
        <v>0.83148558758314861</v>
      </c>
      <c r="BS45" s="1196">
        <f>Rev!CB252</f>
        <v>0.83660130718954251</v>
      </c>
      <c r="BT45" s="1196">
        <f>Rev!CC252</f>
        <v>0.84549356223175964</v>
      </c>
      <c r="BU45" s="1196">
        <f>Rev!CD252</f>
        <v>0.7967479674796748</v>
      </c>
      <c r="BV45" s="1196">
        <f>Rev!CE252</f>
        <v>0.81362725450901807</v>
      </c>
      <c r="BW45" s="1196">
        <f>Rev!CF252</f>
        <v>0.80888030888030893</v>
      </c>
      <c r="BX45" s="1196">
        <f>Rev!CG252</f>
        <v>0.80539499036608864</v>
      </c>
      <c r="BY45" s="1196">
        <f>Rev!CH252</f>
        <v>0.80681818181818177</v>
      </c>
      <c r="BZ45" s="1196">
        <f>Rev!CI252</f>
        <v>0.81578947368421051</v>
      </c>
      <c r="CA45" s="1196">
        <f>Rev!CJ252</f>
        <v>0.76827094474153301</v>
      </c>
      <c r="CB45" s="1196">
        <f>Rev!CK252</f>
        <v>0.76325088339222613</v>
      </c>
      <c r="CC45" s="1196">
        <f>Rev!CL252</f>
        <v>0.78086956521739126</v>
      </c>
      <c r="CD45" s="1196">
        <f>Rev!CM252</f>
        <v>0.78956521739130436</v>
      </c>
    </row>
    <row r="46" spans="2:82">
      <c r="BS46" s="194"/>
      <c r="BT46" s="194"/>
    </row>
    <row r="47" spans="2:82">
      <c r="B47" t="s">
        <v>661</v>
      </c>
      <c r="BL47" s="1081">
        <f>+Rev!BU249+Rev!BU461+Rev!BU624</f>
        <v>61000</v>
      </c>
      <c r="BM47" s="1081">
        <f>+Rev!BV249+Rev!BV461+Rev!BV624</f>
        <v>61700</v>
      </c>
      <c r="BN47" s="1081">
        <f>+Rev!BW249+Rev!BW461+Rev!BW624</f>
        <v>63900</v>
      </c>
      <c r="BO47" s="1081">
        <f>+Rev!BX249+Rev!BX461+Rev!BX624</f>
        <v>67100</v>
      </c>
      <c r="BP47" s="1081">
        <f>+Rev!BY249+Rev!BY461+Rev!BY624</f>
        <v>69500</v>
      </c>
      <c r="BQ47" s="1081">
        <f>+Rev!BZ249+Rev!BZ461+Rev!BZ624</f>
        <v>70800</v>
      </c>
      <c r="BR47" s="1081">
        <f>+Rev!CA249+Rev!CA461+Rev!CA624</f>
        <v>72400</v>
      </c>
      <c r="BS47" s="1081">
        <f>+Rev!CB249+Rev!CB461+Rev!CB624</f>
        <v>74000</v>
      </c>
      <c r="BT47" s="1081">
        <f>+Rev!CC249+Rev!CC461+Rev!CC624</f>
        <v>75100</v>
      </c>
      <c r="BU47" s="1081">
        <f>+Rev!CD249+Rev!CD461+Rev!CD624</f>
        <v>79300</v>
      </c>
      <c r="BV47" s="1081">
        <f>+Rev!CE249+Rev!CE461+Rev!CE624</f>
        <v>82000</v>
      </c>
      <c r="BW47" s="1081">
        <f>+Rev!CF249+Rev!CF461+Rev!CF624</f>
        <v>83400</v>
      </c>
      <c r="BX47" s="1081">
        <f>+Rev!CG249+Rev!CG461+Rev!CG624</f>
        <v>84700</v>
      </c>
      <c r="BY47" s="1081">
        <f>+Rev!CH249+Rev!CH461+Rev!CH624</f>
        <v>87100</v>
      </c>
      <c r="BZ47" s="1081">
        <f>+Rev!CI249+Rev!CI461+Rev!CI624</f>
        <v>89100</v>
      </c>
      <c r="CA47" s="1081">
        <f>+Rev!CJ249+Rev!CJ461+Rev!CJ624</f>
        <v>91100</v>
      </c>
      <c r="CB47" s="1081">
        <f>+Rev!CK249+Rev!CK461+Rev!CK624</f>
        <v>93000</v>
      </c>
      <c r="CC47" s="1081">
        <f>+Rev!CL249+Rev!CL461+Rev!CL624</f>
        <v>96700</v>
      </c>
      <c r="CD47" s="1081">
        <f>+Rev!CM249+Rev!CM461+Rev!CM624</f>
        <v>98600</v>
      </c>
    </row>
    <row r="48" spans="2:82">
      <c r="B48" s="247" t="s">
        <v>95</v>
      </c>
      <c r="BD48" s="1196"/>
      <c r="BE48" s="1196"/>
      <c r="BF48" s="1196"/>
      <c r="BG48" s="1196"/>
      <c r="BH48" s="1196"/>
      <c r="BI48" s="1196"/>
      <c r="BJ48" s="1196"/>
      <c r="BK48" s="1196"/>
      <c r="BL48" s="1196"/>
      <c r="BM48" s="1196">
        <f t="shared" ref="BM48:BV48" si="10">+BM47/BL47-1</f>
        <v>1.1475409836065653E-2</v>
      </c>
      <c r="BN48" s="1196">
        <f t="shared" si="10"/>
        <v>3.5656401944894611E-2</v>
      </c>
      <c r="BO48" s="1196">
        <f t="shared" si="10"/>
        <v>5.007824726134591E-2</v>
      </c>
      <c r="BP48" s="1196">
        <f t="shared" si="10"/>
        <v>3.5767511177347222E-2</v>
      </c>
      <c r="BQ48" s="1196">
        <f t="shared" si="10"/>
        <v>1.8705035971223083E-2</v>
      </c>
      <c r="BR48" s="1196">
        <f t="shared" si="10"/>
        <v>2.2598870056497189E-2</v>
      </c>
      <c r="BS48" s="1196">
        <f t="shared" si="10"/>
        <v>2.2099447513812098E-2</v>
      </c>
      <c r="BT48" s="1196">
        <f t="shared" si="10"/>
        <v>1.4864864864864824E-2</v>
      </c>
      <c r="BU48" s="1196">
        <f t="shared" si="10"/>
        <v>5.5925432756325E-2</v>
      </c>
      <c r="BV48" s="1196">
        <f t="shared" si="10"/>
        <v>3.4047919293821005E-2</v>
      </c>
      <c r="BW48" s="1196">
        <f t="shared" ref="BW48:CD48" si="11">+BW47/BV47-1</f>
        <v>1.7073170731707332E-2</v>
      </c>
      <c r="BX48" s="1196">
        <f t="shared" si="11"/>
        <v>1.5587529976019088E-2</v>
      </c>
      <c r="BY48" s="1196">
        <f t="shared" si="11"/>
        <v>2.8335301062573759E-2</v>
      </c>
      <c r="BZ48" s="1196">
        <f t="shared" si="11"/>
        <v>2.2962112514351318E-2</v>
      </c>
      <c r="CA48" s="1196">
        <f t="shared" si="11"/>
        <v>2.2446689113355678E-2</v>
      </c>
      <c r="CB48" s="1196">
        <f t="shared" si="11"/>
        <v>2.0856201975850697E-2</v>
      </c>
      <c r="CC48" s="1196">
        <f t="shared" si="11"/>
        <v>3.9784946236559149E-2</v>
      </c>
      <c r="CD48" s="1196">
        <f t="shared" si="11"/>
        <v>1.9648397104446769E-2</v>
      </c>
    </row>
    <row r="49" spans="2:82">
      <c r="B49" s="247" t="s">
        <v>1322</v>
      </c>
      <c r="BP49" s="1236">
        <f>+BP47/BL47-1</f>
        <v>0.13934426229508201</v>
      </c>
      <c r="BQ49" s="1236">
        <f t="shared" ref="BQ49:BV49" si="12">+BQ47/BM47-1</f>
        <v>0.14748784440842777</v>
      </c>
      <c r="BR49" s="1236">
        <f t="shared" si="12"/>
        <v>0.13302034428794984</v>
      </c>
      <c r="BS49" s="1236">
        <f t="shared" si="12"/>
        <v>0.10283159463487324</v>
      </c>
      <c r="BT49" s="1236">
        <f t="shared" si="12"/>
        <v>8.05755395683454E-2</v>
      </c>
      <c r="BU49" s="1236">
        <f t="shared" si="12"/>
        <v>0.12005649717514122</v>
      </c>
      <c r="BV49" s="1236">
        <f t="shared" si="12"/>
        <v>0.13259668508287303</v>
      </c>
      <c r="BW49" s="1236">
        <f t="shared" ref="BW49:CD49" si="13">+BW47/BS47-1</f>
        <v>0.12702702702702706</v>
      </c>
      <c r="BX49" s="1236">
        <f t="shared" si="13"/>
        <v>0.12782956058588546</v>
      </c>
      <c r="BY49" s="1236">
        <f t="shared" si="13"/>
        <v>9.8360655737705027E-2</v>
      </c>
      <c r="BZ49" s="1236">
        <f t="shared" si="13"/>
        <v>8.6585365853658613E-2</v>
      </c>
      <c r="CA49" s="1236">
        <f t="shared" si="13"/>
        <v>9.2326139088729109E-2</v>
      </c>
      <c r="CB49" s="1236">
        <f t="shared" si="13"/>
        <v>9.7992916174734379E-2</v>
      </c>
      <c r="CC49" s="1236">
        <f t="shared" si="13"/>
        <v>0.11021814006888642</v>
      </c>
      <c r="CD49" s="1236">
        <f t="shared" si="13"/>
        <v>0.10662177328844002</v>
      </c>
    </row>
    <row r="50" spans="2:82">
      <c r="B50" t="s">
        <v>659</v>
      </c>
      <c r="BL50" s="1081">
        <f>Rev!BU274</f>
        <v>2051</v>
      </c>
      <c r="BM50" s="1081">
        <f>Rev!BV274</f>
        <v>2059</v>
      </c>
      <c r="BN50" s="1081">
        <f>Rev!BW274</f>
        <v>2056</v>
      </c>
      <c r="BO50" s="1081">
        <f>Rev!BX274</f>
        <v>2080</v>
      </c>
      <c r="BP50" s="1081">
        <f>Rev!BY274</f>
        <v>2100</v>
      </c>
      <c r="BQ50" s="1081">
        <f>Rev!BZ274</f>
        <v>2141</v>
      </c>
      <c r="BR50" s="1081">
        <f>Rev!CA274</f>
        <v>2166</v>
      </c>
      <c r="BS50" s="1081">
        <f>Rev!CB274</f>
        <v>2207</v>
      </c>
      <c r="BT50" s="1081">
        <f>Rev!CC274</f>
        <v>2212</v>
      </c>
      <c r="BU50" s="1081">
        <f>Rev!CD274</f>
        <v>2232</v>
      </c>
      <c r="BV50" s="1081">
        <f>Rev!CE274</f>
        <v>2248</v>
      </c>
      <c r="BW50" s="1081">
        <f>Rev!CF274</f>
        <v>2223</v>
      </c>
      <c r="BX50" s="1081">
        <f>Rev!CG274</f>
        <v>2225</v>
      </c>
      <c r="BY50" s="1081">
        <f>Rev!CH274</f>
        <v>2262</v>
      </c>
      <c r="BZ50" s="1081">
        <f>Rev!CI274</f>
        <v>2262</v>
      </c>
      <c r="CA50" s="1081">
        <f>Rev!CJ274</f>
        <v>2354</v>
      </c>
      <c r="CB50" s="1081">
        <f>Rev!CK274</f>
        <v>2378</v>
      </c>
      <c r="CC50" s="1081">
        <f>Rev!CL274</f>
        <v>2403</v>
      </c>
      <c r="CD50" s="1081">
        <f>Rev!CM274</f>
        <v>2438</v>
      </c>
    </row>
    <row r="51" spans="2:82">
      <c r="B51" s="247" t="s">
        <v>95</v>
      </c>
      <c r="BM51" s="1196">
        <f>+BM50/BL50-1</f>
        <v>3.9005363237445412E-3</v>
      </c>
      <c r="BN51" s="1196">
        <f t="shared" ref="BN51:BV51" si="14">+BN50/BM50-1</f>
        <v>-1.4570179698882857E-3</v>
      </c>
      <c r="BO51" s="1196">
        <f t="shared" si="14"/>
        <v>1.1673151750972721E-2</v>
      </c>
      <c r="BP51" s="1196">
        <f t="shared" si="14"/>
        <v>9.6153846153845812E-3</v>
      </c>
      <c r="BQ51" s="1196">
        <f t="shared" si="14"/>
        <v>1.9523809523809499E-2</v>
      </c>
      <c r="BR51" s="1196">
        <f t="shared" si="14"/>
        <v>1.1676786548341811E-2</v>
      </c>
      <c r="BS51" s="1196">
        <f t="shared" si="14"/>
        <v>1.8928901200369275E-2</v>
      </c>
      <c r="BT51" s="1196">
        <f t="shared" si="14"/>
        <v>2.2655188038060992E-3</v>
      </c>
      <c r="BU51" s="1196">
        <f t="shared" si="14"/>
        <v>9.0415913200723175E-3</v>
      </c>
      <c r="BV51" s="1196">
        <f t="shared" si="14"/>
        <v>7.1684587813620748E-3</v>
      </c>
      <c r="BW51" s="1196">
        <f t="shared" ref="BW51:CD51" si="15">+BW50/BV50-1</f>
        <v>-1.1120996441281172E-2</v>
      </c>
      <c r="BX51" s="1196">
        <f t="shared" si="15"/>
        <v>8.9968511021143449E-4</v>
      </c>
      <c r="BY51" s="1196">
        <f t="shared" si="15"/>
        <v>1.6629213483146055E-2</v>
      </c>
      <c r="BZ51" s="1196">
        <f t="shared" si="15"/>
        <v>0</v>
      </c>
      <c r="CA51" s="1196">
        <f t="shared" si="15"/>
        <v>4.0671971706454535E-2</v>
      </c>
      <c r="CB51" s="1196">
        <f t="shared" si="15"/>
        <v>1.0195412064570863E-2</v>
      </c>
      <c r="CC51" s="1196">
        <f t="shared" si="15"/>
        <v>1.0513036164844447E-2</v>
      </c>
      <c r="CD51" s="1196">
        <f t="shared" si="15"/>
        <v>1.4565126924677596E-2</v>
      </c>
    </row>
    <row r="53" spans="2:82">
      <c r="BP53" s="1612"/>
      <c r="BQ53" s="1612"/>
      <c r="BR53" s="1612"/>
      <c r="BS53" s="1612"/>
      <c r="BT53" s="1612"/>
      <c r="BU53" s="1612"/>
      <c r="BV53" s="1612"/>
      <c r="BW53" s="1612"/>
      <c r="BX53" s="1612"/>
      <c r="BY53" s="1612"/>
      <c r="BZ53" s="1612"/>
      <c r="CA53" s="1612"/>
      <c r="CB53" s="1612"/>
      <c r="CC53" s="1612"/>
      <c r="CD53" s="1612"/>
    </row>
    <row r="59" spans="2:82">
      <c r="BS59" s="91" t="s">
        <v>468</v>
      </c>
      <c r="BT59" s="92" t="s">
        <v>736</v>
      </c>
      <c r="BU59" s="93" t="s">
        <v>737</v>
      </c>
      <c r="BV59" s="92" t="s">
        <v>736</v>
      </c>
      <c r="BW59" s="92" t="s">
        <v>736</v>
      </c>
      <c r="BX59" s="92" t="s">
        <v>736</v>
      </c>
      <c r="BY59" s="92" t="s">
        <v>736</v>
      </c>
      <c r="BZ59" s="92" t="s">
        <v>736</v>
      </c>
      <c r="CA59" s="92" t="s">
        <v>736</v>
      </c>
      <c r="CB59" s="92" t="s">
        <v>736</v>
      </c>
      <c r="CC59" s="92" t="s">
        <v>736</v>
      </c>
      <c r="CD59" s="92" t="s">
        <v>736</v>
      </c>
    </row>
    <row r="60" spans="2:82">
      <c r="BS60" s="91" t="s">
        <v>177</v>
      </c>
      <c r="BT60" s="94" t="s">
        <v>984</v>
      </c>
      <c r="BU60" s="95" t="s">
        <v>984</v>
      </c>
      <c r="BV60" s="94" t="s">
        <v>985</v>
      </c>
      <c r="BW60" s="94" t="s">
        <v>985</v>
      </c>
      <c r="BX60" s="94" t="s">
        <v>985</v>
      </c>
      <c r="BY60" s="94" t="s">
        <v>985</v>
      </c>
      <c r="BZ60" s="94" t="s">
        <v>985</v>
      </c>
      <c r="CA60" s="94" t="s">
        <v>985</v>
      </c>
      <c r="CB60" s="94" t="s">
        <v>985</v>
      </c>
      <c r="CC60" s="94" t="s">
        <v>985</v>
      </c>
      <c r="CD60" s="94" t="s">
        <v>985</v>
      </c>
    </row>
    <row r="61" spans="2:82">
      <c r="BS61" s="97" t="s">
        <v>171</v>
      </c>
      <c r="BT61" s="184">
        <f>IS!O15</f>
        <v>1196.2139999999999</v>
      </c>
      <c r="BU61" s="184">
        <v>1233.460695684</v>
      </c>
      <c r="BV61" s="184">
        <f>IS!P15</f>
        <v>1569.7840000000001</v>
      </c>
      <c r="BW61" s="184">
        <f>IS!Q15</f>
        <v>1887.376</v>
      </c>
      <c r="BX61" s="184">
        <f>IS!R15</f>
        <v>2152.7660000000001</v>
      </c>
      <c r="BY61" s="184">
        <f>IS!S15</f>
        <v>2443.7749999999996</v>
      </c>
      <c r="BZ61" s="184">
        <f>IS!T15</f>
        <v>2725.8670000000002</v>
      </c>
      <c r="CA61" s="184">
        <f>IS!U15</f>
        <v>3611.9889999999996</v>
      </c>
      <c r="CB61" s="184">
        <f>IS!V15</f>
        <v>4368.4279999999999</v>
      </c>
      <c r="CC61" s="184">
        <f ca="1">IS!W15</f>
        <v>5039.1585955911905</v>
      </c>
      <c r="CD61" s="184">
        <f ca="1">IS!X15</f>
        <v>5500.5877719846403</v>
      </c>
    </row>
    <row r="62" spans="2:82" ht="3.75" customHeight="1">
      <c r="BS62" s="98"/>
      <c r="BT62" s="98"/>
      <c r="BU62" s="98"/>
      <c r="BV62" s="98"/>
      <c r="BW62" s="98"/>
      <c r="BX62" s="98"/>
      <c r="BY62" s="98"/>
      <c r="BZ62" s="98"/>
      <c r="CA62" s="98"/>
      <c r="CB62" s="98"/>
      <c r="CC62" s="98"/>
      <c r="CD62" s="98"/>
    </row>
    <row r="63" spans="2:82" ht="12" customHeight="1">
      <c r="BS63" s="97" t="s">
        <v>172</v>
      </c>
      <c r="BT63" s="33"/>
      <c r="BU63" s="33"/>
      <c r="BV63" s="33"/>
      <c r="BW63" s="33"/>
      <c r="BX63" s="33"/>
      <c r="BY63" s="33"/>
      <c r="BZ63" s="33"/>
      <c r="CA63" s="33"/>
      <c r="CB63" s="33"/>
      <c r="CC63" s="33"/>
      <c r="CD63" s="33"/>
    </row>
    <row r="64" spans="2:82">
      <c r="BS64" s="99" t="s">
        <v>447</v>
      </c>
      <c r="BT64" s="184">
        <f>IS!O18</f>
        <v>418.72799999999995</v>
      </c>
      <c r="BU64" s="184">
        <v>438.39805379582924</v>
      </c>
      <c r="BV64" s="184">
        <f>IS!P18</f>
        <v>529.75299999999993</v>
      </c>
      <c r="BW64" s="184">
        <f>IS!Q18</f>
        <v>594.79200000000003</v>
      </c>
      <c r="BX64" s="184">
        <f>IS!R18</f>
        <v>678.82600000000002</v>
      </c>
      <c r="BY64" s="184">
        <f>IS!S18</f>
        <v>767.55199999999991</v>
      </c>
      <c r="BZ64" s="184">
        <f>IS!T18</f>
        <v>836.43899999999996</v>
      </c>
      <c r="CA64" s="184">
        <f>IS!U18</f>
        <v>1169.4940000000001</v>
      </c>
      <c r="CB64" s="184">
        <f>IS!V18</f>
        <v>1433.165</v>
      </c>
      <c r="CC64" s="184">
        <f ca="1">IS!W18</f>
        <v>1662.9223365450925</v>
      </c>
      <c r="CD64" s="184">
        <f ca="1">IS!X18</f>
        <v>1809.693376982947</v>
      </c>
    </row>
    <row r="65" spans="71:95">
      <c r="BS65" s="179" t="s">
        <v>989</v>
      </c>
      <c r="BT65" s="86">
        <f t="shared" ref="BT65:BZ65" si="16">(BT61-BT64)/BT61</f>
        <v>0.64995560994939039</v>
      </c>
      <c r="BU65" s="86">
        <f t="shared" si="16"/>
        <v>0.64457882174127878</v>
      </c>
      <c r="BV65" s="86">
        <f t="shared" si="16"/>
        <v>0.66253127818859159</v>
      </c>
      <c r="BW65" s="86">
        <f t="shared" si="16"/>
        <v>0.68485770720831451</v>
      </c>
      <c r="BX65" s="86">
        <f t="shared" si="16"/>
        <v>0.68467264904778313</v>
      </c>
      <c r="BY65" s="86">
        <f t="shared" si="16"/>
        <v>0.68591543820523571</v>
      </c>
      <c r="BZ65" s="86">
        <f t="shared" si="16"/>
        <v>0.69314753801267637</v>
      </c>
      <c r="CA65" s="86">
        <f>(CA61-CA64)/CA61</f>
        <v>0.67621883676832895</v>
      </c>
      <c r="CB65" s="86">
        <f>(CB61-CB64)/CB61</f>
        <v>0.67192660609262644</v>
      </c>
      <c r="CC65" s="86">
        <f ca="1">(CC61-CC64)/CC61</f>
        <v>0.67</v>
      </c>
      <c r="CD65" s="86">
        <f ca="1">(CD61-CD64)/CD61</f>
        <v>0.67099999999999993</v>
      </c>
    </row>
    <row r="66" spans="71:95">
      <c r="BS66" s="99" t="s">
        <v>1539</v>
      </c>
      <c r="BT66" s="184">
        <f>IS!O24</f>
        <v>244.465</v>
      </c>
      <c r="BU66" s="184">
        <v>254.35151269996499</v>
      </c>
      <c r="BV66" s="184">
        <f>IS!P24</f>
        <v>320.226</v>
      </c>
      <c r="BW66" s="184">
        <f>IS!Q24</f>
        <v>404.72699999999998</v>
      </c>
      <c r="BX66" s="184">
        <f>IS!R24</f>
        <v>473.04200000000003</v>
      </c>
      <c r="BY66" s="184">
        <f>IS!S24</f>
        <v>562.33199999999999</v>
      </c>
      <c r="BZ66" s="184">
        <f>IS!T24</f>
        <v>617.80100000000004</v>
      </c>
      <c r="CA66" s="184">
        <f>IS!U24</f>
        <v>785.02099999999996</v>
      </c>
      <c r="CB66" s="184">
        <f>IS!V24</f>
        <v>883.22199999999998</v>
      </c>
      <c r="CC66" s="184">
        <f ca="1">IS!W24</f>
        <v>980.034947156915</v>
      </c>
      <c r="CD66" s="184">
        <f ca="1">IS!X24</f>
        <v>1064.2748805304768</v>
      </c>
    </row>
    <row r="67" spans="71:95">
      <c r="BS67" s="98" t="s">
        <v>173</v>
      </c>
      <c r="BT67" s="183">
        <f t="shared" ref="BT67:BZ67" si="17">BT66/BT61</f>
        <v>0.20436560682285948</v>
      </c>
      <c r="BU67" s="183">
        <f t="shared" si="17"/>
        <v>0.20620966163734758</v>
      </c>
      <c r="BV67" s="183">
        <f t="shared" si="17"/>
        <v>0.20399367046676484</v>
      </c>
      <c r="BW67" s="183">
        <f t="shared" si="17"/>
        <v>0.21443898830969557</v>
      </c>
      <c r="BX67" s="183">
        <f t="shared" si="17"/>
        <v>0.21973684088284562</v>
      </c>
      <c r="BY67" s="183">
        <f t="shared" si="17"/>
        <v>0.23010792728463139</v>
      </c>
      <c r="BZ67" s="183">
        <f t="shared" si="17"/>
        <v>0.22664385313003166</v>
      </c>
      <c r="CA67" s="183">
        <f>CA66/CA61</f>
        <v>0.21733759432822194</v>
      </c>
      <c r="CB67" s="183">
        <f>CB66/CB61</f>
        <v>0.20218302785349787</v>
      </c>
      <c r="CC67" s="183">
        <f ca="1">CC66/CC61</f>
        <v>0.1944838465719966</v>
      </c>
      <c r="CD67" s="183">
        <f ca="1">CD66/CD61</f>
        <v>0.1934838465719966</v>
      </c>
    </row>
    <row r="68" spans="71:95" ht="3.75" customHeight="1">
      <c r="BS68" s="96"/>
      <c r="BT68" s="96"/>
      <c r="BU68" s="96"/>
      <c r="BV68" s="96"/>
      <c r="BW68" s="96"/>
      <c r="BX68" s="96"/>
      <c r="BY68" s="96"/>
      <c r="BZ68" s="96"/>
      <c r="CA68" s="96"/>
      <c r="CB68" s="96"/>
      <c r="CC68" s="96"/>
      <c r="CD68" s="96"/>
    </row>
    <row r="69" spans="71:95">
      <c r="BS69" s="180" t="s">
        <v>188</v>
      </c>
      <c r="BT69" s="185">
        <f>IS!O37</f>
        <v>533.02099999999996</v>
      </c>
      <c r="BU69" s="185">
        <f t="shared" ref="BU69:BZ69" si="18">BU61-BU64-BU66</f>
        <v>540.71112918820586</v>
      </c>
      <c r="BV69" s="185">
        <f t="shared" si="18"/>
        <v>719.80500000000018</v>
      </c>
      <c r="BW69" s="185">
        <f t="shared" si="18"/>
        <v>887.85699999999986</v>
      </c>
      <c r="BX69" s="185">
        <f t="shared" si="18"/>
        <v>1000.898</v>
      </c>
      <c r="BY69" s="185">
        <f t="shared" si="18"/>
        <v>1113.8909999999996</v>
      </c>
      <c r="BZ69" s="185">
        <f t="shared" si="18"/>
        <v>1271.6270000000004</v>
      </c>
      <c r="CA69" s="185">
        <f>CA61-CA64-CA66</f>
        <v>1657.4739999999995</v>
      </c>
      <c r="CB69" s="185">
        <f>CB61-CB64-CB66</f>
        <v>2052.0410000000002</v>
      </c>
      <c r="CC69" s="185">
        <f ca="1">CC61-CC64-CC66</f>
        <v>2396.2013118891828</v>
      </c>
      <c r="CD69" s="185">
        <f ca="1">CD61-CD64-CD66</f>
        <v>2626.6195144712165</v>
      </c>
    </row>
    <row r="70" spans="71:95">
      <c r="BS70" s="100" t="s">
        <v>995</v>
      </c>
      <c r="BT70" s="86">
        <f t="shared" ref="BT70:BZ70" si="19">BT69/BT61</f>
        <v>0.44559000312653085</v>
      </c>
      <c r="BU70" s="86">
        <f t="shared" si="19"/>
        <v>0.43836916010393129</v>
      </c>
      <c r="BV70" s="86">
        <f t="shared" si="19"/>
        <v>0.45853760772182678</v>
      </c>
      <c r="BW70" s="86">
        <f t="shared" si="19"/>
        <v>0.47041871889861897</v>
      </c>
      <c r="BX70" s="86">
        <f t="shared" si="19"/>
        <v>0.46493580816493757</v>
      </c>
      <c r="BY70" s="86">
        <f t="shared" si="19"/>
        <v>0.45580751092060429</v>
      </c>
      <c r="BZ70" s="86">
        <f t="shared" si="19"/>
        <v>0.46650368488264482</v>
      </c>
      <c r="CA70" s="86">
        <f>CA69/CA61</f>
        <v>0.45888124244010703</v>
      </c>
      <c r="CB70" s="86">
        <f>CB69/CB61</f>
        <v>0.46974357823912866</v>
      </c>
      <c r="CC70" s="86">
        <f ca="1">CC69/CC61</f>
        <v>0.47551615342800341</v>
      </c>
      <c r="CD70" s="86">
        <f ca="1">CD69/CD61</f>
        <v>0.4775161534280033</v>
      </c>
    </row>
    <row r="71" spans="71:95">
      <c r="BS71" s="101" t="s">
        <v>178</v>
      </c>
      <c r="BT71" s="186">
        <f>IS!O78</f>
        <v>0.82305288997991422</v>
      </c>
      <c r="BU71" s="187">
        <v>1.0058748054638613</v>
      </c>
      <c r="BV71" s="186">
        <f>IS!P78</f>
        <v>1.9103806424663135</v>
      </c>
      <c r="BW71" s="186">
        <f>IS!Q78</f>
        <v>2.739807832178538</v>
      </c>
      <c r="BX71" s="186">
        <f>IS!R78</f>
        <v>1.8314462772519642</v>
      </c>
      <c r="BY71" s="186">
        <f>IS!S78</f>
        <v>-4.8378678022554125</v>
      </c>
      <c r="BZ71" s="186">
        <f>IS!T78</f>
        <v>3.2183805602094551</v>
      </c>
      <c r="CA71" s="186">
        <f>IS!U78</f>
        <v>1.796269341238051</v>
      </c>
      <c r="CB71" s="186">
        <f>IS!V78</f>
        <v>3.0089176745597719</v>
      </c>
      <c r="CC71" s="186">
        <f ca="1">IS!W78</f>
        <v>5.9212995148727741</v>
      </c>
      <c r="CD71" s="186">
        <f ca="1">IS!X78</f>
        <v>8.5158016440649558</v>
      </c>
    </row>
    <row r="72" spans="71:95">
      <c r="BS72" s="102" t="s">
        <v>470</v>
      </c>
      <c r="BT72" s="33"/>
      <c r="BU72" s="33"/>
      <c r="BV72" s="33"/>
      <c r="BW72" s="33"/>
      <c r="BX72" s="33"/>
      <c r="BY72" s="33"/>
      <c r="BZ72" s="33"/>
      <c r="CA72" s="33"/>
      <c r="CB72" s="33"/>
      <c r="CC72" s="33"/>
      <c r="CD72" s="33"/>
    </row>
    <row r="73" spans="71:95">
      <c r="BS73" s="103" t="s">
        <v>994</v>
      </c>
      <c r="BT73" s="184">
        <f t="shared" ref="BT73:BZ73" si="20">BT69</f>
        <v>533.02099999999996</v>
      </c>
      <c r="BU73" s="184">
        <f t="shared" si="20"/>
        <v>540.71112918820586</v>
      </c>
      <c r="BV73" s="184">
        <f t="shared" si="20"/>
        <v>719.80500000000018</v>
      </c>
      <c r="BW73" s="184">
        <f t="shared" si="20"/>
        <v>887.85699999999986</v>
      </c>
      <c r="BX73" s="184">
        <f t="shared" si="20"/>
        <v>1000.898</v>
      </c>
      <c r="BY73" s="184">
        <f t="shared" si="20"/>
        <v>1113.8909999999996</v>
      </c>
      <c r="BZ73" s="184">
        <f t="shared" si="20"/>
        <v>1271.6270000000004</v>
      </c>
      <c r="CA73" s="184">
        <f>CA69</f>
        <v>1657.4739999999995</v>
      </c>
      <c r="CB73" s="184">
        <f>CB69</f>
        <v>2052.0410000000002</v>
      </c>
      <c r="CC73" s="184">
        <f ca="1">CC69</f>
        <v>2396.2013118891828</v>
      </c>
      <c r="CD73" s="184">
        <f ca="1">CD69</f>
        <v>2626.6195144712165</v>
      </c>
    </row>
    <row r="74" spans="71:95">
      <c r="BS74" s="104" t="s">
        <v>195</v>
      </c>
      <c r="BT74" s="184">
        <f>BS!O118</f>
        <v>0</v>
      </c>
      <c r="BU74" s="184">
        <v>579.03813291976508</v>
      </c>
      <c r="BV74" s="184">
        <f>BS!P118</f>
        <v>0</v>
      </c>
      <c r="BW74" s="184">
        <f>BS!Q118</f>
        <v>0</v>
      </c>
      <c r="BX74" s="184">
        <f>BS!R118</f>
        <v>0</v>
      </c>
      <c r="BY74" s="184">
        <f>BS!S118</f>
        <v>0</v>
      </c>
      <c r="BZ74" s="184">
        <f>BS!T118</f>
        <v>0</v>
      </c>
      <c r="CA74" s="184">
        <f>BS!U118</f>
        <v>0</v>
      </c>
      <c r="CB74" s="184">
        <f>BS!V118</f>
        <v>0</v>
      </c>
      <c r="CC74" s="184">
        <f>BS!W118</f>
        <v>0</v>
      </c>
      <c r="CD74" s="184">
        <f>BS!X118</f>
        <v>0</v>
      </c>
    </row>
    <row r="75" spans="71:95">
      <c r="BS75" s="104" t="s">
        <v>175</v>
      </c>
      <c r="BT75" s="184"/>
      <c r="BU75" s="184">
        <v>132.23354478486482</v>
      </c>
      <c r="BV75" s="184"/>
      <c r="BW75" s="184"/>
      <c r="BX75" s="184"/>
      <c r="BY75" s="184"/>
      <c r="BZ75" s="184"/>
      <c r="CA75" s="184"/>
      <c r="CB75" s="184"/>
      <c r="CC75" s="184"/>
      <c r="CD75" s="184"/>
      <c r="CF75" s="184"/>
      <c r="CG75" s="184"/>
    </row>
    <row r="76" spans="71:95">
      <c r="BS76" s="105" t="s">
        <v>176</v>
      </c>
      <c r="BT76" s="184"/>
      <c r="BU76" s="184">
        <f>BU73-BU74-BU75</f>
        <v>-170.56054851642403</v>
      </c>
      <c r="BV76" s="184"/>
      <c r="BW76" s="184"/>
      <c r="BX76" s="184"/>
      <c r="BY76" s="184"/>
      <c r="BZ76" s="184"/>
      <c r="CA76" s="184"/>
      <c r="CB76" s="184"/>
      <c r="CC76" s="184"/>
      <c r="CD76" s="184"/>
      <c r="CF76" s="184"/>
      <c r="CG76" s="184"/>
    </row>
    <row r="79" spans="71:95">
      <c r="CI79" s="188" t="s">
        <v>147</v>
      </c>
      <c r="CJ79" s="188" t="s">
        <v>197</v>
      </c>
      <c r="CK79" s="188" t="s">
        <v>250</v>
      </c>
      <c r="CL79" s="188" t="s">
        <v>251</v>
      </c>
      <c r="CM79" s="188" t="s">
        <v>249</v>
      </c>
      <c r="CN79" s="188" t="s">
        <v>252</v>
      </c>
      <c r="CO79" s="188" t="s">
        <v>1466</v>
      </c>
      <c r="CP79" s="188" t="s">
        <v>1378</v>
      </c>
      <c r="CQ79" s="188" t="s">
        <v>1791</v>
      </c>
    </row>
    <row r="80" spans="71:95">
      <c r="CH80" t="s">
        <v>148</v>
      </c>
      <c r="CI80">
        <f>Rev!BP232</f>
        <v>350</v>
      </c>
      <c r="CJ80">
        <f>Rev!BQ232</f>
        <v>900</v>
      </c>
      <c r="CK80">
        <f>Rev!BR232</f>
        <v>400</v>
      </c>
      <c r="CL80">
        <f>Rev!BS232</f>
        <v>400</v>
      </c>
      <c r="CM80">
        <f>Rev!BT232</f>
        <v>0</v>
      </c>
      <c r="CN80">
        <f>Rev!BU232</f>
        <v>600</v>
      </c>
      <c r="CO80" s="194">
        <f>Rev!BV232</f>
        <v>600</v>
      </c>
      <c r="CP80" s="194">
        <f>Rev!BW232</f>
        <v>1000</v>
      </c>
      <c r="CQ80" s="194">
        <f>Rev!BX232</f>
        <v>1700</v>
      </c>
    </row>
    <row r="81" spans="86:95">
      <c r="CH81" t="s">
        <v>641</v>
      </c>
      <c r="CO81" s="194">
        <f>Rev!BV241</f>
        <v>-100</v>
      </c>
      <c r="CP81" s="194">
        <f>Rev!BW241</f>
        <v>0</v>
      </c>
      <c r="CQ81" s="194">
        <f>Rev!BX241</f>
        <v>348</v>
      </c>
    </row>
    <row r="82" spans="86:95">
      <c r="CH82" t="s">
        <v>1225</v>
      </c>
      <c r="CI82">
        <f>Rev!BP625</f>
        <v>0</v>
      </c>
      <c r="CJ82">
        <f>Rev!BQ625</f>
        <v>1100</v>
      </c>
      <c r="CK82">
        <f>Rev!BR625</f>
        <v>200</v>
      </c>
      <c r="CL82">
        <f>Rev!BS625</f>
        <v>100</v>
      </c>
      <c r="CM82">
        <f>Rev!BT625</f>
        <v>200</v>
      </c>
      <c r="CN82">
        <f>Rev!BU625</f>
        <v>2300</v>
      </c>
      <c r="CO82" s="194">
        <f>Rev!BV625</f>
        <v>0</v>
      </c>
      <c r="CP82" s="194">
        <f>Rev!BW625</f>
        <v>1000</v>
      </c>
      <c r="CQ82" s="194">
        <f>Rev!BX625</f>
        <v>900</v>
      </c>
    </row>
    <row r="83" spans="86:95">
      <c r="CH83" t="s">
        <v>839</v>
      </c>
      <c r="CI83">
        <f>Rev!BP462</f>
        <v>300</v>
      </c>
      <c r="CJ83">
        <f>Rev!BQ462</f>
        <v>300</v>
      </c>
      <c r="CK83">
        <f>Rev!BR462</f>
        <v>100</v>
      </c>
      <c r="CL83">
        <f>Rev!BS462</f>
        <v>200</v>
      </c>
      <c r="CM83">
        <f>Rev!BT462</f>
        <v>600</v>
      </c>
      <c r="CN83">
        <f>Rev!BU462</f>
        <v>300</v>
      </c>
      <c r="CO83" s="194">
        <f>Rev!BV462</f>
        <v>100</v>
      </c>
      <c r="CP83" s="194">
        <f>Rev!BW462</f>
        <v>300</v>
      </c>
      <c r="CQ83" s="194">
        <f>Rev!BX462</f>
        <v>300</v>
      </c>
    </row>
    <row r="84" spans="86:95">
      <c r="CH84" s="41" t="s">
        <v>462</v>
      </c>
      <c r="CI84" s="41"/>
      <c r="CJ84" s="41">
        <f t="shared" ref="CJ84:CQ84" si="21">SUM(CJ80:CJ83)</f>
        <v>2300</v>
      </c>
      <c r="CK84" s="41">
        <f t="shared" si="21"/>
        <v>700</v>
      </c>
      <c r="CL84" s="41">
        <f t="shared" si="21"/>
        <v>700</v>
      </c>
      <c r="CM84" s="41">
        <f t="shared" si="21"/>
        <v>800</v>
      </c>
      <c r="CN84" s="41">
        <f t="shared" si="21"/>
        <v>3200</v>
      </c>
      <c r="CO84" s="41">
        <f t="shared" si="21"/>
        <v>600</v>
      </c>
      <c r="CP84" s="41">
        <f t="shared" si="21"/>
        <v>2300</v>
      </c>
      <c r="CQ84" s="41">
        <f t="shared" si="21"/>
        <v>3248</v>
      </c>
    </row>
    <row r="109" spans="96:117">
      <c r="DK109" t="s">
        <v>1520</v>
      </c>
      <c r="DL109" t="s">
        <v>1521</v>
      </c>
      <c r="DM109" t="s">
        <v>1522</v>
      </c>
    </row>
    <row r="110" spans="96:117">
      <c r="DK110" s="244">
        <v>400</v>
      </c>
      <c r="DL110" s="244">
        <v>450</v>
      </c>
      <c r="DM110" s="244">
        <v>640</v>
      </c>
    </row>
    <row r="112" spans="96:117">
      <c r="CR112" s="188" t="s">
        <v>1487</v>
      </c>
      <c r="CS112" s="188" t="s">
        <v>1488</v>
      </c>
      <c r="CT112" s="188" t="s">
        <v>1492</v>
      </c>
      <c r="CU112" s="188" t="s">
        <v>1493</v>
      </c>
      <c r="CV112" s="188" t="s">
        <v>147</v>
      </c>
      <c r="CW112" s="188" t="s">
        <v>197</v>
      </c>
      <c r="CX112" s="188" t="s">
        <v>250</v>
      </c>
      <c r="CY112" s="188" t="s">
        <v>251</v>
      </c>
      <c r="CZ112" s="188" t="s">
        <v>249</v>
      </c>
      <c r="DA112" s="188" t="s">
        <v>252</v>
      </c>
      <c r="DB112" s="188" t="s">
        <v>1466</v>
      </c>
      <c r="DC112" s="188" t="s">
        <v>1378</v>
      </c>
      <c r="DD112" s="188" t="s">
        <v>1791</v>
      </c>
      <c r="DE112" s="188" t="s">
        <v>1790</v>
      </c>
      <c r="DF112" s="188" t="s">
        <v>639</v>
      </c>
      <c r="DG112" s="188" t="s">
        <v>640</v>
      </c>
    </row>
    <row r="113" spans="95:111">
      <c r="CQ113" t="s">
        <v>994</v>
      </c>
      <c r="CR113" s="181">
        <f>IS!BZ37</f>
        <v>62.269000000000005</v>
      </c>
      <c r="CS113" s="181">
        <f>IS!CA37</f>
        <v>69.133999999999986</v>
      </c>
      <c r="CT113" s="181">
        <f>IS!CB37</f>
        <v>76.972999999999956</v>
      </c>
      <c r="CU113" s="181">
        <f>IS!CC37</f>
        <v>84.1</v>
      </c>
      <c r="CV113" s="181">
        <f>IS!CE37</f>
        <v>91.378000000000029</v>
      </c>
      <c r="CW113" s="181">
        <f>IS!CF37</f>
        <v>99.533999999999992</v>
      </c>
      <c r="CX113" s="181">
        <f>IS!CG37</f>
        <v>106.036</v>
      </c>
      <c r="CY113" s="181">
        <f>IS!CH37</f>
        <v>111.66</v>
      </c>
      <c r="CZ113" s="181">
        <f>IS!CJ37</f>
        <v>117.27200000000002</v>
      </c>
      <c r="DA113" s="181">
        <f>IS!CK37</f>
        <v>129.28399999999996</v>
      </c>
      <c r="DB113" s="181">
        <f>IS!CL37</f>
        <v>142.08600000000001</v>
      </c>
      <c r="DC113" s="181">
        <f>IS!CM37</f>
        <v>144.37900000000002</v>
      </c>
      <c r="DD113" s="181">
        <f>IS!CO37</f>
        <v>162.327</v>
      </c>
      <c r="DE113" s="181">
        <f>IS!CP37</f>
        <v>177.40600000000001</v>
      </c>
      <c r="DF113" s="181">
        <f>IS!CQ37</f>
        <v>186.82799999999997</v>
      </c>
      <c r="DG113" s="181">
        <f>IS!CR37</f>
        <v>193.244</v>
      </c>
    </row>
    <row r="114" spans="95:111">
      <c r="CQ114" t="s">
        <v>995</v>
      </c>
      <c r="CR114" s="182">
        <f>IS!BZ42</f>
        <v>0.39356457545917656</v>
      </c>
      <c r="CS114" s="182">
        <f>IS!CA42</f>
        <v>0.40183906442537953</v>
      </c>
      <c r="CT114" s="182">
        <f>IS!CB42</f>
        <v>0.41893487903774446</v>
      </c>
      <c r="CU114" s="182">
        <f>IS!CC42</f>
        <v>0.44104613415983596</v>
      </c>
      <c r="CV114" s="182">
        <f>IS!CE42</f>
        <v>0.45865352279514743</v>
      </c>
      <c r="CW114" s="182">
        <f>IS!CF42</f>
        <v>0.46692749380770099</v>
      </c>
      <c r="CX114" s="182">
        <f>IS!CG42</f>
        <v>0.465973510050185</v>
      </c>
      <c r="CY114" s="182">
        <f>IS!CH42</f>
        <v>0.46035489297140408</v>
      </c>
      <c r="CZ114" s="182">
        <f>IS!CJ42</f>
        <v>0.47163672486114966</v>
      </c>
      <c r="DA114" s="182">
        <f>IS!CK42</f>
        <v>0.44578076457586968</v>
      </c>
      <c r="DB114" s="182">
        <f>IS!CL42</f>
        <v>0.44209288287895859</v>
      </c>
      <c r="DC114" s="182">
        <f>IS!CM42</f>
        <v>0.42950254942675092</v>
      </c>
      <c r="DD114" s="182">
        <f>IS!CO42</f>
        <v>0.4586169193866913</v>
      </c>
      <c r="DE114" s="182">
        <f>IS!CP42</f>
        <v>0.46018401550150323</v>
      </c>
      <c r="DF114" s="182">
        <f>IS!CQ42</f>
        <v>0.4576784384431466</v>
      </c>
      <c r="DG114" s="182">
        <f>IS!CR42</f>
        <v>0.45779833031678496</v>
      </c>
    </row>
    <row r="137" spans="124:125">
      <c r="DT137">
        <f>2059/2069-1</f>
        <v>-4.8332527791203894E-3</v>
      </c>
      <c r="DU137">
        <f>2066/2059-1</f>
        <v>3.3997085964059259E-3</v>
      </c>
    </row>
    <row r="145" spans="108:109">
      <c r="DD145" t="s">
        <v>1782</v>
      </c>
    </row>
    <row r="146" spans="108:109">
      <c r="DD146">
        <f>Rev!BU8</f>
        <v>228.52190162018246</v>
      </c>
      <c r="DE146" t="s">
        <v>1050</v>
      </c>
    </row>
    <row r="147" spans="108:109">
      <c r="DD147">
        <f>Rev!BU9</f>
        <v>39.809335000054112</v>
      </c>
      <c r="DE147" t="s">
        <v>1124</v>
      </c>
    </row>
    <row r="148" spans="108:109">
      <c r="DD148">
        <f>Rev!BU10</f>
        <v>7.2709076160481398</v>
      </c>
      <c r="DE148" t="s">
        <v>1221</v>
      </c>
    </row>
    <row r="149" spans="108:109">
      <c r="DD149">
        <f>Rev!BU11</f>
        <v>0.54685576371527223</v>
      </c>
      <c r="DE149" t="s">
        <v>1222</v>
      </c>
    </row>
    <row r="161" spans="108:109">
      <c r="DD161" t="s">
        <v>1781</v>
      </c>
    </row>
    <row r="162" spans="108:109">
      <c r="DD162">
        <v>84.281000000000006</v>
      </c>
      <c r="DE162" t="s">
        <v>1050</v>
      </c>
    </row>
    <row r="163" spans="108:109">
      <c r="DD163">
        <v>73.897999999999996</v>
      </c>
      <c r="DE163" t="s">
        <v>1783</v>
      </c>
    </row>
    <row r="164" spans="108:109">
      <c r="DD164">
        <v>63.576999999999998</v>
      </c>
      <c r="DE164" t="s">
        <v>1784</v>
      </c>
    </row>
    <row r="182" spans="108:109">
      <c r="DD182" t="s">
        <v>1785</v>
      </c>
    </row>
    <row r="183" spans="108:109">
      <c r="DD183">
        <v>164.09399999999999</v>
      </c>
      <c r="DE183" t="s">
        <v>1783</v>
      </c>
    </row>
    <row r="184" spans="108:109">
      <c r="DD184">
        <v>23.22</v>
      </c>
      <c r="DE184" t="s">
        <v>1786</v>
      </c>
    </row>
    <row r="185" spans="108:109">
      <c r="DD185">
        <f>SUM(DD183:DD184)</f>
        <v>187.31399999999999</v>
      </c>
    </row>
    <row r="193" spans="1:256">
      <c r="DW193" s="194">
        <f>DW194+7.5</f>
        <v>183</v>
      </c>
    </row>
    <row r="194" spans="1:256">
      <c r="DU194">
        <f>335/290-1</f>
        <v>0.15517241379310343</v>
      </c>
      <c r="DW194" s="194">
        <f>DW195+7.5</f>
        <v>175.5</v>
      </c>
    </row>
    <row r="195" spans="1:256">
      <c r="DW195">
        <v>168</v>
      </c>
    </row>
    <row r="196" spans="1:256">
      <c r="DW196">
        <v>167</v>
      </c>
    </row>
    <row r="197" spans="1:256">
      <c r="DU197">
        <v>295.39999999999998</v>
      </c>
      <c r="DW197">
        <f>SUM(DW195:DW196)</f>
        <v>335</v>
      </c>
      <c r="DX197">
        <v>350</v>
      </c>
      <c r="DZ197">
        <f>DX197/2</f>
        <v>175</v>
      </c>
      <c r="EA197">
        <f>DZ197-2.5</f>
        <v>172.5</v>
      </c>
      <c r="EE197">
        <f>DZ197+2.5</f>
        <v>177.5</v>
      </c>
      <c r="EF197">
        <f>DW197/DU197-1</f>
        <v>0.13405551794177395</v>
      </c>
      <c r="EH197">
        <f>167+168</f>
        <v>335</v>
      </c>
      <c r="EI197">
        <f>EH197/DU197-1</f>
        <v>0.13405551794177395</v>
      </c>
      <c r="EJ197">
        <f>350/DU197-1</f>
        <v>0.18483412322274884</v>
      </c>
    </row>
    <row r="198" spans="1:256">
      <c r="DW198">
        <f>DW197*2</f>
        <v>670</v>
      </c>
    </row>
    <row r="199" spans="1:256">
      <c r="DW199">
        <f>DW200/685-1</f>
        <v>-2.3065693430656897E-2</v>
      </c>
    </row>
    <row r="200" spans="1:256">
      <c r="DW200">
        <f>167.3*4</f>
        <v>669.2</v>
      </c>
      <c r="EE200">
        <f>640/450-1</f>
        <v>0.42222222222222228</v>
      </c>
    </row>
    <row r="204" spans="1:256">
      <c r="DQ204" s="8"/>
      <c r="DR204" s="8"/>
      <c r="DS204" s="8"/>
      <c r="DT204" s="8"/>
      <c r="DU204" s="8"/>
      <c r="DV204" s="8"/>
      <c r="DW204" s="8"/>
      <c r="DX204" s="8"/>
      <c r="DY204" s="8"/>
      <c r="DZ204" s="8"/>
      <c r="EA204" s="8"/>
      <c r="EB204" s="8"/>
      <c r="EC204" s="8"/>
      <c r="ED204" s="8"/>
      <c r="EE204" s="8"/>
      <c r="EF204" s="8"/>
      <c r="EG204" s="8"/>
      <c r="EH204" s="8"/>
    </row>
    <row r="205" spans="1:256">
      <c r="DQ205" s="8"/>
      <c r="DR205" s="11" t="s">
        <v>1467</v>
      </c>
      <c r="DS205" s="12"/>
      <c r="DT205" s="12"/>
      <c r="DU205" s="12"/>
      <c r="DV205" s="8"/>
      <c r="DW205" s="12"/>
      <c r="DX205" s="12"/>
      <c r="DY205" s="12"/>
      <c r="DZ205" s="12"/>
      <c r="EA205" s="12"/>
      <c r="EB205" s="12"/>
      <c r="EC205" s="12"/>
      <c r="ED205" s="12"/>
      <c r="EE205" s="12"/>
      <c r="EF205" s="12"/>
      <c r="EG205" s="12"/>
      <c r="EH205" s="8"/>
    </row>
    <row r="206" spans="1:256" ht="3.75" customHeight="1" thickBot="1">
      <c r="DQ206" s="8"/>
      <c r="DR206" s="12"/>
      <c r="DS206" s="12"/>
      <c r="DT206" s="12"/>
      <c r="DU206" s="12"/>
      <c r="DV206" s="12"/>
      <c r="DW206" s="12"/>
      <c r="DX206" s="12"/>
      <c r="DY206" s="12"/>
      <c r="DZ206" s="12"/>
      <c r="EA206" s="12"/>
      <c r="EB206" s="12"/>
      <c r="EC206" s="12"/>
      <c r="ED206" s="12"/>
      <c r="EE206" s="12"/>
      <c r="EF206" s="12"/>
      <c r="EG206" s="12"/>
      <c r="EH206" s="8"/>
    </row>
    <row r="207" spans="1:256" s="220" customFormat="1" ht="12" customHeight="1">
      <c r="A207" s="77"/>
      <c r="DQ207" s="590"/>
      <c r="DR207" s="591" t="s">
        <v>468</v>
      </c>
      <c r="DS207" s="591"/>
      <c r="DT207" s="216" t="s">
        <v>439</v>
      </c>
      <c r="DU207" s="217" t="s">
        <v>440</v>
      </c>
      <c r="DV207" s="217" t="s">
        <v>440</v>
      </c>
      <c r="DW207" s="217" t="s">
        <v>469</v>
      </c>
      <c r="DX207" s="217" t="s">
        <v>1468</v>
      </c>
      <c r="DY207" s="594"/>
      <c r="DZ207" s="217" t="s">
        <v>439</v>
      </c>
      <c r="EA207" s="217" t="s">
        <v>439</v>
      </c>
      <c r="EB207" s="217"/>
      <c r="EC207" s="217"/>
      <c r="ED207" s="217"/>
      <c r="EE207" s="217"/>
      <c r="EF207" s="217"/>
      <c r="EG207" s="595"/>
      <c r="EH207" s="595"/>
      <c r="EI207" s="568" t="s">
        <v>1453</v>
      </c>
      <c r="EJ207" s="219"/>
      <c r="EK207" s="218" t="s">
        <v>1454</v>
      </c>
      <c r="EL207" s="33"/>
      <c r="EM207" s="33"/>
      <c r="EN207" s="33"/>
      <c r="EO207" s="33"/>
      <c r="EP207" s="33"/>
      <c r="EQ207" s="33"/>
      <c r="ER207" s="33"/>
      <c r="ES207" s="33"/>
      <c r="ET207" s="33"/>
      <c r="EU207" s="33"/>
      <c r="EV207" s="33"/>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c r="IU207"/>
      <c r="IV207"/>
    </row>
    <row r="208" spans="1:256" s="220" customFormat="1" ht="11.25" customHeight="1">
      <c r="A208" s="221"/>
      <c r="DQ208" s="590"/>
      <c r="DR208" s="596" t="s">
        <v>177</v>
      </c>
      <c r="DS208" s="591"/>
      <c r="DT208" s="222" t="s">
        <v>1791</v>
      </c>
      <c r="DU208" s="223" t="s">
        <v>1791</v>
      </c>
      <c r="DV208" s="223" t="s">
        <v>441</v>
      </c>
      <c r="DW208" s="223" t="s">
        <v>1791</v>
      </c>
      <c r="DX208" s="223" t="s">
        <v>442</v>
      </c>
      <c r="DY208" s="594"/>
      <c r="DZ208" s="223" t="s">
        <v>1378</v>
      </c>
      <c r="EA208" s="223" t="s">
        <v>249</v>
      </c>
      <c r="EB208" s="223" t="s">
        <v>443</v>
      </c>
      <c r="EC208" s="223" t="s">
        <v>443</v>
      </c>
      <c r="ED208" s="223"/>
      <c r="EE208" s="223" t="s">
        <v>1514</v>
      </c>
      <c r="EF208" s="223" t="s">
        <v>1517</v>
      </c>
      <c r="EG208" s="595"/>
      <c r="EH208" s="595"/>
      <c r="EI208" s="569" t="s">
        <v>1455</v>
      </c>
      <c r="EJ208" s="219"/>
      <c r="EK208" s="224" t="s">
        <v>1456</v>
      </c>
      <c r="EL208" s="33"/>
      <c r="EM208" s="33"/>
      <c r="EN208" s="33"/>
      <c r="EO208" s="33"/>
      <c r="EP208" s="33"/>
      <c r="EQ208" s="33"/>
      <c r="ER208" s="33"/>
      <c r="ES208" s="33"/>
      <c r="ET208" s="33"/>
      <c r="EU208" s="33"/>
      <c r="EV208" s="33"/>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c r="IU208"/>
      <c r="IV208"/>
    </row>
    <row r="209" spans="1:256" s="220" customFormat="1" ht="2.25" customHeight="1">
      <c r="A209" s="221"/>
      <c r="DQ209" s="590"/>
      <c r="DR209" s="599"/>
      <c r="DS209" s="599"/>
      <c r="DT209" s="600"/>
      <c r="DU209" s="599"/>
      <c r="DV209" s="599"/>
      <c r="DW209" s="601"/>
      <c r="DX209" s="601"/>
      <c r="DY209" s="594"/>
      <c r="DZ209" s="599"/>
      <c r="EA209" s="599"/>
      <c r="EB209" s="599"/>
      <c r="EC209" s="599"/>
      <c r="ED209" s="599"/>
      <c r="EE209" s="602"/>
      <c r="EF209" s="602"/>
      <c r="EG209" s="12"/>
      <c r="EH209" s="12"/>
      <c r="EI209" s="225"/>
      <c r="EJ209" s="33"/>
      <c r="EK209" s="33"/>
      <c r="EL209" s="33"/>
      <c r="EM209" s="33"/>
      <c r="EN209" s="33"/>
      <c r="EO209" s="33"/>
      <c r="EP209" s="33"/>
      <c r="EQ209" s="33"/>
      <c r="ER209" s="33"/>
      <c r="ES209" s="33"/>
      <c r="ET209" s="33"/>
      <c r="EU209" s="33"/>
      <c r="EV209" s="33"/>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c r="IU209"/>
      <c r="IV209"/>
    </row>
    <row r="210" spans="1:256" s="220" customFormat="1" ht="11.25" customHeight="1" outlineLevel="1">
      <c r="A210" s="221"/>
      <c r="DQ210" s="590"/>
      <c r="DR210" s="238" t="s">
        <v>445</v>
      </c>
      <c r="DS210" s="238"/>
      <c r="DT210" s="600"/>
      <c r="DU210" s="599"/>
      <c r="DV210" s="599"/>
      <c r="DW210" s="599"/>
      <c r="DX210" s="599"/>
      <c r="DY210" s="594"/>
      <c r="DZ210" s="599"/>
      <c r="EA210" s="599"/>
      <c r="EB210" s="599"/>
      <c r="EC210" s="599"/>
      <c r="ED210" s="599"/>
      <c r="EE210" s="602"/>
      <c r="EF210" s="602"/>
      <c r="EG210" s="12"/>
      <c r="EH210" s="12"/>
      <c r="EI210" s="33"/>
      <c r="EJ210" s="33"/>
      <c r="EK210" s="33"/>
      <c r="EL210" s="33"/>
      <c r="EM210" s="33"/>
      <c r="EN210" s="33"/>
      <c r="EO210" s="33"/>
      <c r="EP210" s="33"/>
      <c r="EQ210" s="33"/>
      <c r="ER210" s="33"/>
      <c r="ES210" s="33"/>
      <c r="ET210" s="33"/>
      <c r="EU210" s="33"/>
      <c r="EV210" s="33"/>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c r="HB210"/>
      <c r="HC210"/>
      <c r="HD210"/>
      <c r="HE210"/>
      <c r="HF210"/>
      <c r="HG210"/>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c r="IU210"/>
      <c r="IV210"/>
    </row>
    <row r="211" spans="1:256" s="220" customFormat="1" ht="11.25" customHeight="1" outlineLevel="1">
      <c r="A211" s="78"/>
      <c r="DO211" s="267">
        <f>675/1500</f>
        <v>0.45</v>
      </c>
      <c r="DQ211" s="590"/>
      <c r="DR211" s="603" t="s">
        <v>1050</v>
      </c>
      <c r="DS211" s="604"/>
      <c r="DT211" s="589">
        <v>280.73500000000001</v>
      </c>
      <c r="DU211" s="623"/>
      <c r="DV211" s="614">
        <f t="shared" ref="DV211:DV217" si="22">(DT211-DU211)</f>
        <v>280.73500000000001</v>
      </c>
      <c r="DW211" s="602"/>
      <c r="DX211" s="602"/>
      <c r="DY211" s="607"/>
      <c r="DZ211" s="623">
        <f>IS!CM9</f>
        <v>258.48041055189532</v>
      </c>
      <c r="EA211" s="623">
        <f>IS!CJ9</f>
        <v>200.35900000000001</v>
      </c>
      <c r="EB211" s="608">
        <f t="shared" ref="EB211:EB216" si="23">$DU211/DZ211-1</f>
        <v>-1</v>
      </c>
      <c r="EC211" s="608">
        <f t="shared" ref="EC211:EC216" si="24">$DU211/EA211-1</f>
        <v>-1</v>
      </c>
      <c r="ED211" s="609"/>
      <c r="EE211" s="608">
        <f>DT211/DZ211-1</f>
        <v>8.6097779714090272E-2</v>
      </c>
      <c r="EF211" s="608">
        <f>DT211/EA211-1</f>
        <v>0.40115991794728467</v>
      </c>
      <c r="EG211" s="12"/>
      <c r="EH211" s="12"/>
      <c r="EI211" s="227"/>
      <c r="EJ211" s="33"/>
      <c r="EK211" s="228"/>
      <c r="EL211" s="33"/>
      <c r="EM211" s="33"/>
      <c r="EN211" s="33"/>
      <c r="EO211" s="33"/>
      <c r="EP211" s="33"/>
      <c r="EQ211" s="33"/>
      <c r="ER211" s="33"/>
      <c r="ES211" s="33"/>
      <c r="ET211" s="33"/>
      <c r="EU211" s="33"/>
      <c r="EV211" s="33"/>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c r="IU211"/>
      <c r="IV211"/>
    </row>
    <row r="212" spans="1:256" s="220" customFormat="1" ht="11.25" customHeight="1" outlineLevel="1">
      <c r="A212" s="78"/>
      <c r="DQ212" s="590"/>
      <c r="DR212" s="611" t="s">
        <v>1124</v>
      </c>
      <c r="DS212" s="611"/>
      <c r="DT212" s="589">
        <v>54.075000000000003</v>
      </c>
      <c r="DU212" s="623"/>
      <c r="DV212" s="614">
        <f t="shared" si="22"/>
        <v>54.075000000000003</v>
      </c>
      <c r="DW212" s="613"/>
      <c r="DX212" s="614"/>
      <c r="DY212" s="615"/>
      <c r="DZ212" s="623">
        <f>IS!CM10</f>
        <v>50.134182296400596</v>
      </c>
      <c r="EA212" s="623">
        <f>IS!CJ10</f>
        <v>29.231999999999999</v>
      </c>
      <c r="EB212" s="608">
        <f t="shared" si="23"/>
        <v>-1</v>
      </c>
      <c r="EC212" s="608">
        <f t="shared" si="24"/>
        <v>-1</v>
      </c>
      <c r="ED212" s="608"/>
      <c r="EE212" s="608">
        <f t="shared" ref="EE212:EE217" si="25">DT212/DZ212-1</f>
        <v>7.8605404996948458E-2</v>
      </c>
      <c r="EF212" s="608">
        <f t="shared" ref="EF212:EF217" si="26">DT212/EA212-1</f>
        <v>0.84985632183908066</v>
      </c>
      <c r="EG212" s="12"/>
      <c r="EH212" s="12"/>
      <c r="EI212" s="227"/>
      <c r="EJ212" s="33"/>
      <c r="EK212" s="33"/>
      <c r="EL212" s="33"/>
      <c r="EM212" s="33"/>
      <c r="EN212" s="33"/>
      <c r="EO212" s="33"/>
      <c r="EP212" s="33"/>
      <c r="EQ212" s="33"/>
      <c r="ER212" s="33"/>
      <c r="ES212" s="33"/>
      <c r="ET212" s="33"/>
      <c r="EU212" s="33"/>
      <c r="EV212" s="33"/>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c r="IU212"/>
      <c r="IV212"/>
    </row>
    <row r="213" spans="1:256" s="220" customFormat="1" ht="11.25" customHeight="1" outlineLevel="1">
      <c r="A213" s="78"/>
      <c r="DQ213" s="590"/>
      <c r="DR213" s="611" t="s">
        <v>1457</v>
      </c>
      <c r="DS213" s="611"/>
      <c r="DT213" s="589">
        <v>8.4770000000000003</v>
      </c>
      <c r="DU213" s="623"/>
      <c r="DV213" s="614">
        <f t="shared" si="22"/>
        <v>8.4770000000000003</v>
      </c>
      <c r="DW213" s="613"/>
      <c r="DX213" s="614"/>
      <c r="DY213" s="615"/>
      <c r="DZ213" s="623">
        <f>IS!CM11</f>
        <v>8.0693308734535485</v>
      </c>
      <c r="EA213" s="623">
        <f>IS!CJ11</f>
        <v>7.3</v>
      </c>
      <c r="EB213" s="608">
        <f t="shared" si="23"/>
        <v>-1</v>
      </c>
      <c r="EC213" s="608">
        <f t="shared" si="24"/>
        <v>-1</v>
      </c>
      <c r="ED213" s="608"/>
      <c r="EE213" s="608">
        <f t="shared" si="25"/>
        <v>5.0520809338429729E-2</v>
      </c>
      <c r="EF213" s="608">
        <f t="shared" si="26"/>
        <v>0.16123287671232878</v>
      </c>
      <c r="EG213" s="12"/>
      <c r="EH213" s="12"/>
      <c r="EI213" s="227"/>
      <c r="EJ213" s="33"/>
      <c r="EK213" s="33"/>
      <c r="EL213" s="33"/>
      <c r="EM213" s="33"/>
      <c r="EN213" s="33"/>
      <c r="EO213" s="33"/>
      <c r="EP213" s="33"/>
      <c r="EQ213" s="33"/>
      <c r="ER213" s="33"/>
      <c r="ES213" s="33"/>
      <c r="ET213" s="33"/>
      <c r="EU213" s="33"/>
      <c r="EV213" s="3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c r="IU213"/>
      <c r="IV213"/>
    </row>
    <row r="214" spans="1:256" s="220" customFormat="1" ht="11.25" customHeight="1" outlineLevel="1">
      <c r="A214" s="78"/>
      <c r="DQ214" s="590"/>
      <c r="DR214" s="611" t="s">
        <v>1222</v>
      </c>
      <c r="DS214" s="611"/>
      <c r="DT214" s="589">
        <v>0.622</v>
      </c>
      <c r="DU214" s="623"/>
      <c r="DV214" s="614">
        <f t="shared" si="22"/>
        <v>0.622</v>
      </c>
      <c r="DW214" s="613"/>
      <c r="DX214" s="614"/>
      <c r="DY214" s="615"/>
      <c r="DZ214" s="623">
        <f>IS!CM12</f>
        <v>0.7490762782505499</v>
      </c>
      <c r="EA214" s="623">
        <f>IS!CJ12</f>
        <v>0.34499999999999997</v>
      </c>
      <c r="EB214" s="608">
        <f t="shared" si="23"/>
        <v>-1</v>
      </c>
      <c r="EC214" s="608">
        <f t="shared" si="24"/>
        <v>-1</v>
      </c>
      <c r="ED214" s="608"/>
      <c r="EE214" s="608">
        <f t="shared" si="25"/>
        <v>-0.16964397610792536</v>
      </c>
      <c r="EF214" s="608">
        <f t="shared" si="26"/>
        <v>0.80289855072463778</v>
      </c>
      <c r="EG214" s="12"/>
      <c r="EH214" s="12"/>
      <c r="EI214" s="227"/>
      <c r="EJ214" s="33"/>
      <c r="EK214" s="33"/>
      <c r="EL214" s="33"/>
      <c r="EM214" s="33"/>
      <c r="EN214" s="33"/>
      <c r="EO214" s="33"/>
      <c r="EP214" s="33"/>
      <c r="EQ214" s="33"/>
      <c r="ER214" s="33"/>
      <c r="ES214" s="33"/>
      <c r="ET214" s="33"/>
      <c r="EU214" s="33"/>
      <c r="EV214" s="33"/>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row>
    <row r="215" spans="1:256" s="220" customFormat="1" ht="11.25" customHeight="1" outlineLevel="1">
      <c r="A215" s="78"/>
      <c r="DQ215" s="590"/>
      <c r="DR215" s="238" t="s">
        <v>1469</v>
      </c>
      <c r="DS215" s="611"/>
      <c r="DT215" s="588">
        <f>SUM(DT211:DT214)</f>
        <v>343.90899999999999</v>
      </c>
      <c r="DU215" s="694"/>
      <c r="DV215" s="690">
        <f t="shared" si="22"/>
        <v>343.90899999999999</v>
      </c>
      <c r="DW215" s="688"/>
      <c r="DX215" s="690"/>
      <c r="DY215" s="607"/>
      <c r="DZ215" s="694">
        <f>SUM(DZ211:DZ214)</f>
        <v>317.43299999999999</v>
      </c>
      <c r="EA215" s="694">
        <f>SUM(EA211:EA214)</f>
        <v>237.23600000000002</v>
      </c>
      <c r="EB215" s="609">
        <f t="shared" si="23"/>
        <v>-1</v>
      </c>
      <c r="EC215" s="609">
        <f t="shared" si="24"/>
        <v>-1</v>
      </c>
      <c r="ED215" s="609"/>
      <c r="EE215" s="609">
        <f t="shared" si="25"/>
        <v>8.3406577135962445E-2</v>
      </c>
      <c r="EF215" s="609">
        <f t="shared" si="26"/>
        <v>0.44964929437353507</v>
      </c>
      <c r="EG215" s="12"/>
      <c r="EH215" s="12"/>
      <c r="EI215" s="227"/>
      <c r="EJ215" s="33"/>
      <c r="EK215" s="33"/>
      <c r="EL215" s="33"/>
      <c r="EM215" s="33"/>
      <c r="EN215" s="33"/>
      <c r="EO215" s="33"/>
      <c r="EP215" s="33"/>
      <c r="EQ215" s="33"/>
      <c r="ER215" s="33"/>
      <c r="ES215" s="33"/>
      <c r="ET215" s="33"/>
      <c r="EU215" s="33"/>
      <c r="EV215" s="33"/>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c r="HB215"/>
      <c r="HC215"/>
      <c r="HD215"/>
      <c r="HE215"/>
      <c r="HF215"/>
      <c r="HG215"/>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c r="IU215"/>
      <c r="IV215"/>
    </row>
    <row r="216" spans="1:256" s="220" customFormat="1" ht="11.25" customHeight="1" outlineLevel="1">
      <c r="A216" s="78"/>
      <c r="DQ216" s="590"/>
      <c r="DR216" s="611" t="s">
        <v>1458</v>
      </c>
      <c r="DS216" s="611"/>
      <c r="DT216" s="589">
        <v>19.12</v>
      </c>
      <c r="DU216" s="623"/>
      <c r="DV216" s="614">
        <f t="shared" si="22"/>
        <v>19.12</v>
      </c>
      <c r="DW216" s="613"/>
      <c r="DX216" s="614"/>
      <c r="DY216" s="615"/>
      <c r="DZ216" s="623">
        <f>IS!CM14</f>
        <v>18.721</v>
      </c>
      <c r="EA216" s="623">
        <f>IS!CJ14</f>
        <v>11.413</v>
      </c>
      <c r="EB216" s="608">
        <f t="shared" si="23"/>
        <v>-1</v>
      </c>
      <c r="EC216" s="608">
        <f t="shared" si="24"/>
        <v>-1</v>
      </c>
      <c r="ED216" s="608"/>
      <c r="EE216" s="608">
        <f t="shared" si="25"/>
        <v>2.1312964051065642E-2</v>
      </c>
      <c r="EF216" s="608">
        <f t="shared" si="26"/>
        <v>0.6752825725050382</v>
      </c>
      <c r="EG216" s="12"/>
      <c r="EH216" s="12"/>
      <c r="EI216" s="227"/>
      <c r="EJ216" s="33"/>
      <c r="EK216" s="33"/>
      <c r="EL216" s="33"/>
      <c r="EM216" s="33"/>
      <c r="EN216" s="33"/>
      <c r="EO216" s="33"/>
      <c r="EP216" s="33"/>
      <c r="EQ216" s="33"/>
      <c r="ER216" s="33"/>
      <c r="ES216" s="33"/>
      <c r="ET216" s="33"/>
      <c r="EU216" s="33"/>
      <c r="EV216" s="33"/>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c r="HB216"/>
      <c r="HC216"/>
      <c r="HD216"/>
      <c r="HE216"/>
      <c r="HF216"/>
      <c r="HG216"/>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c r="IU216"/>
      <c r="IV216"/>
    </row>
    <row r="217" spans="1:256" s="220" customFormat="1" ht="11.25" customHeight="1">
      <c r="A217" s="78"/>
      <c r="DQ217" s="590"/>
      <c r="DR217" s="617" t="s">
        <v>446</v>
      </c>
      <c r="DS217" s="618"/>
      <c r="DT217" s="588">
        <f>DT216+DT215</f>
        <v>363.029</v>
      </c>
      <c r="DU217" s="694"/>
      <c r="DV217" s="690">
        <f t="shared" si="22"/>
        <v>363.029</v>
      </c>
      <c r="DW217" s="619">
        <v>355</v>
      </c>
      <c r="DX217" s="690">
        <f>DU217-DW217</f>
        <v>-355</v>
      </c>
      <c r="DY217" s="615"/>
      <c r="DZ217" s="694">
        <f>DZ216+DZ215</f>
        <v>336.154</v>
      </c>
      <c r="EA217" s="694">
        <f>EA216+EA215</f>
        <v>248.64900000000003</v>
      </c>
      <c r="EB217" s="608">
        <f>$DU217/DZ217-1</f>
        <v>-1</v>
      </c>
      <c r="EC217" s="608">
        <f>$DU217/EA217-1</f>
        <v>-1</v>
      </c>
      <c r="ED217" s="608"/>
      <c r="EE217" s="609">
        <f t="shared" si="25"/>
        <v>7.9948475996120871E-2</v>
      </c>
      <c r="EF217" s="609">
        <f t="shared" si="26"/>
        <v>0.46000587173083329</v>
      </c>
      <c r="EG217" s="12"/>
      <c r="EH217" s="12"/>
      <c r="EI217" s="227"/>
      <c r="EJ217" s="33"/>
      <c r="EK217" s="228"/>
      <c r="EL217" s="33"/>
      <c r="EM217" s="33"/>
      <c r="EN217" s="33"/>
      <c r="EO217" s="33"/>
      <c r="EP217" s="33"/>
      <c r="EQ217" s="33"/>
      <c r="ER217" s="33"/>
      <c r="ES217" s="33"/>
      <c r="ET217" s="33"/>
      <c r="EU217" s="33"/>
      <c r="EV217" s="33"/>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c r="IU217"/>
      <c r="IV217"/>
    </row>
    <row r="218" spans="1:256" s="220" customFormat="1" ht="2.25" customHeight="1">
      <c r="A218" s="78"/>
      <c r="DQ218" s="590"/>
      <c r="DR218" s="620"/>
      <c r="DS218" s="620"/>
      <c r="DT218" s="231"/>
      <c r="DU218" s="621"/>
      <c r="DV218" s="621"/>
      <c r="DW218" s="621"/>
      <c r="DX218" s="621"/>
      <c r="DY218" s="594"/>
      <c r="DZ218" s="621"/>
      <c r="EA218" s="621"/>
      <c r="EB218" s="621"/>
      <c r="EC218" s="621"/>
      <c r="ED218" s="621"/>
      <c r="EE218" s="622"/>
      <c r="EF218" s="622"/>
      <c r="EG218" s="12"/>
      <c r="EH218" s="12"/>
      <c r="EI218" s="232"/>
      <c r="EJ218" s="33"/>
      <c r="EK218" s="233"/>
      <c r="EL218" s="33"/>
      <c r="EM218" s="33"/>
      <c r="EN218" s="33"/>
      <c r="EO218" s="33"/>
      <c r="EP218" s="33"/>
      <c r="EQ218" s="33"/>
      <c r="ER218" s="33"/>
      <c r="ES218" s="33"/>
      <c r="ET218" s="33"/>
      <c r="EU218" s="33"/>
      <c r="EV218" s="33"/>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c r="IU218"/>
      <c r="IV218"/>
    </row>
    <row r="219" spans="1:256" s="220" customFormat="1" ht="11.25" customHeight="1">
      <c r="A219" s="78"/>
      <c r="DQ219" s="590"/>
      <c r="DR219" s="618" t="s">
        <v>172</v>
      </c>
      <c r="DS219" s="618"/>
      <c r="DT219" s="230"/>
      <c r="DU219" s="623"/>
      <c r="DV219" s="623"/>
      <c r="DW219" s="623"/>
      <c r="DX219" s="623"/>
      <c r="DY219" s="615"/>
      <c r="DZ219" s="623"/>
      <c r="EA219" s="623"/>
      <c r="EB219" s="623"/>
      <c r="EC219" s="623"/>
      <c r="ED219" s="623"/>
      <c r="EE219" s="610"/>
      <c r="EF219" s="610"/>
      <c r="EG219" s="12"/>
      <c r="EH219" s="12"/>
      <c r="EI219" s="227"/>
      <c r="EJ219" s="33"/>
      <c r="EK219" s="33"/>
      <c r="EL219" s="33"/>
      <c r="EM219" s="33"/>
      <c r="EN219" s="33"/>
      <c r="EO219" s="33"/>
      <c r="EP219" s="33"/>
      <c r="EQ219" s="33"/>
      <c r="ER219" s="33"/>
      <c r="ES219" s="33"/>
      <c r="ET219" s="33"/>
      <c r="EU219" s="33"/>
      <c r="EV219" s="33"/>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c r="IU219"/>
      <c r="IV219"/>
    </row>
    <row r="220" spans="1:256" s="220" customFormat="1" ht="11.25" customHeight="1">
      <c r="A220" s="78"/>
      <c r="DQ220" s="590"/>
      <c r="DR220" s="603" t="s">
        <v>447</v>
      </c>
      <c r="DS220" s="603"/>
      <c r="DT220" s="589">
        <v>122.631</v>
      </c>
      <c r="DU220" s="623"/>
      <c r="DV220" s="614">
        <f>(DT220-DU220)</f>
        <v>122.631</v>
      </c>
      <c r="DW220" s="605"/>
      <c r="DX220" s="614"/>
      <c r="DY220" s="615"/>
      <c r="DZ220" s="623">
        <f>IS!CM18</f>
        <v>120.934</v>
      </c>
      <c r="EA220" s="623">
        <f>IS!CJ18</f>
        <v>85.084000000000003</v>
      </c>
      <c r="EB220" s="608">
        <f>$DU220/DZ220-1</f>
        <v>-1</v>
      </c>
      <c r="EC220" s="608">
        <f>$DU220/EA220-1</f>
        <v>-1</v>
      </c>
      <c r="ED220" s="608"/>
      <c r="EE220" s="608">
        <f>DT220/DZ220-1</f>
        <v>1.4032447450675667E-2</v>
      </c>
      <c r="EF220" s="608">
        <f>DT220/EA220-1</f>
        <v>0.44129331014056694</v>
      </c>
      <c r="EG220" s="12"/>
      <c r="EH220" s="12"/>
      <c r="EI220" s="227"/>
      <c r="EJ220" s="33"/>
      <c r="EK220" s="228"/>
      <c r="EL220" s="33"/>
      <c r="EM220" s="33"/>
      <c r="EN220" s="33"/>
      <c r="EO220" s="33"/>
      <c r="EP220" s="33"/>
      <c r="EQ220" s="33"/>
      <c r="ER220" s="33"/>
      <c r="ES220" s="33"/>
      <c r="ET220" s="33"/>
      <c r="EU220" s="33"/>
      <c r="EV220" s="33"/>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c r="IU220"/>
      <c r="IV220"/>
    </row>
    <row r="221" spans="1:256" s="220" customFormat="1" ht="11.25" customHeight="1">
      <c r="A221" s="78"/>
      <c r="DQ221" s="590"/>
      <c r="DR221" s="624" t="s">
        <v>989</v>
      </c>
      <c r="DS221" s="603"/>
      <c r="DT221" s="234">
        <f>IF(ISERROR((SUM(DT217)-DT220)/(SUM(DT217))), "NM", (SUM(DT217)-DT220)/(SUM(DT217)))</f>
        <v>0.66220054045269106</v>
      </c>
      <c r="DU221" s="625"/>
      <c r="DV221" s="626">
        <f>IF(ISERROR((DT221-DU221)*10000), "NM", ((DT221-DU221)*10000))</f>
        <v>6622.0054045269108</v>
      </c>
      <c r="DW221" s="605"/>
      <c r="DX221" s="614"/>
      <c r="DY221" s="615"/>
      <c r="DZ221" s="625">
        <f>(SUM(DZ217)-DZ220)/(SUM(DZ217))</f>
        <v>0.64024226991200461</v>
      </c>
      <c r="EA221" s="625">
        <f>(SUM(EA217)-EA220)/(SUM(EA217))</f>
        <v>0.65781483134860785</v>
      </c>
      <c r="EB221" s="627">
        <f>IF(ISERROR((DU221-DZ221)*10000), "NM", ((DU221-DZ221)*10000))</f>
        <v>-6402.4226991200458</v>
      </c>
      <c r="EC221" s="627">
        <f>IF(ISERROR((DU221-EA221)*10000), "NM", ((DU221-EA221)*10000))</f>
        <v>-6578.1483134860782</v>
      </c>
      <c r="ED221" s="608"/>
      <c r="EE221" s="628">
        <f>IF(ISERROR((DT221-DZ221)*10000), "NM", ((DT221-DZ221)*10000))</f>
        <v>219.58270540686442</v>
      </c>
      <c r="EF221" s="628">
        <f>IF(ISERROR((DT221-EA221)*10000), "NM", ((DT221-EA221)*10000))</f>
        <v>43.857091040832017</v>
      </c>
      <c r="EG221" s="12"/>
      <c r="EH221" s="12"/>
      <c r="EI221" s="227"/>
      <c r="EJ221" s="33"/>
      <c r="EK221" s="228"/>
      <c r="EL221" s="33"/>
      <c r="EM221" s="33"/>
      <c r="EN221" s="33"/>
      <c r="EO221" s="33"/>
      <c r="EP221" s="33"/>
      <c r="EQ221" s="33"/>
      <c r="ER221" s="33"/>
      <c r="ES221" s="33"/>
      <c r="ET221" s="33"/>
      <c r="EU221" s="33"/>
      <c r="EV221" s="33"/>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c r="IU221"/>
      <c r="IV221"/>
    </row>
    <row r="222" spans="1:256" s="220" customFormat="1" ht="11.25" customHeight="1">
      <c r="A222" s="78"/>
      <c r="DQ222" s="590"/>
      <c r="DR222" s="603" t="s">
        <v>1539</v>
      </c>
      <c r="DS222" s="603"/>
      <c r="DT222" s="589">
        <v>73.122</v>
      </c>
      <c r="DU222" s="623"/>
      <c r="DV222" s="614">
        <f>(DT222-DU222)</f>
        <v>73.122</v>
      </c>
      <c r="DW222" s="605"/>
      <c r="DX222" s="614"/>
      <c r="DY222" s="615"/>
      <c r="DZ222" s="623">
        <f>IS!CM24</f>
        <v>70.840999999999994</v>
      </c>
      <c r="EA222" s="623">
        <f>IS!CJ24</f>
        <v>46.292999999999999</v>
      </c>
      <c r="EB222" s="608">
        <f>$DU222/DZ222-1</f>
        <v>-1</v>
      </c>
      <c r="EC222" s="608">
        <f>$DU222/EA222-1</f>
        <v>-1</v>
      </c>
      <c r="ED222" s="608"/>
      <c r="EE222" s="608">
        <f>DT222/DZ222-1</f>
        <v>3.2198867887240468E-2</v>
      </c>
      <c r="EF222" s="608">
        <f>DT222/EA222-1</f>
        <v>0.57954766379366207</v>
      </c>
      <c r="EG222" s="12"/>
      <c r="EH222" s="12"/>
      <c r="EI222" s="227"/>
      <c r="EJ222" s="33"/>
      <c r="EK222" s="33"/>
      <c r="EL222" s="33"/>
      <c r="EM222" s="33"/>
      <c r="EN222" s="33"/>
      <c r="EO222" s="33"/>
      <c r="EP222" s="33"/>
      <c r="EQ222" s="33"/>
      <c r="ER222" s="33"/>
      <c r="ES222" s="33"/>
      <c r="ET222" s="33"/>
      <c r="EU222" s="33"/>
      <c r="EV222" s="33"/>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c r="IU222"/>
      <c r="IV222"/>
    </row>
    <row r="223" spans="1:256" s="220" customFormat="1" ht="11.25" customHeight="1">
      <c r="A223" s="78"/>
      <c r="DQ223" s="590"/>
      <c r="DR223" s="629" t="s">
        <v>173</v>
      </c>
      <c r="DS223" s="629"/>
      <c r="DT223" s="235">
        <f>IF(ISERROR(DT222/DT217), "NM", (DT222/DT217))</f>
        <v>0.20142192497018144</v>
      </c>
      <c r="DU223" s="630"/>
      <c r="DV223" s="631">
        <f>IF(ISERROR((DT223-DU223)*10000), "NM", ((DT223-DU223)*10000))</f>
        <v>2014.2192497018143</v>
      </c>
      <c r="DW223" s="630"/>
      <c r="DX223" s="627"/>
      <c r="DY223" s="615"/>
      <c r="DZ223" s="630">
        <f>DZ222/DZ217</f>
        <v>0.21073972048525377</v>
      </c>
      <c r="EA223" s="630">
        <f>EA222/EA217</f>
        <v>0.18617810648745819</v>
      </c>
      <c r="EB223" s="627">
        <f>IF(ISERROR((DU223-DZ223)*10000), "NM", ((DU223-DZ223)*10000))</f>
        <v>-2107.3972048525379</v>
      </c>
      <c r="EC223" s="627">
        <f>IF(ISERROR((DU223-EA223)*10000), "NM", ((DU223-EA223)*10000))</f>
        <v>-1861.7810648745819</v>
      </c>
      <c r="ED223" s="627"/>
      <c r="EE223" s="699">
        <f>IF(ISERROR((DT223-DZ223)*10000), "NM", ((DT223-DZ223)*10000))</f>
        <v>-93.177955150723363</v>
      </c>
      <c r="EF223" s="699">
        <f>IF(ISERROR((DT223-EA223)*10000), "NM", ((DT223-EA223)*10000))</f>
        <v>152.43818482723242</v>
      </c>
      <c r="EG223" s="12"/>
      <c r="EH223" s="12"/>
      <c r="EI223" s="227"/>
      <c r="EJ223" s="33"/>
      <c r="EK223" s="33"/>
      <c r="EL223" s="33"/>
      <c r="EM223" s="33"/>
      <c r="EN223" s="33"/>
      <c r="EO223" s="33"/>
      <c r="EP223" s="33"/>
      <c r="EQ223" s="33"/>
      <c r="ER223" s="33"/>
      <c r="ES223" s="33"/>
      <c r="ET223" s="33"/>
      <c r="EU223" s="33"/>
      <c r="EV223" s="3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c r="IU223"/>
      <c r="IV223"/>
    </row>
    <row r="224" spans="1:256" s="220" customFormat="1" ht="2.25" customHeight="1">
      <c r="A224" s="78"/>
      <c r="DQ224" s="590"/>
      <c r="DR224" s="611"/>
      <c r="DS224" s="611"/>
      <c r="DT224" s="230"/>
      <c r="DU224" s="632"/>
      <c r="DV224" s="632"/>
      <c r="DW224" s="632"/>
      <c r="DX224" s="633"/>
      <c r="DY224" s="594"/>
      <c r="DZ224" s="632"/>
      <c r="EA224" s="632"/>
      <c r="EB224" s="632"/>
      <c r="EC224" s="632"/>
      <c r="ED224" s="632"/>
      <c r="EE224" s="634"/>
      <c r="EF224" s="634"/>
      <c r="EG224" s="12"/>
      <c r="EH224" s="12"/>
      <c r="EI224" s="33"/>
      <c r="EJ224" s="33"/>
      <c r="EK224" s="33"/>
      <c r="EL224" s="33"/>
      <c r="EM224" s="33"/>
      <c r="EN224" s="33"/>
      <c r="EO224" s="33"/>
      <c r="EP224" s="33"/>
      <c r="EQ224" s="33"/>
      <c r="ER224" s="33"/>
      <c r="ES224" s="33"/>
      <c r="ET224" s="33"/>
      <c r="EU224" s="33"/>
      <c r="EV224" s="33"/>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c r="IU224"/>
      <c r="IV224"/>
    </row>
    <row r="225" spans="1:256" s="220" customFormat="1" ht="11.25" customHeight="1">
      <c r="A225" s="78"/>
      <c r="DQ225" s="590"/>
      <c r="DR225" s="635" t="s">
        <v>188</v>
      </c>
      <c r="DS225" s="635"/>
      <c r="DT225" s="636">
        <f>DT217-DT220-DT222</f>
        <v>167.27600000000001</v>
      </c>
      <c r="DU225" s="691"/>
      <c r="DV225" s="695">
        <f>(DT225-DU225)</f>
        <v>167.27600000000001</v>
      </c>
      <c r="DW225" s="639">
        <v>151.80000000000001</v>
      </c>
      <c r="DX225" s="695">
        <f>DU225-DW225</f>
        <v>-151.80000000000001</v>
      </c>
      <c r="DY225" s="594"/>
      <c r="DZ225" s="691">
        <f>DZ217-DZ220-DZ222</f>
        <v>144.37900000000002</v>
      </c>
      <c r="EA225" s="691">
        <f>EA217-EA220-EA222</f>
        <v>117.27200000000002</v>
      </c>
      <c r="EB225" s="640">
        <f>$DU225/DZ225-1</f>
        <v>-1</v>
      </c>
      <c r="EC225" s="640">
        <f>$DU225/EA225-1</f>
        <v>-1</v>
      </c>
      <c r="ED225" s="640"/>
      <c r="EE225" s="640">
        <f>DT225/DZ225-1</f>
        <v>0.15858954557103178</v>
      </c>
      <c r="EF225" s="640">
        <f>DT225/EA225-1</f>
        <v>0.42639334197421364</v>
      </c>
      <c r="EG225" s="12"/>
      <c r="EH225" s="12"/>
      <c r="EI225" s="236"/>
      <c r="EJ225" s="33"/>
      <c r="EK225" s="236"/>
      <c r="EL225" s="33"/>
      <c r="EM225" s="33"/>
      <c r="EN225" s="33"/>
      <c r="EO225" s="33"/>
      <c r="EP225" s="33"/>
      <c r="EQ225" s="33"/>
      <c r="ER225" s="33"/>
      <c r="ES225" s="33"/>
      <c r="ET225" s="33"/>
      <c r="EU225" s="33"/>
      <c r="EV225" s="33"/>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c r="IU225"/>
      <c r="IV225"/>
    </row>
    <row r="226" spans="1:256" s="220" customFormat="1" ht="11.25" customHeight="1">
      <c r="A226" s="78"/>
      <c r="DQ226" s="590"/>
      <c r="DR226" s="641" t="s">
        <v>995</v>
      </c>
      <c r="DS226" s="641"/>
      <c r="DT226" s="234">
        <f>IF(ISERROR(DT225/DT217), "NM", (DT225/DT217))</f>
        <v>0.4607786154825097</v>
      </c>
      <c r="DU226" s="625"/>
      <c r="DV226" s="642">
        <f>IF(ISERROR((DT226-DU226)*10000), "NM", ((DT226-DU226)*10000))</f>
        <v>4607.7861548250967</v>
      </c>
      <c r="DW226" s="625">
        <f>DW225/DW217</f>
        <v>0.42760563380281691</v>
      </c>
      <c r="DX226" s="643">
        <f>(DW226-DU226)*10000</f>
        <v>4276.0563380281692</v>
      </c>
      <c r="DY226" s="607"/>
      <c r="DZ226" s="625">
        <f>DZ225/DZ217</f>
        <v>0.42950254942675092</v>
      </c>
      <c r="EA226" s="625">
        <f>EA225/EA217</f>
        <v>0.47163672486114966</v>
      </c>
      <c r="EB226" s="627">
        <f>IF(ISERROR((DU226-DZ226)*10000), "NM", ((DU226-DZ226)*10000))</f>
        <v>-4295.0254942675092</v>
      </c>
      <c r="EC226" s="627">
        <f>IF(ISERROR((DU226-EA226)*10000), "NM", ((DU226-EA226)*10000))</f>
        <v>-4716.3672486114965</v>
      </c>
      <c r="ED226" s="644"/>
      <c r="EE226" s="628">
        <f>IF(ISERROR((DT226-DZ226)*10000), "NM", ((DT226-DZ226)*10000))</f>
        <v>312.76066055758776</v>
      </c>
      <c r="EF226" s="628">
        <f>IF(ISERROR((DT226-EA226)*10000), "NM", ((DT226-EA226)*10000))</f>
        <v>-108.58109378639958</v>
      </c>
      <c r="EG226" s="12"/>
      <c r="EH226" s="12"/>
      <c r="EI226" s="41"/>
      <c r="EJ226" s="33"/>
      <c r="EK226" s="41"/>
      <c r="EL226" s="33"/>
      <c r="EM226" s="33"/>
      <c r="EN226" s="33"/>
      <c r="EO226" s="33"/>
      <c r="EP226" s="33"/>
      <c r="EQ226" s="33"/>
      <c r="ER226" s="33"/>
      <c r="ES226" s="33"/>
      <c r="ET226" s="33"/>
      <c r="EU226" s="33"/>
      <c r="EV226" s="33"/>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c r="IU226"/>
      <c r="IV226"/>
    </row>
    <row r="227" spans="1:256" s="220" customFormat="1" ht="5.25" hidden="1" customHeight="1" outlineLevel="1">
      <c r="A227" s="78"/>
      <c r="DQ227" s="590"/>
      <c r="DR227" s="618"/>
      <c r="DS227" s="618"/>
      <c r="DT227" s="230"/>
      <c r="DU227" s="623"/>
      <c r="DV227" s="623"/>
      <c r="DW227" s="623"/>
      <c r="DX227" s="623"/>
      <c r="DY227" s="615"/>
      <c r="DZ227" s="623"/>
      <c r="EA227" s="623"/>
      <c r="EB227" s="623"/>
      <c r="EC227" s="623"/>
      <c r="ED227" s="623"/>
      <c r="EE227" s="610"/>
      <c r="EF227" s="610"/>
      <c r="EG227" s="12"/>
      <c r="EH227" s="12"/>
      <c r="EI227" s="33"/>
      <c r="EJ227" s="33"/>
      <c r="EK227" s="33"/>
      <c r="EL227" s="33"/>
      <c r="EM227" s="33"/>
      <c r="EN227" s="33"/>
      <c r="EO227" s="33"/>
      <c r="EP227" s="33"/>
      <c r="EQ227" s="33"/>
      <c r="ER227" s="33"/>
      <c r="ES227" s="33"/>
      <c r="ET227" s="33"/>
      <c r="EU227" s="33"/>
      <c r="EV227" s="33"/>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c r="HB227"/>
      <c r="HC227"/>
      <c r="HD227"/>
      <c r="HE227"/>
      <c r="HF227"/>
      <c r="HG227"/>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c r="IU227"/>
      <c r="IV227"/>
    </row>
    <row r="228" spans="1:256" s="220" customFormat="1" ht="11.25" hidden="1" customHeight="1" outlineLevel="1">
      <c r="A228" s="78"/>
      <c r="DQ228" s="590"/>
      <c r="DR228" s="645" t="s">
        <v>1459</v>
      </c>
      <c r="DS228" s="645"/>
      <c r="DT228" s="646"/>
      <c r="DU228" s="647"/>
      <c r="DV228" s="648">
        <f>(DT228-DU228)</f>
        <v>0</v>
      </c>
      <c r="DW228" s="647"/>
      <c r="DX228" s="647"/>
      <c r="DY228" s="615"/>
      <c r="DZ228" s="647" t="e">
        <f>#REF!</f>
        <v>#REF!</v>
      </c>
      <c r="EA228" s="647">
        <v>0</v>
      </c>
      <c r="EB228" s="649"/>
      <c r="EC228" s="649"/>
      <c r="ED228" s="649"/>
      <c r="EE228" s="650" t="e">
        <f>DU228/DZ228-1</f>
        <v>#REF!</v>
      </c>
      <c r="EF228" s="650" t="e">
        <f>DU228/EA228-1</f>
        <v>#DIV/0!</v>
      </c>
      <c r="EG228" s="12"/>
      <c r="EH228" s="12"/>
      <c r="EI228" s="33"/>
      <c r="EJ228" s="33"/>
      <c r="EK228" s="33"/>
      <c r="EL228" s="33"/>
      <c r="EM228" s="33"/>
      <c r="EN228" s="33"/>
      <c r="EO228" s="33"/>
      <c r="EP228" s="33"/>
      <c r="EQ228" s="33"/>
      <c r="ER228" s="33"/>
      <c r="ES228" s="33"/>
      <c r="ET228" s="33"/>
      <c r="EU228" s="33"/>
      <c r="EV228" s="33"/>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c r="IU228"/>
      <c r="IV228"/>
    </row>
    <row r="229" spans="1:256" s="220" customFormat="1" ht="11.25" hidden="1" customHeight="1" outlineLevel="1">
      <c r="A229" s="78"/>
      <c r="DQ229" s="590"/>
      <c r="DR229" s="618" t="s">
        <v>1460</v>
      </c>
      <c r="DS229" s="618"/>
      <c r="DT229" s="229"/>
      <c r="DU229" s="605"/>
      <c r="DV229" s="612">
        <f>(DT229-DU229)</f>
        <v>0</v>
      </c>
      <c r="DW229" s="623"/>
      <c r="DX229" s="651"/>
      <c r="DY229" s="615"/>
      <c r="DZ229" s="605" t="e">
        <f>#REF!</f>
        <v>#REF!</v>
      </c>
      <c r="EA229" s="605">
        <v>0</v>
      </c>
      <c r="EB229" s="608"/>
      <c r="EC229" s="608"/>
      <c r="ED229" s="608"/>
      <c r="EE229" s="610" t="e">
        <f>DU229/DZ229-1</f>
        <v>#REF!</v>
      </c>
      <c r="EF229" s="634" t="e">
        <f>DU229/EA229-1</f>
        <v>#DIV/0!</v>
      </c>
      <c r="EG229" s="12"/>
      <c r="EH229" s="12"/>
      <c r="EI229" s="33"/>
      <c r="EJ229" s="33"/>
      <c r="EK229" s="33"/>
      <c r="EL229" s="33"/>
      <c r="EM229" s="33"/>
      <c r="EN229" s="33"/>
      <c r="EO229" s="33"/>
      <c r="EP229" s="33"/>
      <c r="EQ229" s="33"/>
      <c r="ER229" s="33"/>
      <c r="ES229" s="33"/>
      <c r="ET229" s="33"/>
      <c r="EU229" s="33"/>
      <c r="EV229" s="33"/>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c r="IU229"/>
      <c r="IV229"/>
    </row>
    <row r="230" spans="1:256" s="220" customFormat="1" ht="11.25" hidden="1" customHeight="1" outlineLevel="1">
      <c r="A230" s="78"/>
      <c r="DQ230" s="590"/>
      <c r="DR230" s="618" t="s">
        <v>187</v>
      </c>
      <c r="DS230" s="618"/>
      <c r="DT230" s="230">
        <f>DT225-DT228-DT229</f>
        <v>167.27600000000001</v>
      </c>
      <c r="DU230" s="605"/>
      <c r="DV230" s="612">
        <f>(DT230-DU230)</f>
        <v>167.27600000000001</v>
      </c>
      <c r="DW230" s="652"/>
      <c r="DX230" s="613"/>
      <c r="DY230" s="615"/>
      <c r="DZ230" s="605" t="e">
        <f>DZ225-DZ228-DZ229</f>
        <v>#REF!</v>
      </c>
      <c r="EA230" s="605">
        <f>EA225-EA228-EA229</f>
        <v>117.27200000000002</v>
      </c>
      <c r="EB230" s="608"/>
      <c r="EC230" s="608"/>
      <c r="ED230" s="608"/>
      <c r="EE230" s="610" t="e">
        <f>DU230/DZ230-1</f>
        <v>#REF!</v>
      </c>
      <c r="EF230" s="634">
        <f>DU230/EA230-1</f>
        <v>-1</v>
      </c>
      <c r="EG230" s="12"/>
      <c r="EH230" s="12"/>
      <c r="EI230" s="33"/>
      <c r="EJ230" s="33"/>
      <c r="EK230" s="33"/>
      <c r="EL230" s="33"/>
      <c r="EM230" s="33"/>
      <c r="EN230" s="33"/>
      <c r="EO230" s="33"/>
      <c r="EP230" s="33"/>
      <c r="EQ230" s="33"/>
      <c r="ER230" s="33"/>
      <c r="ES230" s="33"/>
      <c r="ET230" s="33"/>
      <c r="EU230" s="33"/>
      <c r="EV230" s="33"/>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c r="HB230"/>
      <c r="HC230"/>
      <c r="HD230"/>
      <c r="HE230"/>
      <c r="HF230"/>
      <c r="HG230"/>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c r="IU230"/>
      <c r="IV230"/>
    </row>
    <row r="231" spans="1:256" s="220" customFormat="1" ht="3.75" hidden="1" customHeight="1" outlineLevel="1">
      <c r="A231" s="78"/>
      <c r="DQ231" s="590"/>
      <c r="DR231" s="618"/>
      <c r="DS231" s="618"/>
      <c r="DT231" s="230"/>
      <c r="DU231" s="623"/>
      <c r="DV231" s="623"/>
      <c r="DW231" s="623"/>
      <c r="DX231" s="651"/>
      <c r="DY231" s="615"/>
      <c r="DZ231" s="623"/>
      <c r="EA231" s="623"/>
      <c r="EB231" s="623"/>
      <c r="EC231" s="623"/>
      <c r="ED231" s="623"/>
      <c r="EE231" s="610"/>
      <c r="EF231" s="610"/>
      <c r="EG231" s="12"/>
      <c r="EH231" s="12"/>
      <c r="EI231" s="33"/>
      <c r="EJ231" s="33"/>
      <c r="EK231" s="33"/>
      <c r="EL231" s="33"/>
      <c r="EM231" s="33"/>
      <c r="EN231" s="33"/>
      <c r="EO231" s="33"/>
      <c r="EP231" s="33"/>
      <c r="EQ231" s="33"/>
      <c r="ER231" s="33"/>
      <c r="ES231" s="33"/>
      <c r="ET231" s="33"/>
      <c r="EU231" s="33"/>
      <c r="EV231" s="33"/>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c r="IU231"/>
      <c r="IV231"/>
    </row>
    <row r="232" spans="1:256" s="220" customFormat="1" ht="11.25" hidden="1" customHeight="1" outlineLevel="1">
      <c r="A232" s="78"/>
      <c r="DQ232" s="590"/>
      <c r="DR232" s="603" t="s">
        <v>448</v>
      </c>
      <c r="DS232" s="618"/>
      <c r="DT232" s="229"/>
      <c r="DU232" s="605"/>
      <c r="DV232" s="612">
        <f>(DT232-DU232)</f>
        <v>0</v>
      </c>
      <c r="DW232" s="623"/>
      <c r="DX232" s="651"/>
      <c r="DY232" s="615"/>
      <c r="DZ232" s="605" t="e">
        <f>#REF!</f>
        <v>#REF!</v>
      </c>
      <c r="EA232" s="605">
        <v>0</v>
      </c>
      <c r="EB232" s="608"/>
      <c r="EC232" s="608"/>
      <c r="ED232" s="608"/>
      <c r="EE232" s="610" t="e">
        <f>DU232/DZ232-1</f>
        <v>#REF!</v>
      </c>
      <c r="EF232" s="634" t="e">
        <f>DU232/EA232-1</f>
        <v>#DIV/0!</v>
      </c>
      <c r="EG232" s="12"/>
      <c r="EH232" s="12"/>
      <c r="EI232" s="228"/>
      <c r="EJ232" s="33"/>
      <c r="EK232" s="33"/>
      <c r="EL232" s="33"/>
      <c r="EM232" s="33"/>
      <c r="EN232" s="33"/>
      <c r="EO232" s="33"/>
      <c r="EP232" s="33"/>
      <c r="EQ232" s="33"/>
      <c r="ER232" s="33"/>
      <c r="ES232" s="33"/>
      <c r="ET232" s="33"/>
      <c r="EU232" s="33"/>
      <c r="EV232" s="33"/>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c r="HB232"/>
      <c r="HC232"/>
      <c r="HD232"/>
      <c r="HE232"/>
      <c r="HF232"/>
      <c r="HG232"/>
      <c r="HH232"/>
      <c r="HI232"/>
      <c r="HJ232"/>
      <c r="HK232"/>
      <c r="HL232"/>
      <c r="HM232"/>
      <c r="HN232"/>
      <c r="HO232"/>
      <c r="HP232"/>
      <c r="HQ232"/>
      <c r="HR232"/>
      <c r="HS232"/>
      <c r="HT232"/>
      <c r="HU232"/>
      <c r="HV232"/>
      <c r="HW232"/>
      <c r="HX232"/>
      <c r="HY232"/>
      <c r="HZ232"/>
      <c r="IA232"/>
      <c r="IB232"/>
      <c r="IC232"/>
      <c r="ID232"/>
      <c r="IE232"/>
      <c r="IF232"/>
      <c r="IG232"/>
      <c r="IH232"/>
      <c r="II232"/>
      <c r="IJ232"/>
      <c r="IK232"/>
      <c r="IL232"/>
      <c r="IM232"/>
      <c r="IN232"/>
      <c r="IO232"/>
      <c r="IP232"/>
      <c r="IQ232"/>
      <c r="IR232"/>
      <c r="IS232"/>
      <c r="IT232"/>
      <c r="IU232"/>
      <c r="IV232"/>
    </row>
    <row r="233" spans="1:256" s="220" customFormat="1" ht="11.25" hidden="1" customHeight="1" outlineLevel="1">
      <c r="A233" s="78"/>
      <c r="DQ233" s="590"/>
      <c r="DR233" s="603" t="s">
        <v>1184</v>
      </c>
      <c r="DS233" s="618"/>
      <c r="DT233" s="229"/>
      <c r="DU233" s="605"/>
      <c r="DV233" s="612">
        <f>(DT233-DU233)</f>
        <v>0</v>
      </c>
      <c r="DW233" s="623"/>
      <c r="DX233" s="651"/>
      <c r="DY233" s="615"/>
      <c r="DZ233" s="605" t="e">
        <f>#REF!</f>
        <v>#REF!</v>
      </c>
      <c r="EA233" s="605">
        <v>0</v>
      </c>
      <c r="EB233" s="608"/>
      <c r="EC233" s="608"/>
      <c r="ED233" s="608"/>
      <c r="EE233" s="610"/>
      <c r="EF233" s="653"/>
      <c r="EG233" s="12"/>
      <c r="EH233" s="12"/>
      <c r="EI233" s="33"/>
      <c r="EJ233" s="33"/>
      <c r="EK233" s="33"/>
      <c r="EL233" s="33"/>
      <c r="EM233" s="33"/>
      <c r="EN233" s="33"/>
      <c r="EO233" s="33"/>
      <c r="EP233" s="33"/>
      <c r="EQ233" s="33"/>
      <c r="ER233" s="33"/>
      <c r="ES233" s="33"/>
      <c r="ET233" s="33"/>
      <c r="EU233" s="33"/>
      <c r="EV233" s="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c r="HB233"/>
      <c r="HC233"/>
      <c r="HD233"/>
      <c r="HE233"/>
      <c r="HF233"/>
      <c r="HG233"/>
      <c r="HH233"/>
      <c r="HI233"/>
      <c r="HJ233"/>
      <c r="HK233"/>
      <c r="HL233"/>
      <c r="HM233"/>
      <c r="HN233"/>
      <c r="HO233"/>
      <c r="HP233"/>
      <c r="HQ233"/>
      <c r="HR233"/>
      <c r="HS233"/>
      <c r="HT233"/>
      <c r="HU233"/>
      <c r="HV233"/>
      <c r="HW233"/>
      <c r="HX233"/>
      <c r="HY233"/>
      <c r="HZ233"/>
      <c r="IA233"/>
      <c r="IB233"/>
      <c r="IC233"/>
      <c r="ID233"/>
      <c r="IE233"/>
      <c r="IF233"/>
      <c r="IG233"/>
      <c r="IH233"/>
      <c r="II233"/>
      <c r="IJ233"/>
      <c r="IK233"/>
      <c r="IL233"/>
      <c r="IM233"/>
      <c r="IN233"/>
      <c r="IO233"/>
      <c r="IP233"/>
      <c r="IQ233"/>
      <c r="IR233"/>
      <c r="IS233"/>
      <c r="IT233"/>
      <c r="IU233"/>
      <c r="IV233"/>
    </row>
    <row r="234" spans="1:256" s="220" customFormat="1" ht="11.25" hidden="1" customHeight="1" outlineLevel="1">
      <c r="A234" s="78"/>
      <c r="DQ234" s="590"/>
      <c r="DR234" s="603" t="s">
        <v>1042</v>
      </c>
      <c r="DS234" s="618"/>
      <c r="DT234" s="229"/>
      <c r="DU234" s="605"/>
      <c r="DV234" s="612">
        <f>(DT234-DU234)</f>
        <v>0</v>
      </c>
      <c r="DW234" s="623"/>
      <c r="DX234" s="651"/>
      <c r="DY234" s="615"/>
      <c r="DZ234" s="605" t="e">
        <f>#REF!</f>
        <v>#REF!</v>
      </c>
      <c r="EA234" s="605">
        <v>0</v>
      </c>
      <c r="EB234" s="608"/>
      <c r="EC234" s="608"/>
      <c r="ED234" s="608"/>
      <c r="EE234" s="610"/>
      <c r="EF234" s="653"/>
      <c r="EG234" s="12"/>
      <c r="EH234" s="12"/>
      <c r="EI234" s="33"/>
      <c r="EJ234" s="33"/>
      <c r="EK234" s="33"/>
      <c r="EL234" s="33"/>
      <c r="EM234" s="33"/>
      <c r="EN234" s="33"/>
      <c r="EO234" s="33"/>
      <c r="EP234" s="33"/>
      <c r="EQ234" s="33"/>
      <c r="ER234" s="33"/>
      <c r="ES234" s="33"/>
      <c r="ET234" s="33"/>
      <c r="EU234" s="33"/>
      <c r="EV234" s="33"/>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c r="HB234"/>
      <c r="HC234"/>
      <c r="HD234"/>
      <c r="HE234"/>
      <c r="HF234"/>
      <c r="HG234"/>
      <c r="HH234"/>
      <c r="HI234"/>
      <c r="HJ234"/>
      <c r="HK234"/>
      <c r="HL234"/>
      <c r="HM234"/>
      <c r="HN234"/>
      <c r="HO234"/>
      <c r="HP234"/>
      <c r="HQ234"/>
      <c r="HR234"/>
      <c r="HS234"/>
      <c r="HT234"/>
      <c r="HU234"/>
      <c r="HV234"/>
      <c r="HW234"/>
      <c r="HX234"/>
      <c r="HY234"/>
      <c r="HZ234"/>
      <c r="IA234"/>
      <c r="IB234"/>
      <c r="IC234"/>
      <c r="ID234"/>
      <c r="IE234"/>
      <c r="IF234"/>
      <c r="IG234"/>
      <c r="IH234"/>
      <c r="II234"/>
      <c r="IJ234"/>
      <c r="IK234"/>
      <c r="IL234"/>
      <c r="IM234"/>
      <c r="IN234"/>
      <c r="IO234"/>
      <c r="IP234"/>
      <c r="IQ234"/>
      <c r="IR234"/>
      <c r="IS234"/>
      <c r="IT234"/>
      <c r="IU234"/>
      <c r="IV234"/>
    </row>
    <row r="235" spans="1:256" s="220" customFormat="1" ht="11.25" hidden="1" customHeight="1" outlineLevel="1">
      <c r="A235" s="78"/>
      <c r="DQ235" s="590"/>
      <c r="DR235" s="645" t="s">
        <v>449</v>
      </c>
      <c r="DS235" s="645"/>
      <c r="DT235" s="654">
        <f>DT232+DT233-DT234</f>
        <v>0</v>
      </c>
      <c r="DU235" s="647"/>
      <c r="DV235" s="647">
        <f>(DT235-DU235)</f>
        <v>0</v>
      </c>
      <c r="DW235" s="647"/>
      <c r="DX235" s="655"/>
      <c r="DY235" s="615"/>
      <c r="DZ235" s="647" t="e">
        <f>DZ232-DZ234+DZ233</f>
        <v>#REF!</v>
      </c>
      <c r="EA235" s="647">
        <f>EA232-EA234+EA233</f>
        <v>0</v>
      </c>
      <c r="EB235" s="649"/>
      <c r="EC235" s="649"/>
      <c r="ED235" s="649"/>
      <c r="EE235" s="650"/>
      <c r="EF235" s="650"/>
      <c r="EG235" s="12"/>
      <c r="EH235" s="12"/>
      <c r="EI235" s="33"/>
      <c r="EJ235" s="33"/>
      <c r="EK235" s="33"/>
      <c r="EL235" s="33"/>
      <c r="EM235" s="33"/>
      <c r="EN235" s="33"/>
      <c r="EO235" s="33"/>
      <c r="EP235" s="33"/>
      <c r="EQ235" s="33"/>
      <c r="ER235" s="33"/>
      <c r="ES235" s="33"/>
      <c r="ET235" s="33"/>
      <c r="EU235" s="33"/>
      <c r="EV235" s="33"/>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c r="HB235"/>
      <c r="HC235"/>
      <c r="HD235"/>
      <c r="HE235"/>
      <c r="HF235"/>
      <c r="HG235"/>
      <c r="HH235"/>
      <c r="HI235"/>
      <c r="HJ235"/>
      <c r="HK235"/>
      <c r="HL235"/>
      <c r="HM235"/>
      <c r="HN235"/>
      <c r="HO235"/>
      <c r="HP235"/>
      <c r="HQ235"/>
      <c r="HR235"/>
      <c r="HS235"/>
      <c r="HT235"/>
      <c r="HU235"/>
      <c r="HV235"/>
      <c r="HW235"/>
      <c r="HX235"/>
      <c r="HY235"/>
      <c r="HZ235"/>
      <c r="IA235"/>
      <c r="IB235"/>
      <c r="IC235"/>
      <c r="ID235"/>
      <c r="IE235"/>
      <c r="IF235"/>
      <c r="IG235"/>
      <c r="IH235"/>
      <c r="II235"/>
      <c r="IJ235"/>
      <c r="IK235"/>
      <c r="IL235"/>
      <c r="IM235"/>
      <c r="IN235"/>
      <c r="IO235"/>
      <c r="IP235"/>
      <c r="IQ235"/>
      <c r="IR235"/>
      <c r="IS235"/>
      <c r="IT235"/>
      <c r="IU235"/>
      <c r="IV235"/>
    </row>
    <row r="236" spans="1:256" s="220" customFormat="1" ht="3" hidden="1" customHeight="1" outlineLevel="1">
      <c r="A236" s="78"/>
      <c r="DQ236" s="590"/>
      <c r="DR236" s="238"/>
      <c r="DS236" s="238"/>
      <c r="DT236" s="230"/>
      <c r="DU236" s="613"/>
      <c r="DV236" s="613"/>
      <c r="DW236" s="613"/>
      <c r="DX236" s="633"/>
      <c r="DY236" s="615"/>
      <c r="DZ236" s="632"/>
      <c r="EA236" s="632"/>
      <c r="EB236" s="632"/>
      <c r="EC236" s="632"/>
      <c r="ED236" s="632"/>
      <c r="EE236" s="634"/>
      <c r="EF236" s="634"/>
      <c r="EG236" s="12"/>
      <c r="EH236" s="12"/>
      <c r="EI236" s="33"/>
      <c r="EJ236" s="33"/>
      <c r="EK236" s="33"/>
      <c r="EL236" s="33"/>
      <c r="EM236" s="33"/>
      <c r="EN236" s="33"/>
      <c r="EO236" s="33"/>
      <c r="EP236" s="33"/>
      <c r="EQ236" s="33"/>
      <c r="ER236" s="33"/>
      <c r="ES236" s="33"/>
      <c r="ET236" s="33"/>
      <c r="EU236" s="33"/>
      <c r="EV236" s="33"/>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c r="HB236"/>
      <c r="HC236"/>
      <c r="HD236"/>
      <c r="HE236"/>
      <c r="HF236"/>
      <c r="HG236"/>
      <c r="HH236"/>
      <c r="HI236"/>
      <c r="HJ236"/>
      <c r="HK236"/>
      <c r="HL236"/>
      <c r="HM236"/>
      <c r="HN236"/>
      <c r="HO236"/>
      <c r="HP236"/>
      <c r="HQ236"/>
      <c r="HR236"/>
      <c r="HS236"/>
      <c r="HT236"/>
      <c r="HU236"/>
      <c r="HV236"/>
      <c r="HW236"/>
      <c r="HX236"/>
      <c r="HY236"/>
      <c r="HZ236"/>
      <c r="IA236"/>
      <c r="IB236"/>
      <c r="IC236"/>
      <c r="ID236"/>
      <c r="IE236"/>
      <c r="IF236"/>
      <c r="IG236"/>
      <c r="IH236"/>
      <c r="II236"/>
      <c r="IJ236"/>
      <c r="IK236"/>
      <c r="IL236"/>
      <c r="IM236"/>
      <c r="IN236"/>
      <c r="IO236"/>
      <c r="IP236"/>
      <c r="IQ236"/>
      <c r="IR236"/>
      <c r="IS236"/>
      <c r="IT236"/>
      <c r="IU236"/>
      <c r="IV236"/>
    </row>
    <row r="237" spans="1:256" s="220" customFormat="1" ht="11.25" hidden="1" customHeight="1" outlineLevel="1">
      <c r="A237" s="78"/>
      <c r="DQ237" s="590"/>
      <c r="DR237" s="618" t="s">
        <v>450</v>
      </c>
      <c r="DS237" s="618"/>
      <c r="DT237" s="230">
        <f>DT230-DT235</f>
        <v>167.27600000000001</v>
      </c>
      <c r="DU237" s="605"/>
      <c r="DV237" s="605">
        <f>(DT237-DU237)</f>
        <v>167.27600000000001</v>
      </c>
      <c r="DW237" s="652"/>
      <c r="DX237" s="612"/>
      <c r="DY237" s="615"/>
      <c r="DZ237" s="605" t="e">
        <f>DZ230-DZ235</f>
        <v>#REF!</v>
      </c>
      <c r="EA237" s="605">
        <f>EA230-EA235</f>
        <v>117.27200000000002</v>
      </c>
      <c r="EB237" s="656"/>
      <c r="EC237" s="656"/>
      <c r="ED237" s="656"/>
      <c r="EE237" s="610"/>
      <c r="EF237" s="610"/>
      <c r="EG237" s="12"/>
      <c r="EH237" s="12"/>
      <c r="EI237" s="33"/>
      <c r="EJ237" s="33"/>
      <c r="EK237" s="33"/>
      <c r="EL237" s="33"/>
      <c r="EM237" s="33"/>
      <c r="EN237" s="33"/>
      <c r="EO237" s="33"/>
      <c r="EP237" s="33"/>
      <c r="EQ237" s="33"/>
      <c r="ER237" s="33"/>
      <c r="ES237" s="33"/>
      <c r="ET237" s="33"/>
      <c r="EU237" s="33"/>
      <c r="EV237" s="33"/>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c r="HB237"/>
      <c r="HC237"/>
      <c r="HD237"/>
      <c r="HE237"/>
      <c r="HF237"/>
      <c r="HG237"/>
      <c r="HH237"/>
      <c r="HI237"/>
      <c r="HJ237"/>
      <c r="HK237"/>
      <c r="HL237"/>
      <c r="HM237"/>
      <c r="HN237"/>
      <c r="HO237"/>
      <c r="HP237"/>
      <c r="HQ237"/>
      <c r="HR237"/>
      <c r="HS237"/>
      <c r="HT237"/>
      <c r="HU237"/>
      <c r="HV237"/>
      <c r="HW237"/>
      <c r="HX237"/>
      <c r="HY237"/>
      <c r="HZ237"/>
      <c r="IA237"/>
      <c r="IB237"/>
      <c r="IC237"/>
      <c r="ID237"/>
      <c r="IE237"/>
      <c r="IF237"/>
      <c r="IG237"/>
      <c r="IH237"/>
      <c r="II237"/>
      <c r="IJ237"/>
      <c r="IK237"/>
      <c r="IL237"/>
      <c r="IM237"/>
      <c r="IN237"/>
      <c r="IO237"/>
      <c r="IP237"/>
      <c r="IQ237"/>
      <c r="IR237"/>
      <c r="IS237"/>
      <c r="IT237"/>
      <c r="IU237"/>
      <c r="IV237"/>
    </row>
    <row r="238" spans="1:256" s="220" customFormat="1" ht="11.25" hidden="1" customHeight="1" outlineLevel="1">
      <c r="A238" s="78"/>
      <c r="DQ238" s="590"/>
      <c r="DR238" s="618"/>
      <c r="DS238" s="618"/>
      <c r="DT238" s="230"/>
      <c r="DU238" s="605"/>
      <c r="DV238" s="605"/>
      <c r="DW238" s="605"/>
      <c r="DX238" s="623"/>
      <c r="DY238" s="615"/>
      <c r="DZ238" s="623"/>
      <c r="EA238" s="623"/>
      <c r="EB238" s="623"/>
      <c r="EC238" s="623"/>
      <c r="ED238" s="623"/>
      <c r="EE238" s="610"/>
      <c r="EF238" s="610"/>
      <c r="EG238" s="12"/>
      <c r="EH238" s="12"/>
      <c r="EI238" s="33"/>
      <c r="EJ238" s="33"/>
      <c r="EK238" s="33"/>
      <c r="EL238" s="33"/>
      <c r="EM238" s="33"/>
      <c r="EN238" s="33"/>
      <c r="EO238" s="33"/>
      <c r="EP238" s="33"/>
      <c r="EQ238" s="33"/>
      <c r="ER238" s="33"/>
      <c r="ES238" s="33"/>
      <c r="ET238" s="33"/>
      <c r="EU238" s="33"/>
      <c r="EV238" s="33"/>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c r="HB238"/>
      <c r="HC238"/>
      <c r="HD238"/>
      <c r="HE238"/>
      <c r="HF238"/>
      <c r="HG238"/>
      <c r="HH238"/>
      <c r="HI238"/>
      <c r="HJ238"/>
      <c r="HK238"/>
      <c r="HL238"/>
      <c r="HM238"/>
      <c r="HN238"/>
      <c r="HO238"/>
      <c r="HP238"/>
      <c r="HQ238"/>
      <c r="HR238"/>
      <c r="HS238"/>
      <c r="HT238"/>
      <c r="HU238"/>
      <c r="HV238"/>
      <c r="HW238"/>
      <c r="HX238"/>
      <c r="HY238"/>
      <c r="HZ238"/>
      <c r="IA238"/>
      <c r="IB238"/>
      <c r="IC238"/>
      <c r="ID238"/>
      <c r="IE238"/>
      <c r="IF238"/>
      <c r="IG238"/>
      <c r="IH238"/>
      <c r="II238"/>
      <c r="IJ238"/>
      <c r="IK238"/>
      <c r="IL238"/>
      <c r="IM238"/>
      <c r="IN238"/>
      <c r="IO238"/>
      <c r="IP238"/>
      <c r="IQ238"/>
      <c r="IR238"/>
      <c r="IS238"/>
      <c r="IT238"/>
      <c r="IU238"/>
      <c r="IV238"/>
    </row>
    <row r="239" spans="1:256" s="220" customFormat="1" ht="11.25" hidden="1" customHeight="1" outlineLevel="1">
      <c r="A239" s="78"/>
      <c r="DQ239" s="590"/>
      <c r="DR239" s="645" t="s">
        <v>451</v>
      </c>
      <c r="DS239" s="645"/>
      <c r="DT239" s="646"/>
      <c r="DU239" s="647"/>
      <c r="DV239" s="655">
        <f>(DT239-DU239)</f>
        <v>0</v>
      </c>
      <c r="DW239" s="647"/>
      <c r="DX239" s="647"/>
      <c r="DY239" s="615"/>
      <c r="DZ239" s="647" t="e">
        <f>#REF!</f>
        <v>#REF!</v>
      </c>
      <c r="EA239" s="647">
        <v>0</v>
      </c>
      <c r="EB239" s="649"/>
      <c r="EC239" s="649"/>
      <c r="ED239" s="649"/>
      <c r="EE239" s="650"/>
      <c r="EF239" s="657"/>
      <c r="EG239" s="12"/>
      <c r="EH239" s="12"/>
      <c r="EI239" s="33"/>
      <c r="EJ239" s="33"/>
      <c r="EK239" s="33"/>
      <c r="EL239" s="33"/>
      <c r="EM239" s="33"/>
      <c r="EN239" s="33"/>
      <c r="EO239" s="33"/>
      <c r="EP239" s="33"/>
      <c r="EQ239" s="33"/>
      <c r="ER239" s="33"/>
      <c r="ES239" s="33"/>
      <c r="ET239" s="33"/>
      <c r="EU239" s="33"/>
      <c r="EV239" s="33"/>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c r="IU239"/>
      <c r="IV239"/>
    </row>
    <row r="240" spans="1:256" s="220" customFormat="1" ht="3.75" hidden="1" customHeight="1" outlineLevel="1">
      <c r="A240" s="78"/>
      <c r="DQ240" s="590"/>
      <c r="DR240" s="238"/>
      <c r="DS240" s="238"/>
      <c r="DT240" s="230"/>
      <c r="DU240" s="613"/>
      <c r="DV240" s="613"/>
      <c r="DW240" s="613"/>
      <c r="DX240" s="633"/>
      <c r="DY240" s="615"/>
      <c r="DZ240" s="632"/>
      <c r="EA240" s="632"/>
      <c r="EB240" s="632"/>
      <c r="EC240" s="632"/>
      <c r="ED240" s="632"/>
      <c r="EE240" s="634"/>
      <c r="EF240" s="634"/>
      <c r="EG240" s="12"/>
      <c r="EH240" s="12"/>
      <c r="EI240" s="33"/>
      <c r="EJ240" s="33"/>
      <c r="EK240" s="33"/>
      <c r="EL240" s="33"/>
      <c r="EM240" s="33"/>
      <c r="EN240" s="33"/>
      <c r="EO240" s="33"/>
      <c r="EP240" s="33"/>
      <c r="EQ240" s="33"/>
      <c r="ER240" s="33"/>
      <c r="ES240" s="33"/>
      <c r="ET240" s="33"/>
      <c r="EU240" s="33"/>
      <c r="EV240" s="33"/>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c r="IU240"/>
      <c r="IV240"/>
    </row>
    <row r="241" spans="1:256" s="220" customFormat="1" ht="11.25" hidden="1" customHeight="1" outlineLevel="1">
      <c r="A241" s="78"/>
      <c r="DQ241" s="590"/>
      <c r="DR241" s="618" t="s">
        <v>452</v>
      </c>
      <c r="DS241" s="618"/>
      <c r="DT241" s="230">
        <f>DT237+DT239</f>
        <v>167.27600000000001</v>
      </c>
      <c r="DU241" s="605"/>
      <c r="DV241" s="605">
        <f>DV237-DV239</f>
        <v>167.27600000000001</v>
      </c>
      <c r="DW241" s="652"/>
      <c r="DX241" s="612"/>
      <c r="DY241" s="615"/>
      <c r="DZ241" s="605" t="e">
        <f>DZ237+DZ239</f>
        <v>#REF!</v>
      </c>
      <c r="EA241" s="605">
        <f>EA237+EA239</f>
        <v>117.27200000000002</v>
      </c>
      <c r="EB241" s="656"/>
      <c r="EC241" s="656"/>
      <c r="ED241" s="656"/>
      <c r="EE241" s="610"/>
      <c r="EF241" s="610"/>
      <c r="EG241" s="12"/>
      <c r="EH241" s="12"/>
      <c r="EI241" s="33"/>
      <c r="EJ241" s="33"/>
      <c r="EK241" s="33"/>
      <c r="EL241" s="33"/>
      <c r="EM241" s="33"/>
      <c r="EN241" s="33"/>
      <c r="EO241" s="33"/>
      <c r="EP241" s="33"/>
      <c r="EQ241" s="33"/>
      <c r="ER241" s="33"/>
      <c r="ES241" s="33"/>
      <c r="ET241" s="33"/>
      <c r="EU241" s="33"/>
      <c r="EV241" s="33"/>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c r="HB241"/>
      <c r="HC241"/>
      <c r="HD241"/>
      <c r="HE241"/>
      <c r="HF241"/>
      <c r="HG241"/>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c r="IU241"/>
      <c r="IV241"/>
    </row>
    <row r="242" spans="1:256" s="220" customFormat="1" ht="11.25" hidden="1" customHeight="1" outlineLevel="1">
      <c r="A242" s="78"/>
      <c r="DQ242" s="590"/>
      <c r="DR242" s="618"/>
      <c r="DS242" s="618"/>
      <c r="DT242" s="230"/>
      <c r="DU242" s="623"/>
      <c r="DV242" s="623"/>
      <c r="DW242" s="623"/>
      <c r="DX242" s="623"/>
      <c r="DY242" s="615"/>
      <c r="DZ242" s="623"/>
      <c r="EA242" s="623"/>
      <c r="EB242" s="623"/>
      <c r="EC242" s="623"/>
      <c r="ED242" s="623"/>
      <c r="EE242" s="610"/>
      <c r="EF242" s="610"/>
      <c r="EG242" s="12"/>
      <c r="EH242" s="12"/>
      <c r="EI242" s="33"/>
      <c r="EJ242" s="33"/>
      <c r="EK242" s="33"/>
      <c r="EL242" s="33"/>
      <c r="EM242" s="33"/>
      <c r="EN242" s="33"/>
      <c r="EO242" s="33"/>
      <c r="EP242" s="33"/>
      <c r="EQ242" s="33"/>
      <c r="ER242" s="33"/>
      <c r="ES242" s="33"/>
      <c r="ET242" s="33"/>
      <c r="EU242" s="33"/>
      <c r="EV242" s="33"/>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c r="HB242"/>
      <c r="HC242"/>
      <c r="HD242"/>
      <c r="HE242"/>
      <c r="HF242"/>
      <c r="HG242"/>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c r="IU242"/>
      <c r="IV242"/>
    </row>
    <row r="243" spans="1:256" s="220" customFormat="1" ht="11.25" hidden="1" customHeight="1" outlineLevel="2">
      <c r="A243" s="78"/>
      <c r="DQ243" s="590"/>
      <c r="DR243" s="658" t="s">
        <v>1461</v>
      </c>
      <c r="DS243" s="658"/>
      <c r="DT243" s="659"/>
      <c r="DU243" s="660"/>
      <c r="DV243" s="660"/>
      <c r="DW243" s="660"/>
      <c r="DX243" s="660"/>
      <c r="DY243" s="615"/>
      <c r="DZ243" s="660"/>
      <c r="EA243" s="660"/>
      <c r="EB243" s="632"/>
      <c r="EC243" s="632"/>
      <c r="ED243" s="660"/>
      <c r="EE243" s="661"/>
      <c r="EF243" s="661"/>
      <c r="EG243" s="12"/>
      <c r="EH243" s="12"/>
      <c r="EI243" s="33"/>
      <c r="EJ243" s="33"/>
      <c r="EK243" s="33"/>
      <c r="EL243" s="33"/>
      <c r="EM243" s="33"/>
      <c r="EN243" s="33"/>
      <c r="EO243" s="33"/>
      <c r="EP243" s="33"/>
      <c r="EQ243" s="33"/>
      <c r="ER243" s="33"/>
      <c r="ES243" s="33"/>
      <c r="ET243" s="33"/>
      <c r="EU243" s="33"/>
      <c r="EV243" s="3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c r="IU243"/>
      <c r="IV243"/>
    </row>
    <row r="244" spans="1:256" s="220" customFormat="1" ht="11.25" hidden="1" customHeight="1" outlineLevel="2">
      <c r="A244" s="78"/>
      <c r="DQ244" s="590"/>
      <c r="DR244" s="237" t="s">
        <v>1462</v>
      </c>
      <c r="DS244" s="238"/>
      <c r="DT244" s="229"/>
      <c r="DU244" s="623"/>
      <c r="DV244" s="614"/>
      <c r="DW244" s="623"/>
      <c r="DX244" s="623"/>
      <c r="DY244" s="615"/>
      <c r="DZ244" s="623" t="e">
        <f>#REF!</f>
        <v>#REF!</v>
      </c>
      <c r="EA244" s="623"/>
      <c r="EB244" s="623"/>
      <c r="EC244" s="623"/>
      <c r="ED244" s="623"/>
      <c r="EE244" s="610"/>
      <c r="EF244" s="610"/>
      <c r="EG244" s="12"/>
      <c r="EH244" s="12"/>
      <c r="EI244" s="33"/>
      <c r="EJ244" s="33"/>
      <c r="EK244" s="33"/>
      <c r="EL244" s="33"/>
      <c r="EM244" s="33"/>
      <c r="EN244" s="33"/>
      <c r="EO244" s="33"/>
      <c r="EP244" s="33"/>
      <c r="EQ244" s="33"/>
      <c r="ER244" s="33"/>
      <c r="ES244" s="33"/>
      <c r="ET244" s="33"/>
      <c r="EU244" s="33"/>
      <c r="EV244" s="33"/>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c r="HB244"/>
      <c r="HC244"/>
      <c r="HD244"/>
      <c r="HE244"/>
      <c r="HF244"/>
      <c r="HG244"/>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c r="IU244"/>
      <c r="IV244"/>
    </row>
    <row r="245" spans="1:256" s="220" customFormat="1" ht="11.25" hidden="1" customHeight="1" outlineLevel="2">
      <c r="A245" s="78"/>
      <c r="DQ245" s="590"/>
      <c r="DR245" s="238" t="s">
        <v>453</v>
      </c>
      <c r="DS245" s="238"/>
      <c r="DT245" s="230"/>
      <c r="DU245" s="623"/>
      <c r="DV245" s="614"/>
      <c r="DW245" s="623"/>
      <c r="DX245" s="623"/>
      <c r="DY245" s="615"/>
      <c r="DZ245" s="623" t="e">
        <f>#REF!</f>
        <v>#REF!</v>
      </c>
      <c r="EA245" s="623"/>
      <c r="EB245" s="623"/>
      <c r="EC245" s="623"/>
      <c r="ED245" s="623"/>
      <c r="EE245" s="610"/>
      <c r="EF245" s="610"/>
      <c r="EG245" s="12"/>
      <c r="EH245" s="12"/>
      <c r="EI245" s="33"/>
      <c r="EJ245" s="33"/>
      <c r="EK245" s="33"/>
      <c r="EL245" s="33"/>
      <c r="EM245" s="33"/>
      <c r="EN245" s="33"/>
      <c r="EO245" s="33"/>
      <c r="EP245" s="33"/>
      <c r="EQ245" s="33"/>
      <c r="ER245" s="33"/>
      <c r="ES245" s="33"/>
      <c r="ET245" s="33"/>
      <c r="EU245" s="33"/>
      <c r="EV245" s="33"/>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c r="HB245"/>
      <c r="HC245"/>
      <c r="HD245"/>
      <c r="HE245"/>
      <c r="HF245"/>
      <c r="HG245"/>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c r="IU245"/>
      <c r="IV245"/>
    </row>
    <row r="246" spans="1:256" s="220" customFormat="1" ht="11.25" hidden="1" customHeight="1" outlineLevel="2">
      <c r="A246" s="78"/>
      <c r="DQ246" s="590"/>
      <c r="DR246" s="238" t="s">
        <v>457</v>
      </c>
      <c r="DS246" s="238"/>
      <c r="DT246" s="230"/>
      <c r="DU246" s="623"/>
      <c r="DV246" s="614"/>
      <c r="DW246" s="623"/>
      <c r="DX246" s="623"/>
      <c r="DY246" s="615"/>
      <c r="DZ246" s="623" t="e">
        <f>#REF!</f>
        <v>#REF!</v>
      </c>
      <c r="EA246" s="623"/>
      <c r="EB246" s="623"/>
      <c r="EC246" s="623"/>
      <c r="ED246" s="623"/>
      <c r="EE246" s="610"/>
      <c r="EF246" s="610"/>
      <c r="EG246" s="12"/>
      <c r="EH246" s="12"/>
      <c r="EI246" s="33"/>
      <c r="EJ246" s="33"/>
      <c r="EK246" s="33"/>
      <c r="EL246" s="33"/>
      <c r="EM246" s="33"/>
      <c r="EN246" s="33"/>
      <c r="EO246" s="33"/>
      <c r="EP246" s="33"/>
      <c r="EQ246" s="33"/>
      <c r="ER246" s="33"/>
      <c r="ES246" s="33"/>
      <c r="ET246" s="33"/>
      <c r="EU246" s="33"/>
      <c r="EV246" s="33"/>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c r="HB246"/>
      <c r="HC246"/>
      <c r="HD246"/>
      <c r="HE246"/>
      <c r="HF246"/>
      <c r="HG246"/>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c r="IU246"/>
      <c r="IV246"/>
    </row>
    <row r="247" spans="1:256" s="220" customFormat="1" ht="11.25" hidden="1" customHeight="1" outlineLevel="2">
      <c r="A247" s="78"/>
      <c r="DQ247" s="590"/>
      <c r="DR247" s="238" t="s">
        <v>458</v>
      </c>
      <c r="DS247" s="238"/>
      <c r="DT247" s="230"/>
      <c r="DU247" s="623"/>
      <c r="DV247" s="614"/>
      <c r="DW247" s="623"/>
      <c r="DX247" s="623"/>
      <c r="DY247" s="615"/>
      <c r="DZ247" s="623" t="e">
        <f>#REF!</f>
        <v>#REF!</v>
      </c>
      <c r="EA247" s="623"/>
      <c r="EB247" s="623"/>
      <c r="EC247" s="623"/>
      <c r="ED247" s="623"/>
      <c r="EE247" s="610"/>
      <c r="EF247" s="610"/>
      <c r="EG247" s="12"/>
      <c r="EH247" s="12"/>
      <c r="EI247" s="33"/>
      <c r="EJ247" s="33"/>
      <c r="EK247" s="33"/>
      <c r="EL247" s="33"/>
      <c r="EM247" s="33"/>
      <c r="EN247" s="33"/>
      <c r="EO247" s="33"/>
      <c r="EP247" s="33"/>
      <c r="EQ247" s="33"/>
      <c r="ER247" s="33"/>
      <c r="ES247" s="33"/>
      <c r="ET247" s="33"/>
      <c r="EU247" s="33"/>
      <c r="EV247" s="33"/>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c r="HB247"/>
      <c r="HC247"/>
      <c r="HD247"/>
      <c r="HE247"/>
      <c r="HF247"/>
      <c r="HG247"/>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c r="IU247"/>
      <c r="IV247"/>
    </row>
    <row r="248" spans="1:256" s="220" customFormat="1" ht="11.25" hidden="1" customHeight="1" outlineLevel="2">
      <c r="A248" s="78"/>
      <c r="DQ248" s="590"/>
      <c r="DR248" s="238" t="s">
        <v>1463</v>
      </c>
      <c r="DS248" s="238"/>
      <c r="DT248" s="229"/>
      <c r="DU248" s="623"/>
      <c r="DV248" s="623"/>
      <c r="DW248" s="623"/>
      <c r="DX248" s="623"/>
      <c r="DY248" s="615"/>
      <c r="DZ248" s="623" t="e">
        <f>-#REF!</f>
        <v>#REF!</v>
      </c>
      <c r="EA248" s="623"/>
      <c r="EB248" s="623"/>
      <c r="EC248" s="623"/>
      <c r="ED248" s="623"/>
      <c r="EE248" s="610"/>
      <c r="EF248" s="610"/>
      <c r="EG248" s="12"/>
      <c r="EH248" s="12"/>
      <c r="EI248" s="33"/>
      <c r="EJ248" s="33"/>
      <c r="EK248" s="33"/>
      <c r="EL248" s="33"/>
      <c r="EM248" s="33"/>
      <c r="EN248" s="33"/>
      <c r="EO248" s="33"/>
      <c r="EP248" s="33"/>
      <c r="EQ248" s="33"/>
      <c r="ER248" s="33"/>
      <c r="ES248" s="33"/>
      <c r="ET248" s="33"/>
      <c r="EU248" s="33"/>
      <c r="EV248" s="33"/>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c r="HB248"/>
      <c r="HC248"/>
      <c r="HD248"/>
      <c r="HE248"/>
      <c r="HF248"/>
      <c r="HG248"/>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c r="IU248"/>
      <c r="IV248"/>
    </row>
    <row r="249" spans="1:256" s="220" customFormat="1" ht="11.25" hidden="1" customHeight="1" outlineLevel="2">
      <c r="A249" s="78"/>
      <c r="DQ249" s="590"/>
      <c r="DR249" s="238" t="s">
        <v>459</v>
      </c>
      <c r="DS249" s="238"/>
      <c r="DT249" s="230"/>
      <c r="DU249" s="632"/>
      <c r="DV249" s="623"/>
      <c r="DW249" s="632"/>
      <c r="DX249" s="632"/>
      <c r="DY249" s="615"/>
      <c r="DZ249" s="632" t="e">
        <f>#REF!</f>
        <v>#REF!</v>
      </c>
      <c r="EA249" s="632"/>
      <c r="EB249" s="632"/>
      <c r="EC249" s="632"/>
      <c r="ED249" s="632"/>
      <c r="EE249" s="634"/>
      <c r="EF249" s="634"/>
      <c r="EG249" s="12"/>
      <c r="EH249" s="12"/>
      <c r="EI249" s="33"/>
      <c r="EJ249" s="33"/>
      <c r="EK249" s="33"/>
      <c r="EL249" s="33"/>
      <c r="EM249" s="33"/>
      <c r="EN249" s="33"/>
      <c r="EO249" s="33"/>
      <c r="EP249" s="33"/>
      <c r="EQ249" s="33"/>
      <c r="ER249" s="33"/>
      <c r="ES249" s="33"/>
      <c r="ET249" s="33"/>
      <c r="EU249" s="33"/>
      <c r="EV249" s="33"/>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c r="HB249"/>
      <c r="HC249"/>
      <c r="HD249"/>
      <c r="HE249"/>
      <c r="HF249"/>
      <c r="HG249"/>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c r="IU249"/>
      <c r="IV249"/>
    </row>
    <row r="250" spans="1:256" s="220" customFormat="1" ht="11.25" hidden="1" customHeight="1" outlineLevel="1" collapsed="1">
      <c r="A250" s="78"/>
      <c r="DQ250" s="590"/>
      <c r="DR250" s="662" t="s">
        <v>1464</v>
      </c>
      <c r="DS250" s="662"/>
      <c r="DT250" s="663">
        <f>DT241-SUM(DT244:DT249)</f>
        <v>167.27600000000001</v>
      </c>
      <c r="DU250" s="664"/>
      <c r="DV250" s="664">
        <f>DV241+SUM(DV244:DV249)</f>
        <v>167.27600000000001</v>
      </c>
      <c r="DW250" s="665"/>
      <c r="DX250" s="665"/>
      <c r="DY250" s="615"/>
      <c r="DZ250" s="664" t="e">
        <f>DZ241-SUM(DZ244:DZ249)</f>
        <v>#REF!</v>
      </c>
      <c r="EA250" s="664">
        <f>EA241-SUM(EA244:EA249)</f>
        <v>117.27200000000002</v>
      </c>
      <c r="EB250" s="666"/>
      <c r="EC250" s="666"/>
      <c r="ED250" s="666"/>
      <c r="EE250" s="667"/>
      <c r="EF250" s="667"/>
      <c r="EG250" s="12"/>
      <c r="EH250" s="12"/>
      <c r="EI250" s="228"/>
      <c r="EJ250" s="33"/>
      <c r="EK250" s="33"/>
      <c r="EL250" s="33"/>
      <c r="EM250" s="33"/>
      <c r="EN250" s="33"/>
      <c r="EO250" s="33"/>
      <c r="EP250" s="33"/>
      <c r="EQ250" s="33"/>
      <c r="ER250" s="33"/>
      <c r="ES250" s="33"/>
      <c r="ET250" s="33"/>
      <c r="EU250" s="33"/>
      <c r="EV250" s="33"/>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c r="HB250"/>
      <c r="HC250"/>
      <c r="HD250"/>
      <c r="HE250"/>
      <c r="HF250"/>
      <c r="HG250"/>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c r="IU250"/>
      <c r="IV250"/>
    </row>
    <row r="251" spans="1:256" s="220" customFormat="1" ht="11.25" hidden="1" customHeight="1" outlineLevel="1">
      <c r="A251" s="78"/>
      <c r="DQ251" s="590"/>
      <c r="DR251" s="618"/>
      <c r="DS251" s="618"/>
      <c r="DT251" s="230"/>
      <c r="DU251" s="623"/>
      <c r="DV251" s="623"/>
      <c r="DW251" s="623"/>
      <c r="DX251" s="623"/>
      <c r="DY251" s="615"/>
      <c r="DZ251" s="623"/>
      <c r="EA251" s="623"/>
      <c r="EB251" s="623"/>
      <c r="EC251" s="623"/>
      <c r="ED251" s="623"/>
      <c r="EE251" s="610"/>
      <c r="EF251" s="610"/>
      <c r="EG251" s="12"/>
      <c r="EH251" s="12"/>
      <c r="EI251" s="33"/>
      <c r="EJ251" s="33"/>
      <c r="EK251" s="33"/>
      <c r="EL251" s="33"/>
      <c r="EM251" s="33"/>
      <c r="EN251" s="33"/>
      <c r="EO251" s="33"/>
      <c r="EP251" s="33"/>
      <c r="EQ251" s="33"/>
      <c r="ER251" s="33"/>
      <c r="ES251" s="33"/>
      <c r="ET251" s="33"/>
      <c r="EU251" s="33"/>
      <c r="EV251" s="33"/>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c r="HB251"/>
      <c r="HC251"/>
      <c r="HD251"/>
      <c r="HE251"/>
      <c r="HF251"/>
      <c r="HG251"/>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c r="IU251"/>
      <c r="IV251"/>
    </row>
    <row r="252" spans="1:256" s="220" customFormat="1" ht="11.25" hidden="1" customHeight="1" outlineLevel="1">
      <c r="A252" s="78"/>
      <c r="DQ252" s="590"/>
      <c r="DR252" s="618" t="s">
        <v>460</v>
      </c>
      <c r="DS252" s="618"/>
      <c r="DT252" s="668" t="str">
        <f>IF(ISERROR(DT250/#REF!), "NM", (DT250/#REF!))</f>
        <v>NM</v>
      </c>
      <c r="DU252" s="669"/>
      <c r="DV252" s="670" t="str">
        <f>IF(ISERROR((DT252-DU252)), "NM", DT252-DU252)</f>
        <v>NM</v>
      </c>
      <c r="DW252" s="671"/>
      <c r="DX252" s="671"/>
      <c r="DY252" s="615"/>
      <c r="DZ252" s="669" t="str">
        <f>IF(ISERROR(DZ250/#REF!), "NM", (DZ250/#REF!))</f>
        <v>NM</v>
      </c>
      <c r="EA252" s="671" t="str">
        <f>IF(ISERROR(EA250/#REF!), "NM", (EA250/#REF!))</f>
        <v>NM</v>
      </c>
      <c r="EB252" s="656"/>
      <c r="EC252" s="656"/>
      <c r="ED252" s="656"/>
      <c r="EE252" s="653"/>
      <c r="EF252" s="653"/>
      <c r="EG252" s="12"/>
      <c r="EH252" s="12"/>
      <c r="EI252" s="33"/>
      <c r="EJ252" s="33"/>
      <c r="EK252" s="33"/>
      <c r="EL252" s="33"/>
      <c r="EM252" s="33"/>
      <c r="EN252" s="33"/>
      <c r="EO252" s="33"/>
      <c r="EP252" s="33"/>
      <c r="EQ252" s="33"/>
      <c r="ER252" s="33"/>
      <c r="ES252" s="33"/>
      <c r="ET252" s="33"/>
      <c r="EU252" s="33"/>
      <c r="EV252" s="33"/>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c r="HB252"/>
      <c r="HC252"/>
      <c r="HD252"/>
      <c r="HE252"/>
      <c r="HF252"/>
      <c r="HG252"/>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c r="IU252"/>
      <c r="IV252"/>
    </row>
    <row r="253" spans="1:256" s="220" customFormat="1" ht="11.25" hidden="1" customHeight="1" outlineLevel="1">
      <c r="A253" s="78"/>
      <c r="DQ253" s="590"/>
      <c r="DR253" s="618" t="s">
        <v>461</v>
      </c>
      <c r="DS253" s="618"/>
      <c r="DT253" s="668" t="str">
        <f>IF(ISERROR(DT250/#REF!), "NM", (DT250/#REF!))</f>
        <v>NM</v>
      </c>
      <c r="DU253" s="669"/>
      <c r="DV253" s="670" t="str">
        <f>IF(ISERROR((DT253-DU253)), "NM", DT253-DU253)</f>
        <v>NM</v>
      </c>
      <c r="DW253" s="671"/>
      <c r="DX253" s="671"/>
      <c r="DY253" s="615"/>
      <c r="DZ253" s="669" t="str">
        <f>IF(ISERROR(DZ250/#REF!), "NM", (DZ250/#REF!))</f>
        <v>NM</v>
      </c>
      <c r="EA253" s="671" t="str">
        <f>IF(ISERROR(EA250/#REF!), "NM", (EA250/#REF!))</f>
        <v>NM</v>
      </c>
      <c r="EB253" s="656"/>
      <c r="EC253" s="656"/>
      <c r="ED253" s="656"/>
      <c r="EE253" s="653"/>
      <c r="EF253" s="653"/>
      <c r="EG253" s="12"/>
      <c r="EH253" s="12"/>
      <c r="EI253" s="33"/>
      <c r="EJ253" s="33"/>
      <c r="EK253" s="33"/>
      <c r="EL253" s="33"/>
      <c r="EM253" s="33"/>
      <c r="EN253" s="33"/>
      <c r="EO253" s="33"/>
      <c r="EP253" s="33"/>
      <c r="EQ253" s="33"/>
      <c r="ER253" s="33"/>
      <c r="ES253" s="33"/>
      <c r="ET253" s="33"/>
      <c r="EU253" s="33"/>
      <c r="EV253" s="3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c r="IU253"/>
      <c r="IV253"/>
    </row>
    <row r="254" spans="1:256" s="220" customFormat="1" ht="11.25" customHeight="1" collapsed="1">
      <c r="A254" s="78"/>
      <c r="DQ254" s="590"/>
      <c r="DR254" s="672" t="s">
        <v>1465</v>
      </c>
      <c r="DS254" s="672"/>
      <c r="DT254" s="673">
        <v>0.53</v>
      </c>
      <c r="DU254" s="675"/>
      <c r="DV254" s="675">
        <f>IF(ISERROR((DT254-DU254)), "NM", DT254-DU254)</f>
        <v>0.53</v>
      </c>
      <c r="DW254" s="676">
        <v>0.28999999999999998</v>
      </c>
      <c r="DX254" s="677">
        <f>DU254-DW254</f>
        <v>-0.28999999999999998</v>
      </c>
      <c r="DY254" s="615"/>
      <c r="DZ254" s="674">
        <f>IS!CM78</f>
        <v>0.28401356915790166</v>
      </c>
      <c r="EA254" s="674">
        <f>IS!CJ78</f>
        <v>0.34814269952188348</v>
      </c>
      <c r="EB254" s="678">
        <f>$DU254/DZ254-1</f>
        <v>-1</v>
      </c>
      <c r="EC254" s="678">
        <f>$DU254/EA254-1</f>
        <v>-1</v>
      </c>
      <c r="ED254" s="679"/>
      <c r="EE254" s="679">
        <f>DT254/DZ254-1</f>
        <v>0.86610802283653743</v>
      </c>
      <c r="EF254" s="679">
        <f>DT254/EA254-1</f>
        <v>0.52236425100358996</v>
      </c>
      <c r="EG254" s="681"/>
      <c r="EH254" s="12"/>
      <c r="EI254" s="239"/>
      <c r="EJ254" s="33"/>
      <c r="EK254" s="239"/>
      <c r="EL254" s="33"/>
      <c r="EM254" s="33"/>
      <c r="EN254" s="33"/>
      <c r="EO254" s="33"/>
      <c r="EP254" s="33"/>
      <c r="EQ254" s="33"/>
      <c r="ER254" s="33"/>
      <c r="ES254" s="33"/>
      <c r="ET254" s="33"/>
      <c r="EU254" s="33"/>
      <c r="EV254" s="33"/>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c r="IU254"/>
      <c r="IV254"/>
    </row>
    <row r="255" spans="1:256" s="220" customFormat="1" ht="1.5" customHeight="1">
      <c r="A255" s="78"/>
      <c r="DQ255" s="590"/>
      <c r="DR255" s="618"/>
      <c r="DS255" s="618"/>
      <c r="DT255" s="230"/>
      <c r="DU255" s="623"/>
      <c r="DV255" s="623"/>
      <c r="DW255" s="623"/>
      <c r="DX255" s="682"/>
      <c r="DY255" s="615"/>
      <c r="DZ255" s="623"/>
      <c r="EA255" s="623"/>
      <c r="EB255" s="623"/>
      <c r="EC255" s="623"/>
      <c r="ED255" s="623"/>
      <c r="EE255" s="608"/>
      <c r="EF255" s="608"/>
      <c r="EG255" s="12"/>
      <c r="EH255" s="12"/>
      <c r="EI255" s="33"/>
      <c r="EJ255" s="33"/>
      <c r="EK255" s="33"/>
      <c r="EL255" s="33"/>
      <c r="EM255" s="33"/>
      <c r="EN255" s="33"/>
      <c r="EO255" s="33"/>
      <c r="EP255" s="33"/>
      <c r="EQ255" s="33"/>
      <c r="ER255" s="33"/>
      <c r="ES255" s="33"/>
      <c r="ET255" s="33"/>
      <c r="EU255" s="33"/>
      <c r="EV255" s="33"/>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c r="HB255"/>
      <c r="HC255"/>
      <c r="HD255"/>
      <c r="HE255"/>
      <c r="HF255"/>
      <c r="HG255"/>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c r="IU255"/>
      <c r="IV255"/>
    </row>
    <row r="256" spans="1:256" s="220" customFormat="1" ht="11.25" hidden="1" customHeight="1" outlineLevel="2">
      <c r="A256" s="78"/>
      <c r="DQ256" s="590"/>
      <c r="DR256" s="618" t="s">
        <v>994</v>
      </c>
      <c r="DS256" s="618"/>
      <c r="DT256" s="230">
        <f>DT225</f>
        <v>167.27600000000001</v>
      </c>
      <c r="DU256" s="605"/>
      <c r="DV256" s="613">
        <f>DT256-DU256</f>
        <v>167.27600000000001</v>
      </c>
      <c r="DW256" s="605">
        <f>DW225</f>
        <v>151.80000000000001</v>
      </c>
      <c r="DX256" s="612">
        <f>DU256-DW256</f>
        <v>-151.80000000000001</v>
      </c>
      <c r="DY256" s="615"/>
      <c r="DZ256" s="605">
        <f>DZ225</f>
        <v>144.37900000000002</v>
      </c>
      <c r="EA256" s="605">
        <f>EA225</f>
        <v>117.27200000000002</v>
      </c>
      <c r="EB256" s="608">
        <f t="shared" ref="EB256:EC258" si="27">$DU256/DZ256-1</f>
        <v>-1</v>
      </c>
      <c r="EC256" s="608">
        <f t="shared" si="27"/>
        <v>-1</v>
      </c>
      <c r="ED256" s="608"/>
      <c r="EE256" s="656">
        <f>IF(OR(DU256&lt;0,DZ256&lt; 0), "NM",DU256 /DZ256-1)</f>
        <v>-1</v>
      </c>
      <c r="EF256" s="683">
        <f>IF(OR(DU256&lt;0,EA256&lt; 0), "NM",DU256 /EA256-1)</f>
        <v>-1</v>
      </c>
      <c r="EG256" s="12"/>
      <c r="EH256" s="12"/>
      <c r="EI256" s="228"/>
      <c r="EJ256" s="33"/>
      <c r="EK256" s="228"/>
      <c r="EL256" s="33"/>
      <c r="EM256" s="33"/>
      <c r="EN256"/>
      <c r="EO256"/>
      <c r="EP256"/>
      <c r="EQ256"/>
      <c r="ER256"/>
      <c r="ES256"/>
      <c r="ET256" s="33"/>
      <c r="EU256" s="33"/>
      <c r="EV256" s="33"/>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c r="HB256"/>
      <c r="HC256"/>
      <c r="HD256"/>
      <c r="HE256"/>
      <c r="HF256"/>
      <c r="HG256"/>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c r="IU256"/>
      <c r="IV256"/>
    </row>
    <row r="257" spans="1:256" s="220" customFormat="1" ht="11.25" customHeight="1" outlineLevel="1" collapsed="1">
      <c r="A257" s="78"/>
      <c r="DQ257" s="590"/>
      <c r="DR257" s="684" t="s">
        <v>195</v>
      </c>
      <c r="DS257" s="684"/>
      <c r="DT257" s="230">
        <v>172.51599999999999</v>
      </c>
      <c r="DU257" s="623"/>
      <c r="DV257" s="632">
        <f>DT257-DU257</f>
        <v>172.51599999999999</v>
      </c>
      <c r="DW257" s="696">
        <v>177.6</v>
      </c>
      <c r="DX257" s="697">
        <f>DU257-DW257</f>
        <v>-177.6</v>
      </c>
      <c r="DY257" s="615"/>
      <c r="DZ257" s="623">
        <f>BS!BW133</f>
        <v>143.4</v>
      </c>
      <c r="EA257" s="623">
        <f>BS!BT133</f>
        <v>143.4</v>
      </c>
      <c r="EB257" s="608">
        <f t="shared" si="27"/>
        <v>-1</v>
      </c>
      <c r="EC257" s="608">
        <f t="shared" si="27"/>
        <v>-1</v>
      </c>
      <c r="ED257" s="608"/>
      <c r="EE257" s="698">
        <f>DT257/DZ257-1</f>
        <v>0.2030404463040445</v>
      </c>
      <c r="EF257" s="698">
        <f>DT257/EA257-1</f>
        <v>0.2030404463040445</v>
      </c>
      <c r="EG257" s="12"/>
      <c r="EH257" s="12"/>
      <c r="EI257" s="227"/>
      <c r="EJ257" s="33"/>
      <c r="EK257" s="228"/>
      <c r="EL257" s="33"/>
      <c r="EM257" s="33"/>
      <c r="EN257"/>
      <c r="EO257"/>
      <c r="EP257"/>
      <c r="EQ257"/>
      <c r="ER257"/>
      <c r="ES257"/>
      <c r="ET257" s="33"/>
      <c r="EU257" s="33"/>
      <c r="EV257" s="33"/>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c r="HB257"/>
      <c r="HC257"/>
      <c r="HD257"/>
      <c r="HE257"/>
      <c r="HF257"/>
      <c r="HG257"/>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c r="IU257"/>
      <c r="IV257"/>
    </row>
    <row r="258" spans="1:256" s="220" customFormat="1" ht="11.25" customHeight="1" outlineLevel="1">
      <c r="A258" s="78"/>
      <c r="DQ258" s="590"/>
      <c r="DR258" s="684" t="s">
        <v>175</v>
      </c>
      <c r="DS258" s="684"/>
      <c r="DT258" s="589">
        <f>37.361-0.215</f>
        <v>37.145999999999994</v>
      </c>
      <c r="DU258" s="623"/>
      <c r="DV258" s="632">
        <f>DT258-DU258</f>
        <v>37.145999999999994</v>
      </c>
      <c r="DW258" s="605"/>
      <c r="DX258" s="612"/>
      <c r="DY258" s="615"/>
      <c r="DZ258" s="623">
        <f>IS!CL50-IS!CL52</f>
        <v>38.052999999999997</v>
      </c>
      <c r="EA258" s="623">
        <f>IS!CJ50-IS!CJ52</f>
        <v>25.169</v>
      </c>
      <c r="EB258" s="608">
        <f t="shared" si="27"/>
        <v>-1</v>
      </c>
      <c r="EC258" s="608">
        <f t="shared" si="27"/>
        <v>-1</v>
      </c>
      <c r="ED258" s="608"/>
      <c r="EE258" s="698">
        <f>DT258/DZ258-1</f>
        <v>-2.3835177252779061E-2</v>
      </c>
      <c r="EF258" s="698">
        <f>DT258/EA258-1</f>
        <v>0.47586316500456882</v>
      </c>
      <c r="EG258" s="12"/>
      <c r="EH258" s="12"/>
      <c r="EI258" s="228"/>
      <c r="EJ258" s="33"/>
      <c r="EK258"/>
      <c r="EL258"/>
      <c r="EM258"/>
      <c r="EN258"/>
      <c r="EO258"/>
      <c r="EP258"/>
      <c r="EQ258"/>
      <c r="ER258"/>
      <c r="ES258"/>
      <c r="ET258"/>
      <c r="EU258"/>
      <c r="EV258"/>
      <c r="EW258"/>
      <c r="EX258"/>
      <c r="EY258"/>
      <c r="EZ258"/>
      <c r="FA258"/>
      <c r="FB258"/>
      <c r="FC258"/>
      <c r="FD258"/>
      <c r="FE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c r="HB258"/>
      <c r="HC258"/>
      <c r="HD258"/>
      <c r="HE258"/>
      <c r="HF258"/>
      <c r="HG258"/>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c r="IU258"/>
      <c r="IV258"/>
    </row>
    <row r="259" spans="1:256" s="220" customFormat="1" ht="12" customHeight="1" thickBot="1">
      <c r="A259" s="240"/>
      <c r="DQ259" s="590"/>
      <c r="DR259" s="685" t="s">
        <v>176</v>
      </c>
      <c r="DS259" s="685"/>
      <c r="DT259" s="693">
        <f>DT256-SUM(DT257:DT258)</f>
        <v>-42.385999999999967</v>
      </c>
      <c r="DU259" s="692"/>
      <c r="DV259" s="700">
        <f>DT259-DU259</f>
        <v>-42.385999999999967</v>
      </c>
      <c r="DW259" s="686"/>
      <c r="DX259" s="686"/>
      <c r="DY259" s="607"/>
      <c r="DZ259" s="692">
        <f>DZ256-SUM(DZ257:DZ258)</f>
        <v>-37.073999999999984</v>
      </c>
      <c r="EA259" s="692">
        <f>EA256-SUM(EA257:EA258)</f>
        <v>-51.296999999999997</v>
      </c>
      <c r="EB259" s="687" t="str">
        <f>IF(OR(DU259&lt;0,DZ259&lt; 0), "NM",DU259 /DZ259-1)</f>
        <v>NM</v>
      </c>
      <c r="EC259" s="687" t="str">
        <f>IF(OR(DU259&lt;0,EA259&lt; 0), "NM",DU259 /EA259-1)</f>
        <v>NM</v>
      </c>
      <c r="ED259" s="687"/>
      <c r="EE259" s="689"/>
      <c r="EF259" s="689"/>
      <c r="EG259" s="12"/>
      <c r="EH259" s="12"/>
      <c r="EI259" s="33"/>
      <c r="EJ259" s="33"/>
      <c r="EK259"/>
      <c r="EL259"/>
      <c r="EM259"/>
      <c r="EN259"/>
      <c r="EO259"/>
      <c r="EP259"/>
      <c r="EQ259"/>
      <c r="ER259"/>
      <c r="ES259"/>
      <c r="ET259"/>
      <c r="EU259"/>
      <c r="EV259"/>
      <c r="EW259"/>
      <c r="EX259"/>
      <c r="EY259"/>
      <c r="EZ259"/>
      <c r="FA259"/>
      <c r="FB259"/>
      <c r="FC259"/>
      <c r="FD259"/>
      <c r="FE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c r="HB259"/>
      <c r="HC259"/>
      <c r="HD259"/>
      <c r="HE259"/>
      <c r="HF259"/>
      <c r="HG259"/>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c r="IU259"/>
      <c r="IV259"/>
    </row>
    <row r="260" spans="1:256" ht="3" customHeight="1">
      <c r="DQ260" s="8"/>
      <c r="DR260" s="12"/>
      <c r="DS260" s="12"/>
      <c r="DT260" s="12"/>
      <c r="DU260" s="12"/>
      <c r="DV260" s="12"/>
      <c r="DW260" s="12"/>
      <c r="DX260" s="12"/>
      <c r="DY260" s="12"/>
      <c r="DZ260" s="12"/>
      <c r="EA260" s="12"/>
      <c r="EB260" s="12"/>
      <c r="EC260" s="12"/>
      <c r="ED260" s="12"/>
      <c r="EE260" s="12"/>
      <c r="EF260" s="12"/>
      <c r="EG260" s="12"/>
      <c r="EH260" s="8"/>
    </row>
    <row r="261" spans="1:256">
      <c r="DQ261" s="8"/>
      <c r="DR261" s="11" t="s">
        <v>1470</v>
      </c>
      <c r="DS261" s="12"/>
      <c r="DT261" s="12"/>
      <c r="DU261" s="12"/>
      <c r="DV261" s="8"/>
      <c r="DW261" s="12"/>
      <c r="DX261" s="12"/>
      <c r="DY261" s="12"/>
      <c r="DZ261" s="12"/>
      <c r="EA261" s="12"/>
      <c r="EB261" s="12"/>
      <c r="EC261" s="12"/>
      <c r="ED261" s="12"/>
      <c r="EE261" s="12"/>
      <c r="EF261" s="12"/>
      <c r="EG261" s="12"/>
      <c r="EH261" s="8"/>
    </row>
    <row r="262" spans="1:256" ht="13.5" thickBot="1">
      <c r="DQ262" s="8"/>
      <c r="DR262" s="12"/>
      <c r="DS262" s="12"/>
      <c r="DT262" s="12"/>
      <c r="DU262" s="12"/>
      <c r="DV262" s="8"/>
      <c r="DW262" s="12"/>
      <c r="DX262" s="12"/>
      <c r="DY262" s="12"/>
      <c r="DZ262" s="12"/>
      <c r="EA262" s="12"/>
      <c r="EB262" s="12"/>
      <c r="EC262" s="12"/>
      <c r="ED262" s="12"/>
      <c r="EE262" s="12"/>
      <c r="EF262" s="12"/>
      <c r="EG262" s="12"/>
      <c r="EH262" s="8"/>
    </row>
    <row r="263" spans="1:256" s="220" customFormat="1" ht="12" customHeight="1">
      <c r="A263" s="77"/>
      <c r="DQ263" s="590"/>
      <c r="DR263" s="591" t="s">
        <v>468</v>
      </c>
      <c r="DS263" s="591"/>
      <c r="DT263" s="592" t="s">
        <v>439</v>
      </c>
      <c r="DU263" s="593" t="s">
        <v>440</v>
      </c>
      <c r="DV263" s="593" t="s">
        <v>440</v>
      </c>
      <c r="DW263" s="593" t="s">
        <v>469</v>
      </c>
      <c r="DX263" s="593" t="s">
        <v>1468</v>
      </c>
      <c r="DY263" s="594"/>
      <c r="DZ263" s="593" t="s">
        <v>439</v>
      </c>
      <c r="EA263" s="593" t="s">
        <v>439</v>
      </c>
      <c r="EB263" s="593"/>
      <c r="EC263" s="593"/>
      <c r="ED263" s="593"/>
      <c r="EE263" s="593"/>
      <c r="EF263" s="593"/>
      <c r="EG263" s="12"/>
      <c r="EH263" s="8"/>
      <c r="EL263"/>
      <c r="EM263"/>
      <c r="EN263" s="33"/>
      <c r="EO263" s="33"/>
      <c r="EP263" s="33"/>
      <c r="EQ263" s="33"/>
      <c r="ER263" s="33"/>
      <c r="ES263" s="33"/>
      <c r="ET263" s="33"/>
      <c r="EU263" s="33"/>
      <c r="EV263" s="3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c r="HB263"/>
      <c r="HC263"/>
      <c r="HD263"/>
      <c r="HE263"/>
      <c r="HF263"/>
      <c r="HG263"/>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c r="IU263"/>
      <c r="IV263"/>
    </row>
    <row r="264" spans="1:256" s="220" customFormat="1" ht="11.25" customHeight="1">
      <c r="A264" s="221"/>
      <c r="DQ264" s="590"/>
      <c r="DR264" s="596" t="s">
        <v>177</v>
      </c>
      <c r="DS264" s="591"/>
      <c r="DT264" s="597" t="str">
        <f>DT208</f>
        <v>1Q11</v>
      </c>
      <c r="DU264" s="598" t="str">
        <f>DU208</f>
        <v>1Q11</v>
      </c>
      <c r="DV264" s="598" t="s">
        <v>441</v>
      </c>
      <c r="DW264" s="598" t="str">
        <f>DW208</f>
        <v>1Q11</v>
      </c>
      <c r="DX264" s="598" t="s">
        <v>442</v>
      </c>
      <c r="DY264" s="594"/>
      <c r="DZ264" s="598" t="str">
        <f>DZ208</f>
        <v>4Q10</v>
      </c>
      <c r="EA264" s="598" t="str">
        <f>EA208</f>
        <v>1Q10</v>
      </c>
      <c r="EB264" s="598" t="s">
        <v>443</v>
      </c>
      <c r="EC264" s="598" t="s">
        <v>444</v>
      </c>
      <c r="ED264" s="598"/>
      <c r="EE264" s="598" t="s">
        <v>443</v>
      </c>
      <c r="EF264" s="598" t="s">
        <v>444</v>
      </c>
      <c r="EG264" s="12"/>
      <c r="EH264" s="8"/>
      <c r="EL264"/>
      <c r="EM264"/>
      <c r="EN264" s="33"/>
      <c r="EO264" s="33"/>
      <c r="EP264" s="33"/>
      <c r="EQ264" s="33"/>
      <c r="ER264" s="33"/>
      <c r="ES264" s="33"/>
      <c r="ET264" s="33"/>
      <c r="EU264" s="33"/>
      <c r="EV264" s="33"/>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c r="HB264"/>
      <c r="HC264"/>
      <c r="HD264"/>
      <c r="HE264"/>
      <c r="HF264"/>
      <c r="HG264"/>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c r="IU264"/>
      <c r="IV264"/>
    </row>
    <row r="265" spans="1:256" s="220" customFormat="1" ht="2.25" customHeight="1">
      <c r="A265" s="221"/>
      <c r="DQ265" s="590"/>
      <c r="DR265" s="599"/>
      <c r="DS265" s="599"/>
      <c r="DT265" s="600"/>
      <c r="DU265" s="599"/>
      <c r="DV265" s="599"/>
      <c r="DW265" s="601"/>
      <c r="DX265" s="601"/>
      <c r="DY265" s="594"/>
      <c r="DZ265" s="599"/>
      <c r="EA265" s="599"/>
      <c r="EB265" s="599"/>
      <c r="EC265" s="599"/>
      <c r="ED265" s="599"/>
      <c r="EE265" s="602"/>
      <c r="EF265" s="602"/>
      <c r="EG265" s="12"/>
      <c r="EH265" s="8"/>
      <c r="EI265"/>
      <c r="EJ265"/>
      <c r="EK265"/>
      <c r="EL265"/>
      <c r="EM265"/>
      <c r="EN265" s="33"/>
      <c r="EO265" s="33"/>
      <c r="EP265" s="33"/>
      <c r="EQ265" s="33"/>
      <c r="ER265" s="33"/>
      <c r="ES265" s="33"/>
      <c r="ET265" s="33"/>
      <c r="EU265" s="33"/>
      <c r="EV265" s="33"/>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c r="HB265"/>
      <c r="HC265"/>
      <c r="HD265"/>
      <c r="HE265"/>
      <c r="HF265"/>
      <c r="HG265"/>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c r="IU265"/>
      <c r="IV265"/>
    </row>
    <row r="266" spans="1:256" s="220" customFormat="1" ht="11.25" customHeight="1" outlineLevel="1">
      <c r="A266" s="221"/>
      <c r="DQ266" s="590"/>
      <c r="DR266" s="238" t="s">
        <v>445</v>
      </c>
      <c r="DS266" s="238"/>
      <c r="DT266" s="600"/>
      <c r="DU266" s="599"/>
      <c r="DV266" s="599"/>
      <c r="DW266" s="599"/>
      <c r="DX266" s="599"/>
      <c r="DY266" s="594"/>
      <c r="DZ266" s="599"/>
      <c r="EA266" s="599"/>
      <c r="EB266" s="599"/>
      <c r="EC266" s="599"/>
      <c r="ED266" s="599"/>
      <c r="EE266" s="602"/>
      <c r="EF266" s="602"/>
      <c r="EG266" s="12"/>
      <c r="EH266" s="8"/>
      <c r="EI266"/>
      <c r="EJ266"/>
      <c r="EK266"/>
      <c r="EL266"/>
      <c r="EM266"/>
      <c r="EN266" s="33"/>
      <c r="EO266" s="33"/>
      <c r="EP266" s="33"/>
      <c r="EQ266" s="33"/>
      <c r="ER266" s="33"/>
      <c r="ES266" s="33"/>
      <c r="ET266" s="33"/>
      <c r="EU266" s="33"/>
      <c r="EV266" s="33"/>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c r="HB266"/>
      <c r="HC266"/>
      <c r="HD266"/>
      <c r="HE266"/>
      <c r="HF266"/>
      <c r="HG266"/>
      <c r="HH266"/>
      <c r="HI266"/>
      <c r="HJ266"/>
      <c r="HK266"/>
      <c r="HL266"/>
      <c r="HM266"/>
      <c r="HN266"/>
      <c r="HO266"/>
      <c r="HP266"/>
      <c r="HQ266"/>
      <c r="HR266"/>
      <c r="HS266"/>
      <c r="HT266"/>
      <c r="HU266"/>
      <c r="HV266"/>
      <c r="HW266"/>
      <c r="HX266"/>
      <c r="HY266"/>
      <c r="HZ266"/>
      <c r="IA266"/>
      <c r="IB266"/>
      <c r="IC266"/>
      <c r="ID266"/>
      <c r="IE266"/>
      <c r="IF266"/>
      <c r="IG266"/>
      <c r="IH266"/>
      <c r="II266"/>
      <c r="IJ266"/>
      <c r="IK266"/>
      <c r="IL266"/>
      <c r="IM266"/>
      <c r="IN266"/>
      <c r="IO266"/>
      <c r="IP266"/>
      <c r="IQ266"/>
      <c r="IR266"/>
      <c r="IS266"/>
      <c r="IT266"/>
      <c r="IU266"/>
      <c r="IV266"/>
    </row>
    <row r="267" spans="1:256" s="220" customFormat="1" ht="11.25" customHeight="1" outlineLevel="1">
      <c r="A267" s="78"/>
      <c r="DQ267" s="590"/>
      <c r="DR267" s="603" t="s">
        <v>1050</v>
      </c>
      <c r="DS267" s="604"/>
      <c r="DT267" s="226">
        <f t="shared" ref="DT267:DU270" si="28">DT211</f>
        <v>280.73500000000001</v>
      </c>
      <c r="DU267" s="605">
        <f t="shared" si="28"/>
        <v>0</v>
      </c>
      <c r="DV267" s="606">
        <f>(DT267-DU267)</f>
        <v>280.73500000000001</v>
      </c>
      <c r="DW267" s="602"/>
      <c r="DX267" s="602"/>
      <c r="DY267" s="607"/>
      <c r="DZ267" s="605">
        <f>DZ211</f>
        <v>258.48041055189532</v>
      </c>
      <c r="EA267" s="605">
        <v>237.50200000000001</v>
      </c>
      <c r="EB267" s="608">
        <f t="shared" ref="EB267:EB272" si="29">$DU267/DZ267-1</f>
        <v>-1</v>
      </c>
      <c r="EC267" s="608">
        <f t="shared" ref="EC267:EC272" si="30">$DU267/EA267-1</f>
        <v>-1</v>
      </c>
      <c r="ED267" s="609"/>
      <c r="EE267" s="610">
        <f>DT267/DZ267-1</f>
        <v>8.6097779714090272E-2</v>
      </c>
      <c r="EF267" s="610">
        <f>DT267/EA267-1</f>
        <v>0.1820321513081995</v>
      </c>
      <c r="EG267" s="12"/>
      <c r="EH267" s="8"/>
      <c r="EI267"/>
      <c r="EJ267"/>
      <c r="EK267"/>
      <c r="EL267"/>
      <c r="EM267"/>
      <c r="EN267" s="33"/>
      <c r="EO267" s="33"/>
      <c r="EP267" s="33"/>
      <c r="EQ267" s="33"/>
      <c r="ER267" s="33"/>
      <c r="ES267" s="33"/>
      <c r="ET267" s="33"/>
      <c r="EU267" s="33"/>
      <c r="EV267" s="33"/>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c r="HB267"/>
      <c r="HC267"/>
      <c r="HD267"/>
      <c r="HE267"/>
      <c r="HF267"/>
      <c r="HG267"/>
      <c r="HH267"/>
      <c r="HI267"/>
      <c r="HJ267"/>
      <c r="HK267"/>
      <c r="HL267"/>
      <c r="HM267"/>
      <c r="HN267"/>
      <c r="HO267"/>
      <c r="HP267"/>
      <c r="HQ267"/>
      <c r="HR267"/>
      <c r="HS267"/>
      <c r="HT267"/>
      <c r="HU267"/>
      <c r="HV267"/>
      <c r="HW267"/>
      <c r="HX267"/>
      <c r="HY267"/>
      <c r="HZ267"/>
      <c r="IA267"/>
      <c r="IB267"/>
      <c r="IC267"/>
      <c r="ID267"/>
      <c r="IE267"/>
      <c r="IF267"/>
      <c r="IG267"/>
      <c r="IH267"/>
      <c r="II267"/>
      <c r="IJ267"/>
      <c r="IK267"/>
      <c r="IL267"/>
      <c r="IM267"/>
      <c r="IN267"/>
      <c r="IO267"/>
      <c r="IP267"/>
      <c r="IQ267"/>
      <c r="IR267"/>
      <c r="IS267"/>
      <c r="IT267"/>
      <c r="IU267"/>
      <c r="IV267"/>
    </row>
    <row r="268" spans="1:256" s="220" customFormat="1" ht="11.25" customHeight="1" outlineLevel="1">
      <c r="A268" s="78"/>
      <c r="DQ268" s="590"/>
      <c r="DR268" s="611" t="s">
        <v>1124</v>
      </c>
      <c r="DS268" s="611"/>
      <c r="DT268" s="226">
        <f t="shared" si="28"/>
        <v>54.075000000000003</v>
      </c>
      <c r="DU268" s="605">
        <f t="shared" si="28"/>
        <v>0</v>
      </c>
      <c r="DV268" s="612">
        <f>(DT268-DU268)</f>
        <v>54.075000000000003</v>
      </c>
      <c r="DW268" s="613"/>
      <c r="DX268" s="614"/>
      <c r="DY268" s="615"/>
      <c r="DZ268" s="605">
        <f>DZ212</f>
        <v>50.134182296400596</v>
      </c>
      <c r="EA268" s="605">
        <v>45.88</v>
      </c>
      <c r="EB268" s="608">
        <f t="shared" si="29"/>
        <v>-1</v>
      </c>
      <c r="EC268" s="608">
        <f t="shared" si="30"/>
        <v>-1</v>
      </c>
      <c r="ED268" s="608"/>
      <c r="EE268" s="610">
        <f t="shared" ref="EE268:EE273" si="31">DT268/DZ268-1</f>
        <v>7.8605404996948458E-2</v>
      </c>
      <c r="EF268" s="610">
        <f t="shared" ref="EF268:EF273" si="32">DT268/EA268-1</f>
        <v>0.17861813426329554</v>
      </c>
      <c r="EG268" s="12"/>
      <c r="EH268" s="8"/>
      <c r="EI268"/>
      <c r="EJ268"/>
      <c r="EK268"/>
      <c r="EL268"/>
      <c r="EM268"/>
      <c r="EN268" s="33"/>
      <c r="EO268" s="33"/>
      <c r="EP268" s="33"/>
      <c r="EQ268" s="33"/>
      <c r="ER268" s="33"/>
      <c r="ES268" s="33"/>
      <c r="ET268" s="33"/>
      <c r="EU268" s="33"/>
      <c r="EV268" s="33"/>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c r="HB268"/>
      <c r="HC268"/>
      <c r="HD268"/>
      <c r="HE268"/>
      <c r="HF268"/>
      <c r="HG268"/>
      <c r="HH268"/>
      <c r="HI268"/>
      <c r="HJ268"/>
      <c r="HK268"/>
      <c r="HL268"/>
      <c r="HM268"/>
      <c r="HN268"/>
      <c r="HO268"/>
      <c r="HP268"/>
      <c r="HQ268"/>
      <c r="HR268"/>
      <c r="HS268"/>
      <c r="HT268"/>
      <c r="HU268"/>
      <c r="HV268"/>
      <c r="HW268"/>
      <c r="HX268"/>
      <c r="HY268"/>
      <c r="HZ268"/>
      <c r="IA268"/>
      <c r="IB268"/>
      <c r="IC268"/>
      <c r="ID268"/>
      <c r="IE268"/>
      <c r="IF268"/>
      <c r="IG268"/>
      <c r="IH268"/>
      <c r="II268"/>
      <c r="IJ268"/>
      <c r="IK268"/>
      <c r="IL268"/>
      <c r="IM268"/>
      <c r="IN268"/>
      <c r="IO268"/>
      <c r="IP268"/>
      <c r="IQ268"/>
      <c r="IR268"/>
      <c r="IS268"/>
      <c r="IT268"/>
      <c r="IU268"/>
      <c r="IV268"/>
    </row>
    <row r="269" spans="1:256" s="220" customFormat="1" ht="11.25" customHeight="1" outlineLevel="1">
      <c r="A269" s="78"/>
      <c r="DQ269" s="590"/>
      <c r="DR269" s="611" t="s">
        <v>1457</v>
      </c>
      <c r="DS269" s="611"/>
      <c r="DT269" s="226">
        <f t="shared" si="28"/>
        <v>8.4770000000000003</v>
      </c>
      <c r="DU269" s="605">
        <f t="shared" si="28"/>
        <v>0</v>
      </c>
      <c r="DV269" s="612"/>
      <c r="DW269" s="613"/>
      <c r="DX269" s="614"/>
      <c r="DY269" s="615"/>
      <c r="DZ269" s="605">
        <f>DZ213</f>
        <v>8.0693308734535485</v>
      </c>
      <c r="EA269" s="605">
        <v>7.3</v>
      </c>
      <c r="EB269" s="608">
        <f t="shared" si="29"/>
        <v>-1</v>
      </c>
      <c r="EC269" s="608">
        <f t="shared" si="30"/>
        <v>-1</v>
      </c>
      <c r="ED269" s="608"/>
      <c r="EE269" s="610">
        <f t="shared" si="31"/>
        <v>5.0520809338429729E-2</v>
      </c>
      <c r="EF269" s="610">
        <f t="shared" si="32"/>
        <v>0.16123287671232878</v>
      </c>
      <c r="EG269" s="12"/>
      <c r="EH269" s="8"/>
      <c r="EI269"/>
      <c r="EJ269"/>
      <c r="EK269"/>
      <c r="EL269"/>
      <c r="EM269"/>
      <c r="EN269" s="33"/>
      <c r="EO269" s="33"/>
      <c r="EP269" s="33"/>
      <c r="EQ269" s="33"/>
      <c r="ER269" s="33"/>
      <c r="ES269" s="33"/>
      <c r="ET269" s="33"/>
      <c r="EU269" s="33"/>
      <c r="EV269" s="33"/>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c r="HB269"/>
      <c r="HC269"/>
      <c r="HD269"/>
      <c r="HE269"/>
      <c r="HF269"/>
      <c r="HG269"/>
      <c r="HH269"/>
      <c r="HI269"/>
      <c r="HJ269"/>
      <c r="HK269"/>
      <c r="HL269"/>
      <c r="HM269"/>
      <c r="HN269"/>
      <c r="HO269"/>
      <c r="HP269"/>
      <c r="HQ269"/>
      <c r="HR269"/>
      <c r="HS269"/>
      <c r="HT269"/>
      <c r="HU269"/>
      <c r="HV269"/>
      <c r="HW269"/>
      <c r="HX269"/>
      <c r="HY269"/>
      <c r="HZ269"/>
      <c r="IA269"/>
      <c r="IB269"/>
      <c r="IC269"/>
      <c r="ID269"/>
      <c r="IE269"/>
      <c r="IF269"/>
      <c r="IG269"/>
      <c r="IH269"/>
      <c r="II269"/>
      <c r="IJ269"/>
      <c r="IK269"/>
      <c r="IL269"/>
      <c r="IM269"/>
      <c r="IN269"/>
      <c r="IO269"/>
      <c r="IP269"/>
      <c r="IQ269"/>
      <c r="IR269"/>
      <c r="IS269"/>
      <c r="IT269"/>
      <c r="IU269"/>
      <c r="IV269"/>
    </row>
    <row r="270" spans="1:256" s="220" customFormat="1" ht="11.25" customHeight="1" outlineLevel="1">
      <c r="A270" s="78"/>
      <c r="DQ270" s="590"/>
      <c r="DR270" s="611" t="s">
        <v>1222</v>
      </c>
      <c r="DS270" s="611"/>
      <c r="DT270" s="226">
        <f t="shared" si="28"/>
        <v>0.622</v>
      </c>
      <c r="DU270" s="605">
        <f t="shared" si="28"/>
        <v>0</v>
      </c>
      <c r="DV270" s="612"/>
      <c r="DW270" s="613"/>
      <c r="DX270" s="614"/>
      <c r="DY270" s="615"/>
      <c r="DZ270" s="605">
        <f>DZ214</f>
        <v>0.7490762782505499</v>
      </c>
      <c r="EA270" s="605">
        <v>0.34499999999999997</v>
      </c>
      <c r="EB270" s="608">
        <f t="shared" si="29"/>
        <v>-1</v>
      </c>
      <c r="EC270" s="608">
        <f t="shared" si="30"/>
        <v>-1</v>
      </c>
      <c r="ED270" s="608"/>
      <c r="EE270" s="610">
        <f t="shared" si="31"/>
        <v>-0.16964397610792536</v>
      </c>
      <c r="EF270" s="610">
        <f t="shared" si="32"/>
        <v>0.80289855072463778</v>
      </c>
      <c r="EG270" s="12"/>
      <c r="EH270" s="8"/>
      <c r="EI270"/>
      <c r="EJ270"/>
      <c r="EK270"/>
      <c r="EL270"/>
      <c r="EM270"/>
      <c r="EN270" s="33"/>
      <c r="EO270" s="33"/>
      <c r="EP270" s="33"/>
      <c r="EQ270" s="33"/>
      <c r="ER270" s="33"/>
      <c r="ES270" s="33"/>
      <c r="ET270" s="33"/>
      <c r="EU270" s="33"/>
      <c r="EV270" s="33"/>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c r="HB270"/>
      <c r="HC270"/>
      <c r="HD270"/>
      <c r="HE270"/>
      <c r="HF270"/>
      <c r="HG270"/>
      <c r="HH270"/>
      <c r="HI270"/>
      <c r="HJ270"/>
      <c r="HK270"/>
      <c r="HL270"/>
      <c r="HM270"/>
      <c r="HN270"/>
      <c r="HO270"/>
      <c r="HP270"/>
      <c r="HQ270"/>
      <c r="HR270"/>
      <c r="HS270"/>
      <c r="HT270"/>
      <c r="HU270"/>
      <c r="HV270"/>
      <c r="HW270"/>
      <c r="HX270"/>
      <c r="HY270"/>
      <c r="HZ270"/>
      <c r="IA270"/>
      <c r="IB270"/>
      <c r="IC270"/>
      <c r="ID270"/>
      <c r="IE270"/>
      <c r="IF270"/>
      <c r="IG270"/>
      <c r="IH270"/>
      <c r="II270"/>
      <c r="IJ270"/>
      <c r="IK270"/>
      <c r="IL270"/>
      <c r="IM270"/>
      <c r="IN270"/>
      <c r="IO270"/>
      <c r="IP270"/>
      <c r="IQ270"/>
      <c r="IR270"/>
      <c r="IS270"/>
      <c r="IT270"/>
      <c r="IU270"/>
      <c r="IV270"/>
    </row>
    <row r="271" spans="1:256" s="220" customFormat="1" ht="11.25" customHeight="1" outlineLevel="1">
      <c r="A271" s="78"/>
      <c r="DQ271" s="590"/>
      <c r="DR271" s="238" t="s">
        <v>1469</v>
      </c>
      <c r="DS271" s="611"/>
      <c r="DT271" s="229">
        <f>SUM(DT267:DT270)</f>
        <v>343.90899999999999</v>
      </c>
      <c r="DU271" s="616">
        <f>SUM(DU267:DU270)</f>
        <v>0</v>
      </c>
      <c r="DV271" s="612">
        <f>(DT271-DU271)</f>
        <v>343.90899999999999</v>
      </c>
      <c r="DW271" s="613"/>
      <c r="DX271" s="614"/>
      <c r="DY271" s="615"/>
      <c r="DZ271" s="616">
        <f>SUM(DZ267:DZ270)</f>
        <v>317.43299999999999</v>
      </c>
      <c r="EA271" s="616">
        <f>SUM(EA267:EA270)</f>
        <v>291.02700000000004</v>
      </c>
      <c r="EB271" s="608">
        <f t="shared" si="29"/>
        <v>-1</v>
      </c>
      <c r="EC271" s="608">
        <f t="shared" si="30"/>
        <v>-1</v>
      </c>
      <c r="ED271" s="608"/>
      <c r="EE271" s="610">
        <f t="shared" si="31"/>
        <v>8.3406577135962445E-2</v>
      </c>
      <c r="EF271" s="610">
        <f t="shared" si="32"/>
        <v>0.18170822638449335</v>
      </c>
      <c r="EG271" s="12"/>
      <c r="EH271" s="8"/>
      <c r="EI271"/>
      <c r="EJ271"/>
      <c r="EK271"/>
      <c r="EL271"/>
      <c r="EM271"/>
      <c r="EN271" s="33"/>
      <c r="EO271" s="33"/>
      <c r="EP271" s="33"/>
      <c r="EQ271" s="33"/>
      <c r="ER271" s="33"/>
      <c r="ES271" s="33"/>
      <c r="ET271" s="33"/>
      <c r="EU271" s="33"/>
      <c r="EV271" s="33"/>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c r="HB271"/>
      <c r="HC271"/>
      <c r="HD271"/>
      <c r="HE271"/>
      <c r="HF271"/>
      <c r="HG271"/>
      <c r="HH271"/>
      <c r="HI271"/>
      <c r="HJ271"/>
      <c r="HK271"/>
      <c r="HL271"/>
      <c r="HM271"/>
      <c r="HN271"/>
      <c r="HO271"/>
      <c r="HP271"/>
      <c r="HQ271"/>
      <c r="HR271"/>
      <c r="HS271"/>
      <c r="HT271"/>
      <c r="HU271"/>
      <c r="HV271"/>
      <c r="HW271"/>
      <c r="HX271"/>
      <c r="HY271"/>
      <c r="HZ271"/>
      <c r="IA271"/>
      <c r="IB271"/>
      <c r="IC271"/>
      <c r="ID271"/>
      <c r="IE271"/>
      <c r="IF271"/>
      <c r="IG271"/>
      <c r="IH271"/>
      <c r="II271"/>
      <c r="IJ271"/>
      <c r="IK271"/>
      <c r="IL271"/>
      <c r="IM271"/>
      <c r="IN271"/>
      <c r="IO271"/>
      <c r="IP271"/>
      <c r="IQ271"/>
      <c r="IR271"/>
      <c r="IS271"/>
      <c r="IT271"/>
      <c r="IU271"/>
      <c r="IV271"/>
    </row>
    <row r="272" spans="1:256" s="220" customFormat="1" ht="11.25" customHeight="1" outlineLevel="1">
      <c r="A272" s="78"/>
      <c r="DN272" s="220">
        <f>469/579-1</f>
        <v>-0.18998272884283252</v>
      </c>
      <c r="DQ272" s="590"/>
      <c r="DR272" s="611" t="s">
        <v>1458</v>
      </c>
      <c r="DS272" s="611"/>
      <c r="DT272" s="226">
        <f>DT216</f>
        <v>19.12</v>
      </c>
      <c r="DU272" s="605">
        <f>DU216</f>
        <v>0</v>
      </c>
      <c r="DV272" s="612">
        <f>(DT272-DU272)</f>
        <v>19.12</v>
      </c>
      <c r="DW272" s="613"/>
      <c r="DX272" s="614"/>
      <c r="DY272" s="615"/>
      <c r="DZ272" s="605">
        <f>DZ216</f>
        <v>18.721</v>
      </c>
      <c r="EA272" s="605">
        <v>14.317</v>
      </c>
      <c r="EB272" s="608">
        <f t="shared" si="29"/>
        <v>-1</v>
      </c>
      <c r="EC272" s="608">
        <f t="shared" si="30"/>
        <v>-1</v>
      </c>
      <c r="ED272" s="608"/>
      <c r="EE272" s="610">
        <f t="shared" si="31"/>
        <v>2.1312964051065642E-2</v>
      </c>
      <c r="EF272" s="610">
        <f t="shared" si="32"/>
        <v>0.33547530907312995</v>
      </c>
      <c r="EG272" s="12"/>
      <c r="EH272" s="8"/>
      <c r="EI272"/>
      <c r="EJ272"/>
      <c r="EK272"/>
      <c r="EL272"/>
      <c r="EM272"/>
      <c r="EN272" s="33"/>
      <c r="EO272" s="33"/>
      <c r="EP272" s="33"/>
      <c r="EQ272" s="33"/>
      <c r="ER272" s="33"/>
      <c r="ES272" s="33"/>
      <c r="ET272" s="33"/>
      <c r="EU272" s="33"/>
      <c r="EV272" s="33"/>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c r="HB272"/>
      <c r="HC272"/>
      <c r="HD272"/>
      <c r="HE272"/>
      <c r="HF272"/>
      <c r="HG272"/>
      <c r="HH272"/>
      <c r="HI272"/>
      <c r="HJ272"/>
      <c r="HK272"/>
      <c r="HL272"/>
      <c r="HM272"/>
      <c r="HN272"/>
      <c r="HO272"/>
      <c r="HP272"/>
      <c r="HQ272"/>
      <c r="HR272"/>
      <c r="HS272"/>
      <c r="HT272"/>
      <c r="HU272"/>
      <c r="HV272"/>
      <c r="HW272"/>
      <c r="HX272"/>
      <c r="HY272"/>
      <c r="HZ272"/>
      <c r="IA272"/>
      <c r="IB272"/>
      <c r="IC272"/>
      <c r="ID272"/>
      <c r="IE272"/>
      <c r="IF272"/>
      <c r="IG272"/>
      <c r="IH272"/>
      <c r="II272"/>
      <c r="IJ272"/>
      <c r="IK272"/>
      <c r="IL272"/>
      <c r="IM272"/>
      <c r="IN272"/>
      <c r="IO272"/>
      <c r="IP272"/>
      <c r="IQ272"/>
      <c r="IR272"/>
      <c r="IS272"/>
      <c r="IT272"/>
      <c r="IU272"/>
      <c r="IV272"/>
    </row>
    <row r="273" spans="1:256" s="220" customFormat="1" ht="11.25" customHeight="1">
      <c r="A273" s="78"/>
      <c r="DQ273" s="590"/>
      <c r="DR273" s="617" t="s">
        <v>446</v>
      </c>
      <c r="DS273" s="618"/>
      <c r="DT273" s="268">
        <f t="shared" ref="DT273:DT311" si="33">DT217</f>
        <v>363.029</v>
      </c>
      <c r="DU273" s="616">
        <f>DU217</f>
        <v>0</v>
      </c>
      <c r="DV273" s="612">
        <f>(DT273-DU273)</f>
        <v>363.029</v>
      </c>
      <c r="DW273" s="619">
        <f>DW217</f>
        <v>355</v>
      </c>
      <c r="DX273" s="606">
        <f>DU273-DW273</f>
        <v>-355</v>
      </c>
      <c r="DY273" s="615"/>
      <c r="DZ273" s="616">
        <f>DZ217</f>
        <v>336.154</v>
      </c>
      <c r="EA273" s="616">
        <f>SUM(EA271:EA272)</f>
        <v>305.34400000000005</v>
      </c>
      <c r="EB273" s="608">
        <f>$DU273/DZ273-1</f>
        <v>-1</v>
      </c>
      <c r="EC273" s="608">
        <f>$DU273/EA273-1</f>
        <v>-1</v>
      </c>
      <c r="ED273" s="608"/>
      <c r="EE273" s="610">
        <f t="shared" si="31"/>
        <v>7.9948475996120871E-2</v>
      </c>
      <c r="EF273" s="610">
        <f t="shared" si="32"/>
        <v>0.18891807273108352</v>
      </c>
      <c r="EG273" s="12"/>
      <c r="EH273" s="8"/>
      <c r="EI273"/>
      <c r="EJ273"/>
      <c r="EK273"/>
      <c r="EL273"/>
      <c r="EM273"/>
      <c r="EN273" s="33"/>
      <c r="EO273" s="33"/>
      <c r="EP273" s="33"/>
      <c r="EQ273" s="33"/>
      <c r="ER273" s="33"/>
      <c r="ES273" s="33"/>
      <c r="ET273" s="33"/>
      <c r="EU273" s="33"/>
      <c r="EV273" s="3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c r="HB273"/>
      <c r="HC273"/>
      <c r="HD273"/>
      <c r="HE273"/>
      <c r="HF273"/>
      <c r="HG273"/>
      <c r="HH273"/>
      <c r="HI273"/>
      <c r="HJ273"/>
      <c r="HK273"/>
      <c r="HL273"/>
      <c r="HM273"/>
      <c r="HN273"/>
      <c r="HO273"/>
      <c r="HP273"/>
      <c r="HQ273"/>
      <c r="HR273"/>
      <c r="HS273"/>
      <c r="HT273"/>
      <c r="HU273"/>
      <c r="HV273"/>
      <c r="HW273"/>
      <c r="HX273"/>
      <c r="HY273"/>
      <c r="HZ273"/>
      <c r="IA273"/>
      <c r="IB273"/>
      <c r="IC273"/>
      <c r="ID273"/>
      <c r="IE273"/>
      <c r="IF273"/>
      <c r="IG273"/>
      <c r="IH273"/>
      <c r="II273"/>
      <c r="IJ273"/>
      <c r="IK273"/>
      <c r="IL273"/>
      <c r="IM273"/>
      <c r="IN273"/>
      <c r="IO273"/>
      <c r="IP273"/>
      <c r="IQ273"/>
      <c r="IR273"/>
      <c r="IS273"/>
      <c r="IT273"/>
      <c r="IU273"/>
      <c r="IV273"/>
    </row>
    <row r="274" spans="1:256" s="220" customFormat="1" ht="2.25" customHeight="1">
      <c r="A274" s="78"/>
      <c r="DQ274" s="590"/>
      <c r="DR274" s="620"/>
      <c r="DS274" s="620"/>
      <c r="DT274" s="231">
        <f t="shared" si="33"/>
        <v>0</v>
      </c>
      <c r="DU274" s="621"/>
      <c r="DV274" s="621"/>
      <c r="DW274" s="621"/>
      <c r="DX274" s="621"/>
      <c r="DY274" s="594"/>
      <c r="DZ274" s="621"/>
      <c r="EA274" s="621"/>
      <c r="EB274" s="621"/>
      <c r="EC274" s="621"/>
      <c r="ED274" s="621"/>
      <c r="EE274" s="622"/>
      <c r="EF274" s="622"/>
      <c r="EG274" s="12"/>
      <c r="EH274" s="8"/>
      <c r="EI274"/>
      <c r="EJ274"/>
      <c r="EK274"/>
      <c r="EL274"/>
      <c r="EM274"/>
      <c r="EN274" s="33"/>
      <c r="EO274" s="33"/>
      <c r="EP274" s="33"/>
      <c r="EQ274" s="33"/>
      <c r="ER274" s="33"/>
      <c r="ES274" s="33"/>
      <c r="ET274" s="33"/>
      <c r="EU274" s="33"/>
      <c r="EV274" s="33"/>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c r="HB274"/>
      <c r="HC274"/>
      <c r="HD274"/>
      <c r="HE274"/>
      <c r="HF274"/>
      <c r="HG274"/>
      <c r="HH274"/>
      <c r="HI274"/>
      <c r="HJ274"/>
      <c r="HK274"/>
      <c r="HL274"/>
      <c r="HM274"/>
      <c r="HN274"/>
      <c r="HO274"/>
      <c r="HP274"/>
      <c r="HQ274"/>
      <c r="HR274"/>
      <c r="HS274"/>
      <c r="HT274"/>
      <c r="HU274"/>
      <c r="HV274"/>
      <c r="HW274"/>
      <c r="HX274"/>
      <c r="HY274"/>
      <c r="HZ274"/>
      <c r="IA274"/>
      <c r="IB274"/>
      <c r="IC274"/>
      <c r="ID274"/>
      <c r="IE274"/>
      <c r="IF274"/>
      <c r="IG274"/>
      <c r="IH274"/>
      <c r="II274"/>
      <c r="IJ274"/>
      <c r="IK274"/>
      <c r="IL274"/>
      <c r="IM274"/>
      <c r="IN274"/>
      <c r="IO274"/>
      <c r="IP274"/>
      <c r="IQ274"/>
      <c r="IR274"/>
      <c r="IS274"/>
      <c r="IT274"/>
      <c r="IU274"/>
      <c r="IV274"/>
    </row>
    <row r="275" spans="1:256" s="220" customFormat="1" ht="11.25" customHeight="1">
      <c r="A275" s="78"/>
      <c r="DQ275" s="590"/>
      <c r="DR275" s="618" t="s">
        <v>172</v>
      </c>
      <c r="DS275" s="618"/>
      <c r="DT275" s="230"/>
      <c r="DU275" s="623"/>
      <c r="DV275" s="623"/>
      <c r="DW275" s="623"/>
      <c r="DX275" s="623"/>
      <c r="DY275" s="615"/>
      <c r="DZ275" s="623"/>
      <c r="EA275" s="623"/>
      <c r="EB275" s="623"/>
      <c r="EC275" s="623"/>
      <c r="ED275" s="623"/>
      <c r="EE275" s="610"/>
      <c r="EF275" s="610"/>
      <c r="EG275" s="12"/>
      <c r="EH275" s="8"/>
      <c r="EI275"/>
      <c r="EJ275"/>
      <c r="EK275"/>
      <c r="EL275"/>
      <c r="EM275"/>
      <c r="EN275" s="33"/>
      <c r="EO275" s="33"/>
      <c r="EP275" s="33"/>
      <c r="EQ275" s="33"/>
      <c r="ER275" s="33"/>
      <c r="ES275" s="33"/>
      <c r="ET275" s="33"/>
      <c r="EU275" s="33"/>
      <c r="EV275" s="33"/>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c r="HB275"/>
      <c r="HC275"/>
      <c r="HD275"/>
      <c r="HE275"/>
      <c r="HF275"/>
      <c r="HG275"/>
      <c r="HH275"/>
      <c r="HI275"/>
      <c r="HJ275"/>
      <c r="HK275"/>
      <c r="HL275"/>
      <c r="HM275"/>
      <c r="HN275"/>
      <c r="HO275"/>
      <c r="HP275"/>
      <c r="HQ275"/>
      <c r="HR275"/>
      <c r="HS275"/>
      <c r="HT275"/>
      <c r="HU275"/>
      <c r="HV275"/>
      <c r="HW275"/>
      <c r="HX275"/>
      <c r="HY275"/>
      <c r="HZ275"/>
      <c r="IA275"/>
      <c r="IB275"/>
      <c r="IC275"/>
      <c r="ID275"/>
      <c r="IE275"/>
      <c r="IF275"/>
      <c r="IG275"/>
      <c r="IH275"/>
      <c r="II275"/>
      <c r="IJ275"/>
      <c r="IK275"/>
      <c r="IL275"/>
      <c r="IM275"/>
      <c r="IN275"/>
      <c r="IO275"/>
      <c r="IP275"/>
      <c r="IQ275"/>
      <c r="IR275"/>
      <c r="IS275"/>
      <c r="IT275"/>
      <c r="IU275"/>
      <c r="IV275"/>
    </row>
    <row r="276" spans="1:256" s="220" customFormat="1" ht="11.25" customHeight="1">
      <c r="A276" s="78"/>
      <c r="DQ276" s="590"/>
      <c r="DR276" s="603" t="s">
        <v>447</v>
      </c>
      <c r="DS276" s="603"/>
      <c r="DT276" s="268">
        <v>1</v>
      </c>
      <c r="DU276" s="616">
        <f>DU220</f>
        <v>0</v>
      </c>
      <c r="DV276" s="612">
        <f>(DT276-DU276)</f>
        <v>1</v>
      </c>
      <c r="DW276" s="605"/>
      <c r="DX276" s="614"/>
      <c r="DY276" s="615"/>
      <c r="DZ276" s="616">
        <f>DZ220</f>
        <v>120.934</v>
      </c>
      <c r="EA276" s="605">
        <v>112.38300000000001</v>
      </c>
      <c r="EB276" s="608">
        <f>$DU276/DZ276-1</f>
        <v>-1</v>
      </c>
      <c r="EC276" s="608">
        <f>$DU276/EA276-1</f>
        <v>-1</v>
      </c>
      <c r="ED276" s="608"/>
      <c r="EE276" s="610">
        <f>DT276/DZ276-1</f>
        <v>-0.99173102684108683</v>
      </c>
      <c r="EF276" s="610">
        <f>DT276/EA276-1</f>
        <v>-0.99110185704243525</v>
      </c>
      <c r="EG276" s="12"/>
      <c r="EH276" s="8"/>
      <c r="EI276"/>
      <c r="EJ276"/>
      <c r="EK276"/>
      <c r="EL276"/>
      <c r="EM276"/>
      <c r="EN276" s="33"/>
      <c r="EO276" s="33"/>
      <c r="EP276" s="33"/>
      <c r="EQ276" s="33"/>
      <c r="ER276" s="33"/>
      <c r="ES276" s="33"/>
      <c r="ET276" s="33"/>
      <c r="EU276" s="33"/>
      <c r="EV276" s="33"/>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c r="HB276"/>
      <c r="HC276"/>
      <c r="HD276"/>
      <c r="HE276"/>
      <c r="HF276"/>
      <c r="HG276"/>
      <c r="HH276"/>
      <c r="HI276"/>
      <c r="HJ276"/>
      <c r="HK276"/>
      <c r="HL276"/>
      <c r="HM276"/>
      <c r="HN276"/>
      <c r="HO276"/>
      <c r="HP276"/>
      <c r="HQ276"/>
      <c r="HR276"/>
      <c r="HS276"/>
      <c r="HT276"/>
      <c r="HU276"/>
      <c r="HV276"/>
      <c r="HW276"/>
      <c r="HX276"/>
      <c r="HY276"/>
      <c r="HZ276"/>
      <c r="IA276"/>
      <c r="IB276"/>
      <c r="IC276"/>
      <c r="ID276"/>
      <c r="IE276"/>
      <c r="IF276"/>
      <c r="IG276"/>
      <c r="IH276"/>
      <c r="II276"/>
      <c r="IJ276"/>
      <c r="IK276"/>
      <c r="IL276"/>
      <c r="IM276"/>
      <c r="IN276"/>
      <c r="IO276"/>
      <c r="IP276"/>
      <c r="IQ276"/>
      <c r="IR276"/>
      <c r="IS276"/>
      <c r="IT276"/>
      <c r="IU276"/>
      <c r="IV276"/>
    </row>
    <row r="277" spans="1:256" s="220" customFormat="1" ht="11.25" customHeight="1">
      <c r="A277" s="78"/>
      <c r="DQ277" s="590"/>
      <c r="DR277" s="624" t="s">
        <v>989</v>
      </c>
      <c r="DS277" s="603"/>
      <c r="DT277" s="234">
        <f t="shared" si="33"/>
        <v>0.66220054045269106</v>
      </c>
      <c r="DU277" s="625"/>
      <c r="DV277" s="626">
        <f>IF(ISERROR((DT277-DU277)*10000), "NM", ((DT277-DU277)*10000))</f>
        <v>6622.0054045269108</v>
      </c>
      <c r="DW277" s="605"/>
      <c r="DX277" s="614"/>
      <c r="DY277" s="615"/>
      <c r="DZ277" s="625">
        <f>(SUM(DZ273)-DZ276)/(SUM(DZ273))</f>
        <v>0.64024226991200461</v>
      </c>
      <c r="EA277" s="625">
        <f>(SUM(EA273)-EA276)/(SUM(EA273))</f>
        <v>0.63194626388597785</v>
      </c>
      <c r="EB277" s="627">
        <f>IF(ISERROR((DU277-DZ277)*10000), "NM", ((DU277-DZ277)*10000))</f>
        <v>-6402.4226991200458</v>
      </c>
      <c r="EC277" s="627">
        <f>IF(ISERROR((DU277-EA277)*10000), "NM", ((DU277-EA277)*10000))</f>
        <v>-6319.462638859779</v>
      </c>
      <c r="ED277" s="608"/>
      <c r="EE277" s="628">
        <f>IF(ISERROR((DT277-DZ277)*10000), "NM", ((DT277-DZ277)*10000))</f>
        <v>219.58270540686442</v>
      </c>
      <c r="EF277" s="628">
        <f>IF(ISERROR((DT277-EA277)*10000), "NM", ((DT277-EA277)*10000))</f>
        <v>302.54276566713202</v>
      </c>
      <c r="EG277" s="12"/>
      <c r="EH277" s="8"/>
      <c r="EI277"/>
      <c r="EJ277"/>
      <c r="EK277"/>
      <c r="EL277"/>
      <c r="EM277"/>
      <c r="EN277" s="33"/>
      <c r="EO277" s="33"/>
      <c r="EP277" s="33"/>
      <c r="EQ277" s="33"/>
      <c r="ER277" s="33"/>
      <c r="ES277" s="33"/>
      <c r="ET277" s="33"/>
      <c r="EU277" s="33"/>
      <c r="EV277" s="33"/>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c r="HB277"/>
      <c r="HC277"/>
      <c r="HD277"/>
      <c r="HE277"/>
      <c r="HF277"/>
      <c r="HG277"/>
      <c r="HH277"/>
      <c r="HI277"/>
      <c r="HJ277"/>
      <c r="HK277"/>
      <c r="HL277"/>
      <c r="HM277"/>
      <c r="HN277"/>
      <c r="HO277"/>
      <c r="HP277"/>
      <c r="HQ277"/>
      <c r="HR277"/>
      <c r="HS277"/>
      <c r="HT277"/>
      <c r="HU277"/>
      <c r="HV277"/>
      <c r="HW277"/>
      <c r="HX277"/>
      <c r="HY277"/>
      <c r="HZ277"/>
      <c r="IA277"/>
      <c r="IB277"/>
      <c r="IC277"/>
      <c r="ID277"/>
      <c r="IE277"/>
      <c r="IF277"/>
      <c r="IG277"/>
      <c r="IH277"/>
      <c r="II277"/>
      <c r="IJ277"/>
      <c r="IK277"/>
      <c r="IL277"/>
      <c r="IM277"/>
      <c r="IN277"/>
      <c r="IO277"/>
      <c r="IP277"/>
      <c r="IQ277"/>
      <c r="IR277"/>
      <c r="IS277"/>
      <c r="IT277"/>
      <c r="IU277"/>
      <c r="IV277"/>
    </row>
    <row r="278" spans="1:256" s="220" customFormat="1" ht="11.25" customHeight="1">
      <c r="A278" s="78"/>
      <c r="DQ278" s="590"/>
      <c r="DR278" s="603" t="s">
        <v>1539</v>
      </c>
      <c r="DS278" s="603"/>
      <c r="DT278" s="268">
        <f t="shared" si="33"/>
        <v>73.122</v>
      </c>
      <c r="DU278" s="616">
        <f>DU222</f>
        <v>0</v>
      </c>
      <c r="DV278" s="612">
        <f>(DT278-DU278)</f>
        <v>73.122</v>
      </c>
      <c r="DW278" s="605"/>
      <c r="DX278" s="614"/>
      <c r="DY278" s="615"/>
      <c r="DZ278" s="616">
        <f>DZ222</f>
        <v>70.840999999999994</v>
      </c>
      <c r="EA278" s="605">
        <v>55.343000000000004</v>
      </c>
      <c r="EB278" s="608">
        <f>$DU278/DZ278-1</f>
        <v>-1</v>
      </c>
      <c r="EC278" s="608">
        <f>$DU278/EA278-1</f>
        <v>-1</v>
      </c>
      <c r="ED278" s="608"/>
      <c r="EE278" s="610">
        <f>DT278/DZ278-1</f>
        <v>3.2198867887240468E-2</v>
      </c>
      <c r="EF278" s="610">
        <f>DT278/EA278-1</f>
        <v>0.32125110673436552</v>
      </c>
      <c r="EG278" s="12"/>
      <c r="EH278" s="8"/>
      <c r="EI278"/>
      <c r="EJ278"/>
      <c r="EK278"/>
      <c r="EL278"/>
      <c r="EM278"/>
      <c r="EN278" s="33"/>
      <c r="EO278" s="33"/>
      <c r="EP278" s="33"/>
      <c r="EQ278" s="33"/>
      <c r="ER278" s="33"/>
      <c r="ES278" s="33"/>
      <c r="ET278" s="33"/>
      <c r="EU278" s="33"/>
      <c r="EV278" s="33"/>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c r="HB278"/>
      <c r="HC278"/>
      <c r="HD278"/>
      <c r="HE278"/>
      <c r="HF278"/>
      <c r="HG278"/>
      <c r="HH278"/>
      <c r="HI278"/>
      <c r="HJ278"/>
      <c r="HK278"/>
      <c r="HL278"/>
      <c r="HM278"/>
      <c r="HN278"/>
      <c r="HO278"/>
      <c r="HP278"/>
      <c r="HQ278"/>
      <c r="HR278"/>
      <c r="HS278"/>
      <c r="HT278"/>
      <c r="HU278"/>
      <c r="HV278"/>
      <c r="HW278"/>
      <c r="HX278"/>
      <c r="HY278"/>
      <c r="HZ278"/>
      <c r="IA278"/>
      <c r="IB278"/>
      <c r="IC278"/>
      <c r="ID278"/>
      <c r="IE278"/>
      <c r="IF278"/>
      <c r="IG278"/>
      <c r="IH278"/>
      <c r="II278"/>
      <c r="IJ278"/>
      <c r="IK278"/>
      <c r="IL278"/>
      <c r="IM278"/>
      <c r="IN278"/>
      <c r="IO278"/>
      <c r="IP278"/>
      <c r="IQ278"/>
      <c r="IR278"/>
      <c r="IS278"/>
      <c r="IT278"/>
      <c r="IU278"/>
      <c r="IV278"/>
    </row>
    <row r="279" spans="1:256" s="220" customFormat="1" ht="11.25" customHeight="1">
      <c r="A279" s="78"/>
      <c r="DQ279" s="590"/>
      <c r="DR279" s="629" t="s">
        <v>173</v>
      </c>
      <c r="DS279" s="629"/>
      <c r="DT279" s="235">
        <f t="shared" si="33"/>
        <v>0.20142192497018144</v>
      </c>
      <c r="DU279" s="630"/>
      <c r="DV279" s="631">
        <f>IF(ISERROR((DT279-DU279)*10000), "NM", ((DT279-DU279)*10000))</f>
        <v>2014.2192497018143</v>
      </c>
      <c r="DW279" s="630"/>
      <c r="DX279" s="627"/>
      <c r="DY279" s="615"/>
      <c r="DZ279" s="630">
        <f>DZ278/DZ273</f>
        <v>0.21073972048525377</v>
      </c>
      <c r="EA279" s="630">
        <f>EA278/EA273</f>
        <v>0.18124803500314399</v>
      </c>
      <c r="EB279" s="627">
        <f>IF(ISERROR((DU279-DZ279)*10000), "NM", ((DU279-DZ279)*10000))</f>
        <v>-2107.3972048525379</v>
      </c>
      <c r="EC279" s="627">
        <f>IF(ISERROR((DU279-EA279)*10000), "NM", ((DU279-EA279)*10000))</f>
        <v>-1812.4803500314399</v>
      </c>
      <c r="ED279" s="627"/>
      <c r="EE279" s="628">
        <f>IF(ISERROR((DT279-DZ279)*10000), "NM", ((DT279-DZ279)*10000))</f>
        <v>-93.177955150723363</v>
      </c>
      <c r="EF279" s="628">
        <f>IF(ISERROR((DT279-EA279)*10000), "NM", ((DT279-EA279)*10000))</f>
        <v>201.73889967037451</v>
      </c>
      <c r="EG279" s="12"/>
      <c r="EH279" s="8"/>
      <c r="EI279"/>
      <c r="EJ279"/>
      <c r="EK279"/>
      <c r="EL279"/>
      <c r="EM279"/>
      <c r="EN279" s="33"/>
      <c r="EO279" s="33"/>
      <c r="EP279" s="33"/>
      <c r="EQ279" s="33"/>
      <c r="ER279" s="33"/>
      <c r="ES279" s="33"/>
      <c r="ET279" s="33"/>
      <c r="EU279" s="33"/>
      <c r="EV279" s="33"/>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c r="HB279"/>
      <c r="HC279"/>
      <c r="HD279"/>
      <c r="HE279"/>
      <c r="HF279"/>
      <c r="HG279"/>
      <c r="HH279"/>
      <c r="HI279"/>
      <c r="HJ279"/>
      <c r="HK279"/>
      <c r="HL279"/>
      <c r="HM279"/>
      <c r="HN279"/>
      <c r="HO279"/>
      <c r="HP279"/>
      <c r="HQ279"/>
      <c r="HR279"/>
      <c r="HS279"/>
      <c r="HT279"/>
      <c r="HU279"/>
      <c r="HV279"/>
      <c r="HW279"/>
      <c r="HX279"/>
      <c r="HY279"/>
      <c r="HZ279"/>
      <c r="IA279"/>
      <c r="IB279"/>
      <c r="IC279"/>
      <c r="ID279"/>
      <c r="IE279"/>
      <c r="IF279"/>
      <c r="IG279"/>
      <c r="IH279"/>
      <c r="II279"/>
      <c r="IJ279"/>
      <c r="IK279"/>
      <c r="IL279"/>
      <c r="IM279"/>
      <c r="IN279"/>
      <c r="IO279"/>
      <c r="IP279"/>
      <c r="IQ279"/>
      <c r="IR279"/>
      <c r="IS279"/>
      <c r="IT279"/>
      <c r="IU279"/>
      <c r="IV279"/>
    </row>
    <row r="280" spans="1:256" s="220" customFormat="1" ht="2.25" customHeight="1">
      <c r="A280" s="78"/>
      <c r="DQ280" s="590"/>
      <c r="DR280" s="611"/>
      <c r="DS280" s="611"/>
      <c r="DT280" s="230">
        <f t="shared" si="33"/>
        <v>0</v>
      </c>
      <c r="DU280" s="632"/>
      <c r="DV280" s="632"/>
      <c r="DW280" s="632"/>
      <c r="DX280" s="633"/>
      <c r="DY280" s="594"/>
      <c r="DZ280" s="632"/>
      <c r="EA280" s="632"/>
      <c r="EB280" s="632"/>
      <c r="EC280" s="632"/>
      <c r="ED280" s="632"/>
      <c r="EE280" s="634"/>
      <c r="EF280" s="634"/>
      <c r="EG280" s="12"/>
      <c r="EH280" s="8"/>
      <c r="EI280"/>
      <c r="EJ280"/>
      <c r="EK280"/>
      <c r="EL280"/>
      <c r="EM280"/>
      <c r="EN280" s="33"/>
      <c r="EO280" s="33"/>
      <c r="EP280" s="33"/>
      <c r="EQ280" s="33"/>
      <c r="ER280" s="33"/>
      <c r="ES280" s="33"/>
      <c r="ET280" s="33"/>
      <c r="EU280" s="33"/>
      <c r="EV280" s="33"/>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c r="HB280"/>
      <c r="HC280"/>
      <c r="HD280"/>
      <c r="HE280"/>
      <c r="HF280"/>
      <c r="HG280"/>
      <c r="HH280"/>
      <c r="HI280"/>
      <c r="HJ280"/>
      <c r="HK280"/>
      <c r="HL280"/>
      <c r="HM280"/>
      <c r="HN280"/>
      <c r="HO280"/>
      <c r="HP280"/>
      <c r="HQ280"/>
      <c r="HR280"/>
      <c r="HS280"/>
      <c r="HT280"/>
      <c r="HU280"/>
      <c r="HV280"/>
      <c r="HW280"/>
      <c r="HX280"/>
      <c r="HY280"/>
      <c r="HZ280"/>
      <c r="IA280"/>
      <c r="IB280"/>
      <c r="IC280"/>
      <c r="ID280"/>
      <c r="IE280"/>
      <c r="IF280"/>
      <c r="IG280"/>
      <c r="IH280"/>
      <c r="II280"/>
      <c r="IJ280"/>
      <c r="IK280"/>
      <c r="IL280"/>
      <c r="IM280"/>
      <c r="IN280"/>
      <c r="IO280"/>
      <c r="IP280"/>
      <c r="IQ280"/>
      <c r="IR280"/>
      <c r="IS280"/>
      <c r="IT280"/>
      <c r="IU280"/>
      <c r="IV280"/>
    </row>
    <row r="281" spans="1:256" s="220" customFormat="1" ht="11.25" customHeight="1">
      <c r="A281" s="78"/>
      <c r="DQ281" s="590"/>
      <c r="DR281" s="635" t="s">
        <v>188</v>
      </c>
      <c r="DS281" s="635"/>
      <c r="DT281" s="636">
        <f t="shared" si="33"/>
        <v>167.27600000000001</v>
      </c>
      <c r="DU281" s="637">
        <f>DU225</f>
        <v>0</v>
      </c>
      <c r="DV281" s="638">
        <f>(DT281-DU281)</f>
        <v>167.27600000000001</v>
      </c>
      <c r="DW281" s="639">
        <f>DW225</f>
        <v>151.80000000000001</v>
      </c>
      <c r="DX281" s="638">
        <f>DU281-DW281</f>
        <v>-151.80000000000001</v>
      </c>
      <c r="DY281" s="594"/>
      <c r="DZ281" s="637">
        <f>DZ225</f>
        <v>144.37900000000002</v>
      </c>
      <c r="EA281" s="637">
        <f>EA273-EA276-EA278</f>
        <v>137.61800000000005</v>
      </c>
      <c r="EB281" s="640">
        <f>$DU281/DZ281-1</f>
        <v>-1</v>
      </c>
      <c r="EC281" s="640">
        <f>$DU281/EA281-1</f>
        <v>-1</v>
      </c>
      <c r="ED281" s="640"/>
      <c r="EE281" s="640">
        <f>DT281/DZ281-1</f>
        <v>0.15858954557103178</v>
      </c>
      <c r="EF281" s="640">
        <f>DT281/EA281-1</f>
        <v>0.21550959903500955</v>
      </c>
      <c r="EG281" s="12"/>
      <c r="EH281" s="8"/>
      <c r="EI281"/>
      <c r="EJ281"/>
      <c r="EK281"/>
      <c r="EL281"/>
      <c r="EM281"/>
      <c r="EN281" s="33"/>
      <c r="EO281" s="33"/>
      <c r="EP281" s="33"/>
      <c r="EQ281" s="33"/>
      <c r="ER281" s="33"/>
      <c r="ES281" s="33"/>
      <c r="ET281" s="33"/>
      <c r="EU281" s="33"/>
      <c r="EV281" s="33"/>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c r="HB281"/>
      <c r="HC281"/>
      <c r="HD281"/>
      <c r="HE281"/>
      <c r="HF281"/>
      <c r="HG281"/>
      <c r="HH281"/>
      <c r="HI281"/>
      <c r="HJ281"/>
      <c r="HK281"/>
      <c r="HL281"/>
      <c r="HM281"/>
      <c r="HN281"/>
      <c r="HO281"/>
      <c r="HP281"/>
      <c r="HQ281"/>
      <c r="HR281"/>
      <c r="HS281"/>
      <c r="HT281"/>
      <c r="HU281"/>
      <c r="HV281"/>
      <c r="HW281"/>
      <c r="HX281"/>
      <c r="HY281"/>
      <c r="HZ281"/>
      <c r="IA281"/>
      <c r="IB281"/>
      <c r="IC281"/>
      <c r="ID281"/>
      <c r="IE281"/>
      <c r="IF281"/>
      <c r="IG281"/>
      <c r="IH281"/>
      <c r="II281"/>
      <c r="IJ281"/>
      <c r="IK281"/>
      <c r="IL281"/>
      <c r="IM281"/>
      <c r="IN281"/>
      <c r="IO281"/>
      <c r="IP281"/>
      <c r="IQ281"/>
      <c r="IR281"/>
      <c r="IS281"/>
      <c r="IT281"/>
      <c r="IU281"/>
      <c r="IV281"/>
    </row>
    <row r="282" spans="1:256" s="220" customFormat="1" ht="11.25" customHeight="1">
      <c r="A282" s="78"/>
      <c r="DQ282" s="590"/>
      <c r="DR282" s="641" t="s">
        <v>995</v>
      </c>
      <c r="DS282" s="641"/>
      <c r="DT282" s="234">
        <f t="shared" si="33"/>
        <v>0.4607786154825097</v>
      </c>
      <c r="DU282" s="625"/>
      <c r="DV282" s="642">
        <f>IF(ISERROR((DT282-DU282)*10000), "NM", ((DT282-DU282)*10000))</f>
        <v>4607.7861548250967</v>
      </c>
      <c r="DW282" s="625">
        <f>DW281/DW273</f>
        <v>0.42760563380281691</v>
      </c>
      <c r="DX282" s="643">
        <f>(DW282-DU282)*10000</f>
        <v>4276.0563380281692</v>
      </c>
      <c r="DY282" s="607"/>
      <c r="DZ282" s="625">
        <f>DZ281/DZ273</f>
        <v>0.42950254942675092</v>
      </c>
      <c r="EA282" s="625">
        <f>EA281/EA273</f>
        <v>0.4506982288828339</v>
      </c>
      <c r="EB282" s="627">
        <f>IF(ISERROR((DU282-DZ282)*10000), "NM", ((DU282-DZ282)*10000))</f>
        <v>-4295.0254942675092</v>
      </c>
      <c r="EC282" s="627">
        <f>IF(ISERROR((DU282-EA282)*10000), "NM", ((DU282-EA282)*10000))</f>
        <v>-4506.9822888283388</v>
      </c>
      <c r="ED282" s="644"/>
      <c r="EE282" s="628">
        <f>IF(ISERROR((DT282-DZ282)*10000), "NM", ((DT282-DZ282)*10000))</f>
        <v>312.76066055758776</v>
      </c>
      <c r="EF282" s="628">
        <f>IF(ISERROR((DT282-EA282)*10000), "NM", ((DT282-EA282)*10000))</f>
        <v>100.80386599675806</v>
      </c>
      <c r="EG282" s="12"/>
      <c r="EH282" s="8"/>
      <c r="EI282"/>
      <c r="EJ282"/>
      <c r="EK282"/>
      <c r="EL282"/>
      <c r="EM282"/>
      <c r="EN282" s="33"/>
      <c r="EO282" s="33"/>
      <c r="EP282" s="33"/>
      <c r="EQ282" s="33"/>
      <c r="ER282" s="33"/>
      <c r="ES282" s="33"/>
      <c r="ET282" s="33"/>
      <c r="EU282" s="33"/>
      <c r="EV282" s="33"/>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c r="HB282"/>
      <c r="HC282"/>
      <c r="HD282"/>
      <c r="HE282"/>
      <c r="HF282"/>
      <c r="HG282"/>
      <c r="HH282"/>
      <c r="HI282"/>
      <c r="HJ282"/>
      <c r="HK282"/>
      <c r="HL282"/>
      <c r="HM282"/>
      <c r="HN282"/>
      <c r="HO282"/>
      <c r="HP282"/>
      <c r="HQ282"/>
      <c r="HR282"/>
      <c r="HS282"/>
      <c r="HT282"/>
      <c r="HU282"/>
      <c r="HV282"/>
      <c r="HW282"/>
      <c r="HX282"/>
      <c r="HY282"/>
      <c r="HZ282"/>
      <c r="IA282"/>
      <c r="IB282"/>
      <c r="IC282"/>
      <c r="ID282"/>
      <c r="IE282"/>
      <c r="IF282"/>
      <c r="IG282"/>
      <c r="IH282"/>
      <c r="II282"/>
      <c r="IJ282"/>
      <c r="IK282"/>
      <c r="IL282"/>
      <c r="IM282"/>
      <c r="IN282"/>
      <c r="IO282"/>
      <c r="IP282"/>
      <c r="IQ282"/>
      <c r="IR282"/>
      <c r="IS282"/>
      <c r="IT282"/>
      <c r="IU282"/>
      <c r="IV282"/>
    </row>
    <row r="283" spans="1:256" s="220" customFormat="1" ht="5.25" hidden="1" customHeight="1" outlineLevel="1">
      <c r="A283" s="78"/>
      <c r="DQ283" s="590"/>
      <c r="DR283" s="618"/>
      <c r="DS283" s="618"/>
      <c r="DT283" s="230">
        <f t="shared" si="33"/>
        <v>0</v>
      </c>
      <c r="DU283" s="623"/>
      <c r="DV283" s="623"/>
      <c r="DW283" s="623"/>
      <c r="DX283" s="623"/>
      <c r="DY283" s="615"/>
      <c r="DZ283" s="623"/>
      <c r="EA283" s="623"/>
      <c r="EB283" s="623"/>
      <c r="EC283" s="623"/>
      <c r="ED283" s="623"/>
      <c r="EE283" s="610"/>
      <c r="EF283" s="610"/>
      <c r="EG283" s="12"/>
      <c r="EH283" s="8"/>
      <c r="EI283"/>
      <c r="EJ283"/>
      <c r="EK283"/>
      <c r="EL283"/>
      <c r="EM283"/>
      <c r="EN283" s="33"/>
      <c r="EO283" s="33"/>
      <c r="EP283" s="33"/>
      <c r="EQ283" s="33"/>
      <c r="ER283" s="33"/>
      <c r="ES283" s="33"/>
      <c r="ET283" s="33"/>
      <c r="EU283" s="33"/>
      <c r="EV283" s="3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c r="HB283"/>
      <c r="HC283"/>
      <c r="HD283"/>
      <c r="HE283"/>
      <c r="HF283"/>
      <c r="HG283"/>
      <c r="HH283"/>
      <c r="HI283"/>
      <c r="HJ283"/>
      <c r="HK283"/>
      <c r="HL283"/>
      <c r="HM283"/>
      <c r="HN283"/>
      <c r="HO283"/>
      <c r="HP283"/>
      <c r="HQ283"/>
      <c r="HR283"/>
      <c r="HS283"/>
      <c r="HT283"/>
      <c r="HU283"/>
      <c r="HV283"/>
      <c r="HW283"/>
      <c r="HX283"/>
      <c r="HY283"/>
      <c r="HZ283"/>
      <c r="IA283"/>
      <c r="IB283"/>
      <c r="IC283"/>
      <c r="ID283"/>
      <c r="IE283"/>
      <c r="IF283"/>
      <c r="IG283"/>
      <c r="IH283"/>
      <c r="II283"/>
      <c r="IJ283"/>
      <c r="IK283"/>
      <c r="IL283"/>
      <c r="IM283"/>
      <c r="IN283"/>
      <c r="IO283"/>
      <c r="IP283"/>
      <c r="IQ283"/>
      <c r="IR283"/>
      <c r="IS283"/>
      <c r="IT283"/>
      <c r="IU283"/>
      <c r="IV283"/>
    </row>
    <row r="284" spans="1:256" s="220" customFormat="1" ht="11.25" hidden="1" customHeight="1" outlineLevel="1">
      <c r="A284" s="78"/>
      <c r="DQ284" s="590"/>
      <c r="DR284" s="645" t="s">
        <v>1459</v>
      </c>
      <c r="DS284" s="645"/>
      <c r="DT284" s="646">
        <f t="shared" si="33"/>
        <v>0</v>
      </c>
      <c r="DU284" s="647">
        <v>0</v>
      </c>
      <c r="DV284" s="648">
        <f>(DT284-DU284)</f>
        <v>0</v>
      </c>
      <c r="DW284" s="647"/>
      <c r="DX284" s="647"/>
      <c r="DY284" s="615"/>
      <c r="DZ284" s="647">
        <v>0</v>
      </c>
      <c r="EA284" s="647">
        <v>0</v>
      </c>
      <c r="EB284" s="649"/>
      <c r="EC284" s="649"/>
      <c r="ED284" s="649"/>
      <c r="EE284" s="650" t="e">
        <f>DU284/DZ284-1</f>
        <v>#DIV/0!</v>
      </c>
      <c r="EF284" s="650" t="e">
        <f>DU284/EA284-1</f>
        <v>#DIV/0!</v>
      </c>
      <c r="EG284" s="12"/>
      <c r="EH284" s="8"/>
      <c r="EI284"/>
      <c r="EJ284"/>
      <c r="EK284"/>
      <c r="EL284"/>
      <c r="EM284"/>
      <c r="EN284" s="33"/>
      <c r="EO284" s="33"/>
      <c r="EP284" s="33"/>
      <c r="EQ284" s="33"/>
      <c r="ER284" s="33"/>
      <c r="ES284" s="33"/>
      <c r="ET284" s="33"/>
      <c r="EU284" s="33"/>
      <c r="EV284" s="33"/>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c r="HB284"/>
      <c r="HC284"/>
      <c r="HD284"/>
      <c r="HE284"/>
      <c r="HF284"/>
      <c r="HG284"/>
      <c r="HH284"/>
      <c r="HI284"/>
      <c r="HJ284"/>
      <c r="HK284"/>
      <c r="HL284"/>
      <c r="HM284"/>
      <c r="HN284"/>
      <c r="HO284"/>
      <c r="HP284"/>
      <c r="HQ284"/>
      <c r="HR284"/>
      <c r="HS284"/>
      <c r="HT284"/>
      <c r="HU284"/>
      <c r="HV284"/>
      <c r="HW284"/>
      <c r="HX284"/>
      <c r="HY284"/>
      <c r="HZ284"/>
      <c r="IA284"/>
      <c r="IB284"/>
      <c r="IC284"/>
      <c r="ID284"/>
      <c r="IE284"/>
      <c r="IF284"/>
      <c r="IG284"/>
      <c r="IH284"/>
      <c r="II284"/>
      <c r="IJ284"/>
      <c r="IK284"/>
      <c r="IL284"/>
      <c r="IM284"/>
      <c r="IN284"/>
      <c r="IO284"/>
      <c r="IP284"/>
      <c r="IQ284"/>
      <c r="IR284"/>
      <c r="IS284"/>
      <c r="IT284"/>
      <c r="IU284"/>
      <c r="IV284"/>
    </row>
    <row r="285" spans="1:256" s="220" customFormat="1" ht="11.25" hidden="1" customHeight="1" outlineLevel="1">
      <c r="A285" s="78"/>
      <c r="DQ285" s="590"/>
      <c r="DR285" s="618" t="s">
        <v>1460</v>
      </c>
      <c r="DS285" s="618"/>
      <c r="DT285" s="229">
        <f t="shared" si="33"/>
        <v>0</v>
      </c>
      <c r="DU285" s="605">
        <v>0</v>
      </c>
      <c r="DV285" s="612">
        <f>(DT285-DU285)</f>
        <v>0</v>
      </c>
      <c r="DW285" s="623"/>
      <c r="DX285" s="651"/>
      <c r="DY285" s="615"/>
      <c r="DZ285" s="605">
        <v>0</v>
      </c>
      <c r="EA285" s="605">
        <v>0</v>
      </c>
      <c r="EB285" s="608"/>
      <c r="EC285" s="608"/>
      <c r="ED285" s="608"/>
      <c r="EE285" s="610" t="e">
        <f>DU285/DZ285-1</f>
        <v>#DIV/0!</v>
      </c>
      <c r="EF285" s="634" t="e">
        <f>DU285/EA285-1</f>
        <v>#DIV/0!</v>
      </c>
      <c r="EG285" s="12"/>
      <c r="EH285" s="8"/>
      <c r="EI285"/>
      <c r="EJ285"/>
      <c r="EK285"/>
      <c r="EL285"/>
      <c r="EM285"/>
      <c r="EN285" s="33"/>
      <c r="EO285" s="33"/>
      <c r="EP285" s="33"/>
      <c r="EQ285" s="33"/>
      <c r="ER285" s="33"/>
      <c r="ES285" s="33"/>
      <c r="ET285" s="33"/>
      <c r="EU285" s="33"/>
      <c r="EV285" s="33"/>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c r="HB285"/>
      <c r="HC285"/>
      <c r="HD285"/>
      <c r="HE285"/>
      <c r="HF285"/>
      <c r="HG285"/>
      <c r="HH285"/>
      <c r="HI285"/>
      <c r="HJ285"/>
      <c r="HK285"/>
      <c r="HL285"/>
      <c r="HM285"/>
      <c r="HN285"/>
      <c r="HO285"/>
      <c r="HP285"/>
      <c r="HQ285"/>
      <c r="HR285"/>
      <c r="HS285"/>
      <c r="HT285"/>
      <c r="HU285"/>
      <c r="HV285"/>
      <c r="HW285"/>
      <c r="HX285"/>
      <c r="HY285"/>
      <c r="HZ285"/>
      <c r="IA285"/>
      <c r="IB285"/>
      <c r="IC285"/>
      <c r="ID285"/>
      <c r="IE285"/>
      <c r="IF285"/>
      <c r="IG285"/>
      <c r="IH285"/>
      <c r="II285"/>
      <c r="IJ285"/>
      <c r="IK285"/>
      <c r="IL285"/>
      <c r="IM285"/>
      <c r="IN285"/>
      <c r="IO285"/>
      <c r="IP285"/>
      <c r="IQ285"/>
      <c r="IR285"/>
      <c r="IS285"/>
      <c r="IT285"/>
      <c r="IU285"/>
      <c r="IV285"/>
    </row>
    <row r="286" spans="1:256" s="220" customFormat="1" ht="11.25" hidden="1" customHeight="1" outlineLevel="1">
      <c r="A286" s="78"/>
      <c r="DQ286" s="590"/>
      <c r="DR286" s="618" t="s">
        <v>187</v>
      </c>
      <c r="DS286" s="618"/>
      <c r="DT286" s="230">
        <f t="shared" si="33"/>
        <v>167.27600000000001</v>
      </c>
      <c r="DU286" s="605">
        <f>DU281-DU284-DU285</f>
        <v>0</v>
      </c>
      <c r="DV286" s="612">
        <f>(DT286-DU286)</f>
        <v>167.27600000000001</v>
      </c>
      <c r="DW286" s="652"/>
      <c r="DX286" s="613"/>
      <c r="DY286" s="615"/>
      <c r="DZ286" s="605">
        <f>DZ281-DZ284-DZ285</f>
        <v>144.37900000000002</v>
      </c>
      <c r="EA286" s="605">
        <f>EA281-EA284-EA285</f>
        <v>137.61800000000005</v>
      </c>
      <c r="EB286" s="608"/>
      <c r="EC286" s="608"/>
      <c r="ED286" s="608"/>
      <c r="EE286" s="610">
        <f>DU286/DZ286-1</f>
        <v>-1</v>
      </c>
      <c r="EF286" s="634">
        <f>DU286/EA286-1</f>
        <v>-1</v>
      </c>
      <c r="EG286" s="12"/>
      <c r="EH286" s="8"/>
      <c r="EI286"/>
      <c r="EJ286"/>
      <c r="EK286"/>
      <c r="EL286"/>
      <c r="EM286"/>
      <c r="EN286" s="33"/>
      <c r="EO286" s="33"/>
      <c r="EP286" s="33"/>
      <c r="EQ286" s="33"/>
      <c r="ER286" s="33"/>
      <c r="ES286" s="33"/>
      <c r="ET286" s="33"/>
      <c r="EU286" s="33"/>
      <c r="EV286" s="33"/>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c r="HB286"/>
      <c r="HC286"/>
      <c r="HD286"/>
      <c r="HE286"/>
      <c r="HF286"/>
      <c r="HG286"/>
      <c r="HH286"/>
      <c r="HI286"/>
      <c r="HJ286"/>
      <c r="HK286"/>
      <c r="HL286"/>
      <c r="HM286"/>
      <c r="HN286"/>
      <c r="HO286"/>
      <c r="HP286"/>
      <c r="HQ286"/>
      <c r="HR286"/>
      <c r="HS286"/>
      <c r="HT286"/>
      <c r="HU286"/>
      <c r="HV286"/>
      <c r="HW286"/>
      <c r="HX286"/>
      <c r="HY286"/>
      <c r="HZ286"/>
      <c r="IA286"/>
      <c r="IB286"/>
      <c r="IC286"/>
      <c r="ID286"/>
      <c r="IE286"/>
      <c r="IF286"/>
      <c r="IG286"/>
      <c r="IH286"/>
      <c r="II286"/>
      <c r="IJ286"/>
      <c r="IK286"/>
      <c r="IL286"/>
      <c r="IM286"/>
      <c r="IN286"/>
      <c r="IO286"/>
      <c r="IP286"/>
      <c r="IQ286"/>
      <c r="IR286"/>
      <c r="IS286"/>
      <c r="IT286"/>
      <c r="IU286"/>
      <c r="IV286"/>
    </row>
    <row r="287" spans="1:256" s="220" customFormat="1" ht="3.75" hidden="1" customHeight="1" outlineLevel="1">
      <c r="A287" s="78"/>
      <c r="DQ287" s="590"/>
      <c r="DR287" s="618"/>
      <c r="DS287" s="618"/>
      <c r="DT287" s="230">
        <f t="shared" si="33"/>
        <v>0</v>
      </c>
      <c r="DU287" s="623"/>
      <c r="DV287" s="623"/>
      <c r="DW287" s="623"/>
      <c r="DX287" s="651"/>
      <c r="DY287" s="615"/>
      <c r="DZ287" s="623"/>
      <c r="EA287" s="623"/>
      <c r="EB287" s="623"/>
      <c r="EC287" s="623"/>
      <c r="ED287" s="623"/>
      <c r="EE287" s="610"/>
      <c r="EF287" s="610"/>
      <c r="EG287" s="12"/>
      <c r="EH287" s="8"/>
      <c r="EI287"/>
      <c r="EJ287"/>
      <c r="EK287"/>
      <c r="EL287"/>
      <c r="EM287"/>
      <c r="EN287" s="33"/>
      <c r="EO287" s="33"/>
      <c r="EP287" s="33"/>
      <c r="EQ287" s="33"/>
      <c r="ER287" s="33"/>
      <c r="ES287" s="33"/>
      <c r="ET287" s="33"/>
      <c r="EU287" s="33"/>
      <c r="EV287" s="33"/>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c r="HB287"/>
      <c r="HC287"/>
      <c r="HD287"/>
      <c r="HE287"/>
      <c r="HF287"/>
      <c r="HG287"/>
      <c r="HH287"/>
      <c r="HI287"/>
      <c r="HJ287"/>
      <c r="HK287"/>
      <c r="HL287"/>
      <c r="HM287"/>
      <c r="HN287"/>
      <c r="HO287"/>
      <c r="HP287"/>
      <c r="HQ287"/>
      <c r="HR287"/>
      <c r="HS287"/>
      <c r="HT287"/>
      <c r="HU287"/>
      <c r="HV287"/>
      <c r="HW287"/>
      <c r="HX287"/>
      <c r="HY287"/>
      <c r="HZ287"/>
      <c r="IA287"/>
      <c r="IB287"/>
      <c r="IC287"/>
      <c r="ID287"/>
      <c r="IE287"/>
      <c r="IF287"/>
      <c r="IG287"/>
      <c r="IH287"/>
      <c r="II287"/>
      <c r="IJ287"/>
      <c r="IK287"/>
      <c r="IL287"/>
      <c r="IM287"/>
      <c r="IN287"/>
      <c r="IO287"/>
      <c r="IP287"/>
      <c r="IQ287"/>
      <c r="IR287"/>
      <c r="IS287"/>
      <c r="IT287"/>
      <c r="IU287"/>
      <c r="IV287"/>
    </row>
    <row r="288" spans="1:256" s="220" customFormat="1" ht="11.25" hidden="1" customHeight="1" outlineLevel="1">
      <c r="A288" s="78"/>
      <c r="DQ288" s="590"/>
      <c r="DR288" s="603" t="s">
        <v>448</v>
      </c>
      <c r="DS288" s="618"/>
      <c r="DT288" s="229">
        <f t="shared" si="33"/>
        <v>0</v>
      </c>
      <c r="DU288" s="605">
        <v>0</v>
      </c>
      <c r="DV288" s="612">
        <f>(DT288-DU288)</f>
        <v>0</v>
      </c>
      <c r="DW288" s="623"/>
      <c r="DX288" s="651"/>
      <c r="DY288" s="615"/>
      <c r="DZ288" s="605">
        <v>0</v>
      </c>
      <c r="EA288" s="605">
        <v>0</v>
      </c>
      <c r="EB288" s="608"/>
      <c r="EC288" s="608"/>
      <c r="ED288" s="608"/>
      <c r="EE288" s="610" t="e">
        <f>DU288/DZ288-1</f>
        <v>#DIV/0!</v>
      </c>
      <c r="EF288" s="634" t="e">
        <f>DU288/EA288-1</f>
        <v>#DIV/0!</v>
      </c>
      <c r="EG288" s="12"/>
      <c r="EH288" s="8"/>
      <c r="EI288"/>
      <c r="EJ288"/>
      <c r="EK288"/>
      <c r="EL288"/>
      <c r="EM288"/>
      <c r="EN288" s="33"/>
      <c r="EO288" s="33"/>
      <c r="EP288" s="33"/>
      <c r="EQ288" s="33"/>
      <c r="ER288" s="33"/>
      <c r="ES288" s="33"/>
      <c r="ET288" s="33"/>
      <c r="EU288" s="33"/>
      <c r="EV288" s="33"/>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c r="HB288"/>
      <c r="HC288"/>
      <c r="HD288"/>
      <c r="HE288"/>
      <c r="HF288"/>
      <c r="HG288"/>
      <c r="HH288"/>
      <c r="HI288"/>
      <c r="HJ288"/>
      <c r="HK288"/>
      <c r="HL288"/>
      <c r="HM288"/>
      <c r="HN288"/>
      <c r="HO288"/>
      <c r="HP288"/>
      <c r="HQ288"/>
      <c r="HR288"/>
      <c r="HS288"/>
      <c r="HT288"/>
      <c r="HU288"/>
      <c r="HV288"/>
      <c r="HW288"/>
      <c r="HX288"/>
      <c r="HY288"/>
      <c r="HZ288"/>
      <c r="IA288"/>
      <c r="IB288"/>
      <c r="IC288"/>
      <c r="ID288"/>
      <c r="IE288"/>
      <c r="IF288"/>
      <c r="IG288"/>
      <c r="IH288"/>
      <c r="II288"/>
      <c r="IJ288"/>
      <c r="IK288"/>
      <c r="IL288"/>
      <c r="IM288"/>
      <c r="IN288"/>
      <c r="IO288"/>
      <c r="IP288"/>
      <c r="IQ288"/>
      <c r="IR288"/>
      <c r="IS288"/>
      <c r="IT288"/>
      <c r="IU288"/>
      <c r="IV288"/>
    </row>
    <row r="289" spans="1:256" s="220" customFormat="1" ht="11.25" hidden="1" customHeight="1" outlineLevel="1">
      <c r="A289" s="78"/>
      <c r="DQ289" s="590"/>
      <c r="DR289" s="603" t="s">
        <v>1184</v>
      </c>
      <c r="DS289" s="618"/>
      <c r="DT289" s="229">
        <f t="shared" si="33"/>
        <v>0</v>
      </c>
      <c r="DU289" s="605">
        <v>0</v>
      </c>
      <c r="DV289" s="612">
        <f>(DT289-DU289)</f>
        <v>0</v>
      </c>
      <c r="DW289" s="623"/>
      <c r="DX289" s="651"/>
      <c r="DY289" s="615"/>
      <c r="DZ289" s="605">
        <v>0</v>
      </c>
      <c r="EA289" s="605">
        <v>0</v>
      </c>
      <c r="EB289" s="608"/>
      <c r="EC289" s="608"/>
      <c r="ED289" s="608"/>
      <c r="EE289" s="610"/>
      <c r="EF289" s="653"/>
      <c r="EG289" s="12"/>
      <c r="EH289" s="8"/>
      <c r="EI289"/>
      <c r="EJ289"/>
      <c r="EK289"/>
      <c r="EL289"/>
      <c r="EM289"/>
      <c r="EN289" s="33"/>
      <c r="EO289" s="33"/>
      <c r="EP289" s="33"/>
      <c r="EQ289" s="33"/>
      <c r="ER289" s="33"/>
      <c r="ES289" s="33"/>
      <c r="ET289" s="33"/>
      <c r="EU289" s="33"/>
      <c r="EV289" s="33"/>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c r="HB289"/>
      <c r="HC289"/>
      <c r="HD289"/>
      <c r="HE289"/>
      <c r="HF289"/>
      <c r="HG289"/>
      <c r="HH289"/>
      <c r="HI289"/>
      <c r="HJ289"/>
      <c r="HK289"/>
      <c r="HL289"/>
      <c r="HM289"/>
      <c r="HN289"/>
      <c r="HO289"/>
      <c r="HP289"/>
      <c r="HQ289"/>
      <c r="HR289"/>
      <c r="HS289"/>
      <c r="HT289"/>
      <c r="HU289"/>
      <c r="HV289"/>
      <c r="HW289"/>
      <c r="HX289"/>
      <c r="HY289"/>
      <c r="HZ289"/>
      <c r="IA289"/>
      <c r="IB289"/>
      <c r="IC289"/>
      <c r="ID289"/>
      <c r="IE289"/>
      <c r="IF289"/>
      <c r="IG289"/>
      <c r="IH289"/>
      <c r="II289"/>
      <c r="IJ289"/>
      <c r="IK289"/>
      <c r="IL289"/>
      <c r="IM289"/>
      <c r="IN289"/>
      <c r="IO289"/>
      <c r="IP289"/>
      <c r="IQ289"/>
      <c r="IR289"/>
      <c r="IS289"/>
      <c r="IT289"/>
      <c r="IU289"/>
      <c r="IV289"/>
    </row>
    <row r="290" spans="1:256" s="220" customFormat="1" ht="11.25" hidden="1" customHeight="1" outlineLevel="1">
      <c r="A290" s="78"/>
      <c r="DQ290" s="590"/>
      <c r="DR290" s="603" t="s">
        <v>1042</v>
      </c>
      <c r="DS290" s="618"/>
      <c r="DT290" s="229">
        <f t="shared" si="33"/>
        <v>0</v>
      </c>
      <c r="DU290" s="605">
        <v>0</v>
      </c>
      <c r="DV290" s="612">
        <f>(DT290-DU290)</f>
        <v>0</v>
      </c>
      <c r="DW290" s="623"/>
      <c r="DX290" s="651"/>
      <c r="DY290" s="615"/>
      <c r="DZ290" s="605">
        <v>0</v>
      </c>
      <c r="EA290" s="605">
        <v>0</v>
      </c>
      <c r="EB290" s="608"/>
      <c r="EC290" s="608"/>
      <c r="ED290" s="608"/>
      <c r="EE290" s="610"/>
      <c r="EF290" s="653"/>
      <c r="EG290" s="12"/>
      <c r="EH290" s="8"/>
      <c r="EI290"/>
      <c r="EJ290"/>
      <c r="EK290"/>
      <c r="EL290"/>
      <c r="EM290"/>
      <c r="EN290" s="33"/>
      <c r="EO290" s="33"/>
      <c r="EP290" s="33"/>
      <c r="EQ290" s="33"/>
      <c r="ER290" s="33"/>
      <c r="ES290" s="33"/>
      <c r="ET290" s="33"/>
      <c r="EU290" s="33"/>
      <c r="EV290" s="33"/>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c r="HB290"/>
      <c r="HC290"/>
      <c r="HD290"/>
      <c r="HE290"/>
      <c r="HF290"/>
      <c r="HG290"/>
      <c r="HH290"/>
      <c r="HI290"/>
      <c r="HJ290"/>
      <c r="HK290"/>
      <c r="HL290"/>
      <c r="HM290"/>
      <c r="HN290"/>
      <c r="HO290"/>
      <c r="HP290"/>
      <c r="HQ290"/>
      <c r="HR290"/>
      <c r="HS290"/>
      <c r="HT290"/>
      <c r="HU290"/>
      <c r="HV290"/>
      <c r="HW290"/>
      <c r="HX290"/>
      <c r="HY290"/>
      <c r="HZ290"/>
      <c r="IA290"/>
      <c r="IB290"/>
      <c r="IC290"/>
      <c r="ID290"/>
      <c r="IE290"/>
      <c r="IF290"/>
      <c r="IG290"/>
      <c r="IH290"/>
      <c r="II290"/>
      <c r="IJ290"/>
      <c r="IK290"/>
      <c r="IL290"/>
      <c r="IM290"/>
      <c r="IN290"/>
      <c r="IO290"/>
      <c r="IP290"/>
      <c r="IQ290"/>
      <c r="IR290"/>
      <c r="IS290"/>
      <c r="IT290"/>
      <c r="IU290"/>
      <c r="IV290"/>
    </row>
    <row r="291" spans="1:256" s="220" customFormat="1" ht="11.25" hidden="1" customHeight="1" outlineLevel="1">
      <c r="A291" s="78"/>
      <c r="DQ291" s="590"/>
      <c r="DR291" s="645" t="s">
        <v>449</v>
      </c>
      <c r="DS291" s="645"/>
      <c r="DT291" s="654">
        <f t="shared" si="33"/>
        <v>0</v>
      </c>
      <c r="DU291" s="647">
        <f>DU288+DU289-DU290</f>
        <v>0</v>
      </c>
      <c r="DV291" s="647">
        <f>(DT291-DU291)</f>
        <v>0</v>
      </c>
      <c r="DW291" s="647"/>
      <c r="DX291" s="655"/>
      <c r="DY291" s="615"/>
      <c r="DZ291" s="647">
        <f>DZ288+DZ289-DZ290</f>
        <v>0</v>
      </c>
      <c r="EA291" s="647">
        <f>EA288-EA290+EA289</f>
        <v>0</v>
      </c>
      <c r="EB291" s="649"/>
      <c r="EC291" s="649"/>
      <c r="ED291" s="649"/>
      <c r="EE291" s="650"/>
      <c r="EF291" s="650"/>
      <c r="EG291" s="12"/>
      <c r="EH291" s="8"/>
      <c r="EI291"/>
      <c r="EJ291"/>
      <c r="EK291"/>
      <c r="EL291"/>
      <c r="EM291"/>
      <c r="EN291" s="33"/>
      <c r="EO291" s="33"/>
      <c r="EP291" s="33"/>
      <c r="EQ291" s="33"/>
      <c r="ER291" s="33"/>
      <c r="ES291" s="33"/>
      <c r="ET291" s="33"/>
      <c r="EU291" s="33"/>
      <c r="EV291" s="33"/>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c r="HB291"/>
      <c r="HC291"/>
      <c r="HD291"/>
      <c r="HE291"/>
      <c r="HF291"/>
      <c r="HG291"/>
      <c r="HH291"/>
      <c r="HI291"/>
      <c r="HJ291"/>
      <c r="HK291"/>
      <c r="HL291"/>
      <c r="HM291"/>
      <c r="HN291"/>
      <c r="HO291"/>
      <c r="HP291"/>
      <c r="HQ291"/>
      <c r="HR291"/>
      <c r="HS291"/>
      <c r="HT291"/>
      <c r="HU291"/>
      <c r="HV291"/>
      <c r="HW291"/>
      <c r="HX291"/>
      <c r="HY291"/>
      <c r="HZ291"/>
      <c r="IA291"/>
      <c r="IB291"/>
      <c r="IC291"/>
      <c r="ID291"/>
      <c r="IE291"/>
      <c r="IF291"/>
      <c r="IG291"/>
      <c r="IH291"/>
      <c r="II291"/>
      <c r="IJ291"/>
      <c r="IK291"/>
      <c r="IL291"/>
      <c r="IM291"/>
      <c r="IN291"/>
      <c r="IO291"/>
      <c r="IP291"/>
      <c r="IQ291"/>
      <c r="IR291"/>
      <c r="IS291"/>
      <c r="IT291"/>
      <c r="IU291"/>
      <c r="IV291"/>
    </row>
    <row r="292" spans="1:256" s="220" customFormat="1" ht="3" hidden="1" customHeight="1" outlineLevel="1">
      <c r="A292" s="78"/>
      <c r="DQ292" s="590"/>
      <c r="DR292" s="238"/>
      <c r="DS292" s="238"/>
      <c r="DT292" s="230">
        <f t="shared" si="33"/>
        <v>0</v>
      </c>
      <c r="DU292" s="613"/>
      <c r="DV292" s="613"/>
      <c r="DW292" s="613"/>
      <c r="DX292" s="633"/>
      <c r="DY292" s="615"/>
      <c r="DZ292" s="613"/>
      <c r="EA292" s="632"/>
      <c r="EB292" s="632"/>
      <c r="EC292" s="632"/>
      <c r="ED292" s="632"/>
      <c r="EE292" s="634"/>
      <c r="EF292" s="634"/>
      <c r="EG292" s="12"/>
      <c r="EH292" s="8"/>
      <c r="EI292"/>
      <c r="EJ292"/>
      <c r="EK292"/>
      <c r="EL292"/>
      <c r="EM292"/>
      <c r="EN292" s="33"/>
      <c r="EO292" s="33"/>
      <c r="EP292" s="33"/>
      <c r="EQ292" s="33"/>
      <c r="ER292" s="33"/>
      <c r="ES292" s="33"/>
      <c r="ET292" s="33"/>
      <c r="EU292" s="33"/>
      <c r="EV292" s="33"/>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c r="HB292"/>
      <c r="HC292"/>
      <c r="HD292"/>
      <c r="HE292"/>
      <c r="HF292"/>
      <c r="HG292"/>
      <c r="HH292"/>
      <c r="HI292"/>
      <c r="HJ292"/>
      <c r="HK292"/>
      <c r="HL292"/>
      <c r="HM292"/>
      <c r="HN292"/>
      <c r="HO292"/>
      <c r="HP292"/>
      <c r="HQ292"/>
      <c r="HR292"/>
      <c r="HS292"/>
      <c r="HT292"/>
      <c r="HU292"/>
      <c r="HV292"/>
      <c r="HW292"/>
      <c r="HX292"/>
      <c r="HY292"/>
      <c r="HZ292"/>
      <c r="IA292"/>
      <c r="IB292"/>
      <c r="IC292"/>
      <c r="ID292"/>
      <c r="IE292"/>
      <c r="IF292"/>
      <c r="IG292"/>
      <c r="IH292"/>
      <c r="II292"/>
      <c r="IJ292"/>
      <c r="IK292"/>
      <c r="IL292"/>
      <c r="IM292"/>
      <c r="IN292"/>
      <c r="IO292"/>
      <c r="IP292"/>
      <c r="IQ292"/>
      <c r="IR292"/>
      <c r="IS292"/>
      <c r="IT292"/>
      <c r="IU292"/>
      <c r="IV292"/>
    </row>
    <row r="293" spans="1:256" s="220" customFormat="1" ht="11.25" hidden="1" customHeight="1" outlineLevel="1">
      <c r="A293" s="78"/>
      <c r="DQ293" s="590"/>
      <c r="DR293" s="618" t="s">
        <v>450</v>
      </c>
      <c r="DS293" s="618"/>
      <c r="DT293" s="230">
        <f t="shared" si="33"/>
        <v>167.27600000000001</v>
      </c>
      <c r="DU293" s="605">
        <f>DU286-DU291</f>
        <v>0</v>
      </c>
      <c r="DV293" s="605">
        <f>(DT293-DU293)</f>
        <v>167.27600000000001</v>
      </c>
      <c r="DW293" s="652"/>
      <c r="DX293" s="612"/>
      <c r="DY293" s="615"/>
      <c r="DZ293" s="605">
        <f>DZ286-DZ291</f>
        <v>144.37900000000002</v>
      </c>
      <c r="EA293" s="605">
        <f>EA286-EA291</f>
        <v>137.61800000000005</v>
      </c>
      <c r="EB293" s="656"/>
      <c r="EC293" s="656"/>
      <c r="ED293" s="656"/>
      <c r="EE293" s="610"/>
      <c r="EF293" s="610"/>
      <c r="EG293" s="12"/>
      <c r="EH293" s="8"/>
      <c r="EI293"/>
      <c r="EJ293"/>
      <c r="EK293"/>
      <c r="EL293"/>
      <c r="EM293"/>
      <c r="EN293" s="33"/>
      <c r="EO293" s="33"/>
      <c r="EP293" s="33"/>
      <c r="EQ293" s="33"/>
      <c r="ER293" s="33"/>
      <c r="ES293" s="33"/>
      <c r="ET293" s="33"/>
      <c r="EU293" s="33"/>
      <c r="EV293" s="3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c r="HB293"/>
      <c r="HC293"/>
      <c r="HD293"/>
      <c r="HE293"/>
      <c r="HF293"/>
      <c r="HG293"/>
      <c r="HH293"/>
      <c r="HI293"/>
      <c r="HJ293"/>
      <c r="HK293"/>
      <c r="HL293"/>
      <c r="HM293"/>
      <c r="HN293"/>
      <c r="HO293"/>
      <c r="HP293"/>
      <c r="HQ293"/>
      <c r="HR293"/>
      <c r="HS293"/>
      <c r="HT293"/>
      <c r="HU293"/>
      <c r="HV293"/>
      <c r="HW293"/>
      <c r="HX293"/>
      <c r="HY293"/>
      <c r="HZ293"/>
      <c r="IA293"/>
      <c r="IB293"/>
      <c r="IC293"/>
      <c r="ID293"/>
      <c r="IE293"/>
      <c r="IF293"/>
      <c r="IG293"/>
      <c r="IH293"/>
      <c r="II293"/>
      <c r="IJ293"/>
      <c r="IK293"/>
      <c r="IL293"/>
      <c r="IM293"/>
      <c r="IN293"/>
      <c r="IO293"/>
      <c r="IP293"/>
      <c r="IQ293"/>
      <c r="IR293"/>
      <c r="IS293"/>
      <c r="IT293"/>
      <c r="IU293"/>
      <c r="IV293"/>
    </row>
    <row r="294" spans="1:256" s="220" customFormat="1" ht="11.25" hidden="1" customHeight="1" outlineLevel="1">
      <c r="A294" s="78"/>
      <c r="DQ294" s="590"/>
      <c r="DR294" s="618"/>
      <c r="DS294" s="618"/>
      <c r="DT294" s="230">
        <f t="shared" si="33"/>
        <v>0</v>
      </c>
      <c r="DU294" s="605"/>
      <c r="DV294" s="605"/>
      <c r="DW294" s="605"/>
      <c r="DX294" s="623"/>
      <c r="DY294" s="615"/>
      <c r="DZ294" s="605"/>
      <c r="EA294" s="623"/>
      <c r="EB294" s="623"/>
      <c r="EC294" s="623"/>
      <c r="ED294" s="623"/>
      <c r="EE294" s="610"/>
      <c r="EF294" s="610"/>
      <c r="EG294" s="12"/>
      <c r="EH294" s="8"/>
      <c r="EI294"/>
      <c r="EJ294"/>
      <c r="EK294"/>
      <c r="EL294"/>
      <c r="EM294"/>
      <c r="EN294" s="33"/>
      <c r="EO294" s="33"/>
      <c r="EP294" s="33"/>
      <c r="EQ294" s="33"/>
      <c r="ER294" s="33"/>
      <c r="ES294" s="33"/>
      <c r="ET294" s="33"/>
      <c r="EU294" s="33"/>
      <c r="EV294" s="33"/>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c r="HB294"/>
      <c r="HC294"/>
      <c r="HD294"/>
      <c r="HE294"/>
      <c r="HF294"/>
      <c r="HG294"/>
      <c r="HH294"/>
      <c r="HI294"/>
      <c r="HJ294"/>
      <c r="HK294"/>
      <c r="HL294"/>
      <c r="HM294"/>
      <c r="HN294"/>
      <c r="HO294"/>
      <c r="HP294"/>
      <c r="HQ294"/>
      <c r="HR294"/>
      <c r="HS294"/>
      <c r="HT294"/>
      <c r="HU294"/>
      <c r="HV294"/>
      <c r="HW294"/>
      <c r="HX294"/>
      <c r="HY294"/>
      <c r="HZ294"/>
      <c r="IA294"/>
      <c r="IB294"/>
      <c r="IC294"/>
      <c r="ID294"/>
      <c r="IE294"/>
      <c r="IF294"/>
      <c r="IG294"/>
      <c r="IH294"/>
      <c r="II294"/>
      <c r="IJ294"/>
      <c r="IK294"/>
      <c r="IL294"/>
      <c r="IM294"/>
      <c r="IN294"/>
      <c r="IO294"/>
      <c r="IP294"/>
      <c r="IQ294"/>
      <c r="IR294"/>
      <c r="IS294"/>
      <c r="IT294"/>
      <c r="IU294"/>
      <c r="IV294"/>
    </row>
    <row r="295" spans="1:256" s="220" customFormat="1" ht="11.25" hidden="1" customHeight="1" outlineLevel="1">
      <c r="A295" s="78"/>
      <c r="DQ295" s="590"/>
      <c r="DR295" s="645" t="s">
        <v>451</v>
      </c>
      <c r="DS295" s="645"/>
      <c r="DT295" s="646">
        <f t="shared" si="33"/>
        <v>0</v>
      </c>
      <c r="DU295" s="647">
        <v>0</v>
      </c>
      <c r="DV295" s="655">
        <f>(DT295-DU295)</f>
        <v>0</v>
      </c>
      <c r="DW295" s="647"/>
      <c r="DX295" s="647"/>
      <c r="DY295" s="615"/>
      <c r="DZ295" s="647">
        <v>0</v>
      </c>
      <c r="EA295" s="647">
        <v>0</v>
      </c>
      <c r="EB295" s="649"/>
      <c r="EC295" s="649"/>
      <c r="ED295" s="649"/>
      <c r="EE295" s="650"/>
      <c r="EF295" s="657"/>
      <c r="EG295" s="12"/>
      <c r="EH295" s="8"/>
      <c r="EI295"/>
      <c r="EJ295"/>
      <c r="EK295"/>
      <c r="EL295"/>
      <c r="EM295"/>
      <c r="EN295" s="33"/>
      <c r="EO295" s="33"/>
      <c r="EP295" s="33"/>
      <c r="EQ295" s="33"/>
      <c r="ER295" s="33"/>
      <c r="ES295" s="33"/>
      <c r="ET295" s="33"/>
      <c r="EU295" s="33"/>
      <c r="EV295" s="33"/>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c r="HB295"/>
      <c r="HC295"/>
      <c r="HD295"/>
      <c r="HE295"/>
      <c r="HF295"/>
      <c r="HG295"/>
      <c r="HH295"/>
      <c r="HI295"/>
      <c r="HJ295"/>
      <c r="HK295"/>
      <c r="HL295"/>
      <c r="HM295"/>
      <c r="HN295"/>
      <c r="HO295"/>
      <c r="HP295"/>
      <c r="HQ295"/>
      <c r="HR295"/>
      <c r="HS295"/>
      <c r="HT295"/>
      <c r="HU295"/>
      <c r="HV295"/>
      <c r="HW295"/>
      <c r="HX295"/>
      <c r="HY295"/>
      <c r="HZ295"/>
      <c r="IA295"/>
      <c r="IB295"/>
      <c r="IC295"/>
      <c r="ID295"/>
      <c r="IE295"/>
      <c r="IF295"/>
      <c r="IG295"/>
      <c r="IH295"/>
      <c r="II295"/>
      <c r="IJ295"/>
      <c r="IK295"/>
      <c r="IL295"/>
      <c r="IM295"/>
      <c r="IN295"/>
      <c r="IO295"/>
      <c r="IP295"/>
      <c r="IQ295"/>
      <c r="IR295"/>
      <c r="IS295"/>
      <c r="IT295"/>
      <c r="IU295"/>
      <c r="IV295"/>
    </row>
    <row r="296" spans="1:256" s="220" customFormat="1" ht="3.75" hidden="1" customHeight="1" outlineLevel="1">
      <c r="A296" s="78"/>
      <c r="DQ296" s="590"/>
      <c r="DR296" s="238"/>
      <c r="DS296" s="238"/>
      <c r="DT296" s="230">
        <f t="shared" si="33"/>
        <v>0</v>
      </c>
      <c r="DU296" s="613"/>
      <c r="DV296" s="613"/>
      <c r="DW296" s="613"/>
      <c r="DX296" s="633"/>
      <c r="DY296" s="615"/>
      <c r="DZ296" s="613"/>
      <c r="EA296" s="632"/>
      <c r="EB296" s="632"/>
      <c r="EC296" s="632"/>
      <c r="ED296" s="632"/>
      <c r="EE296" s="634"/>
      <c r="EF296" s="634"/>
      <c r="EG296" s="12"/>
      <c r="EH296" s="8"/>
      <c r="EI296"/>
      <c r="EJ296"/>
      <c r="EK296"/>
      <c r="EL296"/>
      <c r="EM296"/>
      <c r="EN296" s="33"/>
      <c r="EO296" s="33"/>
      <c r="EP296" s="33"/>
      <c r="EQ296" s="33"/>
      <c r="ER296" s="33"/>
      <c r="ES296" s="33"/>
      <c r="ET296" s="33"/>
      <c r="EU296" s="33"/>
      <c r="EV296" s="33"/>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c r="HB296"/>
      <c r="HC296"/>
      <c r="HD296"/>
      <c r="HE296"/>
      <c r="HF296"/>
      <c r="HG296"/>
      <c r="HH296"/>
      <c r="HI296"/>
      <c r="HJ296"/>
      <c r="HK296"/>
      <c r="HL296"/>
      <c r="HM296"/>
      <c r="HN296"/>
      <c r="HO296"/>
      <c r="HP296"/>
      <c r="HQ296"/>
      <c r="HR296"/>
      <c r="HS296"/>
      <c r="HT296"/>
      <c r="HU296"/>
      <c r="HV296"/>
      <c r="HW296"/>
      <c r="HX296"/>
      <c r="HY296"/>
      <c r="HZ296"/>
      <c r="IA296"/>
      <c r="IB296"/>
      <c r="IC296"/>
      <c r="ID296"/>
      <c r="IE296"/>
      <c r="IF296"/>
      <c r="IG296"/>
      <c r="IH296"/>
      <c r="II296"/>
      <c r="IJ296"/>
      <c r="IK296"/>
      <c r="IL296"/>
      <c r="IM296"/>
      <c r="IN296"/>
      <c r="IO296"/>
      <c r="IP296"/>
      <c r="IQ296"/>
      <c r="IR296"/>
      <c r="IS296"/>
      <c r="IT296"/>
      <c r="IU296"/>
      <c r="IV296"/>
    </row>
    <row r="297" spans="1:256" s="220" customFormat="1" ht="11.25" hidden="1" customHeight="1" outlineLevel="1">
      <c r="A297" s="78"/>
      <c r="DQ297" s="590"/>
      <c r="DR297" s="618" t="s">
        <v>452</v>
      </c>
      <c r="DS297" s="618"/>
      <c r="DT297" s="230">
        <f t="shared" si="33"/>
        <v>167.27600000000001</v>
      </c>
      <c r="DU297" s="605">
        <f>DU293+DU295</f>
        <v>0</v>
      </c>
      <c r="DV297" s="605">
        <f>DV293-DV295</f>
        <v>167.27600000000001</v>
      </c>
      <c r="DW297" s="652"/>
      <c r="DX297" s="612"/>
      <c r="DY297" s="615"/>
      <c r="DZ297" s="605">
        <f>DZ293+DZ295</f>
        <v>144.37900000000002</v>
      </c>
      <c r="EA297" s="605">
        <f>EA293+EA295</f>
        <v>137.61800000000005</v>
      </c>
      <c r="EB297" s="656"/>
      <c r="EC297" s="656"/>
      <c r="ED297" s="656"/>
      <c r="EE297" s="610"/>
      <c r="EF297" s="610"/>
      <c r="EG297" s="12"/>
      <c r="EH297" s="8"/>
      <c r="EI297"/>
      <c r="EJ297"/>
      <c r="EK297"/>
      <c r="EL297"/>
      <c r="EM297"/>
      <c r="EN297" s="33"/>
      <c r="EO297" s="33"/>
      <c r="EP297" s="33"/>
      <c r="EQ297" s="33"/>
      <c r="ER297" s="33"/>
      <c r="ES297" s="33"/>
      <c r="ET297" s="33"/>
      <c r="EU297" s="33"/>
      <c r="EV297" s="33"/>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c r="HB297"/>
      <c r="HC297"/>
      <c r="HD297"/>
      <c r="HE297"/>
      <c r="HF297"/>
      <c r="HG297"/>
      <c r="HH297"/>
      <c r="HI297"/>
      <c r="HJ297"/>
      <c r="HK297"/>
      <c r="HL297"/>
      <c r="HM297"/>
      <c r="HN297"/>
      <c r="HO297"/>
      <c r="HP297"/>
      <c r="HQ297"/>
      <c r="HR297"/>
      <c r="HS297"/>
      <c r="HT297"/>
      <c r="HU297"/>
      <c r="HV297"/>
      <c r="HW297"/>
      <c r="HX297"/>
      <c r="HY297"/>
      <c r="HZ297"/>
      <c r="IA297"/>
      <c r="IB297"/>
      <c r="IC297"/>
      <c r="ID297"/>
      <c r="IE297"/>
      <c r="IF297"/>
      <c r="IG297"/>
      <c r="IH297"/>
      <c r="II297"/>
      <c r="IJ297"/>
      <c r="IK297"/>
      <c r="IL297"/>
      <c r="IM297"/>
      <c r="IN297"/>
      <c r="IO297"/>
      <c r="IP297"/>
      <c r="IQ297"/>
      <c r="IR297"/>
      <c r="IS297"/>
      <c r="IT297"/>
      <c r="IU297"/>
      <c r="IV297"/>
    </row>
    <row r="298" spans="1:256" s="220" customFormat="1" ht="11.25" hidden="1" customHeight="1" outlineLevel="1">
      <c r="A298" s="78"/>
      <c r="DQ298" s="590"/>
      <c r="DR298" s="618"/>
      <c r="DS298" s="618"/>
      <c r="DT298" s="230">
        <f t="shared" si="33"/>
        <v>0</v>
      </c>
      <c r="DU298" s="623"/>
      <c r="DV298" s="623"/>
      <c r="DW298" s="623"/>
      <c r="DX298" s="623"/>
      <c r="DY298" s="615"/>
      <c r="DZ298" s="623"/>
      <c r="EA298" s="623"/>
      <c r="EB298" s="623"/>
      <c r="EC298" s="623"/>
      <c r="ED298" s="623"/>
      <c r="EE298" s="610"/>
      <c r="EF298" s="610"/>
      <c r="EG298" s="12"/>
      <c r="EH298" s="8"/>
      <c r="EI298"/>
      <c r="EJ298"/>
      <c r="EK298"/>
      <c r="EL298"/>
      <c r="EM298"/>
      <c r="EN298" s="33"/>
      <c r="EO298" s="33"/>
      <c r="EP298" s="33"/>
      <c r="EQ298" s="33"/>
      <c r="ER298" s="33"/>
      <c r="ES298" s="33"/>
      <c r="ET298" s="33"/>
      <c r="EU298" s="33"/>
      <c r="EV298" s="33"/>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c r="HB298"/>
      <c r="HC298"/>
      <c r="HD298"/>
      <c r="HE298"/>
      <c r="HF298"/>
      <c r="HG298"/>
      <c r="HH298"/>
      <c r="HI298"/>
      <c r="HJ298"/>
      <c r="HK298"/>
      <c r="HL298"/>
      <c r="HM298"/>
      <c r="HN298"/>
      <c r="HO298"/>
      <c r="HP298"/>
      <c r="HQ298"/>
      <c r="HR298"/>
      <c r="HS298"/>
      <c r="HT298"/>
      <c r="HU298"/>
      <c r="HV298"/>
      <c r="HW298"/>
      <c r="HX298"/>
      <c r="HY298"/>
      <c r="HZ298"/>
      <c r="IA298"/>
      <c r="IB298"/>
      <c r="IC298"/>
      <c r="ID298"/>
      <c r="IE298"/>
      <c r="IF298"/>
      <c r="IG298"/>
      <c r="IH298"/>
      <c r="II298"/>
      <c r="IJ298"/>
      <c r="IK298"/>
      <c r="IL298"/>
      <c r="IM298"/>
      <c r="IN298"/>
      <c r="IO298"/>
      <c r="IP298"/>
      <c r="IQ298"/>
      <c r="IR298"/>
      <c r="IS298"/>
      <c r="IT298"/>
      <c r="IU298"/>
      <c r="IV298"/>
    </row>
    <row r="299" spans="1:256" s="220" customFormat="1" ht="11.25" hidden="1" customHeight="1" outlineLevel="2">
      <c r="A299" s="78"/>
      <c r="DQ299" s="590"/>
      <c r="DR299" s="658" t="s">
        <v>1461</v>
      </c>
      <c r="DS299" s="658"/>
      <c r="DT299" s="659">
        <f t="shared" si="33"/>
        <v>0</v>
      </c>
      <c r="DU299" s="660"/>
      <c r="DV299" s="660"/>
      <c r="DW299" s="660"/>
      <c r="DX299" s="660"/>
      <c r="DY299" s="615"/>
      <c r="DZ299" s="660"/>
      <c r="EA299" s="660"/>
      <c r="EB299" s="632"/>
      <c r="EC299" s="632"/>
      <c r="ED299" s="660"/>
      <c r="EE299" s="661"/>
      <c r="EF299" s="661"/>
      <c r="EG299" s="12"/>
      <c r="EH299" s="8"/>
      <c r="EI299"/>
      <c r="EJ299"/>
      <c r="EK299"/>
      <c r="EL299"/>
      <c r="EM299"/>
      <c r="EN299" s="33"/>
      <c r="EO299" s="33"/>
      <c r="EP299" s="33"/>
      <c r="EQ299" s="33"/>
      <c r="ER299" s="33"/>
      <c r="ES299" s="33"/>
      <c r="ET299" s="33"/>
      <c r="EU299" s="33"/>
      <c r="EV299" s="33"/>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c r="HB299"/>
      <c r="HC299"/>
      <c r="HD299"/>
      <c r="HE299"/>
      <c r="HF299"/>
      <c r="HG299"/>
      <c r="HH299"/>
      <c r="HI299"/>
      <c r="HJ299"/>
      <c r="HK299"/>
      <c r="HL299"/>
      <c r="HM299"/>
      <c r="HN299"/>
      <c r="HO299"/>
      <c r="HP299"/>
      <c r="HQ299"/>
      <c r="HR299"/>
      <c r="HS299"/>
      <c r="HT299"/>
      <c r="HU299"/>
      <c r="HV299"/>
      <c r="HW299"/>
      <c r="HX299"/>
      <c r="HY299"/>
      <c r="HZ299"/>
      <c r="IA299"/>
      <c r="IB299"/>
      <c r="IC299"/>
      <c r="ID299"/>
      <c r="IE299"/>
      <c r="IF299"/>
      <c r="IG299"/>
      <c r="IH299"/>
      <c r="II299"/>
      <c r="IJ299"/>
      <c r="IK299"/>
      <c r="IL299"/>
      <c r="IM299"/>
      <c r="IN299"/>
      <c r="IO299"/>
      <c r="IP299"/>
      <c r="IQ299"/>
      <c r="IR299"/>
      <c r="IS299"/>
      <c r="IT299"/>
      <c r="IU299"/>
      <c r="IV299"/>
    </row>
    <row r="300" spans="1:256" s="220" customFormat="1" ht="11.25" hidden="1" customHeight="1" outlineLevel="2">
      <c r="A300" s="78"/>
      <c r="DQ300" s="590"/>
      <c r="DR300" s="237" t="s">
        <v>1462</v>
      </c>
      <c r="DS300" s="238"/>
      <c r="DT300" s="229">
        <f t="shared" si="33"/>
        <v>0</v>
      </c>
      <c r="DU300" s="623"/>
      <c r="DV300" s="614"/>
      <c r="DW300" s="623"/>
      <c r="DX300" s="623"/>
      <c r="DY300" s="615"/>
      <c r="DZ300" s="623"/>
      <c r="EA300" s="623"/>
      <c r="EB300" s="623"/>
      <c r="EC300" s="623"/>
      <c r="ED300" s="623"/>
      <c r="EE300" s="610"/>
      <c r="EF300" s="610"/>
      <c r="EG300" s="12"/>
      <c r="EH300" s="8"/>
      <c r="EI300"/>
      <c r="EJ300"/>
      <c r="EK300"/>
      <c r="EL300"/>
      <c r="EM300"/>
      <c r="EN300" s="33"/>
      <c r="EO300" s="33"/>
      <c r="EP300" s="33"/>
      <c r="EQ300" s="33"/>
      <c r="ER300" s="33"/>
      <c r="ES300" s="33"/>
      <c r="ET300" s="33"/>
      <c r="EU300" s="33"/>
      <c r="EV300" s="33"/>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c r="HB300"/>
      <c r="HC300"/>
      <c r="HD300"/>
      <c r="HE300"/>
      <c r="HF300"/>
      <c r="HG300"/>
      <c r="HH300"/>
      <c r="HI300"/>
      <c r="HJ300"/>
      <c r="HK300"/>
      <c r="HL300"/>
      <c r="HM300"/>
      <c r="HN300"/>
      <c r="HO300"/>
      <c r="HP300"/>
      <c r="HQ300"/>
      <c r="HR300"/>
      <c r="HS300"/>
      <c r="HT300"/>
      <c r="HU300"/>
      <c r="HV300"/>
      <c r="HW300"/>
      <c r="HX300"/>
      <c r="HY300"/>
      <c r="HZ300"/>
      <c r="IA300"/>
      <c r="IB300"/>
      <c r="IC300"/>
      <c r="ID300"/>
      <c r="IE300"/>
      <c r="IF300"/>
      <c r="IG300"/>
      <c r="IH300"/>
      <c r="II300"/>
      <c r="IJ300"/>
      <c r="IK300"/>
      <c r="IL300"/>
      <c r="IM300"/>
      <c r="IN300"/>
      <c r="IO300"/>
      <c r="IP300"/>
      <c r="IQ300"/>
      <c r="IR300"/>
      <c r="IS300"/>
      <c r="IT300"/>
      <c r="IU300"/>
      <c r="IV300"/>
    </row>
    <row r="301" spans="1:256" s="220" customFormat="1" ht="11.25" hidden="1" customHeight="1" outlineLevel="2">
      <c r="A301" s="78"/>
      <c r="DQ301" s="590"/>
      <c r="DR301" s="238" t="s">
        <v>453</v>
      </c>
      <c r="DS301" s="238"/>
      <c r="DT301" s="230">
        <f t="shared" si="33"/>
        <v>0</v>
      </c>
      <c r="DU301" s="623"/>
      <c r="DV301" s="614"/>
      <c r="DW301" s="623"/>
      <c r="DX301" s="623"/>
      <c r="DY301" s="615"/>
      <c r="DZ301" s="623"/>
      <c r="EA301" s="623"/>
      <c r="EB301" s="623"/>
      <c r="EC301" s="623"/>
      <c r="ED301" s="623"/>
      <c r="EE301" s="610"/>
      <c r="EF301" s="610"/>
      <c r="EG301" s="12"/>
      <c r="EH301" s="8"/>
      <c r="EI301"/>
      <c r="EJ301"/>
      <c r="EK301"/>
      <c r="EL301"/>
      <c r="EM301"/>
      <c r="EN301" s="33"/>
      <c r="EO301" s="33"/>
      <c r="EP301" s="33"/>
      <c r="EQ301" s="33"/>
      <c r="ER301" s="33"/>
      <c r="ES301" s="33"/>
      <c r="ET301" s="33"/>
      <c r="EU301" s="33"/>
      <c r="EV301" s="33"/>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c r="HB301"/>
      <c r="HC301"/>
      <c r="HD301"/>
      <c r="HE301"/>
      <c r="HF301"/>
      <c r="HG301"/>
      <c r="HH301"/>
      <c r="HI301"/>
      <c r="HJ301"/>
      <c r="HK301"/>
      <c r="HL301"/>
      <c r="HM301"/>
      <c r="HN301"/>
      <c r="HO301"/>
      <c r="HP301"/>
      <c r="HQ301"/>
      <c r="HR301"/>
      <c r="HS301"/>
      <c r="HT301"/>
      <c r="HU301"/>
      <c r="HV301"/>
      <c r="HW301"/>
      <c r="HX301"/>
      <c r="HY301"/>
      <c r="HZ301"/>
      <c r="IA301"/>
      <c r="IB301"/>
      <c r="IC301"/>
      <c r="ID301"/>
      <c r="IE301"/>
      <c r="IF301"/>
      <c r="IG301"/>
      <c r="IH301"/>
      <c r="II301"/>
      <c r="IJ301"/>
      <c r="IK301"/>
      <c r="IL301"/>
      <c r="IM301"/>
      <c r="IN301"/>
      <c r="IO301"/>
      <c r="IP301"/>
      <c r="IQ301"/>
      <c r="IR301"/>
      <c r="IS301"/>
      <c r="IT301"/>
      <c r="IU301"/>
      <c r="IV301"/>
    </row>
    <row r="302" spans="1:256" s="220" customFormat="1" ht="11.25" hidden="1" customHeight="1" outlineLevel="2">
      <c r="A302" s="78"/>
      <c r="DQ302" s="590"/>
      <c r="DR302" s="238" t="s">
        <v>457</v>
      </c>
      <c r="DS302" s="238"/>
      <c r="DT302" s="230">
        <f t="shared" si="33"/>
        <v>0</v>
      </c>
      <c r="DU302" s="623"/>
      <c r="DV302" s="614"/>
      <c r="DW302" s="623"/>
      <c r="DX302" s="623"/>
      <c r="DY302" s="615"/>
      <c r="DZ302" s="623"/>
      <c r="EA302" s="623"/>
      <c r="EB302" s="623"/>
      <c r="EC302" s="623"/>
      <c r="ED302" s="623"/>
      <c r="EE302" s="610"/>
      <c r="EF302" s="610"/>
      <c r="EG302" s="12"/>
      <c r="EH302" s="8"/>
      <c r="EI302"/>
      <c r="EJ302"/>
      <c r="EK302"/>
      <c r="EL302"/>
      <c r="EM302"/>
      <c r="EN302" s="33"/>
      <c r="EO302" s="33"/>
      <c r="EP302" s="33"/>
      <c r="EQ302" s="33"/>
      <c r="ER302" s="33"/>
      <c r="ES302" s="33"/>
      <c r="ET302" s="33"/>
      <c r="EU302" s="33"/>
      <c r="EV302" s="33"/>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c r="HB302"/>
      <c r="HC302"/>
      <c r="HD302"/>
      <c r="HE302"/>
      <c r="HF302"/>
      <c r="HG302"/>
      <c r="HH302"/>
      <c r="HI302"/>
      <c r="HJ302"/>
      <c r="HK302"/>
      <c r="HL302"/>
      <c r="HM302"/>
      <c r="HN302"/>
      <c r="HO302"/>
      <c r="HP302"/>
      <c r="HQ302"/>
      <c r="HR302"/>
      <c r="HS302"/>
      <c r="HT302"/>
      <c r="HU302"/>
      <c r="HV302"/>
      <c r="HW302"/>
      <c r="HX302"/>
      <c r="HY302"/>
      <c r="HZ302"/>
      <c r="IA302"/>
      <c r="IB302"/>
      <c r="IC302"/>
      <c r="ID302"/>
      <c r="IE302"/>
      <c r="IF302"/>
      <c r="IG302"/>
      <c r="IH302"/>
      <c r="II302"/>
      <c r="IJ302"/>
      <c r="IK302"/>
      <c r="IL302"/>
      <c r="IM302"/>
      <c r="IN302"/>
      <c r="IO302"/>
      <c r="IP302"/>
      <c r="IQ302"/>
      <c r="IR302"/>
      <c r="IS302"/>
      <c r="IT302"/>
      <c r="IU302"/>
      <c r="IV302"/>
    </row>
    <row r="303" spans="1:256" s="220" customFormat="1" ht="11.25" hidden="1" customHeight="1" outlineLevel="2">
      <c r="A303" s="78"/>
      <c r="DQ303" s="590"/>
      <c r="DR303" s="238" t="s">
        <v>458</v>
      </c>
      <c r="DS303" s="238"/>
      <c r="DT303" s="230">
        <f t="shared" si="33"/>
        <v>0</v>
      </c>
      <c r="DU303" s="623"/>
      <c r="DV303" s="614"/>
      <c r="DW303" s="623"/>
      <c r="DX303" s="623"/>
      <c r="DY303" s="615"/>
      <c r="DZ303" s="623"/>
      <c r="EA303" s="623"/>
      <c r="EB303" s="623"/>
      <c r="EC303" s="623"/>
      <c r="ED303" s="623"/>
      <c r="EE303" s="610"/>
      <c r="EF303" s="610"/>
      <c r="EG303" s="12"/>
      <c r="EH303" s="8"/>
      <c r="EI303"/>
      <c r="EJ303"/>
      <c r="EK303"/>
      <c r="EL303"/>
      <c r="EM303"/>
      <c r="EN303" s="33"/>
      <c r="EO303" s="33"/>
      <c r="EP303" s="33"/>
      <c r="EQ303" s="33"/>
      <c r="ER303" s="33"/>
      <c r="ES303" s="33"/>
      <c r="ET303" s="33"/>
      <c r="EU303" s="33"/>
      <c r="EV303" s="3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c r="HB303"/>
      <c r="HC303"/>
      <c r="HD303"/>
      <c r="HE303"/>
      <c r="HF303"/>
      <c r="HG303"/>
      <c r="HH303"/>
      <c r="HI303"/>
      <c r="HJ303"/>
      <c r="HK303"/>
      <c r="HL303"/>
      <c r="HM303"/>
      <c r="HN303"/>
      <c r="HO303"/>
      <c r="HP303"/>
      <c r="HQ303"/>
      <c r="HR303"/>
      <c r="HS303"/>
      <c r="HT303"/>
      <c r="HU303"/>
      <c r="HV303"/>
      <c r="HW303"/>
      <c r="HX303"/>
      <c r="HY303"/>
      <c r="HZ303"/>
      <c r="IA303"/>
      <c r="IB303"/>
      <c r="IC303"/>
      <c r="ID303"/>
      <c r="IE303"/>
      <c r="IF303"/>
      <c r="IG303"/>
      <c r="IH303"/>
      <c r="II303"/>
      <c r="IJ303"/>
      <c r="IK303"/>
      <c r="IL303"/>
      <c r="IM303"/>
      <c r="IN303"/>
      <c r="IO303"/>
      <c r="IP303"/>
      <c r="IQ303"/>
      <c r="IR303"/>
      <c r="IS303"/>
      <c r="IT303"/>
      <c r="IU303"/>
      <c r="IV303"/>
    </row>
    <row r="304" spans="1:256" s="220" customFormat="1" ht="11.25" hidden="1" customHeight="1" outlineLevel="2">
      <c r="A304" s="78"/>
      <c r="DQ304" s="590"/>
      <c r="DR304" s="238" t="s">
        <v>1463</v>
      </c>
      <c r="DS304" s="238"/>
      <c r="DT304" s="229">
        <f t="shared" si="33"/>
        <v>0</v>
      </c>
      <c r="DU304" s="623"/>
      <c r="DV304" s="623"/>
      <c r="DW304" s="623"/>
      <c r="DX304" s="623"/>
      <c r="DY304" s="615"/>
      <c r="DZ304" s="623"/>
      <c r="EA304" s="623"/>
      <c r="EB304" s="623"/>
      <c r="EC304" s="623"/>
      <c r="ED304" s="623"/>
      <c r="EE304" s="610"/>
      <c r="EF304" s="610"/>
      <c r="EG304" s="12"/>
      <c r="EH304" s="8"/>
      <c r="EI304"/>
      <c r="EJ304"/>
      <c r="EK304"/>
      <c r="EL304"/>
      <c r="EM304"/>
      <c r="EN304" s="33"/>
      <c r="EO304" s="33"/>
      <c r="EP304" s="33"/>
      <c r="EQ304" s="33"/>
      <c r="ER304" s="33"/>
      <c r="ES304" s="33"/>
      <c r="ET304" s="33"/>
      <c r="EU304" s="33"/>
      <c r="EV304" s="33"/>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c r="HB304"/>
      <c r="HC304"/>
      <c r="HD304"/>
      <c r="HE304"/>
      <c r="HF304"/>
      <c r="HG304"/>
      <c r="HH304"/>
      <c r="HI304"/>
      <c r="HJ304"/>
      <c r="HK304"/>
      <c r="HL304"/>
      <c r="HM304"/>
      <c r="HN304"/>
      <c r="HO304"/>
      <c r="HP304"/>
      <c r="HQ304"/>
      <c r="HR304"/>
      <c r="HS304"/>
      <c r="HT304"/>
      <c r="HU304"/>
      <c r="HV304"/>
      <c r="HW304"/>
      <c r="HX304"/>
      <c r="HY304"/>
      <c r="HZ304"/>
      <c r="IA304"/>
      <c r="IB304"/>
      <c r="IC304"/>
      <c r="ID304"/>
      <c r="IE304"/>
      <c r="IF304"/>
      <c r="IG304"/>
      <c r="IH304"/>
      <c r="II304"/>
      <c r="IJ304"/>
      <c r="IK304"/>
      <c r="IL304"/>
      <c r="IM304"/>
      <c r="IN304"/>
      <c r="IO304"/>
      <c r="IP304"/>
      <c r="IQ304"/>
      <c r="IR304"/>
      <c r="IS304"/>
      <c r="IT304"/>
      <c r="IU304"/>
      <c r="IV304"/>
    </row>
    <row r="305" spans="1:256" s="220" customFormat="1" ht="11.25" hidden="1" customHeight="1" outlineLevel="2">
      <c r="A305" s="78"/>
      <c r="DQ305" s="590"/>
      <c r="DR305" s="238" t="s">
        <v>459</v>
      </c>
      <c r="DS305" s="238"/>
      <c r="DT305" s="230">
        <f t="shared" si="33"/>
        <v>0</v>
      </c>
      <c r="DU305" s="632"/>
      <c r="DV305" s="623"/>
      <c r="DW305" s="632"/>
      <c r="DX305" s="632"/>
      <c r="DY305" s="615"/>
      <c r="DZ305" s="632"/>
      <c r="EA305" s="632"/>
      <c r="EB305" s="632"/>
      <c r="EC305" s="632"/>
      <c r="ED305" s="632"/>
      <c r="EE305" s="634"/>
      <c r="EF305" s="634"/>
      <c r="EG305" s="12"/>
      <c r="EH305" s="8"/>
      <c r="EI305"/>
      <c r="EJ305"/>
      <c r="EK305"/>
      <c r="EL305"/>
      <c r="EM305"/>
      <c r="EN305" s="33"/>
      <c r="EO305" s="33"/>
      <c r="EP305" s="33"/>
      <c r="EQ305" s="33"/>
      <c r="ER305" s="33"/>
      <c r="ES305" s="33"/>
      <c r="ET305" s="33"/>
      <c r="EU305" s="33"/>
      <c r="EV305" s="33"/>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c r="HB305"/>
      <c r="HC305"/>
      <c r="HD305"/>
      <c r="HE305"/>
      <c r="HF305"/>
      <c r="HG305"/>
      <c r="HH305"/>
      <c r="HI305"/>
      <c r="HJ305"/>
      <c r="HK305"/>
      <c r="HL305"/>
      <c r="HM305"/>
      <c r="HN305"/>
      <c r="HO305"/>
      <c r="HP305"/>
      <c r="HQ305"/>
      <c r="HR305"/>
      <c r="HS305"/>
      <c r="HT305"/>
      <c r="HU305"/>
      <c r="HV305"/>
      <c r="HW305"/>
      <c r="HX305"/>
      <c r="HY305"/>
      <c r="HZ305"/>
      <c r="IA305"/>
      <c r="IB305"/>
      <c r="IC305"/>
      <c r="ID305"/>
      <c r="IE305"/>
      <c r="IF305"/>
      <c r="IG305"/>
      <c r="IH305"/>
      <c r="II305"/>
      <c r="IJ305"/>
      <c r="IK305"/>
      <c r="IL305"/>
      <c r="IM305"/>
      <c r="IN305"/>
      <c r="IO305"/>
      <c r="IP305"/>
      <c r="IQ305"/>
      <c r="IR305"/>
      <c r="IS305"/>
      <c r="IT305"/>
      <c r="IU305"/>
      <c r="IV305"/>
    </row>
    <row r="306" spans="1:256" s="220" customFormat="1" ht="11.25" hidden="1" customHeight="1" outlineLevel="1">
      <c r="A306" s="78"/>
      <c r="DQ306" s="590"/>
      <c r="DR306" s="662" t="s">
        <v>1464</v>
      </c>
      <c r="DS306" s="662"/>
      <c r="DT306" s="663">
        <f t="shared" si="33"/>
        <v>167.27600000000001</v>
      </c>
      <c r="DU306" s="664">
        <f>DU297-SUM(DU300:DU305)</f>
        <v>0</v>
      </c>
      <c r="DV306" s="664">
        <f>DV297+SUM(DV300:DV305)</f>
        <v>167.27600000000001</v>
      </c>
      <c r="DW306" s="665"/>
      <c r="DX306" s="665"/>
      <c r="DY306" s="615"/>
      <c r="DZ306" s="664">
        <f>DZ297-SUM(DZ300:DZ305)</f>
        <v>144.37900000000002</v>
      </c>
      <c r="EA306" s="664">
        <f>EA297-SUM(EA300:EA305)</f>
        <v>137.61800000000005</v>
      </c>
      <c r="EB306" s="666"/>
      <c r="EC306" s="666"/>
      <c r="ED306" s="666"/>
      <c r="EE306" s="667"/>
      <c r="EF306" s="667"/>
      <c r="EG306" s="12"/>
      <c r="EH306" s="8"/>
      <c r="EI306"/>
      <c r="EJ306"/>
      <c r="EK306"/>
      <c r="EL306"/>
      <c r="EM306"/>
      <c r="EN306" s="33"/>
      <c r="EO306" s="33"/>
      <c r="EP306" s="33"/>
      <c r="EQ306" s="33"/>
      <c r="ER306" s="33"/>
      <c r="ES306" s="33"/>
      <c r="ET306" s="33"/>
      <c r="EU306" s="33"/>
      <c r="EV306" s="33"/>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c r="HB306"/>
      <c r="HC306"/>
      <c r="HD306"/>
      <c r="HE306"/>
      <c r="HF306"/>
      <c r="HG306"/>
      <c r="HH306"/>
      <c r="HI306"/>
      <c r="HJ306"/>
      <c r="HK306"/>
      <c r="HL306"/>
      <c r="HM306"/>
      <c r="HN306"/>
      <c r="HO306"/>
      <c r="HP306"/>
      <c r="HQ306"/>
      <c r="HR306"/>
      <c r="HS306"/>
      <c r="HT306"/>
      <c r="HU306"/>
      <c r="HV306"/>
      <c r="HW306"/>
      <c r="HX306"/>
      <c r="HY306"/>
      <c r="HZ306"/>
      <c r="IA306"/>
      <c r="IB306"/>
      <c r="IC306"/>
      <c r="ID306"/>
      <c r="IE306"/>
      <c r="IF306"/>
      <c r="IG306"/>
      <c r="IH306"/>
      <c r="II306"/>
      <c r="IJ306"/>
      <c r="IK306"/>
      <c r="IL306"/>
      <c r="IM306"/>
      <c r="IN306"/>
      <c r="IO306"/>
      <c r="IP306"/>
      <c r="IQ306"/>
      <c r="IR306"/>
      <c r="IS306"/>
      <c r="IT306"/>
      <c r="IU306"/>
      <c r="IV306"/>
    </row>
    <row r="307" spans="1:256" s="220" customFormat="1" ht="11.25" hidden="1" customHeight="1" outlineLevel="1">
      <c r="A307" s="78"/>
      <c r="DQ307" s="590"/>
      <c r="DR307" s="618"/>
      <c r="DS307" s="618"/>
      <c r="DT307" s="230">
        <f t="shared" si="33"/>
        <v>0</v>
      </c>
      <c r="DU307" s="623"/>
      <c r="DV307" s="623"/>
      <c r="DW307" s="623"/>
      <c r="DX307" s="623"/>
      <c r="DY307" s="615"/>
      <c r="DZ307" s="623"/>
      <c r="EA307" s="623"/>
      <c r="EB307" s="623"/>
      <c r="EC307" s="623"/>
      <c r="ED307" s="623"/>
      <c r="EE307" s="610"/>
      <c r="EF307" s="610"/>
      <c r="EG307" s="12"/>
      <c r="EH307" s="8"/>
      <c r="EI307"/>
      <c r="EJ307"/>
      <c r="EK307"/>
      <c r="EL307"/>
      <c r="EM307"/>
      <c r="EN307" s="33"/>
      <c r="EO307" s="33"/>
      <c r="EP307" s="33"/>
      <c r="EQ307" s="33"/>
      <c r="ER307" s="33"/>
      <c r="ES307" s="33"/>
      <c r="ET307" s="33"/>
      <c r="EU307" s="33"/>
      <c r="EV307" s="33"/>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c r="HB307"/>
      <c r="HC307"/>
      <c r="HD307"/>
      <c r="HE307"/>
      <c r="HF307"/>
      <c r="HG307"/>
      <c r="HH307"/>
      <c r="HI307"/>
      <c r="HJ307"/>
      <c r="HK307"/>
      <c r="HL307"/>
      <c r="HM307"/>
      <c r="HN307"/>
      <c r="HO307"/>
      <c r="HP307"/>
      <c r="HQ307"/>
      <c r="HR307"/>
      <c r="HS307"/>
      <c r="HT307"/>
      <c r="HU307"/>
      <c r="HV307"/>
      <c r="HW307"/>
      <c r="HX307"/>
      <c r="HY307"/>
      <c r="HZ307"/>
      <c r="IA307"/>
      <c r="IB307"/>
      <c r="IC307"/>
      <c r="ID307"/>
      <c r="IE307"/>
      <c r="IF307"/>
      <c r="IG307"/>
      <c r="IH307"/>
      <c r="II307"/>
      <c r="IJ307"/>
      <c r="IK307"/>
      <c r="IL307"/>
      <c r="IM307"/>
      <c r="IN307"/>
      <c r="IO307"/>
      <c r="IP307"/>
      <c r="IQ307"/>
      <c r="IR307"/>
      <c r="IS307"/>
      <c r="IT307"/>
      <c r="IU307"/>
      <c r="IV307"/>
    </row>
    <row r="308" spans="1:256" s="220" customFormat="1" ht="11.25" hidden="1" customHeight="1" outlineLevel="1">
      <c r="A308" s="78"/>
      <c r="DQ308" s="590"/>
      <c r="DR308" s="618" t="s">
        <v>460</v>
      </c>
      <c r="DS308" s="618"/>
      <c r="DT308" s="668" t="str">
        <f t="shared" si="33"/>
        <v>NM</v>
      </c>
      <c r="DU308" s="669" t="str">
        <f>IF(ISERROR(DU306/#REF!), "NM", (DU306/#REF!))</f>
        <v>NM</v>
      </c>
      <c r="DV308" s="670" t="str">
        <f>IF(ISERROR((DT308-DU308)), "NM", DT308-DU308)</f>
        <v>NM</v>
      </c>
      <c r="DW308" s="671"/>
      <c r="DX308" s="671"/>
      <c r="DY308" s="615"/>
      <c r="DZ308" s="669" t="str">
        <f>IF(ISERROR(DZ306/#REF!), "NM", (DZ306/#REF!))</f>
        <v>NM</v>
      </c>
      <c r="EA308" s="671" t="str">
        <f>IF(ISERROR(EA306/#REF!), "NM", (EA306/#REF!))</f>
        <v>NM</v>
      </c>
      <c r="EB308" s="656"/>
      <c r="EC308" s="656"/>
      <c r="ED308" s="656"/>
      <c r="EE308" s="653"/>
      <c r="EF308" s="653"/>
      <c r="EG308" s="12"/>
      <c r="EH308" s="8"/>
      <c r="EI308"/>
      <c r="EJ308"/>
      <c r="EK308"/>
      <c r="EL308"/>
      <c r="EM308"/>
      <c r="EN308" s="33"/>
      <c r="EO308" s="33"/>
      <c r="EP308" s="33"/>
      <c r="EQ308" s="33"/>
      <c r="ER308" s="33"/>
      <c r="ES308" s="33"/>
      <c r="ET308" s="33"/>
      <c r="EU308" s="33"/>
      <c r="EV308" s="33"/>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c r="HB308"/>
      <c r="HC308"/>
      <c r="HD308"/>
      <c r="HE308"/>
      <c r="HF308"/>
      <c r="HG308"/>
      <c r="HH308"/>
      <c r="HI308"/>
      <c r="HJ308"/>
      <c r="HK308"/>
      <c r="HL308"/>
      <c r="HM308"/>
      <c r="HN308"/>
      <c r="HO308"/>
      <c r="HP308"/>
      <c r="HQ308"/>
      <c r="HR308"/>
      <c r="HS308"/>
      <c r="HT308"/>
      <c r="HU308"/>
      <c r="HV308"/>
      <c r="HW308"/>
      <c r="HX308"/>
      <c r="HY308"/>
      <c r="HZ308"/>
      <c r="IA308"/>
      <c r="IB308"/>
      <c r="IC308"/>
      <c r="ID308"/>
      <c r="IE308"/>
      <c r="IF308"/>
      <c r="IG308"/>
      <c r="IH308"/>
      <c r="II308"/>
      <c r="IJ308"/>
      <c r="IK308"/>
      <c r="IL308"/>
      <c r="IM308"/>
      <c r="IN308"/>
      <c r="IO308"/>
      <c r="IP308"/>
      <c r="IQ308"/>
      <c r="IR308"/>
      <c r="IS308"/>
      <c r="IT308"/>
      <c r="IU308"/>
      <c r="IV308"/>
    </row>
    <row r="309" spans="1:256" s="220" customFormat="1" ht="11.25" hidden="1" customHeight="1" outlineLevel="1">
      <c r="A309" s="78"/>
      <c r="DQ309" s="590"/>
      <c r="DR309" s="618" t="s">
        <v>461</v>
      </c>
      <c r="DS309" s="618"/>
      <c r="DT309" s="668" t="str">
        <f t="shared" si="33"/>
        <v>NM</v>
      </c>
      <c r="DU309" s="669" t="str">
        <f>IF(ISERROR(DU306/#REF!), "NM", (DU306/#REF!))</f>
        <v>NM</v>
      </c>
      <c r="DV309" s="670" t="str">
        <f>IF(ISERROR((DT309-DU309)), "NM", DT309-DU309)</f>
        <v>NM</v>
      </c>
      <c r="DW309" s="671"/>
      <c r="DX309" s="671"/>
      <c r="DY309" s="615"/>
      <c r="DZ309" s="669" t="str">
        <f>IF(ISERROR(DZ306/#REF!), "NM", (DZ306/#REF!))</f>
        <v>NM</v>
      </c>
      <c r="EA309" s="671" t="str">
        <f>IF(ISERROR(EA306/#REF!), "NM", (EA306/#REF!))</f>
        <v>NM</v>
      </c>
      <c r="EB309" s="656"/>
      <c r="EC309" s="656"/>
      <c r="ED309" s="656"/>
      <c r="EE309" s="653"/>
      <c r="EF309" s="653"/>
      <c r="EG309" s="12"/>
      <c r="EH309" s="8"/>
      <c r="EI309"/>
      <c r="EJ309"/>
      <c r="EK309"/>
      <c r="EL309"/>
      <c r="EM309"/>
      <c r="EN309" s="33"/>
      <c r="EO309" s="33"/>
      <c r="EP309" s="33"/>
      <c r="EQ309" s="33"/>
      <c r="ER309" s="33"/>
      <c r="ES309" s="33"/>
      <c r="ET309" s="33"/>
      <c r="EU309" s="33"/>
      <c r="EV309" s="33"/>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row>
    <row r="310" spans="1:256" s="220" customFormat="1" ht="11.25" hidden="1" customHeight="1" outlineLevel="1">
      <c r="A310" s="78"/>
      <c r="DQ310" s="590"/>
      <c r="DR310" s="672" t="s">
        <v>1465</v>
      </c>
      <c r="DS310" s="672"/>
      <c r="DT310" s="673">
        <f t="shared" si="33"/>
        <v>0.53</v>
      </c>
      <c r="DU310" s="674">
        <f>DU254</f>
        <v>0</v>
      </c>
      <c r="DV310" s="675">
        <f>IF(ISERROR((DT310-DU310)), "NM", DT310-DU310)</f>
        <v>0.53</v>
      </c>
      <c r="DW310" s="676">
        <v>0.27</v>
      </c>
      <c r="DX310" s="677">
        <f>DU310-DW310</f>
        <v>-0.27</v>
      </c>
      <c r="DY310" s="615"/>
      <c r="DZ310" s="674">
        <f>DZ254</f>
        <v>0.28401356915790166</v>
      </c>
      <c r="EA310" s="674">
        <f>IS!CG162</f>
        <v>-1.1399004611540198</v>
      </c>
      <c r="EB310" s="679">
        <f>IF(OR((ISERROR(DZ310/DT310)),DT310&lt;0,DZ310&lt; 0), "NM", DT310/DZ310-1)</f>
        <v>0.86610802283653743</v>
      </c>
      <c r="EC310" s="679" t="str">
        <f>IF(OR((ISERROR(EA310/DT310)),DT310&lt;0,EA310&lt; 0), "NM", DT310/EA310-1)</f>
        <v>NM</v>
      </c>
      <c r="ED310" s="679"/>
      <c r="EE310" s="680">
        <f>DT310/DZ310-1</f>
        <v>0.86610802283653743</v>
      </c>
      <c r="EF310" s="680">
        <f>DT310/EA310-1</f>
        <v>-1.4649528779586904</v>
      </c>
      <c r="EG310" s="681"/>
      <c r="EH310" s="8"/>
      <c r="EI310"/>
      <c r="EJ310"/>
      <c r="EK310"/>
      <c r="EL310"/>
      <c r="EM310"/>
      <c r="EN310" s="33"/>
      <c r="EO310" s="33"/>
      <c r="EP310" s="33"/>
      <c r="EQ310" s="33"/>
      <c r="ER310" s="33"/>
      <c r="ES310" s="33"/>
      <c r="ET310" s="33"/>
      <c r="EU310" s="33"/>
      <c r="EV310" s="33"/>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c r="HB310"/>
      <c r="HC310"/>
      <c r="HD310"/>
      <c r="HE310"/>
      <c r="HF310"/>
      <c r="HG310"/>
      <c r="HH310"/>
      <c r="HI310"/>
      <c r="HJ310"/>
      <c r="HK310"/>
      <c r="HL310"/>
      <c r="HM310"/>
      <c r="HN310"/>
      <c r="HO310"/>
      <c r="HP310"/>
      <c r="HQ310"/>
      <c r="HR310"/>
      <c r="HS310"/>
      <c r="HT310"/>
      <c r="HU310"/>
      <c r="HV310"/>
      <c r="HW310"/>
      <c r="HX310"/>
      <c r="HY310"/>
      <c r="HZ310"/>
      <c r="IA310"/>
      <c r="IB310"/>
      <c r="IC310"/>
      <c r="ID310"/>
      <c r="IE310"/>
      <c r="IF310"/>
      <c r="IG310"/>
      <c r="IH310"/>
      <c r="II310"/>
      <c r="IJ310"/>
      <c r="IK310"/>
      <c r="IL310"/>
      <c r="IM310"/>
      <c r="IN310"/>
      <c r="IO310"/>
      <c r="IP310"/>
      <c r="IQ310"/>
      <c r="IR310"/>
      <c r="IS310"/>
      <c r="IT310"/>
      <c r="IU310"/>
      <c r="IV310"/>
    </row>
    <row r="311" spans="1:256" s="220" customFormat="1" ht="1.5" customHeight="1" collapsed="1">
      <c r="A311" s="78"/>
      <c r="DQ311" s="590"/>
      <c r="DR311" s="618"/>
      <c r="DS311" s="618"/>
      <c r="DT311" s="230">
        <f t="shared" si="33"/>
        <v>0</v>
      </c>
      <c r="DU311" s="623"/>
      <c r="DV311" s="623"/>
      <c r="DW311" s="623"/>
      <c r="DX311" s="682"/>
      <c r="DY311" s="615"/>
      <c r="DZ311" s="623"/>
      <c r="EA311" s="623"/>
      <c r="EB311" s="623"/>
      <c r="EC311" s="623"/>
      <c r="ED311" s="623"/>
      <c r="EE311" s="610"/>
      <c r="EF311" s="610"/>
      <c r="EG311" s="12"/>
      <c r="EH311" s="8"/>
      <c r="EI311"/>
      <c r="EJ311"/>
      <c r="EK311"/>
      <c r="EL311"/>
      <c r="EM311"/>
      <c r="EN311" s="33"/>
      <c r="EO311" s="33"/>
      <c r="EP311" s="33"/>
      <c r="EQ311" s="33"/>
      <c r="ER311" s="33"/>
      <c r="ES311" s="33"/>
      <c r="ET311" s="33"/>
      <c r="EU311" s="33"/>
      <c r="EV311" s="33"/>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c r="HB311"/>
      <c r="HC311"/>
      <c r="HD311"/>
      <c r="HE311"/>
      <c r="HF311"/>
      <c r="HG311"/>
      <c r="HH311"/>
      <c r="HI311"/>
      <c r="HJ311"/>
      <c r="HK311"/>
      <c r="HL311"/>
      <c r="HM311"/>
      <c r="HN311"/>
      <c r="HO311"/>
      <c r="HP311"/>
      <c r="HQ311"/>
      <c r="HR311"/>
      <c r="HS311"/>
      <c r="HT311"/>
      <c r="HU311"/>
      <c r="HV311"/>
      <c r="HW311"/>
      <c r="HX311"/>
      <c r="HY311"/>
      <c r="HZ311"/>
      <c r="IA311"/>
      <c r="IB311"/>
      <c r="IC311"/>
      <c r="ID311"/>
      <c r="IE311"/>
      <c r="IF311"/>
      <c r="IG311"/>
      <c r="IH311"/>
      <c r="II311"/>
      <c r="IJ311"/>
      <c r="IK311"/>
      <c r="IL311"/>
      <c r="IM311"/>
      <c r="IN311"/>
      <c r="IO311"/>
      <c r="IP311"/>
      <c r="IQ311"/>
      <c r="IR311"/>
      <c r="IS311"/>
      <c r="IT311"/>
      <c r="IU311"/>
      <c r="IV311"/>
    </row>
    <row r="312" spans="1:256" s="220" customFormat="1" ht="11.25" hidden="1" customHeight="1" outlineLevel="2">
      <c r="A312" s="78"/>
      <c r="DQ312" s="590"/>
      <c r="DR312" s="618" t="s">
        <v>994</v>
      </c>
      <c r="DS312" s="618"/>
      <c r="DT312" s="230">
        <f>DT256</f>
        <v>167.27600000000001</v>
      </c>
      <c r="DU312" s="605">
        <f>DU281</f>
        <v>0</v>
      </c>
      <c r="DV312" s="613"/>
      <c r="DW312" s="605">
        <f>DW281</f>
        <v>151.80000000000001</v>
      </c>
      <c r="DX312" s="612">
        <f>DU312-DW312</f>
        <v>-151.80000000000001</v>
      </c>
      <c r="DY312" s="615"/>
      <c r="DZ312" s="605">
        <f>DZ281</f>
        <v>144.37900000000002</v>
      </c>
      <c r="EA312" s="605">
        <f>EA281</f>
        <v>137.61800000000005</v>
      </c>
      <c r="EB312" s="608">
        <f t="shared" ref="EB312:EC314" si="34">$DU312/DZ312-1</f>
        <v>-1</v>
      </c>
      <c r="EC312" s="608">
        <f t="shared" si="34"/>
        <v>-1</v>
      </c>
      <c r="ED312" s="608"/>
      <c r="EE312" s="656">
        <f>IF(OR(DU312&lt;0,DZ312&lt; 0), "NM",DU312 /DZ312-1)</f>
        <v>-1</v>
      </c>
      <c r="EF312" s="683">
        <f>IF(OR(DU312&lt;0,EA312&lt; 0), "NM",DU312 /EA312-1)</f>
        <v>-1</v>
      </c>
      <c r="EG312" s="12"/>
      <c r="EH312" s="8"/>
      <c r="EI312"/>
      <c r="EJ312"/>
      <c r="EK312"/>
      <c r="EL312"/>
      <c r="EM312"/>
      <c r="EN312"/>
      <c r="EO312"/>
      <c r="EP312"/>
      <c r="EQ312"/>
      <c r="ER312"/>
      <c r="ES312"/>
      <c r="ET312" s="33"/>
      <c r="EU312" s="33"/>
      <c r="EV312" s="33"/>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c r="HB312"/>
      <c r="HC312"/>
      <c r="HD312"/>
      <c r="HE312"/>
      <c r="HF312"/>
      <c r="HG312"/>
      <c r="HH312"/>
      <c r="HI312"/>
      <c r="HJ312"/>
      <c r="HK312"/>
      <c r="HL312"/>
      <c r="HM312"/>
      <c r="HN312"/>
      <c r="HO312"/>
      <c r="HP312"/>
      <c r="HQ312"/>
      <c r="HR312"/>
      <c r="HS312"/>
      <c r="HT312"/>
      <c r="HU312"/>
      <c r="HV312"/>
      <c r="HW312"/>
      <c r="HX312"/>
      <c r="HY312"/>
      <c r="HZ312"/>
      <c r="IA312"/>
      <c r="IB312"/>
      <c r="IC312"/>
      <c r="ID312"/>
      <c r="IE312"/>
      <c r="IF312"/>
      <c r="IG312"/>
      <c r="IH312"/>
      <c r="II312"/>
      <c r="IJ312"/>
      <c r="IK312"/>
      <c r="IL312"/>
      <c r="IM312"/>
      <c r="IN312"/>
      <c r="IO312"/>
      <c r="IP312"/>
      <c r="IQ312"/>
      <c r="IR312"/>
      <c r="IS312"/>
      <c r="IT312"/>
      <c r="IU312"/>
      <c r="IV312"/>
    </row>
    <row r="313" spans="1:256" s="220" customFormat="1" ht="11.25" customHeight="1" outlineLevel="1" collapsed="1">
      <c r="A313" s="78"/>
      <c r="DQ313" s="590"/>
      <c r="DR313" s="684" t="s">
        <v>195</v>
      </c>
      <c r="DS313" s="684"/>
      <c r="DT313" s="230">
        <f>DT257</f>
        <v>172.51599999999999</v>
      </c>
      <c r="DU313" s="605">
        <f>DU257</f>
        <v>0</v>
      </c>
      <c r="DV313" s="613"/>
      <c r="DW313" s="605">
        <f>DW257</f>
        <v>177.6</v>
      </c>
      <c r="DX313" s="612">
        <f>DU313-DW313</f>
        <v>-177.6</v>
      </c>
      <c r="DY313" s="615"/>
      <c r="DZ313" s="605">
        <f>DZ257</f>
        <v>143.4</v>
      </c>
      <c r="EA313" s="605">
        <f>143.4+17.216</f>
        <v>160.61600000000001</v>
      </c>
      <c r="EB313" s="608">
        <f t="shared" si="34"/>
        <v>-1</v>
      </c>
      <c r="EC313" s="608">
        <f t="shared" si="34"/>
        <v>-1</v>
      </c>
      <c r="ED313" s="608"/>
      <c r="EE313" s="689">
        <f>DT313/DZ313-1</f>
        <v>0.2030404463040445</v>
      </c>
      <c r="EF313" s="689">
        <f>DT313/EA313-1</f>
        <v>7.4089754445385125E-2</v>
      </c>
      <c r="EG313" s="12"/>
      <c r="EH313" s="8"/>
      <c r="EI313"/>
      <c r="EJ313"/>
      <c r="EK313"/>
      <c r="EL313"/>
      <c r="EM313"/>
      <c r="EN313"/>
      <c r="EO313"/>
      <c r="EP313"/>
      <c r="EQ313"/>
      <c r="ER313"/>
      <c r="ES313"/>
      <c r="ET313" s="33"/>
      <c r="EU313" s="33"/>
      <c r="EV313" s="3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c r="HB313"/>
      <c r="HC313"/>
      <c r="HD313"/>
      <c r="HE313"/>
      <c r="HF313"/>
      <c r="HG313"/>
      <c r="HH313"/>
      <c r="HI313"/>
      <c r="HJ313"/>
      <c r="HK313"/>
      <c r="HL313"/>
      <c r="HM313"/>
      <c r="HN313"/>
      <c r="HO313"/>
      <c r="HP313"/>
      <c r="HQ313"/>
      <c r="HR313"/>
      <c r="HS313"/>
      <c r="HT313"/>
      <c r="HU313"/>
      <c r="HV313"/>
      <c r="HW313"/>
      <c r="HX313"/>
      <c r="HY313"/>
      <c r="HZ313"/>
      <c r="IA313"/>
      <c r="IB313"/>
      <c r="IC313"/>
      <c r="ID313"/>
      <c r="IE313"/>
      <c r="IF313"/>
      <c r="IG313"/>
      <c r="IH313"/>
      <c r="II313"/>
      <c r="IJ313"/>
      <c r="IK313"/>
      <c r="IL313"/>
      <c r="IM313"/>
      <c r="IN313"/>
      <c r="IO313"/>
      <c r="IP313"/>
      <c r="IQ313"/>
      <c r="IR313"/>
      <c r="IS313"/>
      <c r="IT313"/>
      <c r="IU313"/>
      <c r="IV313"/>
    </row>
    <row r="314" spans="1:256" s="220" customFormat="1" ht="11.25" customHeight="1" outlineLevel="1">
      <c r="A314" s="78"/>
      <c r="DQ314" s="590"/>
      <c r="DR314" s="684" t="s">
        <v>175</v>
      </c>
      <c r="DS314" s="684"/>
      <c r="DT314" s="268">
        <f>DT258</f>
        <v>37.145999999999994</v>
      </c>
      <c r="DU314" s="605">
        <f>DU258</f>
        <v>0</v>
      </c>
      <c r="DV314" s="613"/>
      <c r="DW314" s="605"/>
      <c r="DX314" s="612"/>
      <c r="DY314" s="615"/>
      <c r="DZ314" s="605">
        <f>DZ258</f>
        <v>38.052999999999997</v>
      </c>
      <c r="EA314" s="605">
        <v>27.143000000000001</v>
      </c>
      <c r="EB314" s="608">
        <f t="shared" si="34"/>
        <v>-1</v>
      </c>
      <c r="EC314" s="608">
        <f t="shared" si="34"/>
        <v>-1</v>
      </c>
      <c r="ED314" s="608"/>
      <c r="EE314" s="689">
        <f>DT314/DZ314-1</f>
        <v>-2.3835177252779061E-2</v>
      </c>
      <c r="EF314" s="689">
        <f>DT314/EA314-1</f>
        <v>0.36852963931768756</v>
      </c>
      <c r="EG314" s="12"/>
      <c r="EH314" s="12"/>
      <c r="EI314" s="228"/>
      <c r="EJ314" s="33"/>
      <c r="EK314"/>
      <c r="EL314"/>
      <c r="EM314"/>
      <c r="EN314"/>
      <c r="EO314"/>
      <c r="EP314"/>
      <c r="EQ314"/>
      <c r="ER314"/>
      <c r="ES314"/>
      <c r="ET314"/>
      <c r="EU314"/>
      <c r="EV314"/>
      <c r="EW314"/>
      <c r="EX314"/>
      <c r="EY314"/>
      <c r="EZ314"/>
      <c r="FA314"/>
      <c r="FB314"/>
      <c r="FC314"/>
      <c r="FD314"/>
      <c r="FE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c r="HB314"/>
      <c r="HC314"/>
      <c r="HD314"/>
      <c r="HE314"/>
      <c r="HF314"/>
      <c r="HG314"/>
      <c r="HH314"/>
      <c r="HI314"/>
      <c r="HJ314"/>
      <c r="HK314"/>
      <c r="HL314"/>
      <c r="HM314"/>
      <c r="HN314"/>
      <c r="HO314"/>
      <c r="HP314"/>
      <c r="HQ314"/>
      <c r="HR314"/>
      <c r="HS314"/>
      <c r="HT314"/>
      <c r="HU314"/>
      <c r="HV314"/>
      <c r="HW314"/>
      <c r="HX314"/>
      <c r="HY314"/>
      <c r="HZ314"/>
      <c r="IA314"/>
      <c r="IB314"/>
      <c r="IC314"/>
      <c r="ID314"/>
      <c r="IE314"/>
      <c r="IF314"/>
      <c r="IG314"/>
      <c r="IH314"/>
      <c r="II314"/>
      <c r="IJ314"/>
      <c r="IK314"/>
      <c r="IL314"/>
      <c r="IM314"/>
      <c r="IN314"/>
      <c r="IO314"/>
      <c r="IP314"/>
      <c r="IQ314"/>
      <c r="IR314"/>
      <c r="IS314"/>
      <c r="IT314"/>
      <c r="IU314"/>
      <c r="IV314"/>
    </row>
    <row r="315" spans="1:256" s="220" customFormat="1" ht="12" customHeight="1" thickBot="1">
      <c r="A315" s="240"/>
      <c r="DQ315" s="590"/>
      <c r="DR315" s="685" t="s">
        <v>176</v>
      </c>
      <c r="DS315" s="685"/>
      <c r="DT315" s="269">
        <f>DT259</f>
        <v>-42.385999999999967</v>
      </c>
      <c r="DU315" s="686">
        <f>DU312-SUM(DU313:DU314)</f>
        <v>0</v>
      </c>
      <c r="DV315" s="688"/>
      <c r="DW315" s="686"/>
      <c r="DX315" s="686"/>
      <c r="DY315" s="607"/>
      <c r="DZ315" s="686">
        <f>DZ312-SUM(DZ313:DZ314)</f>
        <v>-37.073999999999984</v>
      </c>
      <c r="EA315" s="686">
        <f>EA312-SUM(EA313:EA314)</f>
        <v>-50.140999999999963</v>
      </c>
      <c r="EB315" s="687" t="str">
        <f>IF(OR(DT315&lt;0,DZ315&lt; 0), "NM",DT315 /DZ315-1)</f>
        <v>NM</v>
      </c>
      <c r="EC315" s="687" t="str">
        <f>IF(OR(DT315&lt;0,EA315&lt; 0), "NM",DT315 /EA315-1)</f>
        <v>NM</v>
      </c>
      <c r="ED315" s="687"/>
      <c r="EE315" s="689"/>
      <c r="EF315" s="689"/>
      <c r="EG315" s="12"/>
      <c r="EH315" s="12"/>
      <c r="EI315" s="33"/>
      <c r="EJ315" s="33"/>
      <c r="EK315"/>
      <c r="EL315"/>
      <c r="EM315"/>
      <c r="EN315"/>
      <c r="EO315"/>
      <c r="EP315"/>
      <c r="EQ315"/>
      <c r="ER315"/>
      <c r="ES315"/>
      <c r="ET315"/>
      <c r="EU315"/>
      <c r="EV315"/>
      <c r="EW315"/>
      <c r="EX315"/>
      <c r="EY315"/>
      <c r="EZ315"/>
      <c r="FA315"/>
      <c r="FB315"/>
      <c r="FC315"/>
      <c r="FD315"/>
      <c r="FE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c r="HB315"/>
      <c r="HC315"/>
      <c r="HD315"/>
      <c r="HE315"/>
      <c r="HF315"/>
      <c r="HG315"/>
      <c r="HH315"/>
      <c r="HI315"/>
      <c r="HJ315"/>
      <c r="HK315"/>
      <c r="HL315"/>
      <c r="HM315"/>
      <c r="HN315"/>
      <c r="HO315"/>
      <c r="HP315"/>
      <c r="HQ315"/>
      <c r="HR315"/>
      <c r="HS315"/>
      <c r="HT315"/>
      <c r="HU315"/>
      <c r="HV315"/>
      <c r="HW315"/>
      <c r="HX315"/>
      <c r="HY315"/>
      <c r="HZ315"/>
      <c r="IA315"/>
      <c r="IB315"/>
      <c r="IC315"/>
      <c r="ID315"/>
      <c r="IE315"/>
      <c r="IF315"/>
      <c r="IG315"/>
      <c r="IH315"/>
      <c r="II315"/>
      <c r="IJ315"/>
      <c r="IK315"/>
      <c r="IL315"/>
      <c r="IM315"/>
      <c r="IN315"/>
      <c r="IO315"/>
      <c r="IP315"/>
      <c r="IQ315"/>
      <c r="IR315"/>
      <c r="IS315"/>
      <c r="IT315"/>
      <c r="IU315"/>
      <c r="IV315"/>
    </row>
    <row r="316" spans="1:256">
      <c r="DQ316" s="8"/>
      <c r="DR316" s="12"/>
      <c r="DS316" s="12"/>
      <c r="DT316" s="12"/>
      <c r="DU316" s="12"/>
      <c r="DV316" s="8"/>
      <c r="DW316" s="12"/>
      <c r="DX316" s="12"/>
      <c r="DY316" s="12"/>
      <c r="DZ316" s="12"/>
      <c r="EA316" s="12"/>
      <c r="EB316" s="8"/>
      <c r="EC316" s="8"/>
      <c r="ED316" s="12"/>
      <c r="EE316" s="12"/>
      <c r="EF316" s="12"/>
      <c r="EG316" s="8"/>
      <c r="EH316" s="8"/>
    </row>
    <row r="317" spans="1:256">
      <c r="DQ317" s="8"/>
      <c r="DR317" s="8"/>
      <c r="DS317" s="8"/>
      <c r="DT317" s="8"/>
      <c r="DU317" s="8"/>
      <c r="DV317" s="8"/>
      <c r="DW317" s="8"/>
      <c r="DX317" s="8"/>
      <c r="DY317" s="8"/>
      <c r="DZ317" s="8"/>
      <c r="EA317" s="8"/>
      <c r="EB317" s="8"/>
      <c r="EC317" s="8"/>
      <c r="ED317" s="8"/>
      <c r="EE317" s="8"/>
      <c r="EF317" s="8"/>
      <c r="EG317" s="8"/>
      <c r="EH317" s="8"/>
      <c r="EI317" s="215" t="s">
        <v>1472</v>
      </c>
    </row>
    <row r="318" spans="1:256">
      <c r="EI318" s="220"/>
    </row>
    <row r="319" spans="1:256">
      <c r="EI319" s="241" t="s">
        <v>1471</v>
      </c>
      <c r="EJ319" s="242"/>
      <c r="EK319" s="243">
        <v>18.8</v>
      </c>
    </row>
    <row r="320" spans="1:256">
      <c r="EI320" t="s">
        <v>1473</v>
      </c>
      <c r="EK320" s="88">
        <v>0.63595348837209309</v>
      </c>
    </row>
    <row r="321" spans="139:146">
      <c r="EI321" t="s">
        <v>1474</v>
      </c>
      <c r="EK321" s="88">
        <v>0.29518139534883719</v>
      </c>
    </row>
    <row r="322" spans="139:146">
      <c r="EI322" t="s">
        <v>1475</v>
      </c>
      <c r="EK322" s="88">
        <f>1-SUM(EK320:EK321)</f>
        <v>6.886511627906966E-2</v>
      </c>
    </row>
    <row r="323" spans="139:146">
      <c r="EN323">
        <v>2200</v>
      </c>
      <c r="EO323">
        <v>140</v>
      </c>
    </row>
    <row r="324" spans="139:146">
      <c r="EI324" t="s">
        <v>989</v>
      </c>
      <c r="EK324" s="88">
        <v>0.47594982813858938</v>
      </c>
      <c r="EN324">
        <v>1400</v>
      </c>
      <c r="EO324">
        <v>90</v>
      </c>
    </row>
    <row r="325" spans="139:146">
      <c r="EI325" t="s">
        <v>1477</v>
      </c>
      <c r="EK325" s="181">
        <f>(1-EK324)*EK319</f>
        <v>9.8521432309945194</v>
      </c>
      <c r="EN325">
        <v>1675</v>
      </c>
      <c r="EO325">
        <v>130</v>
      </c>
    </row>
    <row r="326" spans="139:146">
      <c r="EI326" t="s">
        <v>1476</v>
      </c>
      <c r="EK326" s="88">
        <v>0.15777360403185969</v>
      </c>
    </row>
    <row r="327" spans="139:146">
      <c r="EI327" t="s">
        <v>1539</v>
      </c>
      <c r="EK327" s="181">
        <f>EK326*EK319</f>
        <v>2.9661437557989623</v>
      </c>
    </row>
    <row r="328" spans="139:146">
      <c r="EI328" t="s">
        <v>994</v>
      </c>
      <c r="EK328" s="181">
        <f>EK319-EK325-EK327</f>
        <v>5.9817130132065195</v>
      </c>
    </row>
    <row r="329" spans="139:146">
      <c r="EI329" t="s">
        <v>995</v>
      </c>
      <c r="EK329" s="86">
        <f>EK328/EK319</f>
        <v>0.31817622410672974</v>
      </c>
    </row>
    <row r="330" spans="139:146">
      <c r="EM330" s="563" t="s">
        <v>361</v>
      </c>
      <c r="EN330" s="564"/>
    </row>
    <row r="331" spans="139:146">
      <c r="EM331" s="208" t="s">
        <v>998</v>
      </c>
      <c r="EN331" s="251">
        <v>739.46</v>
      </c>
      <c r="EO331" s="750"/>
    </row>
    <row r="332" spans="139:146" ht="3.75" customHeight="1">
      <c r="EM332" s="33"/>
      <c r="EN332" s="33"/>
    </row>
    <row r="333" spans="139:146">
      <c r="EM333" s="33" t="s">
        <v>203</v>
      </c>
      <c r="EN333" s="561">
        <f>2200+550+1850+1400+1675+1540+1000</f>
        <v>10215</v>
      </c>
      <c r="EO333" s="561"/>
      <c r="EP333" s="1081"/>
    </row>
    <row r="334" spans="139:146">
      <c r="EM334" s="247" t="s">
        <v>1366</v>
      </c>
      <c r="EN334" s="562">
        <f>140+26+70+90+130+23+40</f>
        <v>519</v>
      </c>
      <c r="EO334" s="562"/>
    </row>
    <row r="335" spans="139:146" hidden="1" outlineLevel="1">
      <c r="EM335" s="246" t="s">
        <v>182</v>
      </c>
      <c r="EN335" s="245">
        <f>EN334/EN333*1000000</f>
        <v>50807.635829662257</v>
      </c>
    </row>
    <row r="336" spans="139:146" ht="4.5" customHeight="1" collapsed="1">
      <c r="EM336" s="246"/>
      <c r="EN336" s="245"/>
    </row>
    <row r="337" spans="141:145">
      <c r="EM337" s="33" t="s">
        <v>999</v>
      </c>
      <c r="EN337" s="251">
        <v>1888.05</v>
      </c>
      <c r="EO337" s="750">
        <v>1605.2</v>
      </c>
    </row>
    <row r="338" spans="141:145">
      <c r="EM338" s="33" t="s">
        <v>609</v>
      </c>
      <c r="EN338" s="192">
        <f>EN337*0.95</f>
        <v>1793.6474999999998</v>
      </c>
    </row>
    <row r="339" spans="141:145">
      <c r="EM339" s="247" t="s">
        <v>610</v>
      </c>
      <c r="EN339" s="248">
        <f>BS!Q128*Link!EN337</f>
        <v>161.77475068560796</v>
      </c>
      <c r="EO339" s="750"/>
    </row>
    <row r="340" spans="141:145" ht="4.5" customHeight="1">
      <c r="EM340" s="33"/>
      <c r="EN340" s="33"/>
    </row>
    <row r="341" spans="141:145">
      <c r="EM341" s="33" t="s">
        <v>1369</v>
      </c>
      <c r="EN341" s="192">
        <f>EN331-EN334-EN339</f>
        <v>58.685249314392081</v>
      </c>
    </row>
    <row r="342" spans="141:145">
      <c r="EM342" s="247" t="s">
        <v>1367</v>
      </c>
      <c r="EN342" s="249">
        <f>EN341/45000*1000000</f>
        <v>1304.1166514309352</v>
      </c>
    </row>
    <row r="343" spans="141:145" ht="3.75" customHeight="1">
      <c r="EM343" s="33"/>
      <c r="EN343" s="33"/>
    </row>
    <row r="344" spans="141:145">
      <c r="EM344" s="33" t="s">
        <v>169</v>
      </c>
      <c r="EN344" s="252">
        <f>EN342+EN333</f>
        <v>11519.116651430935</v>
      </c>
    </row>
    <row r="345" spans="141:145">
      <c r="EK345">
        <f>185/450</f>
        <v>0.41111111111111109</v>
      </c>
      <c r="EM345" s="33" t="s">
        <v>1000</v>
      </c>
      <c r="EN345" s="252">
        <f>EO345+EN344</f>
        <v>101919.11665143093</v>
      </c>
      <c r="EO345" s="1578">
        <f>+Rev!CA695</f>
        <v>90400</v>
      </c>
    </row>
    <row r="346" spans="141:145">
      <c r="EM346" s="246" t="s">
        <v>201</v>
      </c>
      <c r="EN346" s="751">
        <f>EN370</f>
        <v>0.47160000000000002</v>
      </c>
    </row>
    <row r="347" spans="141:145">
      <c r="EM347" s="246" t="s">
        <v>202</v>
      </c>
      <c r="EN347" s="6">
        <f>EN371</f>
        <v>0.01</v>
      </c>
    </row>
    <row r="348" spans="141:145">
      <c r="EM348" s="33" t="s">
        <v>1005</v>
      </c>
      <c r="EN348" s="252">
        <f>EN346*EN344+Rev!CA697+EN347*Rev!CA695</f>
        <v>78736.415412814822</v>
      </c>
    </row>
    <row r="349" spans="141:145" ht="6" customHeight="1">
      <c r="EM349" s="33"/>
      <c r="EN349" s="33"/>
    </row>
    <row r="350" spans="141:145">
      <c r="EK350">
        <f>450/400-1</f>
        <v>0.125</v>
      </c>
      <c r="EM350" s="33" t="s">
        <v>204</v>
      </c>
      <c r="EN350" s="192">
        <f>(EN338)/EN348/12*1000000</f>
        <v>1898.3671559890793</v>
      </c>
    </row>
    <row r="351" spans="141:145">
      <c r="EM351" s="33" t="s">
        <v>1006</v>
      </c>
      <c r="EN351" s="192">
        <f>IS!P13/(Rev!P623+Rev!P248+Rev!P460)*1000000/12</f>
        <v>1824.9131817070186</v>
      </c>
    </row>
    <row r="352" spans="141:145" ht="3.75" customHeight="1">
      <c r="EM352" s="33"/>
      <c r="EN352" s="192"/>
    </row>
    <row r="353" spans="143:144">
      <c r="EM353" s="41" t="s">
        <v>1370</v>
      </c>
      <c r="EN353" s="250">
        <f>EN350/EN351-1</f>
        <v>4.0250667822647967E-2</v>
      </c>
    </row>
    <row r="354" spans="143:144" ht="13.5" thickBot="1">
      <c r="EM354" s="33" t="s">
        <v>1368</v>
      </c>
      <c r="EN354" s="86">
        <f>EN337/EO337-1</f>
        <v>0.17620857214054308</v>
      </c>
    </row>
    <row r="355" spans="143:144" ht="13.5" thickBot="1">
      <c r="EM355" s="565" t="s">
        <v>207</v>
      </c>
      <c r="EN355" s="566">
        <f>EN353/EN354</f>
        <v>0.22842627537180332</v>
      </c>
    </row>
    <row r="356" spans="143:144" ht="3" customHeight="1">
      <c r="EM356" s="33"/>
      <c r="EN356" s="33"/>
    </row>
    <row r="357" spans="143:144">
      <c r="EM357" s="563" t="s">
        <v>208</v>
      </c>
      <c r="EN357" s="564"/>
    </row>
    <row r="358" spans="143:144">
      <c r="EM358" s="33" t="s">
        <v>1001</v>
      </c>
      <c r="EN358" s="192">
        <f>BS!Q133</f>
        <v>764.49999999999989</v>
      </c>
    </row>
    <row r="359" spans="143:144" ht="2.25" customHeight="1">
      <c r="EM359" s="33"/>
      <c r="EN359" s="33"/>
    </row>
    <row r="360" spans="143:144">
      <c r="EM360" s="33" t="s">
        <v>205</v>
      </c>
      <c r="EN360" s="252">
        <f>Rev!Q695-Rev!P695</f>
        <v>17700</v>
      </c>
    </row>
    <row r="361" spans="143:144">
      <c r="EM361" s="247" t="s">
        <v>206</v>
      </c>
      <c r="EN361" s="192">
        <f>BS!Q124</f>
        <v>602.7829999999999</v>
      </c>
    </row>
    <row r="362" spans="143:144">
      <c r="EM362" s="246" t="s">
        <v>1007</v>
      </c>
      <c r="EN362" s="245">
        <f>EN361/EN360*1000000</f>
        <v>34055.536723163837</v>
      </c>
    </row>
    <row r="363" spans="143:144" ht="3" customHeight="1">
      <c r="EM363" s="246"/>
      <c r="EN363" s="245"/>
    </row>
    <row r="364" spans="143:144">
      <c r="EM364" s="33" t="s">
        <v>1003</v>
      </c>
      <c r="EN364" s="192">
        <f>IS!Q15</f>
        <v>1887.376</v>
      </c>
    </row>
    <row r="365" spans="143:144">
      <c r="EM365" s="33" t="s">
        <v>46</v>
      </c>
      <c r="EN365" s="192">
        <f>IS!Q13</f>
        <v>1797.068</v>
      </c>
    </row>
    <row r="366" spans="143:144" ht="12" customHeight="1">
      <c r="EM366" s="247" t="s">
        <v>1002</v>
      </c>
      <c r="EN366" s="248">
        <f>BS!Q127</f>
        <v>161.71700000000001</v>
      </c>
    </row>
    <row r="367" spans="143:144" ht="3" customHeight="1">
      <c r="EM367" s="33"/>
      <c r="EN367" s="33"/>
    </row>
    <row r="368" spans="143:144">
      <c r="EM368" s="33" t="s">
        <v>1004</v>
      </c>
      <c r="EN368" s="252">
        <f>Rev!Q695-Rev!P695</f>
        <v>17700</v>
      </c>
    </row>
    <row r="369" spans="139:144">
      <c r="EM369" s="33" t="s">
        <v>1000</v>
      </c>
      <c r="EN369" s="252">
        <f>Rev!Q695</f>
        <v>108100</v>
      </c>
    </row>
    <row r="370" spans="139:144">
      <c r="EM370" s="246" t="s">
        <v>201</v>
      </c>
      <c r="EN370" s="763">
        <v>0.47160000000000002</v>
      </c>
    </row>
    <row r="371" spans="139:144">
      <c r="EM371" s="246" t="s">
        <v>202</v>
      </c>
      <c r="EN371" s="764">
        <v>0.01</v>
      </c>
    </row>
    <row r="372" spans="139:144">
      <c r="EM372" s="33" t="s">
        <v>1005</v>
      </c>
      <c r="EN372" s="252">
        <f>EN370*EN368+Rev!CA697+EN371*Rev!CA695</f>
        <v>81651.320000000007</v>
      </c>
    </row>
    <row r="373" spans="139:144" ht="3" customHeight="1">
      <c r="EM373" s="33"/>
      <c r="EN373" s="33"/>
    </row>
    <row r="374" spans="139:144">
      <c r="EM374" s="33" t="s">
        <v>204</v>
      </c>
      <c r="EN374" s="192">
        <f>EN365/EN372/12*1000000</f>
        <v>1834.0875158744116</v>
      </c>
    </row>
    <row r="375" spans="139:144">
      <c r="EI375">
        <f>450/400-1</f>
        <v>0.125</v>
      </c>
      <c r="EM375" s="33" t="str">
        <f>EM351</f>
        <v>Average MRR / Cabinet (2011E)</v>
      </c>
      <c r="EN375" s="192">
        <f>EN351</f>
        <v>1824.9131817070186</v>
      </c>
    </row>
    <row r="376" spans="139:144" ht="3" customHeight="1">
      <c r="EM376" s="33"/>
      <c r="EN376" s="192"/>
    </row>
    <row r="377" spans="139:144">
      <c r="EM377" s="41" t="s">
        <v>1370</v>
      </c>
      <c r="EN377" s="250">
        <f>EN374/EN375-1</f>
        <v>5.0272715761805475E-3</v>
      </c>
    </row>
    <row r="378" spans="139:144" ht="13.5" thickBot="1">
      <c r="EM378" s="33" t="s">
        <v>1368</v>
      </c>
      <c r="EN378" s="86">
        <f>IS!Q17</f>
        <v>0.20231573261034619</v>
      </c>
    </row>
    <row r="379" spans="139:144" ht="13.5" thickBot="1">
      <c r="EM379" s="565" t="s">
        <v>207</v>
      </c>
      <c r="EN379" s="566">
        <f>EN377/EN378</f>
        <v>2.484864380696936E-2</v>
      </c>
    </row>
    <row r="380" spans="139:144">
      <c r="EM380" s="33"/>
      <c r="EN380" s="33"/>
    </row>
    <row r="387" spans="146:171" ht="3.75" customHeight="1"/>
    <row r="389" spans="146:171">
      <c r="EP389" s="33"/>
      <c r="EQ389" s="33"/>
      <c r="ER389" s="254" t="s">
        <v>1376</v>
      </c>
      <c r="ES389" s="254" t="s">
        <v>1372</v>
      </c>
      <c r="ET389" s="254" t="s">
        <v>1375</v>
      </c>
      <c r="EU389" s="33"/>
    </row>
    <row r="390" spans="146:171">
      <c r="EP390" s="33"/>
      <c r="EQ390" s="33"/>
      <c r="ER390" s="33"/>
      <c r="ES390" s="33"/>
      <c r="ET390" s="33"/>
      <c r="EU390" s="33"/>
    </row>
    <row r="391" spans="146:171">
      <c r="EP391" s="50" t="s">
        <v>1371</v>
      </c>
      <c r="EQ391" s="50"/>
      <c r="ER391" s="50"/>
      <c r="ES391" s="50"/>
      <c r="ET391" s="50"/>
      <c r="EU391" s="33"/>
      <c r="FD391" s="88"/>
      <c r="FE391" s="567"/>
    </row>
    <row r="392" spans="146:171">
      <c r="EP392" s="33" t="str">
        <f>Rev!B171</f>
        <v>AT1 (Atlanta)</v>
      </c>
      <c r="EQ392" s="33"/>
      <c r="ER392" s="255" t="s">
        <v>249</v>
      </c>
      <c r="ES392" s="252">
        <v>500</v>
      </c>
      <c r="ET392" s="192">
        <f>Rev!O706</f>
        <v>29</v>
      </c>
      <c r="EU392" s="33"/>
    </row>
    <row r="393" spans="146:171" ht="3" customHeight="1">
      <c r="EP393" s="33" t="str">
        <f>Rev!B173</f>
        <v>CH3 (Chicago)</v>
      </c>
      <c r="EQ393" s="33"/>
      <c r="ER393" s="255" t="s">
        <v>249</v>
      </c>
      <c r="ES393" s="252">
        <v>600</v>
      </c>
      <c r="ET393" s="192">
        <f>Rev!O709</f>
        <v>7.5</v>
      </c>
      <c r="EU393" s="33"/>
    </row>
    <row r="394" spans="146:171">
      <c r="EP394" s="33" t="str">
        <f>Rev!B174</f>
        <v>CH3 phase 3 (Chicago)</v>
      </c>
      <c r="EQ394" s="33"/>
      <c r="ER394" s="255" t="s">
        <v>1466</v>
      </c>
      <c r="ES394" s="252">
        <v>1250</v>
      </c>
      <c r="ET394" s="192">
        <f>Rev!O712</f>
        <v>80</v>
      </c>
      <c r="EU394" s="33"/>
    </row>
    <row r="395" spans="146:171" ht="2.25" customHeight="1">
      <c r="EP395" s="33" t="str">
        <f>Rev!B176</f>
        <v>CH4 IBX Shared Suite (Chicago)</v>
      </c>
      <c r="EQ395" s="33"/>
      <c r="ER395" s="255" t="s">
        <v>1466</v>
      </c>
      <c r="ES395" s="252">
        <v>1750</v>
      </c>
      <c r="ET395" s="192">
        <f>Rev!O715</f>
        <v>80</v>
      </c>
      <c r="EU395" s="33"/>
    </row>
    <row r="396" spans="146:171">
      <c r="EP396" s="33" t="str">
        <f>Rev!B178</f>
        <v>DA2 Phase 1 (Dallas)</v>
      </c>
      <c r="EQ396" s="33"/>
      <c r="ER396" s="255" t="s">
        <v>1377</v>
      </c>
      <c r="ES396" s="252">
        <v>1450</v>
      </c>
      <c r="ET396" s="192">
        <f>SUM(Rev!O718:P718)</f>
        <v>60</v>
      </c>
      <c r="EU396" s="33"/>
    </row>
    <row r="397" spans="146:171" ht="3" customHeight="1">
      <c r="EP397" s="33" t="str">
        <f>Rev!B180</f>
        <v>DA3 phase 1 (Dallas)</v>
      </c>
      <c r="EQ397" s="33"/>
      <c r="ER397" s="255" t="s">
        <v>1378</v>
      </c>
      <c r="ES397" s="252">
        <v>1000</v>
      </c>
      <c r="ET397" s="192">
        <f>Rev!O721</f>
        <v>100</v>
      </c>
      <c r="EU397" s="33"/>
    </row>
    <row r="398" spans="146:171">
      <c r="EP398" s="33" t="str">
        <f>Rev!B181</f>
        <v>DA3 phase 2 (Dallas)</v>
      </c>
      <c r="EQ398" s="33"/>
      <c r="ER398" s="255" t="s">
        <v>1791</v>
      </c>
      <c r="ES398" s="252">
        <v>420</v>
      </c>
      <c r="ET398" s="192">
        <f>Rev!P724</f>
        <v>25</v>
      </c>
      <c r="EU398" s="33"/>
    </row>
    <row r="399" spans="146:171">
      <c r="EP399" s="33"/>
      <c r="EQ399" s="33"/>
      <c r="ER399" s="255"/>
      <c r="ES399" s="252"/>
      <c r="ET399" s="33"/>
      <c r="EU399" s="33"/>
    </row>
    <row r="400" spans="146:171" ht="20.100000000000001" customHeight="1">
      <c r="EP400" s="33"/>
      <c r="EQ400" s="33"/>
      <c r="ER400" s="33"/>
      <c r="ES400" s="256" t="s">
        <v>1379</v>
      </c>
      <c r="ET400" s="257">
        <f>SUM(ET392:ET398)/SUM(ES392:ES398)*1000000</f>
        <v>54734.576757532282</v>
      </c>
      <c r="EU400" s="33"/>
      <c r="EZ400">
        <f>65+43+70+63+22.5+45</f>
        <v>308.5</v>
      </c>
      <c r="FE400" s="2436" t="s">
        <v>43</v>
      </c>
      <c r="FF400" s="2437"/>
      <c r="FG400" s="702" t="s">
        <v>434</v>
      </c>
      <c r="FH400" s="702" t="s">
        <v>437</v>
      </c>
      <c r="FI400" s="702" t="s">
        <v>438</v>
      </c>
      <c r="FJ400" s="702"/>
      <c r="FK400" s="702">
        <v>2011</v>
      </c>
      <c r="FL400" s="702">
        <v>2011</v>
      </c>
      <c r="FM400" s="702">
        <v>2011</v>
      </c>
      <c r="FN400" s="702">
        <v>2011</v>
      </c>
      <c r="FO400" s="571">
        <v>2011</v>
      </c>
    </row>
    <row r="401" spans="146:171" ht="20.100000000000001" customHeight="1">
      <c r="EP401" s="33"/>
      <c r="EQ401" s="33"/>
      <c r="ER401" s="33"/>
      <c r="ES401" s="255"/>
      <c r="ET401" s="33"/>
      <c r="EU401" s="33"/>
      <c r="FE401" s="2436"/>
      <c r="FF401" s="2437"/>
      <c r="FG401" s="702" t="s">
        <v>433</v>
      </c>
      <c r="FH401" s="702" t="s">
        <v>436</v>
      </c>
      <c r="FI401" s="702" t="s">
        <v>435</v>
      </c>
      <c r="FJ401" s="702" t="s">
        <v>432</v>
      </c>
      <c r="FK401" s="702" t="s">
        <v>1526</v>
      </c>
      <c r="FL401" s="702" t="s">
        <v>1527</v>
      </c>
      <c r="FM401" s="702" t="s">
        <v>1528</v>
      </c>
      <c r="FN401" s="702" t="s">
        <v>1529</v>
      </c>
      <c r="FO401" s="571" t="s">
        <v>637</v>
      </c>
    </row>
    <row r="402" spans="146:171" ht="3.75" customHeight="1">
      <c r="EP402" s="50" t="s">
        <v>1373</v>
      </c>
      <c r="EQ402" s="50"/>
      <c r="ER402" s="50"/>
      <c r="ES402" s="50"/>
      <c r="ET402" s="50"/>
      <c r="EU402" s="33"/>
      <c r="FE402" s="702"/>
      <c r="FF402" s="702"/>
      <c r="FG402" s="702"/>
      <c r="FH402" s="702"/>
      <c r="FI402" s="702"/>
      <c r="FJ402" s="702"/>
      <c r="FK402" s="702"/>
      <c r="FL402" s="702"/>
      <c r="FM402" s="702"/>
      <c r="FN402" s="702"/>
      <c r="FO402" s="571"/>
    </row>
    <row r="403" spans="146:171" ht="20.100000000000001" customHeight="1">
      <c r="EP403" s="33" t="str">
        <f>Rev!B416</f>
        <v>HK1 Phase IV (Hong Kong)</v>
      </c>
      <c r="EQ403" s="33"/>
      <c r="ER403" s="255" t="s">
        <v>252</v>
      </c>
      <c r="ES403" s="252">
        <v>500</v>
      </c>
      <c r="ET403" s="192">
        <f>Rev!O767</f>
        <v>20</v>
      </c>
      <c r="EU403" s="33"/>
      <c r="EV403" s="244"/>
      <c r="FE403" s="701" t="s">
        <v>1495</v>
      </c>
      <c r="FF403" s="701"/>
      <c r="FG403" s="703">
        <v>1233</v>
      </c>
      <c r="FH403" s="703">
        <v>1230</v>
      </c>
      <c r="FI403" s="703">
        <v>1215</v>
      </c>
      <c r="FJ403" s="703">
        <v>1217</v>
      </c>
      <c r="FK403" s="703">
        <v>1500</v>
      </c>
      <c r="FL403" s="703">
        <v>1500</v>
      </c>
      <c r="FM403" s="703">
        <v>1525</v>
      </c>
      <c r="FN403" s="703">
        <f>IS!P15</f>
        <v>1569.7840000000001</v>
      </c>
      <c r="FO403" s="572">
        <v>1511.1</v>
      </c>
    </row>
    <row r="404" spans="146:171" ht="20.100000000000001" customHeight="1">
      <c r="EP404" s="33" t="str">
        <f>Rev!B429</f>
        <v>SG2 Phase 2 (Singapore)</v>
      </c>
      <c r="EQ404" s="33"/>
      <c r="ER404" s="255" t="s">
        <v>1466</v>
      </c>
      <c r="ES404" s="252">
        <v>1000</v>
      </c>
      <c r="ET404" s="192">
        <f>Rev!O773</f>
        <v>30</v>
      </c>
      <c r="EU404" s="33"/>
      <c r="EV404" s="244"/>
      <c r="FE404" s="704" t="s">
        <v>421</v>
      </c>
      <c r="FF404" s="701"/>
      <c r="FG404" s="705">
        <v>0.64</v>
      </c>
      <c r="FH404" s="705">
        <v>0.64</v>
      </c>
      <c r="FI404" s="705" t="s">
        <v>981</v>
      </c>
      <c r="FJ404" s="705">
        <v>0.65</v>
      </c>
      <c r="FK404" s="706" t="s">
        <v>981</v>
      </c>
      <c r="FL404" s="706">
        <v>0.65</v>
      </c>
      <c r="FM404" s="706" t="s">
        <v>1523</v>
      </c>
      <c r="FN404" s="706">
        <f>IS!P20</f>
        <v>0.66253127818859159</v>
      </c>
      <c r="FO404" s="573" t="s">
        <v>981</v>
      </c>
    </row>
    <row r="405" spans="146:171" ht="20.100000000000001" customHeight="1">
      <c r="EP405" s="33" t="s">
        <v>1382</v>
      </c>
      <c r="EQ405" s="33"/>
      <c r="ER405" s="255" t="s">
        <v>1378</v>
      </c>
      <c r="ES405" s="252">
        <v>140</v>
      </c>
      <c r="ET405" s="192">
        <v>9</v>
      </c>
      <c r="EU405" s="33"/>
      <c r="EV405" s="244"/>
      <c r="FE405" s="701" t="s">
        <v>45</v>
      </c>
      <c r="FF405" s="701"/>
      <c r="FG405" s="703">
        <v>258</v>
      </c>
      <c r="FH405" s="703">
        <v>250</v>
      </c>
      <c r="FI405" s="706" t="s">
        <v>981</v>
      </c>
      <c r="FJ405" s="703">
        <v>250</v>
      </c>
      <c r="FK405" s="706" t="s">
        <v>981</v>
      </c>
      <c r="FL405" s="703">
        <f>FL404*FL403</f>
        <v>975</v>
      </c>
      <c r="FM405" s="703">
        <f>0.655*FM403</f>
        <v>998.875</v>
      </c>
      <c r="FN405" s="703">
        <f>FN404*FN403</f>
        <v>1040.0310000000002</v>
      </c>
      <c r="FO405" s="573" t="s">
        <v>981</v>
      </c>
    </row>
    <row r="406" spans="146:171" ht="20.100000000000001" customHeight="1">
      <c r="EP406" s="33"/>
      <c r="EQ406" s="33"/>
      <c r="ER406" s="255"/>
      <c r="ES406" s="252"/>
      <c r="ET406" s="192"/>
      <c r="EU406" s="33"/>
      <c r="EV406" s="244"/>
      <c r="FE406" s="701" t="s">
        <v>1539</v>
      </c>
      <c r="FF406" s="701"/>
      <c r="FG406" s="703"/>
      <c r="FH406" s="703"/>
      <c r="FI406" s="706"/>
      <c r="FJ406" s="703"/>
      <c r="FK406" s="706" t="s">
        <v>981</v>
      </c>
      <c r="FL406" s="703">
        <v>300</v>
      </c>
      <c r="FM406" s="703">
        <v>315</v>
      </c>
      <c r="FN406" s="703">
        <f>IS!P24</f>
        <v>320.226</v>
      </c>
      <c r="FO406" s="573" t="s">
        <v>981</v>
      </c>
    </row>
    <row r="407" spans="146:171" ht="20.100000000000001" customHeight="1">
      <c r="EP407" s="33" t="str">
        <f>Rev!B442</f>
        <v>SY3 Phase 1 (Sydney)</v>
      </c>
      <c r="EQ407" s="33"/>
      <c r="ER407" s="255" t="s">
        <v>1790</v>
      </c>
      <c r="ES407" s="252">
        <v>1000</v>
      </c>
      <c r="ET407" s="192">
        <f>Rev!P776</f>
        <v>65</v>
      </c>
      <c r="EU407" s="33"/>
      <c r="EV407" s="244"/>
      <c r="FE407" s="701" t="s">
        <v>422</v>
      </c>
      <c r="FF407" s="701"/>
      <c r="FG407" s="703">
        <v>530</v>
      </c>
      <c r="FH407" s="703">
        <v>538</v>
      </c>
      <c r="FI407" s="703">
        <v>540</v>
      </c>
      <c r="FJ407" s="703">
        <v>542</v>
      </c>
      <c r="FK407" s="703">
        <v>675</v>
      </c>
      <c r="FL407" s="703">
        <v>675</v>
      </c>
      <c r="FM407" s="703">
        <v>685</v>
      </c>
      <c r="FN407" s="703">
        <f>IS!P37</f>
        <v>719.80500000000018</v>
      </c>
      <c r="FO407" s="572">
        <v>671.4</v>
      </c>
    </row>
    <row r="408" spans="146:171" ht="20.100000000000001" customHeight="1">
      <c r="EP408" s="33" t="str">
        <f>Rev!B430</f>
        <v>SG2 Phase 3 (Singapore)</v>
      </c>
      <c r="EQ408" s="33"/>
      <c r="ER408" s="255" t="s">
        <v>1380</v>
      </c>
      <c r="ES408" s="252">
        <v>850</v>
      </c>
      <c r="ET408" s="192">
        <f>Rev!P779</f>
        <v>43</v>
      </c>
      <c r="EU408" s="33"/>
      <c r="EV408" s="244"/>
      <c r="FE408" s="704" t="s">
        <v>423</v>
      </c>
      <c r="FF408" s="701"/>
      <c r="FG408" s="705">
        <f t="shared" ref="FG408:FO408" si="35">FG407/FG403</f>
        <v>0.42984590429845904</v>
      </c>
      <c r="FH408" s="705">
        <f t="shared" si="35"/>
        <v>0.43739837398373982</v>
      </c>
      <c r="FI408" s="705">
        <f t="shared" si="35"/>
        <v>0.44444444444444442</v>
      </c>
      <c r="FJ408" s="705">
        <f t="shared" si="35"/>
        <v>0.44535743631881675</v>
      </c>
      <c r="FK408" s="707">
        <f t="shared" si="35"/>
        <v>0.45</v>
      </c>
      <c r="FL408" s="707">
        <f t="shared" si="35"/>
        <v>0.45</v>
      </c>
      <c r="FM408" s="707">
        <f t="shared" si="35"/>
        <v>0.44918032786885248</v>
      </c>
      <c r="FN408" s="707">
        <f t="shared" si="35"/>
        <v>0.45853760772182678</v>
      </c>
      <c r="FO408" s="574">
        <f t="shared" si="35"/>
        <v>0.44431209053007742</v>
      </c>
    </row>
    <row r="409" spans="146:171" ht="20.100000000000001" customHeight="1">
      <c r="EP409" s="33" t="str">
        <f>Rev!B450</f>
        <v>TY3 (Tokyo)</v>
      </c>
      <c r="EQ409" s="33"/>
      <c r="ER409" s="255" t="s">
        <v>1380</v>
      </c>
      <c r="ES409" s="252">
        <v>950</v>
      </c>
      <c r="ET409" s="192">
        <f>Rev!P782</f>
        <v>70</v>
      </c>
      <c r="EU409" s="33"/>
      <c r="EV409" s="244">
        <f>SUM(ET398,ET396*0.75)</f>
        <v>70</v>
      </c>
      <c r="FE409" s="701"/>
      <c r="FF409" s="701"/>
      <c r="FG409" s="701"/>
      <c r="FH409" s="701"/>
      <c r="FI409" s="701"/>
      <c r="FJ409" s="701"/>
      <c r="FK409" s="701"/>
      <c r="FL409" s="701"/>
      <c r="FM409" s="701"/>
      <c r="FN409" s="701"/>
      <c r="FO409" s="570"/>
    </row>
    <row r="410" spans="146:171" ht="20.100000000000001" customHeight="1">
      <c r="EP410" s="33" t="str">
        <f>Rev!B420</f>
        <v>HK2 phase 2 (Hong Kong)</v>
      </c>
      <c r="EQ410" s="33"/>
      <c r="ER410" s="255" t="s">
        <v>1381</v>
      </c>
      <c r="ES410" s="252">
        <v>1450</v>
      </c>
      <c r="ET410" s="192">
        <f>SUM(Rev!P770:Q770)</f>
        <v>40</v>
      </c>
      <c r="EU410" s="33"/>
      <c r="EV410" s="244">
        <f>SUM(ET405:ET410)</f>
        <v>227</v>
      </c>
      <c r="FE410" s="708" t="s">
        <v>424</v>
      </c>
      <c r="FF410" s="701"/>
      <c r="FG410" s="703">
        <v>420</v>
      </c>
      <c r="FH410" s="703">
        <v>445</v>
      </c>
      <c r="FI410" s="706" t="s">
        <v>981</v>
      </c>
      <c r="FJ410" s="703">
        <v>460</v>
      </c>
      <c r="FK410" s="703">
        <v>300</v>
      </c>
      <c r="FL410" s="703" t="s">
        <v>635</v>
      </c>
      <c r="FM410" s="703" t="s">
        <v>1524</v>
      </c>
      <c r="FN410" s="703">
        <f>BS!P124</f>
        <v>551.1</v>
      </c>
      <c r="FO410" s="572"/>
    </row>
    <row r="411" spans="146:171" ht="20.100000000000001" customHeight="1">
      <c r="EP411" s="33"/>
      <c r="EQ411" s="33"/>
      <c r="ER411" s="255"/>
      <c r="ES411" s="256" t="s">
        <v>1379</v>
      </c>
      <c r="ET411" s="257">
        <f>SUM(ET403:ET410)/SUM(ES403:ES410)*1000000</f>
        <v>47028.862478777592</v>
      </c>
      <c r="EU411" s="33"/>
      <c r="FE411" s="708" t="s">
        <v>425</v>
      </c>
      <c r="FF411" s="701"/>
      <c r="FG411" s="703">
        <v>130</v>
      </c>
      <c r="FH411" s="703">
        <v>110</v>
      </c>
      <c r="FI411" s="706" t="s">
        <v>981</v>
      </c>
      <c r="FJ411" s="703">
        <v>110</v>
      </c>
      <c r="FK411" s="703">
        <v>100</v>
      </c>
      <c r="FL411" s="703">
        <v>100</v>
      </c>
      <c r="FM411" s="703">
        <v>115</v>
      </c>
      <c r="FN411" s="703">
        <f>BS!P127</f>
        <v>131.60000000000002</v>
      </c>
      <c r="FO411" s="572"/>
    </row>
    <row r="412" spans="146:171" ht="20.100000000000001" customHeight="1">
      <c r="EP412" s="33"/>
      <c r="EQ412" s="33"/>
      <c r="ER412" s="255"/>
      <c r="ES412" s="33"/>
      <c r="ET412" s="33"/>
      <c r="EU412" s="33"/>
      <c r="FE412" s="701" t="s">
        <v>431</v>
      </c>
      <c r="FF412" s="701"/>
      <c r="FG412" s="703">
        <f>SUM(FG410:FG411)</f>
        <v>550</v>
      </c>
      <c r="FH412" s="703">
        <f>SUM(FH410:FH411)</f>
        <v>555</v>
      </c>
      <c r="FI412" s="706" t="s">
        <v>981</v>
      </c>
      <c r="FJ412" s="703">
        <f>SUM(FJ410:FJ411)</f>
        <v>570</v>
      </c>
      <c r="FK412" s="703">
        <f>SUM(FK410:FK411)</f>
        <v>400</v>
      </c>
      <c r="FL412" s="703" t="s">
        <v>636</v>
      </c>
      <c r="FM412" s="703" t="s">
        <v>1525</v>
      </c>
      <c r="FN412" s="703">
        <f>SUM(FN410:FN411)</f>
        <v>682.7</v>
      </c>
      <c r="FO412" s="572">
        <v>468.5</v>
      </c>
    </row>
    <row r="413" spans="146:171" ht="20.100000000000001" customHeight="1">
      <c r="EP413" s="50" t="s">
        <v>1374</v>
      </c>
      <c r="EQ413" s="50"/>
      <c r="ER413" s="50"/>
      <c r="ES413" s="50"/>
      <c r="ET413" s="50"/>
      <c r="EU413" s="33"/>
      <c r="FE413" s="704" t="s">
        <v>44</v>
      </c>
      <c r="FF413" s="701"/>
      <c r="FG413" s="709">
        <f>FG412/FG403</f>
        <v>0.44606650446066504</v>
      </c>
      <c r="FH413" s="709">
        <f>FH412/FH403</f>
        <v>0.45121951219512196</v>
      </c>
      <c r="FI413" s="705" t="s">
        <v>981</v>
      </c>
      <c r="FJ413" s="709">
        <f>FJ412/FJ403</f>
        <v>0.46836483155299918</v>
      </c>
      <c r="FK413" s="710">
        <f>FK412/FK403</f>
        <v>0.26666666666666666</v>
      </c>
      <c r="FL413" s="710">
        <f>450/FL403</f>
        <v>0.3</v>
      </c>
      <c r="FM413" s="710">
        <f>640/FM403</f>
        <v>0.41967213114754098</v>
      </c>
      <c r="FN413" s="710">
        <f>FN412/FN403</f>
        <v>0.43490059778925</v>
      </c>
      <c r="FO413" s="575">
        <f>FO412/FO403</f>
        <v>0.31003904440473828</v>
      </c>
    </row>
    <row r="414" spans="146:171">
      <c r="EP414" s="33" t="str">
        <f>Rev!B581</f>
        <v>DU2 (Dusseldorf)</v>
      </c>
      <c r="EQ414" s="33"/>
      <c r="ER414" s="255" t="s">
        <v>249</v>
      </c>
      <c r="ES414" s="252">
        <v>560</v>
      </c>
      <c r="ET414" s="258" t="s">
        <v>981</v>
      </c>
      <c r="EU414" s="33"/>
    </row>
    <row r="415" spans="146:171">
      <c r="EP415" s="33" t="str">
        <f>Rev!B597</f>
        <v>LD5 Phase I (London)</v>
      </c>
      <c r="EQ415" s="33"/>
      <c r="ER415" s="255" t="s">
        <v>249</v>
      </c>
      <c r="ES415" s="252">
        <v>1400</v>
      </c>
      <c r="ET415" s="192">
        <v>85</v>
      </c>
      <c r="EU415" s="33"/>
    </row>
    <row r="416" spans="146:171">
      <c r="EP416" s="33" t="str">
        <f>Rev!B585</f>
        <v>FR2 Phase 3 (Frankfurt)</v>
      </c>
      <c r="EQ416" s="33"/>
      <c r="ER416" s="255" t="s">
        <v>252</v>
      </c>
      <c r="ES416" s="252">
        <v>660</v>
      </c>
      <c r="ET416" s="192">
        <v>18</v>
      </c>
      <c r="EU416" s="33"/>
    </row>
    <row r="417" spans="146:168" ht="3" customHeight="1">
      <c r="EP417" s="33" t="str">
        <f>Rev!B614</f>
        <v>ZH4 Phase I (Zurich)</v>
      </c>
      <c r="EQ417" s="33"/>
      <c r="ER417" s="255" t="s">
        <v>252</v>
      </c>
      <c r="ES417" s="252">
        <v>500</v>
      </c>
      <c r="ET417" s="192">
        <v>13.5</v>
      </c>
      <c r="EU417" s="33"/>
    </row>
    <row r="418" spans="146:168">
      <c r="EP418" s="33" t="str">
        <f>Rev!B570</f>
        <v>AM1 Phase 3 (Amsterdam)</v>
      </c>
      <c r="EQ418" s="33"/>
      <c r="ER418" s="255" t="s">
        <v>252</v>
      </c>
      <c r="ES418" s="252">
        <v>1000</v>
      </c>
      <c r="ET418" s="192">
        <v>40</v>
      </c>
      <c r="EU418" s="33"/>
    </row>
    <row r="419" spans="146:168">
      <c r="EP419" s="33" t="str">
        <f>Rev!B606</f>
        <v>MU3 (Munich)</v>
      </c>
      <c r="EQ419" s="33"/>
      <c r="ER419" s="255" t="s">
        <v>252</v>
      </c>
      <c r="ES419" s="252">
        <v>820</v>
      </c>
      <c r="ET419" s="258" t="s">
        <v>981</v>
      </c>
      <c r="EU419" s="33"/>
    </row>
    <row r="420" spans="146:168">
      <c r="EP420" s="33"/>
      <c r="EQ420" s="33"/>
      <c r="ER420" s="255"/>
      <c r="ES420" s="256" t="s">
        <v>1383</v>
      </c>
      <c r="ET420" s="257">
        <f>SUM(ET415:ET418)/SUM(ES415:ES418)*1000000</f>
        <v>43960.674157303372</v>
      </c>
      <c r="EU420" s="33"/>
    </row>
    <row r="421" spans="146:168" ht="3.75" customHeight="1">
      <c r="EP421" s="33"/>
      <c r="EQ421" s="33"/>
      <c r="ER421" s="33"/>
      <c r="ES421" s="33"/>
      <c r="ET421" s="33"/>
      <c r="EU421" s="33"/>
    </row>
    <row r="425" spans="146:168">
      <c r="EW425" s="33"/>
      <c r="EX425" s="259" t="s">
        <v>984</v>
      </c>
      <c r="EY425" s="259"/>
      <c r="EZ425" s="262" t="s">
        <v>985</v>
      </c>
      <c r="FA425" s="259"/>
      <c r="FB425" s="262" t="s">
        <v>986</v>
      </c>
      <c r="FC425" s="259"/>
    </row>
    <row r="426" spans="146:168">
      <c r="EW426" s="33"/>
      <c r="EX426" s="261" t="s">
        <v>440</v>
      </c>
      <c r="EY426" s="261" t="s">
        <v>469</v>
      </c>
      <c r="EZ426" s="263" t="s">
        <v>440</v>
      </c>
      <c r="FA426" s="261" t="s">
        <v>469</v>
      </c>
      <c r="FB426" s="263" t="s">
        <v>440</v>
      </c>
      <c r="FC426" s="261" t="s">
        <v>469</v>
      </c>
      <c r="FL426">
        <f>185/500</f>
        <v>0.37</v>
      </c>
    </row>
    <row r="427" spans="146:168">
      <c r="EW427" s="33"/>
      <c r="EX427" s="260"/>
      <c r="EY427" s="260"/>
      <c r="EZ427" s="264"/>
      <c r="FA427" s="260"/>
      <c r="FB427" s="264"/>
      <c r="FC427" s="260"/>
    </row>
    <row r="428" spans="146:168">
      <c r="EW428" s="33" t="s">
        <v>975</v>
      </c>
      <c r="EX428" s="192">
        <f>IS!O15</f>
        <v>1196.2139999999999</v>
      </c>
      <c r="EY428" s="192"/>
      <c r="EZ428" s="265">
        <f>IS!P15</f>
        <v>1569.7840000000001</v>
      </c>
      <c r="FA428" s="192"/>
      <c r="FB428" s="265">
        <f>IS!Q15</f>
        <v>1887.376</v>
      </c>
      <c r="FC428" s="192"/>
    </row>
    <row r="429" spans="146:168">
      <c r="EW429" s="33"/>
      <c r="EX429" s="33"/>
      <c r="EY429" s="33"/>
      <c r="EZ429" s="266"/>
      <c r="FA429" s="33"/>
      <c r="FB429" s="266"/>
      <c r="FC429" s="33"/>
    </row>
    <row r="430" spans="146:168">
      <c r="EW430" s="33" t="s">
        <v>994</v>
      </c>
      <c r="EX430" s="192">
        <f>IS!O37</f>
        <v>533.02099999999996</v>
      </c>
      <c r="EY430" s="192"/>
      <c r="EZ430" s="265">
        <f>IS!P37</f>
        <v>719.80500000000018</v>
      </c>
      <c r="FA430" s="192"/>
      <c r="FB430" s="265">
        <f>IS!Q37</f>
        <v>887.85699999999986</v>
      </c>
      <c r="FC430" s="192"/>
    </row>
    <row r="431" spans="146:168">
      <c r="EW431" s="33"/>
      <c r="EX431" s="33"/>
      <c r="EY431" s="33"/>
      <c r="EZ431" s="266"/>
      <c r="FA431" s="33"/>
      <c r="FB431" s="266"/>
      <c r="FC431" s="33"/>
    </row>
    <row r="432" spans="146:168">
      <c r="EW432" s="33" t="s">
        <v>465</v>
      </c>
      <c r="EX432" s="192">
        <f>BS!O118</f>
        <v>0</v>
      </c>
      <c r="EY432" s="192">
        <v>559</v>
      </c>
      <c r="EZ432" s="265">
        <f>BS!P118</f>
        <v>0</v>
      </c>
      <c r="FA432" s="192">
        <v>444.7</v>
      </c>
      <c r="FB432" s="265">
        <f>BS!Q118</f>
        <v>0</v>
      </c>
      <c r="FC432" s="192">
        <v>288.5</v>
      </c>
    </row>
  </sheetData>
  <mergeCells count="1">
    <mergeCell ref="FE400:FF401"/>
  </mergeCells>
  <phoneticPr fontId="2" type="noConversion"/>
  <pageMargins left="0.75" right="0.75" top="1" bottom="1" header="0.5" footer="0.5"/>
  <pageSetup orientation="portrait" r:id="rId1"/>
  <headerFooter alignWithMargins="0"/>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U46"/>
  <sheetViews>
    <sheetView zoomScale="55" workbookViewId="0"/>
  </sheetViews>
  <sheetFormatPr defaultRowHeight="12.75"/>
  <cols>
    <col min="3" max="3" width="37.7109375" bestFit="1" customWidth="1"/>
  </cols>
  <sheetData>
    <row r="1" spans="1:20">
      <c r="A1" s="712"/>
    </row>
    <row r="3" spans="1:20">
      <c r="C3" s="15"/>
      <c r="D3" s="819" t="s">
        <v>49</v>
      </c>
      <c r="E3" s="819" t="s">
        <v>48</v>
      </c>
      <c r="F3" s="819" t="s">
        <v>1513</v>
      </c>
      <c r="G3" s="819" t="s">
        <v>1487</v>
      </c>
      <c r="H3" s="819" t="s">
        <v>1488</v>
      </c>
      <c r="I3" s="819" t="s">
        <v>1492</v>
      </c>
      <c r="J3" s="819" t="s">
        <v>1493</v>
      </c>
      <c r="K3" s="819" t="s">
        <v>147</v>
      </c>
      <c r="L3" s="819" t="s">
        <v>197</v>
      </c>
      <c r="M3" s="819" t="s">
        <v>250</v>
      </c>
      <c r="N3" s="819" t="s">
        <v>251</v>
      </c>
      <c r="O3" s="819" t="s">
        <v>249</v>
      </c>
      <c r="P3" s="819" t="s">
        <v>252</v>
      </c>
      <c r="Q3" s="819" t="s">
        <v>1466</v>
      </c>
      <c r="R3" s="819" t="s">
        <v>1378</v>
      </c>
      <c r="S3" s="819" t="s">
        <v>1791</v>
      </c>
      <c r="T3" s="819" t="s">
        <v>1790</v>
      </c>
    </row>
    <row r="4" spans="1:20">
      <c r="C4" s="26" t="s">
        <v>1512</v>
      </c>
      <c r="D4" s="26">
        <f>SDXC!BE9+Rev!BI293</f>
        <v>107.07600000000002</v>
      </c>
      <c r="E4" s="26">
        <f>SDXC!BF9+Rev!BJ293</f>
        <v>114.087</v>
      </c>
      <c r="F4" s="26">
        <f>SDXC!BG9+Rev!BK293</f>
        <v>121.708</v>
      </c>
      <c r="G4" s="26">
        <f>SDXC!BH9+Rev!BL293</f>
        <v>132.67600000000002</v>
      </c>
      <c r="H4" s="26">
        <f>SDXC!BI9+Rev!BM293</f>
        <v>142.40199999999999</v>
      </c>
      <c r="I4" s="26">
        <f>SDXC!BJ9+Rev!BN293</f>
        <v>151.161</v>
      </c>
      <c r="J4" s="26">
        <f>SDXC!BK9+Rev!BO293</f>
        <v>159.39599999999999</v>
      </c>
      <c r="K4" s="26">
        <f>SDXC!BL9+Rev!BP293</f>
        <v>165.01800000000003</v>
      </c>
      <c r="L4" s="26">
        <f>SDXC!BM9+Rev!BQ293</f>
        <v>172.03200000000001</v>
      </c>
      <c r="M4" s="26">
        <f>SDXC!BN9+Rev!BR293</f>
        <v>179.98</v>
      </c>
      <c r="N4" s="26">
        <f>SDXC!BO9+Rev!BS293</f>
        <v>190.01</v>
      </c>
      <c r="O4" s="26">
        <f>SDXC!BP9+Rev!BT293</f>
        <v>197.20799999999997</v>
      </c>
      <c r="P4" s="26">
        <f>SDXC!BQ9+Rev!BU293+18.8</f>
        <v>203.59400000000002</v>
      </c>
      <c r="Q4" s="26">
        <f>SDXC!BR9+Rev!BV293</f>
        <v>208.096</v>
      </c>
      <c r="R4" s="26">
        <f>SDXC!BS9+Rev!BW293</f>
        <v>212.34100000000001</v>
      </c>
      <c r="S4" s="26">
        <f>SDXC!BT9+Rev!BX293</f>
        <v>223.38899999999998</v>
      </c>
      <c r="T4" s="26">
        <f>SDXC!BU9+Rev!BY293</f>
        <v>245.19900000000001</v>
      </c>
    </row>
    <row r="5" spans="1:20">
      <c r="C5" s="820" t="s">
        <v>1531</v>
      </c>
      <c r="D5" s="768"/>
      <c r="E5" s="38">
        <f t="shared" ref="E5:T5" si="0">E4/D4-1</f>
        <v>6.5476857559116697E-2</v>
      </c>
      <c r="F5" s="38">
        <f t="shared" si="0"/>
        <v>6.6799898323209428E-2</v>
      </c>
      <c r="G5" s="38">
        <f t="shared" si="0"/>
        <v>9.0117330002958074E-2</v>
      </c>
      <c r="H5" s="38">
        <f t="shared" si="0"/>
        <v>7.3306400554734585E-2</v>
      </c>
      <c r="I5" s="38">
        <f t="shared" si="0"/>
        <v>6.1508967570680362E-2</v>
      </c>
      <c r="J5" s="38">
        <f t="shared" si="0"/>
        <v>5.4478337666461485E-2</v>
      </c>
      <c r="K5" s="38">
        <f t="shared" si="0"/>
        <v>3.5270646691259788E-2</v>
      </c>
      <c r="L5" s="38">
        <f t="shared" si="0"/>
        <v>4.250445405955694E-2</v>
      </c>
      <c r="M5" s="38">
        <f t="shared" si="0"/>
        <v>4.6200706845237915E-2</v>
      </c>
      <c r="N5" s="38">
        <f t="shared" si="0"/>
        <v>5.5728414268252147E-2</v>
      </c>
      <c r="O5" s="38">
        <f t="shared" si="0"/>
        <v>3.7882216725435347E-2</v>
      </c>
      <c r="P5" s="38">
        <f t="shared" si="0"/>
        <v>3.2382053466391003E-2</v>
      </c>
      <c r="Q5" s="38">
        <f t="shared" si="0"/>
        <v>2.2112635932296509E-2</v>
      </c>
      <c r="R5" s="38">
        <f t="shared" si="0"/>
        <v>2.0399238812855547E-2</v>
      </c>
      <c r="S5" s="38">
        <f t="shared" si="0"/>
        <v>5.2029518557414667E-2</v>
      </c>
      <c r="T5" s="38">
        <f t="shared" si="0"/>
        <v>9.763238118260098E-2</v>
      </c>
    </row>
    <row r="6" spans="1:20">
      <c r="C6" s="15" t="s">
        <v>1511</v>
      </c>
      <c r="D6" s="769">
        <f>Rev!BI231+SDXC!BE52</f>
        <v>21684</v>
      </c>
      <c r="E6" s="769">
        <f>Rev!BJ231+SDXC!BF52</f>
        <v>23136</v>
      </c>
      <c r="F6" s="769">
        <f>Rev!BK231+SDXC!BG52</f>
        <v>24483</v>
      </c>
      <c r="G6" s="769">
        <f>Rev!BL231+SDXC!BH52</f>
        <v>25934</v>
      </c>
      <c r="H6" s="769">
        <f>Rev!BM231+SDXC!BI52</f>
        <v>27117</v>
      </c>
      <c r="I6" s="769">
        <f>Rev!BN231+SDXC!BJ52</f>
        <v>28447</v>
      </c>
      <c r="J6" s="769">
        <f>Rev!BO231+SDXC!BK52</f>
        <v>29146</v>
      </c>
      <c r="K6" s="769">
        <f>Rev!BP231+SDXC!BL52</f>
        <v>29764</v>
      </c>
      <c r="L6" s="769">
        <f>Rev!BQ231+SDXC!BM52</f>
        <v>30782</v>
      </c>
      <c r="M6" s="769">
        <f>Rev!BR231+SDXC!BN52</f>
        <v>31310</v>
      </c>
      <c r="N6" s="769">
        <f>Rev!BS231+SDXC!BO52</f>
        <v>32188</v>
      </c>
      <c r="O6" s="769">
        <f>Rev!BT231+SDXC!BP52</f>
        <v>32520</v>
      </c>
      <c r="P6" s="769">
        <f>Rev!BU231+SDXC!BQ52+Rev!BU240</f>
        <v>33300</v>
      </c>
      <c r="Q6" s="769">
        <f>Rev!BV231+SDXC!BR52+Rev!BV240</f>
        <v>33800</v>
      </c>
      <c r="R6" s="769">
        <f>Rev!BW231+SDXC!BS52+Rev!BW240</f>
        <v>34800</v>
      </c>
      <c r="S6" s="769">
        <f>Rev!BX231+SDXC!BT52+Rev!BX240</f>
        <v>36848</v>
      </c>
      <c r="T6" s="769">
        <f>Rev!BY231+SDXC!BU52+Rev!BY240</f>
        <v>0</v>
      </c>
    </row>
    <row r="7" spans="1:20">
      <c r="C7" s="773" t="s">
        <v>1530</v>
      </c>
      <c r="D7" s="768"/>
      <c r="E7" s="38">
        <f t="shared" ref="E7:T7" si="1">E6/D6-1</f>
        <v>6.6961815163254057E-2</v>
      </c>
      <c r="F7" s="38">
        <f t="shared" si="1"/>
        <v>5.8220954356846377E-2</v>
      </c>
      <c r="G7" s="38">
        <f t="shared" si="1"/>
        <v>5.926561287423926E-2</v>
      </c>
      <c r="H7" s="38">
        <f t="shared" si="1"/>
        <v>4.5615793938459159E-2</v>
      </c>
      <c r="I7" s="38">
        <f t="shared" si="1"/>
        <v>4.904672345760952E-2</v>
      </c>
      <c r="J7" s="38">
        <f t="shared" si="1"/>
        <v>2.4572011108376923E-2</v>
      </c>
      <c r="K7" s="38">
        <f t="shared" si="1"/>
        <v>2.1203595690660881E-2</v>
      </c>
      <c r="L7" s="38">
        <f t="shared" si="1"/>
        <v>3.4202392151592598E-2</v>
      </c>
      <c r="M7" s="38">
        <f t="shared" si="1"/>
        <v>1.7152881554155064E-2</v>
      </c>
      <c r="N7" s="38">
        <f t="shared" si="1"/>
        <v>2.8042159054615157E-2</v>
      </c>
      <c r="O7" s="38">
        <f t="shared" si="1"/>
        <v>1.0314402883061957E-2</v>
      </c>
      <c r="P7" s="38">
        <f t="shared" si="1"/>
        <v>2.3985239852398532E-2</v>
      </c>
      <c r="Q7" s="38">
        <f t="shared" si="1"/>
        <v>1.501501501501501E-2</v>
      </c>
      <c r="R7" s="38">
        <f t="shared" si="1"/>
        <v>2.9585798816567976E-2</v>
      </c>
      <c r="S7" s="38">
        <f t="shared" si="1"/>
        <v>5.8850574712643766E-2</v>
      </c>
      <c r="T7" s="38">
        <f t="shared" si="1"/>
        <v>-1</v>
      </c>
    </row>
    <row r="8" spans="1:20">
      <c r="C8" s="14" t="s">
        <v>52</v>
      </c>
      <c r="D8" s="822">
        <f t="shared" ref="D8:T8" si="2">D4/D6*1000000/3</f>
        <v>1646.0062719055525</v>
      </c>
      <c r="E8" s="822">
        <f t="shared" si="2"/>
        <v>1643.7154218533888</v>
      </c>
      <c r="F8" s="822">
        <f t="shared" si="2"/>
        <v>1657.0409399719531</v>
      </c>
      <c r="G8" s="822">
        <f t="shared" si="2"/>
        <v>1705.3032055731217</v>
      </c>
      <c r="H8" s="822">
        <f t="shared" si="2"/>
        <v>1750.4640385490036</v>
      </c>
      <c r="I8" s="822">
        <f t="shared" si="2"/>
        <v>1771.2588322142931</v>
      </c>
      <c r="J8" s="822">
        <f t="shared" si="2"/>
        <v>1822.9602689905987</v>
      </c>
      <c r="K8" s="822">
        <f t="shared" si="2"/>
        <v>1848.0714957666985</v>
      </c>
      <c r="L8" s="822">
        <f t="shared" si="2"/>
        <v>1862.9068936391398</v>
      </c>
      <c r="M8" s="822">
        <f t="shared" si="2"/>
        <v>1916.1077398062387</v>
      </c>
      <c r="N8" s="822">
        <f t="shared" si="2"/>
        <v>1967.7105339463981</v>
      </c>
      <c r="O8" s="822">
        <f t="shared" si="2"/>
        <v>2021.4022140221398</v>
      </c>
      <c r="P8" s="822">
        <f t="shared" si="2"/>
        <v>2037.9779779779783</v>
      </c>
      <c r="Q8" s="822">
        <f t="shared" si="2"/>
        <v>2052.2287968441815</v>
      </c>
      <c r="R8" s="822">
        <f t="shared" si="2"/>
        <v>2033.9176245210729</v>
      </c>
      <c r="S8" s="822">
        <f t="shared" si="2"/>
        <v>2020.8152409900129</v>
      </c>
      <c r="T8" s="822" t="e">
        <f t="shared" si="2"/>
        <v>#DIV/0!</v>
      </c>
    </row>
    <row r="9" spans="1:20">
      <c r="C9" s="15" t="s">
        <v>50</v>
      </c>
      <c r="D9" s="821"/>
      <c r="E9" s="38">
        <f t="shared" ref="E9:T9" si="3">E8/D8-1</f>
        <v>-1.3917626507653491E-3</v>
      </c>
      <c r="F9" s="38">
        <f t="shared" si="3"/>
        <v>8.1069496224224213E-3</v>
      </c>
      <c r="G9" s="38">
        <f t="shared" si="3"/>
        <v>2.9125572239624642E-2</v>
      </c>
      <c r="H9" s="38">
        <f t="shared" si="3"/>
        <v>2.6482582586071057E-2</v>
      </c>
      <c r="I9" s="38">
        <f t="shared" si="3"/>
        <v>1.1879589187405726E-2</v>
      </c>
      <c r="J9" s="38">
        <f t="shared" si="3"/>
        <v>2.9189091868449424E-2</v>
      </c>
      <c r="K9" s="38">
        <f t="shared" si="3"/>
        <v>1.3774972062339241E-2</v>
      </c>
      <c r="L9" s="38">
        <f t="shared" si="3"/>
        <v>8.0275021320463935E-3</v>
      </c>
      <c r="M9" s="38">
        <f t="shared" si="3"/>
        <v>2.8557973749923971E-2</v>
      </c>
      <c r="N9" s="38">
        <f t="shared" si="3"/>
        <v>2.693105041440802E-2</v>
      </c>
      <c r="O9" s="38">
        <f t="shared" si="3"/>
        <v>2.7286371216430405E-2</v>
      </c>
      <c r="P9" s="38">
        <f t="shared" si="3"/>
        <v>8.2001314933044522E-3</v>
      </c>
      <c r="Q9" s="38">
        <f t="shared" si="3"/>
        <v>6.9926265250139785E-3</v>
      </c>
      <c r="R9" s="38">
        <f t="shared" si="3"/>
        <v>-8.9225783944103521E-3</v>
      </c>
      <c r="S9" s="38">
        <f t="shared" si="3"/>
        <v>-6.4419440458632904E-3</v>
      </c>
      <c r="T9" s="38" t="e">
        <f t="shared" si="3"/>
        <v>#DIV/0!</v>
      </c>
    </row>
    <row r="10" spans="1:20">
      <c r="C10" s="15" t="s">
        <v>1422</v>
      </c>
      <c r="D10" s="824">
        <f>SDXC!BE58+Rev!BI346</f>
        <v>35289</v>
      </c>
      <c r="E10" s="824">
        <f>SDXC!BF58+Rev!BJ346</f>
        <v>37049</v>
      </c>
      <c r="F10" s="824">
        <f>SDXC!BG58+Rev!BK346</f>
        <v>37776</v>
      </c>
      <c r="G10" s="824">
        <f>SDXC!BH58+Rev!BL346</f>
        <v>39308</v>
      </c>
      <c r="H10" s="824">
        <f>SDXC!BI58+Rev!BM346</f>
        <v>40989</v>
      </c>
      <c r="I10" s="824">
        <f>SDXC!BJ58+Rev!BN346</f>
        <v>42401</v>
      </c>
      <c r="J10" s="824">
        <f>SDXC!BK58+Rev!BO346</f>
        <v>43342</v>
      </c>
      <c r="K10" s="824">
        <f>SDXC!BL58+Rev!BP346</f>
        <v>44654</v>
      </c>
      <c r="L10" s="824">
        <f>SDXC!BM58+Rev!BQ346</f>
        <v>45587</v>
      </c>
      <c r="M10" s="824">
        <f>SDXC!BN58+Rev!BR346</f>
        <v>46773</v>
      </c>
      <c r="N10" s="824">
        <f>SDXC!BO58+Rev!BS346</f>
        <v>48165</v>
      </c>
      <c r="O10" s="824">
        <f>SDXC!BP58+Rev!BT346</f>
        <v>49059</v>
      </c>
      <c r="P10" s="824">
        <f>SDXC!BQ58+Rev!BU346+Rev!BU361</f>
        <v>50764</v>
      </c>
      <c r="Q10" s="824">
        <f>SDXC!BR58+Rev!BV346+Rev!BV361</f>
        <v>52723</v>
      </c>
      <c r="R10" s="824">
        <f>SDXC!BS58+Rev!BW346+Rev!BW361</f>
        <v>54800</v>
      </c>
      <c r="S10" s="824">
        <f>SDXC!BT58+Rev!BX346+Rev!BX361</f>
        <v>56328</v>
      </c>
      <c r="T10" s="824">
        <f>SDXC!BU58+Rev!BY346+Rev!BY361</f>
        <v>58872.194999999992</v>
      </c>
    </row>
    <row r="11" spans="1:20">
      <c r="C11" s="773" t="s">
        <v>1534</v>
      </c>
      <c r="D11" s="825">
        <f t="shared" ref="D11:T11" si="4">D10/D6</f>
        <v>1.6274211400110681</v>
      </c>
      <c r="E11" s="825">
        <f t="shared" si="4"/>
        <v>1.6013571922544951</v>
      </c>
      <c r="F11" s="825">
        <f t="shared" si="4"/>
        <v>1.5429481681166524</v>
      </c>
      <c r="G11" s="825">
        <f t="shared" si="4"/>
        <v>1.5156936839669932</v>
      </c>
      <c r="H11" s="825">
        <f t="shared" si="4"/>
        <v>1.5115610133864366</v>
      </c>
      <c r="I11" s="825">
        <f t="shared" si="4"/>
        <v>1.4905262417829648</v>
      </c>
      <c r="J11" s="825">
        <f t="shared" si="4"/>
        <v>1.4870651204281891</v>
      </c>
      <c r="K11" s="825">
        <f t="shared" si="4"/>
        <v>1.5002687810778121</v>
      </c>
      <c r="L11" s="825">
        <f t="shared" si="4"/>
        <v>1.4809629003963356</v>
      </c>
      <c r="M11" s="825">
        <f t="shared" si="4"/>
        <v>1.4938677738741617</v>
      </c>
      <c r="N11" s="825">
        <f t="shared" si="4"/>
        <v>1.4963651050080775</v>
      </c>
      <c r="O11" s="825">
        <f t="shared" si="4"/>
        <v>1.5085793357933579</v>
      </c>
      <c r="P11" s="825">
        <f t="shared" si="4"/>
        <v>1.5244444444444445</v>
      </c>
      <c r="Q11" s="825">
        <f t="shared" si="4"/>
        <v>1.5598520710059172</v>
      </c>
      <c r="R11" s="825">
        <f t="shared" si="4"/>
        <v>1.5747126436781609</v>
      </c>
      <c r="S11" s="825">
        <f t="shared" si="4"/>
        <v>1.528658271819366</v>
      </c>
      <c r="T11" s="825" t="e">
        <f t="shared" si="4"/>
        <v>#DIV/0!</v>
      </c>
    </row>
    <row r="12" spans="1:20">
      <c r="C12" s="15" t="s">
        <v>51</v>
      </c>
      <c r="D12" s="26">
        <f>SDXC!BE8+Rev!BI290</f>
        <v>27.838999999999999</v>
      </c>
      <c r="E12" s="26">
        <f>SDXC!BF8+Rev!BJ290</f>
        <v>28.931000000000001</v>
      </c>
      <c r="F12" s="26">
        <f>SDXC!BG8+Rev!BK290</f>
        <v>29.802</v>
      </c>
      <c r="G12" s="26">
        <f>SDXC!BH8+Rev!BL290</f>
        <v>31.344999999999999</v>
      </c>
      <c r="H12" s="26">
        <f>SDXC!BI8+Rev!BM290</f>
        <v>33.396000000000001</v>
      </c>
      <c r="I12" s="26">
        <f>SDXC!BJ8+Rev!BN290</f>
        <v>34.414999999999999</v>
      </c>
      <c r="J12" s="26">
        <f>SDXC!BK8+Rev!BO290</f>
        <v>35.727000000000004</v>
      </c>
      <c r="K12" s="26">
        <f>SDXC!BL8+Rev!BP290</f>
        <v>36.144999999999996</v>
      </c>
      <c r="L12" s="26">
        <f>SDXC!BM8+Rev!BQ290</f>
        <v>37.203000000000003</v>
      </c>
      <c r="M12" s="26">
        <f>SDXC!BN8+Rev!BR290</f>
        <v>38.013999999999996</v>
      </c>
      <c r="N12" s="26">
        <f>SDXC!BO8+Rev!BS290</f>
        <v>39.096999999999994</v>
      </c>
      <c r="O12" s="26">
        <f>SDXC!BP8+Rev!BT290</f>
        <v>40.411999999999999</v>
      </c>
      <c r="P12" s="26">
        <f>SDXC!BQ8+Rev!BU290+18.8/3</f>
        <v>41.338666666666668</v>
      </c>
      <c r="Q12" s="26">
        <f>SDXC!BR8+Rev!BV290</f>
        <v>42.101999999999997</v>
      </c>
      <c r="R12" s="26">
        <f>SDXC!BS8+Rev!BW290</f>
        <v>44.442999999999998</v>
      </c>
      <c r="S12" s="26">
        <f>SDXC!BT8+Rev!BX290</f>
        <v>45.921999999999997</v>
      </c>
      <c r="T12" s="26">
        <f>SDXC!BU8+Rev!BY290</f>
        <v>49.886000000000003</v>
      </c>
    </row>
    <row r="13" spans="1:20">
      <c r="C13" s="15" t="s">
        <v>1536</v>
      </c>
      <c r="D13" s="821">
        <f t="shared" ref="D13:T13" si="5">D12/D10*1000000/3*D11</f>
        <v>427.94994773412043</v>
      </c>
      <c r="E13" s="821">
        <f t="shared" si="5"/>
        <v>416.82514983863535</v>
      </c>
      <c r="F13" s="821">
        <f t="shared" si="5"/>
        <v>405.7509292161908</v>
      </c>
      <c r="G13" s="821">
        <f t="shared" si="5"/>
        <v>402.88167399295645</v>
      </c>
      <c r="H13" s="821">
        <f t="shared" si="5"/>
        <v>410.51738761662426</v>
      </c>
      <c r="I13" s="821">
        <f t="shared" si="5"/>
        <v>403.26455045054547</v>
      </c>
      <c r="J13" s="821">
        <f t="shared" si="5"/>
        <v>408.59809236258837</v>
      </c>
      <c r="K13" s="821">
        <f t="shared" si="5"/>
        <v>404.79550239663126</v>
      </c>
      <c r="L13" s="821">
        <f t="shared" si="5"/>
        <v>402.86531089597821</v>
      </c>
      <c r="M13" s="821">
        <f t="shared" si="5"/>
        <v>404.7056318535079</v>
      </c>
      <c r="N13" s="821">
        <f t="shared" si="5"/>
        <v>404.88173646493505</v>
      </c>
      <c r="O13" s="821">
        <f t="shared" si="5"/>
        <v>414.22714227142274</v>
      </c>
      <c r="P13" s="821">
        <f t="shared" si="5"/>
        <v>413.80046713380057</v>
      </c>
      <c r="Q13" s="821">
        <f t="shared" si="5"/>
        <v>415.20710059171591</v>
      </c>
      <c r="R13" s="821">
        <f t="shared" si="5"/>
        <v>425.69923371647513</v>
      </c>
      <c r="S13" s="821">
        <f t="shared" si="5"/>
        <v>415.41829497756549</v>
      </c>
      <c r="T13" s="821" t="e">
        <f t="shared" si="5"/>
        <v>#DIV/0!</v>
      </c>
    </row>
    <row r="14" spans="1:20">
      <c r="C14" s="15" t="s">
        <v>1533</v>
      </c>
      <c r="D14" s="821"/>
      <c r="E14" s="768">
        <f t="shared" ref="E14:T14" si="6">E13/D13-1</f>
        <v>-2.5995558486191839E-2</v>
      </c>
      <c r="F14" s="768">
        <f t="shared" si="6"/>
        <v>-2.6568024090512954E-2</v>
      </c>
      <c r="G14" s="768">
        <f t="shared" si="6"/>
        <v>-7.0714692601616669E-3</v>
      </c>
      <c r="H14" s="768">
        <f t="shared" si="6"/>
        <v>1.895274497842081E-2</v>
      </c>
      <c r="I14" s="768">
        <f t="shared" si="6"/>
        <v>-1.7667551691749828E-2</v>
      </c>
      <c r="J14" s="768">
        <f t="shared" si="6"/>
        <v>1.3225913128451339E-2</v>
      </c>
      <c r="K14" s="768">
        <f t="shared" si="6"/>
        <v>-9.3064310309669551E-3</v>
      </c>
      <c r="L14" s="768">
        <f t="shared" si="6"/>
        <v>-4.7683126151975008E-3</v>
      </c>
      <c r="M14" s="768">
        <f t="shared" si="6"/>
        <v>4.5680799705409836E-3</v>
      </c>
      <c r="N14" s="768">
        <f t="shared" si="6"/>
        <v>4.3514247780684912E-4</v>
      </c>
      <c r="O14" s="768">
        <f t="shared" si="6"/>
        <v>2.3081816157190627E-2</v>
      </c>
      <c r="P14" s="768">
        <f t="shared" si="6"/>
        <v>-1.0300511339804697E-3</v>
      </c>
      <c r="Q14" s="768">
        <f t="shared" si="6"/>
        <v>3.3993036974038215E-3</v>
      </c>
      <c r="R14" s="768">
        <f t="shared" si="6"/>
        <v>2.5269637994645988E-2</v>
      </c>
      <c r="S14" s="768">
        <f t="shared" si="6"/>
        <v>-2.4150709995773623E-2</v>
      </c>
      <c r="T14" s="768" t="e">
        <f t="shared" si="6"/>
        <v>#DIV/0!</v>
      </c>
    </row>
    <row r="15" spans="1:20">
      <c r="C15" s="15" t="s">
        <v>53</v>
      </c>
      <c r="D15" s="26">
        <f>Rev!BI291+Rev!BI292</f>
        <v>0.89999999999999991</v>
      </c>
      <c r="E15" s="26">
        <f>Rev!BJ291+Rev!BJ292</f>
        <v>0.90300000000000002</v>
      </c>
      <c r="F15" s="26">
        <f>Rev!BK291+Rev!BK292</f>
        <v>0.71399999999999997</v>
      </c>
      <c r="G15" s="26">
        <f>Rev!BL291+Rev!BL292</f>
        <v>0.80200000000000005</v>
      </c>
      <c r="H15" s="26">
        <f>Rev!BM291+Rev!BM292</f>
        <v>0.62</v>
      </c>
      <c r="I15" s="26">
        <f>Rev!BN291+Rev!BN292</f>
        <v>0.67800000000000005</v>
      </c>
      <c r="J15" s="26">
        <f>Rev!BO291+Rev!BO292</f>
        <v>0.67800000000000005</v>
      </c>
      <c r="K15" s="26">
        <f>Rev!BP291+Rev!BP292</f>
        <v>0.73</v>
      </c>
      <c r="L15" s="26">
        <f>Rev!BQ291+Rev!BQ292</f>
        <v>0.64</v>
      </c>
      <c r="M15" s="26">
        <f>Rev!BR291+Rev!BR292</f>
        <v>0.65200000000000002</v>
      </c>
      <c r="N15" s="26">
        <f>Rev!BS291+Rev!BS292</f>
        <v>0.66100000000000003</v>
      </c>
      <c r="O15" s="26">
        <f>Rev!BT291+Rev!BT292</f>
        <v>0.72100000000000009</v>
      </c>
      <c r="P15" s="26">
        <f>Rev!BU291+Rev!BU292</f>
        <v>1.153</v>
      </c>
      <c r="Q15" s="26">
        <f>Rev!BV291+Rev!BV292</f>
        <v>1.341</v>
      </c>
      <c r="R15" s="26">
        <f>Rev!BW291+Rev!BW292</f>
        <v>1.421</v>
      </c>
      <c r="S15" s="26">
        <f>Rev!BX291+Rev!BX292</f>
        <v>1.2709999999999999</v>
      </c>
      <c r="T15" s="26">
        <f>Rev!BY291+Rev!BY292</f>
        <v>7.4729999999999999</v>
      </c>
    </row>
    <row r="16" spans="1:20">
      <c r="C16" s="15" t="s">
        <v>54</v>
      </c>
      <c r="D16" s="821">
        <f t="shared" ref="D16:T16" si="7">D15/D6</f>
        <v>4.1505257332595455E-5</v>
      </c>
      <c r="E16" s="821">
        <f t="shared" si="7"/>
        <v>3.9030082987551866E-5</v>
      </c>
      <c r="F16" s="821">
        <f t="shared" si="7"/>
        <v>2.9163092758240411E-5</v>
      </c>
      <c r="G16" s="821">
        <f t="shared" si="7"/>
        <v>3.0924654893190408E-5</v>
      </c>
      <c r="H16" s="821">
        <f t="shared" si="7"/>
        <v>2.2863886123096213E-5</v>
      </c>
      <c r="I16" s="821">
        <f t="shared" si="7"/>
        <v>2.3833796182374241E-5</v>
      </c>
      <c r="J16" s="821">
        <f t="shared" si="7"/>
        <v>2.3262197214025941E-5</v>
      </c>
      <c r="K16" s="821">
        <f t="shared" si="7"/>
        <v>2.4526273350356133E-5</v>
      </c>
      <c r="L16" s="821">
        <f t="shared" si="7"/>
        <v>2.0791371580793971E-5</v>
      </c>
      <c r="M16" s="821">
        <f t="shared" si="7"/>
        <v>2.0824017885659536E-5</v>
      </c>
      <c r="N16" s="821">
        <f t="shared" si="7"/>
        <v>2.0535603330433704E-5</v>
      </c>
      <c r="O16" s="821">
        <f t="shared" si="7"/>
        <v>2.2170971709717101E-5</v>
      </c>
      <c r="P16" s="821">
        <f t="shared" si="7"/>
        <v>3.4624624624624626E-5</v>
      </c>
      <c r="Q16" s="821">
        <f t="shared" si="7"/>
        <v>3.9674556213017749E-5</v>
      </c>
      <c r="R16" s="821">
        <f t="shared" si="7"/>
        <v>4.0833333333333334E-5</v>
      </c>
      <c r="S16" s="821">
        <f t="shared" si="7"/>
        <v>3.4493052540164998E-5</v>
      </c>
      <c r="T16" s="821" t="e">
        <f t="shared" si="7"/>
        <v>#DIV/0!</v>
      </c>
    </row>
    <row r="17" spans="3:20">
      <c r="C17" s="15" t="s">
        <v>1535</v>
      </c>
      <c r="D17" s="821">
        <f t="shared" ref="D17:T17" si="8">D8-D13-D16</f>
        <v>1218.0562826661749</v>
      </c>
      <c r="E17" s="821">
        <f t="shared" si="8"/>
        <v>1226.8902329846705</v>
      </c>
      <c r="F17" s="821">
        <f t="shared" si="8"/>
        <v>1251.2899815926696</v>
      </c>
      <c r="G17" s="821">
        <f t="shared" si="8"/>
        <v>1302.4215006555103</v>
      </c>
      <c r="H17" s="821">
        <f t="shared" si="8"/>
        <v>1339.9466280684931</v>
      </c>
      <c r="I17" s="821">
        <f t="shared" si="8"/>
        <v>1367.9942579299513</v>
      </c>
      <c r="J17" s="821">
        <f t="shared" si="8"/>
        <v>1414.3621533658131</v>
      </c>
      <c r="K17" s="821">
        <f t="shared" si="8"/>
        <v>1443.2759688437939</v>
      </c>
      <c r="L17" s="821">
        <f t="shared" si="8"/>
        <v>1460.0415619517901</v>
      </c>
      <c r="M17" s="821">
        <f t="shared" si="8"/>
        <v>1511.402087128713</v>
      </c>
      <c r="N17" s="821">
        <f t="shared" si="8"/>
        <v>1562.8287769458595</v>
      </c>
      <c r="O17" s="821">
        <f t="shared" si="8"/>
        <v>1607.1750495797453</v>
      </c>
      <c r="P17" s="821">
        <f t="shared" si="8"/>
        <v>1624.177476219553</v>
      </c>
      <c r="Q17" s="821">
        <f t="shared" si="8"/>
        <v>1637.0216565779092</v>
      </c>
      <c r="R17" s="821">
        <f t="shared" si="8"/>
        <v>1608.2183499712644</v>
      </c>
      <c r="S17" s="821">
        <f t="shared" si="8"/>
        <v>1605.396911519395</v>
      </c>
      <c r="T17" s="821" t="e">
        <f t="shared" si="8"/>
        <v>#DIV/0!</v>
      </c>
    </row>
    <row r="18" spans="3:20">
      <c r="C18" s="15" t="s">
        <v>1532</v>
      </c>
      <c r="D18" s="765"/>
      <c r="E18" s="38">
        <f t="shared" ref="E18:T18" si="9">E17/D17-1</f>
        <v>7.2524976425221155E-3</v>
      </c>
      <c r="F18" s="38">
        <f t="shared" si="9"/>
        <v>1.9887474813978789E-2</v>
      </c>
      <c r="G18" s="38">
        <f t="shared" si="9"/>
        <v>4.0863045189380776E-2</v>
      </c>
      <c r="H18" s="38">
        <f t="shared" si="9"/>
        <v>2.8811815064551993E-2</v>
      </c>
      <c r="I18" s="38">
        <f t="shared" si="9"/>
        <v>2.0931900774203482E-2</v>
      </c>
      <c r="J18" s="38">
        <f t="shared" si="9"/>
        <v>3.3894802677041591E-2</v>
      </c>
      <c r="K18" s="38">
        <f t="shared" si="9"/>
        <v>2.0443007053867701E-2</v>
      </c>
      <c r="L18" s="38">
        <f t="shared" si="9"/>
        <v>1.1616346055721483E-2</v>
      </c>
      <c r="M18" s="38">
        <f t="shared" si="9"/>
        <v>3.5177440502627944E-2</v>
      </c>
      <c r="N18" s="38">
        <f t="shared" si="9"/>
        <v>3.4025816329818825E-2</v>
      </c>
      <c r="O18" s="38">
        <f t="shared" si="9"/>
        <v>2.8375643760891744E-2</v>
      </c>
      <c r="P18" s="38">
        <f t="shared" si="9"/>
        <v>1.0579075779115321E-2</v>
      </c>
      <c r="Q18" s="38">
        <f t="shared" si="9"/>
        <v>7.9081138277157237E-3</v>
      </c>
      <c r="R18" s="38">
        <f t="shared" si="9"/>
        <v>-1.7594945363677339E-2</v>
      </c>
      <c r="S18" s="38">
        <f t="shared" si="9"/>
        <v>-1.7543876749819276E-3</v>
      </c>
      <c r="T18" s="38" t="e">
        <f t="shared" si="9"/>
        <v>#DIV/0!</v>
      </c>
    </row>
    <row r="19" spans="3:20">
      <c r="C19" s="15"/>
      <c r="D19" s="826"/>
      <c r="E19" s="826"/>
      <c r="F19" s="826"/>
      <c r="G19" s="826"/>
      <c r="H19" s="826"/>
      <c r="I19" s="826"/>
      <c r="J19" s="826"/>
      <c r="K19" s="826"/>
      <c r="L19" s="826"/>
      <c r="M19" s="826"/>
      <c r="N19" s="826"/>
      <c r="O19" s="826"/>
      <c r="P19" s="826">
        <f>Rev!BU274</f>
        <v>2051</v>
      </c>
      <c r="Q19" s="826">
        <f>Rev!BV274</f>
        <v>2059</v>
      </c>
      <c r="R19" s="826">
        <f>Rev!BW274</f>
        <v>2056</v>
      </c>
      <c r="S19" s="826">
        <f>Rev!BX274</f>
        <v>2080</v>
      </c>
      <c r="T19" s="826">
        <f>Rev!BY274</f>
        <v>2100</v>
      </c>
    </row>
    <row r="20" spans="3:20">
      <c r="C20" s="15"/>
      <c r="D20" s="826"/>
      <c r="E20" s="826"/>
      <c r="F20" s="826"/>
      <c r="G20" s="826"/>
      <c r="H20" s="826"/>
      <c r="I20" s="826"/>
      <c r="J20" s="826"/>
      <c r="K20" s="826"/>
      <c r="L20" s="826"/>
      <c r="M20" s="826"/>
      <c r="N20" s="826"/>
      <c r="O20" s="826"/>
      <c r="P20" s="826"/>
      <c r="Q20" s="826"/>
      <c r="R20" s="826"/>
      <c r="S20" s="826"/>
      <c r="T20" s="826"/>
    </row>
    <row r="21" spans="3:20">
      <c r="C21" s="15" t="s">
        <v>9</v>
      </c>
      <c r="D21" s="826"/>
      <c r="E21" s="826"/>
      <c r="F21" s="826"/>
      <c r="G21" s="826"/>
      <c r="H21" s="826"/>
      <c r="I21" s="826"/>
      <c r="J21" s="826"/>
      <c r="K21" s="826"/>
      <c r="L21" s="826"/>
      <c r="M21" s="826"/>
      <c r="N21" s="826"/>
      <c r="O21" s="826"/>
      <c r="P21" s="826"/>
      <c r="Q21" s="826"/>
      <c r="R21" s="826"/>
      <c r="S21" s="826"/>
      <c r="T21" s="826"/>
    </row>
    <row r="22" spans="3:20">
      <c r="C22" s="15" t="s">
        <v>148</v>
      </c>
      <c r="E22" s="826"/>
      <c r="F22" s="826"/>
      <c r="G22" s="826"/>
      <c r="H22" s="826"/>
      <c r="I22" s="826"/>
      <c r="J22" s="826"/>
      <c r="K22" s="826"/>
      <c r="L22" s="826"/>
      <c r="M22" s="826"/>
      <c r="N22" s="826"/>
      <c r="O22" s="826"/>
      <c r="P22" s="826">
        <v>33300</v>
      </c>
      <c r="Q22" s="826">
        <v>33900</v>
      </c>
      <c r="R22" s="826">
        <v>34800</v>
      </c>
      <c r="S22" s="826">
        <v>36800</v>
      </c>
      <c r="T22" s="826">
        <v>37300</v>
      </c>
    </row>
    <row r="23" spans="3:20">
      <c r="C23" s="15" t="s">
        <v>1225</v>
      </c>
      <c r="E23" s="826"/>
      <c r="F23" s="826"/>
      <c r="G23" s="826"/>
      <c r="H23" s="826"/>
      <c r="I23" s="826"/>
      <c r="J23" s="826"/>
      <c r="K23" s="826"/>
      <c r="L23" s="826"/>
      <c r="M23" s="826"/>
      <c r="N23" s="826"/>
      <c r="O23" s="826"/>
      <c r="P23" s="826">
        <v>19800</v>
      </c>
      <c r="Q23" s="826">
        <v>19800</v>
      </c>
      <c r="R23" s="826">
        <v>20800</v>
      </c>
      <c r="S23" s="826">
        <v>21700</v>
      </c>
      <c r="T23" s="826">
        <v>22400</v>
      </c>
    </row>
    <row r="24" spans="3:20">
      <c r="C24" s="15" t="s">
        <v>248</v>
      </c>
      <c r="E24" s="826"/>
      <c r="F24" s="826"/>
      <c r="G24" s="826"/>
      <c r="H24" s="826"/>
      <c r="I24" s="826"/>
      <c r="J24" s="826"/>
      <c r="K24" s="826"/>
      <c r="L24" s="826"/>
      <c r="M24" s="826"/>
      <c r="N24" s="826"/>
      <c r="O24" s="826"/>
      <c r="P24" s="826">
        <v>7900</v>
      </c>
      <c r="Q24" s="826">
        <v>8000</v>
      </c>
      <c r="R24" s="826">
        <v>8300</v>
      </c>
      <c r="S24" s="826">
        <v>8600</v>
      </c>
      <c r="T24" s="826">
        <v>9300</v>
      </c>
    </row>
    <row r="25" spans="3:20">
      <c r="C25" s="15" t="s">
        <v>1575</v>
      </c>
      <c r="E25" s="826"/>
      <c r="F25" s="826"/>
      <c r="G25" s="826"/>
      <c r="H25" s="826"/>
      <c r="I25" s="826"/>
      <c r="J25" s="826"/>
      <c r="K25" s="826"/>
      <c r="L25" s="826"/>
      <c r="M25" s="826"/>
      <c r="N25" s="826"/>
      <c r="O25" s="826"/>
      <c r="P25" s="15"/>
      <c r="Q25" s="15"/>
      <c r="R25" s="15"/>
      <c r="S25" s="15"/>
      <c r="T25" s="15"/>
    </row>
    <row r="26" spans="3:20">
      <c r="C26" s="15"/>
      <c r="E26" s="826"/>
      <c r="F26" s="826"/>
      <c r="G26" s="826"/>
      <c r="H26" s="826"/>
      <c r="I26" s="826"/>
      <c r="J26" s="826"/>
      <c r="K26" s="826"/>
      <c r="L26" s="826"/>
      <c r="M26" s="826"/>
      <c r="N26" s="826"/>
      <c r="O26" s="826"/>
      <c r="P26" s="826"/>
      <c r="Q26" s="826"/>
      <c r="R26" s="826"/>
      <c r="S26" s="826"/>
      <c r="T26" s="826"/>
    </row>
    <row r="27" spans="3:20">
      <c r="C27" s="15" t="s">
        <v>148</v>
      </c>
      <c r="E27" s="826"/>
      <c r="F27" s="826"/>
      <c r="G27" s="826"/>
      <c r="H27" s="826"/>
      <c r="I27" s="826"/>
      <c r="J27" s="826"/>
      <c r="K27" s="826"/>
      <c r="L27" s="826"/>
      <c r="M27" s="826"/>
      <c r="N27" s="826"/>
      <c r="O27" s="826"/>
      <c r="P27" s="826"/>
      <c r="Q27" s="826">
        <f t="shared" ref="Q27:T29" si="10">+Q22-P22</f>
        <v>600</v>
      </c>
      <c r="R27" s="826">
        <f t="shared" si="10"/>
        <v>900</v>
      </c>
      <c r="S27" s="826">
        <f t="shared" si="10"/>
        <v>2000</v>
      </c>
      <c r="T27" s="826">
        <f t="shared" si="10"/>
        <v>500</v>
      </c>
    </row>
    <row r="28" spans="3:20">
      <c r="C28" s="15" t="s">
        <v>1225</v>
      </c>
      <c r="E28" s="826"/>
      <c r="F28" s="826"/>
      <c r="G28" s="826"/>
      <c r="H28" s="826"/>
      <c r="I28" s="826"/>
      <c r="J28" s="826"/>
      <c r="K28" s="826"/>
      <c r="L28" s="826"/>
      <c r="M28" s="826"/>
      <c r="N28" s="826"/>
      <c r="O28" s="826"/>
      <c r="P28" s="826"/>
      <c r="Q28" s="826">
        <f t="shared" si="10"/>
        <v>0</v>
      </c>
      <c r="R28" s="826">
        <f t="shared" si="10"/>
        <v>1000</v>
      </c>
      <c r="S28" s="826">
        <f t="shared" si="10"/>
        <v>900</v>
      </c>
      <c r="T28" s="826">
        <f t="shared" si="10"/>
        <v>700</v>
      </c>
    </row>
    <row r="29" spans="3:20">
      <c r="C29" s="15" t="s">
        <v>248</v>
      </c>
      <c r="E29" s="15"/>
      <c r="F29" s="821"/>
      <c r="G29" s="821"/>
      <c r="H29" s="821"/>
      <c r="I29" s="821"/>
      <c r="J29" s="821"/>
      <c r="K29" s="821"/>
      <c r="L29" s="826"/>
      <c r="M29" s="821"/>
      <c r="N29" s="821"/>
      <c r="O29" s="821"/>
      <c r="P29" s="821"/>
      <c r="Q29" s="826">
        <f t="shared" si="10"/>
        <v>100</v>
      </c>
      <c r="R29" s="826">
        <f t="shared" si="10"/>
        <v>300</v>
      </c>
      <c r="S29" s="826">
        <f t="shared" si="10"/>
        <v>300</v>
      </c>
      <c r="T29" s="826">
        <f t="shared" si="10"/>
        <v>700</v>
      </c>
    </row>
    <row r="30" spans="3:20">
      <c r="C30" s="15" t="s">
        <v>1575</v>
      </c>
      <c r="E30" s="15"/>
      <c r="F30" s="15"/>
      <c r="G30" s="15"/>
      <c r="H30" s="15"/>
      <c r="I30" s="15"/>
      <c r="J30" s="15"/>
      <c r="K30" s="15"/>
      <c r="L30" s="826"/>
      <c r="M30" s="15"/>
      <c r="N30" s="15"/>
      <c r="O30" s="15"/>
      <c r="P30" s="15"/>
      <c r="Q30" s="1082">
        <f>SUM(Q27:Q29)</f>
        <v>700</v>
      </c>
      <c r="R30" s="1082">
        <f>SUM(R27:R29)</f>
        <v>2200</v>
      </c>
      <c r="S30" s="1082">
        <f>SUM(S27:S29)</f>
        <v>3200</v>
      </c>
      <c r="T30" s="1082">
        <f>SUM(T27:T29)</f>
        <v>1900</v>
      </c>
    </row>
    <row r="38" spans="16:21">
      <c r="P38" t="s">
        <v>249</v>
      </c>
      <c r="Q38" s="88">
        <v>0.8</v>
      </c>
      <c r="R38" s="88">
        <v>0.7</v>
      </c>
      <c r="S38" s="88">
        <v>0.85</v>
      </c>
    </row>
    <row r="39" spans="16:21">
      <c r="P39" t="s">
        <v>252</v>
      </c>
      <c r="Q39" s="88">
        <v>0.78</v>
      </c>
      <c r="R39" s="88">
        <v>0.7</v>
      </c>
      <c r="S39" s="88">
        <v>0.83</v>
      </c>
    </row>
    <row r="40" spans="16:21">
      <c r="P40" t="s">
        <v>1466</v>
      </c>
      <c r="Q40" s="88">
        <v>0.77</v>
      </c>
      <c r="R40" s="88">
        <v>0.7</v>
      </c>
      <c r="S40" s="88">
        <v>0.77</v>
      </c>
    </row>
    <row r="41" spans="16:21">
      <c r="P41" t="s">
        <v>1378</v>
      </c>
      <c r="Q41" s="88">
        <v>0.77</v>
      </c>
      <c r="R41" s="88">
        <v>0.74</v>
      </c>
      <c r="S41" s="88">
        <v>0.79</v>
      </c>
    </row>
    <row r="42" spans="16:21">
      <c r="P42" t="s">
        <v>1791</v>
      </c>
      <c r="Q42" s="88">
        <v>0.8</v>
      </c>
      <c r="R42" s="88">
        <v>0.77</v>
      </c>
      <c r="S42" s="88">
        <v>0.81</v>
      </c>
    </row>
    <row r="43" spans="16:21">
      <c r="P43" t="s">
        <v>638</v>
      </c>
      <c r="Q43" s="88">
        <v>0.80500000000000005</v>
      </c>
      <c r="R43" s="88">
        <v>0.76</v>
      </c>
      <c r="S43" s="88">
        <v>0.78500000000000003</v>
      </c>
    </row>
    <row r="44" spans="16:21">
      <c r="P44" t="s">
        <v>986</v>
      </c>
      <c r="Q44" s="88">
        <v>0.79</v>
      </c>
      <c r="R44" s="88">
        <v>0.76500000000000001</v>
      </c>
      <c r="S44" s="88">
        <v>0.82</v>
      </c>
    </row>
    <row r="46" spans="16:21">
      <c r="Q46" s="88"/>
      <c r="R46" s="88"/>
      <c r="S46" s="88"/>
      <c r="T46" s="88"/>
      <c r="U46" s="88"/>
    </row>
  </sheetData>
  <phoneticPr fontId="2" type="noConversion"/>
  <pageMargins left="0.75" right="0.75" top="1" bottom="1" header="0.5" footer="0.5"/>
  <pageSetup orientation="portrait" r:id="rId1"/>
  <headerFooter alignWithMargins="0"/>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2"/>
  <sheetViews>
    <sheetView workbookViewId="0"/>
  </sheetViews>
  <sheetFormatPr defaultRowHeight="12.75"/>
  <sheetData>
    <row r="1" spans="1:14">
      <c r="A1" t="s">
        <v>74</v>
      </c>
    </row>
    <row r="2" spans="1:14">
      <c r="A2" s="7" t="s">
        <v>142</v>
      </c>
      <c r="B2" s="7" t="s">
        <v>1883</v>
      </c>
      <c r="C2" s="7" t="s">
        <v>71</v>
      </c>
      <c r="D2" s="7" t="s">
        <v>981</v>
      </c>
      <c r="E2" s="7" t="s">
        <v>72</v>
      </c>
      <c r="F2" s="7" t="s">
        <v>981</v>
      </c>
      <c r="G2" s="7" t="s">
        <v>70</v>
      </c>
      <c r="H2" s="7" t="s">
        <v>981</v>
      </c>
      <c r="I2" s="7" t="s">
        <v>140</v>
      </c>
      <c r="J2" s="7" t="s">
        <v>2727</v>
      </c>
      <c r="K2" s="7" t="s">
        <v>141</v>
      </c>
      <c r="L2" s="7" t="s">
        <v>1717</v>
      </c>
      <c r="M2" s="7" t="s">
        <v>73</v>
      </c>
      <c r="N2" s="7" t="s">
        <v>981</v>
      </c>
    </row>
  </sheetData>
  <phoneticPr fontId="2" type="noConversion"/>
  <pageMargins left="0.75" right="0.75" top="1" bottom="1" header="0.5" footer="0.5"/>
  <pageSetup orientation="portrait" r:id="rId1"/>
  <headerFooter alignWithMargins="0"/>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1"/>
  <sheetViews>
    <sheetView workbookViewId="0"/>
  </sheetViews>
  <sheetFormatPr defaultRowHeight="12.75"/>
  <sheetData>
    <row r="1" spans="1:2">
      <c r="B1" t="s">
        <v>594</v>
      </c>
    </row>
  </sheetData>
  <phoneticPr fontId="2" type="noConversion"/>
  <pageMargins left="0.75" right="0.75" top="1" bottom="1" header="0.5" footer="0.5"/>
  <pageSetup orientation="portrait" r:id="rId1"/>
  <headerFooter alignWithMargins="0"/>
  <legacyDrawing r:id="rId2"/>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Links xmlns:lk="thomsonreuters.linking.metadata"/>
</file>

<file path=customXml/item2.xml><?xml version="1.0" encoding="utf-8"?>
<lkmtd:Metadata xmlns:lkmtd="thomsonreuters.linking.metadatachange">
  <MetadataChanged>0</MetadataChanged>
</lkmtd:Metadata>
</file>

<file path=customXml/itemProps1.xml><?xml version="1.0" encoding="utf-8"?>
<ds:datastoreItem xmlns:ds="http://schemas.openxmlformats.org/officeDocument/2006/customXml" ds:itemID="{F3D686BC-554A-4792-875E-3539A15DDBE4}">
  <ds:schemaRefs>
    <ds:schemaRef ds:uri="thomsonreuters.linking.metadata"/>
  </ds:schemaRefs>
</ds:datastoreItem>
</file>

<file path=customXml/itemProps2.xml><?xml version="1.0" encoding="utf-8"?>
<ds:datastoreItem xmlns:ds="http://schemas.openxmlformats.org/officeDocument/2006/customXml" ds:itemID="{067FBD76-435D-45B4-9F5F-4D2768494996}">
  <ds:schemaRefs>
    <ds:schemaRef ds:uri="thomsonreuters.linking.metadatachang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283</vt:i4>
      </vt:variant>
    </vt:vector>
  </HeadingPairs>
  <TitlesOfParts>
    <vt:vector size="316" baseType="lpstr">
      <vt:lpstr>MWA ROE - Qtr</vt:lpstr>
      <vt:lpstr>Capex Tracking</vt:lpstr>
      <vt:lpstr>Capex</vt:lpstr>
      <vt:lpstr>Stats</vt:lpstr>
      <vt:lpstr>MWA ROE - Annual</vt:lpstr>
      <vt:lpstr>SDXC</vt:lpstr>
      <vt:lpstr>Illustrative</vt:lpstr>
      <vt:lpstr>Charts - Qtr</vt:lpstr>
      <vt:lpstr>Q - old</vt:lpstr>
      <vt:lpstr>Estimate Changes</vt:lpstr>
      <vt:lpstr>Guidance</vt:lpstr>
      <vt:lpstr>Charts - Annual</vt:lpstr>
      <vt:lpstr>FX</vt:lpstr>
      <vt:lpstr>Q</vt:lpstr>
      <vt:lpstr>ImportantDisclosures</vt:lpstr>
      <vt:lpstr>CircularReferenceAlert</vt:lpstr>
      <vt:lpstr>Rev</vt:lpstr>
      <vt:lpstr>IS</vt:lpstr>
      <vt:lpstr>BS</vt:lpstr>
      <vt:lpstr>CF</vt:lpstr>
      <vt:lpstr>Lease</vt:lpstr>
      <vt:lpstr>FFO-AFFO</vt:lpstr>
      <vt:lpstr>Metrics</vt:lpstr>
      <vt:lpstr>Capital</vt:lpstr>
      <vt:lpstr>Valuation - REIT</vt:lpstr>
      <vt:lpstr>IndexInformation</vt:lpstr>
      <vt:lpstr>ModPubIndex</vt:lpstr>
      <vt:lpstr>TCY</vt:lpstr>
      <vt:lpstr>Peering</vt:lpstr>
      <vt:lpstr>Valuation</vt:lpstr>
      <vt:lpstr>Consensus</vt:lpstr>
      <vt:lpstr>Link</vt:lpstr>
      <vt:lpstr>Sheet1</vt:lpstr>
      <vt:lpstr>'MWA ROE - Qtr'!_Exp1</vt:lpstr>
      <vt:lpstr>_Exp1</vt:lpstr>
      <vt:lpstr>'MWA ROE - Qtr'!_Exp2</vt:lpstr>
      <vt:lpstr>_Exp2</vt:lpstr>
      <vt:lpstr>'MWA ROE - Qtr'!_Exp3</vt:lpstr>
      <vt:lpstr>_Exp3</vt:lpstr>
      <vt:lpstr>'MWA ROE - Qtr'!_Exp4</vt:lpstr>
      <vt:lpstr>_Exp4</vt:lpstr>
      <vt:lpstr>'MWA ROE - Qtr'!_Exp5</vt:lpstr>
      <vt:lpstr>_Exp5</vt:lpstr>
      <vt:lpstr>'MWA ROE - Qtr'!_Exp6</vt:lpstr>
      <vt:lpstr>_Exp6</vt:lpstr>
      <vt:lpstr>'MWA ROE - Qtr'!_Exp7</vt:lpstr>
      <vt:lpstr>_Exp7</vt:lpstr>
      <vt:lpstr>'MWA ROE - Qtr'!_Exp8</vt:lpstr>
      <vt:lpstr>_Exp8</vt:lpstr>
      <vt:lpstr>AdditionalInstructions</vt:lpstr>
      <vt:lpstr>ImportantDisclosures!Address</vt:lpstr>
      <vt:lpstr>ModPubIndex!ANA</vt:lpstr>
      <vt:lpstr>ImportantDisclosures!Authors</vt:lpstr>
      <vt:lpstr>IndexInformation!Authors</vt:lpstr>
      <vt:lpstr>ModPubIndex!BRO</vt:lpstr>
      <vt:lpstr>CircularReferenceAlert!Buttons</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vt:lpstr>
      <vt:lpstr>Linking_10</vt:lpstr>
      <vt:lpstr>Linking_11</vt:lpstr>
      <vt:lpstr>Linking_13</vt:lpstr>
      <vt:lpstr>Linking_14</vt:lpstr>
      <vt:lpstr>Linking_15</vt:lpstr>
      <vt:lpstr>Linking_16</vt:lpstr>
      <vt:lpstr>Linking_17</vt:lpstr>
      <vt:lpstr>Linking_18</vt:lpstr>
      <vt:lpstr>Linking_19</vt:lpstr>
      <vt:lpstr>Linking_2</vt:lpstr>
      <vt:lpstr>Linking_20</vt:lpstr>
      <vt:lpstr>Linking_21</vt:lpstr>
      <vt:lpstr>Linking_22</vt:lpstr>
      <vt:lpstr>Linking_23</vt:lpstr>
      <vt:lpstr>Linking_24</vt:lpstr>
      <vt:lpstr>Linking_25</vt:lpstr>
      <vt:lpstr>Linking_26</vt:lpstr>
      <vt:lpstr>Linking_27</vt:lpstr>
      <vt:lpstr>Linking_28</vt:lpstr>
      <vt:lpstr>Linking_29</vt:lpstr>
      <vt:lpstr>Linking_3</vt:lpstr>
      <vt:lpstr>Linking_30</vt:lpstr>
      <vt:lpstr>Linking_31</vt:lpstr>
      <vt:lpstr>Linking_32</vt:lpstr>
      <vt:lpstr>Linking_33</vt:lpstr>
      <vt:lpstr>Linking_34</vt:lpstr>
      <vt:lpstr>Linking_35</vt:lpstr>
      <vt:lpstr>Linking_36</vt:lpstr>
      <vt:lpstr>Linking_37</vt:lpstr>
      <vt:lpstr>Linking_38</vt:lpstr>
      <vt:lpstr>Linking_39</vt:lpstr>
      <vt:lpstr>Linking_4</vt:lpstr>
      <vt:lpstr>Linking_40</vt:lpstr>
      <vt:lpstr>Linking_41</vt:lpstr>
      <vt:lpstr>Linking_42</vt:lpstr>
      <vt:lpstr>Linking_43</vt:lpstr>
      <vt:lpstr>Linking_44</vt:lpstr>
      <vt:lpstr>Linking_45</vt:lpstr>
      <vt:lpstr>Linking_5</vt:lpstr>
      <vt:lpstr>Linking_6</vt:lpstr>
      <vt:lpstr>Linking_7</vt:lpstr>
      <vt:lpstr>Linking_8</vt:lpstr>
      <vt:lpstr>Linking_9</vt:lpstr>
      <vt:lpstr>Linking_Range_0001</vt:lpstr>
      <vt:lpstr>Linking_Range_1</vt:lpstr>
      <vt:lpstr>Linking_Range_10</vt:lpstr>
      <vt:lpstr>Linking_Range_100</vt:lpstr>
      <vt:lpstr>Linking_Range_101</vt:lpstr>
      <vt:lpstr>Linking_Range_102</vt:lpstr>
      <vt:lpstr>Linking_Range_103</vt:lpstr>
      <vt:lpstr>Linking_Range_104</vt:lpstr>
      <vt:lpstr>Linking_Range_105</vt:lpstr>
      <vt:lpstr>Linking_Range_106</vt:lpstr>
      <vt:lpstr>Linking_Range_107</vt:lpstr>
      <vt:lpstr>Linking_Range_108</vt:lpstr>
      <vt:lpstr>Linking_Range_109</vt:lpstr>
      <vt:lpstr>Q!Linking_Range_11</vt:lpstr>
      <vt:lpstr>Linking_Range_11</vt:lpstr>
      <vt:lpstr>Linking_Range_110</vt:lpstr>
      <vt:lpstr>Linking_Range_111</vt:lpstr>
      <vt:lpstr>Linking_Range_112</vt:lpstr>
      <vt:lpstr>Linking_Range_113</vt:lpstr>
      <vt:lpstr>Linking_Range_114</vt:lpstr>
      <vt:lpstr>Linking_Range_115</vt:lpstr>
      <vt:lpstr>Linking_Range_12</vt:lpstr>
      <vt:lpstr>Linking_Range_13</vt:lpstr>
      <vt:lpstr>Linking_Range_14</vt:lpstr>
      <vt:lpstr>Linking_Range_15</vt:lpstr>
      <vt:lpstr>Linking_Range_16</vt:lpstr>
      <vt:lpstr>Linking_Range_17</vt:lpstr>
      <vt:lpstr>Linking_Range_18</vt:lpstr>
      <vt:lpstr>Linking_Range_19</vt:lpstr>
      <vt:lpstr>Linking_Range_2</vt:lpstr>
      <vt:lpstr>Linking_Range_20</vt:lpstr>
      <vt:lpstr>Linking_Range_21</vt:lpstr>
      <vt:lpstr>Linking_Range_22</vt:lpstr>
      <vt:lpstr>Linking_Range_23</vt:lpstr>
      <vt:lpstr>Linking_Range_24</vt:lpstr>
      <vt:lpstr>Linking_Range_25</vt:lpstr>
      <vt:lpstr>Linking_Range_26</vt:lpstr>
      <vt:lpstr>Linking_Range_27</vt:lpstr>
      <vt:lpstr>Linking_Range_28</vt:lpstr>
      <vt:lpstr>Linking_Range_29</vt:lpstr>
      <vt:lpstr>Linking_Range_3</vt:lpstr>
      <vt:lpstr>Linking_Range_30</vt:lpstr>
      <vt:lpstr>Linking_Range_31</vt:lpstr>
      <vt:lpstr>Linking_Range_32</vt:lpstr>
      <vt:lpstr>Linking_Range_33</vt:lpstr>
      <vt:lpstr>Linking_Range_34</vt:lpstr>
      <vt:lpstr>Linking_Range_35</vt:lpstr>
      <vt:lpstr>Linking_Range_36</vt:lpstr>
      <vt:lpstr>Q!Linking_Range_37</vt:lpstr>
      <vt:lpstr>Linking_Range_37</vt:lpstr>
      <vt:lpstr>Q!Linking_Range_38</vt:lpstr>
      <vt:lpstr>Linking_Range_38</vt:lpstr>
      <vt:lpstr>Q!Linking_Range_39</vt:lpstr>
      <vt:lpstr>Linking_Range_39</vt:lpstr>
      <vt:lpstr>Linking_Range_4</vt:lpstr>
      <vt:lpstr>Q!Linking_Range_40</vt:lpstr>
      <vt:lpstr>Linking_Range_40</vt:lpstr>
      <vt:lpstr>Q!Linking_Range_41</vt:lpstr>
      <vt:lpstr>Linking_Range_41</vt:lpstr>
      <vt:lpstr>Linking_Range_42</vt:lpstr>
      <vt:lpstr>Linking_Range_43</vt:lpstr>
      <vt:lpstr>Linking_Range_44</vt:lpstr>
      <vt:lpstr>Linking_Range_46</vt:lpstr>
      <vt:lpstr>Linking_Range_47</vt:lpstr>
      <vt:lpstr>Linking_Range_48</vt:lpstr>
      <vt:lpstr>Linking_Range_49</vt:lpstr>
      <vt:lpstr>Linking_Range_5</vt:lpstr>
      <vt:lpstr>Linking_Range_50</vt:lpstr>
      <vt:lpstr>Linking_Range_51</vt:lpstr>
      <vt:lpstr>Linking_Range_52</vt:lpstr>
      <vt:lpstr>Linking_Range_53</vt:lpstr>
      <vt:lpstr>Linking_Range_54</vt:lpstr>
      <vt:lpstr>Linking_Range_55</vt:lpstr>
      <vt:lpstr>Linking_Range_56</vt:lpstr>
      <vt:lpstr>Linking_Range_57</vt:lpstr>
      <vt:lpstr>Linking_Range_58</vt:lpstr>
      <vt:lpstr>Linking_Range_59</vt:lpstr>
      <vt:lpstr>Linking_Range_6</vt:lpstr>
      <vt:lpstr>Linking_Range_61</vt:lpstr>
      <vt:lpstr>Linking_Range_62</vt:lpstr>
      <vt:lpstr>Linking_Range_64</vt:lpstr>
      <vt:lpstr>Linking_Range_65</vt:lpstr>
      <vt:lpstr>Linking_Range_67</vt:lpstr>
      <vt:lpstr>Linking_Range_68</vt:lpstr>
      <vt:lpstr>Linking_Range_69</vt:lpstr>
      <vt:lpstr>Linking_Range_7</vt:lpstr>
      <vt:lpstr>Linking_Range_70</vt:lpstr>
      <vt:lpstr>Linking_Range_71</vt:lpstr>
      <vt:lpstr>Linking_Range_72</vt:lpstr>
      <vt:lpstr>Linking_Range_73</vt:lpstr>
      <vt:lpstr>Linking_Range_74</vt:lpstr>
      <vt:lpstr>Linking_Range_75</vt:lpstr>
      <vt:lpstr>Linking_Range_76</vt:lpstr>
      <vt:lpstr>Linking_Range_77</vt:lpstr>
      <vt:lpstr>Linking_Range_78</vt:lpstr>
      <vt:lpstr>Linking_Range_79</vt:lpstr>
      <vt:lpstr>Linking_Range_8</vt:lpstr>
      <vt:lpstr>Linking_Range_80</vt:lpstr>
      <vt:lpstr>Linking_Range_81</vt:lpstr>
      <vt:lpstr>Linking_Range_82</vt:lpstr>
      <vt:lpstr>Linking_Range_83</vt:lpstr>
      <vt:lpstr>Linking_Range_84</vt:lpstr>
      <vt:lpstr>Linking_Range_86</vt:lpstr>
      <vt:lpstr>Linking_Range_87</vt:lpstr>
      <vt:lpstr>Linking_Range_88</vt:lpstr>
      <vt:lpstr>Linking_Range_89</vt:lpstr>
      <vt:lpstr>Linking_Range_9</vt:lpstr>
      <vt:lpstr>Linking_Range_90</vt:lpstr>
      <vt:lpstr>Linking_Range_91</vt:lpstr>
      <vt:lpstr>Linking_Range_92</vt:lpstr>
      <vt:lpstr>Linking_Range_93</vt:lpstr>
      <vt:lpstr>Linking_Range_94</vt:lpstr>
      <vt:lpstr>Linking_Range_95</vt:lpstr>
      <vt:lpstr>Linking_Range_96</vt:lpstr>
      <vt:lpstr>Linking_Range_97</vt:lpstr>
      <vt:lpstr>Linking_Range_98</vt:lpstr>
      <vt:lpstr>Linking_Range_99</vt:lpstr>
      <vt:lpstr>IndexInformation!MacroVersion</vt:lpstr>
      <vt:lpstr>CircularReferenceAlert!MaxChange</vt:lpstr>
      <vt:lpstr>CircularReferenceAlert!MaxIterations</vt:lpstr>
      <vt:lpstr>'MWA ROE - Qtr'!MExbrlDates</vt:lpstr>
      <vt:lpstr>MExbrlDates</vt:lpstr>
      <vt:lpstr>mode</vt:lpstr>
      <vt:lpstr>ImportantDisclosures!ModelPrice</vt:lpstr>
      <vt:lpstr>IndexInformation!Multiplier</vt:lpstr>
      <vt:lpstr>'MWA ROE - Annual'!MWxbrlDates</vt:lpstr>
      <vt:lpstr>'MWA ROE - Qtr'!MWxbrlDates</vt:lpstr>
      <vt:lpstr>IndexInformation!NextYearEPS</vt:lpstr>
      <vt:lpstr>IndexInformation!NextYearTotalRevenue</vt:lpstr>
      <vt:lpstr>IndexInformation!NextYearTotalRevenueActual</vt:lpstr>
      <vt:lpstr>ObjectType</vt:lpstr>
      <vt:lpstr>ModPubIndex!PANA</vt:lpstr>
      <vt:lpstr>IndexInformation!PathName</vt:lpstr>
      <vt:lpstr>'MWA ROE - Annual'!PeriodsRange</vt:lpstr>
      <vt:lpstr>'MWA ROE - Qtr'!PeriodsRange</vt:lpstr>
      <vt:lpstr>BS!Print_Area</vt:lpstr>
      <vt:lpstr>CF!Print_Area</vt:lpstr>
      <vt:lpstr>'Charts - Annual'!Print_Area</vt:lpstr>
      <vt:lpstr>IS!Print_Area</vt:lpstr>
      <vt:lpstr>'MWA ROE - Annual'!Print_Area</vt:lpstr>
      <vt:lpstr>'MWA ROE - Qtr'!Print_Area</vt:lpstr>
      <vt:lpstr>Q!Print_Area</vt:lpstr>
      <vt:lpstr>Rev!Print_Area</vt:lpstr>
      <vt:lpstr>Valuation!Print_Area</vt:lpstr>
      <vt:lpstr>'Valuation - REIT'!Print_Area</vt:lpstr>
      <vt:lpstr>Valuation!Print_Titles</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'MWA ROE - Annual'!rngAppName</vt:lpstr>
      <vt:lpstr>'MWA ROE - Qtr'!rngAppName</vt:lpstr>
      <vt:lpstr>'MWA ROE - Annual'!rngCompany</vt:lpstr>
      <vt:lpstr>'MWA ROE - Qtr'!rngCompany</vt:lpstr>
      <vt:lpstr>'MWA ROE - Annual'!rngForecastYears</vt:lpstr>
      <vt:lpstr>'MWA ROE - Qtr'!rngForecastYears</vt:lpstr>
      <vt:lpstr>'MWA ROE - Annual'!rngStartYear</vt:lpstr>
      <vt:lpstr>'MWA ROE - Qtr'!rngStartYear</vt:lpstr>
      <vt:lpstr>'MWA ROE - Annual'!rngTicker</vt:lpstr>
      <vt:lpstr>'MWA ROE - Qtr'!rngTicker</vt:lpstr>
      <vt:lpstr>'MWA ROE - Annual'!rngWACC</vt:lpstr>
      <vt:lpstr>'MWA ROE - Qtr'!rngWACC</vt:lpstr>
      <vt:lpstr>'MWA ROE - Annual'!ROEASIF</vt:lpstr>
      <vt:lpstr>'MWA ROE - Qtr'!ROEASIF</vt:lpstr>
      <vt:lpstr>'MWA ROE - Annual'!ROENormal</vt:lpstr>
      <vt:lpstr>'MWA ROE - Qtr'!ROENormal</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2006-07-20T17:34:15Z</dcterms:created>
  <dc:creator>selttel</dc:creator>
  <cp:lastModifiedBy>Boyd, Patrice (Research)</cp:lastModifiedBy>
  <cp:lastPrinted>2018-04-20T14:01:19Z</cp:lastPrinted>
  <dcterms:modified xsi:type="dcterms:W3CDTF">2018-04-23T13:48:14Z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Range_" pid="2">
    <vt:lpwstr>115</vt:lpwstr>
  </property>
  <property fmtid="{D5CDD505-2E9C-101B-9397-08002B2CF9AE}" name="ERModPubTicket" pid="3">
    <vt:lpwstr>NA</vt:lpwstr>
  </property>
  <property fmtid="{D5CDD505-2E9C-101B-9397-08002B2CF9AE}" name="ERCompanyUploadState" pid="4">
    <vt:lpwstr>P</vt:lpwstr>
  </property>
  <property fmtid="{D5CDD505-2E9C-101B-9397-08002B2CF9AE}" name="ModelId" pid="5">
    <vt:lpwstr>763325</vt:lpwstr>
  </property>
  <property fmtid="{D5CDD505-2E9C-101B-9397-08002B2CF9AE}" name="ERModPubCompanyName" pid="6">
    <vt:lpwstr>Equinix Inc.</vt:lpwstr>
  </property>
  <property fmtid="{D5CDD505-2E9C-101B-9397-08002B2CF9AE}" name="ERModPubMaxIterations" pid="7">
    <vt:i4>100</vt:i4>
  </property>
  <property fmtid="{D5CDD505-2E9C-101B-9397-08002B2CF9AE}" name="ERModPubMaxChange" pid="8">
    <vt:r8>0.001</vt:r8>
  </property>
  <property fmtid="{D5CDD505-2E9C-101B-9397-08002B2CF9AE}" name="MSDH34TAG" pid="9">
    <vt:lpwstr>.TEZUF76X5TAHATHESADREYAK-00-INB160+*94600-06=385f2950/-46fa/-11e8/-adef/-6a0a1ce82510,MD=20180423100559/-0400,ZZ=000Z-9fd9.</vt:lpwstr>
  </property>
</Properties>
</file>